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ables/table134.xml" ContentType="application/vnd.openxmlformats-officedocument.spreadsheetml.table+xml"/>
  <Override PartName="/xl/tables/table135.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tables/table136.xml" ContentType="application/vnd.openxmlformats-officedocument.spreadsheetml.table+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ables/table137.xml" ContentType="application/vnd.openxmlformats-officedocument.spreadsheetml.table+xml"/>
  <Override PartName="/xl/comments12.xml" ContentType="application/vnd.openxmlformats-officedocument.spreadsheetml.comments+xml"/>
  <Override PartName="/xl/tables/table138.xml" ContentType="application/vnd.openxmlformats-officedocument.spreadsheetml.table+xml"/>
  <Override PartName="/xl/tables/table139.xml" ContentType="application/vnd.openxmlformats-officedocument.spreadsheetml.table+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drawings/drawing5.xml" ContentType="application/vnd.openxmlformats-officedocument.drawing+xml"/>
  <Override PartName="/xl/comments16.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comments17.xml" ContentType="application/vnd.openxmlformats-officedocument.spreadsheetml.comments+xml"/>
  <Override PartName="/xl/tables/table145.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comments18.xml" ContentType="application/vnd.openxmlformats-officedocument.spreadsheetml.comments+xml"/>
  <Override PartName="/xl/drawings/drawing12.xml" ContentType="application/vnd.openxmlformats-officedocument.drawing+xml"/>
  <Override PartName="/xl/comments19.xml" ContentType="application/vnd.openxmlformats-officedocument.spreadsheetml.comments+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71.xml" ContentType="application/vnd.openxmlformats-officedocument.spreadsheetml.table+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tables/table177.xml" ContentType="application/vnd.openxmlformats-officedocument.spreadsheetml.table+xml"/>
  <Override PartName="/xl/tables/table178.xml" ContentType="application/vnd.openxmlformats-officedocument.spreadsheetml.table+xml"/>
  <Override PartName="/xl/drawings/drawing13.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tables/table179.xml" ContentType="application/vnd.openxmlformats-officedocument.spreadsheetml.table+xml"/>
  <Override PartName="/xl/tables/table180.xml" ContentType="application/vnd.openxmlformats-officedocument.spreadsheetml.table+xml"/>
  <Override PartName="/xl/tables/table181.xml" ContentType="application/vnd.openxmlformats-officedocument.spreadsheetml.table+xml"/>
  <Override PartName="/xl/tables/table182.xml" ContentType="application/vnd.openxmlformats-officedocument.spreadsheetml.table+xml"/>
  <Override PartName="/xl/tables/table183.xml" ContentType="application/vnd.openxmlformats-officedocument.spreadsheetml.table+xml"/>
  <Override PartName="/xl/tables/table184.xml" ContentType="application/vnd.openxmlformats-officedocument.spreadsheetml.table+xml"/>
  <Override PartName="/xl/tables/table185.xml" ContentType="application/vnd.openxmlformats-officedocument.spreadsheetml.table+xml"/>
  <Override PartName="/xl/tables/table186.xml" ContentType="application/vnd.openxmlformats-officedocument.spreadsheetml.table+xml"/>
  <Override PartName="/xl/tables/table187.xml" ContentType="application/vnd.openxmlformats-officedocument.spreadsheetml.table+xml"/>
  <Override PartName="/xl/tables/table188.xml" ContentType="application/vnd.openxmlformats-officedocument.spreadsheetml.table+xml"/>
  <Override PartName="/xl/tables/table189.xml" ContentType="application/vnd.openxmlformats-officedocument.spreadsheetml.table+xml"/>
  <Override PartName="/xl/tables/table190.xml" ContentType="application/vnd.openxmlformats-officedocument.spreadsheetml.table+xml"/>
  <Override PartName="/xl/tables/table191.xml" ContentType="application/vnd.openxmlformats-officedocument.spreadsheetml.table+xml"/>
  <Override PartName="/xl/tables/table192.xml" ContentType="application/vnd.openxmlformats-officedocument.spreadsheetml.table+xml"/>
  <Override PartName="/xl/tables/table193.xml" ContentType="application/vnd.openxmlformats-officedocument.spreadsheetml.table+xml"/>
  <Override PartName="/xl/tables/table194.xml" ContentType="application/vnd.openxmlformats-officedocument.spreadsheetml.table+xml"/>
  <Override PartName="/xl/tables/table195.xml" ContentType="application/vnd.openxmlformats-officedocument.spreadsheetml.table+xml"/>
  <Override PartName="/xl/tables/table196.xml" ContentType="application/vnd.openxmlformats-officedocument.spreadsheetml.table+xml"/>
  <Override PartName="/xl/tables/table197.xml" ContentType="application/vnd.openxmlformats-officedocument.spreadsheetml.table+xml"/>
  <Override PartName="/xl/tables/table198.xml" ContentType="application/vnd.openxmlformats-officedocument.spreadsheetml.table+xml"/>
  <Override PartName="/xl/tables/table199.xml" ContentType="application/vnd.openxmlformats-officedocument.spreadsheetml.table+xml"/>
  <Override PartName="/xl/tables/table200.xml" ContentType="application/vnd.openxmlformats-officedocument.spreadsheetml.table+xml"/>
  <Override PartName="/xl/tables/table201.xml" ContentType="application/vnd.openxmlformats-officedocument.spreadsheetml.table+xml"/>
  <Override PartName="/xl/tables/table202.xml" ContentType="application/vnd.openxmlformats-officedocument.spreadsheetml.table+xml"/>
  <Override PartName="/xl/tables/table203.xml" ContentType="application/vnd.openxmlformats-officedocument.spreadsheetml.table+xml"/>
  <Override PartName="/xl/tables/table204.xml" ContentType="application/vnd.openxmlformats-officedocument.spreadsheetml.table+xml"/>
  <Override PartName="/xl/tables/table205.xml" ContentType="application/vnd.openxmlformats-officedocument.spreadsheetml.table+xml"/>
  <Override PartName="/xl/tables/table206.xml" ContentType="application/vnd.openxmlformats-officedocument.spreadsheetml.table+xml"/>
  <Override PartName="/xl/tables/table207.xml" ContentType="application/vnd.openxmlformats-officedocument.spreadsheetml.table+xml"/>
  <Override PartName="/xl/tables/table208.xml" ContentType="application/vnd.openxmlformats-officedocument.spreadsheetml.table+xml"/>
  <Override PartName="/xl/tables/table209.xml" ContentType="application/vnd.openxmlformats-officedocument.spreadsheetml.table+xml"/>
  <Override PartName="/xl/tables/table210.xml" ContentType="application/vnd.openxmlformats-officedocument.spreadsheetml.table+xml"/>
  <Override PartName="/xl/tables/table211.xml" ContentType="application/vnd.openxmlformats-officedocument.spreadsheetml.table+xml"/>
  <Override PartName="/xl/tables/table212.xml" ContentType="application/vnd.openxmlformats-officedocument.spreadsheetml.table+xml"/>
  <Override PartName="/xl/tables/table213.xml" ContentType="application/vnd.openxmlformats-officedocument.spreadsheetml.table+xml"/>
  <Override PartName="/xl/tables/table214.xml" ContentType="application/vnd.openxmlformats-officedocument.spreadsheetml.table+xml"/>
  <Override PartName="/xl/tables/table215.xml" ContentType="application/vnd.openxmlformats-officedocument.spreadsheetml.table+xml"/>
  <Override PartName="/xl/tables/table216.xml" ContentType="application/vnd.openxmlformats-officedocument.spreadsheetml.table+xml"/>
  <Override PartName="/xl/tables/table217.xml" ContentType="application/vnd.openxmlformats-officedocument.spreadsheetml.table+xml"/>
  <Override PartName="/xl/tables/table218.xml" ContentType="application/vnd.openxmlformats-officedocument.spreadsheetml.table+xml"/>
  <Override PartName="/xl/tables/table219.xml" ContentType="application/vnd.openxmlformats-officedocument.spreadsheetml.table+xml"/>
  <Override PartName="/xl/tables/table220.xml" ContentType="application/vnd.openxmlformats-officedocument.spreadsheetml.table+xml"/>
  <Override PartName="/xl/tables/table221.xml" ContentType="application/vnd.openxmlformats-officedocument.spreadsheetml.table+xml"/>
  <Override PartName="/xl/tables/table222.xml" ContentType="application/vnd.openxmlformats-officedocument.spreadsheetml.table+xml"/>
  <Override PartName="/xl/tables/table223.xml" ContentType="application/vnd.openxmlformats-officedocument.spreadsheetml.table+xml"/>
  <Override PartName="/xl/comments20.xml" ContentType="application/vnd.openxmlformats-officedocument.spreadsheetml.comments+xml"/>
  <Override PartName="/xl/tables/table224.xml" ContentType="application/vnd.openxmlformats-officedocument.spreadsheetml.table+xml"/>
  <Override PartName="/xl/tables/table225.xml" ContentType="application/vnd.openxmlformats-officedocument.spreadsheetml.table+xml"/>
  <Override PartName="/xl/tables/table226.xml" ContentType="application/vnd.openxmlformats-officedocument.spreadsheetml.table+xml"/>
  <Override PartName="/xl/tables/table227.xml" ContentType="application/vnd.openxmlformats-officedocument.spreadsheetml.table+xml"/>
  <Override PartName="/xl/tables/table228.xml" ContentType="application/vnd.openxmlformats-officedocument.spreadsheetml.table+xml"/>
  <Override PartName="/xl/drawings/drawing14.xml" ContentType="application/vnd.openxmlformats-officedocument.drawing+xml"/>
  <Override PartName="/xl/comments2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updateLinks="never" codeName="ЦяКнига"/>
  <mc:AlternateContent xmlns:mc="http://schemas.openxmlformats.org/markup-compatibility/2006">
    <mc:Choice Requires="x15">
      <x15ac:absPath xmlns:x15ac="http://schemas.microsoft.com/office/spreadsheetml/2010/11/ac" url="https://d.docs.live.net/4050d6280c872bd7/TRPG/ZZ_TOOLS/0_DEVELOPMENT/902_CORMYR/"/>
    </mc:Choice>
  </mc:AlternateContent>
  <xr:revisionPtr revIDLastSave="223" documentId="13_ncr:20001_{D061CA07-419A-45F6-880E-4BE6B492F6BE}" xr6:coauthVersionLast="45" xr6:coauthVersionMax="45" xr10:uidLastSave="{D9990C81-1A0C-4E42-BF06-EEC518636109}"/>
  <bookViews>
    <workbookView xWindow="2730" yWindow="2730" windowWidth="21600" windowHeight="11475" tabRatio="789" activeTab="6" xr2:uid="{BCE075F4-0ADC-4064-941B-948FB9D6891C}"/>
  </bookViews>
  <sheets>
    <sheet name="OGL" sheetId="61" r:id="rId1"/>
    <sheet name="SUBSYSTEM" sheetId="60" r:id="rId2"/>
    <sheet name="HIRELINGS" sheetId="58" r:id="rId3"/>
    <sheet name="SPECIAL NPCS" sheetId="57" r:id="rId4"/>
    <sheet name="CAMP" sheetId="56" r:id="rId5"/>
    <sheet name="Аркуш2 (2)" sheetId="51" r:id="rId6"/>
    <sheet name="Inventory" sheetId="49" r:id="rId7"/>
    <sheet name="TOP SHEET" sheetId="44" state="hidden" r:id="rId8"/>
    <sheet name="USER SPELLS" sheetId="46" state="hidden" r:id="rId9"/>
    <sheet name="MATH" sheetId="43" state="hidden" r:id="rId10"/>
    <sheet name="BACKGROUNDS" sheetId="42" state="hidden" r:id="rId11"/>
    <sheet name="MAGIC ITEMS" sheetId="40" state="hidden" r:id="rId12"/>
    <sheet name="TREASURE" sheetId="39" state="hidden" r:id="rId13"/>
    <sheet name="WEAPONS ARMOR" sheetId="38" state="hidden" r:id="rId14"/>
    <sheet name="EQUIPMENT" sheetId="37" r:id="rId15"/>
    <sheet name="FEATS-PETS" sheetId="35" state="hidden" r:id="rId16"/>
    <sheet name="SPELLBOOK" sheetId="34" state="hidden" r:id="rId17"/>
    <sheet name="SKILLS" sheetId="32" state="hidden" r:id="rId18"/>
    <sheet name="CLASS" sheetId="31" state="hidden" r:id="rId19"/>
    <sheet name="Kvoth" sheetId="29" state="hidden" r:id="rId20"/>
    <sheet name="MonstersNPCs" sheetId="26" state="hidden" r:id="rId21"/>
    <sheet name="Basic Price Sheet" sheetId="25" state="hidden" r:id="rId22"/>
    <sheet name="CoC SAM" sheetId="21" state="hidden" r:id="rId23"/>
    <sheet name="DM Notes" sheetId="22" state="hidden" r:id="rId24"/>
    <sheet name="Map (num)" sheetId="16" state="hidden" r:id="rId25"/>
    <sheet name="Map (blank)" sheetId="17" state="hidden" r:id="rId26"/>
    <sheet name="Key and Sample" sheetId="18" state="hidden" r:id="rId27"/>
    <sheet name="Icons" sheetId="19" state="hidden" r:id="rId28"/>
    <sheet name="LootGen" sheetId="15" r:id="rId29"/>
    <sheet name="NPCs" sheetId="28" r:id="rId30"/>
    <sheet name="SETTLEMENTS" sheetId="10" r:id="rId31"/>
    <sheet name="Аркуш5" sheetId="65" r:id="rId32"/>
    <sheet name="Sheet1" sheetId="11" r:id="rId33"/>
    <sheet name="Аркуш3" sheetId="54" state="hidden" r:id="rId34"/>
    <sheet name="GM SCREEN" sheetId="13" r:id="rId35"/>
    <sheet name="ORGANIZATIONS" sheetId="63" r:id="rId36"/>
    <sheet name="Аркуш2" sheetId="67" r:id="rId37"/>
    <sheet name="Noble Houses" sheetId="2" r:id="rId38"/>
    <sheet name="Purple Dragons" sheetId="3" r:id="rId39"/>
    <sheet name="DIAGRAMS" sheetId="55" r:id="rId40"/>
    <sheet name="War Wizards" sheetId="9" r:id="rId41"/>
    <sheet name="Аркуш1" sheetId="52" r:id="rId42"/>
    <sheet name="Blue Dragons" sheetId="4" r:id="rId43"/>
    <sheet name="Аркуш6" sheetId="66" r:id="rId44"/>
    <sheet name="Royal Court" sheetId="8" r:id="rId45"/>
    <sheet name="CONFIG000" sheetId="12" r:id="rId46"/>
    <sheet name="Sources" sheetId="6" r:id="rId47"/>
    <sheet name="TIMELINE" sheetId="53" r:id="rId48"/>
    <sheet name="CREDIT000" sheetId="5" r:id="rId49"/>
  </sheets>
  <externalReferences>
    <externalReference r:id="rId50"/>
    <externalReference r:id="rId51"/>
    <externalReference r:id="rId52"/>
    <externalReference r:id="rId53"/>
    <externalReference r:id="rId54"/>
  </externalReferences>
  <definedNames>
    <definedName name="___INDEX_SHEET___ASAP_Utilities">#REF!</definedName>
    <definedName name="_Toc25198295" localSheetId="1">SUBSYSTEM!$A$835</definedName>
    <definedName name="_xlnm._FilterDatabase" localSheetId="32" hidden="1">Sheet1!$A$4:$G$478</definedName>
    <definedName name="AbilityModifier">CONFIG000!$U$134:$V$165</definedName>
    <definedName name="Animal_Companion" localSheetId="19">Kvoth!$85:$92</definedName>
    <definedName name="ARMOR">'MAGIC ITEMS'!$B$4:$I$27</definedName>
    <definedName name="AtributeScoreRef">CONFIG000!$U$110:$X$116</definedName>
    <definedName name="AttunementCheckboxes">Inventory!$P$18:$P$31</definedName>
    <definedName name="BARD">#REF!</definedName>
    <definedName name="Bard_Cantrip">SPELLBOOK!$F$19:$F$30</definedName>
    <definedName name="Bard_First">SPELLBOOK!$K$19:$K$40</definedName>
    <definedName name="BardCantrips" localSheetId="10">[1]!Table3[CANTRIPS]</definedName>
    <definedName name="BardCantrips" localSheetId="14">[1]!Table3[CANTRIPS]</definedName>
    <definedName name="BardCantrips" localSheetId="15">[1]!Table3[CANTRIPS]</definedName>
    <definedName name="BardCantrips" localSheetId="11">[1]!Table3[CANTRIPS]</definedName>
    <definedName name="BardCantrips" localSheetId="9">[1]!Table3[CANTRIPS]</definedName>
    <definedName name="BardCantrips" localSheetId="12">[1]!Table3[CANTRIPS]</definedName>
    <definedName name="BardCantrips" localSheetId="13">[1]!Table3[CANTRIPS]</definedName>
    <definedName name="BardCantrips">Table3[CANTRIPS]</definedName>
    <definedName name="BASEASSAULTMOTIVATION">[2]Mission_generation!$B$17</definedName>
    <definedName name="ChallengeRating">CONFIG000!$U$167:$W$202</definedName>
    <definedName name="CharSize">Inventory!$D$11</definedName>
    <definedName name="CharStr">Inventory!$D$12</definedName>
    <definedName name="CharWeight">Inventory!$D$13</definedName>
    <definedName name="Class_List">SPELLBOOK!$BC$3:$BC$15</definedName>
    <definedName name="classtable" localSheetId="10">[1]TREASURE!#REF!</definedName>
    <definedName name="classtable" localSheetId="11">[1]TREASURE!#REF!</definedName>
    <definedName name="classtable" localSheetId="9">[1]TREASURE!#REF!</definedName>
    <definedName name="classtable">TREASURE!#REF!</definedName>
    <definedName name="Cleric_Cantrip">SPELLBOOK!$I$50:$I$56</definedName>
    <definedName name="Cleric_First">SPELLBOOK!$R$50:$R$66</definedName>
    <definedName name="CoinContainer">Inventory!$K$17</definedName>
    <definedName name="CoinQuantities">Inventory!$C$18:$C$22</definedName>
    <definedName name="CoinTotalWeight">CONFIG000!$AI$4:$AI$8</definedName>
    <definedName name="Complication">[2]Mission_generation!$B$79</definedName>
    <definedName name="ComplicationDescription">[2]Mission_generation!$C$79</definedName>
    <definedName name="ContainerFills">CONFIG000!$AO$4:$AO$13</definedName>
    <definedName name="ContainerLocation">Inventory!$AB$4:$AD$13</definedName>
    <definedName name="ContainerNames">Inventory!$P$4:$S$13</definedName>
    <definedName name="ContainerOptionNames">CONFIG000!$Z$9:$Z$39</definedName>
    <definedName name="ContainerOptionTable">CONFIG000!$Z$9:$AE$39</definedName>
    <definedName name="Containers">Inventory!$P$4:$AF$13</definedName>
    <definedName name="ContainerType">Inventory!$T$4:$U$13</definedName>
    <definedName name="CopperPieces">Inventory!$C$18</definedName>
    <definedName name="CR" localSheetId="20">MonstersNPCs!$A:$CW</definedName>
    <definedName name="CR" localSheetId="29">NPCs!$A:$CX</definedName>
    <definedName name="cuts" localSheetId="10">[1]TREASURE!#REF!</definedName>
    <definedName name="cuts" localSheetId="11">[1]TREASURE!#REF!</definedName>
    <definedName name="cuts" localSheetId="9">[1]TREASURE!#REF!</definedName>
    <definedName name="cuts">TREASURE!#REF!</definedName>
    <definedName name="Druid_Cantrip">SPELLBOOK!$I$78:$I$93</definedName>
    <definedName name="Druid_First">SPELLBOOK!$Q$78:$Q$97</definedName>
    <definedName name="ElectrumPieces">Inventory!$C$20</definedName>
    <definedName name="EncumbranceCheckbox">Inventory!$I$12</definedName>
    <definedName name="EquippedItemWeights">CONFIG000!$AM$4:$AM$54</definedName>
    <definedName name="EquippedMagicWeights">CONFIG000!$AG$4:$AG$17</definedName>
    <definedName name="EquippedMnyWt">CONFIG000!$AT$34</definedName>
    <definedName name="EquippedStockWeights">CONFIG000!$AK$4:$AK$9</definedName>
    <definedName name="ExtradimensionalCheckbox">Inventory!$AF$4:$AF$13</definedName>
    <definedName name="fancy">TREASURE!$T$4:$U$55</definedName>
    <definedName name="gem">TREASURE!$X$4:$Y$55</definedName>
    <definedName name="GemQuantities">Inventory!$G$18:$G$22</definedName>
    <definedName name="GemsQuantity1">Inventory!$G$18</definedName>
    <definedName name="GemsQuantity2">Inventory!$G$19</definedName>
    <definedName name="GemsQuantity3">Inventory!$G$20</definedName>
    <definedName name="GemsQuantity4">Inventory!$G$21</definedName>
    <definedName name="GemsQuantity5">Inventory!$G$22</definedName>
    <definedName name="GemsWorth1">Inventory!$L$18</definedName>
    <definedName name="GemsWorth2">Inventory!$L$19</definedName>
    <definedName name="GemsWorth3">Inventory!$L$20</definedName>
    <definedName name="GemsWorth4">Inventory!$L$21</definedName>
    <definedName name="GemsWorth5">Inventory!$L$22</definedName>
    <definedName name="GemTotalWeight">CONFIG000!$AJ$4:$AJ$8</definedName>
    <definedName name="GoldPieces">Inventory!$C$21</definedName>
    <definedName name="hardstones">TREASURE!$AB$4:$AD$55</definedName>
    <definedName name="Item_Search" localSheetId="2">[3]MI_PRICES!$G$2:INDEX([3]MI_PRICES!$G$2:$G$403,COUNTIF([3]MI_PRICES!$G$2:$G$403,"?*"))</definedName>
    <definedName name="Item_Search" localSheetId="3">[3]MI_PRICES!$G$2:INDEX([3]MI_PRICES!$G$2:$G$403,COUNTIF([3]MI_PRICES!$G$2:$G$403,"?*"))</definedName>
    <definedName name="Item_Search" localSheetId="1">[3]MI_PRICES!$G$2:INDEX([3]MI_PRICES!$G$2:$G$403,COUNTIF([3]MI_PRICES!$G$2:$G$403,"?*"))</definedName>
    <definedName name="Item_Search">#REF!:INDEX(#REF!,COUNTIF(#REF!,"?*"))</definedName>
    <definedName name="ItemContainers">Inventory!$AC$36:$AF$86</definedName>
    <definedName name="ItemQuantity">Inventory!$C$36:$C$86</definedName>
    <definedName name="ItemTotalWeights">CONFIG000!$AP$4:$AP$54</definedName>
    <definedName name="ItemWeight">Inventory!$AA$36:$AA$86</definedName>
    <definedName name="jewel">TREASURE!$Z$4:$AA$55</definedName>
    <definedName name="largegsize" localSheetId="10">[1]TREASURE!#REF!</definedName>
    <definedName name="largegsize" localSheetId="11">[1]TREASURE!#REF!</definedName>
    <definedName name="largegsize" localSheetId="9">[1]TREASURE!#REF!</definedName>
    <definedName name="largegsize">TREASURE!#REF!</definedName>
    <definedName name="Lists">'[1]USER SPELLS'!$O$7:$Q$9</definedName>
    <definedName name="Locations">CONFIG000!$Z$4:$Z$6</definedName>
    <definedName name="Magic_Use" localSheetId="19">Kvoth!$75:$84</definedName>
    <definedName name="MagicItemContainers">Inventory!$AC$18:$AF$31</definedName>
    <definedName name="MagicItemWeights">Inventory!$AA$18:$AB$31</definedName>
    <definedName name="medici_LINK">[4]COSTS!#REF!</definedName>
    <definedName name="modgsize" localSheetId="10">[1]TREASURE!#REF!</definedName>
    <definedName name="modgsize" localSheetId="11">[1]TREASURE!#REF!</definedName>
    <definedName name="modgsize" localSheetId="9">[1]TREASURE!#REF!</definedName>
    <definedName name="modgsize">TREASURE!#REF!</definedName>
    <definedName name="modtable" localSheetId="10">[1]TREASURE!#REF!</definedName>
    <definedName name="modtable" localSheetId="11">[1]TREASURE!#REF!</definedName>
    <definedName name="modtable" localSheetId="9">[1]TREASURE!#REF!</definedName>
    <definedName name="modtable">TREASURE!#REF!</definedName>
    <definedName name="MoneyTotalWeight">CONFIG000!$AT$31</definedName>
    <definedName name="MonstersNPCsRange">MonstersNPCs!$A$4:$CY$334</definedName>
    <definedName name="MonstersNPCsRange2" localSheetId="20">MonstersNPCs!$A$4:$CY$334</definedName>
    <definedName name="MountItemWeights">CONFIG000!$AN$4:$AN$54</definedName>
    <definedName name="MountMagicWeights">CONFIG000!$AH$4:$AH$17</definedName>
    <definedName name="MountMnyWt">CONFIG000!$AU$34</definedName>
    <definedName name="MountSize">Inventory!$F$11</definedName>
    <definedName name="MountStockWeights">CONFIG000!$AL$4:$AL$9</definedName>
    <definedName name="MountStr">Inventory!$F$12</definedName>
    <definedName name="MountTotalWeightCarried">Inventory!$K$8</definedName>
    <definedName name="MOURNLANDLOCATION">[2]Mission_generation!$B$39</definedName>
    <definedName name="NumAutofillRows">Inventory!$I$13</definedName>
    <definedName name="ornamental">TREASURE!$P$4:$Q$55</definedName>
    <definedName name="PlatinumPieces">Inventory!$C$22</definedName>
    <definedName name="poisons_LINK">[4]COSTS!#REF!</definedName>
    <definedName name="precious">TREASURE!$V$4:$W$55</definedName>
    <definedName name="rand1d100">'SPECIAL NPCS'!$A$10</definedName>
    <definedName name="randgsize" localSheetId="10">[1]TREASURE!#REF!</definedName>
    <definedName name="randgsize" localSheetId="11">[1]TREASURE!#REF!</definedName>
    <definedName name="randgsize" localSheetId="9">[1]TREASURE!#REF!</definedName>
    <definedName name="randgsize">TREASURE!#REF!</definedName>
    <definedName name="RideCheckbox">Inventory!$I$11</definedName>
    <definedName name="SALVAGEBOARDQUEST">[2]Mission_generation!$B$2</definedName>
    <definedName name="semiprecious">TREASURE!$R$4:$S$55</definedName>
    <definedName name="SettlementType">#REF!</definedName>
    <definedName name="shells">TREASURE!$AE$4:$AG$55</definedName>
    <definedName name="SilverPieces">Inventory!$C$19</definedName>
    <definedName name="SizeNames">CONFIG000!$Z$42:$Z$46</definedName>
    <definedName name="SizeTable">CONFIG000!$Z$42:$AA$46</definedName>
    <definedName name="SlotsCheckbox">Inventory!$AE$4:$AE$13</definedName>
    <definedName name="smallgsize" localSheetId="10">[1]TREASURE!#REF!</definedName>
    <definedName name="smallgsize" localSheetId="11">[1]TREASURE!#REF!</definedName>
    <definedName name="smallgsize" localSheetId="9">[1]TREASURE!#REF!</definedName>
    <definedName name="smallgsize">TREASURE!#REF!</definedName>
    <definedName name="SPECIALQUEST">[2]Mission_generation!$B$30</definedName>
    <definedName name="STATS">CLASS!$I$4:$N$4</definedName>
    <definedName name="StockContainers">Inventory!$K$26:$K$31</definedName>
    <definedName name="StockQuantities">Inventory!$C$26:$C$31</definedName>
    <definedName name="StockTotalWeights">CONFIG000!$AQ$4:$AQ$9</definedName>
    <definedName name="TIER_SELECTED">[2]MAIN!$G$5</definedName>
    <definedName name="TIER1ENCOUNTER">[2]Random_encounters!$C$3</definedName>
    <definedName name="TIER2ENCOUNTER">[2]Random_encounters!$G$3</definedName>
    <definedName name="TIER3ENCOUNTER">[2]Random_encounters!$K$3</definedName>
    <definedName name="TIER4ENCOUNTER">[2]Random_encounters!$O$3</definedName>
    <definedName name="TOC_PricesNTaxes">[4]COSTS!#REF!</definedName>
    <definedName name="TotalCoins">Inventory!$C$18:$C$22</definedName>
    <definedName name="TotalCoinsGems">CONFIG000!$AU$31</definedName>
    <definedName name="TotalGems">Inventory!$G$18:$G$22</definedName>
    <definedName name="TotalWeightCarried">Inventory!$I$8</definedName>
    <definedName name="Validation" localSheetId="2">OFFSET([3]MI_PRICES!$G$2,,,COUNTIF([3]MI_PRICES!$G$2:$G$403,"?*"))</definedName>
    <definedName name="Validation" localSheetId="3">OFFSET([3]MI_PRICES!$G$2,,,COUNTIF([3]MI_PRICES!$G$2:$G$403,"?*"))</definedName>
    <definedName name="Validation" localSheetId="1">OFFSET([3]MI_PRICES!$G$2,,,COUNTIF([3]MI_PRICES!$G$2:$G$403,"?*"))</definedName>
    <definedName name="Validation">OFFSET(#REF!,,,COUNTIF(#REF!,"?*"))</definedName>
    <definedName name="VILLAINS">[2]Mission_generation!$B$62</definedName>
    <definedName name="WARDSLIST_RNDENC08">[5]!Таблиця152[[#All],[CASTLE]]</definedName>
    <definedName name="WaterdeepLocationBuilding">#REF!</definedName>
    <definedName name="WaterdeepLocationName">#REF!</definedName>
    <definedName name="WaterdeepLocationNotes">#REF!</definedName>
    <definedName name="WaterdeepLocationType">#REF!</definedName>
    <definedName name="WaterdeepLocationWard">#REF!</definedName>
    <definedName name="Z_BC9E7479_BF9B_41EC_8383_937D16CE88B8_.wvu.FilterData" localSheetId="20" hidden="1">MonstersNPCs!$A$1:$CW$4</definedName>
    <definedName name="Z_CE0C198D_B5B1_4F86_ADEF_749FED4F2712_.wvu.FilterData" localSheetId="20" hidden="1">MonstersNPCs!$A$3:$CW$4</definedName>
    <definedName name="_xlnm.Print_Area" localSheetId="9">MATH!$A$1:$AK$155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L51" i="10" l="1"/>
  <c r="L42" i="10"/>
  <c r="L76" i="10"/>
  <c r="L10" i="10"/>
  <c r="E24" i="11"/>
  <c r="N17" i="3" l="1"/>
  <c r="O17" i="3" s="1"/>
  <c r="N16" i="3"/>
  <c r="O16" i="3" s="1"/>
  <c r="Z49" i="4"/>
  <c r="Z51" i="4" s="1"/>
  <c r="Q78" i="4"/>
  <c r="Q79" i="4" s="1"/>
  <c r="R78" i="4"/>
  <c r="R79" i="4" s="1"/>
  <c r="S78" i="4"/>
  <c r="S79" i="4" s="1"/>
  <c r="K71" i="4"/>
  <c r="L71" i="4" s="1"/>
  <c r="Q73" i="4"/>
  <c r="R73" i="4"/>
  <c r="S73" i="4"/>
  <c r="Q66" i="4"/>
  <c r="R66" i="4"/>
  <c r="S66" i="4"/>
  <c r="S76" i="4"/>
  <c r="S75" i="4"/>
  <c r="S72" i="4"/>
  <c r="S71" i="4"/>
  <c r="S69" i="4"/>
  <c r="S68" i="4"/>
  <c r="S67" i="4"/>
  <c r="R68" i="4"/>
  <c r="R69" i="4"/>
  <c r="R71" i="4"/>
  <c r="R72" i="4"/>
  <c r="R75" i="4"/>
  <c r="R76" i="4"/>
  <c r="R67" i="4"/>
  <c r="M71" i="4" l="1"/>
  <c r="R77" i="4"/>
  <c r="S74" i="4"/>
  <c r="S70" i="4"/>
  <c r="S80" i="4" s="1"/>
  <c r="R70" i="4"/>
  <c r="R74" i="4"/>
  <c r="S77" i="4"/>
  <c r="N71" i="4"/>
  <c r="R80" i="4"/>
  <c r="W202" i="12"/>
  <c r="W201" i="12"/>
  <c r="W200" i="12"/>
  <c r="W199" i="12"/>
  <c r="W198" i="12"/>
  <c r="W197" i="12"/>
  <c r="W196" i="12"/>
  <c r="W195" i="12"/>
  <c r="W194" i="12"/>
  <c r="W193" i="12"/>
  <c r="W192" i="12"/>
  <c r="W191" i="12"/>
  <c r="W190" i="12"/>
  <c r="W189" i="12"/>
  <c r="W188" i="12"/>
  <c r="W187" i="12"/>
  <c r="W186" i="12"/>
  <c r="W185" i="12"/>
  <c r="W184" i="12"/>
  <c r="W183" i="12"/>
  <c r="W182" i="12"/>
  <c r="W181" i="12"/>
  <c r="W180" i="12"/>
  <c r="W179" i="12"/>
  <c r="W178" i="12"/>
  <c r="W177" i="12"/>
  <c r="W176" i="12"/>
  <c r="W175" i="12"/>
  <c r="W174" i="12"/>
  <c r="W173" i="12"/>
  <c r="W172" i="12"/>
  <c r="W171" i="12"/>
  <c r="W170" i="12"/>
  <c r="W169" i="12"/>
  <c r="V165" i="12"/>
  <c r="V164" i="12"/>
  <c r="V163" i="12"/>
  <c r="V162" i="12"/>
  <c r="V161" i="12"/>
  <c r="V160" i="12"/>
  <c r="V159" i="12"/>
  <c r="V158" i="12"/>
  <c r="V157" i="12"/>
  <c r="V156" i="12"/>
  <c r="V155" i="12"/>
  <c r="V154" i="12"/>
  <c r="V153" i="12"/>
  <c r="V152" i="12"/>
  <c r="V151" i="12"/>
  <c r="V150" i="12"/>
  <c r="V149" i="12"/>
  <c r="V148" i="12"/>
  <c r="V147" i="12"/>
  <c r="V146" i="12"/>
  <c r="V145" i="12"/>
  <c r="V144" i="12"/>
  <c r="V143" i="12"/>
  <c r="V142" i="12"/>
  <c r="V141" i="12"/>
  <c r="V140" i="12"/>
  <c r="V139" i="12"/>
  <c r="V138" i="12"/>
  <c r="V137" i="12"/>
  <c r="V136" i="12"/>
  <c r="BX96" i="12" a="1"/>
  <c r="BX96" i="12" s="1"/>
  <c r="BU88" i="12" a="1"/>
  <c r="BU88" i="12" s="1"/>
  <c r="CA86" i="12" a="1"/>
  <c r="CA86" i="12" s="1"/>
  <c r="BU78" i="12" a="1"/>
  <c r="BU78" i="12" s="1"/>
  <c r="CA77" i="12" a="1"/>
  <c r="CA77" i="12" s="1"/>
  <c r="BX77" i="12" a="1"/>
  <c r="BX77" i="12" s="1"/>
  <c r="CA67" i="12" a="1"/>
  <c r="CA67" i="12" s="1"/>
  <c r="CA61" i="12" a="1"/>
  <c r="CA61" i="12" s="1"/>
  <c r="CA43" i="12" a="1"/>
  <c r="CA43" i="12" s="1"/>
  <c r="BM37" i="12" a="1"/>
  <c r="BM37" i="12" s="1"/>
  <c r="BN32" i="12" s="1"/>
  <c r="U19" i="13" s="1" a="1"/>
  <c r="U19" i="13" s="1"/>
  <c r="AU34" i="12"/>
  <c r="AT34" i="12"/>
  <c r="AU31" i="12"/>
  <c r="BW24" i="12" a="1"/>
  <c r="BW24" i="12" s="1"/>
  <c r="BF8" i="12"/>
  <c r="BH9" i="12" s="1"/>
  <c r="BH7" i="12"/>
  <c r="BH8" i="12" s="1"/>
  <c r="BF7" i="12"/>
  <c r="BF6" i="12"/>
  <c r="BH6" i="12" s="1"/>
  <c r="AQ4" i="12" a="1"/>
  <c r="AQ9" i="12" s="1"/>
  <c r="AP4" i="12" a="1"/>
  <c r="AP47" i="12" s="1"/>
  <c r="AJ4" i="12" a="1"/>
  <c r="AI4" i="12" a="1"/>
  <c r="AI6" i="12" s="1"/>
  <c r="AH4" i="12" a="1"/>
  <c r="AG4" i="12" a="1"/>
  <c r="V2" i="12" a="1"/>
  <c r="V2" i="12" s="1"/>
  <c r="S2" i="12" a="1"/>
  <c r="S2" i="12" s="1"/>
  <c r="I1" i="12" a="1"/>
  <c r="I1" i="12" s="1"/>
  <c r="H1" i="12" a="1"/>
  <c r="H1" i="12" s="1"/>
  <c r="E1" i="12" a="1"/>
  <c r="E1" i="12" s="1"/>
  <c r="D1" i="12" a="1"/>
  <c r="D1" i="12" s="1"/>
  <c r="C1" i="12" a="1"/>
  <c r="C1" i="12" s="1"/>
  <c r="B1" i="12" a="1"/>
  <c r="B1" i="12" s="1"/>
  <c r="Q76" i="4"/>
  <c r="Q75" i="4"/>
  <c r="Q72" i="4"/>
  <c r="Q71" i="4"/>
  <c r="Q69" i="4"/>
  <c r="Q68" i="4"/>
  <c r="Q67" i="4"/>
  <c r="K76" i="4"/>
  <c r="K75" i="4"/>
  <c r="M75" i="4" s="1"/>
  <c r="K74" i="4"/>
  <c r="M74" i="4" s="1"/>
  <c r="K73" i="4"/>
  <c r="K70" i="4"/>
  <c r="M70" i="4" s="1"/>
  <c r="K69" i="4"/>
  <c r="M69" i="4" s="1"/>
  <c r="K68" i="4"/>
  <c r="M68" i="4" s="1"/>
  <c r="K67" i="4"/>
  <c r="K66" i="4"/>
  <c r="Y49" i="4"/>
  <c r="Y51" i="4" s="1"/>
  <c r="X49" i="4"/>
  <c r="X51" i="4" s="1"/>
  <c r="W49" i="4"/>
  <c r="W51" i="4" s="1"/>
  <c r="V49" i="4"/>
  <c r="V51" i="4" s="1"/>
  <c r="U49" i="4"/>
  <c r="U51" i="4" s="1"/>
  <c r="T49" i="4"/>
  <c r="T51" i="4" s="1"/>
  <c r="S49" i="4"/>
  <c r="S51" i="4" s="1"/>
  <c r="R49" i="4"/>
  <c r="R51" i="4" s="1"/>
  <c r="Q49" i="4"/>
  <c r="Q51" i="4" s="1"/>
  <c r="E39" i="4"/>
  <c r="E38" i="4"/>
  <c r="E37" i="4"/>
  <c r="E36" i="4"/>
  <c r="E35" i="4"/>
  <c r="E34" i="4"/>
  <c r="G33" i="4"/>
  <c r="E33" i="4"/>
  <c r="E32" i="4"/>
  <c r="E31" i="4"/>
  <c r="E30" i="4"/>
  <c r="F17" i="4"/>
  <c r="J16" i="4"/>
  <c r="F16" i="4"/>
  <c r="J15" i="4"/>
  <c r="F15" i="4"/>
  <c r="F14" i="4"/>
  <c r="F13" i="4"/>
  <c r="J11" i="4"/>
  <c r="I11" i="4"/>
  <c r="J10" i="4"/>
  <c r="I10" i="4"/>
  <c r="J9" i="4"/>
  <c r="I9" i="4"/>
  <c r="J8" i="4"/>
  <c r="I8" i="4"/>
  <c r="S38" i="3"/>
  <c r="T35" i="3"/>
  <c r="M61" i="3" s="1"/>
  <c r="S31" i="3"/>
  <c r="N15" i="3" s="1"/>
  <c r="O15" i="3" s="1"/>
  <c r="S26" i="3"/>
  <c r="M64" i="3"/>
  <c r="M63" i="3"/>
  <c r="W22" i="3"/>
  <c r="S19" i="3"/>
  <c r="O14" i="3"/>
  <c r="O13" i="3"/>
  <c r="W12" i="3"/>
  <c r="O12" i="3"/>
  <c r="W11" i="3"/>
  <c r="O10" i="3"/>
  <c r="O9" i="3"/>
  <c r="W8" i="3"/>
  <c r="O8" i="3"/>
  <c r="O6" i="3"/>
  <c r="O5" i="3"/>
  <c r="O4" i="3"/>
  <c r="T29" i="13" a="1"/>
  <c r="T29" i="13" s="1"/>
  <c r="T28" i="13" a="1"/>
  <c r="T28" i="13" s="1"/>
  <c r="T26" i="13" a="1"/>
  <c r="T26" i="13" s="1"/>
  <c r="T25" i="13" a="1"/>
  <c r="T25" i="13" s="1"/>
  <c r="F23" i="13"/>
  <c r="E22" i="13"/>
  <c r="D22" i="13"/>
  <c r="C22" i="13"/>
  <c r="U20" i="13" a="1"/>
  <c r="U20" i="13" s="1"/>
  <c r="C20" i="13" a="1"/>
  <c r="C20" i="13" s="1"/>
  <c r="E19" i="13"/>
  <c r="D19" i="13"/>
  <c r="C19" i="13"/>
  <c r="U18" i="13" a="1"/>
  <c r="U18" i="13" s="1"/>
  <c r="E18" i="13"/>
  <c r="D18" i="13"/>
  <c r="C18" i="13"/>
  <c r="E17" i="13"/>
  <c r="D17" i="13"/>
  <c r="C17" i="13"/>
  <c r="G14" i="13" a="1"/>
  <c r="G14" i="13" s="1"/>
  <c r="F14" i="13" a="1"/>
  <c r="F14" i="13" s="1"/>
  <c r="C14" i="13" a="1"/>
  <c r="C14" i="13" s="1"/>
  <c r="B14" i="13" a="1"/>
  <c r="B14" i="13" s="1"/>
  <c r="G13" i="13" a="1"/>
  <c r="G13" i="13" s="1"/>
  <c r="F13" i="13" a="1"/>
  <c r="F13" i="13" s="1"/>
  <c r="C13" i="13" a="1"/>
  <c r="C13" i="13" s="1"/>
  <c r="B13" i="13" a="1"/>
  <c r="B13" i="13" s="1"/>
  <c r="G12" i="13" a="1"/>
  <c r="G12" i="13" s="1"/>
  <c r="F12" i="13" a="1"/>
  <c r="F12" i="13" s="1"/>
  <c r="C12" i="13" a="1"/>
  <c r="C12" i="13" s="1"/>
  <c r="B12" i="13" a="1"/>
  <c r="B12" i="13" s="1"/>
  <c r="G11" i="13" a="1"/>
  <c r="G11" i="13" s="1"/>
  <c r="F11" i="13" a="1"/>
  <c r="F11" i="13" s="1"/>
  <c r="C11" i="13" a="1"/>
  <c r="C11" i="13" s="1"/>
  <c r="B11" i="13" a="1"/>
  <c r="B11" i="13" s="1"/>
  <c r="G10" i="13" a="1"/>
  <c r="G10" i="13" s="1"/>
  <c r="F10" i="13" a="1"/>
  <c r="F10" i="13" s="1"/>
  <c r="C10" i="13" a="1"/>
  <c r="C10" i="13" s="1"/>
  <c r="B10" i="13" a="1"/>
  <c r="B10" i="13" s="1"/>
  <c r="G9" i="13" a="1"/>
  <c r="G9" i="13" s="1"/>
  <c r="F9" i="13" a="1"/>
  <c r="F9" i="13" s="1"/>
  <c r="C9" i="13" a="1"/>
  <c r="C9" i="13" s="1"/>
  <c r="B9" i="13" a="1"/>
  <c r="B9" i="13" s="1"/>
  <c r="G8" i="13" a="1"/>
  <c r="G8" i="13" s="1"/>
  <c r="F8" i="13" a="1"/>
  <c r="F8" i="13" s="1"/>
  <c r="C8" i="13" a="1"/>
  <c r="C8" i="13" s="1"/>
  <c r="B8" i="13" a="1"/>
  <c r="B8" i="13" s="1"/>
  <c r="G7" i="13" a="1"/>
  <c r="G7" i="13" s="1"/>
  <c r="F7" i="13" a="1"/>
  <c r="F7" i="13" s="1"/>
  <c r="C7" i="13" a="1"/>
  <c r="C7" i="13" s="1"/>
  <c r="B7" i="13" a="1"/>
  <c r="B7" i="13" s="1"/>
  <c r="G6" i="13" a="1"/>
  <c r="G6" i="13" s="1"/>
  <c r="F6" i="13" a="1"/>
  <c r="F6" i="13" s="1"/>
  <c r="C6" i="13" a="1"/>
  <c r="C6" i="13" s="1"/>
  <c r="B6" i="13" a="1"/>
  <c r="B6" i="13" s="1"/>
  <c r="G5" i="13" a="1"/>
  <c r="G5" i="13" s="1"/>
  <c r="F5" i="13" a="1"/>
  <c r="F5" i="13" s="1"/>
  <c r="C5" i="13" a="1"/>
  <c r="C5" i="13" s="1"/>
  <c r="B5" i="13" a="1"/>
  <c r="B5" i="13" s="1"/>
  <c r="G4" i="13" a="1"/>
  <c r="G4" i="13" s="1"/>
  <c r="F4" i="13" a="1"/>
  <c r="F4" i="13" s="1"/>
  <c r="C4" i="13" a="1"/>
  <c r="C4" i="13" s="1"/>
  <c r="B4" i="13" a="1"/>
  <c r="B4" i="13" s="1"/>
  <c r="L77" i="10"/>
  <c r="L67" i="10"/>
  <c r="L75" i="10"/>
  <c r="L74" i="10"/>
  <c r="L73" i="10"/>
  <c r="L72" i="10"/>
  <c r="L71" i="10"/>
  <c r="L70" i="10"/>
  <c r="L69" i="10"/>
  <c r="L68" i="10"/>
  <c r="L65" i="10"/>
  <c r="L66" i="10"/>
  <c r="L64" i="10"/>
  <c r="L62" i="10"/>
  <c r="L63" i="10"/>
  <c r="L61" i="10"/>
  <c r="L60" i="10"/>
  <c r="L59" i="10"/>
  <c r="L58" i="10"/>
  <c r="L57" i="10"/>
  <c r="L56" i="10"/>
  <c r="L55" i="10"/>
  <c r="L54" i="10"/>
  <c r="L53" i="10"/>
  <c r="L52" i="10"/>
  <c r="L50" i="10"/>
  <c r="L49" i="10"/>
  <c r="L48" i="10"/>
  <c r="L47" i="10"/>
  <c r="L46" i="10"/>
  <c r="L45" i="10"/>
  <c r="L44" i="10"/>
  <c r="L43" i="10"/>
  <c r="L41" i="10"/>
  <c r="L40" i="10"/>
  <c r="L39" i="10"/>
  <c r="L38" i="10"/>
  <c r="L34" i="10"/>
  <c r="L37" i="10"/>
  <c r="L36" i="10"/>
  <c r="L35" i="10"/>
  <c r="L33" i="10"/>
  <c r="L32" i="10"/>
  <c r="L31" i="10"/>
  <c r="L30" i="10"/>
  <c r="L29" i="10"/>
  <c r="L28" i="10"/>
  <c r="L27" i="10"/>
  <c r="L26" i="10"/>
  <c r="L25" i="10"/>
  <c r="L13" i="10"/>
  <c r="L12" i="10"/>
  <c r="L24" i="10"/>
  <c r="L22" i="10"/>
  <c r="L23" i="10"/>
  <c r="L21" i="10"/>
  <c r="L20" i="10"/>
  <c r="L19" i="10"/>
  <c r="L18" i="10"/>
  <c r="L17" i="10"/>
  <c r="E17" i="10"/>
  <c r="L15" i="10"/>
  <c r="L16" i="10"/>
  <c r="L14" i="10"/>
  <c r="E14" i="10"/>
  <c r="L11" i="10"/>
  <c r="L9" i="10"/>
  <c r="L8" i="10"/>
  <c r="L7" i="10"/>
  <c r="L6" i="10"/>
  <c r="L5" i="10"/>
  <c r="L4" i="10"/>
  <c r="E2" i="10"/>
  <c r="C54" i="15"/>
  <c r="C37" i="15" s="1"/>
  <c r="A54" i="15"/>
  <c r="B26" i="15" s="1"/>
  <c r="C51" i="15"/>
  <c r="B20" i="15" s="1"/>
  <c r="B51" i="15"/>
  <c r="B21" i="15" s="1"/>
  <c r="A51" i="15"/>
  <c r="C48" i="15"/>
  <c r="D13" i="15" s="1"/>
  <c r="B48" i="15"/>
  <c r="D19" i="15" s="1"/>
  <c r="A48" i="15"/>
  <c r="E37" i="15"/>
  <c r="F31" i="15"/>
  <c r="F32" i="15" s="1"/>
  <c r="E31" i="15"/>
  <c r="E32" i="15" s="1"/>
  <c r="D31" i="15"/>
  <c r="D32" i="15" s="1"/>
  <c r="C31" i="15"/>
  <c r="C32" i="15" s="1"/>
  <c r="B31" i="15"/>
  <c r="B32" i="15" s="1"/>
  <c r="B27" i="15" s="1"/>
  <c r="A31" i="15"/>
  <c r="A32" i="15" s="1"/>
  <c r="B28" i="15"/>
  <c r="D27" i="15"/>
  <c r="D20" i="15"/>
  <c r="D16" i="15"/>
  <c r="D15" i="15"/>
  <c r="B15" i="15"/>
  <c r="D14" i="15"/>
  <c r="B13" i="15"/>
  <c r="F8" i="15"/>
  <c r="D8" i="15"/>
  <c r="B8" i="15"/>
  <c r="F7" i="15"/>
  <c r="D7" i="15"/>
  <c r="B7" i="15"/>
  <c r="F5" i="15"/>
  <c r="D5" i="15"/>
  <c r="B5" i="15"/>
  <c r="P3" i="15"/>
  <c r="O3" i="15"/>
  <c r="D36" i="15" s="1"/>
  <c r="N3" i="15"/>
  <c r="M3" i="15"/>
  <c r="P2" i="15"/>
  <c r="C35" i="15" s="1"/>
  <c r="O2" i="15"/>
  <c r="C36" i="15" s="1"/>
  <c r="N2" i="15"/>
  <c r="M2" i="15"/>
  <c r="D63" i="22"/>
  <c r="D59" i="22"/>
  <c r="D55" i="22"/>
  <c r="D51" i="22"/>
  <c r="D47" i="22"/>
  <c r="D43" i="22"/>
  <c r="D39" i="22"/>
  <c r="D35" i="22"/>
  <c r="D31" i="22"/>
  <c r="D27" i="22"/>
  <c r="D23" i="22"/>
  <c r="D19" i="22"/>
  <c r="D15" i="22"/>
  <c r="D11" i="22"/>
  <c r="D7" i="22"/>
  <c r="AK19" i="25"/>
  <c r="O14" i="25"/>
  <c r="AK10" i="25"/>
  <c r="AL10" i="25" s="1"/>
  <c r="AK9" i="25"/>
  <c r="AL9" i="25" s="1"/>
  <c r="AK5" i="25"/>
  <c r="AL5" i="25" s="1"/>
  <c r="O5" i="25"/>
  <c r="P5" i="25" s="1"/>
  <c r="AK4" i="25"/>
  <c r="AL4" i="25" s="1"/>
  <c r="O4" i="25"/>
  <c r="P4" i="25" s="1"/>
  <c r="AK3" i="25"/>
  <c r="O3" i="25"/>
  <c r="AV156" i="29"/>
  <c r="AP156" i="29"/>
  <c r="AK156" i="29"/>
  <c r="AH156" i="29"/>
  <c r="AE156" i="29"/>
  <c r="AB156" i="29"/>
  <c r="X156" i="29"/>
  <c r="U156" i="29"/>
  <c r="Q156" i="29"/>
  <c r="M156" i="29"/>
  <c r="K156" i="29"/>
  <c r="B156" i="29"/>
  <c r="AR134" i="29"/>
  <c r="AP134" i="29"/>
  <c r="AJ134" i="29"/>
  <c r="AF134" i="29"/>
  <c r="AD134" i="29"/>
  <c r="X134" i="29"/>
  <c r="B134" i="29"/>
  <c r="O132" i="29"/>
  <c r="O130" i="29"/>
  <c r="C129" i="29"/>
  <c r="O128" i="29"/>
  <c r="C128" i="29"/>
  <c r="C127" i="29"/>
  <c r="O126" i="29"/>
  <c r="C126" i="29"/>
  <c r="AQ125" i="29"/>
  <c r="AM125" i="29"/>
  <c r="AI125" i="29"/>
  <c r="C125" i="29"/>
  <c r="O124" i="29"/>
  <c r="C124" i="29"/>
  <c r="AI123" i="29"/>
  <c r="C123" i="29"/>
  <c r="AI122" i="29"/>
  <c r="O122" i="29"/>
  <c r="N122" i="29"/>
  <c r="C122" i="29"/>
  <c r="B122" i="29"/>
  <c r="AA93" i="29"/>
  <c r="V93" i="29"/>
  <c r="R93" i="29"/>
  <c r="O93" i="29"/>
  <c r="L93" i="29"/>
  <c r="C93" i="29"/>
  <c r="B93" i="29"/>
  <c r="C90" i="29"/>
  <c r="AB89" i="29"/>
  <c r="AP88" i="29"/>
  <c r="AG88" i="29"/>
  <c r="Y88" i="29"/>
  <c r="S88" i="29"/>
  <c r="L88" i="29"/>
  <c r="C88" i="29"/>
  <c r="AI87" i="29"/>
  <c r="AG87" i="29"/>
  <c r="AE87" i="29"/>
  <c r="AC87" i="29"/>
  <c r="AA87" i="29"/>
  <c r="Y87" i="29"/>
  <c r="AO85" i="29"/>
  <c r="AK85" i="29"/>
  <c r="AI85" i="29"/>
  <c r="AG85" i="29"/>
  <c r="AE85" i="29"/>
  <c r="AC85" i="29"/>
  <c r="AA85" i="29"/>
  <c r="Y85" i="29"/>
  <c r="V85" i="29"/>
  <c r="S85" i="29"/>
  <c r="P85" i="29"/>
  <c r="L85" i="29"/>
  <c r="J85" i="29"/>
  <c r="C85" i="29"/>
  <c r="B85" i="29"/>
  <c r="C82" i="29"/>
  <c r="AC81" i="29"/>
  <c r="Z81" i="29"/>
  <c r="W81" i="29"/>
  <c r="T81" i="29"/>
  <c r="Q81" i="29"/>
  <c r="N81" i="29"/>
  <c r="K81" i="29"/>
  <c r="H81" i="29"/>
  <c r="E81" i="29"/>
  <c r="C79" i="29"/>
  <c r="M77" i="29"/>
  <c r="AG76" i="29"/>
  <c r="AC76" i="29"/>
  <c r="Y76" i="29"/>
  <c r="U76" i="29"/>
  <c r="Q76" i="29"/>
  <c r="M76" i="29"/>
  <c r="I76" i="29"/>
  <c r="C76" i="29"/>
  <c r="B76" i="29"/>
  <c r="AT74" i="29"/>
  <c r="AS74" i="29"/>
  <c r="AR74" i="29"/>
  <c r="AQ74" i="29"/>
  <c r="AP74" i="29"/>
  <c r="AO74" i="29"/>
  <c r="AN74" i="29"/>
  <c r="AM74" i="29"/>
  <c r="AL74" i="29"/>
  <c r="AK74" i="29"/>
  <c r="AJ74" i="29"/>
  <c r="AI74" i="29"/>
  <c r="AH74" i="29"/>
  <c r="AG74" i="29"/>
  <c r="AF74" i="29"/>
  <c r="AE74" i="29"/>
  <c r="AD74" i="29"/>
  <c r="AC74" i="29"/>
  <c r="AB74" i="29"/>
  <c r="AA74" i="29"/>
  <c r="Z74" i="29"/>
  <c r="Y74" i="29"/>
  <c r="X74" i="29"/>
  <c r="W74" i="29"/>
  <c r="V74" i="29"/>
  <c r="U74" i="29"/>
  <c r="T74" i="29"/>
  <c r="S74" i="29"/>
  <c r="R74" i="29"/>
  <c r="Q74" i="29"/>
  <c r="P74" i="29"/>
  <c r="O74" i="29"/>
  <c r="N74" i="29"/>
  <c r="I74" i="29"/>
  <c r="AT73" i="29"/>
  <c r="AS73" i="29"/>
  <c r="AR73" i="29"/>
  <c r="AQ73" i="29"/>
  <c r="AP73" i="29"/>
  <c r="AO73" i="29"/>
  <c r="AN73" i="29"/>
  <c r="AM73" i="29"/>
  <c r="AL73" i="29"/>
  <c r="AK73" i="29"/>
  <c r="AJ73" i="29"/>
  <c r="AI73" i="29"/>
  <c r="AH73" i="29"/>
  <c r="AG73" i="29"/>
  <c r="AF73" i="29"/>
  <c r="AE73" i="29"/>
  <c r="AD73" i="29"/>
  <c r="AC73" i="29"/>
  <c r="AB73" i="29"/>
  <c r="AA73" i="29"/>
  <c r="Z73" i="29"/>
  <c r="Y73" i="29"/>
  <c r="X73" i="29"/>
  <c r="W73" i="29"/>
  <c r="V73" i="29"/>
  <c r="U73" i="29"/>
  <c r="T73" i="29"/>
  <c r="S73" i="29"/>
  <c r="R73" i="29"/>
  <c r="Q73" i="29"/>
  <c r="P73" i="29"/>
  <c r="O73" i="29"/>
  <c r="N73" i="29"/>
  <c r="I73"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I72"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I71" i="29"/>
  <c r="N70" i="29"/>
  <c r="K70" i="29"/>
  <c r="I70" i="29"/>
  <c r="B70" i="29"/>
  <c r="O69" i="29"/>
  <c r="B64" i="29"/>
  <c r="AN62" i="29"/>
  <c r="AK62" i="29"/>
  <c r="AG62" i="29"/>
  <c r="AC62" i="29"/>
  <c r="Z62" i="29"/>
  <c r="V62" i="29"/>
  <c r="S62" i="29"/>
  <c r="P62" i="29"/>
  <c r="M62" i="29"/>
  <c r="D62" i="29"/>
  <c r="C62" i="29"/>
  <c r="B62" i="29"/>
  <c r="AQ60" i="29"/>
  <c r="AK60" i="29"/>
  <c r="AG60" i="29"/>
  <c r="AG59" i="29"/>
  <c r="AB59" i="29"/>
  <c r="V59" i="29"/>
  <c r="M59" i="29"/>
  <c r="F59" i="29"/>
  <c r="B57" i="29"/>
  <c r="J56" i="29"/>
  <c r="G56" i="29"/>
  <c r="J55" i="29"/>
  <c r="G55" i="29"/>
  <c r="J54" i="29"/>
  <c r="G54" i="29"/>
  <c r="J53" i="29"/>
  <c r="G53" i="29"/>
  <c r="F53" i="29"/>
  <c r="B53" i="29"/>
  <c r="J52" i="29"/>
  <c r="G52" i="29"/>
  <c r="B52" i="29"/>
  <c r="J50" i="29"/>
  <c r="G50" i="29"/>
  <c r="B50" i="29"/>
  <c r="J49" i="29"/>
  <c r="G49" i="29"/>
  <c r="J48" i="29"/>
  <c r="G48" i="29"/>
  <c r="J47" i="29"/>
  <c r="G47" i="29"/>
  <c r="J46" i="29"/>
  <c r="G46" i="29"/>
  <c r="F46" i="29"/>
  <c r="B46" i="29"/>
  <c r="J45" i="29"/>
  <c r="G45" i="29"/>
  <c r="B45" i="29"/>
  <c r="J43" i="29"/>
  <c r="G43" i="29"/>
  <c r="B43" i="29"/>
  <c r="AP42" i="29"/>
  <c r="AI42" i="29"/>
  <c r="J42" i="29"/>
  <c r="G42" i="29"/>
  <c r="AI41" i="29"/>
  <c r="J41" i="29"/>
  <c r="G41" i="29"/>
  <c r="AP40" i="29"/>
  <c r="AI40" i="29"/>
  <c r="J40" i="29"/>
  <c r="G40" i="29"/>
  <c r="AR39" i="29"/>
  <c r="AP39" i="29"/>
  <c r="AI39" i="29"/>
  <c r="AE39" i="29"/>
  <c r="AC39" i="29"/>
  <c r="V39" i="29"/>
  <c r="J39" i="29"/>
  <c r="G39" i="29"/>
  <c r="F39" i="29"/>
  <c r="B39" i="29"/>
  <c r="J38" i="29"/>
  <c r="G38" i="29"/>
  <c r="B38" i="29"/>
  <c r="B36" i="29"/>
  <c r="AR35" i="29"/>
  <c r="AO35" i="29"/>
  <c r="AL35" i="29"/>
  <c r="AI35" i="29"/>
  <c r="AF35" i="29"/>
  <c r="W35" i="29"/>
  <c r="AS33" i="29"/>
  <c r="AR33" i="29"/>
  <c r="AQ33" i="29"/>
  <c r="AP32" i="29"/>
  <c r="AH32" i="29"/>
  <c r="F32" i="29"/>
  <c r="B32" i="29"/>
  <c r="AS31" i="29"/>
  <c r="AR31" i="29"/>
  <c r="AQ31" i="29"/>
  <c r="J31" i="29"/>
  <c r="G31" i="29"/>
  <c r="B31" i="29"/>
  <c r="AP30" i="29"/>
  <c r="AH30" i="29"/>
  <c r="AP29" i="29"/>
  <c r="AH29" i="29"/>
  <c r="AC29" i="29"/>
  <c r="W29" i="29"/>
  <c r="B29" i="29"/>
  <c r="AL27" i="29"/>
  <c r="AB27" i="29"/>
  <c r="J27" i="29"/>
  <c r="G27" i="29"/>
  <c r="AO26" i="29"/>
  <c r="AK26" i="29"/>
  <c r="AI26" i="29"/>
  <c r="AG26" i="29"/>
  <c r="AB26" i="29"/>
  <c r="J26" i="29"/>
  <c r="G26" i="29"/>
  <c r="AB25" i="29"/>
  <c r="J25" i="29"/>
  <c r="G25" i="29"/>
  <c r="F25" i="29"/>
  <c r="B25" i="29"/>
  <c r="J24" i="29"/>
  <c r="G24" i="29"/>
  <c r="B24" i="29"/>
  <c r="AR23" i="29"/>
  <c r="AP23" i="29"/>
  <c r="AM23" i="29"/>
  <c r="AK23" i="29"/>
  <c r="AH23" i="29"/>
  <c r="AB23" i="29"/>
  <c r="W23" i="29"/>
  <c r="B22" i="29"/>
  <c r="W21" i="29"/>
  <c r="AC19" i="29"/>
  <c r="W19" i="29"/>
  <c r="AC18" i="29"/>
  <c r="W18" i="29"/>
  <c r="J18" i="29"/>
  <c r="G18" i="29"/>
  <c r="F18" i="29"/>
  <c r="B18" i="29"/>
  <c r="AC17" i="29"/>
  <c r="W17" i="29"/>
  <c r="J17" i="29"/>
  <c r="G17" i="29"/>
  <c r="B17" i="29"/>
  <c r="AR16" i="29"/>
  <c r="AI16" i="29"/>
  <c r="W16" i="29"/>
  <c r="AR14" i="29"/>
  <c r="AO14" i="29"/>
  <c r="AM14" i="29"/>
  <c r="AK14" i="29"/>
  <c r="AH14" i="29"/>
  <c r="AF14" i="29"/>
  <c r="AD14" i="29"/>
  <c r="AB14" i="29"/>
  <c r="W14" i="29"/>
  <c r="AK13" i="29"/>
  <c r="AH13" i="29"/>
  <c r="AF13" i="29"/>
  <c r="AD13" i="29"/>
  <c r="AB13" i="29"/>
  <c r="AK12" i="29"/>
  <c r="AH12" i="29"/>
  <c r="AF12" i="29"/>
  <c r="AD12" i="29"/>
  <c r="AB12" i="29"/>
  <c r="W12" i="29"/>
  <c r="S12" i="29"/>
  <c r="J12" i="29"/>
  <c r="B12" i="29"/>
  <c r="AK9" i="29"/>
  <c r="W9" i="29"/>
  <c r="R9" i="29"/>
  <c r="N9" i="29"/>
  <c r="B9" i="29"/>
  <c r="AK6" i="29"/>
  <c r="AA6" i="29"/>
  <c r="N6" i="29"/>
  <c r="B6" i="29"/>
  <c r="AC3" i="29"/>
  <c r="B3" i="29"/>
  <c r="A2" i="29"/>
  <c r="A1" i="29"/>
  <c r="K468" i="31"/>
  <c r="G468" i="31"/>
  <c r="K467" i="31"/>
  <c r="K466" i="31"/>
  <c r="K465" i="31"/>
  <c r="K464" i="31"/>
  <c r="G464" i="31"/>
  <c r="K463" i="31"/>
  <c r="K462" i="31"/>
  <c r="K461" i="31"/>
  <c r="K460" i="31"/>
  <c r="K459" i="31"/>
  <c r="K456" i="31"/>
  <c r="K455" i="31"/>
  <c r="K454" i="31"/>
  <c r="G454" i="31"/>
  <c r="K453" i="31"/>
  <c r="K452" i="31"/>
  <c r="K451" i="31"/>
  <c r="K450" i="31"/>
  <c r="G450" i="31"/>
  <c r="E450" i="31"/>
  <c r="K449" i="31"/>
  <c r="E449" i="31"/>
  <c r="K448" i="31"/>
  <c r="E448" i="31"/>
  <c r="K447" i="31"/>
  <c r="E447" i="31"/>
  <c r="K446" i="31"/>
  <c r="E446" i="31"/>
  <c r="K430" i="31"/>
  <c r="E430" i="31"/>
  <c r="K429" i="31"/>
  <c r="E429" i="31"/>
  <c r="C429" i="31"/>
  <c r="K111" i="31" s="1"/>
  <c r="K428" i="31"/>
  <c r="E428" i="31"/>
  <c r="C428" i="31"/>
  <c r="J111" i="31" s="1"/>
  <c r="K427" i="31"/>
  <c r="E427" i="31"/>
  <c r="C427" i="31"/>
  <c r="K426" i="31"/>
  <c r="E426" i="31"/>
  <c r="C426" i="31"/>
  <c r="H111" i="31" s="1"/>
  <c r="K425" i="31"/>
  <c r="E425" i="31"/>
  <c r="K424" i="31"/>
  <c r="E424" i="31"/>
  <c r="K423" i="31"/>
  <c r="E423" i="31"/>
  <c r="E422" i="31"/>
  <c r="K410" i="31"/>
  <c r="K409" i="31"/>
  <c r="K408" i="31"/>
  <c r="K407" i="31"/>
  <c r="K406" i="31"/>
  <c r="K405" i="31"/>
  <c r="K404" i="31"/>
  <c r="K403" i="31"/>
  <c r="K402" i="31"/>
  <c r="K401" i="31"/>
  <c r="K400" i="31"/>
  <c r="K399" i="31"/>
  <c r="K398" i="31"/>
  <c r="K397" i="31"/>
  <c r="K396" i="31"/>
  <c r="K395" i="31"/>
  <c r="K394" i="31"/>
  <c r="K393" i="31"/>
  <c r="K392" i="31"/>
  <c r="K391" i="31"/>
  <c r="K390" i="31"/>
  <c r="K389" i="31"/>
  <c r="K388" i="31"/>
  <c r="K387" i="31"/>
  <c r="K386" i="31"/>
  <c r="K385" i="31"/>
  <c r="K384" i="31"/>
  <c r="K383" i="31"/>
  <c r="K382" i="31"/>
  <c r="D382" i="31"/>
  <c r="K381" i="31"/>
  <c r="D381" i="31"/>
  <c r="K380" i="31"/>
  <c r="D380" i="31"/>
  <c r="K379" i="31"/>
  <c r="D379" i="31"/>
  <c r="K378" i="31"/>
  <c r="D378" i="31"/>
  <c r="K377" i="31"/>
  <c r="D377" i="31"/>
  <c r="K376" i="31"/>
  <c r="D376" i="31"/>
  <c r="K375" i="31"/>
  <c r="D375" i="31"/>
  <c r="K374" i="31"/>
  <c r="G374" i="31"/>
  <c r="D374" i="31"/>
  <c r="K373" i="31"/>
  <c r="G373" i="31"/>
  <c r="D373" i="31"/>
  <c r="K372" i="31"/>
  <c r="D372" i="31"/>
  <c r="K371" i="31"/>
  <c r="D371" i="31"/>
  <c r="M365" i="31"/>
  <c r="M364" i="31"/>
  <c r="M363" i="31"/>
  <c r="M362" i="31"/>
  <c r="M361" i="31"/>
  <c r="M360" i="31"/>
  <c r="M359" i="31"/>
  <c r="M358" i="31"/>
  <c r="M357" i="31"/>
  <c r="M356" i="31"/>
  <c r="M355" i="31"/>
  <c r="M354" i="31"/>
  <c r="M353" i="31"/>
  <c r="M352" i="31"/>
  <c r="M351" i="31"/>
  <c r="M350" i="31"/>
  <c r="M349" i="31"/>
  <c r="M348" i="31"/>
  <c r="M347" i="31"/>
  <c r="M346" i="31"/>
  <c r="B316" i="31"/>
  <c r="B315" i="31"/>
  <c r="B314" i="31"/>
  <c r="B313" i="31"/>
  <c r="B312" i="31"/>
  <c r="B311" i="31"/>
  <c r="B310" i="31"/>
  <c r="B309" i="31"/>
  <c r="B308" i="31"/>
  <c r="B307" i="31"/>
  <c r="B306" i="31"/>
  <c r="B305" i="31"/>
  <c r="B304" i="31"/>
  <c r="B303" i="31"/>
  <c r="G302" i="31"/>
  <c r="B302" i="31"/>
  <c r="G301" i="31"/>
  <c r="B301" i="31"/>
  <c r="G300" i="31"/>
  <c r="B300" i="31"/>
  <c r="G299" i="31"/>
  <c r="B299" i="31"/>
  <c r="G298" i="31"/>
  <c r="B298" i="31"/>
  <c r="G297" i="31"/>
  <c r="B297" i="31"/>
  <c r="G296" i="31"/>
  <c r="B296" i="31"/>
  <c r="B295" i="31"/>
  <c r="B294" i="31"/>
  <c r="G293" i="31"/>
  <c r="H293" i="31" s="1"/>
  <c r="C268" i="31" s="1"/>
  <c r="B293" i="31"/>
  <c r="B292" i="31"/>
  <c r="B291" i="31"/>
  <c r="B290" i="31"/>
  <c r="G289" i="31"/>
  <c r="H289" i="31" s="1"/>
  <c r="C271" i="31" s="1"/>
  <c r="B289" i="31"/>
  <c r="B288" i="31"/>
  <c r="B287" i="31"/>
  <c r="B286" i="31"/>
  <c r="B285" i="31"/>
  <c r="B284" i="31"/>
  <c r="G283" i="31"/>
  <c r="H283" i="31" s="1"/>
  <c r="C270" i="31" s="1"/>
  <c r="B283" i="31"/>
  <c r="B282" i="31"/>
  <c r="B281" i="31"/>
  <c r="B280" i="31"/>
  <c r="G278" i="31"/>
  <c r="H278" i="31" s="1"/>
  <c r="C269" i="31" s="1"/>
  <c r="B276" i="31"/>
  <c r="B275" i="31"/>
  <c r="B274" i="31"/>
  <c r="D268" i="31"/>
  <c r="N262" i="31"/>
  <c r="M262" i="31"/>
  <c r="L262" i="31"/>
  <c r="K262" i="31"/>
  <c r="I257" i="31"/>
  <c r="C257" i="31"/>
  <c r="I256" i="31"/>
  <c r="C256" i="31"/>
  <c r="I255" i="31"/>
  <c r="C255" i="31"/>
  <c r="I254" i="31"/>
  <c r="C254" i="31"/>
  <c r="I253" i="31"/>
  <c r="C253" i="31"/>
  <c r="I252" i="31"/>
  <c r="C252" i="31"/>
  <c r="I251" i="31"/>
  <c r="C251" i="31"/>
  <c r="I250" i="31"/>
  <c r="I249" i="31"/>
  <c r="H249" i="31"/>
  <c r="K109" i="31" s="1"/>
  <c r="I248" i="31"/>
  <c r="H248" i="31"/>
  <c r="J109" i="31" s="1"/>
  <c r="C248" i="31"/>
  <c r="I247" i="31"/>
  <c r="H247" i="31"/>
  <c r="C247" i="31"/>
  <c r="I246" i="31"/>
  <c r="H246" i="31"/>
  <c r="H109" i="31" s="1"/>
  <c r="C246" i="31"/>
  <c r="I245" i="31"/>
  <c r="H245" i="31"/>
  <c r="G109" i="31" s="1"/>
  <c r="C245" i="31"/>
  <c r="I244" i="31"/>
  <c r="C244" i="31"/>
  <c r="I243" i="31"/>
  <c r="C243" i="31"/>
  <c r="I242" i="31"/>
  <c r="C242" i="31"/>
  <c r="L241" i="31"/>
  <c r="F227" i="31"/>
  <c r="F226" i="31"/>
  <c r="F225" i="31"/>
  <c r="F224" i="31"/>
  <c r="F223" i="31"/>
  <c r="F222" i="31"/>
  <c r="F221" i="31"/>
  <c r="F220" i="31"/>
  <c r="D220" i="31"/>
  <c r="L108" i="31" s="1"/>
  <c r="F219" i="31"/>
  <c r="D219" i="31"/>
  <c r="K108" i="31" s="1"/>
  <c r="F218" i="31"/>
  <c r="D218" i="31"/>
  <c r="J108" i="31" s="1"/>
  <c r="F217" i="31"/>
  <c r="D217" i="31"/>
  <c r="F216" i="31"/>
  <c r="F215" i="31"/>
  <c r="F214" i="31"/>
  <c r="F213" i="31"/>
  <c r="J212" i="31"/>
  <c r="F212" i="31"/>
  <c r="J211" i="31"/>
  <c r="B192" i="31"/>
  <c r="B191" i="31"/>
  <c r="B190" i="31"/>
  <c r="B189" i="31"/>
  <c r="B188" i="31"/>
  <c r="B187" i="31"/>
  <c r="B186" i="31"/>
  <c r="B185" i="31"/>
  <c r="K112" i="31"/>
  <c r="J112" i="31"/>
  <c r="I112" i="31"/>
  <c r="H112" i="31"/>
  <c r="D112" i="31"/>
  <c r="I111" i="31"/>
  <c r="I109" i="31"/>
  <c r="F109" i="31"/>
  <c r="E109" i="31"/>
  <c r="D109" i="31"/>
  <c r="I108" i="31"/>
  <c r="N89" i="31"/>
  <c r="N87" i="31"/>
  <c r="M87" i="31"/>
  <c r="L87" i="31"/>
  <c r="K87" i="31"/>
  <c r="J87" i="31"/>
  <c r="I87" i="31"/>
  <c r="H87" i="31"/>
  <c r="G87" i="31"/>
  <c r="G83" i="31" s="1"/>
  <c r="G70" i="31" s="1"/>
  <c r="F87" i="31"/>
  <c r="E87" i="31"/>
  <c r="D87" i="31"/>
  <c r="O83" i="31"/>
  <c r="N83" i="31"/>
  <c r="M83" i="31"/>
  <c r="L83" i="31"/>
  <c r="L42" i="31" s="1"/>
  <c r="K83" i="31"/>
  <c r="K42" i="31" s="1"/>
  <c r="I83" i="31"/>
  <c r="F83" i="31"/>
  <c r="E83" i="31"/>
  <c r="D8" i="31" s="1"/>
  <c r="D83" i="31"/>
  <c r="D7" i="31" s="1"/>
  <c r="P67" i="31"/>
  <c r="P64" i="31" s="1"/>
  <c r="M69" i="31" s="1"/>
  <c r="D16" i="31" s="1"/>
  <c r="O67" i="31"/>
  <c r="O64" i="31" s="1"/>
  <c r="D18" i="31" s="1"/>
  <c r="N67" i="31"/>
  <c r="N64" i="31" s="1"/>
  <c r="D17" i="31" s="1"/>
  <c r="M67" i="31"/>
  <c r="L67" i="31"/>
  <c r="L64" i="31" s="1"/>
  <c r="K67" i="31"/>
  <c r="P91" i="31" s="1"/>
  <c r="G110" i="31" s="1"/>
  <c r="J67" i="31"/>
  <c r="J64" i="31" s="1"/>
  <c r="I67" i="31"/>
  <c r="I64" i="31" s="1"/>
  <c r="H67" i="31"/>
  <c r="H64" i="31" s="1"/>
  <c r="G67" i="31"/>
  <c r="F67" i="31"/>
  <c r="F64" i="31" s="1"/>
  <c r="E67" i="31"/>
  <c r="E64" i="31" s="1"/>
  <c r="D67" i="31"/>
  <c r="D64" i="31" s="1"/>
  <c r="C67" i="31"/>
  <c r="C57" i="31" s="1"/>
  <c r="K60" i="31"/>
  <c r="M58" i="31"/>
  <c r="D58" i="31"/>
  <c r="N57" i="31"/>
  <c r="J57" i="31"/>
  <c r="E57" i="31"/>
  <c r="N55" i="31"/>
  <c r="L55" i="31"/>
  <c r="K55" i="31"/>
  <c r="D55" i="31"/>
  <c r="O54" i="31"/>
  <c r="N54" i="31"/>
  <c r="M54" i="31"/>
  <c r="I54" i="31"/>
  <c r="H54" i="31"/>
  <c r="G54" i="31"/>
  <c r="F54" i="31"/>
  <c r="N53" i="31"/>
  <c r="E53" i="31"/>
  <c r="N51" i="31"/>
  <c r="L51" i="31"/>
  <c r="J51" i="31"/>
  <c r="N50" i="31"/>
  <c r="I50" i="31"/>
  <c r="G50" i="31"/>
  <c r="F50" i="31"/>
  <c r="D50" i="31"/>
  <c r="I49" i="31"/>
  <c r="E49" i="31"/>
  <c r="L47" i="31"/>
  <c r="K47" i="31"/>
  <c r="I47" i="31"/>
  <c r="D47" i="31"/>
  <c r="O46" i="31"/>
  <c r="N46" i="31"/>
  <c r="M46" i="31"/>
  <c r="J46" i="31"/>
  <c r="I46" i="31"/>
  <c r="H46" i="31"/>
  <c r="G46" i="31"/>
  <c r="F46" i="31"/>
  <c r="Y29" i="31" s="1"/>
  <c r="I45" i="31"/>
  <c r="Y43" i="31"/>
  <c r="W43" i="31"/>
  <c r="O43" i="31"/>
  <c r="N43" i="31"/>
  <c r="L43" i="31"/>
  <c r="K43" i="31"/>
  <c r="J43" i="31"/>
  <c r="I43" i="31"/>
  <c r="H43" i="31"/>
  <c r="G43" i="31"/>
  <c r="E43" i="31"/>
  <c r="D43" i="31"/>
  <c r="Y42" i="31"/>
  <c r="W42" i="31"/>
  <c r="I42" i="31"/>
  <c r="F42" i="31"/>
  <c r="Y25" i="31" s="1"/>
  <c r="Y41" i="31"/>
  <c r="W41" i="31"/>
  <c r="O41" i="31"/>
  <c r="N41" i="31"/>
  <c r="M41" i="31"/>
  <c r="D41" i="31"/>
  <c r="Y40" i="31"/>
  <c r="W40" i="31"/>
  <c r="Y39" i="31"/>
  <c r="W39" i="31"/>
  <c r="Y38" i="31"/>
  <c r="W38" i="31"/>
  <c r="Y37" i="31"/>
  <c r="W37" i="31"/>
  <c r="Y36" i="31"/>
  <c r="W36" i="31"/>
  <c r="Y35" i="31"/>
  <c r="W35" i="31"/>
  <c r="Y34" i="31"/>
  <c r="W34" i="31"/>
  <c r="Y33" i="31"/>
  <c r="W33" i="31"/>
  <c r="Y32" i="31"/>
  <c r="W32" i="31"/>
  <c r="O32" i="31"/>
  <c r="I32" i="31" s="1"/>
  <c r="J32" i="31"/>
  <c r="Y31" i="31"/>
  <c r="W31" i="31"/>
  <c r="O31" i="31"/>
  <c r="Y30" i="31"/>
  <c r="W30" i="31"/>
  <c r="W29" i="31"/>
  <c r="O29" i="31"/>
  <c r="N29" i="31"/>
  <c r="M29" i="31"/>
  <c r="L29" i="31"/>
  <c r="K29" i="31"/>
  <c r="J29" i="31"/>
  <c r="I29" i="31"/>
  <c r="Y28" i="31"/>
  <c r="W28" i="31"/>
  <c r="O28" i="31"/>
  <c r="N28" i="31"/>
  <c r="M28" i="31"/>
  <c r="L28" i="31"/>
  <c r="K28" i="31"/>
  <c r="J28" i="31"/>
  <c r="I28" i="31"/>
  <c r="Y27" i="31"/>
  <c r="W27" i="31"/>
  <c r="O27" i="31"/>
  <c r="N27" i="31"/>
  <c r="M27" i="31"/>
  <c r="L27" i="31"/>
  <c r="K27" i="31"/>
  <c r="J27" i="31"/>
  <c r="I27" i="31"/>
  <c r="Y26" i="31"/>
  <c r="W26" i="31"/>
  <c r="O26" i="31"/>
  <c r="N26" i="31"/>
  <c r="M26" i="31"/>
  <c r="L26" i="31"/>
  <c r="K26" i="31"/>
  <c r="J26" i="31"/>
  <c r="I26" i="31"/>
  <c r="W25" i="31"/>
  <c r="O25" i="31"/>
  <c r="N25" i="31"/>
  <c r="M25" i="31"/>
  <c r="L25" i="31"/>
  <c r="K25" i="31"/>
  <c r="J25" i="31"/>
  <c r="I25" i="31"/>
  <c r="Y24" i="31"/>
  <c r="W24" i="31"/>
  <c r="D24" i="31"/>
  <c r="D23" i="31"/>
  <c r="T18" i="31"/>
  <c r="S18" i="31"/>
  <c r="P18" i="31"/>
  <c r="O18" i="31"/>
  <c r="T17" i="31"/>
  <c r="S17" i="31"/>
  <c r="P17" i="31"/>
  <c r="O17" i="31"/>
  <c r="L17" i="31"/>
  <c r="T16" i="31"/>
  <c r="S16" i="31"/>
  <c r="P16" i="31"/>
  <c r="O16" i="31"/>
  <c r="T15" i="31"/>
  <c r="S15" i="31"/>
  <c r="Q15" i="31"/>
  <c r="P15" i="31"/>
  <c r="O15" i="31"/>
  <c r="T14" i="31"/>
  <c r="S14" i="31"/>
  <c r="P14" i="31"/>
  <c r="O14" i="31"/>
  <c r="Y13" i="31"/>
  <c r="T13" i="31"/>
  <c r="S13" i="31"/>
  <c r="P13" i="31"/>
  <c r="O13" i="31"/>
  <c r="T12" i="31"/>
  <c r="S12" i="31"/>
  <c r="P12" i="31"/>
  <c r="O12" i="31"/>
  <c r="T11" i="31"/>
  <c r="S11" i="31"/>
  <c r="Q11" i="31"/>
  <c r="P11" i="31"/>
  <c r="O11" i="31"/>
  <c r="Y10" i="31"/>
  <c r="T10" i="31"/>
  <c r="S10" i="31"/>
  <c r="P10" i="31"/>
  <c r="O10" i="31"/>
  <c r="T9" i="31"/>
  <c r="S9" i="31"/>
  <c r="P9" i="31"/>
  <c r="O9" i="31"/>
  <c r="T8" i="31"/>
  <c r="S8" i="31"/>
  <c r="R8" i="31"/>
  <c r="Q8" i="31"/>
  <c r="P8" i="31"/>
  <c r="O8" i="31"/>
  <c r="T7" i="31"/>
  <c r="S7" i="31"/>
  <c r="P7" i="31"/>
  <c r="O7" i="31"/>
  <c r="F7" i="31"/>
  <c r="V6" i="31"/>
  <c r="T6" i="31"/>
  <c r="S6" i="31"/>
  <c r="P6" i="31"/>
  <c r="O6" i="31"/>
  <c r="C5" i="31"/>
  <c r="N4" i="31"/>
  <c r="L10" i="31" s="1"/>
  <c r="M4" i="31"/>
  <c r="L4" i="31"/>
  <c r="L16" i="31" s="1"/>
  <c r="K4" i="31"/>
  <c r="J17" i="31" s="1"/>
  <c r="J4" i="31"/>
  <c r="K17" i="31" s="1"/>
  <c r="I4" i="31"/>
  <c r="K76" i="32"/>
  <c r="K75" i="32"/>
  <c r="K74" i="32"/>
  <c r="P73" i="32"/>
  <c r="D82" i="32" s="1"/>
  <c r="O73" i="32"/>
  <c r="N73" i="32"/>
  <c r="D80" i="32" s="1"/>
  <c r="M73" i="32"/>
  <c r="L73" i="32"/>
  <c r="D78" i="32" s="1"/>
  <c r="K73" i="32"/>
  <c r="J73" i="32"/>
  <c r="D76" i="32" s="1"/>
  <c r="I73" i="32"/>
  <c r="H73" i="32"/>
  <c r="G73" i="32"/>
  <c r="F73" i="32"/>
  <c r="D73" i="32"/>
  <c r="V70" i="32"/>
  <c r="AA70" i="32" s="1"/>
  <c r="T70" i="32"/>
  <c r="V69" i="32"/>
  <c r="AA69" i="32" s="1"/>
  <c r="T69" i="32"/>
  <c r="AA68" i="32"/>
  <c r="V68" i="32"/>
  <c r="T68" i="32"/>
  <c r="V67" i="32"/>
  <c r="AA67" i="32" s="1"/>
  <c r="T67" i="32"/>
  <c r="N67" i="32"/>
  <c r="L67" i="32"/>
  <c r="V66" i="32"/>
  <c r="T66" i="32"/>
  <c r="R66" i="32"/>
  <c r="Q66" i="32"/>
  <c r="P66" i="32"/>
  <c r="O66" i="32"/>
  <c r="N66" i="32"/>
  <c r="L66" i="32"/>
  <c r="T65" i="32"/>
  <c r="L65" i="32"/>
  <c r="T64" i="32"/>
  <c r="L64" i="32"/>
  <c r="T63" i="32"/>
  <c r="N63" i="32"/>
  <c r="M63" i="32"/>
  <c r="V62" i="32"/>
  <c r="W62" i="32" s="1"/>
  <c r="X62" i="32" s="1"/>
  <c r="Y62" i="32" s="1"/>
  <c r="Z62" i="32" s="1"/>
  <c r="AA62" i="32" s="1"/>
  <c r="U62" i="32"/>
  <c r="O62" i="32"/>
  <c r="N62" i="32"/>
  <c r="M62" i="32"/>
  <c r="V61" i="32"/>
  <c r="W61" i="32" s="1"/>
  <c r="X61" i="32" s="1"/>
  <c r="Y61" i="32" s="1"/>
  <c r="Z61" i="32" s="1"/>
  <c r="AA61" i="32" s="1"/>
  <c r="U61" i="32"/>
  <c r="N61" i="32"/>
  <c r="O61" i="32" s="1"/>
  <c r="P61" i="32" s="1"/>
  <c r="Q61" i="32" s="1"/>
  <c r="R61" i="32" s="1"/>
  <c r="V60" i="32"/>
  <c r="W60" i="32" s="1"/>
  <c r="X60" i="32" s="1"/>
  <c r="Y60" i="32" s="1"/>
  <c r="Z60" i="32" s="1"/>
  <c r="AA60" i="32" s="1"/>
  <c r="U60" i="32"/>
  <c r="N60" i="32"/>
  <c r="O60" i="32" s="1"/>
  <c r="P60" i="32" s="1"/>
  <c r="Q60" i="32" s="1"/>
  <c r="R60" i="32" s="1"/>
  <c r="R55" i="32"/>
  <c r="E55" i="32"/>
  <c r="C63" i="32" s="1"/>
  <c r="C55" i="32"/>
  <c r="B55" i="32"/>
  <c r="R54" i="32"/>
  <c r="R53" i="32"/>
  <c r="R52" i="32"/>
  <c r="F52" i="32"/>
  <c r="R51" i="32"/>
  <c r="F51" i="32"/>
  <c r="R50" i="32"/>
  <c r="F50" i="32"/>
  <c r="R49" i="32"/>
  <c r="O49" i="32"/>
  <c r="F49" i="32"/>
  <c r="R48" i="32"/>
  <c r="O48" i="32"/>
  <c r="F48" i="32"/>
  <c r="R47" i="32"/>
  <c r="O47" i="32"/>
  <c r="H47" i="32"/>
  <c r="G47" i="32"/>
  <c r="D47" i="32"/>
  <c r="R46" i="32"/>
  <c r="P46" i="32"/>
  <c r="O46" i="32"/>
  <c r="R45" i="32"/>
  <c r="P45" i="32"/>
  <c r="O45" i="32"/>
  <c r="R44" i="32"/>
  <c r="P44" i="32"/>
  <c r="O44" i="32"/>
  <c r="N44" i="32"/>
  <c r="M44" i="32"/>
  <c r="V65" i="32" s="1"/>
  <c r="C44" i="32"/>
  <c r="R43" i="32"/>
  <c r="N43" i="32"/>
  <c r="M43" i="32"/>
  <c r="L43" i="32"/>
  <c r="C43" i="32"/>
  <c r="R42" i="32"/>
  <c r="P42" i="32"/>
  <c r="O42" i="32"/>
  <c r="N42" i="32"/>
  <c r="M42" i="32"/>
  <c r="L42" i="32"/>
  <c r="C42" i="32"/>
  <c r="R41" i="32"/>
  <c r="C41" i="32"/>
  <c r="P40" i="32"/>
  <c r="C40" i="32"/>
  <c r="C39" i="32"/>
  <c r="C38" i="32"/>
  <c r="C37" i="32"/>
  <c r="C36" i="32"/>
  <c r="C35" i="32"/>
  <c r="C34" i="32"/>
  <c r="C33" i="32"/>
  <c r="C32" i="32"/>
  <c r="C31" i="32"/>
  <c r="C30" i="32"/>
  <c r="C29" i="32"/>
  <c r="C28" i="32"/>
  <c r="C27" i="32"/>
  <c r="C22" i="32"/>
  <c r="O20" i="32"/>
  <c r="G20" i="32"/>
  <c r="C20" i="32"/>
  <c r="O19" i="32"/>
  <c r="G19" i="32"/>
  <c r="C19" i="32"/>
  <c r="O18" i="32"/>
  <c r="G18" i="32"/>
  <c r="C18" i="32"/>
  <c r="O17" i="32"/>
  <c r="G17" i="32"/>
  <c r="C17" i="32"/>
  <c r="O16" i="32"/>
  <c r="G16" i="32"/>
  <c r="C16" i="32"/>
  <c r="O15" i="32"/>
  <c r="G15" i="32"/>
  <c r="C15" i="32"/>
  <c r="O14" i="32"/>
  <c r="G14" i="32"/>
  <c r="C14" i="32"/>
  <c r="AQ13" i="32"/>
  <c r="O13" i="32"/>
  <c r="G13" i="32"/>
  <c r="C13" i="32"/>
  <c r="AQ12" i="32"/>
  <c r="O12" i="32"/>
  <c r="G12" i="32"/>
  <c r="C12" i="32"/>
  <c r="AQ11" i="32"/>
  <c r="O11" i="32"/>
  <c r="G11" i="32"/>
  <c r="C11" i="32"/>
  <c r="AQ10" i="32"/>
  <c r="AM10" i="32"/>
  <c r="AA10" i="32"/>
  <c r="W10" i="32"/>
  <c r="O10" i="32"/>
  <c r="G10" i="32"/>
  <c r="C10" i="32"/>
  <c r="BP9" i="32"/>
  <c r="BG9" i="32"/>
  <c r="AY9" i="32"/>
  <c r="AQ9" i="32"/>
  <c r="AM9" i="32"/>
  <c r="AA9" i="32"/>
  <c r="W9" i="32"/>
  <c r="O9" i="32"/>
  <c r="G9" i="32"/>
  <c r="C9" i="32"/>
  <c r="BP8" i="32"/>
  <c r="BG8" i="32"/>
  <c r="BC8" i="32"/>
  <c r="AY8" i="32"/>
  <c r="AU8" i="32"/>
  <c r="AQ8" i="32"/>
  <c r="AM8" i="32"/>
  <c r="AI8" i="32"/>
  <c r="AE8" i="32"/>
  <c r="AA8" i="32"/>
  <c r="W8" i="32"/>
  <c r="O8" i="32"/>
  <c r="K8" i="32"/>
  <c r="G8" i="32"/>
  <c r="C8" i="32"/>
  <c r="BP7" i="32"/>
  <c r="BG7" i="32"/>
  <c r="BC7" i="32"/>
  <c r="AY7" i="32"/>
  <c r="AU7" i="32"/>
  <c r="AQ7" i="32"/>
  <c r="AM7" i="32"/>
  <c r="AI7" i="32"/>
  <c r="AE7" i="32"/>
  <c r="AA7" i="32"/>
  <c r="W7" i="32"/>
  <c r="S7" i="32"/>
  <c r="O7" i="32"/>
  <c r="K7" i="32"/>
  <c r="G7" i="32"/>
  <c r="C7" i="32"/>
  <c r="BG6" i="32"/>
  <c r="BC6" i="32"/>
  <c r="AY6" i="32"/>
  <c r="AU6" i="32"/>
  <c r="AQ6" i="32"/>
  <c r="AM6" i="32"/>
  <c r="AI6" i="32"/>
  <c r="AE6" i="32"/>
  <c r="AA6" i="32"/>
  <c r="W6" i="32"/>
  <c r="S6" i="32"/>
  <c r="O6" i="32"/>
  <c r="K6" i="32"/>
  <c r="G6" i="32"/>
  <c r="C6" i="32"/>
  <c r="BG5" i="32"/>
  <c r="BC5" i="32"/>
  <c r="AY5" i="32"/>
  <c r="AU5" i="32"/>
  <c r="AQ5" i="32"/>
  <c r="AM5" i="32"/>
  <c r="AI5" i="32"/>
  <c r="AE5" i="32"/>
  <c r="AA5" i="32"/>
  <c r="W5" i="32"/>
  <c r="S5" i="32"/>
  <c r="O5" i="32"/>
  <c r="K5" i="32"/>
  <c r="G5" i="32"/>
  <c r="C5" i="32"/>
  <c r="BP4" i="32"/>
  <c r="BG4" i="32"/>
  <c r="BC4" i="32"/>
  <c r="AY4" i="32"/>
  <c r="AU4" i="32"/>
  <c r="AQ4" i="32"/>
  <c r="AM4" i="32"/>
  <c r="AI4" i="32"/>
  <c r="AE4" i="32"/>
  <c r="AA4" i="32"/>
  <c r="W4" i="32"/>
  <c r="S4" i="32"/>
  <c r="O4" i="32"/>
  <c r="K4" i="32"/>
  <c r="G4" i="32"/>
  <c r="C4" i="32"/>
  <c r="BP3" i="32"/>
  <c r="BG3" i="32"/>
  <c r="BC3" i="32"/>
  <c r="AY3" i="32"/>
  <c r="AU3" i="32"/>
  <c r="AQ3" i="32"/>
  <c r="AM3" i="32"/>
  <c r="AI3" i="32"/>
  <c r="AE3" i="32"/>
  <c r="AA3" i="32"/>
  <c r="W3" i="32"/>
  <c r="S3" i="32"/>
  <c r="O3" i="32"/>
  <c r="K3" i="32"/>
  <c r="G3" i="32"/>
  <c r="C3" i="32"/>
  <c r="BP320" i="34"/>
  <c r="BP319" i="34"/>
  <c r="BP318" i="34"/>
  <c r="BP317" i="34"/>
  <c r="BP316" i="34"/>
  <c r="BP315" i="34"/>
  <c r="BP314" i="34"/>
  <c r="BP313" i="34"/>
  <c r="BP312" i="34"/>
  <c r="BP311" i="34"/>
  <c r="BP310" i="34"/>
  <c r="BP309" i="34"/>
  <c r="BP308" i="34"/>
  <c r="BP307" i="34"/>
  <c r="BP306" i="34"/>
  <c r="BE306" i="34"/>
  <c r="BC306" i="34"/>
  <c r="BP305" i="34"/>
  <c r="BC305" i="34"/>
  <c r="BP304" i="34"/>
  <c r="BC304" i="34"/>
  <c r="BP303" i="34"/>
  <c r="BC303" i="34"/>
  <c r="BP302" i="34"/>
  <c r="BE302" i="34"/>
  <c r="BC302" i="34"/>
  <c r="BP301" i="34"/>
  <c r="BC301" i="34"/>
  <c r="BP300" i="34"/>
  <c r="BC300" i="34"/>
  <c r="AX300" i="34"/>
  <c r="AW300" i="34"/>
  <c r="AS300" i="34"/>
  <c r="AR300" i="34"/>
  <c r="AN300" i="34"/>
  <c r="AM300" i="34"/>
  <c r="AI300" i="34"/>
  <c r="AH300" i="34"/>
  <c r="AD300" i="34"/>
  <c r="AC300" i="34"/>
  <c r="Y300" i="34"/>
  <c r="X300" i="34"/>
  <c r="T300" i="34"/>
  <c r="S300" i="34"/>
  <c r="O300" i="34"/>
  <c r="N300" i="34"/>
  <c r="J300" i="34"/>
  <c r="I300" i="34"/>
  <c r="E300" i="34"/>
  <c r="D300" i="34"/>
  <c r="BP299" i="34"/>
  <c r="BC299" i="34"/>
  <c r="AX299" i="34"/>
  <c r="AW299" i="34"/>
  <c r="AS299" i="34"/>
  <c r="AR299" i="34"/>
  <c r="AN299" i="34"/>
  <c r="AM299" i="34"/>
  <c r="AI299" i="34"/>
  <c r="AH299" i="34"/>
  <c r="AD299" i="34"/>
  <c r="AC299" i="34"/>
  <c r="Y299" i="34"/>
  <c r="X299" i="34"/>
  <c r="T299" i="34"/>
  <c r="S299" i="34"/>
  <c r="N299" i="34"/>
  <c r="J299" i="34"/>
  <c r="I299" i="34"/>
  <c r="E299" i="34"/>
  <c r="D299" i="34"/>
  <c r="BR298" i="34"/>
  <c r="BP298" i="34"/>
  <c r="BC298" i="34"/>
  <c r="AX298" i="34"/>
  <c r="AW298" i="34"/>
  <c r="AS298" i="34"/>
  <c r="AR298" i="34"/>
  <c r="AN298" i="34"/>
  <c r="AM298" i="34"/>
  <c r="AI298" i="34"/>
  <c r="AH298" i="34"/>
  <c r="AD298" i="34"/>
  <c r="AC298" i="34"/>
  <c r="Y298" i="34"/>
  <c r="X298" i="34"/>
  <c r="T298" i="34"/>
  <c r="S298" i="34"/>
  <c r="N298" i="34"/>
  <c r="J298" i="34"/>
  <c r="I298" i="34"/>
  <c r="E298" i="34"/>
  <c r="D298" i="34"/>
  <c r="BR297" i="34"/>
  <c r="BP297" i="34"/>
  <c r="BC297" i="34"/>
  <c r="AX297" i="34"/>
  <c r="AW297" i="34"/>
  <c r="AS297" i="34"/>
  <c r="AR297" i="34"/>
  <c r="AN297" i="34"/>
  <c r="AM297" i="34"/>
  <c r="AI297" i="34"/>
  <c r="AH297" i="34"/>
  <c r="AD297" i="34"/>
  <c r="AC297" i="34"/>
  <c r="Y297" i="34"/>
  <c r="X297" i="34"/>
  <c r="T297" i="34"/>
  <c r="S297" i="34"/>
  <c r="N297" i="34"/>
  <c r="J297" i="34"/>
  <c r="I297" i="34"/>
  <c r="E297" i="34"/>
  <c r="D297" i="34"/>
  <c r="BP296" i="34"/>
  <c r="BC296" i="34"/>
  <c r="AX296" i="34"/>
  <c r="AW296" i="34"/>
  <c r="AS296" i="34"/>
  <c r="AR296" i="34"/>
  <c r="AN296" i="34"/>
  <c r="AM296" i="34"/>
  <c r="AI296" i="34"/>
  <c r="AH296" i="34"/>
  <c r="AD296" i="34"/>
  <c r="AC296" i="34"/>
  <c r="Y296" i="34"/>
  <c r="X296" i="34"/>
  <c r="T296" i="34"/>
  <c r="S296" i="34"/>
  <c r="N296" i="34"/>
  <c r="J296" i="34"/>
  <c r="I296" i="34"/>
  <c r="E296" i="34"/>
  <c r="D296" i="34"/>
  <c r="BP295" i="34"/>
  <c r="BC295" i="34"/>
  <c r="AX295" i="34"/>
  <c r="AW295" i="34"/>
  <c r="AS295" i="34"/>
  <c r="AR295" i="34"/>
  <c r="AN295" i="34"/>
  <c r="AM295" i="34"/>
  <c r="AI295" i="34"/>
  <c r="AH295" i="34"/>
  <c r="AD295" i="34"/>
  <c r="AC295" i="34"/>
  <c r="Y295" i="34"/>
  <c r="X295" i="34"/>
  <c r="T295" i="34"/>
  <c r="S295" i="34"/>
  <c r="N295" i="34"/>
  <c r="I295" i="34"/>
  <c r="E295" i="34"/>
  <c r="D295" i="34"/>
  <c r="BP294" i="34"/>
  <c r="BE294" i="34"/>
  <c r="BC294" i="34"/>
  <c r="AX294" i="34"/>
  <c r="AW294" i="34"/>
  <c r="AS294" i="34"/>
  <c r="AR294" i="34"/>
  <c r="AN294" i="34"/>
  <c r="AM294" i="34"/>
  <c r="AI294" i="34"/>
  <c r="AH294" i="34"/>
  <c r="AD294" i="34"/>
  <c r="AC294" i="34"/>
  <c r="Y294" i="34"/>
  <c r="X294" i="34"/>
  <c r="S294" i="34"/>
  <c r="N294" i="34"/>
  <c r="I294" i="34"/>
  <c r="E294" i="34"/>
  <c r="D294" i="34"/>
  <c r="BP293" i="34"/>
  <c r="BC293" i="34"/>
  <c r="AX293" i="34"/>
  <c r="AW293" i="34"/>
  <c r="AS293" i="34"/>
  <c r="AR293" i="34"/>
  <c r="AN293" i="34"/>
  <c r="AM293" i="34"/>
  <c r="AI293" i="34"/>
  <c r="AH293" i="34"/>
  <c r="AD293" i="34"/>
  <c r="AC293" i="34"/>
  <c r="Y293" i="34"/>
  <c r="X293" i="34"/>
  <c r="S293" i="34"/>
  <c r="N293" i="34"/>
  <c r="I293" i="34"/>
  <c r="E293" i="34"/>
  <c r="D293" i="34"/>
  <c r="BR292" i="34"/>
  <c r="BP292" i="34"/>
  <c r="BC292" i="34"/>
  <c r="AX292" i="34"/>
  <c r="AW292" i="34"/>
  <c r="AS292" i="34"/>
  <c r="AR292" i="34"/>
  <c r="AN292" i="34"/>
  <c r="AM292" i="34"/>
  <c r="AI292" i="34"/>
  <c r="AH292" i="34"/>
  <c r="AD292" i="34"/>
  <c r="AC292" i="34"/>
  <c r="Y292" i="34"/>
  <c r="X292" i="34"/>
  <c r="S292" i="34"/>
  <c r="N292" i="34"/>
  <c r="I292" i="34"/>
  <c r="E292" i="34"/>
  <c r="D292" i="34"/>
  <c r="BR291" i="34"/>
  <c r="BP291" i="34"/>
  <c r="BC291" i="34"/>
  <c r="AX291" i="34"/>
  <c r="AW291" i="34"/>
  <c r="AS291" i="34"/>
  <c r="AR291" i="34"/>
  <c r="AN291" i="34"/>
  <c r="AM291" i="34"/>
  <c r="AI291" i="34"/>
  <c r="AH291" i="34"/>
  <c r="AD291" i="34"/>
  <c r="AC291" i="34"/>
  <c r="Y291" i="34"/>
  <c r="X291" i="34"/>
  <c r="S291" i="34"/>
  <c r="N291" i="34"/>
  <c r="I291" i="34"/>
  <c r="E291" i="34"/>
  <c r="D291" i="34"/>
  <c r="BP290" i="34"/>
  <c r="BE290" i="34"/>
  <c r="BC290" i="34"/>
  <c r="AX290" i="34"/>
  <c r="AW290" i="34"/>
  <c r="AS290" i="34"/>
  <c r="AR290" i="34"/>
  <c r="AN290" i="34"/>
  <c r="AM290" i="34"/>
  <c r="AI290" i="34"/>
  <c r="AH290" i="34"/>
  <c r="AD290" i="34"/>
  <c r="AC290" i="34"/>
  <c r="Y290" i="34"/>
  <c r="X290" i="34"/>
  <c r="S290" i="34"/>
  <c r="N290" i="34"/>
  <c r="I290" i="34"/>
  <c r="E290" i="34"/>
  <c r="D290" i="34"/>
  <c r="BP289" i="34"/>
  <c r="BC289" i="34"/>
  <c r="AX289" i="34"/>
  <c r="AW289" i="34"/>
  <c r="AS289" i="34"/>
  <c r="AR289" i="34"/>
  <c r="AN289" i="34"/>
  <c r="AM289" i="34"/>
  <c r="AI289" i="34"/>
  <c r="AH289" i="34"/>
  <c r="AD289" i="34"/>
  <c r="AC289" i="34"/>
  <c r="Y289" i="34"/>
  <c r="X289" i="34"/>
  <c r="S289" i="34"/>
  <c r="N289" i="34"/>
  <c r="I289" i="34"/>
  <c r="E289" i="34"/>
  <c r="D289" i="34"/>
  <c r="BP288" i="34"/>
  <c r="BC288" i="34"/>
  <c r="AX288" i="34"/>
  <c r="AW288" i="34"/>
  <c r="AS288" i="34"/>
  <c r="AR288" i="34"/>
  <c r="AN288" i="34"/>
  <c r="AM288" i="34"/>
  <c r="AI288" i="34"/>
  <c r="AH288" i="34"/>
  <c r="AC288" i="34"/>
  <c r="X288" i="34"/>
  <c r="S288" i="34"/>
  <c r="N288" i="34"/>
  <c r="I288" i="34"/>
  <c r="E288" i="34"/>
  <c r="D288" i="34"/>
  <c r="BP287" i="34"/>
  <c r="BC287" i="34"/>
  <c r="AX287" i="34"/>
  <c r="AW287" i="34"/>
  <c r="AS287" i="34"/>
  <c r="AR287" i="34"/>
  <c r="AN287" i="34"/>
  <c r="AM287" i="34"/>
  <c r="AI287" i="34"/>
  <c r="AH287" i="34"/>
  <c r="AC287" i="34"/>
  <c r="X287" i="34"/>
  <c r="S287" i="34"/>
  <c r="N287" i="34"/>
  <c r="I287" i="34"/>
  <c r="E287" i="34"/>
  <c r="D287" i="34"/>
  <c r="BR286" i="34"/>
  <c r="BP286" i="34"/>
  <c r="BC286" i="34"/>
  <c r="AX286" i="34"/>
  <c r="AW286" i="34"/>
  <c r="AS286" i="34"/>
  <c r="AR286" i="34"/>
  <c r="AN286" i="34"/>
  <c r="AM286" i="34"/>
  <c r="AI286" i="34"/>
  <c r="AH286" i="34"/>
  <c r="AC286" i="34"/>
  <c r="X286" i="34"/>
  <c r="S286" i="34"/>
  <c r="N286" i="34"/>
  <c r="I286" i="34"/>
  <c r="E286" i="34"/>
  <c r="D286" i="34"/>
  <c r="BR285" i="34"/>
  <c r="BP285" i="34"/>
  <c r="BC285" i="34"/>
  <c r="AX285" i="34"/>
  <c r="AW285" i="34"/>
  <c r="AS285" i="34"/>
  <c r="AR285" i="34"/>
  <c r="AN285" i="34"/>
  <c r="AM285" i="34"/>
  <c r="AH285" i="34"/>
  <c r="AC285" i="34"/>
  <c r="X285" i="34"/>
  <c r="S285" i="34"/>
  <c r="N285" i="34"/>
  <c r="I285" i="34"/>
  <c r="E285" i="34"/>
  <c r="D285" i="34"/>
  <c r="BP284" i="34"/>
  <c r="BC284" i="34"/>
  <c r="AX284" i="34"/>
  <c r="AW284" i="34"/>
  <c r="AS284" i="34"/>
  <c r="AR284" i="34"/>
  <c r="AN284" i="34"/>
  <c r="AM284" i="34"/>
  <c r="AH284" i="34"/>
  <c r="AC284" i="34"/>
  <c r="X284" i="34"/>
  <c r="S284" i="34"/>
  <c r="N284" i="34"/>
  <c r="I284" i="34"/>
  <c r="E284" i="34"/>
  <c r="D284" i="34"/>
  <c r="BP283" i="34"/>
  <c r="BC283" i="34"/>
  <c r="AX283" i="34"/>
  <c r="AW283" i="34"/>
  <c r="AS283" i="34"/>
  <c r="AR283" i="34"/>
  <c r="AN283" i="34"/>
  <c r="AM283" i="34"/>
  <c r="AH283" i="34"/>
  <c r="AC283" i="34"/>
  <c r="X283" i="34"/>
  <c r="S283" i="34"/>
  <c r="N283" i="34"/>
  <c r="I283" i="34"/>
  <c r="E283" i="34"/>
  <c r="D283" i="34"/>
  <c r="BP282" i="34"/>
  <c r="BC282" i="34"/>
  <c r="AX282" i="34"/>
  <c r="AW282" i="34"/>
  <c r="AS282" i="34"/>
  <c r="AR282" i="34"/>
  <c r="AN282" i="34"/>
  <c r="AM282" i="34"/>
  <c r="AH282" i="34"/>
  <c r="AC282" i="34"/>
  <c r="X282" i="34"/>
  <c r="S282" i="34"/>
  <c r="N282" i="34"/>
  <c r="I282" i="34"/>
  <c r="E282" i="34"/>
  <c r="D282" i="34"/>
  <c r="BP281" i="34"/>
  <c r="BC281" i="34"/>
  <c r="AX281" i="34"/>
  <c r="AW281" i="34"/>
  <c r="AS281" i="34"/>
  <c r="AR281" i="34"/>
  <c r="AN281" i="34"/>
  <c r="AM281" i="34"/>
  <c r="AH281" i="34"/>
  <c r="AC281" i="34"/>
  <c r="X281" i="34"/>
  <c r="S281" i="34"/>
  <c r="N281" i="34"/>
  <c r="I281" i="34"/>
  <c r="D281" i="34"/>
  <c r="BP280" i="34"/>
  <c r="BC280" i="34"/>
  <c r="AX280" i="34"/>
  <c r="AW280" i="34"/>
  <c r="AS280" i="34"/>
  <c r="AR280" i="34"/>
  <c r="AM280" i="34"/>
  <c r="AH280" i="34"/>
  <c r="AC280" i="34"/>
  <c r="X280" i="34"/>
  <c r="S280" i="34"/>
  <c r="N280" i="34"/>
  <c r="I280" i="34"/>
  <c r="D280" i="34"/>
  <c r="BP279" i="34"/>
  <c r="BC279" i="34"/>
  <c r="AX279" i="34"/>
  <c r="AW279" i="34"/>
  <c r="AR279" i="34"/>
  <c r="AM279" i="34"/>
  <c r="AH279" i="34"/>
  <c r="AC279" i="34"/>
  <c r="X279" i="34"/>
  <c r="S279" i="34"/>
  <c r="N279" i="34"/>
  <c r="I279" i="34"/>
  <c r="D279" i="34"/>
  <c r="BP278" i="34"/>
  <c r="BC278" i="34"/>
  <c r="AX278" i="34"/>
  <c r="AW278" i="34"/>
  <c r="AR278" i="34"/>
  <c r="AM278" i="34"/>
  <c r="AH278" i="34"/>
  <c r="AC278" i="34"/>
  <c r="X278" i="34"/>
  <c r="S278" i="34"/>
  <c r="N278" i="34"/>
  <c r="I278" i="34"/>
  <c r="D278" i="34"/>
  <c r="BP277" i="34"/>
  <c r="BC277" i="34"/>
  <c r="AW277" i="34"/>
  <c r="AR277" i="34"/>
  <c r="AM277" i="34"/>
  <c r="AH277" i="34"/>
  <c r="AC277" i="34"/>
  <c r="X277" i="34"/>
  <c r="S277" i="34"/>
  <c r="N277" i="34"/>
  <c r="I277" i="34"/>
  <c r="D277" i="34"/>
  <c r="BP276" i="34"/>
  <c r="AW276" i="34"/>
  <c r="AR276" i="34"/>
  <c r="AM276" i="34"/>
  <c r="AH276" i="34"/>
  <c r="AC276" i="34"/>
  <c r="X276" i="34"/>
  <c r="S276" i="34"/>
  <c r="N276" i="34"/>
  <c r="I276" i="34"/>
  <c r="D276" i="34"/>
  <c r="BP275" i="34"/>
  <c r="BF275" i="34"/>
  <c r="AW275" i="34"/>
  <c r="AR275" i="34"/>
  <c r="AM275" i="34"/>
  <c r="AH275" i="34"/>
  <c r="AC275" i="34"/>
  <c r="X275" i="34"/>
  <c r="S275" i="34"/>
  <c r="N275" i="34"/>
  <c r="I275" i="34"/>
  <c r="D275" i="34"/>
  <c r="BP274" i="34"/>
  <c r="AW274" i="34"/>
  <c r="AR274" i="34"/>
  <c r="AM274" i="34"/>
  <c r="AH274" i="34"/>
  <c r="AC274" i="34"/>
  <c r="X274" i="34"/>
  <c r="S274" i="34"/>
  <c r="N274" i="34"/>
  <c r="I274" i="34"/>
  <c r="D274" i="34"/>
  <c r="BP273" i="34"/>
  <c r="AW273" i="34"/>
  <c r="AR273" i="34"/>
  <c r="AM273" i="34"/>
  <c r="AH273" i="34"/>
  <c r="AC273" i="34"/>
  <c r="X273" i="34"/>
  <c r="S273" i="34"/>
  <c r="N273" i="34"/>
  <c r="I273" i="34"/>
  <c r="D273" i="34"/>
  <c r="BR272" i="34"/>
  <c r="BP272" i="34"/>
  <c r="AW272" i="34"/>
  <c r="AR272" i="34"/>
  <c r="AM272" i="34"/>
  <c r="AH272" i="34"/>
  <c r="AC272" i="34"/>
  <c r="X272" i="34"/>
  <c r="S272" i="34"/>
  <c r="N272" i="34"/>
  <c r="I272" i="34"/>
  <c r="D272" i="34"/>
  <c r="BR271" i="34"/>
  <c r="BP271" i="34"/>
  <c r="BC271" i="34"/>
  <c r="AW271" i="34"/>
  <c r="AR271" i="34"/>
  <c r="AM271" i="34"/>
  <c r="AH271" i="34"/>
  <c r="AC271" i="34"/>
  <c r="X271" i="34"/>
  <c r="S271" i="34"/>
  <c r="N271" i="34"/>
  <c r="I271" i="34"/>
  <c r="D271" i="34"/>
  <c r="BP270" i="34"/>
  <c r="BC270" i="34"/>
  <c r="AW270" i="34"/>
  <c r="AR270" i="34"/>
  <c r="AM270" i="34"/>
  <c r="AH270" i="34"/>
  <c r="AC270" i="34"/>
  <c r="X270" i="34"/>
  <c r="S270" i="34"/>
  <c r="N270" i="34"/>
  <c r="I270" i="34"/>
  <c r="D270" i="34"/>
  <c r="BP269" i="34"/>
  <c r="BC269" i="34"/>
  <c r="AW269" i="34"/>
  <c r="AR269" i="34"/>
  <c r="AM269" i="34"/>
  <c r="AH269" i="34"/>
  <c r="AC269" i="34"/>
  <c r="X269" i="34"/>
  <c r="S269" i="34"/>
  <c r="N269" i="34"/>
  <c r="I269" i="34"/>
  <c r="D269" i="34"/>
  <c r="BP268" i="34"/>
  <c r="BC268" i="34"/>
  <c r="AW268" i="34"/>
  <c r="AR268" i="34"/>
  <c r="AM268" i="34"/>
  <c r="AH268" i="34"/>
  <c r="AC268" i="34"/>
  <c r="X268" i="34"/>
  <c r="S268" i="34"/>
  <c r="N268" i="34"/>
  <c r="I268" i="34"/>
  <c r="D268" i="34"/>
  <c r="BP267" i="34"/>
  <c r="BC267" i="34"/>
  <c r="AW267" i="34"/>
  <c r="AR267" i="34"/>
  <c r="AM267" i="34"/>
  <c r="AH267" i="34"/>
  <c r="AC267" i="34"/>
  <c r="X267" i="34"/>
  <c r="S267" i="34"/>
  <c r="N267" i="34"/>
  <c r="I267" i="34"/>
  <c r="D267" i="34"/>
  <c r="BP266" i="34"/>
  <c r="BC266" i="34"/>
  <c r="AW266" i="34"/>
  <c r="AR266" i="34"/>
  <c r="AM266" i="34"/>
  <c r="AH266" i="34"/>
  <c r="AC266" i="34"/>
  <c r="X266" i="34"/>
  <c r="S266" i="34"/>
  <c r="N266" i="34"/>
  <c r="I266" i="34"/>
  <c r="D266" i="34"/>
  <c r="BP265" i="34"/>
  <c r="BC265" i="34"/>
  <c r="B265" i="34"/>
  <c r="BP264" i="34"/>
  <c r="BC264" i="34"/>
  <c r="BP263" i="34"/>
  <c r="BC263" i="34"/>
  <c r="BP262" i="34"/>
  <c r="BC262" i="34"/>
  <c r="BP261" i="34"/>
  <c r="BC261" i="34"/>
  <c r="BT260" i="34"/>
  <c r="AZ246" i="34" s="1"/>
  <c r="BP260" i="34"/>
  <c r="BC260" i="34"/>
  <c r="BP259" i="34"/>
  <c r="BC259" i="34"/>
  <c r="AU259" i="34"/>
  <c r="U259" i="34"/>
  <c r="S259" i="34"/>
  <c r="R259" i="34"/>
  <c r="P259" i="34"/>
  <c r="M259" i="34"/>
  <c r="N259" i="34" s="1"/>
  <c r="E259" i="34"/>
  <c r="D259" i="34"/>
  <c r="BR258" i="34"/>
  <c r="BP258" i="34"/>
  <c r="BC258" i="34"/>
  <c r="AU258" i="34"/>
  <c r="U258" i="34"/>
  <c r="R258" i="34"/>
  <c r="S258" i="34" s="1"/>
  <c r="P258" i="34"/>
  <c r="M258" i="34"/>
  <c r="N258" i="34" s="1"/>
  <c r="K258" i="34"/>
  <c r="H258" i="34"/>
  <c r="I258" i="34" s="1"/>
  <c r="E258" i="34"/>
  <c r="D258" i="34"/>
  <c r="BR257" i="34"/>
  <c r="BP257" i="34"/>
  <c r="BC257" i="34"/>
  <c r="AU257" i="34"/>
  <c r="R257" i="34"/>
  <c r="M257" i="34"/>
  <c r="N257" i="34" s="1"/>
  <c r="K257" i="34"/>
  <c r="H257" i="34"/>
  <c r="I257" i="34" s="1"/>
  <c r="F257" i="34"/>
  <c r="C257" i="34"/>
  <c r="BP256" i="34"/>
  <c r="BC256" i="34"/>
  <c r="AU256" i="34"/>
  <c r="R256" i="34"/>
  <c r="S256" i="34" s="1"/>
  <c r="M256" i="34"/>
  <c r="N256" i="34" s="1"/>
  <c r="H256" i="34"/>
  <c r="I256" i="34" s="1"/>
  <c r="F256" i="34"/>
  <c r="C256" i="34"/>
  <c r="E256" i="34" s="1"/>
  <c r="BV255" i="34"/>
  <c r="BP255" i="34"/>
  <c r="BC255" i="34"/>
  <c r="AU255" i="34"/>
  <c r="R255" i="34"/>
  <c r="S255" i="34" s="1"/>
  <c r="M255" i="34"/>
  <c r="H255" i="34"/>
  <c r="F255" i="34"/>
  <c r="C255" i="34"/>
  <c r="BP254" i="34"/>
  <c r="BC254" i="34"/>
  <c r="AU254" i="34"/>
  <c r="R254" i="34"/>
  <c r="M254" i="34"/>
  <c r="N254" i="34" s="1"/>
  <c r="H254" i="34"/>
  <c r="I254" i="34" s="1"/>
  <c r="D254" i="34"/>
  <c r="BP253" i="34"/>
  <c r="BC253" i="34"/>
  <c r="AU253" i="34"/>
  <c r="AH253" i="34"/>
  <c r="R253" i="34"/>
  <c r="S253" i="34" s="1"/>
  <c r="M253" i="34"/>
  <c r="H253" i="34"/>
  <c r="D253" i="34"/>
  <c r="BP252" i="34"/>
  <c r="BC252" i="34"/>
  <c r="AU252" i="34"/>
  <c r="AH252" i="34"/>
  <c r="R252" i="34"/>
  <c r="M252" i="34"/>
  <c r="N252" i="34" s="1"/>
  <c r="H252" i="34"/>
  <c r="I252" i="34" s="1"/>
  <c r="D252" i="34"/>
  <c r="BP251" i="34"/>
  <c r="BC251" i="34"/>
  <c r="AU251" i="34"/>
  <c r="AH251" i="34"/>
  <c r="AE251" i="34"/>
  <c r="AC251" i="34"/>
  <c r="Z251" i="34"/>
  <c r="X251" i="34"/>
  <c r="R251" i="34"/>
  <c r="M251" i="34"/>
  <c r="N251" i="34" s="1"/>
  <c r="H251" i="34"/>
  <c r="I251" i="34" s="1"/>
  <c r="D251" i="34"/>
  <c r="BP250" i="34"/>
  <c r="BC250" i="34"/>
  <c r="AW250" i="34"/>
  <c r="AR250" i="34"/>
  <c r="AH250" i="34"/>
  <c r="AE250" i="34"/>
  <c r="AC250" i="34"/>
  <c r="Z250" i="34"/>
  <c r="X250" i="34"/>
  <c r="R250" i="34"/>
  <c r="S250" i="34" s="1"/>
  <c r="M250" i="34"/>
  <c r="N250" i="34" s="1"/>
  <c r="H250" i="34"/>
  <c r="I250" i="34" s="1"/>
  <c r="D250" i="34"/>
  <c r="BP249" i="34"/>
  <c r="BC249" i="34"/>
  <c r="AW249" i="34"/>
  <c r="AR249" i="34"/>
  <c r="AM249" i="34"/>
  <c r="AH249" i="34"/>
  <c r="AC249" i="34"/>
  <c r="X249" i="34"/>
  <c r="R249" i="34"/>
  <c r="S249" i="34" s="1"/>
  <c r="M249" i="34"/>
  <c r="H249" i="34"/>
  <c r="D249" i="34"/>
  <c r="BP248" i="34"/>
  <c r="BC248" i="34"/>
  <c r="AW248" i="34"/>
  <c r="AR248" i="34"/>
  <c r="AM248" i="34"/>
  <c r="AH248" i="34"/>
  <c r="AC248" i="34"/>
  <c r="X248" i="34"/>
  <c r="R248" i="34"/>
  <c r="M248" i="34"/>
  <c r="H248" i="34"/>
  <c r="D248" i="34"/>
  <c r="BP247" i="34"/>
  <c r="BC247" i="34"/>
  <c r="AW247" i="34"/>
  <c r="AR247" i="34"/>
  <c r="AM247" i="34"/>
  <c r="AH247" i="34"/>
  <c r="AC247" i="34"/>
  <c r="X247" i="34"/>
  <c r="R247" i="34"/>
  <c r="M247" i="34"/>
  <c r="H247" i="34"/>
  <c r="D247" i="34"/>
  <c r="BP246" i="34"/>
  <c r="BC246" i="34"/>
  <c r="AW246" i="34"/>
  <c r="AR246" i="34"/>
  <c r="AM246" i="34"/>
  <c r="AH246" i="34"/>
  <c r="AC246" i="34"/>
  <c r="X246" i="34"/>
  <c r="R246" i="34"/>
  <c r="M246" i="34"/>
  <c r="H246" i="34"/>
  <c r="D246" i="34"/>
  <c r="B245" i="34"/>
  <c r="BQ243" i="34"/>
  <c r="BP243" i="34"/>
  <c r="BT258" i="34" s="1"/>
  <c r="AP246" i="34" s="1"/>
  <c r="BI243" i="34"/>
  <c r="AV239" i="34"/>
  <c r="AW239" i="34" s="1"/>
  <c r="AQ239" i="34"/>
  <c r="AS239" i="34" s="1"/>
  <c r="AL239" i="34"/>
  <c r="AG239" i="34"/>
  <c r="AI239" i="34" s="1"/>
  <c r="AB239" i="34"/>
  <c r="W239" i="34"/>
  <c r="Y239" i="34" s="1"/>
  <c r="R239" i="34"/>
  <c r="M239" i="34"/>
  <c r="O239" i="34" s="1"/>
  <c r="H239" i="34"/>
  <c r="E239" i="34"/>
  <c r="D239" i="34"/>
  <c r="AX238" i="34"/>
  <c r="AW238" i="34"/>
  <c r="AS238" i="34"/>
  <c r="AR238" i="34"/>
  <c r="AN238" i="34"/>
  <c r="AM238" i="34"/>
  <c r="AI238" i="34"/>
  <c r="AH238" i="34"/>
  <c r="AD238" i="34"/>
  <c r="AC238" i="34"/>
  <c r="Y238" i="34"/>
  <c r="X238" i="34"/>
  <c r="T238" i="34"/>
  <c r="S238" i="34"/>
  <c r="N238" i="34"/>
  <c r="H238" i="34"/>
  <c r="E238" i="34"/>
  <c r="D238" i="34"/>
  <c r="AX237" i="34"/>
  <c r="AW237" i="34"/>
  <c r="AS237" i="34"/>
  <c r="AR237" i="34"/>
  <c r="AN237" i="34"/>
  <c r="AM237" i="34"/>
  <c r="AI237" i="34"/>
  <c r="AH237" i="34"/>
  <c r="AD237" i="34"/>
  <c r="AC237" i="34"/>
  <c r="Y237" i="34"/>
  <c r="X237" i="34"/>
  <c r="T237" i="34"/>
  <c r="S237" i="34"/>
  <c r="N237" i="34"/>
  <c r="I237" i="34"/>
  <c r="H237" i="34"/>
  <c r="J237" i="34" s="1"/>
  <c r="E237" i="34"/>
  <c r="D237" i="34"/>
  <c r="AX236" i="34"/>
  <c r="AW236" i="34"/>
  <c r="AS236" i="34"/>
  <c r="AR236" i="34"/>
  <c r="AN236" i="34"/>
  <c r="AM236" i="34"/>
  <c r="AI236" i="34"/>
  <c r="AH236" i="34"/>
  <c r="AD236" i="34"/>
  <c r="AC236" i="34"/>
  <c r="Y236" i="34"/>
  <c r="X236" i="34"/>
  <c r="T236" i="34"/>
  <c r="S236" i="34"/>
  <c r="N236" i="34"/>
  <c r="H236" i="34"/>
  <c r="E236" i="34"/>
  <c r="D236" i="34"/>
  <c r="AX235" i="34"/>
  <c r="AW235" i="34"/>
  <c r="AS235" i="34"/>
  <c r="AR235" i="34"/>
  <c r="AN235" i="34"/>
  <c r="AM235" i="34"/>
  <c r="AI235" i="34"/>
  <c r="AH235" i="34"/>
  <c r="AD235" i="34"/>
  <c r="AC235" i="34"/>
  <c r="Y235" i="34"/>
  <c r="X235" i="34"/>
  <c r="T235" i="34"/>
  <c r="S235" i="34"/>
  <c r="N235" i="34"/>
  <c r="H235" i="34"/>
  <c r="E235" i="34"/>
  <c r="D235" i="34"/>
  <c r="AX234" i="34"/>
  <c r="AW234" i="34"/>
  <c r="AS234" i="34"/>
  <c r="AR234" i="34"/>
  <c r="AN234" i="34"/>
  <c r="AM234" i="34"/>
  <c r="AI234" i="34"/>
  <c r="AH234" i="34"/>
  <c r="AD234" i="34"/>
  <c r="AC234" i="34"/>
  <c r="Y234" i="34"/>
  <c r="X234" i="34"/>
  <c r="S234" i="34"/>
  <c r="N234" i="34"/>
  <c r="I234" i="34"/>
  <c r="E234" i="34"/>
  <c r="D234" i="34"/>
  <c r="AX233" i="34"/>
  <c r="AW233" i="34"/>
  <c r="AS233" i="34"/>
  <c r="AR233" i="34"/>
  <c r="AN233" i="34"/>
  <c r="AM233" i="34"/>
  <c r="AI233" i="34"/>
  <c r="AH233" i="34"/>
  <c r="AD233" i="34"/>
  <c r="AC233" i="34"/>
  <c r="Y233" i="34"/>
  <c r="X233" i="34"/>
  <c r="S233" i="34"/>
  <c r="N233" i="34"/>
  <c r="I233" i="34"/>
  <c r="E233" i="34"/>
  <c r="D233" i="34"/>
  <c r="AX232" i="34"/>
  <c r="AW232" i="34"/>
  <c r="AS232" i="34"/>
  <c r="AR232" i="34"/>
  <c r="AN232" i="34"/>
  <c r="AM232" i="34"/>
  <c r="AI232" i="34"/>
  <c r="AH232" i="34"/>
  <c r="AD232" i="34"/>
  <c r="AC232" i="34"/>
  <c r="Y232" i="34"/>
  <c r="X232" i="34"/>
  <c r="S232" i="34"/>
  <c r="N232" i="34"/>
  <c r="I232" i="34"/>
  <c r="E232" i="34"/>
  <c r="D232" i="34"/>
  <c r="AX231" i="34"/>
  <c r="AW231" i="34"/>
  <c r="AS231" i="34"/>
  <c r="AR231" i="34"/>
  <c r="AN231" i="34"/>
  <c r="AM231" i="34"/>
  <c r="AI231" i="34"/>
  <c r="AH231" i="34"/>
  <c r="AD231" i="34"/>
  <c r="AC231" i="34"/>
  <c r="Y231" i="34"/>
  <c r="X231" i="34"/>
  <c r="S231" i="34"/>
  <c r="N231" i="34"/>
  <c r="I231" i="34"/>
  <c r="E231" i="34"/>
  <c r="D231" i="34"/>
  <c r="AX230" i="34"/>
  <c r="AW230" i="34"/>
  <c r="AS230" i="34"/>
  <c r="AR230" i="34"/>
  <c r="AN230" i="34"/>
  <c r="AM230" i="34"/>
  <c r="AI230" i="34"/>
  <c r="AH230" i="34"/>
  <c r="AD230" i="34"/>
  <c r="AC230" i="34"/>
  <c r="Y230" i="34"/>
  <c r="X230" i="34"/>
  <c r="S230" i="34"/>
  <c r="N230" i="34"/>
  <c r="I230" i="34"/>
  <c r="D230" i="34"/>
  <c r="AX229" i="34"/>
  <c r="AW229" i="34"/>
  <c r="AS229" i="34"/>
  <c r="AR229" i="34"/>
  <c r="AN229" i="34"/>
  <c r="AM229" i="34"/>
  <c r="AI229" i="34"/>
  <c r="AH229" i="34"/>
  <c r="AD229" i="34"/>
  <c r="AC229" i="34"/>
  <c r="Y229" i="34"/>
  <c r="X229" i="34"/>
  <c r="S229" i="34"/>
  <c r="N229" i="34"/>
  <c r="I229" i="34"/>
  <c r="D229" i="34"/>
  <c r="AX228" i="34"/>
  <c r="AW228" i="34"/>
  <c r="AS228" i="34"/>
  <c r="AR228" i="34"/>
  <c r="AN228" i="34"/>
  <c r="AM228" i="34"/>
  <c r="AI228" i="34"/>
  <c r="AH228" i="34"/>
  <c r="AD228" i="34"/>
  <c r="AC228" i="34"/>
  <c r="Y228" i="34"/>
  <c r="X228" i="34"/>
  <c r="S228" i="34"/>
  <c r="N228" i="34"/>
  <c r="I228" i="34"/>
  <c r="D228" i="34"/>
  <c r="AX227" i="34"/>
  <c r="AW227" i="34"/>
  <c r="AS227" i="34"/>
  <c r="AR227" i="34"/>
  <c r="AN227" i="34"/>
  <c r="AM227" i="34"/>
  <c r="AI227" i="34"/>
  <c r="AH227" i="34"/>
  <c r="AD227" i="34"/>
  <c r="AC227" i="34"/>
  <c r="Y227" i="34"/>
  <c r="X227" i="34"/>
  <c r="S227" i="34"/>
  <c r="N227" i="34"/>
  <c r="I227" i="34"/>
  <c r="D227" i="34"/>
  <c r="AX226" i="34"/>
  <c r="AW226" i="34"/>
  <c r="AS226" i="34"/>
  <c r="AR226" i="34"/>
  <c r="AN226" i="34"/>
  <c r="AM226" i="34"/>
  <c r="AI226" i="34"/>
  <c r="AH226" i="34"/>
  <c r="AD226" i="34"/>
  <c r="AC226" i="34"/>
  <c r="Y226" i="34"/>
  <c r="X226" i="34"/>
  <c r="S226" i="34"/>
  <c r="N226" i="34"/>
  <c r="I226" i="34"/>
  <c r="D226" i="34"/>
  <c r="AX225" i="34"/>
  <c r="AW225" i="34"/>
  <c r="AS225" i="34"/>
  <c r="AR225" i="34"/>
  <c r="AN225" i="34"/>
  <c r="AM225" i="34"/>
  <c r="AI225" i="34"/>
  <c r="AH225" i="34"/>
  <c r="AC225" i="34"/>
  <c r="Y225" i="34"/>
  <c r="X225" i="34"/>
  <c r="S225" i="34"/>
  <c r="N225" i="34"/>
  <c r="I225" i="34"/>
  <c r="D225" i="34"/>
  <c r="AX224" i="34"/>
  <c r="AW224" i="34"/>
  <c r="AS224" i="34"/>
  <c r="AR224" i="34"/>
  <c r="AN224" i="34"/>
  <c r="AM224" i="34"/>
  <c r="AH224" i="34"/>
  <c r="AC224" i="34"/>
  <c r="X224" i="34"/>
  <c r="S224" i="34"/>
  <c r="N224" i="34"/>
  <c r="I224" i="34"/>
  <c r="D224" i="34"/>
  <c r="AX223" i="34"/>
  <c r="AW223" i="34"/>
  <c r="AS223" i="34"/>
  <c r="AR223" i="34"/>
  <c r="AN223" i="34"/>
  <c r="AM223" i="34"/>
  <c r="AH223" i="34"/>
  <c r="AC223" i="34"/>
  <c r="X223" i="34"/>
  <c r="S223" i="34"/>
  <c r="N223" i="34"/>
  <c r="I223" i="34"/>
  <c r="D223" i="34"/>
  <c r="AX222" i="34"/>
  <c r="AW222" i="34"/>
  <c r="AS222" i="34"/>
  <c r="AR222" i="34"/>
  <c r="AM222" i="34"/>
  <c r="AH222" i="34"/>
  <c r="AC222" i="34"/>
  <c r="X222" i="34"/>
  <c r="S222" i="34"/>
  <c r="N222" i="34"/>
  <c r="I222" i="34"/>
  <c r="D222" i="34"/>
  <c r="AX221" i="34"/>
  <c r="AW221" i="34"/>
  <c r="AS221" i="34"/>
  <c r="AR221" i="34"/>
  <c r="AM221" i="34"/>
  <c r="AH221" i="34"/>
  <c r="AC221" i="34"/>
  <c r="X221" i="34"/>
  <c r="S221" i="34"/>
  <c r="N221" i="34"/>
  <c r="I221" i="34"/>
  <c r="D221" i="34"/>
  <c r="AX220" i="34"/>
  <c r="AW220" i="34"/>
  <c r="AS220" i="34"/>
  <c r="AR220" i="34"/>
  <c r="AM220" i="34"/>
  <c r="AH220" i="34"/>
  <c r="AC220" i="34"/>
  <c r="X220" i="34"/>
  <c r="S220" i="34"/>
  <c r="N220" i="34"/>
  <c r="I220" i="34"/>
  <c r="D220" i="34"/>
  <c r="AW219" i="34"/>
  <c r="AR219" i="34"/>
  <c r="AM219" i="34"/>
  <c r="AH219" i="34"/>
  <c r="AC219" i="34"/>
  <c r="X219" i="34"/>
  <c r="S219" i="34"/>
  <c r="N219" i="34"/>
  <c r="I219" i="34"/>
  <c r="D219" i="34"/>
  <c r="AW218" i="34"/>
  <c r="AR218" i="34"/>
  <c r="AM218" i="34"/>
  <c r="AH218" i="34"/>
  <c r="AC218" i="34"/>
  <c r="X218" i="34"/>
  <c r="S218" i="34"/>
  <c r="N218" i="34"/>
  <c r="I218" i="34"/>
  <c r="D218" i="34"/>
  <c r="AW217" i="34"/>
  <c r="AR217" i="34"/>
  <c r="AM217" i="34"/>
  <c r="AH217" i="34"/>
  <c r="AC217" i="34"/>
  <c r="X217" i="34"/>
  <c r="S217" i="34"/>
  <c r="N217" i="34"/>
  <c r="I217" i="34"/>
  <c r="D217" i="34"/>
  <c r="AW216" i="34"/>
  <c r="AR216" i="34"/>
  <c r="AM216" i="34"/>
  <c r="AH216" i="34"/>
  <c r="AC216" i="34"/>
  <c r="X216" i="34"/>
  <c r="S216" i="34"/>
  <c r="N216" i="34"/>
  <c r="I216" i="34"/>
  <c r="D216" i="34"/>
  <c r="AW215" i="34"/>
  <c r="AR215" i="34"/>
  <c r="AM215" i="34"/>
  <c r="AH215" i="34"/>
  <c r="AC215" i="34"/>
  <c r="X215" i="34"/>
  <c r="S215" i="34"/>
  <c r="N215" i="34"/>
  <c r="I215" i="34"/>
  <c r="D215" i="34"/>
  <c r="B214" i="34"/>
  <c r="AK174" i="34"/>
  <c r="AL202" i="34" s="1"/>
  <c r="AC174" i="34"/>
  <c r="AD194" i="34" s="1"/>
  <c r="U174" i="34"/>
  <c r="V200" i="34" s="1"/>
  <c r="M174" i="34"/>
  <c r="N195" i="34" s="1"/>
  <c r="E174" i="34"/>
  <c r="F195" i="34" s="1"/>
  <c r="B173" i="34"/>
  <c r="AI172" i="34"/>
  <c r="AA172" i="34"/>
  <c r="S172" i="34"/>
  <c r="K172" i="34"/>
  <c r="C172" i="34"/>
  <c r="AN166" i="34"/>
  <c r="AK153" i="34"/>
  <c r="AL165" i="34" s="1"/>
  <c r="AC153" i="34"/>
  <c r="AD163" i="34" s="1"/>
  <c r="U153" i="34"/>
  <c r="M153" i="34"/>
  <c r="N157" i="34" s="1"/>
  <c r="E153" i="34"/>
  <c r="AI152" i="34"/>
  <c r="AA152" i="34"/>
  <c r="S152" i="34"/>
  <c r="K152" i="34"/>
  <c r="C152" i="34"/>
  <c r="B152" i="34"/>
  <c r="B129" i="34"/>
  <c r="C128" i="34"/>
  <c r="AR126" i="34"/>
  <c r="G121" i="34"/>
  <c r="F120" i="34"/>
  <c r="H120" i="34" s="1"/>
  <c r="G119" i="34"/>
  <c r="G118" i="34"/>
  <c r="F116" i="34"/>
  <c r="H116" i="34" s="1"/>
  <c r="G114" i="34"/>
  <c r="G112" i="34"/>
  <c r="G110" i="34"/>
  <c r="F110" i="34"/>
  <c r="G108" i="34"/>
  <c r="AK106" i="34"/>
  <c r="AM123" i="34" s="1"/>
  <c r="AC106" i="34"/>
  <c r="U106" i="34"/>
  <c r="V121" i="34" s="1"/>
  <c r="X121" i="34" s="1"/>
  <c r="M106" i="34"/>
  <c r="O123" i="34" s="1"/>
  <c r="G106" i="34"/>
  <c r="F106" i="34"/>
  <c r="E106" i="34"/>
  <c r="G123" i="34" s="1"/>
  <c r="AI105" i="34"/>
  <c r="AA105" i="34"/>
  <c r="S105" i="34"/>
  <c r="K105" i="34"/>
  <c r="B105" i="34"/>
  <c r="J99" i="34"/>
  <c r="AZ92" i="34"/>
  <c r="AZ91" i="34"/>
  <c r="AZ90" i="34"/>
  <c r="AZ89" i="34"/>
  <c r="AZ88" i="34"/>
  <c r="AZ87" i="34"/>
  <c r="AZ86" i="34"/>
  <c r="O86" i="34"/>
  <c r="AZ85" i="34"/>
  <c r="BJ84" i="34"/>
  <c r="AZ84" i="34"/>
  <c r="O84" i="34"/>
  <c r="BJ83" i="34"/>
  <c r="BE83" i="34"/>
  <c r="AZ83" i="34"/>
  <c r="BJ82" i="34"/>
  <c r="BE82" i="34"/>
  <c r="AZ82" i="34"/>
  <c r="BO81" i="34"/>
  <c r="BJ81" i="34"/>
  <c r="BE81" i="34"/>
  <c r="AZ81" i="34"/>
  <c r="BO80" i="34"/>
  <c r="BJ80" i="34"/>
  <c r="BE80" i="34"/>
  <c r="AZ80" i="34"/>
  <c r="BO79" i="34"/>
  <c r="BJ79" i="34"/>
  <c r="BE79" i="34"/>
  <c r="AZ79" i="34"/>
  <c r="AQ79" i="34"/>
  <c r="AI79" i="34"/>
  <c r="AK78" i="34" s="1"/>
  <c r="AA79" i="34"/>
  <c r="S79" i="34"/>
  <c r="BO78" i="34"/>
  <c r="BJ78" i="34"/>
  <c r="BE78" i="34"/>
  <c r="AZ78" i="34"/>
  <c r="AQ78" i="34"/>
  <c r="AS78" i="34" s="1"/>
  <c r="AI78" i="34"/>
  <c r="AA78" i="34"/>
  <c r="S78" i="34"/>
  <c r="M78" i="34"/>
  <c r="N89" i="34" s="1"/>
  <c r="E78" i="34"/>
  <c r="F95" i="34" s="1"/>
  <c r="BN77" i="34"/>
  <c r="BI77" i="34"/>
  <c r="BD77" i="34"/>
  <c r="BD49" i="34" s="1"/>
  <c r="AY77" i="34"/>
  <c r="AY49" i="34" s="1"/>
  <c r="B77" i="34"/>
  <c r="C76" i="34"/>
  <c r="AQ76" i="34" s="1"/>
  <c r="BP71" i="34"/>
  <c r="BO71" i="34"/>
  <c r="BM71" i="34"/>
  <c r="BK71" i="34"/>
  <c r="BJ71" i="34"/>
  <c r="BF71" i="34"/>
  <c r="BE71" i="34"/>
  <c r="BC71" i="34"/>
  <c r="BA71" i="34"/>
  <c r="AZ71" i="34"/>
  <c r="V71" i="34"/>
  <c r="X71" i="34" s="1"/>
  <c r="BP70" i="34"/>
  <c r="BO70" i="34"/>
  <c r="BM70" i="34"/>
  <c r="BK70" i="34"/>
  <c r="BJ70" i="34"/>
  <c r="BF70" i="34"/>
  <c r="BE70" i="34"/>
  <c r="BC70" i="34"/>
  <c r="BA70" i="34"/>
  <c r="AZ70" i="34"/>
  <c r="V70" i="34"/>
  <c r="BP69" i="34"/>
  <c r="BO69" i="34"/>
  <c r="BM69" i="34"/>
  <c r="BK69" i="34"/>
  <c r="BJ69" i="34"/>
  <c r="BF69" i="34"/>
  <c r="BE69" i="34"/>
  <c r="BC69" i="34"/>
  <c r="BA69" i="34"/>
  <c r="AZ69" i="34"/>
  <c r="BP68" i="34"/>
  <c r="BO68" i="34"/>
  <c r="BM68" i="34"/>
  <c r="BK68" i="34"/>
  <c r="BJ68" i="34"/>
  <c r="BF68" i="34"/>
  <c r="BE68" i="34"/>
  <c r="BC68" i="34"/>
  <c r="BA68" i="34"/>
  <c r="AZ68" i="34"/>
  <c r="BP67" i="34"/>
  <c r="BO67" i="34"/>
  <c r="BM67" i="34"/>
  <c r="BK67" i="34"/>
  <c r="BJ67" i="34"/>
  <c r="BF67" i="34"/>
  <c r="BE67" i="34"/>
  <c r="BC67" i="34"/>
  <c r="BA67" i="34"/>
  <c r="AZ67" i="34"/>
  <c r="BP66" i="34"/>
  <c r="BO66" i="34"/>
  <c r="BM66" i="34"/>
  <c r="BK66" i="34"/>
  <c r="BJ66" i="34"/>
  <c r="BF66" i="34"/>
  <c r="BE66" i="34"/>
  <c r="BC66" i="34"/>
  <c r="BA66" i="34"/>
  <c r="AZ66" i="34"/>
  <c r="BP65" i="34"/>
  <c r="BO65" i="34"/>
  <c r="BM65" i="34"/>
  <c r="BK65" i="34"/>
  <c r="BJ65" i="34"/>
  <c r="BF65" i="34"/>
  <c r="BE65" i="34"/>
  <c r="BC65" i="34"/>
  <c r="BA65" i="34"/>
  <c r="AZ65" i="34"/>
  <c r="BP64" i="34"/>
  <c r="BO64" i="34"/>
  <c r="BM64" i="34"/>
  <c r="BK64" i="34"/>
  <c r="BJ64" i="34"/>
  <c r="BF64" i="34"/>
  <c r="BE64" i="34"/>
  <c r="BC64" i="34"/>
  <c r="BA64" i="34"/>
  <c r="AZ64" i="34"/>
  <c r="BP63" i="34"/>
  <c r="BO63" i="34"/>
  <c r="BM63" i="34"/>
  <c r="BK63" i="34"/>
  <c r="BJ63" i="34"/>
  <c r="BF63" i="34"/>
  <c r="BE63" i="34"/>
  <c r="BC63" i="34"/>
  <c r="BA63" i="34"/>
  <c r="AZ63" i="34"/>
  <c r="BP62" i="34"/>
  <c r="BO62" i="34"/>
  <c r="BM62" i="34"/>
  <c r="BK62" i="34"/>
  <c r="BJ62" i="34"/>
  <c r="BF62" i="34"/>
  <c r="BE62" i="34"/>
  <c r="BC62" i="34"/>
  <c r="BA62" i="34"/>
  <c r="AZ62" i="34"/>
  <c r="I62" i="34"/>
  <c r="BP61" i="34"/>
  <c r="BO61" i="34"/>
  <c r="BM61" i="34"/>
  <c r="BK61" i="34"/>
  <c r="BJ61" i="34"/>
  <c r="BF61" i="34"/>
  <c r="BE61" i="34"/>
  <c r="BC61" i="34"/>
  <c r="BA61" i="34"/>
  <c r="AZ61" i="34"/>
  <c r="BP60" i="34"/>
  <c r="BO60" i="34"/>
  <c r="BM60" i="34"/>
  <c r="BK60" i="34"/>
  <c r="BJ60" i="34"/>
  <c r="BF60" i="34"/>
  <c r="BE60" i="34"/>
  <c r="BC60" i="34"/>
  <c r="BA60" i="34"/>
  <c r="AZ60" i="34"/>
  <c r="BP59" i="34"/>
  <c r="BO59" i="34"/>
  <c r="BM59" i="34"/>
  <c r="BK59" i="34"/>
  <c r="BJ59" i="34"/>
  <c r="BF59" i="34"/>
  <c r="BE59" i="34"/>
  <c r="AZ59" i="34"/>
  <c r="BP58" i="34"/>
  <c r="BO58" i="34"/>
  <c r="BM58" i="34"/>
  <c r="BK58" i="34"/>
  <c r="BJ58" i="34"/>
  <c r="BF58" i="34"/>
  <c r="BE58" i="34"/>
  <c r="AZ58" i="34"/>
  <c r="BP57" i="34"/>
  <c r="BO57" i="34"/>
  <c r="BM57" i="34"/>
  <c r="BK57" i="34"/>
  <c r="BJ57" i="34"/>
  <c r="BE57" i="34"/>
  <c r="AZ57" i="34"/>
  <c r="BP56" i="34"/>
  <c r="BO56" i="34"/>
  <c r="BM56" i="34"/>
  <c r="BK56" i="34"/>
  <c r="BJ56" i="34"/>
  <c r="BE56" i="34"/>
  <c r="AZ56" i="34"/>
  <c r="BP55" i="34"/>
  <c r="BO55" i="34"/>
  <c r="BM55" i="34"/>
  <c r="BK55" i="34"/>
  <c r="BJ55" i="34"/>
  <c r="BE55" i="34"/>
  <c r="AZ55" i="34"/>
  <c r="BP54" i="34"/>
  <c r="BO54" i="34"/>
  <c r="BM54" i="34"/>
  <c r="BK54" i="34"/>
  <c r="BJ54" i="34"/>
  <c r="BE54" i="34"/>
  <c r="AZ54" i="34"/>
  <c r="BO53" i="34"/>
  <c r="BJ53" i="34"/>
  <c r="BE53" i="34"/>
  <c r="AZ53" i="34"/>
  <c r="BO52" i="34"/>
  <c r="BJ52" i="34"/>
  <c r="BE52" i="34"/>
  <c r="AZ52" i="34"/>
  <c r="BO51" i="34"/>
  <c r="BJ51" i="34"/>
  <c r="BE51" i="34"/>
  <c r="AZ51" i="34"/>
  <c r="AQ51" i="34"/>
  <c r="AX51" i="34" s="1"/>
  <c r="AI51" i="34"/>
  <c r="AA51" i="34"/>
  <c r="AC50" i="34" s="1"/>
  <c r="AD71" i="34" s="1"/>
  <c r="S51" i="34"/>
  <c r="U50" i="34" s="1"/>
  <c r="W68" i="34" s="1"/>
  <c r="K51" i="34"/>
  <c r="BO50" i="34"/>
  <c r="BJ50" i="34"/>
  <c r="BE50" i="34"/>
  <c r="AZ50" i="34"/>
  <c r="AQ50" i="34"/>
  <c r="AI50" i="34"/>
  <c r="AA50" i="34"/>
  <c r="S50" i="34"/>
  <c r="K50" i="34"/>
  <c r="M50" i="34" s="1"/>
  <c r="Q57" i="34" s="1"/>
  <c r="F50" i="34"/>
  <c r="C50" i="34"/>
  <c r="E50" i="34" s="1"/>
  <c r="F71" i="34" s="1"/>
  <c r="BN49" i="34"/>
  <c r="B49" i="34"/>
  <c r="AQ48" i="34"/>
  <c r="AI48" i="34"/>
  <c r="AA48" i="34"/>
  <c r="S48" i="34"/>
  <c r="K48" i="34"/>
  <c r="C48" i="34"/>
  <c r="N43" i="34"/>
  <c r="E43" i="34"/>
  <c r="N42" i="34"/>
  <c r="N41" i="34"/>
  <c r="N40" i="34"/>
  <c r="I40" i="34"/>
  <c r="E40" i="34"/>
  <c r="N39" i="34"/>
  <c r="I39" i="34"/>
  <c r="E39" i="34"/>
  <c r="N38" i="34"/>
  <c r="I38" i="34"/>
  <c r="E38" i="34"/>
  <c r="N37" i="34"/>
  <c r="I37" i="34"/>
  <c r="E37" i="34"/>
  <c r="N36" i="34"/>
  <c r="I36" i="34"/>
  <c r="E36" i="34"/>
  <c r="N35" i="34"/>
  <c r="I35" i="34"/>
  <c r="E35" i="34"/>
  <c r="AC34" i="34"/>
  <c r="S34" i="34"/>
  <c r="N34" i="34"/>
  <c r="I34" i="34"/>
  <c r="E34" i="34"/>
  <c r="AC33" i="34"/>
  <c r="S33" i="34"/>
  <c r="N33" i="34"/>
  <c r="I33" i="34"/>
  <c r="E33" i="34"/>
  <c r="AC32" i="34"/>
  <c r="S32" i="34"/>
  <c r="N32" i="34"/>
  <c r="I32" i="34"/>
  <c r="E32" i="34"/>
  <c r="AC31" i="34"/>
  <c r="S31" i="34"/>
  <c r="N31" i="34"/>
  <c r="I31" i="34"/>
  <c r="E31" i="34"/>
  <c r="AC30" i="34"/>
  <c r="S30" i="34"/>
  <c r="N30" i="34"/>
  <c r="I30" i="34"/>
  <c r="D30" i="34"/>
  <c r="AC29" i="34"/>
  <c r="S29" i="34"/>
  <c r="N29" i="34"/>
  <c r="I29" i="34"/>
  <c r="D29" i="34"/>
  <c r="AM28" i="34"/>
  <c r="AC28" i="34"/>
  <c r="S28" i="34"/>
  <c r="N28" i="34"/>
  <c r="I28" i="34"/>
  <c r="D28" i="34"/>
  <c r="AM27" i="34"/>
  <c r="AC27" i="34"/>
  <c r="S27" i="34"/>
  <c r="N27" i="34"/>
  <c r="I27" i="34"/>
  <c r="D27" i="34"/>
  <c r="AM26" i="34"/>
  <c r="AC26" i="34"/>
  <c r="X26" i="34"/>
  <c r="S26" i="34"/>
  <c r="N26" i="34"/>
  <c r="I26" i="34"/>
  <c r="D26" i="34"/>
  <c r="AM25" i="34"/>
  <c r="AH25" i="34"/>
  <c r="AC25" i="34"/>
  <c r="X25" i="34"/>
  <c r="S25" i="34"/>
  <c r="N25" i="34"/>
  <c r="I25" i="34"/>
  <c r="D25" i="34"/>
  <c r="AM24" i="34"/>
  <c r="AH24" i="34"/>
  <c r="AC24" i="34"/>
  <c r="X24" i="34"/>
  <c r="S24" i="34"/>
  <c r="N24" i="34"/>
  <c r="I24" i="34"/>
  <c r="D24" i="34"/>
  <c r="AR23" i="34"/>
  <c r="AM23" i="34"/>
  <c r="AH23" i="34"/>
  <c r="AC23" i="34"/>
  <c r="X23" i="34"/>
  <c r="S23" i="34"/>
  <c r="N23" i="34"/>
  <c r="I23" i="34"/>
  <c r="D23" i="34"/>
  <c r="AW22" i="34"/>
  <c r="AR22" i="34"/>
  <c r="AM22" i="34"/>
  <c r="AH22" i="34"/>
  <c r="AC22" i="34"/>
  <c r="X22" i="34"/>
  <c r="S22" i="34"/>
  <c r="N22" i="34"/>
  <c r="I22" i="34"/>
  <c r="D22" i="34"/>
  <c r="AW21" i="34"/>
  <c r="AR21" i="34"/>
  <c r="AM21" i="34"/>
  <c r="AH21" i="34"/>
  <c r="AC21" i="34"/>
  <c r="X21" i="34"/>
  <c r="S21" i="34"/>
  <c r="N21" i="34"/>
  <c r="I21" i="34"/>
  <c r="D21" i="34"/>
  <c r="AW20" i="34"/>
  <c r="AR20" i="34"/>
  <c r="AM20" i="34"/>
  <c r="AH20" i="34"/>
  <c r="AC20" i="34"/>
  <c r="X20" i="34"/>
  <c r="S20" i="34"/>
  <c r="N20" i="34"/>
  <c r="I20" i="34"/>
  <c r="D20" i="34"/>
  <c r="AW19" i="34"/>
  <c r="AR19" i="34"/>
  <c r="AM19" i="34"/>
  <c r="AH19" i="34"/>
  <c r="AC19" i="34"/>
  <c r="X19" i="34"/>
  <c r="S19" i="34"/>
  <c r="N19" i="34"/>
  <c r="I19" i="34"/>
  <c r="D19" i="34"/>
  <c r="AV18" i="34"/>
  <c r="AQ18" i="34"/>
  <c r="AL18" i="34"/>
  <c r="AG18" i="34"/>
  <c r="AB18" i="34"/>
  <c r="W18" i="34"/>
  <c r="R18" i="34"/>
  <c r="M18" i="34"/>
  <c r="H18" i="34"/>
  <c r="B18" i="34"/>
  <c r="N25" i="35"/>
  <c r="N24" i="35"/>
  <c r="N23" i="35"/>
  <c r="N22" i="35"/>
  <c r="N21" i="35"/>
  <c r="N20" i="35"/>
  <c r="N19" i="35"/>
  <c r="N18" i="35"/>
  <c r="N17" i="35"/>
  <c r="N16" i="35"/>
  <c r="N15" i="35"/>
  <c r="N14" i="35"/>
  <c r="N13" i="35"/>
  <c r="N12" i="35"/>
  <c r="N11" i="35"/>
  <c r="N10" i="35"/>
  <c r="N9" i="35"/>
  <c r="N8" i="35"/>
  <c r="N7" i="35"/>
  <c r="N6" i="35"/>
  <c r="N5" i="35"/>
  <c r="T4" i="35"/>
  <c r="S4" i="35"/>
  <c r="R4" i="35"/>
  <c r="Q4" i="35"/>
  <c r="P4" i="35"/>
  <c r="O4" i="35"/>
  <c r="N4" i="35"/>
  <c r="M4" i="35"/>
  <c r="L4" i="35"/>
  <c r="K4" i="35"/>
  <c r="H4" i="35"/>
  <c r="G4" i="35"/>
  <c r="F4" i="35"/>
  <c r="E4" i="35"/>
  <c r="B4" i="35"/>
  <c r="C4" i="35" s="1"/>
  <c r="T3" i="35"/>
  <c r="S2" i="35"/>
  <c r="R24" i="35" s="1"/>
  <c r="U254" i="37"/>
  <c r="U133" i="37" s="1"/>
  <c r="U129" i="37" s="1"/>
  <c r="U126" i="37" s="1"/>
  <c r="Q17" i="37" s="1"/>
  <c r="V233" i="37"/>
  <c r="U233" i="37"/>
  <c r="T233" i="37"/>
  <c r="S233" i="37"/>
  <c r="R233" i="37"/>
  <c r="Q233" i="37"/>
  <c r="P233" i="37"/>
  <c r="O233" i="37"/>
  <c r="N233" i="37"/>
  <c r="M233" i="37"/>
  <c r="L233" i="37"/>
  <c r="V231" i="37"/>
  <c r="V230" i="37"/>
  <c r="U18" i="37" s="1"/>
  <c r="U230" i="37"/>
  <c r="U17" i="37" s="1"/>
  <c r="T230" i="37"/>
  <c r="U16" i="37" s="1"/>
  <c r="S230" i="37"/>
  <c r="U15" i="37" s="1"/>
  <c r="R230" i="37"/>
  <c r="U14" i="37" s="1"/>
  <c r="Q230" i="37"/>
  <c r="U13" i="37" s="1"/>
  <c r="P230" i="37"/>
  <c r="U12" i="37" s="1"/>
  <c r="O230" i="37"/>
  <c r="U11" i="37" s="1"/>
  <c r="N230" i="37"/>
  <c r="U10" i="37" s="1"/>
  <c r="M230" i="37"/>
  <c r="U9" i="37" s="1"/>
  <c r="L230" i="37"/>
  <c r="U8" i="37" s="1"/>
  <c r="V207" i="37"/>
  <c r="U207" i="37"/>
  <c r="T207" i="37"/>
  <c r="S207" i="37"/>
  <c r="R207" i="37"/>
  <c r="Q207" i="37"/>
  <c r="P207" i="37"/>
  <c r="O207" i="37"/>
  <c r="N207" i="37"/>
  <c r="M207" i="37"/>
  <c r="L207" i="37"/>
  <c r="V205" i="37"/>
  <c r="V204" i="37"/>
  <c r="T18" i="37" s="1"/>
  <c r="U204" i="37"/>
  <c r="T17" i="37" s="1"/>
  <c r="T204" i="37"/>
  <c r="T16" i="37" s="1"/>
  <c r="S204" i="37"/>
  <c r="T15" i="37" s="1"/>
  <c r="R204" i="37"/>
  <c r="T14" i="37" s="1"/>
  <c r="Q204" i="37"/>
  <c r="T13" i="37" s="1"/>
  <c r="P204" i="37"/>
  <c r="T12" i="37" s="1"/>
  <c r="O204" i="37"/>
  <c r="T11" i="37" s="1"/>
  <c r="N204" i="37"/>
  <c r="T10" i="37" s="1"/>
  <c r="M204" i="37"/>
  <c r="T9" i="37" s="1"/>
  <c r="L204" i="37"/>
  <c r="T8" i="37" s="1"/>
  <c r="V181" i="37"/>
  <c r="U181" i="37"/>
  <c r="T181" i="37"/>
  <c r="S181" i="37"/>
  <c r="R181" i="37"/>
  <c r="Q181" i="37"/>
  <c r="P181" i="37"/>
  <c r="O181" i="37"/>
  <c r="N181" i="37"/>
  <c r="M181" i="37"/>
  <c r="L181" i="37"/>
  <c r="V179" i="37"/>
  <c r="V178" i="37"/>
  <c r="S18" i="37" s="1"/>
  <c r="U178" i="37"/>
  <c r="S17" i="37" s="1"/>
  <c r="T178" i="37"/>
  <c r="S16" i="37" s="1"/>
  <c r="S178" i="37"/>
  <c r="S15" i="37" s="1"/>
  <c r="R178" i="37"/>
  <c r="S14" i="37" s="1"/>
  <c r="Q178" i="37"/>
  <c r="S13" i="37" s="1"/>
  <c r="P178" i="37"/>
  <c r="S12" i="37" s="1"/>
  <c r="O178" i="37"/>
  <c r="S11" i="37" s="1"/>
  <c r="N178" i="37"/>
  <c r="S10" i="37" s="1"/>
  <c r="M178" i="37"/>
  <c r="S9" i="37" s="1"/>
  <c r="L178" i="37"/>
  <c r="S8" i="37" s="1"/>
  <c r="V155" i="37"/>
  <c r="U155" i="37"/>
  <c r="T155" i="37"/>
  <c r="S155" i="37"/>
  <c r="R155" i="37"/>
  <c r="Q155" i="37"/>
  <c r="P155" i="37"/>
  <c r="O155" i="37"/>
  <c r="N155" i="37"/>
  <c r="M155" i="37"/>
  <c r="L155" i="37"/>
  <c r="V153" i="37"/>
  <c r="V152" i="37"/>
  <c r="R18" i="37" s="1"/>
  <c r="U152" i="37"/>
  <c r="R17" i="37" s="1"/>
  <c r="T152" i="37"/>
  <c r="R16" i="37" s="1"/>
  <c r="S152" i="37"/>
  <c r="R15" i="37" s="1"/>
  <c r="R152" i="37"/>
  <c r="R14" i="37" s="1"/>
  <c r="Q152" i="37"/>
  <c r="R13" i="37" s="1"/>
  <c r="P152" i="37"/>
  <c r="R12" i="37" s="1"/>
  <c r="O152" i="37"/>
  <c r="R11" i="37" s="1"/>
  <c r="N152" i="37"/>
  <c r="R10" i="37" s="1"/>
  <c r="M152" i="37"/>
  <c r="R9" i="37" s="1"/>
  <c r="L152" i="37"/>
  <c r="R8" i="37" s="1"/>
  <c r="V129" i="37"/>
  <c r="V126" i="37" s="1"/>
  <c r="Q18" i="37" s="1"/>
  <c r="T129" i="37"/>
  <c r="T126" i="37" s="1"/>
  <c r="Q16" i="37" s="1"/>
  <c r="S129" i="37"/>
  <c r="S126" i="37" s="1"/>
  <c r="Q15" i="37" s="1"/>
  <c r="R129" i="37"/>
  <c r="R126" i="37" s="1"/>
  <c r="Q14" i="37" s="1"/>
  <c r="Q129" i="37"/>
  <c r="Q126" i="37" s="1"/>
  <c r="Q13" i="37" s="1"/>
  <c r="P129" i="37"/>
  <c r="P126" i="37" s="1"/>
  <c r="Q12" i="37" s="1"/>
  <c r="O129" i="37"/>
  <c r="O126" i="37" s="1"/>
  <c r="Q11" i="37" s="1"/>
  <c r="N129" i="37"/>
  <c r="N126" i="37" s="1"/>
  <c r="Q10" i="37" s="1"/>
  <c r="M129" i="37"/>
  <c r="M126" i="37" s="1"/>
  <c r="Q9" i="37" s="1"/>
  <c r="L129" i="37"/>
  <c r="V127" i="37"/>
  <c r="L126" i="37"/>
  <c r="Q8" i="37" s="1"/>
  <c r="V103" i="37"/>
  <c r="U103" i="37"/>
  <c r="T103" i="37"/>
  <c r="S103" i="37"/>
  <c r="R103" i="37"/>
  <c r="Q103" i="37"/>
  <c r="P103" i="37"/>
  <c r="O103" i="37"/>
  <c r="N103" i="37"/>
  <c r="M103" i="37"/>
  <c r="L103" i="37"/>
  <c r="V101" i="37"/>
  <c r="V100" i="37"/>
  <c r="P18" i="37" s="1"/>
  <c r="U100" i="37"/>
  <c r="P17" i="37" s="1"/>
  <c r="T100" i="37"/>
  <c r="P16" i="37" s="1"/>
  <c r="S100" i="37"/>
  <c r="P15" i="37" s="1"/>
  <c r="R100" i="37"/>
  <c r="P14" i="37" s="1"/>
  <c r="Q100" i="37"/>
  <c r="P13" i="37" s="1"/>
  <c r="P100" i="37"/>
  <c r="P12" i="37" s="1"/>
  <c r="O100" i="37"/>
  <c r="P11" i="37" s="1"/>
  <c r="N100" i="37"/>
  <c r="P10" i="37" s="1"/>
  <c r="M100" i="37"/>
  <c r="P9" i="37" s="1"/>
  <c r="L100" i="37"/>
  <c r="P8" i="37" s="1"/>
  <c r="V77" i="37"/>
  <c r="U77" i="37"/>
  <c r="T77" i="37"/>
  <c r="S77" i="37"/>
  <c r="R77" i="37"/>
  <c r="Q77" i="37"/>
  <c r="P77" i="37"/>
  <c r="O77" i="37"/>
  <c r="N77" i="37"/>
  <c r="M77" i="37"/>
  <c r="L77" i="37"/>
  <c r="V75" i="37"/>
  <c r="V74" i="37"/>
  <c r="O18" i="37" s="1"/>
  <c r="U74" i="37"/>
  <c r="O17" i="37" s="1"/>
  <c r="T74" i="37"/>
  <c r="O16" i="37" s="1"/>
  <c r="S74" i="37"/>
  <c r="O15" i="37" s="1"/>
  <c r="R74" i="37"/>
  <c r="O14" i="37" s="1"/>
  <c r="Q74" i="37"/>
  <c r="O13" i="37" s="1"/>
  <c r="P74" i="37"/>
  <c r="O12" i="37" s="1"/>
  <c r="O74" i="37"/>
  <c r="O11" i="37" s="1"/>
  <c r="N74" i="37"/>
  <c r="O10" i="37" s="1"/>
  <c r="M74" i="37"/>
  <c r="O9" i="37" s="1"/>
  <c r="L74" i="37"/>
  <c r="O8" i="37" s="1"/>
  <c r="V51" i="37"/>
  <c r="V48" i="37" s="1"/>
  <c r="N18" i="37" s="1"/>
  <c r="U51" i="37"/>
  <c r="U48" i="37" s="1"/>
  <c r="N17" i="37" s="1"/>
  <c r="T51" i="37"/>
  <c r="S51" i="37"/>
  <c r="R51" i="37"/>
  <c r="R48" i="37" s="1"/>
  <c r="N14" i="37" s="1"/>
  <c r="Q51" i="37"/>
  <c r="Q48" i="37" s="1"/>
  <c r="N13" i="37" s="1"/>
  <c r="P51" i="37"/>
  <c r="O51" i="37"/>
  <c r="O48" i="37" s="1"/>
  <c r="N11" i="37" s="1"/>
  <c r="N51" i="37"/>
  <c r="N48" i="37" s="1"/>
  <c r="N10" i="37" s="1"/>
  <c r="M51" i="37"/>
  <c r="M48" i="37" s="1"/>
  <c r="N9" i="37" s="1"/>
  <c r="L51" i="37"/>
  <c r="V49" i="37"/>
  <c r="T48" i="37"/>
  <c r="N16" i="37" s="1"/>
  <c r="S48" i="37"/>
  <c r="N15" i="37" s="1"/>
  <c r="P48" i="37"/>
  <c r="N12" i="37" s="1"/>
  <c r="L48" i="37"/>
  <c r="N8" i="37" s="1"/>
  <c r="V25" i="37"/>
  <c r="U25" i="37"/>
  <c r="T25" i="37"/>
  <c r="S25" i="37"/>
  <c r="R25" i="37"/>
  <c r="Q25" i="37"/>
  <c r="P25" i="37"/>
  <c r="O25" i="37"/>
  <c r="N25" i="37"/>
  <c r="M25" i="37"/>
  <c r="L25" i="37"/>
  <c r="V23" i="37"/>
  <c r="V22" i="37"/>
  <c r="M18" i="37" s="1"/>
  <c r="U22" i="37"/>
  <c r="M17" i="37" s="1"/>
  <c r="T22" i="37"/>
  <c r="M16" i="37" s="1"/>
  <c r="S22" i="37"/>
  <c r="M15" i="37" s="1"/>
  <c r="R22" i="37"/>
  <c r="M14" i="37" s="1"/>
  <c r="Q22" i="37"/>
  <c r="M13" i="37" s="1"/>
  <c r="P22" i="37"/>
  <c r="M12" i="37" s="1"/>
  <c r="O22" i="37"/>
  <c r="M11" i="37" s="1"/>
  <c r="N22" i="37"/>
  <c r="M10" i="37" s="1"/>
  <c r="M22" i="37"/>
  <c r="M9" i="37" s="1"/>
  <c r="L22" i="37"/>
  <c r="M8" i="37" s="1"/>
  <c r="L7" i="37"/>
  <c r="C6" i="37"/>
  <c r="L5" i="37"/>
  <c r="K5" i="37"/>
  <c r="I53" i="38"/>
  <c r="I52" i="38"/>
  <c r="I51" i="38"/>
  <c r="I50" i="38"/>
  <c r="I49" i="38"/>
  <c r="I48" i="38"/>
  <c r="I45" i="38"/>
  <c r="I44" i="38"/>
  <c r="I43" i="38"/>
  <c r="I42" i="38"/>
  <c r="I41" i="38"/>
  <c r="I40" i="38"/>
  <c r="I39" i="38"/>
  <c r="I38" i="38"/>
  <c r="I37" i="38"/>
  <c r="L36" i="38"/>
  <c r="I36" i="38"/>
  <c r="I35" i="38"/>
  <c r="I34" i="38"/>
  <c r="I33" i="38"/>
  <c r="I32" i="38"/>
  <c r="I31" i="38"/>
  <c r="I30" i="38"/>
  <c r="I29" i="38"/>
  <c r="I28" i="38"/>
  <c r="P26" i="38"/>
  <c r="L26" i="38"/>
  <c r="I26" i="38"/>
  <c r="I25" i="38"/>
  <c r="I24" i="38"/>
  <c r="P23" i="38"/>
  <c r="M23" i="38" s="1"/>
  <c r="I23" i="38"/>
  <c r="I22" i="38"/>
  <c r="I21" i="38"/>
  <c r="I20" i="38"/>
  <c r="S19" i="38"/>
  <c r="R19" i="38"/>
  <c r="I19" i="38"/>
  <c r="R18" i="38"/>
  <c r="I18" i="38"/>
  <c r="R17" i="38"/>
  <c r="I17" i="38"/>
  <c r="R16" i="38"/>
  <c r="R15" i="38"/>
  <c r="E14" i="38"/>
  <c r="I14" i="38" s="1"/>
  <c r="S13" i="38"/>
  <c r="R13" i="38"/>
  <c r="I13" i="38"/>
  <c r="S12" i="38"/>
  <c r="R12" i="38"/>
  <c r="I12" i="38"/>
  <c r="S11" i="38"/>
  <c r="R11" i="38"/>
  <c r="I11" i="38"/>
  <c r="S10" i="38"/>
  <c r="R10" i="38"/>
  <c r="I10" i="38"/>
  <c r="S9" i="38"/>
  <c r="R9" i="38"/>
  <c r="I9" i="38"/>
  <c r="I8" i="38"/>
  <c r="S7" i="38"/>
  <c r="R7" i="38"/>
  <c r="I7" i="38"/>
  <c r="S6" i="38"/>
  <c r="R6" i="38"/>
  <c r="I6" i="38"/>
  <c r="S5" i="38"/>
  <c r="R5" i="38"/>
  <c r="I5" i="38"/>
  <c r="S4" i="38"/>
  <c r="R4" i="38"/>
  <c r="I4" i="38"/>
  <c r="D61" i="39"/>
  <c r="G61" i="39" s="1"/>
  <c r="D60" i="39"/>
  <c r="G60" i="39" s="1"/>
  <c r="D59" i="39"/>
  <c r="G59" i="39" s="1"/>
  <c r="D58" i="39"/>
  <c r="G58" i="39" s="1"/>
  <c r="D57" i="39"/>
  <c r="G57" i="39" s="1"/>
  <c r="D56" i="39"/>
  <c r="G56" i="39" s="1"/>
  <c r="D55" i="39"/>
  <c r="G55" i="39" s="1"/>
  <c r="D54" i="39"/>
  <c r="G54" i="39" s="1"/>
  <c r="D53" i="39"/>
  <c r="G53" i="39" s="1"/>
  <c r="D52" i="39"/>
  <c r="G52" i="39" s="1"/>
  <c r="D51" i="39"/>
  <c r="G51" i="39" s="1"/>
  <c r="D50" i="39"/>
  <c r="G50" i="39" s="1"/>
  <c r="D49" i="39"/>
  <c r="G49" i="39" s="1"/>
  <c r="D48" i="39"/>
  <c r="G48" i="39" s="1"/>
  <c r="D47" i="39"/>
  <c r="G47" i="39" s="1"/>
  <c r="D46" i="39"/>
  <c r="G46" i="39" s="1"/>
  <c r="D42" i="39"/>
  <c r="G42" i="39" s="1"/>
  <c r="D5" i="39" s="1"/>
  <c r="E37" i="39"/>
  <c r="E36" i="39"/>
  <c r="E35" i="39"/>
  <c r="E34" i="39"/>
  <c r="E33" i="39"/>
  <c r="E32" i="39"/>
  <c r="E31" i="39"/>
  <c r="E30" i="39"/>
  <c r="E29" i="39"/>
  <c r="D44" i="39" s="1"/>
  <c r="G44" i="39" s="1"/>
  <c r="E28" i="39"/>
  <c r="E27" i="39"/>
  <c r="E26" i="39"/>
  <c r="D21" i="39"/>
  <c r="E14" i="39"/>
  <c r="D4" i="39"/>
  <c r="L3" i="39"/>
  <c r="J3" i="39"/>
  <c r="D3" i="39"/>
  <c r="C164" i="40"/>
  <c r="C162" i="40"/>
  <c r="C161" i="40"/>
  <c r="C156" i="40"/>
  <c r="C155" i="40"/>
  <c r="C154" i="40"/>
  <c r="C152" i="40"/>
  <c r="C151" i="40"/>
  <c r="M149" i="40"/>
  <c r="M147" i="40"/>
  <c r="G142" i="40"/>
  <c r="C142" i="40"/>
  <c r="G141" i="40"/>
  <c r="C141" i="40"/>
  <c r="G140" i="40"/>
  <c r="C140" i="40"/>
  <c r="G139" i="40"/>
  <c r="C139" i="40"/>
  <c r="G138" i="40"/>
  <c r="C138" i="40"/>
  <c r="M137" i="40"/>
  <c r="G135" i="40" s="1"/>
  <c r="G137" i="40"/>
  <c r="G136" i="40"/>
  <c r="M124" i="40"/>
  <c r="M123" i="40"/>
  <c r="C105" i="40" s="1"/>
  <c r="M118" i="40"/>
  <c r="M120" i="40" s="1"/>
  <c r="G104" i="40" s="1"/>
  <c r="M105" i="40"/>
  <c r="G128" i="40" s="1"/>
  <c r="M104" i="40"/>
  <c r="M103" i="40"/>
  <c r="G74" i="40"/>
  <c r="M60" i="40"/>
  <c r="G66" i="40" s="1"/>
  <c r="M54" i="40"/>
  <c r="G48" i="40" s="1"/>
  <c r="M47" i="40"/>
  <c r="G41" i="40" s="1"/>
  <c r="C44" i="40"/>
  <c r="C39" i="40"/>
  <c r="M35" i="40"/>
  <c r="G21" i="40" s="1"/>
  <c r="G32" i="40"/>
  <c r="G31" i="40"/>
  <c r="G30" i="40"/>
  <c r="G7" i="40"/>
  <c r="G6" i="40"/>
  <c r="L4" i="40"/>
  <c r="M4" i="40" s="1"/>
  <c r="L11" i="40" s="1"/>
  <c r="O11" i="40" s="1"/>
  <c r="K4" i="40"/>
  <c r="P110" i="42"/>
  <c r="P107" i="42" s="1"/>
  <c r="O110" i="42"/>
  <c r="N110" i="42"/>
  <c r="N107" i="42" s="1"/>
  <c r="M16" i="42" s="1"/>
  <c r="M110" i="42"/>
  <c r="M107" i="42" s="1"/>
  <c r="M15" i="42" s="1"/>
  <c r="M28" i="42" s="1"/>
  <c r="L110" i="42"/>
  <c r="L107" i="42" s="1"/>
  <c r="M14" i="42" s="1"/>
  <c r="K110" i="42"/>
  <c r="J110" i="42"/>
  <c r="J107" i="42" s="1"/>
  <c r="M12" i="42" s="1"/>
  <c r="I110" i="42"/>
  <c r="I107" i="42" s="1"/>
  <c r="M11" i="42" s="1"/>
  <c r="H110" i="42"/>
  <c r="H107" i="42" s="1"/>
  <c r="M10" i="42" s="1"/>
  <c r="G110" i="42"/>
  <c r="G107" i="42" s="1"/>
  <c r="M9" i="42" s="1"/>
  <c r="M20" i="42" s="1"/>
  <c r="F110" i="42"/>
  <c r="F107" i="42" s="1"/>
  <c r="M8" i="42" s="1"/>
  <c r="M29" i="42" s="1"/>
  <c r="E110" i="42"/>
  <c r="E107" i="42" s="1"/>
  <c r="M7" i="42" s="1"/>
  <c r="M24" i="42" s="1"/>
  <c r="D110" i="42"/>
  <c r="D107" i="42" s="1"/>
  <c r="M6" i="42" s="1"/>
  <c r="M27" i="42" s="1"/>
  <c r="C110" i="42"/>
  <c r="C107" i="42" s="1"/>
  <c r="M5" i="42" s="1"/>
  <c r="O107" i="42"/>
  <c r="K107" i="42"/>
  <c r="M13" i="42" s="1"/>
  <c r="M21" i="42" s="1"/>
  <c r="C92" i="42"/>
  <c r="F92" i="42" s="1"/>
  <c r="C77" i="42"/>
  <c r="F77" i="42" s="1"/>
  <c r="C62" i="42"/>
  <c r="F62" i="42" s="1"/>
  <c r="D41" i="42"/>
  <c r="D40" i="42"/>
  <c r="E40" i="42" s="1"/>
  <c r="K29" i="42"/>
  <c r="H29" i="42"/>
  <c r="K28" i="42"/>
  <c r="H28" i="42"/>
  <c r="G27" i="42"/>
  <c r="E27" i="42" s="1"/>
  <c r="K25" i="42"/>
  <c r="H25" i="42"/>
  <c r="G25" i="42"/>
  <c r="E25" i="42" s="1"/>
  <c r="K24" i="42"/>
  <c r="H24" i="42"/>
  <c r="G24" i="42"/>
  <c r="E24" i="42" s="1"/>
  <c r="K23" i="42"/>
  <c r="H23" i="42"/>
  <c r="L22" i="42"/>
  <c r="K22" i="42"/>
  <c r="G22" i="42"/>
  <c r="E22" i="42" s="1"/>
  <c r="L21" i="42"/>
  <c r="K21" i="42"/>
  <c r="L20" i="42"/>
  <c r="K20" i="42"/>
  <c r="G20" i="42"/>
  <c r="E20" i="42" s="1"/>
  <c r="K19" i="42"/>
  <c r="L18" i="42"/>
  <c r="K18" i="42"/>
  <c r="C18" i="42"/>
  <c r="M17" i="42"/>
  <c r="G17" i="42"/>
  <c r="F17" i="42"/>
  <c r="G16" i="42"/>
  <c r="F16" i="42"/>
  <c r="G15" i="42"/>
  <c r="F15" i="42"/>
  <c r="K14" i="42"/>
  <c r="G14" i="42"/>
  <c r="F14" i="42"/>
  <c r="K13" i="42"/>
  <c r="G13" i="42"/>
  <c r="F13" i="42"/>
  <c r="G12" i="42"/>
  <c r="F12" i="42"/>
  <c r="G11" i="42"/>
  <c r="F11" i="42"/>
  <c r="G10" i="42"/>
  <c r="F10" i="42"/>
  <c r="L9" i="42"/>
  <c r="K9" i="42"/>
  <c r="G9" i="42"/>
  <c r="F9" i="42"/>
  <c r="K8" i="42"/>
  <c r="G8" i="42"/>
  <c r="F8" i="42"/>
  <c r="G7" i="42"/>
  <c r="F7" i="42"/>
  <c r="G6" i="42"/>
  <c r="F6" i="42"/>
  <c r="L5" i="42"/>
  <c r="K5" i="42"/>
  <c r="G5" i="42"/>
  <c r="F5" i="42"/>
  <c r="B4" i="42"/>
  <c r="C3" i="42"/>
  <c r="AD173" i="43"/>
  <c r="AG172" i="43"/>
  <c r="AF172" i="43"/>
  <c r="AE172" i="43"/>
  <c r="AD172" i="43"/>
  <c r="AC172" i="43"/>
  <c r="AB172" i="43"/>
  <c r="Z171" i="43"/>
  <c r="AE171" i="43" s="1"/>
  <c r="X170" i="43"/>
  <c r="AE170" i="43" s="1"/>
  <c r="AF170" i="43" s="1"/>
  <c r="AG170" i="43" s="1"/>
  <c r="V169" i="43"/>
  <c r="W169" i="43" s="1"/>
  <c r="T168" i="43"/>
  <c r="U168" i="43" s="1"/>
  <c r="V168" i="43" s="1"/>
  <c r="S167" i="43"/>
  <c r="AD167" i="43" s="1"/>
  <c r="R167" i="43"/>
  <c r="P166" i="43"/>
  <c r="Q166" i="43" s="1"/>
  <c r="AD166" i="43" s="1"/>
  <c r="N165" i="43"/>
  <c r="O165" i="43" s="1"/>
  <c r="P165" i="43" s="1"/>
  <c r="P164" i="43"/>
  <c r="Q164" i="43" s="1"/>
  <c r="N164" i="43"/>
  <c r="O164" i="43" s="1"/>
  <c r="H162" i="43"/>
  <c r="H161" i="43"/>
  <c r="H160" i="43"/>
  <c r="AG159" i="43"/>
  <c r="AF159" i="43"/>
  <c r="AE159" i="43"/>
  <c r="AD159" i="43"/>
  <c r="H159" i="43"/>
  <c r="AG158" i="43"/>
  <c r="AF158" i="43"/>
  <c r="AE158" i="43"/>
  <c r="AD158" i="43"/>
  <c r="AC158" i="43"/>
  <c r="AB158" i="43"/>
  <c r="H158" i="43"/>
  <c r="AG157" i="43"/>
  <c r="AF157" i="43"/>
  <c r="AE157" i="43"/>
  <c r="AD157" i="43"/>
  <c r="AC157" i="43"/>
  <c r="AB157" i="43"/>
  <c r="AA157" i="43"/>
  <c r="Z157" i="43"/>
  <c r="H157" i="43"/>
  <c r="AG156" i="43"/>
  <c r="AF156" i="43"/>
  <c r="AE156" i="43"/>
  <c r="AD156" i="43"/>
  <c r="AC156" i="43"/>
  <c r="AB156" i="43"/>
  <c r="AA156" i="43"/>
  <c r="Z156" i="43"/>
  <c r="Y156" i="43"/>
  <c r="X156" i="43"/>
  <c r="V155" i="43"/>
  <c r="AG155" i="43" s="1"/>
  <c r="T154" i="43"/>
  <c r="AG154" i="43" s="1"/>
  <c r="B154" i="43"/>
  <c r="G154" i="43" s="1"/>
  <c r="R153" i="43"/>
  <c r="AG153" i="43" s="1"/>
  <c r="B153" i="43"/>
  <c r="G153" i="43" s="1"/>
  <c r="P152" i="43"/>
  <c r="AA152" i="43" s="1"/>
  <c r="B152" i="43"/>
  <c r="G152" i="43" s="1"/>
  <c r="N151" i="43"/>
  <c r="O151" i="43" s="1"/>
  <c r="P151" i="43" s="1"/>
  <c r="Q151" i="43" s="1"/>
  <c r="R151" i="43" s="1"/>
  <c r="S151" i="43" s="1"/>
  <c r="T151" i="43" s="1"/>
  <c r="U151" i="43" s="1"/>
  <c r="V151" i="43" s="1"/>
  <c r="W151" i="43" s="1"/>
  <c r="X151" i="43" s="1"/>
  <c r="Y151" i="43" s="1"/>
  <c r="Z151" i="43" s="1"/>
  <c r="AA151" i="43" s="1"/>
  <c r="AB151" i="43" s="1"/>
  <c r="AC151" i="43" s="1"/>
  <c r="AD151" i="43" s="1"/>
  <c r="AE151" i="43" s="1"/>
  <c r="AF151" i="43" s="1"/>
  <c r="AG151" i="43" s="1"/>
  <c r="B151" i="43"/>
  <c r="G151" i="43" s="1"/>
  <c r="N150" i="43"/>
  <c r="O150" i="43" s="1"/>
  <c r="B146" i="43"/>
  <c r="AD145" i="43"/>
  <c r="B145" i="43"/>
  <c r="AB144" i="43"/>
  <c r="Z143" i="43"/>
  <c r="B143" i="43"/>
  <c r="AE142" i="43"/>
  <c r="AF142" i="43" s="1"/>
  <c r="AG142" i="43" s="1"/>
  <c r="AA142" i="43"/>
  <c r="X142" i="43"/>
  <c r="AB142" i="43" s="1"/>
  <c r="B142" i="43"/>
  <c r="Y141" i="43"/>
  <c r="V141" i="43"/>
  <c r="W141" i="43" s="1"/>
  <c r="X141" i="43" s="1"/>
  <c r="B141" i="43"/>
  <c r="T140" i="43"/>
  <c r="U140" i="43" s="1"/>
  <c r="V140" i="43" s="1"/>
  <c r="R139" i="43"/>
  <c r="S139" i="43" s="1"/>
  <c r="P138" i="43"/>
  <c r="Q138" i="43" s="1"/>
  <c r="S138" i="43" s="1"/>
  <c r="N137" i="43"/>
  <c r="O137" i="43" s="1"/>
  <c r="P137" i="43" s="1"/>
  <c r="AC137" i="43" s="1"/>
  <c r="N136" i="43"/>
  <c r="Q136" i="43" s="1"/>
  <c r="V136" i="43" s="1"/>
  <c r="W136" i="43" s="1"/>
  <c r="AF126" i="43"/>
  <c r="AG126" i="43" s="1"/>
  <c r="Z125" i="43"/>
  <c r="AA125" i="43" s="1"/>
  <c r="T124" i="43"/>
  <c r="P123" i="43"/>
  <c r="Q123" i="43" s="1"/>
  <c r="P122" i="43"/>
  <c r="W122" i="43" s="1"/>
  <c r="AD113" i="43"/>
  <c r="AF113" i="43" s="1"/>
  <c r="AG113" i="43" s="1"/>
  <c r="Z112" i="43"/>
  <c r="AB112" i="43" s="1"/>
  <c r="AC112" i="43" s="1"/>
  <c r="V111" i="43"/>
  <c r="R110" i="43"/>
  <c r="T110" i="43" s="1"/>
  <c r="O109" i="43"/>
  <c r="P109" i="43" s="1"/>
  <c r="F108" i="43"/>
  <c r="E108" i="43"/>
  <c r="D108" i="43"/>
  <c r="C108" i="43"/>
  <c r="F107" i="43"/>
  <c r="E107" i="43"/>
  <c r="D107" i="43"/>
  <c r="C107" i="43"/>
  <c r="F106" i="43"/>
  <c r="E106" i="43"/>
  <c r="D106" i="43"/>
  <c r="C106" i="43"/>
  <c r="F105" i="43"/>
  <c r="E105" i="43"/>
  <c r="D105" i="43"/>
  <c r="C105" i="43"/>
  <c r="F104" i="43"/>
  <c r="E104" i="43"/>
  <c r="D104" i="43"/>
  <c r="C104" i="43"/>
  <c r="F103" i="43"/>
  <c r="E103" i="43"/>
  <c r="D103" i="43"/>
  <c r="C103" i="43"/>
  <c r="F102" i="43"/>
  <c r="E102" i="43"/>
  <c r="D102" i="43"/>
  <c r="C102" i="43"/>
  <c r="F101" i="43"/>
  <c r="E101" i="43"/>
  <c r="D101" i="43"/>
  <c r="C101" i="43"/>
  <c r="F100" i="43"/>
  <c r="E100" i="43"/>
  <c r="D100" i="43"/>
  <c r="C100" i="43"/>
  <c r="AD99" i="43"/>
  <c r="AF99" i="43" s="1"/>
  <c r="AG99" i="43" s="1"/>
  <c r="F99" i="43"/>
  <c r="E99" i="43"/>
  <c r="D99" i="43"/>
  <c r="C99" i="43"/>
  <c r="Z98" i="43"/>
  <c r="AA98" i="43" s="1"/>
  <c r="F98" i="43"/>
  <c r="E98" i="43"/>
  <c r="D98" i="43"/>
  <c r="C98" i="43"/>
  <c r="V97" i="43"/>
  <c r="W97" i="43" s="1"/>
  <c r="X97" i="43" s="1"/>
  <c r="F97" i="43"/>
  <c r="E97" i="43"/>
  <c r="D97" i="43"/>
  <c r="C97" i="43"/>
  <c r="R96" i="43"/>
  <c r="F96" i="43"/>
  <c r="E96" i="43"/>
  <c r="D96" i="43"/>
  <c r="C96" i="43"/>
  <c r="P95" i="43"/>
  <c r="Q95" i="43" s="1"/>
  <c r="R95" i="43" s="1"/>
  <c r="O95" i="43"/>
  <c r="F95" i="43"/>
  <c r="E95" i="43"/>
  <c r="D95" i="43"/>
  <c r="C95" i="43"/>
  <c r="F94" i="43"/>
  <c r="E94" i="43"/>
  <c r="D94" i="43"/>
  <c r="C94" i="43"/>
  <c r="F93" i="43"/>
  <c r="E93" i="43"/>
  <c r="D93" i="43"/>
  <c r="C93" i="43"/>
  <c r="AF84" i="43"/>
  <c r="AG84" i="43" s="1"/>
  <c r="Z83" i="43"/>
  <c r="W82" i="43"/>
  <c r="AD82" i="43" s="1"/>
  <c r="T82" i="43"/>
  <c r="P81" i="43"/>
  <c r="Q81" i="43" s="1"/>
  <c r="S81" i="43" s="1"/>
  <c r="T81" i="43" s="1"/>
  <c r="P80" i="43"/>
  <c r="Q80" i="43" s="1"/>
  <c r="AG75" i="43"/>
  <c r="AF75" i="43"/>
  <c r="AE75" i="43"/>
  <c r="AD75" i="43"/>
  <c r="AG74" i="43"/>
  <c r="AF74" i="43"/>
  <c r="AE74" i="43"/>
  <c r="AD74" i="43"/>
  <c r="AC74" i="43"/>
  <c r="AB74" i="43"/>
  <c r="Z73" i="43"/>
  <c r="AF73" i="43" s="1"/>
  <c r="X72" i="43"/>
  <c r="AF72" i="43" s="1"/>
  <c r="AG72" i="43" s="1"/>
  <c r="V71" i="43"/>
  <c r="W71" i="43" s="1"/>
  <c r="AB71" i="43" s="1"/>
  <c r="T70" i="43"/>
  <c r="U70" i="43" s="1"/>
  <c r="V70" i="43" s="1"/>
  <c r="R69" i="43"/>
  <c r="S69" i="43" s="1"/>
  <c r="AF69" i="43" s="1"/>
  <c r="P68" i="43"/>
  <c r="Q68" i="43" s="1"/>
  <c r="AB68" i="43" s="1"/>
  <c r="N67" i="43"/>
  <c r="O67" i="43" s="1"/>
  <c r="P67" i="43" s="1"/>
  <c r="D67" i="43"/>
  <c r="C67" i="43"/>
  <c r="N66" i="43"/>
  <c r="D64" i="43"/>
  <c r="C64" i="43"/>
  <c r="AD61" i="43"/>
  <c r="AG61" i="43" s="1"/>
  <c r="D61" i="43"/>
  <c r="C61" i="43"/>
  <c r="AE60" i="43"/>
  <c r="AB60" i="43"/>
  <c r="AF60" i="43" s="1"/>
  <c r="C60" i="43"/>
  <c r="Z59" i="43"/>
  <c r="AE59" i="43" s="1"/>
  <c r="X58" i="43"/>
  <c r="AB58" i="43" s="1"/>
  <c r="D58" i="43"/>
  <c r="C58" i="43"/>
  <c r="C59" i="43" s="1"/>
  <c r="V57" i="43"/>
  <c r="W57" i="43" s="1"/>
  <c r="X56" i="43"/>
  <c r="T56" i="43"/>
  <c r="U56" i="43" s="1"/>
  <c r="V56" i="43" s="1"/>
  <c r="AF56" i="43" s="1"/>
  <c r="R55" i="43"/>
  <c r="S55" i="43" s="1"/>
  <c r="D55" i="43"/>
  <c r="C55" i="43"/>
  <c r="C57" i="43" s="1"/>
  <c r="P54" i="43"/>
  <c r="AG54" i="43" s="1"/>
  <c r="N53" i="43"/>
  <c r="Z53" i="43" s="1"/>
  <c r="N52" i="43"/>
  <c r="AG47" i="43"/>
  <c r="AF47" i="43"/>
  <c r="AE47" i="43"/>
  <c r="AD47" i="43"/>
  <c r="AG46" i="43"/>
  <c r="AF46" i="43"/>
  <c r="AE46" i="43"/>
  <c r="AD46" i="43"/>
  <c r="AC46" i="43"/>
  <c r="AB46" i="43"/>
  <c r="AG45" i="43"/>
  <c r="AF45" i="43"/>
  <c r="AE45" i="43"/>
  <c r="AD45" i="43"/>
  <c r="AC45" i="43"/>
  <c r="AB45" i="43"/>
  <c r="AA45" i="43"/>
  <c r="Z45" i="43"/>
  <c r="AG44" i="43"/>
  <c r="AF44" i="43"/>
  <c r="AE44" i="43"/>
  <c r="AD44" i="43"/>
  <c r="AC44" i="43"/>
  <c r="AB44" i="43"/>
  <c r="AA44" i="43"/>
  <c r="Z44" i="43"/>
  <c r="Y44" i="43"/>
  <c r="X44" i="43"/>
  <c r="AG43" i="43"/>
  <c r="AF43" i="43"/>
  <c r="AE43" i="43"/>
  <c r="AD43" i="43"/>
  <c r="AC43" i="43"/>
  <c r="AB43" i="43"/>
  <c r="AA43" i="43"/>
  <c r="Z43" i="43"/>
  <c r="Y43" i="43"/>
  <c r="X43" i="43"/>
  <c r="W43" i="43"/>
  <c r="V43" i="43"/>
  <c r="AG42" i="43"/>
  <c r="AF42" i="43"/>
  <c r="AE42" i="43"/>
  <c r="AD42" i="43"/>
  <c r="AC42" i="43"/>
  <c r="AB42" i="43"/>
  <c r="AA42" i="43"/>
  <c r="Z42" i="43"/>
  <c r="Y42" i="43"/>
  <c r="X42" i="43"/>
  <c r="W42" i="43"/>
  <c r="V42" i="43"/>
  <c r="U42" i="43"/>
  <c r="T42" i="43"/>
  <c r="AG41" i="43"/>
  <c r="AF41" i="43"/>
  <c r="AE41" i="43"/>
  <c r="AD41" i="43"/>
  <c r="AC41" i="43"/>
  <c r="AB41" i="43"/>
  <c r="AA41" i="43"/>
  <c r="Z41" i="43"/>
  <c r="Y41" i="43"/>
  <c r="X41" i="43"/>
  <c r="W41" i="43"/>
  <c r="V41" i="43"/>
  <c r="U41" i="43"/>
  <c r="T41" i="43"/>
  <c r="S41" i="43"/>
  <c r="R41" i="43"/>
  <c r="C41" i="43"/>
  <c r="AG40" i="43"/>
  <c r="AF40" i="43"/>
  <c r="AE40" i="43"/>
  <c r="AD40" i="43"/>
  <c r="AC40" i="43"/>
  <c r="AB40" i="43"/>
  <c r="AA40" i="43"/>
  <c r="Z40" i="43"/>
  <c r="Y40" i="43"/>
  <c r="X40" i="43"/>
  <c r="W40" i="43"/>
  <c r="V40" i="43"/>
  <c r="U40" i="43"/>
  <c r="T40" i="43"/>
  <c r="S40" i="43"/>
  <c r="R40" i="43"/>
  <c r="Q40" i="43"/>
  <c r="P40" i="43"/>
  <c r="C40" i="43"/>
  <c r="AG39" i="43"/>
  <c r="AF39" i="43"/>
  <c r="AE39" i="43"/>
  <c r="AD39" i="43"/>
  <c r="AC39" i="43"/>
  <c r="AB39" i="43"/>
  <c r="AA39" i="43"/>
  <c r="Z39" i="43"/>
  <c r="Y39" i="43"/>
  <c r="X39" i="43"/>
  <c r="W39" i="43"/>
  <c r="V39" i="43"/>
  <c r="U39" i="43"/>
  <c r="T39" i="43"/>
  <c r="S39" i="43"/>
  <c r="R39" i="43"/>
  <c r="Q39" i="43"/>
  <c r="P39" i="43"/>
  <c r="O39" i="43"/>
  <c r="N39" i="43"/>
  <c r="C39" i="43"/>
  <c r="AG38" i="43"/>
  <c r="AF38" i="43"/>
  <c r="AE38" i="43"/>
  <c r="AD38" i="43"/>
  <c r="AC38" i="43"/>
  <c r="AB38" i="43"/>
  <c r="AA38" i="43"/>
  <c r="Z38" i="43"/>
  <c r="Y38" i="43"/>
  <c r="X38" i="43"/>
  <c r="W38" i="43"/>
  <c r="O38" i="43"/>
  <c r="N38" i="43"/>
  <c r="C38" i="43"/>
  <c r="C37" i="43"/>
  <c r="C36" i="43"/>
  <c r="C32" i="43"/>
  <c r="D32" i="43" s="1"/>
  <c r="D31" i="43"/>
  <c r="C31" i="43"/>
  <c r="J29" i="43"/>
  <c r="J28" i="43"/>
  <c r="J27" i="43"/>
  <c r="G27" i="43"/>
  <c r="J26" i="43"/>
  <c r="G26" i="43"/>
  <c r="H26" i="43" s="1"/>
  <c r="D26" i="43"/>
  <c r="C26" i="43"/>
  <c r="J25" i="43"/>
  <c r="G25" i="43"/>
  <c r="H25" i="43" s="1"/>
  <c r="J24" i="43"/>
  <c r="G24" i="43"/>
  <c r="H24" i="43" s="1"/>
  <c r="J23" i="43"/>
  <c r="G23" i="43"/>
  <c r="H23" i="43" s="1"/>
  <c r="J22" i="43"/>
  <c r="G22" i="43"/>
  <c r="H22" i="43" s="1"/>
  <c r="J21" i="43"/>
  <c r="G21" i="43"/>
  <c r="H21" i="43" s="1"/>
  <c r="D21" i="43"/>
  <c r="C21" i="43"/>
  <c r="J20" i="43"/>
  <c r="G20" i="43"/>
  <c r="H20" i="43" s="1"/>
  <c r="J19" i="43"/>
  <c r="G19" i="43"/>
  <c r="H19" i="43" s="1"/>
  <c r="D18" i="43"/>
  <c r="P16" i="43"/>
  <c r="G16" i="43"/>
  <c r="P15" i="43"/>
  <c r="G15" i="43"/>
  <c r="P14" i="43"/>
  <c r="D14" i="43"/>
  <c r="D33" i="43" s="1"/>
  <c r="C14" i="43"/>
  <c r="P13" i="43"/>
  <c r="C13" i="43"/>
  <c r="D13" i="43" s="1"/>
  <c r="P12" i="43"/>
  <c r="G12" i="43"/>
  <c r="P11" i="43"/>
  <c r="J11" i="43"/>
  <c r="C11" i="43"/>
  <c r="D15" i="43" s="1"/>
  <c r="P10" i="43"/>
  <c r="P9" i="43"/>
  <c r="P8" i="43"/>
  <c r="J8" i="43"/>
  <c r="C8" i="43"/>
  <c r="P7" i="43"/>
  <c r="C7" i="43"/>
  <c r="D7" i="43" s="1"/>
  <c r="J6" i="43"/>
  <c r="G6" i="43"/>
  <c r="D6" i="43"/>
  <c r="J5" i="43"/>
  <c r="G5" i="43"/>
  <c r="C5" i="43"/>
  <c r="J4" i="43"/>
  <c r="G4" i="43"/>
  <c r="J3" i="43"/>
  <c r="G3" i="43"/>
  <c r="CH105" i="44"/>
  <c r="CH101" i="44"/>
  <c r="C99" i="44"/>
  <c r="ES40" i="44" s="1"/>
  <c r="CH96" i="44"/>
  <c r="CH91" i="44"/>
  <c r="C88" i="44"/>
  <c r="AX87" i="44"/>
  <c r="Y87" i="44"/>
  <c r="CH86" i="44"/>
  <c r="CH81" i="44"/>
  <c r="ES78" i="44"/>
  <c r="CH76" i="44"/>
  <c r="CH71" i="44"/>
  <c r="GC70" i="44"/>
  <c r="K70" i="44"/>
  <c r="K68" i="44"/>
  <c r="CH66" i="44"/>
  <c r="K66" i="44"/>
  <c r="K64" i="44"/>
  <c r="AX63" i="44"/>
  <c r="C63" i="44"/>
  <c r="C67" i="44" s="1"/>
  <c r="K62" i="44"/>
  <c r="CH61" i="44"/>
  <c r="K60" i="44"/>
  <c r="DV59" i="44"/>
  <c r="K58" i="44"/>
  <c r="EH56" i="44"/>
  <c r="EB56" i="44"/>
  <c r="DV56" i="44"/>
  <c r="DP56" i="44"/>
  <c r="DJ56" i="44"/>
  <c r="DD56" i="44"/>
  <c r="CX56" i="44"/>
  <c r="CR56" i="44"/>
  <c r="CL56" i="44"/>
  <c r="CF56" i="44"/>
  <c r="BX56" i="44"/>
  <c r="K56" i="44"/>
  <c r="EH54" i="44"/>
  <c r="K54" i="44"/>
  <c r="C54" i="44"/>
  <c r="C58" i="44" s="1"/>
  <c r="BX52" i="44"/>
  <c r="K52" i="44"/>
  <c r="K50" i="44"/>
  <c r="C49" i="44"/>
  <c r="DY48" i="44"/>
  <c r="DI48" i="44"/>
  <c r="CR48" i="44"/>
  <c r="BY48" i="44"/>
  <c r="K48" i="44"/>
  <c r="K46" i="44"/>
  <c r="C45" i="44"/>
  <c r="K44" i="44"/>
  <c r="DY43" i="44"/>
  <c r="BX43" i="44"/>
  <c r="ES42" i="44"/>
  <c r="K42" i="44"/>
  <c r="DY41" i="44"/>
  <c r="BX41" i="44"/>
  <c r="K40" i="44"/>
  <c r="DY39" i="44"/>
  <c r="BX39" i="44"/>
  <c r="ES38" i="44"/>
  <c r="K38" i="44"/>
  <c r="DY37" i="44"/>
  <c r="BX37" i="44"/>
  <c r="ES36" i="44"/>
  <c r="K36" i="44"/>
  <c r="C36" i="44"/>
  <c r="C40" i="44" s="1"/>
  <c r="DY35" i="44"/>
  <c r="BX35" i="44"/>
  <c r="DY33" i="44"/>
  <c r="BX33" i="44"/>
  <c r="DY31" i="44"/>
  <c r="BX31" i="44"/>
  <c r="K31" i="44"/>
  <c r="CR30" i="44"/>
  <c r="BX29" i="44"/>
  <c r="K29" i="44"/>
  <c r="DY27" i="44"/>
  <c r="CR27" i="44"/>
  <c r="BX27" i="44"/>
  <c r="K27" i="44"/>
  <c r="C27" i="44"/>
  <c r="C31" i="44" s="1"/>
  <c r="DY25" i="44"/>
  <c r="CR25" i="44"/>
  <c r="BX25" i="44"/>
  <c r="K25" i="44"/>
  <c r="HC24" i="44"/>
  <c r="GS24" i="44"/>
  <c r="GM24" i="44"/>
  <c r="GI24" i="44"/>
  <c r="GE24" i="44"/>
  <c r="FH24" i="44"/>
  <c r="FD24" i="44"/>
  <c r="ES24" i="44"/>
  <c r="K23" i="44"/>
  <c r="K21" i="44"/>
  <c r="AS18" i="44"/>
  <c r="AJ18" i="44"/>
  <c r="AC18" i="44"/>
  <c r="Y18" i="44"/>
  <c r="C18" i="44"/>
  <c r="C22" i="44" s="1"/>
  <c r="K16" i="44"/>
  <c r="BX12" i="44"/>
  <c r="GC11" i="44"/>
  <c r="ES11" i="44"/>
  <c r="ES5" i="44"/>
  <c r="DV5" i="44"/>
  <c r="DA5" i="44"/>
  <c r="E23" i="49"/>
  <c r="AG16" i="49"/>
  <c r="AA16" i="49" s="1"/>
  <c r="K7" i="49"/>
  <c r="I7" i="49"/>
  <c r="K6" i="49"/>
  <c r="I6" i="49"/>
  <c r="K5" i="49"/>
  <c r="I5" i="49"/>
  <c r="AF13" i="49"/>
  <c r="AF6" i="49"/>
  <c r="AF5" i="49"/>
  <c r="AF4" i="49" a="1"/>
  <c r="AF12" i="49" s="1"/>
  <c r="AE12" i="49"/>
  <c r="AE9" i="49"/>
  <c r="AE5" i="49"/>
  <c r="AE4" i="49" a="1"/>
  <c r="Z4" i="49" a="1"/>
  <c r="Z10" i="49" s="1"/>
  <c r="X4" i="49" a="1"/>
  <c r="X13" i="49" s="1"/>
  <c r="V4" i="49" a="1"/>
  <c r="V11" i="49" s="1"/>
  <c r="K4" i="49"/>
  <c r="I4" i="49"/>
  <c r="J76" i="51"/>
  <c r="J75" i="51"/>
  <c r="J74" i="51"/>
  <c r="J73" i="51"/>
  <c r="J72" i="51"/>
  <c r="J71" i="51"/>
  <c r="J70" i="51"/>
  <c r="J69" i="51"/>
  <c r="J68" i="51"/>
  <c r="J67" i="51"/>
  <c r="J66" i="51"/>
  <c r="J65" i="51"/>
  <c r="J64" i="51"/>
  <c r="J63" i="51"/>
  <c r="J62" i="51"/>
  <c r="J61" i="51"/>
  <c r="J60" i="51"/>
  <c r="J59" i="51"/>
  <c r="J58" i="51"/>
  <c r="J57" i="51"/>
  <c r="J56" i="51"/>
  <c r="J55" i="51"/>
  <c r="H55" i="51"/>
  <c r="AC53" i="51" a="1"/>
  <c r="AC53" i="51" s="1"/>
  <c r="Z53" i="51" a="1"/>
  <c r="Z53" i="51" s="1"/>
  <c r="W53" i="51" a="1"/>
  <c r="W53" i="51" s="1"/>
  <c r="T53" i="51" a="1"/>
  <c r="T53" i="51" s="1"/>
  <c r="Q53" i="51" a="1"/>
  <c r="Q53" i="51" s="1"/>
  <c r="U43" i="51"/>
  <c r="U42" i="51"/>
  <c r="K4" i="51"/>
  <c r="J4" i="51"/>
  <c r="I4" i="51"/>
  <c r="F4" i="51"/>
  <c r="E4" i="51"/>
  <c r="D4" i="51"/>
  <c r="C4" i="51"/>
  <c r="E69" i="57" a="1"/>
  <c r="E69" i="57" s="1"/>
  <c r="E68" i="57" a="1"/>
  <c r="E68" i="57" s="1"/>
  <c r="E67" i="57" a="1"/>
  <c r="E67" i="57" s="1"/>
  <c r="E66" i="57" a="1"/>
  <c r="E66" i="57" s="1"/>
  <c r="E65" i="57" a="1"/>
  <c r="E65" i="57" s="1"/>
  <c r="E64" i="57" a="1"/>
  <c r="E64" i="57" s="1"/>
  <c r="E63" i="57" a="1"/>
  <c r="E63" i="57" s="1"/>
  <c r="E62" i="57" a="1"/>
  <c r="E62" i="57" s="1"/>
  <c r="E61" i="57" a="1"/>
  <c r="E61" i="57" s="1"/>
  <c r="E60" i="57" a="1"/>
  <c r="E60" i="57" s="1"/>
  <c r="E59" i="57" a="1"/>
  <c r="E59" i="57" s="1"/>
  <c r="E58" i="57" a="1"/>
  <c r="E58" i="57" s="1"/>
  <c r="E57" i="57" a="1"/>
  <c r="E57" i="57" s="1"/>
  <c r="E56" i="57" a="1"/>
  <c r="E56" i="57" s="1"/>
  <c r="E55" i="57" a="1"/>
  <c r="E55" i="57" s="1"/>
  <c r="E54" i="57" a="1"/>
  <c r="E54" i="57" s="1"/>
  <c r="E53" i="57" a="1"/>
  <c r="E53" i="57" s="1"/>
  <c r="E52" i="57" a="1"/>
  <c r="E52" i="57" s="1"/>
  <c r="E51" i="57" a="1"/>
  <c r="E51" i="57" s="1"/>
  <c r="E50" i="57" a="1"/>
  <c r="E50" i="57" s="1"/>
  <c r="E49" i="57" a="1"/>
  <c r="E49" i="57" s="1"/>
  <c r="E48" i="57" a="1"/>
  <c r="E48" i="57" s="1"/>
  <c r="E47" i="57" a="1"/>
  <c r="E47" i="57" s="1"/>
  <c r="E46" i="57" a="1"/>
  <c r="E46" i="57" s="1"/>
  <c r="E45" i="57" a="1"/>
  <c r="E45" i="57" s="1"/>
  <c r="I44" i="57" a="1"/>
  <c r="I44" i="57" s="1"/>
  <c r="E44" i="57" a="1"/>
  <c r="E44" i="57" s="1"/>
  <c r="I43" i="57" a="1"/>
  <c r="I43" i="57" s="1"/>
  <c r="E43" i="57" a="1"/>
  <c r="E43" i="57" s="1"/>
  <c r="I42" i="57" a="1"/>
  <c r="I42" i="57" s="1"/>
  <c r="E42" i="57" a="1"/>
  <c r="E42" i="57" s="1"/>
  <c r="I41" i="57" a="1"/>
  <c r="I41" i="57" s="1"/>
  <c r="E41" i="57" a="1"/>
  <c r="E41" i="57" s="1"/>
  <c r="I40" i="57" a="1"/>
  <c r="I40" i="57" s="1"/>
  <c r="E40" i="57" a="1"/>
  <c r="E40" i="57" s="1"/>
  <c r="I39" i="57" a="1"/>
  <c r="I39" i="57" s="1"/>
  <c r="I38" i="57" a="1"/>
  <c r="I38" i="57" s="1"/>
  <c r="I37" i="57" a="1"/>
  <c r="I37" i="57" s="1"/>
  <c r="I36" i="57" a="1"/>
  <c r="I36" i="57" s="1"/>
  <c r="I35" i="57" a="1"/>
  <c r="I35" i="57" s="1"/>
  <c r="I34" i="57" a="1"/>
  <c r="I34" i="57" s="1"/>
  <c r="I33" i="57" a="1"/>
  <c r="I33" i="57" s="1"/>
  <c r="I32" i="57" a="1"/>
  <c r="I32" i="57" s="1"/>
  <c r="I31" i="57" a="1"/>
  <c r="I31" i="57" s="1"/>
  <c r="I30" i="57" a="1"/>
  <c r="I30" i="57" s="1"/>
  <c r="I29" i="57" a="1"/>
  <c r="I29" i="57" s="1"/>
  <c r="I28" i="57" a="1"/>
  <c r="I28" i="57" s="1"/>
  <c r="I27" i="57" a="1"/>
  <c r="I27" i="57" s="1"/>
  <c r="M24" i="57" a="1"/>
  <c r="M24" i="57" s="1"/>
  <c r="M23" i="57" a="1"/>
  <c r="M23" i="57" s="1"/>
  <c r="M22" i="57" a="1"/>
  <c r="M22" i="57" s="1"/>
  <c r="I22" i="57" a="1"/>
  <c r="I22" i="57" s="1"/>
  <c r="M21" i="57" a="1"/>
  <c r="M21" i="57" s="1"/>
  <c r="I21" i="57" a="1"/>
  <c r="I21" i="57" s="1"/>
  <c r="M20" i="57" a="1"/>
  <c r="M20" i="57" s="1"/>
  <c r="I20" i="57" a="1"/>
  <c r="I20" i="57" s="1"/>
  <c r="A17" i="57"/>
  <c r="F19" i="57" s="1"/>
  <c r="AP2" i="57" s="1"/>
  <c r="A10" i="57"/>
  <c r="G184" i="58"/>
  <c r="G183" i="58"/>
  <c r="G182" i="58"/>
  <c r="G181" i="58"/>
  <c r="G180" i="58"/>
  <c r="G179" i="58"/>
  <c r="G178" i="58"/>
  <c r="G177" i="58"/>
  <c r="G176" i="58"/>
  <c r="G175" i="58"/>
  <c r="G174" i="58"/>
  <c r="G173" i="58"/>
  <c r="G172" i="58"/>
  <c r="G171" i="58"/>
  <c r="G170" i="58"/>
  <c r="G169" i="58"/>
  <c r="G168" i="58"/>
  <c r="G167" i="58"/>
  <c r="G166" i="58"/>
  <c r="G165" i="58"/>
  <c r="G164" i="58"/>
  <c r="G163" i="58"/>
  <c r="G162" i="58"/>
  <c r="G161" i="58"/>
  <c r="G160" i="58"/>
  <c r="G159" i="58"/>
  <c r="AA52" i="58"/>
  <c r="AB52" i="58" s="1"/>
  <c r="AA51" i="58"/>
  <c r="AB51" i="58" s="1"/>
  <c r="AA50" i="58"/>
  <c r="AB50" i="58" s="1"/>
  <c r="AA49" i="58"/>
  <c r="AB49" i="58" s="1"/>
  <c r="AA48" i="58"/>
  <c r="AB48" i="58" s="1"/>
  <c r="AA47" i="58"/>
  <c r="AB47" i="58" s="1"/>
  <c r="AA46" i="58"/>
  <c r="AB46" i="58" s="1"/>
  <c r="AA45" i="58"/>
  <c r="AB45" i="58" s="1"/>
  <c r="AA44" i="58"/>
  <c r="AB44" i="58" s="1"/>
  <c r="AA43" i="58"/>
  <c r="AB43" i="58" s="1"/>
  <c r="AA42" i="58"/>
  <c r="AB42" i="58" s="1"/>
  <c r="AA41" i="58"/>
  <c r="AB41" i="58" s="1"/>
  <c r="AA40" i="58"/>
  <c r="AB40" i="58" s="1"/>
  <c r="AA39" i="58"/>
  <c r="AB39" i="58" s="1"/>
  <c r="AA38" i="58"/>
  <c r="AB38" i="58" s="1"/>
  <c r="AA37" i="58"/>
  <c r="AA36" i="58"/>
  <c r="AB36" i="58" s="1"/>
  <c r="P36" i="58"/>
  <c r="AA35" i="58"/>
  <c r="AB35" i="58" s="1"/>
  <c r="P35" i="58"/>
  <c r="AA34" i="58"/>
  <c r="AA33" i="58"/>
  <c r="AB33" i="58" s="1"/>
  <c r="P33" i="58"/>
  <c r="AA32" i="58"/>
  <c r="AB32" i="58" s="1"/>
  <c r="AA31" i="58"/>
  <c r="AB31" i="58" s="1"/>
  <c r="AA30" i="58"/>
  <c r="AB30" i="58" s="1"/>
  <c r="AA29" i="58"/>
  <c r="AB29" i="58" s="1"/>
  <c r="AA28" i="58"/>
  <c r="AB28" i="58" s="1"/>
  <c r="P28" i="58"/>
  <c r="AA27" i="58"/>
  <c r="AA26" i="58"/>
  <c r="AA25" i="58"/>
  <c r="AA24" i="58"/>
  <c r="AA23" i="58"/>
  <c r="AB23" i="58" s="1"/>
  <c r="AK22" i="58"/>
  <c r="AA22" i="58"/>
  <c r="AB22" i="58" s="1"/>
  <c r="AK21" i="58"/>
  <c r="AA21" i="58"/>
  <c r="AB21" i="58" s="1"/>
  <c r="AK20" i="58"/>
  <c r="AA20" i="58"/>
  <c r="AK19" i="58"/>
  <c r="AA19" i="58"/>
  <c r="AB19" i="58" s="1"/>
  <c r="AK18" i="58"/>
  <c r="AA18" i="58"/>
  <c r="AK17" i="58"/>
  <c r="AA17" i="58"/>
  <c r="AB17" i="58" s="1"/>
  <c r="P17" i="58"/>
  <c r="AK16" i="58"/>
  <c r="AA16" i="58"/>
  <c r="AB16" i="58" s="1"/>
  <c r="AK15" i="58"/>
  <c r="AA15" i="58"/>
  <c r="AB15" i="58" s="1"/>
  <c r="AK14" i="58"/>
  <c r="AA14" i="58"/>
  <c r="AB14" i="58" s="1"/>
  <c r="AK13" i="58"/>
  <c r="AA13" i="58"/>
  <c r="AB13" i="58" s="1"/>
  <c r="AK12" i="58"/>
  <c r="AA12" i="58"/>
  <c r="AB12" i="58" s="1"/>
  <c r="AK11" i="58"/>
  <c r="AB11" i="58"/>
  <c r="AA11" i="58"/>
  <c r="AK10" i="58"/>
  <c r="AA10" i="58"/>
  <c r="AB10" i="58" s="1"/>
  <c r="AK9" i="58"/>
  <c r="AA9" i="58"/>
  <c r="AB9" i="58" s="1"/>
  <c r="AK8" i="58"/>
  <c r="AA8" i="58"/>
  <c r="AB8" i="58" s="1"/>
  <c r="AK7" i="58"/>
  <c r="AA7" i="58"/>
  <c r="AB7" i="58" s="1"/>
  <c r="AK6" i="58"/>
  <c r="AA6" i="58"/>
  <c r="AB6" i="58" s="1"/>
  <c r="P6" i="58"/>
  <c r="AL5" i="58"/>
  <c r="AK5" i="58"/>
  <c r="AE5" i="58"/>
  <c r="AA5" i="58"/>
  <c r="AB5" i="58" s="1"/>
  <c r="AL4" i="58"/>
  <c r="AK4" i="58"/>
  <c r="AE4" i="58"/>
  <c r="AA4" i="58"/>
  <c r="AB4" i="58" s="1"/>
  <c r="AK3" i="58"/>
  <c r="AA3" i="58"/>
  <c r="D708" i="60"/>
  <c r="C708" i="60"/>
  <c r="D707" i="60"/>
  <c r="C707" i="60"/>
  <c r="D706" i="60"/>
  <c r="C706" i="60"/>
  <c r="D705" i="60"/>
  <c r="C705" i="60"/>
  <c r="D704" i="60"/>
  <c r="C704" i="60"/>
  <c r="D703" i="60"/>
  <c r="C703" i="60"/>
  <c r="D702" i="60"/>
  <c r="C702" i="60"/>
  <c r="D701" i="60"/>
  <c r="C701" i="60"/>
  <c r="D700" i="60"/>
  <c r="C700" i="60"/>
  <c r="B333" i="60"/>
  <c r="B250" i="60"/>
  <c r="B249" i="60"/>
  <c r="B248" i="60"/>
  <c r="B247" i="60"/>
  <c r="F229" i="60"/>
  <c r="F230" i="60" s="1"/>
  <c r="G228" i="60"/>
  <c r="G229" i="60" s="1"/>
  <c r="G230" i="60" s="1"/>
  <c r="F228" i="60"/>
  <c r="H205" i="60"/>
  <c r="G205" i="60"/>
  <c r="H204" i="60"/>
  <c r="G204" i="60"/>
  <c r="H203" i="60"/>
  <c r="G203" i="60"/>
  <c r="H202" i="60"/>
  <c r="G202" i="60"/>
  <c r="H201" i="60"/>
  <c r="G201" i="60"/>
  <c r="H200" i="60"/>
  <c r="G200" i="60"/>
  <c r="H199" i="60"/>
  <c r="G199" i="60"/>
  <c r="H198" i="60"/>
  <c r="G198" i="60"/>
  <c r="F198" i="60"/>
  <c r="H197" i="60"/>
  <c r="G197" i="60"/>
  <c r="F197" i="60"/>
  <c r="F205" i="60" s="1"/>
  <c r="B69" i="60"/>
  <c r="B68" i="60"/>
  <c r="B67" i="60"/>
  <c r="B66" i="60"/>
  <c r="B65" i="60"/>
  <c r="C55" i="60"/>
  <c r="Y165" i="43" l="1"/>
  <c r="AG165" i="43"/>
  <c r="Q25" i="35"/>
  <c r="AL154" i="34"/>
  <c r="AM154" i="34" s="1"/>
  <c r="V191" i="34"/>
  <c r="Y58" i="43"/>
  <c r="R81" i="43"/>
  <c r="AD112" i="43"/>
  <c r="AC125" i="43"/>
  <c r="AD125" i="43" s="1"/>
  <c r="AB152" i="43"/>
  <c r="AA166" i="43"/>
  <c r="G51" i="34"/>
  <c r="I70" i="34"/>
  <c r="I71" i="34"/>
  <c r="BI49" i="34"/>
  <c r="O107" i="34"/>
  <c r="AL109" i="34"/>
  <c r="AL111" i="34"/>
  <c r="F114" i="34"/>
  <c r="H114" i="34" s="1"/>
  <c r="O117" i="34"/>
  <c r="AL120" i="34"/>
  <c r="AN120" i="34" s="1"/>
  <c r="AL123" i="34"/>
  <c r="AN123" i="34" s="1"/>
  <c r="AL161" i="34"/>
  <c r="V174" i="34"/>
  <c r="W174" i="34" s="1"/>
  <c r="AD200" i="34"/>
  <c r="V64" i="32"/>
  <c r="J24" i="31"/>
  <c r="G100" i="43"/>
  <c r="G101" i="43"/>
  <c r="G102" i="43"/>
  <c r="G104" i="43"/>
  <c r="G105" i="43"/>
  <c r="G106" i="43"/>
  <c r="G107" i="43"/>
  <c r="G108" i="43"/>
  <c r="AA112" i="43"/>
  <c r="T122" i="43"/>
  <c r="AB125" i="43"/>
  <c r="X153" i="43"/>
  <c r="S166" i="43"/>
  <c r="R12" i="35"/>
  <c r="AL106" i="34"/>
  <c r="AM108" i="34"/>
  <c r="AM110" i="34"/>
  <c r="AL113" i="34"/>
  <c r="AM122" i="34"/>
  <c r="BT259" i="34"/>
  <c r="AU246" i="34" s="1"/>
  <c r="S54" i="43"/>
  <c r="AD60" i="43"/>
  <c r="Y72" i="43"/>
  <c r="G98" i="43"/>
  <c r="AA138" i="43"/>
  <c r="Y142" i="43"/>
  <c r="Q14" i="35"/>
  <c r="S17" i="35"/>
  <c r="G55" i="34"/>
  <c r="AL107" i="34"/>
  <c r="AL163" i="34"/>
  <c r="V202" i="34"/>
  <c r="BT256" i="34"/>
  <c r="AF247" i="34" s="1"/>
  <c r="B27" i="13"/>
  <c r="R21" i="35"/>
  <c r="AM112" i="34"/>
  <c r="AM115" i="34"/>
  <c r="AL121" i="34"/>
  <c r="AN121" i="34" s="1"/>
  <c r="AE11" i="49"/>
  <c r="AE10" i="49"/>
  <c r="AE4" i="49"/>
  <c r="AE6" i="49"/>
  <c r="U82" i="43"/>
  <c r="V82" i="43"/>
  <c r="W111" i="43"/>
  <c r="X111" i="43"/>
  <c r="AE143" i="43"/>
  <c r="AB143" i="43"/>
  <c r="AF143" i="43"/>
  <c r="AG143" i="43" s="1"/>
  <c r="AC143" i="43"/>
  <c r="F167" i="34"/>
  <c r="F153" i="34"/>
  <c r="G153" i="34" s="1"/>
  <c r="F165" i="34"/>
  <c r="Z97" i="43"/>
  <c r="AC97" i="43"/>
  <c r="S130" i="34"/>
  <c r="AA131" i="34"/>
  <c r="AA128" i="34"/>
  <c r="AI128" i="34"/>
  <c r="AM161" i="34"/>
  <c r="AN161" i="34"/>
  <c r="Y53" i="43"/>
  <c r="Q53" i="43"/>
  <c r="AD73" i="43"/>
  <c r="AA73" i="43"/>
  <c r="AG144" i="43"/>
  <c r="AD144" i="43"/>
  <c r="AE173" i="43"/>
  <c r="AF173" i="43"/>
  <c r="AG173" i="43"/>
  <c r="AA130" i="34"/>
  <c r="I4" i="42"/>
  <c r="L4" i="42"/>
  <c r="Z81" i="43"/>
  <c r="AC81" i="43"/>
  <c r="O54" i="34"/>
  <c r="AE121" i="34"/>
  <c r="AD117" i="34"/>
  <c r="AE111" i="34"/>
  <c r="AE107" i="34"/>
  <c r="AD120" i="34"/>
  <c r="AF120" i="34" s="1"/>
  <c r="AE113" i="34"/>
  <c r="AE109" i="34"/>
  <c r="AD116" i="34"/>
  <c r="V159" i="34"/>
  <c r="V165" i="34"/>
  <c r="X165" i="34" s="1"/>
  <c r="F159" i="34"/>
  <c r="AL156" i="34"/>
  <c r="AM156" i="34" s="1"/>
  <c r="AL160" i="34"/>
  <c r="AL162" i="34"/>
  <c r="AN162" i="34" s="1"/>
  <c r="N167" i="34"/>
  <c r="N198" i="34"/>
  <c r="J9" i="31"/>
  <c r="AA54" i="43"/>
  <c r="AD58" i="43"/>
  <c r="AD72" i="43"/>
  <c r="X138" i="43"/>
  <c r="AB141" i="43"/>
  <c r="Z142" i="43"/>
  <c r="S152" i="43"/>
  <c r="S153" i="43"/>
  <c r="Q165" i="43"/>
  <c r="V166" i="43"/>
  <c r="Z170" i="43"/>
  <c r="Q5" i="37"/>
  <c r="R5" i="35"/>
  <c r="Q9" i="35"/>
  <c r="G50" i="34"/>
  <c r="I59" i="34"/>
  <c r="AM106" i="34"/>
  <c r="F108" i="34"/>
  <c r="AL110" i="34"/>
  <c r="F112" i="34"/>
  <c r="G115" i="34"/>
  <c r="AL116" i="34"/>
  <c r="AN116" i="34" s="1"/>
  <c r="F119" i="34"/>
  <c r="H119" i="34" s="1"/>
  <c r="AM121" i="34"/>
  <c r="N153" i="34"/>
  <c r="AL153" i="34"/>
  <c r="AM153" i="34" s="1"/>
  <c r="AL157" i="34"/>
  <c r="AN157" i="34" s="1"/>
  <c r="N161" i="34"/>
  <c r="O161" i="34" s="1"/>
  <c r="N191" i="34"/>
  <c r="V198" i="34"/>
  <c r="J6" i="31"/>
  <c r="L8" i="31"/>
  <c r="N9" i="31"/>
  <c r="W44" i="31"/>
  <c r="K24" i="31"/>
  <c r="K32" i="31"/>
  <c r="AK11" i="25"/>
  <c r="B28" i="13"/>
  <c r="W15" i="3"/>
  <c r="Q74" i="4"/>
  <c r="AI7" i="12"/>
  <c r="C59" i="32"/>
  <c r="G79" i="32"/>
  <c r="G83" i="32"/>
  <c r="G96" i="43"/>
  <c r="AD142" i="43"/>
  <c r="AC153" i="43"/>
  <c r="R10" i="35"/>
  <c r="S19" i="35"/>
  <c r="I66" i="34"/>
  <c r="O90" i="34"/>
  <c r="AL108" i="34"/>
  <c r="AL112" i="34"/>
  <c r="AL119" i="34"/>
  <c r="AN119" i="34" s="1"/>
  <c r="AL155" i="34"/>
  <c r="AM155" i="34" s="1"/>
  <c r="N159" i="34"/>
  <c r="O159" i="34" s="1"/>
  <c r="AL164" i="34"/>
  <c r="AH239" i="34"/>
  <c r="AX239" i="34"/>
  <c r="O18" i="3"/>
  <c r="T36" i="3"/>
  <c r="AI5" i="12"/>
  <c r="AP23" i="12"/>
  <c r="AB110" i="43"/>
  <c r="AA110" i="43"/>
  <c r="AE122" i="43"/>
  <c r="AB122" i="43"/>
  <c r="AG140" i="43"/>
  <c r="AD140" i="43"/>
  <c r="Y140" i="43"/>
  <c r="S123" i="43"/>
  <c r="T123" i="43" s="1"/>
  <c r="R123" i="43"/>
  <c r="X139" i="43"/>
  <c r="W139" i="43"/>
  <c r="AF139" i="43"/>
  <c r="AE139" i="43"/>
  <c r="F204" i="60"/>
  <c r="V4" i="49"/>
  <c r="V9" i="49"/>
  <c r="AE8" i="49"/>
  <c r="AE13" i="49"/>
  <c r="AF9" i="49"/>
  <c r="J7" i="43"/>
  <c r="R53" i="43"/>
  <c r="AC53" i="43"/>
  <c r="V54" i="43"/>
  <c r="AD54" i="43"/>
  <c r="AA56" i="43"/>
  <c r="Z58" i="43"/>
  <c r="AE58" i="43"/>
  <c r="AF58" i="43" s="1"/>
  <c r="AG58" i="43" s="1"/>
  <c r="AB59" i="43"/>
  <c r="AG60" i="43"/>
  <c r="AE61" i="43"/>
  <c r="U68" i="43"/>
  <c r="X69" i="43"/>
  <c r="Y71" i="43"/>
  <c r="Z72" i="43"/>
  <c r="AE72" i="43"/>
  <c r="AB73" i="43"/>
  <c r="AG73" i="43"/>
  <c r="U81" i="43"/>
  <c r="AD81" i="43"/>
  <c r="Z82" i="43"/>
  <c r="G97" i="43"/>
  <c r="AB98" i="43"/>
  <c r="AD98" i="43" s="1"/>
  <c r="AE99" i="43"/>
  <c r="S110" i="43"/>
  <c r="AE125" i="43"/>
  <c r="R137" i="43"/>
  <c r="AE144" i="43"/>
  <c r="T152" i="43"/>
  <c r="AE152" i="43"/>
  <c r="T153" i="43"/>
  <c r="Y153" i="43"/>
  <c r="AE153" i="43"/>
  <c r="V154" i="43"/>
  <c r="AC154" i="43"/>
  <c r="W155" i="43"/>
  <c r="AE155" i="43"/>
  <c r="AB169" i="43"/>
  <c r="Y169" i="43"/>
  <c r="F200" i="60"/>
  <c r="F203" i="60"/>
  <c r="V5" i="49"/>
  <c r="V10" i="49"/>
  <c r="X6" i="49"/>
  <c r="AF10" i="49"/>
  <c r="G7" i="43"/>
  <c r="U53" i="43"/>
  <c r="AG53" i="43"/>
  <c r="W54" i="43"/>
  <c r="AE54" i="43"/>
  <c r="C56" i="43"/>
  <c r="AA58" i="43"/>
  <c r="AC59" i="43"/>
  <c r="AC60" i="43"/>
  <c r="AF61" i="43"/>
  <c r="AA72" i="43"/>
  <c r="AC73" i="43"/>
  <c r="V81" i="43"/>
  <c r="AA82" i="43"/>
  <c r="G93" i="43"/>
  <c r="G95" i="43"/>
  <c r="AE113" i="43"/>
  <c r="AF125" i="43"/>
  <c r="U137" i="43"/>
  <c r="AC142" i="43"/>
  <c r="W152" i="43"/>
  <c r="U153" i="43"/>
  <c r="AA153" i="43"/>
  <c r="W154" i="43"/>
  <c r="AD154" i="43"/>
  <c r="Y155" i="43"/>
  <c r="AF155" i="43"/>
  <c r="V167" i="43"/>
  <c r="X169" i="43"/>
  <c r="AD171" i="43"/>
  <c r="AA171" i="43"/>
  <c r="D12" i="39"/>
  <c r="D8" i="39"/>
  <c r="D7" i="39"/>
  <c r="AL94" i="34"/>
  <c r="AO90" i="34"/>
  <c r="AL84" i="34"/>
  <c r="AM83" i="34"/>
  <c r="F199" i="60"/>
  <c r="F202" i="60"/>
  <c r="V6" i="49"/>
  <c r="V12" i="49"/>
  <c r="X10" i="49"/>
  <c r="Z54" i="43"/>
  <c r="AC58" i="43"/>
  <c r="AF59" i="43"/>
  <c r="AG59" i="43" s="1"/>
  <c r="AC72" i="43"/>
  <c r="AE73" i="43"/>
  <c r="Z137" i="43"/>
  <c r="AD153" i="43"/>
  <c r="AF153" i="43"/>
  <c r="W153" i="43"/>
  <c r="AB153" i="43"/>
  <c r="Y154" i="43"/>
  <c r="AA155" i="43"/>
  <c r="AC170" i="43"/>
  <c r="AD170" i="43"/>
  <c r="AA170" i="43"/>
  <c r="AW99" i="34"/>
  <c r="AT95" i="34"/>
  <c r="AX95" i="34" s="1"/>
  <c r="AT92" i="34"/>
  <c r="AU99" i="34"/>
  <c r="AW95" i="34"/>
  <c r="AU89" i="34"/>
  <c r="AW87" i="34"/>
  <c r="AU85" i="34"/>
  <c r="AT82" i="34"/>
  <c r="AT99" i="34"/>
  <c r="AX99" i="34" s="1"/>
  <c r="AU93" i="34"/>
  <c r="AW92" i="34"/>
  <c r="AT89" i="34"/>
  <c r="AW88" i="34"/>
  <c r="AT85" i="34"/>
  <c r="AW83" i="34"/>
  <c r="AU80" i="34"/>
  <c r="AU79" i="34"/>
  <c r="AU78" i="34"/>
  <c r="AW94" i="34"/>
  <c r="AT93" i="34"/>
  <c r="AU90" i="34"/>
  <c r="AT88" i="34"/>
  <c r="AW84" i="34"/>
  <c r="AT83" i="34"/>
  <c r="AU81" i="34"/>
  <c r="AT80" i="34"/>
  <c r="AT79" i="34"/>
  <c r="AT78" i="34"/>
  <c r="AW91" i="34"/>
  <c r="AU86" i="34"/>
  <c r="AU82" i="34"/>
  <c r="AT81" i="34"/>
  <c r="V8" i="49"/>
  <c r="V13" i="49"/>
  <c r="AF154" i="43"/>
  <c r="AE154" i="43"/>
  <c r="Z154" i="43"/>
  <c r="U154" i="43"/>
  <c r="AA154" i="43"/>
  <c r="AD155" i="43"/>
  <c r="AC155" i="43"/>
  <c r="X155" i="43"/>
  <c r="AB155" i="43"/>
  <c r="S23" i="38"/>
  <c r="R23" i="38"/>
  <c r="M5" i="37"/>
  <c r="S5" i="37"/>
  <c r="S5" i="35"/>
  <c r="S7" i="35"/>
  <c r="R9" i="35"/>
  <c r="Q13" i="35"/>
  <c r="R14" i="35"/>
  <c r="R16" i="35"/>
  <c r="Q18" i="35"/>
  <c r="S21" i="35"/>
  <c r="S23" i="35"/>
  <c r="R25" i="35"/>
  <c r="W52" i="34"/>
  <c r="AE53" i="34"/>
  <c r="V54" i="34"/>
  <c r="Y55" i="34"/>
  <c r="AE56" i="34"/>
  <c r="W57" i="34"/>
  <c r="AD58" i="34"/>
  <c r="V59" i="34"/>
  <c r="AG60" i="34"/>
  <c r="I61" i="34"/>
  <c r="V62" i="34"/>
  <c r="W63" i="34"/>
  <c r="AG64" i="34"/>
  <c r="I65" i="34"/>
  <c r="V66" i="34"/>
  <c r="W67" i="34"/>
  <c r="AG68" i="34"/>
  <c r="I69" i="34"/>
  <c r="AE71" i="34"/>
  <c r="AI76" i="34"/>
  <c r="F78" i="34"/>
  <c r="N79" i="34"/>
  <c r="N80" i="34"/>
  <c r="F85" i="34"/>
  <c r="F89" i="34"/>
  <c r="F93" i="34"/>
  <c r="N98" i="34"/>
  <c r="P98" i="34" s="1"/>
  <c r="O121" i="34"/>
  <c r="N123" i="34"/>
  <c r="P123" i="34" s="1"/>
  <c r="O120" i="34"/>
  <c r="N106" i="34"/>
  <c r="O119" i="34"/>
  <c r="O112" i="34"/>
  <c r="O110" i="34"/>
  <c r="O108" i="34"/>
  <c r="O113" i="34"/>
  <c r="F198" i="34"/>
  <c r="G198" i="34" s="1"/>
  <c r="F191" i="34"/>
  <c r="F207" i="34"/>
  <c r="H207" i="34" s="1"/>
  <c r="F202" i="34"/>
  <c r="F206" i="34"/>
  <c r="H206" i="34" s="1"/>
  <c r="AD239" i="34"/>
  <c r="AC239" i="34"/>
  <c r="AD215" i="34" s="1"/>
  <c r="D256" i="34"/>
  <c r="F37" i="32"/>
  <c r="K7" i="31"/>
  <c r="K12" i="31"/>
  <c r="N24" i="31"/>
  <c r="AH12" i="12"/>
  <c r="AH6" i="12"/>
  <c r="AH11" i="12"/>
  <c r="AH4" i="12"/>
  <c r="AH16" i="12"/>
  <c r="AJ6" i="12"/>
  <c r="AJ5" i="12"/>
  <c r="N4" i="40"/>
  <c r="L20" i="40" s="1"/>
  <c r="Q6" i="35"/>
  <c r="S9" i="35"/>
  <c r="S11" i="35"/>
  <c r="R13" i="35"/>
  <c r="Q17" i="35"/>
  <c r="R18" i="35"/>
  <c r="R20" i="35"/>
  <c r="Q22" i="35"/>
  <c r="S25" i="35"/>
  <c r="AG52" i="34"/>
  <c r="AD54" i="34"/>
  <c r="F56" i="34"/>
  <c r="F57" i="34"/>
  <c r="AD57" i="34"/>
  <c r="AG58" i="34"/>
  <c r="W59" i="34"/>
  <c r="I60" i="34"/>
  <c r="V61" i="34"/>
  <c r="W62" i="34"/>
  <c r="AG63" i="34"/>
  <c r="I64" i="34"/>
  <c r="V65" i="34"/>
  <c r="W66" i="34"/>
  <c r="AG67" i="34"/>
  <c r="I68" i="34"/>
  <c r="V69" i="34"/>
  <c r="Z50" i="34" s="1"/>
  <c r="W70" i="34"/>
  <c r="W71" i="34"/>
  <c r="G78" i="34"/>
  <c r="N85" i="34"/>
  <c r="F86" i="34"/>
  <c r="F90" i="34"/>
  <c r="O106" i="34"/>
  <c r="O111" i="34"/>
  <c r="N122" i="34"/>
  <c r="P122" i="34" s="1"/>
  <c r="N203" i="34"/>
  <c r="O203" i="34" s="1"/>
  <c r="N208" i="34"/>
  <c r="N207" i="34"/>
  <c r="N204" i="34"/>
  <c r="N202" i="34"/>
  <c r="N200" i="34"/>
  <c r="N192" i="34"/>
  <c r="O192" i="34" s="1"/>
  <c r="N206" i="34"/>
  <c r="N205" i="34"/>
  <c r="N174" i="34"/>
  <c r="O174" i="34" s="1"/>
  <c r="AL204" i="34"/>
  <c r="AL208" i="34"/>
  <c r="AN208" i="34" s="1"/>
  <c r="AL207" i="34"/>
  <c r="AL203" i="34"/>
  <c r="AM203" i="34" s="1"/>
  <c r="AL198" i="34"/>
  <c r="AL191" i="34"/>
  <c r="F196" i="34"/>
  <c r="H196" i="34" s="1"/>
  <c r="J235" i="34"/>
  <c r="I235" i="34"/>
  <c r="N239" i="34"/>
  <c r="O230" i="34" s="1"/>
  <c r="AR239" i="34"/>
  <c r="M14" i="31"/>
  <c r="N6" i="31"/>
  <c r="L6" i="31"/>
  <c r="M13" i="31"/>
  <c r="AH7" i="12"/>
  <c r="AJ7" i="12"/>
  <c r="O4" i="40"/>
  <c r="L28" i="40" s="1"/>
  <c r="O5" i="37"/>
  <c r="Q5" i="35"/>
  <c r="R6" i="35"/>
  <c r="R8" i="35"/>
  <c r="Q10" i="35"/>
  <c r="S13" i="35"/>
  <c r="S15" i="35"/>
  <c r="R17" i="35"/>
  <c r="Q21" i="35"/>
  <c r="R22" i="35"/>
  <c r="AK50" i="34"/>
  <c r="I52" i="34"/>
  <c r="F53" i="34"/>
  <c r="AG54" i="34"/>
  <c r="G56" i="34"/>
  <c r="I57" i="34"/>
  <c r="AE57" i="34"/>
  <c r="AD59" i="34"/>
  <c r="V60" i="34"/>
  <c r="W61" i="34"/>
  <c r="AG62" i="34"/>
  <c r="I63" i="34"/>
  <c r="V64" i="34"/>
  <c r="W65" i="34"/>
  <c r="AG66" i="34"/>
  <c r="I67" i="34"/>
  <c r="V68" i="34"/>
  <c r="W69" i="34"/>
  <c r="AG70" i="34"/>
  <c r="O99" i="34"/>
  <c r="O94" i="34"/>
  <c r="N93" i="34"/>
  <c r="F82" i="34"/>
  <c r="G84" i="34"/>
  <c r="G86" i="34"/>
  <c r="G87" i="34"/>
  <c r="G90" i="34"/>
  <c r="G95" i="34"/>
  <c r="O109" i="34"/>
  <c r="N115" i="34"/>
  <c r="O118" i="34"/>
  <c r="AC130" i="34"/>
  <c r="AD140" i="34" s="1"/>
  <c r="F164" i="34"/>
  <c r="G164" i="34" s="1"/>
  <c r="F161" i="34"/>
  <c r="G161" i="34" s="1"/>
  <c r="F163" i="34"/>
  <c r="F157" i="34"/>
  <c r="G157" i="34" s="1"/>
  <c r="F156" i="34"/>
  <c r="G156" i="34" s="1"/>
  <c r="F155" i="34"/>
  <c r="G155" i="34" s="1"/>
  <c r="F154" i="34"/>
  <c r="G154" i="34" s="1"/>
  <c r="AM157" i="34"/>
  <c r="AN163" i="34"/>
  <c r="AM163" i="34"/>
  <c r="F166" i="34"/>
  <c r="V196" i="34"/>
  <c r="V195" i="34"/>
  <c r="W195" i="34" s="1"/>
  <c r="V194" i="34"/>
  <c r="V190" i="34"/>
  <c r="N190" i="34"/>
  <c r="O190" i="34" s="1"/>
  <c r="N194" i="34"/>
  <c r="N196" i="34"/>
  <c r="O196" i="34" s="1"/>
  <c r="AL206" i="34"/>
  <c r="J18" i="31"/>
  <c r="K10" i="31"/>
  <c r="K16" i="31"/>
  <c r="N18" i="31"/>
  <c r="L15" i="31"/>
  <c r="L13" i="31"/>
  <c r="L11" i="31"/>
  <c r="L14" i="31"/>
  <c r="L12" i="31"/>
  <c r="L7" i="31"/>
  <c r="K8" i="31"/>
  <c r="AG10" i="12"/>
  <c r="AG9" i="12"/>
  <c r="AG5" i="12"/>
  <c r="AH10" i="12"/>
  <c r="T5" i="37"/>
  <c r="V52" i="34"/>
  <c r="Y53" i="34"/>
  <c r="Y56" i="34"/>
  <c r="V58" i="34"/>
  <c r="AG59" i="34"/>
  <c r="W60" i="34"/>
  <c r="AG61" i="34"/>
  <c r="V63" i="34"/>
  <c r="W64" i="34"/>
  <c r="AG65" i="34"/>
  <c r="V67" i="34"/>
  <c r="AG69" i="34"/>
  <c r="F79" i="34"/>
  <c r="F80" i="34"/>
  <c r="F81" i="34"/>
  <c r="G91" i="34"/>
  <c r="F94" i="34"/>
  <c r="J239" i="34"/>
  <c r="I239" i="34"/>
  <c r="L297" i="34"/>
  <c r="G298" i="34"/>
  <c r="K9" i="31"/>
  <c r="M15" i="31"/>
  <c r="AG15" i="12"/>
  <c r="AH15" i="12"/>
  <c r="AP27" i="12"/>
  <c r="F107" i="34"/>
  <c r="F109" i="34"/>
  <c r="F111" i="34"/>
  <c r="F113" i="34"/>
  <c r="AE115" i="34"/>
  <c r="G116" i="34"/>
  <c r="F117" i="34"/>
  <c r="H117" i="34" s="1"/>
  <c r="AL117" i="34"/>
  <c r="AN117" i="34" s="1"/>
  <c r="AD118" i="34"/>
  <c r="G120" i="34"/>
  <c r="AM120" i="34"/>
  <c r="F123" i="34"/>
  <c r="H123" i="34" s="1"/>
  <c r="N165" i="34"/>
  <c r="O165" i="34" s="1"/>
  <c r="N166" i="34"/>
  <c r="BT255" i="34"/>
  <c r="AF246" i="34" s="1"/>
  <c r="BT257" i="34"/>
  <c r="AK246" i="34" s="1"/>
  <c r="G77" i="32"/>
  <c r="G81" i="32"/>
  <c r="K11" i="31"/>
  <c r="K18" i="31"/>
  <c r="AK6" i="25"/>
  <c r="AP7" i="12"/>
  <c r="AP39" i="12"/>
  <c r="G107" i="34"/>
  <c r="AM107" i="34"/>
  <c r="AE108" i="34"/>
  <c r="G109" i="34"/>
  <c r="AM109" i="34"/>
  <c r="AE110" i="34"/>
  <c r="G111" i="34"/>
  <c r="AM111" i="34"/>
  <c r="AE112" i="34"/>
  <c r="G113" i="34"/>
  <c r="AM113" i="34"/>
  <c r="AM114" i="34"/>
  <c r="AL115" i="34"/>
  <c r="AN115" i="34" s="1"/>
  <c r="G117" i="34"/>
  <c r="F118" i="34"/>
  <c r="H118" i="34" s="1"/>
  <c r="AL118" i="34"/>
  <c r="AN118" i="34" s="1"/>
  <c r="AD119" i="34"/>
  <c r="F121" i="34"/>
  <c r="H121" i="34" s="1"/>
  <c r="AD121" i="34"/>
  <c r="AF121" i="34" s="1"/>
  <c r="G122" i="34"/>
  <c r="AL158" i="34"/>
  <c r="AL159" i="34"/>
  <c r="N163" i="34"/>
  <c r="C61" i="32"/>
  <c r="O63" i="32"/>
  <c r="Q63" i="32" s="1"/>
  <c r="R63" i="32" s="1"/>
  <c r="I6" i="31"/>
  <c r="AL3" i="25"/>
  <c r="B25" i="13" a="1"/>
  <c r="B25" i="13" s="1"/>
  <c r="B26" i="13" s="1"/>
  <c r="AP11" i="12"/>
  <c r="AP43" i="12"/>
  <c r="M66" i="4"/>
  <c r="K72" i="4"/>
  <c r="Q70" i="4"/>
  <c r="Q77" i="4"/>
  <c r="B6" i="15"/>
  <c r="M64" i="31"/>
  <c r="G64" i="31"/>
  <c r="L75" i="4"/>
  <c r="L66" i="4"/>
  <c r="N66" i="4" s="1"/>
  <c r="L68" i="4"/>
  <c r="N68" i="4" s="1"/>
  <c r="L70" i="4"/>
  <c r="N70" i="4" s="1"/>
  <c r="L74" i="4"/>
  <c r="N74" i="4" s="1"/>
  <c r="L69" i="4"/>
  <c r="N69" i="4" s="1"/>
  <c r="N24" i="57"/>
  <c r="D15" i="31"/>
  <c r="C64" i="31"/>
  <c r="BQ291" i="34"/>
  <c r="K64" i="31"/>
  <c r="B2" i="51"/>
  <c r="M19" i="42"/>
  <c r="D255" i="31"/>
  <c r="F255" i="31" s="1"/>
  <c r="E238" i="31" s="1"/>
  <c r="BP80" i="34"/>
  <c r="C42" i="31"/>
  <c r="C46" i="31"/>
  <c r="E453" i="31"/>
  <c r="D252" i="31"/>
  <c r="F252" i="31" s="1"/>
  <c r="Y270" i="34"/>
  <c r="AS248" i="34"/>
  <c r="J20" i="57"/>
  <c r="J22" i="57"/>
  <c r="AC50" i="37"/>
  <c r="AC30" i="37" s="1"/>
  <c r="BK51" i="34"/>
  <c r="AI247" i="34"/>
  <c r="BQ290" i="34"/>
  <c r="C41" i="31"/>
  <c r="C48" i="31"/>
  <c r="AX19" i="34"/>
  <c r="T20" i="34"/>
  <c r="AD23" i="34"/>
  <c r="AX215" i="34"/>
  <c r="P7" i="37"/>
  <c r="AN27" i="34"/>
  <c r="BK53" i="34"/>
  <c r="BK84" i="34"/>
  <c r="BQ277" i="34"/>
  <c r="BQ299" i="34"/>
  <c r="U43" i="32"/>
  <c r="V43" i="32" s="1"/>
  <c r="P83" i="31"/>
  <c r="D191" i="31"/>
  <c r="L372" i="31"/>
  <c r="N372" i="31" s="1"/>
  <c r="E112" i="31" s="1"/>
  <c r="E381" i="31"/>
  <c r="L392" i="31"/>
  <c r="N392" i="31" s="1"/>
  <c r="L408" i="31"/>
  <c r="N408" i="31" s="1"/>
  <c r="C17" i="57"/>
  <c r="J21" i="57"/>
  <c r="N23" i="57"/>
  <c r="AP7" i="57" s="1"/>
  <c r="D17" i="43"/>
  <c r="G9" i="40"/>
  <c r="BP79" i="34"/>
  <c r="BP81" i="34"/>
  <c r="J266" i="34"/>
  <c r="AD266" i="34"/>
  <c r="AX274" i="34"/>
  <c r="AX266" i="34"/>
  <c r="O272" i="34"/>
  <c r="P89" i="31"/>
  <c r="E110" i="31" s="1"/>
  <c r="G214" i="31"/>
  <c r="B17" i="57"/>
  <c r="F18" i="57"/>
  <c r="AL2" i="57" s="1"/>
  <c r="AK6" i="57" s="1"/>
  <c r="AI19" i="34"/>
  <c r="Y21" i="34"/>
  <c r="AX247" i="34"/>
  <c r="AN249" i="34"/>
  <c r="BQ300" i="34"/>
  <c r="G76" i="32"/>
  <c r="P92" i="31"/>
  <c r="H110" i="31" s="1"/>
  <c r="I302" i="31"/>
  <c r="E155" i="43"/>
  <c r="E156" i="43" s="1"/>
  <c r="C86" i="43"/>
  <c r="C83" i="43"/>
  <c r="G13" i="43"/>
  <c r="J9" i="43"/>
  <c r="J10" i="43" s="1"/>
  <c r="D10" i="43"/>
  <c r="D9" i="43"/>
  <c r="C79" i="43" s="1"/>
  <c r="D8" i="43"/>
  <c r="AA20" i="43" s="1"/>
  <c r="C84" i="43"/>
  <c r="U7" i="37"/>
  <c r="E25" i="34"/>
  <c r="E29" i="34"/>
  <c r="O35" i="34"/>
  <c r="D26" i="15"/>
  <c r="B19" i="15"/>
  <c r="AD30" i="34"/>
  <c r="T23" i="34"/>
  <c r="E30" i="34"/>
  <c r="BP50" i="34"/>
  <c r="BK79" i="34"/>
  <c r="AI250" i="34"/>
  <c r="AX272" i="34"/>
  <c r="BQ298" i="34"/>
  <c r="L460" i="31"/>
  <c r="Q7" i="37"/>
  <c r="O33" i="34"/>
  <c r="BP78" i="34"/>
  <c r="AN215" i="34"/>
  <c r="AX216" i="34"/>
  <c r="AN276" i="34"/>
  <c r="BQ275" i="34"/>
  <c r="J287" i="34"/>
  <c r="BD290" i="34"/>
  <c r="O292" i="34"/>
  <c r="BQ293" i="34"/>
  <c r="U52" i="32"/>
  <c r="V52" i="32" s="1"/>
  <c r="G82" i="32"/>
  <c r="I202" i="31"/>
  <c r="F202" i="31"/>
  <c r="C202" i="31"/>
  <c r="J252" i="31"/>
  <c r="L388" i="31"/>
  <c r="N388" i="31" s="1"/>
  <c r="L446" i="31"/>
  <c r="C46" i="43"/>
  <c r="C82" i="43"/>
  <c r="G10" i="40"/>
  <c r="G8" i="40"/>
  <c r="D45" i="39"/>
  <c r="G45" i="39" s="1"/>
  <c r="Y26" i="34"/>
  <c r="L375" i="31"/>
  <c r="N375" i="31" s="1"/>
  <c r="L404" i="31"/>
  <c r="N404" i="31" s="1"/>
  <c r="N22" i="57"/>
  <c r="AP6" i="57" s="1"/>
  <c r="C10" i="43"/>
  <c r="Q150" i="43" s="1"/>
  <c r="C24" i="43"/>
  <c r="G36" i="43" s="1"/>
  <c r="I38" i="43" s="1"/>
  <c r="L10" i="40"/>
  <c r="P10" i="40" s="1"/>
  <c r="L8" i="40"/>
  <c r="P8" i="40" s="1"/>
  <c r="E21" i="34"/>
  <c r="BA86" i="34"/>
  <c r="N355" i="31"/>
  <c r="L384" i="31"/>
  <c r="N384" i="31" s="1"/>
  <c r="C89" i="43"/>
  <c r="N3" i="39"/>
  <c r="M3" i="39"/>
  <c r="BK80" i="34"/>
  <c r="C9" i="43"/>
  <c r="D49" i="43"/>
  <c r="D16" i="43"/>
  <c r="B121" i="43"/>
  <c r="D4" i="43"/>
  <c r="D43" i="39"/>
  <c r="G43" i="39" s="1"/>
  <c r="AX21" i="34"/>
  <c r="BD248" i="34"/>
  <c r="E276" i="34"/>
  <c r="E279" i="34"/>
  <c r="J281" i="34"/>
  <c r="J284" i="34"/>
  <c r="J290" i="34"/>
  <c r="BQ308" i="34"/>
  <c r="G202" i="31"/>
  <c r="E452" i="31"/>
  <c r="J245" i="31"/>
  <c r="D256" i="31"/>
  <c r="F256" i="31" s="1"/>
  <c r="E275" i="31"/>
  <c r="C275" i="31" s="1"/>
  <c r="L396" i="31"/>
  <c r="N396" i="31" s="1"/>
  <c r="L400" i="31"/>
  <c r="N400" i="31" s="1"/>
  <c r="L456" i="31"/>
  <c r="L462" i="31"/>
  <c r="J36" i="34"/>
  <c r="AD21" i="34"/>
  <c r="AD31" i="34"/>
  <c r="AI224" i="34"/>
  <c r="E217" i="34"/>
  <c r="Y247" i="34"/>
  <c r="BD253" i="34"/>
  <c r="T277" i="34"/>
  <c r="BQ281" i="34"/>
  <c r="O285" i="34"/>
  <c r="AI285" i="34"/>
  <c r="BQ295" i="34"/>
  <c r="D247" i="31"/>
  <c r="F247" i="31" s="1"/>
  <c r="E276" i="31"/>
  <c r="C276" i="31" s="1"/>
  <c r="C103" i="40"/>
  <c r="AX20" i="34"/>
  <c r="AN22" i="34"/>
  <c r="AS23" i="34"/>
  <c r="O38" i="34"/>
  <c r="BF53" i="34"/>
  <c r="BA58" i="34"/>
  <c r="AI218" i="34"/>
  <c r="AI246" i="34"/>
  <c r="BQ265" i="34"/>
  <c r="E267" i="34"/>
  <c r="AS268" i="34"/>
  <c r="BQ306" i="34"/>
  <c r="G227" i="31"/>
  <c r="D254" i="31"/>
  <c r="F254" i="31" s="1"/>
  <c r="N359" i="31"/>
  <c r="L448" i="31"/>
  <c r="L465" i="31"/>
  <c r="N20" i="57"/>
  <c r="AP4" i="57" s="1"/>
  <c r="AN5" i="57"/>
  <c r="AN6" i="57" s="1"/>
  <c r="AN7" i="57" s="1"/>
  <c r="AN8" i="57" s="1"/>
  <c r="AO6" i="57"/>
  <c r="AO4" i="57"/>
  <c r="AP8" i="57"/>
  <c r="AO7" i="57"/>
  <c r="AO8" i="57"/>
  <c r="AO5" i="57"/>
  <c r="N21" i="57"/>
  <c r="AP5" i="57" s="1"/>
  <c r="T24" i="34"/>
  <c r="T27" i="34"/>
  <c r="J31" i="34"/>
  <c r="J32" i="34"/>
  <c r="AD34" i="34"/>
  <c r="J37" i="34"/>
  <c r="BF80" i="34"/>
  <c r="BF82" i="34"/>
  <c r="BF81" i="34"/>
  <c r="Z7" i="49"/>
  <c r="Z11" i="49"/>
  <c r="AF55" i="43"/>
  <c r="AB55" i="43"/>
  <c r="X55" i="43"/>
  <c r="T55" i="43"/>
  <c r="AE55" i="43"/>
  <c r="AA55" i="43"/>
  <c r="W55" i="43"/>
  <c r="AG55" i="43"/>
  <c r="Y55" i="43"/>
  <c r="AD55" i="43"/>
  <c r="V55" i="43"/>
  <c r="AD57" i="43"/>
  <c r="Z57" i="43"/>
  <c r="AC57" i="43"/>
  <c r="Y57" i="43"/>
  <c r="AB57" i="43"/>
  <c r="AA57" i="43"/>
  <c r="C65" i="43"/>
  <c r="C66" i="43"/>
  <c r="C68" i="43"/>
  <c r="C69" i="43"/>
  <c r="AD67" i="43"/>
  <c r="Z67" i="43"/>
  <c r="V67" i="43"/>
  <c r="R67" i="43"/>
  <c r="AG67" i="43"/>
  <c r="AC67" i="43"/>
  <c r="Y67" i="43"/>
  <c r="U67" i="43"/>
  <c r="Q67" i="43"/>
  <c r="AB67" i="43"/>
  <c r="T67" i="43"/>
  <c r="AA67" i="43"/>
  <c r="S67" i="43"/>
  <c r="AF67" i="43"/>
  <c r="AF70" i="43"/>
  <c r="AB70" i="43"/>
  <c r="X70" i="43"/>
  <c r="AE70" i="43"/>
  <c r="AA70" i="43"/>
  <c r="W70" i="43"/>
  <c r="AD70" i="43"/>
  <c r="AC70" i="43"/>
  <c r="F71" i="43"/>
  <c r="AD95" i="43"/>
  <c r="Z95" i="43"/>
  <c r="V95" i="43"/>
  <c r="AG95" i="43"/>
  <c r="AC95" i="43"/>
  <c r="Y95" i="43"/>
  <c r="U95" i="43"/>
  <c r="AE95" i="43"/>
  <c r="W95" i="43"/>
  <c r="AB95" i="43"/>
  <c r="T95" i="43"/>
  <c r="AF95" i="43"/>
  <c r="AG112" i="43"/>
  <c r="AF112" i="43"/>
  <c r="AE112" i="43"/>
  <c r="AF136" i="43"/>
  <c r="AB136" i="43"/>
  <c r="X136" i="43"/>
  <c r="AE136" i="43"/>
  <c r="AA136" i="43"/>
  <c r="AC136" i="43"/>
  <c r="Z136" i="43"/>
  <c r="AE168" i="43"/>
  <c r="AA168" i="43"/>
  <c r="W168" i="43"/>
  <c r="AD168" i="43"/>
  <c r="Z168" i="43"/>
  <c r="AB168" i="43"/>
  <c r="AG168" i="43"/>
  <c r="Y168" i="43"/>
  <c r="J20" i="34"/>
  <c r="J40" i="34"/>
  <c r="V7" i="49"/>
  <c r="X4" i="49"/>
  <c r="X8" i="49"/>
  <c r="X12" i="49"/>
  <c r="Z5" i="49"/>
  <c r="Z9" i="49"/>
  <c r="Z13" i="49"/>
  <c r="D5" i="43"/>
  <c r="U55" i="43"/>
  <c r="X57" i="43"/>
  <c r="W67" i="43"/>
  <c r="AE68" i="43"/>
  <c r="AA68" i="43"/>
  <c r="W68" i="43"/>
  <c r="S68" i="43"/>
  <c r="AD68" i="43"/>
  <c r="Z68" i="43"/>
  <c r="V68" i="43"/>
  <c r="R68" i="43"/>
  <c r="AG68" i="43"/>
  <c r="Y68" i="43"/>
  <c r="AF68" i="43"/>
  <c r="X68" i="43"/>
  <c r="AC68" i="43"/>
  <c r="AA69" i="43"/>
  <c r="Y70" i="43"/>
  <c r="AB83" i="43"/>
  <c r="AA83" i="43"/>
  <c r="AC83" i="43"/>
  <c r="S95" i="43"/>
  <c r="T96" i="43"/>
  <c r="S96" i="43"/>
  <c r="Y136" i="43"/>
  <c r="AD138" i="43"/>
  <c r="Z138" i="43"/>
  <c r="V138" i="43"/>
  <c r="R138" i="43"/>
  <c r="AG138" i="43"/>
  <c r="AC138" i="43"/>
  <c r="Y138" i="43"/>
  <c r="U138" i="43"/>
  <c r="AE138" i="43"/>
  <c r="W138" i="43"/>
  <c r="AB138" i="43"/>
  <c r="T138" i="43"/>
  <c r="AF138" i="43"/>
  <c r="S164" i="43"/>
  <c r="V164" i="43"/>
  <c r="W164" i="43" s="1"/>
  <c r="R164" i="43"/>
  <c r="T164" i="43"/>
  <c r="X165" i="43"/>
  <c r="AA167" i="43"/>
  <c r="X168" i="43"/>
  <c r="K4" i="42"/>
  <c r="G4" i="42"/>
  <c r="E3" i="42"/>
  <c r="C4" i="42" s="1"/>
  <c r="G92" i="42" s="1"/>
  <c r="J4" i="42"/>
  <c r="F4" i="42"/>
  <c r="H4" i="42"/>
  <c r="M4" i="42"/>
  <c r="M18" i="42"/>
  <c r="M26" i="42"/>
  <c r="M25" i="42"/>
  <c r="N11" i="40"/>
  <c r="M11" i="40"/>
  <c r="P11" i="40"/>
  <c r="E20" i="34"/>
  <c r="E28" i="34"/>
  <c r="E22" i="34"/>
  <c r="E19" i="34"/>
  <c r="AS19" i="34"/>
  <c r="J21" i="34"/>
  <c r="O19" i="34"/>
  <c r="O39" i="34"/>
  <c r="O37" i="34"/>
  <c r="O22" i="34"/>
  <c r="AS22" i="34"/>
  <c r="E23" i="34"/>
  <c r="Y24" i="34"/>
  <c r="Y20" i="34"/>
  <c r="AN25" i="34"/>
  <c r="AD26" i="34"/>
  <c r="E27" i="34"/>
  <c r="J29" i="34"/>
  <c r="O32" i="34"/>
  <c r="O71" i="34"/>
  <c r="N70" i="34"/>
  <c r="N69" i="34"/>
  <c r="N68" i="34"/>
  <c r="N67" i="34"/>
  <c r="N66" i="34"/>
  <c r="N65" i="34"/>
  <c r="N64" i="34"/>
  <c r="N63" i="34"/>
  <c r="N62" i="34"/>
  <c r="N61" i="34"/>
  <c r="N60" i="34"/>
  <c r="N59" i="34"/>
  <c r="N58" i="34"/>
  <c r="O57" i="34"/>
  <c r="Q55" i="34"/>
  <c r="N54" i="34"/>
  <c r="N52" i="34"/>
  <c r="N71" i="34"/>
  <c r="Q70" i="34"/>
  <c r="Q69" i="34"/>
  <c r="Q68" i="34"/>
  <c r="Q67" i="34"/>
  <c r="Q66" i="34"/>
  <c r="Q65" i="34"/>
  <c r="Q64" i="34"/>
  <c r="Q63" i="34"/>
  <c r="Q62" i="34"/>
  <c r="Q61" i="34"/>
  <c r="Q60" i="34"/>
  <c r="Q59" i="34"/>
  <c r="Q58" i="34"/>
  <c r="N57" i="34"/>
  <c r="O56" i="34"/>
  <c r="Q54" i="34"/>
  <c r="O53" i="34"/>
  <c r="Q52" i="34"/>
  <c r="O59" i="34"/>
  <c r="O70" i="34"/>
  <c r="O69" i="34"/>
  <c r="O68" i="34"/>
  <c r="O67" i="34"/>
  <c r="O66" i="34"/>
  <c r="O65" i="34"/>
  <c r="O64" i="34"/>
  <c r="O63" i="34"/>
  <c r="O62" i="34"/>
  <c r="O61" i="34"/>
  <c r="O60" i="34"/>
  <c r="Q53" i="34"/>
  <c r="O52" i="34"/>
  <c r="O58" i="34"/>
  <c r="N56" i="34"/>
  <c r="N55" i="34"/>
  <c r="N53" i="34"/>
  <c r="BF52" i="34"/>
  <c r="Q56" i="34"/>
  <c r="BF78" i="34"/>
  <c r="X7" i="49"/>
  <c r="X11" i="49"/>
  <c r="Z4" i="49"/>
  <c r="Z8" i="49"/>
  <c r="Z12" i="49"/>
  <c r="F201" i="60"/>
  <c r="X5" i="49"/>
  <c r="X9" i="49"/>
  <c r="Z6" i="49"/>
  <c r="Z55" i="43"/>
  <c r="AE57" i="43"/>
  <c r="C62" i="43"/>
  <c r="C63" i="43"/>
  <c r="X67" i="43"/>
  <c r="T68" i="43"/>
  <c r="Z70" i="43"/>
  <c r="X95" i="43"/>
  <c r="AD110" i="43"/>
  <c r="Z110" i="43"/>
  <c r="V110" i="43"/>
  <c r="AG110" i="43"/>
  <c r="AC110" i="43"/>
  <c r="Y110" i="43"/>
  <c r="U110" i="43"/>
  <c r="AF110" i="43"/>
  <c r="X110" i="43"/>
  <c r="AE110" i="43"/>
  <c r="W110" i="43"/>
  <c r="AD122" i="43"/>
  <c r="Z122" i="43"/>
  <c r="AG122" i="43"/>
  <c r="AC122" i="43"/>
  <c r="Y122" i="43"/>
  <c r="AA122" i="43"/>
  <c r="AF122" i="43"/>
  <c r="X122" i="43"/>
  <c r="AF123" i="43"/>
  <c r="AB123" i="43"/>
  <c r="X123" i="43"/>
  <c r="AE123" i="43"/>
  <c r="AA123" i="43"/>
  <c r="W123" i="43"/>
  <c r="AD123" i="43"/>
  <c r="V123" i="43"/>
  <c r="AC123" i="43"/>
  <c r="U123" i="43"/>
  <c r="AG123" i="43"/>
  <c r="P136" i="43"/>
  <c r="O136" i="43"/>
  <c r="AD136" i="43"/>
  <c r="AF140" i="43"/>
  <c r="AB140" i="43"/>
  <c r="X140" i="43"/>
  <c r="AE140" i="43"/>
  <c r="AA140" i="43"/>
  <c r="W140" i="43"/>
  <c r="AC140" i="43"/>
  <c r="Z140" i="43"/>
  <c r="U164" i="43"/>
  <c r="AC168" i="43"/>
  <c r="D16" i="39"/>
  <c r="D15" i="39"/>
  <c r="M7" i="37"/>
  <c r="N7" i="37"/>
  <c r="T7" i="37"/>
  <c r="Y19" i="34"/>
  <c r="AN21" i="34"/>
  <c r="AI22" i="34"/>
  <c r="J23" i="34"/>
  <c r="O25" i="34"/>
  <c r="Y25" i="34"/>
  <c r="T26" i="34"/>
  <c r="J27" i="34"/>
  <c r="O30" i="34"/>
  <c r="O31" i="34"/>
  <c r="J35" i="34"/>
  <c r="O41" i="34"/>
  <c r="BA57" i="34"/>
  <c r="BA59" i="34"/>
  <c r="BA54" i="34"/>
  <c r="H57" i="34"/>
  <c r="Q71" i="34"/>
  <c r="AH50" i="34"/>
  <c r="AH51" i="34"/>
  <c r="Q38" i="43"/>
  <c r="P38" i="43"/>
  <c r="AC55" i="43"/>
  <c r="AE67" i="43"/>
  <c r="AD69" i="43"/>
  <c r="Z69" i="43"/>
  <c r="V69" i="43"/>
  <c r="AG69" i="43"/>
  <c r="AC69" i="43"/>
  <c r="Y69" i="43"/>
  <c r="U69" i="43"/>
  <c r="AE69" i="43"/>
  <c r="W69" i="43"/>
  <c r="AB69" i="43"/>
  <c r="T69" i="43"/>
  <c r="AG70" i="43"/>
  <c r="S80" i="43"/>
  <c r="V80" i="43"/>
  <c r="W80" i="43" s="1"/>
  <c r="R80" i="43"/>
  <c r="U80" i="43"/>
  <c r="T80" i="43"/>
  <c r="AA95" i="43"/>
  <c r="R109" i="43"/>
  <c r="Q109" i="43"/>
  <c r="V124" i="43"/>
  <c r="U124" i="43"/>
  <c r="W124" i="43"/>
  <c r="T136" i="43"/>
  <c r="S136" i="43"/>
  <c r="U136" i="43"/>
  <c r="R136" i="43"/>
  <c r="AG136" i="43"/>
  <c r="AF145" i="43"/>
  <c r="AE145" i="43"/>
  <c r="AG145" i="43"/>
  <c r="AE165" i="43"/>
  <c r="AA165" i="43"/>
  <c r="W165" i="43"/>
  <c r="S165" i="43"/>
  <c r="AD165" i="43"/>
  <c r="Z165" i="43"/>
  <c r="V165" i="43"/>
  <c r="R165" i="43"/>
  <c r="AC165" i="43"/>
  <c r="U165" i="43"/>
  <c r="AB165" i="43"/>
  <c r="T165" i="43"/>
  <c r="AF165" i="43"/>
  <c r="AG167" i="43"/>
  <c r="AC167" i="43"/>
  <c r="Y167" i="43"/>
  <c r="U167" i="43"/>
  <c r="AF167" i="43"/>
  <c r="AB167" i="43"/>
  <c r="X167" i="43"/>
  <c r="T167" i="43"/>
  <c r="Z167" i="43"/>
  <c r="AE167" i="43"/>
  <c r="W167" i="43"/>
  <c r="AF168" i="43"/>
  <c r="AD33" i="34"/>
  <c r="AD28" i="34"/>
  <c r="AD25" i="34"/>
  <c r="AD19" i="34"/>
  <c r="AI21" i="34"/>
  <c r="AI23" i="34"/>
  <c r="AI20" i="34"/>
  <c r="O21" i="34"/>
  <c r="AD24" i="34"/>
  <c r="AN24" i="34"/>
  <c r="O28" i="34"/>
  <c r="O29" i="34"/>
  <c r="AD29" i="34"/>
  <c r="T34" i="34"/>
  <c r="J38" i="34"/>
  <c r="J39" i="34"/>
  <c r="O42" i="34"/>
  <c r="AX50" i="34"/>
  <c r="AS50" i="34"/>
  <c r="BP52" i="34"/>
  <c r="O55" i="34"/>
  <c r="AC78" i="34"/>
  <c r="BA79" i="34"/>
  <c r="BA90" i="34"/>
  <c r="BA87" i="34"/>
  <c r="BA91" i="34"/>
  <c r="AG141" i="34"/>
  <c r="AG133" i="34"/>
  <c r="AD143" i="34"/>
  <c r="AD135" i="34"/>
  <c r="AD141" i="34"/>
  <c r="AG146" i="34"/>
  <c r="AD131" i="34"/>
  <c r="AG134" i="34"/>
  <c r="O153" i="34"/>
  <c r="AM165" i="34"/>
  <c r="AN165" i="34"/>
  <c r="AF163" i="34"/>
  <c r="AE163" i="34"/>
  <c r="AN204" i="34"/>
  <c r="AM204" i="34"/>
  <c r="AE194" i="34"/>
  <c r="AN198" i="34"/>
  <c r="AM198" i="34"/>
  <c r="AN202" i="34"/>
  <c r="AM202" i="34"/>
  <c r="AS218" i="34"/>
  <c r="AS216" i="34"/>
  <c r="AS215" i="34"/>
  <c r="E229" i="34"/>
  <c r="T239" i="34"/>
  <c r="S239" i="34"/>
  <c r="T233" i="34" s="1"/>
  <c r="N247" i="34"/>
  <c r="BQ255" i="34"/>
  <c r="BQ252" i="34"/>
  <c r="BQ248" i="34"/>
  <c r="BQ247" i="34"/>
  <c r="BQ246" i="34"/>
  <c r="BQ249" i="34"/>
  <c r="BQ254" i="34"/>
  <c r="BQ251" i="34"/>
  <c r="BQ250" i="34"/>
  <c r="BQ258" i="34"/>
  <c r="AX250" i="34"/>
  <c r="S252" i="34"/>
  <c r="BQ257" i="34"/>
  <c r="AD275" i="34"/>
  <c r="AD271" i="34"/>
  <c r="AD270" i="34"/>
  <c r="AD269" i="34"/>
  <c r="AD268" i="34"/>
  <c r="AD267" i="34"/>
  <c r="AD286" i="34"/>
  <c r="AD283" i="34"/>
  <c r="AD280" i="34"/>
  <c r="AD274" i="34"/>
  <c r="AD272" i="34"/>
  <c r="AD287" i="34"/>
  <c r="M9" i="32"/>
  <c r="E9" i="32"/>
  <c r="U14" i="31"/>
  <c r="U13" i="31"/>
  <c r="U8" i="31"/>
  <c r="U6" i="31"/>
  <c r="U18" i="31"/>
  <c r="U17" i="31"/>
  <c r="U16" i="31"/>
  <c r="U15" i="31"/>
  <c r="U11" i="31"/>
  <c r="U9" i="31"/>
  <c r="U7" i="31"/>
  <c r="U10" i="31"/>
  <c r="U12" i="31"/>
  <c r="O242" i="31"/>
  <c r="AF7" i="49"/>
  <c r="AF11" i="49"/>
  <c r="G14" i="43"/>
  <c r="D20" i="43"/>
  <c r="AD56" i="43"/>
  <c r="Z56" i="43"/>
  <c r="AG56" i="43"/>
  <c r="AC56" i="43"/>
  <c r="Y56" i="43"/>
  <c r="AB56" i="43"/>
  <c r="AA71" i="43"/>
  <c r="AD71" i="43"/>
  <c r="AE71" i="43" s="1"/>
  <c r="AF71" i="43" s="1"/>
  <c r="AG71" i="43" s="1"/>
  <c r="Z71" i="43"/>
  <c r="AC71" i="43"/>
  <c r="AF97" i="43"/>
  <c r="AB97" i="43"/>
  <c r="AE97" i="43"/>
  <c r="AA97" i="43"/>
  <c r="AD97" i="43"/>
  <c r="G99" i="43"/>
  <c r="AG111" i="43"/>
  <c r="V122" i="43"/>
  <c r="R122" i="43"/>
  <c r="U122" i="43"/>
  <c r="Q122" i="43"/>
  <c r="AF137" i="43"/>
  <c r="AB137" i="43"/>
  <c r="X137" i="43"/>
  <c r="T137" i="43"/>
  <c r="AE137" i="43"/>
  <c r="AA137" i="43"/>
  <c r="W137" i="43"/>
  <c r="S137" i="43"/>
  <c r="V137" i="43"/>
  <c r="AD137" i="43"/>
  <c r="AD139" i="43"/>
  <c r="Z139" i="43"/>
  <c r="V139" i="43"/>
  <c r="AG139" i="43"/>
  <c r="AC139" i="43"/>
  <c r="Y139" i="43"/>
  <c r="U139" i="43"/>
  <c r="AA139" i="43"/>
  <c r="AG166" i="43"/>
  <c r="AC166" i="43"/>
  <c r="Y166" i="43"/>
  <c r="U166" i="43"/>
  <c r="AF166" i="43"/>
  <c r="AB166" i="43"/>
  <c r="X166" i="43"/>
  <c r="T166" i="43"/>
  <c r="W166" i="43"/>
  <c r="AE166" i="43"/>
  <c r="T19" i="34"/>
  <c r="O20" i="34"/>
  <c r="AS21" i="34"/>
  <c r="AD22" i="34"/>
  <c r="Y23" i="34"/>
  <c r="O24" i="34"/>
  <c r="T25" i="34"/>
  <c r="O26" i="34"/>
  <c r="AD27" i="34"/>
  <c r="AN28" i="34"/>
  <c r="T30" i="34"/>
  <c r="T33" i="34"/>
  <c r="BA55" i="34"/>
  <c r="X70" i="34"/>
  <c r="BF79" i="34"/>
  <c r="BF83" i="34"/>
  <c r="AO84" i="34"/>
  <c r="AO86" i="34"/>
  <c r="BA89" i="34"/>
  <c r="AO94" i="34"/>
  <c r="AG130" i="34"/>
  <c r="W159" i="34"/>
  <c r="AN164" i="34"/>
  <c r="AM164" i="34"/>
  <c r="H195" i="34"/>
  <c r="G195" i="34"/>
  <c r="AE200" i="34"/>
  <c r="G206" i="34"/>
  <c r="AN206" i="34"/>
  <c r="AM206" i="34"/>
  <c r="E219" i="34"/>
  <c r="AI220" i="34"/>
  <c r="AI222" i="34"/>
  <c r="E225" i="34"/>
  <c r="E226" i="34"/>
  <c r="E230" i="34"/>
  <c r="AD249" i="34"/>
  <c r="AD251" i="34"/>
  <c r="AD246" i="34"/>
  <c r="AD248" i="34"/>
  <c r="N249" i="34"/>
  <c r="S251" i="34"/>
  <c r="E255" i="34"/>
  <c r="D255" i="34"/>
  <c r="BD255" i="34"/>
  <c r="T294" i="34"/>
  <c r="T292" i="34"/>
  <c r="T291" i="34"/>
  <c r="T289" i="34"/>
  <c r="T288" i="34"/>
  <c r="T287" i="34"/>
  <c r="T284" i="34"/>
  <c r="T279" i="34"/>
  <c r="T275" i="34"/>
  <c r="T272" i="34"/>
  <c r="T266" i="34"/>
  <c r="T278" i="34"/>
  <c r="T285" i="34"/>
  <c r="Y267" i="34"/>
  <c r="E269" i="34"/>
  <c r="E271" i="34"/>
  <c r="E272" i="34"/>
  <c r="Y273" i="34"/>
  <c r="E274" i="34"/>
  <c r="Y277" i="34"/>
  <c r="AD284" i="34"/>
  <c r="Y286" i="34"/>
  <c r="O293" i="34"/>
  <c r="BD294" i="34"/>
  <c r="BQ315" i="34"/>
  <c r="BQ312" i="34"/>
  <c r="BQ313" i="34"/>
  <c r="BQ311" i="34"/>
  <c r="BQ319" i="34"/>
  <c r="BQ317" i="34"/>
  <c r="E11" i="32"/>
  <c r="M11" i="32"/>
  <c r="M18" i="32"/>
  <c r="L51" i="32"/>
  <c r="L47" i="32"/>
  <c r="L50" i="32"/>
  <c r="L48" i="32"/>
  <c r="L46" i="32"/>
  <c r="L45" i="32"/>
  <c r="L49" i="32"/>
  <c r="L44" i="32"/>
  <c r="AE7" i="49"/>
  <c r="AF4" i="49"/>
  <c r="AF8" i="49"/>
  <c r="E158" i="43"/>
  <c r="E159" i="43" s="1"/>
  <c r="C88" i="43"/>
  <c r="H33" i="43"/>
  <c r="E161" i="43"/>
  <c r="E162" i="43" s="1"/>
  <c r="C87" i="43"/>
  <c r="C81" i="43"/>
  <c r="D73" i="43"/>
  <c r="C44" i="43"/>
  <c r="G33" i="43"/>
  <c r="D11" i="43"/>
  <c r="D12" i="43"/>
  <c r="P52" i="43"/>
  <c r="Q52" i="43" s="1"/>
  <c r="O52" i="43"/>
  <c r="AF53" i="43"/>
  <c r="AB53" i="43"/>
  <c r="X53" i="43"/>
  <c r="T53" i="43"/>
  <c r="AE53" i="43"/>
  <c r="AA53" i="43"/>
  <c r="W53" i="43"/>
  <c r="S53" i="43"/>
  <c r="O53" i="43"/>
  <c r="P53" i="43" s="1"/>
  <c r="V53" i="43"/>
  <c r="AD53" i="43"/>
  <c r="W56" i="43"/>
  <c r="AE56" i="43"/>
  <c r="X71" i="43"/>
  <c r="AF81" i="43"/>
  <c r="AB81" i="43"/>
  <c r="X81" i="43"/>
  <c r="AE81" i="43"/>
  <c r="AA81" i="43"/>
  <c r="W81" i="43"/>
  <c r="Y81" i="43"/>
  <c r="AG81" i="43"/>
  <c r="AG82" i="43"/>
  <c r="AC82" i="43"/>
  <c r="Y82" i="43"/>
  <c r="AF82" i="43"/>
  <c r="AB82" i="43"/>
  <c r="X82" i="43"/>
  <c r="AE82" i="43"/>
  <c r="C85" i="43"/>
  <c r="G94" i="43"/>
  <c r="Y97" i="43"/>
  <c r="AG97" i="43"/>
  <c r="AC98" i="43"/>
  <c r="G103" i="43"/>
  <c r="S122" i="43"/>
  <c r="Q137" i="43"/>
  <c r="Y137" i="43"/>
  <c r="AG137" i="43"/>
  <c r="T139" i="43"/>
  <c r="AB139" i="43"/>
  <c r="AA141" i="43"/>
  <c r="Z141" i="43"/>
  <c r="AC141" i="43"/>
  <c r="AD141" i="43" s="1"/>
  <c r="AD152" i="43"/>
  <c r="Z152" i="43"/>
  <c r="V152" i="43"/>
  <c r="R152" i="43"/>
  <c r="AG152" i="43"/>
  <c r="AC152" i="43"/>
  <c r="Y152" i="43"/>
  <c r="U152" i="43"/>
  <c r="Q152" i="43"/>
  <c r="X152" i="43"/>
  <c r="AF152" i="43"/>
  <c r="R166" i="43"/>
  <c r="Z166" i="43"/>
  <c r="AA169" i="43"/>
  <c r="AD169" i="43"/>
  <c r="AE169" i="43" s="1"/>
  <c r="Z169" i="43"/>
  <c r="AC169" i="43"/>
  <c r="AC171" i="43"/>
  <c r="AF171" i="43"/>
  <c r="AG171" i="43" s="1"/>
  <c r="AB171" i="43"/>
  <c r="L12" i="40"/>
  <c r="L9" i="40"/>
  <c r="L7" i="40"/>
  <c r="L6" i="40"/>
  <c r="D13" i="39"/>
  <c r="D9" i="39"/>
  <c r="D11" i="39"/>
  <c r="R7" i="37"/>
  <c r="P25" i="35"/>
  <c r="R23" i="35"/>
  <c r="S22" i="35"/>
  <c r="P21" i="35"/>
  <c r="R19" i="35"/>
  <c r="S18" i="35"/>
  <c r="P17" i="35"/>
  <c r="R15" i="35"/>
  <c r="S14" i="35"/>
  <c r="P13" i="35"/>
  <c r="R11" i="35"/>
  <c r="S10" i="35"/>
  <c r="P9" i="35"/>
  <c r="R7" i="35"/>
  <c r="S6" i="35"/>
  <c r="P5" i="35"/>
  <c r="P24" i="35"/>
  <c r="P23" i="35"/>
  <c r="P22" i="35"/>
  <c r="P20" i="35"/>
  <c r="P19" i="35"/>
  <c r="P18" i="35"/>
  <c r="P16" i="35"/>
  <c r="P15" i="35"/>
  <c r="P14" i="35"/>
  <c r="P12" i="35"/>
  <c r="P11" i="35"/>
  <c r="P10" i="35"/>
  <c r="P8" i="35"/>
  <c r="P7" i="35"/>
  <c r="P6" i="35"/>
  <c r="Q7" i="35"/>
  <c r="S8" i="35"/>
  <c r="Q11" i="35"/>
  <c r="S12" i="35"/>
  <c r="Q15" i="35"/>
  <c r="S16" i="35"/>
  <c r="Q19" i="35"/>
  <c r="S20" i="35"/>
  <c r="Q23" i="35"/>
  <c r="S24" i="35"/>
  <c r="J19" i="34"/>
  <c r="AS20" i="34"/>
  <c r="AN20" i="34"/>
  <c r="T22" i="34"/>
  <c r="E24" i="34"/>
  <c r="E26" i="34"/>
  <c r="T28" i="34"/>
  <c r="T32" i="34"/>
  <c r="O34" i="34"/>
  <c r="O43" i="34"/>
  <c r="BP51" i="34"/>
  <c r="BA52" i="34"/>
  <c r="BP53" i="34"/>
  <c r="BF55" i="34"/>
  <c r="X69" i="34"/>
  <c r="H71" i="34"/>
  <c r="BK81" i="34"/>
  <c r="BK83" i="34"/>
  <c r="BK82" i="34"/>
  <c r="BK78" i="34"/>
  <c r="BA85" i="34"/>
  <c r="V123" i="34"/>
  <c r="X123" i="34" s="1"/>
  <c r="W120" i="34"/>
  <c r="W119" i="34"/>
  <c r="W118" i="34"/>
  <c r="W117" i="34"/>
  <c r="W116" i="34"/>
  <c r="W114" i="34"/>
  <c r="V113" i="34"/>
  <c r="V112" i="34"/>
  <c r="V111" i="34"/>
  <c r="V110" i="34"/>
  <c r="V109" i="34"/>
  <c r="V108" i="34"/>
  <c r="V107" i="34"/>
  <c r="W121" i="34"/>
  <c r="V120" i="34"/>
  <c r="X120" i="34" s="1"/>
  <c r="V119" i="34"/>
  <c r="X119" i="34" s="1"/>
  <c r="V118" i="34"/>
  <c r="X118" i="34" s="1"/>
  <c r="V117" i="34"/>
  <c r="X117" i="34" s="1"/>
  <c r="V116" i="34"/>
  <c r="X116" i="34" s="1"/>
  <c r="W115" i="34"/>
  <c r="V114" i="34"/>
  <c r="W106" i="34"/>
  <c r="W113" i="34"/>
  <c r="W112" i="34"/>
  <c r="W111" i="34"/>
  <c r="W110" i="34"/>
  <c r="W109" i="34"/>
  <c r="W108" i="34"/>
  <c r="W107" i="34"/>
  <c r="W123" i="34"/>
  <c r="W122" i="34"/>
  <c r="V115" i="34"/>
  <c r="X115" i="34" s="1"/>
  <c r="V122" i="34"/>
  <c r="X122" i="34" s="1"/>
  <c r="V106" i="34"/>
  <c r="W191" i="34"/>
  <c r="O194" i="34"/>
  <c r="E223" i="34"/>
  <c r="E222" i="34"/>
  <c r="E221" i="34"/>
  <c r="E220" i="34"/>
  <c r="E218" i="34"/>
  <c r="E216" i="34"/>
  <c r="E215" i="34"/>
  <c r="AS217" i="34"/>
  <c r="E224" i="34"/>
  <c r="E227" i="34"/>
  <c r="AX246" i="34"/>
  <c r="AX249" i="34"/>
  <c r="AD250" i="34"/>
  <c r="Y251" i="34"/>
  <c r="BQ253" i="34"/>
  <c r="BD259" i="34"/>
  <c r="BQ272" i="34"/>
  <c r="AN279" i="34"/>
  <c r="AN275" i="34"/>
  <c r="AN272" i="34"/>
  <c r="AN266" i="34"/>
  <c r="AN278" i="34"/>
  <c r="AS267" i="34"/>
  <c r="AS269" i="34"/>
  <c r="Y271" i="34"/>
  <c r="E275" i="34"/>
  <c r="AS277" i="34"/>
  <c r="BD278" i="34"/>
  <c r="AD279" i="34"/>
  <c r="T281" i="34"/>
  <c r="T282" i="34"/>
  <c r="Y283" i="34"/>
  <c r="O284" i="34"/>
  <c r="BD288" i="34"/>
  <c r="BD287" i="34"/>
  <c r="BD291" i="34"/>
  <c r="O294" i="34"/>
  <c r="BQ303" i="34"/>
  <c r="BD303" i="34"/>
  <c r="E16" i="32"/>
  <c r="E17" i="32"/>
  <c r="F42" i="32"/>
  <c r="F40" i="32"/>
  <c r="F38" i="32"/>
  <c r="F35" i="32"/>
  <c r="F33" i="32"/>
  <c r="F29" i="32"/>
  <c r="F27" i="32"/>
  <c r="F41" i="32"/>
  <c r="F36" i="32"/>
  <c r="F32" i="32"/>
  <c r="F39" i="32"/>
  <c r="F34" i="32"/>
  <c r="F43" i="32"/>
  <c r="F30" i="32"/>
  <c r="F44" i="32"/>
  <c r="F28" i="32"/>
  <c r="F31" i="32"/>
  <c r="N363" i="31"/>
  <c r="N365" i="31"/>
  <c r="N349" i="31"/>
  <c r="X68" i="34"/>
  <c r="U78" i="34"/>
  <c r="AL99" i="34"/>
  <c r="AP99" i="34" s="1"/>
  <c r="AO95" i="34"/>
  <c r="AL93" i="34"/>
  <c r="AO92" i="34"/>
  <c r="AM90" i="34"/>
  <c r="AL89" i="34"/>
  <c r="AO88" i="34"/>
  <c r="AM86" i="34"/>
  <c r="AL85" i="34"/>
  <c r="AO83" i="34"/>
  <c r="AL82" i="34"/>
  <c r="AL81" i="34"/>
  <c r="AL80" i="34"/>
  <c r="AM79" i="34"/>
  <c r="AO99" i="34"/>
  <c r="AM94" i="34"/>
  <c r="AO93" i="34"/>
  <c r="AM91" i="34"/>
  <c r="AL90" i="34"/>
  <c r="AO89" i="34"/>
  <c r="AM87" i="34"/>
  <c r="AL86" i="34"/>
  <c r="AO85" i="34"/>
  <c r="AM84" i="34"/>
  <c r="AO82" i="34"/>
  <c r="AO81" i="34"/>
  <c r="AO80" i="34"/>
  <c r="AL79" i="34"/>
  <c r="AM78" i="34"/>
  <c r="AM99" i="34"/>
  <c r="AM93" i="34"/>
  <c r="AM92" i="34"/>
  <c r="AO91" i="34"/>
  <c r="AM89" i="34"/>
  <c r="AM88" i="34"/>
  <c r="AO87" i="34"/>
  <c r="AM85" i="34"/>
  <c r="AM80" i="34"/>
  <c r="AO78" i="34"/>
  <c r="AM95" i="34"/>
  <c r="AL92" i="34"/>
  <c r="AL91" i="34"/>
  <c r="AL88" i="34"/>
  <c r="AL87" i="34"/>
  <c r="AM81" i="34"/>
  <c r="AL78" i="34"/>
  <c r="AO79" i="34"/>
  <c r="BA80" i="34"/>
  <c r="AM82" i="34"/>
  <c r="AL83" i="34"/>
  <c r="AL95" i="34"/>
  <c r="AN99" i="34"/>
  <c r="AD134" i="34"/>
  <c r="G159" i="34"/>
  <c r="O163" i="34"/>
  <c r="P167" i="34"/>
  <c r="O167" i="34"/>
  <c r="AD196" i="34"/>
  <c r="AD192" i="34"/>
  <c r="AD207" i="34"/>
  <c r="AD206" i="34"/>
  <c r="AD205" i="34"/>
  <c r="AD204" i="34"/>
  <c r="AD203" i="34"/>
  <c r="AD201" i="34"/>
  <c r="AD199" i="34"/>
  <c r="AD197" i="34"/>
  <c r="AD193" i="34"/>
  <c r="AD189" i="34"/>
  <c r="AD188" i="34"/>
  <c r="AD187" i="34"/>
  <c r="AD186" i="34"/>
  <c r="AD185" i="34"/>
  <c r="AD184" i="34"/>
  <c r="AD183" i="34"/>
  <c r="AD182" i="34"/>
  <c r="AD181" i="34"/>
  <c r="AD180" i="34"/>
  <c r="AD179" i="34"/>
  <c r="AD178" i="34"/>
  <c r="AD177" i="34"/>
  <c r="AD176" i="34"/>
  <c r="AD175" i="34"/>
  <c r="AD202" i="34"/>
  <c r="AD198" i="34"/>
  <c r="AD191" i="34"/>
  <c r="AD195" i="34"/>
  <c r="AD190" i="34"/>
  <c r="AD174" i="34"/>
  <c r="AM191" i="34"/>
  <c r="W198" i="34"/>
  <c r="O200" i="34"/>
  <c r="W202" i="34"/>
  <c r="AD208" i="34"/>
  <c r="AI219" i="34"/>
  <c r="AI217" i="34"/>
  <c r="AI215" i="34"/>
  <c r="AI216" i="34"/>
  <c r="AS219" i="34"/>
  <c r="AI221" i="34"/>
  <c r="AI223" i="34"/>
  <c r="E228" i="34"/>
  <c r="AD247" i="34"/>
  <c r="S248" i="34"/>
  <c r="I253" i="34"/>
  <c r="I255" i="34"/>
  <c r="BD258" i="34"/>
  <c r="Y268" i="34"/>
  <c r="E270" i="34"/>
  <c r="AS271" i="34"/>
  <c r="AI271" i="34"/>
  <c r="AI270" i="34"/>
  <c r="AI269" i="34"/>
  <c r="AI268" i="34"/>
  <c r="AI267" i="34"/>
  <c r="AI266" i="34"/>
  <c r="AI273" i="34"/>
  <c r="AI284" i="34"/>
  <c r="AI272" i="34"/>
  <c r="AI279" i="34"/>
  <c r="AI275" i="34"/>
  <c r="AI281" i="34"/>
  <c r="T276" i="34"/>
  <c r="AD277" i="34"/>
  <c r="AI278" i="34"/>
  <c r="Y280" i="34"/>
  <c r="BD284" i="34"/>
  <c r="AD285" i="34"/>
  <c r="Y287" i="34"/>
  <c r="AD288" i="34"/>
  <c r="T293" i="34"/>
  <c r="J295" i="34"/>
  <c r="U45" i="32"/>
  <c r="V45" i="32" s="1"/>
  <c r="U42" i="32"/>
  <c r="V42" i="32" s="1"/>
  <c r="AD165" i="34"/>
  <c r="AD157" i="34"/>
  <c r="AD156" i="34"/>
  <c r="AD155" i="34"/>
  <c r="AD154" i="34"/>
  <c r="AD164" i="34"/>
  <c r="AD162" i="34"/>
  <c r="AD160" i="34"/>
  <c r="AD158" i="34"/>
  <c r="AD153" i="34"/>
  <c r="AD161" i="34"/>
  <c r="AM162" i="34"/>
  <c r="H191" i="34"/>
  <c r="G191" i="34"/>
  <c r="H198" i="34"/>
  <c r="H202" i="34"/>
  <c r="G202" i="34"/>
  <c r="AN203" i="34"/>
  <c r="AN207" i="34"/>
  <c r="AM207" i="34"/>
  <c r="AN239" i="34"/>
  <c r="AM239" i="34"/>
  <c r="I246" i="34"/>
  <c r="S246" i="34"/>
  <c r="AN246" i="34"/>
  <c r="AN247" i="34"/>
  <c r="I248" i="34"/>
  <c r="BD250" i="34"/>
  <c r="BD251" i="34"/>
  <c r="BD252" i="34"/>
  <c r="BD254" i="34"/>
  <c r="BQ256" i="34"/>
  <c r="S257" i="34"/>
  <c r="BD261" i="34"/>
  <c r="BD262" i="34"/>
  <c r="BD263" i="34"/>
  <c r="BD264" i="34"/>
  <c r="L299" i="34"/>
  <c r="G289" i="34"/>
  <c r="G288" i="34"/>
  <c r="G287" i="34"/>
  <c r="G284" i="34"/>
  <c r="G294" i="34"/>
  <c r="G293" i="34"/>
  <c r="G285" i="34"/>
  <c r="E281" i="34"/>
  <c r="E278" i="34"/>
  <c r="Y285" i="34"/>
  <c r="Y281" i="34"/>
  <c r="Y278" i="34"/>
  <c r="Y282" i="34"/>
  <c r="AS278" i="34"/>
  <c r="E273" i="34"/>
  <c r="O271" i="34"/>
  <c r="O270" i="34"/>
  <c r="O269" i="34"/>
  <c r="O268" i="34"/>
  <c r="O267" i="34"/>
  <c r="O266" i="34"/>
  <c r="O273" i="34"/>
  <c r="O295" i="34"/>
  <c r="AN273" i="34"/>
  <c r="AN274" i="34"/>
  <c r="J275" i="34"/>
  <c r="J271" i="34"/>
  <c r="J270" i="34"/>
  <c r="J269" i="34"/>
  <c r="J268" i="34"/>
  <c r="J267" i="34"/>
  <c r="BQ276" i="34"/>
  <c r="J277" i="34"/>
  <c r="BD301" i="34"/>
  <c r="O278" i="34"/>
  <c r="J279" i="34"/>
  <c r="E280" i="34"/>
  <c r="AN280" i="34"/>
  <c r="BQ280" i="34"/>
  <c r="G282" i="34"/>
  <c r="G283" i="34"/>
  <c r="J285" i="34"/>
  <c r="BD285" i="34"/>
  <c r="G286" i="34"/>
  <c r="BQ286" i="34"/>
  <c r="O287" i="34"/>
  <c r="J288" i="34"/>
  <c r="J289" i="34"/>
  <c r="O291" i="34"/>
  <c r="BD297" i="34"/>
  <c r="BD302" i="34"/>
  <c r="BQ304" i="34"/>
  <c r="M6" i="32"/>
  <c r="E4" i="32"/>
  <c r="M3" i="32"/>
  <c r="M15" i="32"/>
  <c r="E14" i="32"/>
  <c r="E12" i="32"/>
  <c r="M8" i="32"/>
  <c r="E3" i="32"/>
  <c r="E6" i="32"/>
  <c r="M13" i="32"/>
  <c r="M14" i="32"/>
  <c r="J31" i="31"/>
  <c r="I31" i="31"/>
  <c r="T54" i="43"/>
  <c r="X54" i="43"/>
  <c r="AB54" i="43"/>
  <c r="AF54" i="43"/>
  <c r="AD59" i="43"/>
  <c r="AG125" i="43"/>
  <c r="AD143" i="43"/>
  <c r="AF144" i="43"/>
  <c r="AB170" i="43"/>
  <c r="P4" i="40"/>
  <c r="L33" i="40" s="1"/>
  <c r="O7" i="37"/>
  <c r="S7" i="37"/>
  <c r="Q8" i="35"/>
  <c r="Q12" i="35"/>
  <c r="Q16" i="35"/>
  <c r="Q20" i="35"/>
  <c r="Q24" i="35"/>
  <c r="AN19" i="34"/>
  <c r="AD20" i="34"/>
  <c r="T21" i="34"/>
  <c r="J22" i="34"/>
  <c r="Y22" i="34"/>
  <c r="AX22" i="34"/>
  <c r="O23" i="34"/>
  <c r="AN23" i="34"/>
  <c r="J24" i="34"/>
  <c r="AI24" i="34"/>
  <c r="J25" i="34"/>
  <c r="AI25" i="34"/>
  <c r="J26" i="34"/>
  <c r="AN26" i="34"/>
  <c r="O27" i="34"/>
  <c r="J28" i="34"/>
  <c r="T29" i="34"/>
  <c r="J30" i="34"/>
  <c r="T31" i="34"/>
  <c r="J33" i="34"/>
  <c r="J34" i="34"/>
  <c r="O36" i="34"/>
  <c r="O40" i="34"/>
  <c r="BA56" i="34"/>
  <c r="BF57" i="34"/>
  <c r="BF50" i="34"/>
  <c r="BF51" i="34"/>
  <c r="AA76" i="34"/>
  <c r="S76" i="34"/>
  <c r="N99" i="34"/>
  <c r="P99" i="34" s="1"/>
  <c r="N97" i="34"/>
  <c r="O96" i="34"/>
  <c r="O95" i="34"/>
  <c r="N94" i="34"/>
  <c r="O92" i="34"/>
  <c r="N91" i="34"/>
  <c r="O88" i="34"/>
  <c r="N87" i="34"/>
  <c r="N84" i="34"/>
  <c r="O83" i="34"/>
  <c r="L99" i="34"/>
  <c r="O98" i="34"/>
  <c r="N96" i="34"/>
  <c r="N95" i="34"/>
  <c r="O93" i="34"/>
  <c r="N92" i="34"/>
  <c r="O89" i="34"/>
  <c r="N88" i="34"/>
  <c r="O85" i="34"/>
  <c r="N83" i="34"/>
  <c r="O82" i="34"/>
  <c r="O81" i="34"/>
  <c r="O80" i="34"/>
  <c r="O79" i="34"/>
  <c r="O78" i="34"/>
  <c r="BA92" i="34"/>
  <c r="BA88" i="34"/>
  <c r="BA83" i="34"/>
  <c r="BA78" i="34"/>
  <c r="N82" i="34"/>
  <c r="BA82" i="34"/>
  <c r="BA84" i="34"/>
  <c r="V157" i="34"/>
  <c r="V156" i="34"/>
  <c r="V155" i="34"/>
  <c r="V154" i="34"/>
  <c r="V166" i="34"/>
  <c r="V164" i="34"/>
  <c r="V162" i="34"/>
  <c r="V160" i="34"/>
  <c r="V158" i="34"/>
  <c r="AD159" i="34"/>
  <c r="AN160" i="34"/>
  <c r="AM160" i="34"/>
  <c r="V163" i="34"/>
  <c r="G165" i="34"/>
  <c r="G166" i="34"/>
  <c r="V167" i="34"/>
  <c r="F203" i="34"/>
  <c r="F201" i="34"/>
  <c r="F199" i="34"/>
  <c r="F197" i="34"/>
  <c r="F193" i="34"/>
  <c r="F194" i="34"/>
  <c r="F190" i="34"/>
  <c r="F189" i="34"/>
  <c r="F188" i="34"/>
  <c r="F187" i="34"/>
  <c r="F186" i="34"/>
  <c r="F185" i="34"/>
  <c r="F184" i="34"/>
  <c r="F183" i="34"/>
  <c r="F182" i="34"/>
  <c r="F181" i="34"/>
  <c r="F180" i="34"/>
  <c r="F179" i="34"/>
  <c r="F178" i="34"/>
  <c r="F177" i="34"/>
  <c r="F176" i="34"/>
  <c r="F175" i="34"/>
  <c r="F174" i="34"/>
  <c r="F192" i="34"/>
  <c r="W194" i="34"/>
  <c r="AL194" i="34"/>
  <c r="O195" i="34"/>
  <c r="G196" i="34"/>
  <c r="W196" i="34"/>
  <c r="AL200" i="34"/>
  <c r="F204" i="34"/>
  <c r="G207" i="34"/>
  <c r="F208" i="34"/>
  <c r="AM208" i="34"/>
  <c r="X239" i="34"/>
  <c r="Y222" i="34" s="1"/>
  <c r="AI253" i="34"/>
  <c r="BD271" i="34"/>
  <c r="I247" i="34"/>
  <c r="S247" i="34"/>
  <c r="BD247" i="34"/>
  <c r="AI248" i="34"/>
  <c r="AX248" i="34"/>
  <c r="AS250" i="34"/>
  <c r="AI252" i="34"/>
  <c r="N253" i="34"/>
  <c r="N255" i="34"/>
  <c r="E266" i="34"/>
  <c r="Y266" i="34"/>
  <c r="AS266" i="34"/>
  <c r="J272" i="34"/>
  <c r="AI283" i="34"/>
  <c r="AS272" i="34"/>
  <c r="T273" i="34"/>
  <c r="J274" i="34"/>
  <c r="T274" i="34"/>
  <c r="AS274" i="34"/>
  <c r="AS275" i="34"/>
  <c r="AI276" i="34"/>
  <c r="AS276" i="34"/>
  <c r="AD278" i="34"/>
  <c r="AS279" i="34"/>
  <c r="T280" i="34"/>
  <c r="O281" i="34"/>
  <c r="T283" i="34"/>
  <c r="BQ285" i="34"/>
  <c r="T286" i="34"/>
  <c r="O290" i="34"/>
  <c r="G292" i="34"/>
  <c r="L296" i="34"/>
  <c r="O297" i="34"/>
  <c r="L298" i="34"/>
  <c r="BD298" i="34"/>
  <c r="BD299" i="34"/>
  <c r="BD300" i="34"/>
  <c r="M4" i="32"/>
  <c r="E7" i="32"/>
  <c r="M7" i="32"/>
  <c r="E20" i="32"/>
  <c r="Q54" i="43"/>
  <c r="R54" i="43" s="1"/>
  <c r="U54" i="43"/>
  <c r="Y54" i="43"/>
  <c r="AC54" i="43"/>
  <c r="AA59" i="43"/>
  <c r="AB72" i="43"/>
  <c r="AA143" i="43"/>
  <c r="AC144" i="43"/>
  <c r="V153" i="43"/>
  <c r="Z153" i="43"/>
  <c r="X154" i="43"/>
  <c r="AB154" i="43"/>
  <c r="Z155" i="43"/>
  <c r="Y170" i="43"/>
  <c r="G103" i="40"/>
  <c r="R5" i="37"/>
  <c r="N5" i="37"/>
  <c r="P5" i="37"/>
  <c r="U5" i="37"/>
  <c r="AD32" i="34"/>
  <c r="G70" i="34"/>
  <c r="G69" i="34"/>
  <c r="G68" i="34"/>
  <c r="G67" i="34"/>
  <c r="G66" i="34"/>
  <c r="G65" i="34"/>
  <c r="G64" i="34"/>
  <c r="G63" i="34"/>
  <c r="G62" i="34"/>
  <c r="G61" i="34"/>
  <c r="G60" i="34"/>
  <c r="G59" i="34"/>
  <c r="G58" i="34"/>
  <c r="I56" i="34"/>
  <c r="F55" i="34"/>
  <c r="G54" i="34"/>
  <c r="I53" i="34"/>
  <c r="G52" i="34"/>
  <c r="F51" i="34"/>
  <c r="G71" i="34"/>
  <c r="F70" i="34"/>
  <c r="F69" i="34"/>
  <c r="F68" i="34"/>
  <c r="F67" i="34"/>
  <c r="F66" i="34"/>
  <c r="F65" i="34"/>
  <c r="F64" i="34"/>
  <c r="F63" i="34"/>
  <c r="F62" i="34"/>
  <c r="F61" i="34"/>
  <c r="F60" i="34"/>
  <c r="F59" i="34"/>
  <c r="F58" i="34"/>
  <c r="G57" i="34"/>
  <c r="I55" i="34"/>
  <c r="F54" i="34"/>
  <c r="F52" i="34"/>
  <c r="I51" i="34"/>
  <c r="I50" i="34"/>
  <c r="Y70" i="34"/>
  <c r="Y69" i="34"/>
  <c r="Y68" i="34"/>
  <c r="Y67" i="34"/>
  <c r="Y66" i="34"/>
  <c r="Y65" i="34"/>
  <c r="Y64" i="34"/>
  <c r="Y63" i="34"/>
  <c r="Y62" i="34"/>
  <c r="Y61" i="34"/>
  <c r="Y60" i="34"/>
  <c r="Y59" i="34"/>
  <c r="Y58" i="34"/>
  <c r="V57" i="34"/>
  <c r="W56" i="34"/>
  <c r="Y54" i="34"/>
  <c r="W53" i="34"/>
  <c r="Y52" i="34"/>
  <c r="Z51" i="34"/>
  <c r="Y71" i="34"/>
  <c r="Y57" i="34"/>
  <c r="V56" i="34"/>
  <c r="W55" i="34"/>
  <c r="V53" i="34"/>
  <c r="AN71" i="34"/>
  <c r="AM70" i="34"/>
  <c r="AM69" i="34"/>
  <c r="AM68" i="34"/>
  <c r="AM67" i="34"/>
  <c r="AM66" i="34"/>
  <c r="AM65" i="34"/>
  <c r="AM64" i="34"/>
  <c r="AM63" i="34"/>
  <c r="AM62" i="34"/>
  <c r="AM61" i="34"/>
  <c r="AM60" i="34"/>
  <c r="AM59" i="34"/>
  <c r="AM58" i="34"/>
  <c r="AO56" i="34"/>
  <c r="AL55" i="34"/>
  <c r="AM54" i="34"/>
  <c r="AO53" i="34"/>
  <c r="AM52" i="34"/>
  <c r="AM71" i="34"/>
  <c r="AL70" i="34"/>
  <c r="AL69" i="34"/>
  <c r="AL68" i="34"/>
  <c r="AL67" i="34"/>
  <c r="AL66" i="34"/>
  <c r="AL65" i="34"/>
  <c r="AL64" i="34"/>
  <c r="AL63" i="34"/>
  <c r="AL62" i="34"/>
  <c r="AL61" i="34"/>
  <c r="AL60" i="34"/>
  <c r="AL59" i="34"/>
  <c r="AL58" i="34"/>
  <c r="AM57" i="34"/>
  <c r="AO55" i="34"/>
  <c r="AL54" i="34"/>
  <c r="AL52" i="34"/>
  <c r="BA50" i="34"/>
  <c r="BK52" i="34"/>
  <c r="BK50" i="34"/>
  <c r="AG71" i="34"/>
  <c r="AG57" i="34"/>
  <c r="AD56" i="34"/>
  <c r="AE55" i="34"/>
  <c r="AD53" i="34"/>
  <c r="AF71" i="34"/>
  <c r="AE70" i="34"/>
  <c r="AE69" i="34"/>
  <c r="AE68" i="34"/>
  <c r="AE67" i="34"/>
  <c r="AE66" i="34"/>
  <c r="AE65" i="34"/>
  <c r="AE64" i="34"/>
  <c r="AE63" i="34"/>
  <c r="AE62" i="34"/>
  <c r="AE61" i="34"/>
  <c r="AE60" i="34"/>
  <c r="AE59" i="34"/>
  <c r="AE58" i="34"/>
  <c r="AG56" i="34"/>
  <c r="AD55" i="34"/>
  <c r="AE54" i="34"/>
  <c r="AG53" i="34"/>
  <c r="AE52" i="34"/>
  <c r="AD52" i="34"/>
  <c r="AO52" i="34"/>
  <c r="G53" i="34"/>
  <c r="I54" i="34"/>
  <c r="W54" i="34"/>
  <c r="BF54" i="34"/>
  <c r="V55" i="34"/>
  <c r="AG55" i="34"/>
  <c r="AL56" i="34"/>
  <c r="BF56" i="34"/>
  <c r="AL57" i="34"/>
  <c r="I58" i="34"/>
  <c r="W58" i="34"/>
  <c r="AN59" i="34"/>
  <c r="AD60" i="34"/>
  <c r="AO60" i="34"/>
  <c r="AD61" i="34"/>
  <c r="AO61" i="34"/>
  <c r="AD62" i="34"/>
  <c r="AO62" i="34"/>
  <c r="AD63" i="34"/>
  <c r="AO63" i="34"/>
  <c r="AD64" i="34"/>
  <c r="AO64" i="34"/>
  <c r="AD65" i="34"/>
  <c r="AO65" i="34"/>
  <c r="AD66" i="34"/>
  <c r="AO66" i="34"/>
  <c r="AD67" i="34"/>
  <c r="AO67" i="34"/>
  <c r="AD68" i="34"/>
  <c r="AO68" i="34"/>
  <c r="AD69" i="34"/>
  <c r="AO69" i="34"/>
  <c r="AD70" i="34"/>
  <c r="AL71" i="34"/>
  <c r="AP50" i="34" s="1"/>
  <c r="K76" i="34"/>
  <c r="N78" i="34"/>
  <c r="N81" i="34"/>
  <c r="BA81" i="34"/>
  <c r="N86" i="34"/>
  <c r="O87" i="34"/>
  <c r="N90" i="34"/>
  <c r="O91" i="34"/>
  <c r="O97" i="34"/>
  <c r="L98" i="34"/>
  <c r="AE123" i="34"/>
  <c r="AD122" i="34"/>
  <c r="AF122" i="34" s="1"/>
  <c r="AE114" i="34"/>
  <c r="AD113" i="34"/>
  <c r="AD112" i="34"/>
  <c r="AD111" i="34"/>
  <c r="AD110" i="34"/>
  <c r="AD109" i="34"/>
  <c r="AD108" i="34"/>
  <c r="AD107" i="34"/>
  <c r="AE106" i="34"/>
  <c r="AD123" i="34"/>
  <c r="AF123" i="34" s="1"/>
  <c r="AE120" i="34"/>
  <c r="AE119" i="34"/>
  <c r="AE118" i="34"/>
  <c r="AE117" i="34"/>
  <c r="AE116" i="34"/>
  <c r="AD114" i="34"/>
  <c r="AD106" i="34"/>
  <c r="AD115" i="34"/>
  <c r="AE122" i="34"/>
  <c r="AI130" i="34"/>
  <c r="AK130" i="34" s="1"/>
  <c r="C130" i="34"/>
  <c r="S128" i="34"/>
  <c r="AI131" i="34"/>
  <c r="S131" i="34"/>
  <c r="U130" i="34" s="1"/>
  <c r="C131" i="34"/>
  <c r="K130" i="34"/>
  <c r="K128" i="34"/>
  <c r="K131" i="34"/>
  <c r="V153" i="34"/>
  <c r="O157" i="34"/>
  <c r="AN158" i="34"/>
  <c r="AM158" i="34"/>
  <c r="V161" i="34"/>
  <c r="G163" i="34"/>
  <c r="G167" i="34"/>
  <c r="AL196" i="34"/>
  <c r="AL192" i="34"/>
  <c r="AL201" i="34"/>
  <c r="AL199" i="34"/>
  <c r="AL197" i="34"/>
  <c r="AL193" i="34"/>
  <c r="AL189" i="34"/>
  <c r="AL188" i="34"/>
  <c r="AL187" i="34"/>
  <c r="AL186" i="34"/>
  <c r="AL185" i="34"/>
  <c r="AL184" i="34"/>
  <c r="AL183" i="34"/>
  <c r="AL182" i="34"/>
  <c r="AL181" i="34"/>
  <c r="AL180" i="34"/>
  <c r="AL179" i="34"/>
  <c r="AL178" i="34"/>
  <c r="AL177" i="34"/>
  <c r="AL176" i="34"/>
  <c r="AL175" i="34"/>
  <c r="AL174" i="34"/>
  <c r="W190" i="34"/>
  <c r="AL190" i="34"/>
  <c r="O191" i="34"/>
  <c r="AL195" i="34"/>
  <c r="O198" i="34"/>
  <c r="F200" i="34"/>
  <c r="W200" i="34"/>
  <c r="O202" i="34"/>
  <c r="F205" i="34"/>
  <c r="AL205" i="34"/>
  <c r="AN216" i="34"/>
  <c r="AN217" i="34"/>
  <c r="AX217" i="34"/>
  <c r="AN218" i="34"/>
  <c r="AX218" i="34"/>
  <c r="AN219" i="34"/>
  <c r="AX219" i="34"/>
  <c r="AN220" i="34"/>
  <c r="AN221" i="34"/>
  <c r="AN222" i="34"/>
  <c r="J236" i="34"/>
  <c r="I236" i="34"/>
  <c r="J238" i="34"/>
  <c r="I238" i="34"/>
  <c r="N246" i="34"/>
  <c r="Y249" i="34"/>
  <c r="Y246" i="34"/>
  <c r="AS249" i="34"/>
  <c r="AS246" i="34"/>
  <c r="BD246" i="34"/>
  <c r="AS247" i="34"/>
  <c r="N248" i="34"/>
  <c r="Y248" i="34"/>
  <c r="AN248" i="34"/>
  <c r="I249" i="34"/>
  <c r="Y250" i="34"/>
  <c r="S254" i="34"/>
  <c r="E257" i="34"/>
  <c r="D257" i="34"/>
  <c r="BD257" i="34"/>
  <c r="BQ264" i="34"/>
  <c r="BQ262" i="34"/>
  <c r="BQ259" i="34"/>
  <c r="BQ260" i="34"/>
  <c r="BQ261" i="34"/>
  <c r="BQ263" i="34"/>
  <c r="J293" i="34"/>
  <c r="AD282" i="34"/>
  <c r="AX276" i="34"/>
  <c r="E268" i="34"/>
  <c r="Y269" i="34"/>
  <c r="AS270" i="34"/>
  <c r="O286" i="34"/>
  <c r="Y272" i="34"/>
  <c r="AS273" i="34"/>
  <c r="BQ283" i="34"/>
  <c r="BQ278" i="34"/>
  <c r="BQ274" i="34"/>
  <c r="BQ273" i="34"/>
  <c r="BQ284" i="34"/>
  <c r="Y274" i="34"/>
  <c r="O275" i="34"/>
  <c r="Y275" i="34"/>
  <c r="AX275" i="34"/>
  <c r="AX271" i="34"/>
  <c r="AX270" i="34"/>
  <c r="AX269" i="34"/>
  <c r="AX268" i="34"/>
  <c r="AX267" i="34"/>
  <c r="O276" i="34"/>
  <c r="Y276" i="34"/>
  <c r="E277" i="34"/>
  <c r="AN277" i="34"/>
  <c r="AX277" i="34"/>
  <c r="J278" i="34"/>
  <c r="BD286" i="34"/>
  <c r="O279" i="34"/>
  <c r="Y279" i="34"/>
  <c r="BQ279" i="34"/>
  <c r="J280" i="34"/>
  <c r="BD280" i="34"/>
  <c r="AD281" i="34"/>
  <c r="BQ282" i="34"/>
  <c r="J283" i="34"/>
  <c r="Y284" i="34"/>
  <c r="J286" i="34"/>
  <c r="O288" i="34"/>
  <c r="Y288" i="34"/>
  <c r="O289" i="34"/>
  <c r="G291" i="34"/>
  <c r="BQ294" i="34"/>
  <c r="G295" i="34"/>
  <c r="G296" i="34"/>
  <c r="BQ297" i="34"/>
  <c r="O298" i="34"/>
  <c r="G299" i="34"/>
  <c r="O299" i="34"/>
  <c r="G300" i="34"/>
  <c r="Q300" i="34"/>
  <c r="BQ305" i="34"/>
  <c r="BQ301" i="34"/>
  <c r="BQ302" i="34"/>
  <c r="BQ307" i="34"/>
  <c r="BQ309" i="34"/>
  <c r="BQ320" i="34"/>
  <c r="BQ316" i="34"/>
  <c r="E5" i="32"/>
  <c r="M5" i="32"/>
  <c r="E8" i="32"/>
  <c r="M10" i="32"/>
  <c r="M16" i="32"/>
  <c r="M17" i="32"/>
  <c r="M19" i="32"/>
  <c r="U53" i="32"/>
  <c r="V53" i="32" s="1"/>
  <c r="J250" i="31"/>
  <c r="J253" i="31"/>
  <c r="J242" i="31"/>
  <c r="BQ266" i="34"/>
  <c r="T267" i="34"/>
  <c r="AN267" i="34"/>
  <c r="BQ267" i="34"/>
  <c r="T268" i="34"/>
  <c r="AN268" i="34"/>
  <c r="BQ268" i="34"/>
  <c r="T269" i="34"/>
  <c r="AN269" i="34"/>
  <c r="BQ269" i="34"/>
  <c r="T270" i="34"/>
  <c r="AN270" i="34"/>
  <c r="BQ270" i="34"/>
  <c r="T271" i="34"/>
  <c r="AN271" i="34"/>
  <c r="BQ271" i="34"/>
  <c r="BD277" i="34"/>
  <c r="BD281" i="34"/>
  <c r="O282" i="34"/>
  <c r="AI282" i="34"/>
  <c r="BD283" i="34"/>
  <c r="BQ289" i="34"/>
  <c r="BQ288" i="34"/>
  <c r="BQ287" i="34"/>
  <c r="BQ292" i="34"/>
  <c r="O296" i="34"/>
  <c r="BQ296" i="34"/>
  <c r="BD305" i="34"/>
  <c r="BD306" i="34"/>
  <c r="BQ314" i="34"/>
  <c r="E13" i="32"/>
  <c r="N353" i="31"/>
  <c r="I300" i="31"/>
  <c r="I296" i="31"/>
  <c r="G303" i="31" s="1"/>
  <c r="H303" i="31" s="1"/>
  <c r="I298" i="31"/>
  <c r="I299" i="31"/>
  <c r="N347" i="31"/>
  <c r="G220" i="31"/>
  <c r="G219" i="31"/>
  <c r="G218" i="31"/>
  <c r="G217" i="31"/>
  <c r="G216" i="31"/>
  <c r="G213" i="31"/>
  <c r="G215" i="31"/>
  <c r="G223" i="31"/>
  <c r="Z565" i="25"/>
  <c r="Z469" i="25"/>
  <c r="Z413" i="25"/>
  <c r="Z349" i="25"/>
  <c r="Z285" i="25"/>
  <c r="Z124" i="25"/>
  <c r="Z116" i="25"/>
  <c r="Z108" i="25"/>
  <c r="Z100" i="25"/>
  <c r="Z92" i="25"/>
  <c r="Z84" i="25"/>
  <c r="Z76" i="25"/>
  <c r="Z68" i="25"/>
  <c r="Z60" i="25"/>
  <c r="Z52" i="25"/>
  <c r="Z44" i="25"/>
  <c r="Z36" i="25"/>
  <c r="Z28" i="25"/>
  <c r="Z8" i="25"/>
  <c r="Z555" i="25"/>
  <c r="Z731" i="25"/>
  <c r="L425" i="31"/>
  <c r="L464" i="31"/>
  <c r="L430" i="31"/>
  <c r="L426" i="31"/>
  <c r="G79" i="34"/>
  <c r="G80" i="34"/>
  <c r="G81" i="34"/>
  <c r="G82" i="34"/>
  <c r="F83" i="34"/>
  <c r="AU83" i="34"/>
  <c r="AT84" i="34"/>
  <c r="G85" i="34"/>
  <c r="AW86" i="34"/>
  <c r="AT87" i="34"/>
  <c r="F88" i="34"/>
  <c r="AU88" i="34"/>
  <c r="G89" i="34"/>
  <c r="AW90" i="34"/>
  <c r="AT91" i="34"/>
  <c r="F92" i="34"/>
  <c r="AU92" i="34"/>
  <c r="G93" i="34"/>
  <c r="G94" i="34"/>
  <c r="AT94" i="34"/>
  <c r="AU95" i="34"/>
  <c r="AV99" i="34"/>
  <c r="N114" i="34"/>
  <c r="AL114" i="34"/>
  <c r="F115" i="34"/>
  <c r="H115" i="34" s="1"/>
  <c r="O115" i="34"/>
  <c r="N116" i="34"/>
  <c r="AM116" i="34"/>
  <c r="AM117" i="34"/>
  <c r="AM118" i="34"/>
  <c r="AM119" i="34"/>
  <c r="N121" i="34"/>
  <c r="P121" i="34" s="1"/>
  <c r="F122" i="34"/>
  <c r="H122" i="34" s="1"/>
  <c r="O122" i="34"/>
  <c r="AL122" i="34"/>
  <c r="AN122" i="34" s="1"/>
  <c r="F158" i="34"/>
  <c r="N158" i="34"/>
  <c r="F160" i="34"/>
  <c r="N160" i="34"/>
  <c r="F162" i="34"/>
  <c r="N162" i="34"/>
  <c r="N164" i="34"/>
  <c r="N175" i="34"/>
  <c r="V175" i="34"/>
  <c r="N176" i="34"/>
  <c r="V176" i="34"/>
  <c r="N177" i="34"/>
  <c r="V177" i="34"/>
  <c r="N178" i="34"/>
  <c r="V178" i="34"/>
  <c r="N179" i="34"/>
  <c r="V179" i="34"/>
  <c r="N180" i="34"/>
  <c r="V180" i="34"/>
  <c r="N181" i="34"/>
  <c r="V181" i="34"/>
  <c r="N182" i="34"/>
  <c r="V182" i="34"/>
  <c r="N183" i="34"/>
  <c r="V183" i="34"/>
  <c r="N184" i="34"/>
  <c r="V184" i="34"/>
  <c r="N185" i="34"/>
  <c r="V185" i="34"/>
  <c r="N186" i="34"/>
  <c r="V186" i="34"/>
  <c r="N187" i="34"/>
  <c r="V187" i="34"/>
  <c r="N188" i="34"/>
  <c r="V188" i="34"/>
  <c r="N189" i="34"/>
  <c r="V189" i="34"/>
  <c r="N193" i="34"/>
  <c r="V193" i="34"/>
  <c r="N197" i="34"/>
  <c r="V197" i="34"/>
  <c r="N199" i="34"/>
  <c r="V199" i="34"/>
  <c r="N201" i="34"/>
  <c r="V201" i="34"/>
  <c r="V203" i="34"/>
  <c r="V204" i="34"/>
  <c r="V205" i="34"/>
  <c r="V206" i="34"/>
  <c r="V207" i="34"/>
  <c r="V208" i="34"/>
  <c r="BD289" i="34"/>
  <c r="T290" i="34"/>
  <c r="J291" i="34"/>
  <c r="J292" i="34"/>
  <c r="BD292" i="34"/>
  <c r="BD293" i="34"/>
  <c r="J294" i="34"/>
  <c r="BD296" i="34"/>
  <c r="BQ310" i="34"/>
  <c r="BQ318" i="34"/>
  <c r="V63" i="32"/>
  <c r="W63" i="32" s="1"/>
  <c r="U54" i="32"/>
  <c r="V54" i="32" s="1"/>
  <c r="U49" i="32"/>
  <c r="V49" i="32" s="1"/>
  <c r="U47" i="32"/>
  <c r="V47" i="32" s="1"/>
  <c r="U46" i="32"/>
  <c r="V46" i="32" s="1"/>
  <c r="U44" i="32"/>
  <c r="V44" i="32" s="1"/>
  <c r="U41" i="32"/>
  <c r="V41" i="32" s="1"/>
  <c r="U51" i="32"/>
  <c r="V51" i="32" s="1"/>
  <c r="U50" i="32"/>
  <c r="V50" i="32" s="1"/>
  <c r="U48" i="32"/>
  <c r="V48" i="32" s="1"/>
  <c r="U55" i="32"/>
  <c r="V55" i="32" s="1"/>
  <c r="P63" i="32"/>
  <c r="P62" i="32"/>
  <c r="Q62" i="32" s="1"/>
  <c r="R62" i="32" s="1"/>
  <c r="N8" i="31"/>
  <c r="N7" i="31"/>
  <c r="I18" i="31"/>
  <c r="J14" i="31"/>
  <c r="I12" i="31"/>
  <c r="I11" i="31"/>
  <c r="M10" i="31"/>
  <c r="I15" i="31"/>
  <c r="I13" i="31"/>
  <c r="D185" i="31"/>
  <c r="B193" i="31" s="1"/>
  <c r="C193" i="31" s="1"/>
  <c r="M43" i="31" s="1"/>
  <c r="D187" i="31"/>
  <c r="B195" i="31" s="1"/>
  <c r="C195" i="31" s="1"/>
  <c r="M57" i="31" s="1"/>
  <c r="D189" i="31"/>
  <c r="E451" i="31"/>
  <c r="D248" i="31"/>
  <c r="F248" i="31" s="1"/>
  <c r="D246" i="31"/>
  <c r="F246" i="31" s="1"/>
  <c r="D243" i="31"/>
  <c r="E454" i="31"/>
  <c r="C250" i="31"/>
  <c r="C249" i="31"/>
  <c r="D244" i="31"/>
  <c r="F244" i="31" s="1"/>
  <c r="D242" i="31"/>
  <c r="F242" i="31" s="1"/>
  <c r="E235" i="31" s="1"/>
  <c r="D245" i="31"/>
  <c r="F245" i="31" s="1"/>
  <c r="J249" i="31"/>
  <c r="D257" i="31"/>
  <c r="F257" i="31" s="1"/>
  <c r="E279" i="31"/>
  <c r="C279" i="31" s="1"/>
  <c r="D276" i="31" s="1"/>
  <c r="E278" i="31"/>
  <c r="C278" i="31" s="1"/>
  <c r="D275" i="31" s="1"/>
  <c r="E277" i="31"/>
  <c r="C277" i="31" s="1"/>
  <c r="D274" i="31" s="1"/>
  <c r="E379" i="31"/>
  <c r="E377" i="31"/>
  <c r="L380" i="31"/>
  <c r="N380" i="31" s="1"/>
  <c r="L385" i="31"/>
  <c r="N385" i="31" s="1"/>
  <c r="L389" i="31"/>
  <c r="N389" i="31" s="1"/>
  <c r="L393" i="31"/>
  <c r="N393" i="31" s="1"/>
  <c r="L397" i="31"/>
  <c r="N397" i="31" s="1"/>
  <c r="L401" i="31"/>
  <c r="N401" i="31" s="1"/>
  <c r="L405" i="31"/>
  <c r="N405" i="31" s="1"/>
  <c r="L409" i="31"/>
  <c r="N409" i="31" s="1"/>
  <c r="L423" i="31"/>
  <c r="L424" i="31"/>
  <c r="L427" i="31"/>
  <c r="L428" i="31"/>
  <c r="L447" i="31"/>
  <c r="L450" i="31"/>
  <c r="L455" i="31"/>
  <c r="L461" i="31"/>
  <c r="P3" i="25"/>
  <c r="O6" i="25"/>
  <c r="AL6" i="25"/>
  <c r="Z333" i="25"/>
  <c r="Z397" i="25"/>
  <c r="Z419" i="25"/>
  <c r="Z476" i="25"/>
  <c r="Z612" i="25"/>
  <c r="BA51" i="34"/>
  <c r="BA53" i="34"/>
  <c r="AW78" i="34"/>
  <c r="AW79" i="34"/>
  <c r="AW80" i="34"/>
  <c r="AW81" i="34"/>
  <c r="AW82" i="34"/>
  <c r="G83" i="34"/>
  <c r="F84" i="34"/>
  <c r="AU84" i="34"/>
  <c r="AW85" i="34"/>
  <c r="AT86" i="34"/>
  <c r="F87" i="34"/>
  <c r="AU87" i="34"/>
  <c r="G88" i="34"/>
  <c r="AW89" i="34"/>
  <c r="AT90" i="34"/>
  <c r="F91" i="34"/>
  <c r="AU91" i="34"/>
  <c r="G92" i="34"/>
  <c r="AW93" i="34"/>
  <c r="AU94" i="34"/>
  <c r="AV95" i="34"/>
  <c r="N107" i="34"/>
  <c r="N108" i="34"/>
  <c r="N109" i="34"/>
  <c r="N110" i="34"/>
  <c r="N111" i="34"/>
  <c r="N112" i="34"/>
  <c r="N113" i="34"/>
  <c r="O114" i="34"/>
  <c r="O116" i="34"/>
  <c r="N117" i="34"/>
  <c r="P117" i="34" s="1"/>
  <c r="N118" i="34"/>
  <c r="P118" i="34" s="1"/>
  <c r="N119" i="34"/>
  <c r="P119" i="34" s="1"/>
  <c r="N120" i="34"/>
  <c r="P120" i="34" s="1"/>
  <c r="N154" i="34"/>
  <c r="N155" i="34"/>
  <c r="N156" i="34"/>
  <c r="V192" i="34"/>
  <c r="AI249" i="34"/>
  <c r="BD249" i="34"/>
  <c r="AI251" i="34"/>
  <c r="BD256" i="34"/>
  <c r="BD260" i="34"/>
  <c r="BD265" i="34"/>
  <c r="BD266" i="34"/>
  <c r="BD267" i="34"/>
  <c r="BD268" i="34"/>
  <c r="BD269" i="34"/>
  <c r="BD270" i="34"/>
  <c r="J273" i="34"/>
  <c r="AD273" i="34"/>
  <c r="AX273" i="34"/>
  <c r="O274" i="34"/>
  <c r="AI274" i="34"/>
  <c r="J276" i="34"/>
  <c r="AD276" i="34"/>
  <c r="O277" i="34"/>
  <c r="AI277" i="34"/>
  <c r="BD279" i="34"/>
  <c r="O280" i="34"/>
  <c r="AI280" i="34"/>
  <c r="J282" i="34"/>
  <c r="BD282" i="34"/>
  <c r="O283" i="34"/>
  <c r="G290" i="34"/>
  <c r="BD295" i="34"/>
  <c r="G297" i="34"/>
  <c r="L300" i="34"/>
  <c r="BD304" i="34"/>
  <c r="E10" i="32"/>
  <c r="M20" i="32"/>
  <c r="N17" i="31"/>
  <c r="N16" i="31"/>
  <c r="N11" i="31"/>
  <c r="J8" i="31"/>
  <c r="J15" i="31"/>
  <c r="J13" i="31"/>
  <c r="M12" i="31"/>
  <c r="I10" i="31"/>
  <c r="L9" i="31"/>
  <c r="I7" i="31"/>
  <c r="I14" i="31"/>
  <c r="M6" i="31"/>
  <c r="N12" i="31"/>
  <c r="N10" i="31"/>
  <c r="M9" i="31"/>
  <c r="M18" i="31"/>
  <c r="M17" i="31"/>
  <c r="M16" i="31"/>
  <c r="N15" i="31"/>
  <c r="N13" i="31"/>
  <c r="M11" i="31"/>
  <c r="I8" i="31"/>
  <c r="M7" i="31"/>
  <c r="L18" i="31"/>
  <c r="I24" i="31"/>
  <c r="M24" i="31"/>
  <c r="L24" i="31"/>
  <c r="G225" i="31"/>
  <c r="J256" i="31"/>
  <c r="J247" i="31"/>
  <c r="J257" i="31"/>
  <c r="N364" i="31"/>
  <c r="N362" i="31"/>
  <c r="N360" i="31"/>
  <c r="N358" i="31"/>
  <c r="N356" i="31"/>
  <c r="N354" i="31"/>
  <c r="N352" i="31"/>
  <c r="N350" i="31"/>
  <c r="N348" i="31"/>
  <c r="N346" i="31"/>
  <c r="N351" i="31"/>
  <c r="N357" i="31"/>
  <c r="N361" i="31"/>
  <c r="L373" i="31"/>
  <c r="N373" i="31" s="1"/>
  <c r="F112" i="31" s="1"/>
  <c r="E375" i="31"/>
  <c r="E374" i="31"/>
  <c r="E373" i="31"/>
  <c r="E372" i="31"/>
  <c r="G372" i="31" s="1"/>
  <c r="E371" i="31"/>
  <c r="G371" i="31" s="1"/>
  <c r="E376" i="31"/>
  <c r="E378" i="31"/>
  <c r="L378" i="31"/>
  <c r="N378" i="31" s="1"/>
  <c r="L379" i="31"/>
  <c r="E382" i="31"/>
  <c r="L449" i="31"/>
  <c r="Z782" i="25"/>
  <c r="Z778" i="25"/>
  <c r="Z774" i="25"/>
  <c r="Z770" i="25"/>
  <c r="Z780" i="25"/>
  <c r="Z773" i="25"/>
  <c r="Z771" i="25"/>
  <c r="Z766" i="25"/>
  <c r="Z762" i="25"/>
  <c r="Z758" i="25"/>
  <c r="Z754" i="25"/>
  <c r="Z750" i="25"/>
  <c r="Z746" i="25"/>
  <c r="Z742" i="25"/>
  <c r="Z738" i="25"/>
  <c r="Z734" i="25"/>
  <c r="Z730" i="25"/>
  <c r="Z726" i="25"/>
  <c r="Z722" i="25"/>
  <c r="Z718" i="25"/>
  <c r="Z714" i="25"/>
  <c r="Z710" i="25"/>
  <c r="Z706" i="25"/>
  <c r="Z702" i="25"/>
  <c r="Z698" i="25"/>
  <c r="Z694" i="25"/>
  <c r="Z690" i="25"/>
  <c r="Z686" i="25"/>
  <c r="Z682" i="25"/>
  <c r="Z678" i="25"/>
  <c r="Z674" i="25"/>
  <c r="Z670" i="25"/>
  <c r="Z666" i="25"/>
  <c r="Z662" i="25"/>
  <c r="Z658" i="25"/>
  <c r="Z654" i="25"/>
  <c r="Z650" i="25"/>
  <c r="Z646" i="25"/>
  <c r="Z642" i="25"/>
  <c r="Z638" i="25"/>
  <c r="Z779" i="25"/>
  <c r="Z777" i="25"/>
  <c r="Z772" i="25"/>
  <c r="Z767" i="25"/>
  <c r="Z760" i="25"/>
  <c r="Z753" i="25"/>
  <c r="Z751" i="25"/>
  <c r="Z744" i="25"/>
  <c r="Z737" i="25"/>
  <c r="Z735" i="25"/>
  <c r="Z728" i="25"/>
  <c r="Z721" i="25"/>
  <c r="Z719" i="25"/>
  <c r="Z712" i="25"/>
  <c r="Z705" i="25"/>
  <c r="Z703" i="25"/>
  <c r="Z696" i="25"/>
  <c r="Z689" i="25"/>
  <c r="Z687" i="25"/>
  <c r="Z680" i="25"/>
  <c r="Z673" i="25"/>
  <c r="Z671" i="25"/>
  <c r="Z664" i="25"/>
  <c r="Z657" i="25"/>
  <c r="Z655" i="25"/>
  <c r="Z648" i="25"/>
  <c r="Z641" i="25"/>
  <c r="Z639" i="25"/>
  <c r="Z634" i="25"/>
  <c r="Z630" i="25"/>
  <c r="Z626" i="25"/>
  <c r="Z622" i="25"/>
  <c r="Z618" i="25"/>
  <c r="Z614" i="25"/>
  <c r="Z610" i="25"/>
  <c r="Z606" i="25"/>
  <c r="Z602" i="25"/>
  <c r="Z598" i="25"/>
  <c r="Z594" i="25"/>
  <c r="Z590" i="25"/>
  <c r="Z586" i="25"/>
  <c r="Z582" i="25"/>
  <c r="Z578" i="25"/>
  <c r="Z574" i="25"/>
  <c r="Z570" i="25"/>
  <c r="Z566" i="25"/>
  <c r="Z562" i="25"/>
  <c r="Z558" i="25"/>
  <c r="Z554" i="25"/>
  <c r="Z550" i="25"/>
  <c r="Z546" i="25"/>
  <c r="Z542" i="25"/>
  <c r="Z538" i="25"/>
  <c r="Z534" i="25"/>
  <c r="Z530" i="25"/>
  <c r="Z526" i="25"/>
  <c r="Z783" i="25"/>
  <c r="Z769" i="25"/>
  <c r="Z764" i="25"/>
  <c r="Z759" i="25"/>
  <c r="Z757" i="25"/>
  <c r="Z752" i="25"/>
  <c r="Z747" i="25"/>
  <c r="Z745" i="25"/>
  <c r="Z740" i="25"/>
  <c r="Z733" i="25"/>
  <c r="Z707" i="25"/>
  <c r="Z700" i="25"/>
  <c r="Z695" i="25"/>
  <c r="Z693" i="25"/>
  <c r="Z688" i="25"/>
  <c r="Z683" i="25"/>
  <c r="Z681" i="25"/>
  <c r="Z676" i="25"/>
  <c r="Z669" i="25"/>
  <c r="Z643" i="25"/>
  <c r="Z636" i="25"/>
  <c r="Z632" i="25"/>
  <c r="Z625" i="25"/>
  <c r="Z623" i="25"/>
  <c r="Z616" i="25"/>
  <c r="Z609" i="25"/>
  <c r="Z607" i="25"/>
  <c r="Z600" i="25"/>
  <c r="Z593" i="25"/>
  <c r="Z591" i="25"/>
  <c r="Z584" i="25"/>
  <c r="Z577" i="25"/>
  <c r="Z575" i="25"/>
  <c r="Z568" i="25"/>
  <c r="Z561" i="25"/>
  <c r="Z559" i="25"/>
  <c r="Z552" i="25"/>
  <c r="Z545" i="25"/>
  <c r="Z543" i="25"/>
  <c r="Z536" i="25"/>
  <c r="Z529" i="25"/>
  <c r="Z527" i="25"/>
  <c r="Z522" i="25"/>
  <c r="Z518" i="25"/>
  <c r="Z514" i="25"/>
  <c r="Z510" i="25"/>
  <c r="Z506" i="25"/>
  <c r="Z502" i="25"/>
  <c r="Z498" i="25"/>
  <c r="Z494" i="25"/>
  <c r="Z490" i="25"/>
  <c r="Z486" i="25"/>
  <c r="Z482" i="25"/>
  <c r="Z478" i="25"/>
  <c r="Z474" i="25"/>
  <c r="Z470" i="25"/>
  <c r="Z466" i="25"/>
  <c r="Z462" i="25"/>
  <c r="Z458" i="25"/>
  <c r="Z454" i="25"/>
  <c r="Z450" i="25"/>
  <c r="Z446" i="25"/>
  <c r="Z442" i="25"/>
  <c r="Z438" i="25"/>
  <c r="Z434" i="25"/>
  <c r="Z430" i="25"/>
  <c r="Z426" i="25"/>
  <c r="Z422" i="25"/>
  <c r="Z418" i="25"/>
  <c r="Z776" i="25"/>
  <c r="Z768" i="25"/>
  <c r="Z761" i="25"/>
  <c r="Z755" i="25"/>
  <c r="Z739" i="25"/>
  <c r="Z736" i="25"/>
  <c r="Z723" i="25"/>
  <c r="Z720" i="25"/>
  <c r="Z717" i="25"/>
  <c r="Z704" i="25"/>
  <c r="Z701" i="25"/>
  <c r="Z685" i="25"/>
  <c r="Z679" i="25"/>
  <c r="Z663" i="25"/>
  <c r="Z660" i="25"/>
  <c r="Z647" i="25"/>
  <c r="Z644" i="25"/>
  <c r="Z611" i="25"/>
  <c r="Z604" i="25"/>
  <c r="Z599" i="25"/>
  <c r="Z597" i="25"/>
  <c r="Z592" i="25"/>
  <c r="Z587" i="25"/>
  <c r="Z585" i="25"/>
  <c r="Z580" i="25"/>
  <c r="Z573" i="25"/>
  <c r="Z547" i="25"/>
  <c r="Z540" i="25"/>
  <c r="Z535" i="25"/>
  <c r="Z533" i="25"/>
  <c r="Z528" i="25"/>
  <c r="Z523" i="25"/>
  <c r="Z516" i="25"/>
  <c r="Z509" i="25"/>
  <c r="Z507" i="25"/>
  <c r="Z500" i="25"/>
  <c r="Z493" i="25"/>
  <c r="Z491" i="25"/>
  <c r="Z484" i="25"/>
  <c r="Z477" i="25"/>
  <c r="Z475" i="25"/>
  <c r="Z468" i="25"/>
  <c r="Z461" i="25"/>
  <c r="Z459" i="25"/>
  <c r="Z452" i="25"/>
  <c r="Z445" i="25"/>
  <c r="Z443" i="25"/>
  <c r="Z436" i="25"/>
  <c r="Z429" i="25"/>
  <c r="Z427" i="25"/>
  <c r="Z420" i="25"/>
  <c r="Z415" i="25"/>
  <c r="Z411" i="25"/>
  <c r="Z407" i="25"/>
  <c r="Z403" i="25"/>
  <c r="Z399" i="25"/>
  <c r="Z395" i="25"/>
  <c r="Z391" i="25"/>
  <c r="Z387" i="25"/>
  <c r="Z383" i="25"/>
  <c r="Z379" i="25"/>
  <c r="Z375" i="25"/>
  <c r="Z371" i="25"/>
  <c r="Z367" i="25"/>
  <c r="Z363" i="25"/>
  <c r="Z359" i="25"/>
  <c r="Z355" i="25"/>
  <c r="Z351" i="25"/>
  <c r="Z347" i="25"/>
  <c r="Z343" i="25"/>
  <c r="Z339" i="25"/>
  <c r="Z335" i="25"/>
  <c r="Z331" i="25"/>
  <c r="Z327" i="25"/>
  <c r="Z323" i="25"/>
  <c r="Z319" i="25"/>
  <c r="Z315" i="25"/>
  <c r="Z311" i="25"/>
  <c r="Z307" i="25"/>
  <c r="Z303" i="25"/>
  <c r="Z299" i="25"/>
  <c r="Z295" i="25"/>
  <c r="Z291" i="25"/>
  <c r="Z287" i="25"/>
  <c r="Z283" i="25"/>
  <c r="Z775" i="25"/>
  <c r="Z763" i="25"/>
  <c r="Z748" i="25"/>
  <c r="Z732" i="25"/>
  <c r="Z729" i="25"/>
  <c r="Z716" i="25"/>
  <c r="Z713" i="25"/>
  <c r="Z697" i="25"/>
  <c r="Z691" i="25"/>
  <c r="Z675" i="25"/>
  <c r="Z672" i="25"/>
  <c r="Z659" i="25"/>
  <c r="Z656" i="25"/>
  <c r="Z653" i="25"/>
  <c r="Z640" i="25"/>
  <c r="Z637" i="25"/>
  <c r="Z627" i="25"/>
  <c r="Z620" i="25"/>
  <c r="Z615" i="25"/>
  <c r="Z613" i="25"/>
  <c r="Z608" i="25"/>
  <c r="Z603" i="25"/>
  <c r="Z601" i="25"/>
  <c r="Z596" i="25"/>
  <c r="Z589" i="25"/>
  <c r="Z563" i="25"/>
  <c r="Z556" i="25"/>
  <c r="Z551" i="25"/>
  <c r="Z549" i="25"/>
  <c r="Z544" i="25"/>
  <c r="Z539" i="25"/>
  <c r="Z537" i="25"/>
  <c r="Z532" i="25"/>
  <c r="Z525" i="25"/>
  <c r="Z521" i="25"/>
  <c r="Z519" i="25"/>
  <c r="Z512" i="25"/>
  <c r="Z505" i="25"/>
  <c r="Z503" i="25"/>
  <c r="Z496" i="25"/>
  <c r="Z489" i="25"/>
  <c r="Z487" i="25"/>
  <c r="Z480" i="25"/>
  <c r="Z473" i="25"/>
  <c r="Z471" i="25"/>
  <c r="Z464" i="25"/>
  <c r="Z457" i="25"/>
  <c r="Z455" i="25"/>
  <c r="Z448" i="25"/>
  <c r="Z441" i="25"/>
  <c r="Z439" i="25"/>
  <c r="Z432" i="25"/>
  <c r="Z425" i="25"/>
  <c r="Z423" i="25"/>
  <c r="Z416" i="25"/>
  <c r="Z412" i="25"/>
  <c r="Z408" i="25"/>
  <c r="Z404" i="25"/>
  <c r="Z400" i="25"/>
  <c r="Z396" i="25"/>
  <c r="Z392" i="25"/>
  <c r="Z388" i="25"/>
  <c r="Z384" i="25"/>
  <c r="Z380" i="25"/>
  <c r="Z376" i="25"/>
  <c r="Z372" i="25"/>
  <c r="Z368" i="25"/>
  <c r="Z364" i="25"/>
  <c r="Z360" i="25"/>
  <c r="Z356" i="25"/>
  <c r="Z352" i="25"/>
  <c r="Z348" i="25"/>
  <c r="Z344" i="25"/>
  <c r="Z340" i="25"/>
  <c r="Z336" i="25"/>
  <c r="Z332" i="25"/>
  <c r="Z328" i="25"/>
  <c r="Z324" i="25"/>
  <c r="Z320" i="25"/>
  <c r="Z316" i="25"/>
  <c r="Z312" i="25"/>
  <c r="Z308" i="25"/>
  <c r="Z304" i="25"/>
  <c r="Z300" i="25"/>
  <c r="Z296" i="25"/>
  <c r="Z292" i="25"/>
  <c r="Z288" i="25"/>
  <c r="Z284" i="25"/>
  <c r="Z280" i="25"/>
  <c r="Z279" i="25"/>
  <c r="Z278" i="25"/>
  <c r="Z277" i="25"/>
  <c r="Z276" i="25"/>
  <c r="Z275" i="25"/>
  <c r="Z274" i="25"/>
  <c r="Z273" i="25"/>
  <c r="Z272" i="25"/>
  <c r="Z271" i="25"/>
  <c r="Z270" i="25"/>
  <c r="Z269" i="25"/>
  <c r="Z268" i="25"/>
  <c r="Z267" i="25"/>
  <c r="Z266" i="25"/>
  <c r="Z265" i="25"/>
  <c r="Z264" i="25"/>
  <c r="Z263" i="25"/>
  <c r="Z262" i="25"/>
  <c r="Z261" i="25"/>
  <c r="Z260" i="25"/>
  <c r="Z259" i="25"/>
  <c r="Z258" i="25"/>
  <c r="Z257" i="25"/>
  <c r="Z256" i="25"/>
  <c r="Z255" i="25"/>
  <c r="Z254" i="25"/>
  <c r="Z253" i="25"/>
  <c r="Z252" i="25"/>
  <c r="Z251" i="25"/>
  <c r="Z250" i="25"/>
  <c r="Z249" i="25"/>
  <c r="Z248" i="25"/>
  <c r="Z247" i="25"/>
  <c r="Z246" i="25"/>
  <c r="Z245" i="25"/>
  <c r="Z244" i="25"/>
  <c r="Z243" i="25"/>
  <c r="Z242" i="25"/>
  <c r="Z241" i="25"/>
  <c r="Z240" i="25"/>
  <c r="Z239" i="25"/>
  <c r="Z238" i="25"/>
  <c r="Z237" i="25"/>
  <c r="Z236" i="25"/>
  <c r="Z235" i="25"/>
  <c r="Z234" i="25"/>
  <c r="Z233" i="25"/>
  <c r="Z232" i="25"/>
  <c r="Z231" i="25"/>
  <c r="Z230" i="25"/>
  <c r="Z229" i="25"/>
  <c r="Z228" i="25"/>
  <c r="Z227" i="25"/>
  <c r="Z226" i="25"/>
  <c r="Z225" i="25"/>
  <c r="Z224" i="25"/>
  <c r="Z223" i="25"/>
  <c r="Z222" i="25"/>
  <c r="Z221" i="25"/>
  <c r="Z220" i="25"/>
  <c r="Z219" i="25"/>
  <c r="Z218" i="25"/>
  <c r="Z217" i="25"/>
  <c r="Z216" i="25"/>
  <c r="Z215" i="25"/>
  <c r="Z214" i="25"/>
  <c r="Z213" i="25"/>
  <c r="Z212" i="25"/>
  <c r="Z211" i="25"/>
  <c r="Z210" i="25"/>
  <c r="Z209" i="25"/>
  <c r="Z208" i="25"/>
  <c r="Z207" i="25"/>
  <c r="Z206" i="25"/>
  <c r="Z205" i="25"/>
  <c r="Z204" i="25"/>
  <c r="Z203" i="25"/>
  <c r="Z202" i="25"/>
  <c r="Z201" i="25"/>
  <c r="Z200" i="25"/>
  <c r="Z199" i="25"/>
  <c r="Z198" i="25"/>
  <c r="Z197" i="25"/>
  <c r="Z196" i="25"/>
  <c r="Z195" i="25"/>
  <c r="Z194" i="25"/>
  <c r="Z193" i="25"/>
  <c r="Z192" i="25"/>
  <c r="Z191" i="25"/>
  <c r="Z190" i="25"/>
  <c r="Z189" i="25"/>
  <c r="Z188" i="25"/>
  <c r="Z187" i="25"/>
  <c r="Z186" i="25"/>
  <c r="Z185" i="25"/>
  <c r="Z184" i="25"/>
  <c r="Z183" i="25"/>
  <c r="Z182" i="25"/>
  <c r="Z181" i="25"/>
  <c r="Z180" i="25"/>
  <c r="Z179" i="25"/>
  <c r="Z178" i="25"/>
  <c r="Z177" i="25"/>
  <c r="Z176" i="25"/>
  <c r="Z175" i="25"/>
  <c r="Z174" i="25"/>
  <c r="Z173" i="25"/>
  <c r="Z172" i="25"/>
  <c r="Z171" i="25"/>
  <c r="Z170" i="25"/>
  <c r="Z169" i="25"/>
  <c r="Z168" i="25"/>
  <c r="Z167" i="25"/>
  <c r="Z166" i="25"/>
  <c r="Z165" i="25"/>
  <c r="Z164" i="25"/>
  <c r="Z163" i="25"/>
  <c r="Z162" i="25"/>
  <c r="Z161" i="25"/>
  <c r="Z160" i="25"/>
  <c r="Z159" i="25"/>
  <c r="Z158" i="25"/>
  <c r="Z157" i="25"/>
  <c r="Z156" i="25"/>
  <c r="Z155" i="25"/>
  <c r="Z154" i="25"/>
  <c r="Z153" i="25"/>
  <c r="Z152" i="25"/>
  <c r="Z151" i="25"/>
  <c r="Z150" i="25"/>
  <c r="Z149" i="25"/>
  <c r="Z148" i="25"/>
  <c r="Z147" i="25"/>
  <c r="Z146" i="25"/>
  <c r="Z145" i="25"/>
  <c r="Z144" i="25"/>
  <c r="Z143" i="25"/>
  <c r="Z142" i="25"/>
  <c r="Z141" i="25"/>
  <c r="Z140" i="25"/>
  <c r="Z139" i="25"/>
  <c r="Z138" i="25"/>
  <c r="Z137" i="25"/>
  <c r="Z136" i="25"/>
  <c r="Z135" i="25"/>
  <c r="Z134" i="25"/>
  <c r="Z133" i="25"/>
  <c r="Z132" i="25"/>
  <c r="Z131" i="25"/>
  <c r="Z130" i="25"/>
  <c r="Z129" i="25"/>
  <c r="Z128" i="25"/>
  <c r="Z127" i="25"/>
  <c r="Z126" i="25"/>
  <c r="Z125" i="25"/>
  <c r="Z749" i="25"/>
  <c r="Z743" i="25"/>
  <c r="Z724" i="25"/>
  <c r="Z711" i="25"/>
  <c r="Z692" i="25"/>
  <c r="Z667" i="25"/>
  <c r="Z661" i="25"/>
  <c r="Z635" i="25"/>
  <c r="Z621" i="25"/>
  <c r="Z588" i="25"/>
  <c r="Z583" i="25"/>
  <c r="Z569" i="25"/>
  <c r="Z564" i="25"/>
  <c r="Z531" i="25"/>
  <c r="Z511" i="25"/>
  <c r="Z504" i="25"/>
  <c r="Z497" i="25"/>
  <c r="Z479" i="25"/>
  <c r="Z472" i="25"/>
  <c r="Z465" i="25"/>
  <c r="Z447" i="25"/>
  <c r="Z440" i="25"/>
  <c r="Z433" i="25"/>
  <c r="Z410" i="25"/>
  <c r="Z402" i="25"/>
  <c r="Z394" i="25"/>
  <c r="Z386" i="25"/>
  <c r="Z378" i="25"/>
  <c r="Z370" i="25"/>
  <c r="Z362" i="25"/>
  <c r="Z354" i="25"/>
  <c r="Z346" i="25"/>
  <c r="Z338" i="25"/>
  <c r="Z330" i="25"/>
  <c r="Z322" i="25"/>
  <c r="Z314" i="25"/>
  <c r="Z306" i="25"/>
  <c r="Z298" i="25"/>
  <c r="Z290" i="25"/>
  <c r="Z282" i="25"/>
  <c r="Z123" i="25"/>
  <c r="Z121" i="25"/>
  <c r="Z119" i="25"/>
  <c r="Z117" i="25"/>
  <c r="Z115" i="25"/>
  <c r="Z113" i="25"/>
  <c r="Z111" i="25"/>
  <c r="Z109" i="25"/>
  <c r="Z107" i="25"/>
  <c r="Z105" i="25"/>
  <c r="Z103" i="25"/>
  <c r="Z101" i="25"/>
  <c r="Z99" i="25"/>
  <c r="Z97" i="25"/>
  <c r="Z95" i="25"/>
  <c r="Z93" i="25"/>
  <c r="Z91" i="25"/>
  <c r="Z89" i="25"/>
  <c r="Z87" i="25"/>
  <c r="Z85" i="25"/>
  <c r="Z83" i="25"/>
  <c r="Z81" i="25"/>
  <c r="Z79" i="25"/>
  <c r="Z77" i="25"/>
  <c r="Z75" i="25"/>
  <c r="Z73" i="25"/>
  <c r="Z71" i="25"/>
  <c r="Z69" i="25"/>
  <c r="Z67" i="25"/>
  <c r="Z65" i="25"/>
  <c r="Z63" i="25"/>
  <c r="Z61" i="25"/>
  <c r="Z59" i="25"/>
  <c r="Z57" i="25"/>
  <c r="Z55" i="25"/>
  <c r="Z53" i="25"/>
  <c r="Z51" i="25"/>
  <c r="Z49" i="25"/>
  <c r="Z47" i="25"/>
  <c r="Z45" i="25"/>
  <c r="Z43" i="25"/>
  <c r="Z41" i="25"/>
  <c r="Z39" i="25"/>
  <c r="Z37" i="25"/>
  <c r="Z35" i="25"/>
  <c r="Z33" i="25"/>
  <c r="Z31" i="25"/>
  <c r="Z29" i="25"/>
  <c r="Z27" i="25"/>
  <c r="Z25" i="25"/>
  <c r="Z23" i="25"/>
  <c r="Z19" i="25"/>
  <c r="Z18" i="25"/>
  <c r="Z17" i="25"/>
  <c r="Z16" i="25"/>
  <c r="Z15" i="25"/>
  <c r="Z14" i="25"/>
  <c r="Z10" i="25"/>
  <c r="Z6" i="25"/>
  <c r="Z5" i="25"/>
  <c r="Z4" i="25"/>
  <c r="Z3" i="25"/>
  <c r="Z741" i="25"/>
  <c r="Z715" i="25"/>
  <c r="Z709" i="25"/>
  <c r="Z684" i="25"/>
  <c r="Z665" i="25"/>
  <c r="Z652" i="25"/>
  <c r="Z629" i="25"/>
  <c r="Z624" i="25"/>
  <c r="Z619" i="25"/>
  <c r="Z605" i="25"/>
  <c r="Z572" i="25"/>
  <c r="Z567" i="25"/>
  <c r="Z553" i="25"/>
  <c r="Z548" i="25"/>
  <c r="Z517" i="25"/>
  <c r="Z499" i="25"/>
  <c r="Z492" i="25"/>
  <c r="Z485" i="25"/>
  <c r="Z467" i="25"/>
  <c r="Z460" i="25"/>
  <c r="Z453" i="25"/>
  <c r="Z435" i="25"/>
  <c r="Z428" i="25"/>
  <c r="Z421" i="25"/>
  <c r="Z409" i="25"/>
  <c r="Z401" i="25"/>
  <c r="Z393" i="25"/>
  <c r="Z385" i="25"/>
  <c r="Z377" i="25"/>
  <c r="Z369" i="25"/>
  <c r="Z361" i="25"/>
  <c r="Z353" i="25"/>
  <c r="Z345" i="25"/>
  <c r="Z337" i="25"/>
  <c r="Z329" i="25"/>
  <c r="Z321" i="25"/>
  <c r="Z313" i="25"/>
  <c r="Z305" i="25"/>
  <c r="Z297" i="25"/>
  <c r="Z289" i="25"/>
  <c r="Z281" i="25"/>
  <c r="Z13" i="25"/>
  <c r="Z12" i="25"/>
  <c r="Z781" i="25"/>
  <c r="Z765" i="25"/>
  <c r="Z727" i="25"/>
  <c r="Z677" i="25"/>
  <c r="Z651" i="25"/>
  <c r="Z628" i="25"/>
  <c r="Z581" i="25"/>
  <c r="Z571" i="25"/>
  <c r="Z524" i="25"/>
  <c r="Z495" i="25"/>
  <c r="Z488" i="25"/>
  <c r="Z481" i="25"/>
  <c r="Z431" i="25"/>
  <c r="Z424" i="25"/>
  <c r="Z417" i="25"/>
  <c r="Z406" i="25"/>
  <c r="Z390" i="25"/>
  <c r="Z374" i="25"/>
  <c r="Z358" i="25"/>
  <c r="Z342" i="25"/>
  <c r="Z326" i="25"/>
  <c r="Z310" i="25"/>
  <c r="Z294" i="25"/>
  <c r="Z122" i="25"/>
  <c r="Z118" i="25"/>
  <c r="Z114" i="25"/>
  <c r="Z110" i="25"/>
  <c r="Z106" i="25"/>
  <c r="Z102" i="25"/>
  <c r="Z98" i="25"/>
  <c r="Z94" i="25"/>
  <c r="Z90" i="25"/>
  <c r="Z86" i="25"/>
  <c r="Z82" i="25"/>
  <c r="Z78" i="25"/>
  <c r="Z74" i="25"/>
  <c r="Z70" i="25"/>
  <c r="Z66" i="25"/>
  <c r="Z62" i="25"/>
  <c r="Z58" i="25"/>
  <c r="Z54" i="25"/>
  <c r="Z50" i="25"/>
  <c r="Z46" i="25"/>
  <c r="Z42" i="25"/>
  <c r="Z38" i="25"/>
  <c r="Z34" i="25"/>
  <c r="Z30" i="25"/>
  <c r="Z26" i="25"/>
  <c r="Z11" i="25"/>
  <c r="Z725" i="25"/>
  <c r="Z699" i="25"/>
  <c r="Z649" i="25"/>
  <c r="Z617" i="25"/>
  <c r="Z579" i="25"/>
  <c r="Z560" i="25"/>
  <c r="Z541" i="25"/>
  <c r="Z515" i="25"/>
  <c r="Z508" i="25"/>
  <c r="Z501" i="25"/>
  <c r="Z451" i="25"/>
  <c r="Z444" i="25"/>
  <c r="Z437" i="25"/>
  <c r="Z405" i="25"/>
  <c r="Z389" i="25"/>
  <c r="Z373" i="25"/>
  <c r="Z357" i="25"/>
  <c r="Z341" i="25"/>
  <c r="Z325" i="25"/>
  <c r="Z309" i="25"/>
  <c r="Z293" i="25"/>
  <c r="Z22" i="25"/>
  <c r="Z21" i="25"/>
  <c r="Z20" i="25"/>
  <c r="Z708" i="25"/>
  <c r="Z645" i="25"/>
  <c r="Z633" i="25"/>
  <c r="Z595" i="25"/>
  <c r="Z576" i="25"/>
  <c r="Z557" i="25"/>
  <c r="Z520" i="25"/>
  <c r="Z513" i="25"/>
  <c r="Z463" i="25"/>
  <c r="Z456" i="25"/>
  <c r="Z449" i="25"/>
  <c r="Z414" i="25"/>
  <c r="Z398" i="25"/>
  <c r="Z382" i="25"/>
  <c r="Z366" i="25"/>
  <c r="Z350" i="25"/>
  <c r="Z334" i="25"/>
  <c r="Z318" i="25"/>
  <c r="Z302" i="25"/>
  <c r="Z286" i="25"/>
  <c r="Z7" i="25"/>
  <c r="Z9" i="25"/>
  <c r="Z24" i="25"/>
  <c r="Z32" i="25"/>
  <c r="Z40" i="25"/>
  <c r="Z48" i="25"/>
  <c r="Z56" i="25"/>
  <c r="Z64" i="25"/>
  <c r="Z72" i="25"/>
  <c r="Z80" i="25"/>
  <c r="Z88" i="25"/>
  <c r="Z96" i="25"/>
  <c r="Z104" i="25"/>
  <c r="Z112" i="25"/>
  <c r="Z120" i="25"/>
  <c r="Z317" i="25"/>
  <c r="Z381" i="25"/>
  <c r="Z483" i="25"/>
  <c r="Z668" i="25"/>
  <c r="E18" i="32"/>
  <c r="M12" i="32"/>
  <c r="E15" i="32"/>
  <c r="E19" i="32"/>
  <c r="D192" i="31"/>
  <c r="D253" i="31"/>
  <c r="F253" i="31" s="1"/>
  <c r="E274" i="31"/>
  <c r="C274" i="31" s="1"/>
  <c r="I301" i="31"/>
  <c r="L374" i="31"/>
  <c r="N374" i="31" s="1"/>
  <c r="G112" i="31" s="1"/>
  <c r="L382" i="31"/>
  <c r="N382" i="31" s="1"/>
  <c r="L386" i="31"/>
  <c r="N386" i="31" s="1"/>
  <c r="L390" i="31"/>
  <c r="N390" i="31" s="1"/>
  <c r="L394" i="31"/>
  <c r="N394" i="31" s="1"/>
  <c r="L398" i="31"/>
  <c r="L402" i="31"/>
  <c r="N402" i="31" s="1"/>
  <c r="L406" i="31"/>
  <c r="N406" i="31" s="1"/>
  <c r="L410" i="31"/>
  <c r="N410" i="31" s="1"/>
  <c r="L459" i="31"/>
  <c r="L463" i="31"/>
  <c r="L467" i="31"/>
  <c r="G212" i="31"/>
  <c r="G222" i="31"/>
  <c r="G224" i="31"/>
  <c r="G226" i="31"/>
  <c r="J255" i="31"/>
  <c r="D251" i="31"/>
  <c r="F251" i="31" s="1"/>
  <c r="E237" i="31" s="1"/>
  <c r="J254" i="31"/>
  <c r="L407" i="31"/>
  <c r="N407" i="31" s="1"/>
  <c r="L403" i="31"/>
  <c r="L399" i="31"/>
  <c r="N399" i="31" s="1"/>
  <c r="L395" i="31"/>
  <c r="N395" i="31" s="1"/>
  <c r="L391" i="31"/>
  <c r="N391" i="31" s="1"/>
  <c r="L387" i="31"/>
  <c r="N387" i="31" s="1"/>
  <c r="L383" i="31"/>
  <c r="N383" i="31" s="1"/>
  <c r="L381" i="31"/>
  <c r="N381" i="31" s="1"/>
  <c r="L377" i="31"/>
  <c r="N377" i="31" s="1"/>
  <c r="L371" i="31"/>
  <c r="L376" i="31"/>
  <c r="N376" i="31" s="1"/>
  <c r="E380" i="31"/>
  <c r="L451" i="31"/>
  <c r="L466" i="31"/>
  <c r="D74" i="32"/>
  <c r="G74" i="32" s="1"/>
  <c r="G78" i="32"/>
  <c r="G80" i="32"/>
  <c r="K6" i="31"/>
  <c r="M8" i="31"/>
  <c r="N14" i="31"/>
  <c r="I16" i="31"/>
  <c r="I17" i="31"/>
  <c r="P88" i="31"/>
  <c r="P90" i="31"/>
  <c r="F110" i="31" s="1"/>
  <c r="D186" i="31"/>
  <c r="B194" i="31" s="1"/>
  <c r="C194" i="31" s="1"/>
  <c r="M50" i="31" s="1"/>
  <c r="D188" i="31"/>
  <c r="D190" i="31"/>
  <c r="D202" i="31"/>
  <c r="H202" i="31"/>
  <c r="I297" i="31"/>
  <c r="G304" i="31" s="1"/>
  <c r="H304" i="31" s="1"/>
  <c r="C57" i="32"/>
  <c r="J7" i="31"/>
  <c r="I9" i="31"/>
  <c r="J10" i="31"/>
  <c r="J11" i="31"/>
  <c r="J12" i="31"/>
  <c r="K13" i="31"/>
  <c r="K14" i="31"/>
  <c r="K15" i="31"/>
  <c r="J16" i="31"/>
  <c r="E202" i="31"/>
  <c r="G221" i="31"/>
  <c r="J246" i="31"/>
  <c r="J248" i="31"/>
  <c r="J251" i="31"/>
  <c r="L67" i="4"/>
  <c r="M76" i="4"/>
  <c r="L76" i="4"/>
  <c r="D6" i="15"/>
  <c r="B37" i="15"/>
  <c r="F6" i="15"/>
  <c r="B14" i="15"/>
  <c r="D35" i="15"/>
  <c r="M67" i="4"/>
  <c r="M72" i="4" s="1"/>
  <c r="M73" i="4"/>
  <c r="M77" i="4" s="1"/>
  <c r="K77" i="4"/>
  <c r="L73" i="4"/>
  <c r="O11" i="3"/>
  <c r="M65" i="3"/>
  <c r="O7" i="3"/>
  <c r="AG16" i="12"/>
  <c r="AG12" i="12"/>
  <c r="AG8" i="12"/>
  <c r="AG4" i="12"/>
  <c r="AG13" i="12"/>
  <c r="AG7" i="12"/>
  <c r="AG17" i="12"/>
  <c r="AG11" i="12"/>
  <c r="AG6" i="12"/>
  <c r="AG14" i="12"/>
  <c r="AI8" i="12"/>
  <c r="AP15" i="12"/>
  <c r="AP31" i="12"/>
  <c r="N75" i="4"/>
  <c r="AH17" i="12"/>
  <c r="AH13" i="12"/>
  <c r="AH9" i="12"/>
  <c r="AH5" i="12"/>
  <c r="AH8" i="12"/>
  <c r="AH14" i="12"/>
  <c r="AI4" i="12"/>
  <c r="AJ8" i="12"/>
  <c r="AJ4" i="12"/>
  <c r="AP53" i="12"/>
  <c r="AP49" i="12"/>
  <c r="AP45" i="12"/>
  <c r="AP41" i="12"/>
  <c r="AP37" i="12"/>
  <c r="AP33" i="12"/>
  <c r="AP29" i="12"/>
  <c r="AP25" i="12"/>
  <c r="AP21" i="12"/>
  <c r="AP17" i="12"/>
  <c r="AP13" i="12"/>
  <c r="AP9" i="12"/>
  <c r="AP5" i="12"/>
  <c r="AP52" i="12"/>
  <c r="AP48" i="12"/>
  <c r="AP44" i="12"/>
  <c r="AP40" i="12"/>
  <c r="AP36" i="12"/>
  <c r="AP32" i="12"/>
  <c r="AP28" i="12"/>
  <c r="AP24" i="12"/>
  <c r="AP20" i="12"/>
  <c r="AP16" i="12"/>
  <c r="AP12" i="12"/>
  <c r="AP8" i="12"/>
  <c r="AP4" i="12"/>
  <c r="AP54" i="12"/>
  <c r="AP50" i="12"/>
  <c r="AP46" i="12"/>
  <c r="AP42" i="12"/>
  <c r="AP38" i="12"/>
  <c r="AP34" i="12"/>
  <c r="AP30" i="12"/>
  <c r="AP26" i="12"/>
  <c r="AP22" i="12"/>
  <c r="AP18" i="12"/>
  <c r="AP14" i="12"/>
  <c r="AP10" i="12"/>
  <c r="AP6" i="12"/>
  <c r="AP19" i="12"/>
  <c r="AP35" i="12"/>
  <c r="AP51" i="12"/>
  <c r="AQ6" i="12"/>
  <c r="AQ7" i="12"/>
  <c r="AQ4" i="12"/>
  <c r="AQ8" i="12"/>
  <c r="BF9" i="12"/>
  <c r="BG10" i="12" s="1"/>
  <c r="AQ5" i="12"/>
  <c r="I78" i="32" l="1"/>
  <c r="I82" i="32"/>
  <c r="O219" i="34"/>
  <c r="O229" i="34"/>
  <c r="O235" i="34"/>
  <c r="AE111" i="43"/>
  <c r="AB111" i="43"/>
  <c r="AO4" i="12" a="1"/>
  <c r="AO11" i="12" s="1"/>
  <c r="N11" i="49" s="1"/>
  <c r="AF111" i="43"/>
  <c r="Z111" i="43"/>
  <c r="AD137" i="34"/>
  <c r="AG135" i="34"/>
  <c r="AG131" i="34"/>
  <c r="AD130" i="34"/>
  <c r="AG136" i="34"/>
  <c r="AG144" i="34"/>
  <c r="AD136" i="34"/>
  <c r="AD144" i="34"/>
  <c r="AA111" i="43"/>
  <c r="Y111" i="43"/>
  <c r="AD111" i="43"/>
  <c r="AG142" i="34"/>
  <c r="AD138" i="34"/>
  <c r="AD133" i="34"/>
  <c r="AH130" i="34"/>
  <c r="AD139" i="34"/>
  <c r="AD146" i="34"/>
  <c r="AH131" i="34" s="1"/>
  <c r="AG137" i="34"/>
  <c r="AG145" i="34"/>
  <c r="Q80" i="4"/>
  <c r="W165" i="34"/>
  <c r="AG139" i="34"/>
  <c r="AC111" i="43"/>
  <c r="AD142" i="34"/>
  <c r="AD145" i="34"/>
  <c r="AG143" i="34"/>
  <c r="AG138" i="34"/>
  <c r="AG132" i="34"/>
  <c r="AG140" i="34"/>
  <c r="AD132" i="34"/>
  <c r="AE132" i="34" s="1"/>
  <c r="AD221" i="34"/>
  <c r="O226" i="34"/>
  <c r="AD223" i="34"/>
  <c r="AD217" i="34"/>
  <c r="O218" i="34"/>
  <c r="O216" i="34"/>
  <c r="O237" i="34"/>
  <c r="L26" i="40"/>
  <c r="N26" i="40" s="1"/>
  <c r="O26" i="40" s="1"/>
  <c r="P26" i="40" s="1"/>
  <c r="AD218" i="34"/>
  <c r="O217" i="34"/>
  <c r="L27" i="40"/>
  <c r="M27" i="40" s="1"/>
  <c r="AD219" i="34"/>
  <c r="AD216" i="34"/>
  <c r="AD224" i="34"/>
  <c r="O236" i="34"/>
  <c r="O234" i="34"/>
  <c r="O223" i="34"/>
  <c r="O233" i="34"/>
  <c r="O225" i="34"/>
  <c r="O222" i="34"/>
  <c r="O220" i="34"/>
  <c r="AD222" i="34"/>
  <c r="AD220" i="34"/>
  <c r="AD225" i="34"/>
  <c r="O232" i="34"/>
  <c r="O228" i="34"/>
  <c r="O221" i="34"/>
  <c r="O215" i="34"/>
  <c r="O231" i="34"/>
  <c r="O238" i="34"/>
  <c r="O224" i="34"/>
  <c r="H108" i="34"/>
  <c r="I80" i="32"/>
  <c r="O227" i="34"/>
  <c r="L17" i="40"/>
  <c r="O17" i="40" s="1"/>
  <c r="L21" i="40"/>
  <c r="P21" i="40" s="1"/>
  <c r="H110" i="34"/>
  <c r="L18" i="40"/>
  <c r="P18" i="40" s="1"/>
  <c r="H106" i="34"/>
  <c r="H111" i="34"/>
  <c r="H113" i="34"/>
  <c r="L19" i="40"/>
  <c r="P19" i="40" s="1"/>
  <c r="H107" i="34"/>
  <c r="H112" i="34"/>
  <c r="H109" i="34"/>
  <c r="AN159" i="34"/>
  <c r="AM159" i="34"/>
  <c r="AN156" i="34" s="1"/>
  <c r="Z756" i="25"/>
  <c r="Z631" i="25"/>
  <c r="Z301" i="25"/>
  <c r="Z365" i="25"/>
  <c r="AB365" i="25" s="1"/>
  <c r="AD365" i="25" s="1"/>
  <c r="O206" i="34"/>
  <c r="P206" i="34"/>
  <c r="P204" i="34"/>
  <c r="O204" i="34"/>
  <c r="Z123" i="43"/>
  <c r="Y123" i="43"/>
  <c r="B112" i="43"/>
  <c r="I76" i="32"/>
  <c r="AN70" i="34"/>
  <c r="AN66" i="34"/>
  <c r="AN62" i="34"/>
  <c r="AO57" i="34"/>
  <c r="AO54" i="34"/>
  <c r="AN67" i="34"/>
  <c r="AN63" i="34"/>
  <c r="AO58" i="34"/>
  <c r="AM53" i="34"/>
  <c r="AN68" i="34"/>
  <c r="AN64" i="34"/>
  <c r="AN60" i="34"/>
  <c r="AM56" i="34"/>
  <c r="AM55" i="34"/>
  <c r="AL53" i="34"/>
  <c r="AN69" i="34"/>
  <c r="AN65" i="34"/>
  <c r="AN61" i="34"/>
  <c r="AO59" i="34"/>
  <c r="O207" i="34"/>
  <c r="P207" i="34"/>
  <c r="G75" i="32"/>
  <c r="I74" i="32" s="1"/>
  <c r="E130" i="34"/>
  <c r="P208" i="34"/>
  <c r="O208" i="34"/>
  <c r="AE98" i="43"/>
  <c r="AG98" i="43"/>
  <c r="AF98" i="43"/>
  <c r="O205" i="34"/>
  <c r="P205" i="34"/>
  <c r="O19" i="3"/>
  <c r="L72" i="4"/>
  <c r="O8" i="40"/>
  <c r="N76" i="4"/>
  <c r="H38" i="43"/>
  <c r="G38" i="43" s="1"/>
  <c r="M78" i="4"/>
  <c r="Q20" i="43"/>
  <c r="Q29" i="43" s="1"/>
  <c r="E455" i="31"/>
  <c r="E456" i="31" s="1"/>
  <c r="E459" i="31" s="1"/>
  <c r="C73" i="43"/>
  <c r="S20" i="43"/>
  <c r="S28" i="43" s="1"/>
  <c r="V20" i="43"/>
  <c r="V26" i="43" s="1"/>
  <c r="AE20" i="43"/>
  <c r="AE32" i="43" s="1"/>
  <c r="AK4" i="57"/>
  <c r="Z20" i="43"/>
  <c r="Z27" i="43" s="1"/>
  <c r="C78" i="43"/>
  <c r="AJ5" i="57"/>
  <c r="Y20" i="43"/>
  <c r="Y25" i="43" s="1"/>
  <c r="O20" i="43"/>
  <c r="O32" i="43" s="1"/>
  <c r="AK5" i="57"/>
  <c r="AZ216" i="34"/>
  <c r="AZ20" i="34"/>
  <c r="AL5" i="57"/>
  <c r="T219" i="34"/>
  <c r="T218" i="34"/>
  <c r="T217" i="34"/>
  <c r="T215" i="34"/>
  <c r="T231" i="34"/>
  <c r="T227" i="34"/>
  <c r="T229" i="34"/>
  <c r="M8" i="40"/>
  <c r="N8" i="40"/>
  <c r="BS295" i="34"/>
  <c r="M10" i="40"/>
  <c r="N20" i="43"/>
  <c r="N29" i="43" s="1"/>
  <c r="AD20" i="43"/>
  <c r="AD31" i="43" s="1"/>
  <c r="W20" i="43"/>
  <c r="W28" i="43" s="1"/>
  <c r="D47" i="43"/>
  <c r="AL6" i="57"/>
  <c r="AJ6" i="57"/>
  <c r="AZ217" i="34"/>
  <c r="AZ218" i="34"/>
  <c r="AG20" i="43"/>
  <c r="AG27" i="43" s="1"/>
  <c r="R20" i="43"/>
  <c r="R33" i="43" s="1"/>
  <c r="N3" i="43"/>
  <c r="P6" i="43" s="1"/>
  <c r="AL4" i="57"/>
  <c r="BS300" i="34"/>
  <c r="E246" i="34"/>
  <c r="AK20" i="34"/>
  <c r="AZ21" i="34"/>
  <c r="N10" i="40"/>
  <c r="AZ22" i="34"/>
  <c r="L54" i="31"/>
  <c r="BR53" i="34"/>
  <c r="BS298" i="34"/>
  <c r="AZ19" i="34"/>
  <c r="AK23" i="34"/>
  <c r="P115" i="34"/>
  <c r="AV89" i="34"/>
  <c r="X63" i="34"/>
  <c r="Y223" i="34"/>
  <c r="AN95" i="34"/>
  <c r="E254" i="34"/>
  <c r="J243" i="31"/>
  <c r="AZ268" i="34"/>
  <c r="AF119" i="34"/>
  <c r="AF52" i="34"/>
  <c r="J253" i="34"/>
  <c r="BS306" i="34"/>
  <c r="AF279" i="34"/>
  <c r="P150" i="43"/>
  <c r="O248" i="34"/>
  <c r="E252" i="34"/>
  <c r="H81" i="34"/>
  <c r="AF60" i="34"/>
  <c r="AF64" i="34"/>
  <c r="AF68" i="34"/>
  <c r="O255" i="34"/>
  <c r="AN84" i="34"/>
  <c r="L41" i="31"/>
  <c r="J427" i="31"/>
  <c r="H93" i="34"/>
  <c r="AV85" i="34"/>
  <c r="H90" i="34"/>
  <c r="J256" i="34"/>
  <c r="T225" i="34"/>
  <c r="AP219" i="34"/>
  <c r="T228" i="34"/>
  <c r="AF116" i="34"/>
  <c r="H50" i="34"/>
  <c r="AF57" i="34"/>
  <c r="AF61" i="34"/>
  <c r="AF65" i="34"/>
  <c r="AF69" i="34"/>
  <c r="O253" i="34"/>
  <c r="E247" i="34"/>
  <c r="P89" i="34"/>
  <c r="J248" i="34"/>
  <c r="J255" i="34"/>
  <c r="AN93" i="34"/>
  <c r="BS297" i="34"/>
  <c r="X61" i="34"/>
  <c r="BR52" i="34"/>
  <c r="O66" i="43"/>
  <c r="P66" i="43" s="1"/>
  <c r="Q66" i="43" s="1"/>
  <c r="V66" i="43" s="1"/>
  <c r="O10" i="40"/>
  <c r="T251" i="34"/>
  <c r="T232" i="34"/>
  <c r="AK25" i="34"/>
  <c r="AK22" i="34"/>
  <c r="AP222" i="34"/>
  <c r="AN106" i="34"/>
  <c r="AV82" i="34"/>
  <c r="AV92" i="34"/>
  <c r="H78" i="34"/>
  <c r="J230" i="34"/>
  <c r="AF53" i="34"/>
  <c r="AF58" i="34"/>
  <c r="AF62" i="34"/>
  <c r="AF66" i="34"/>
  <c r="AF70" i="34"/>
  <c r="H56" i="34"/>
  <c r="E253" i="34"/>
  <c r="T247" i="34"/>
  <c r="P79" i="34"/>
  <c r="Y218" i="34"/>
  <c r="AN89" i="34"/>
  <c r="X64" i="34"/>
  <c r="D249" i="31"/>
  <c r="F249" i="31" s="1"/>
  <c r="E236" i="31" s="1"/>
  <c r="AN107" i="34"/>
  <c r="H85" i="34"/>
  <c r="H82" i="34"/>
  <c r="BS302" i="34"/>
  <c r="T254" i="34"/>
  <c r="O256" i="34"/>
  <c r="T216" i="34"/>
  <c r="T224" i="34"/>
  <c r="T234" i="34"/>
  <c r="AF118" i="34"/>
  <c r="AF117" i="34"/>
  <c r="X58" i="34"/>
  <c r="X54" i="34"/>
  <c r="AF59" i="34"/>
  <c r="AF63" i="34"/>
  <c r="AF67" i="34"/>
  <c r="G266" i="34"/>
  <c r="J247" i="34"/>
  <c r="P80" i="34"/>
  <c r="P85" i="34"/>
  <c r="P93" i="34"/>
  <c r="L291" i="34"/>
  <c r="T257" i="34"/>
  <c r="L276" i="34"/>
  <c r="Y220" i="34"/>
  <c r="AN82" i="34"/>
  <c r="AN81" i="34"/>
  <c r="AN85" i="34"/>
  <c r="AN83" i="34"/>
  <c r="O249" i="34"/>
  <c r="X62" i="34"/>
  <c r="AF281" i="34"/>
  <c r="O247" i="34"/>
  <c r="BS294" i="34"/>
  <c r="BR78" i="34"/>
  <c r="BR81" i="34"/>
  <c r="BR79" i="34"/>
  <c r="BR80" i="34"/>
  <c r="AF20" i="43"/>
  <c r="AF26" i="43" s="1"/>
  <c r="U20" i="43"/>
  <c r="AC20" i="43"/>
  <c r="T20" i="43"/>
  <c r="AB20" i="43"/>
  <c r="X20" i="43"/>
  <c r="X26" i="43" s="1"/>
  <c r="P20" i="43"/>
  <c r="C53" i="43"/>
  <c r="AB96" i="25"/>
  <c r="AD96" i="25" s="1"/>
  <c r="AF96" i="25" s="1"/>
  <c r="AB286" i="25"/>
  <c r="AD286" i="25" s="1"/>
  <c r="AB414" i="25"/>
  <c r="AB20" i="25"/>
  <c r="AB515" i="25"/>
  <c r="AD515" i="25" s="1"/>
  <c r="AF515" i="25" s="1"/>
  <c r="AB38" i="25"/>
  <c r="AD38" i="25" s="1"/>
  <c r="AB86" i="25"/>
  <c r="AB326" i="25"/>
  <c r="AD326" i="25" s="1"/>
  <c r="AF326" i="25" s="1"/>
  <c r="AB524" i="25"/>
  <c r="AD524" i="25" s="1"/>
  <c r="AF524" i="25" s="1"/>
  <c r="AB289" i="25"/>
  <c r="AD289" i="25" s="1"/>
  <c r="AB385" i="25"/>
  <c r="AD385" i="25" s="1"/>
  <c r="AF385" i="25" s="1"/>
  <c r="AB499" i="25"/>
  <c r="AD499" i="25" s="1"/>
  <c r="AB684" i="25"/>
  <c r="AD684" i="25" s="1"/>
  <c r="AF684" i="25" s="1"/>
  <c r="AB17" i="25"/>
  <c r="AB41" i="25"/>
  <c r="AB65" i="25"/>
  <c r="AB89" i="25"/>
  <c r="AB113" i="25"/>
  <c r="AD113" i="25" s="1"/>
  <c r="AB330" i="25"/>
  <c r="AD330" i="25" s="1"/>
  <c r="AF330" i="25" s="1"/>
  <c r="AB440" i="25"/>
  <c r="AB588" i="25"/>
  <c r="AB131" i="25"/>
  <c r="AD131" i="25" s="1"/>
  <c r="AF131" i="25" s="1"/>
  <c r="AB139" i="25"/>
  <c r="AD139" i="25" s="1"/>
  <c r="AB155" i="25"/>
  <c r="AD155" i="25" s="1"/>
  <c r="AB167" i="25"/>
  <c r="AD167" i="25" s="1"/>
  <c r="AF167" i="25" s="1"/>
  <c r="AB179" i="25"/>
  <c r="AD179" i="25" s="1"/>
  <c r="AF179" i="25" s="1"/>
  <c r="AB187" i="25"/>
  <c r="AD187" i="25" s="1"/>
  <c r="AB203" i="25"/>
  <c r="AD203" i="25" s="1"/>
  <c r="AB211" i="25"/>
  <c r="AD211" i="25" s="1"/>
  <c r="AF211" i="25" s="1"/>
  <c r="AB227" i="25"/>
  <c r="AD227" i="25" s="1"/>
  <c r="AF227" i="25" s="1"/>
  <c r="AB239" i="25"/>
  <c r="AD239" i="25" s="1"/>
  <c r="AB247" i="25"/>
  <c r="AD247" i="25" s="1"/>
  <c r="AB255" i="25"/>
  <c r="AD255" i="25" s="1"/>
  <c r="AF255" i="25" s="1"/>
  <c r="AB263" i="25"/>
  <c r="AD263" i="25" s="1"/>
  <c r="AF263" i="25" s="1"/>
  <c r="AB275" i="25"/>
  <c r="AD275" i="25" s="1"/>
  <c r="AD292" i="25"/>
  <c r="AB292" i="25"/>
  <c r="AB324" i="25"/>
  <c r="AB356" i="25"/>
  <c r="AD356" i="25" s="1"/>
  <c r="AF356" i="25" s="1"/>
  <c r="AD388" i="25"/>
  <c r="AB388" i="25"/>
  <c r="AB423" i="25"/>
  <c r="AD423" i="25" s="1"/>
  <c r="AB487" i="25"/>
  <c r="AD487" i="25" s="1"/>
  <c r="AF487" i="25" s="1"/>
  <c r="AB525" i="25"/>
  <c r="AD525" i="25" s="1"/>
  <c r="AF525" i="25" s="1"/>
  <c r="AB563" i="25"/>
  <c r="AD563" i="25" s="1"/>
  <c r="AB653" i="25"/>
  <c r="AD653" i="25" s="1"/>
  <c r="AB716" i="25"/>
  <c r="AB291" i="25"/>
  <c r="AD291" i="25" s="1"/>
  <c r="AB323" i="25"/>
  <c r="AD323" i="25" s="1"/>
  <c r="AB371" i="25"/>
  <c r="AD371" i="25" s="1"/>
  <c r="AF371" i="25" s="1"/>
  <c r="AB403" i="25"/>
  <c r="AD403" i="25" s="1"/>
  <c r="AF403" i="25" s="1"/>
  <c r="AB461" i="25"/>
  <c r="AD461" i="25" s="1"/>
  <c r="AF461" i="25" s="1"/>
  <c r="AB507" i="25"/>
  <c r="AD507" i="25" s="1"/>
  <c r="AB528" i="25"/>
  <c r="AB604" i="25"/>
  <c r="AB701" i="25"/>
  <c r="AD701" i="25" s="1"/>
  <c r="AF701" i="25" s="1"/>
  <c r="AB422" i="25"/>
  <c r="AD422" i="25" s="1"/>
  <c r="AB454" i="25"/>
  <c r="AD454" i="25" s="1"/>
  <c r="AB486" i="25"/>
  <c r="AD486" i="25" s="1"/>
  <c r="AF486" i="25" s="1"/>
  <c r="AB536" i="25"/>
  <c r="AB577" i="25"/>
  <c r="AB623" i="25"/>
  <c r="AD623" i="25" s="1"/>
  <c r="AB683" i="25"/>
  <c r="AD683" i="25" s="1"/>
  <c r="AF683" i="25" s="1"/>
  <c r="AB745" i="25"/>
  <c r="AD745" i="25" s="1"/>
  <c r="AB526" i="25"/>
  <c r="AD526" i="25" s="1"/>
  <c r="AB574" i="25"/>
  <c r="AB606" i="25"/>
  <c r="AD606" i="25" s="1"/>
  <c r="AF606" i="25" s="1"/>
  <c r="AB639" i="25"/>
  <c r="AD639" i="25" s="1"/>
  <c r="AF639" i="25" s="1"/>
  <c r="AB680" i="25"/>
  <c r="AB721" i="25"/>
  <c r="AD721" i="25" s="1"/>
  <c r="AB638" i="25"/>
  <c r="AD638" i="25" s="1"/>
  <c r="AF638" i="25" s="1"/>
  <c r="AB686" i="25"/>
  <c r="AD686" i="25" s="1"/>
  <c r="AF686" i="25" s="1"/>
  <c r="D191" i="25"/>
  <c r="D190" i="25"/>
  <c r="D189" i="25"/>
  <c r="D188" i="25"/>
  <c r="D187" i="25"/>
  <c r="D186" i="25"/>
  <c r="D185" i="25"/>
  <c r="D184" i="25"/>
  <c r="D183" i="25"/>
  <c r="D182" i="25"/>
  <c r="D181" i="25"/>
  <c r="D180" i="25"/>
  <c r="D179" i="25"/>
  <c r="D178" i="25"/>
  <c r="D177" i="25"/>
  <c r="D176" i="25"/>
  <c r="D175" i="25"/>
  <c r="D174" i="25"/>
  <c r="D173" i="25"/>
  <c r="D172" i="25"/>
  <c r="D171" i="25"/>
  <c r="D170" i="25"/>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9" i="25"/>
  <c r="D18" i="25"/>
  <c r="D17" i="25"/>
  <c r="D16" i="25"/>
  <c r="D15" i="25"/>
  <c r="D10" i="25"/>
  <c r="D124" i="25"/>
  <c r="D122" i="25"/>
  <c r="D120" i="25"/>
  <c r="D118" i="25"/>
  <c r="D116" i="25"/>
  <c r="D114" i="25"/>
  <c r="D112" i="25"/>
  <c r="D110" i="25"/>
  <c r="D108" i="25"/>
  <c r="D106" i="25"/>
  <c r="D104" i="25"/>
  <c r="D102" i="25"/>
  <c r="D100" i="25"/>
  <c r="D98" i="25"/>
  <c r="D96" i="25"/>
  <c r="D94" i="25"/>
  <c r="D92" i="25"/>
  <c r="D90" i="25"/>
  <c r="D88" i="25"/>
  <c r="D86" i="25"/>
  <c r="D84" i="25"/>
  <c r="D82" i="25"/>
  <c r="D80" i="25"/>
  <c r="D78" i="25"/>
  <c r="D76" i="25"/>
  <c r="D74" i="25"/>
  <c r="D72" i="25"/>
  <c r="D70" i="25"/>
  <c r="D68" i="25"/>
  <c r="D66" i="25"/>
  <c r="D64" i="25"/>
  <c r="D62" i="25"/>
  <c r="D60" i="25"/>
  <c r="D58" i="25"/>
  <c r="D56" i="25"/>
  <c r="D54" i="25"/>
  <c r="D52" i="25"/>
  <c r="D50" i="25"/>
  <c r="D48" i="25"/>
  <c r="D46" i="25"/>
  <c r="D44" i="25"/>
  <c r="D42" i="25"/>
  <c r="D40" i="25"/>
  <c r="D38" i="25"/>
  <c r="D36" i="25"/>
  <c r="D34" i="25"/>
  <c r="D32" i="25"/>
  <c r="D30" i="25"/>
  <c r="D28" i="25"/>
  <c r="D26" i="25"/>
  <c r="D24" i="25"/>
  <c r="D14" i="25"/>
  <c r="D13" i="25"/>
  <c r="D12" i="25"/>
  <c r="P6" i="25"/>
  <c r="D3" i="25"/>
  <c r="D125" i="25"/>
  <c r="D121" i="25"/>
  <c r="D117" i="25"/>
  <c r="D113" i="25"/>
  <c r="D109" i="25"/>
  <c r="D105" i="25"/>
  <c r="D101" i="25"/>
  <c r="D97" i="25"/>
  <c r="D93" i="25"/>
  <c r="D89" i="25"/>
  <c r="D85" i="25"/>
  <c r="D81" i="25"/>
  <c r="D77" i="25"/>
  <c r="D73" i="25"/>
  <c r="D69" i="25"/>
  <c r="D65" i="25"/>
  <c r="D61" i="25"/>
  <c r="D57" i="25"/>
  <c r="D53" i="25"/>
  <c r="D49" i="25"/>
  <c r="D45" i="25"/>
  <c r="D41" i="25"/>
  <c r="D37" i="25"/>
  <c r="D33" i="25"/>
  <c r="D29" i="25"/>
  <c r="D25" i="25"/>
  <c r="D9" i="25"/>
  <c r="D8" i="25"/>
  <c r="D7" i="25"/>
  <c r="D4" i="25"/>
  <c r="D6" i="25"/>
  <c r="D123" i="25"/>
  <c r="D115" i="25"/>
  <c r="D107" i="25"/>
  <c r="D99" i="25"/>
  <c r="D91" i="25"/>
  <c r="D83" i="25"/>
  <c r="D75" i="25"/>
  <c r="D67" i="25"/>
  <c r="D59" i="25"/>
  <c r="D51" i="25"/>
  <c r="D43" i="25"/>
  <c r="D35" i="25"/>
  <c r="D27" i="25"/>
  <c r="D22" i="25"/>
  <c r="D20" i="25"/>
  <c r="D11" i="25"/>
  <c r="D5" i="25"/>
  <c r="D119" i="25"/>
  <c r="D87" i="25"/>
  <c r="D55" i="25"/>
  <c r="D23" i="25"/>
  <c r="D95" i="25"/>
  <c r="D63" i="25"/>
  <c r="D31" i="25"/>
  <c r="D21" i="25"/>
  <c r="D103" i="25"/>
  <c r="D71" i="25"/>
  <c r="D39" i="25"/>
  <c r="D111" i="25"/>
  <c r="D47" i="25"/>
  <c r="D79" i="25"/>
  <c r="AV80" i="34"/>
  <c r="AV78" i="34"/>
  <c r="AB8" i="25"/>
  <c r="AD8" i="25" s="1"/>
  <c r="AF8" i="25" s="1"/>
  <c r="BS290" i="34"/>
  <c r="BS292" i="34"/>
  <c r="BS291" i="34"/>
  <c r="BS287" i="34"/>
  <c r="BT253" i="34" s="1"/>
  <c r="AA246" i="34" s="1"/>
  <c r="BS288" i="34"/>
  <c r="BT254" i="34" s="1"/>
  <c r="AA247" i="34" s="1"/>
  <c r="BS289" i="34"/>
  <c r="AZ277" i="34"/>
  <c r="AZ269" i="34"/>
  <c r="J223" i="34"/>
  <c r="J221" i="34"/>
  <c r="AM177" i="34"/>
  <c r="AM181" i="34"/>
  <c r="AM185" i="34"/>
  <c r="AM189" i="34"/>
  <c r="AM201" i="34"/>
  <c r="AN201" i="34"/>
  <c r="W161" i="34"/>
  <c r="AF106" i="34"/>
  <c r="AF110" i="34"/>
  <c r="AF159" i="34"/>
  <c r="AE159" i="34"/>
  <c r="W160" i="34"/>
  <c r="W154" i="34"/>
  <c r="P106" i="34"/>
  <c r="P82" i="34"/>
  <c r="H53" i="34"/>
  <c r="J246" i="34"/>
  <c r="L270" i="34"/>
  <c r="L284" i="34"/>
  <c r="L293" i="34"/>
  <c r="AE195" i="34"/>
  <c r="AE179" i="34"/>
  <c r="AE187" i="34"/>
  <c r="AE197" i="34"/>
  <c r="AE192" i="34"/>
  <c r="AN110" i="34"/>
  <c r="H86" i="34"/>
  <c r="AN88" i="34"/>
  <c r="AN92" i="34"/>
  <c r="X106" i="34"/>
  <c r="AV86" i="34"/>
  <c r="M9" i="40"/>
  <c r="P9" i="40"/>
  <c r="O9" i="40"/>
  <c r="N9" i="40"/>
  <c r="G272" i="34"/>
  <c r="AZ267" i="34"/>
  <c r="AF269" i="34"/>
  <c r="AF283" i="34"/>
  <c r="AF272" i="34"/>
  <c r="AF285" i="34"/>
  <c r="J234" i="34"/>
  <c r="J228" i="34"/>
  <c r="AF142" i="34"/>
  <c r="AE142" i="34"/>
  <c r="AF145" i="34"/>
  <c r="AE145" i="34"/>
  <c r="AD109" i="43"/>
  <c r="Z109" i="43"/>
  <c r="V109" i="43"/>
  <c r="AG109" i="43"/>
  <c r="AC109" i="43"/>
  <c r="Y109" i="43"/>
  <c r="U109" i="43"/>
  <c r="AA109" i="43"/>
  <c r="S109" i="43"/>
  <c r="AF109" i="43"/>
  <c r="X109" i="43"/>
  <c r="AE109" i="43"/>
  <c r="AB109" i="43"/>
  <c r="W109" i="43"/>
  <c r="T109" i="43"/>
  <c r="U38" i="43"/>
  <c r="T38" i="43"/>
  <c r="S38" i="43"/>
  <c r="R38" i="43"/>
  <c r="V38" i="43"/>
  <c r="AN4" i="12" a="1"/>
  <c r="AM4" i="12" a="1"/>
  <c r="AB120" i="25"/>
  <c r="AD120" i="25" s="1"/>
  <c r="AB56" i="25"/>
  <c r="AD302" i="25"/>
  <c r="AF302" i="25" s="1"/>
  <c r="AB302" i="25"/>
  <c r="AB449" i="25"/>
  <c r="AD449" i="25"/>
  <c r="AF449" i="25" s="1"/>
  <c r="AB633" i="25"/>
  <c r="AD633" i="25" s="1"/>
  <c r="AB325" i="25"/>
  <c r="AD325" i="25" s="1"/>
  <c r="AF325" i="25" s="1"/>
  <c r="AB451" i="25"/>
  <c r="AD451" i="25" s="1"/>
  <c r="AB26" i="25"/>
  <c r="AD26" i="25" s="1"/>
  <c r="AF26" i="25" s="1"/>
  <c r="AB58" i="25"/>
  <c r="AD58" i="25" s="1"/>
  <c r="AB90" i="25"/>
  <c r="AB122" i="25"/>
  <c r="AB406" i="25"/>
  <c r="AD406" i="25" s="1"/>
  <c r="AF406" i="25" s="1"/>
  <c r="AB571" i="25"/>
  <c r="AD571" i="25" s="1"/>
  <c r="AF571" i="25" s="1"/>
  <c r="AB12" i="25"/>
  <c r="AB329" i="25"/>
  <c r="AD329" i="25" s="1"/>
  <c r="AF329" i="25" s="1"/>
  <c r="AB393" i="25"/>
  <c r="AD393" i="25" s="1"/>
  <c r="AF393" i="25" s="1"/>
  <c r="AB467" i="25"/>
  <c r="AD467" i="25" s="1"/>
  <c r="AF467" i="25" s="1"/>
  <c r="AB572" i="25"/>
  <c r="AB709" i="25"/>
  <c r="AD709" i="25" s="1"/>
  <c r="AB14" i="25"/>
  <c r="AB27" i="25"/>
  <c r="AB43" i="25"/>
  <c r="AB59" i="25"/>
  <c r="AB83" i="25"/>
  <c r="AB99" i="25"/>
  <c r="AD99" i="25" s="1"/>
  <c r="AB115" i="25"/>
  <c r="AB306" i="25"/>
  <c r="AD306" i="25" s="1"/>
  <c r="AF306" i="25" s="1"/>
  <c r="AB370" i="25"/>
  <c r="AD370" i="25" s="1"/>
  <c r="AF370" i="25" s="1"/>
  <c r="AB447" i="25"/>
  <c r="AD447" i="25" s="1"/>
  <c r="AF447" i="25" s="1"/>
  <c r="AB564" i="25"/>
  <c r="AB692" i="25"/>
  <c r="AB128" i="25"/>
  <c r="AD128" i="25" s="1"/>
  <c r="AF128" i="25" s="1"/>
  <c r="AB140" i="25"/>
  <c r="AD140" i="25" s="1"/>
  <c r="AF140" i="25" s="1"/>
  <c r="AB148" i="25"/>
  <c r="AD148" i="25" s="1"/>
  <c r="AB156" i="25"/>
  <c r="AD156" i="25" s="1"/>
  <c r="AB164" i="25"/>
  <c r="AD164" i="25" s="1"/>
  <c r="AF164" i="25" s="1"/>
  <c r="AB172" i="25"/>
  <c r="AD172" i="25" s="1"/>
  <c r="AF172" i="25" s="1"/>
  <c r="AB180" i="25"/>
  <c r="AD180" i="25" s="1"/>
  <c r="AB188" i="25"/>
  <c r="AD188" i="25" s="1"/>
  <c r="AB196" i="25"/>
  <c r="AD196" i="25" s="1"/>
  <c r="AF196" i="25" s="1"/>
  <c r="AB204" i="25"/>
  <c r="AD204" i="25" s="1"/>
  <c r="AB212" i="25"/>
  <c r="AB220" i="25"/>
  <c r="AB228" i="25"/>
  <c r="AD228" i="25" s="1"/>
  <c r="AB236" i="25"/>
  <c r="AB244" i="25"/>
  <c r="AB256" i="25"/>
  <c r="AB264" i="25"/>
  <c r="AB272" i="25"/>
  <c r="AD272" i="25"/>
  <c r="AD280" i="25"/>
  <c r="AB280" i="25"/>
  <c r="AB312" i="25"/>
  <c r="AB344" i="25"/>
  <c r="AB392" i="25"/>
  <c r="AD392" i="25" s="1"/>
  <c r="AF392" i="25" s="1"/>
  <c r="AB425" i="25"/>
  <c r="AD425" i="25" s="1"/>
  <c r="AB489" i="25"/>
  <c r="AD489" i="25" s="1"/>
  <c r="AB532" i="25"/>
  <c r="AD532" i="25" s="1"/>
  <c r="AF532" i="25" s="1"/>
  <c r="AB589" i="25"/>
  <c r="AD589" i="25" s="1"/>
  <c r="AF589" i="25" s="1"/>
  <c r="AB627" i="25"/>
  <c r="AD627" i="25" s="1"/>
  <c r="AB691" i="25"/>
  <c r="AD691" i="25" s="1"/>
  <c r="AB295" i="25"/>
  <c r="AB327" i="25"/>
  <c r="AD327" i="25" s="1"/>
  <c r="AF327" i="25" s="1"/>
  <c r="AB359" i="25"/>
  <c r="AB391" i="25"/>
  <c r="AB427" i="25"/>
  <c r="AD427" i="25" s="1"/>
  <c r="AF427" i="25" s="1"/>
  <c r="AB468" i="25"/>
  <c r="AD468" i="25" s="1"/>
  <c r="AB509" i="25"/>
  <c r="AB573" i="25"/>
  <c r="AD573" i="25" s="1"/>
  <c r="AB611" i="25"/>
  <c r="AD611" i="25" s="1"/>
  <c r="AF611" i="25" s="1"/>
  <c r="AB704" i="25"/>
  <c r="AD704" i="25"/>
  <c r="AD768" i="25"/>
  <c r="AF768" i="25" s="1"/>
  <c r="AB768" i="25"/>
  <c r="AB442" i="25"/>
  <c r="AB474" i="25"/>
  <c r="AD474" i="25" s="1"/>
  <c r="AF474" i="25" s="1"/>
  <c r="AB506" i="25"/>
  <c r="AD506" i="25" s="1"/>
  <c r="AB543" i="25"/>
  <c r="AD543" i="25" s="1"/>
  <c r="AB607" i="25"/>
  <c r="AD607" i="25" s="1"/>
  <c r="AB669" i="25"/>
  <c r="AD669" i="25" s="1"/>
  <c r="AF669" i="25" s="1"/>
  <c r="AB707" i="25"/>
  <c r="AD707" i="25" s="1"/>
  <c r="AF707" i="25" s="1"/>
  <c r="AB764" i="25"/>
  <c r="AB546" i="25"/>
  <c r="AB578" i="25"/>
  <c r="AD578" i="25" s="1"/>
  <c r="AF578" i="25" s="1"/>
  <c r="AB610" i="25"/>
  <c r="AD610" i="25" s="1"/>
  <c r="AB641" i="25"/>
  <c r="AD641" i="25" s="1"/>
  <c r="AB687" i="25"/>
  <c r="AD687" i="25" s="1"/>
  <c r="AB728" i="25"/>
  <c r="AD728" i="25" s="1"/>
  <c r="AF728" i="25" s="1"/>
  <c r="AB772" i="25"/>
  <c r="AB658" i="25"/>
  <c r="AB690" i="25"/>
  <c r="AB722" i="25"/>
  <c r="AB771" i="25"/>
  <c r="AD771" i="25" s="1"/>
  <c r="AF771" i="25" s="1"/>
  <c r="O155" i="34"/>
  <c r="W201" i="34"/>
  <c r="W189" i="34"/>
  <c r="W185" i="34"/>
  <c r="W181" i="34"/>
  <c r="W177" i="34"/>
  <c r="G162" i="34"/>
  <c r="G158" i="34"/>
  <c r="AN114" i="34"/>
  <c r="AB28" i="25"/>
  <c r="AB92" i="25"/>
  <c r="AB469" i="25"/>
  <c r="G277" i="34"/>
  <c r="J249" i="34"/>
  <c r="O246" i="34"/>
  <c r="J225" i="34"/>
  <c r="J219" i="34"/>
  <c r="H200" i="34"/>
  <c r="G200" i="34"/>
  <c r="AM174" i="34"/>
  <c r="AM182" i="34"/>
  <c r="AM186" i="34"/>
  <c r="AM193" i="34"/>
  <c r="AM192" i="34"/>
  <c r="AF114" i="34"/>
  <c r="P81" i="34"/>
  <c r="AF54" i="34"/>
  <c r="BC55" i="34"/>
  <c r="BC59" i="34"/>
  <c r="BC58" i="34"/>
  <c r="BC54" i="34"/>
  <c r="BC52" i="34"/>
  <c r="BC53" i="34"/>
  <c r="BC57" i="34"/>
  <c r="BC56" i="34"/>
  <c r="BC51" i="34"/>
  <c r="BC50" i="34"/>
  <c r="H64" i="34"/>
  <c r="H55" i="34"/>
  <c r="AM194" i="34"/>
  <c r="G180" i="34"/>
  <c r="H193" i="34"/>
  <c r="G193" i="34"/>
  <c r="W155" i="34"/>
  <c r="H80" i="34"/>
  <c r="BE4" i="32"/>
  <c r="AO4" i="32"/>
  <c r="Y4" i="32"/>
  <c r="I4" i="32"/>
  <c r="AW4" i="32"/>
  <c r="AK4" i="32"/>
  <c r="Q4" i="32"/>
  <c r="AC4" i="32"/>
  <c r="BA4" i="32"/>
  <c r="AG4" i="32"/>
  <c r="AS4" i="32"/>
  <c r="U4" i="32"/>
  <c r="T250" i="34"/>
  <c r="T256" i="34"/>
  <c r="T258" i="34"/>
  <c r="T259" i="34"/>
  <c r="T249" i="34"/>
  <c r="AE164" i="34"/>
  <c r="AF164" i="34"/>
  <c r="L268" i="34"/>
  <c r="L272" i="34"/>
  <c r="L287" i="34"/>
  <c r="AE191" i="34"/>
  <c r="AE180" i="34"/>
  <c r="AE184" i="34"/>
  <c r="AE199" i="34"/>
  <c r="AE205" i="34"/>
  <c r="AF205" i="34"/>
  <c r="AE196" i="34"/>
  <c r="AN113" i="34"/>
  <c r="AN109" i="34"/>
  <c r="AN78" i="34"/>
  <c r="G230" i="34"/>
  <c r="G229" i="34"/>
  <c r="G228" i="34"/>
  <c r="G227" i="34"/>
  <c r="G226" i="34"/>
  <c r="G224" i="34"/>
  <c r="G225" i="34"/>
  <c r="G219" i="34"/>
  <c r="G217" i="34"/>
  <c r="G215" i="34"/>
  <c r="G223" i="34"/>
  <c r="G222" i="34"/>
  <c r="G221" i="34"/>
  <c r="G220" i="34"/>
  <c r="G218" i="34"/>
  <c r="G216" i="34"/>
  <c r="X114" i="34"/>
  <c r="X107" i="34"/>
  <c r="M12" i="40"/>
  <c r="P12" i="40"/>
  <c r="N12" i="40"/>
  <c r="O12" i="40"/>
  <c r="BS315" i="34"/>
  <c r="BS311" i="34"/>
  <c r="BS313" i="34"/>
  <c r="BS312" i="34"/>
  <c r="BS314" i="34"/>
  <c r="AF267" i="34"/>
  <c r="AE131" i="34"/>
  <c r="AF141" i="34"/>
  <c r="AE141" i="34"/>
  <c r="AE135" i="34"/>
  <c r="AE143" i="34"/>
  <c r="AF143" i="34"/>
  <c r="P64" i="34"/>
  <c r="BR51" i="34"/>
  <c r="AL4" i="12" a="1"/>
  <c r="AK4" i="12" a="1"/>
  <c r="K78" i="4"/>
  <c r="D110" i="31"/>
  <c r="P87" i="31"/>
  <c r="P400" i="31"/>
  <c r="O400" i="31" s="1"/>
  <c r="N398" i="31"/>
  <c r="P399" i="31"/>
  <c r="O399" i="31" s="1"/>
  <c r="P401" i="31"/>
  <c r="O401" i="31" s="1"/>
  <c r="P402" i="31"/>
  <c r="O402" i="31" s="1"/>
  <c r="P398" i="31"/>
  <c r="O398" i="31" s="1"/>
  <c r="AB80" i="25"/>
  <c r="AD80" i="25"/>
  <c r="AB318" i="25"/>
  <c r="AD318" i="25" s="1"/>
  <c r="AF318" i="25" s="1"/>
  <c r="AB557" i="25"/>
  <c r="AD557" i="25" s="1"/>
  <c r="AB341" i="25"/>
  <c r="AD341" i="25" s="1"/>
  <c r="AF341" i="25" s="1"/>
  <c r="AB560" i="25"/>
  <c r="AD560" i="25" s="1"/>
  <c r="AB46" i="25"/>
  <c r="AB94" i="25"/>
  <c r="AB358" i="25"/>
  <c r="AD358" i="25" s="1"/>
  <c r="AF358" i="25" s="1"/>
  <c r="AB727" i="25"/>
  <c r="AD727" i="25" s="1"/>
  <c r="AF727" i="25" s="1"/>
  <c r="AB305" i="25"/>
  <c r="AD305" i="25" s="1"/>
  <c r="AF305" i="25" s="1"/>
  <c r="AB369" i="25"/>
  <c r="AD369" i="25" s="1"/>
  <c r="AF369" i="25" s="1"/>
  <c r="AB485" i="25"/>
  <c r="AD485" i="25" s="1"/>
  <c r="AF485" i="25" s="1"/>
  <c r="AB605" i="25"/>
  <c r="AD605" i="25" s="1"/>
  <c r="AF605" i="25" s="1"/>
  <c r="AB715" i="25"/>
  <c r="AD715" i="25" s="1"/>
  <c r="AD15" i="25"/>
  <c r="AF15" i="25" s="1"/>
  <c r="AB15" i="25"/>
  <c r="AB29" i="25"/>
  <c r="AD29" i="25" s="1"/>
  <c r="AF29" i="25" s="1"/>
  <c r="AB45" i="25"/>
  <c r="AD45" i="25" s="1"/>
  <c r="AB61" i="25"/>
  <c r="AB77" i="25"/>
  <c r="AB93" i="25"/>
  <c r="AD93" i="25" s="1"/>
  <c r="AF93" i="25" s="1"/>
  <c r="AB109" i="25"/>
  <c r="AD109" i="25" s="1"/>
  <c r="AB282" i="25"/>
  <c r="AD282" i="25" s="1"/>
  <c r="AF282" i="25" s="1"/>
  <c r="AB346" i="25"/>
  <c r="AD346" i="25" s="1"/>
  <c r="AF346" i="25" s="1"/>
  <c r="AB410" i="25"/>
  <c r="AD410" i="25" s="1"/>
  <c r="AF410" i="25" s="1"/>
  <c r="AB504" i="25"/>
  <c r="AB569" i="25"/>
  <c r="AB711" i="25"/>
  <c r="AD711" i="25" s="1"/>
  <c r="AB129" i="25"/>
  <c r="AD129" i="25" s="1"/>
  <c r="AF129" i="25" s="1"/>
  <c r="AB141" i="25"/>
  <c r="AD141" i="25" s="1"/>
  <c r="AF141" i="25" s="1"/>
  <c r="AB149" i="25"/>
  <c r="AD149" i="25" s="1"/>
  <c r="AB157" i="25"/>
  <c r="AD157" i="25" s="1"/>
  <c r="AB161" i="25"/>
  <c r="AD161" i="25" s="1"/>
  <c r="AF161" i="25" s="1"/>
  <c r="AB169" i="25"/>
  <c r="AD169" i="25" s="1"/>
  <c r="AF169" i="25" s="1"/>
  <c r="AB177" i="25"/>
  <c r="AD177" i="25" s="1"/>
  <c r="AB189" i="25"/>
  <c r="AD189" i="25" s="1"/>
  <c r="AB193" i="25"/>
  <c r="AD193" i="25"/>
  <c r="AF193" i="25" s="1"/>
  <c r="AB201" i="25"/>
  <c r="AD201" i="25" s="1"/>
  <c r="AF201" i="25" s="1"/>
  <c r="AB209" i="25"/>
  <c r="AD209" i="25" s="1"/>
  <c r="AB221" i="25"/>
  <c r="AD221" i="25" s="1"/>
  <c r="AB229" i="25"/>
  <c r="AD229" i="25" s="1"/>
  <c r="AF229" i="25" s="1"/>
  <c r="AB237" i="25"/>
  <c r="AD237" i="25" s="1"/>
  <c r="AF237" i="25" s="1"/>
  <c r="AB245" i="25"/>
  <c r="AD245" i="25" s="1"/>
  <c r="AB249" i="25"/>
  <c r="AD249" i="25" s="1"/>
  <c r="AB257" i="25"/>
  <c r="AD257" i="25" s="1"/>
  <c r="AF257" i="25" s="1"/>
  <c r="AB265" i="25"/>
  <c r="AD265" i="25" s="1"/>
  <c r="AF265" i="25" s="1"/>
  <c r="AB273" i="25"/>
  <c r="AD273" i="25" s="1"/>
  <c r="AB284" i="25"/>
  <c r="AD284" i="25" s="1"/>
  <c r="AB300" i="25"/>
  <c r="AB332" i="25"/>
  <c r="AB364" i="25"/>
  <c r="AD412" i="25"/>
  <c r="AB412" i="25"/>
  <c r="AB473" i="25"/>
  <c r="AD473" i="25"/>
  <c r="AF473" i="25" s="1"/>
  <c r="AB537" i="25"/>
  <c r="AB613" i="25"/>
  <c r="AD613" i="25" s="1"/>
  <c r="AB697" i="25"/>
  <c r="AB299" i="25"/>
  <c r="AD299" i="25" s="1"/>
  <c r="AF299" i="25" s="1"/>
  <c r="AB347" i="25"/>
  <c r="AD347" i="25" s="1"/>
  <c r="AB395" i="25"/>
  <c r="AD395" i="25" s="1"/>
  <c r="AF395" i="25" s="1"/>
  <c r="AB452" i="25"/>
  <c r="AB516" i="25"/>
  <c r="AD516" i="25"/>
  <c r="AB597" i="25"/>
  <c r="AD597" i="25" s="1"/>
  <c r="AF597" i="25" s="1"/>
  <c r="AB717" i="25"/>
  <c r="AD717" i="25" s="1"/>
  <c r="AB776" i="25"/>
  <c r="AB462" i="25"/>
  <c r="AD462" i="25" s="1"/>
  <c r="AB510" i="25"/>
  <c r="AB568" i="25"/>
  <c r="AB632" i="25"/>
  <c r="AB733" i="25"/>
  <c r="AD733" i="25" s="1"/>
  <c r="AF733" i="25" s="1"/>
  <c r="AB534" i="25"/>
  <c r="AD534" i="25" s="1"/>
  <c r="AF534" i="25" s="1"/>
  <c r="AB582" i="25"/>
  <c r="AD582" i="25" s="1"/>
  <c r="AB630" i="25"/>
  <c r="AD630" i="25" s="1"/>
  <c r="AB689" i="25"/>
  <c r="AB735" i="25"/>
  <c r="AD735" i="25" s="1"/>
  <c r="AF735" i="25" s="1"/>
  <c r="AB646" i="25"/>
  <c r="AD646" i="25" s="1"/>
  <c r="AB694" i="25"/>
  <c r="AD694" i="25" s="1"/>
  <c r="AB726" i="25"/>
  <c r="AD726" i="25" s="1"/>
  <c r="AF726" i="25" s="1"/>
  <c r="AB773" i="25"/>
  <c r="W65" i="32"/>
  <c r="O154" i="34"/>
  <c r="P112" i="34"/>
  <c r="P108" i="34"/>
  <c r="AB612" i="25"/>
  <c r="AB333" i="25"/>
  <c r="AD333" i="25" s="1"/>
  <c r="AF333" i="25" s="1"/>
  <c r="O201" i="34"/>
  <c r="O189" i="34"/>
  <c r="O185" i="34"/>
  <c r="O181" i="34"/>
  <c r="O177" i="34"/>
  <c r="O160" i="34"/>
  <c r="P114" i="34"/>
  <c r="BE5" i="32"/>
  <c r="AO5" i="32"/>
  <c r="Y5" i="32"/>
  <c r="I5" i="32"/>
  <c r="AC5" i="32"/>
  <c r="BA5" i="32"/>
  <c r="AG5" i="32"/>
  <c r="U5" i="32"/>
  <c r="AS5" i="32"/>
  <c r="AK5" i="32"/>
  <c r="Q5" i="32"/>
  <c r="AW5" i="32"/>
  <c r="BS285" i="34"/>
  <c r="BS282" i="34"/>
  <c r="BS279" i="34"/>
  <c r="BS276" i="34"/>
  <c r="BS273" i="34"/>
  <c r="BT251" i="34" s="1"/>
  <c r="V246" i="34" s="1"/>
  <c r="BS281" i="34"/>
  <c r="BS275" i="34"/>
  <c r="BS280" i="34"/>
  <c r="BS277" i="34"/>
  <c r="BS286" i="34"/>
  <c r="BS278" i="34"/>
  <c r="BS274" i="34"/>
  <c r="BT252" i="34" s="1"/>
  <c r="V247" i="34" s="1"/>
  <c r="BS284" i="34"/>
  <c r="BS283" i="34"/>
  <c r="BS270" i="34"/>
  <c r="BS269" i="34"/>
  <c r="BS268" i="34"/>
  <c r="BS267" i="34"/>
  <c r="BS266" i="34"/>
  <c r="BS265" i="34"/>
  <c r="BS260" i="34"/>
  <c r="BT250" i="34" s="1"/>
  <c r="Q247" i="34" s="1"/>
  <c r="BS272" i="34"/>
  <c r="BS263" i="34"/>
  <c r="BS261" i="34"/>
  <c r="BS271" i="34"/>
  <c r="BS259" i="34"/>
  <c r="BT249" i="34" s="1"/>
  <c r="Q246" i="34" s="1"/>
  <c r="BS264" i="34"/>
  <c r="BS262" i="34"/>
  <c r="J218" i="34"/>
  <c r="H205" i="34"/>
  <c r="G205" i="34"/>
  <c r="AM190" i="34"/>
  <c r="AM179" i="34"/>
  <c r="AM197" i="34"/>
  <c r="AN197" i="34"/>
  <c r="P86" i="34"/>
  <c r="AF55" i="34"/>
  <c r="X56" i="34"/>
  <c r="X57" i="34"/>
  <c r="E248" i="34"/>
  <c r="H204" i="34"/>
  <c r="G204" i="34"/>
  <c r="G181" i="34"/>
  <c r="G189" i="34"/>
  <c r="H189" i="34"/>
  <c r="X167" i="34"/>
  <c r="W167" i="34"/>
  <c r="W164" i="34"/>
  <c r="P96" i="34"/>
  <c r="P84" i="34"/>
  <c r="P97" i="34"/>
  <c r="G278" i="34"/>
  <c r="T246" i="34"/>
  <c r="AE165" i="34"/>
  <c r="AF165" i="34"/>
  <c r="BS293" i="34"/>
  <c r="J226" i="34"/>
  <c r="BM83" i="34"/>
  <c r="BM82" i="34"/>
  <c r="BM78" i="34"/>
  <c r="BM79" i="34"/>
  <c r="BM80" i="34"/>
  <c r="BM81" i="34"/>
  <c r="BM84" i="34"/>
  <c r="X59" i="34"/>
  <c r="X66" i="34"/>
  <c r="AF56" i="34"/>
  <c r="AW9" i="32"/>
  <c r="U9" i="32"/>
  <c r="AK9" i="32"/>
  <c r="BE9" i="32"/>
  <c r="AO9" i="32"/>
  <c r="Y9" i="32"/>
  <c r="G276" i="34"/>
  <c r="G267" i="34"/>
  <c r="AF270" i="34"/>
  <c r="AF271" i="34"/>
  <c r="AF276" i="34"/>
  <c r="AF278" i="34"/>
  <c r="AF137" i="34"/>
  <c r="AE137" i="34"/>
  <c r="AE130" i="34"/>
  <c r="AF136" i="34"/>
  <c r="AE136" i="34"/>
  <c r="AF144" i="34"/>
  <c r="AE144" i="34"/>
  <c r="AD99" i="34"/>
  <c r="AD95" i="34"/>
  <c r="AH95" i="34" s="1"/>
  <c r="AG94" i="34"/>
  <c r="AE93" i="34"/>
  <c r="AD92" i="34"/>
  <c r="AG91" i="34"/>
  <c r="AE89" i="34"/>
  <c r="AD88" i="34"/>
  <c r="AG87" i="34"/>
  <c r="AE85" i="34"/>
  <c r="AG84" i="34"/>
  <c r="AD83" i="34"/>
  <c r="AE82" i="34"/>
  <c r="AE81" i="34"/>
  <c r="AE80" i="34"/>
  <c r="AG79" i="34"/>
  <c r="AE78" i="34"/>
  <c r="AG99" i="34"/>
  <c r="AG95" i="34"/>
  <c r="AD93" i="34"/>
  <c r="AG92" i="34"/>
  <c r="AE90" i="34"/>
  <c r="AD89" i="34"/>
  <c r="AG88" i="34"/>
  <c r="AE86" i="34"/>
  <c r="AD85" i="34"/>
  <c r="AG83" i="34"/>
  <c r="AD82" i="34"/>
  <c r="AD81" i="34"/>
  <c r="AD80" i="34"/>
  <c r="AD78" i="34"/>
  <c r="AE95" i="34"/>
  <c r="AD91" i="34"/>
  <c r="AD87" i="34"/>
  <c r="AD79" i="34"/>
  <c r="AG78" i="34"/>
  <c r="AF99" i="34"/>
  <c r="AE94" i="34"/>
  <c r="AG93" i="34"/>
  <c r="AG89" i="34"/>
  <c r="AG85" i="34"/>
  <c r="AE84" i="34"/>
  <c r="AE83" i="34"/>
  <c r="AG80" i="34"/>
  <c r="AE99" i="34"/>
  <c r="AD94" i="34"/>
  <c r="AE91" i="34"/>
  <c r="AG90" i="34"/>
  <c r="AD86" i="34"/>
  <c r="AD84" i="34"/>
  <c r="AG81" i="34"/>
  <c r="AF95" i="34"/>
  <c r="AD90" i="34"/>
  <c r="AE88" i="34"/>
  <c r="AG82" i="34"/>
  <c r="AE92" i="34"/>
  <c r="AG86" i="34"/>
  <c r="AE79" i="34"/>
  <c r="AE87" i="34"/>
  <c r="AV71" i="34"/>
  <c r="AU70" i="34"/>
  <c r="AT69" i="34"/>
  <c r="AT68" i="34"/>
  <c r="AT67" i="34"/>
  <c r="AT66" i="34"/>
  <c r="AT65" i="34"/>
  <c r="AT64" i="34"/>
  <c r="AT63" i="34"/>
  <c r="AT62" i="34"/>
  <c r="AT61" i="34"/>
  <c r="AT60" i="34"/>
  <c r="AT59" i="34"/>
  <c r="AT58" i="34"/>
  <c r="AU57" i="34"/>
  <c r="AW55" i="34"/>
  <c r="AT54" i="34"/>
  <c r="AT52" i="34"/>
  <c r="AU71" i="34"/>
  <c r="AT70" i="34"/>
  <c r="AW69" i="34"/>
  <c r="AW68" i="34"/>
  <c r="AW67" i="34"/>
  <c r="AW66" i="34"/>
  <c r="AW65" i="34"/>
  <c r="AW64" i="34"/>
  <c r="AW63" i="34"/>
  <c r="AW62" i="34"/>
  <c r="AW61" i="34"/>
  <c r="AW60" i="34"/>
  <c r="AW59" i="34"/>
  <c r="AW58" i="34"/>
  <c r="AT57" i="34"/>
  <c r="AU56" i="34"/>
  <c r="AW54" i="34"/>
  <c r="AU53" i="34"/>
  <c r="AW52" i="34"/>
  <c r="AW57" i="34"/>
  <c r="AW56" i="34"/>
  <c r="AU55" i="34"/>
  <c r="AT53" i="34"/>
  <c r="AW71" i="34"/>
  <c r="AU58" i="34"/>
  <c r="AT56" i="34"/>
  <c r="AT55" i="34"/>
  <c r="AU54" i="34"/>
  <c r="AT71" i="34"/>
  <c r="AW70" i="34"/>
  <c r="AU69" i="34"/>
  <c r="AV66" i="34"/>
  <c r="AU65" i="34"/>
  <c r="AV70" i="34"/>
  <c r="AV67" i="34"/>
  <c r="AU66" i="34"/>
  <c r="AU62" i="34"/>
  <c r="AV68" i="34"/>
  <c r="AU67" i="34"/>
  <c r="AV64" i="34"/>
  <c r="AU63" i="34"/>
  <c r="AU61" i="34"/>
  <c r="AU60" i="34"/>
  <c r="AW53" i="34"/>
  <c r="AU52" i="34"/>
  <c r="AV69" i="34"/>
  <c r="AV65" i="34"/>
  <c r="AU68" i="34"/>
  <c r="AU64" i="34"/>
  <c r="AU59" i="34"/>
  <c r="AF31" i="34"/>
  <c r="AF29" i="34"/>
  <c r="AF27" i="34"/>
  <c r="AF33" i="34"/>
  <c r="AF28" i="34"/>
  <c r="AF20" i="34"/>
  <c r="AF34" i="34"/>
  <c r="AF30" i="34"/>
  <c r="AF23" i="34"/>
  <c r="AF19" i="34"/>
  <c r="AF25" i="34"/>
  <c r="AF22" i="34"/>
  <c r="AF21" i="34"/>
  <c r="AF26" i="34"/>
  <c r="AF32" i="34"/>
  <c r="AF24" i="34"/>
  <c r="E41" i="42"/>
  <c r="AE80" i="43"/>
  <c r="AA80" i="43"/>
  <c r="AD80" i="43"/>
  <c r="Z80" i="43"/>
  <c r="AC80" i="43"/>
  <c r="AB80" i="43"/>
  <c r="AF80" i="43"/>
  <c r="Y80" i="43"/>
  <c r="X80" i="43"/>
  <c r="AG80" i="43"/>
  <c r="G77" i="42"/>
  <c r="X67" i="34"/>
  <c r="P55" i="34"/>
  <c r="P71" i="34"/>
  <c r="P61" i="34"/>
  <c r="P65" i="34"/>
  <c r="P69" i="34"/>
  <c r="AG96" i="43"/>
  <c r="AC96" i="43"/>
  <c r="Y96" i="43"/>
  <c r="U96" i="43"/>
  <c r="AF96" i="43"/>
  <c r="AB96" i="43"/>
  <c r="X96" i="43"/>
  <c r="AD96" i="43"/>
  <c r="V96" i="43"/>
  <c r="AA96" i="43"/>
  <c r="Z96" i="43"/>
  <c r="W96" i="43"/>
  <c r="AE96" i="43"/>
  <c r="BR50" i="34"/>
  <c r="AK21" i="34"/>
  <c r="AB317" i="25"/>
  <c r="AD317" i="25" s="1"/>
  <c r="AB64" i="25"/>
  <c r="AB32" i="25"/>
  <c r="AB350" i="25"/>
  <c r="AD350" i="25" s="1"/>
  <c r="AF350" i="25" s="1"/>
  <c r="AB513" i="25"/>
  <c r="AD513" i="25" s="1"/>
  <c r="AF513" i="25" s="1"/>
  <c r="AB595" i="25"/>
  <c r="AD595" i="25" s="1"/>
  <c r="AB309" i="25"/>
  <c r="AD309" i="25" s="1"/>
  <c r="AF309" i="25" s="1"/>
  <c r="AB373" i="25"/>
  <c r="AD373" i="25" s="1"/>
  <c r="AF373" i="25" s="1"/>
  <c r="AB444" i="25"/>
  <c r="AD444" i="25" s="1"/>
  <c r="AF444" i="25" s="1"/>
  <c r="AB617" i="25"/>
  <c r="AB11" i="25"/>
  <c r="AB54" i="25"/>
  <c r="AD54" i="25" s="1"/>
  <c r="AF54" i="25" s="1"/>
  <c r="AB70" i="25"/>
  <c r="AD70" i="25"/>
  <c r="AF70" i="25" s="1"/>
  <c r="AB102" i="25"/>
  <c r="AB118" i="25"/>
  <c r="AB390" i="25"/>
  <c r="AD390" i="25" s="1"/>
  <c r="AF390" i="25" s="1"/>
  <c r="AB431" i="25"/>
  <c r="AD431" i="25" s="1"/>
  <c r="AB651" i="25"/>
  <c r="AD651" i="25" s="1"/>
  <c r="AB781" i="25"/>
  <c r="AD781" i="25" s="1"/>
  <c r="AF781" i="25" s="1"/>
  <c r="AB321" i="25"/>
  <c r="AD321" i="25" s="1"/>
  <c r="AF321" i="25" s="1"/>
  <c r="AB353" i="25"/>
  <c r="AD353" i="25" s="1"/>
  <c r="AB421" i="25"/>
  <c r="AB460" i="25"/>
  <c r="AB567" i="25"/>
  <c r="AD567" i="25" s="1"/>
  <c r="AF567" i="25" s="1"/>
  <c r="AB624" i="25"/>
  <c r="AD624" i="25" s="1"/>
  <c r="AF624" i="25" s="1"/>
  <c r="AB3" i="25"/>
  <c r="AD3" i="25" s="1"/>
  <c r="AF3" i="25" s="1"/>
  <c r="AB10" i="25"/>
  <c r="AD10" i="25" s="1"/>
  <c r="AF10" i="25" s="1"/>
  <c r="AB25" i="25"/>
  <c r="AD25" i="25"/>
  <c r="AF25" i="25" s="1"/>
  <c r="AB33" i="25"/>
  <c r="AD33" i="25"/>
  <c r="AF33" i="25" s="1"/>
  <c r="AB49" i="25"/>
  <c r="AB57" i="25"/>
  <c r="AB73" i="25"/>
  <c r="AD73" i="25"/>
  <c r="AF73" i="25" s="1"/>
  <c r="AB81" i="25"/>
  <c r="AD81" i="25" s="1"/>
  <c r="AF81" i="25" s="1"/>
  <c r="AB97" i="25"/>
  <c r="AB105" i="25"/>
  <c r="AB121" i="25"/>
  <c r="AB298" i="25"/>
  <c r="AD298" i="25" s="1"/>
  <c r="AB362" i="25"/>
  <c r="AD362" i="25" s="1"/>
  <c r="AB394" i="25"/>
  <c r="AD394" i="25" s="1"/>
  <c r="AF394" i="25" s="1"/>
  <c r="AB479" i="25"/>
  <c r="AD479" i="25" s="1"/>
  <c r="AF479" i="25" s="1"/>
  <c r="AB531" i="25"/>
  <c r="AD531" i="25"/>
  <c r="AF531" i="25"/>
  <c r="AB667" i="25"/>
  <c r="AD667" i="25" s="1"/>
  <c r="AB743" i="25"/>
  <c r="AD743" i="25" s="1"/>
  <c r="AB127" i="25"/>
  <c r="AD127" i="25"/>
  <c r="AF127" i="25" s="1"/>
  <c r="AB135" i="25"/>
  <c r="AB143" i="25"/>
  <c r="AD143" i="25" s="1"/>
  <c r="AB147" i="25"/>
  <c r="AD147" i="25" s="1"/>
  <c r="AB151" i="25"/>
  <c r="AD151" i="25"/>
  <c r="AF151" i="25" s="1"/>
  <c r="AB159" i="25"/>
  <c r="AD159" i="25" s="1"/>
  <c r="AB163" i="25"/>
  <c r="AD163" i="25" s="1"/>
  <c r="AB171" i="25"/>
  <c r="AD171" i="25" s="1"/>
  <c r="AB175" i="25"/>
  <c r="AD175" i="25"/>
  <c r="AF175" i="25" s="1"/>
  <c r="AB183" i="25"/>
  <c r="AD183" i="25" s="1"/>
  <c r="AB191" i="25"/>
  <c r="AD191" i="25" s="1"/>
  <c r="AB195" i="25"/>
  <c r="AD195" i="25" s="1"/>
  <c r="AB199" i="25"/>
  <c r="AD199" i="25" s="1"/>
  <c r="AF199" i="25" s="1"/>
  <c r="AB207" i="25"/>
  <c r="AD207" i="25"/>
  <c r="AF207" i="25"/>
  <c r="AB215" i="25"/>
  <c r="AD215" i="25" s="1"/>
  <c r="AB219" i="25"/>
  <c r="AD219" i="25" s="1"/>
  <c r="AB223" i="25"/>
  <c r="AD223" i="25"/>
  <c r="AF223" i="25" s="1"/>
  <c r="AB231" i="25"/>
  <c r="AB235" i="25"/>
  <c r="AD235" i="25" s="1"/>
  <c r="AB243" i="25"/>
  <c r="AD243" i="25" s="1"/>
  <c r="AB251" i="25"/>
  <c r="AD251" i="25"/>
  <c r="AF251" i="25" s="1"/>
  <c r="AB259" i="25"/>
  <c r="AD259" i="25" s="1"/>
  <c r="AB267" i="25"/>
  <c r="AD267" i="25" s="1"/>
  <c r="AB271" i="25"/>
  <c r="AD271" i="25" s="1"/>
  <c r="AB279" i="25"/>
  <c r="AD279" i="25"/>
  <c r="AF279" i="25" s="1"/>
  <c r="AB308" i="25"/>
  <c r="AD308" i="25" s="1"/>
  <c r="AF308" i="25" s="1"/>
  <c r="AB340" i="25"/>
  <c r="AD340" i="25" s="1"/>
  <c r="AF340" i="25" s="1"/>
  <c r="AB372" i="25"/>
  <c r="AB404" i="25"/>
  <c r="AB441" i="25"/>
  <c r="AB464" i="25"/>
  <c r="AB505" i="25"/>
  <c r="AD505" i="25" s="1"/>
  <c r="AB544" i="25"/>
  <c r="AD544" i="25"/>
  <c r="AF544" i="25" s="1"/>
  <c r="AB603" i="25"/>
  <c r="AF603" i="25" s="1"/>
  <c r="AD603" i="25"/>
  <c r="AB620" i="25"/>
  <c r="AB675" i="25"/>
  <c r="AD675" i="25" s="1"/>
  <c r="AB763" i="25"/>
  <c r="AD763" i="25" s="1"/>
  <c r="AF763" i="25" s="1"/>
  <c r="AB307" i="25"/>
  <c r="AD307" i="25" s="1"/>
  <c r="AB339" i="25"/>
  <c r="AB355" i="25"/>
  <c r="AD355" i="25" s="1"/>
  <c r="AF355" i="25" s="1"/>
  <c r="AB387" i="25"/>
  <c r="AD387" i="25" s="1"/>
  <c r="AF387" i="25" s="1"/>
  <c r="AB420" i="25"/>
  <c r="AD420" i="25" s="1"/>
  <c r="AF420" i="25" s="1"/>
  <c r="AB443" i="25"/>
  <c r="AD443" i="25" s="1"/>
  <c r="AB484" i="25"/>
  <c r="AB547" i="25"/>
  <c r="AD547" i="25" s="1"/>
  <c r="AF547" i="25" s="1"/>
  <c r="AB587" i="25"/>
  <c r="AD587" i="25" s="1"/>
  <c r="AB660" i="25"/>
  <c r="AB723" i="25"/>
  <c r="AD723" i="25" s="1"/>
  <c r="AB761" i="25"/>
  <c r="AD761" i="25"/>
  <c r="AF761" i="25" s="1"/>
  <c r="AB438" i="25"/>
  <c r="AD438" i="25" s="1"/>
  <c r="AF438" i="25" s="1"/>
  <c r="AB470" i="25"/>
  <c r="AB502" i="25"/>
  <c r="AB518" i="25"/>
  <c r="AD518" i="25" s="1"/>
  <c r="AF518" i="25" s="1"/>
  <c r="AB559" i="25"/>
  <c r="AD559" i="25"/>
  <c r="AB600" i="25"/>
  <c r="AB643" i="25"/>
  <c r="AD643" i="25" s="1"/>
  <c r="AB700" i="25"/>
  <c r="AD700" i="25" s="1"/>
  <c r="AF700" i="25" s="1"/>
  <c r="AB759" i="25"/>
  <c r="AB542" i="25"/>
  <c r="AD542" i="25" s="1"/>
  <c r="AB558" i="25"/>
  <c r="AB590" i="25"/>
  <c r="AD590" i="25" s="1"/>
  <c r="AF590" i="25" s="1"/>
  <c r="AB622" i="25"/>
  <c r="AD622" i="25"/>
  <c r="AF622" i="25" s="1"/>
  <c r="AB657" i="25"/>
  <c r="AD657" i="25" s="1"/>
  <c r="AB703" i="25"/>
  <c r="AD703" i="25" s="1"/>
  <c r="AB744" i="25"/>
  <c r="AD744" i="25"/>
  <c r="AF744" i="25" s="1"/>
  <c r="AB767" i="25"/>
  <c r="AD767" i="25" s="1"/>
  <c r="AB654" i="25"/>
  <c r="AB670" i="25"/>
  <c r="AB702" i="25"/>
  <c r="AD702" i="25" s="1"/>
  <c r="AF702" i="25" s="1"/>
  <c r="AB718" i="25"/>
  <c r="AD718" i="25"/>
  <c r="AF718" i="25" s="1"/>
  <c r="AB734" i="25"/>
  <c r="AB750" i="25"/>
  <c r="AB766" i="25"/>
  <c r="AD766" i="25"/>
  <c r="AF766" i="25" s="1"/>
  <c r="AB770" i="25"/>
  <c r="Q346" i="31"/>
  <c r="O88" i="31" s="1"/>
  <c r="Q347" i="31"/>
  <c r="O89" i="31" s="1"/>
  <c r="O156" i="34"/>
  <c r="P110" i="34"/>
  <c r="H87" i="34"/>
  <c r="H84" i="34"/>
  <c r="AB419" i="25"/>
  <c r="AD419" i="25" s="1"/>
  <c r="E34" i="32"/>
  <c r="E30" i="32"/>
  <c r="E42" i="32"/>
  <c r="E40" i="32"/>
  <c r="E38" i="32"/>
  <c r="E35" i="32"/>
  <c r="E33" i="32"/>
  <c r="E29" i="32"/>
  <c r="E27" i="32"/>
  <c r="E43" i="32"/>
  <c r="E41" i="32"/>
  <c r="E37" i="32"/>
  <c r="E36" i="32"/>
  <c r="E28" i="32"/>
  <c r="E44" i="32"/>
  <c r="E31" i="32"/>
  <c r="E39" i="32"/>
  <c r="E32" i="32"/>
  <c r="W207" i="34"/>
  <c r="W203" i="34"/>
  <c r="O199" i="34"/>
  <c r="O193" i="34"/>
  <c r="O188" i="34"/>
  <c r="O186" i="34"/>
  <c r="O184" i="34"/>
  <c r="O182" i="34"/>
  <c r="O180" i="34"/>
  <c r="O178" i="34"/>
  <c r="O176" i="34"/>
  <c r="O162" i="34"/>
  <c r="O158" i="34"/>
  <c r="H88" i="34"/>
  <c r="AB52" i="25"/>
  <c r="AD52" i="25" s="1"/>
  <c r="AF52" i="25" s="1"/>
  <c r="AB84" i="25"/>
  <c r="AD84" i="25" s="1"/>
  <c r="AF84" i="25" s="1"/>
  <c r="AB116" i="25"/>
  <c r="AB413" i="25"/>
  <c r="AD413" i="25" s="1"/>
  <c r="AF413" i="25" s="1"/>
  <c r="P394" i="31"/>
  <c r="O394" i="31" s="1"/>
  <c r="P392" i="31"/>
  <c r="O392" i="31" s="1"/>
  <c r="AS8" i="32"/>
  <c r="AC8" i="32"/>
  <c r="AW8" i="32"/>
  <c r="I8" i="32"/>
  <c r="BA8" i="32"/>
  <c r="Y8" i="32"/>
  <c r="AK8" i="32"/>
  <c r="AO8" i="32"/>
  <c r="U8" i="32"/>
  <c r="BE8" i="32"/>
  <c r="AG8" i="32"/>
  <c r="O252" i="34"/>
  <c r="O251" i="34"/>
  <c r="O250" i="34"/>
  <c r="O254" i="34"/>
  <c r="O258" i="34"/>
  <c r="O259" i="34"/>
  <c r="O257" i="34"/>
  <c r="J222" i="34"/>
  <c r="J220" i="34"/>
  <c r="AP220" i="34"/>
  <c r="AP218" i="34"/>
  <c r="AP221" i="34"/>
  <c r="AP216" i="34"/>
  <c r="I144" i="34"/>
  <c r="F143" i="34"/>
  <c r="I140" i="34"/>
  <c r="F139" i="34"/>
  <c r="I136" i="34"/>
  <c r="F135" i="34"/>
  <c r="I132" i="34"/>
  <c r="F131" i="34"/>
  <c r="F146" i="34"/>
  <c r="I143" i="34"/>
  <c r="F142" i="34"/>
  <c r="I139" i="34"/>
  <c r="F138" i="34"/>
  <c r="I135" i="34"/>
  <c r="F134" i="34"/>
  <c r="I131" i="34"/>
  <c r="I145" i="34"/>
  <c r="F140" i="34"/>
  <c r="I137" i="34"/>
  <c r="F132" i="34"/>
  <c r="F145" i="34"/>
  <c r="J131" i="34" s="1"/>
  <c r="I142" i="34"/>
  <c r="F137" i="34"/>
  <c r="I134" i="34"/>
  <c r="J130" i="34"/>
  <c r="F144" i="34"/>
  <c r="I141" i="34"/>
  <c r="F136" i="34"/>
  <c r="I133" i="34"/>
  <c r="I130" i="34"/>
  <c r="I146" i="34"/>
  <c r="F141" i="34"/>
  <c r="I138" i="34"/>
  <c r="F133" i="34"/>
  <c r="F130" i="34"/>
  <c r="P78" i="34"/>
  <c r="X53" i="34"/>
  <c r="H54" i="34"/>
  <c r="H59" i="34"/>
  <c r="H63" i="34"/>
  <c r="H67" i="34"/>
  <c r="J224" i="34"/>
  <c r="H208" i="34"/>
  <c r="G208" i="34"/>
  <c r="J174" i="34"/>
  <c r="H192" i="34"/>
  <c r="G192" i="34"/>
  <c r="G175" i="34"/>
  <c r="G179" i="34"/>
  <c r="G183" i="34"/>
  <c r="G187" i="34"/>
  <c r="G194" i="34"/>
  <c r="H194" i="34"/>
  <c r="H201" i="34"/>
  <c r="G201" i="34"/>
  <c r="V145" i="34"/>
  <c r="Z131" i="34" s="1"/>
  <c r="Y142" i="34"/>
  <c r="V141" i="34"/>
  <c r="Y138" i="34"/>
  <c r="V137" i="34"/>
  <c r="Y134" i="34"/>
  <c r="V133" i="34"/>
  <c r="V131" i="34"/>
  <c r="V130" i="34"/>
  <c r="Y145" i="34"/>
  <c r="V144" i="34"/>
  <c r="Y141" i="34"/>
  <c r="V140" i="34"/>
  <c r="Y137" i="34"/>
  <c r="V136" i="34"/>
  <c r="Y133" i="34"/>
  <c r="V132" i="34"/>
  <c r="Y131" i="34"/>
  <c r="Y130" i="34"/>
  <c r="Y146" i="34"/>
  <c r="Y143" i="34"/>
  <c r="V138" i="34"/>
  <c r="Y135" i="34"/>
  <c r="V146" i="34"/>
  <c r="V143" i="34"/>
  <c r="Y140" i="34"/>
  <c r="V135" i="34"/>
  <c r="Y132" i="34"/>
  <c r="V142" i="34"/>
  <c r="Y139" i="34"/>
  <c r="V134" i="34"/>
  <c r="Y144" i="34"/>
  <c r="V139" i="34"/>
  <c r="Y136" i="34"/>
  <c r="H89" i="34"/>
  <c r="Q33" i="32"/>
  <c r="AA29" i="32"/>
  <c r="Q29" i="32"/>
  <c r="AA32" i="32"/>
  <c r="Q32" i="32"/>
  <c r="Q31" i="32"/>
  <c r="AA31" i="32"/>
  <c r="AA30" i="32"/>
  <c r="Q30" i="32"/>
  <c r="L286" i="34"/>
  <c r="L273" i="34"/>
  <c r="G273" i="34"/>
  <c r="J233" i="34"/>
  <c r="AE162" i="34"/>
  <c r="AF162" i="34"/>
  <c r="AE156" i="34"/>
  <c r="L266" i="34"/>
  <c r="L280" i="34"/>
  <c r="L290" i="34"/>
  <c r="L285" i="34"/>
  <c r="T248" i="34"/>
  <c r="J215" i="34"/>
  <c r="AE175" i="34"/>
  <c r="AE183" i="34"/>
  <c r="AE204" i="34"/>
  <c r="AF204" i="34"/>
  <c r="W99" i="34"/>
  <c r="Y98" i="34"/>
  <c r="V97" i="34"/>
  <c r="W96" i="34"/>
  <c r="W95" i="34"/>
  <c r="V94" i="34"/>
  <c r="W92" i="34"/>
  <c r="V91" i="34"/>
  <c r="Y90" i="34"/>
  <c r="W88" i="34"/>
  <c r="V87" i="34"/>
  <c r="Y86" i="34"/>
  <c r="V84" i="34"/>
  <c r="W83" i="34"/>
  <c r="W79" i="34"/>
  <c r="V78" i="34"/>
  <c r="V99" i="34"/>
  <c r="Y97" i="34"/>
  <c r="V96" i="34"/>
  <c r="V95" i="34"/>
  <c r="Y94" i="34"/>
  <c r="W93" i="34"/>
  <c r="V92" i="34"/>
  <c r="Y91" i="34"/>
  <c r="W89" i="34"/>
  <c r="V88" i="34"/>
  <c r="Y87" i="34"/>
  <c r="W85" i="34"/>
  <c r="Y84" i="34"/>
  <c r="V83" i="34"/>
  <c r="W82" i="34"/>
  <c r="W81" i="34"/>
  <c r="W80" i="34"/>
  <c r="V79" i="34"/>
  <c r="Y78" i="34"/>
  <c r="W94" i="34"/>
  <c r="Y93" i="34"/>
  <c r="Y92" i="34"/>
  <c r="Y89" i="34"/>
  <c r="Y88" i="34"/>
  <c r="Y85" i="34"/>
  <c r="W84" i="34"/>
  <c r="Y80" i="34"/>
  <c r="W98" i="34"/>
  <c r="Y96" i="34"/>
  <c r="Y95" i="34"/>
  <c r="V93" i="34"/>
  <c r="W90" i="34"/>
  <c r="V89" i="34"/>
  <c r="W86" i="34"/>
  <c r="V85" i="34"/>
  <c r="Y81" i="34"/>
  <c r="V80" i="34"/>
  <c r="W78" i="34"/>
  <c r="V98" i="34"/>
  <c r="W87" i="34"/>
  <c r="Y99" i="34"/>
  <c r="W91" i="34"/>
  <c r="V86" i="34"/>
  <c r="Y83" i="34"/>
  <c r="Y79" i="34"/>
  <c r="W97" i="34"/>
  <c r="V90" i="34"/>
  <c r="Y82" i="34"/>
  <c r="V81" i="34"/>
  <c r="V82" i="34"/>
  <c r="AP280" i="34"/>
  <c r="AP277" i="34"/>
  <c r="AP274" i="34"/>
  <c r="AP271" i="34"/>
  <c r="AP270" i="34"/>
  <c r="AP269" i="34"/>
  <c r="AP268" i="34"/>
  <c r="AP267" i="34"/>
  <c r="AP266" i="34"/>
  <c r="AP276" i="34"/>
  <c r="AP273" i="34"/>
  <c r="AP278" i="34"/>
  <c r="AP279" i="34"/>
  <c r="AP275" i="34"/>
  <c r="AP272" i="34"/>
  <c r="T253" i="34"/>
  <c r="X110" i="34"/>
  <c r="J95" i="34"/>
  <c r="D18" i="39"/>
  <c r="D19" i="39" s="1"/>
  <c r="D10" i="39" s="1"/>
  <c r="D14" i="39" s="1"/>
  <c r="T52" i="43"/>
  <c r="W52" i="43"/>
  <c r="S52" i="43"/>
  <c r="V52" i="43"/>
  <c r="U52" i="43"/>
  <c r="R52" i="43"/>
  <c r="C47" i="43"/>
  <c r="C48" i="43" s="1"/>
  <c r="C45" i="43"/>
  <c r="BS299" i="34"/>
  <c r="BS304" i="34"/>
  <c r="AZ276" i="34"/>
  <c r="AF282" i="34"/>
  <c r="AF287" i="34"/>
  <c r="T252" i="34"/>
  <c r="AE140" i="34"/>
  <c r="AF140" i="34"/>
  <c r="AD124" i="43"/>
  <c r="Z124" i="43"/>
  <c r="AG124" i="43"/>
  <c r="AC124" i="43"/>
  <c r="Y124" i="43"/>
  <c r="AF124" i="43"/>
  <c r="X124" i="43"/>
  <c r="AE124" i="43"/>
  <c r="AB124" i="43"/>
  <c r="AA124" i="43"/>
  <c r="AT31" i="12"/>
  <c r="AB668" i="25"/>
  <c r="AD668" i="25" s="1"/>
  <c r="AB88" i="25"/>
  <c r="AB24" i="25"/>
  <c r="AD24" i="25" s="1"/>
  <c r="AF24" i="25" s="1"/>
  <c r="AB366" i="25"/>
  <c r="AD366" i="25" s="1"/>
  <c r="AB520" i="25"/>
  <c r="AD520" i="25" s="1"/>
  <c r="AB21" i="25"/>
  <c r="AD21" i="25" s="1"/>
  <c r="AB389" i="25"/>
  <c r="AD389" i="25" s="1"/>
  <c r="AF389" i="25" s="1"/>
  <c r="AB541" i="25"/>
  <c r="AD541" i="25"/>
  <c r="AF541" i="25" s="1"/>
  <c r="AB649" i="25"/>
  <c r="AD649" i="25" s="1"/>
  <c r="AB42" i="25"/>
  <c r="AB74" i="25"/>
  <c r="AD74" i="25" s="1"/>
  <c r="AF74" i="25" s="1"/>
  <c r="AB106" i="25"/>
  <c r="AD106" i="25" s="1"/>
  <c r="AF106" i="25" s="1"/>
  <c r="AB342" i="25"/>
  <c r="AD342" i="25" s="1"/>
  <c r="AB481" i="25"/>
  <c r="AB677" i="25"/>
  <c r="AD677" i="25" s="1"/>
  <c r="AF677" i="25" s="1"/>
  <c r="AB297" i="25"/>
  <c r="AD297" i="25" s="1"/>
  <c r="AB361" i="25"/>
  <c r="AD361" i="25" s="1"/>
  <c r="AB428" i="25"/>
  <c r="AB517" i="25"/>
  <c r="AD517" i="25" s="1"/>
  <c r="AF517" i="25" s="1"/>
  <c r="AB629" i="25"/>
  <c r="AD629" i="25" s="1"/>
  <c r="AF629" i="25" s="1"/>
  <c r="AB4" i="25"/>
  <c r="AB18" i="25"/>
  <c r="AD18" i="25" s="1"/>
  <c r="AB35" i="25"/>
  <c r="AD35" i="25" s="1"/>
  <c r="AF35" i="25" s="1"/>
  <c r="AB51" i="25"/>
  <c r="AD51" i="25"/>
  <c r="AF51" i="25" s="1"/>
  <c r="AB67" i="25"/>
  <c r="AD67" i="25" s="1"/>
  <c r="AB75" i="25"/>
  <c r="AB91" i="25"/>
  <c r="AD91" i="25" s="1"/>
  <c r="AF91" i="25" s="1"/>
  <c r="AB107" i="25"/>
  <c r="AD107" i="25" s="1"/>
  <c r="AF107" i="25" s="1"/>
  <c r="AB123" i="25"/>
  <c r="AD123" i="25"/>
  <c r="AB338" i="25"/>
  <c r="AD338" i="25" s="1"/>
  <c r="AF338" i="25" s="1"/>
  <c r="AB402" i="25"/>
  <c r="AD402" i="25" s="1"/>
  <c r="AB497" i="25"/>
  <c r="AD497" i="25" s="1"/>
  <c r="AF497" i="25" s="1"/>
  <c r="AB621" i="25"/>
  <c r="AD621" i="25" s="1"/>
  <c r="AF621" i="25" s="1"/>
  <c r="AB749" i="25"/>
  <c r="AD749" i="25" s="1"/>
  <c r="AB132" i="25"/>
  <c r="AB136" i="25"/>
  <c r="AD136" i="25"/>
  <c r="AF136" i="25" s="1"/>
  <c r="AB144" i="25"/>
  <c r="AD144" i="25" s="1"/>
  <c r="AF144" i="25" s="1"/>
  <c r="AB152" i="25"/>
  <c r="AD152" i="25" s="1"/>
  <c r="AB160" i="25"/>
  <c r="AD160" i="25" s="1"/>
  <c r="AB168" i="25"/>
  <c r="AD168" i="25" s="1"/>
  <c r="AB176" i="25"/>
  <c r="AD176" i="25" s="1"/>
  <c r="AF176" i="25" s="1"/>
  <c r="AB184" i="25"/>
  <c r="AD184" i="25" s="1"/>
  <c r="AB192" i="25"/>
  <c r="AD192" i="25" s="1"/>
  <c r="AF192" i="25" s="1"/>
  <c r="AB200" i="25"/>
  <c r="AD200" i="25" s="1"/>
  <c r="AF200" i="25" s="1"/>
  <c r="AB208" i="25"/>
  <c r="AD208" i="25" s="1"/>
  <c r="AB216" i="25"/>
  <c r="AB224" i="25"/>
  <c r="AD224" i="25" s="1"/>
  <c r="AF224" i="25" s="1"/>
  <c r="AB232" i="25"/>
  <c r="AD232" i="25" s="1"/>
  <c r="AF232" i="25" s="1"/>
  <c r="AB240" i="25"/>
  <c r="AD240" i="25" s="1"/>
  <c r="AB248" i="25"/>
  <c r="AB252" i="25"/>
  <c r="AD252" i="25" s="1"/>
  <c r="AF252" i="25" s="1"/>
  <c r="AB260" i="25"/>
  <c r="AD260" i="25" s="1"/>
  <c r="AF260" i="25" s="1"/>
  <c r="AB268" i="25"/>
  <c r="AD268" i="25"/>
  <c r="AB276" i="25"/>
  <c r="AB296" i="25"/>
  <c r="AB328" i="25"/>
  <c r="AD328" i="25" s="1"/>
  <c r="AF328" i="25" s="1"/>
  <c r="AB360" i="25"/>
  <c r="AD360" i="25" s="1"/>
  <c r="AB376" i="25"/>
  <c r="AB408" i="25"/>
  <c r="AB448" i="25"/>
  <c r="AD448" i="25" s="1"/>
  <c r="AF448" i="25" s="1"/>
  <c r="AB471" i="25"/>
  <c r="AD471" i="25" s="1"/>
  <c r="AF471" i="25" s="1"/>
  <c r="AB512" i="25"/>
  <c r="AB549" i="25"/>
  <c r="AB608" i="25"/>
  <c r="AD608" i="25" s="1"/>
  <c r="AF608" i="25" s="1"/>
  <c r="AB656" i="25"/>
  <c r="AB729" i="25"/>
  <c r="AB775" i="25"/>
  <c r="AD775" i="25" s="1"/>
  <c r="AB311" i="25"/>
  <c r="AD311" i="25" s="1"/>
  <c r="AF311" i="25" s="1"/>
  <c r="AB343" i="25"/>
  <c r="AD343" i="25" s="1"/>
  <c r="AB375" i="25"/>
  <c r="AD375" i="25" s="1"/>
  <c r="AB407" i="25"/>
  <c r="AB445" i="25"/>
  <c r="AD445" i="25"/>
  <c r="AF445" i="25" s="1"/>
  <c r="AB491" i="25"/>
  <c r="AD491" i="25" s="1"/>
  <c r="AF491" i="25" s="1"/>
  <c r="AB533" i="25"/>
  <c r="AB592" i="25"/>
  <c r="AD592" i="25" s="1"/>
  <c r="AF592" i="25" s="1"/>
  <c r="AB663" i="25"/>
  <c r="AD663" i="25" s="1"/>
  <c r="AB736" i="25"/>
  <c r="AB426" i="25"/>
  <c r="AB458" i="25"/>
  <c r="AD458" i="25" s="1"/>
  <c r="AF458" i="25" s="1"/>
  <c r="AB490" i="25"/>
  <c r="AD490" i="25" s="1"/>
  <c r="AF490" i="25" s="1"/>
  <c r="AB522" i="25"/>
  <c r="AD522" i="25" s="1"/>
  <c r="AB561" i="25"/>
  <c r="AD561" i="25" s="1"/>
  <c r="AB584" i="25"/>
  <c r="AD584" i="25" s="1"/>
  <c r="AF584" i="25" s="1"/>
  <c r="AB625" i="25"/>
  <c r="AD625" i="25" s="1"/>
  <c r="AB688" i="25"/>
  <c r="AB747" i="25"/>
  <c r="AD747" i="25" s="1"/>
  <c r="AB530" i="25"/>
  <c r="AD530" i="25" s="1"/>
  <c r="AF530" i="25" s="1"/>
  <c r="AB562" i="25"/>
  <c r="AD562" i="25" s="1"/>
  <c r="AF562" i="25" s="1"/>
  <c r="AB594" i="25"/>
  <c r="AD594" i="25" s="1"/>
  <c r="AB626" i="25"/>
  <c r="AB664" i="25"/>
  <c r="AD664" i="25" s="1"/>
  <c r="AF664" i="25" s="1"/>
  <c r="AB705" i="25"/>
  <c r="AD705" i="25" s="1"/>
  <c r="AF705" i="25" s="1"/>
  <c r="AB751" i="25"/>
  <c r="AD751" i="25" s="1"/>
  <c r="AF751" i="25" s="1"/>
  <c r="AB642" i="25"/>
  <c r="AB674" i="25"/>
  <c r="AD674" i="25" s="1"/>
  <c r="AF674" i="25" s="1"/>
  <c r="AB706" i="25"/>
  <c r="AD706" i="25" s="1"/>
  <c r="AF706" i="25" s="1"/>
  <c r="AB738" i="25"/>
  <c r="AB754" i="25"/>
  <c r="AB774" i="25"/>
  <c r="AD774" i="25" s="1"/>
  <c r="AF774" i="25" s="1"/>
  <c r="P113" i="34"/>
  <c r="P109" i="34"/>
  <c r="AV94" i="34"/>
  <c r="AV91" i="34"/>
  <c r="AV88" i="34"/>
  <c r="AV83" i="34"/>
  <c r="AB397" i="25"/>
  <c r="AD397" i="25" s="1"/>
  <c r="D250" i="31"/>
  <c r="F250" i="31" s="1"/>
  <c r="W206" i="34"/>
  <c r="W197" i="34"/>
  <c r="W187" i="34"/>
  <c r="W183" i="34"/>
  <c r="W179" i="34"/>
  <c r="W175" i="34"/>
  <c r="AB60" i="25"/>
  <c r="AD60" i="25" s="1"/>
  <c r="AF60" i="25" s="1"/>
  <c r="AB124" i="25"/>
  <c r="AD124" i="25" s="1"/>
  <c r="AF124" i="25" s="1"/>
  <c r="P389" i="31"/>
  <c r="O389" i="31" s="1"/>
  <c r="P391" i="31"/>
  <c r="O391" i="31" s="1"/>
  <c r="P396" i="31"/>
  <c r="O396" i="31" s="1"/>
  <c r="AO13" i="32"/>
  <c r="AN205" i="34"/>
  <c r="AM205" i="34"/>
  <c r="AM195" i="34"/>
  <c r="AM178" i="34"/>
  <c r="AL146" i="34"/>
  <c r="AO144" i="34"/>
  <c r="AL143" i="34"/>
  <c r="AO140" i="34"/>
  <c r="AL139" i="34"/>
  <c r="AO136" i="34"/>
  <c r="AL135" i="34"/>
  <c r="AO132" i="34"/>
  <c r="AP131" i="34"/>
  <c r="AL131" i="34"/>
  <c r="AO146" i="34"/>
  <c r="AO143" i="34"/>
  <c r="AL142" i="34"/>
  <c r="AO139" i="34"/>
  <c r="AL138" i="34"/>
  <c r="AO135" i="34"/>
  <c r="AL134" i="34"/>
  <c r="AO131" i="34"/>
  <c r="AL144" i="34"/>
  <c r="AO141" i="34"/>
  <c r="AL136" i="34"/>
  <c r="AO133" i="34"/>
  <c r="AO130" i="34"/>
  <c r="AL141" i="34"/>
  <c r="AO138" i="34"/>
  <c r="AL133" i="34"/>
  <c r="AL130" i="34"/>
  <c r="AO145" i="34"/>
  <c r="AL140" i="34"/>
  <c r="AO137" i="34"/>
  <c r="AL132" i="34"/>
  <c r="AL145" i="34"/>
  <c r="AP130" i="34"/>
  <c r="AO142" i="34"/>
  <c r="AL137" i="34"/>
  <c r="AO134" i="34"/>
  <c r="AF107" i="34"/>
  <c r="AF111" i="34"/>
  <c r="H60" i="34"/>
  <c r="H68" i="34"/>
  <c r="H51" i="34"/>
  <c r="AN200" i="34"/>
  <c r="AM200" i="34"/>
  <c r="G176" i="34"/>
  <c r="G184" i="34"/>
  <c r="G188" i="34"/>
  <c r="H203" i="34"/>
  <c r="G203" i="34"/>
  <c r="W162" i="34"/>
  <c r="P88" i="34"/>
  <c r="P95" i="34"/>
  <c r="P91" i="34"/>
  <c r="AO12" i="32"/>
  <c r="AE153" i="34"/>
  <c r="AE157" i="34"/>
  <c r="L271" i="34"/>
  <c r="L274" i="34"/>
  <c r="L295" i="34"/>
  <c r="AF208" i="34"/>
  <c r="AE208" i="34"/>
  <c r="AE176" i="34"/>
  <c r="AE188" i="34"/>
  <c r="AN79" i="34"/>
  <c r="AN86" i="34"/>
  <c r="AN90" i="34"/>
  <c r="AN94" i="34"/>
  <c r="X111" i="34"/>
  <c r="BS305" i="34"/>
  <c r="BS301" i="34"/>
  <c r="G271" i="34"/>
  <c r="AZ266" i="34"/>
  <c r="AZ271" i="34"/>
  <c r="AZ272" i="34"/>
  <c r="V294" i="34"/>
  <c r="V291" i="34"/>
  <c r="V290" i="34"/>
  <c r="V286" i="34"/>
  <c r="V283" i="34"/>
  <c r="V280" i="34"/>
  <c r="V277" i="34"/>
  <c r="V274" i="34"/>
  <c r="V271" i="34"/>
  <c r="V270" i="34"/>
  <c r="V269" i="34"/>
  <c r="V268" i="34"/>
  <c r="V267" i="34"/>
  <c r="V266" i="34"/>
  <c r="V282" i="34"/>
  <c r="V276" i="34"/>
  <c r="V273" i="34"/>
  <c r="V287" i="34"/>
  <c r="V284" i="34"/>
  <c r="V281" i="34"/>
  <c r="V278" i="34"/>
  <c r="V292" i="34"/>
  <c r="V288" i="34"/>
  <c r="V285" i="34"/>
  <c r="V279" i="34"/>
  <c r="V275" i="34"/>
  <c r="V272" i="34"/>
  <c r="V293" i="34"/>
  <c r="V289" i="34"/>
  <c r="G279" i="34"/>
  <c r="AF277" i="34"/>
  <c r="AF286" i="34"/>
  <c r="AF275" i="34"/>
  <c r="AF288" i="34"/>
  <c r="L283" i="34"/>
  <c r="X60" i="34"/>
  <c r="AG57" i="43"/>
  <c r="AF57" i="43"/>
  <c r="P53" i="34"/>
  <c r="P60" i="34"/>
  <c r="P68" i="34"/>
  <c r="Q41" i="34"/>
  <c r="Q37" i="34"/>
  <c r="Q33" i="34"/>
  <c r="Q28" i="34"/>
  <c r="Q22" i="34"/>
  <c r="Q20" i="34"/>
  <c r="Q40" i="34"/>
  <c r="Q36" i="34"/>
  <c r="Q32" i="34"/>
  <c r="Q27" i="34"/>
  <c r="Q23" i="34"/>
  <c r="Q19" i="34"/>
  <c r="Q38" i="34"/>
  <c r="Q26" i="34"/>
  <c r="Q24" i="34"/>
  <c r="Q31" i="34"/>
  <c r="Q43" i="34"/>
  <c r="Q30" i="34"/>
  <c r="Q25" i="34"/>
  <c r="Q34" i="34"/>
  <c r="Q21" i="34"/>
  <c r="Q39" i="34"/>
  <c r="Q35" i="34"/>
  <c r="Q42" i="34"/>
  <c r="Q29" i="34"/>
  <c r="M28" i="40"/>
  <c r="N28" i="40"/>
  <c r="O28" i="40" s="1"/>
  <c r="P28" i="40" s="1"/>
  <c r="AE164" i="43"/>
  <c r="AA164" i="43"/>
  <c r="AD164" i="43"/>
  <c r="Z164" i="43"/>
  <c r="AB164" i="43"/>
  <c r="AG164" i="43"/>
  <c r="Y164" i="43"/>
  <c r="X164" i="43"/>
  <c r="AF164" i="43"/>
  <c r="AC164" i="43"/>
  <c r="M20" i="40"/>
  <c r="P20" i="40"/>
  <c r="N20" i="40"/>
  <c r="O20" i="40"/>
  <c r="AB483" i="25"/>
  <c r="AB112" i="25"/>
  <c r="AD112" i="25" s="1"/>
  <c r="AF112" i="25" s="1"/>
  <c r="AB48" i="25"/>
  <c r="AB9" i="25"/>
  <c r="AB382" i="25"/>
  <c r="AB456" i="25"/>
  <c r="AD456" i="25"/>
  <c r="AF456" i="25" s="1"/>
  <c r="AB645" i="25"/>
  <c r="AD645" i="25" s="1"/>
  <c r="AF645" i="25" s="1"/>
  <c r="AB22" i="25"/>
  <c r="AD22" i="25" s="1"/>
  <c r="AF22" i="25" s="1"/>
  <c r="AB405" i="25"/>
  <c r="AD405" i="25" s="1"/>
  <c r="AB501" i="25"/>
  <c r="AD501" i="25" s="1"/>
  <c r="AF501" i="25" s="1"/>
  <c r="AB699" i="25"/>
  <c r="AD699" i="25" s="1"/>
  <c r="AF699" i="25" s="1"/>
  <c r="AB30" i="25"/>
  <c r="AB62" i="25"/>
  <c r="AD62" i="25" s="1"/>
  <c r="AF62" i="25" s="1"/>
  <c r="AB78" i="25"/>
  <c r="AD78" i="25"/>
  <c r="AF78" i="25" s="1"/>
  <c r="AB110" i="25"/>
  <c r="AD110" i="25" s="1"/>
  <c r="AB294" i="25"/>
  <c r="AD294" i="25" s="1"/>
  <c r="AF294" i="25" s="1"/>
  <c r="AB417" i="25"/>
  <c r="AD417" i="25" s="1"/>
  <c r="AF417" i="25" s="1"/>
  <c r="AB488" i="25"/>
  <c r="AD488" i="25" s="1"/>
  <c r="AF488" i="25" s="1"/>
  <c r="AB581" i="25"/>
  <c r="AD581" i="25" s="1"/>
  <c r="AB13" i="25"/>
  <c r="AD13" i="25" s="1"/>
  <c r="AB337" i="25"/>
  <c r="AD337" i="25" s="1"/>
  <c r="AB401" i="25"/>
  <c r="AD401" i="25" s="1"/>
  <c r="AB435" i="25"/>
  <c r="AD435" i="25" s="1"/>
  <c r="AF435" i="25" s="1"/>
  <c r="AB548" i="25"/>
  <c r="AB652" i="25"/>
  <c r="AD652" i="25" s="1"/>
  <c r="AF652" i="25" s="1"/>
  <c r="AB5" i="25"/>
  <c r="AB19" i="25"/>
  <c r="AB37" i="25"/>
  <c r="AB53" i="25"/>
  <c r="AD53" i="25" s="1"/>
  <c r="AF53" i="25" s="1"/>
  <c r="AB69" i="25"/>
  <c r="AD69" i="25" s="1"/>
  <c r="AF69" i="25" s="1"/>
  <c r="AB85" i="25"/>
  <c r="AD85" i="25" s="1"/>
  <c r="AB101" i="25"/>
  <c r="AB117" i="25"/>
  <c r="AD117" i="25" s="1"/>
  <c r="AF117" i="25" s="1"/>
  <c r="AB314" i="25"/>
  <c r="AD314" i="25" s="1"/>
  <c r="AB378" i="25"/>
  <c r="AD378" i="25" s="1"/>
  <c r="AB465" i="25"/>
  <c r="AB635" i="25"/>
  <c r="AB125" i="25"/>
  <c r="AD125" i="25" s="1"/>
  <c r="AB133" i="25"/>
  <c r="AD133" i="25" s="1"/>
  <c r="AF133" i="25" s="1"/>
  <c r="AB137" i="25"/>
  <c r="AD137" i="25" s="1"/>
  <c r="AB145" i="25"/>
  <c r="AD145" i="25"/>
  <c r="AB153" i="25"/>
  <c r="AB165" i="25"/>
  <c r="AD165" i="25" s="1"/>
  <c r="AF165" i="25" s="1"/>
  <c r="AB173" i="25"/>
  <c r="AD173" i="25" s="1"/>
  <c r="AB181" i="25"/>
  <c r="AB185" i="25"/>
  <c r="AD185" i="25"/>
  <c r="AB197" i="25"/>
  <c r="AD197" i="25" s="1"/>
  <c r="AF197" i="25" s="1"/>
  <c r="AB205" i="25"/>
  <c r="AD205" i="25" s="1"/>
  <c r="AB213" i="25"/>
  <c r="AD213" i="25" s="1"/>
  <c r="AB217" i="25"/>
  <c r="AD217" i="25" s="1"/>
  <c r="AF217" i="25" s="1"/>
  <c r="AB225" i="25"/>
  <c r="AD225" i="25" s="1"/>
  <c r="AF225" i="25" s="1"/>
  <c r="AB233" i="25"/>
  <c r="AD233" i="25" s="1"/>
  <c r="AB241" i="25"/>
  <c r="AD241" i="25"/>
  <c r="AB253" i="25"/>
  <c r="AD253" i="25"/>
  <c r="AF253" i="25" s="1"/>
  <c r="AB261" i="25"/>
  <c r="AD261" i="25" s="1"/>
  <c r="AF261" i="25" s="1"/>
  <c r="AB269" i="25"/>
  <c r="AD269" i="25" s="1"/>
  <c r="AB277" i="25"/>
  <c r="AB316" i="25"/>
  <c r="AD316" i="25" s="1"/>
  <c r="AF316" i="25" s="1"/>
  <c r="AB348" i="25"/>
  <c r="AB380" i="25"/>
  <c r="AD380" i="25" s="1"/>
  <c r="AB396" i="25"/>
  <c r="AB432" i="25"/>
  <c r="AD432" i="25"/>
  <c r="AF432" i="25" s="1"/>
  <c r="AB455" i="25"/>
  <c r="AD455" i="25" s="1"/>
  <c r="AF455" i="25" s="1"/>
  <c r="AB496" i="25"/>
  <c r="AB519" i="25"/>
  <c r="AD519" i="25"/>
  <c r="AB551" i="25"/>
  <c r="AD551" i="25"/>
  <c r="AF551" i="25" s="1"/>
  <c r="AB596" i="25"/>
  <c r="AD596" i="25" s="1"/>
  <c r="AB637" i="25"/>
  <c r="AD637" i="25" s="1"/>
  <c r="AB659" i="25"/>
  <c r="AD659" i="25"/>
  <c r="AB732" i="25"/>
  <c r="AD732" i="25"/>
  <c r="AF732" i="25" s="1"/>
  <c r="AB283" i="25"/>
  <c r="AD283" i="25" s="1"/>
  <c r="AB315" i="25"/>
  <c r="AD315" i="25" s="1"/>
  <c r="AF315" i="25" s="1"/>
  <c r="AB331" i="25"/>
  <c r="AB363" i="25"/>
  <c r="AD363" i="25" s="1"/>
  <c r="AB379" i="25"/>
  <c r="AD379" i="25" s="1"/>
  <c r="AB411" i="25"/>
  <c r="AD411" i="25" s="1"/>
  <c r="AF411" i="25" s="1"/>
  <c r="AB429" i="25"/>
  <c r="AD429" i="25" s="1"/>
  <c r="AB475" i="25"/>
  <c r="AD475" i="25"/>
  <c r="AB493" i="25"/>
  <c r="AD493" i="25" s="1"/>
  <c r="AF493" i="25" s="1"/>
  <c r="AB535" i="25"/>
  <c r="AD535" i="25" s="1"/>
  <c r="AB580" i="25"/>
  <c r="AD580" i="25" s="1"/>
  <c r="AF580" i="25" s="1"/>
  <c r="AB644" i="25"/>
  <c r="AD644" i="25"/>
  <c r="AF644" i="25" s="1"/>
  <c r="AB679" i="25"/>
  <c r="AD679" i="25" s="1"/>
  <c r="AF679" i="25" s="1"/>
  <c r="AB739" i="25"/>
  <c r="AD739" i="25" s="1"/>
  <c r="AB430" i="25"/>
  <c r="AD430" i="25" s="1"/>
  <c r="AF430" i="25" s="1"/>
  <c r="AB446" i="25"/>
  <c r="AD446" i="25" s="1"/>
  <c r="AF446" i="25" s="1"/>
  <c r="AB478" i="25"/>
  <c r="AD478" i="25" s="1"/>
  <c r="AB494" i="25"/>
  <c r="AB527" i="25"/>
  <c r="AD527" i="25"/>
  <c r="AB545" i="25"/>
  <c r="AD545" i="25"/>
  <c r="AF545" i="25" s="1"/>
  <c r="AB591" i="25"/>
  <c r="AD591" i="25" s="1"/>
  <c r="AF591" i="25" s="1"/>
  <c r="AB609" i="25"/>
  <c r="AB676" i="25"/>
  <c r="AD676" i="25" s="1"/>
  <c r="AF676" i="25" s="1"/>
  <c r="AB693" i="25"/>
  <c r="AD693" i="25"/>
  <c r="AF693" i="25" s="1"/>
  <c r="AB752" i="25"/>
  <c r="AD752" i="25" s="1"/>
  <c r="AB769" i="25"/>
  <c r="AD769" i="25" s="1"/>
  <c r="AF769" i="25" s="1"/>
  <c r="AB550" i="25"/>
  <c r="AD550" i="25" s="1"/>
  <c r="AB566" i="25"/>
  <c r="AD566" i="25" s="1"/>
  <c r="AF566" i="25" s="1"/>
  <c r="AB598" i="25"/>
  <c r="AD598" i="25" s="1"/>
  <c r="AF598" i="25" s="1"/>
  <c r="AB614" i="25"/>
  <c r="AD614" i="25" s="1"/>
  <c r="AB648" i="25"/>
  <c r="AD648" i="25" s="1"/>
  <c r="AF648" i="25" s="1"/>
  <c r="AB671" i="25"/>
  <c r="AD671" i="25" s="1"/>
  <c r="AB712" i="25"/>
  <c r="AD712" i="25" s="1"/>
  <c r="AB753" i="25"/>
  <c r="AB777" i="25"/>
  <c r="AD777" i="25" s="1"/>
  <c r="AB662" i="25"/>
  <c r="AD662" i="25" s="1"/>
  <c r="AB678" i="25"/>
  <c r="AD678" i="25" s="1"/>
  <c r="AF678" i="25" s="1"/>
  <c r="AB710" i="25"/>
  <c r="AD710" i="25" s="1"/>
  <c r="AB742" i="25"/>
  <c r="AD742" i="25" s="1"/>
  <c r="AB758" i="25"/>
  <c r="AD758" i="25" s="1"/>
  <c r="AF758" i="25" s="1"/>
  <c r="AB778" i="25"/>
  <c r="AD778" i="25"/>
  <c r="AF778" i="25" s="1"/>
  <c r="H91" i="34"/>
  <c r="W205" i="34"/>
  <c r="O197" i="34"/>
  <c r="O187" i="34"/>
  <c r="O183" i="34"/>
  <c r="O179" i="34"/>
  <c r="O175" i="34"/>
  <c r="P116" i="34"/>
  <c r="H92" i="34"/>
  <c r="AV81" i="34"/>
  <c r="AV79" i="34"/>
  <c r="AB731" i="25"/>
  <c r="AD731" i="25" s="1"/>
  <c r="AF731" i="25" s="1"/>
  <c r="AB36" i="25"/>
  <c r="AD36" i="25" s="1"/>
  <c r="AB68" i="25"/>
  <c r="AB100" i="25"/>
  <c r="AD100" i="25" s="1"/>
  <c r="AF100" i="25" s="1"/>
  <c r="AB285" i="25"/>
  <c r="AD285" i="25" s="1"/>
  <c r="AB565" i="25"/>
  <c r="P393" i="31"/>
  <c r="O393" i="31" s="1"/>
  <c r="P395" i="31"/>
  <c r="O395" i="31" s="1"/>
  <c r="BS307" i="34"/>
  <c r="BS310" i="34"/>
  <c r="BS308" i="34"/>
  <c r="BS309" i="34"/>
  <c r="AP215" i="34"/>
  <c r="AM175" i="34"/>
  <c r="AM183" i="34"/>
  <c r="AM187" i="34"/>
  <c r="AM196" i="34"/>
  <c r="AF108" i="34"/>
  <c r="AF112" i="34"/>
  <c r="H61" i="34"/>
  <c r="H65" i="34"/>
  <c r="H69" i="34"/>
  <c r="AU279" i="34"/>
  <c r="AU275" i="34"/>
  <c r="AU272" i="34"/>
  <c r="AU277" i="34"/>
  <c r="AU274" i="34"/>
  <c r="AU271" i="34"/>
  <c r="AU270" i="34"/>
  <c r="AU269" i="34"/>
  <c r="AU268" i="34"/>
  <c r="AU267" i="34"/>
  <c r="AU266" i="34"/>
  <c r="AU276" i="34"/>
  <c r="AU278" i="34"/>
  <c r="AU273" i="34"/>
  <c r="J232" i="34"/>
  <c r="G177" i="34"/>
  <c r="G185" i="34"/>
  <c r="H197" i="34"/>
  <c r="G197" i="34"/>
  <c r="W163" i="34"/>
  <c r="W156" i="34"/>
  <c r="BC89" i="34"/>
  <c r="BC85" i="34"/>
  <c r="BC82" i="34"/>
  <c r="BC81" i="34"/>
  <c r="BC80" i="34"/>
  <c r="BC79" i="34"/>
  <c r="BC78" i="34"/>
  <c r="BC90" i="34"/>
  <c r="BC86" i="34"/>
  <c r="BC84" i="34"/>
  <c r="BC83" i="34"/>
  <c r="BC92" i="34"/>
  <c r="BC87" i="34"/>
  <c r="BC91" i="34"/>
  <c r="BC88" i="34"/>
  <c r="BH56" i="34"/>
  <c r="BH53" i="34"/>
  <c r="BH51" i="34"/>
  <c r="BH55" i="34"/>
  <c r="BH52" i="34"/>
  <c r="BH50" i="34"/>
  <c r="BH57" i="34"/>
  <c r="BH54" i="34"/>
  <c r="AS6" i="32"/>
  <c r="AC6" i="32"/>
  <c r="BA6" i="32"/>
  <c r="AO6" i="32"/>
  <c r="U6" i="32"/>
  <c r="I6" i="32"/>
  <c r="AG6" i="32"/>
  <c r="Y6" i="32"/>
  <c r="AW6" i="32"/>
  <c r="BE6" i="32"/>
  <c r="AK6" i="32"/>
  <c r="Q6" i="32"/>
  <c r="G280" i="34"/>
  <c r="Q298" i="34"/>
  <c r="Q295" i="34"/>
  <c r="Q292" i="34"/>
  <c r="Q282" i="34"/>
  <c r="Q276" i="34"/>
  <c r="Q273" i="34"/>
  <c r="Q299" i="34"/>
  <c r="Q296" i="34"/>
  <c r="Q293" i="34"/>
  <c r="Q285" i="34"/>
  <c r="Q281" i="34"/>
  <c r="Q278" i="34"/>
  <c r="Q297" i="34"/>
  <c r="Q291" i="34"/>
  <c r="Q290" i="34"/>
  <c r="Q289" i="34"/>
  <c r="Q286" i="34"/>
  <c r="Q283" i="34"/>
  <c r="Q277" i="34"/>
  <c r="Q272" i="34"/>
  <c r="Q268" i="34"/>
  <c r="Q266" i="34"/>
  <c r="Q287" i="34"/>
  <c r="Q271" i="34"/>
  <c r="Q267" i="34"/>
  <c r="Q294" i="34"/>
  <c r="Q284" i="34"/>
  <c r="Q280" i="34"/>
  <c r="Q274" i="34"/>
  <c r="Q270" i="34"/>
  <c r="Q279" i="34"/>
  <c r="Q275" i="34"/>
  <c r="Q288" i="34"/>
  <c r="Q269" i="34"/>
  <c r="AF161" i="34"/>
  <c r="AE161" i="34"/>
  <c r="AE158" i="34"/>
  <c r="AF158" i="34"/>
  <c r="AE154" i="34"/>
  <c r="AK282" i="34"/>
  <c r="AK276" i="34"/>
  <c r="AK273" i="34"/>
  <c r="AK285" i="34"/>
  <c r="AK281" i="34"/>
  <c r="AK278" i="34"/>
  <c r="AK283" i="34"/>
  <c r="AK277" i="34"/>
  <c r="AK272" i="34"/>
  <c r="AK279" i="34"/>
  <c r="AK275" i="34"/>
  <c r="AK269" i="34"/>
  <c r="AK266" i="34"/>
  <c r="AK268" i="34"/>
  <c r="AK271" i="34"/>
  <c r="AK267" i="34"/>
  <c r="AK284" i="34"/>
  <c r="AK270" i="34"/>
  <c r="AK280" i="34"/>
  <c r="AK274" i="34"/>
  <c r="G270" i="34"/>
  <c r="L269" i="34"/>
  <c r="L282" i="34"/>
  <c r="L275" i="34"/>
  <c r="L288" i="34"/>
  <c r="L278" i="34"/>
  <c r="L292" i="34"/>
  <c r="E251" i="34"/>
  <c r="J227" i="34"/>
  <c r="Y215" i="34"/>
  <c r="Y221" i="34"/>
  <c r="AE174" i="34"/>
  <c r="AE198" i="34"/>
  <c r="AE177" i="34"/>
  <c r="AE181" i="34"/>
  <c r="AE185" i="34"/>
  <c r="AE189" i="34"/>
  <c r="AE201" i="34"/>
  <c r="AE206" i="34"/>
  <c r="AF206" i="34"/>
  <c r="AE134" i="34"/>
  <c r="AN112" i="34"/>
  <c r="AN108" i="34"/>
  <c r="AN80" i="34"/>
  <c r="AN87" i="34"/>
  <c r="AN91" i="34"/>
  <c r="BS296" i="34"/>
  <c r="G275" i="34"/>
  <c r="L267" i="34"/>
  <c r="T255" i="34"/>
  <c r="Y219" i="34"/>
  <c r="X108" i="34"/>
  <c r="X112" i="34"/>
  <c r="X65" i="34"/>
  <c r="L38" i="34"/>
  <c r="L32" i="34"/>
  <c r="L34" i="34"/>
  <c r="L33" i="34"/>
  <c r="L30" i="34"/>
  <c r="L28" i="34"/>
  <c r="L26" i="34"/>
  <c r="L25" i="34"/>
  <c r="L24" i="34"/>
  <c r="L22" i="34"/>
  <c r="L39" i="34"/>
  <c r="L37" i="34"/>
  <c r="L35" i="34"/>
  <c r="L31" i="34"/>
  <c r="L29" i="34"/>
  <c r="L21" i="34"/>
  <c r="L27" i="34"/>
  <c r="L23" i="34"/>
  <c r="L19" i="34"/>
  <c r="L36" i="34"/>
  <c r="L20" i="34"/>
  <c r="L40" i="34"/>
  <c r="O6" i="40"/>
  <c r="N6" i="40"/>
  <c r="M6" i="40"/>
  <c r="P6" i="40"/>
  <c r="AE141" i="43"/>
  <c r="AF141" i="43"/>
  <c r="AG141" i="43"/>
  <c r="C72" i="43"/>
  <c r="C27" i="43"/>
  <c r="C52" i="43"/>
  <c r="AO11" i="32"/>
  <c r="BS303" i="34"/>
  <c r="G274" i="34"/>
  <c r="G269" i="34"/>
  <c r="AZ270" i="34"/>
  <c r="AZ273" i="34"/>
  <c r="AZ275" i="34"/>
  <c r="J229" i="34"/>
  <c r="Y217" i="34"/>
  <c r="AV90" i="34"/>
  <c r="N73" i="4"/>
  <c r="L77" i="4"/>
  <c r="L78" i="4" s="1"/>
  <c r="N67" i="4"/>
  <c r="N72" i="4" s="1"/>
  <c r="L50" i="31"/>
  <c r="L46" i="31"/>
  <c r="P376" i="31"/>
  <c r="O376" i="31" s="1"/>
  <c r="P377" i="31"/>
  <c r="O377" i="31" s="1"/>
  <c r="P373" i="31"/>
  <c r="O373" i="31" s="1"/>
  <c r="P378" i="31"/>
  <c r="O378" i="31" s="1"/>
  <c r="P372" i="31"/>
  <c r="O372" i="31" s="1"/>
  <c r="P374" i="31"/>
  <c r="O374" i="31" s="1"/>
  <c r="P375" i="31"/>
  <c r="O375" i="31" s="1"/>
  <c r="P371" i="31"/>
  <c r="O371" i="31" s="1"/>
  <c r="N371" i="31" s="1"/>
  <c r="P408" i="31"/>
  <c r="O408" i="31" s="1"/>
  <c r="P404" i="31"/>
  <c r="O404" i="31" s="1"/>
  <c r="P407" i="31"/>
  <c r="O407" i="31" s="1"/>
  <c r="P403" i="31"/>
  <c r="O403" i="31" s="1"/>
  <c r="N403" i="31"/>
  <c r="P409" i="31"/>
  <c r="O409" i="31" s="1"/>
  <c r="P405" i="31"/>
  <c r="O405" i="31" s="1"/>
  <c r="P410" i="31"/>
  <c r="O410" i="31" s="1"/>
  <c r="P406" i="31"/>
  <c r="O406" i="31" s="1"/>
  <c r="I226" i="31"/>
  <c r="I222" i="31"/>
  <c r="I227" i="31"/>
  <c r="I223" i="31"/>
  <c r="I213" i="31"/>
  <c r="D213" i="31" s="1"/>
  <c r="E108" i="31" s="1"/>
  <c r="I212" i="31"/>
  <c r="D212" i="31" s="1"/>
  <c r="D108" i="31" s="1"/>
  <c r="I225" i="31"/>
  <c r="I221" i="31"/>
  <c r="I214" i="31"/>
  <c r="D214" i="31" s="1"/>
  <c r="F108" i="31" s="1"/>
  <c r="I219" i="31"/>
  <c r="I220" i="31"/>
  <c r="I216" i="31"/>
  <c r="D216" i="31" s="1"/>
  <c r="H108" i="31" s="1"/>
  <c r="I224" i="31"/>
  <c r="I217" i="31"/>
  <c r="I215" i="31"/>
  <c r="D215" i="31" s="1"/>
  <c r="G108" i="31" s="1"/>
  <c r="I218" i="31"/>
  <c r="AB381" i="25"/>
  <c r="AD381" i="25" s="1"/>
  <c r="AF381" i="25" s="1"/>
  <c r="AB104" i="25"/>
  <c r="AD104" i="25" s="1"/>
  <c r="AF104" i="25" s="1"/>
  <c r="AB72" i="25"/>
  <c r="AD72" i="25" s="1"/>
  <c r="AF72" i="25" s="1"/>
  <c r="AB40" i="25"/>
  <c r="AD40" i="25"/>
  <c r="AB7" i="25"/>
  <c r="AB334" i="25"/>
  <c r="AD334" i="25" s="1"/>
  <c r="AF334" i="25" s="1"/>
  <c r="AB398" i="25"/>
  <c r="AD398" i="25" s="1"/>
  <c r="AB463" i="25"/>
  <c r="AD463" i="25" s="1"/>
  <c r="AF463" i="25" s="1"/>
  <c r="AB576" i="25"/>
  <c r="AB708" i="25"/>
  <c r="AD708" i="25" s="1"/>
  <c r="AF708" i="25" s="1"/>
  <c r="AB293" i="25"/>
  <c r="AD293" i="25" s="1"/>
  <c r="AB357" i="25"/>
  <c r="AD357" i="25" s="1"/>
  <c r="AB437" i="25"/>
  <c r="AB508" i="25"/>
  <c r="AD508" i="25" s="1"/>
  <c r="AF508" i="25" s="1"/>
  <c r="AB579" i="25"/>
  <c r="AD579" i="25" s="1"/>
  <c r="AB725" i="25"/>
  <c r="AD725" i="25" s="1"/>
  <c r="AB34" i="25"/>
  <c r="AB50" i="25"/>
  <c r="AD50" i="25" s="1"/>
  <c r="AF50" i="25" s="1"/>
  <c r="AB66" i="25"/>
  <c r="AD66" i="25" s="1"/>
  <c r="AF66" i="25" s="1"/>
  <c r="AB82" i="25"/>
  <c r="AD82" i="25"/>
  <c r="AB98" i="25"/>
  <c r="AB114" i="25"/>
  <c r="AD114" i="25" s="1"/>
  <c r="AF114" i="25" s="1"/>
  <c r="AB310" i="25"/>
  <c r="AD310" i="25" s="1"/>
  <c r="AB374" i="25"/>
  <c r="AD374" i="25" s="1"/>
  <c r="AB424" i="25"/>
  <c r="AB495" i="25"/>
  <c r="AD495" i="25" s="1"/>
  <c r="AB628" i="25"/>
  <c r="AD628" i="25" s="1"/>
  <c r="AF628" i="25" s="1"/>
  <c r="AB765" i="25"/>
  <c r="AD765" i="25" s="1"/>
  <c r="AF765" i="25" s="1"/>
  <c r="AB281" i="25"/>
  <c r="AD281" i="25" s="1"/>
  <c r="AF281" i="25" s="1"/>
  <c r="AB313" i="25"/>
  <c r="AD313" i="25" s="1"/>
  <c r="AB345" i="25"/>
  <c r="AD345" i="25" s="1"/>
  <c r="AB377" i="25"/>
  <c r="AD377" i="25" s="1"/>
  <c r="AB409" i="25"/>
  <c r="AD409" i="25" s="1"/>
  <c r="AF409" i="25" s="1"/>
  <c r="AB453" i="25"/>
  <c r="AD453" i="25" s="1"/>
  <c r="AF453" i="25" s="1"/>
  <c r="AB492" i="25"/>
  <c r="AD492" i="25" s="1"/>
  <c r="AF492" i="25" s="1"/>
  <c r="AB553" i="25"/>
  <c r="AD553" i="25" s="1"/>
  <c r="AB619" i="25"/>
  <c r="AD619" i="25" s="1"/>
  <c r="AB665" i="25"/>
  <c r="AD665" i="25" s="1"/>
  <c r="AF665" i="25" s="1"/>
  <c r="AB741" i="25"/>
  <c r="AD741" i="25" s="1"/>
  <c r="AF741" i="25" s="1"/>
  <c r="AB6" i="25"/>
  <c r="AD6" i="25" s="1"/>
  <c r="AF6" i="25" s="1"/>
  <c r="AB16" i="25"/>
  <c r="AB23" i="25"/>
  <c r="AD23" i="25" s="1"/>
  <c r="AF23" i="25" s="1"/>
  <c r="AB31" i="25"/>
  <c r="AD31" i="25"/>
  <c r="AF31" i="25" s="1"/>
  <c r="AB39" i="25"/>
  <c r="AD39" i="25"/>
  <c r="AB47" i="25"/>
  <c r="AB55" i="25"/>
  <c r="AD55" i="25" s="1"/>
  <c r="AF55" i="25" s="1"/>
  <c r="AB63" i="25"/>
  <c r="AD63" i="25"/>
  <c r="AF63" i="25" s="1"/>
  <c r="AB71" i="25"/>
  <c r="AD71" i="25"/>
  <c r="AB79" i="25"/>
  <c r="AB87" i="25"/>
  <c r="AD87" i="25" s="1"/>
  <c r="AF87" i="25" s="1"/>
  <c r="AB95" i="25"/>
  <c r="AD95" i="25"/>
  <c r="AF95" i="25" s="1"/>
  <c r="AB103" i="25"/>
  <c r="AD103" i="25"/>
  <c r="AB111" i="25"/>
  <c r="AB119" i="25"/>
  <c r="AD119" i="25" s="1"/>
  <c r="AF119" i="25" s="1"/>
  <c r="AB290" i="25"/>
  <c r="AD290" i="25" s="1"/>
  <c r="AB322" i="25"/>
  <c r="AD322" i="25" s="1"/>
  <c r="AB354" i="25"/>
  <c r="AD354" i="25" s="1"/>
  <c r="AF354" i="25" s="1"/>
  <c r="AB386" i="25"/>
  <c r="AB433" i="25"/>
  <c r="AD433" i="25" s="1"/>
  <c r="AF433" i="25" s="1"/>
  <c r="AB472" i="25"/>
  <c r="AD472" i="25" s="1"/>
  <c r="AB511" i="25"/>
  <c r="AD511" i="25" s="1"/>
  <c r="AB583" i="25"/>
  <c r="AD583" i="25" s="1"/>
  <c r="AB661" i="25"/>
  <c r="AD661" i="25"/>
  <c r="AF661" i="25" s="1"/>
  <c r="AB724" i="25"/>
  <c r="AD724" i="25" s="1"/>
  <c r="AB126" i="25"/>
  <c r="AD126" i="25" s="1"/>
  <c r="AB130" i="25"/>
  <c r="AB134" i="25"/>
  <c r="AD134" i="25" s="1"/>
  <c r="AB138" i="25"/>
  <c r="AD138" i="25" s="1"/>
  <c r="AF138" i="25" s="1"/>
  <c r="AB142" i="25"/>
  <c r="AD142" i="25" s="1"/>
  <c r="AB146" i="25"/>
  <c r="AD146" i="25"/>
  <c r="AB150" i="25"/>
  <c r="AD150" i="25"/>
  <c r="AB154" i="25"/>
  <c r="AD154" i="25" s="1"/>
  <c r="AF154" i="25" s="1"/>
  <c r="AB158" i="25"/>
  <c r="AD158" i="25" s="1"/>
  <c r="AB162" i="25"/>
  <c r="AD162" i="25" s="1"/>
  <c r="AB166" i="25"/>
  <c r="AD166" i="25" s="1"/>
  <c r="AF166" i="25" s="1"/>
  <c r="AB170" i="25"/>
  <c r="AD170" i="25" s="1"/>
  <c r="AF170" i="25" s="1"/>
  <c r="AB174" i="25"/>
  <c r="AD174" i="25" s="1"/>
  <c r="AB178" i="25"/>
  <c r="AD178" i="25"/>
  <c r="AB182" i="25"/>
  <c r="AD182" i="25"/>
  <c r="AF182" i="25" s="1"/>
  <c r="AB186" i="25"/>
  <c r="AD186" i="25" s="1"/>
  <c r="AF186" i="25" s="1"/>
  <c r="AB190" i="25"/>
  <c r="AD190" i="25" s="1"/>
  <c r="AB194" i="25"/>
  <c r="AD194" i="25" s="1"/>
  <c r="AF194" i="25" s="1"/>
  <c r="AB198" i="25"/>
  <c r="AD198" i="25" s="1"/>
  <c r="AF198" i="25" s="1"/>
  <c r="AB202" i="25"/>
  <c r="AD202" i="25"/>
  <c r="AB206" i="25"/>
  <c r="AB210" i="25"/>
  <c r="AD210" i="25" s="1"/>
  <c r="AF210" i="25" s="1"/>
  <c r="AB214" i="25"/>
  <c r="AD214" i="25"/>
  <c r="AF214" i="25" s="1"/>
  <c r="AB218" i="25"/>
  <c r="AD218" i="25" s="1"/>
  <c r="AB222" i="25"/>
  <c r="AB226" i="25"/>
  <c r="AD226" i="25" s="1"/>
  <c r="AF226" i="25" s="1"/>
  <c r="AB230" i="25"/>
  <c r="AD230" i="25" s="1"/>
  <c r="AF230" i="25" s="1"/>
  <c r="AB234" i="25"/>
  <c r="AD234" i="25"/>
  <c r="AB238" i="25"/>
  <c r="AB242" i="25"/>
  <c r="AD242" i="25" s="1"/>
  <c r="AF242" i="25" s="1"/>
  <c r="AB246" i="25"/>
  <c r="AD246" i="25"/>
  <c r="AF246" i="25" s="1"/>
  <c r="AB250" i="25"/>
  <c r="AD250" i="25" s="1"/>
  <c r="AB254" i="25"/>
  <c r="AB258" i="25"/>
  <c r="AD258" i="25" s="1"/>
  <c r="AF258" i="25" s="1"/>
  <c r="AB262" i="25"/>
  <c r="AD262" i="25" s="1"/>
  <c r="AF262" i="25" s="1"/>
  <c r="AB266" i="25"/>
  <c r="AD266" i="25"/>
  <c r="AB270" i="25"/>
  <c r="AB274" i="25"/>
  <c r="AD274" i="25" s="1"/>
  <c r="AF274" i="25" s="1"/>
  <c r="AB278" i="25"/>
  <c r="AD278" i="25"/>
  <c r="AF278" i="25" s="1"/>
  <c r="AB288" i="25"/>
  <c r="AD288" i="25" s="1"/>
  <c r="AB304" i="25"/>
  <c r="AD304" i="25" s="1"/>
  <c r="AB320" i="25"/>
  <c r="AB336" i="25"/>
  <c r="AD336" i="25" s="1"/>
  <c r="AF336" i="25" s="1"/>
  <c r="AB352" i="25"/>
  <c r="AD352" i="25" s="1"/>
  <c r="AF352" i="25" s="1"/>
  <c r="AB368" i="25"/>
  <c r="AB384" i="25"/>
  <c r="AB400" i="25"/>
  <c r="AD400" i="25" s="1"/>
  <c r="AF400" i="25" s="1"/>
  <c r="AB416" i="25"/>
  <c r="AD416" i="25"/>
  <c r="AB439" i="25"/>
  <c r="AD439" i="25" s="1"/>
  <c r="AB457" i="25"/>
  <c r="AD457" i="25" s="1"/>
  <c r="AB480" i="25"/>
  <c r="AD480" i="25" s="1"/>
  <c r="AF480" i="25" s="1"/>
  <c r="AB503" i="25"/>
  <c r="AD503" i="25" s="1"/>
  <c r="AF503" i="25" s="1"/>
  <c r="AB521" i="25"/>
  <c r="AD521" i="25" s="1"/>
  <c r="AB539" i="25"/>
  <c r="AB556" i="25"/>
  <c r="AD556" i="25" s="1"/>
  <c r="AF556" i="25" s="1"/>
  <c r="AB601" i="25"/>
  <c r="AB615" i="25"/>
  <c r="AD615" i="25" s="1"/>
  <c r="AB640" i="25"/>
  <c r="AD640" i="25" s="1"/>
  <c r="AF640" i="25" s="1"/>
  <c r="AB672" i="25"/>
  <c r="AD672" i="25" s="1"/>
  <c r="AF672" i="25" s="1"/>
  <c r="AB713" i="25"/>
  <c r="AD713" i="25" s="1"/>
  <c r="AB748" i="25"/>
  <c r="AB287" i="25"/>
  <c r="AB303" i="25"/>
  <c r="AD303" i="25" s="1"/>
  <c r="AF303" i="25" s="1"/>
  <c r="AB319" i="25"/>
  <c r="AB335" i="25"/>
  <c r="AD335" i="25" s="1"/>
  <c r="AB351" i="25"/>
  <c r="AB367" i="25"/>
  <c r="AD367" i="25" s="1"/>
  <c r="AF367" i="25" s="1"/>
  <c r="AB383" i="25"/>
  <c r="AD383" i="25" s="1"/>
  <c r="AF383" i="25" s="1"/>
  <c r="AB399" i="25"/>
  <c r="AB415" i="25"/>
  <c r="AB436" i="25"/>
  <c r="AD436" i="25" s="1"/>
  <c r="AF436" i="25" s="1"/>
  <c r="AB459" i="25"/>
  <c r="AD459" i="25" s="1"/>
  <c r="AF459" i="25" s="1"/>
  <c r="AB477" i="25"/>
  <c r="AB500" i="25"/>
  <c r="AD500" i="25" s="1"/>
  <c r="AF500" i="25" s="1"/>
  <c r="AB523" i="25"/>
  <c r="AD523" i="25"/>
  <c r="AB540" i="25"/>
  <c r="AB585" i="25"/>
  <c r="AB599" i="25"/>
  <c r="AD599" i="25"/>
  <c r="AB647" i="25"/>
  <c r="AD647" i="25"/>
  <c r="AB685" i="25"/>
  <c r="AD685" i="25" s="1"/>
  <c r="AF685" i="25" s="1"/>
  <c r="AB720" i="25"/>
  <c r="AB755" i="25"/>
  <c r="AD755" i="25" s="1"/>
  <c r="AB418" i="25"/>
  <c r="AD418" i="25" s="1"/>
  <c r="AF418" i="25" s="1"/>
  <c r="AB434" i="25"/>
  <c r="AD434" i="25" s="1"/>
  <c r="AF434" i="25" s="1"/>
  <c r="AB450" i="25"/>
  <c r="AD450" i="25" s="1"/>
  <c r="AB466" i="25"/>
  <c r="AD466" i="25"/>
  <c r="AB482" i="25"/>
  <c r="AD482" i="25"/>
  <c r="AF482" i="25" s="1"/>
  <c r="AB498" i="25"/>
  <c r="AD498" i="25" s="1"/>
  <c r="AF498" i="25" s="1"/>
  <c r="AB514" i="25"/>
  <c r="AD514" i="25" s="1"/>
  <c r="AB529" i="25"/>
  <c r="AD529" i="25" s="1"/>
  <c r="AF529" i="25" s="1"/>
  <c r="AB552" i="25"/>
  <c r="AD552" i="25" s="1"/>
  <c r="AF552" i="25" s="1"/>
  <c r="AB575" i="25"/>
  <c r="AD575" i="25" s="1"/>
  <c r="AF575" i="25" s="1"/>
  <c r="AB593" i="25"/>
  <c r="AB616" i="25"/>
  <c r="AD616" i="25" s="1"/>
  <c r="AF616" i="25" s="1"/>
  <c r="AB636" i="25"/>
  <c r="AD636" i="25" s="1"/>
  <c r="AF636" i="25" s="1"/>
  <c r="AB681" i="25"/>
  <c r="AB695" i="25"/>
  <c r="AD695" i="25" s="1"/>
  <c r="AB740" i="25"/>
  <c r="AD740" i="25" s="1"/>
  <c r="AF740" i="25" s="1"/>
  <c r="AB757" i="25"/>
  <c r="AD757" i="25" s="1"/>
  <c r="AF757" i="25" s="1"/>
  <c r="AB783" i="25"/>
  <c r="AD783" i="25" s="1"/>
  <c r="AF783" i="25" s="1"/>
  <c r="AB538" i="25"/>
  <c r="AB554" i="25"/>
  <c r="AD554" i="25" s="1"/>
  <c r="AB570" i="25"/>
  <c r="AD570" i="25" s="1"/>
  <c r="AF570" i="25" s="1"/>
  <c r="AB586" i="25"/>
  <c r="AD586" i="25"/>
  <c r="AB602" i="25"/>
  <c r="AD602" i="25" s="1"/>
  <c r="AB618" i="25"/>
  <c r="AB634" i="25"/>
  <c r="AD634" i="25" s="1"/>
  <c r="AF634" i="25" s="1"/>
  <c r="AB655" i="25"/>
  <c r="AD655" i="25" s="1"/>
  <c r="AF655" i="25" s="1"/>
  <c r="AB673" i="25"/>
  <c r="AB696" i="25"/>
  <c r="AD696" i="25" s="1"/>
  <c r="AF696" i="25" s="1"/>
  <c r="AB719" i="25"/>
  <c r="AD719" i="25"/>
  <c r="AF719" i="25" s="1"/>
  <c r="AB737" i="25"/>
  <c r="AD737" i="25" s="1"/>
  <c r="AB760" i="25"/>
  <c r="AB779" i="25"/>
  <c r="AD779" i="25" s="1"/>
  <c r="AB650" i="25"/>
  <c r="AD650" i="25" s="1"/>
  <c r="AB666" i="25"/>
  <c r="AD666" i="25" s="1"/>
  <c r="AB682" i="25"/>
  <c r="AD682" i="25" s="1"/>
  <c r="AB698" i="25"/>
  <c r="AB714" i="25"/>
  <c r="AD714" i="25" s="1"/>
  <c r="AB730" i="25"/>
  <c r="AD730" i="25"/>
  <c r="AB746" i="25"/>
  <c r="AB762" i="25"/>
  <c r="AB780" i="25"/>
  <c r="AD780" i="25" s="1"/>
  <c r="AB782" i="25"/>
  <c r="AD782" i="25"/>
  <c r="AF782" i="25" s="1"/>
  <c r="P384" i="31"/>
  <c r="O384" i="31" s="1"/>
  <c r="P380" i="31"/>
  <c r="O380" i="31" s="1"/>
  <c r="P387" i="31"/>
  <c r="O387" i="31" s="1"/>
  <c r="P383" i="31"/>
  <c r="O383" i="31" s="1"/>
  <c r="P381" i="31"/>
  <c r="O381" i="31" s="1"/>
  <c r="N379" i="31"/>
  <c r="P379" i="31"/>
  <c r="O379" i="31" s="1"/>
  <c r="P385" i="31"/>
  <c r="O385" i="31" s="1"/>
  <c r="P386" i="31"/>
  <c r="O386" i="31" s="1"/>
  <c r="P382" i="31"/>
  <c r="O382" i="31" s="1"/>
  <c r="W66" i="32"/>
  <c r="AK10" i="32"/>
  <c r="AO10" i="32"/>
  <c r="Y10" i="32"/>
  <c r="U10" i="32"/>
  <c r="W192" i="34"/>
  <c r="P111" i="34"/>
  <c r="P107" i="34"/>
  <c r="AV87" i="34"/>
  <c r="AV84" i="34"/>
  <c r="AB476" i="25"/>
  <c r="AD476" i="25" s="1"/>
  <c r="J426" i="31"/>
  <c r="C425" i="31" s="1"/>
  <c r="G111" i="31" s="1"/>
  <c r="J244" i="31"/>
  <c r="F243" i="31"/>
  <c r="W208" i="34"/>
  <c r="X208" i="34"/>
  <c r="W204" i="34"/>
  <c r="W199" i="34"/>
  <c r="W193" i="34"/>
  <c r="W188" i="34"/>
  <c r="W186" i="34"/>
  <c r="W184" i="34"/>
  <c r="W182" i="34"/>
  <c r="W180" i="34"/>
  <c r="W178" i="34"/>
  <c r="W176" i="34"/>
  <c r="O164" i="34"/>
  <c r="G160" i="34"/>
  <c r="AV93" i="34"/>
  <c r="H83" i="34"/>
  <c r="AB555" i="25"/>
  <c r="AD555" i="25" s="1"/>
  <c r="AF555" i="25" s="1"/>
  <c r="AB44" i="25"/>
  <c r="AB76" i="25"/>
  <c r="AD76" i="25" s="1"/>
  <c r="AF76" i="25" s="1"/>
  <c r="AB108" i="25"/>
  <c r="AD108" i="25" s="1"/>
  <c r="AF108" i="25" s="1"/>
  <c r="AB349" i="25"/>
  <c r="AD349" i="25" s="1"/>
  <c r="P390" i="31"/>
  <c r="O390" i="31" s="1"/>
  <c r="P397" i="31"/>
  <c r="O397" i="31" s="1"/>
  <c r="P388" i="31"/>
  <c r="O388" i="31" s="1"/>
  <c r="BS319" i="34"/>
  <c r="BS318" i="34"/>
  <c r="BS316" i="34"/>
  <c r="BS320" i="34"/>
  <c r="BS317" i="34"/>
  <c r="G268" i="34"/>
  <c r="J250" i="34"/>
  <c r="BF263" i="34"/>
  <c r="BF261" i="34"/>
  <c r="BF257" i="34"/>
  <c r="BF254" i="34"/>
  <c r="BF253" i="34"/>
  <c r="BF251" i="34"/>
  <c r="BF250" i="34"/>
  <c r="BF258" i="34"/>
  <c r="BF270" i="34"/>
  <c r="BF266" i="34"/>
  <c r="BF265" i="34"/>
  <c r="BF249" i="34"/>
  <c r="BF247" i="34"/>
  <c r="BF269" i="34"/>
  <c r="BF264" i="34"/>
  <c r="BF262" i="34"/>
  <c r="BF260" i="34"/>
  <c r="BF252" i="34"/>
  <c r="BF268" i="34"/>
  <c r="BF259" i="34"/>
  <c r="BF255" i="34"/>
  <c r="BF248" i="34"/>
  <c r="BF271" i="34"/>
  <c r="BF267" i="34"/>
  <c r="BF256" i="34"/>
  <c r="BF246" i="34"/>
  <c r="J231" i="34"/>
  <c r="T223" i="34"/>
  <c r="T222" i="34"/>
  <c r="T221" i="34"/>
  <c r="T220" i="34"/>
  <c r="AZ215" i="34"/>
  <c r="AZ219" i="34"/>
  <c r="J217" i="34"/>
  <c r="J216" i="34"/>
  <c r="AP217" i="34"/>
  <c r="T226" i="34"/>
  <c r="T230" i="34"/>
  <c r="AM176" i="34"/>
  <c r="AM180" i="34"/>
  <c r="AM184" i="34"/>
  <c r="AM188" i="34"/>
  <c r="AM199" i="34"/>
  <c r="AN199" i="34"/>
  <c r="W153" i="34"/>
  <c r="M130" i="34"/>
  <c r="AF115" i="34"/>
  <c r="AF109" i="34"/>
  <c r="AF113" i="34"/>
  <c r="P90" i="34"/>
  <c r="H79" i="34"/>
  <c r="X55" i="34"/>
  <c r="BM50" i="34"/>
  <c r="BM53" i="34"/>
  <c r="BM51" i="34"/>
  <c r="BM52" i="34"/>
  <c r="AP51" i="34"/>
  <c r="H52" i="34"/>
  <c r="H58" i="34"/>
  <c r="H62" i="34"/>
  <c r="H66" i="34"/>
  <c r="H70" i="34"/>
  <c r="BE7" i="32"/>
  <c r="AO7" i="32"/>
  <c r="Y7" i="32"/>
  <c r="I7" i="32"/>
  <c r="AC7" i="32"/>
  <c r="BA7" i="32"/>
  <c r="AG7" i="32"/>
  <c r="U7" i="32"/>
  <c r="AK7" i="32"/>
  <c r="AS7" i="32"/>
  <c r="AW7" i="32"/>
  <c r="Q7" i="32"/>
  <c r="AA288" i="34"/>
  <c r="AA287" i="34"/>
  <c r="AA284" i="34"/>
  <c r="AA279" i="34"/>
  <c r="AA275" i="34"/>
  <c r="AA272" i="34"/>
  <c r="AA286" i="34"/>
  <c r="AA283" i="34"/>
  <c r="AA280" i="34"/>
  <c r="AA277" i="34"/>
  <c r="AA274" i="34"/>
  <c r="AA271" i="34"/>
  <c r="AA270" i="34"/>
  <c r="AA269" i="34"/>
  <c r="AA268" i="34"/>
  <c r="AA267" i="34"/>
  <c r="AA266" i="34"/>
  <c r="AA285" i="34"/>
  <c r="AA281" i="34"/>
  <c r="AA278" i="34"/>
  <c r="AA273" i="34"/>
  <c r="AA276" i="34"/>
  <c r="AA282" i="34"/>
  <c r="E250" i="34"/>
  <c r="E249" i="34"/>
  <c r="G174" i="34"/>
  <c r="G178" i="34"/>
  <c r="G182" i="34"/>
  <c r="G186" i="34"/>
  <c r="G190" i="34"/>
  <c r="H190" i="34"/>
  <c r="H199" i="34"/>
  <c r="G199" i="34"/>
  <c r="W158" i="34"/>
  <c r="W157" i="34"/>
  <c r="P83" i="34"/>
  <c r="P92" i="34"/>
  <c r="P87" i="34"/>
  <c r="P94" i="34"/>
  <c r="AP25" i="34"/>
  <c r="AP24" i="34"/>
  <c r="AP26" i="34"/>
  <c r="AP23" i="34"/>
  <c r="AP19" i="34"/>
  <c r="AP27" i="34"/>
  <c r="AP22" i="34"/>
  <c r="AP28" i="34"/>
  <c r="AP21" i="34"/>
  <c r="AP20" i="34"/>
  <c r="P33" i="40"/>
  <c r="O33" i="40"/>
  <c r="N33" i="40"/>
  <c r="M33" i="40"/>
  <c r="AB32" i="32"/>
  <c r="H20" i="32"/>
  <c r="P19" i="32"/>
  <c r="H16" i="32"/>
  <c r="P15" i="32"/>
  <c r="AB31" i="32"/>
  <c r="P20" i="32"/>
  <c r="H17" i="32"/>
  <c r="P16" i="32"/>
  <c r="P13" i="32"/>
  <c r="P11" i="32"/>
  <c r="H9" i="32"/>
  <c r="AB29" i="32"/>
  <c r="H13" i="32"/>
  <c r="P10" i="32"/>
  <c r="BO6" i="32"/>
  <c r="BP6" i="32" s="1"/>
  <c r="H6" i="32"/>
  <c r="BE3" i="32"/>
  <c r="AO3" i="32"/>
  <c r="Y3" i="32"/>
  <c r="I3" i="32"/>
  <c r="H18" i="32"/>
  <c r="H11" i="32"/>
  <c r="H8" i="32"/>
  <c r="P7" i="32"/>
  <c r="P6" i="32"/>
  <c r="BO5" i="32"/>
  <c r="BP5" i="32" s="1"/>
  <c r="P5" i="32"/>
  <c r="AS3" i="32"/>
  <c r="P14" i="32"/>
  <c r="P12" i="32"/>
  <c r="H7" i="32"/>
  <c r="H5" i="32"/>
  <c r="P4" i="32"/>
  <c r="AW3" i="32"/>
  <c r="AK3" i="32"/>
  <c r="Q3" i="32"/>
  <c r="H15" i="32"/>
  <c r="H14" i="32"/>
  <c r="H10" i="32"/>
  <c r="P9" i="32"/>
  <c r="AC3" i="32"/>
  <c r="U3" i="32"/>
  <c r="AB30" i="32"/>
  <c r="P18" i="32"/>
  <c r="P17" i="32"/>
  <c r="H19" i="32"/>
  <c r="AG3" i="32"/>
  <c r="BA3" i="32"/>
  <c r="H3" i="32"/>
  <c r="H12" i="32"/>
  <c r="P3" i="32"/>
  <c r="BQ6" i="32"/>
  <c r="BR6" i="32" s="1"/>
  <c r="P8" i="32"/>
  <c r="H4" i="32"/>
  <c r="G281" i="34"/>
  <c r="J254" i="34"/>
  <c r="J258" i="34"/>
  <c r="J251" i="34"/>
  <c r="J252" i="34"/>
  <c r="J257" i="34"/>
  <c r="AE160" i="34"/>
  <c r="AF160" i="34"/>
  <c r="AE155" i="34"/>
  <c r="L277" i="34"/>
  <c r="L279" i="34"/>
  <c r="L289" i="34"/>
  <c r="L281" i="34"/>
  <c r="L294" i="34"/>
  <c r="Y224" i="34"/>
  <c r="AK223" i="34"/>
  <c r="AK222" i="34"/>
  <c r="AK221" i="34"/>
  <c r="AK220" i="34"/>
  <c r="AK218" i="34"/>
  <c r="AK216" i="34"/>
  <c r="AK219" i="34"/>
  <c r="AK217" i="34"/>
  <c r="AK215" i="34"/>
  <c r="AK224" i="34"/>
  <c r="Y216" i="34"/>
  <c r="AE190" i="34"/>
  <c r="AE202" i="34"/>
  <c r="AE178" i="34"/>
  <c r="AE182" i="34"/>
  <c r="AE186" i="34"/>
  <c r="AE193" i="34"/>
  <c r="AE203" i="34"/>
  <c r="AF203" i="34"/>
  <c r="AE207" i="34"/>
  <c r="AF207" i="34"/>
  <c r="AN111" i="34"/>
  <c r="X109" i="34"/>
  <c r="X113" i="34"/>
  <c r="M7" i="40"/>
  <c r="P7" i="40"/>
  <c r="N7" i="40"/>
  <c r="O7" i="40"/>
  <c r="AG169" i="43"/>
  <c r="AF169" i="43"/>
  <c r="W64" i="32"/>
  <c r="X64" i="32" s="1"/>
  <c r="AF268" i="34"/>
  <c r="AZ274" i="34"/>
  <c r="V34" i="34"/>
  <c r="V30" i="34"/>
  <c r="V26" i="34"/>
  <c r="V25" i="34"/>
  <c r="V24" i="34"/>
  <c r="V31" i="34"/>
  <c r="V29" i="34"/>
  <c r="V21" i="34"/>
  <c r="V32" i="34"/>
  <c r="V20" i="34"/>
  <c r="V33" i="34"/>
  <c r="V19" i="34"/>
  <c r="V22" i="34"/>
  <c r="V28" i="34"/>
  <c r="V27" i="34"/>
  <c r="V23" i="34"/>
  <c r="AF266" i="34"/>
  <c r="AF274" i="34"/>
  <c r="AF273" i="34"/>
  <c r="AF280" i="34"/>
  <c r="AF284" i="34"/>
  <c r="BS257" i="34"/>
  <c r="BS256" i="34"/>
  <c r="BS249" i="34"/>
  <c r="BS258" i="34"/>
  <c r="BS254" i="34"/>
  <c r="BS253" i="34"/>
  <c r="BS251" i="34"/>
  <c r="BS250" i="34"/>
  <c r="BS255" i="34"/>
  <c r="BS248" i="34"/>
  <c r="BT248" i="34" s="1"/>
  <c r="L248" i="34" s="1"/>
  <c r="BS246" i="34"/>
  <c r="BT246" i="34" s="1"/>
  <c r="L246" i="34" s="1"/>
  <c r="BS247" i="34"/>
  <c r="BT247" i="34" s="1"/>
  <c r="L247" i="34" s="1"/>
  <c r="BS252" i="34"/>
  <c r="AU219" i="34"/>
  <c r="AU217" i="34"/>
  <c r="AU215" i="34"/>
  <c r="AU218" i="34"/>
  <c r="AU216" i="34"/>
  <c r="AF138" i="34"/>
  <c r="AE138" i="34"/>
  <c r="AE133" i="34"/>
  <c r="AE139" i="34"/>
  <c r="AF139" i="34"/>
  <c r="AE146" i="34"/>
  <c r="AF146" i="34"/>
  <c r="S150" i="43"/>
  <c r="V150" i="43"/>
  <c r="R150" i="43"/>
  <c r="T150" i="43"/>
  <c r="U150" i="43"/>
  <c r="BH83" i="34"/>
  <c r="BH82" i="34"/>
  <c r="BH81" i="34"/>
  <c r="BH80" i="34"/>
  <c r="BH79" i="34"/>
  <c r="BH78" i="34"/>
  <c r="P56" i="34"/>
  <c r="R50" i="34"/>
  <c r="P52" i="34"/>
  <c r="P58" i="34"/>
  <c r="P62" i="34"/>
  <c r="P66" i="34"/>
  <c r="P70" i="34"/>
  <c r="AU23" i="34"/>
  <c r="AU21" i="34"/>
  <c r="AU19" i="34"/>
  <c r="AU20" i="34"/>
  <c r="AU22" i="34"/>
  <c r="G62" i="42"/>
  <c r="AK24" i="34"/>
  <c r="X52" i="34"/>
  <c r="AA23" i="34"/>
  <c r="AA21" i="34"/>
  <c r="AA19" i="34"/>
  <c r="AA22" i="34"/>
  <c r="AA26" i="34"/>
  <c r="AA25" i="34"/>
  <c r="AA24" i="34"/>
  <c r="AA20" i="34"/>
  <c r="W150" i="43"/>
  <c r="R51" i="34"/>
  <c r="P57" i="34"/>
  <c r="P54" i="34"/>
  <c r="P59" i="34"/>
  <c r="P63" i="34"/>
  <c r="P67" i="34"/>
  <c r="G29" i="34"/>
  <c r="G27" i="34"/>
  <c r="G23" i="34"/>
  <c r="G21" i="34"/>
  <c r="G19" i="34"/>
  <c r="G20" i="34"/>
  <c r="G28" i="34"/>
  <c r="G22" i="34"/>
  <c r="G30" i="34"/>
  <c r="G25" i="34"/>
  <c r="G26" i="34"/>
  <c r="G24" i="34"/>
  <c r="AF83" i="43"/>
  <c r="AE83" i="43"/>
  <c r="AD83" i="43"/>
  <c r="AG83" i="43"/>
  <c r="AA28" i="43"/>
  <c r="AA32" i="43"/>
  <c r="AA30" i="43"/>
  <c r="AA26" i="43"/>
  <c r="AA27" i="43"/>
  <c r="AA29" i="43"/>
  <c r="AA25" i="43"/>
  <c r="AA33" i="43"/>
  <c r="AA31" i="43"/>
  <c r="C80" i="43"/>
  <c r="G37" i="43"/>
  <c r="D54" i="43"/>
  <c r="F29" i="43"/>
  <c r="N4" i="43"/>
  <c r="H154" i="43"/>
  <c r="H153" i="43"/>
  <c r="H152" i="43"/>
  <c r="C54" i="43"/>
  <c r="H151" i="43"/>
  <c r="F30" i="43"/>
  <c r="AK19" i="34"/>
  <c r="N27" i="40" l="1"/>
  <c r="O27" i="40" s="1"/>
  <c r="P27" i="40" s="1"/>
  <c r="AF135" i="25"/>
  <c r="AD759" i="25"/>
  <c r="AF759" i="25" s="1"/>
  <c r="AD441" i="25"/>
  <c r="AF441" i="25" s="1"/>
  <c r="AD231" i="25"/>
  <c r="AF231" i="25" s="1"/>
  <c r="AD135" i="25"/>
  <c r="AF559" i="25"/>
  <c r="AF365" i="25"/>
  <c r="AF313" i="25"/>
  <c r="AO6" i="12"/>
  <c r="N6" i="49" s="1"/>
  <c r="AO13" i="12"/>
  <c r="N13" i="49" s="1"/>
  <c r="AO8" i="12"/>
  <c r="N8" i="49" s="1"/>
  <c r="AO9" i="12"/>
  <c r="N9" i="49" s="1"/>
  <c r="AO4" i="12"/>
  <c r="N4" i="49" s="1"/>
  <c r="AF462" i="25"/>
  <c r="AF228" i="25"/>
  <c r="AF647" i="25"/>
  <c r="AF16" i="25"/>
  <c r="AF185" i="25"/>
  <c r="AD386" i="25"/>
  <c r="AF386" i="25" s="1"/>
  <c r="AD16" i="25"/>
  <c r="AF475" i="25"/>
  <c r="AF397" i="25"/>
  <c r="AF625" i="25"/>
  <c r="AF168" i="25"/>
  <c r="AF21" i="25"/>
  <c r="AF431" i="25"/>
  <c r="AF516" i="25"/>
  <c r="AO10" i="12"/>
  <c r="N10" i="49" s="1"/>
  <c r="AO7" i="12"/>
  <c r="N7" i="49" s="1"/>
  <c r="AO12" i="12"/>
  <c r="N12" i="49" s="1"/>
  <c r="AF523" i="25"/>
  <c r="AF150" i="25"/>
  <c r="AF662" i="25"/>
  <c r="AF183" i="25"/>
  <c r="AD689" i="25"/>
  <c r="AF689" i="25" s="1"/>
  <c r="AO5" i="12"/>
  <c r="N5" i="49" s="1"/>
  <c r="M26" i="40"/>
  <c r="AF225" i="34"/>
  <c r="Q233" i="34"/>
  <c r="AF223" i="34"/>
  <c r="Q231" i="34"/>
  <c r="M19" i="40"/>
  <c r="N19" i="40"/>
  <c r="Q217" i="34"/>
  <c r="AF218" i="34"/>
  <c r="AF219" i="34"/>
  <c r="Q229" i="34"/>
  <c r="Q235" i="34"/>
  <c r="Q230" i="34"/>
  <c r="Q221" i="34"/>
  <c r="Q232" i="34"/>
  <c r="Q234" i="34"/>
  <c r="AF217" i="34"/>
  <c r="N18" i="40"/>
  <c r="O18" i="40"/>
  <c r="Q224" i="34"/>
  <c r="Q215" i="34"/>
  <c r="Q220" i="34"/>
  <c r="AF220" i="34"/>
  <c r="Q226" i="34"/>
  <c r="Q219" i="34"/>
  <c r="Q237" i="34"/>
  <c r="O19" i="40"/>
  <c r="Q227" i="34"/>
  <c r="Q225" i="34"/>
  <c r="Q216" i="34"/>
  <c r="Q222" i="34"/>
  <c r="Q238" i="34"/>
  <c r="Q236" i="34"/>
  <c r="AF222" i="34"/>
  <c r="AF216" i="34"/>
  <c r="M18" i="40"/>
  <c r="AF221" i="34"/>
  <c r="AF215" i="34"/>
  <c r="AF224" i="34"/>
  <c r="Q228" i="34"/>
  <c r="Q218" i="34"/>
  <c r="Q223" i="34"/>
  <c r="M17" i="40"/>
  <c r="P17" i="40"/>
  <c r="N21" i="40"/>
  <c r="N17" i="40"/>
  <c r="V25" i="43"/>
  <c r="AN58" i="34"/>
  <c r="AN57" i="34"/>
  <c r="AN54" i="34"/>
  <c r="AN53" i="34"/>
  <c r="O21" i="40"/>
  <c r="M21" i="40"/>
  <c r="AN52" i="34"/>
  <c r="J107" i="34"/>
  <c r="J112" i="34"/>
  <c r="AN155" i="34"/>
  <c r="J108" i="34"/>
  <c r="J113" i="34"/>
  <c r="AN154" i="34"/>
  <c r="AN153" i="34"/>
  <c r="J111" i="34"/>
  <c r="J106" i="34"/>
  <c r="J110" i="34"/>
  <c r="J109" i="34"/>
  <c r="AN56" i="34"/>
  <c r="AN55" i="34"/>
  <c r="AF714" i="25"/>
  <c r="AF650" i="25"/>
  <c r="AF134" i="25"/>
  <c r="AF579" i="25"/>
  <c r="AF671" i="25"/>
  <c r="AD331" i="25"/>
  <c r="AF331" i="25" s="1"/>
  <c r="AD181" i="25"/>
  <c r="AF181" i="25" s="1"/>
  <c r="AD656" i="25"/>
  <c r="AF656" i="25" s="1"/>
  <c r="AD376" i="25"/>
  <c r="AF376" i="25" s="1"/>
  <c r="AD132" i="25"/>
  <c r="AF132" i="25" s="1"/>
  <c r="AF599" i="25"/>
  <c r="AF335" i="25"/>
  <c r="AD319" i="25"/>
  <c r="AF319" i="25" s="1"/>
  <c r="AF416" i="25"/>
  <c r="AD368" i="25"/>
  <c r="AF368" i="25" s="1"/>
  <c r="AF288" i="25"/>
  <c r="AF266" i="25"/>
  <c r="AF234" i="25"/>
  <c r="AF202" i="25"/>
  <c r="AF146" i="25"/>
  <c r="AF71" i="25"/>
  <c r="AF553" i="25"/>
  <c r="AF82" i="25"/>
  <c r="AF40" i="25"/>
  <c r="AF36" i="25"/>
  <c r="AF752" i="25"/>
  <c r="AF429" i="25"/>
  <c r="AF380" i="25"/>
  <c r="AD348" i="25"/>
  <c r="AF348" i="25" s="1"/>
  <c r="AF125" i="25"/>
  <c r="AF5" i="25"/>
  <c r="AD5" i="25"/>
  <c r="AD9" i="25"/>
  <c r="AF9" i="25" s="1"/>
  <c r="AD483" i="25"/>
  <c r="AF483" i="25" s="1"/>
  <c r="AF663" i="25"/>
  <c r="AF360" i="25"/>
  <c r="AF402" i="25"/>
  <c r="AF737" i="25"/>
  <c r="AF755" i="25"/>
  <c r="AF713" i="25"/>
  <c r="AF457" i="25"/>
  <c r="AF162" i="25"/>
  <c r="AF472" i="25"/>
  <c r="AF495" i="25"/>
  <c r="AF742" i="25"/>
  <c r="AF550" i="25"/>
  <c r="AF478" i="25"/>
  <c r="AF596" i="25"/>
  <c r="AF213" i="25"/>
  <c r="AF581" i="25"/>
  <c r="AD48" i="25"/>
  <c r="AF48" i="25" s="1"/>
  <c r="AF240" i="25"/>
  <c r="AF160" i="25"/>
  <c r="AF520" i="25"/>
  <c r="AF476" i="25"/>
  <c r="AD762" i="25"/>
  <c r="AF762" i="25" s="1"/>
  <c r="AF730" i="25"/>
  <c r="AD698" i="25"/>
  <c r="AF698" i="25" s="1"/>
  <c r="AF666" i="25"/>
  <c r="AD618" i="25"/>
  <c r="AF618" i="25" s="1"/>
  <c r="AF586" i="25"/>
  <c r="AF554" i="25"/>
  <c r="AD681" i="25"/>
  <c r="AF681" i="25" s="1"/>
  <c r="AF466" i="25"/>
  <c r="AD540" i="25"/>
  <c r="AF540" i="25" s="1"/>
  <c r="AD399" i="25"/>
  <c r="AF399" i="25" s="1"/>
  <c r="AD601" i="25"/>
  <c r="AF601" i="25" s="1"/>
  <c r="AD539" i="25"/>
  <c r="AF539" i="25" s="1"/>
  <c r="AF304" i="25"/>
  <c r="AF250" i="25"/>
  <c r="AF218" i="25"/>
  <c r="AF178" i="25"/>
  <c r="AD130" i="25"/>
  <c r="AF130" i="25" s="1"/>
  <c r="AF724" i="25"/>
  <c r="AF583" i="25"/>
  <c r="AF103" i="25"/>
  <c r="AF39" i="25"/>
  <c r="AF725" i="25"/>
  <c r="AD7" i="25"/>
  <c r="AF7" i="25" s="1"/>
  <c r="AD565" i="25"/>
  <c r="AF565" i="25" s="1"/>
  <c r="AF712" i="25"/>
  <c r="AF527" i="25"/>
  <c r="AF659" i="25"/>
  <c r="AF519" i="25"/>
  <c r="AD277" i="25"/>
  <c r="AF277" i="25" s="1"/>
  <c r="AF241" i="25"/>
  <c r="AD153" i="25"/>
  <c r="AF153" i="25" s="1"/>
  <c r="AD635" i="25"/>
  <c r="AF635" i="25" s="1"/>
  <c r="AF85" i="25"/>
  <c r="AF337" i="25"/>
  <c r="AF110" i="25"/>
  <c r="AF405" i="25"/>
  <c r="AD382" i="25"/>
  <c r="AF382" i="25" s="1"/>
  <c r="AD738" i="25"/>
  <c r="AF738" i="25" s="1"/>
  <c r="AF594" i="25"/>
  <c r="AD688" i="25"/>
  <c r="AF688" i="25" s="1"/>
  <c r="AD736" i="25"/>
  <c r="AF736" i="25" s="1"/>
  <c r="AF343" i="25"/>
  <c r="AD549" i="25"/>
  <c r="AF549" i="25" s="1"/>
  <c r="AF67" i="25"/>
  <c r="AF18" i="25"/>
  <c r="AB756" i="25"/>
  <c r="AD756" i="25" s="1"/>
  <c r="AF756" i="25" s="1"/>
  <c r="AD776" i="25"/>
  <c r="AF776" i="25" s="1"/>
  <c r="AD332" i="25"/>
  <c r="AF332" i="25" s="1"/>
  <c r="AF80" i="25"/>
  <c r="AF468" i="25"/>
  <c r="AD391" i="25"/>
  <c r="AF391" i="25" s="1"/>
  <c r="AD312" i="25"/>
  <c r="AF312" i="25" s="1"/>
  <c r="AF272" i="25"/>
  <c r="AF99" i="25"/>
  <c r="AF113" i="25"/>
  <c r="AD414" i="25"/>
  <c r="AF414" i="25" s="1"/>
  <c r="AF145" i="25"/>
  <c r="AF522" i="25"/>
  <c r="AF375" i="25"/>
  <c r="AF268" i="25"/>
  <c r="AF208" i="25"/>
  <c r="AF123" i="25"/>
  <c r="AF649" i="25"/>
  <c r="AF668" i="25"/>
  <c r="AF587" i="25"/>
  <c r="AD372" i="25"/>
  <c r="AF372" i="25" s="1"/>
  <c r="AF259" i="25"/>
  <c r="AF159" i="25"/>
  <c r="AD121" i="25"/>
  <c r="AF121" i="25" s="1"/>
  <c r="AD364" i="25"/>
  <c r="AF364" i="25" s="1"/>
  <c r="AF45" i="25"/>
  <c r="AD469" i="25"/>
  <c r="AF469" i="25" s="1"/>
  <c r="AD722" i="25"/>
  <c r="AF722" i="25" s="1"/>
  <c r="AF610" i="25"/>
  <c r="AF506" i="25"/>
  <c r="AF280" i="25"/>
  <c r="AD264" i="25"/>
  <c r="AF264" i="25" s="1"/>
  <c r="AD83" i="25"/>
  <c r="AF83" i="25" s="1"/>
  <c r="AD14" i="25"/>
  <c r="AF14" i="25" s="1"/>
  <c r="AF745" i="25"/>
  <c r="AD604" i="25"/>
  <c r="AF604" i="25" s="1"/>
  <c r="AD716" i="25"/>
  <c r="AF716" i="25" s="1"/>
  <c r="AD588" i="25"/>
  <c r="AF588" i="25" s="1"/>
  <c r="AD89" i="25"/>
  <c r="AF89" i="25" s="1"/>
  <c r="AF38" i="25"/>
  <c r="AD20" i="25"/>
  <c r="AF20" i="25" s="1"/>
  <c r="AB301" i="25"/>
  <c r="AD301" i="25" s="1"/>
  <c r="AF767" i="25"/>
  <c r="AD339" i="25"/>
  <c r="AF339" i="25" s="1"/>
  <c r="AF362" i="25"/>
  <c r="AD11" i="25"/>
  <c r="AF11" i="25" s="1"/>
  <c r="AD510" i="25"/>
  <c r="AF510" i="25" s="1"/>
  <c r="AD537" i="25"/>
  <c r="AF537" i="25" s="1"/>
  <c r="AF412" i="25"/>
  <c r="AF284" i="25"/>
  <c r="AD504" i="25"/>
  <c r="AF504" i="25" s="1"/>
  <c r="AF109" i="25"/>
  <c r="AF560" i="25"/>
  <c r="AF704" i="25"/>
  <c r="AD359" i="25"/>
  <c r="AF359" i="25" s="1"/>
  <c r="AD236" i="25"/>
  <c r="AF236" i="25" s="1"/>
  <c r="AF204" i="25"/>
  <c r="AD27" i="25"/>
  <c r="AF27" i="25" s="1"/>
  <c r="AF58" i="25"/>
  <c r="AF633" i="25"/>
  <c r="AF120" i="25"/>
  <c r="AD536" i="25"/>
  <c r="AF536" i="25" s="1"/>
  <c r="AF323" i="25"/>
  <c r="AF388" i="25"/>
  <c r="AF292" i="25"/>
  <c r="AB631" i="25"/>
  <c r="AD631" i="25" s="1"/>
  <c r="N24" i="43"/>
  <c r="N28" i="43"/>
  <c r="V24" i="43"/>
  <c r="R28" i="43"/>
  <c r="AD26" i="43"/>
  <c r="N77" i="4"/>
  <c r="N78" i="4" s="1"/>
  <c r="R26" i="43"/>
  <c r="AE28" i="43"/>
  <c r="Y27" i="43"/>
  <c r="Y29" i="43"/>
  <c r="W27" i="43"/>
  <c r="W31" i="43"/>
  <c r="Y30" i="43"/>
  <c r="Y32" i="43"/>
  <c r="V29" i="43"/>
  <c r="Q26" i="43"/>
  <c r="Q31" i="43"/>
  <c r="Q33" i="43"/>
  <c r="Q30" i="43"/>
  <c r="Q27" i="43"/>
  <c r="N30" i="43"/>
  <c r="Q28" i="43"/>
  <c r="Q25" i="43"/>
  <c r="N27" i="43"/>
  <c r="Q32" i="43"/>
  <c r="N26" i="43"/>
  <c r="O27" i="43"/>
  <c r="W26" i="43"/>
  <c r="Y26" i="43"/>
  <c r="Y31" i="43"/>
  <c r="Y33" i="43"/>
  <c r="S26" i="43"/>
  <c r="W30" i="43"/>
  <c r="Y28" i="43"/>
  <c r="AD33" i="43"/>
  <c r="AE25" i="43"/>
  <c r="AE33" i="43"/>
  <c r="R29" i="43"/>
  <c r="R31" i="43"/>
  <c r="AD25" i="43"/>
  <c r="AD29" i="43"/>
  <c r="AE27" i="43"/>
  <c r="AE26" i="43"/>
  <c r="R27" i="43"/>
  <c r="R30" i="43"/>
  <c r="R25" i="43"/>
  <c r="AD30" i="43"/>
  <c r="AD28" i="43"/>
  <c r="AE29" i="43"/>
  <c r="AE30" i="43"/>
  <c r="R32" i="43"/>
  <c r="AD27" i="43"/>
  <c r="AD32" i="43"/>
  <c r="AE31" i="43"/>
  <c r="O33" i="43"/>
  <c r="Z29" i="43"/>
  <c r="S31" i="43"/>
  <c r="O28" i="43"/>
  <c r="S33" i="43"/>
  <c r="S30" i="43"/>
  <c r="Z33" i="43"/>
  <c r="Q24" i="43"/>
  <c r="S29" i="43"/>
  <c r="S32" i="43"/>
  <c r="S25" i="43"/>
  <c r="S27" i="43"/>
  <c r="V30" i="43"/>
  <c r="V28" i="43"/>
  <c r="AG32" i="43"/>
  <c r="V33" i="43"/>
  <c r="V32" i="43"/>
  <c r="V31" i="43"/>
  <c r="AG29" i="43"/>
  <c r="V27" i="43"/>
  <c r="O29" i="43"/>
  <c r="O26" i="43"/>
  <c r="Z30" i="43"/>
  <c r="Z28" i="43"/>
  <c r="O24" i="43"/>
  <c r="O30" i="43"/>
  <c r="Z26" i="43"/>
  <c r="Z32" i="43"/>
  <c r="Z31" i="43"/>
  <c r="U66" i="43"/>
  <c r="U24" i="43" s="1"/>
  <c r="O25" i="43"/>
  <c r="O31" i="43"/>
  <c r="Z25" i="43"/>
  <c r="N25" i="43"/>
  <c r="N32" i="43"/>
  <c r="N31" i="43"/>
  <c r="P164" i="34"/>
  <c r="AG26" i="43"/>
  <c r="AG31" i="43"/>
  <c r="AG33" i="43"/>
  <c r="AG28" i="43"/>
  <c r="AG25" i="43"/>
  <c r="N33" i="43"/>
  <c r="AG30" i="43"/>
  <c r="W33" i="43"/>
  <c r="W32" i="43"/>
  <c r="H158" i="34"/>
  <c r="W29" i="43"/>
  <c r="W25" i="43"/>
  <c r="R95" i="34"/>
  <c r="AV60" i="34"/>
  <c r="G247" i="34"/>
  <c r="AH69" i="34"/>
  <c r="R86" i="34"/>
  <c r="J51" i="34"/>
  <c r="Z56" i="34"/>
  <c r="G253" i="34"/>
  <c r="J53" i="34"/>
  <c r="S66" i="43"/>
  <c r="S24" i="43" s="1"/>
  <c r="AH53" i="34"/>
  <c r="H182" i="34"/>
  <c r="J59" i="34"/>
  <c r="AH68" i="34"/>
  <c r="AH108" i="34"/>
  <c r="T66" i="43"/>
  <c r="T24" i="43" s="1"/>
  <c r="X157" i="34"/>
  <c r="R109" i="34"/>
  <c r="P158" i="34"/>
  <c r="AF93" i="34"/>
  <c r="P179" i="34"/>
  <c r="R92" i="34"/>
  <c r="J91" i="34"/>
  <c r="V219" i="34"/>
  <c r="AH61" i="34"/>
  <c r="AF92" i="34"/>
  <c r="AH52" i="34"/>
  <c r="Z114" i="34"/>
  <c r="AP108" i="34"/>
  <c r="AH66" i="34"/>
  <c r="G252" i="34"/>
  <c r="R53" i="34"/>
  <c r="AH60" i="34"/>
  <c r="AH65" i="34"/>
  <c r="V221" i="34"/>
  <c r="R107" i="34"/>
  <c r="AF91" i="34"/>
  <c r="AF94" i="34"/>
  <c r="H163" i="34"/>
  <c r="AH57" i="34"/>
  <c r="P157" i="34"/>
  <c r="R56" i="34"/>
  <c r="P183" i="34"/>
  <c r="R59" i="34"/>
  <c r="AF133" i="34"/>
  <c r="AF186" i="34"/>
  <c r="AF190" i="34"/>
  <c r="AH64" i="34"/>
  <c r="AH115" i="34"/>
  <c r="Z109" i="34"/>
  <c r="R116" i="34"/>
  <c r="AH67" i="34"/>
  <c r="V233" i="34"/>
  <c r="AF88" i="34"/>
  <c r="AP88" i="34"/>
  <c r="H160" i="34"/>
  <c r="AP111" i="34"/>
  <c r="AP80" i="34"/>
  <c r="P186" i="34"/>
  <c r="AV55" i="34"/>
  <c r="X164" i="34"/>
  <c r="T31" i="43"/>
  <c r="T25" i="43"/>
  <c r="T26" i="43"/>
  <c r="T28" i="43"/>
  <c r="T33" i="43"/>
  <c r="T32" i="43"/>
  <c r="T29" i="43"/>
  <c r="T30" i="43"/>
  <c r="T27" i="43"/>
  <c r="R67" i="34"/>
  <c r="R52" i="34"/>
  <c r="AF182" i="34"/>
  <c r="R94" i="34"/>
  <c r="J60" i="34"/>
  <c r="AH62" i="34"/>
  <c r="AH70" i="34"/>
  <c r="AH113" i="34"/>
  <c r="AN188" i="34"/>
  <c r="V229" i="34"/>
  <c r="X182" i="34"/>
  <c r="X193" i="34"/>
  <c r="R112" i="34"/>
  <c r="AF134" i="34"/>
  <c r="AF198" i="34"/>
  <c r="AN183" i="34"/>
  <c r="P200" i="34"/>
  <c r="P187" i="34"/>
  <c r="AF188" i="34"/>
  <c r="AN195" i="34"/>
  <c r="V220" i="34"/>
  <c r="V231" i="34"/>
  <c r="J67" i="34"/>
  <c r="AF84" i="34"/>
  <c r="AF90" i="34"/>
  <c r="H181" i="34"/>
  <c r="R66" i="43"/>
  <c r="R24" i="43" s="1"/>
  <c r="W66" i="43"/>
  <c r="W24" i="43" s="1"/>
  <c r="AF184" i="34"/>
  <c r="AH71" i="34"/>
  <c r="X177" i="34"/>
  <c r="X201" i="34"/>
  <c r="Z106" i="34"/>
  <c r="AF179" i="34"/>
  <c r="AX87" i="34"/>
  <c r="AH59" i="34"/>
  <c r="P28" i="43"/>
  <c r="P30" i="43"/>
  <c r="P27" i="43"/>
  <c r="P26" i="43"/>
  <c r="P31" i="43"/>
  <c r="P33" i="43"/>
  <c r="P25" i="43"/>
  <c r="P32" i="43"/>
  <c r="P29" i="43"/>
  <c r="AC30" i="43"/>
  <c r="AC32" i="43"/>
  <c r="AC25" i="43"/>
  <c r="AC33" i="43"/>
  <c r="AC31" i="43"/>
  <c r="AC29" i="43"/>
  <c r="AC28" i="43"/>
  <c r="AC27" i="43"/>
  <c r="AN178" i="34"/>
  <c r="V215" i="34"/>
  <c r="G249" i="34"/>
  <c r="AV56" i="34"/>
  <c r="AN179" i="34"/>
  <c r="AN177" i="34"/>
  <c r="AF155" i="34"/>
  <c r="J79" i="34"/>
  <c r="X155" i="34"/>
  <c r="V228" i="34"/>
  <c r="X184" i="34"/>
  <c r="AP92" i="34"/>
  <c r="AF185" i="34"/>
  <c r="AF187" i="34"/>
  <c r="AN193" i="34"/>
  <c r="R97" i="34"/>
  <c r="H188" i="34"/>
  <c r="AH63" i="34"/>
  <c r="X196" i="34"/>
  <c r="H183" i="34"/>
  <c r="G251" i="34"/>
  <c r="AV59" i="34"/>
  <c r="AV53" i="34"/>
  <c r="AF86" i="34"/>
  <c r="R114" i="34"/>
  <c r="P185" i="34"/>
  <c r="AF135" i="34"/>
  <c r="AF180" i="34"/>
  <c r="J64" i="34"/>
  <c r="AN186" i="34"/>
  <c r="X181" i="34"/>
  <c r="X161" i="34"/>
  <c r="AN185" i="34"/>
  <c r="X25" i="43"/>
  <c r="X30" i="43"/>
  <c r="X31" i="43"/>
  <c r="X33" i="43"/>
  <c r="X29" i="43"/>
  <c r="X32" i="43"/>
  <c r="X27" i="43"/>
  <c r="U32" i="43"/>
  <c r="U30" i="43"/>
  <c r="U27" i="43"/>
  <c r="U26" i="43"/>
  <c r="U25" i="43"/>
  <c r="U33" i="43"/>
  <c r="U31" i="43"/>
  <c r="U29" i="43"/>
  <c r="U28" i="43"/>
  <c r="X28" i="43"/>
  <c r="P24" i="43"/>
  <c r="X192" i="34"/>
  <c r="X183" i="34"/>
  <c r="Z107" i="34"/>
  <c r="P178" i="34"/>
  <c r="X203" i="34"/>
  <c r="R61" i="34"/>
  <c r="Z112" i="34"/>
  <c r="R90" i="34"/>
  <c r="X158" i="34"/>
  <c r="H178" i="34"/>
  <c r="AH56" i="34"/>
  <c r="AN184" i="34"/>
  <c r="X178" i="34"/>
  <c r="X199" i="34"/>
  <c r="R57" i="34"/>
  <c r="Z113" i="34"/>
  <c r="AF202" i="34"/>
  <c r="R87" i="34"/>
  <c r="R83" i="34"/>
  <c r="H180" i="34"/>
  <c r="H162" i="34"/>
  <c r="X204" i="34"/>
  <c r="AP110" i="34"/>
  <c r="AF181" i="34"/>
  <c r="X156" i="34"/>
  <c r="AN196" i="34"/>
  <c r="X162" i="34"/>
  <c r="H184" i="34"/>
  <c r="J71" i="34"/>
  <c r="AH114" i="34"/>
  <c r="V232" i="34"/>
  <c r="X179" i="34"/>
  <c r="X206" i="34"/>
  <c r="R113" i="34"/>
  <c r="H179" i="34"/>
  <c r="G257" i="34"/>
  <c r="P201" i="34"/>
  <c r="P184" i="34"/>
  <c r="P199" i="34"/>
  <c r="AV57" i="34"/>
  <c r="AV63" i="34"/>
  <c r="AV62" i="34"/>
  <c r="AV58" i="34"/>
  <c r="AF82" i="34"/>
  <c r="AF130" i="34"/>
  <c r="AH55" i="34"/>
  <c r="P160" i="34"/>
  <c r="P189" i="34"/>
  <c r="AP106" i="34"/>
  <c r="AF191" i="34"/>
  <c r="AN182" i="34"/>
  <c r="J52" i="34"/>
  <c r="AN181" i="34"/>
  <c r="AB33" i="43"/>
  <c r="AB32" i="43"/>
  <c r="AB29" i="43"/>
  <c r="AB31" i="43"/>
  <c r="AB30" i="43"/>
  <c r="AB27" i="43"/>
  <c r="AB26" i="43"/>
  <c r="AB25" i="43"/>
  <c r="AF28" i="43"/>
  <c r="AF29" i="43"/>
  <c r="AF32" i="43"/>
  <c r="AF27" i="43"/>
  <c r="AF30" i="43"/>
  <c r="AF31" i="43"/>
  <c r="AF33" i="43"/>
  <c r="AF25" i="43"/>
  <c r="AC26" i="43"/>
  <c r="AB28" i="43"/>
  <c r="X153" i="34"/>
  <c r="X180" i="34"/>
  <c r="H177" i="34"/>
  <c r="AN187" i="34"/>
  <c r="AF153" i="34"/>
  <c r="AM133" i="34"/>
  <c r="V223" i="34"/>
  <c r="V225" i="34"/>
  <c r="P188" i="34"/>
  <c r="AV54" i="34"/>
  <c r="P177" i="34"/>
  <c r="AN194" i="34"/>
  <c r="AN192" i="34"/>
  <c r="AH110" i="34"/>
  <c r="F21" i="25"/>
  <c r="H21" i="25" s="1"/>
  <c r="J21" i="25" s="1"/>
  <c r="F27" i="25"/>
  <c r="H27" i="25" s="1"/>
  <c r="J27" i="25" s="1"/>
  <c r="F123" i="25"/>
  <c r="H123" i="25" s="1"/>
  <c r="F33" i="25"/>
  <c r="H33" i="25" s="1"/>
  <c r="J33" i="25" s="1"/>
  <c r="F81" i="25"/>
  <c r="F113" i="25"/>
  <c r="F30" i="25"/>
  <c r="H30" i="25" s="1"/>
  <c r="J30" i="25" s="1"/>
  <c r="F38" i="25"/>
  <c r="H38" i="25" s="1"/>
  <c r="F70" i="25"/>
  <c r="H70" i="25" s="1"/>
  <c r="F102" i="25"/>
  <c r="H102" i="25" s="1"/>
  <c r="J102" i="25" s="1"/>
  <c r="F10" i="25"/>
  <c r="H10" i="25" s="1"/>
  <c r="J10" i="25" s="1"/>
  <c r="F132" i="25"/>
  <c r="H132" i="25" s="1"/>
  <c r="J132" i="25" s="1"/>
  <c r="F144" i="25"/>
  <c r="F156" i="25"/>
  <c r="H156" i="25" s="1"/>
  <c r="J156" i="25" s="1"/>
  <c r="F164" i="25"/>
  <c r="H164" i="25" s="1"/>
  <c r="F172" i="25"/>
  <c r="H172" i="25" s="1"/>
  <c r="J172" i="25" s="1"/>
  <c r="F184" i="25"/>
  <c r="P153" i="34"/>
  <c r="X194" i="34"/>
  <c r="J86" i="34"/>
  <c r="J81" i="34"/>
  <c r="J82" i="34"/>
  <c r="AP109" i="34"/>
  <c r="J57" i="34"/>
  <c r="X200" i="34"/>
  <c r="G155" i="43"/>
  <c r="I151" i="43" s="1"/>
  <c r="AF178" i="34"/>
  <c r="M29" i="32"/>
  <c r="M32" i="32"/>
  <c r="M31" i="32"/>
  <c r="M30" i="32"/>
  <c r="AB6" i="32"/>
  <c r="AB7" i="32"/>
  <c r="AB5" i="32"/>
  <c r="AB8" i="32"/>
  <c r="AB10" i="32"/>
  <c r="AB9" i="32"/>
  <c r="AB3" i="32"/>
  <c r="AB4" i="32"/>
  <c r="J58" i="34"/>
  <c r="AD415" i="25"/>
  <c r="AF415" i="25" s="1"/>
  <c r="AF290" i="25"/>
  <c r="AF345" i="25"/>
  <c r="AF310" i="25"/>
  <c r="AF293" i="25"/>
  <c r="AF398" i="25"/>
  <c r="AF285" i="25"/>
  <c r="P175" i="34"/>
  <c r="P197" i="34"/>
  <c r="AF777" i="25"/>
  <c r="AF363" i="25"/>
  <c r="AD396" i="25"/>
  <c r="AF396" i="25" s="1"/>
  <c r="AF314" i="25"/>
  <c r="AF401" i="25"/>
  <c r="R68" i="34"/>
  <c r="AP82" i="34"/>
  <c r="AP91" i="34"/>
  <c r="AF176" i="34"/>
  <c r="AF157" i="34"/>
  <c r="R91" i="34"/>
  <c r="R88" i="34"/>
  <c r="H176" i="34"/>
  <c r="J68" i="34"/>
  <c r="AH107" i="34"/>
  <c r="AN140" i="34"/>
  <c r="AM140" i="34"/>
  <c r="AN136" i="34"/>
  <c r="AM136" i="34"/>
  <c r="AM134" i="34"/>
  <c r="AM142" i="34"/>
  <c r="AN142" i="34"/>
  <c r="AN139" i="34"/>
  <c r="AM139" i="34"/>
  <c r="AM146" i="34"/>
  <c r="AN146" i="34"/>
  <c r="V218" i="34"/>
  <c r="V224" i="34"/>
  <c r="X187" i="34"/>
  <c r="AD407" i="25"/>
  <c r="AF407" i="25" s="1"/>
  <c r="AF775" i="25"/>
  <c r="AD408" i="25"/>
  <c r="AF408" i="25" s="1"/>
  <c r="AD296" i="25"/>
  <c r="AF296" i="25" s="1"/>
  <c r="AF297" i="25"/>
  <c r="AF366" i="25"/>
  <c r="Z110" i="34"/>
  <c r="X90" i="34"/>
  <c r="X86" i="34"/>
  <c r="X98" i="34"/>
  <c r="X85" i="34"/>
  <c r="X93" i="34"/>
  <c r="X92" i="34"/>
  <c r="X96" i="34"/>
  <c r="X87" i="34"/>
  <c r="X97" i="34"/>
  <c r="AP83" i="34"/>
  <c r="X146" i="34"/>
  <c r="W146" i="34"/>
  <c r="Z130" i="34"/>
  <c r="H175" i="34"/>
  <c r="G248" i="34"/>
  <c r="G254" i="34"/>
  <c r="G133" i="34"/>
  <c r="G144" i="34"/>
  <c r="G140" i="34"/>
  <c r="AD116" i="25"/>
  <c r="AF116" i="25" s="1"/>
  <c r="AD770" i="25"/>
  <c r="AF770" i="25" s="1"/>
  <c r="AD734" i="25"/>
  <c r="AF734" i="25" s="1"/>
  <c r="AD654" i="25"/>
  <c r="AF654" i="25" s="1"/>
  <c r="AF657" i="25"/>
  <c r="AF542" i="25"/>
  <c r="AD600" i="25"/>
  <c r="AF600" i="25" s="1"/>
  <c r="AD470" i="25"/>
  <c r="AF470" i="25" s="1"/>
  <c r="AD660" i="25"/>
  <c r="AF660" i="25" s="1"/>
  <c r="AF443" i="25"/>
  <c r="AF307" i="25"/>
  <c r="AD620" i="25"/>
  <c r="AF620" i="25" s="1"/>
  <c r="AD464" i="25"/>
  <c r="AF464" i="25" s="1"/>
  <c r="AD404" i="25"/>
  <c r="AF404" i="25" s="1"/>
  <c r="AF267" i="25"/>
  <c r="AF235" i="25"/>
  <c r="AF215" i="25"/>
  <c r="AF191" i="25"/>
  <c r="AF163" i="25"/>
  <c r="AF143" i="25"/>
  <c r="AF667" i="25"/>
  <c r="AF298" i="25"/>
  <c r="AD97" i="25"/>
  <c r="AF97" i="25" s="1"/>
  <c r="AD49" i="25"/>
  <c r="AF49" i="25" s="1"/>
  <c r="AD421" i="25"/>
  <c r="AF421" i="25" s="1"/>
  <c r="AF353" i="25"/>
  <c r="AF651" i="25"/>
  <c r="AD102" i="25"/>
  <c r="AF102" i="25" s="1"/>
  <c r="AD617" i="25"/>
  <c r="AF617" i="25" s="1"/>
  <c r="AF595" i="25"/>
  <c r="AD64" i="25"/>
  <c r="AF64" i="25" s="1"/>
  <c r="AF317" i="25"/>
  <c r="R65" i="34"/>
  <c r="R71" i="34"/>
  <c r="AF89" i="34"/>
  <c r="AF85" i="34"/>
  <c r="E460" i="31"/>
  <c r="E461" i="31" s="1"/>
  <c r="AD612" i="25"/>
  <c r="AF612" i="25" s="1"/>
  <c r="R108" i="34"/>
  <c r="P159" i="34"/>
  <c r="P165" i="34"/>
  <c r="AD773" i="25"/>
  <c r="AF773" i="25" s="1"/>
  <c r="AF646" i="25"/>
  <c r="AF582" i="25"/>
  <c r="AD568" i="25"/>
  <c r="AF568" i="25" s="1"/>
  <c r="AF717" i="25"/>
  <c r="AF347" i="25"/>
  <c r="AF613" i="25"/>
  <c r="AD300" i="25"/>
  <c r="AF300" i="25" s="1"/>
  <c r="AF273" i="25"/>
  <c r="AF245" i="25"/>
  <c r="AF209" i="25"/>
  <c r="AF177" i="25"/>
  <c r="AF149" i="25"/>
  <c r="AD569" i="25"/>
  <c r="AF569" i="25" s="1"/>
  <c r="AD61" i="25"/>
  <c r="AF61" i="25" s="1"/>
  <c r="AF715" i="25"/>
  <c r="AD46" i="25"/>
  <c r="AF46" i="25" s="1"/>
  <c r="AK6" i="12"/>
  <c r="AK7" i="12"/>
  <c r="AK4" i="12"/>
  <c r="AK9" i="12"/>
  <c r="AK8" i="12"/>
  <c r="AK5" i="12"/>
  <c r="R64" i="34"/>
  <c r="AD28" i="25"/>
  <c r="AF28" i="25" s="1"/>
  <c r="AD658" i="25"/>
  <c r="AF658" i="25" s="1"/>
  <c r="AD772" i="25"/>
  <c r="AF772" i="25" s="1"/>
  <c r="AF641" i="25"/>
  <c r="AD764" i="25"/>
  <c r="AF764" i="25" s="1"/>
  <c r="AF543" i="25"/>
  <c r="AD509" i="25"/>
  <c r="AF509" i="25" s="1"/>
  <c r="AD295" i="25"/>
  <c r="AF295" i="25" s="1"/>
  <c r="AF627" i="25"/>
  <c r="AF425" i="25"/>
  <c r="AD344" i="25"/>
  <c r="AF344" i="25" s="1"/>
  <c r="AD244" i="25"/>
  <c r="AF244" i="25" s="1"/>
  <c r="AD212" i="25"/>
  <c r="AF212" i="25" s="1"/>
  <c r="AF180" i="25"/>
  <c r="AF148" i="25"/>
  <c r="AD564" i="25"/>
  <c r="AF564" i="25" s="1"/>
  <c r="AD115" i="25"/>
  <c r="AF115" i="25" s="1"/>
  <c r="AD43" i="25"/>
  <c r="AF43" i="25" s="1"/>
  <c r="AD572" i="25"/>
  <c r="AF572" i="25" s="1"/>
  <c r="AD12" i="25"/>
  <c r="AF12" i="25" s="1"/>
  <c r="AD90" i="25"/>
  <c r="AF90" i="25" s="1"/>
  <c r="AD56" i="25"/>
  <c r="AF56" i="25" s="1"/>
  <c r="AP89" i="34"/>
  <c r="R82" i="34"/>
  <c r="X154" i="34"/>
  <c r="AH117" i="34"/>
  <c r="AH119" i="34"/>
  <c r="AH118" i="34"/>
  <c r="AH116" i="34"/>
  <c r="F39" i="25"/>
  <c r="H39" i="25"/>
  <c r="F31" i="25"/>
  <c r="H31" i="25" s="1"/>
  <c r="J31" i="25" s="1"/>
  <c r="F55" i="25"/>
  <c r="F11" i="25"/>
  <c r="F35" i="25"/>
  <c r="H35" i="25" s="1"/>
  <c r="F67" i="25"/>
  <c r="H67" i="25" s="1"/>
  <c r="J67" i="25" s="1"/>
  <c r="F99" i="25"/>
  <c r="F6" i="25"/>
  <c r="F9" i="25"/>
  <c r="H9" i="25" s="1"/>
  <c r="F37" i="25"/>
  <c r="H37" i="25" s="1"/>
  <c r="J37" i="25" s="1"/>
  <c r="F53" i="25"/>
  <c r="F69" i="25"/>
  <c r="H69" i="25"/>
  <c r="F85" i="25"/>
  <c r="H85" i="25" s="1"/>
  <c r="F101" i="25"/>
  <c r="H101" i="25" s="1"/>
  <c r="J101" i="25" s="1"/>
  <c r="F117" i="25"/>
  <c r="F24" i="25"/>
  <c r="H24" i="25" s="1"/>
  <c r="J24" i="25" s="1"/>
  <c r="F32" i="25"/>
  <c r="H32" i="25" s="1"/>
  <c r="J32" i="25" s="1"/>
  <c r="F40" i="25"/>
  <c r="H40" i="25" s="1"/>
  <c r="F48" i="25"/>
  <c r="H48" i="25" s="1"/>
  <c r="F56" i="25"/>
  <c r="H56" i="25" s="1"/>
  <c r="J56" i="25" s="1"/>
  <c r="F64" i="25"/>
  <c r="H64" i="25" s="1"/>
  <c r="J64" i="25" s="1"/>
  <c r="F72" i="25"/>
  <c r="H72" i="25" s="1"/>
  <c r="F80" i="25"/>
  <c r="H80" i="25" s="1"/>
  <c r="F88" i="25"/>
  <c r="H88" i="25"/>
  <c r="J88" i="25" s="1"/>
  <c r="F96" i="25"/>
  <c r="H96" i="25" s="1"/>
  <c r="J96" i="25" s="1"/>
  <c r="F104" i="25"/>
  <c r="H104" i="25" s="1"/>
  <c r="F112" i="25"/>
  <c r="H112" i="25" s="1"/>
  <c r="F120" i="25"/>
  <c r="H120" i="25"/>
  <c r="J120" i="25" s="1"/>
  <c r="F15" i="25"/>
  <c r="H15" i="25" s="1"/>
  <c r="J15" i="25" s="1"/>
  <c r="F19" i="25"/>
  <c r="F129" i="25"/>
  <c r="F133" i="25"/>
  <c r="F137" i="25"/>
  <c r="H137" i="25" s="1"/>
  <c r="F141" i="25"/>
  <c r="H141" i="25" s="1"/>
  <c r="J141" i="25" s="1"/>
  <c r="F145" i="25"/>
  <c r="F149" i="25"/>
  <c r="F153" i="25"/>
  <c r="H153" i="25" s="1"/>
  <c r="F157" i="25"/>
  <c r="H157" i="25" s="1"/>
  <c r="J157" i="25" s="1"/>
  <c r="F161" i="25"/>
  <c r="F165" i="25"/>
  <c r="H165" i="25" s="1"/>
  <c r="J165" i="25" s="1"/>
  <c r="F169" i="25"/>
  <c r="H169" i="25" s="1"/>
  <c r="F173" i="25"/>
  <c r="H173" i="25" s="1"/>
  <c r="J173" i="25" s="1"/>
  <c r="F177" i="25"/>
  <c r="F181" i="25"/>
  <c r="H181" i="25" s="1"/>
  <c r="F185" i="25"/>
  <c r="H185" i="25"/>
  <c r="F189" i="25"/>
  <c r="H189" i="25" s="1"/>
  <c r="J189" i="25" s="1"/>
  <c r="AD680" i="25"/>
  <c r="AF680" i="25" s="1"/>
  <c r="AF526" i="25"/>
  <c r="AD577" i="25"/>
  <c r="AF577" i="25" s="1"/>
  <c r="AF422" i="25"/>
  <c r="AF507" i="25"/>
  <c r="AF291" i="25"/>
  <c r="AF563" i="25"/>
  <c r="AD324" i="25"/>
  <c r="AF324" i="25" s="1"/>
  <c r="AF275" i="25"/>
  <c r="AF239" i="25"/>
  <c r="AF187" i="25"/>
  <c r="AF139" i="25"/>
  <c r="AD41" i="25"/>
  <c r="AF41" i="25" s="1"/>
  <c r="AD17" i="25"/>
  <c r="AF17" i="25" s="1"/>
  <c r="AF289" i="25"/>
  <c r="AD86" i="25"/>
  <c r="AF86" i="25" s="1"/>
  <c r="AF286" i="25"/>
  <c r="X198" i="34"/>
  <c r="AH54" i="34"/>
  <c r="AH58" i="34"/>
  <c r="X202" i="34"/>
  <c r="J80" i="34"/>
  <c r="J90" i="34"/>
  <c r="AP113" i="34"/>
  <c r="AF200" i="34"/>
  <c r="J50" i="34"/>
  <c r="AF194" i="34"/>
  <c r="X159" i="34"/>
  <c r="O31" i="32"/>
  <c r="O30" i="32"/>
  <c r="N65" i="32" s="1"/>
  <c r="BD8" i="32"/>
  <c r="O32" i="32"/>
  <c r="BD6" i="32"/>
  <c r="BD4" i="32"/>
  <c r="BD3" i="32"/>
  <c r="O29" i="32"/>
  <c r="N64" i="32" s="1"/>
  <c r="BD7" i="32"/>
  <c r="BD5" i="32"/>
  <c r="AN176" i="34"/>
  <c r="J83" i="34"/>
  <c r="X188" i="34"/>
  <c r="AF189" i="34"/>
  <c r="X163" i="34"/>
  <c r="X175" i="34"/>
  <c r="X197" i="34"/>
  <c r="X95" i="34"/>
  <c r="X78" i="34"/>
  <c r="X91" i="34"/>
  <c r="AP78" i="34"/>
  <c r="AF156" i="34"/>
  <c r="W139" i="34"/>
  <c r="W140" i="34"/>
  <c r="X140" i="34"/>
  <c r="W133" i="34"/>
  <c r="X141" i="34"/>
  <c r="W141" i="34"/>
  <c r="H187" i="34"/>
  <c r="Z53" i="34"/>
  <c r="G130" i="34"/>
  <c r="G137" i="34"/>
  <c r="G134" i="34"/>
  <c r="P180" i="34"/>
  <c r="Z57" i="34"/>
  <c r="AF131" i="34"/>
  <c r="R81" i="34"/>
  <c r="X185" i="34"/>
  <c r="P155" i="34"/>
  <c r="AF132" i="34"/>
  <c r="X160" i="34"/>
  <c r="AN189" i="34"/>
  <c r="AX83" i="34"/>
  <c r="AX79" i="34"/>
  <c r="AX82" i="34"/>
  <c r="AX78" i="34"/>
  <c r="AX93" i="34"/>
  <c r="AX89" i="34"/>
  <c r="AX88" i="34"/>
  <c r="AX81" i="34"/>
  <c r="AX85" i="34"/>
  <c r="AX92" i="34"/>
  <c r="AX80" i="34"/>
  <c r="F23" i="25"/>
  <c r="H23" i="25"/>
  <c r="F59" i="25"/>
  <c r="H59" i="25" s="1"/>
  <c r="F8" i="25"/>
  <c r="H8" i="25" s="1"/>
  <c r="F65" i="25"/>
  <c r="F14" i="25"/>
  <c r="H14" i="25" s="1"/>
  <c r="J14" i="25" s="1"/>
  <c r="F46" i="25"/>
  <c r="H46" i="25" s="1"/>
  <c r="J46" i="25" s="1"/>
  <c r="F62" i="25"/>
  <c r="H62" i="25"/>
  <c r="F86" i="25"/>
  <c r="H86" i="25" s="1"/>
  <c r="F110" i="25"/>
  <c r="H110" i="25" s="1"/>
  <c r="J110" i="25" s="1"/>
  <c r="F18" i="25"/>
  <c r="H18" i="25" s="1"/>
  <c r="J18" i="25" s="1"/>
  <c r="F140" i="25"/>
  <c r="H140" i="25" s="1"/>
  <c r="J140" i="25" s="1"/>
  <c r="F152" i="25"/>
  <c r="F168" i="25"/>
  <c r="H168" i="25"/>
  <c r="F180" i="25"/>
  <c r="H180" i="25" s="1"/>
  <c r="P195" i="34"/>
  <c r="H56" i="43"/>
  <c r="H55" i="43"/>
  <c r="H53" i="43"/>
  <c r="H52" i="43"/>
  <c r="H51" i="43"/>
  <c r="I46" i="43"/>
  <c r="I45" i="43"/>
  <c r="H42" i="43"/>
  <c r="I40" i="43"/>
  <c r="I39" i="43"/>
  <c r="I57" i="43"/>
  <c r="I49" i="43"/>
  <c r="I48" i="43"/>
  <c r="I47" i="43"/>
  <c r="H46" i="43"/>
  <c r="H45" i="43"/>
  <c r="H40" i="43"/>
  <c r="H39" i="43"/>
  <c r="I55" i="43"/>
  <c r="I54" i="43"/>
  <c r="I50" i="43"/>
  <c r="H48" i="43"/>
  <c r="I44" i="43"/>
  <c r="H41" i="43"/>
  <c r="H57" i="43"/>
  <c r="H54" i="43"/>
  <c r="I53" i="43"/>
  <c r="I52" i="43"/>
  <c r="H50" i="43"/>
  <c r="H44" i="43"/>
  <c r="I51" i="43"/>
  <c r="H43" i="43"/>
  <c r="I41" i="43"/>
  <c r="H49" i="43"/>
  <c r="H47" i="43"/>
  <c r="I42" i="43"/>
  <c r="I56" i="43"/>
  <c r="I43" i="43"/>
  <c r="R58" i="34"/>
  <c r="AF193" i="34"/>
  <c r="T30" i="32"/>
  <c r="T29" i="32"/>
  <c r="AJ8" i="32"/>
  <c r="AJ7" i="32"/>
  <c r="AJ5" i="32"/>
  <c r="AJ4" i="32"/>
  <c r="AJ3" i="32"/>
  <c r="T32" i="32"/>
  <c r="T31" i="32"/>
  <c r="AJ6" i="32"/>
  <c r="J66" i="34"/>
  <c r="X186" i="34"/>
  <c r="AF779" i="25"/>
  <c r="AD287" i="25"/>
  <c r="AF287" i="25" s="1"/>
  <c r="AD384" i="25"/>
  <c r="AF384" i="25" s="1"/>
  <c r="AD320" i="25"/>
  <c r="AF320" i="25" s="1"/>
  <c r="AP95" i="34"/>
  <c r="AF201" i="34"/>
  <c r="AF177" i="34"/>
  <c r="AF174" i="34"/>
  <c r="AF154" i="34"/>
  <c r="H185" i="34"/>
  <c r="J65" i="34"/>
  <c r="R63" i="34"/>
  <c r="R54" i="34"/>
  <c r="AE150" i="43"/>
  <c r="AA150" i="43"/>
  <c r="AD150" i="43"/>
  <c r="Z150" i="43"/>
  <c r="AB150" i="43"/>
  <c r="AG150" i="43"/>
  <c r="Y150" i="43"/>
  <c r="AF150" i="43"/>
  <c r="AC150" i="43"/>
  <c r="X150" i="43"/>
  <c r="AP87" i="34"/>
  <c r="R32" i="32"/>
  <c r="R31" i="32"/>
  <c r="X10" i="32"/>
  <c r="R29" i="32"/>
  <c r="X9" i="32"/>
  <c r="X8" i="32"/>
  <c r="X6" i="32"/>
  <c r="X4" i="32"/>
  <c r="R30" i="32"/>
  <c r="X3" i="32"/>
  <c r="X7" i="32"/>
  <c r="X5" i="32"/>
  <c r="W31" i="32"/>
  <c r="X30" i="32"/>
  <c r="W30" i="32"/>
  <c r="X29" i="32"/>
  <c r="W32" i="32"/>
  <c r="AZ7" i="32"/>
  <c r="AZ5" i="32"/>
  <c r="AZ4" i="32"/>
  <c r="AZ3" i="32"/>
  <c r="X32" i="32"/>
  <c r="AZ9" i="32"/>
  <c r="AZ8" i="32"/>
  <c r="AZ6" i="32"/>
  <c r="W29" i="32"/>
  <c r="X31" i="32"/>
  <c r="N34" i="32"/>
  <c r="N32" i="32"/>
  <c r="N35" i="32"/>
  <c r="N33" i="32"/>
  <c r="N31" i="32"/>
  <c r="AR12" i="32"/>
  <c r="AR9" i="32"/>
  <c r="N36" i="32"/>
  <c r="AR4" i="32"/>
  <c r="AR8" i="32"/>
  <c r="AR3" i="32"/>
  <c r="AR10" i="32"/>
  <c r="AR7" i="32"/>
  <c r="N29" i="32"/>
  <c r="AR5" i="32"/>
  <c r="N30" i="32"/>
  <c r="AR11" i="32"/>
  <c r="AR6" i="32"/>
  <c r="AR13" i="32"/>
  <c r="H174" i="34"/>
  <c r="AH109" i="34"/>
  <c r="AF349" i="25"/>
  <c r="AD44" i="25"/>
  <c r="AF44" i="25" s="1"/>
  <c r="AX91" i="34"/>
  <c r="X176" i="34"/>
  <c r="AX90" i="34"/>
  <c r="R111" i="34"/>
  <c r="X66" i="32"/>
  <c r="Y66" i="32" s="1"/>
  <c r="Z66" i="32" s="1"/>
  <c r="AA66" i="32" s="1"/>
  <c r="AF780" i="25"/>
  <c r="AD746" i="25"/>
  <c r="AF746" i="25" s="1"/>
  <c r="AF682" i="25"/>
  <c r="AD760" i="25"/>
  <c r="AF760" i="25" s="1"/>
  <c r="AD673" i="25"/>
  <c r="AF673" i="25" s="1"/>
  <c r="AF602" i="25"/>
  <c r="AD538" i="25"/>
  <c r="AF538" i="25" s="1"/>
  <c r="AF695" i="25"/>
  <c r="AD593" i="25"/>
  <c r="AF593" i="25" s="1"/>
  <c r="AF514" i="25"/>
  <c r="AF450" i="25"/>
  <c r="AD720" i="25"/>
  <c r="AF720" i="25" s="1"/>
  <c r="AD585" i="25"/>
  <c r="AF585" i="25" s="1"/>
  <c r="AD477" i="25"/>
  <c r="AF477" i="25" s="1"/>
  <c r="AD748" i="25"/>
  <c r="AF748" i="25" s="1"/>
  <c r="AF615" i="25"/>
  <c r="AF521" i="25"/>
  <c r="AF439" i="25"/>
  <c r="AD270" i="25"/>
  <c r="AF270" i="25" s="1"/>
  <c r="AD254" i="25"/>
  <c r="AF254" i="25" s="1"/>
  <c r="AD238" i="25"/>
  <c r="AF238" i="25" s="1"/>
  <c r="AD222" i="25"/>
  <c r="AF222" i="25" s="1"/>
  <c r="AD206" i="25"/>
  <c r="AF206" i="25" s="1"/>
  <c r="AF190" i="25"/>
  <c r="AF174" i="25"/>
  <c r="AF158" i="25"/>
  <c r="AF142" i="25"/>
  <c r="AF126" i="25"/>
  <c r="AF511" i="25"/>
  <c r="AF322" i="25"/>
  <c r="AD111" i="25"/>
  <c r="AF111" i="25" s="1"/>
  <c r="AD79" i="25"/>
  <c r="AF79" i="25" s="1"/>
  <c r="AD47" i="25"/>
  <c r="AF47" i="25" s="1"/>
  <c r="AF619" i="25"/>
  <c r="AF377" i="25"/>
  <c r="AD424" i="25"/>
  <c r="AF424" i="25" s="1"/>
  <c r="AF374" i="25"/>
  <c r="AD98" i="25"/>
  <c r="AF98" i="25" s="1"/>
  <c r="AD34" i="25"/>
  <c r="AF34" i="25" s="1"/>
  <c r="AD437" i="25"/>
  <c r="AF437" i="25" s="1"/>
  <c r="AF357" i="25"/>
  <c r="AD576" i="25"/>
  <c r="AF576" i="25" s="1"/>
  <c r="G255" i="34"/>
  <c r="Z108" i="34"/>
  <c r="AP86" i="34"/>
  <c r="AH112" i="34"/>
  <c r="AN175" i="34"/>
  <c r="AD68" i="25"/>
  <c r="AF68" i="25" s="1"/>
  <c r="J92" i="34"/>
  <c r="AF710" i="25"/>
  <c r="AD753" i="25"/>
  <c r="AF753" i="25" s="1"/>
  <c r="AF614" i="25"/>
  <c r="AD609" i="25"/>
  <c r="AF609" i="25" s="1"/>
  <c r="AD494" i="25"/>
  <c r="AF494" i="25" s="1"/>
  <c r="AF739" i="25"/>
  <c r="AF535" i="25"/>
  <c r="AF379" i="25"/>
  <c r="AF283" i="25"/>
  <c r="AF637" i="25"/>
  <c r="AD496" i="25"/>
  <c r="AF496" i="25" s="1"/>
  <c r="AF269" i="25"/>
  <c r="AF233" i="25"/>
  <c r="AF205" i="25"/>
  <c r="AF173" i="25"/>
  <c r="AF137" i="25"/>
  <c r="AD465" i="25"/>
  <c r="AF465" i="25" s="1"/>
  <c r="AF378" i="25"/>
  <c r="AD101" i="25"/>
  <c r="AF101" i="25" s="1"/>
  <c r="AD37" i="25"/>
  <c r="AF37" i="25" s="1"/>
  <c r="AD19" i="25"/>
  <c r="AF19" i="25" s="1"/>
  <c r="AD548" i="25"/>
  <c r="AF548" i="25" s="1"/>
  <c r="AF13" i="25"/>
  <c r="AD30" i="25"/>
  <c r="AF30" i="25" s="1"/>
  <c r="Z111" i="34"/>
  <c r="AN145" i="34"/>
  <c r="AM145" i="34"/>
  <c r="AN141" i="34"/>
  <c r="AM141" i="34"/>
  <c r="V216" i="34"/>
  <c r="V226" i="34"/>
  <c r="V230" i="34"/>
  <c r="V217" i="34"/>
  <c r="AX84" i="34"/>
  <c r="X195" i="34"/>
  <c r="X174" i="34"/>
  <c r="X191" i="34"/>
  <c r="X190" i="34"/>
  <c r="AD754" i="25"/>
  <c r="AF754" i="25" s="1"/>
  <c r="AD642" i="25"/>
  <c r="AF642" i="25" s="1"/>
  <c r="AD626" i="25"/>
  <c r="AF626" i="25" s="1"/>
  <c r="AF747" i="25"/>
  <c r="AF561" i="25"/>
  <c r="AD426" i="25"/>
  <c r="AF426" i="25" s="1"/>
  <c r="AD533" i="25"/>
  <c r="AF533" i="25" s="1"/>
  <c r="AD729" i="25"/>
  <c r="AF729" i="25" s="1"/>
  <c r="AD512" i="25"/>
  <c r="AF512" i="25" s="1"/>
  <c r="AD276" i="25"/>
  <c r="AF276" i="25" s="1"/>
  <c r="AD248" i="25"/>
  <c r="AF248" i="25" s="1"/>
  <c r="AD216" i="25"/>
  <c r="AF216" i="25" s="1"/>
  <c r="AF184" i="25"/>
  <c r="AF152" i="25"/>
  <c r="AF749" i="25"/>
  <c r="AD75" i="25"/>
  <c r="AF75" i="25" s="1"/>
  <c r="AD4" i="25"/>
  <c r="AF4" i="25" s="1"/>
  <c r="AD428" i="25"/>
  <c r="AF428" i="25" s="1"/>
  <c r="AF361" i="25"/>
  <c r="AD481" i="25"/>
  <c r="AF481" i="25" s="1"/>
  <c r="AF342" i="25"/>
  <c r="AD42" i="25"/>
  <c r="AF42" i="25" s="1"/>
  <c r="AD88" i="25"/>
  <c r="AF88" i="25" s="1"/>
  <c r="X82" i="34"/>
  <c r="X79" i="34"/>
  <c r="X83" i="34"/>
  <c r="X88" i="34"/>
  <c r="X94" i="34"/>
  <c r="L233" i="34"/>
  <c r="L223" i="34"/>
  <c r="L222" i="34"/>
  <c r="L221" i="34"/>
  <c r="L220" i="34"/>
  <c r="L218" i="34"/>
  <c r="L216" i="34"/>
  <c r="L234" i="34"/>
  <c r="L230" i="34"/>
  <c r="L229" i="34"/>
  <c r="L228" i="34"/>
  <c r="L227" i="34"/>
  <c r="L226" i="34"/>
  <c r="L224" i="34"/>
  <c r="L232" i="34"/>
  <c r="L225" i="34"/>
  <c r="L219" i="34"/>
  <c r="L217" i="34"/>
  <c r="L231" i="34"/>
  <c r="L215" i="34"/>
  <c r="W134" i="34"/>
  <c r="W135" i="34"/>
  <c r="W136" i="34"/>
  <c r="W144" i="34"/>
  <c r="X144" i="34"/>
  <c r="W131" i="34"/>
  <c r="W137" i="34"/>
  <c r="W145" i="34"/>
  <c r="X145" i="34"/>
  <c r="G246" i="34"/>
  <c r="G250" i="34"/>
  <c r="J63" i="34"/>
  <c r="J54" i="34"/>
  <c r="R78" i="34"/>
  <c r="H145" i="34"/>
  <c r="G145" i="34"/>
  <c r="G138" i="34"/>
  <c r="G146" i="34"/>
  <c r="H146" i="34"/>
  <c r="G135" i="34"/>
  <c r="G143" i="34"/>
  <c r="P176" i="34"/>
  <c r="AF419" i="25"/>
  <c r="J84" i="34"/>
  <c r="R110" i="34"/>
  <c r="AD750" i="25"/>
  <c r="AF750" i="25" s="1"/>
  <c r="AD670" i="25"/>
  <c r="AF670" i="25" s="1"/>
  <c r="AF703" i="25"/>
  <c r="AD558" i="25"/>
  <c r="AF558" i="25" s="1"/>
  <c r="AF643" i="25"/>
  <c r="AD502" i="25"/>
  <c r="AF502" i="25" s="1"/>
  <c r="AF723" i="25"/>
  <c r="AD484" i="25"/>
  <c r="AF484" i="25" s="1"/>
  <c r="AF675" i="25"/>
  <c r="AF505" i="25"/>
  <c r="AF271" i="25"/>
  <c r="AF243" i="25"/>
  <c r="AF219" i="25"/>
  <c r="AF195" i="25"/>
  <c r="AF171" i="25"/>
  <c r="AF147" i="25"/>
  <c r="AF743" i="25"/>
  <c r="AD105" i="25"/>
  <c r="AF105" i="25" s="1"/>
  <c r="AD57" i="25"/>
  <c r="AF57" i="25" s="1"/>
  <c r="AD460" i="25"/>
  <c r="AF460" i="25" s="1"/>
  <c r="AD118" i="25"/>
  <c r="AF118" i="25" s="1"/>
  <c r="AD32" i="25"/>
  <c r="AF32" i="25" s="1"/>
  <c r="R55" i="34"/>
  <c r="AV61" i="34"/>
  <c r="AF80" i="34"/>
  <c r="AP90" i="34"/>
  <c r="R84" i="34"/>
  <c r="AF694" i="25"/>
  <c r="AF630" i="25"/>
  <c r="AD632" i="25"/>
  <c r="AF632" i="25" s="1"/>
  <c r="AD452" i="25"/>
  <c r="AF452" i="25" s="1"/>
  <c r="AD697" i="25"/>
  <c r="AF697" i="25" s="1"/>
  <c r="AF249" i="25"/>
  <c r="AF221" i="25"/>
  <c r="AF189" i="25"/>
  <c r="AF157" i="25"/>
  <c r="AF711" i="25"/>
  <c r="AD77" i="25"/>
  <c r="AF77" i="25" s="1"/>
  <c r="AD94" i="25"/>
  <c r="AF94" i="25" s="1"/>
  <c r="AF557" i="25"/>
  <c r="AL7" i="12"/>
  <c r="AL8" i="12"/>
  <c r="AL4" i="12"/>
  <c r="AL5" i="12"/>
  <c r="AL6" i="12"/>
  <c r="AL9" i="12"/>
  <c r="J55" i="34"/>
  <c r="AN191" i="34"/>
  <c r="AD92" i="25"/>
  <c r="AF92" i="25" s="1"/>
  <c r="H164" i="34"/>
  <c r="H153" i="34"/>
  <c r="H157" i="34"/>
  <c r="H155" i="34"/>
  <c r="H154" i="34"/>
  <c r="H161" i="34"/>
  <c r="H156" i="34"/>
  <c r="AD690" i="25"/>
  <c r="AF690" i="25" s="1"/>
  <c r="AF687" i="25"/>
  <c r="AD546" i="25"/>
  <c r="AF546" i="25" s="1"/>
  <c r="AF607" i="25"/>
  <c r="AD442" i="25"/>
  <c r="AF442" i="25" s="1"/>
  <c r="AF573" i="25"/>
  <c r="AF691" i="25"/>
  <c r="AF489" i="25"/>
  <c r="AD256" i="25"/>
  <c r="AF256" i="25" s="1"/>
  <c r="AD220" i="25"/>
  <c r="AF220" i="25" s="1"/>
  <c r="AF188" i="25"/>
  <c r="AF156" i="25"/>
  <c r="AD692" i="25"/>
  <c r="AF692" i="25" s="1"/>
  <c r="AD59" i="25"/>
  <c r="AF59" i="25" s="1"/>
  <c r="AF709" i="25"/>
  <c r="AD122" i="25"/>
  <c r="AF122" i="25" s="1"/>
  <c r="AF451" i="25"/>
  <c r="AM52" i="12"/>
  <c r="AM48" i="12"/>
  <c r="AM44" i="12"/>
  <c r="AM40" i="12"/>
  <c r="AM36" i="12"/>
  <c r="AM32" i="12"/>
  <c r="AM28" i="12"/>
  <c r="AM24" i="12"/>
  <c r="AM20" i="12"/>
  <c r="AM16" i="12"/>
  <c r="AM12" i="12"/>
  <c r="AM8" i="12"/>
  <c r="AM4" i="12"/>
  <c r="AM53" i="12"/>
  <c r="AM49" i="12"/>
  <c r="AM45" i="12"/>
  <c r="AM41" i="12"/>
  <c r="AM37" i="12"/>
  <c r="AM33" i="12"/>
  <c r="AM29" i="12"/>
  <c r="AM25" i="12"/>
  <c r="AM21" i="12"/>
  <c r="AM17" i="12"/>
  <c r="AM13" i="12"/>
  <c r="AM9" i="12"/>
  <c r="AM5" i="12"/>
  <c r="AM54" i="12"/>
  <c r="AM46" i="12"/>
  <c r="AM38" i="12"/>
  <c r="AM30" i="12"/>
  <c r="AM22" i="12"/>
  <c r="AM14" i="12"/>
  <c r="AM6" i="12"/>
  <c r="AM51" i="12"/>
  <c r="AM43" i="12"/>
  <c r="AM35" i="12"/>
  <c r="AM27" i="12"/>
  <c r="AM19" i="12"/>
  <c r="AM11" i="12"/>
  <c r="AM47" i="12"/>
  <c r="AM31" i="12"/>
  <c r="AM15" i="12"/>
  <c r="AM42" i="12"/>
  <c r="AM26" i="12"/>
  <c r="AM10" i="12"/>
  <c r="AM39" i="12"/>
  <c r="AM7" i="12"/>
  <c r="AM34" i="12"/>
  <c r="AM50" i="12"/>
  <c r="AM23" i="12"/>
  <c r="AM18" i="12"/>
  <c r="AP85" i="34"/>
  <c r="AF192" i="34"/>
  <c r="AF195" i="34"/>
  <c r="AH106" i="34"/>
  <c r="F79" i="25"/>
  <c r="H79" i="25" s="1"/>
  <c r="J79" i="25" s="1"/>
  <c r="F71" i="25"/>
  <c r="F63" i="25"/>
  <c r="H63" i="25" s="1"/>
  <c r="J63" i="25" s="1"/>
  <c r="F87" i="25"/>
  <c r="H87" i="25" s="1"/>
  <c r="J87" i="25" s="1"/>
  <c r="F20" i="25"/>
  <c r="F43" i="25"/>
  <c r="F75" i="25"/>
  <c r="H75" i="25" s="1"/>
  <c r="J75" i="25" s="1"/>
  <c r="F107" i="25"/>
  <c r="H107" i="25"/>
  <c r="J107" i="25" s="1"/>
  <c r="F4" i="25"/>
  <c r="H4" i="25" s="1"/>
  <c r="J4" i="25" s="1"/>
  <c r="F25" i="25"/>
  <c r="F41" i="25"/>
  <c r="H41" i="25" s="1"/>
  <c r="J41" i="25" s="1"/>
  <c r="F57" i="25"/>
  <c r="H57" i="25" s="1"/>
  <c r="J57" i="25" s="1"/>
  <c r="F73" i="25"/>
  <c r="H73" i="25" s="1"/>
  <c r="J73" i="25" s="1"/>
  <c r="F89" i="25"/>
  <c r="F105" i="25"/>
  <c r="H105" i="25" s="1"/>
  <c r="J105" i="25" s="1"/>
  <c r="F121" i="25"/>
  <c r="H121" i="25" s="1"/>
  <c r="J121" i="25" s="1"/>
  <c r="F12" i="25"/>
  <c r="H12" i="25" s="1"/>
  <c r="J12" i="25" s="1"/>
  <c r="F26" i="25"/>
  <c r="H26" i="25" s="1"/>
  <c r="F34" i="25"/>
  <c r="H34" i="25"/>
  <c r="F42" i="25"/>
  <c r="H42" i="25"/>
  <c r="F50" i="25"/>
  <c r="H50" i="25" s="1"/>
  <c r="J50" i="25" s="1"/>
  <c r="F58" i="25"/>
  <c r="H58" i="25" s="1"/>
  <c r="F66" i="25"/>
  <c r="H66" i="25" s="1"/>
  <c r="F74" i="25"/>
  <c r="H74" i="25" s="1"/>
  <c r="F82" i="25"/>
  <c r="H82" i="25"/>
  <c r="F90" i="25"/>
  <c r="H90" i="25" s="1"/>
  <c r="F98" i="25"/>
  <c r="H98" i="25" s="1"/>
  <c r="F106" i="25"/>
  <c r="H106" i="25"/>
  <c r="J106" i="25" s="1"/>
  <c r="F114" i="25"/>
  <c r="H114" i="25" s="1"/>
  <c r="F122" i="25"/>
  <c r="H122" i="25" s="1"/>
  <c r="F16" i="25"/>
  <c r="H16" i="25" s="1"/>
  <c r="F126" i="25"/>
  <c r="H126" i="25" s="1"/>
  <c r="J126" i="25" s="1"/>
  <c r="F130" i="25"/>
  <c r="H130" i="25"/>
  <c r="J130" i="25" s="1"/>
  <c r="F134" i="25"/>
  <c r="F138" i="25"/>
  <c r="H138" i="25" s="1"/>
  <c r="J138" i="25" s="1"/>
  <c r="F142" i="25"/>
  <c r="H142" i="25"/>
  <c r="J142" i="25" s="1"/>
  <c r="F146" i="25"/>
  <c r="H146" i="25" s="1"/>
  <c r="J146" i="25" s="1"/>
  <c r="F150" i="25"/>
  <c r="F154" i="25"/>
  <c r="H154" i="25" s="1"/>
  <c r="J154" i="25" s="1"/>
  <c r="F158" i="25"/>
  <c r="H158" i="25" s="1"/>
  <c r="J158" i="25" s="1"/>
  <c r="F162" i="25"/>
  <c r="H162" i="25"/>
  <c r="J162" i="25" s="1"/>
  <c r="F166" i="25"/>
  <c r="F170" i="25"/>
  <c r="H170" i="25" s="1"/>
  <c r="J170" i="25" s="1"/>
  <c r="F174" i="25"/>
  <c r="H174" i="25"/>
  <c r="J174" i="25" s="1"/>
  <c r="F178" i="25"/>
  <c r="H178" i="25" s="1"/>
  <c r="J178" i="25" s="1"/>
  <c r="F182" i="25"/>
  <c r="F186" i="25"/>
  <c r="H186" i="25" s="1"/>
  <c r="J186" i="25" s="1"/>
  <c r="F190" i="25"/>
  <c r="H190" i="25" s="1"/>
  <c r="J190" i="25" s="1"/>
  <c r="AF721" i="25"/>
  <c r="AD574" i="25"/>
  <c r="AF574" i="25" s="1"/>
  <c r="AF623" i="25"/>
  <c r="AF454" i="25"/>
  <c r="AD528" i="25"/>
  <c r="AF528" i="25" s="1"/>
  <c r="AF653" i="25"/>
  <c r="AF423" i="25"/>
  <c r="AF247" i="25"/>
  <c r="AF203" i="25"/>
  <c r="AF155" i="25"/>
  <c r="AD440" i="25"/>
  <c r="AF440" i="25" s="1"/>
  <c r="AD65" i="25"/>
  <c r="AF65" i="25" s="1"/>
  <c r="AF499" i="25"/>
  <c r="P194" i="34"/>
  <c r="P161" i="34"/>
  <c r="H167" i="34"/>
  <c r="P190" i="34"/>
  <c r="P202" i="34"/>
  <c r="J89" i="34"/>
  <c r="J85" i="34"/>
  <c r="AP112" i="34"/>
  <c r="H159" i="34"/>
  <c r="J56" i="34"/>
  <c r="Z58" i="34"/>
  <c r="Z54" i="34"/>
  <c r="Z60" i="34"/>
  <c r="Z63" i="34"/>
  <c r="Z52" i="34"/>
  <c r="Z62" i="34"/>
  <c r="Z70" i="34"/>
  <c r="Z61" i="34"/>
  <c r="Z69" i="34"/>
  <c r="Z64" i="34"/>
  <c r="Z67" i="34"/>
  <c r="Z65" i="34"/>
  <c r="Z68" i="34"/>
  <c r="Z71" i="34"/>
  <c r="Z66" i="34"/>
  <c r="Z59" i="34"/>
  <c r="L30" i="32"/>
  <c r="L29" i="32"/>
  <c r="T7" i="32"/>
  <c r="T5" i="32"/>
  <c r="T4" i="32"/>
  <c r="T3" i="32"/>
  <c r="L32" i="32"/>
  <c r="T6" i="32"/>
  <c r="L31" i="32"/>
  <c r="V32" i="32"/>
  <c r="V31" i="32"/>
  <c r="V30" i="32"/>
  <c r="V29" i="32"/>
  <c r="AV7" i="32"/>
  <c r="AV6" i="32"/>
  <c r="AV5" i="32"/>
  <c r="AV4" i="32"/>
  <c r="AV3" i="32"/>
  <c r="AV8" i="32"/>
  <c r="P30" i="32"/>
  <c r="P29" i="32"/>
  <c r="P32" i="32"/>
  <c r="L4" i="32"/>
  <c r="P31" i="32"/>
  <c r="L3" i="32"/>
  <c r="L8" i="32"/>
  <c r="L5" i="32"/>
  <c r="L7" i="32"/>
  <c r="L6" i="32"/>
  <c r="X205" i="34"/>
  <c r="AM131" i="34"/>
  <c r="AF183" i="34"/>
  <c r="X142" i="34"/>
  <c r="W142" i="34"/>
  <c r="X143" i="34"/>
  <c r="W143" i="34"/>
  <c r="W132" i="34"/>
  <c r="W130" i="34"/>
  <c r="G142" i="34"/>
  <c r="G139" i="34"/>
  <c r="P193" i="34"/>
  <c r="X207" i="34"/>
  <c r="J87" i="34"/>
  <c r="AF79" i="34"/>
  <c r="AF87" i="34"/>
  <c r="P154" i="34"/>
  <c r="AN174" i="34"/>
  <c r="AP93" i="34"/>
  <c r="AF197" i="34"/>
  <c r="F111" i="25"/>
  <c r="F5" i="25"/>
  <c r="F91" i="25"/>
  <c r="H91" i="25" s="1"/>
  <c r="J91" i="25" s="1"/>
  <c r="F49" i="25"/>
  <c r="H49" i="25"/>
  <c r="J49" i="25" s="1"/>
  <c r="F97" i="25"/>
  <c r="F3" i="25"/>
  <c r="F54" i="25"/>
  <c r="H54" i="25"/>
  <c r="F78" i="25"/>
  <c r="H78" i="25" s="1"/>
  <c r="J78" i="25" s="1"/>
  <c r="F94" i="25"/>
  <c r="H94" i="25" s="1"/>
  <c r="F118" i="25"/>
  <c r="H118" i="25" s="1"/>
  <c r="F128" i="25"/>
  <c r="H128" i="25" s="1"/>
  <c r="J128" i="25" s="1"/>
  <c r="F136" i="25"/>
  <c r="H136" i="25" s="1"/>
  <c r="J136" i="25" s="1"/>
  <c r="F148" i="25"/>
  <c r="F160" i="25"/>
  <c r="H160" i="25" s="1"/>
  <c r="J160" i="25" s="1"/>
  <c r="F176" i="25"/>
  <c r="H176" i="25" s="1"/>
  <c r="J176" i="25" s="1"/>
  <c r="F188" i="25"/>
  <c r="H188" i="25" s="1"/>
  <c r="J188" i="25" s="1"/>
  <c r="P163" i="34"/>
  <c r="R66" i="34"/>
  <c r="U29" i="32"/>
  <c r="U32" i="32"/>
  <c r="AN9" i="32"/>
  <c r="AN8" i="32"/>
  <c r="U31" i="32"/>
  <c r="U30" i="32"/>
  <c r="AN6" i="32"/>
  <c r="U33" i="32"/>
  <c r="AN10" i="32"/>
  <c r="AN7" i="32"/>
  <c r="AN5" i="32"/>
  <c r="AN4" i="32"/>
  <c r="AN3" i="32"/>
  <c r="H186" i="34"/>
  <c r="N146" i="34"/>
  <c r="Q143" i="34"/>
  <c r="N142" i="34"/>
  <c r="Q139" i="34"/>
  <c r="N138" i="34"/>
  <c r="Q135" i="34"/>
  <c r="N134" i="34"/>
  <c r="Q130" i="34"/>
  <c r="N145" i="34"/>
  <c r="R130" i="34" s="1"/>
  <c r="Q142" i="34"/>
  <c r="N141" i="34"/>
  <c r="Q138" i="34"/>
  <c r="N137" i="34"/>
  <c r="Q134" i="34"/>
  <c r="N133" i="34"/>
  <c r="N143" i="34"/>
  <c r="Q140" i="34"/>
  <c r="N135" i="34"/>
  <c r="Q132" i="34"/>
  <c r="N130" i="34"/>
  <c r="Q145" i="34"/>
  <c r="N140" i="34"/>
  <c r="Q137" i="34"/>
  <c r="N132" i="34"/>
  <c r="R131" i="34"/>
  <c r="Q144" i="34"/>
  <c r="N139" i="34"/>
  <c r="Q136" i="34"/>
  <c r="Q131" i="34"/>
  <c r="Q133" i="34"/>
  <c r="N131" i="34"/>
  <c r="N144" i="34"/>
  <c r="Q141" i="34"/>
  <c r="N136" i="34"/>
  <c r="AN180" i="34"/>
  <c r="AD351" i="25"/>
  <c r="AF351" i="25" s="1"/>
  <c r="R70" i="34"/>
  <c r="R62" i="34"/>
  <c r="S31" i="32"/>
  <c r="S30" i="32"/>
  <c r="AF8" i="32"/>
  <c r="AF3" i="32"/>
  <c r="S29" i="32"/>
  <c r="AF6" i="32"/>
  <c r="S32" i="32"/>
  <c r="AF5" i="32"/>
  <c r="AF4" i="32"/>
  <c r="AF7" i="32"/>
  <c r="BH8" i="32"/>
  <c r="BH6" i="32"/>
  <c r="BH7" i="32"/>
  <c r="BH5" i="32"/>
  <c r="BH9" i="32"/>
  <c r="BH4" i="32"/>
  <c r="BH3" i="32"/>
  <c r="J70" i="34"/>
  <c r="J62" i="34"/>
  <c r="Z55" i="34"/>
  <c r="AA224" i="34"/>
  <c r="AA219" i="34"/>
  <c r="AA217" i="34"/>
  <c r="AA215" i="34"/>
  <c r="AA223" i="34"/>
  <c r="AA222" i="34"/>
  <c r="AA221" i="34"/>
  <c r="AA220" i="34"/>
  <c r="AA218" i="34"/>
  <c r="AA216" i="34"/>
  <c r="G256" i="34"/>
  <c r="J69" i="34"/>
  <c r="J61" i="34"/>
  <c r="P174" i="34"/>
  <c r="P203" i="34"/>
  <c r="P192" i="34"/>
  <c r="P198" i="34"/>
  <c r="P196" i="34"/>
  <c r="R60" i="34"/>
  <c r="AH111" i="34"/>
  <c r="AN137" i="34"/>
  <c r="AM137" i="34"/>
  <c r="AM132" i="34"/>
  <c r="AM130" i="34"/>
  <c r="AN144" i="34"/>
  <c r="AM144" i="34"/>
  <c r="AM138" i="34"/>
  <c r="AN138" i="34"/>
  <c r="AM135" i="34"/>
  <c r="AM143" i="34"/>
  <c r="AN143" i="34"/>
  <c r="V222" i="34"/>
  <c r="V227" i="34"/>
  <c r="V234" i="34"/>
  <c r="AX94" i="34"/>
  <c r="AX86" i="34"/>
  <c r="AF52" i="43"/>
  <c r="AB52" i="43"/>
  <c r="X52" i="43"/>
  <c r="AE52" i="43"/>
  <c r="AA52" i="43"/>
  <c r="AD52" i="43"/>
  <c r="AC52" i="43"/>
  <c r="AG52" i="43"/>
  <c r="Y52" i="43"/>
  <c r="Z52" i="43"/>
  <c r="X81" i="34"/>
  <c r="X80" i="34"/>
  <c r="X89" i="34"/>
  <c r="X99" i="34"/>
  <c r="X84" i="34"/>
  <c r="AF175" i="34"/>
  <c r="W138" i="34"/>
  <c r="R89" i="34"/>
  <c r="R85" i="34"/>
  <c r="R79" i="34"/>
  <c r="R80" i="34"/>
  <c r="R93" i="34"/>
  <c r="G141" i="34"/>
  <c r="G136" i="34"/>
  <c r="G132" i="34"/>
  <c r="G131" i="34"/>
  <c r="J88" i="34"/>
  <c r="P162" i="34"/>
  <c r="P182" i="34"/>
  <c r="X63" i="32"/>
  <c r="Y63" i="32" s="1"/>
  <c r="P156" i="34"/>
  <c r="R69" i="34"/>
  <c r="AV52" i="34"/>
  <c r="AF81" i="34"/>
  <c r="AF78" i="34"/>
  <c r="AF83" i="34"/>
  <c r="R96" i="34"/>
  <c r="AN190" i="34"/>
  <c r="P181" i="34"/>
  <c r="X65" i="32"/>
  <c r="Y65" i="32" s="1"/>
  <c r="Z65" i="32" s="1"/>
  <c r="AA65" i="32" s="1"/>
  <c r="P47" i="32"/>
  <c r="AP94" i="34"/>
  <c r="AP84" i="34"/>
  <c r="AF196" i="34"/>
  <c r="AF199" i="34"/>
  <c r="AP114" i="34"/>
  <c r="X189" i="34"/>
  <c r="AN52" i="12"/>
  <c r="AN48" i="12"/>
  <c r="AN44" i="12"/>
  <c r="AN40" i="12"/>
  <c r="AN36" i="12"/>
  <c r="AN32" i="12"/>
  <c r="AN28" i="12"/>
  <c r="AN24" i="12"/>
  <c r="AN20" i="12"/>
  <c r="AN16" i="12"/>
  <c r="AN12" i="12"/>
  <c r="AN8" i="12"/>
  <c r="AN4" i="12"/>
  <c r="AN51" i="12"/>
  <c r="AN47" i="12"/>
  <c r="AN43" i="12"/>
  <c r="AN39" i="12"/>
  <c r="AN35" i="12"/>
  <c r="AN31" i="12"/>
  <c r="AN27" i="12"/>
  <c r="AN23" i="12"/>
  <c r="AN19" i="12"/>
  <c r="AN15" i="12"/>
  <c r="AN11" i="12"/>
  <c r="AN7" i="12"/>
  <c r="AN53" i="12"/>
  <c r="AN49" i="12"/>
  <c r="AN45" i="12"/>
  <c r="AN41" i="12"/>
  <c r="AN37" i="12"/>
  <c r="AN33" i="12"/>
  <c r="AN29" i="12"/>
  <c r="AN25" i="12"/>
  <c r="AN21" i="12"/>
  <c r="AN17" i="12"/>
  <c r="AN13" i="12"/>
  <c r="AN9" i="12"/>
  <c r="AN5" i="12"/>
  <c r="AN50" i="12"/>
  <c r="AN34" i="12"/>
  <c r="AN18" i="12"/>
  <c r="AN46" i="12"/>
  <c r="AN30" i="12"/>
  <c r="AN14" i="12"/>
  <c r="AN54" i="12"/>
  <c r="AN22" i="12"/>
  <c r="AN42" i="12"/>
  <c r="AN10" i="12"/>
  <c r="AN38" i="12"/>
  <c r="AN26" i="12"/>
  <c r="AN6" i="12"/>
  <c r="AP81" i="34"/>
  <c r="R115" i="34"/>
  <c r="R106" i="34"/>
  <c r="F47" i="25"/>
  <c r="H47" i="25" s="1"/>
  <c r="J47" i="25" s="1"/>
  <c r="F103" i="25"/>
  <c r="H103" i="25" s="1"/>
  <c r="J103" i="25" s="1"/>
  <c r="F95" i="25"/>
  <c r="F119" i="25"/>
  <c r="H119" i="25" s="1"/>
  <c r="J119" i="25" s="1"/>
  <c r="F22" i="25"/>
  <c r="F51" i="25"/>
  <c r="H51" i="25"/>
  <c r="J51" i="25" s="1"/>
  <c r="F83" i="25"/>
  <c r="F115" i="25"/>
  <c r="H115" i="25" s="1"/>
  <c r="J115" i="25" s="1"/>
  <c r="F7" i="25"/>
  <c r="H7" i="25" s="1"/>
  <c r="J7" i="25" s="1"/>
  <c r="F29" i="25"/>
  <c r="H29" i="25" s="1"/>
  <c r="J29" i="25" s="1"/>
  <c r="F45" i="25"/>
  <c r="F61" i="25"/>
  <c r="H61" i="25" s="1"/>
  <c r="J61" i="25" s="1"/>
  <c r="F77" i="25"/>
  <c r="H77" i="25" s="1"/>
  <c r="J77" i="25" s="1"/>
  <c r="F93" i="25"/>
  <c r="H93" i="25" s="1"/>
  <c r="J93" i="25" s="1"/>
  <c r="F109" i="25"/>
  <c r="F125" i="25"/>
  <c r="H125" i="25" s="1"/>
  <c r="J125" i="25" s="1"/>
  <c r="F13" i="25"/>
  <c r="H13" i="25" s="1"/>
  <c r="J13" i="25" s="1"/>
  <c r="F28" i="25"/>
  <c r="H28" i="25" s="1"/>
  <c r="J28" i="25" s="1"/>
  <c r="F36" i="25"/>
  <c r="H36" i="25" s="1"/>
  <c r="F44" i="25"/>
  <c r="H44" i="25" s="1"/>
  <c r="F52" i="25"/>
  <c r="H52" i="25" s="1"/>
  <c r="F60" i="25"/>
  <c r="H60" i="25"/>
  <c r="F68" i="25"/>
  <c r="H68" i="25" s="1"/>
  <c r="F76" i="25"/>
  <c r="H76" i="25"/>
  <c r="F84" i="25"/>
  <c r="H84" i="25"/>
  <c r="J84" i="25" s="1"/>
  <c r="F92" i="25"/>
  <c r="H92" i="25" s="1"/>
  <c r="F100" i="25"/>
  <c r="H100" i="25" s="1"/>
  <c r="F108" i="25"/>
  <c r="F116" i="25"/>
  <c r="H116" i="25" s="1"/>
  <c r="J116" i="25" s="1"/>
  <c r="F124" i="25"/>
  <c r="H124" i="25"/>
  <c r="J124" i="25" s="1"/>
  <c r="F17" i="25"/>
  <c r="H17" i="25" s="1"/>
  <c r="F127" i="25"/>
  <c r="H127" i="25" s="1"/>
  <c r="J127" i="25" s="1"/>
  <c r="F131" i="25"/>
  <c r="H131" i="25" s="1"/>
  <c r="J131" i="25" s="1"/>
  <c r="F135" i="25"/>
  <c r="H135" i="25" s="1"/>
  <c r="J135" i="25" s="1"/>
  <c r="F139" i="25"/>
  <c r="F143" i="25"/>
  <c r="H143" i="25" s="1"/>
  <c r="J143" i="25" s="1"/>
  <c r="F147" i="25"/>
  <c r="H147" i="25" s="1"/>
  <c r="J147" i="25" s="1"/>
  <c r="F151" i="25"/>
  <c r="H151" i="25" s="1"/>
  <c r="J151" i="25" s="1"/>
  <c r="F155" i="25"/>
  <c r="F159" i="25"/>
  <c r="H159" i="25" s="1"/>
  <c r="J159" i="25" s="1"/>
  <c r="F163" i="25"/>
  <c r="H163" i="25" s="1"/>
  <c r="J163" i="25" s="1"/>
  <c r="F167" i="25"/>
  <c r="H167" i="25" s="1"/>
  <c r="J167" i="25" s="1"/>
  <c r="F171" i="25"/>
  <c r="F175" i="25"/>
  <c r="H175" i="25" s="1"/>
  <c r="J175" i="25" s="1"/>
  <c r="F179" i="25"/>
  <c r="H179" i="25" s="1"/>
  <c r="J179" i="25" s="1"/>
  <c r="F183" i="25"/>
  <c r="H183" i="25" s="1"/>
  <c r="J183" i="25" s="1"/>
  <c r="F187" i="25"/>
  <c r="F191" i="25"/>
  <c r="H191" i="25" s="1"/>
  <c r="J191" i="25" s="1"/>
  <c r="AP79" i="34"/>
  <c r="H166" i="34"/>
  <c r="H165" i="34"/>
  <c r="J78" i="34"/>
  <c r="J93" i="34"/>
  <c r="AP107" i="34"/>
  <c r="P191" i="34"/>
  <c r="J42" i="25" l="1"/>
  <c r="J181" i="25"/>
  <c r="J17" i="25"/>
  <c r="J168" i="25"/>
  <c r="H133" i="25"/>
  <c r="J133" i="25" s="1"/>
  <c r="J60" i="25"/>
  <c r="J54" i="25"/>
  <c r="J82" i="25"/>
  <c r="J23" i="25"/>
  <c r="J69" i="25"/>
  <c r="AP53" i="34"/>
  <c r="AP153" i="34"/>
  <c r="AP65" i="34"/>
  <c r="AP55" i="34"/>
  <c r="AP69" i="34"/>
  <c r="AP56" i="34"/>
  <c r="AP60" i="34"/>
  <c r="AP59" i="34"/>
  <c r="AP54" i="34"/>
  <c r="AP63" i="34"/>
  <c r="AP67" i="34"/>
  <c r="AP57" i="34"/>
  <c r="AP66" i="34"/>
  <c r="AP70" i="34"/>
  <c r="AP58" i="34"/>
  <c r="AP52" i="34"/>
  <c r="AP71" i="34"/>
  <c r="AP62" i="34"/>
  <c r="AP61" i="34"/>
  <c r="AP64" i="34"/>
  <c r="AP68" i="34"/>
  <c r="J76" i="25"/>
  <c r="J98" i="25"/>
  <c r="I8" i="49"/>
  <c r="J153" i="25"/>
  <c r="J9" i="25"/>
  <c r="J39" i="25"/>
  <c r="J92" i="25"/>
  <c r="J44" i="25"/>
  <c r="J118" i="25"/>
  <c r="J114" i="25"/>
  <c r="J74" i="25"/>
  <c r="J66" i="25"/>
  <c r="J169" i="25"/>
  <c r="H149" i="25"/>
  <c r="J149" i="25" s="1"/>
  <c r="J72" i="25"/>
  <c r="H113" i="25"/>
  <c r="J113" i="25" s="1"/>
  <c r="J52" i="25"/>
  <c r="H108" i="25"/>
  <c r="J108" i="25" s="1"/>
  <c r="J34" i="25"/>
  <c r="J180" i="25"/>
  <c r="J62" i="25"/>
  <c r="J59" i="25"/>
  <c r="J185" i="25"/>
  <c r="J85" i="25"/>
  <c r="AF631" i="25"/>
  <c r="Y64" i="32"/>
  <c r="Z64" i="32" s="1"/>
  <c r="AA64" i="32" s="1"/>
  <c r="J137" i="25"/>
  <c r="J104" i="25"/>
  <c r="J40" i="25"/>
  <c r="J35" i="25"/>
  <c r="J164" i="25"/>
  <c r="J38" i="25"/>
  <c r="J123" i="25"/>
  <c r="AF301" i="25"/>
  <c r="AB66" i="43"/>
  <c r="AB24" i="43" s="1"/>
  <c r="AB23" i="43" s="1"/>
  <c r="V23" i="43"/>
  <c r="Y66" i="43"/>
  <c r="AD66" i="43"/>
  <c r="AG66" i="43"/>
  <c r="AG24" i="43" s="1"/>
  <c r="AG23" i="43" s="1"/>
  <c r="AE66" i="43"/>
  <c r="AE24" i="43" s="1"/>
  <c r="AE23" i="43" s="1"/>
  <c r="N14" i="43"/>
  <c r="Q23" i="43"/>
  <c r="Z66" i="43"/>
  <c r="Z24" i="43" s="1"/>
  <c r="Z23" i="43" s="1"/>
  <c r="AA66" i="43"/>
  <c r="AF66" i="43"/>
  <c r="AF24" i="43" s="1"/>
  <c r="AF23" i="43" s="1"/>
  <c r="AC66" i="43"/>
  <c r="AC24" i="43" s="1"/>
  <c r="AC23" i="43" s="1"/>
  <c r="X66" i="43"/>
  <c r="N15" i="43"/>
  <c r="N10" i="43"/>
  <c r="N9" i="43"/>
  <c r="R23" i="43"/>
  <c r="N12" i="43"/>
  <c r="S23" i="43"/>
  <c r="O23" i="43"/>
  <c r="N23" i="43"/>
  <c r="N11" i="43"/>
  <c r="W23" i="43"/>
  <c r="BG277" i="34"/>
  <c r="BE277" i="34" s="1"/>
  <c r="BF293" i="34" s="1"/>
  <c r="G40" i="43"/>
  <c r="N13" i="43"/>
  <c r="N16" i="43"/>
  <c r="N8" i="43"/>
  <c r="G39" i="43"/>
  <c r="AH83" i="34"/>
  <c r="Y24" i="43"/>
  <c r="Y23" i="43" s="1"/>
  <c r="AD24" i="43"/>
  <c r="AD23" i="43" s="1"/>
  <c r="X24" i="43"/>
  <c r="X23" i="43" s="1"/>
  <c r="AA24" i="43"/>
  <c r="AA23" i="43" s="1"/>
  <c r="AX62" i="34"/>
  <c r="U23" i="43"/>
  <c r="T23" i="43"/>
  <c r="X138" i="34"/>
  <c r="G42" i="43"/>
  <c r="AH139" i="34"/>
  <c r="Z88" i="34"/>
  <c r="AX63" i="34"/>
  <c r="Z80" i="34"/>
  <c r="X139" i="34"/>
  <c r="AH144" i="34"/>
  <c r="AN134" i="34"/>
  <c r="AH137" i="34"/>
  <c r="H141" i="34"/>
  <c r="AN135" i="34"/>
  <c r="X137" i="34"/>
  <c r="AX61" i="34"/>
  <c r="X131" i="34"/>
  <c r="X135" i="34"/>
  <c r="Z86" i="34"/>
  <c r="H140" i="34"/>
  <c r="AH132" i="34"/>
  <c r="P23" i="43"/>
  <c r="AX53" i="34"/>
  <c r="H131" i="34"/>
  <c r="AN130" i="34"/>
  <c r="H139" i="34"/>
  <c r="H143" i="34"/>
  <c r="G44" i="43"/>
  <c r="X133" i="34"/>
  <c r="AX52" i="34"/>
  <c r="AH91" i="34"/>
  <c r="H135" i="34"/>
  <c r="AN132" i="34"/>
  <c r="AN131" i="34"/>
  <c r="G50" i="43"/>
  <c r="H133" i="34"/>
  <c r="AX58" i="34"/>
  <c r="AN133" i="34"/>
  <c r="AH141" i="34"/>
  <c r="AH143" i="34"/>
  <c r="AH87" i="34"/>
  <c r="X136" i="34"/>
  <c r="G49" i="43"/>
  <c r="G48" i="43"/>
  <c r="G53" i="43"/>
  <c r="G43" i="43"/>
  <c r="H134" i="34"/>
  <c r="H130" i="34"/>
  <c r="AH79" i="34"/>
  <c r="H144" i="34"/>
  <c r="Z63" i="32"/>
  <c r="AA63" i="32" s="1"/>
  <c r="P139" i="34"/>
  <c r="O139" i="34"/>
  <c r="O133" i="34"/>
  <c r="O141" i="34"/>
  <c r="P141" i="34"/>
  <c r="O134" i="34"/>
  <c r="O142" i="34"/>
  <c r="P142" i="34"/>
  <c r="H3" i="25"/>
  <c r="J3" i="25" s="1"/>
  <c r="H5" i="25"/>
  <c r="J5" i="25" s="1"/>
  <c r="AH88" i="34"/>
  <c r="AX67" i="34"/>
  <c r="H142" i="34"/>
  <c r="J16" i="25"/>
  <c r="AH93" i="34"/>
  <c r="AX57" i="34"/>
  <c r="Z82" i="34"/>
  <c r="J188" i="34"/>
  <c r="J185" i="34"/>
  <c r="J178" i="34"/>
  <c r="J175" i="34"/>
  <c r="J181" i="34"/>
  <c r="J186" i="34"/>
  <c r="J184" i="34"/>
  <c r="J177" i="34"/>
  <c r="J187" i="34"/>
  <c r="J183" i="34"/>
  <c r="J176" i="34"/>
  <c r="J182" i="34"/>
  <c r="J180" i="34"/>
  <c r="J189" i="34"/>
  <c r="J179" i="34"/>
  <c r="G47" i="43"/>
  <c r="G45" i="43"/>
  <c r="G55" i="43"/>
  <c r="J8" i="25"/>
  <c r="AH92" i="34"/>
  <c r="H19" i="25"/>
  <c r="J19" i="25" s="1"/>
  <c r="H6" i="25"/>
  <c r="J6" i="25" s="1"/>
  <c r="H11" i="25"/>
  <c r="J11" i="25" s="1"/>
  <c r="AH94" i="34"/>
  <c r="AX68" i="34"/>
  <c r="AX55" i="34"/>
  <c r="Z93" i="34"/>
  <c r="Z98" i="34"/>
  <c r="Z90" i="34"/>
  <c r="I154" i="43"/>
  <c r="I153" i="43" s="1"/>
  <c r="R153" i="34"/>
  <c r="R163" i="34"/>
  <c r="R159" i="34"/>
  <c r="R165" i="34"/>
  <c r="R167" i="34"/>
  <c r="R161" i="34"/>
  <c r="R157" i="34"/>
  <c r="R164" i="34"/>
  <c r="R162" i="34"/>
  <c r="R155" i="34"/>
  <c r="R154" i="34"/>
  <c r="R160" i="34"/>
  <c r="R156" i="34"/>
  <c r="R158" i="34"/>
  <c r="AH146" i="34"/>
  <c r="AH135" i="34"/>
  <c r="AH145" i="34"/>
  <c r="H136" i="34"/>
  <c r="R200" i="34"/>
  <c r="R195" i="34"/>
  <c r="R190" i="34"/>
  <c r="R191" i="34"/>
  <c r="R203" i="34"/>
  <c r="R198" i="34"/>
  <c r="R194" i="34"/>
  <c r="R202" i="34"/>
  <c r="R192" i="34"/>
  <c r="R174" i="34"/>
  <c r="R196" i="34"/>
  <c r="R185" i="34"/>
  <c r="R199" i="34"/>
  <c r="R193" i="34"/>
  <c r="R184" i="34"/>
  <c r="R176" i="34"/>
  <c r="R187" i="34"/>
  <c r="R181" i="34"/>
  <c r="R182" i="34"/>
  <c r="R189" i="34"/>
  <c r="R186" i="34"/>
  <c r="R178" i="34"/>
  <c r="R197" i="34"/>
  <c r="R175" i="34"/>
  <c r="R201" i="34"/>
  <c r="R177" i="34"/>
  <c r="R188" i="34"/>
  <c r="R180" i="34"/>
  <c r="R179" i="34"/>
  <c r="R183" i="34"/>
  <c r="O131" i="34"/>
  <c r="O132" i="34"/>
  <c r="P143" i="34"/>
  <c r="O143" i="34"/>
  <c r="AH81" i="34"/>
  <c r="H138" i="34"/>
  <c r="I58" i="43"/>
  <c r="G54" i="43"/>
  <c r="H137" i="34"/>
  <c r="O64" i="32"/>
  <c r="P64" i="32" s="1"/>
  <c r="Q64" i="32" s="1"/>
  <c r="R64" i="32" s="1"/>
  <c r="O67" i="32"/>
  <c r="Z87" i="34"/>
  <c r="AH90" i="34"/>
  <c r="AX71" i="34"/>
  <c r="H132" i="34"/>
  <c r="H139" i="25"/>
  <c r="J139" i="25" s="1"/>
  <c r="K8" i="49"/>
  <c r="AH78" i="34"/>
  <c r="AX54" i="34"/>
  <c r="Z89" i="34"/>
  <c r="Z81" i="34"/>
  <c r="P140" i="34"/>
  <c r="O140" i="34"/>
  <c r="O135" i="34"/>
  <c r="H148" i="25"/>
  <c r="J148" i="25" s="1"/>
  <c r="J94" i="25"/>
  <c r="H97" i="25"/>
  <c r="J97" i="25" s="1"/>
  <c r="H111" i="25"/>
  <c r="J111" i="25" s="1"/>
  <c r="AX59" i="34"/>
  <c r="X132" i="34"/>
  <c r="H182" i="25"/>
  <c r="J182" i="25" s="1"/>
  <c r="H166" i="25"/>
  <c r="J166" i="25" s="1"/>
  <c r="H150" i="25"/>
  <c r="J150" i="25" s="1"/>
  <c r="H134" i="25"/>
  <c r="J134" i="25" s="1"/>
  <c r="J122" i="25"/>
  <c r="J90" i="25"/>
  <c r="J58" i="25"/>
  <c r="J26" i="25"/>
  <c r="H89" i="25"/>
  <c r="J89" i="25" s="1"/>
  <c r="H25" i="25"/>
  <c r="J25" i="25" s="1"/>
  <c r="H43" i="25"/>
  <c r="J43" i="25" s="1"/>
  <c r="H20" i="25"/>
  <c r="J20" i="25" s="1"/>
  <c r="H71" i="25"/>
  <c r="J71" i="25" s="1"/>
  <c r="AH89" i="34"/>
  <c r="AX69" i="34"/>
  <c r="AX56" i="34"/>
  <c r="Z94" i="34"/>
  <c r="Z83" i="34"/>
  <c r="AH194" i="34"/>
  <c r="AH200" i="34"/>
  <c r="AH195" i="34"/>
  <c r="AH179" i="34"/>
  <c r="AH192" i="34"/>
  <c r="AH184" i="34"/>
  <c r="AH188" i="34"/>
  <c r="AH174" i="34"/>
  <c r="AH181" i="34"/>
  <c r="AH190" i="34"/>
  <c r="AH182" i="34"/>
  <c r="AH193" i="34"/>
  <c r="AH191" i="34"/>
  <c r="AH180" i="34"/>
  <c r="AH176" i="34"/>
  <c r="AH198" i="34"/>
  <c r="AH177" i="34"/>
  <c r="AH201" i="34"/>
  <c r="AH202" i="34"/>
  <c r="AH178" i="34"/>
  <c r="AH189" i="34"/>
  <c r="AH187" i="34"/>
  <c r="AH199" i="34"/>
  <c r="AH175" i="34"/>
  <c r="AH186" i="34"/>
  <c r="AH197" i="34"/>
  <c r="AH183" i="34"/>
  <c r="AH196" i="34"/>
  <c r="AH185" i="34"/>
  <c r="G57" i="43"/>
  <c r="H58" i="43"/>
  <c r="C25" i="43" s="1"/>
  <c r="C28" i="43" s="1"/>
  <c r="G51" i="43"/>
  <c r="G56" i="43"/>
  <c r="G41" i="43"/>
  <c r="H152" i="25"/>
  <c r="J152" i="25" s="1"/>
  <c r="J86" i="25"/>
  <c r="H65" i="25"/>
  <c r="J65" i="25" s="1"/>
  <c r="AH84" i="34"/>
  <c r="Z91" i="34"/>
  <c r="Z95" i="34"/>
  <c r="O65" i="32"/>
  <c r="H177" i="25"/>
  <c r="J177" i="25" s="1"/>
  <c r="H161" i="25"/>
  <c r="J161" i="25" s="1"/>
  <c r="H145" i="25"/>
  <c r="J145" i="25" s="1"/>
  <c r="H129" i="25"/>
  <c r="J129" i="25" s="1"/>
  <c r="J112" i="25"/>
  <c r="J80" i="25"/>
  <c r="J48" i="25"/>
  <c r="H117" i="25"/>
  <c r="J117" i="25" s="1"/>
  <c r="H53" i="25"/>
  <c r="J53" i="25" s="1"/>
  <c r="H99" i="25"/>
  <c r="J99" i="25" s="1"/>
  <c r="H55" i="25"/>
  <c r="J55" i="25" s="1"/>
  <c r="AH80" i="34"/>
  <c r="AH86" i="34"/>
  <c r="AX64" i="34"/>
  <c r="Z97" i="34"/>
  <c r="Z96" i="34"/>
  <c r="H184" i="25"/>
  <c r="J184" i="25" s="1"/>
  <c r="H144" i="25"/>
  <c r="J144" i="25" s="1"/>
  <c r="J70" i="25"/>
  <c r="H81" i="25"/>
  <c r="J81" i="25" s="1"/>
  <c r="AH134" i="34"/>
  <c r="AH140" i="34"/>
  <c r="AH133" i="34"/>
  <c r="O130" i="34"/>
  <c r="X130" i="34"/>
  <c r="X134" i="34"/>
  <c r="Z190" i="34"/>
  <c r="Z200" i="34"/>
  <c r="Z195" i="34"/>
  <c r="Z198" i="34"/>
  <c r="Z191" i="34"/>
  <c r="Z196" i="34"/>
  <c r="Z174" i="34"/>
  <c r="Z202" i="34"/>
  <c r="Z194" i="34"/>
  <c r="Z201" i="34"/>
  <c r="Z177" i="34"/>
  <c r="Z183" i="34"/>
  <c r="Z199" i="34"/>
  <c r="Z184" i="34"/>
  <c r="Z176" i="34"/>
  <c r="Z204" i="34"/>
  <c r="Z188" i="34"/>
  <c r="Z181" i="34"/>
  <c r="Z203" i="34"/>
  <c r="Z187" i="34"/>
  <c r="Z186" i="34"/>
  <c r="Z178" i="34"/>
  <c r="Z192" i="34"/>
  <c r="Z180" i="34"/>
  <c r="Z206" i="34"/>
  <c r="Z179" i="34"/>
  <c r="Z182" i="34"/>
  <c r="Z185" i="34"/>
  <c r="Z207" i="34"/>
  <c r="Z197" i="34"/>
  <c r="Z175" i="34"/>
  <c r="Z205" i="34"/>
  <c r="Z189" i="34"/>
  <c r="Z193" i="34"/>
  <c r="Z92" i="34"/>
  <c r="H22" i="25"/>
  <c r="J22" i="25" s="1"/>
  <c r="AH82" i="34"/>
  <c r="Z99" i="34"/>
  <c r="O136" i="34"/>
  <c r="H187" i="25"/>
  <c r="J187" i="25" s="1"/>
  <c r="H171" i="25"/>
  <c r="J171" i="25" s="1"/>
  <c r="H155" i="25"/>
  <c r="J155" i="25" s="1"/>
  <c r="J100" i="25"/>
  <c r="J68" i="25"/>
  <c r="J36" i="25"/>
  <c r="H109" i="25"/>
  <c r="J109" i="25" s="1"/>
  <c r="H45" i="25"/>
  <c r="J45" i="25" s="1"/>
  <c r="H83" i="25"/>
  <c r="J83" i="25" s="1"/>
  <c r="H95" i="25"/>
  <c r="J95" i="25" s="1"/>
  <c r="E462" i="31"/>
  <c r="AX66" i="34"/>
  <c r="AX70" i="34"/>
  <c r="Z84" i="34"/>
  <c r="P144" i="34"/>
  <c r="O144" i="34"/>
  <c r="O137" i="34"/>
  <c r="O145" i="34"/>
  <c r="P145" i="34"/>
  <c r="P138" i="34"/>
  <c r="O138" i="34"/>
  <c r="AP191" i="34"/>
  <c r="AP181" i="34"/>
  <c r="AP186" i="34"/>
  <c r="AP179" i="34"/>
  <c r="AP195" i="34"/>
  <c r="AP178" i="34"/>
  <c r="AP175" i="34"/>
  <c r="AP196" i="34"/>
  <c r="AP184" i="34"/>
  <c r="AP185" i="34"/>
  <c r="AP193" i="34"/>
  <c r="AP188" i="34"/>
  <c r="AP177" i="34"/>
  <c r="AP182" i="34"/>
  <c r="AP192" i="34"/>
  <c r="AP194" i="34"/>
  <c r="AP180" i="34"/>
  <c r="AP187" i="34"/>
  <c r="AP189" i="34"/>
  <c r="AP174" i="34"/>
  <c r="AP190" i="34"/>
  <c r="AP176" i="34"/>
  <c r="AP183" i="34"/>
  <c r="J157" i="34"/>
  <c r="J156" i="34"/>
  <c r="J159" i="34"/>
  <c r="J165" i="34"/>
  <c r="J161" i="34"/>
  <c r="J153" i="34"/>
  <c r="J164" i="34"/>
  <c r="J155" i="34"/>
  <c r="J167" i="34"/>
  <c r="J154" i="34"/>
  <c r="J163" i="34"/>
  <c r="J166" i="34"/>
  <c r="J158" i="34"/>
  <c r="J162" i="34"/>
  <c r="J160" i="34"/>
  <c r="AH85" i="34"/>
  <c r="AX65" i="34"/>
  <c r="Z79" i="34"/>
  <c r="G46" i="43"/>
  <c r="G52" i="43"/>
  <c r="Z78" i="34"/>
  <c r="AX60" i="34"/>
  <c r="Z85" i="34"/>
  <c r="AP154" i="34"/>
  <c r="AP156" i="34"/>
  <c r="AP155" i="34"/>
  <c r="AH157" i="34"/>
  <c r="AH154" i="34"/>
  <c r="AH155" i="34"/>
  <c r="AH156" i="34"/>
  <c r="AH153" i="34"/>
  <c r="Z159" i="34"/>
  <c r="Z160" i="34"/>
  <c r="Z164" i="34"/>
  <c r="Z162" i="34"/>
  <c r="Z158" i="34"/>
  <c r="Z155" i="34"/>
  <c r="Z154" i="34"/>
  <c r="Z156" i="34"/>
  <c r="Z153" i="34"/>
  <c r="Z163" i="34"/>
  <c r="Z157" i="34"/>
  <c r="Z161" i="34"/>
  <c r="AH138" i="34"/>
  <c r="AH136" i="34"/>
  <c r="AH142" i="34"/>
  <c r="BF305" i="34" l="1"/>
  <c r="BF298" i="34"/>
  <c r="BF295" i="34"/>
  <c r="BF288" i="34"/>
  <c r="BF285" i="34"/>
  <c r="BF279" i="34"/>
  <c r="BF292" i="34"/>
  <c r="BF302" i="34"/>
  <c r="BF297" i="34"/>
  <c r="BF289" i="34"/>
  <c r="BF306" i="34"/>
  <c r="P65" i="32"/>
  <c r="Q65" i="32" s="1"/>
  <c r="R65" i="32" s="1"/>
  <c r="BF296" i="34"/>
  <c r="BF284" i="34"/>
  <c r="BF291" i="34"/>
  <c r="BF290" i="34"/>
  <c r="BF282" i="34"/>
  <c r="BF287" i="34"/>
  <c r="N7" i="43"/>
  <c r="N6" i="43" s="1"/>
  <c r="BF281" i="34"/>
  <c r="BF304" i="34"/>
  <c r="BF277" i="34"/>
  <c r="BF303" i="34"/>
  <c r="BF283" i="34"/>
  <c r="BF301" i="34"/>
  <c r="BF286" i="34"/>
  <c r="BF299" i="34"/>
  <c r="BF300" i="34"/>
  <c r="BF278" i="34"/>
  <c r="BF294" i="34"/>
  <c r="BF280" i="34"/>
  <c r="AP137" i="34"/>
  <c r="AP141" i="34"/>
  <c r="AP143" i="34"/>
  <c r="AP136" i="34"/>
  <c r="AP132" i="34"/>
  <c r="AP133" i="34"/>
  <c r="AP145" i="34"/>
  <c r="AP146" i="34"/>
  <c r="AP142" i="34"/>
  <c r="AP135" i="34"/>
  <c r="P130" i="34"/>
  <c r="AP134" i="34"/>
  <c r="P136" i="34"/>
  <c r="P67" i="32"/>
  <c r="P134" i="34"/>
  <c r="AP140" i="34"/>
  <c r="AP139" i="34"/>
  <c r="AP144" i="34"/>
  <c r="AP138" i="34"/>
  <c r="P135" i="34"/>
  <c r="P132" i="34"/>
  <c r="P131" i="34"/>
  <c r="J140" i="34"/>
  <c r="J145" i="34"/>
  <c r="J141" i="34"/>
  <c r="J133" i="34"/>
  <c r="J143" i="34"/>
  <c r="J142" i="34"/>
  <c r="J132" i="34"/>
  <c r="J137" i="34"/>
  <c r="J144" i="34"/>
  <c r="J134" i="34"/>
  <c r="J138" i="34"/>
  <c r="J135" i="34"/>
  <c r="J146" i="34"/>
  <c r="J139" i="34"/>
  <c r="J136" i="34"/>
  <c r="P133" i="34"/>
  <c r="P137" i="34"/>
  <c r="Z134" i="34"/>
  <c r="Z135" i="34"/>
  <c r="Z145" i="34"/>
  <c r="Z132" i="34"/>
  <c r="Z138" i="34"/>
  <c r="Z140" i="34"/>
  <c r="Z144" i="34"/>
  <c r="Z137" i="34"/>
  <c r="Z139" i="34"/>
  <c r="Z133" i="34"/>
  <c r="Z146" i="34"/>
  <c r="Z141" i="34"/>
  <c r="Z136" i="34"/>
  <c r="Z142" i="34"/>
  <c r="Z143" i="34"/>
  <c r="E463" i="31"/>
  <c r="E464" i="31" s="1"/>
  <c r="Q67" i="32" l="1"/>
  <c r="R67" i="32" s="1"/>
  <c r="D43" i="32" s="1"/>
  <c r="G43" i="32" s="1"/>
  <c r="I43" i="32" s="1"/>
  <c r="R133" i="34"/>
  <c r="R134" i="34"/>
  <c r="R139" i="34"/>
  <c r="R137" i="34"/>
  <c r="R132" i="34"/>
  <c r="R146" i="34"/>
  <c r="R138" i="34"/>
  <c r="R142" i="34"/>
  <c r="R145" i="34"/>
  <c r="E465" i="31"/>
  <c r="R135" i="34"/>
  <c r="R144" i="34"/>
  <c r="R141" i="34"/>
  <c r="R136" i="34"/>
  <c r="R143" i="34"/>
  <c r="R140" i="34"/>
  <c r="D28" i="32" l="1"/>
  <c r="G28" i="32" s="1"/>
  <c r="I28" i="32" s="1"/>
  <c r="D33" i="32"/>
  <c r="G33" i="32" s="1"/>
  <c r="I33" i="32" s="1"/>
  <c r="D38" i="32"/>
  <c r="G38" i="32" s="1"/>
  <c r="I38" i="32" s="1"/>
  <c r="D31" i="32"/>
  <c r="G31" i="32" s="1"/>
  <c r="I31" i="32" s="1"/>
  <c r="D36" i="32"/>
  <c r="G36" i="32" s="1"/>
  <c r="I36" i="32" s="1"/>
  <c r="D32" i="32"/>
  <c r="G32" i="32" s="1"/>
  <c r="I32" i="32" s="1"/>
  <c r="D30" i="32"/>
  <c r="G30" i="32" s="1"/>
  <c r="I30" i="32" s="1"/>
  <c r="D35" i="32"/>
  <c r="G35" i="32" s="1"/>
  <c r="I35" i="32" s="1"/>
  <c r="D40" i="32"/>
  <c r="G40" i="32" s="1"/>
  <c r="I40" i="32" s="1"/>
  <c r="D39" i="32"/>
  <c r="G39" i="32" s="1"/>
  <c r="I39" i="32" s="1"/>
  <c r="D29" i="32"/>
  <c r="G29" i="32" s="1"/>
  <c r="I29" i="32" s="1"/>
  <c r="D37" i="32"/>
  <c r="G37" i="32" s="1"/>
  <c r="I37" i="32" s="1"/>
  <c r="D44" i="32"/>
  <c r="G44" i="32" s="1"/>
  <c r="I44" i="32" s="1"/>
  <c r="D41" i="32"/>
  <c r="G41" i="32" s="1"/>
  <c r="I41" i="32" s="1"/>
  <c r="D42" i="32"/>
  <c r="G42" i="32" s="1"/>
  <c r="I42" i="32" s="1"/>
  <c r="D34" i="32"/>
  <c r="G34" i="32" s="1"/>
  <c r="I34" i="32" s="1"/>
  <c r="D27" i="32"/>
  <c r="G27" i="32" s="1"/>
  <c r="I27" i="32" s="1"/>
  <c r="E466" i="31"/>
  <c r="E467" i="31" l="1"/>
  <c r="E468" i="31" l="1"/>
  <c r="F454" i="31" s="1"/>
  <c r="F465" i="31" l="1"/>
  <c r="H465" i="31" s="1"/>
  <c r="F426" i="31"/>
  <c r="H426" i="31" s="1"/>
  <c r="L454" i="31"/>
  <c r="H454" i="31"/>
  <c r="F464" i="31"/>
  <c r="H464" i="31" s="1"/>
  <c r="F468" i="31"/>
  <c r="F424" i="31"/>
  <c r="H424" i="31" s="1"/>
  <c r="F452" i="31"/>
  <c r="F447" i="31"/>
  <c r="H447" i="31" s="1"/>
  <c r="F422" i="31"/>
  <c r="H422" i="31" s="1"/>
  <c r="F429" i="31"/>
  <c r="F459" i="31"/>
  <c r="H459" i="31" s="1"/>
  <c r="F450" i="31"/>
  <c r="H450" i="31" s="1"/>
  <c r="F448" i="31"/>
  <c r="H448" i="31" s="1"/>
  <c r="F428" i="31"/>
  <c r="H428" i="31" s="1"/>
  <c r="F449" i="31"/>
  <c r="H449" i="31" s="1"/>
  <c r="F446" i="31"/>
  <c r="H446" i="31" s="1"/>
  <c r="F425" i="31"/>
  <c r="H425" i="31" s="1"/>
  <c r="F430" i="31"/>
  <c r="H430" i="31" s="1"/>
  <c r="F451" i="31"/>
  <c r="H451" i="31" s="1"/>
  <c r="F427" i="31"/>
  <c r="H427" i="31" s="1"/>
  <c r="F423" i="31"/>
  <c r="H423" i="31" s="1"/>
  <c r="F455" i="31"/>
  <c r="H455" i="31" s="1"/>
  <c r="F461" i="31"/>
  <c r="H461" i="31" s="1"/>
  <c r="F453" i="31"/>
  <c r="F460" i="31"/>
  <c r="H460" i="31" s="1"/>
  <c r="F462" i="31"/>
  <c r="H462" i="31" s="1"/>
  <c r="F466" i="31"/>
  <c r="H466" i="31" s="1"/>
  <c r="F463" i="31"/>
  <c r="H463" i="31" s="1"/>
  <c r="F456" i="31"/>
  <c r="H456" i="31" s="1"/>
  <c r="F467" i="31"/>
  <c r="H467" i="31" s="1"/>
  <c r="H453" i="31" l="1"/>
  <c r="L453" i="31"/>
  <c r="H468" i="31"/>
  <c r="L468" i="31"/>
  <c r="H452" i="31"/>
  <c r="L452" i="31"/>
  <c r="J425" i="31" s="1"/>
  <c r="C424" i="31" s="1"/>
  <c r="F111" i="31" s="1"/>
  <c r="H429" i="31"/>
  <c r="L429" i="31"/>
  <c r="J429" i="31" l="1"/>
  <c r="J430" i="31"/>
  <c r="J423" i="31"/>
  <c r="C422" i="31" s="1"/>
  <c r="D111" i="31" s="1"/>
  <c r="J428" i="31"/>
  <c r="J424" i="31"/>
  <c r="C423" i="31" s="1"/>
  <c r="E111"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S3" authorId="0" shapeId="0" xr:uid="{00000000-0006-0000-0000-000001000000}">
      <text>
        <r>
          <rPr>
            <sz val="10"/>
            <color rgb="FF000000"/>
            <rFont val="Arial"/>
            <family val="2"/>
            <charset val="204"/>
          </rPr>
          <t>Give each container a unique name. So for example if you have two pouches, name them "Pouch 1" and "Pouch 2." 
If you have an item with multiple container types, make sure to give each portion an unique name as well. For example, "Quiver of Elonna, Small," "Quiver of Elonna, Medium," and "Quiver of Elonna, Large."</t>
        </r>
      </text>
    </comment>
    <comment ref="T3" authorId="0" shapeId="0" xr:uid="{00000000-0006-0000-0000-000002000000}">
      <text>
        <r>
          <rPr>
            <sz val="10"/>
            <color rgb="FF000000"/>
            <rFont val="Arial"/>
            <family val="2"/>
            <charset val="204"/>
          </rPr>
          <t>If you're using a container from the 5e OGL you can click it here to fill the correct values.  All autofill containers must come first in this list. 
You can set the number of rows that autofill containers in the Settings to the left.  If you increase the number of autofilled rows, ensure that the rows below are empty.
Any containers with ↪ in front of them indicate you must also have the similarly named parent container above them.
For all non-OGL containers, enter your own values.</t>
        </r>
      </text>
    </comment>
    <comment ref="Z3" authorId="0" shapeId="0" xr:uid="{00000000-0006-0000-0000-000003000000}">
      <text>
        <r>
          <rPr>
            <sz val="10"/>
            <color rgb="FF000000"/>
            <rFont val="Arial"/>
            <family val="2"/>
            <charset val="204"/>
          </rPr>
          <t>Put the number of pounds the item can hold if it doesn't use slots, or put the slots it can hold if it uses slots (and make sure to type Y in "Slots?")</t>
        </r>
      </text>
    </comment>
    <comment ref="AB3" authorId="0" shapeId="0" xr:uid="{00000000-0006-0000-0000-000004000000}">
      <text>
        <r>
          <rPr>
            <sz val="10"/>
            <color rgb="FF000000"/>
            <rFont val="Arial"/>
            <family val="2"/>
            <charset val="204"/>
          </rPr>
          <t>Where do you keep the item?
- Equipped = On your body
- Mount = On your mount
- Stored Away = Somewhere Else</t>
        </r>
      </text>
    </comment>
    <comment ref="AE3" authorId="0" shapeId="0" xr:uid="{00000000-0006-0000-0000-000005000000}">
      <text>
        <r>
          <rPr>
            <sz val="10"/>
            <color rgb="FF000000"/>
            <rFont val="Arial"/>
            <family val="2"/>
            <charset val="204"/>
          </rPr>
          <t>Type Y if the container 
tracks slots instead of weight, N if not.</t>
        </r>
      </text>
    </comment>
    <comment ref="AF3" authorId="0" shapeId="0" xr:uid="{00000000-0006-0000-0000-000006000000}">
      <text>
        <r>
          <rPr>
            <sz val="10"/>
            <color rgb="FF000000"/>
            <rFont val="Arial"/>
            <family val="2"/>
            <charset val="204"/>
          </rPr>
          <t>Type Y if the container is extradimensional, N if not.</t>
        </r>
      </text>
    </comment>
    <comment ref="C4" authorId="0" shapeId="0" xr:uid="{00000000-0006-0000-0000-000007000000}">
      <text>
        <r>
          <rPr>
            <sz val="10"/>
            <color rgb="FF000000"/>
            <rFont val="Arial"/>
            <family val="2"/>
            <charset val="204"/>
          </rPr>
          <t>Speed drops by 10 feet.</t>
        </r>
      </text>
    </comment>
    <comment ref="C5" authorId="0" shapeId="0" xr:uid="{00000000-0006-0000-0000-000008000000}">
      <text>
        <r>
          <rPr>
            <sz val="10"/>
            <color rgb="FF000000"/>
            <rFont val="Arial"/>
            <family val="2"/>
            <charset val="204"/>
          </rPr>
          <t>Your speed drops by 20 feet and you have disadvantage on ability checks, attack rolls, and saving throws that use Strength, Dexterity, or Constitution.</t>
        </r>
      </text>
    </comment>
    <comment ref="C6" authorId="0" shapeId="0" xr:uid="{00000000-0006-0000-0000-000009000000}">
      <text>
        <r>
          <rPr>
            <sz val="10"/>
            <color rgb="FF000000"/>
            <rFont val="Arial"/>
            <family val="2"/>
            <charset val="204"/>
          </rPr>
          <t>The maximum weight you can carry at all.</t>
        </r>
      </text>
    </comment>
    <comment ref="C7" authorId="0" shapeId="0" xr:uid="{00000000-0006-0000-0000-00000A000000}">
      <text>
        <r>
          <rPr>
            <sz val="10"/>
            <color rgb="FF000000"/>
            <rFont val="Arial"/>
            <family val="2"/>
            <charset val="204"/>
          </rPr>
          <t>You can push, drag, or lift this amount. While pushing or dragging weight in excess of your carrying capacity, your speed drops to 5 feet.</t>
        </r>
      </text>
    </comment>
    <comment ref="J13" authorId="0" shapeId="0" xr:uid="{00000000-0006-0000-0000-00000B000000}">
      <text>
        <r>
          <rPr>
            <sz val="10"/>
            <color rgb="FF000000"/>
            <rFont val="Arial"/>
            <family val="2"/>
            <charset val="204"/>
          </rPr>
          <t>All autofilled rows in Containers (to the right) must come before custom container rows. At least the first row must always be autofilled.
Ignore the red flags on the middle cells in the Containers table. These are created when the cells are autofilled, but do not indicate that anything is wrong.
They simply prevent you from accidentally typing in the autofilled cells. :)</t>
        </r>
      </text>
    </comment>
    <comment ref="P18" authorId="0" shapeId="0" xr:uid="{00000000-0006-0000-0000-00000C000000}">
      <text>
        <r>
          <rPr>
            <sz val="10"/>
            <color rgb="FF000000"/>
            <rFont val="Arial"/>
            <family val="2"/>
            <charset val="204"/>
          </rPr>
          <t xml:space="preserve">Check the box if you are attuned to the item.
</t>
        </r>
      </text>
    </comment>
    <comment ref="C34" authorId="0" shapeId="0" xr:uid="{00000000-0006-0000-0000-00000D000000}">
      <text>
        <r>
          <rPr>
            <sz val="10"/>
            <color rgb="FF000000"/>
            <rFont val="Arial"/>
            <family val="2"/>
            <charset val="204"/>
          </rPr>
          <t>Regular cut or copy-and-paste will destroy the formatting of this sheet!
Instead, copy the row you want to move, then CTRL-SHIFT-V into the new row. Delete the contents of the old row.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JH</author>
  </authors>
  <commentList>
    <comment ref="B38" authorId="0" shapeId="0" xr:uid="{300AD3EF-BC35-4CB3-85BA-112822D0D40B}">
      <text>
        <r>
          <rPr>
            <b/>
            <sz val="9"/>
            <color indexed="81"/>
            <rFont val="Tahoma"/>
            <family val="2"/>
          </rPr>
          <t xml:space="preserve">I SET PERSONALITY TRAIT #2 TO BE COMPLETELY RANDOM, ADDS TO SAME LINE
</t>
        </r>
      </text>
    </comment>
    <comment ref="D49" authorId="0" shapeId="0" xr:uid="{5EF38DCF-E6A6-49AA-8786-14165C6F07C7}">
      <text>
        <r>
          <rPr>
            <sz val="9"/>
            <color indexed="81"/>
            <rFont val="Tahoma"/>
            <family val="2"/>
          </rPr>
          <t xml:space="preserve">racial spells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 Hafner</author>
  </authors>
  <commentList>
    <comment ref="K3" authorId="0" shapeId="0" xr:uid="{66F3B2F1-CB16-4A21-ACF1-ED73C168C883}">
      <text>
        <r>
          <rPr>
            <b/>
            <sz val="9"/>
            <color indexed="81"/>
            <rFont val="Tahoma"/>
            <family val="2"/>
          </rPr>
          <t xml:space="preserve">SHOW UP IN COLUMN SKILLS!P44, 45
</t>
        </r>
      </text>
    </comment>
    <comment ref="C4" authorId="0" shapeId="0" xr:uid="{D9FCDFB6-5017-46BD-AE02-28D04D5E982B}">
      <text>
        <r>
          <rPr>
            <b/>
            <sz val="9"/>
            <color indexed="81"/>
            <rFont val="Tahoma"/>
            <family val="2"/>
          </rPr>
          <t xml:space="preserve">SUBCATEGORY NUMBER FOR SORTING COLUMNS BELOW
</t>
        </r>
      </text>
    </comment>
    <comment ref="G22" authorId="0" shapeId="0" xr:uid="{6FADEDD0-A9BB-4A9F-94DC-6373C7871464}">
      <text>
        <r>
          <rPr>
            <b/>
            <sz val="9"/>
            <color indexed="81"/>
            <rFont val="Tahoma"/>
            <family val="2"/>
          </rPr>
          <t>chosen from whole list to reduce clutter</t>
        </r>
      </text>
    </comment>
    <comment ref="F27" authorId="0" shapeId="0" xr:uid="{F17D6F1A-DE46-4F9E-927F-C5ADA4F7899F}">
      <text>
        <r>
          <rPr>
            <b/>
            <sz val="9"/>
            <color indexed="81"/>
            <rFont val="Tahoma"/>
            <family val="2"/>
          </rPr>
          <t>not chosen at random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JH</author>
  </authors>
  <commentList>
    <comment ref="L4" authorId="0" shapeId="0" xr:uid="{077D8AA7-9255-47FE-8EBD-98E8E8688804}">
      <text>
        <r>
          <rPr>
            <b/>
            <sz val="9"/>
            <color indexed="81"/>
            <rFont val="Tahoma"/>
            <family val="2"/>
          </rPr>
          <t xml:space="preserve">Reference cell for level.  Will be ZERO if user has specified they don't want magic items.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JH</author>
  </authors>
  <commentList>
    <comment ref="D5" authorId="0" shapeId="0" xr:uid="{783F8138-413B-4E8E-93C5-AF867E7FA080}">
      <text>
        <r>
          <rPr>
            <b/>
            <sz val="9"/>
            <color indexed="81"/>
            <rFont val="Tahoma"/>
            <family val="2"/>
          </rPr>
          <t xml:space="preserve">References user option for wealth/magic items by level or just starting gold PHB143.
</t>
        </r>
      </text>
    </comment>
    <comment ref="C24" authorId="0" shapeId="0" xr:uid="{E03729E6-28B5-4C08-98B2-E4426C3242C0}">
      <text>
        <r>
          <rPr>
            <b/>
            <sz val="9"/>
            <color indexed="81"/>
            <rFont val="Tahoma"/>
            <family val="2"/>
          </rPr>
          <t xml:space="preserve">PHB p.143
</t>
        </r>
      </text>
    </comment>
    <comment ref="D42" authorId="0" shapeId="0" xr:uid="{2F624E40-51F7-4EF1-9656-208C0D0B12B0}">
      <text>
        <r>
          <rPr>
            <b/>
            <sz val="9"/>
            <color indexed="81"/>
            <rFont val="Tahoma"/>
            <family val="2"/>
          </rPr>
          <t xml:space="preserve">References either random starting wealth (phb143) or max wealth in USER tab.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C26" authorId="0" shapeId="0" xr:uid="{99B42DC2-03E2-4308-9391-7E0B6E530D5C}">
      <text>
        <r>
          <rPr>
            <b/>
            <sz val="9"/>
            <color indexed="81"/>
            <rFont val="Tahoma"/>
            <family val="2"/>
          </rPr>
          <t xml:space="preserve">ADDED FOR ROGUE ONLY - NOT SIMPLE RANGED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JH</author>
    <author>User</author>
  </authors>
  <commentList>
    <comment ref="M33" authorId="0" shapeId="0" xr:uid="{1A53E97F-C40A-495E-80E9-C0C2A6C8681E}">
      <text>
        <r>
          <rPr>
            <b/>
            <sz val="9"/>
            <color indexed="81"/>
            <rFont val="Tahoma"/>
            <family val="2"/>
          </rPr>
          <t xml:space="preserve">SCAG ADDITIONS
</t>
        </r>
        <r>
          <rPr>
            <sz val="9"/>
            <color indexed="81"/>
            <rFont val="Tahoma"/>
            <family val="2"/>
          </rPr>
          <t xml:space="preserve">
</t>
        </r>
      </text>
    </comment>
    <comment ref="U254" authorId="1" shapeId="0" xr:uid="{CE4A3AD1-7A41-4888-B3C4-EC3EE1C84F97}">
      <text>
        <r>
          <rPr>
            <b/>
            <sz val="9"/>
            <color indexed="81"/>
            <rFont val="Tahoma"/>
            <family val="2"/>
          </rPr>
          <t xml:space="preserve">ELEMENTAL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Dave Brown</author>
  </authors>
  <commentList>
    <comment ref="C174" authorId="0" shapeId="0" xr:uid="{40477627-F39E-488F-834A-E299A54839EA}">
      <text>
        <r>
          <rPr>
            <b/>
            <sz val="9"/>
            <color indexed="81"/>
            <rFont val="Tahoma"/>
            <family val="2"/>
          </rPr>
          <t>Required by class</t>
        </r>
        <r>
          <rPr>
            <sz val="9"/>
            <color indexed="81"/>
            <rFont val="Tahoma"/>
            <family val="2"/>
          </rPr>
          <t xml:space="preserve">
</t>
        </r>
      </text>
    </comment>
    <comment ref="N174" authorId="0" shapeId="0" xr:uid="{B1F3FC14-396C-4A1A-AB81-27202798CA7A}">
      <text>
        <r>
          <rPr>
            <b/>
            <sz val="9"/>
            <color indexed="81"/>
            <rFont val="Tahoma"/>
            <family val="2"/>
          </rPr>
          <t>Required by class</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 Hafner</author>
  </authors>
  <commentList>
    <comment ref="D39" authorId="0" shapeId="0" xr:uid="{314703B7-3416-4E7B-AF18-C44896CFCB45}">
      <text>
        <r>
          <rPr>
            <sz val="9"/>
            <color indexed="81"/>
            <rFont val="Tahoma"/>
            <family val="2"/>
          </rPr>
          <t xml:space="preserve">BLADESINGER SHOWS PROF TWICE; THAT'S OK
</t>
        </r>
      </text>
    </comment>
    <comment ref="P44" authorId="0" shapeId="0" xr:uid="{A165E51B-CDFF-45BF-9131-AC6BDD59EB0F}">
      <text>
        <r>
          <rPr>
            <sz val="9"/>
            <color indexed="81"/>
            <rFont val="Tahoma"/>
            <family val="2"/>
          </rPr>
          <t xml:space="preserve">backgrounds with one bonus language here
</t>
        </r>
      </text>
    </comment>
    <comment ref="P45" authorId="0" shapeId="0" xr:uid="{54F96E29-4E9C-4BB3-A0A4-2E21ADA52BE6}">
      <text>
        <r>
          <rPr>
            <b/>
            <sz val="9"/>
            <color indexed="81"/>
            <rFont val="Tahoma"/>
            <family val="2"/>
          </rPr>
          <t xml:space="preserve">backgrounds with two bonus languages show up here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JH</author>
    <author>Jay</author>
  </authors>
  <commentList>
    <comment ref="H5" authorId="0" shapeId="0" xr:uid="{C416FC05-EE51-4921-88C6-1AE44AC5EF9E}">
      <text>
        <r>
          <rPr>
            <sz val="9"/>
            <color indexed="81"/>
            <rFont val="Tahoma"/>
            <family val="2"/>
          </rPr>
          <t>Strikethrough means it is unofficial; author preference for min-maxing</t>
        </r>
        <r>
          <rPr>
            <b/>
            <sz val="9"/>
            <color indexed="81"/>
            <rFont val="Tahoma"/>
            <family val="2"/>
          </rPr>
          <t xml:space="preserve">
</t>
        </r>
      </text>
    </comment>
    <comment ref="F7" authorId="0" shapeId="0" xr:uid="{D1710077-C484-46B8-8742-30E2E9271A9D}">
      <text>
        <r>
          <rPr>
            <b/>
            <sz val="9"/>
            <color indexed="81"/>
            <rFont val="Tahoma"/>
            <family val="2"/>
          </rPr>
          <t>PHB primary ability on this class is either Str (melee) or Dex (e.g.archer)</t>
        </r>
      </text>
    </comment>
    <comment ref="D9" authorId="1" shapeId="0" xr:uid="{AE97AECE-04FC-4385-8FDA-C44212C560A2}">
      <text>
        <r>
          <rPr>
            <sz val="9"/>
            <color indexed="81"/>
            <rFont val="Tahoma"/>
            <family val="2"/>
          </rPr>
          <t>Wizard doesn't choose his specialty until after 1st level.</t>
        </r>
      </text>
    </comment>
    <comment ref="F13" authorId="0" shapeId="0" xr:uid="{92EF4623-5D1F-4697-AB83-42543E3FA396}">
      <text>
        <r>
          <rPr>
            <b/>
            <sz val="9"/>
            <color indexed="81"/>
            <rFont val="Tahoma"/>
            <family val="2"/>
          </rPr>
          <t xml:space="preserve">
phb p45 primary ability is dual!
</t>
        </r>
      </text>
    </comment>
    <comment ref="F14" authorId="0" shapeId="0" xr:uid="{190FB45B-4EF9-498B-9F01-B34A3C8EEBEB}">
      <text>
        <r>
          <rPr>
            <b/>
            <sz val="9"/>
            <color indexed="81"/>
            <rFont val="Tahoma"/>
            <family val="2"/>
          </rPr>
          <t xml:space="preserve">
phb p45 primary ability is dual!</t>
        </r>
      </text>
    </comment>
    <comment ref="F15" authorId="0" shapeId="0" xr:uid="{EC37E4FD-DA6F-4F09-8738-3020E561A2CF}">
      <text>
        <r>
          <rPr>
            <b/>
            <sz val="9"/>
            <color indexed="81"/>
            <rFont val="Tahoma"/>
            <family val="2"/>
          </rPr>
          <t xml:space="preserve">
phb p45 primary ability is dual!</t>
        </r>
      </text>
    </comment>
    <comment ref="C369" authorId="0" shapeId="0" xr:uid="{331C091F-5666-4564-8AF6-2B044B7278A3}">
      <text>
        <r>
          <rPr>
            <b/>
            <sz val="9"/>
            <color indexed="81"/>
            <rFont val="Tahoma"/>
            <family val="2"/>
          </rPr>
          <t>WOW! How did I get way over here???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B27" authorId="0" shapeId="0" xr:uid="{00000000-0006-0000-0600-000001000000}">
      <text>
        <r>
          <rPr>
            <sz val="10"/>
            <color rgb="FF000000"/>
            <rFont val="Arial"/>
            <family val="2"/>
            <charset val="204"/>
          </rPr>
          <t>This is for magical AC bonuses added by other items, such as rings or bracers.</t>
        </r>
      </text>
    </comment>
    <comment ref="AL27" authorId="0" shapeId="0" xr:uid="{00000000-0006-0000-0600-000002000000}">
      <text>
        <r>
          <rPr>
            <sz val="10"/>
            <color rgb="FF000000"/>
            <rFont val="Arial"/>
            <family val="2"/>
            <charset val="204"/>
          </rPr>
          <t>This is for AC bonuses added by things like your class or feats.</t>
        </r>
      </text>
    </comment>
    <comment ref="V62" authorId="0" shapeId="0" xr:uid="{00000000-0006-0000-0600-000003000000}">
      <text>
        <r>
          <rPr>
            <sz val="10"/>
            <color rgb="FF000000"/>
            <rFont val="Arial"/>
            <family val="2"/>
            <charset val="204"/>
          </rPr>
          <t>Parenthetical notations are for  versatile weapons used in their two handed mode.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3" authorId="0" shapeId="0" xr:uid="{00000000-0006-0000-0400-000001000000}">
      <text>
        <r>
          <rPr>
            <sz val="10"/>
            <color rgb="FF000000"/>
            <rFont val="Arial"/>
            <family val="2"/>
            <charset val="204"/>
          </rPr>
          <t>Highlighted creatures are named individuals</t>
        </r>
      </text>
    </comment>
    <comment ref="D3" authorId="0" shapeId="0" xr:uid="{00000000-0006-0000-0400-000002000000}">
      <text>
        <r>
          <rPr>
            <sz val="10"/>
            <color rgb="FF000000"/>
            <rFont val="Arial"/>
            <family val="2"/>
            <charset val="204"/>
          </rPr>
          <t>Left blank if the creature is worth 0 XP.</t>
        </r>
      </text>
    </comment>
    <comment ref="H3" authorId="0" shapeId="0" xr:uid="{00000000-0006-0000-0400-000003000000}">
      <text>
        <r>
          <rPr>
            <sz val="10"/>
            <color rgb="FF000000"/>
            <rFont val="Arial"/>
            <family val="2"/>
            <charset val="204"/>
          </rPr>
          <t>Additional tags that aren't official, but may be useful for filtering: Dinosaur, Genie, Golem, Hag, Mephit, Modron, Myconid, Naga, Slaad, Spider, Swarm, Vampire</t>
        </r>
      </text>
    </comment>
    <comment ref="I3" authorId="0" shapeId="0" xr:uid="{00000000-0006-0000-0400-000004000000}">
      <text>
        <r>
          <rPr>
            <sz val="10"/>
            <color rgb="FF000000"/>
            <rFont val="Arial"/>
            <family val="2"/>
            <charset val="204"/>
          </rPr>
          <t>1 = Shapechanger tag</t>
        </r>
      </text>
    </comment>
    <comment ref="K3" authorId="0" shapeId="0" xr:uid="{00000000-0006-0000-0400-000005000000}">
      <text>
        <r>
          <rPr>
            <sz val="10"/>
            <color rgb="FF000000"/>
            <rFont val="Arial"/>
            <family val="2"/>
            <charset val="204"/>
          </rPr>
          <t>Caster Level</t>
        </r>
      </text>
    </comment>
    <comment ref="L3" authorId="0" shapeId="0" xr:uid="{00000000-0006-0000-0400-000006000000}">
      <text>
        <r>
          <rPr>
            <sz val="10"/>
            <color rgb="FF000000"/>
            <rFont val="Arial"/>
            <family val="2"/>
            <charset val="204"/>
          </rPr>
          <t>Caster Type:
B = Bard
C = Cleric
D = Druid
L = Warlock
P = Paladin
S = Sorcerer
W = Wizard</t>
        </r>
      </text>
    </comment>
    <comment ref="N3" authorId="0" shapeId="0" xr:uid="{00000000-0006-0000-0400-000007000000}">
      <text>
        <r>
          <rPr>
            <sz val="10"/>
            <color rgb="FF000000"/>
            <rFont val="Arial"/>
            <family val="2"/>
            <charset val="204"/>
          </rPr>
          <t>Average Hit Points</t>
        </r>
      </text>
    </comment>
    <comment ref="O3" authorId="0" shapeId="0" xr:uid="{00000000-0006-0000-0400-000008000000}">
      <text>
        <r>
          <rPr>
            <sz val="10"/>
            <color rgb="FF000000"/>
            <rFont val="Arial"/>
            <family val="2"/>
            <charset val="204"/>
          </rPr>
          <t>Number of Hit Dice</t>
        </r>
      </text>
    </comment>
    <comment ref="P3" authorId="0" shapeId="0" xr:uid="{00000000-0006-0000-0400-000009000000}">
      <text>
        <r>
          <rPr>
            <sz val="10"/>
            <color rgb="FF000000"/>
            <rFont val="Arial"/>
            <family val="2"/>
            <charset val="204"/>
          </rPr>
          <t>Size of Hit Dice</t>
        </r>
      </text>
    </comment>
    <comment ref="Q3" authorId="0" shapeId="0" xr:uid="{00000000-0006-0000-0400-00000A000000}">
      <text>
        <r>
          <rPr>
            <sz val="10"/>
            <color rgb="FF000000"/>
            <rFont val="Arial"/>
            <family val="2"/>
            <charset val="204"/>
          </rPr>
          <t>Adjustment to Hit Dice</t>
        </r>
      </text>
    </comment>
    <comment ref="V3" authorId="0" shapeId="0" xr:uid="{00000000-0006-0000-0400-00000B000000}">
      <text>
        <r>
          <rPr>
            <sz val="10"/>
            <color rgb="FF000000"/>
            <rFont val="Arial"/>
            <family val="2"/>
            <charset val="204"/>
          </rPr>
          <t>Cells highlighting in green denotes special movement.</t>
        </r>
      </text>
    </comment>
    <comment ref="Y3" authorId="0" shapeId="0" xr:uid="{00000000-0006-0000-0400-00000C000000}">
      <text>
        <r>
          <rPr>
            <sz val="10"/>
            <color rgb="FF000000"/>
            <rFont val="Arial"/>
            <family val="2"/>
            <charset val="204"/>
          </rPr>
          <t>Cells highlighting in green denotes Hover.</t>
        </r>
      </text>
    </comment>
    <comment ref="AG3" authorId="0" shapeId="0" xr:uid="{00000000-0006-0000-0400-00000D000000}">
      <text>
        <r>
          <rPr>
            <sz val="10"/>
            <color rgb="FF000000"/>
            <rFont val="Arial"/>
            <family val="2"/>
            <charset val="204"/>
          </rPr>
          <t>Monster Manual</t>
        </r>
      </text>
    </comment>
    <comment ref="AH3" authorId="0" shapeId="0" xr:uid="{00000000-0006-0000-0400-00000E000000}">
      <text>
        <r>
          <rPr>
            <sz val="10"/>
            <color rgb="FF000000"/>
            <rFont val="Arial"/>
            <family val="2"/>
            <charset val="204"/>
          </rPr>
          <t>Player's Handbook</t>
        </r>
      </text>
    </comment>
    <comment ref="AI3" authorId="0" shapeId="0" xr:uid="{00000000-0006-0000-0400-00000F000000}">
      <text>
        <r>
          <rPr>
            <sz val="10"/>
            <color rgb="FF000000"/>
            <rFont val="Arial"/>
            <family val="2"/>
            <charset val="204"/>
          </rPr>
          <t>Dungeon Master's Guide</t>
        </r>
      </text>
    </comment>
    <comment ref="AJ3" authorId="0" shapeId="0" xr:uid="{00000000-0006-0000-0400-000010000000}">
      <text>
        <r>
          <rPr>
            <sz val="10"/>
            <color rgb="FF000000"/>
            <rFont val="Arial"/>
            <family val="2"/>
            <charset val="204"/>
          </rPr>
          <t xml:space="preserve">Starter Set:
Lost Mine of Phandelver
</t>
        </r>
      </text>
    </comment>
    <comment ref="AK3" authorId="0" shapeId="0" xr:uid="{00000000-0006-0000-0400-000011000000}">
      <text>
        <r>
          <rPr>
            <sz val="10"/>
            <color rgb="FF000000"/>
            <rFont val="Arial"/>
            <family val="2"/>
            <charset val="204"/>
          </rPr>
          <t>Hoard of the Dragon Queen</t>
        </r>
      </text>
    </comment>
    <comment ref="AL3" authorId="0" shapeId="0" xr:uid="{00000000-0006-0000-0400-000012000000}">
      <text>
        <r>
          <rPr>
            <sz val="10"/>
            <color rgb="FF000000"/>
            <rFont val="Arial"/>
            <family val="2"/>
            <charset val="204"/>
          </rPr>
          <t>Rise of Tiamat</t>
        </r>
      </text>
    </comment>
    <comment ref="AM3" authorId="0" shapeId="0" xr:uid="{00000000-0006-0000-0400-000013000000}">
      <text>
        <r>
          <rPr>
            <sz val="10"/>
            <color rgb="FF000000"/>
            <rFont val="Arial"/>
            <family val="2"/>
            <charset val="204"/>
          </rPr>
          <t>Princes of the Apocalypse</t>
        </r>
      </text>
    </comment>
    <comment ref="AN3" authorId="0" shapeId="0" xr:uid="{00000000-0006-0000-0400-000014000000}">
      <text>
        <r>
          <rPr>
            <sz val="10"/>
            <color rgb="FF000000"/>
            <rFont val="Arial"/>
            <family val="2"/>
            <charset val="204"/>
          </rPr>
          <t>DM's Basic Rules</t>
        </r>
      </text>
    </comment>
    <comment ref="AO3" authorId="0" shapeId="0" xr:uid="{00000000-0006-0000-0400-000015000000}">
      <text>
        <r>
          <rPr>
            <sz val="10"/>
            <color rgb="FF000000"/>
            <rFont val="Arial"/>
            <family val="2"/>
            <charset val="204"/>
          </rPr>
          <t>System Reference Document</t>
        </r>
      </text>
    </comment>
    <comment ref="AP3" authorId="0" shapeId="0" xr:uid="{00000000-0006-0000-0400-000016000000}">
      <text>
        <r>
          <rPr>
            <sz val="10"/>
            <color rgb="FF000000"/>
            <rFont val="Arial"/>
            <family val="2"/>
            <charset val="204"/>
          </rPr>
          <t>Hoard of the Dragon Queen Supplement</t>
        </r>
      </text>
    </comment>
    <comment ref="AQ3" authorId="0" shapeId="0" xr:uid="{00000000-0006-0000-0400-000017000000}">
      <text>
        <r>
          <rPr>
            <sz val="10"/>
            <color rgb="FF000000"/>
            <rFont val="Arial"/>
            <family val="2"/>
            <charset val="204"/>
          </rPr>
          <t>Rise of Tiamat Supplement</t>
        </r>
      </text>
    </comment>
    <comment ref="AR3" authorId="0" shapeId="0" xr:uid="{00000000-0006-0000-0400-000018000000}">
      <text>
        <r>
          <rPr>
            <sz val="10"/>
            <color rgb="FF000000"/>
            <rFont val="Arial"/>
            <family val="2"/>
            <charset val="204"/>
          </rPr>
          <t>D&amp;D Encounters:
Hoard of the Dragon Queen</t>
        </r>
      </text>
    </comment>
    <comment ref="AS3" authorId="0" shapeId="0" xr:uid="{00000000-0006-0000-0400-000019000000}">
      <text>
        <r>
          <rPr>
            <sz val="10"/>
            <color rgb="FF000000"/>
            <rFont val="Arial"/>
            <family val="2"/>
            <charset val="204"/>
          </rPr>
          <t>D&amp;D Expeditions:
1. Defiance in Phlan
2. Secrets of Sokol Keep
3. Shadows over the Moonsea
4. Dues for the Dead
5. The Courting of Fire
6. The Scroll Thief
7. Drums in the Marsh
8. Tales Trees Tell
9. Outlaws of the Iron Route
10. Tyranny of Phlan
11. Dark Pyramid of Sorcerer's Isle
12. Raiders of the Twilight Marsh
13. Pool of Radiance Resurgent
14. Escape from Phlan</t>
        </r>
      </text>
    </comment>
    <comment ref="AT3" authorId="0" shapeId="0" xr:uid="{00000000-0006-0000-0400-00001A000000}">
      <text>
        <r>
          <rPr>
            <sz val="10"/>
            <color rgb="FF000000"/>
            <rFont val="Arial"/>
            <family val="2"/>
            <charset val="204"/>
          </rPr>
          <t>Princes of the Apocalypse Supplement</t>
        </r>
      </text>
    </comment>
    <comment ref="AU3" authorId="0" shapeId="0" xr:uid="{00000000-0006-0000-0400-00001B000000}">
      <text>
        <r>
          <rPr>
            <sz val="10"/>
            <color rgb="FF000000"/>
            <rFont val="Arial"/>
            <family val="2"/>
            <charset val="204"/>
          </rPr>
          <t>D&amp;D Encounters:
Princes of the Apocalypse</t>
        </r>
      </text>
    </comment>
    <comment ref="AV3" authorId="0" shapeId="0" xr:uid="{00000000-0006-0000-0400-00001C000000}">
      <text>
        <r>
          <rPr>
            <sz val="10"/>
            <color rgb="FF000000"/>
            <rFont val="Arial"/>
            <family val="2"/>
            <charset val="204"/>
          </rPr>
          <t>D&amp;D Expeditions:
1. City of Danger
2. Embers of Elmwood
3. The Drowned Tower
4. Mayhem in the Earthspur Mines
5. Flames of Kythorn
6. Breath of the Yellow Rose
7. Bounty in the Bog
8. Foulness Beneath Mulmaster
9. Eye of the Tempest
10. Cloaks and Shadows
11. Oubliette of Fort Iron
12. Dark Rites at Fort Dalton
13. The Howling Void</t>
        </r>
      </text>
    </comment>
    <comment ref="AW3" authorId="0" shapeId="0" xr:uid="{00000000-0006-0000-0400-00001D000000}">
      <text>
        <r>
          <rPr>
            <sz val="10"/>
            <color rgb="FF000000"/>
            <rFont val="Arial"/>
            <family val="2"/>
            <charset val="204"/>
          </rPr>
          <t>D&amp;D Encounters:
Out of the Abyss</t>
        </r>
      </text>
    </comment>
    <comment ref="AX3" authorId="0" shapeId="0" xr:uid="{00000000-0006-0000-0400-00001E000000}">
      <text>
        <r>
          <rPr>
            <sz val="10"/>
            <color rgb="FF000000"/>
            <rFont val="Arial"/>
            <family val="2"/>
            <charset val="204"/>
          </rPr>
          <t>D&amp;D Expeditions:
1. Harried in Hillsfar
2. Shackles of Blood
3. The Occupation of Szith Morcane
4. It's All in the Blood
5. Bane of the Tradeways
6. No Foolish Matter
7. Herald of the Moon
8. The Malady of Elventree
9. The Waydown
10. Quelling the Horde
11. The Quest for Sporedome
12. Hillsfar Reclaimed
13. Writhing in the Dark
14. Death on the Wall
15. Szith Morcane Unbound
16. Assault on Maermydra</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X1" authorId="0" shapeId="0" xr:uid="{6FEC863B-B7A1-4682-83F2-CB51D4910DAA}">
      <text>
        <r>
          <rPr>
            <b/>
            <sz val="9"/>
            <color indexed="81"/>
            <rFont val="Tahoma"/>
            <family val="2"/>
            <charset val="204"/>
          </rPr>
          <t>Палихов Антон:</t>
        </r>
        <r>
          <rPr>
            <sz val="9"/>
            <color indexed="81"/>
            <rFont val="Tahoma"/>
            <family val="2"/>
            <charset val="204"/>
          </rPr>
          <t xml:space="preserve">
Orange highlighed cells are drop down menus. Select the bonus range for each and the table will adjust the price values.</t>
        </r>
      </text>
    </comment>
    <comment ref="AH2" authorId="0" shapeId="0" xr:uid="{9A7044B5-1D55-4580-83FF-24F0090EC98B}">
      <text>
        <r>
          <rPr>
            <b/>
            <sz val="22"/>
            <color indexed="81"/>
            <rFont val="Nodesto Caps Condensed"/>
          </rPr>
          <t>Marks and Cents</t>
        </r>
        <r>
          <rPr>
            <sz val="11"/>
            <color indexed="81"/>
            <rFont val="MrsEavesRoman"/>
          </rPr>
          <t xml:space="preserve">
Marks and Cents are an alternative currency system that I have been experimenting with. Depending on your campaign they could be Imperial Marks, Alliance Marks, Marks of Sale, or some other name that suits the environment that your world is built in. A Mark is equal to 25 gold pieces by default, but can change to your preference. Cent are 1/100th of a Mark. This is designed to have a little larger increment of currency rather than tracking thousands of pieces and add to the world flare. Small transactions still require copper.</t>
        </r>
      </text>
    </comment>
    <comment ref="AI3" authorId="0" shapeId="0" xr:uid="{6AF9DE3B-53B9-43AB-BC82-8A3E3E6ECF77}">
      <text>
        <r>
          <rPr>
            <b/>
            <sz val="9"/>
            <color indexed="81"/>
            <rFont val="Tahoma"/>
            <family val="2"/>
            <charset val="204"/>
          </rPr>
          <t xml:space="preserve">Reputation
</t>
        </r>
        <r>
          <rPr>
            <sz val="9"/>
            <color indexed="81"/>
            <rFont val="Tahoma"/>
            <family val="2"/>
            <charset val="204"/>
          </rPr>
          <t xml:space="preserve">Reputation is the character's standing within a particular town, city, region, empire, or even with the vendor themselves. Reputation is tracked by the DM. Reputation can change over time and is generally based on the party as a whole. As the characters gain more renown, townspeople are more likely to want to aid them. In this case, it is with a discount on goods to help in their fight. On the reverse end of the spectrum, hated or disliked characters may get charged more. Anything below a -3 and the vendor will not even do business with the party.
</t>
        </r>
      </text>
    </comment>
    <comment ref="AI4" authorId="0" shapeId="0" xr:uid="{E7D798DA-D70E-4AE4-A7AD-7E18AEA5B292}">
      <text>
        <r>
          <rPr>
            <b/>
            <sz val="9"/>
            <color indexed="81"/>
            <rFont val="Tahoma"/>
            <family val="2"/>
            <charset val="204"/>
          </rPr>
          <t>Charisma Bonus</t>
        </r>
        <r>
          <rPr>
            <sz val="9"/>
            <color indexed="81"/>
            <rFont val="Tahoma"/>
            <family val="2"/>
            <charset val="204"/>
          </rPr>
          <t xml:space="preserve">
A character's charisma can affect the outcome of a transaction. While it is not necessary to calculate every time, it can reward players for roleplaying a particular transaction. Charisma bonus discounts are based on an individual player rather than the party as a whole.</t>
        </r>
      </text>
    </comment>
    <comment ref="AI5" authorId="0" shapeId="0" xr:uid="{50182FEF-C01E-4D4B-9A3E-29C3D53454F3}">
      <text>
        <r>
          <rPr>
            <b/>
            <sz val="9"/>
            <color indexed="81"/>
            <rFont val="Tahoma"/>
            <family val="2"/>
            <charset val="204"/>
          </rPr>
          <t>Intimidation and Persuasion</t>
        </r>
        <r>
          <rPr>
            <sz val="9"/>
            <color indexed="81"/>
            <rFont val="Tahoma"/>
            <family val="2"/>
            <charset val="204"/>
          </rPr>
          <t xml:space="preserve">
When characters make a successful Intimidate or Persuasion skill check during a vendor transaction, you can apply this bonus to the transaction.</t>
        </r>
      </text>
    </comment>
    <comment ref="M17" authorId="0" shapeId="0" xr:uid="{BE99F877-3FE9-4F20-A27A-38B6DBC25188}">
      <text>
        <r>
          <rPr>
            <sz val="12"/>
            <color indexed="81"/>
            <rFont val="MrsEavesRoman"/>
          </rPr>
          <t>Marks and Cents are an alternative currency system that I have been experimenting with. Depending on your campaign they could be Imperial Marks, Alliance Marks, Marks of Sale, or some other name that suits the environment that your world is built in. A Mark is equal to 25 gold pieces by default, but can change to your preference. Cent are 1/100th of a Mark. This is designed to have a little larger increment of currency rather than tracking thousands of pieces and add to the world flare. Small transactions still require copper.</t>
        </r>
      </text>
    </comment>
    <comment ref="M18" authorId="0" shapeId="0" xr:uid="{0AF9D81D-2C65-42F2-A917-E7CCFC124CD7}">
      <text>
        <r>
          <rPr>
            <b/>
            <sz val="9"/>
            <color indexed="81"/>
            <rFont val="Tahoma"/>
            <family val="2"/>
            <charset val="204"/>
          </rPr>
          <t>Палихов Антон:</t>
        </r>
        <r>
          <rPr>
            <sz val="9"/>
            <color indexed="81"/>
            <rFont val="Tahoma"/>
            <family val="2"/>
            <charset val="204"/>
          </rPr>
          <t xml:space="preserve">
When characters make a successful Intimidate or Persuasion skill check during a vendor transaction, you can apply this bonus to the transaction.</t>
        </r>
      </text>
    </comment>
    <comment ref="M19" authorId="0" shapeId="0" xr:uid="{F5764860-890C-4688-B60A-A010344B0A8A}">
      <text>
        <r>
          <rPr>
            <b/>
            <sz val="9"/>
            <color indexed="81"/>
            <rFont val="Tahoma"/>
            <family val="2"/>
            <charset val="204"/>
          </rPr>
          <t>Reputation is the character's standing within a particular town, city, region, empire, or even with the vendor themselves. Reputation is tracked by the DM. Reputation can change over time and is generally based on the party as a whole. As the characters gain more renown, townspeople are more likely to want to aid them. In this case, it is with a discount on goods to help in their fight. On the reverse end of the spectrum, hated or disliked characters may get charged more. Anything below a -3 and the vendor will not even do business with the party.</t>
        </r>
        <r>
          <rPr>
            <sz val="9"/>
            <color indexed="81"/>
            <rFont val="Tahoma"/>
            <family val="2"/>
            <charset val="204"/>
          </rPr>
          <t xml:space="preserve">
</t>
        </r>
      </text>
    </comment>
    <comment ref="M20" authorId="0" shapeId="0" xr:uid="{57D12166-3A31-4127-80F8-019804B7C01A}">
      <text>
        <r>
          <rPr>
            <b/>
            <sz val="9"/>
            <color indexed="81"/>
            <rFont val="Tahoma"/>
            <family val="2"/>
            <charset val="204"/>
          </rPr>
          <t>Палихов Антон:</t>
        </r>
        <r>
          <rPr>
            <sz val="9"/>
            <color indexed="81"/>
            <rFont val="Tahoma"/>
            <family val="2"/>
            <charset val="204"/>
          </rPr>
          <t xml:space="preserve">
A character's charisma can affect the outcome of a transaction. While it is not necessary to calculate every time, it can reward players for roleplaying a particular transaction. Charisma bonus discounts are based on an individual player rather than the party as a whole.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AG5" authorId="0" shapeId="0" xr:uid="{FC5DB683-4854-41EC-8181-B9FC47D07B4C}">
      <text>
        <r>
          <rPr>
            <sz val="8"/>
            <color indexed="81"/>
            <rFont val="Tahoma"/>
            <family val="2"/>
          </rPr>
          <t>Note</t>
        </r>
      </text>
    </comment>
    <comment ref="AP5" authorId="0" shapeId="0" xr:uid="{F59AE086-502C-4F68-B6C8-D31A7F695FDB}">
      <text>
        <r>
          <rPr>
            <sz val="8"/>
            <color indexed="81"/>
            <rFont val="Tahoma"/>
            <family val="2"/>
          </rPr>
          <t>Note</t>
        </r>
      </text>
    </comment>
    <comment ref="AX5" authorId="0" shapeId="0" xr:uid="{2C6ED231-BB94-42D5-97EF-E38FA692E1F2}">
      <text>
        <r>
          <rPr>
            <sz val="8"/>
            <color indexed="81"/>
            <rFont val="Tahoma"/>
            <family val="2"/>
          </rPr>
          <t>Note</t>
        </r>
      </text>
    </comment>
    <comment ref="BA5" authorId="0" shapeId="0" xr:uid="{9A38E133-553A-4E87-B6A5-DBA2EBE42E91}">
      <text>
        <r>
          <rPr>
            <sz val="8"/>
            <color indexed="81"/>
            <rFont val="Tahoma"/>
            <family val="2"/>
          </rPr>
          <t>Note</t>
        </r>
      </text>
    </comment>
    <comment ref="BL5" authorId="0" shapeId="0" xr:uid="{E7CBFFD9-337B-4394-958F-C1C598DCC166}">
      <text>
        <r>
          <rPr>
            <sz val="8"/>
            <color indexed="81"/>
            <rFont val="Tahoma"/>
            <family val="2"/>
          </rPr>
          <t>Note</t>
        </r>
      </text>
    </comment>
    <comment ref="I6" authorId="0" shapeId="0" xr:uid="{FE4C8711-6118-4CF0-A0FB-8E515EDC6E5F}">
      <text>
        <r>
          <rPr>
            <sz val="8"/>
            <color indexed="81"/>
            <rFont val="Tahoma"/>
            <family val="2"/>
          </rPr>
          <t>Note</t>
        </r>
      </text>
    </comment>
    <comment ref="S6" authorId="0" shapeId="0" xr:uid="{A338080F-D9F9-48C7-B76A-BFBF3CFFE7A0}">
      <text>
        <r>
          <rPr>
            <sz val="8"/>
            <color indexed="81"/>
            <rFont val="Tahoma"/>
            <family val="2"/>
          </rPr>
          <t>Note</t>
        </r>
      </text>
    </comment>
    <comment ref="AA6" authorId="0" shapeId="0" xr:uid="{F5BDA5F2-D11F-438A-9A66-8E68585BF5DF}">
      <text>
        <r>
          <rPr>
            <sz val="8"/>
            <color indexed="81"/>
            <rFont val="Tahoma"/>
            <family val="2"/>
          </rPr>
          <t>Note</t>
        </r>
      </text>
    </comment>
    <comment ref="AS6" authorId="0" shapeId="0" xr:uid="{440DB2E0-A669-4581-9AC3-597351393FE7}">
      <text>
        <r>
          <rPr>
            <sz val="8"/>
            <color indexed="81"/>
            <rFont val="Tahoma"/>
            <family val="2"/>
          </rPr>
          <t>Note</t>
        </r>
      </text>
    </comment>
    <comment ref="AV6" authorId="0" shapeId="0" xr:uid="{BF4FDC7F-92AF-4610-8B59-C46E1A807B21}">
      <text>
        <r>
          <rPr>
            <sz val="8"/>
            <color indexed="81"/>
            <rFont val="Tahoma"/>
            <family val="2"/>
          </rPr>
          <t>Note</t>
        </r>
      </text>
    </comment>
    <comment ref="M7" authorId="0" shapeId="0" xr:uid="{D954B642-148E-4660-91BE-F84452057345}">
      <text>
        <r>
          <rPr>
            <sz val="8"/>
            <color indexed="81"/>
            <rFont val="Tahoma"/>
            <family val="2"/>
          </rPr>
          <t>Note</t>
        </r>
      </text>
    </comment>
    <comment ref="AY7" authorId="0" shapeId="0" xr:uid="{F9FF8FC9-86E7-4C27-B6F2-477AA7EF2334}">
      <text>
        <r>
          <rPr>
            <sz val="8"/>
            <color indexed="81"/>
            <rFont val="Tahoma"/>
            <family val="2"/>
          </rPr>
          <t>Note</t>
        </r>
      </text>
    </comment>
    <comment ref="BQ8" authorId="0" shapeId="0" xr:uid="{CC35972F-6257-4B9F-B466-4C088F5AFFFA}">
      <text>
        <r>
          <rPr>
            <sz val="8"/>
            <color indexed="81"/>
            <rFont val="Tahoma"/>
            <family val="2"/>
          </rPr>
          <t>Note</t>
        </r>
      </text>
    </comment>
    <comment ref="Y9" authorId="0" shapeId="0" xr:uid="{0938F45F-DA6E-4A43-A4C4-22F0EFD1789C}">
      <text>
        <r>
          <rPr>
            <sz val="8"/>
            <color indexed="81"/>
            <rFont val="Tahoma"/>
            <family val="2"/>
          </rPr>
          <t>Note</t>
        </r>
      </text>
    </comment>
    <comment ref="BN9" authorId="0" shapeId="0" xr:uid="{55F5B3DD-9676-430F-ACE8-A66328EC939A}">
      <text>
        <r>
          <rPr>
            <sz val="8"/>
            <color indexed="81"/>
            <rFont val="Tahoma"/>
            <family val="2"/>
          </rPr>
          <t>Note</t>
        </r>
      </text>
    </comment>
    <comment ref="G10" authorId="0" shapeId="0" xr:uid="{31DF9F6D-3AF3-40B8-80CC-6B07C336E4A1}">
      <text>
        <r>
          <rPr>
            <sz val="8"/>
            <color indexed="81"/>
            <rFont val="Tahoma"/>
            <family val="2"/>
          </rPr>
          <t>Note</t>
        </r>
      </text>
    </comment>
    <comment ref="AG10" authorId="0" shapeId="0" xr:uid="{536B6D6C-3599-4CCE-A9D7-3794DE414C12}">
      <text>
        <r>
          <rPr>
            <sz val="8"/>
            <color indexed="81"/>
            <rFont val="Tahoma"/>
            <family val="2"/>
          </rPr>
          <t>Note</t>
        </r>
      </text>
    </comment>
    <comment ref="AM10" authorId="0" shapeId="0" xr:uid="{3CD5D991-CF85-48E7-A0D5-F3431F3410C1}">
      <text>
        <r>
          <rPr>
            <sz val="8"/>
            <color indexed="81"/>
            <rFont val="Tahoma"/>
            <family val="2"/>
          </rPr>
          <t>Note</t>
        </r>
      </text>
    </comment>
    <comment ref="AQ10" authorId="0" shapeId="0" xr:uid="{9908882A-F1BB-4190-8E62-CBBA722D3F5E}">
      <text>
        <r>
          <rPr>
            <sz val="8"/>
            <color indexed="81"/>
            <rFont val="Tahoma"/>
            <family val="2"/>
          </rPr>
          <t>Note</t>
        </r>
      </text>
    </comment>
    <comment ref="BD10" authorId="0" shapeId="0" xr:uid="{CC5C4969-664A-429B-BA86-90D3F18BF201}">
      <text>
        <r>
          <rPr>
            <sz val="8"/>
            <color indexed="81"/>
            <rFont val="Tahoma"/>
            <family val="2"/>
          </rPr>
          <t>Note</t>
        </r>
      </text>
    </comment>
    <comment ref="E11" authorId="0" shapeId="0" xr:uid="{FF366A8E-0652-4D22-BA84-6626134D8061}">
      <text>
        <r>
          <rPr>
            <sz val="8"/>
            <color indexed="81"/>
            <rFont val="Tahoma"/>
            <family val="2"/>
          </rPr>
          <t>Note</t>
        </r>
      </text>
    </comment>
    <comment ref="F11" authorId="0" shapeId="0" xr:uid="{DF50B884-5407-482B-B320-970869D60DF8}">
      <text>
        <r>
          <rPr>
            <sz val="8"/>
            <color indexed="81"/>
            <rFont val="Tahoma"/>
            <family val="2"/>
          </rPr>
          <t>Note</t>
        </r>
      </text>
    </comment>
    <comment ref="AB11" authorId="0" shapeId="0" xr:uid="{A3996ACB-C7F0-429A-BFB8-2AEF490B9A44}">
      <text>
        <r>
          <rPr>
            <sz val="8"/>
            <color indexed="81"/>
            <rFont val="Tahoma"/>
            <family val="2"/>
          </rPr>
          <t>Note</t>
        </r>
      </text>
    </comment>
    <comment ref="AX11" authorId="0" shapeId="0" xr:uid="{7E7B92EE-E05E-42A5-824A-96B87A2A3CDC}">
      <text>
        <r>
          <rPr>
            <sz val="8"/>
            <color indexed="81"/>
            <rFont val="Tahoma"/>
            <family val="2"/>
          </rPr>
          <t>Note</t>
        </r>
      </text>
    </comment>
    <comment ref="BI11" authorId="0" shapeId="0" xr:uid="{516FA8D3-3E9F-4389-A08B-811B2C905D9D}">
      <text>
        <r>
          <rPr>
            <sz val="8"/>
            <color indexed="81"/>
            <rFont val="Tahoma"/>
            <family val="2"/>
          </rPr>
          <t>Note</t>
        </r>
      </text>
    </comment>
    <comment ref="BN11" authorId="0" shapeId="0" xr:uid="{A80DD6C9-7FBC-4C80-B518-FC19E47D4E30}">
      <text>
        <r>
          <rPr>
            <sz val="8"/>
            <color indexed="81"/>
            <rFont val="Tahoma"/>
            <family val="2"/>
          </rPr>
          <t>Note</t>
        </r>
      </text>
    </comment>
    <comment ref="BQ11" authorId="0" shapeId="0" xr:uid="{EA17F550-2F57-4B56-B6F3-23D7CCB9D745}">
      <text>
        <r>
          <rPr>
            <sz val="8"/>
            <color indexed="81"/>
            <rFont val="Tahoma"/>
            <family val="2"/>
          </rPr>
          <t>Note</t>
        </r>
      </text>
    </comment>
    <comment ref="X13" authorId="0" shapeId="0" xr:uid="{F913BD3B-0933-4B9E-8F29-D4B2A9DB41E6}">
      <text>
        <r>
          <rPr>
            <sz val="8"/>
            <color indexed="81"/>
            <rFont val="Tahoma"/>
            <family val="2"/>
          </rPr>
          <t>Note</t>
        </r>
      </text>
    </comment>
    <comment ref="N14" authorId="0" shapeId="0" xr:uid="{06433367-41B3-4629-A9D7-1D0F55C32EC7}">
      <text>
        <r>
          <rPr>
            <sz val="8"/>
            <color indexed="81"/>
            <rFont val="Tahoma"/>
            <family val="2"/>
          </rPr>
          <t>Note</t>
        </r>
      </text>
    </comment>
    <comment ref="AJ14" authorId="0" shapeId="0" xr:uid="{362A7CBA-8FC6-4A45-9EEF-BB6D2559EF2E}">
      <text>
        <r>
          <rPr>
            <sz val="8"/>
            <color indexed="81"/>
            <rFont val="Tahoma"/>
            <family val="2"/>
          </rPr>
          <t>Note</t>
        </r>
      </text>
    </comment>
    <comment ref="BC14" authorId="0" shapeId="0" xr:uid="{572385FB-DDCC-4741-8914-227B63BC050D}">
      <text>
        <r>
          <rPr>
            <b/>
            <sz val="8"/>
            <color indexed="81"/>
            <rFont val="Tahoma"/>
            <family val="2"/>
          </rPr>
          <t xml:space="preserve">3. FOOD STORAGE ROOM: </t>
        </r>
        <r>
          <rPr>
            <sz val="8"/>
            <color indexed="81"/>
            <rFont val="Tahoma"/>
            <family val="2"/>
          </rPr>
          <t xml:space="preserve">
The door is locked. This place contains various sorts of dried and salted meat, grain, and vegetables in sacks, boxes, barrels, and piles. There are also bits and pieces of </t>
        </r>
        <r>
          <rPr>
            <b/>
            <sz val="8"/>
            <color indexed="81"/>
            <rFont val="Tahoma"/>
            <family val="2"/>
          </rPr>
          <t>past human victims</t>
        </r>
        <r>
          <rPr>
            <sz val="8"/>
            <color indexed="81"/>
            <rFont val="Tahoma"/>
            <family val="2"/>
          </rPr>
          <t xml:space="preserve">. There is nothing of value here; even the wine in a large cask is thin and vinegary. </t>
        </r>
      </text>
    </comment>
    <comment ref="BM14" authorId="0" shapeId="0" xr:uid="{D377CA09-3B19-4E81-94B4-03C7844872EE}">
      <text>
        <r>
          <rPr>
            <b/>
            <sz val="8"/>
            <color indexed="81"/>
            <rFont val="Tahoma"/>
            <family val="2"/>
          </rPr>
          <t>4. GUARD ROOM:</t>
        </r>
        <r>
          <rPr>
            <sz val="8"/>
            <color indexed="81"/>
            <rFont val="Tahoma"/>
            <family val="2"/>
          </rPr>
          <t xml:space="preserve">
 Here are </t>
        </r>
        <r>
          <rPr>
            <b/>
            <sz val="8"/>
            <color indexed="81"/>
            <rFont val="Tahoma"/>
            <family val="2"/>
          </rPr>
          <t>3 very large kobold guards</t>
        </r>
        <r>
          <rPr>
            <sz val="8"/>
            <color indexed="81"/>
            <rFont val="Tahoma"/>
            <family val="2"/>
          </rPr>
          <t xml:space="preserve"> with chain mail and bows to fire down the passage at attackers (AC 5, HD 1+ 1, hp 5 each, #AT I, D 1-6, MV (40'), Save NM, ML 6). 
The guards will </t>
        </r>
        <r>
          <rPr>
            <b/>
            <sz val="8"/>
            <color indexed="81"/>
            <rFont val="Tahoma"/>
            <family val="2"/>
          </rPr>
          <t>hide</t>
        </r>
        <r>
          <rPr>
            <sz val="8"/>
            <color indexed="81"/>
            <rFont val="Tahoma"/>
            <family val="2"/>
          </rPr>
          <t xml:space="preserve"> behind the corner for cover, so all missiles fired at them will be at -2 “to hit”. Each carries a hand axe in his belt and a purse with 2d6 gold pieces. </t>
        </r>
      </text>
    </comment>
    <comment ref="BQ14" authorId="0" shapeId="0" xr:uid="{88C277AC-FF93-400D-AE34-68987E453A51}">
      <text>
        <r>
          <rPr>
            <b/>
            <sz val="8"/>
            <color indexed="81"/>
            <rFont val="Tahoma"/>
            <family val="2"/>
          </rPr>
          <t xml:space="preserve">5. KOBOLD CHIEFTAIN’S ROOM: </t>
        </r>
        <r>
          <rPr>
            <sz val="8"/>
            <color indexed="81"/>
            <rFont val="Tahoma"/>
            <family val="2"/>
          </rPr>
          <t xml:space="preserve">
This </t>
        </r>
        <r>
          <rPr>
            <b/>
            <sz val="8"/>
            <color indexed="81"/>
            <rFont val="Tahoma"/>
            <family val="2"/>
          </rPr>
          <t>huge kobold</t>
        </r>
        <r>
          <rPr>
            <sz val="8"/>
            <color indexed="81"/>
            <rFont val="Tahoma"/>
            <family val="2"/>
          </rPr>
          <t xml:space="preserve"> (AC 5, HD 2, hp 8, #AT 1, D 2-8 (2d4), MV (40’), Save F 1, ML 8) is so  powerful that he fights with a battle axe. He has the</t>
        </r>
        <r>
          <rPr>
            <b/>
            <sz val="8"/>
            <color indexed="81"/>
            <rFont val="Tahoma"/>
            <family val="2"/>
          </rPr>
          <t xml:space="preserve"> key </t>
        </r>
        <r>
          <rPr>
            <sz val="8"/>
            <color indexed="81"/>
            <rFont val="Tahoma"/>
            <family val="2"/>
          </rPr>
          <t>to the storage room (#3.) and a large gem on a great golden chain about his neck (value 1,200 gold pieces).</t>
        </r>
        <r>
          <rPr>
            <b/>
            <sz val="8"/>
            <color indexed="81"/>
            <rFont val="Tahoma"/>
            <family val="2"/>
          </rPr>
          <t xml:space="preserve"> 
Five female kobolds</t>
        </r>
        <r>
          <rPr>
            <sz val="8"/>
            <color indexed="81"/>
            <rFont val="Tahoma"/>
            <family val="2"/>
          </rPr>
          <t xml:space="preserve"> (AC 7, HD 1/2, hp 2 each, #AT I, D 1-3, Save NM, ML 8 due to the chief) are also in the room. There are heaps of cloth and bits of battered furniture in the place. Hidden in an old blanket hanging on the wall are 50 gold pieces (sewn into the hem). Each female has d6 gold pieces. A locked chest holds 203 copper, 61 silver, and 22 electrum pieces.</t>
        </r>
      </text>
    </comment>
    <comment ref="AR15" authorId="0" shapeId="0" xr:uid="{FF1C0EED-AD05-45AB-B606-74516BADA4BC}">
      <text>
        <r>
          <rPr>
            <sz val="8"/>
            <color indexed="81"/>
            <rFont val="Tahoma"/>
            <family val="2"/>
          </rPr>
          <t>Note</t>
        </r>
      </text>
    </comment>
    <comment ref="AV15" authorId="0" shapeId="0" xr:uid="{D17C0011-B870-4354-ADA7-C2B68EBC92C4}">
      <text>
        <r>
          <rPr>
            <b/>
            <sz val="8"/>
            <color indexed="81"/>
            <rFont val="Tahoma"/>
            <family val="2"/>
          </rPr>
          <t>2. GIANT RATS</t>
        </r>
        <r>
          <rPr>
            <sz val="8"/>
            <color indexed="81"/>
            <rFont val="Tahoma"/>
            <family val="2"/>
          </rPr>
          <t xml:space="preserve"> (amidst garbage and waste): 
There are </t>
        </r>
        <r>
          <rPr>
            <b/>
            <sz val="8"/>
            <color indexed="81"/>
            <rFont val="Tahoma"/>
            <family val="2"/>
          </rPr>
          <t>18 giant rats</t>
        </r>
        <r>
          <rPr>
            <sz val="8"/>
            <color indexed="81"/>
            <rFont val="Tahoma"/>
            <family val="2"/>
          </rPr>
          <t xml:space="preserve"> (AC 7, HD 1/2, hp 2 each, #AT I, D 1-3 plus disease, MV (40’), Save F 1, ML 8).
Each time a character is</t>
        </r>
        <r>
          <rPr>
            <b/>
            <sz val="8"/>
            <color indexed="81"/>
            <rFont val="Tahoma"/>
            <family val="2"/>
          </rPr>
          <t xml:space="preserve"> bitten</t>
        </r>
        <r>
          <rPr>
            <sz val="8"/>
            <color indexed="81"/>
            <rFont val="Tahoma"/>
            <family val="2"/>
          </rPr>
          <t xml:space="preserve"> there is a </t>
        </r>
        <r>
          <rPr>
            <b/>
            <sz val="8"/>
            <color indexed="81"/>
            <rFont val="Tahoma"/>
            <family val="2"/>
          </rPr>
          <t xml:space="preserve">1 in 20 chance </t>
        </r>
        <r>
          <rPr>
            <sz val="8"/>
            <color indexed="81"/>
            <rFont val="Tahoma"/>
            <family val="2"/>
          </rPr>
          <t xml:space="preserve">of getting a </t>
        </r>
        <r>
          <rPr>
            <b/>
            <sz val="8"/>
            <color indexed="81"/>
            <rFont val="Tahoma"/>
            <family val="2"/>
          </rPr>
          <t>disease</t>
        </r>
        <r>
          <rPr>
            <sz val="8"/>
            <color indexed="81"/>
            <rFont val="Tahoma"/>
            <family val="2"/>
          </rPr>
          <t xml:space="preserve">, unless a save vs. Poison is made. If the saving throw failed, there is a </t>
        </r>
        <r>
          <rPr>
            <b/>
            <sz val="8"/>
            <color indexed="81"/>
            <rFont val="Tahoma"/>
            <family val="2"/>
          </rPr>
          <t>25% chance the character will die in 1- 6 (ld6) days</t>
        </r>
        <r>
          <rPr>
            <sz val="8"/>
            <color indexed="81"/>
            <rFont val="Tahoma"/>
            <family val="2"/>
          </rPr>
          <t xml:space="preserve">. Otherwise the character will be too sick to adventure for one game month. These monsters are the pets of the kobolds, living off the garbage and waste of their hosts. They will </t>
        </r>
        <r>
          <rPr>
            <b/>
            <sz val="8"/>
            <color indexed="81"/>
            <rFont val="Tahoma"/>
            <family val="2"/>
          </rPr>
          <t>rush</t>
        </r>
        <r>
          <rPr>
            <sz val="8"/>
            <color indexed="81"/>
            <rFont val="Tahoma"/>
            <family val="2"/>
          </rPr>
          <t xml:space="preserve"> to the sound of the </t>
        </r>
        <r>
          <rPr>
            <b/>
            <sz val="8"/>
            <color indexed="81"/>
            <rFont val="Tahoma"/>
            <family val="2"/>
          </rPr>
          <t>trap door closing</t>
        </r>
        <r>
          <rPr>
            <sz val="8"/>
            <color indexed="81"/>
            <rFont val="Tahoma"/>
            <family val="2"/>
          </rPr>
          <t xml:space="preserve"> or of battle. 
They have nothing of value in their lair or on their bodies, but their</t>
        </r>
        <r>
          <rPr>
            <b/>
            <sz val="8"/>
            <color indexed="81"/>
            <rFont val="Tahoma"/>
            <family val="2"/>
          </rPr>
          <t xml:space="preserve"> leader (rat #18) </t>
        </r>
        <r>
          <rPr>
            <sz val="8"/>
            <color indexed="81"/>
            <rFont val="Tahoma"/>
            <family val="2"/>
          </rPr>
          <t>who will be at the back of the pack, a huge fellow (AC 5 due to speed and cunning, HD l-l, hp 4, #AT 2, D 2-4/2-4, MV (40’) Save F I, ML 8) wears a thin silver chain set with 5 small gems (jewellery value 400 gold pieces, chain value 50 gold pieces, each gem worth 50 gold pieces). The weight of a few rats will not trigger the pit trap.</t>
        </r>
      </text>
    </comment>
    <comment ref="AZ15" authorId="0" shapeId="0" xr:uid="{E10AA2F5-F83C-42F4-A160-7CB0CCDB6725}">
      <text>
        <r>
          <rPr>
            <b/>
            <sz val="8"/>
            <color indexed="81"/>
            <rFont val="Tahoma"/>
            <family val="2"/>
          </rPr>
          <t>1. GUARD ROOM:</t>
        </r>
        <r>
          <rPr>
            <sz val="8"/>
            <color indexed="81"/>
            <rFont val="Tahoma"/>
            <family val="2"/>
          </rPr>
          <t xml:space="preserve">
</t>
        </r>
        <r>
          <rPr>
            <b/>
            <sz val="8"/>
            <color indexed="81"/>
            <rFont val="Tahoma"/>
            <family val="2"/>
          </rPr>
          <t>6 kobold guards</t>
        </r>
        <r>
          <rPr>
            <sz val="8"/>
            <color indexed="81"/>
            <rFont val="Tahoma"/>
            <family val="2"/>
          </rPr>
          <t xml:space="preserve"> (AC 7. HD 1/2. hp 3 each, #AT I, D 1-4, Save  NM, ML 6). They will throw their spears the first round if they have initiative. Each carries d6 silver pieces. One will </t>
        </r>
        <r>
          <rPr>
            <b/>
            <sz val="8"/>
            <color indexed="81"/>
            <rFont val="Tahoma"/>
            <family val="2"/>
          </rPr>
          <t xml:space="preserve">run </t>
        </r>
        <r>
          <rPr>
            <sz val="8"/>
            <color indexed="81"/>
            <rFont val="Tahoma"/>
            <family val="2"/>
          </rPr>
          <t xml:space="preserve">to warn areas 4. and 6.. The guards will be alerted by loud noises or lights.
</t>
        </r>
      </text>
    </comment>
    <comment ref="W16" authorId="0" shapeId="0" xr:uid="{DFA6D436-0588-4543-8047-3244ABF6F15D}">
      <text>
        <r>
          <rPr>
            <sz val="8"/>
            <color indexed="81"/>
            <rFont val="Tahoma"/>
            <family val="2"/>
          </rPr>
          <t>Note</t>
        </r>
      </text>
    </comment>
    <comment ref="AA16" authorId="0" shapeId="0" xr:uid="{422FBFE0-BC3D-4932-ACF9-B1A61EC77805}">
      <text>
        <r>
          <rPr>
            <sz val="8"/>
            <color indexed="81"/>
            <rFont val="Tahoma"/>
            <family val="2"/>
          </rPr>
          <t>Note</t>
        </r>
      </text>
    </comment>
    <comment ref="AE16" authorId="0" shapeId="0" xr:uid="{111A8C51-DC61-4499-BA2B-63DE2BC880A6}">
      <text>
        <r>
          <rPr>
            <sz val="8"/>
            <color indexed="81"/>
            <rFont val="Tahoma"/>
            <family val="2"/>
          </rPr>
          <t>Note</t>
        </r>
      </text>
    </comment>
    <comment ref="J17" authorId="0" shapeId="0" xr:uid="{B503E35D-06C3-476C-B5C1-B0235F2E0890}">
      <text>
        <r>
          <rPr>
            <sz val="8"/>
            <color indexed="81"/>
            <rFont val="Tahoma"/>
            <family val="2"/>
          </rPr>
          <t>Note</t>
        </r>
      </text>
    </comment>
    <comment ref="BN18" authorId="0" shapeId="0" xr:uid="{D8B53BF4-CD98-46AC-A45C-58D40FA0FD46}">
      <text>
        <r>
          <rPr>
            <b/>
            <sz val="8"/>
            <color indexed="81"/>
            <rFont val="Tahoma"/>
            <family val="2"/>
          </rPr>
          <t xml:space="preserve">6. COMMON CHAMBER: </t>
        </r>
        <r>
          <rPr>
            <sz val="8"/>
            <color indexed="81"/>
            <rFont val="Tahoma"/>
            <family val="2"/>
          </rPr>
          <t xml:space="preserve">
The rest of the </t>
        </r>
        <r>
          <rPr>
            <b/>
            <sz val="8"/>
            <color indexed="81"/>
            <rFont val="Tahoma"/>
            <family val="2"/>
          </rPr>
          <t xml:space="preserve">kobold </t>
        </r>
        <r>
          <rPr>
            <sz val="8"/>
            <color indexed="81"/>
            <rFont val="Tahoma"/>
            <family val="2"/>
          </rPr>
          <t xml:space="preserve">tribe lives here. There are </t>
        </r>
        <r>
          <rPr>
            <b/>
            <sz val="8"/>
            <color indexed="81"/>
            <rFont val="Tahoma"/>
            <family val="2"/>
          </rPr>
          <t>17 males</t>
        </r>
        <r>
          <rPr>
            <sz val="8"/>
            <color indexed="81"/>
            <rFont val="Tahoma"/>
            <family val="2"/>
          </rPr>
          <t xml:space="preserve"> (AC 7, HD 1/2, hp 3 each, #AT I, D 1-4, MV (40’), Save NM, ML 6), </t>
        </r>
        <r>
          <rPr>
            <b/>
            <sz val="8"/>
            <color indexed="81"/>
            <rFont val="Tahoma"/>
            <family val="2"/>
          </rPr>
          <t>23 females</t>
        </r>
        <r>
          <rPr>
            <sz val="8"/>
            <color indexed="81"/>
            <rFont val="Tahoma"/>
            <family val="2"/>
          </rPr>
          <t xml:space="preserve"> (AC 7, HD 1/2, hp 2 each, #AT 1, D 1-3, Save NM, ML 6), and 8 young (which do not attack). If their caves are invaded, those able will help in its defence. Males have d6 silver pieces each, females d4 silver pieces each; the young have nothing. Amidst the litter of cloth and bits and scraps of odds-and-ends there is a piece of silk worth 150 gold pieces. (If the party does not search it will not be located.) 
</t>
        </r>
      </text>
    </comment>
    <comment ref="X19" authorId="0" shapeId="0" xr:uid="{EE66E419-DCD0-47C5-9893-76218DCE1536}">
      <text>
        <r>
          <rPr>
            <sz val="8"/>
            <color indexed="81"/>
            <rFont val="Tahoma"/>
            <family val="2"/>
          </rPr>
          <t>Note</t>
        </r>
      </text>
    </comment>
    <comment ref="AY19" authorId="0" shapeId="0" xr:uid="{76AE08DE-4427-4A07-89F3-4B7832E21C9E}">
      <text>
        <r>
          <rPr>
            <b/>
            <sz val="8"/>
            <color indexed="81"/>
            <rFont val="Tahoma"/>
            <family val="2"/>
          </rPr>
          <t xml:space="preserve">A. KOBOLD LAIR: </t>
        </r>
        <r>
          <rPr>
            <sz val="8"/>
            <color indexed="81"/>
            <rFont val="Tahoma"/>
            <family val="2"/>
          </rPr>
          <t xml:space="preserve">
There is a </t>
        </r>
        <r>
          <rPr>
            <b/>
            <sz val="8"/>
            <color indexed="81"/>
            <rFont val="Tahoma"/>
            <family val="2"/>
          </rPr>
          <t>2 in 6 chance</t>
        </r>
        <r>
          <rPr>
            <sz val="8"/>
            <color indexed="81"/>
            <rFont val="Tahoma"/>
            <family val="2"/>
          </rPr>
          <t xml:space="preserve"> that as the group enters the cave-like tunnel, </t>
        </r>
        <r>
          <rPr>
            <b/>
            <sz val="8"/>
            <color indexed="81"/>
            <rFont val="Tahoma"/>
            <family val="2"/>
          </rPr>
          <t xml:space="preserve">8 kobolds </t>
        </r>
        <r>
          <rPr>
            <sz val="8"/>
            <color indexed="81"/>
            <rFont val="Tahoma"/>
            <family val="2"/>
          </rPr>
          <t xml:space="preserve">will come out from hiding in the trees above and attack. </t>
        </r>
        <r>
          <rPr>
            <b/>
            <sz val="8"/>
            <color indexed="81"/>
            <rFont val="Tahoma"/>
            <family val="2"/>
          </rPr>
          <t>Kobolds</t>
        </r>
        <r>
          <rPr>
            <sz val="8"/>
            <color indexed="81"/>
            <rFont val="Tahoma"/>
            <family val="2"/>
          </rPr>
          <t xml:space="preserve">: AC 7, HD 1/2,hp 3 each, #AT I, D 1-4, MV (40’), Save NM, ML 6). Each carries d8 silver pieces. 
</t>
        </r>
        <r>
          <rPr>
            <b/>
            <sz val="8"/>
            <color indexed="81"/>
            <rFont val="Tahoma"/>
            <family val="2"/>
          </rPr>
          <t xml:space="preserve">Note: </t>
        </r>
        <r>
          <rPr>
            <sz val="8"/>
            <color indexed="81"/>
            <rFont val="Tahoma"/>
            <family val="2"/>
          </rPr>
          <t>30’ inside the entrance is a pit (</t>
        </r>
        <r>
          <rPr>
            <b/>
            <sz val="8"/>
            <color indexed="81"/>
            <rFont val="Tahoma"/>
            <family val="2"/>
          </rPr>
          <t>X</t>
        </r>
        <r>
          <rPr>
            <sz val="8"/>
            <color indexed="81"/>
            <rFont val="Tahoma"/>
            <family val="2"/>
          </rPr>
          <t xml:space="preserve">). There is a </t>
        </r>
        <r>
          <rPr>
            <b/>
            <sz val="8"/>
            <color indexed="81"/>
            <rFont val="Tahoma"/>
            <family val="2"/>
          </rPr>
          <t>3 in 6 chance</t>
        </r>
        <r>
          <rPr>
            <sz val="8"/>
            <color indexed="81"/>
            <rFont val="Tahoma"/>
            <family val="2"/>
          </rPr>
          <t xml:space="preserve"> that each person in the </t>
        </r>
        <r>
          <rPr>
            <b/>
            <sz val="8"/>
            <color indexed="81"/>
            <rFont val="Tahoma"/>
            <family val="2"/>
          </rPr>
          <t>front rank</t>
        </r>
        <r>
          <rPr>
            <sz val="8"/>
            <color indexed="81"/>
            <rFont val="Tahoma"/>
            <family val="2"/>
          </rPr>
          <t xml:space="preserve"> will fall in unless they are probing ahead. There is a </t>
        </r>
        <r>
          <rPr>
            <b/>
            <sz val="8"/>
            <color indexed="81"/>
            <rFont val="Tahoma"/>
            <family val="2"/>
          </rPr>
          <t>1 in 6 chance</t>
        </r>
        <r>
          <rPr>
            <sz val="8"/>
            <color indexed="81"/>
            <rFont val="Tahoma"/>
            <family val="2"/>
          </rPr>
          <t xml:space="preserve"> that individuals in the </t>
        </r>
        <r>
          <rPr>
            <b/>
            <sz val="8"/>
            <color indexed="81"/>
            <rFont val="Tahoma"/>
            <family val="2"/>
          </rPr>
          <t>second rank</t>
        </r>
        <r>
          <rPr>
            <sz val="8"/>
            <color indexed="81"/>
            <rFont val="Tahoma"/>
            <family val="2"/>
          </rPr>
          <t xml:space="preserve"> will also fall in, but only if they are close to the first rank and the character ahead has fallen in. The pit is 10’ deep, and those falling in will take </t>
        </r>
        <r>
          <rPr>
            <b/>
            <sz val="8"/>
            <color indexed="81"/>
            <rFont val="Tahoma"/>
            <family val="2"/>
          </rPr>
          <t>1-6 points of damag</t>
        </r>
        <r>
          <rPr>
            <sz val="8"/>
            <color indexed="81"/>
            <rFont val="Tahoma"/>
            <family val="2"/>
          </rPr>
          <t xml:space="preserve">e. The pit lid will close, and persons within cannot escape without aid from the outside. The noise will attract creatures from areas 1. and 2. Planks for crossing the pit are stored at #1 ., beyond.
</t>
        </r>
      </text>
    </comment>
    <comment ref="Z20" authorId="0" shapeId="0" xr:uid="{3B3C96E4-E4D8-4DAA-9DC0-E60A6A9B5E37}">
      <text>
        <r>
          <rPr>
            <sz val="8"/>
            <color indexed="81"/>
            <rFont val="Tahoma"/>
            <family val="2"/>
          </rPr>
          <t>Note</t>
        </r>
      </text>
    </comment>
    <comment ref="L21" authorId="0" shapeId="0" xr:uid="{5B057C62-55FC-4F53-AB4F-93AC913F18EE}">
      <text>
        <r>
          <rPr>
            <sz val="8"/>
            <color indexed="81"/>
            <rFont val="Tahoma"/>
            <family val="2"/>
          </rPr>
          <t>Note</t>
        </r>
      </text>
    </comment>
    <comment ref="V21" authorId="0" shapeId="0" xr:uid="{11365853-9652-4212-BAF6-C19890EB6AAC}">
      <text>
        <r>
          <rPr>
            <sz val="8"/>
            <color indexed="81"/>
            <rFont val="Tahoma"/>
            <family val="2"/>
          </rPr>
          <t>Note</t>
        </r>
      </text>
    </comment>
    <comment ref="AC21" authorId="0" shapeId="0" xr:uid="{928A85FC-BB48-4401-A362-927CEFD6CED7}">
      <text>
        <r>
          <rPr>
            <sz val="8"/>
            <color indexed="81"/>
            <rFont val="Tahoma"/>
            <family val="2"/>
          </rPr>
          <t>Note</t>
        </r>
      </text>
    </comment>
    <comment ref="X23" authorId="0" shapeId="0" xr:uid="{FF23BDE0-96E3-4FE2-AA67-10EEC1C3C866}">
      <text>
        <r>
          <rPr>
            <sz val="8"/>
            <color indexed="81"/>
            <rFont val="Tahoma"/>
            <family val="2"/>
          </rPr>
          <t>Note</t>
        </r>
      </text>
    </comment>
    <comment ref="U24" authorId="0" shapeId="0" xr:uid="{6F6E875C-96A4-4D63-AF9F-2C7501EFB008}">
      <text>
        <r>
          <rPr>
            <sz val="8"/>
            <color indexed="81"/>
            <rFont val="Tahoma"/>
            <family val="2"/>
          </rPr>
          <t>Note</t>
        </r>
      </text>
    </comment>
    <comment ref="AD28" authorId="0" shapeId="0" xr:uid="{9262A5ED-B9DE-4E1F-9189-974FCD5D83CD}">
      <text>
        <r>
          <rPr>
            <sz val="8"/>
            <color indexed="81"/>
            <rFont val="Tahoma"/>
            <family val="2"/>
          </rPr>
          <t>Note</t>
        </r>
      </text>
    </comment>
    <comment ref="N29" authorId="0" shapeId="0" xr:uid="{AA1721C0-FBA1-4CFF-A95B-50C68DADA46B}">
      <text>
        <r>
          <rPr>
            <sz val="8"/>
            <color indexed="81"/>
            <rFont val="Tahoma"/>
            <family val="2"/>
          </rPr>
          <t>Note</t>
        </r>
      </text>
    </comment>
    <comment ref="F30" authorId="0" shapeId="0" xr:uid="{6C4906C6-0B51-4175-B1A4-45DC15AC3191}">
      <text>
        <r>
          <rPr>
            <sz val="8"/>
            <color indexed="81"/>
            <rFont val="Tahoma"/>
            <family val="2"/>
          </rPr>
          <t>Note</t>
        </r>
      </text>
    </comment>
    <comment ref="AL32" authorId="0" shapeId="0" xr:uid="{C9F9F200-DB0A-4638-B3AC-5AB4733251EA}">
      <text>
        <r>
          <rPr>
            <sz val="8"/>
            <color indexed="81"/>
            <rFont val="Tahoma"/>
            <family val="2"/>
          </rPr>
          <t>Note</t>
        </r>
      </text>
    </comment>
    <comment ref="AQ32" authorId="0" shapeId="0" xr:uid="{9CEB7F6A-A3B7-4856-9B58-B15EAD99D187}">
      <text>
        <r>
          <rPr>
            <sz val="8"/>
            <color indexed="81"/>
            <rFont val="Tahoma"/>
            <family val="2"/>
          </rPr>
          <t>Note</t>
        </r>
      </text>
    </comment>
    <comment ref="O33" authorId="0" shapeId="0" xr:uid="{0E64E179-B880-4B0E-BCB7-727BAD4D160D}">
      <text>
        <r>
          <rPr>
            <sz val="8"/>
            <color indexed="81"/>
            <rFont val="Tahoma"/>
            <family val="2"/>
          </rPr>
          <t>Note</t>
        </r>
      </text>
    </comment>
    <comment ref="BC33" authorId="0" shapeId="0" xr:uid="{6B1076ED-8F99-4F7D-A70F-3E56107FFBEB}">
      <text>
        <r>
          <rPr>
            <sz val="8"/>
            <color indexed="81"/>
            <rFont val="Tahoma"/>
            <family val="2"/>
          </rPr>
          <t>Note</t>
        </r>
      </text>
    </comment>
    <comment ref="AF35" authorId="0" shapeId="0" xr:uid="{741ACA10-026C-41EC-B5FC-1A6B70315AC3}">
      <text>
        <r>
          <rPr>
            <sz val="8"/>
            <color indexed="81"/>
            <rFont val="Tahoma"/>
            <family val="2"/>
          </rPr>
          <t>Note</t>
        </r>
      </text>
    </comment>
    <comment ref="AQ35" authorId="0" shapeId="0" xr:uid="{2A60188B-5EB1-4F58-B922-260584EEB1B6}">
      <text>
        <r>
          <rPr>
            <sz val="8"/>
            <color indexed="81"/>
            <rFont val="Tahoma"/>
            <family val="2"/>
          </rPr>
          <t>Note</t>
        </r>
      </text>
    </comment>
    <comment ref="AW35" authorId="0" shapeId="0" xr:uid="{4EE2E528-8449-4203-AF2B-E44614AAC6CC}">
      <text>
        <r>
          <rPr>
            <sz val="8"/>
            <color indexed="81"/>
            <rFont val="Tahoma"/>
            <family val="2"/>
          </rPr>
          <t>Note</t>
        </r>
      </text>
    </comment>
    <comment ref="BK35" authorId="0" shapeId="0" xr:uid="{5C1FDD0A-B7CB-4210-AF83-1BD345AD43B5}">
      <text>
        <r>
          <rPr>
            <sz val="8"/>
            <color indexed="81"/>
            <rFont val="Tahoma"/>
            <family val="2"/>
          </rPr>
          <t>Note</t>
        </r>
      </text>
    </comment>
    <comment ref="AC36" authorId="0" shapeId="0" xr:uid="{1050593C-BB50-4DB2-B43C-6FCD88363001}">
      <text>
        <r>
          <rPr>
            <sz val="8"/>
            <color indexed="81"/>
            <rFont val="Tahoma"/>
            <family val="2"/>
          </rPr>
          <t>Note</t>
        </r>
      </text>
    </comment>
    <comment ref="BB36" authorId="0" shapeId="0" xr:uid="{8F859B98-C406-464C-B97A-1C5162A77629}">
      <text>
        <r>
          <rPr>
            <sz val="8"/>
            <color indexed="81"/>
            <rFont val="Tahoma"/>
            <family val="2"/>
          </rPr>
          <t>Note</t>
        </r>
      </text>
    </comment>
    <comment ref="P37" authorId="0" shapeId="0" xr:uid="{AE20FE90-1284-4B00-9E62-85AE0F93F6BE}">
      <text>
        <r>
          <rPr>
            <sz val="8"/>
            <color indexed="81"/>
            <rFont val="Tahoma"/>
            <family val="2"/>
          </rPr>
          <t>Note</t>
        </r>
      </text>
    </comment>
    <comment ref="AR37" authorId="0" shapeId="0" xr:uid="{B19A5A20-AF6D-4864-BD12-E44CE3C15622}">
      <text>
        <r>
          <rPr>
            <sz val="8"/>
            <color indexed="81"/>
            <rFont val="Tahoma"/>
            <family val="2"/>
          </rPr>
          <t>Note</t>
        </r>
      </text>
    </comment>
    <comment ref="F38" authorId="0" shapeId="0" xr:uid="{C35EB01A-C223-44A0-96F2-7D4D7B9B3FB3}">
      <text>
        <r>
          <rPr>
            <sz val="8"/>
            <color indexed="81"/>
            <rFont val="Tahoma"/>
            <family val="2"/>
          </rPr>
          <t>Note</t>
        </r>
      </text>
    </comment>
    <comment ref="W38" authorId="0" shapeId="0" xr:uid="{03F3521A-5079-4060-A1C7-18A6C3A49423}">
      <text>
        <r>
          <rPr>
            <sz val="8"/>
            <color indexed="81"/>
            <rFont val="Tahoma"/>
            <family val="2"/>
          </rPr>
          <t>Note</t>
        </r>
      </text>
    </comment>
    <comment ref="AE38" authorId="0" shapeId="0" xr:uid="{A04DA8BF-7594-4F57-B4E5-08A80D3534CF}">
      <text>
        <r>
          <rPr>
            <sz val="8"/>
            <color indexed="81"/>
            <rFont val="Tahoma"/>
            <family val="2"/>
          </rPr>
          <t>Note</t>
        </r>
      </text>
    </comment>
    <comment ref="AJ38" authorId="0" shapeId="0" xr:uid="{0B267564-C9D4-43F1-8C2E-859E4C209F1E}">
      <text>
        <r>
          <rPr>
            <sz val="8"/>
            <color indexed="81"/>
            <rFont val="Tahoma"/>
            <family val="2"/>
          </rPr>
          <t>Note</t>
        </r>
      </text>
    </comment>
    <comment ref="BF38" authorId="0" shapeId="0" xr:uid="{94755D18-47DC-4C9B-A9AB-3A97B48D9573}">
      <text>
        <r>
          <rPr>
            <sz val="8"/>
            <color indexed="81"/>
            <rFont val="Tahoma"/>
            <family val="2"/>
          </rPr>
          <t>Note</t>
        </r>
      </text>
    </comment>
    <comment ref="AM40" authorId="0" shapeId="0" xr:uid="{EE5977FF-AC7F-4D1A-A3E9-FFCA06960261}">
      <text>
        <r>
          <rPr>
            <sz val="8"/>
            <color indexed="81"/>
            <rFont val="Tahoma"/>
            <family val="2"/>
          </rPr>
          <t>Note</t>
        </r>
      </text>
    </comment>
    <comment ref="J41" authorId="0" shapeId="0" xr:uid="{57DA3D0D-ECFF-4D3D-A3E4-FF3934502699}">
      <text>
        <r>
          <rPr>
            <sz val="8"/>
            <color indexed="81"/>
            <rFont val="Tahoma"/>
            <family val="2"/>
          </rPr>
          <t>Note</t>
        </r>
      </text>
    </comment>
    <comment ref="N42" authorId="0" shapeId="0" xr:uid="{BFC71BEA-252A-4A7D-8E79-5FD226AD2778}">
      <text>
        <r>
          <rPr>
            <sz val="8"/>
            <color indexed="81"/>
            <rFont val="Tahoma"/>
            <family val="2"/>
          </rPr>
          <t>Note</t>
        </r>
      </text>
    </comment>
    <comment ref="AD43" authorId="0" shapeId="0" xr:uid="{AEC1A751-6557-4618-A5D0-F25B3E28BE1E}">
      <text>
        <r>
          <rPr>
            <sz val="8"/>
            <color indexed="81"/>
            <rFont val="Tahoma"/>
            <family val="2"/>
          </rPr>
          <t>Note</t>
        </r>
      </text>
    </comment>
    <comment ref="BP43" authorId="0" shapeId="0" xr:uid="{3D896298-67B5-45CB-B724-76B8C71ADC1D}">
      <text>
        <r>
          <rPr>
            <sz val="8"/>
            <color indexed="81"/>
            <rFont val="Tahoma"/>
            <family val="2"/>
          </rPr>
          <t>Note</t>
        </r>
      </text>
    </comment>
    <comment ref="AK44" authorId="0" shapeId="0" xr:uid="{4DA77A6B-375E-4E44-9405-66AEA31C93BB}">
      <text>
        <r>
          <rPr>
            <sz val="8"/>
            <color indexed="81"/>
            <rFont val="Tahoma"/>
            <family val="2"/>
          </rPr>
          <t>Note</t>
        </r>
      </text>
    </comment>
    <comment ref="U45" authorId="0" shapeId="0" xr:uid="{AC0A293D-B820-448F-81B1-DDC9FC3D7814}">
      <text>
        <r>
          <rPr>
            <sz val="8"/>
            <color indexed="81"/>
            <rFont val="Tahoma"/>
            <family val="2"/>
          </rPr>
          <t>Note</t>
        </r>
      </text>
    </comment>
    <comment ref="BA45" authorId="0" shapeId="0" xr:uid="{E9F41235-974E-40EB-8526-AF9259D93BBB}">
      <text>
        <r>
          <rPr>
            <sz val="8"/>
            <color indexed="81"/>
            <rFont val="Tahoma"/>
            <family val="2"/>
          </rPr>
          <t>Note</t>
        </r>
      </text>
    </comment>
    <comment ref="Y46" authorId="0" shapeId="0" xr:uid="{66883716-8EAF-4B45-847E-9F15E1385E79}">
      <text>
        <r>
          <rPr>
            <sz val="8"/>
            <color indexed="81"/>
            <rFont val="Tahoma"/>
            <family val="2"/>
          </rPr>
          <t>Note</t>
        </r>
      </text>
    </comment>
    <comment ref="BL46" authorId="0" shapeId="0" xr:uid="{24052F47-1F43-41B8-B234-6904034BF328}">
      <text>
        <r>
          <rPr>
            <sz val="8"/>
            <color indexed="81"/>
            <rFont val="Tahoma"/>
            <family val="2"/>
          </rPr>
          <t>Note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Автор</author>
  </authors>
  <commentList>
    <comment ref="C2" authorId="0" shapeId="0" xr:uid="{23C25770-1979-4329-BC64-54DDC0F1B4D5}">
      <text>
        <r>
          <rPr>
            <sz val="22"/>
            <color indexed="81"/>
            <rFont val="Nodesto Caps Condensed"/>
          </rPr>
          <t xml:space="preserve"> Optional space for DM to insert their notes into pop-up comment boxes</t>
        </r>
      </text>
    </comment>
    <comment ref="D5" authorId="1" shapeId="0" xr:uid="{00000000-0006-0000-0200-000001000000}">
      <text>
        <r>
          <rPr>
            <sz val="11"/>
            <color indexed="81"/>
            <rFont val="Tahoma"/>
            <family val="2"/>
          </rPr>
          <t>Monster Note</t>
        </r>
      </text>
    </comment>
    <comment ref="E5" authorId="1" shapeId="0" xr:uid="{00000000-0006-0000-0200-000002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5" authorId="1" shapeId="0" xr:uid="{00000000-0006-0000-0200-000003000000}">
      <text>
        <r>
          <rPr>
            <sz val="11"/>
            <color indexed="81"/>
            <rFont val="Tahoma"/>
            <family val="2"/>
          </rPr>
          <t>Item Note</t>
        </r>
      </text>
    </comment>
    <comment ref="M5" authorId="1" shapeId="0" xr:uid="{00000000-0006-0000-0200-000004000000}">
      <text>
        <r>
          <rPr>
            <sz val="11"/>
            <color indexed="81"/>
            <rFont val="Tahoma"/>
            <family val="2"/>
          </rPr>
          <t xml:space="preserve">NPC Note
</t>
        </r>
      </text>
    </comment>
    <comment ref="D7" authorId="1" shapeId="0" xr:uid="{00000000-0006-0000-0200-000005000000}">
      <text>
        <r>
          <rPr>
            <sz val="11"/>
            <color indexed="81"/>
            <rFont val="Tahoma"/>
            <family val="2"/>
          </rPr>
          <t>Monster Note</t>
        </r>
      </text>
    </comment>
    <comment ref="E7" authorId="1" shapeId="0" xr:uid="{00000000-0006-0000-0200-000006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7" authorId="1" shapeId="0" xr:uid="{00000000-0006-0000-0200-000007000000}">
      <text>
        <r>
          <rPr>
            <sz val="11"/>
            <color indexed="81"/>
            <rFont val="Tahoma"/>
            <family val="2"/>
          </rPr>
          <t>Item Note</t>
        </r>
      </text>
    </comment>
    <comment ref="M7" authorId="1" shapeId="0" xr:uid="{00000000-0006-0000-0200-000008000000}">
      <text>
        <r>
          <rPr>
            <sz val="11"/>
            <color indexed="81"/>
            <rFont val="Tahoma"/>
            <family val="2"/>
          </rPr>
          <t xml:space="preserve">NPC Note
</t>
        </r>
      </text>
    </comment>
    <comment ref="E9" authorId="1" shapeId="0" xr:uid="{00000000-0006-0000-0200-000009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9" authorId="1" shapeId="0" xr:uid="{00000000-0006-0000-0200-00000A000000}">
      <text>
        <r>
          <rPr>
            <sz val="11"/>
            <color indexed="81"/>
            <rFont val="Tahoma"/>
            <family val="2"/>
          </rPr>
          <t>Item Note</t>
        </r>
      </text>
    </comment>
    <comment ref="M9" authorId="1" shapeId="0" xr:uid="{00000000-0006-0000-0200-00000B000000}">
      <text>
        <r>
          <rPr>
            <sz val="11"/>
            <color indexed="81"/>
            <rFont val="Tahoma"/>
            <family val="2"/>
          </rPr>
          <t xml:space="preserve">NPC Note
</t>
        </r>
      </text>
    </comment>
    <comment ref="E11" authorId="1" shapeId="0" xr:uid="{00000000-0006-0000-0200-00000C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11" authorId="1" shapeId="0" xr:uid="{00000000-0006-0000-0200-00000D000000}">
      <text>
        <r>
          <rPr>
            <sz val="11"/>
            <color indexed="81"/>
            <rFont val="Tahoma"/>
            <family val="2"/>
          </rPr>
          <t>Item Note</t>
        </r>
      </text>
    </comment>
    <comment ref="M11" authorId="1" shapeId="0" xr:uid="{00000000-0006-0000-0200-00000E000000}">
      <text>
        <r>
          <rPr>
            <sz val="11"/>
            <color indexed="81"/>
            <rFont val="Tahoma"/>
            <family val="2"/>
          </rPr>
          <t xml:space="preserve">NPC Note
</t>
        </r>
      </text>
    </comment>
    <comment ref="E13" authorId="1" shapeId="0" xr:uid="{00000000-0006-0000-0200-00000F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13" authorId="1" shapeId="0" xr:uid="{00000000-0006-0000-0200-000010000000}">
      <text>
        <r>
          <rPr>
            <sz val="11"/>
            <color indexed="81"/>
            <rFont val="Tahoma"/>
            <family val="2"/>
          </rPr>
          <t>Item Note</t>
        </r>
      </text>
    </comment>
    <comment ref="M13" authorId="1" shapeId="0" xr:uid="{00000000-0006-0000-0200-000011000000}">
      <text>
        <r>
          <rPr>
            <sz val="11"/>
            <color indexed="81"/>
            <rFont val="Tahoma"/>
            <family val="2"/>
          </rPr>
          <t xml:space="preserve">NPC Note
</t>
        </r>
      </text>
    </comment>
    <comment ref="E15" authorId="1" shapeId="0" xr:uid="{00000000-0006-0000-0200-000012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15" authorId="1" shapeId="0" xr:uid="{00000000-0006-0000-0200-000013000000}">
      <text>
        <r>
          <rPr>
            <sz val="11"/>
            <color indexed="81"/>
            <rFont val="Tahoma"/>
            <family val="2"/>
          </rPr>
          <t>Item Note</t>
        </r>
      </text>
    </comment>
    <comment ref="M15" authorId="1" shapeId="0" xr:uid="{00000000-0006-0000-0200-000014000000}">
      <text>
        <r>
          <rPr>
            <sz val="11"/>
            <color indexed="81"/>
            <rFont val="Tahoma"/>
            <family val="2"/>
          </rPr>
          <t xml:space="preserve">NPC Note
</t>
        </r>
      </text>
    </comment>
    <comment ref="E17" authorId="1" shapeId="0" xr:uid="{00000000-0006-0000-0200-000015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17" authorId="1" shapeId="0" xr:uid="{00000000-0006-0000-0200-000016000000}">
      <text>
        <r>
          <rPr>
            <sz val="11"/>
            <color indexed="81"/>
            <rFont val="Tahoma"/>
            <family val="2"/>
          </rPr>
          <t>Item Note</t>
        </r>
      </text>
    </comment>
    <comment ref="M17" authorId="1" shapeId="0" xr:uid="{00000000-0006-0000-0200-000017000000}">
      <text>
        <r>
          <rPr>
            <sz val="11"/>
            <color indexed="81"/>
            <rFont val="Tahoma"/>
            <family val="2"/>
          </rPr>
          <t xml:space="preserve">NPC Note
</t>
        </r>
      </text>
    </comment>
    <comment ref="E19" authorId="1" shapeId="0" xr:uid="{00000000-0006-0000-0200-000018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19" authorId="1" shapeId="0" xr:uid="{00000000-0006-0000-0200-000019000000}">
      <text>
        <r>
          <rPr>
            <sz val="11"/>
            <color indexed="81"/>
            <rFont val="Tahoma"/>
            <family val="2"/>
          </rPr>
          <t>Item Note</t>
        </r>
      </text>
    </comment>
    <comment ref="M19" authorId="1" shapeId="0" xr:uid="{00000000-0006-0000-0200-00001A000000}">
      <text>
        <r>
          <rPr>
            <sz val="11"/>
            <color indexed="81"/>
            <rFont val="Tahoma"/>
            <family val="2"/>
          </rPr>
          <t xml:space="preserve">NPC Note
</t>
        </r>
      </text>
    </comment>
    <comment ref="E21" authorId="1" shapeId="0" xr:uid="{00000000-0006-0000-0200-00001B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21" authorId="1" shapeId="0" xr:uid="{00000000-0006-0000-0200-00001C000000}">
      <text>
        <r>
          <rPr>
            <sz val="11"/>
            <color indexed="81"/>
            <rFont val="Tahoma"/>
            <family val="2"/>
          </rPr>
          <t>Item Note</t>
        </r>
      </text>
    </comment>
    <comment ref="M21" authorId="1" shapeId="0" xr:uid="{00000000-0006-0000-0200-00001D000000}">
      <text>
        <r>
          <rPr>
            <sz val="11"/>
            <color indexed="81"/>
            <rFont val="Tahoma"/>
            <family val="2"/>
          </rPr>
          <t xml:space="preserve">NPC Note
</t>
        </r>
      </text>
    </comment>
    <comment ref="E23" authorId="1" shapeId="0" xr:uid="{00000000-0006-0000-0200-00001E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23" authorId="1" shapeId="0" xr:uid="{00000000-0006-0000-0200-00001F000000}">
      <text>
        <r>
          <rPr>
            <sz val="11"/>
            <color indexed="81"/>
            <rFont val="Tahoma"/>
            <family val="2"/>
          </rPr>
          <t>Item Note</t>
        </r>
      </text>
    </comment>
    <comment ref="M23" authorId="1" shapeId="0" xr:uid="{00000000-0006-0000-0200-000020000000}">
      <text>
        <r>
          <rPr>
            <sz val="11"/>
            <color indexed="81"/>
            <rFont val="Tahoma"/>
            <family val="2"/>
          </rPr>
          <t xml:space="preserve">NPC Note
</t>
        </r>
      </text>
    </comment>
    <comment ref="E25" authorId="1" shapeId="0" xr:uid="{00000000-0006-0000-0200-000021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25" authorId="1" shapeId="0" xr:uid="{00000000-0006-0000-0200-000022000000}">
      <text>
        <r>
          <rPr>
            <sz val="11"/>
            <color indexed="81"/>
            <rFont val="Tahoma"/>
            <family val="2"/>
          </rPr>
          <t>Item Note</t>
        </r>
      </text>
    </comment>
    <comment ref="M25" authorId="1" shapeId="0" xr:uid="{00000000-0006-0000-0200-000023000000}">
      <text>
        <r>
          <rPr>
            <sz val="11"/>
            <color indexed="81"/>
            <rFont val="Tahoma"/>
            <family val="2"/>
          </rPr>
          <t xml:space="preserve">NPC Note
</t>
        </r>
      </text>
    </comment>
    <comment ref="E27" authorId="1" shapeId="0" xr:uid="{00000000-0006-0000-0200-000024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27" authorId="1" shapeId="0" xr:uid="{00000000-0006-0000-0200-000025000000}">
      <text>
        <r>
          <rPr>
            <sz val="11"/>
            <color indexed="81"/>
            <rFont val="Tahoma"/>
            <family val="2"/>
          </rPr>
          <t>Item Note</t>
        </r>
      </text>
    </comment>
    <comment ref="M27" authorId="1" shapeId="0" xr:uid="{00000000-0006-0000-0200-000026000000}">
      <text>
        <r>
          <rPr>
            <sz val="11"/>
            <color indexed="81"/>
            <rFont val="Tahoma"/>
            <family val="2"/>
          </rPr>
          <t xml:space="preserve">NPC Note
</t>
        </r>
      </text>
    </comment>
    <comment ref="E29" authorId="1" shapeId="0" xr:uid="{00000000-0006-0000-0200-000027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29" authorId="1" shapeId="0" xr:uid="{00000000-0006-0000-0200-000028000000}">
      <text>
        <r>
          <rPr>
            <sz val="11"/>
            <color indexed="81"/>
            <rFont val="Tahoma"/>
            <family val="2"/>
          </rPr>
          <t>Item Note</t>
        </r>
      </text>
    </comment>
    <comment ref="M29" authorId="1" shapeId="0" xr:uid="{00000000-0006-0000-0200-000029000000}">
      <text>
        <r>
          <rPr>
            <sz val="11"/>
            <color indexed="81"/>
            <rFont val="Tahoma"/>
            <family val="2"/>
          </rPr>
          <t xml:space="preserve">NPC Note
</t>
        </r>
      </text>
    </comment>
    <comment ref="E31" authorId="1" shapeId="0" xr:uid="{00000000-0006-0000-0200-00002A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31" authorId="1" shapeId="0" xr:uid="{00000000-0006-0000-0200-00002B000000}">
      <text>
        <r>
          <rPr>
            <sz val="11"/>
            <color indexed="81"/>
            <rFont val="Tahoma"/>
            <family val="2"/>
          </rPr>
          <t>Item Note</t>
        </r>
      </text>
    </comment>
    <comment ref="M31" authorId="1" shapeId="0" xr:uid="{00000000-0006-0000-0200-00002C000000}">
      <text>
        <r>
          <rPr>
            <sz val="11"/>
            <color indexed="81"/>
            <rFont val="Tahoma"/>
            <family val="2"/>
          </rPr>
          <t xml:space="preserve">NPC Note
</t>
        </r>
      </text>
    </comment>
    <comment ref="E33" authorId="1" shapeId="0" xr:uid="{00000000-0006-0000-0200-00002D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33" authorId="1" shapeId="0" xr:uid="{00000000-0006-0000-0200-00002E000000}">
      <text>
        <r>
          <rPr>
            <sz val="11"/>
            <color indexed="81"/>
            <rFont val="Tahoma"/>
            <family val="2"/>
          </rPr>
          <t>Item Note</t>
        </r>
      </text>
    </comment>
    <comment ref="M33" authorId="1" shapeId="0" xr:uid="{00000000-0006-0000-0200-00002F000000}">
      <text>
        <r>
          <rPr>
            <sz val="11"/>
            <color indexed="81"/>
            <rFont val="Tahoma"/>
            <family val="2"/>
          </rPr>
          <t xml:space="preserve">NPC Note
</t>
        </r>
      </text>
    </comment>
    <comment ref="E35" authorId="1" shapeId="0" xr:uid="{00000000-0006-0000-0200-000030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35" authorId="1" shapeId="0" xr:uid="{00000000-0006-0000-0200-000031000000}">
      <text>
        <r>
          <rPr>
            <sz val="11"/>
            <color indexed="81"/>
            <rFont val="Tahoma"/>
            <family val="2"/>
          </rPr>
          <t>Item Note</t>
        </r>
      </text>
    </comment>
    <comment ref="M35" authorId="1" shapeId="0" xr:uid="{00000000-0006-0000-0200-000032000000}">
      <text>
        <r>
          <rPr>
            <sz val="11"/>
            <color indexed="81"/>
            <rFont val="Tahoma"/>
            <family val="2"/>
          </rPr>
          <t xml:space="preserve">NPC Note
</t>
        </r>
      </text>
    </comment>
    <comment ref="E37" authorId="1" shapeId="0" xr:uid="{00000000-0006-0000-0200-000033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37" authorId="1" shapeId="0" xr:uid="{00000000-0006-0000-0200-000034000000}">
      <text>
        <r>
          <rPr>
            <sz val="11"/>
            <color indexed="81"/>
            <rFont val="Tahoma"/>
            <family val="2"/>
          </rPr>
          <t>Item Note</t>
        </r>
      </text>
    </comment>
    <comment ref="M37" authorId="1" shapeId="0" xr:uid="{00000000-0006-0000-0200-000035000000}">
      <text>
        <r>
          <rPr>
            <sz val="11"/>
            <color indexed="81"/>
            <rFont val="Tahoma"/>
            <family val="2"/>
          </rPr>
          <t xml:space="preserve">NPC Note
</t>
        </r>
      </text>
    </comment>
    <comment ref="E39" authorId="1" shapeId="0" xr:uid="{00000000-0006-0000-0200-000036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39" authorId="1" shapeId="0" xr:uid="{00000000-0006-0000-0200-000037000000}">
      <text>
        <r>
          <rPr>
            <sz val="11"/>
            <color indexed="81"/>
            <rFont val="Tahoma"/>
            <family val="2"/>
          </rPr>
          <t>Item Note</t>
        </r>
      </text>
    </comment>
    <comment ref="M39" authorId="1" shapeId="0" xr:uid="{00000000-0006-0000-0200-000038000000}">
      <text>
        <r>
          <rPr>
            <sz val="11"/>
            <color indexed="81"/>
            <rFont val="Tahoma"/>
            <family val="2"/>
          </rPr>
          <t xml:space="preserve">NPC Note
</t>
        </r>
      </text>
    </comment>
    <comment ref="E41" authorId="1" shapeId="0" xr:uid="{00000000-0006-0000-0200-000039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41" authorId="1" shapeId="0" xr:uid="{00000000-0006-0000-0200-00003A000000}">
      <text>
        <r>
          <rPr>
            <sz val="11"/>
            <color indexed="81"/>
            <rFont val="Tahoma"/>
            <family val="2"/>
          </rPr>
          <t>Item Note</t>
        </r>
      </text>
    </comment>
    <comment ref="M41" authorId="1" shapeId="0" xr:uid="{00000000-0006-0000-0200-00003B000000}">
      <text>
        <r>
          <rPr>
            <sz val="11"/>
            <color indexed="81"/>
            <rFont val="Tahoma"/>
            <family val="2"/>
          </rPr>
          <t xml:space="preserve">NPC Note
</t>
        </r>
      </text>
    </comment>
    <comment ref="E43" authorId="1" shapeId="0" xr:uid="{00000000-0006-0000-0200-00003C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43" authorId="1" shapeId="0" xr:uid="{00000000-0006-0000-0200-00003D000000}">
      <text>
        <r>
          <rPr>
            <sz val="11"/>
            <color indexed="81"/>
            <rFont val="Tahoma"/>
            <family val="2"/>
          </rPr>
          <t>Item Note</t>
        </r>
      </text>
    </comment>
    <comment ref="M43" authorId="1" shapeId="0" xr:uid="{00000000-0006-0000-0200-00003E000000}">
      <text>
        <r>
          <rPr>
            <sz val="11"/>
            <color indexed="81"/>
            <rFont val="Tahoma"/>
            <family val="2"/>
          </rPr>
          <t xml:space="preserve">NPC Note
</t>
        </r>
      </text>
    </comment>
    <comment ref="E45" authorId="1" shapeId="0" xr:uid="{00000000-0006-0000-0200-00003F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45" authorId="1" shapeId="0" xr:uid="{00000000-0006-0000-0200-000040000000}">
      <text>
        <r>
          <rPr>
            <sz val="11"/>
            <color indexed="81"/>
            <rFont val="Tahoma"/>
            <family val="2"/>
          </rPr>
          <t>Item Note</t>
        </r>
      </text>
    </comment>
    <comment ref="M45" authorId="1" shapeId="0" xr:uid="{00000000-0006-0000-0200-000041000000}">
      <text>
        <r>
          <rPr>
            <sz val="11"/>
            <color indexed="81"/>
            <rFont val="Tahoma"/>
            <family val="2"/>
          </rPr>
          <t xml:space="preserve">NPC Note
</t>
        </r>
      </text>
    </comment>
    <comment ref="E47" authorId="1" shapeId="0" xr:uid="{00000000-0006-0000-0200-000042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47" authorId="1" shapeId="0" xr:uid="{00000000-0006-0000-0200-000043000000}">
      <text>
        <r>
          <rPr>
            <sz val="11"/>
            <color indexed="81"/>
            <rFont val="Tahoma"/>
            <family val="2"/>
          </rPr>
          <t>Item Note</t>
        </r>
      </text>
    </comment>
    <comment ref="M47" authorId="1" shapeId="0" xr:uid="{00000000-0006-0000-0200-000044000000}">
      <text>
        <r>
          <rPr>
            <sz val="11"/>
            <color indexed="81"/>
            <rFont val="Tahoma"/>
            <family val="2"/>
          </rPr>
          <t xml:space="preserve">NPC Note
</t>
        </r>
      </text>
    </comment>
    <comment ref="E49" authorId="1" shapeId="0" xr:uid="{00000000-0006-0000-0200-000045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49" authorId="1" shapeId="0" xr:uid="{00000000-0006-0000-0200-000046000000}">
      <text>
        <r>
          <rPr>
            <sz val="11"/>
            <color indexed="81"/>
            <rFont val="Tahoma"/>
            <family val="2"/>
          </rPr>
          <t>Item Note</t>
        </r>
      </text>
    </comment>
    <comment ref="M49" authorId="1" shapeId="0" xr:uid="{00000000-0006-0000-0200-000047000000}">
      <text>
        <r>
          <rPr>
            <sz val="11"/>
            <color indexed="81"/>
            <rFont val="Tahoma"/>
            <family val="2"/>
          </rPr>
          <t xml:space="preserve">NPC Note
</t>
        </r>
      </text>
    </comment>
    <comment ref="E51" authorId="1" shapeId="0" xr:uid="{00000000-0006-0000-0200-000048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51" authorId="1" shapeId="0" xr:uid="{00000000-0006-0000-0200-000049000000}">
      <text>
        <r>
          <rPr>
            <sz val="11"/>
            <color indexed="81"/>
            <rFont val="Tahoma"/>
            <family val="2"/>
          </rPr>
          <t>Item Note</t>
        </r>
      </text>
    </comment>
    <comment ref="M51" authorId="1" shapeId="0" xr:uid="{00000000-0006-0000-0200-00004A000000}">
      <text>
        <r>
          <rPr>
            <sz val="11"/>
            <color indexed="81"/>
            <rFont val="Tahoma"/>
            <family val="2"/>
          </rPr>
          <t xml:space="preserve">NPC Note
</t>
        </r>
      </text>
    </comment>
    <comment ref="E53" authorId="1" shapeId="0" xr:uid="{00000000-0006-0000-0200-00004B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53" authorId="1" shapeId="0" xr:uid="{00000000-0006-0000-0200-00004C000000}">
      <text>
        <r>
          <rPr>
            <sz val="11"/>
            <color indexed="81"/>
            <rFont val="Tahoma"/>
            <family val="2"/>
          </rPr>
          <t>Item Note</t>
        </r>
      </text>
    </comment>
    <comment ref="M53" authorId="1" shapeId="0" xr:uid="{00000000-0006-0000-0200-00004D000000}">
      <text>
        <r>
          <rPr>
            <sz val="11"/>
            <color indexed="81"/>
            <rFont val="Tahoma"/>
            <family val="2"/>
          </rPr>
          <t xml:space="preserve">NPC Note
</t>
        </r>
      </text>
    </comment>
    <comment ref="E55" authorId="1" shapeId="0" xr:uid="{00000000-0006-0000-0200-00004E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55" authorId="1" shapeId="0" xr:uid="{00000000-0006-0000-0200-00004F000000}">
      <text>
        <r>
          <rPr>
            <sz val="11"/>
            <color indexed="81"/>
            <rFont val="Tahoma"/>
            <family val="2"/>
          </rPr>
          <t>Item Note</t>
        </r>
      </text>
    </comment>
    <comment ref="M55" authorId="1" shapeId="0" xr:uid="{00000000-0006-0000-0200-000050000000}">
      <text>
        <r>
          <rPr>
            <sz val="11"/>
            <color indexed="81"/>
            <rFont val="Tahoma"/>
            <family val="2"/>
          </rPr>
          <t xml:space="preserve">NPC Note
</t>
        </r>
      </text>
    </comment>
    <comment ref="E57" authorId="1" shapeId="0" xr:uid="{00000000-0006-0000-0200-000051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57" authorId="1" shapeId="0" xr:uid="{00000000-0006-0000-0200-000052000000}">
      <text>
        <r>
          <rPr>
            <sz val="11"/>
            <color indexed="81"/>
            <rFont val="Tahoma"/>
            <family val="2"/>
          </rPr>
          <t>Item Note</t>
        </r>
      </text>
    </comment>
    <comment ref="M57" authorId="1" shapeId="0" xr:uid="{00000000-0006-0000-0200-000053000000}">
      <text>
        <r>
          <rPr>
            <sz val="11"/>
            <color indexed="81"/>
            <rFont val="Tahoma"/>
            <family val="2"/>
          </rPr>
          <t xml:space="preserve">NPC Note
</t>
        </r>
      </text>
    </comment>
    <comment ref="E59" authorId="1" shapeId="0" xr:uid="{00000000-0006-0000-0200-000054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59" authorId="1" shapeId="0" xr:uid="{00000000-0006-0000-0200-000055000000}">
      <text>
        <r>
          <rPr>
            <sz val="11"/>
            <color indexed="81"/>
            <rFont val="Tahoma"/>
            <family val="2"/>
          </rPr>
          <t>Item Note</t>
        </r>
      </text>
    </comment>
    <comment ref="M59" authorId="1" shapeId="0" xr:uid="{00000000-0006-0000-0200-000056000000}">
      <text>
        <r>
          <rPr>
            <sz val="11"/>
            <color indexed="81"/>
            <rFont val="Tahoma"/>
            <family val="2"/>
          </rPr>
          <t xml:space="preserve">NPC Note
</t>
        </r>
      </text>
    </comment>
    <comment ref="E61" authorId="1" shapeId="0" xr:uid="{00000000-0006-0000-0200-000057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61" authorId="1" shapeId="0" xr:uid="{00000000-0006-0000-0200-000058000000}">
      <text>
        <r>
          <rPr>
            <sz val="11"/>
            <color indexed="81"/>
            <rFont val="Tahoma"/>
            <family val="2"/>
          </rPr>
          <t>Item Note</t>
        </r>
      </text>
    </comment>
    <comment ref="M61" authorId="1" shapeId="0" xr:uid="{00000000-0006-0000-0200-000059000000}">
      <text>
        <r>
          <rPr>
            <sz val="11"/>
            <color indexed="81"/>
            <rFont val="Tahoma"/>
            <family val="2"/>
          </rPr>
          <t xml:space="preserve">NPC Note
</t>
        </r>
      </text>
    </comment>
    <comment ref="E63" authorId="1" shapeId="0" xr:uid="{00000000-0006-0000-0200-00005A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63" authorId="1" shapeId="0" xr:uid="{00000000-0006-0000-0200-00005B000000}">
      <text>
        <r>
          <rPr>
            <sz val="11"/>
            <color indexed="81"/>
            <rFont val="Tahoma"/>
            <family val="2"/>
          </rPr>
          <t>Item Note</t>
        </r>
      </text>
    </comment>
    <comment ref="M63" authorId="1" shapeId="0" xr:uid="{00000000-0006-0000-0200-00005C000000}">
      <text>
        <r>
          <rPr>
            <sz val="11"/>
            <color indexed="81"/>
            <rFont val="Tahoma"/>
            <family val="2"/>
          </rPr>
          <t xml:space="preserve">NPC Note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T5" authorId="0" shapeId="0" xr:uid="{63644563-0CF4-4D42-B079-92B74A0767CD}">
      <text>
        <r>
          <rPr>
            <sz val="12"/>
            <color indexed="81"/>
            <rFont val="Tahoma"/>
            <family val="2"/>
          </rPr>
          <t xml:space="preserve">Right click and select 'Edit Comment'
to insert your location notes here
</t>
        </r>
      </text>
    </comment>
    <comment ref="U6" authorId="0" shapeId="0" xr:uid="{9DF3E17F-BE9B-43FE-A08C-55578C03E315}">
      <text>
        <r>
          <rPr>
            <sz val="12"/>
            <color indexed="81"/>
            <rFont val="Tahoma"/>
            <family val="2"/>
          </rPr>
          <t xml:space="preserve">Right click and select 'Edit Comment'
to insert your location notes here
</t>
        </r>
      </text>
    </comment>
    <comment ref="AD7" authorId="0" shapeId="0" xr:uid="{D40B14DD-DA80-439E-8F77-0B57C6811715}">
      <text>
        <r>
          <rPr>
            <sz val="12"/>
            <color indexed="81"/>
            <rFont val="Tahoma"/>
            <family val="2"/>
          </rPr>
          <t xml:space="preserve">Right click and select 'Edit Comment'
to insert your location notes here
</t>
        </r>
      </text>
    </comment>
    <comment ref="V14" authorId="0" shapeId="0" xr:uid="{9C753BA7-13D6-49A5-BBD0-CEA89A6F7B17}">
      <text>
        <r>
          <rPr>
            <sz val="12"/>
            <color indexed="81"/>
            <rFont val="Tahoma"/>
            <family val="2"/>
          </rPr>
          <t xml:space="preserve">Right click and select 'Edit Comment'
to insert your location notes here
</t>
        </r>
      </text>
    </comment>
    <comment ref="AA14" authorId="0" shapeId="0" xr:uid="{971B18B7-E2E3-4BA5-BF44-68F1B1A19018}">
      <text>
        <r>
          <rPr>
            <sz val="12"/>
            <color indexed="81"/>
            <rFont val="Tahoma"/>
            <family val="2"/>
          </rPr>
          <t xml:space="preserve">Right click and select 'Edit Comment'
to insert your location notes here
</t>
        </r>
      </text>
    </comment>
    <comment ref="AY15" authorId="0" shapeId="0" xr:uid="{E6A064E7-0A02-4031-B665-8C281651A063}">
      <text>
        <r>
          <rPr>
            <sz val="12"/>
            <color indexed="81"/>
            <rFont val="Tahoma"/>
            <family val="2"/>
          </rPr>
          <t xml:space="preserve">Right click and select 'Edit Comment'
to insert your location notes here
</t>
        </r>
      </text>
    </comment>
    <comment ref="S16" authorId="0" shapeId="0" xr:uid="{6E75E674-6858-4292-842A-28ACBDEB794E}">
      <text>
        <r>
          <rPr>
            <sz val="12"/>
            <color indexed="81"/>
            <rFont val="Tahoma"/>
            <family val="2"/>
          </rPr>
          <t xml:space="preserve">Right click and select 'Edit Comment'
to insert your location notes here
</t>
        </r>
      </text>
    </comment>
    <comment ref="AM17" authorId="0" shapeId="0" xr:uid="{D5B0C766-14F5-48E3-9B91-669D1566E944}">
      <text>
        <r>
          <rPr>
            <sz val="12"/>
            <color indexed="81"/>
            <rFont val="Tahoma"/>
            <family val="2"/>
          </rPr>
          <t xml:space="preserve">Right click and select 'Edit Comment'
to insert your location notes here
</t>
        </r>
      </text>
    </comment>
    <comment ref="BL18" authorId="0" shapeId="0" xr:uid="{01661EEC-F77B-4BAD-A7A4-544E8D8DCBCD}">
      <text>
        <r>
          <rPr>
            <sz val="12"/>
            <color indexed="81"/>
            <rFont val="Tahoma"/>
            <family val="2"/>
          </rPr>
          <t xml:space="preserve">Right click and select 'Edit Comment'
to insert your location notes here
</t>
        </r>
      </text>
    </comment>
    <comment ref="P20" authorId="0" shapeId="0" xr:uid="{EC3E95F8-4CE1-4FF3-A25A-7C90C1A8E96A}">
      <text>
        <r>
          <rPr>
            <sz val="12"/>
            <color indexed="81"/>
            <rFont val="Tahoma"/>
            <family val="2"/>
          </rPr>
          <t xml:space="preserve">Right click and select 'Edit Comment'
to insert your location notes here
</t>
        </r>
      </text>
    </comment>
    <comment ref="R23" authorId="0" shapeId="0" xr:uid="{F2D74640-9605-4C3F-8E1E-06388205B65F}">
      <text>
        <r>
          <rPr>
            <sz val="12"/>
            <color indexed="81"/>
            <rFont val="Tahoma"/>
            <family val="2"/>
          </rPr>
          <t xml:space="preserve">Right click and select 'Edit Comment'
to insert your location notes here
</t>
        </r>
      </text>
    </comment>
    <comment ref="AL28" authorId="0" shapeId="0" xr:uid="{DDF18C4B-2B1F-471B-8BC5-37F06AA60863}">
      <text>
        <r>
          <rPr>
            <sz val="12"/>
            <color indexed="81"/>
            <rFont val="Tahoma"/>
            <family val="2"/>
          </rPr>
          <t xml:space="preserve">Right click and select 'Edit Comment'
to insert your location notes here
</t>
        </r>
      </text>
    </comment>
    <comment ref="AZ29" authorId="0" shapeId="0" xr:uid="{2085AF90-E897-4099-B46F-BD350DB2F141}">
      <text>
        <r>
          <rPr>
            <sz val="12"/>
            <color indexed="81"/>
            <rFont val="Tahoma"/>
            <family val="2"/>
          </rPr>
          <t xml:space="preserve">Right click and select 'Edit Comment'
to insert your location notes here
</t>
        </r>
      </text>
    </comment>
    <comment ref="BL29" authorId="0" shapeId="0" xr:uid="{05670C47-FED9-4D4D-9078-CAA320E87184}">
      <text>
        <r>
          <rPr>
            <sz val="12"/>
            <color indexed="81"/>
            <rFont val="Tahoma"/>
            <family val="2"/>
          </rPr>
          <t xml:space="preserve">Right click and select 'Edit Comment'
to insert your location notes here
</t>
        </r>
      </text>
    </comment>
    <comment ref="AR33" authorId="0" shapeId="0" xr:uid="{D6C6EABB-A5D4-4FD0-842E-9D00DF8911DE}">
      <text>
        <r>
          <rPr>
            <sz val="12"/>
            <color indexed="81"/>
            <rFont val="Tahoma"/>
            <family val="2"/>
          </rPr>
          <t xml:space="preserve">Right click and select 'Edit Comment'
to insert your location notes here
</t>
        </r>
      </text>
    </comment>
    <comment ref="AX35" authorId="0" shapeId="0" xr:uid="{A54889F4-5855-4D8B-8C7E-413B02F1E929}">
      <text>
        <r>
          <rPr>
            <sz val="12"/>
            <color indexed="81"/>
            <rFont val="Tahoma"/>
            <family val="2"/>
          </rPr>
          <t xml:space="preserve">Right click and select 'Edit Comment'
to insert your location notes here
</t>
        </r>
      </text>
    </comment>
    <comment ref="BC35" authorId="0" shapeId="0" xr:uid="{E554B413-B4A8-49E4-8EAC-5514A51CD2A2}">
      <text>
        <r>
          <rPr>
            <sz val="12"/>
            <color indexed="81"/>
            <rFont val="Tahoma"/>
            <family val="2"/>
          </rPr>
          <t xml:space="preserve">Right click and select 'Edit Comment'
to insert your location notes here
</t>
        </r>
      </text>
    </comment>
    <comment ref="AA38" authorId="0" shapeId="0" xr:uid="{4AEC41E8-89B2-43F5-B12E-7F7356BA22CD}">
      <text>
        <r>
          <rPr>
            <sz val="12"/>
            <color indexed="81"/>
            <rFont val="Tahoma"/>
            <family val="2"/>
          </rPr>
          <t xml:space="preserve">Right click and select 'Edit Comment'
to insert your location notes here
</t>
        </r>
      </text>
    </comment>
    <comment ref="AO38" authorId="0" shapeId="0" xr:uid="{D10D1639-5385-491E-A0BD-55A5EF398C27}">
      <text>
        <r>
          <rPr>
            <sz val="12"/>
            <color indexed="81"/>
            <rFont val="Tahoma"/>
            <family val="2"/>
          </rPr>
          <t xml:space="preserve">Right click and select 'Edit Comment'
to insert your location notes here
</t>
        </r>
      </text>
    </comment>
    <comment ref="M40" authorId="0" shapeId="0" xr:uid="{79B19274-C5AB-4D5A-B4FA-93ECB4F96569}">
      <text>
        <r>
          <rPr>
            <sz val="12"/>
            <color indexed="81"/>
            <rFont val="Tahoma"/>
            <family val="2"/>
          </rPr>
          <t xml:space="preserve">Right click and select 'Edit Comment'
to insert your location notes here
</t>
        </r>
      </text>
    </comment>
    <comment ref="AW40" authorId="0" shapeId="0" xr:uid="{D6860253-F924-49D9-8A94-B2B8A93FE70F}">
      <text>
        <r>
          <rPr>
            <sz val="12"/>
            <color indexed="81"/>
            <rFont val="Tahoma"/>
            <family val="2"/>
          </rPr>
          <t xml:space="preserve">Right click and select 'Edit Comment'
to insert your location notes here
</t>
        </r>
      </text>
    </comment>
    <comment ref="BG40" authorId="0" shapeId="0" xr:uid="{DCDF03D8-C2F1-466F-83BF-D38B6C251B03}">
      <text>
        <r>
          <rPr>
            <sz val="12"/>
            <color indexed="81"/>
            <rFont val="Tahoma"/>
            <family val="2"/>
          </rPr>
          <t xml:space="preserve">Right click and select 'Edit Comment'
to insert your location notes here
</t>
        </r>
      </text>
    </comment>
    <comment ref="AO44" authorId="0" shapeId="0" xr:uid="{07C21EE4-438E-4509-9A66-28B16689DEF7}">
      <text>
        <r>
          <rPr>
            <sz val="12"/>
            <color indexed="81"/>
            <rFont val="Tahoma"/>
            <family val="2"/>
          </rPr>
          <t xml:space="preserve">Right click and select 'Edit Comment'
to insert your location notes here
</t>
        </r>
      </text>
    </comment>
    <comment ref="K46" authorId="0" shapeId="0" xr:uid="{631050F2-056F-45C4-8217-8A8616631BC5}">
      <text>
        <r>
          <rPr>
            <sz val="12"/>
            <color indexed="81"/>
            <rFont val="Tahoma"/>
            <family val="2"/>
          </rPr>
          <t xml:space="preserve">Right click and select 'Edit Comment'
to insert your location notes here
</t>
        </r>
      </text>
    </comment>
    <comment ref="BB47" authorId="0" shapeId="0" xr:uid="{0ED621F8-4AB2-474C-BFD4-1D5C300DDA01}">
      <text>
        <r>
          <rPr>
            <sz val="12"/>
            <color indexed="81"/>
            <rFont val="Tahoma"/>
            <family val="2"/>
          </rPr>
          <t xml:space="preserve">Right click and select 'Edit Comment'
to insert your location notes here
</t>
        </r>
      </text>
    </comment>
    <comment ref="BO49" authorId="0" shapeId="0" xr:uid="{EDD50CD9-E5D5-4453-B84F-2C721944777D}">
      <text>
        <r>
          <rPr>
            <sz val="12"/>
            <color indexed="81"/>
            <rFont val="Tahoma"/>
            <family val="2"/>
          </rPr>
          <t xml:space="preserve">Right click and select 'Edit Comment'
to insert your location notes here
</t>
        </r>
      </text>
    </comment>
    <comment ref="V51" authorId="0" shapeId="0" xr:uid="{F75D7A96-B079-4528-8EA5-2CB275C9E30E}">
      <text>
        <r>
          <rPr>
            <sz val="12"/>
            <color indexed="81"/>
            <rFont val="Tahoma"/>
            <family val="2"/>
          </rPr>
          <t xml:space="preserve">Right click and select 'Edit Comment'
to insert your location notes here
</t>
        </r>
      </text>
    </comment>
    <comment ref="AX53" authorId="0" shapeId="0" xr:uid="{B2C6E90C-210F-4896-BAB3-B6200269E5A5}">
      <text>
        <r>
          <rPr>
            <sz val="12"/>
            <color indexed="81"/>
            <rFont val="Tahoma"/>
            <family val="2"/>
          </rPr>
          <t xml:space="preserve">Right click and select 'Edit Comment'
to insert your location notes here
</t>
        </r>
      </text>
    </comment>
    <comment ref="AL55" authorId="0" shapeId="0" xr:uid="{26E7BE1A-470D-44F3-95CC-E6449084FBF3}">
      <text>
        <r>
          <rPr>
            <sz val="12"/>
            <color indexed="81"/>
            <rFont val="Tahoma"/>
            <family val="2"/>
          </rPr>
          <t xml:space="preserve">Right click and select 'Edit Comment'
to insert your location notes here
</t>
        </r>
      </text>
    </comment>
    <comment ref="AX58" authorId="0" shapeId="0" xr:uid="{EDA3730D-9454-4D34-A2C3-427BF0988F8D}">
      <text>
        <r>
          <rPr>
            <sz val="12"/>
            <color indexed="81"/>
            <rFont val="Tahoma"/>
            <family val="2"/>
          </rPr>
          <t xml:space="preserve">Right click and select 'Edit Comment'
to insert your location notes here
</t>
        </r>
      </text>
    </comment>
    <comment ref="BJ65" authorId="0" shapeId="0" xr:uid="{12499CFD-2596-46A6-BDD1-832DDAEB1B04}">
      <text>
        <r>
          <rPr>
            <sz val="12"/>
            <color indexed="81"/>
            <rFont val="Tahoma"/>
            <family val="2"/>
          </rPr>
          <t xml:space="preserve">Right click and select 'Edit Comment'
to insert your location notes here
</t>
        </r>
      </text>
    </comment>
    <comment ref="N67" authorId="0" shapeId="0" xr:uid="{91533E40-80DF-4CE5-A87C-4B0544D779EF}">
      <text>
        <r>
          <rPr>
            <sz val="12"/>
            <color indexed="81"/>
            <rFont val="Tahoma"/>
            <family val="2"/>
          </rPr>
          <t xml:space="preserve">Right click and select 'Edit Comment'
to insert your location notes here
</t>
        </r>
      </text>
    </comment>
    <comment ref="AI67" authorId="0" shapeId="0" xr:uid="{1EA33665-7A39-4AE7-A2F2-A58CB098DE61}">
      <text>
        <r>
          <rPr>
            <sz val="12"/>
            <color indexed="81"/>
            <rFont val="Tahoma"/>
            <family val="2"/>
          </rPr>
          <t xml:space="preserve">Right click and select 'Edit Comment'
to insert your location notes here
</t>
        </r>
      </text>
    </comment>
    <comment ref="AV70" authorId="0" shapeId="0" xr:uid="{0A48E99D-0629-4B42-8AFC-A4C833E1E577}">
      <text>
        <r>
          <rPr>
            <sz val="12"/>
            <color indexed="81"/>
            <rFont val="Tahoma"/>
            <family val="2"/>
          </rPr>
          <t xml:space="preserve">Right click and select 'Edit Comment'
to insert your location notes here
</t>
        </r>
      </text>
    </comment>
    <comment ref="BR73" authorId="0" shapeId="0" xr:uid="{B373FACE-BC4C-4880-AA69-6C345ED21420}">
      <text>
        <r>
          <rPr>
            <sz val="12"/>
            <color indexed="81"/>
            <rFont val="Tahoma"/>
            <family val="2"/>
          </rPr>
          <t xml:space="preserve">Right click and select 'Edit Comment'
to insert your location notes here
</t>
        </r>
      </text>
    </comment>
    <comment ref="H75" authorId="0" shapeId="0" xr:uid="{37277CD6-CA0D-4BE3-B6E3-1A823355F4CE}">
      <text>
        <r>
          <rPr>
            <sz val="12"/>
            <color indexed="81"/>
            <rFont val="Tahoma"/>
            <family val="2"/>
          </rPr>
          <t xml:space="preserve">Right click and select 'Edit Comment'
to insert your location notes here
</t>
        </r>
      </text>
    </comment>
    <comment ref="BL75" authorId="0" shapeId="0" xr:uid="{EF426CA4-EF2F-4F2B-9A78-043F870C6304}">
      <text>
        <r>
          <rPr>
            <sz val="12"/>
            <color indexed="81"/>
            <rFont val="Tahoma"/>
            <family val="2"/>
          </rPr>
          <t xml:space="preserve">Right click and select 'Edit Comment'
to insert your location notes here
</t>
        </r>
      </text>
    </comment>
    <comment ref="BR79" authorId="0" shapeId="0" xr:uid="{EDF3C5AA-14A8-4DE3-8AEC-8AAA321B581F}">
      <text>
        <r>
          <rPr>
            <sz val="12"/>
            <color indexed="81"/>
            <rFont val="Tahoma"/>
            <family val="2"/>
          </rPr>
          <t xml:space="preserve">Right click and select 'Edit Comment'
to insert your location notes here
</t>
        </r>
      </text>
    </comment>
    <comment ref="AI81" authorId="0" shapeId="0" xr:uid="{BE228639-1710-4AE5-A25C-215B0C9B2905}">
      <text>
        <r>
          <rPr>
            <sz val="12"/>
            <color indexed="81"/>
            <rFont val="Tahoma"/>
            <family val="2"/>
          </rPr>
          <t xml:space="preserve">Right click and select 'Edit Comment'
to insert your location notes here
</t>
        </r>
      </text>
    </comment>
    <comment ref="L83" authorId="0" shapeId="0" xr:uid="{8BC1295B-76D2-46E5-A8DB-D0F5237E4537}">
      <text>
        <r>
          <rPr>
            <sz val="12"/>
            <color indexed="81"/>
            <rFont val="Tahoma"/>
            <family val="2"/>
          </rPr>
          <t xml:space="preserve">Right click and select 'Edit Comment'
to insert your location notes here
</t>
        </r>
      </text>
    </comment>
    <comment ref="H86" authorId="0" shapeId="0" xr:uid="{1C564C38-BE59-43BA-8673-0C8233339A1C}">
      <text>
        <r>
          <rPr>
            <sz val="12"/>
            <color indexed="81"/>
            <rFont val="Tahoma"/>
            <family val="2"/>
          </rPr>
          <t xml:space="preserve">Right click and select 'Edit Comment'
to insert your location notes here
</t>
        </r>
      </text>
    </comment>
    <comment ref="AJ90" authorId="0" shapeId="0" xr:uid="{B2C28EB2-4DBC-4536-BA99-C9776D5CCF19}">
      <text>
        <r>
          <rPr>
            <sz val="12"/>
            <color indexed="81"/>
            <rFont val="Tahoma"/>
            <family val="2"/>
          </rPr>
          <t xml:space="preserve">Right click and select 'Edit Comment'
to insert your location notes here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K3" authorId="0" shapeId="0" xr:uid="{C9068218-FF94-4447-8320-6DE82583E4B9}">
      <text>
        <r>
          <rPr>
            <b/>
            <sz val="9"/>
            <color indexed="81"/>
            <rFont val="Tahoma"/>
            <family val="2"/>
            <charset val="204"/>
          </rPr>
          <t>Палихов Антон:</t>
        </r>
        <r>
          <rPr>
            <sz val="9"/>
            <color indexed="81"/>
            <rFont val="Tahoma"/>
            <family val="2"/>
            <charset val="204"/>
          </rPr>
          <t xml:space="preserve">
Crown Tax is for stuff PC sell</t>
        </r>
      </text>
    </comment>
    <comment ref="L3" authorId="0" shapeId="0" xr:uid="{5F496821-9A46-4971-8161-6551EC2BF191}">
      <text>
        <r>
          <rPr>
            <b/>
            <sz val="9"/>
            <color indexed="81"/>
            <rFont val="Tahoma"/>
            <family val="2"/>
            <charset val="204"/>
          </rPr>
          <t>Палихов Антон:</t>
        </r>
        <r>
          <rPr>
            <sz val="9"/>
            <color indexed="81"/>
            <rFont val="Tahoma"/>
            <family val="2"/>
            <charset val="204"/>
          </rPr>
          <t xml:space="preserve">
Sales Tax is for stuff they buy</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B6" authorId="0" shapeId="0" xr:uid="{8F12C88C-0F50-4B25-8652-85E5ED577CA1}">
      <text>
        <r>
          <rPr>
            <b/>
            <sz val="9"/>
            <color indexed="81"/>
            <rFont val="Tahoma"/>
            <family val="2"/>
            <charset val="204"/>
          </rPr>
          <t>Палихов Антон:</t>
        </r>
        <r>
          <rPr>
            <sz val="9"/>
            <color indexed="81"/>
            <rFont val="Tahoma"/>
            <family val="2"/>
            <charset val="204"/>
          </rPr>
          <t xml:space="preserve">
[The rank of sergeant in the Purple Dragons is given in several places — FFC,p.6-8 as a specific veteran NPC and on p.98 as an unnamed soldier in Halfhap, in PoL,p.1 as a Purple Dragon rank, and in BtHR,p.70 as the rank of Hag Gordon. Also, in FoMD,p.14 the rank of sergeant is used outside of Cormyr in the Army of Darkness that destroyed Myth Drannor. Despite all of this, Ed Greenwood himself specifically creates his own Purple Dragon rank (First Sword) that is equivalent to sergeant in VGtC,p.234, and in the FR FAQ (http://www.candlekeep.com/fr_faq.htm#_Toc16090560) he also considers the rank of swordcaptain to be equivalent to sergeant. For this document, I'll take Ed's published info as the canon cite over his words in a FAQ or in other published works not written by him.]</t>
        </r>
      </text>
    </comment>
    <comment ref="G6" authorId="0" shapeId="0" xr:uid="{DBD3F52F-06D3-463F-830F-D4BA9616A568}">
      <text>
        <r>
          <rPr>
            <sz val="9"/>
            <color indexed="81"/>
            <rFont val="MrsEavesRoman"/>
          </rPr>
          <t>[GTR,p.51 states that the soldiers in High Horn are lead by a 4th-level fighter for every 10 soldiers, which is essentially a first sword leading a squad (see TO&amp;E for infantry).]</t>
        </r>
        <r>
          <rPr>
            <sz val="9"/>
            <color indexed="81"/>
            <rFont val="Tahoma"/>
            <family val="2"/>
            <charset val="204"/>
          </rPr>
          <t xml:space="preserve">
</t>
        </r>
      </text>
    </comment>
    <comment ref="A7" authorId="0" shapeId="0" xr:uid="{B204C26F-8DE5-4592-B265-8452375C777C}">
      <text>
        <r>
          <rPr>
            <b/>
            <sz val="9"/>
            <color indexed="81"/>
            <rFont val="Tahoma"/>
            <family val="2"/>
            <charset val="204"/>
          </rPr>
          <t>Палихов Антон:</t>
        </r>
        <r>
          <rPr>
            <sz val="9"/>
            <color indexed="81"/>
            <rFont val="Tahoma"/>
            <family val="2"/>
            <charset val="204"/>
          </rPr>
          <t xml:space="preserve">
[Note: My choice to make the swordcaptain an officer rank rather than an enlisted rank may be controversial. Several canon cites suggest it is a senior enlisted rank: CaN,p.195 suggests they discipline young bumbling soldiers (which would be the role of a sergeant); CaN,p.337 mentions it is a rank worthy of a veteran of the Tuigan War (i.e. at least 9 years in service); Stmlt,p.29 mentions a favored "gruff growling bear" post of swordcaptain which indicates an older grizzled veteran; Stmlt,p.45 mentions a swordcaptain as the head of a guard watch which would hardly be an officer's post. In addition, the FR FAQ (link given elsewhere) gives Ed's rough equivalent of swordcaptain as a sergeant; however, in published canon (VGtC,p.234) he says that First Sword is equivalent to sergeant. I am adamant that a senior enlisted rank is necessary for old grizzled veterans so I could have made swordcaptain that senior enlisted rank in addition to the First Sword which would be a junior sergeant, but I didn't for the following reasons. Other canon cites also point to the swordcaptain being an officer: CaN,p.338 portrays a swordcaptain (Lareth Gulur) speaking to a "senior officer" (Hathlan) as an equal (which no sergeant had better do!); CaN,p.458 tells that Gondegal used the swordcaptain rank too but the context implies he used it for mid-to-senior officers (and given his area of operations it's likely he'd pattern off of Cormyr); BtHR,p.15 speaks of the captain of the company; and finally the issues regarding lionars being the lowest ranking commissioned officers. VGtC,p.236 states that a lionar is equivalent to an 20th-century Earth major and that Purple Dragon Rings are seldom worn by Purple Dragons below the rank of lionar, and BtHR,p90 tells that Tanalasta's bodyguard is led by a lionar (a position of considerable responsibility) and p.257 speaks of a "grizzled" lionar. All of these facts strongly suggest that lionars are officers of some experience and earned trustworthiness rather than the most junior of officers despite what the FR FAQ says. So, there are two alternatives: either make the swordcaptain the equivalent of a senior sergeant and invent an officer rank to fit below lionar, or invent a senior sergeant rank and make the swordcaptain the lowest officer rank. Given that the 'captain' part implies leadership and 'captain' and 'company' go together like eggs and bacon (although this may be a real-world bias), I chose the latter and invented the 'swordmajor' to be the senior sergeant.]</t>
        </r>
      </text>
    </comment>
    <comment ref="A8" authorId="0" shapeId="0" xr:uid="{2B3631F8-F879-4910-8CDE-50ACA5CD9E31}">
      <text>
        <r>
          <rPr>
            <b/>
            <sz val="9"/>
            <color indexed="81"/>
            <rFont val="Tahoma"/>
            <family val="2"/>
            <charset val="204"/>
          </rPr>
          <t>Палихов Антон:</t>
        </r>
        <r>
          <rPr>
            <sz val="9"/>
            <color indexed="81"/>
            <rFont val="Tahoma"/>
            <family val="2"/>
            <charset val="204"/>
          </rPr>
          <t xml:space="preserve">
[VGtC,p.236 states the rank of lionar is similar to a modern 20th-century major in footnote 3.]
[VGtC,p.236 states that the rings are seldom worn by Purple Dragons below the rank of lionar.]</t>
        </r>
      </text>
    </comment>
    <comment ref="A12" authorId="0" shapeId="0" xr:uid="{31EAE890-928F-49CD-B6B6-EA3369250379}">
      <text>
        <r>
          <rPr>
            <b/>
            <sz val="9"/>
            <color indexed="81"/>
            <rFont val="Tahoma"/>
            <family val="2"/>
            <charset val="204"/>
          </rPr>
          <t>Палихов Антон:</t>
        </r>
        <r>
          <rPr>
            <sz val="9"/>
            <color indexed="81"/>
            <rFont val="Tahoma"/>
            <family val="2"/>
            <charset val="204"/>
          </rPr>
          <t xml:space="preserve">
[VGtC,p.237 states that senior battlemasters are equivalent to a generals.]</t>
        </r>
      </text>
    </comment>
    <comment ref="Y12" authorId="0" shapeId="0" xr:uid="{15C8ECE4-1C0F-4C64-91E3-1CA11E31023C}">
      <text>
        <r>
          <rPr>
            <b/>
            <sz val="9"/>
            <color indexed="81"/>
            <rFont val="Tahoma"/>
            <family val="2"/>
            <charset val="204"/>
          </rPr>
          <t>Палихов Антон:</t>
        </r>
        <r>
          <rPr>
            <sz val="9"/>
            <color indexed="81"/>
            <rFont val="Tahoma"/>
            <family val="2"/>
            <charset val="204"/>
          </rPr>
          <t xml:space="preserve">
[DotD,p.286(HC) mentions the Queen's Cavalry and it only stands to reason that if there's a Queen's Cavalry there also ought to be a King's Cavalry. Other sources state that there are only 500 cavalry, and since I've designated that a regiment composed of two squadrons it's natural enough to let the King's and Queen's cavalry refer to the squadrons.]</t>
        </r>
      </text>
    </comment>
    <comment ref="A13" authorId="0" shapeId="0" xr:uid="{54101233-E76D-4E49-9198-6F633F8E3C95}">
      <text>
        <r>
          <rPr>
            <b/>
            <sz val="9"/>
            <color indexed="81"/>
            <rFont val="Tahoma"/>
            <family val="2"/>
            <charset val="204"/>
          </rPr>
          <t>Палихов Антон:</t>
        </r>
        <r>
          <rPr>
            <sz val="9"/>
            <color indexed="81"/>
            <rFont val="Tahoma"/>
            <family val="2"/>
            <charset val="204"/>
          </rPr>
          <t xml:space="preserve">
Although the Lord High Marshal is indeed a rank, it is also more than   just a rank.  It is also a specific position within the command   structure of the military.  There is only one Lord High Marshal at any   given time, and he is the commander of all the military forces of Cormyr   and is second only to the King in matters of military authority.</t>
        </r>
      </text>
    </comment>
    <comment ref="K37" authorId="0" shapeId="0" xr:uid="{622E4295-1179-4699-ADFB-3926A1ACB6FE}">
      <text>
        <r>
          <rPr>
            <b/>
            <sz val="9"/>
            <color indexed="81"/>
            <rFont val="Tahoma"/>
            <family val="2"/>
            <charset val="204"/>
          </rPr>
          <t>Палихов Антон:</t>
        </r>
        <r>
          <rPr>
            <sz val="9"/>
            <color indexed="81"/>
            <rFont val="Tahoma"/>
            <family val="2"/>
            <charset val="204"/>
          </rPr>
          <t xml:space="preserve">
[Swordlords, lancelords, arrowmasters, wardens, boldshields, lord commanders, and quartermasters are literally mentioned in various canon sources, thus are described first; the remainder are not mentioned in canon.]</t>
        </r>
      </text>
    </comment>
    <comment ref="N38" authorId="0" shapeId="0" xr:uid="{1B114828-DA12-438D-B03C-70391FF8DAEC}">
      <text>
        <r>
          <rPr>
            <b/>
            <sz val="9"/>
            <color indexed="81"/>
            <rFont val="Tahoma"/>
            <family val="2"/>
            <charset val="204"/>
          </rPr>
          <t>Палихов Антон:</t>
        </r>
        <r>
          <rPr>
            <sz val="9"/>
            <color indexed="81"/>
            <rFont val="Tahoma"/>
            <family val="2"/>
            <charset val="204"/>
          </rPr>
          <t xml:space="preserve">
. (See Thomas M. Costa's article Heroes of Cormyr, in Dragon #307, for more detail of the Battlepriest prestige class.)</t>
        </r>
      </text>
    </comment>
    <comment ref="N39" authorId="0" shapeId="0" xr:uid="{039560A4-D32A-4AB0-B716-2E16222F8087}">
      <text>
        <r>
          <rPr>
            <b/>
            <sz val="9"/>
            <color indexed="81"/>
            <rFont val="Tahoma"/>
            <family val="2"/>
            <charset val="204"/>
          </rPr>
          <t>Палихов Антон:</t>
        </r>
        <r>
          <rPr>
            <sz val="9"/>
            <color indexed="81"/>
            <rFont val="Tahoma"/>
            <family val="2"/>
            <charset val="204"/>
          </rPr>
          <t xml:space="preserve">
[Emperel Ruousk, an agent of the Crown depicted in BtHR, would be an example of a Royal Scout. Rowan Cormaeril, also from BtHR, is also likely a Royal Scout.]</t>
        </r>
      </text>
    </comment>
    <comment ref="L40" authorId="0" shapeId="0" xr:uid="{92E6F50A-6E52-4C55-B44F-F047460D239C}">
      <text>
        <r>
          <rPr>
            <sz val="9"/>
            <color indexed="81"/>
            <rFont val="Tahoma"/>
            <family val="2"/>
            <charset val="204"/>
          </rPr>
          <t xml:space="preserve">[DotD,p.230 mentions arrowmasters as the leaders of groups of archers. There is some indication that the arrowmaster in this particular case might be an enlisted man rather than an officer — a swordlord calls him 'soldier' — but I find it unlikely that the leader of a large number of men (even archers) would generally be an enlisted man.
</t>
        </r>
      </text>
    </comment>
    <comment ref="N40" authorId="0" shapeId="0" xr:uid="{A49F9E03-B32A-4A82-8FDF-73C39EEBF956}">
      <text>
        <r>
          <rPr>
            <b/>
            <sz val="9"/>
            <color indexed="81"/>
            <rFont val="Tahoma"/>
            <family val="2"/>
            <charset val="204"/>
          </rPr>
          <t>Палихов Антон:</t>
        </r>
        <r>
          <rPr>
            <sz val="9"/>
            <color indexed="81"/>
            <rFont val="Tahoma"/>
            <family val="2"/>
            <charset val="204"/>
          </rPr>
          <t xml:space="preserve">
[The King's Messengers are mentioned in DotD,p.215 of the hardcover edition.]</t>
        </r>
      </text>
    </comment>
    <comment ref="K43" authorId="0" shapeId="0" xr:uid="{F945A9D8-1DF3-4A6E-92D2-52D4EDCF17C0}">
      <text>
        <r>
          <rPr>
            <b/>
            <sz val="9"/>
            <color indexed="81"/>
            <rFont val="Tahoma"/>
            <family val="2"/>
            <charset val="204"/>
          </rPr>
          <t>Палихов Антон:</t>
        </r>
        <r>
          <rPr>
            <sz val="9"/>
            <color indexed="81"/>
            <rFont val="Tahoma"/>
            <family val="2"/>
            <charset val="204"/>
          </rPr>
          <t xml:space="preserve">
[Stmlt,p.11&amp;26 mentions the title of boldshield in the person of Ergluth Rowanmantle. Ed Greenwood describes the location of the district (which contains Firefall Vale) at http://www.candlekeep.com/library/articles/firefall.htm.]</t>
        </r>
      </text>
    </comment>
    <comment ref="K49" authorId="0" shapeId="0" xr:uid="{D46D0C76-8374-4CE3-98EC-EECC818A705E}">
      <text>
        <r>
          <rPr>
            <sz val="12"/>
            <color indexed="81"/>
            <rFont val="MrsEavesRoman"/>
          </rPr>
          <t>[VGtC,p.155: Army quartermasters are mentioned in the description of Alzael's Cleaver.]</t>
        </r>
        <r>
          <rPr>
            <sz val="9"/>
            <color indexed="81"/>
            <rFont val="Tahoma"/>
            <family val="2"/>
            <charset val="204"/>
          </rPr>
          <t xml:space="preserve">
</t>
        </r>
      </text>
    </comment>
    <comment ref="K54" authorId="0" shapeId="0" xr:uid="{1C1214DB-6CEE-43EB-AA53-5CCB9C7DF5DD}">
      <text>
        <r>
          <rPr>
            <b/>
            <sz val="9"/>
            <color indexed="81"/>
            <rFont val="Tahoma"/>
            <family val="2"/>
            <charset val="204"/>
          </rPr>
          <t>Палихов Антон:</t>
        </r>
        <r>
          <rPr>
            <sz val="9"/>
            <color indexed="81"/>
            <rFont val="Tahoma"/>
            <family val="2"/>
            <charset val="204"/>
          </rPr>
          <t xml:space="preserve">
[The lord commander title as an annual appointment is mentioned in GTR,p.51. That the lord commander has a herald is mentioned in C9410,p.26. BtHR,p.77 mentions that Bren Tallsword is the Lord Commander of Castle Crag.]</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O4" authorId="0" shapeId="0" xr:uid="{A502F5B0-911E-418C-A382-8C37E052CE3A}">
      <text>
        <r>
          <rPr>
            <sz val="12"/>
            <color indexed="81"/>
            <rFont val="MrsEavesRoman"/>
          </rPr>
          <t>[CaN,p.115 refers to the two dozen knights with Alusair as a company, which backs up the size of 20-30 men, and p.382 has Jorunhast speaking of "seven companies"; speaking of seven distinct entities also strongly implies a specific organizational unit. BtHR,p.1 speaks of a company as a specific unit having more than 20 (presumably less than 30) men, p.15 refers to two companies (and a captain and two scouts of that company, p.27 refers to a specific company called the "Sleeping Sword" (although p.366 says that the Sleeping Sword is 500 knights which is regiment-sized), p.70 mentions that a company has a specific insignia which clearly indicates a specific unit of organization, p.121 calls Tanalasta's bodyguard an "entire company" which previously on p.90 was 25 men led by a lionar (that it's a royal bodyguard justifies a higher-ranking leader, and also backs up that a lionar is not a junior officer), p.149 Azoun mentions multiple companies of Purple Dragons as if they were specific units, p.183 mentions that a fully armored company has at least 50 horselegs, which amounts to at least 13 horses and 13 men on them, p.220 describes Alusair as leading a "full company of warriors" which was sized in CaN as two dozen, and p.230 describes the Royal Excursionary Company led by Vangerdahast as made up of 50 war wizards and 200 Purple Dragons. PoL,p.1 also mentions a company of Purple Dragons. Although there are a couple of exceptions, the predominant cites clearly indicate company is a regulation military unit of 20-30 men.]
[FoMD gives precedent for using several real-world unit names in the Realms: regiments and battalions in the Army of Darkness on p.14 and companies, battalions, and regiments in the Akh'Velar on p.16.]</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AG3" authorId="0" shapeId="0" xr:uid="{00000000-0006-0000-0200-000001000000}">
      <text>
        <r>
          <rPr>
            <sz val="10"/>
            <color rgb="FF000000"/>
            <rFont val="Arial"/>
            <family val="2"/>
            <charset val="204"/>
          </rPr>
          <t>Equipped Magic item Weights</t>
        </r>
      </text>
    </comment>
    <comment ref="AH3" authorId="0" shapeId="0" xr:uid="{00000000-0006-0000-0200-000002000000}">
      <text>
        <r>
          <rPr>
            <sz val="10"/>
            <color rgb="FF000000"/>
            <rFont val="Arial"/>
            <family val="2"/>
            <charset val="204"/>
          </rPr>
          <t>Mount Magic item Weights</t>
        </r>
      </text>
    </comment>
    <comment ref="AI3" authorId="0" shapeId="0" xr:uid="{00000000-0006-0000-0200-000003000000}">
      <text>
        <r>
          <rPr>
            <sz val="10"/>
            <color rgb="FF000000"/>
            <rFont val="Arial"/>
            <family val="2"/>
            <charset val="204"/>
          </rPr>
          <t>Total Coin Weights</t>
        </r>
      </text>
    </comment>
    <comment ref="AJ3" authorId="0" shapeId="0" xr:uid="{00000000-0006-0000-0200-000004000000}">
      <text>
        <r>
          <rPr>
            <sz val="10"/>
            <color rgb="FF000000"/>
            <rFont val="Arial"/>
            <family val="2"/>
            <charset val="204"/>
          </rPr>
          <t>Total Gem Weights</t>
        </r>
      </text>
    </comment>
    <comment ref="AK3" authorId="0" shapeId="0" xr:uid="{00000000-0006-0000-0200-000005000000}">
      <text>
        <r>
          <rPr>
            <sz val="10"/>
            <color rgb="FF000000"/>
            <rFont val="Arial"/>
            <family val="2"/>
            <charset val="204"/>
          </rPr>
          <t>Equipped Stock Weights</t>
        </r>
      </text>
    </comment>
    <comment ref="AL3" authorId="0" shapeId="0" xr:uid="{00000000-0006-0000-0200-000006000000}">
      <text>
        <r>
          <rPr>
            <sz val="10"/>
            <color rgb="FF000000"/>
            <rFont val="Arial"/>
            <family val="2"/>
            <charset val="204"/>
          </rPr>
          <t>Mount Stock Weights</t>
        </r>
      </text>
    </comment>
    <comment ref="AM3" authorId="0" shapeId="0" xr:uid="{00000000-0006-0000-0200-000007000000}">
      <text>
        <r>
          <rPr>
            <sz val="10"/>
            <color rgb="FF000000"/>
            <rFont val="Arial"/>
            <family val="2"/>
            <charset val="204"/>
          </rPr>
          <t>Equipped Item Weights</t>
        </r>
      </text>
    </comment>
    <comment ref="AN3" authorId="0" shapeId="0" xr:uid="{00000000-0006-0000-0200-000008000000}">
      <text>
        <r>
          <rPr>
            <sz val="10"/>
            <color rgb="FF000000"/>
            <rFont val="Arial"/>
            <family val="2"/>
            <charset val="204"/>
          </rPr>
          <t>Mount Item Weights</t>
        </r>
      </text>
    </comment>
    <comment ref="AO3" authorId="0" shapeId="0" xr:uid="{00000000-0006-0000-0200-000009000000}">
      <text>
        <r>
          <rPr>
            <sz val="10"/>
            <color rgb="FF000000"/>
            <rFont val="Arial"/>
            <family val="2"/>
            <charset val="204"/>
          </rPr>
          <t>Total Container Fill Weights or Quantities</t>
        </r>
      </text>
    </comment>
    <comment ref="AP3" authorId="0" shapeId="0" xr:uid="{00000000-0006-0000-0200-00000A000000}">
      <text>
        <r>
          <rPr>
            <sz val="10"/>
            <color rgb="FF000000"/>
            <rFont val="Arial"/>
            <family val="2"/>
            <charset val="204"/>
          </rPr>
          <t>Item Total Weights</t>
        </r>
      </text>
    </comment>
    <comment ref="AQ3" authorId="0" shapeId="0" xr:uid="{00000000-0006-0000-0200-00000B000000}">
      <text>
        <r>
          <rPr>
            <sz val="10"/>
            <color rgb="FF000000"/>
            <rFont val="Arial"/>
            <family val="2"/>
            <charset val="204"/>
          </rPr>
          <t xml:space="preserve">Stock Total Weights
</t>
        </r>
      </text>
    </comment>
    <comment ref="AB111" authorId="0" shapeId="0" xr:uid="{00000000-0006-0000-0800-000001000000}">
      <text>
        <r>
          <rPr>
            <sz val="10"/>
            <color rgb="FF000000"/>
            <rFont val="Arial"/>
            <family val="2"/>
            <charset val="204"/>
          </rPr>
          <t>Monster Manual</t>
        </r>
      </text>
    </comment>
    <comment ref="AB112" authorId="0" shapeId="0" xr:uid="{00000000-0006-0000-0800-000002000000}">
      <text>
        <r>
          <rPr>
            <sz val="10"/>
            <color rgb="FF000000"/>
            <rFont val="Arial"/>
            <family val="2"/>
            <charset val="204"/>
          </rPr>
          <t>Player's Handbook</t>
        </r>
      </text>
    </comment>
    <comment ref="AB113" authorId="0" shapeId="0" xr:uid="{00000000-0006-0000-0800-000003000000}">
      <text>
        <r>
          <rPr>
            <sz val="10"/>
            <color rgb="FF000000"/>
            <rFont val="Arial"/>
            <family val="2"/>
            <charset val="204"/>
          </rPr>
          <t>Dungeon Master's Guide</t>
        </r>
      </text>
    </comment>
    <comment ref="AB114" authorId="0" shapeId="0" xr:uid="{00000000-0006-0000-0800-000004000000}">
      <text>
        <r>
          <rPr>
            <sz val="10"/>
            <color rgb="FF000000"/>
            <rFont val="Arial"/>
            <family val="2"/>
            <charset val="204"/>
          </rPr>
          <t xml:space="preserve">Starter Set:
Lost Mine of Phandelver
</t>
        </r>
      </text>
    </comment>
    <comment ref="AB115" authorId="0" shapeId="0" xr:uid="{00000000-0006-0000-0800-000005000000}">
      <text>
        <r>
          <rPr>
            <sz val="10"/>
            <color rgb="FF000000"/>
            <rFont val="Arial"/>
            <family val="2"/>
            <charset val="204"/>
          </rPr>
          <t>Hoard of the Dragon Queen</t>
        </r>
      </text>
    </comment>
    <comment ref="AB116" authorId="0" shapeId="0" xr:uid="{00000000-0006-0000-0800-000006000000}">
      <text>
        <r>
          <rPr>
            <sz val="10"/>
            <color rgb="FF000000"/>
            <rFont val="Arial"/>
            <family val="2"/>
            <charset val="204"/>
          </rPr>
          <t>Rise of Tiamat</t>
        </r>
      </text>
    </comment>
    <comment ref="AB117" authorId="0" shapeId="0" xr:uid="{00000000-0006-0000-0800-000007000000}">
      <text>
        <r>
          <rPr>
            <sz val="10"/>
            <color rgb="FF000000"/>
            <rFont val="Arial"/>
            <family val="2"/>
            <charset val="204"/>
          </rPr>
          <t>Princes of the Apocalypse</t>
        </r>
      </text>
    </comment>
    <comment ref="AB118" authorId="0" shapeId="0" xr:uid="{00000000-0006-0000-0800-000008000000}">
      <text>
        <r>
          <rPr>
            <sz val="10"/>
            <color rgb="FF000000"/>
            <rFont val="Arial"/>
            <family val="2"/>
            <charset val="204"/>
          </rPr>
          <t>DM's Basic Rules</t>
        </r>
      </text>
    </comment>
    <comment ref="AB119" authorId="0" shapeId="0" xr:uid="{00000000-0006-0000-0800-000009000000}">
      <text>
        <r>
          <rPr>
            <sz val="10"/>
            <color rgb="FF000000"/>
            <rFont val="Arial"/>
            <family val="2"/>
            <charset val="204"/>
          </rPr>
          <t>System Reference Document</t>
        </r>
      </text>
    </comment>
    <comment ref="AB120" authorId="0" shapeId="0" xr:uid="{00000000-0006-0000-0800-00000A000000}">
      <text>
        <r>
          <rPr>
            <sz val="10"/>
            <color rgb="FF000000"/>
            <rFont val="Arial"/>
            <family val="2"/>
            <charset val="204"/>
          </rPr>
          <t>Hoard of the Dragon Queen Supplement</t>
        </r>
      </text>
    </comment>
    <comment ref="AB121" authorId="0" shapeId="0" xr:uid="{00000000-0006-0000-0800-00000B000000}">
      <text>
        <r>
          <rPr>
            <sz val="10"/>
            <color rgb="FF000000"/>
            <rFont val="Arial"/>
            <family val="2"/>
            <charset val="204"/>
          </rPr>
          <t>Rise of Tiamat Supplement</t>
        </r>
      </text>
    </comment>
    <comment ref="AB122" authorId="0" shapeId="0" xr:uid="{00000000-0006-0000-0800-00000C000000}">
      <text>
        <r>
          <rPr>
            <sz val="10"/>
            <color rgb="FF000000"/>
            <rFont val="Arial"/>
            <family val="2"/>
            <charset val="204"/>
          </rPr>
          <t>D&amp;D Encounters:
Hoard of the Dragon Queen</t>
        </r>
      </text>
    </comment>
    <comment ref="AB123" authorId="0" shapeId="0" xr:uid="{00000000-0006-0000-0800-00000D000000}">
      <text>
        <r>
          <rPr>
            <sz val="10"/>
            <color rgb="FF000000"/>
            <rFont val="Arial"/>
            <family val="2"/>
            <charset val="204"/>
          </rPr>
          <t>D&amp;D Expeditions:
1. Defiance in Phlan
2. Secrets of Sokol Keep
3. Shadows over the Moonsea
4. Dues for the Dead
5. The Courting of Fire
6. The Scroll Thief
7. Drums in the Marsh
8. Tales Trees Tell
9. Outlaws of the Iron Route
10. Tyranny of Phlan
11. Dark Pyramid of Sorcerer's Isle
12. Raiders of the Twilight Marsh
13. Pool of Radiance Resurgent
14. Escape from Phlan</t>
        </r>
      </text>
    </comment>
    <comment ref="AB124" authorId="0" shapeId="0" xr:uid="{00000000-0006-0000-0800-00000E000000}">
      <text>
        <r>
          <rPr>
            <sz val="10"/>
            <color rgb="FF000000"/>
            <rFont val="Arial"/>
            <family val="2"/>
            <charset val="204"/>
          </rPr>
          <t>Princes of the Apocalypse Supplement</t>
        </r>
      </text>
    </comment>
    <comment ref="AB125" authorId="0" shapeId="0" xr:uid="{00000000-0006-0000-0800-00000F000000}">
      <text>
        <r>
          <rPr>
            <sz val="10"/>
            <color rgb="FF000000"/>
            <rFont val="Arial"/>
            <family val="2"/>
            <charset val="204"/>
          </rPr>
          <t>D&amp;D Encounters:
Princes of the Apocalypse</t>
        </r>
      </text>
    </comment>
    <comment ref="AB126" authorId="0" shapeId="0" xr:uid="{00000000-0006-0000-0800-000010000000}">
      <text>
        <r>
          <rPr>
            <sz val="10"/>
            <color rgb="FF000000"/>
            <rFont val="Arial"/>
            <family val="2"/>
            <charset val="204"/>
          </rPr>
          <t>D&amp;D Expeditions:
1. City of Danger
2. Embers of Elmwood
3. The Drowned Tower
4. Mayhem in the Earthspur Mines
5. Flames of Kythorn
6. Breath of the Yellow Rose
7. Bounty in the Bog
8. Foulness Beneath Mulmaster
9. Eye of the Tempest
10. Cloaks and Shadows
11. Oubliette of Fort Iron
12. Dark Rites at Fort Dalton
13. The Howling Void</t>
        </r>
      </text>
    </comment>
    <comment ref="AB127" authorId="0" shapeId="0" xr:uid="{00000000-0006-0000-0800-000011000000}">
      <text>
        <r>
          <rPr>
            <sz val="10"/>
            <color rgb="FF000000"/>
            <rFont val="Arial"/>
            <family val="2"/>
            <charset val="204"/>
          </rPr>
          <t>D&amp;D Encounters:
Out of the Abyss</t>
        </r>
      </text>
    </comment>
    <comment ref="AB128" authorId="0" shapeId="0" xr:uid="{00000000-0006-0000-0800-000012000000}">
      <text>
        <r>
          <rPr>
            <sz val="10"/>
            <color rgb="FF000000"/>
            <rFont val="Arial"/>
            <family val="2"/>
            <charset val="204"/>
          </rPr>
          <t>D&amp;D Expeditions:
1. Harried in Hillsfar
2. Shackles of Blood
3. The Occupation of Szith Morcane
4. It's All in the Blood
5. Bane of the Tradeways
6. No Foolish Matter
7. Herald of the Moon
8. The Malady of Elventree
9. The Waydown
10. Quelling the Horde
11. The Quest for Sporedome
12. Hillsfar Reclaimed
13. Writhing in the Dark
14. Death on the Wall
15. Szith Morcane Unbound
16. Assault on Maermydra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U4" authorId="0" shapeId="0" xr:uid="{6DB6B600-1237-4142-8201-6FEA76AF445E}">
      <text>
        <r>
          <rPr>
            <b/>
            <sz val="11"/>
            <color indexed="81"/>
            <rFont val="Tahoma"/>
            <family val="2"/>
          </rPr>
          <t xml:space="preserve">Credits
</t>
        </r>
        <r>
          <rPr>
            <sz val="11"/>
            <color indexed="81"/>
            <rFont val="Tahoma"/>
            <family val="2"/>
          </rPr>
          <t xml:space="preserve">
This adventure was written for the BLUEHOLME™ Prentice Rules. It is intended for 3rd level characters. If you are a player, please do not read any further as you will spoil the surprise.
BLUEHOLME™ Prentice Rules and Dreamscape Design™ are trademarks © 2012-2017 Dreamscape Design. These trademarks are used with permission by Dreamscape Design. 3 Toadstools publishing is not affiliated with Michael Thomas or Dreamscape Design. Font, layout, style of artwork are reserved as Product Identity. For more information on BLUEHOLME™ and Dreamscape Design visit 
https://dreamscapedesign.net/.
</t>
        </r>
      </text>
    </comment>
    <comment ref="U6" authorId="0" shapeId="0" xr:uid="{FF1D371F-0CFB-4A73-B795-5FEC945ABA4E}">
      <text>
        <r>
          <rPr>
            <b/>
            <sz val="11"/>
            <color indexed="81"/>
            <rFont val="Tahoma"/>
            <family val="2"/>
          </rPr>
          <t xml:space="preserve">Playtest
</t>
        </r>
        <r>
          <rPr>
            <sz val="11"/>
            <color indexed="81"/>
            <rFont val="Tahoma"/>
            <family val="2"/>
          </rPr>
          <t xml:space="preserve">
This adventure was written for the BLUEHOLME™ Prentice Rules. It is intended for 3rd level characters. If you are a player, please do not read any further as you will spoil the surprise.
Thanks to Jeff Cape for running a playtest on this adventure! Check out his youtube channel here:
https://www.youtube.com/channel/UCnp1_dV3ViQ-VNGWqAsRUEA
</t>
        </r>
        <r>
          <rPr>
            <b/>
            <sz val="11"/>
            <color indexed="81"/>
            <rFont val="Tahoma"/>
            <family val="2"/>
          </rPr>
          <t>Playtesters</t>
        </r>
        <r>
          <rPr>
            <sz val="11"/>
            <color indexed="81"/>
            <rFont val="Tahoma"/>
            <family val="2"/>
          </rPr>
          <t>: Andrew Knapp played D'Summ, Clay Hollandsworth played Zip, Shane Ward played Kauff, and Troy Spencer played Thoven the Younger. 
Thanks guys! That was a lot of fun.</t>
        </r>
      </text>
    </comment>
    <comment ref="U8" authorId="0" shapeId="0" xr:uid="{6352AF34-0770-4E06-8056-12260C23DEC7}">
      <text>
        <r>
          <rPr>
            <b/>
            <sz val="11"/>
            <color indexed="81"/>
            <rFont val="Tahoma"/>
            <family val="2"/>
          </rPr>
          <t xml:space="preserve">Introduction
</t>
        </r>
        <r>
          <rPr>
            <sz val="11"/>
            <color indexed="81"/>
            <rFont val="Tahoma"/>
            <family val="2"/>
          </rPr>
          <t xml:space="preserve">
Halfway between here and there is a small roadside Inn. A weather worn wooden sign stands outside of the door “Adventurers wanted, apply within”. Weary from the road, you stand outside the Inn, smoke rises from the chimney promising a warm evening. The inside of the Inn is small and cozy, a set of stairs lead up to much needed beds. The small bar is decorated with old suits of rusted armour, a bookshelf with musty tomes and a large map of the countryside. The bar is empty save for a small gnome who is fast asleep at a table, smoke curls from his pipe.</t>
        </r>
      </text>
    </comment>
    <comment ref="U10" authorId="0" shapeId="0" xr:uid="{9DA21F25-7A2C-44EB-823C-BF48CFDA0F42}">
      <text>
        <r>
          <rPr>
            <b/>
            <sz val="11"/>
            <color indexed="81"/>
            <rFont val="Tahoma"/>
            <family val="2"/>
          </rPr>
          <t>Adventure Premise</t>
        </r>
        <r>
          <rPr>
            <sz val="11"/>
            <color indexed="81"/>
            <rFont val="Tahoma"/>
            <family val="2"/>
          </rPr>
          <t xml:space="preserve">
(For referee’s eyes only). The old gnome is named Hagit, he has owned the Inn for years. A demon named Orneum lives below his Inn and it has made a deal with Hagit. Orneum provides Hagit with potions that keep him alive (he has is very old) and in return Hagit sends willing victims into the dungeon below. The demon feeds off the hearts of dead adventurer’s. Throwing their corpses thru a magical portal where they are damned to eternity. The ruse that Hagit has used for years is that below his Inn there is a doorway to the underworld; great treasure has been known to come up from it, rumours of an ancient city, wondrous magick’s. He is more than willing to let the adventurer’s into the dungeon for a small fee, five percent of whatever they find. Once the adventurer’s go thru the doorway he will lock the door behind them, claiming that he doesn’t want any foul beasts coming up the stairs and destroying his much loved Inn! If the adventurers are to just knock upon the door thrice, he will let them back out. Of course this is not the case….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<sst xmlns="http://schemas.openxmlformats.org/spreadsheetml/2006/main" count="49181" uniqueCount="15020">
  <si>
    <t>Landed Lords, Nobles, and Fiefdoms</t>
  </si>
  <si>
    <t>Arabel</t>
  </si>
  <si>
    <t>Lord of City</t>
  </si>
  <si>
    <t>Major Merchant Houses / WW school</t>
  </si>
  <si>
    <t>Population</t>
  </si>
  <si>
    <t>Nobles and lords</t>
  </si>
  <si>
    <t>Mymeen Lhal</t>
  </si>
  <si>
    <t>Merchant Houses/Industry</t>
  </si>
  <si>
    <t>Merchantile Goods</t>
  </si>
  <si>
    <t>23000 Hu</t>
  </si>
  <si>
    <t>Adventure</t>
  </si>
  <si>
    <t>Normal</t>
  </si>
  <si>
    <t>Luxury</t>
  </si>
  <si>
    <t>Huntcrown</t>
  </si>
  <si>
    <t>Baerlear</t>
  </si>
  <si>
    <t>Horsebreeding</t>
  </si>
  <si>
    <t>700 Elf</t>
  </si>
  <si>
    <t>Lhal</t>
  </si>
  <si>
    <t>Bhela</t>
  </si>
  <si>
    <t>Woodworking</t>
  </si>
  <si>
    <t>1200 Dw</t>
  </si>
  <si>
    <t>Marliir</t>
  </si>
  <si>
    <t>Dragoneye</t>
  </si>
  <si>
    <t>Farming, Livestock</t>
  </si>
  <si>
    <t>2100 Hfl</t>
  </si>
  <si>
    <t>Morler</t>
  </si>
  <si>
    <t>Gelzunduth</t>
  </si>
  <si>
    <t>Furniture, Locks</t>
  </si>
  <si>
    <t>200 Gn</t>
  </si>
  <si>
    <t>Hiloar</t>
  </si>
  <si>
    <t>Jewellers; Fine Art-crafting</t>
  </si>
  <si>
    <t>Iron House</t>
  </si>
  <si>
    <t>Armor and weapons</t>
  </si>
  <si>
    <t>Raliqh</t>
  </si>
  <si>
    <t>Tannery, Tailors</t>
  </si>
  <si>
    <t>Misrim</t>
  </si>
  <si>
    <t>City Sales Tax .10</t>
  </si>
  <si>
    <t>Nyaril</t>
  </si>
  <si>
    <t>Six Coffers</t>
  </si>
  <si>
    <t>Thond</t>
  </si>
  <si>
    <t>Thousandheads</t>
  </si>
  <si>
    <t>Trueshields</t>
  </si>
  <si>
    <t>Aunkspear</t>
  </si>
  <si>
    <t>Lorelei Calantar</t>
  </si>
  <si>
    <t>742 Hu</t>
  </si>
  <si>
    <t>Blackwagon</t>
  </si>
  <si>
    <t>Royal Blood Carvers and Carpenters (NMH)</t>
  </si>
  <si>
    <t>Farming; Horsebreeders</t>
  </si>
  <si>
    <t>121 El</t>
  </si>
  <si>
    <t>Calantar</t>
  </si>
  <si>
    <t>Philip Calantar</t>
  </si>
  <si>
    <t>203 Hlf</t>
  </si>
  <si>
    <t>Battlerise</t>
  </si>
  <si>
    <t>Abandoned Castletown</t>
  </si>
  <si>
    <t>Yulstin Auantiver</t>
  </si>
  <si>
    <t>Auantiver (crazy family yet still a Noble House)</t>
  </si>
  <si>
    <t>Farming; Timbering</t>
  </si>
  <si>
    <t>Hawksong</t>
  </si>
  <si>
    <t>Woodcrafting, Furniture</t>
  </si>
  <si>
    <t>Blustich</t>
  </si>
  <si>
    <t>Segovia Zathchos</t>
  </si>
  <si>
    <t>Zathchos</t>
  </si>
  <si>
    <t>Zathchos Trade House (RMH)</t>
  </si>
  <si>
    <t>Fishing, Hunting</t>
  </si>
  <si>
    <t>BogBrooke</t>
  </si>
  <si>
    <t>Famous Wines; variants of Utterdark; Famous Melons; Freshwater Pearls</t>
  </si>
  <si>
    <t>Jarl Kuhtan</t>
  </si>
  <si>
    <t>Kuhtan</t>
  </si>
  <si>
    <t>Variants of Utterdark wine</t>
  </si>
  <si>
    <t>Jhalonson Winery</t>
  </si>
  <si>
    <t>Crayfish; bogfish</t>
  </si>
  <si>
    <t>Ittreer Winery</t>
  </si>
  <si>
    <t>Woodcrafting</t>
  </si>
  <si>
    <t>Athantal Winery</t>
  </si>
  <si>
    <t>Fruits; famous melons</t>
  </si>
  <si>
    <t>GrapesofBogville Trading House (NMH)</t>
  </si>
  <si>
    <t>Bospir</t>
  </si>
  <si>
    <t>Farming and Ranching Town</t>
  </si>
  <si>
    <t>Damitri Slthuvarin</t>
  </si>
  <si>
    <t>Slthuvarin</t>
  </si>
  <si>
    <t>Slthuvarin Jewellers (NMH)</t>
  </si>
  <si>
    <t>Clothing/textiles</t>
  </si>
  <si>
    <t>Sheeps; Dairy</t>
  </si>
  <si>
    <t>Castle Crag</t>
  </si>
  <si>
    <t>Lg Fortified Township/Purple Dragon Garrison</t>
  </si>
  <si>
    <t>Bren Tallsword</t>
  </si>
  <si>
    <t>Axehand</t>
  </si>
  <si>
    <t>Tallswords</t>
  </si>
  <si>
    <t>Hawklin</t>
  </si>
  <si>
    <t>Dawngleam</t>
  </si>
  <si>
    <t>Booming Seaport; Smugglers Cove; Black Market</t>
  </si>
  <si>
    <t>Lucian Illance</t>
  </si>
  <si>
    <t>1915 Hu</t>
  </si>
  <si>
    <t>Illance</t>
  </si>
  <si>
    <t>Austas Argyr; lg General Store</t>
  </si>
  <si>
    <t>Fastest growth in Cormyr; specialized shellfish</t>
  </si>
  <si>
    <t>469 Mf</t>
  </si>
  <si>
    <t>Hornblower Shipwright (NMH)</t>
  </si>
  <si>
    <t>Pearls</t>
  </si>
  <si>
    <t>Dhedluk</t>
  </si>
  <si>
    <t>Forest Village</t>
  </si>
  <si>
    <t>Thiombur</t>
  </si>
  <si>
    <t>574 Hu</t>
  </si>
  <si>
    <t>Huntsilver</t>
  </si>
  <si>
    <t>Woodcarvers; herbalists</t>
  </si>
  <si>
    <t>215 Elf</t>
  </si>
  <si>
    <t>Farming, Dairy, livestock</t>
  </si>
  <si>
    <t>Dreamer's Rock</t>
  </si>
  <si>
    <t>On Major Trade Route; Jewelry; Freshwater Pearls; Exotic (FW) Shellfish</t>
  </si>
  <si>
    <t>Major Squestrinlinor</t>
  </si>
  <si>
    <t>489 Hu</t>
  </si>
  <si>
    <t>Cormaeril</t>
  </si>
  <si>
    <t>Cormaeril Trade House</t>
  </si>
  <si>
    <t>sheep; farming, fishing</t>
  </si>
  <si>
    <t>151 Hlf</t>
  </si>
  <si>
    <t>crude copper mines</t>
  </si>
  <si>
    <t>Shellfish; pearls</t>
  </si>
  <si>
    <t>Dairy, Livestock</t>
  </si>
  <si>
    <t>Eagle Peak</t>
  </si>
  <si>
    <t>Western Purple Dragon Garrison</t>
  </si>
  <si>
    <t>Lord Pith</t>
  </si>
  <si>
    <t>1400 Hu</t>
  </si>
  <si>
    <t>Magnoir</t>
  </si>
  <si>
    <t>Thiombur Magnoir</t>
  </si>
  <si>
    <t>Iravan (RMH)</t>
  </si>
  <si>
    <t>Mining; metals and gems</t>
  </si>
  <si>
    <t>350 Dw</t>
  </si>
  <si>
    <t>Bleth</t>
  </si>
  <si>
    <t>Dairy; DeathCheese</t>
  </si>
  <si>
    <t>Cormaeril Trade House (RMH)</t>
  </si>
  <si>
    <t>Herbalists</t>
  </si>
  <si>
    <t>Farming; oils; tars</t>
  </si>
  <si>
    <t>Skatterhawk</t>
  </si>
  <si>
    <t>Iravan</t>
  </si>
  <si>
    <t>Espar</t>
  </si>
  <si>
    <t>StormHaven House WW College</t>
  </si>
  <si>
    <t>Ulric Huntcrown</t>
  </si>
  <si>
    <t>678 Hu</t>
  </si>
  <si>
    <t>Battlestorm Brewery (NMH)</t>
  </si>
  <si>
    <t>Stone, Granite, Marble</t>
  </si>
  <si>
    <t>Jaarginaarg Hlugnorgyn Tradekind (dwarfMerchants)</t>
  </si>
  <si>
    <t>Copper, Tin, Iron, Nickel</t>
  </si>
  <si>
    <t>300 Dw</t>
  </si>
  <si>
    <t>Gems Buy .35/Sell 1.9</t>
  </si>
  <si>
    <t>Gold, silver, Emeralds,</t>
  </si>
  <si>
    <t>490 Hfl</t>
  </si>
  <si>
    <t>Rubies, diamonds, garnet</t>
  </si>
  <si>
    <t>Beer; Mining equipment</t>
  </si>
  <si>
    <t>Armor and Weapons</t>
  </si>
  <si>
    <t>Lumber and Furniture</t>
  </si>
  <si>
    <t>Eveningstar</t>
  </si>
  <si>
    <t>On Major Trade Route;</t>
  </si>
  <si>
    <t>Tessaril Winter</t>
  </si>
  <si>
    <t>Ruldo Livery (NMH)</t>
  </si>
  <si>
    <t>Horsebreeder</t>
  </si>
  <si>
    <t>Cartwright</t>
  </si>
  <si>
    <t>Winter</t>
  </si>
  <si>
    <t>Tressym flying cats</t>
  </si>
  <si>
    <t>Various quarry rocks</t>
  </si>
  <si>
    <t>Ghars</t>
  </si>
  <si>
    <t>Small Purple Dragon Citadel Nearby</t>
  </si>
  <si>
    <t>Tommy Flurryfeet</t>
  </si>
  <si>
    <t>1255 Hu</t>
  </si>
  <si>
    <t>Flurryfeet</t>
  </si>
  <si>
    <t>Flurryfeet Produce (NMH)</t>
  </si>
  <si>
    <t>Farming; Dairy; Livestock</t>
  </si>
  <si>
    <t>1750 Hfl</t>
  </si>
  <si>
    <t>Gladehap</t>
  </si>
  <si>
    <t>On Trade Route; Merchant houses/stores</t>
  </si>
  <si>
    <t>Charles III Cormaeril</t>
  </si>
  <si>
    <t>1986 Hu</t>
  </si>
  <si>
    <t>Barthemeir Needles and Nails;Steelsmith</t>
  </si>
  <si>
    <t>Massive flea market</t>
  </si>
  <si>
    <t>750 Hfl</t>
  </si>
  <si>
    <t>Wyrmkindler's Sausagery</t>
  </si>
  <si>
    <t>Crafters refuge</t>
  </si>
  <si>
    <t>Gorthin</t>
  </si>
  <si>
    <t>Mysterious dwarven mines; Sm Purple Dragon Outpost</t>
  </si>
  <si>
    <t>Captain Glubersow</t>
  </si>
  <si>
    <t>789 Hu</t>
  </si>
  <si>
    <t>Sheep, farming, berries</t>
  </si>
  <si>
    <t>450 Dw</t>
  </si>
  <si>
    <t>Dairy, Livestock,</t>
  </si>
  <si>
    <t>643 Hfl</t>
  </si>
  <si>
    <t>Gray Oaks</t>
  </si>
  <si>
    <t>Breadbasket; Prime Livestock</t>
  </si>
  <si>
    <t>Joshua Janders</t>
  </si>
  <si>
    <t>400 Hfl</t>
  </si>
  <si>
    <t>Janders</t>
  </si>
  <si>
    <t>Livestock; Dairy</t>
  </si>
  <si>
    <t>150 Hu</t>
  </si>
  <si>
    <t>Tanneries; Farming</t>
  </si>
  <si>
    <t>Woodcrafting; furriers</t>
  </si>
  <si>
    <t>Greatgaunt</t>
  </si>
  <si>
    <t>Merchant Trade Route; Dwarven metal workers and Miners</t>
  </si>
  <si>
    <t>Gargomel Dauntinghorn</t>
  </si>
  <si>
    <t>4942 Hu</t>
  </si>
  <si>
    <t>Dauntinghorn</t>
  </si>
  <si>
    <t>Mining; Jewelry; Armor</t>
  </si>
  <si>
    <t>320 Dw</t>
  </si>
  <si>
    <t>Rallyhorn</t>
  </si>
  <si>
    <t>Adventuring equipment</t>
  </si>
  <si>
    <t>453 Gn</t>
  </si>
  <si>
    <t>Cartwrights</t>
  </si>
  <si>
    <t>Dwarven ales and Beers</t>
  </si>
  <si>
    <t>Halfhap</t>
  </si>
  <si>
    <t>Military Fortress-town; Lg Purple Dragon Fortress 2500PdK</t>
  </si>
  <si>
    <t>Artemis I Emmarask</t>
  </si>
  <si>
    <t>Emmarasks</t>
  </si>
  <si>
    <t>Customs and Taxes</t>
  </si>
  <si>
    <t>Cormaerils</t>
  </si>
  <si>
    <t>Silverswords</t>
  </si>
  <si>
    <t>High Horn</t>
  </si>
  <si>
    <t>Military Fortress-town; surrounded with trade-buildings</t>
  </si>
  <si>
    <t>Axehands</t>
  </si>
  <si>
    <t>Beldamy Axehand</t>
  </si>
  <si>
    <t>Mountaineering; mines</t>
  </si>
  <si>
    <t>Obarskyrs</t>
  </si>
  <si>
    <t>Jewelry, Armor &amp; wpns</t>
  </si>
  <si>
    <t>Hillmarch</t>
  </si>
  <si>
    <t>Small Purple Dragon Outpost; 500PdK</t>
  </si>
  <si>
    <t>Capt Francis Drake</t>
  </si>
  <si>
    <t>Wpnsmiths; Gem mines</t>
  </si>
  <si>
    <t>Mining, Armorsmiths</t>
  </si>
  <si>
    <t>Hilp</t>
  </si>
  <si>
    <t>Merchant Houses; Merchant Trade Route</t>
  </si>
  <si>
    <t>Doon Dzavar</t>
  </si>
  <si>
    <t>Dzavars</t>
  </si>
  <si>
    <t>Barrels and wagons</t>
  </si>
  <si>
    <t>Stelk plant prot vs Elec</t>
  </si>
  <si>
    <t>Furniture; Farming; Livestock</t>
  </si>
  <si>
    <t>Hornshield</t>
  </si>
  <si>
    <t>Royal Mines; Lg Purple Dragon Outpost; 1000PdK</t>
  </si>
  <si>
    <t>Angus Hornshield</t>
  </si>
  <si>
    <t>4300 Hu</t>
  </si>
  <si>
    <t>Hornshields</t>
  </si>
  <si>
    <t>Mountaineering; wpns</t>
  </si>
  <si>
    <t>3400 Dw</t>
  </si>
  <si>
    <t>Nelduks</t>
  </si>
  <si>
    <t>Magiks; Mining; Armor</t>
  </si>
  <si>
    <t>Soreshores</t>
  </si>
  <si>
    <t>Tilthars</t>
  </si>
  <si>
    <t>Hultail</t>
  </si>
  <si>
    <t>Dylvis Longbrooke</t>
  </si>
  <si>
    <t>Longbrookes</t>
  </si>
  <si>
    <t>Trindar Shipyards</t>
  </si>
  <si>
    <t>Oils, farming;candles</t>
  </si>
  <si>
    <t>Hawklins</t>
  </si>
  <si>
    <t>Shipwrights; fishing</t>
  </si>
  <si>
    <t>Livestock; Tannery</t>
  </si>
  <si>
    <t>Huthduth</t>
  </si>
  <si>
    <t>Small Military Keep</t>
  </si>
  <si>
    <t>Nvarim Lionsyn</t>
  </si>
  <si>
    <t>Lionsyns</t>
  </si>
  <si>
    <t>Farming, ranching, Dairy</t>
  </si>
  <si>
    <t>Immersea</t>
  </si>
  <si>
    <t>Shipping town; Travellers' Crossing</t>
  </si>
  <si>
    <t>Samtavan Sudacar</t>
  </si>
  <si>
    <t>Sudacar</t>
  </si>
  <si>
    <t>Shipwrights, warehouses</t>
  </si>
  <si>
    <t>Five Fine Fish Brewery (ales &amp; beer)Elminster's brew</t>
  </si>
  <si>
    <t>Cartwright; Nets</t>
  </si>
  <si>
    <t>Thunderswords</t>
  </si>
  <si>
    <t>Immersea Winery (NMH)</t>
  </si>
  <si>
    <t>Brewery; Winery</t>
  </si>
  <si>
    <t>Wyvernspur</t>
  </si>
  <si>
    <t>Mrastos (NMH)</t>
  </si>
  <si>
    <t>Fishing; shellfish</t>
  </si>
  <si>
    <t>Juniril</t>
  </si>
  <si>
    <t>Tiny-fishing community</t>
  </si>
  <si>
    <t>Braghun Santedul</t>
  </si>
  <si>
    <t>719 Hu</t>
  </si>
  <si>
    <t>Santeduls</t>
  </si>
  <si>
    <t>Cattle; Dairy; tar</t>
  </si>
  <si>
    <t>150 Hfl</t>
  </si>
  <si>
    <t>Fishing; farming; sheep</t>
  </si>
  <si>
    <t>Shellfish, shipwrights</t>
  </si>
  <si>
    <t>Kallamarn</t>
  </si>
  <si>
    <t>Breadbasket, Fishing hamlet</t>
  </si>
  <si>
    <t>Xavier Tapstorn</t>
  </si>
  <si>
    <t>450 Hu</t>
  </si>
  <si>
    <t>Tapstorns</t>
  </si>
  <si>
    <t>Fruits and farming</t>
  </si>
  <si>
    <t>240 Hfl</t>
  </si>
  <si>
    <t>Riverfishing</t>
  </si>
  <si>
    <t>Special green apples</t>
  </si>
  <si>
    <t>Kirinwood</t>
  </si>
  <si>
    <t>Breadbasket, great fruits and Herbs</t>
  </si>
  <si>
    <t>Belphondar Belstable</t>
  </si>
  <si>
    <t>Belstables</t>
  </si>
  <si>
    <t>Galandor's Glassworks</t>
  </si>
  <si>
    <t>Spearmint products</t>
  </si>
  <si>
    <t>Belstable Farms (NMH)</t>
  </si>
  <si>
    <t>Mushroom ale and gravy</t>
  </si>
  <si>
    <t>Tuskin's Herbs (NMH)</t>
  </si>
  <si>
    <t>Corn, oat, wheat</t>
  </si>
  <si>
    <t>Poultry and fruit; Apples,</t>
  </si>
  <si>
    <t>Raspberries, Blueberries</t>
  </si>
  <si>
    <t>Cormyrean Breadbasket</t>
  </si>
  <si>
    <t>Fern and mint wines</t>
  </si>
  <si>
    <t>Knightswood</t>
  </si>
  <si>
    <t>A Keep-town of Paladins</t>
  </si>
  <si>
    <t>Baerelus the Bold</t>
  </si>
  <si>
    <t>Aunglar's Sawmill</t>
  </si>
  <si>
    <t>woodcrafting</t>
  </si>
  <si>
    <t>N/A</t>
  </si>
  <si>
    <t>herbalists, lumber;</t>
  </si>
  <si>
    <t>Marsember</t>
  </si>
  <si>
    <t>Infamous BlackMarket</t>
  </si>
  <si>
    <t>Ildool Kisbin</t>
  </si>
  <si>
    <t>Dauntinghorns</t>
  </si>
  <si>
    <t>Six Coffers (RMH)</t>
  </si>
  <si>
    <t>Spices; Perfumes, Seafood</t>
  </si>
  <si>
    <t>Truesilvers</t>
  </si>
  <si>
    <t>Maerun Stoutbold (NMH)</t>
  </si>
  <si>
    <t>Shipwright, Shellfish, oils</t>
  </si>
  <si>
    <t>Kisbins</t>
  </si>
  <si>
    <t>Sponges, Tar, Art pieces</t>
  </si>
  <si>
    <t>Scorils</t>
  </si>
  <si>
    <t>Bledryn Scoril</t>
  </si>
  <si>
    <t>Pearls, Jewelry</t>
  </si>
  <si>
    <t>Illances</t>
  </si>
  <si>
    <t>Minroe</t>
  </si>
  <si>
    <t>Huntcrowns</t>
  </si>
  <si>
    <t>Pixie Cap Traders (NMH) - Huntcrowns -</t>
  </si>
  <si>
    <t>Pixie Cap Mushrooms</t>
  </si>
  <si>
    <t>Furrier, Hides, Tannery</t>
  </si>
  <si>
    <t>Farming, Livestock, Dairy</t>
  </si>
  <si>
    <t>Moonever</t>
  </si>
  <si>
    <t>Smugglers Cove</t>
  </si>
  <si>
    <t>Klanshoun Goldwyn</t>
  </si>
  <si>
    <t>Goldwyns</t>
  </si>
  <si>
    <t>Hobble's Hooks; hooks, fishing equipment and wares</t>
  </si>
  <si>
    <t>Ropemakers</t>
  </si>
  <si>
    <t>netmakers</t>
  </si>
  <si>
    <t>shellfish; small wood boats; seafood</t>
  </si>
  <si>
    <t>Monksblade</t>
  </si>
  <si>
    <t>Spiritual holdfast, Travellers are controlled; Sealed environment</t>
  </si>
  <si>
    <t>Battlelord Venerab</t>
  </si>
  <si>
    <t>Mouth O' Gargoyles</t>
  </si>
  <si>
    <t>Trade Route</t>
  </si>
  <si>
    <t>Deserei Ebonhawk</t>
  </si>
  <si>
    <t>531 Hu</t>
  </si>
  <si>
    <t>Ebonhawks</t>
  </si>
  <si>
    <t>Thaelin's Fineworks (NMH) Nice wooden craftings</t>
  </si>
  <si>
    <t>Furniture; barrels</t>
  </si>
  <si>
    <t>220 Elf</t>
  </si>
  <si>
    <t>Bendagar's barrels</t>
  </si>
  <si>
    <t>Woodcrafting; oils;</t>
  </si>
  <si>
    <t>Bows and Xbows</t>
  </si>
  <si>
    <t>Elven wares</t>
  </si>
  <si>
    <t>Nesmyth</t>
  </si>
  <si>
    <t>Small canal fed-township; Magical Glowlight</t>
  </si>
  <si>
    <t>Zultan Jacyllyth</t>
  </si>
  <si>
    <t>Jacyllyths</t>
  </si>
  <si>
    <t>Eels; farming; glowlight</t>
  </si>
  <si>
    <t>Horses; Livestock; Dairy</t>
  </si>
  <si>
    <t>Poultry</t>
  </si>
  <si>
    <t>Old Axe</t>
  </si>
  <si>
    <t>Mining Community</t>
  </si>
  <si>
    <t>Alatha Bloodil</t>
  </si>
  <si>
    <t>455 Hu</t>
  </si>
  <si>
    <t>Bloodil</t>
  </si>
  <si>
    <t>Tinkered goods, Artworks</t>
  </si>
  <si>
    <t>200 Dw</t>
  </si>
  <si>
    <t>Metalsmithing, Mining</t>
  </si>
  <si>
    <t>700 Gn</t>
  </si>
  <si>
    <t>Ongul's Water</t>
  </si>
  <si>
    <t>Ongul grist mill</t>
  </si>
  <si>
    <t>Flour; HermitsWood trackers</t>
  </si>
  <si>
    <t>Durkin Ongul</t>
  </si>
  <si>
    <t>Prosperous Miners</t>
  </si>
  <si>
    <t>Forestry, Lumber, Furniture</t>
  </si>
  <si>
    <t>Metalworking</t>
  </si>
  <si>
    <t>Proskur</t>
  </si>
  <si>
    <t>Major Trade Route</t>
  </si>
  <si>
    <t>Leonara Obarstal</t>
  </si>
  <si>
    <t>Seven Suns Trading Coaster</t>
  </si>
  <si>
    <t>Major City, Lot's of stuff</t>
  </si>
  <si>
    <t>Obarstal</t>
  </si>
  <si>
    <t>Red Spring</t>
  </si>
  <si>
    <t>Adventures Holdfast</t>
  </si>
  <si>
    <t>Major Dumbarin</t>
  </si>
  <si>
    <t>Bricks; Adv Charterhouse</t>
  </si>
  <si>
    <t>Merchant town</t>
  </si>
  <si>
    <t>Skull Crag</t>
  </si>
  <si>
    <t>Fortied Mountain-top Town, Royal Mines (iron &amp; gold)</t>
  </si>
  <si>
    <t>Travis Nelduk</t>
  </si>
  <si>
    <t>2768 Hu</t>
  </si>
  <si>
    <t>Mining; Adventuring</t>
  </si>
  <si>
    <t>Quarried Rock, Marble</t>
  </si>
  <si>
    <t>Slingdyke</t>
  </si>
  <si>
    <t>Major Trade Route, Horse-breeders, Advernturers Charter House</t>
  </si>
  <si>
    <t>Plandur Seshores</t>
  </si>
  <si>
    <t>Seshores</t>
  </si>
  <si>
    <t>Farming, Horse-breeding</t>
  </si>
  <si>
    <t>Livestock, Dairy, Breads</t>
  </si>
  <si>
    <t>Cheeses</t>
  </si>
  <si>
    <t>Smuggler's stone</t>
  </si>
  <si>
    <t>Major Blackmarket, pearls, seafood and shellfish</t>
  </si>
  <si>
    <t>Gasbin Bleth</t>
  </si>
  <si>
    <t>356 Hu</t>
  </si>
  <si>
    <t>Bleths</t>
  </si>
  <si>
    <t>Iron House (RMH)</t>
  </si>
  <si>
    <t>Seafood; shellfish; pirate-booty</t>
  </si>
  <si>
    <t>452 Mf</t>
  </si>
  <si>
    <t>Iron Throne (RMH)</t>
  </si>
  <si>
    <t>Stag Steads</t>
  </si>
  <si>
    <t>Noble Hunting Lodge</t>
  </si>
  <si>
    <t>Fletcher Hawksong</t>
  </si>
  <si>
    <t>Crownsilvers</t>
  </si>
  <si>
    <t>Hawksongs</t>
  </si>
  <si>
    <t>Crown Tax: .25 on sales</t>
  </si>
  <si>
    <t>Huntsilvers</t>
  </si>
  <si>
    <t>Sales Tax: .15 on purchases</t>
  </si>
  <si>
    <t>Suzail</t>
  </si>
  <si>
    <t>Capital of Cormyr</t>
  </si>
  <si>
    <t>Azoun V Obarskyr</t>
  </si>
  <si>
    <t>149,000 Hu</t>
  </si>
  <si>
    <t>Everything you'd possibly want</t>
  </si>
  <si>
    <t>2400 Elf</t>
  </si>
  <si>
    <t>Sthavars</t>
  </si>
  <si>
    <t>Firehands Group</t>
  </si>
  <si>
    <t>600 Dw</t>
  </si>
  <si>
    <t>Six Coffers Market Priakos</t>
  </si>
  <si>
    <t>673 Hfl</t>
  </si>
  <si>
    <t>Trueshields Trading Priakos</t>
  </si>
  <si>
    <t>430 Gn</t>
  </si>
  <si>
    <t>Truesilver</t>
  </si>
  <si>
    <t>Blacksilvers</t>
  </si>
  <si>
    <t>Baerlar Tradesons (NMH)</t>
  </si>
  <si>
    <t>Dragoneye Trading Coster (RMH)</t>
  </si>
  <si>
    <t>Goldsword</t>
  </si>
  <si>
    <t>Iron House Trading Emporioum (RMH)</t>
  </si>
  <si>
    <t>Belstable</t>
  </si>
  <si>
    <t>Ebonhawk</t>
  </si>
  <si>
    <t>Auantiver</t>
  </si>
  <si>
    <t>Emmarask</t>
  </si>
  <si>
    <t>Goldwyn</t>
  </si>
  <si>
    <t>Greenmantle</t>
  </si>
  <si>
    <t>Dzavar</t>
  </si>
  <si>
    <t>Hardcastle</t>
  </si>
  <si>
    <t>Greybeards</t>
  </si>
  <si>
    <t>Ireabor</t>
  </si>
  <si>
    <t>Jacyllyth</t>
  </si>
  <si>
    <t>Jarnuxlin</t>
  </si>
  <si>
    <t>Kranior</t>
  </si>
  <si>
    <t>Lionsyn</t>
  </si>
  <si>
    <t>Longbrooke</t>
  </si>
  <si>
    <t>Tilverton Horse Emporium (RMH)</t>
  </si>
  <si>
    <t>Tanalar's Fine Mounts (RMH)</t>
  </si>
  <si>
    <t>Dundar's Fine Blades (NMH)</t>
  </si>
  <si>
    <t>Rowanmantle</t>
  </si>
  <si>
    <t>Redbeard</t>
  </si>
  <si>
    <t>Santedul</t>
  </si>
  <si>
    <t>Scoril</t>
  </si>
  <si>
    <t>Sthavar</t>
  </si>
  <si>
    <t>Silverhorn</t>
  </si>
  <si>
    <t>Silversword</t>
  </si>
  <si>
    <t>Tapstorn</t>
  </si>
  <si>
    <t>Woodbrand</t>
  </si>
  <si>
    <t>Thunderstone</t>
  </si>
  <si>
    <t>Faril Laheralson PRPDRG</t>
  </si>
  <si>
    <t>1967 Hu</t>
  </si>
  <si>
    <t>Adventuring</t>
  </si>
  <si>
    <t>1200 Elf</t>
  </si>
  <si>
    <t>300 Hfl</t>
  </si>
  <si>
    <t>Tilverton</t>
  </si>
  <si>
    <t>Ldy Alasalynn RowanMtl</t>
  </si>
  <si>
    <t>Hunting; Adventuring</t>
  </si>
  <si>
    <t>Blackmarket; pottery</t>
  </si>
  <si>
    <t>gems; furs; Hardy Horses</t>
  </si>
  <si>
    <t>Prospecting; logging</t>
  </si>
  <si>
    <t>Tyrluk</t>
  </si>
  <si>
    <t>Pony-breeders, Mining, and Adventuring</t>
  </si>
  <si>
    <t>Suldag Kranior, the Boar</t>
  </si>
  <si>
    <t>Durgarthyn's Adventures Hut</t>
  </si>
  <si>
    <t>Farming; Farmers market</t>
  </si>
  <si>
    <t>Silturr Shadowshield Mounts (NMH)</t>
  </si>
  <si>
    <t>Cartwrights;Mtneering</t>
  </si>
  <si>
    <t>Mountain-scaling mounts</t>
  </si>
  <si>
    <t>Waymoot</t>
  </si>
  <si>
    <t>Filfar Woodbrand</t>
  </si>
  <si>
    <t>Woodbrands</t>
  </si>
  <si>
    <t>Jerlak (NMH)</t>
  </si>
  <si>
    <t>Cartwrights;Lumber</t>
  </si>
  <si>
    <t>Morlers</t>
  </si>
  <si>
    <t>Marker (NMH)</t>
  </si>
  <si>
    <t>Horsebreeders</t>
  </si>
  <si>
    <t>Wheloon</t>
  </si>
  <si>
    <t>Merchant houses; crafters, and industry</t>
  </si>
  <si>
    <t>Sarp Redbeard</t>
  </si>
  <si>
    <t>Redbeards</t>
  </si>
  <si>
    <t>Everything one needs</t>
  </si>
  <si>
    <t>Blackbard Docks and shipwright</t>
  </si>
  <si>
    <t>Cormyrean Coins Coaster (RMH)</t>
  </si>
  <si>
    <t>Falconstar Wayshipping (shipping / warehouses) (NMH)</t>
  </si>
  <si>
    <t>Haerldoun's Armors and Weapons (NMH)</t>
  </si>
  <si>
    <t>Sendever's Stables Equestrian house (NMH)</t>
  </si>
  <si>
    <t>Woumar's Grist Mill</t>
  </si>
  <si>
    <t>Wormtower</t>
  </si>
  <si>
    <t>Lance Tilthar</t>
  </si>
  <si>
    <t>Woodcraft, Furniture</t>
  </si>
  <si>
    <t>Carpentry, Cobblers</t>
  </si>
  <si>
    <t>Wyvernhunt</t>
  </si>
  <si>
    <t>Tiny waypoint and small Purple Dragon Keep</t>
  </si>
  <si>
    <t>Captain Nelgu</t>
  </si>
  <si>
    <t>Yeoman's Bridge</t>
  </si>
  <si>
    <t>Major Fishing Community, Wines, Royal Mines (emeralds)</t>
  </si>
  <si>
    <t>Osborne Silverhorn</t>
  </si>
  <si>
    <t>1763 Hu</t>
  </si>
  <si>
    <t>Silverhorns</t>
  </si>
  <si>
    <t>Rangulthyn Winery</t>
  </si>
  <si>
    <t>Inks; Dyes; oils</t>
  </si>
  <si>
    <t>436 Hfl</t>
  </si>
  <si>
    <t>Silverhorn Brewery and Vineyards</t>
  </si>
  <si>
    <t>Fishing; Farming</t>
  </si>
  <si>
    <t>Yeoman's Winery</t>
  </si>
  <si>
    <t>Herbs, Livestock, Dairy</t>
  </si>
  <si>
    <t>Blazing Bridge Vineyards</t>
  </si>
  <si>
    <t>Emeralds, wines</t>
  </si>
  <si>
    <t>Wyvern wines and Vineyard</t>
  </si>
  <si>
    <t>House</t>
  </si>
  <si>
    <t>Strongholds</t>
  </si>
  <si>
    <t>Remarks</t>
  </si>
  <si>
    <t>Obarskyr</t>
  </si>
  <si>
    <t>Cormyr</t>
  </si>
  <si>
    <t>Vangy</t>
  </si>
  <si>
    <t>Azoun V; Qn Filfaeril</t>
  </si>
  <si>
    <t>Royals</t>
  </si>
  <si>
    <t>Kimba Crownsilver</t>
  </si>
  <si>
    <t>Maestoon Huntsilver</t>
  </si>
  <si>
    <t>Suzai/Kings Forest</t>
  </si>
  <si>
    <t>Ayesunder Truesilver</t>
  </si>
  <si>
    <t>Suzail/Marsember/Arabel</t>
  </si>
  <si>
    <t>Joshua Blacksilver</t>
  </si>
  <si>
    <t>Suzail/Eagle Peak/Marsember/Proskur</t>
  </si>
  <si>
    <t>James Cormaeril</t>
  </si>
  <si>
    <t>Wide spread control in and out of Cormyr</t>
  </si>
  <si>
    <t>Jessteel Dauntinhorn</t>
  </si>
  <si>
    <t>Marsember; Greatgaunt</t>
  </si>
  <si>
    <t>Emlar Goldsword</t>
  </si>
  <si>
    <t>Suzail; haughty family; Investment brokers</t>
  </si>
  <si>
    <t>Serenity Huntcrown</t>
  </si>
  <si>
    <t>Suzail/Waymoot/Eagle Peak/Tilverton/OrdulinEspar/Minroe</t>
  </si>
  <si>
    <t>Kynston Illance</t>
  </si>
  <si>
    <t>Suzail/Dawngleam/Eagle Peak</t>
  </si>
  <si>
    <t>Gruen Bleth</t>
  </si>
  <si>
    <t>Suzail; very strong merchant family "Seven Suns"</t>
  </si>
  <si>
    <t>Previous Matriarch killed by Qn</t>
  </si>
  <si>
    <t>Mouth O'Gargoyles</t>
  </si>
  <si>
    <t>Alaphondar Emmarask</t>
  </si>
  <si>
    <t>Jurr Greenmantle</t>
  </si>
  <si>
    <t>Cormyr; weatlhy gentry</t>
  </si>
  <si>
    <t>Ildamoar Hardcastle</t>
  </si>
  <si>
    <t>Arabel; wealthy engineering and building family</t>
  </si>
  <si>
    <t>Ignatius Hawklin</t>
  </si>
  <si>
    <t>Suzail/Hultail/Eagle Peak/Castle Crag/Strong adventuring family</t>
  </si>
  <si>
    <t>Huthgogh Ireabor</t>
  </si>
  <si>
    <t>Marsember; Naval Family</t>
  </si>
  <si>
    <t>Gathdvan Jarnuxlin</t>
  </si>
  <si>
    <t>Eagle Peak/Skull Crag/Proskur/Yulash</t>
  </si>
  <si>
    <t>Raynaar Marliir</t>
  </si>
  <si>
    <t>Arabel/Suzail/Marsember</t>
  </si>
  <si>
    <t>Hornshield/Skull Crag</t>
  </si>
  <si>
    <t>Urthrin Rallyhorn</t>
  </si>
  <si>
    <t>Suzail/GreatGaunt/ High Horn; Military Family -- King's Swords</t>
  </si>
  <si>
    <t>Serenity SulptarRowanm.</t>
  </si>
  <si>
    <t>Shadowdale/Tilverton</t>
  </si>
  <si>
    <t>Suzail/Juniril</t>
  </si>
  <si>
    <t>Hornshields/ Slingdyke</t>
  </si>
  <si>
    <t>Grady Silversword</t>
  </si>
  <si>
    <t>Mikahin Thundersword</t>
  </si>
  <si>
    <t>Immersea/ Hultail/Yeoman's Bridge</t>
  </si>
  <si>
    <t>Hornshield/ Wormtower</t>
  </si>
  <si>
    <t>Giorgi Wyvernspur</t>
  </si>
  <si>
    <t>Wyvernflow/Thunderstone/Hultail/Wheloon</t>
  </si>
  <si>
    <t>Obadiah Zatchos</t>
  </si>
  <si>
    <t>Suzail/Highmoon/Ilipur/Daerlun/Blustich/EaglePeak</t>
  </si>
  <si>
    <t>Landed Lords</t>
  </si>
  <si>
    <t>Crazed House</t>
  </si>
  <si>
    <t>High Horn/ Castle Crag; military family</t>
  </si>
  <si>
    <t>Old Axe/Proskur</t>
  </si>
  <si>
    <t>Halfling Noble House</t>
  </si>
  <si>
    <t>Dhag Greybeard</t>
  </si>
  <si>
    <t>Waymoot/High Horn</t>
  </si>
  <si>
    <t>Fletcher Hawksongs</t>
  </si>
  <si>
    <t>Stags Steads/Battlerise/Waymoot</t>
  </si>
  <si>
    <t>Bogbrook</t>
  </si>
  <si>
    <t>Myrmeen Lhal</t>
  </si>
  <si>
    <t>Arabel/Noktil</t>
  </si>
  <si>
    <t>Gazthine Morler</t>
  </si>
  <si>
    <t>Arabel/Eveningstar</t>
  </si>
  <si>
    <t>Eagle Peak/Proskur</t>
  </si>
  <si>
    <t>Thunderstone/Wheloon</t>
  </si>
  <si>
    <t>Harcourt Sthavar</t>
  </si>
  <si>
    <t>Category</t>
  </si>
  <si>
    <t>Стовпець1</t>
  </si>
  <si>
    <t>CROWN ROYAL HOUSE </t>
  </si>
  <si>
    <t>ROYAL HOUSES </t>
  </si>
  <si>
    <t>Crownsilver</t>
  </si>
  <si>
    <t>MAJOR NOBLE HOUSES </t>
  </si>
  <si>
    <t>Thundersword</t>
  </si>
  <si>
    <t>MINOR NOBLE HOUSES </t>
  </si>
  <si>
    <t>Alamber</t>
  </si>
  <si>
    <t>Ambruar</t>
  </si>
  <si>
    <t>Ammaeth</t>
  </si>
  <si>
    <t>Aris</t>
  </si>
  <si>
    <t>Battlebar</t>
  </si>
  <si>
    <t>Battlestar</t>
  </si>
  <si>
    <t>Belorgan</t>
  </si>
  <si>
    <t>Blacksilver</t>
  </si>
  <si>
    <t>Blackwinter</t>
  </si>
  <si>
    <t>Blester</t>
  </si>
  <si>
    <t>Bracegauntlet</t>
  </si>
  <si>
    <t>Braerwinter</t>
  </si>
  <si>
    <t>Burnig</t>
  </si>
  <si>
    <t>Cordallar</t>
  </si>
  <si>
    <t>Creth</t>
  </si>
  <si>
    <t>Dagohnlar</t>
  </si>
  <si>
    <t>Darendaal</t>
  </si>
  <si>
    <t>Darstan</t>
  </si>
  <si>
    <t>Dawninghunt</t>
  </si>
  <si>
    <t>Delzuld</t>
  </si>
  <si>
    <t>Dracohorn</t>
  </si>
  <si>
    <t>Eldroon</t>
  </si>
  <si>
    <t>Erdusking</t>
  </si>
  <si>
    <t>Evenhand</t>
  </si>
  <si>
    <t>Everet</t>
  </si>
  <si>
    <t>Farrowbrace</t>
  </si>
  <si>
    <t>Flintfeather</t>
  </si>
  <si>
    <t>Harcourt</t>
  </si>
  <si>
    <t>Helmstone</t>
  </si>
  <si>
    <t>Hlombur</t>
  </si>
  <si>
    <t>Hornhold</t>
  </si>
  <si>
    <t>Huntingdown</t>
  </si>
  <si>
    <t>Huntinghorn</t>
  </si>
  <si>
    <t>Hyraken</t>
  </si>
  <si>
    <t>Imbranneth</t>
  </si>
  <si>
    <t>Immerdusk</t>
  </si>
  <si>
    <t>Indesm</t>
  </si>
  <si>
    <t>Indimber</t>
  </si>
  <si>
    <t>Kessemer</t>
  </si>
  <si>
    <t>Kraliqh</t>
  </si>
  <si>
    <t>Longflail</t>
  </si>
  <si>
    <t>Mistwind</t>
  </si>
  <si>
    <t>Monthor</t>
  </si>
  <si>
    <t>Mournsoul</t>
  </si>
  <si>
    <t>Muscalian</t>
  </si>
  <si>
    <t>Naerinth</t>
  </si>
  <si>
    <t>Orthwood</t>
  </si>
  <si>
    <t>Paertrover</t>
  </si>
  <si>
    <t>Phaulkon</t>
  </si>
  <si>
    <t>Pursenose</t>
  </si>
  <si>
    <t>Ravensgar</t>
  </si>
  <si>
    <t>Rayburton</t>
  </si>
  <si>
    <t>Redbow</t>
  </si>
  <si>
    <t>Roaringhorn</t>
  </si>
  <si>
    <t>Sauvrurn</t>
  </si>
  <si>
    <t>Scatterstars</t>
  </si>
  <si>
    <t>Spurbright</t>
  </si>
  <si>
    <t>Staglar</t>
  </si>
  <si>
    <t>Summerstar</t>
  </si>
  <si>
    <t>Summertree</t>
  </si>
  <si>
    <t>Talcontin</t>
  </si>
  <si>
    <t>Tammarast</t>
  </si>
  <si>
    <t>Tathcrown</t>
  </si>
  <si>
    <t>Tavernant</t>
  </si>
  <si>
    <t>Thandro</t>
  </si>
  <si>
    <t>Thistle</t>
  </si>
  <si>
    <t>Thorntower</t>
  </si>
  <si>
    <t>Tolon</t>
  </si>
  <si>
    <t>Torchtower</t>
  </si>
  <si>
    <t>Torchwinter</t>
  </si>
  <si>
    <t>Vaylan</t>
  </si>
  <si>
    <t>Wavegallant</t>
  </si>
  <si>
    <t>Wintersun</t>
  </si>
  <si>
    <t>Wolfwinter</t>
  </si>
  <si>
    <t>Wyrvar</t>
  </si>
  <si>
    <t>Yellander</t>
  </si>
  <si>
    <t>EXTINCT OR DISPOSSESSED NOBLE HOUSES </t>
  </si>
  <si>
    <t>Aurubaen</t>
  </si>
  <si>
    <t>Dheolur</t>
  </si>
  <si>
    <t>Dragonarl</t>
  </si>
  <si>
    <t>Drauthglas</t>
  </si>
  <si>
    <t>Garthhawk</t>
  </si>
  <si>
    <t>Goldfeather</t>
  </si>
  <si>
    <t>Janthrin</t>
  </si>
  <si>
    <t>Jarthoon</t>
  </si>
  <si>
    <t>Kirinar</t>
  </si>
  <si>
    <t>Merendil</t>
  </si>
  <si>
    <t>Narboot</t>
  </si>
  <si>
    <t>Turcassan</t>
  </si>
  <si>
    <t>UnnamedOne</t>
  </si>
  <si>
    <t>UnnamedTwo</t>
  </si>
  <si>
    <t>UnnamedThree</t>
  </si>
  <si>
    <t>category</t>
  </si>
  <si>
    <t>name</t>
  </si>
  <si>
    <t>Lord High Diplomat</t>
  </si>
  <si>
    <t>Oversees contacts and communications with other nations; supervises ambassadors and emissaries sent to other lands. The Lord High Diplimat generally stays in Cormyr to advise the king on foreign affairs, only travelling for very special events and leaving the great majority of the travel to the ambassadors and emissaries under him.</t>
  </si>
  <si>
    <t>Royal Chancellor</t>
  </si>
  <si>
    <t>Oversees the day-to-day operations of the government, and is the head of the civil service.</t>
  </si>
  <si>
    <t>Lord High Marshal</t>
  </si>
  <si>
    <t>Head of the Cormyrean military organization.</t>
  </si>
  <si>
    <t>Lord High Inquisitor</t>
  </si>
  <si>
    <t>Oversees intelligence-gathering and counterintelligence operations, and routinely shares the information with L.H.Diplomat and L.H.Marshal.</t>
  </si>
  <si>
    <t>Lord High Justice</t>
  </si>
  <si>
    <t>Oversees all aspects of the legal system, including the enforcement of the code of laws decreed by the King and the management of the lower courts and prisons.</t>
  </si>
  <si>
    <t>Chief Executioner</t>
  </si>
  <si>
    <t>carries out all executions for high crimes against King and Country.</t>
  </si>
  <si>
    <t>Lord High Treasurer</t>
  </si>
  <si>
    <t>Keeps the financial ledgers and budget books of the Kingdom. Oversees the inventory of the Royal Treasury, the coining of money, and the collection of taxes.</t>
  </si>
  <si>
    <t>Lord High Warden:</t>
  </si>
  <si>
    <t>Oversees the conservation and/or development of the land. Manages the forest and the game within, implements royal policies regarding the clearing development and reforesting of land, organizes new road town and fortification building, carries out surveying, mapping and exploration services.</t>
  </si>
  <si>
    <t>Royal Chamberlain</t>
  </si>
  <si>
    <t>The King's right-hand man (or woman, in this case), controlling all access to the King. Anyone wishing an audience with the King or Queen must make an appointment with, or otherwise go through, the Chamberlain. All correspondence also goes through the Chamberlain. the Chamberlain can also act on the King's behalf in any instance. Orders he issues are assumed to come directly from the King.</t>
  </si>
  <si>
    <t>Castellan</t>
  </si>
  <si>
    <t>Supervises basic cleaning and household management, plans and organizes formal affairs, and is an expert on etiquette.</t>
  </si>
  <si>
    <t>Chief Steward &amp; Cook:</t>
  </si>
  <si>
    <t>Oversees cooking staff, plans meals, insures the larders and pantries are well supplied.</t>
  </si>
  <si>
    <t>Chief Housekeeper:1</t>
  </si>
  <si>
    <t>Oversees the cleaning maids. Would also oversee the waiting women to the Queen, except that the Queen has none - Alynna and Storm generally tend to each other.</t>
  </si>
  <si>
    <t>Chief Gardener:</t>
  </si>
  <si>
    <t>Oversees and tends the Royal Gardens.</t>
  </si>
  <si>
    <t>Chief of the Royal Stables:</t>
  </si>
  <si>
    <t>Oversees the care and tending of all the Royal animals, including hunting animals as well as riding mounts.</t>
  </si>
  <si>
    <t>Royal Magician</t>
  </si>
  <si>
    <r>
      <t>Council Of Mages:</t>
    </r>
    <r>
      <rPr>
        <sz val="13.5"/>
        <color rgb="FF000000"/>
        <rFont val="Segoe UI"/>
        <family val="2"/>
        <charset val="204"/>
      </rPr>
      <t> </t>
    </r>
  </si>
  <si>
    <t>Chaired by the Royal Magician, or by the leader of the War Wizards in the Royal Magician's absence. Meets once per month in the Royal Court.</t>
  </si>
  <si>
    <t>Royal Advisor:</t>
  </si>
  <si>
    <t>(This position used to be called the Sage Most Learned of the Royal Court)</t>
  </si>
  <si>
    <t>Royal Chaplain: </t>
  </si>
  <si>
    <t>Represents the religious communities, and manages the King's relations with them. Also the personal priest for the Royal Family when it shares the same faith as the Chaplain.</t>
  </si>
  <si>
    <t>Purple Dragon Rank</t>
  </si>
  <si>
    <t>Earth Equivalent</t>
  </si>
  <si>
    <t>Tassle Color</t>
  </si>
  <si>
    <t>Blade</t>
  </si>
  <si>
    <t>Private</t>
  </si>
  <si>
    <t>Green</t>
  </si>
  <si>
    <t>Telsword ("Sword")</t>
  </si>
  <si>
    <t>Corporal</t>
  </si>
  <si>
    <t>Brown</t>
  </si>
  <si>
    <t>First Sword</t>
  </si>
  <si>
    <t>Sergeant</t>
  </si>
  <si>
    <t>Black</t>
  </si>
  <si>
    <t>Swordcaptain</t>
  </si>
  <si>
    <t>Lieutenant</t>
  </si>
  <si>
    <t>Copper</t>
  </si>
  <si>
    <t>Lionar</t>
  </si>
  <si>
    <t>Captain</t>
  </si>
  <si>
    <t>Copper &amp; Silver Twist</t>
  </si>
  <si>
    <t>Ornrion</t>
  </si>
  <si>
    <t>Major</t>
  </si>
  <si>
    <t>Silver</t>
  </si>
  <si>
    <t>Constal</t>
  </si>
  <si>
    <t>Colonel</t>
  </si>
  <si>
    <t>Silver &amp; Gold Twist</t>
  </si>
  <si>
    <t>Oversword</t>
  </si>
  <si>
    <t>Gold</t>
  </si>
  <si>
    <t>Battlemaster</t>
  </si>
  <si>
    <t>Gold &amp; Rosegold Twist</t>
  </si>
  <si>
    <t>Rosegold</t>
  </si>
  <si>
    <t>Swordlord</t>
  </si>
  <si>
    <t>Unit commander; where this falls in the hierarchy varies with the size of the unit, from patrol to army.</t>
  </si>
  <si>
    <t>Royal Guard</t>
  </si>
  <si>
    <t>Purple Dragons who are the personal guards for Royal Family members</t>
  </si>
  <si>
    <t>add Red twist to normal rank tassle</t>
  </si>
  <si>
    <t>+6 in addition to rank</t>
  </si>
  <si>
    <t>member of Royal Family</t>
  </si>
  <si>
    <t>Serving Dragons who are either immediate members of the Obarskyr family (king, queen, siblings of Obarskyr-blooded monarch, children or grandchildren of Obarskyr-blooded monarch) or the spouses of Obarskyr family members.</t>
  </si>
  <si>
    <t>add Purple twist to normal rank tassle</t>
  </si>
  <si>
    <t>Circle</t>
  </si>
  <si>
    <t>Name</t>
  </si>
  <si>
    <t>Level</t>
  </si>
  <si>
    <t>Title</t>
  </si>
  <si>
    <t>Diety</t>
  </si>
  <si>
    <t>Algn</t>
  </si>
  <si>
    <t>City</t>
  </si>
  <si>
    <t>Rmks</t>
  </si>
  <si>
    <t>Grand Vizier</t>
  </si>
  <si>
    <t>Caladnei</t>
  </si>
  <si>
    <t>Scr 15/rng 7</t>
  </si>
  <si>
    <t>Chair of WW &amp; CoM</t>
  </si>
  <si>
    <t>Azuth</t>
  </si>
  <si>
    <t>NG HF</t>
  </si>
  <si>
    <t>Ld High Advisor</t>
  </si>
  <si>
    <t>Vangerdahast</t>
  </si>
  <si>
    <t>W 28 / Ftr 5</t>
  </si>
  <si>
    <t>Co-Chair of WW &amp; CoM</t>
  </si>
  <si>
    <t>LN HM</t>
  </si>
  <si>
    <t>He is 28th because I said so.</t>
  </si>
  <si>
    <t>Laspeera</t>
  </si>
  <si>
    <t>W 21</t>
  </si>
  <si>
    <t>Council of Mages</t>
  </si>
  <si>
    <t>Oghma</t>
  </si>
  <si>
    <t>"</t>
  </si>
  <si>
    <t>Chief Scribe</t>
  </si>
  <si>
    <t>Valantha Shimmerstar</t>
  </si>
  <si>
    <t>W 13 / Brd 6</t>
  </si>
  <si>
    <t>CG HF</t>
  </si>
  <si>
    <t>Mage Expeditious</t>
  </si>
  <si>
    <t>Merula the Magnificant</t>
  </si>
  <si>
    <t>W 18</t>
  </si>
  <si>
    <t>LG HM</t>
  </si>
  <si>
    <t>Ld Justicar-magis</t>
  </si>
  <si>
    <t>Maxer Hlarr</t>
  </si>
  <si>
    <t>Scr 11</t>
  </si>
  <si>
    <t>Mystra</t>
  </si>
  <si>
    <t>NG HM</t>
  </si>
  <si>
    <t>War Wizard Purple Dragon Knights of Duty and Justice Guard</t>
  </si>
  <si>
    <t>High Justicar</t>
  </si>
  <si>
    <t>Kordil Faithwringer</t>
  </si>
  <si>
    <t>Ftr 8 PrKn 21</t>
  </si>
  <si>
    <t>WW Knight Guard</t>
  </si>
  <si>
    <t>Helm</t>
  </si>
  <si>
    <t>Justicar of Truth</t>
  </si>
  <si>
    <t>Nigel Truthson</t>
  </si>
  <si>
    <t>Pal 12 PrKn 17</t>
  </si>
  <si>
    <t>Tyr</t>
  </si>
  <si>
    <t>Justicar of Justice</t>
  </si>
  <si>
    <t>Gwyain Landoris</t>
  </si>
  <si>
    <t>Justicar of Duty</t>
  </si>
  <si>
    <t>Viktynta Hawktone</t>
  </si>
  <si>
    <t>Torm</t>
  </si>
  <si>
    <t>LG HF</t>
  </si>
  <si>
    <t>Justicar of Wisdom</t>
  </si>
  <si>
    <t>Khrend Jaggerkind</t>
  </si>
  <si>
    <t>Pal 10 C 14 PK 11</t>
  </si>
  <si>
    <t>5th Vizier</t>
  </si>
  <si>
    <t>Kurn Vortexen 'Xa</t>
  </si>
  <si>
    <t>W18</t>
  </si>
  <si>
    <t>Ki've Gwendoseux</t>
  </si>
  <si>
    <t>Ftr 7 / brd 4</t>
  </si>
  <si>
    <t>Advisor</t>
  </si>
  <si>
    <t>LN HF</t>
  </si>
  <si>
    <t>Himlee Hrathgin</t>
  </si>
  <si>
    <t>W 16 / Ftr5</t>
  </si>
  <si>
    <t>Jurnst Weln</t>
  </si>
  <si>
    <t>Pal 9/ PrpKn 4</t>
  </si>
  <si>
    <t>Vuptjeth E'guthyn</t>
  </si>
  <si>
    <t>W 16</t>
  </si>
  <si>
    <t>LN HEM</t>
  </si>
  <si>
    <t>Joshulyn Fairtongue</t>
  </si>
  <si>
    <t>Bard 9</t>
  </si>
  <si>
    <t>4th Vizier</t>
  </si>
  <si>
    <t>Hellena Norstrier</t>
  </si>
  <si>
    <t>Kris of the Enlightenment</t>
  </si>
  <si>
    <t>F 16 / P 11</t>
  </si>
  <si>
    <t>Siamorphe</t>
  </si>
  <si>
    <t>Cycorin Wynst'l</t>
  </si>
  <si>
    <t>Douria Philasconia</t>
  </si>
  <si>
    <t>C 15</t>
  </si>
  <si>
    <t>Deneir</t>
  </si>
  <si>
    <t>Utica Barat</t>
  </si>
  <si>
    <t>W 17</t>
  </si>
  <si>
    <t>Truys Hangordu</t>
  </si>
  <si>
    <t>Pal 12</t>
  </si>
  <si>
    <t>3rd Vizier</t>
  </si>
  <si>
    <t>Trass'lyryllyr Azulhue</t>
  </si>
  <si>
    <t>W 13</t>
  </si>
  <si>
    <t>LN HEF</t>
  </si>
  <si>
    <t>Drussi Vwu</t>
  </si>
  <si>
    <t>F4/W 9</t>
  </si>
  <si>
    <t>LG HEF</t>
  </si>
  <si>
    <t>Jasminxor Gardon</t>
  </si>
  <si>
    <t>Scr 20</t>
  </si>
  <si>
    <t>Noryth Sansassador</t>
  </si>
  <si>
    <t>Scr 14</t>
  </si>
  <si>
    <t>Lajorilath Margun</t>
  </si>
  <si>
    <t>Vilani Mythilweaver</t>
  </si>
  <si>
    <t>F3 / W 11</t>
  </si>
  <si>
    <t>Thavian birth</t>
  </si>
  <si>
    <t>2nd Vizier</t>
  </si>
  <si>
    <t>Xylew Schtleppurl</t>
  </si>
  <si>
    <t>Kristina Langfortin</t>
  </si>
  <si>
    <t>Scr 12</t>
  </si>
  <si>
    <t>Barnahurdt Yuggorth</t>
  </si>
  <si>
    <t>Tabbatha Ofzarat</t>
  </si>
  <si>
    <t>Strobe Philpotson</t>
  </si>
  <si>
    <t>W 14</t>
  </si>
  <si>
    <t>Corellon</t>
  </si>
  <si>
    <t>LG HEM</t>
  </si>
  <si>
    <t>Trilanus Sturgeon</t>
  </si>
  <si>
    <t>Ayneth L'llorynn</t>
  </si>
  <si>
    <t>W 23</t>
  </si>
  <si>
    <t>Angusin Harrowglade</t>
  </si>
  <si>
    <t>NG HEF</t>
  </si>
  <si>
    <t>1st Vizier</t>
  </si>
  <si>
    <t>Saernecca Phangtau</t>
  </si>
  <si>
    <t>Kyler Itucca</t>
  </si>
  <si>
    <t>W 12</t>
  </si>
  <si>
    <t>Laricia Tupticius</t>
  </si>
  <si>
    <t>K'asteryll Betulleriyllus</t>
  </si>
  <si>
    <t>LN EM</t>
  </si>
  <si>
    <t>Horrastuul Mylssterria</t>
  </si>
  <si>
    <t>Veno di Crasstian</t>
  </si>
  <si>
    <t>Pra'zulla Rephezaltau</t>
  </si>
  <si>
    <t>Scr 18</t>
  </si>
  <si>
    <t>LN EF</t>
  </si>
  <si>
    <t>Tsharliira of Blackthorne</t>
  </si>
  <si>
    <t>Lorryllaxx Stuynerrthylla</t>
  </si>
  <si>
    <t>Yarinna Nespeera</t>
  </si>
  <si>
    <t>W 11</t>
  </si>
  <si>
    <t>NG HEM</t>
  </si>
  <si>
    <t>Impervious Magis</t>
  </si>
  <si>
    <t>Garagg of Westgate</t>
  </si>
  <si>
    <t>Scr 10</t>
  </si>
  <si>
    <t>Surith Lanolare Xipheon</t>
  </si>
  <si>
    <t>W 8</t>
  </si>
  <si>
    <t>Quesyr Sardoil</t>
  </si>
  <si>
    <t>W 15</t>
  </si>
  <si>
    <t>Mylanthius Hiperboria</t>
  </si>
  <si>
    <t>Orax the Wise</t>
  </si>
  <si>
    <t>War Wizard Academy of Mages, Deans of Faculty</t>
  </si>
  <si>
    <t>(1st Viziers)</t>
  </si>
  <si>
    <t>Dean of WWA</t>
  </si>
  <si>
    <t>Tess Wyvernquill</t>
  </si>
  <si>
    <t>Wiz 22</t>
  </si>
  <si>
    <t>War Wizard Academy</t>
  </si>
  <si>
    <t>Chancellor of Magic</t>
  </si>
  <si>
    <t>Uhas of the weave</t>
  </si>
  <si>
    <t>Wiz 19</t>
  </si>
  <si>
    <t>Chancellor of Arcane</t>
  </si>
  <si>
    <t>Isillyth Bev'woanyrith</t>
  </si>
  <si>
    <t>W 25</t>
  </si>
  <si>
    <t>LG EM</t>
  </si>
  <si>
    <t>Chancellor of Research</t>
  </si>
  <si>
    <t>Veneux Silverhorn</t>
  </si>
  <si>
    <t>Chancellor of Library</t>
  </si>
  <si>
    <t>Hilde Vluystirn</t>
  </si>
  <si>
    <t>Wiz 15</t>
  </si>
  <si>
    <t>Chancellor of Tactics</t>
  </si>
  <si>
    <t>Gangfron Hammerin</t>
  </si>
  <si>
    <t>W 15 Ft 7 PKn 2</t>
  </si>
  <si>
    <t>Red Knight</t>
  </si>
  <si>
    <t>LN DM</t>
  </si>
  <si>
    <t>Chancellor of Education</t>
  </si>
  <si>
    <t>Y'lasturin V'lustri</t>
  </si>
  <si>
    <t>Chancellor of Crafting</t>
  </si>
  <si>
    <t>T'rla'styn Sly'vernyt</t>
  </si>
  <si>
    <t>Wiz 16</t>
  </si>
  <si>
    <t>Gond</t>
  </si>
  <si>
    <t>Chancellor of Alchemy</t>
  </si>
  <si>
    <t>Mordecai Alliston</t>
  </si>
  <si>
    <t>Wiz 17 / Alc 8</t>
  </si>
  <si>
    <t>Chancellor of Psionics</t>
  </si>
  <si>
    <t>Ognew Vruxism</t>
  </si>
  <si>
    <t>Ps 13</t>
  </si>
  <si>
    <t>WAR WIZARDS</t>
  </si>
  <si>
    <t>8th Circle</t>
  </si>
  <si>
    <t>Kyle Hlondaglus</t>
  </si>
  <si>
    <t>Master of Abjuration</t>
  </si>
  <si>
    <t>Phileaux Dahlgren</t>
  </si>
  <si>
    <t>W 20</t>
  </si>
  <si>
    <t>Master of Invocation</t>
  </si>
  <si>
    <t>Shannah Williamskind</t>
  </si>
  <si>
    <t>Master Transmuter</t>
  </si>
  <si>
    <t>Cyrriac Glasbugh</t>
  </si>
  <si>
    <t>W 19</t>
  </si>
  <si>
    <t>Master of Conjuration</t>
  </si>
  <si>
    <t>7th Circle</t>
  </si>
  <si>
    <t>Sebastian Glazgorgil</t>
  </si>
  <si>
    <t>Archmage</t>
  </si>
  <si>
    <t>Mellomir of Arabel</t>
  </si>
  <si>
    <t>W 27</t>
  </si>
  <si>
    <t>Sylvia Selustiriel</t>
  </si>
  <si>
    <t>W 28</t>
  </si>
  <si>
    <t>Orellienon Phratt</t>
  </si>
  <si>
    <t>Tyroria Kendrust</t>
  </si>
  <si>
    <t>Maarlilt Langh</t>
  </si>
  <si>
    <t>Scr 19</t>
  </si>
  <si>
    <t>6th Circle (18)</t>
  </si>
  <si>
    <t>Dariinarl Ulyss</t>
  </si>
  <si>
    <t>Mage</t>
  </si>
  <si>
    <t>6th Circle</t>
  </si>
  <si>
    <t>Teghir Curgaon</t>
  </si>
  <si>
    <t>CG HM</t>
  </si>
  <si>
    <t>Argul Marammas</t>
  </si>
  <si>
    <t>Gandro Wyn</t>
  </si>
  <si>
    <t>W 10</t>
  </si>
  <si>
    <t>Zulda Thar</t>
  </si>
  <si>
    <t>W 9</t>
  </si>
  <si>
    <t>Bethan Julstriel</t>
  </si>
  <si>
    <t>Cycorin Elustriel</t>
  </si>
  <si>
    <t>Hanthy Luskto</t>
  </si>
  <si>
    <t>Filfaeril Kilnslow</t>
  </si>
  <si>
    <t>Scr 15</t>
  </si>
  <si>
    <t>Y'rth L'kewdrin</t>
  </si>
  <si>
    <t>Ulysses Vanderhoop</t>
  </si>
  <si>
    <t>Elleri Ottraugh</t>
  </si>
  <si>
    <t>W 7</t>
  </si>
  <si>
    <t>Leightin Froch</t>
  </si>
  <si>
    <t>Connor McClain</t>
  </si>
  <si>
    <t>Mage Adventurous</t>
  </si>
  <si>
    <t>MIA</t>
  </si>
  <si>
    <t>Crusian Johnston</t>
  </si>
  <si>
    <t>W 6</t>
  </si>
  <si>
    <t>Nicklesk Harrt</t>
  </si>
  <si>
    <t>Clyde Ginnsburg</t>
  </si>
  <si>
    <t>Hurrold Creikta</t>
  </si>
  <si>
    <t>5th Circle (18)</t>
  </si>
  <si>
    <t>Y'rgol Luplet</t>
  </si>
  <si>
    <t>Wizard</t>
  </si>
  <si>
    <t>5th Circle</t>
  </si>
  <si>
    <t>Hans the Extreme</t>
  </si>
  <si>
    <t>Silverstone Gildedstein</t>
  </si>
  <si>
    <t>Colbert Harroughs</t>
  </si>
  <si>
    <t>Throndike Azounkind</t>
  </si>
  <si>
    <t>Jasper Tangletoes</t>
  </si>
  <si>
    <t>Scr 9</t>
  </si>
  <si>
    <t>Maarlilt Langh (7th) Suzail</t>
  </si>
  <si>
    <t>Walden Pfeifer</t>
  </si>
  <si>
    <t>Vindala Chalanther</t>
  </si>
  <si>
    <t>Michelle Phoenicia</t>
  </si>
  <si>
    <t>Vance Plinners</t>
  </si>
  <si>
    <t>Darkhlonn Dannortyn</t>
  </si>
  <si>
    <t>Sylvian Ilturanthi</t>
  </si>
  <si>
    <t>Amuroph Fahrl</t>
  </si>
  <si>
    <t>Baldask Delzantar</t>
  </si>
  <si>
    <t>W 5</t>
  </si>
  <si>
    <t>Alatha Korduis</t>
  </si>
  <si>
    <t>Bard 6</t>
  </si>
  <si>
    <t>Wynslt G'Burrnox</t>
  </si>
  <si>
    <t>Lord Gruen Bleth</t>
  </si>
  <si>
    <t>N HM</t>
  </si>
  <si>
    <t>Noble</t>
  </si>
  <si>
    <t>Lady Kimba Crownsilver</t>
  </si>
  <si>
    <t>W 3</t>
  </si>
  <si>
    <t>N HF</t>
  </si>
  <si>
    <t>4th Circle (32)</t>
  </si>
  <si>
    <t>Jestra</t>
  </si>
  <si>
    <t>Sorceror</t>
  </si>
  <si>
    <t>4th Circle</t>
  </si>
  <si>
    <t>Filfaeril Stormbillow</t>
  </si>
  <si>
    <t>Elhazir Burouq</t>
  </si>
  <si>
    <t>CN HM</t>
  </si>
  <si>
    <t>Solace Allyscot</t>
  </si>
  <si>
    <t>Trinity Wayfare</t>
  </si>
  <si>
    <t>Elmdaerle</t>
  </si>
  <si>
    <t>W 2</t>
  </si>
  <si>
    <t>Lon Wagturh</t>
  </si>
  <si>
    <t>Silvercap Mageson</t>
  </si>
  <si>
    <t>Rolandriel Tilver</t>
  </si>
  <si>
    <t>Lynzy Wistril</t>
  </si>
  <si>
    <t>Sebastian Url</t>
  </si>
  <si>
    <t>Brenda Mulhour</t>
  </si>
  <si>
    <t>Scr 6</t>
  </si>
  <si>
    <t>Jasper Tangletoes (5th) Marsember</t>
  </si>
  <si>
    <t>Pireus Souda</t>
  </si>
  <si>
    <t>John of Suzail</t>
  </si>
  <si>
    <t>Jestra of Suzail (4)</t>
  </si>
  <si>
    <t>Kandice Johns</t>
  </si>
  <si>
    <t>Ned of Arabel</t>
  </si>
  <si>
    <t>Simon D'clerck</t>
  </si>
  <si>
    <t>Camp of the East</t>
  </si>
  <si>
    <t>Sabahudin Glowerton</t>
  </si>
  <si>
    <t>Angel Blythe</t>
  </si>
  <si>
    <t>Teressa Hangdel</t>
  </si>
  <si>
    <t>Trerhlin Kaluhourand</t>
  </si>
  <si>
    <t>Xina Vabrein</t>
  </si>
  <si>
    <t>Jhansabella Nithrin</t>
  </si>
  <si>
    <t>Aluana Nithrin</t>
  </si>
  <si>
    <t>Hiorgi Vuxt</t>
  </si>
  <si>
    <t>Nilles Joryane</t>
  </si>
  <si>
    <t>Madrosk Fitzguon</t>
  </si>
  <si>
    <t>Clyde Ginnsburg (6th) Suzail</t>
  </si>
  <si>
    <t>Fractus</t>
  </si>
  <si>
    <t>Salvador Criado</t>
  </si>
  <si>
    <t>Tabrina Ilmunstrinal</t>
  </si>
  <si>
    <t>Scr 8</t>
  </si>
  <si>
    <t>Kir Stappletina</t>
  </si>
  <si>
    <t>Klydis Janos</t>
  </si>
  <si>
    <t>3rd Circle (66)</t>
  </si>
  <si>
    <t>Sygnwerg Thalusk</t>
  </si>
  <si>
    <t>Ward</t>
  </si>
  <si>
    <t>3rd Circle</t>
  </si>
  <si>
    <t>Kronos Tyrson</t>
  </si>
  <si>
    <t>Olexi Handran</t>
  </si>
  <si>
    <t>Pouritteirri</t>
  </si>
  <si>
    <t>Yandranka Papich</t>
  </si>
  <si>
    <t>Kanldron Brzt</t>
  </si>
  <si>
    <t>Dmetri Gronkin</t>
  </si>
  <si>
    <t>Scr 5</t>
  </si>
  <si>
    <t>Nicklesk of Evngstr (6)</t>
  </si>
  <si>
    <t>Krityp Erralyn</t>
  </si>
  <si>
    <t>Vragnor Mintho</t>
  </si>
  <si>
    <t>Quistl'rst Botheme</t>
  </si>
  <si>
    <t>W 4</t>
  </si>
  <si>
    <t>Candace Knowles</t>
  </si>
  <si>
    <t>Emmitt Raggerty</t>
  </si>
  <si>
    <t>Leissenbart</t>
  </si>
  <si>
    <t>Wynslt G'Burrnox (5th) Dhedluk</t>
  </si>
  <si>
    <t>Doncious Zavati</t>
  </si>
  <si>
    <t>Illytur Raisx</t>
  </si>
  <si>
    <t>Turba Krv</t>
  </si>
  <si>
    <t>Jako Debela</t>
  </si>
  <si>
    <t>Spe Kerhays</t>
  </si>
  <si>
    <t>Myles O'bryan</t>
  </si>
  <si>
    <t>CG HEM</t>
  </si>
  <si>
    <t>Julie Fracker</t>
  </si>
  <si>
    <t>Constancia Windbloen</t>
  </si>
  <si>
    <t>Kang the Destroyer</t>
  </si>
  <si>
    <t>Solace Allyscot (4th) Eagle Peak</t>
  </si>
  <si>
    <t>Abixcron</t>
  </si>
  <si>
    <t>Saernecca Phangtau (1stViz) Suzail</t>
  </si>
  <si>
    <t>Krytulr Mmarrantheon</t>
  </si>
  <si>
    <t>Jasper H'londagulas</t>
  </si>
  <si>
    <t>Kyle Myrtovy</t>
  </si>
  <si>
    <t>Agellyellann Hathsd</t>
  </si>
  <si>
    <t>Vectnicia Lylupod</t>
  </si>
  <si>
    <t>Presemet</t>
  </si>
  <si>
    <t>Nulthug Keoid</t>
  </si>
  <si>
    <t>Philip Degrasse</t>
  </si>
  <si>
    <t>Gladis Jyg</t>
  </si>
  <si>
    <t>Lyourdens Etyytos</t>
  </si>
  <si>
    <t>Plwertquel Isidov</t>
  </si>
  <si>
    <t>Xlave Sinoghar</t>
  </si>
  <si>
    <t>Graciz Poaerz</t>
  </si>
  <si>
    <t>CG HEF</t>
  </si>
  <si>
    <t>Oytn Othumlyrd</t>
  </si>
  <si>
    <t>Lkjoiraq Bd'lutsn</t>
  </si>
  <si>
    <t>Harbbuex Nolq</t>
  </si>
  <si>
    <t>Kljonaat Wanderrh</t>
  </si>
  <si>
    <t>Waterdeep</t>
  </si>
  <si>
    <t>Sebastian Wyf</t>
  </si>
  <si>
    <t>Jorse McQuain</t>
  </si>
  <si>
    <t>Lanjxaq</t>
  </si>
  <si>
    <t>Kylar Hortyu</t>
  </si>
  <si>
    <t>Kyrst Hortyu</t>
  </si>
  <si>
    <t>Krivak Hortyu</t>
  </si>
  <si>
    <t>Shantasal Newman</t>
  </si>
  <si>
    <t>Kyler Blackbone</t>
  </si>
  <si>
    <t>Spys on Ildool Lord of Marsember</t>
  </si>
  <si>
    <t>Kindra Hegaman</t>
  </si>
  <si>
    <t>Rick Williams</t>
  </si>
  <si>
    <t>Charles Tudor</t>
  </si>
  <si>
    <t>Garland Hlonorx</t>
  </si>
  <si>
    <t>Tyr'estrl Snythorill</t>
  </si>
  <si>
    <t>Su'kestrill Featherchild</t>
  </si>
  <si>
    <t>Sevain Hurquestll</t>
  </si>
  <si>
    <t>Franco de Vasque</t>
  </si>
  <si>
    <t>Syndair Thorn</t>
  </si>
  <si>
    <t>Jurintyll'e Y'llquestryll</t>
  </si>
  <si>
    <t>Frank Vilanis</t>
  </si>
  <si>
    <t>Loorrina of Tilverton</t>
  </si>
  <si>
    <t>Hanshuyt Papost</t>
  </si>
  <si>
    <t>R'tityl N'wgenthyl</t>
  </si>
  <si>
    <t>Ortpustan Tagar</t>
  </si>
  <si>
    <t>George Scribeson</t>
  </si>
  <si>
    <t>Tabathea Mcqua</t>
  </si>
  <si>
    <t>Seaspring</t>
  </si>
  <si>
    <t>Lionel Tregur</t>
  </si>
  <si>
    <t>2nd Circle (103)</t>
  </si>
  <si>
    <t>Istha Smith</t>
  </si>
  <si>
    <t>Spellcaster</t>
  </si>
  <si>
    <t>2nd Circle</t>
  </si>
  <si>
    <t>Conner McGwyer</t>
  </si>
  <si>
    <t>Bardoe Catlyn</t>
  </si>
  <si>
    <t>Shandu Hawkbittel</t>
  </si>
  <si>
    <t>Jovan Ogsbin</t>
  </si>
  <si>
    <t>Pfaza Iollo</t>
  </si>
  <si>
    <t>Harhansen</t>
  </si>
  <si>
    <t>Petak Ucinic</t>
  </si>
  <si>
    <t>Ravev Mostda</t>
  </si>
  <si>
    <t>Oporis Gantson</t>
  </si>
  <si>
    <t>Klystu B'vrtuneu</t>
  </si>
  <si>
    <t>Typerkon Dugsva</t>
  </si>
  <si>
    <t>Floriscia Weaver</t>
  </si>
  <si>
    <t>I'llyruti Byx'antiteau</t>
  </si>
  <si>
    <t>Ganhorf Volksman</t>
  </si>
  <si>
    <t>Roxy Hegaman</t>
  </si>
  <si>
    <t>Tranis Ru'ssyllur</t>
  </si>
  <si>
    <t>CG EM</t>
  </si>
  <si>
    <t>Wysl K'landoxonth</t>
  </si>
  <si>
    <t>CG EF</t>
  </si>
  <si>
    <t>D'at Faxiumar</t>
  </si>
  <si>
    <t>Samual Elliott</t>
  </si>
  <si>
    <t>Whondan H'londak</t>
  </si>
  <si>
    <t>Kristopher Rapsburg</t>
  </si>
  <si>
    <t>Christina Lep'larnux</t>
  </si>
  <si>
    <t>Leoff Rafttusk</t>
  </si>
  <si>
    <t>Jonathan Holloway</t>
  </si>
  <si>
    <t>Urlys Featherchild</t>
  </si>
  <si>
    <t>Krangor Hagferax</t>
  </si>
  <si>
    <t>LG DM</t>
  </si>
  <si>
    <t>Alison Ravenshelm</t>
  </si>
  <si>
    <t>Katrina Tyrtom</t>
  </si>
  <si>
    <t>Jodin Vansu</t>
  </si>
  <si>
    <t>Robin Sylvan</t>
  </si>
  <si>
    <t>Gloria Estevon</t>
  </si>
  <si>
    <t>Parfe N'yrrillin</t>
  </si>
  <si>
    <t>Naroguille Founz</t>
  </si>
  <si>
    <t>Lonpug Moquez</t>
  </si>
  <si>
    <t>Jamez Longhand</t>
  </si>
  <si>
    <t>Giles Marrowhead</t>
  </si>
  <si>
    <t>Courtney Roy</t>
  </si>
  <si>
    <t>Sandra Mantlshine</t>
  </si>
  <si>
    <t>Nefhin Kuri</t>
  </si>
  <si>
    <t>Angus Taklupa</t>
  </si>
  <si>
    <t>Haerld McKnight</t>
  </si>
  <si>
    <t>Scr 4</t>
  </si>
  <si>
    <t>Timothy Mandrake</t>
  </si>
  <si>
    <t>Pachelbahl</t>
  </si>
  <si>
    <t>Haswin Loqin</t>
  </si>
  <si>
    <t>Gustaphus Dabhur</t>
  </si>
  <si>
    <t>Mikha Vostok</t>
  </si>
  <si>
    <t>Alexander Raistor</t>
  </si>
  <si>
    <t>Alith Stardream</t>
  </si>
  <si>
    <t>Jennifer Champagne</t>
  </si>
  <si>
    <t>C'ycorin E'll Vin</t>
  </si>
  <si>
    <t>Hansom Blackson</t>
  </si>
  <si>
    <t>Tireni Jaxton</t>
  </si>
  <si>
    <t>Nolin</t>
  </si>
  <si>
    <t>L'yorr Wnorus</t>
  </si>
  <si>
    <t>Gyl'anna T'rhaegaerl</t>
  </si>
  <si>
    <t>L'yoqquil Whorus</t>
  </si>
  <si>
    <t>Utorok Wavebinder</t>
  </si>
  <si>
    <t>Flamerule</t>
  </si>
  <si>
    <t>James Strefh</t>
  </si>
  <si>
    <t>Impiltura Wateress</t>
  </si>
  <si>
    <t>Scr 7</t>
  </si>
  <si>
    <t>Charles Beyrbauer</t>
  </si>
  <si>
    <t>Ravneg Miphsto</t>
  </si>
  <si>
    <t>Vysrarla Q'wagnstul</t>
  </si>
  <si>
    <t>Grumnorh'gh Demonhand</t>
  </si>
  <si>
    <t>Shly the Enchantress</t>
  </si>
  <si>
    <t>Neilly the maimed</t>
  </si>
  <si>
    <t>Tektal Platonicus</t>
  </si>
  <si>
    <t>Troy Jenkins</t>
  </si>
  <si>
    <t>Za'aroun Pl'sarghlas</t>
  </si>
  <si>
    <t>Tantoune Nyest</t>
  </si>
  <si>
    <t>Larwen DeGuilles</t>
  </si>
  <si>
    <t>Jocart Stanton</t>
  </si>
  <si>
    <t>Par'sys Oguillain</t>
  </si>
  <si>
    <t>Highmoon</t>
  </si>
  <si>
    <t>Darilla V'busanna</t>
  </si>
  <si>
    <t>LG EF</t>
  </si>
  <si>
    <t>Georgi Tabathin</t>
  </si>
  <si>
    <t>Rigel Regalliaon</t>
  </si>
  <si>
    <t>S'nvua Quest'ova</t>
  </si>
  <si>
    <t>Finton Mudd</t>
  </si>
  <si>
    <t>Renee Hicks</t>
  </si>
  <si>
    <t>C'ghuron Sopiturllath</t>
  </si>
  <si>
    <t>Ghangis Olaggon</t>
  </si>
  <si>
    <t>Angelina Nabojnik</t>
  </si>
  <si>
    <t>Xlyrion Afgotun</t>
  </si>
  <si>
    <t>Simjaxto</t>
  </si>
  <si>
    <t>Mystor W'ravesq</t>
  </si>
  <si>
    <t>Bhereau Mythrilmind</t>
  </si>
  <si>
    <t>Fitzban the Great</t>
  </si>
  <si>
    <t>Douglas Radcliffe</t>
  </si>
  <si>
    <t>Glarissa</t>
  </si>
  <si>
    <t>Sampras Agassai</t>
  </si>
  <si>
    <t>Antaris the Mystical</t>
  </si>
  <si>
    <t>Langord Sparklefingers</t>
  </si>
  <si>
    <t>T'murroux Jangrow</t>
  </si>
  <si>
    <t>Hunter Kreoff</t>
  </si>
  <si>
    <t>Princella Trakotux</t>
  </si>
  <si>
    <t>Yanis Bleucroft</t>
  </si>
  <si>
    <t>Sewquest Dovechild</t>
  </si>
  <si>
    <t>Plymta Boubour</t>
  </si>
  <si>
    <t>Zi'eon Stormchild</t>
  </si>
  <si>
    <t>Olsycion Newmanschif</t>
  </si>
  <si>
    <t>U'tou Jaggumma</t>
  </si>
  <si>
    <t>Klymhau Oilpart</t>
  </si>
  <si>
    <t>1st Circle (172)</t>
  </si>
  <si>
    <t>Neomage</t>
  </si>
  <si>
    <t>1st Circle</t>
  </si>
  <si>
    <t>Jasmeril Wynsdor</t>
  </si>
  <si>
    <t>Kronos of Suzail (4)</t>
  </si>
  <si>
    <t>Bitz Vargul</t>
  </si>
  <si>
    <t>Susan Richtie</t>
  </si>
  <si>
    <t>Camp of East</t>
  </si>
  <si>
    <t>Jason Yarghul</t>
  </si>
  <si>
    <t>Hargorth Venesenth</t>
  </si>
  <si>
    <t>Tabatha Bisquet</t>
  </si>
  <si>
    <t>Malar</t>
  </si>
  <si>
    <t>Keith Surtin</t>
  </si>
  <si>
    <t>http://www.candlekeep.com/library/articles/warwiztab3ed.htm</t>
  </si>
  <si>
    <t>http://www.candlekeep.com/library/articles/warwiz2.htm</t>
  </si>
  <si>
    <t xml:space="preserve">Eagle Peak </t>
  </si>
  <si>
    <t>SETTLEMENT</t>
  </si>
  <si>
    <t>POPULATION</t>
  </si>
  <si>
    <t>LORD</t>
  </si>
  <si>
    <t>Crown Tax</t>
  </si>
  <si>
    <t>Sales Tax</t>
  </si>
  <si>
    <t>City township village</t>
  </si>
  <si>
    <t xml:space="preserve"> </t>
  </si>
  <si>
    <t>Bogbrook Winery; "Utterdark"  (Kuhtan family)</t>
  </si>
  <si>
    <t xml:space="preserve">Zathchos </t>
  </si>
  <si>
    <t xml:space="preserve">Thursk Dembarron </t>
  </si>
  <si>
    <t xml:space="preserve">4 temple monk enclave; Chauntea, Tempus, Tymora, Umberlee </t>
  </si>
  <si>
    <t xml:space="preserve">Ongul </t>
  </si>
  <si>
    <t>Dragoneye Dealing Coster (RMH)   Bezenttar</t>
  </si>
  <si>
    <r>
      <t xml:space="preserve">Hurm Thiodor </t>
    </r>
    <r>
      <rPr>
        <sz val="8"/>
        <color indexed="10"/>
        <rFont val="Arial"/>
        <family val="2"/>
      </rPr>
      <t>Crn hrld</t>
    </r>
  </si>
  <si>
    <t xml:space="preserve">Potters; farming; </t>
  </si>
  <si>
    <t>Duties</t>
  </si>
  <si>
    <t>Alassra</t>
  </si>
  <si>
    <t>Alorae</t>
  </si>
  <si>
    <t>Alusair</t>
  </si>
  <si>
    <t>Amaelia</t>
  </si>
  <si>
    <t>Amarune</t>
  </si>
  <si>
    <t>Ambritha</t>
  </si>
  <si>
    <t>Ammuara</t>
  </si>
  <si>
    <t>Asla</t>
  </si>
  <si>
    <t>Baelarra</t>
  </si>
  <si>
    <t>Cymmarra</t>
  </si>
  <si>
    <t>Dalatha</t>
  </si>
  <si>
    <t>Daluthra</t>
  </si>
  <si>
    <t>Darantha</t>
  </si>
  <si>
    <t>Darlethra</t>
  </si>
  <si>
    <t>Deleira</t>
  </si>
  <si>
    <t>Drarra</t>
  </si>
  <si>
    <t>Embrurra</t>
  </si>
  <si>
    <t>Emsra</t>
  </si>
  <si>
    <t>Esheena</t>
  </si>
  <si>
    <t>Ethena</t>
  </si>
  <si>
    <t>Glathra</t>
  </si>
  <si>
    <t>Haelana</t>
  </si>
  <si>
    <t>Jalessa</t>
  </si>
  <si>
    <t>Laethla</t>
  </si>
  <si>
    <t>Lathdue</t>
  </si>
  <si>
    <t>Leece</t>
  </si>
  <si>
    <t>Lune</t>
  </si>
  <si>
    <t>Maeraedithe</t>
  </si>
  <si>
    <t>Maharantrae</t>
  </si>
  <si>
    <t>Maraedra</t>
  </si>
  <si>
    <t>Marantine</t>
  </si>
  <si>
    <t>Mrarie</t>
  </si>
  <si>
    <t>Mythandra</t>
  </si>
  <si>
    <t>Narmitra</t>
  </si>
  <si>
    <t>Narnra</t>
  </si>
  <si>
    <t>Nechelseiya</t>
  </si>
  <si>
    <t>Ospra</t>
  </si>
  <si>
    <t>Raedra</t>
  </si>
  <si>
    <t>Raereene</t>
  </si>
  <si>
    <t>Shalice</t>
  </si>
  <si>
    <t>Shamril</t>
  </si>
  <si>
    <t>Solatha</t>
  </si>
  <si>
    <t>Stornara</t>
  </si>
  <si>
    <t>Taerlene</t>
  </si>
  <si>
    <t>Talane</t>
  </si>
  <si>
    <t>Tamphara</t>
  </si>
  <si>
    <t>Targrael</t>
  </si>
  <si>
    <t>Thornleia</t>
  </si>
  <si>
    <t>Tress</t>
  </si>
  <si>
    <t>Varimbra</t>
  </si>
  <si>
    <t>Velyandra</t>
  </si>
  <si>
    <t>Yarauva</t>
  </si>
  <si>
    <t>Yelada</t>
  </si>
  <si>
    <t>Adarl</t>
  </si>
  <si>
    <t>Arbrace</t>
  </si>
  <si>
    <t>Arclath</t>
  </si>
  <si>
    <t>Asult</t>
  </si>
  <si>
    <t>Baerold</t>
  </si>
  <si>
    <t>Belnar</t>
  </si>
  <si>
    <t>Beltar</t>
  </si>
  <si>
    <t>Berent</t>
  </si>
  <si>
    <t>Blamreld</t>
  </si>
  <si>
    <t>Brabras</t>
  </si>
  <si>
    <t>Brandaeril</t>
  </si>
  <si>
    <t>Brorn</t>
  </si>
  <si>
    <t>Corlador</t>
  </si>
  <si>
    <t>Corleth</t>
  </si>
  <si>
    <t>Danthalus</t>
  </si>
  <si>
    <t>Darrake</t>
  </si>
  <si>
    <t>Delnor</t>
  </si>
  <si>
    <t>Elgorn</t>
  </si>
  <si>
    <t>Ellard</t>
  </si>
  <si>
    <t>Eskrel</t>
  </si>
  <si>
    <t>Essard</t>
  </si>
  <si>
    <t>Flamdar</t>
  </si>
  <si>
    <t>Foril</t>
  </si>
  <si>
    <t>Gaerond</t>
  </si>
  <si>
    <t>Halance</t>
  </si>
  <si>
    <t>Harmond</t>
  </si>
  <si>
    <t>Helharbras</t>
  </si>
  <si>
    <t>Ilstan</t>
  </si>
  <si>
    <t>Immaero</t>
  </si>
  <si>
    <t>Jassur</t>
  </si>
  <si>
    <t>Kathkote</t>
  </si>
  <si>
    <t>Kelgantor</t>
  </si>
  <si>
    <t>Markuld</t>
  </si>
  <si>
    <t>Mellast</t>
  </si>
  <si>
    <t>Neld</t>
  </si>
  <si>
    <t>Olgarth</t>
  </si>
  <si>
    <t>Orkrash</t>
  </si>
  <si>
    <t>Palaghard</t>
  </si>
  <si>
    <t>Raskival</t>
  </si>
  <si>
    <t>Rorsorn</t>
  </si>
  <si>
    <t>Rorstil</t>
  </si>
  <si>
    <t>Ruthgul</t>
  </si>
  <si>
    <t>Scamar</t>
  </si>
  <si>
    <t>Seszgar</t>
  </si>
  <si>
    <t>Shuldroon</t>
  </si>
  <si>
    <t>Skult</t>
  </si>
  <si>
    <t>Surgol</t>
  </si>
  <si>
    <t>Talonar</t>
  </si>
  <si>
    <t>Thol</t>
  </si>
  <si>
    <t>Tomarr</t>
  </si>
  <si>
    <t>Traevyn</t>
  </si>
  <si>
    <t>Unstrarr</t>
  </si>
  <si>
    <t>Welwyn</t>
  </si>
  <si>
    <t>Yarjack</t>
  </si>
  <si>
    <t>Female</t>
  </si>
  <si>
    <t>Male</t>
  </si>
  <si>
    <t>TYPE</t>
  </si>
  <si>
    <t>MARKET CLASS</t>
  </si>
  <si>
    <t>overall leader of large force</t>
  </si>
  <si>
    <t>only one has this rank at a time; sort of like Chairman of the Join Chiefs of Staff &amp; second only to King in military authority</t>
  </si>
  <si>
    <t>City \</t>
  </si>
  <si>
    <t>Township \</t>
  </si>
  <si>
    <t>Village</t>
  </si>
  <si>
    <t>0.9</t>
  </si>
  <si>
    <t>Crown Tax: .10</t>
  </si>
  <si>
    <t>Sales Tax: .15</t>
  </si>
  <si>
    <t>The Crown subsidizes all </t>
  </si>
  <si>
    <t>merchant construction costs</t>
  </si>
  <si>
    <t>0.6</t>
  </si>
  <si>
    <t>Bogbrook Winery; "Utterdark" (Kuhtan family)</t>
  </si>
  <si>
    <t>The Crown subsidizes all merchant construction costs</t>
  </si>
  <si>
    <t>0.7</t>
  </si>
  <si>
    <t>Crown Tax: .30</t>
  </si>
  <si>
    <t>Sales Tax: .35</t>
  </si>
  <si>
    <t>Mining is unlawful, except by the Crowns permit</t>
  </si>
  <si>
    <t>Crown Tax: .23</t>
  </si>
  <si>
    <t>Sales Tax: .25</t>
  </si>
  <si>
    <t>Thursk Dembarron</t>
  </si>
  <si>
    <t>0.5</t>
  </si>
  <si>
    <t>4 temple monk enclave; Chauntea, Tempus, Tymora, Umberlee</t>
  </si>
  <si>
    <t>These monks keep idle travellers away but are open to aiding people</t>
  </si>
  <si>
    <t>Elven goods are subject to an extra tax of 1.2</t>
  </si>
  <si>
    <t>Ongul</t>
  </si>
  <si>
    <t>0.85</t>
  </si>
  <si>
    <t>0.79</t>
  </si>
  <si>
    <t>Dragoneye Dealing Coster (RMH) Bezenttar</t>
  </si>
  <si>
    <t>Hurm Thiodor Crn hrld</t>
  </si>
  <si>
    <t>Crown Tax: .18</t>
  </si>
  <si>
    <t>Sales Tax: .21</t>
  </si>
  <si>
    <t>Crown Tax: .28</t>
  </si>
  <si>
    <t>Sales Tax: .26</t>
  </si>
  <si>
    <t>0.8</t>
  </si>
  <si>
    <t>Potters; farming;</t>
  </si>
  <si>
    <t>Roll 1d20</t>
  </si>
  <si>
    <t>Interaction</t>
  </si>
  <si>
    <t>What was the last thing you two argued about?</t>
  </si>
  <si>
    <t>What do you admire most about them?</t>
  </si>
  <si>
    <t>What embarrassing thing did you see them doing?</t>
  </si>
  <si>
    <t>What was the last compliment they gave you?</t>
  </si>
  <si>
    <t>What's the most disgusting thing you've seen them doing?</t>
  </si>
  <si>
    <t>What was the last thing you heartily agreed about?</t>
  </si>
  <si>
    <t>What did you hear them say in their sleep?</t>
  </si>
  <si>
    <t>What's the last meal you shared and both enjoyed?</t>
  </si>
  <si>
    <t>What do they smell like?</t>
  </si>
  <si>
    <t>Tell us about the last time they made you laugh</t>
  </si>
  <si>
    <t>What did they say that insulted you?</t>
  </si>
  <si>
    <t>What's the nickname you call them?</t>
  </si>
  <si>
    <t>What do you find unsettling about their appearance or behavior?</t>
  </si>
  <si>
    <t>How have you recently bonded?</t>
  </si>
  <si>
    <t>How would you improve their appearance to help them find a mate?</t>
  </si>
  <si>
    <t>What's the last piece of advice they gave you?</t>
  </si>
  <si>
    <t>What did you overhear them saying about another person?</t>
  </si>
  <si>
    <t>What's the last piece of advice you gave them?</t>
  </si>
  <si>
    <t>Why do trust them?</t>
  </si>
  <si>
    <t>What common interest do you share?</t>
  </si>
  <si>
    <t>Roll 1d100</t>
  </si>
  <si>
    <t>What we learn about you</t>
  </si>
  <si>
    <t>What is your least favorite weather?</t>
  </si>
  <si>
    <t>What is your fondest childhood memory?</t>
  </si>
  <si>
    <t>What is your favorite animal?</t>
  </si>
  <si>
    <t>If you could change one physical detail about yourself, what would it be?</t>
  </si>
  <si>
    <t>Someone asks you to describe your family. How do you answer?</t>
  </si>
  <si>
    <t>What is your least favorite food?</t>
  </si>
  <si>
    <t>What is your favorite food?</t>
  </si>
  <si>
    <t>What is your favorite weather?</t>
  </si>
  <si>
    <t>Do you have any phobias?</t>
  </si>
  <si>
    <t>What is your earliest clear memory?</t>
  </si>
  <si>
    <t>How opinionated are you? Do you like to share your opinions with others?</t>
  </si>
  <si>
    <t>What hobby or side interest is most important to you?</t>
  </si>
  <si>
    <t>What do you do for recreation?</t>
  </si>
  <si>
    <t>How do you feel about growing old?</t>
  </si>
  <si>
    <t>What sort of diet do you eat?</t>
  </si>
  <si>
    <t>What was your last nightmare?</t>
  </si>
  <si>
    <t>What was your last pleasant dream?</t>
  </si>
  <si>
    <t>Who do you most love in all the world?</t>
  </si>
  <si>
    <t>How would your parents describe you?</t>
  </si>
  <si>
    <t>What is your relationship with your family like?</t>
  </si>
  <si>
    <t>Who is your worst enemy?</t>
  </si>
  <si>
    <t>What is your favorite holiday?</t>
  </si>
  <si>
    <t>Where do you feel most safe?</t>
  </si>
  <si>
    <t>What is your most treasured possession?</t>
  </si>
  <si>
    <t>What do you wish you could do that you can't?</t>
  </si>
  <si>
    <t>Do you like to cook? If so, what's your best dish?</t>
  </si>
  <si>
    <t>One of your parents said something to you that you'll never forget. What are the words that will always echo in your ears?</t>
  </si>
  <si>
    <t>Do you have any allergies or sensitivities?</t>
  </si>
  <si>
    <t>What is the one major regret you have about your life so far?</t>
  </si>
  <si>
    <t>Have you ever been arrested?</t>
  </si>
  <si>
    <t>Is there anything that can get a smile out of you no matter how sad or upset you are?</t>
  </si>
  <si>
    <t>What is the best meal you ever had?</t>
  </si>
  <si>
    <t>What is your romantic history?</t>
  </si>
  <si>
    <t>What is the best romantic relationship you have ever had?</t>
  </si>
  <si>
    <t>What is the worst romantic relationship you have ever had?</t>
  </si>
  <si>
    <t>Would you ever cheat on a romantic partner?</t>
  </si>
  <si>
    <t>What's the luckiest thing that ever happened to you?</t>
  </si>
  <si>
    <t>What's the worst stroke of fortune you ever had?</t>
  </si>
  <si>
    <t>If you had nearly unlimited wealth, what would you spend it on?</t>
  </si>
  <si>
    <t>Who's the craziest person you have ever known, and what was your relationship with them?</t>
  </si>
  <si>
    <t>What is the worst tragedy you have ever witnessed?</t>
  </si>
  <si>
    <t>What are your parents’ names?</t>
  </si>
  <si>
    <t>How do you celebrate your victories and successes?</t>
  </si>
  <si>
    <t>What sort of legacy do you wish to leave behind?</t>
  </si>
  <si>
    <t>What is the most embarrassing thing that ever happened to you?</t>
  </si>
  <si>
    <t>What person has most influenced your development as an adult?</t>
  </si>
  <si>
    <t>In romantic relationships, what is your "type"?</t>
  </si>
  <si>
    <t>Did you have any heroes as a child?</t>
  </si>
  <si>
    <t>What is the biggest lie you have ever told?</t>
  </si>
  <si>
    <t>Who was your best friend during childhood?</t>
  </si>
  <si>
    <t>Describe your dream home.</t>
  </si>
  <si>
    <t>What is the most cruel and hurtful thing you have ever said? Do you regret it?</t>
  </si>
  <si>
    <t>Describe your childhood home.</t>
  </si>
  <si>
    <t>What do you believe to be your purpose in life?</t>
  </si>
  <si>
    <t>How do you view the opposite sex?</t>
  </si>
  <si>
    <t>What do you consider to be the most beautiful thing you've ever seen?</t>
  </si>
  <si>
    <t>What do you consider to be the ugliest thing you've ever seen?</t>
  </si>
  <si>
    <t>Do you feel responsible for anyone besides yourself?</t>
  </si>
  <si>
    <t>Do you have a sense of "personal space"? How do you express it?</t>
  </si>
  <si>
    <t>Have you ever had a mentor? Who was it?</t>
  </si>
  <si>
    <t>How do you feel about the concepts of fate and destiny?</t>
  </si>
  <si>
    <t>Is there anyone whose forgiveness you desire? What for?</t>
  </si>
  <si>
    <t>Where is your home town? What is it called?</t>
  </si>
  <si>
    <t>Briefly describe a defining moment in your childhood and how it influenced your life.</t>
  </si>
  <si>
    <t>Do you have any siblings? If so, describe them.</t>
  </si>
  <si>
    <t>Do you have a notorious or celebrated ancestor?</t>
  </si>
  <si>
    <t>How do you think others generally perceive you?</t>
  </si>
  <si>
    <t>What would you die for?</t>
  </si>
  <si>
    <t>What do you expect to get out of being an adventurer (satisfaction, glory, money, redemption, etc.)?</t>
  </si>
  <si>
    <t>Do you have any dreams or ambitions?</t>
  </si>
  <si>
    <t>Are you greedy or generous?</t>
  </si>
  <si>
    <t>What are your most annoying habits?</t>
  </si>
  <si>
    <t>Do you believe in the gods?</t>
  </si>
  <si>
    <t>What is the one task you would absolutely refuse to do?</t>
  </si>
  <si>
    <t>Who trained you in your class?</t>
  </si>
  <si>
    <t>Did you have any pets as a child?</t>
  </si>
  <si>
    <t>What mystery do you wish you knew the answer to?</t>
  </si>
  <si>
    <t>Do you have any biases for or against certain races?</t>
  </si>
  <si>
    <t>Do you ever want to “settle down” with a spouse, children, house, etc.?</t>
  </si>
  <si>
    <t>What are you the most insecure about?</t>
  </si>
  <si>
    <t>Is there any particular weapon, item, etc. that you long to find?</t>
  </si>
  <si>
    <t>What do you think is the true meaning of life?</t>
  </si>
  <si>
    <t>What is your favorite spell/ personal weapon/combat maneuver/skill/etc.?</t>
  </si>
  <si>
    <t>What is your greatest achievement?</t>
  </si>
  <si>
    <t>What type of creature in the world are you the most intrigued by?</t>
  </si>
  <si>
    <t>Describe how you feel about the party’s current situation/objective/etc.</t>
  </si>
  <si>
    <t>What memory do you want to forget the most?</t>
  </si>
  <si>
    <t>What unusual talents do you possess?</t>
  </si>
  <si>
    <t>What is your guiltiest pleasure?</t>
  </si>
  <si>
    <t>How did you learn the languages that you speak?</t>
  </si>
  <si>
    <t>What is most important to you: health, wealth, or happiness?</t>
  </si>
  <si>
    <t>What advice would you give to a younger version of yourself?</t>
  </si>
  <si>
    <t>Do you believe in the existence of soul mates and/or true love?</t>
  </si>
  <si>
    <t>How do you deal with stress?</t>
  </si>
  <si>
    <t>Did you have a childhood nickname?</t>
  </si>
  <si>
    <t>Do you have someone you wish to impress? Why?</t>
  </si>
  <si>
    <t>Do you have children of your own? If so, what are they like?</t>
  </si>
  <si>
    <t>Do you have any catchphrases?</t>
  </si>
  <si>
    <t>Do you have any vices?</t>
  </si>
  <si>
    <t>How do you not fit your culture’s or race’s stereotype?</t>
  </si>
  <si>
    <t>d</t>
  </si>
  <si>
    <t>Aglathna</t>
  </si>
  <si>
    <t>Alaeya</t>
  </si>
  <si>
    <t>Alanstel</t>
  </si>
  <si>
    <t>Alathea</t>
  </si>
  <si>
    <t>Alazgrelle</t>
  </si>
  <si>
    <t>Andurlatha</t>
  </si>
  <si>
    <t>Anglorae</t>
  </si>
  <si>
    <t>Anthra</t>
  </si>
  <si>
    <t>Asdragarna</t>
  </si>
  <si>
    <t>Aumbrelle</t>
  </si>
  <si>
    <t>Beldrara</t>
  </si>
  <si>
    <t>Chaiass</t>
  </si>
  <si>
    <t>Dalutheera</t>
  </si>
  <si>
    <t>Embrelle</t>
  </si>
  <si>
    <t>Harellae</t>
  </si>
  <si>
    <t>Irenaera</t>
  </si>
  <si>
    <t>Jalessandra</t>
  </si>
  <si>
    <t>Janszeene</t>
  </si>
  <si>
    <t>Jeleskra</t>
  </si>
  <si>
    <t>Lysandlithe</t>
  </si>
  <si>
    <t>Malaerla</t>
  </si>
  <si>
    <t>Murleeme</t>
  </si>
  <si>
    <t>Mythandrarra</t>
  </si>
  <si>
    <t>Noenel</t>
  </si>
  <si>
    <t>Oloebrae</t>
  </si>
  <si>
    <t>Pheirauze</t>
  </si>
  <si>
    <t>Ravandralla</t>
  </si>
  <si>
    <t>Relavarra</t>
  </si>
  <si>
    <t>Resildra</t>
  </si>
  <si>
    <t>Ruvelle</t>
  </si>
  <si>
    <t>Sammereza</t>
  </si>
  <si>
    <t>Shayna</t>
  </si>
  <si>
    <t>Taerenthe</t>
  </si>
  <si>
    <t>Tamglaera</t>
  </si>
  <si>
    <t>Ulandra</t>
  </si>
  <si>
    <t>Vaerestra</t>
  </si>
  <si>
    <t>Yaraela</t>
  </si>
  <si>
    <t>Zarova</t>
  </si>
  <si>
    <t>Female Noble</t>
  </si>
  <si>
    <t>Male Noble</t>
  </si>
  <si>
    <t>Arkanon</t>
  </si>
  <si>
    <t>Arkeld</t>
  </si>
  <si>
    <t>Belarkus</t>
  </si>
  <si>
    <t>Belophar</t>
  </si>
  <si>
    <t>Broryn</t>
  </si>
  <si>
    <t>Corgrast</t>
  </si>
  <si>
    <t>Crimmon</t>
  </si>
  <si>
    <t>Delasko</t>
  </si>
  <si>
    <t>Deremoz</t>
  </si>
  <si>
    <t>Elbert</t>
  </si>
  <si>
    <t>Ergluth</t>
  </si>
  <si>
    <t>Eskult</t>
  </si>
  <si>
    <t>Haedro</t>
  </si>
  <si>
    <t>Helaerd</t>
  </si>
  <si>
    <t>Hornsar</t>
  </si>
  <si>
    <t>Hundarr</t>
  </si>
  <si>
    <t>Irlake</t>
  </si>
  <si>
    <t>Irlin</t>
  </si>
  <si>
    <t>Jeskren</t>
  </si>
  <si>
    <t>Kaerond</t>
  </si>
  <si>
    <t>Kreskur</t>
  </si>
  <si>
    <t>Landrar</t>
  </si>
  <si>
    <t>Lathlance</t>
  </si>
  <si>
    <t>Lhalaundrovam</t>
  </si>
  <si>
    <t>Lyrannus</t>
  </si>
  <si>
    <t>Maerclorn</t>
  </si>
  <si>
    <t>Marlin</t>
  </si>
  <si>
    <t>Melder</t>
  </si>
  <si>
    <t>Mulcaster</t>
  </si>
  <si>
    <t>Naeryk</t>
  </si>
  <si>
    <t>Obraerl</t>
  </si>
  <si>
    <t>Rauligus</t>
  </si>
  <si>
    <t>Relgadrar</t>
  </si>
  <si>
    <t>Rordurn</t>
  </si>
  <si>
    <t>Rorell</t>
  </si>
  <si>
    <t>Rothgar</t>
  </si>
  <si>
    <t>Sacrast</t>
  </si>
  <si>
    <t>Sorlthavarn</t>
  </si>
  <si>
    <t>Tantram</t>
  </si>
  <si>
    <t>Tarius</t>
  </si>
  <si>
    <t>Alsevir</t>
  </si>
  <si>
    <t>Ambershields</t>
  </si>
  <si>
    <t>Ambrival</t>
  </si>
  <si>
    <t>Andolphyn</t>
  </si>
  <si>
    <t>Arcantlet</t>
  </si>
  <si>
    <t>Armeld</t>
  </si>
  <si>
    <t>Bleyshar</t>
  </si>
  <si>
    <t>Braelbane</t>
  </si>
  <si>
    <t>Briarbroke</t>
  </si>
  <si>
    <t>Bryarn</t>
  </si>
  <si>
    <t>Buckfast</t>
  </si>
  <si>
    <t>Crakehall</t>
  </si>
  <si>
    <t>Crownrood</t>
  </si>
  <si>
    <t>Darendall</t>
  </si>
  <si>
    <t>Dathcloake</t>
  </si>
  <si>
    <t>Dawntard</t>
  </si>
  <si>
    <t>Delcastle</t>
  </si>
  <si>
    <t>Domrith</t>
  </si>
  <si>
    <t>Downshield</t>
  </si>
  <si>
    <t>Dragonwood</t>
  </si>
  <si>
    <t>Eveningspire</t>
  </si>
  <si>
    <t>Foulweather</t>
  </si>
  <si>
    <t>Gyrlond</t>
  </si>
  <si>
    <t>Haldoneir</t>
  </si>
  <si>
    <t>Halvaeron</t>
  </si>
  <si>
    <t>Handragon</t>
  </si>
  <si>
    <t>Hardivyper</t>
  </si>
  <si>
    <t>Harefollow</t>
  </si>
  <si>
    <t>Hargryphon</t>
  </si>
  <si>
    <t>Harkuldragon</t>
  </si>
  <si>
    <t>Hartalan</t>
  </si>
  <si>
    <t>Hartel</t>
  </si>
  <si>
    <t>Harvendur</t>
  </si>
  <si>
    <t>Helderstone</t>
  </si>
  <si>
    <t>Helstallion</t>
  </si>
  <si>
    <t>Hethemer</t>
  </si>
  <si>
    <t>Horncastle</t>
  </si>
  <si>
    <t>Huntinglance</t>
  </si>
  <si>
    <t>Indulshields</t>
  </si>
  <si>
    <t>Ironcastle</t>
  </si>
  <si>
    <t>Keskrel</t>
  </si>
  <si>
    <t>Lornsar</t>
  </si>
  <si>
    <t>Loround</t>
  </si>
  <si>
    <t>Mantlepard</t>
  </si>
  <si>
    <t>Melvir</t>
  </si>
  <si>
    <t>Mountwyrm</t>
  </si>
  <si>
    <t>Ormblade</t>
  </si>
  <si>
    <t>Ravenhill</t>
  </si>
  <si>
    <t>Ridinghound</t>
  </si>
  <si>
    <t>Sorndrake</t>
  </si>
  <si>
    <t>Sornstern</t>
  </si>
  <si>
    <t>Staghunt</t>
  </si>
  <si>
    <t>Steelaens</t>
  </si>
  <si>
    <t>Stonecastle</t>
  </si>
  <si>
    <t>Stonestable</t>
  </si>
  <si>
    <t>Stonetower</t>
  </si>
  <si>
    <t>Stormserpent</t>
  </si>
  <si>
    <t>Sundever</t>
  </si>
  <si>
    <t>Tantorn</t>
  </si>
  <si>
    <t>Thalthallow</t>
  </si>
  <si>
    <t>Thawnfaer</t>
  </si>
  <si>
    <t>Thornstag</t>
  </si>
  <si>
    <t>Torchmore</t>
  </si>
  <si>
    <t>Torith</t>
  </si>
  <si>
    <t>Windstag</t>
  </si>
  <si>
    <t>Wintercoats</t>
  </si>
  <si>
    <t>Barelder</t>
  </si>
  <si>
    <t>Gauntweather</t>
  </si>
  <si>
    <t>Haelbroke</t>
  </si>
  <si>
    <t>Kallowsar</t>
  </si>
  <si>
    <t>Mallowbridge</t>
  </si>
  <si>
    <t>Oldbridle</t>
  </si>
  <si>
    <t>Sarlival</t>
  </si>
  <si>
    <t>Vaeren</t>
  </si>
  <si>
    <t>Warblade</t>
  </si>
  <si>
    <t>Noble Family</t>
  </si>
  <si>
    <t>Dawningdown</t>
  </si>
  <si>
    <t>#</t>
  </si>
  <si>
    <t>Fighter Level</t>
  </si>
  <si>
    <t>Feature</t>
  </si>
  <si>
    <t>Mechanical Superiority, Tinker's Proficiency</t>
  </si>
  <si>
    <t>Weapon Modification</t>
  </si>
  <si>
    <t>Gear Modification</t>
  </si>
  <si>
    <t>Jumpstart Gadget</t>
  </si>
  <si>
    <t>Mechanical Enhancements</t>
  </si>
  <si>
    <t>The Random Loot Generator</t>
  </si>
  <si>
    <t>usless items</t>
  </si>
  <si>
    <t>full range</t>
  </si>
  <si>
    <t>weapon exclusive</t>
  </si>
  <si>
    <t>armour exclusive</t>
  </si>
  <si>
    <t>mundane</t>
  </si>
  <si>
    <t>full</t>
  </si>
  <si>
    <t>amour</t>
  </si>
  <si>
    <t>weapons</t>
  </si>
  <si>
    <t>usless spells</t>
  </si>
  <si>
    <t>all spells</t>
  </si>
  <si>
    <t>comabt spells</t>
  </si>
  <si>
    <t>sentience</t>
  </si>
  <si>
    <t>elements</t>
  </si>
  <si>
    <t>resistance</t>
  </si>
  <si>
    <t>trove</t>
  </si>
  <si>
    <t>Gear</t>
  </si>
  <si>
    <t>shops</t>
  </si>
  <si>
    <t>race</t>
  </si>
  <si>
    <t>class</t>
  </si>
  <si>
    <t>trade tools</t>
  </si>
  <si>
    <t>leather +1 (8)</t>
  </si>
  <si>
    <t>dagger</t>
  </si>
  <si>
    <t>light</t>
  </si>
  <si>
    <t>hit 1</t>
  </si>
  <si>
    <t>law good</t>
  </si>
  <si>
    <t>acid</t>
  </si>
  <si>
    <t>none</t>
  </si>
  <si>
    <t>leather</t>
  </si>
  <si>
    <t>small goods</t>
  </si>
  <si>
    <t>human</t>
  </si>
  <si>
    <t>fighter</t>
  </si>
  <si>
    <t>water skin</t>
  </si>
  <si>
    <t>studded +2 (8)</t>
  </si>
  <si>
    <t>club</t>
  </si>
  <si>
    <t>clamour</t>
  </si>
  <si>
    <t>dmg 1</t>
  </si>
  <si>
    <t>good</t>
  </si>
  <si>
    <t>cold</t>
  </si>
  <si>
    <t>bludgeoning</t>
  </si>
  <si>
    <t>studded</t>
  </si>
  <si>
    <t>cleric</t>
  </si>
  <si>
    <t>Poor districts</t>
  </si>
  <si>
    <t>common districts</t>
  </si>
  <si>
    <t>Rich districts</t>
  </si>
  <si>
    <t>lantern</t>
  </si>
  <si>
    <t>robes</t>
  </si>
  <si>
    <t>javelin</t>
  </si>
  <si>
    <t>glamour</t>
  </si>
  <si>
    <t>hit 1 dmg 1</t>
  </si>
  <si>
    <t>neutral</t>
  </si>
  <si>
    <t>fire</t>
  </si>
  <si>
    <t>paladin</t>
  </si>
  <si>
    <t>gear range</t>
  </si>
  <si>
    <t>Plates</t>
  </si>
  <si>
    <t>hide +2 (2)</t>
  </si>
  <si>
    <t>mace</t>
  </si>
  <si>
    <t>fragrance</t>
  </si>
  <si>
    <t>1d4 elemental</t>
  </si>
  <si>
    <t>evil</t>
  </si>
  <si>
    <t>force</t>
  </si>
  <si>
    <t>hide</t>
  </si>
  <si>
    <t>warlock</t>
  </si>
  <si>
    <t>Magic loot</t>
  </si>
  <si>
    <t>metal bar</t>
  </si>
  <si>
    <t>chainshirt +3 (2)</t>
  </si>
  <si>
    <t>quarterstaff</t>
  </si>
  <si>
    <t>purify</t>
  </si>
  <si>
    <t>1d6 elemental</t>
  </si>
  <si>
    <t>chaotic</t>
  </si>
  <si>
    <t>lighting</t>
  </si>
  <si>
    <t>chainshirt</t>
  </si>
  <si>
    <t>leather works</t>
  </si>
  <si>
    <t>ruffian</t>
  </si>
  <si>
    <t>orb</t>
  </si>
  <si>
    <t>scalemail +4 (2)</t>
  </si>
  <si>
    <t>katana</t>
  </si>
  <si>
    <t>cooking</t>
  </si>
  <si>
    <t>1d4 drain</t>
  </si>
  <si>
    <t>psychotic</t>
  </si>
  <si>
    <t>necrotic</t>
  </si>
  <si>
    <t>lightning</t>
  </si>
  <si>
    <t>scalemail</t>
  </si>
  <si>
    <t>elf</t>
  </si>
  <si>
    <t>scrapper</t>
  </si>
  <si>
    <t>shoppe</t>
  </si>
  <si>
    <t>pot</t>
  </si>
  <si>
    <t>breastplate +4 (2)</t>
  </si>
  <si>
    <t>c-bow</t>
  </si>
  <si>
    <t>cutting</t>
  </si>
  <si>
    <t>extra attack</t>
  </si>
  <si>
    <t>stupid</t>
  </si>
  <si>
    <t>poison</t>
  </si>
  <si>
    <t>breastplate</t>
  </si>
  <si>
    <t>dwarf</t>
  </si>
  <si>
    <t>mage</t>
  </si>
  <si>
    <t>Item quality</t>
  </si>
  <si>
    <t>statue</t>
  </si>
  <si>
    <t>halfplate +5 (2)</t>
  </si>
  <si>
    <t>shortbow</t>
  </si>
  <si>
    <t>replenish</t>
  </si>
  <si>
    <t>debilitate</t>
  </si>
  <si>
    <t>erotic</t>
  </si>
  <si>
    <t>radiant</t>
  </si>
  <si>
    <t>pericing</t>
  </si>
  <si>
    <t>halfplate</t>
  </si>
  <si>
    <t>gnome</t>
  </si>
  <si>
    <t>ranger</t>
  </si>
  <si>
    <t>Times lootable</t>
  </si>
  <si>
    <t>sentient trait</t>
  </si>
  <si>
    <t>elemental type</t>
  </si>
  <si>
    <t>resistance type</t>
  </si>
  <si>
    <t>deck of cards</t>
  </si>
  <si>
    <t>chainmail +6 (0)</t>
  </si>
  <si>
    <t>battle axe</t>
  </si>
  <si>
    <t>rubber</t>
  </si>
  <si>
    <t>amour rend</t>
  </si>
  <si>
    <t>paranoid</t>
  </si>
  <si>
    <t>thunder</t>
  </si>
  <si>
    <t>chainmail</t>
  </si>
  <si>
    <t>food shop</t>
  </si>
  <si>
    <t>halfling</t>
  </si>
  <si>
    <t>rouge</t>
  </si>
  <si>
    <t>lockbox</t>
  </si>
  <si>
    <t>splint +7 (0)</t>
  </si>
  <si>
    <t>greataxe</t>
  </si>
  <si>
    <t>vanishing</t>
  </si>
  <si>
    <t>vorpal</t>
  </si>
  <si>
    <t>boring</t>
  </si>
  <si>
    <t>psychic</t>
  </si>
  <si>
    <t>splint</t>
  </si>
  <si>
    <t>teifling</t>
  </si>
  <si>
    <t>monk</t>
  </si>
  <si>
    <t>Royal districts</t>
  </si>
  <si>
    <t>Shop district</t>
  </si>
  <si>
    <t>holy symbol</t>
  </si>
  <si>
    <t>fullplate +8 (0)</t>
  </si>
  <si>
    <t>longsword</t>
  </si>
  <si>
    <t>shattering</t>
  </si>
  <si>
    <t>ac 1</t>
  </si>
  <si>
    <t>fullplate</t>
  </si>
  <si>
    <t>dragon born</t>
  </si>
  <si>
    <t>Type</t>
  </si>
  <si>
    <t>second spells opt.</t>
  </si>
  <si>
    <t>utility knife</t>
  </si>
  <si>
    <r>
      <t xml:space="preserve">shield </t>
    </r>
    <r>
      <rPr>
        <b/>
        <sz val="11"/>
        <color theme="1"/>
        <rFont val="Lato"/>
        <family val="1"/>
        <scheme val="minor"/>
      </rPr>
      <t>+2</t>
    </r>
  </si>
  <si>
    <t>greatsword</t>
  </si>
  <si>
    <t>ac 2</t>
  </si>
  <si>
    <t>slashing</t>
  </si>
  <si>
    <t>shield</t>
  </si>
  <si>
    <t>kenku</t>
  </si>
  <si>
    <t>trade goods</t>
  </si>
  <si>
    <t>rock</t>
  </si>
  <si>
    <t>ring</t>
  </si>
  <si>
    <t>maul</t>
  </si>
  <si>
    <t>0 damage</t>
  </si>
  <si>
    <t>thorne</t>
  </si>
  <si>
    <t>smith</t>
  </si>
  <si>
    <t>kobold</t>
  </si>
  <si>
    <t>item quality</t>
  </si>
  <si>
    <t>Other</t>
  </si>
  <si>
    <t>utensils</t>
  </si>
  <si>
    <t>amulet</t>
  </si>
  <si>
    <t>morningstar</t>
  </si>
  <si>
    <t>cleaning</t>
  </si>
  <si>
    <t>stealth</t>
  </si>
  <si>
    <t>blinded</t>
  </si>
  <si>
    <t>orc</t>
  </si>
  <si>
    <t>bank</t>
  </si>
  <si>
    <t>sentience trait</t>
  </si>
  <si>
    <t>bag</t>
  </si>
  <si>
    <t>gloves</t>
  </si>
  <si>
    <t>rapier</t>
  </si>
  <si>
    <t>locking</t>
  </si>
  <si>
    <t>wings</t>
  </si>
  <si>
    <t>charmed</t>
  </si>
  <si>
    <t>warforged</t>
  </si>
  <si>
    <t>scroll</t>
  </si>
  <si>
    <t>cloak</t>
  </si>
  <si>
    <t>halberd</t>
  </si>
  <si>
    <t>resting</t>
  </si>
  <si>
    <t>weightless</t>
  </si>
  <si>
    <t>deafened</t>
  </si>
  <si>
    <t>yuan-Ti</t>
  </si>
  <si>
    <t>circlet</t>
  </si>
  <si>
    <t>boots</t>
  </si>
  <si>
    <t>shortsword</t>
  </si>
  <si>
    <t>speed</t>
  </si>
  <si>
    <t>size class</t>
  </si>
  <si>
    <t>exhaustion</t>
  </si>
  <si>
    <t>catfolk</t>
  </si>
  <si>
    <t>1-30 poor/reversed</t>
  </si>
  <si>
    <t>instrument</t>
  </si>
  <si>
    <t>common clothes</t>
  </si>
  <si>
    <t>warhammer</t>
  </si>
  <si>
    <t>mirror img</t>
  </si>
  <si>
    <t>1d4 regen</t>
  </si>
  <si>
    <t>frightnened</t>
  </si>
  <si>
    <t>half orc</t>
  </si>
  <si>
    <t>31-70 good</t>
  </si>
  <si>
    <t>Special</t>
  </si>
  <si>
    <t>scribe tools</t>
  </si>
  <si>
    <t>longbow</t>
  </si>
  <si>
    <t>minor cantrip</t>
  </si>
  <si>
    <t>combat adv</t>
  </si>
  <si>
    <t>grappled</t>
  </si>
  <si>
    <t>stables</t>
  </si>
  <si>
    <t>drow</t>
  </si>
  <si>
    <t>71-99 superior/+1</t>
  </si>
  <si>
    <t>Trove item</t>
  </si>
  <si>
    <t>furniture</t>
  </si>
  <si>
    <t>wand</t>
  </si>
  <si>
    <t>illusion</t>
  </si>
  <si>
    <t>incapacitated</t>
  </si>
  <si>
    <t>magic emporia</t>
  </si>
  <si>
    <t>half elf</t>
  </si>
  <si>
    <t>100 epic/+2</t>
  </si>
  <si>
    <t>Trove number</t>
  </si>
  <si>
    <t>polymorph inanimate object</t>
  </si>
  <si>
    <t>invisible</t>
  </si>
  <si>
    <t>animal friendship</t>
  </si>
  <si>
    <t>paralysed</t>
  </si>
  <si>
    <t>The NPC Generator</t>
  </si>
  <si>
    <t>detect magic</t>
  </si>
  <si>
    <t>petrified</t>
  </si>
  <si>
    <t>healing word</t>
  </si>
  <si>
    <t>poisoned</t>
  </si>
  <si>
    <t>Race</t>
  </si>
  <si>
    <t>Personality trait</t>
  </si>
  <si>
    <t>quaterstaff</t>
  </si>
  <si>
    <t>mending</t>
  </si>
  <si>
    <t>prone</t>
  </si>
  <si>
    <t>Armour Class</t>
  </si>
  <si>
    <t>stunned</t>
  </si>
  <si>
    <t>Hit points</t>
  </si>
  <si>
    <t>surprised</t>
  </si>
  <si>
    <t>Speed</t>
  </si>
  <si>
    <t>short bow</t>
  </si>
  <si>
    <t>unconscious</t>
  </si>
  <si>
    <t>STR</t>
  </si>
  <si>
    <t>DEX</t>
  </si>
  <si>
    <t>CON</t>
  </si>
  <si>
    <t>INT</t>
  </si>
  <si>
    <t>WIS</t>
  </si>
  <si>
    <t>CHA</t>
  </si>
  <si>
    <t>great axe</t>
  </si>
  <si>
    <t>Armour</t>
  </si>
  <si>
    <t>Weapon</t>
  </si>
  <si>
    <t>thron</t>
  </si>
  <si>
    <t>Other loot</t>
  </si>
  <si>
    <t>Quality</t>
  </si>
  <si>
    <t>morning star</t>
  </si>
  <si>
    <t>fear</t>
  </si>
  <si>
    <t>bless</t>
  </si>
  <si>
    <t>polymorph &lt;CR 8</t>
  </si>
  <si>
    <t>identify</t>
  </si>
  <si>
    <t>m</t>
  </si>
  <si>
    <t>w</t>
  </si>
  <si>
    <t xml:space="preserve"> c</t>
  </si>
  <si>
    <t>1a</t>
  </si>
  <si>
    <t xml:space="preserve"> b</t>
  </si>
  <si>
    <t>a</t>
  </si>
  <si>
    <t>W</t>
  </si>
  <si>
    <t>M</t>
  </si>
  <si>
    <t>N</t>
  </si>
  <si>
    <t>TL</t>
  </si>
  <si>
    <t>B</t>
  </si>
  <si>
    <t>H</t>
  </si>
  <si>
    <t>TR</t>
  </si>
  <si>
    <t>F</t>
  </si>
  <si>
    <t>BR</t>
  </si>
  <si>
    <t>BL</t>
  </si>
  <si>
    <t>C</t>
  </si>
  <si>
    <t>R</t>
  </si>
  <si>
    <t>D</t>
  </si>
  <si>
    <t>L</t>
  </si>
  <si>
    <t>V</t>
  </si>
  <si>
    <t xml:space="preserve">Commands </t>
  </si>
  <si>
    <t>Fill</t>
  </si>
  <si>
    <t>T</t>
  </si>
  <si>
    <t>U</t>
  </si>
  <si>
    <t>Top</t>
  </si>
  <si>
    <t>Bottom</t>
  </si>
  <si>
    <t>RT</t>
  </si>
  <si>
    <t>RB</t>
  </si>
  <si>
    <t>S</t>
  </si>
  <si>
    <t>Left</t>
  </si>
  <si>
    <t>$</t>
  </si>
  <si>
    <t>Right</t>
  </si>
  <si>
    <t>G</t>
  </si>
  <si>
    <t>Top &amp; Left</t>
  </si>
  <si>
    <t>LT</t>
  </si>
  <si>
    <t>Top &amp; Right</t>
  </si>
  <si>
    <t>Bottom &amp; Right</t>
  </si>
  <si>
    <t>TB</t>
  </si>
  <si>
    <t>Bottom &amp; Left</t>
  </si>
  <si>
    <t>LB</t>
  </si>
  <si>
    <t>Vertical lines</t>
  </si>
  <si>
    <t>LR</t>
  </si>
  <si>
    <t>RL</t>
  </si>
  <si>
    <t>horizontal lines</t>
  </si>
  <si>
    <t>BT</t>
  </si>
  <si>
    <t>n - shaped box</t>
  </si>
  <si>
    <t>C shaped box</t>
  </si>
  <si>
    <t>[</t>
  </si>
  <si>
    <t>U shapped box</t>
  </si>
  <si>
    <t>D-ish shaped box</t>
  </si>
  <si>
    <t>]</t>
  </si>
  <si>
    <t>^</t>
  </si>
  <si>
    <t xml:space="preserve">Square </t>
  </si>
  <si>
    <t xml:space="preserve">Demo video here: </t>
  </si>
  <si>
    <t>https://www.youtube.com/watch?v=X0P2uDtjLQc</t>
  </si>
  <si>
    <t>By Goblin's Henchman:</t>
  </si>
  <si>
    <t>https://goblinshenchman.wordpress.com/</t>
  </si>
  <si>
    <t xml:space="preserve">Lorc &amp; Delapouite </t>
  </si>
  <si>
    <t>leather armor</t>
  </si>
  <si>
    <t>studded leather armor</t>
  </si>
  <si>
    <t>hide armor</t>
  </si>
  <si>
    <t>chain shirt</t>
  </si>
  <si>
    <t>scale mail</t>
  </si>
  <si>
    <t>half-plate</t>
  </si>
  <si>
    <r>
      <t>`</t>
    </r>
    <r>
      <rPr>
        <sz val="11"/>
        <color theme="6" tint="0.79998168889431442"/>
        <rFont val="rpg-awesome"/>
      </rPr>
      <t></t>
    </r>
    <r>
      <rPr>
        <sz val="11"/>
        <color theme="6" tint="0.79998168889431442"/>
        <rFont val="Lato"/>
        <family val="2"/>
        <scheme val="minor"/>
      </rPr>
      <t>resistance</t>
    </r>
  </si>
  <si>
    <r>
      <rPr>
        <sz val="11"/>
        <color theme="6" tint="0.79998168889431442"/>
        <rFont val="rpg-awesome"/>
      </rPr>
      <t></t>
    </r>
    <r>
      <rPr>
        <sz val="11"/>
        <color theme="6" tint="0.79998168889431442"/>
        <rFont val="Webdings"/>
        <family val="1"/>
        <charset val="2"/>
      </rPr>
      <t>g</t>
    </r>
    <r>
      <rPr>
        <sz val="11"/>
        <color theme="6" tint="0.79998168889431442"/>
        <rFont val="Lato"/>
        <family val="2"/>
        <scheme val="minor"/>
      </rPr>
      <t>trove</t>
    </r>
  </si>
  <si>
    <r>
      <rPr>
        <sz val="11"/>
        <color theme="6" tint="0.79998168889431442"/>
        <rFont val="Wingdings"/>
        <charset val="2"/>
      </rPr>
      <t>t</t>
    </r>
    <r>
      <rPr>
        <sz val="11"/>
        <color theme="6" tint="0.79998168889431442"/>
        <rFont val="Calibri"/>
        <family val="2"/>
      </rPr>
      <t xml:space="preserve">    </t>
    </r>
    <r>
      <rPr>
        <sz val="11"/>
        <color theme="6" tint="0.79998168889431442"/>
        <rFont val="Lato"/>
        <family val="2"/>
        <scheme val="minor"/>
      </rPr>
      <t>Gear</t>
    </r>
  </si>
  <si>
    <t>For personal non-commercial use</t>
  </si>
  <si>
    <t xml:space="preserve">  Website:</t>
  </si>
  <si>
    <t>g</t>
  </si>
  <si>
    <t>t</t>
  </si>
  <si>
    <t>NPC Note</t>
  </si>
  <si>
    <t>Item Note</t>
  </si>
  <si>
    <t>Stat Block</t>
  </si>
  <si>
    <t>Monster note</t>
  </si>
  <si>
    <t xml:space="preserve">  Type/name</t>
  </si>
  <si>
    <t>Location</t>
  </si>
  <si>
    <t xml:space="preserve">  Optional space for DM to insert their notes into pop-up comment boxes</t>
  </si>
  <si>
    <t>Notes</t>
  </si>
  <si>
    <t>d100</t>
  </si>
  <si>
    <t>low range</t>
  </si>
  <si>
    <t>quality</t>
  </si>
  <si>
    <t>1-30</t>
  </si>
  <si>
    <t>reversed</t>
  </si>
  <si>
    <t>31-70</t>
  </si>
  <si>
    <t>71-99</t>
  </si>
  <si>
    <t>superior</t>
  </si>
  <si>
    <t>epic</t>
  </si>
  <si>
    <t>Icons</t>
  </si>
  <si>
    <t>Random Noble Names</t>
  </si>
  <si>
    <t>Random Names</t>
  </si>
  <si>
    <t>1. Assault/Raid</t>
  </si>
  <si>
    <t>1. Fortress</t>
  </si>
  <si>
    <t>2. Town</t>
  </si>
  <si>
    <t>3. Ship</t>
  </si>
  <si>
    <t>4. Ambush</t>
  </si>
  <si>
    <t>5. Skirmish</t>
  </si>
  <si>
    <t>1. Extraction (Voluntary/Involuntary)</t>
  </si>
  <si>
    <t>1. Jail</t>
  </si>
  <si>
    <t>2. Prison camp</t>
  </si>
  <si>
    <t>3. Private prison</t>
  </si>
  <si>
    <t>4. Prisoner of war</t>
  </si>
  <si>
    <t>5. From employment (corporation/crown)</t>
  </si>
  <si>
    <t>6. Natural Disaster</t>
  </si>
  <si>
    <t>7. From hostile forces</t>
  </si>
  <si>
    <t>From</t>
  </si>
  <si>
    <t>1. Tower</t>
  </si>
  <si>
    <t>2. Dungeon</t>
  </si>
  <si>
    <t>3. Jail</t>
  </si>
  <si>
    <t>4. Camp</t>
  </si>
  <si>
    <t>5. Building</t>
  </si>
  <si>
    <t>1.  </t>
  </si>
  <si>
    <t>1. Theft</t>
  </si>
  <si>
    <t>1. Caravan</t>
  </si>
  <si>
    <t>2. Individual</t>
  </si>
  <si>
    <t>3. Building</t>
  </si>
  <si>
    <t>4. Hijacking</t>
  </si>
  <si>
    <t>5. Kidnapping</t>
  </si>
  <si>
    <t>6. Piracy (Tranfer of goods between vehicles)</t>
  </si>
  <si>
    <t>7. Salvage</t>
  </si>
  <si>
    <t>1. Bounty</t>
  </si>
  <si>
    <t>1. Monster</t>
  </si>
  <si>
    <t>3. Posse</t>
  </si>
  <si>
    <t>4. Pest-Control</t>
  </si>
  <si>
    <t>5. Hunting (Safari-style)</t>
  </si>
  <si>
    <t>6. Hunting (Commercial gain)</t>
  </si>
  <si>
    <t>1. Any of the above may be Dead or Alive</t>
  </si>
  <si>
    <t>1. Escort</t>
  </si>
  <si>
    <t>2. Caravan</t>
  </si>
  <si>
    <t>1. Commercial</t>
  </si>
  <si>
    <t>2. Pilgrimage</t>
  </si>
  <si>
    <t>3. Animal (Cattle)</t>
  </si>
  <si>
    <t>4. Object/Transport</t>
  </si>
  <si>
    <t>5. Message/Parcel</t>
  </si>
  <si>
    <t>6. Personnel</t>
  </si>
  <si>
    <t>7. Smuggling</t>
  </si>
  <si>
    <t>1. Goods</t>
  </si>
  <si>
    <t>2. Weapons</t>
  </si>
  <si>
    <t>3. People/Items</t>
  </si>
  <si>
    <t>Assault/Raid: </t>
  </si>
  <si>
    <t>You must attack and kill/retrieve a macguffin</t>
  </si>
  <si>
    <t>You must defend a structure that someone is planning to attack</t>
  </si>
  <si>
    <t>You attack the structure, but the 'victims' welcome you</t>
  </si>
  <si>
    <t>You attack the structure and the victims welcome you, but then try to kill you</t>
  </si>
  <si>
    <t>There are long term consequences of the Assault</t>
  </si>
  <si>
    <t>Extraction:</t>
  </si>
  <si>
    <t>You must recover or retrieve the macguffin</t>
  </si>
  <si>
    <t>You must insert or place the macguffin in the target area</t>
  </si>
  <si>
    <t>You are the macguffin to be retrieved</t>
  </si>
  <si>
    <t>You go to the macguffin and they want to stay or you see a reason retrieving it would be bad</t>
  </si>
  <si>
    <t>You go to the macguffin and they want to stay because they just wanted to expose weaknesses where they are (or some other method via they help their captors)</t>
  </si>
  <si>
    <t>You go to the macguffin and decide retrieving it would be bad, but really it's bad to not retrieve it because you were misinformed</t>
  </si>
  <si>
    <t>There is no macguffin and never was</t>
  </si>
  <si>
    <t>The maguffin is surprisingly difficult to retrieve</t>
  </si>
  <si>
    <t>Theft:</t>
  </si>
  <si>
    <t>You must steal a macguffin</t>
  </si>
  <si>
    <t>You must protect the macguffin from theft</t>
  </si>
  <si>
    <t>When you go to steal the macguffin it's not their or is not what you expected</t>
  </si>
  <si>
    <t>As above, except it secretly is (illusion, secret compartment)</t>
  </si>
  <si>
    <t>You go to steal the item and discover the owners are glad to part with it or the macguffin wants to be stolen</t>
  </si>
  <si>
    <t>There is no treasure to steal</t>
  </si>
  <si>
    <t>Bounty:</t>
  </si>
  <si>
    <t>You get paid for killing a creature</t>
  </si>
  <si>
    <t>You get paid for preventing people from poaching or killing a creature</t>
  </si>
  <si>
    <t>The bounty is on your head</t>
  </si>
  <si>
    <t>The creature or the reward is fictional</t>
  </si>
  <si>
    <t>No one believes the creature still exists but it does</t>
  </si>
  <si>
    <t>The bounty on a creature is very high, after killing many of them, the effects on the ecosystem become known</t>
  </si>
  <si>
    <t>Escort:</t>
  </si>
  <si>
    <t>You must accompany a macguffin to a destination</t>
  </si>
  <si>
    <t>You are the person to be escorted</t>
  </si>
  <si>
    <t>Something has affected the destination that makes completion of the mission impossible</t>
  </si>
  <si>
    <t>The macguffin is not what it appears, making delivery impossible</t>
  </si>
  <si>
    <t>Coup d'eat:</t>
  </si>
  <si>
    <t>You must unseat a person in power</t>
  </si>
  <si>
    <t>You are the person in power someone is attempting to unseat</t>
  </si>
  <si>
    <t>The person in power is actually the one who should be</t>
  </si>
  <si>
    <t>The person in power is the one who hired you to depose him</t>
  </si>
  <si>
    <t>You don't need to unseat the person in power because of their new position</t>
  </si>
  <si>
    <t>Performing the Coup d'eat destablizes the region and the fallout changes the shape of the campaign</t>
  </si>
  <si>
    <t>Duel/Contest:</t>
  </si>
  <si>
    <t>You must defeat an opponent</t>
  </si>
  <si>
    <t>Someone is trying to stop or defeat you</t>
  </si>
  <si>
    <t>Your opponent throws the match</t>
  </si>
  <si>
    <t>Your opponent loses, meanwhile he's accomplishing his goal while you're tied up with him</t>
  </si>
  <si>
    <t>The contest is called on account of weather</t>
  </si>
  <si>
    <t>The contest doesn't need to occur because of other developments that put you and your opponent on the same side</t>
  </si>
  <si>
    <t>Assassination:</t>
  </si>
  <si>
    <t>You must kill a target</t>
  </si>
  <si>
    <t>People have taken a contract out on your life</t>
  </si>
  <si>
    <t>The person is paying you to kill them</t>
  </si>
  <si>
    <t>The person is paying you to kill them, but is actually under the control of the players enemies</t>
  </si>
  <si>
    <t>When you go to kill them, they are removed in another way as an obstacle (or perhaps they leave the prime material) meaning it is no longer necessary to kill them</t>
  </si>
  <si>
    <t>Assassinating your target causes more problems then it solves</t>
  </si>
  <si>
    <t>Sabotage:</t>
  </si>
  <si>
    <t>You must sabotage a target</t>
  </si>
  <si>
    <t>You must protect a target from being sabotaged</t>
  </si>
  <si>
    <t>There is a non-functional device that must be repaired</t>
  </si>
  <si>
    <t>The target you set out to sabotage is already non-functional</t>
  </si>
  <si>
    <t>The non-functional target is actually just a ruse, the real danger is coming from another foreshadowed source</t>
  </si>
  <si>
    <t>The target due for sabotage fails of its own accord for entirly seperate reasons</t>
  </si>
  <si>
    <t>Sabotaging the target actually makes your own goals more difficult to achieve</t>
  </si>
  <si>
    <t>Exploration:</t>
  </si>
  <si>
    <t>You must explore an area</t>
  </si>
  <si>
    <t>You must prevent a group from finding out about an area</t>
  </si>
  <si>
    <t>You set out to explore an area only to discover it is already well mapped</t>
  </si>
  <si>
    <t>You discover a well mapped out area that you set out to explore but find that all the maps are very inaccurate</t>
  </si>
  <si>
    <t>Mysteries:</t>
  </si>
  <si>
    <t>You must solve a mystery</t>
  </si>
  <si>
    <t>You must prevent someone from discovering what you have done</t>
  </si>
  <si>
    <t>You set out to solve a mystery, but the solution is easily found. Knowing it causes a whole new set of problems</t>
  </si>
  <si>
    <t>Something happened with an obvious solution, a close examination will show that perhaps the obvious solution isn't correct</t>
  </si>
  <si>
    <t>Something that appears to be a mystery is clearly not when examined</t>
  </si>
  <si>
    <t>Skill:</t>
  </si>
  <si>
    <t>Your skill or work is tested</t>
  </si>
  <si>
    <t>You are needing to hire people for a project</t>
  </si>
  <si>
    <t>You set out to do a job, but it turns out there are bigger problems</t>
  </si>
  <si>
    <t>The bigger problems require a different skill you have</t>
  </si>
  <si>
    <t>It turns out that a skilled person wasn't needed at all</t>
  </si>
  <si>
    <t>Rarity Modifier</t>
  </si>
  <si>
    <t>Rarity</t>
  </si>
  <si>
    <t>Supply/Demand Modifier</t>
  </si>
  <si>
    <t>Supply/Demand</t>
  </si>
  <si>
    <t>Intim/Persuade:</t>
  </si>
  <si>
    <t>Reputation:</t>
  </si>
  <si>
    <t>Charisma bonus:</t>
  </si>
  <si>
    <t>Modifier -&gt;</t>
  </si>
  <si>
    <t>Legendary</t>
  </si>
  <si>
    <t>Honored</t>
  </si>
  <si>
    <t>Renowned</t>
  </si>
  <si>
    <t>Liked</t>
  </si>
  <si>
    <t>Known</t>
  </si>
  <si>
    <t>Disliked</t>
  </si>
  <si>
    <t>Reviled</t>
  </si>
  <si>
    <t>Hated</t>
  </si>
  <si>
    <t>Character modifier</t>
  </si>
  <si>
    <t>cp</t>
  </si>
  <si>
    <t>sp</t>
  </si>
  <si>
    <t>gp</t>
  </si>
  <si>
    <t>=</t>
  </si>
  <si>
    <t>Intimidation and Persuasion</t>
  </si>
  <si>
    <t>Charisma Bonus</t>
  </si>
  <si>
    <t>Reputation</t>
  </si>
  <si>
    <t>Marks and Cents</t>
  </si>
  <si>
    <t>Remaining</t>
  </si>
  <si>
    <t>Cost</t>
  </si>
  <si>
    <t>Character GP</t>
  </si>
  <si>
    <t>Cashier Calculator</t>
  </si>
  <si>
    <t>Orange highlighed cells are drop down menus. Select the bonus range for each and the table will adjust the price values.</t>
  </si>
  <si>
    <t>Total bonus</t>
  </si>
  <si>
    <t>Modifier</t>
  </si>
  <si>
    <t>Rarity of magic items in your world.</t>
  </si>
  <si>
    <t>Rarity of magic items in the region.</t>
  </si>
  <si>
    <t>Discount</t>
  </si>
  <si>
    <t>Value</t>
  </si>
  <si>
    <t>Magic Bonus</t>
  </si>
  <si>
    <t>Is the vendor being persuaded or intimidated?</t>
  </si>
  <si>
    <t>Intim/Persuade</t>
  </si>
  <si>
    <t>Reputation with vendor or town</t>
  </si>
  <si>
    <t>Character Rep</t>
  </si>
  <si>
    <t>Bonus</t>
  </si>
  <si>
    <t>Marks</t>
  </si>
  <si>
    <t>CP</t>
  </si>
  <si>
    <t>SP</t>
  </si>
  <si>
    <t>GP</t>
  </si>
  <si>
    <t>Your Price (gp)</t>
  </si>
  <si>
    <t xml:space="preserve"> Base Cost</t>
  </si>
  <si>
    <t>Modified Magic Equipment Costs</t>
  </si>
  <si>
    <t>Modified Basic Equipment Costs</t>
  </si>
  <si>
    <t>Lbs</t>
  </si>
  <si>
    <t>Plate mail</t>
  </si>
  <si>
    <t xml:space="preserve">Spyglass </t>
  </si>
  <si>
    <t xml:space="preserve">Half plate </t>
  </si>
  <si>
    <t xml:space="preserve">Breastplate </t>
  </si>
  <si>
    <t>Splint mail</t>
  </si>
  <si>
    <t xml:space="preserve">Magnifying glass </t>
  </si>
  <si>
    <t xml:space="preserve">Poison, basic (vial) </t>
  </si>
  <si>
    <t xml:space="preserve">Chain mail </t>
  </si>
  <si>
    <t xml:space="preserve">Crossbow, hand </t>
  </si>
  <si>
    <t xml:space="preserve">Alchemist’s fire (flask) </t>
  </si>
  <si>
    <t xml:space="preserve">Alchemist’s supplies </t>
  </si>
  <si>
    <t xml:space="preserve">Antitoxin (vial) </t>
  </si>
  <si>
    <t xml:space="preserve">Chain shirt </t>
  </si>
  <si>
    <t xml:space="preserve">Crossbow, heavy </t>
  </si>
  <si>
    <t xml:space="preserve">Greatsword </t>
  </si>
  <si>
    <t xml:space="preserve">Longbow </t>
  </si>
  <si>
    <t xml:space="preserve">Poisoner’s kit </t>
  </si>
  <si>
    <t xml:space="preserve">Potion of healing </t>
  </si>
  <si>
    <t xml:space="preserve">Scale mail </t>
  </si>
  <si>
    <t xml:space="preserve">Spellbook </t>
  </si>
  <si>
    <t xml:space="preserve">Tinker’s tools </t>
  </si>
  <si>
    <t>Studded leather armor</t>
  </si>
  <si>
    <t>Lute (Musical instrument)</t>
  </si>
  <si>
    <t>Bagpipes (Musical instrument)</t>
  </si>
  <si>
    <t xml:space="preserve">Glassblower’s tools </t>
  </si>
  <si>
    <t xml:space="preserve">Greataxe </t>
  </si>
  <si>
    <t>Lyre (Musical instrument)</t>
  </si>
  <si>
    <t xml:space="preserve">Ring mail </t>
  </si>
  <si>
    <t>Viol (Musical instrument)</t>
  </si>
  <si>
    <t xml:space="preserve">Acid (vial) </t>
  </si>
  <si>
    <t xml:space="preserve">Book </t>
  </si>
  <si>
    <t xml:space="preserve">Climber's kit </t>
  </si>
  <si>
    <t xml:space="preserve">Component pouch </t>
  </si>
  <si>
    <t xml:space="preserve">Crossbow, light </t>
  </si>
  <si>
    <t xml:space="preserve">Disguise kit </t>
  </si>
  <si>
    <t>Dulcimer (Musical instrument)</t>
  </si>
  <si>
    <t xml:space="preserve">Holy water (flask) </t>
  </si>
  <si>
    <t xml:space="preserve">Hourglass </t>
  </si>
  <si>
    <t xml:space="preserve">Jeweler’s tools </t>
  </si>
  <si>
    <t xml:space="preserve">Navigator’s tools </t>
  </si>
  <si>
    <t xml:space="preserve">Rapier </t>
  </si>
  <si>
    <t xml:space="preserve">Scimitar </t>
  </si>
  <si>
    <t xml:space="preserve">Shortbow </t>
  </si>
  <si>
    <t xml:space="preserve">Thieves’ tools </t>
  </si>
  <si>
    <t xml:space="preserve">Brewer’s supplies </t>
  </si>
  <si>
    <t xml:space="preserve">Glaive </t>
  </si>
  <si>
    <t xml:space="preserve">Halberd </t>
  </si>
  <si>
    <t>Orb (Arcane focus)</t>
  </si>
  <si>
    <t xml:space="preserve">Smith’s tools </t>
  </si>
  <si>
    <t xml:space="preserve">Cartographer’s tools </t>
  </si>
  <si>
    <t xml:space="preserve">Clothes, fine </t>
  </si>
  <si>
    <t xml:space="preserve">Forgery kit </t>
  </si>
  <si>
    <t xml:space="preserve">Longsword </t>
  </si>
  <si>
    <t xml:space="preserve">Morningstar </t>
  </si>
  <si>
    <t xml:space="preserve">Warhammer </t>
  </si>
  <si>
    <t>Pan flute (Musical instrument)</t>
  </si>
  <si>
    <t xml:space="preserve">Battleaxe </t>
  </si>
  <si>
    <t xml:space="preserve">Blowgun </t>
  </si>
  <si>
    <t xml:space="preserve">Calligrapher's supplies </t>
  </si>
  <si>
    <t>Crystal (Arcane focus)</t>
  </si>
  <si>
    <t xml:space="preserve">Flail </t>
  </si>
  <si>
    <t>Hide armor</t>
  </si>
  <si>
    <t xml:space="preserve">Ink (1 ounce bottle) </t>
  </si>
  <si>
    <t xml:space="preserve">Lance </t>
  </si>
  <si>
    <t xml:space="preserve">Lantern, bullseye </t>
  </si>
  <si>
    <t>Leather armor</t>
  </si>
  <si>
    <t xml:space="preserve">Lock </t>
  </si>
  <si>
    <t xml:space="preserve">Mason’s tools </t>
  </si>
  <si>
    <t xml:space="preserve">Maul </t>
  </si>
  <si>
    <t xml:space="preserve">Painter’s supplies </t>
  </si>
  <si>
    <t xml:space="preserve">Potter’s tools </t>
  </si>
  <si>
    <t>Rod (Arcane focus)</t>
  </si>
  <si>
    <t xml:space="preserve">Rope, silk (50 feet) </t>
  </si>
  <si>
    <t xml:space="preserve">Shield </t>
  </si>
  <si>
    <t xml:space="preserve">Shortsword </t>
  </si>
  <si>
    <t>Wand (Arcane focus)</t>
  </si>
  <si>
    <t>Yew wand (Druidic focus)</t>
  </si>
  <si>
    <t xml:space="preserve">Carpenter’s tools </t>
  </si>
  <si>
    <t>Drum (Musical instrument)</t>
  </si>
  <si>
    <t>Amulet (Holy symbol)</t>
  </si>
  <si>
    <t xml:space="preserve">Chain (10 feet) </t>
  </si>
  <si>
    <t xml:space="preserve">Chest </t>
  </si>
  <si>
    <t xml:space="preserve">Clothes, costume </t>
  </si>
  <si>
    <t xml:space="preserve">Cobbler’s tools </t>
  </si>
  <si>
    <t>Emblem (Holy symbol)</t>
  </si>
  <si>
    <t xml:space="preserve">Handaxe </t>
  </si>
  <si>
    <t xml:space="preserve">Healer’s kit </t>
  </si>
  <si>
    <t xml:space="preserve">Herbalism kit </t>
  </si>
  <si>
    <t xml:space="preserve">Hunting trap </t>
  </si>
  <si>
    <t xml:space="preserve">Lantern, hooded </t>
  </si>
  <si>
    <t xml:space="preserve">Leatherworker’s tools </t>
  </si>
  <si>
    <t xml:space="preserve">Mace </t>
  </si>
  <si>
    <t xml:space="preserve">Mirror, steel </t>
  </si>
  <si>
    <t>Padded armor</t>
  </si>
  <si>
    <t xml:space="preserve">Perfume (vial) </t>
  </si>
  <si>
    <t>Pike</t>
  </si>
  <si>
    <t>Reliquary (Holy symbol)</t>
  </si>
  <si>
    <t xml:space="preserve">Scale, merchant’s </t>
  </si>
  <si>
    <t xml:space="preserve">Signet ring </t>
  </si>
  <si>
    <t>Staff (Arcane focus)</t>
  </si>
  <si>
    <t>Trident</t>
  </si>
  <si>
    <t xml:space="preserve">War pick </t>
  </si>
  <si>
    <t>Wooden staff (Druidic focus)</t>
  </si>
  <si>
    <t xml:space="preserve">Ram, portable </t>
  </si>
  <si>
    <t>Horn (Musical instrument)</t>
  </si>
  <si>
    <t xml:space="preserve">Abacus </t>
  </si>
  <si>
    <t xml:space="preserve">Backpack </t>
  </si>
  <si>
    <t xml:space="preserve">Barrel </t>
  </si>
  <si>
    <t xml:space="preserve">Bottle, glass </t>
  </si>
  <si>
    <t xml:space="preserve">Clothes, traveler’s </t>
  </si>
  <si>
    <t xml:space="preserve">Crowbar </t>
  </si>
  <si>
    <t xml:space="preserve">Dagger </t>
  </si>
  <si>
    <t>Flute (Musical instrument)</t>
  </si>
  <si>
    <t xml:space="preserve">Grappling hook </t>
  </si>
  <si>
    <t xml:space="preserve">Hammer, sledge </t>
  </si>
  <si>
    <t>Light hammer</t>
  </si>
  <si>
    <t xml:space="preserve">Manacles </t>
  </si>
  <si>
    <t xml:space="preserve">Pick, miner’s </t>
  </si>
  <si>
    <t xml:space="preserve">Pot, iron </t>
  </si>
  <si>
    <t>Shawm (Musical instrument)</t>
  </si>
  <si>
    <t xml:space="preserve">Shovel </t>
  </si>
  <si>
    <t xml:space="preserve">Tent, two-person </t>
  </si>
  <si>
    <t xml:space="preserve">Whip </t>
  </si>
  <si>
    <t xml:space="preserve">Arrows (20) </t>
  </si>
  <si>
    <t xml:space="preserve">Ball bearings (bag o f 1,000) </t>
  </si>
  <si>
    <t xml:space="preserve">Bedroll </t>
  </si>
  <si>
    <t xml:space="preserve">Bell </t>
  </si>
  <si>
    <t xml:space="preserve">Block and tackle </t>
  </si>
  <si>
    <t xml:space="preserve">Blowgun needles (50) </t>
  </si>
  <si>
    <t xml:space="preserve">Caltrops (bag of 20) </t>
  </si>
  <si>
    <t xml:space="preserve">Case, crossbow bolt </t>
  </si>
  <si>
    <t xml:space="preserve">Case, map or scroll </t>
  </si>
  <si>
    <t xml:space="preserve">Cook’s utensils </t>
  </si>
  <si>
    <t xml:space="preserve">Crossbow bolts (20) </t>
  </si>
  <si>
    <t>Dragonchess set (Gaming set)</t>
  </si>
  <si>
    <t xml:space="preserve">Fishing tackle </t>
  </si>
  <si>
    <t xml:space="preserve">Hammer </t>
  </si>
  <si>
    <t>Net</t>
  </si>
  <si>
    <t xml:space="preserve">Quiver </t>
  </si>
  <si>
    <t xml:space="preserve">Robes </t>
  </si>
  <si>
    <t xml:space="preserve">Rope, hempen (50 feet) </t>
  </si>
  <si>
    <t>Sickle</t>
  </si>
  <si>
    <t>Spear</t>
  </si>
  <si>
    <t xml:space="preserve">Spikes, iron (10) </t>
  </si>
  <si>
    <t>Sprig of mistletoe (Druidic focus)</t>
  </si>
  <si>
    <t>Three-Dragon Ante set (Gaming set)</t>
  </si>
  <si>
    <t>Totem (Druidic focus)</t>
  </si>
  <si>
    <t xml:space="preserve">Vial </t>
  </si>
  <si>
    <t xml:space="preserve">Weaver’s tools </t>
  </si>
  <si>
    <t xml:space="preserve">Woodcarver's tools </t>
  </si>
  <si>
    <t xml:space="preserve">Blanket </t>
  </si>
  <si>
    <t xml:space="preserve">Clothes, common </t>
  </si>
  <si>
    <t xml:space="preserve">javelin </t>
  </si>
  <si>
    <t xml:space="preserve">Lamp </t>
  </si>
  <si>
    <t>Playing card set (Gaming set)</t>
  </si>
  <si>
    <t xml:space="preserve">Pouch </t>
  </si>
  <si>
    <t xml:space="preserve">Rations (1 day) </t>
  </si>
  <si>
    <t xml:space="preserve">Sealing wax </t>
  </si>
  <si>
    <t xml:space="preserve">Tinderbox </t>
  </si>
  <si>
    <t xml:space="preserve">Basket </t>
  </si>
  <si>
    <t>Greatclub</t>
  </si>
  <si>
    <t xml:space="preserve">Mess kit </t>
  </si>
  <si>
    <t xml:space="preserve">Paper (one sheet) </t>
  </si>
  <si>
    <t xml:space="preserve">Quarterstaff </t>
  </si>
  <si>
    <t>Waterskin (full)</t>
  </si>
  <si>
    <t xml:space="preserve">Club </t>
  </si>
  <si>
    <t>Dice set (Gaming set)</t>
  </si>
  <si>
    <t xml:space="preserve">Ladder (10-foot) </t>
  </si>
  <si>
    <t xml:space="preserve">Oil (flask) </t>
  </si>
  <si>
    <t xml:space="preserve">Parchment (one sheet) </t>
  </si>
  <si>
    <t xml:space="preserve">Sling </t>
  </si>
  <si>
    <t xml:space="preserve">Bucket </t>
  </si>
  <si>
    <t xml:space="preserve">Dart </t>
  </si>
  <si>
    <t xml:space="preserve">Piton </t>
  </si>
  <si>
    <t xml:space="preserve">Pole (10-foot) </t>
  </si>
  <si>
    <t xml:space="preserve">Signal whistle </t>
  </si>
  <si>
    <t xml:space="preserve">Sling bullets (20) </t>
  </si>
  <si>
    <t xml:space="preserve">Flask or tankard </t>
  </si>
  <si>
    <t xml:space="preserve">Ink pen </t>
  </si>
  <si>
    <t xml:space="preserve">Jug or pitcher </t>
  </si>
  <si>
    <t xml:space="preserve">Soap </t>
  </si>
  <si>
    <t xml:space="preserve">Candle </t>
  </si>
  <si>
    <t xml:space="preserve">Chalk (1 piece) </t>
  </si>
  <si>
    <t xml:space="preserve">Sack </t>
  </si>
  <si>
    <t xml:space="preserve">Torch </t>
  </si>
  <si>
    <t xml:space="preserve">Whetstone </t>
  </si>
  <si>
    <t xml:space="preserve">Unarmed strike </t>
  </si>
  <si>
    <t>1. Skill (Cooking/Leatherworking, etc.)</t>
  </si>
  <si>
    <t>1. Labor (Farmhand, General Labor)</t>
  </si>
  <si>
    <t>2. White Collar (Appraiser, Scribe)</t>
  </si>
  <si>
    <t>3. Black Market (Forger, Lockpicker)</t>
  </si>
  <si>
    <t>4. Service (Armor Tester, Waiter, Usher, Etc.)</t>
  </si>
  <si>
    <t>Hack &amp; Slash: On a Generator of Missions (hackslashmaster.blogspot.com)</t>
  </si>
  <si>
    <t>?</t>
  </si>
  <si>
    <t>Monster Manual</t>
  </si>
  <si>
    <t>Slam|3|1d6+1</t>
  </si>
  <si>
    <t>Melee Weapon Attack: +3 to hit, reach 5 ft., one target. Hit: 4 (1d6 + 1) bludgeoning damage.</t>
  </si>
  <si>
    <t>Slam</t>
  </si>
  <si>
    <t>Undead Fortitude</t>
  </si>
  <si>
    <t>If damage reduces the zombie to 0 hit points, it must make a Constitution saving throw with a DC of 5+the damage taken, unless the damage is radiant or from a critical hit. On a success, the zombie drops to 1 hit point instead.</t>
  </si>
  <si>
    <t>12:22</t>
  </si>
  <si>
    <t>1:21, 2:25, 4:23, 5:22</t>
  </si>
  <si>
    <t>-</t>
  </si>
  <si>
    <t>+3, 1d6+1</t>
  </si>
  <si>
    <t>NO</t>
  </si>
  <si>
    <t>NE</t>
  </si>
  <si>
    <t>Undead</t>
  </si>
  <si>
    <t>Medium</t>
  </si>
  <si>
    <t>Monster</t>
  </si>
  <si>
    <t>https://www.aidedd.org/dnd/monstres.php?vo=Zombie</t>
  </si>
  <si>
    <t>Zombie</t>
  </si>
  <si>
    <t>Cold Breath||10d8</t>
  </si>
  <si>
    <t>The dragon exhales an icy blast in a 30-foot cone. Each creature in that area must make a DC 15 Constitution saving throw, taking 45 (10d8) cold damage on a failed save, or half as much damage on a successful one.</t>
  </si>
  <si>
    <t>Cold Breath (Recharge 5-6)</t>
  </si>
  <si>
    <t>Claw|7|2d6+4</t>
  </si>
  <si>
    <t>Melee Weapon Attack: +7 to hit, reach 5 ft., one target. Hit: 11 (2d6 + 4) slashing damage.</t>
  </si>
  <si>
    <t>Claw</t>
  </si>
  <si>
    <t>Bite|7|2d10+4+1d8</t>
  </si>
  <si>
    <t>Melee Weapon Attack: +7 to hit, reach 10 ft., one target. Hit: 15 (2d10 + 4) piercing damage plus 4 (1d8) cold damage.</t>
  </si>
  <si>
    <t>Bite</t>
  </si>
  <si>
    <t>Multiattack</t>
  </si>
  <si>
    <t>The dragon makes three attacks: one with its bite and two with its claws.</t>
  </si>
  <si>
    <t>Ice Walk</t>
  </si>
  <si>
    <t>The dragon can move across and climb icy surfaces without needing to make an ability check. Additionally, difficult terrain composed of ice or snow doesn't cost it extra moment.</t>
  </si>
  <si>
    <t>+7, 1d8+4</t>
  </si>
  <si>
    <t>+7, 2d6+4</t>
  </si>
  <si>
    <t>+7, 2d10+4</t>
  </si>
  <si>
    <t>CE</t>
  </si>
  <si>
    <t>Dragon</t>
  </si>
  <si>
    <t>Large</t>
  </si>
  <si>
    <t>https://www.aidedd.org/dnd/monstres.php?vo=Young-White-Dragon</t>
  </si>
  <si>
    <t>Young-White-Dragon</t>
  </si>
  <si>
    <t>Young White Dragon</t>
  </si>
  <si>
    <t>Cold Breath||12d8</t>
  </si>
  <si>
    <t>The dragon uses one of the following breath weapons. ¶Cold Breath. The dragon exhales an icy blast in a 30-foot cone. Each creature in that area must make a DC 17 Constitution saving throw, taking 54 (12d8) cold damage on a failed save, or half as much damage on a successful one. ¶Paralyzing Breath. The dragon exhales paralyzing gas in a 30-foot cone. Each creature in that area must succeed on a DC 17 Constitution saving throw or be paralyzed for 1 minute. A creature can repeat the saving throw at the end of each of its turns, ending the effect on itself on a success.</t>
  </si>
  <si>
    <t>Breath Weapons (Recharge 5-6)</t>
  </si>
  <si>
    <t>Claw|10|2d6+6</t>
  </si>
  <si>
    <t>Melee Weapon Attack: +10 to hit, reach 5 ft., one target. Hit: 13 (2d6 + 6) slashing damage.</t>
  </si>
  <si>
    <t>Bite|10|2d10+6</t>
  </si>
  <si>
    <t>Melee Weapon Attack: +10 to hit, reach 10 ft., one target. Hit: 17 (2d10 + 6) piercing damage.</t>
  </si>
  <si>
    <t>+10, 2d6+6</t>
  </si>
  <si>
    <t>+10, 2d10+6</t>
  </si>
  <si>
    <t>LG</t>
  </si>
  <si>
    <t>https://www.aidedd.org/dnd/monstres.php?vo=Young-Silver-Dragon</t>
  </si>
  <si>
    <t>Young-Silver-Dragon</t>
  </si>
  <si>
    <t>Young Silver Dragon</t>
  </si>
  <si>
    <t>Fire Breath||16d6</t>
  </si>
  <si>
    <t>The dragon exhales fire in a 30-foot cone. Each creature in that area must make a DC 17 Dexterity saving throw, taking 56 (16d6) fire damage on a failed save, or half as much damage on a successful one.</t>
  </si>
  <si>
    <t>Fire Breath (Recharge 5-6)</t>
  </si>
  <si>
    <t>Bite|10|2d10+6+1d6</t>
  </si>
  <si>
    <t>Melee Weapon Attack: +10 to hit, reach 10 ft., one target. Hit: 17 (2d10 + 6) piercing damage plus 3 (1d6) fire damage.</t>
  </si>
  <si>
    <t>+10, 1d6+6</t>
  </si>
  <si>
    <t>https://www.aidedd.org/dnd/monstres.php?vo=Young-Red-Dragon</t>
  </si>
  <si>
    <t>Young-Red-Dragon</t>
  </si>
  <si>
    <t>Young Red Dragon</t>
  </si>
  <si>
    <t>Poison Breath||12d6</t>
  </si>
  <si>
    <t>The dragon exhales poisonous gas in a 30-foot cone. Each creature in that area must make a DC 14 Constitution saving throw, taking 42 (12d6) poison damage on a failed save, or half as much damage on a successful one.</t>
  </si>
  <si>
    <t>Poison Breath (Recharge 5-6)</t>
  </si>
  <si>
    <t>Bite|7|2d10+4+2d6</t>
  </si>
  <si>
    <t>Melee Weapon Attack: +7 to hit, reach 10 ft., one target. Hit: 15 (2d10 + 4) piercing damage plus 7 (2d6) poison damage.</t>
  </si>
  <si>
    <t>Amphibious</t>
  </si>
  <si>
    <t>The dragon can breathe air and water.</t>
  </si>
  <si>
    <t>LE</t>
  </si>
  <si>
    <t>https://www.aidedd.org/dnd/monstres.php?vo=Young-Green-Dragon</t>
  </si>
  <si>
    <t>Young-Green-Dragon</t>
  </si>
  <si>
    <t>Young Green Dragon</t>
  </si>
  <si>
    <t>Fire Breath||10d10</t>
  </si>
  <si>
    <t>The dragon uses one of the following breath weapons. ¶Fire Breath. The dragon exhales fire in a 30-foot cone. Each creature in that area must make a DC 17 Dexterity saving throw, taking 55 (10d10) fire damage on a failed save, or half as much damage on a successful one. ¶Weakening Breath. The dragon exhales gas in a 30-foot cone. Each creature in that area must succeed on a DC 17 Strength saving throw or have disadvantage on Strength-based attack rolls, Strength checks, and Strength saving throws for 1 minute. A creature can repeat the saving throw at the end of each of its turns, ending the effect on itself on a success.</t>
  </si>
  <si>
    <t>https://www.aidedd.org/dnd/monstres.php?vo=Young-Gold-Dragon</t>
  </si>
  <si>
    <t>Young-Gold-Dragon</t>
  </si>
  <si>
    <t>Young Gold Dragon</t>
  </si>
  <si>
    <t>Acid Breath||9d8</t>
  </si>
  <si>
    <t>The dragon uses one of the following breath weapons. ¶Acid Breath. The dragon exhales acid in an 40-foot line that is 5 feet wide. Each creature in that line must make a DC 14 Dexterity saving throw, taking 40 (9d8) acid damage on a failed save, or half as much damage on a successful one. ¶Slowing Breath. The dragon exhales gas in a 30-foot cone. Each creature in that area must succeed on a DC 14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t>
  </si>
  <si>
    <t>Bite|7|2d10+4</t>
  </si>
  <si>
    <t>Melee Weapon Attack: +7 to hit, reach 10 ft., one target. Hit: 15 (2d10 + 4) piercing damage.</t>
  </si>
  <si>
    <t>CG</t>
  </si>
  <si>
    <t>https://www.aidedd.org/dnd/monstres.php?vo=Young-Copper-Dragon</t>
  </si>
  <si>
    <t>Young-Copper-Dragon</t>
  </si>
  <si>
    <t>Young Copper Dragon</t>
  </si>
  <si>
    <t>Lightning Breath||10d10</t>
  </si>
  <si>
    <t>The dragon uses one of the following breath weapons. ¶Lightning Breath. The dragon exhales lightning in a 60-foot line that is 5 feet wide. Each creature in that line must make a DC 15 Dexterity saving throw, taking 55 (10d10) lightning damage on a failed save, or half as much damage on a successful one. ¶Repulsion Breath. The dragon exhales repulsion energy in a 30-foot cone. Each creature in that area must succeed on a DC 15 Strength saving throw. On a failed save, the creature is pushed 40 feet away from the dragon.</t>
  </si>
  <si>
    <t>Claw|8|2d6+5</t>
  </si>
  <si>
    <t>Melee Weapon Attack: +8 to hit, reach 5 ft., one target. Hit: 12 (2d6 + 5) slashing damage.</t>
  </si>
  <si>
    <t>Bite|8|2d10+5</t>
  </si>
  <si>
    <t>Melee Weapon Attack: +8 to hit, reach 10 ft., one target. Hit: 16 (2d10 + 5) piercing damage.</t>
  </si>
  <si>
    <t>+8, 2d6+5</t>
  </si>
  <si>
    <t>+8, 2d10+5</t>
  </si>
  <si>
    <t>https://www.aidedd.org/dnd/monstres.php?vo=Young-Bronze-Dragon</t>
  </si>
  <si>
    <t>Young-Bronze-Dragon</t>
  </si>
  <si>
    <t>Young Bronze Dragon</t>
  </si>
  <si>
    <t>Fire Breath||12d6</t>
  </si>
  <si>
    <t>The dragon uses one of the following breath weapons. ¶Fire Breath. The dragon exhales fire in a 40-foot line that is 5 feet wide. Each creature in that line must make a DC 14 Dexterity saving throw, taking 42 (12d6) fire damage on a failed save, or half as much damage on a successful one. ¶Sleep Breath. The dragon exhales sleep gas in a 30-foot cone. Each creature in that area must succeed on a DC 14 Constitution saving throw or fall unconscious for 5 minutes. This effect ends for a creature if the creature takes damage or someone uses an action to wake it.</t>
  </si>
  <si>
    <t>https://www.aidedd.org/dnd/monstres.php?vo=Young-Brass-Dragon</t>
  </si>
  <si>
    <t>Young-Brass-Dragon</t>
  </si>
  <si>
    <t>Young Brass Dragon</t>
  </si>
  <si>
    <t>The dragon exhales lightning in an 60-foot line that is 5 feet wide. Each creature in that line must make a DC 16 Dexterity saving throw, taking 55 (10d10) lightning damage on a failed save, or half as much damage on a successful one.</t>
  </si>
  <si>
    <t>Lightning Breath (Recharge 5-6)</t>
  </si>
  <si>
    <t>Claw|9|2d6+5</t>
  </si>
  <si>
    <t>Melee Weapon Attack: +9 to hit, reach 5 ft., one target. Hit: 12 (2d6 + 5) slashing damage.</t>
  </si>
  <si>
    <t>Bite|9|2d10+5+1d10</t>
  </si>
  <si>
    <t>Melee Weapon Attack: +9 to hit, reach 10 ft., one target. Hit: 16 (2d10 + 5) piercing damage plus 5 (1d10) lightning damage.</t>
  </si>
  <si>
    <t>+9, 2d6+5</t>
  </si>
  <si>
    <t>+9, 3d10+5</t>
  </si>
  <si>
    <t>https://www.aidedd.org/dnd/monstres.php?vo=Young-Blue-Dragon</t>
  </si>
  <si>
    <t>Young-Blue-Dragon</t>
  </si>
  <si>
    <t>Young Blue Dragon</t>
  </si>
  <si>
    <t>Acid Breath||11d8</t>
  </si>
  <si>
    <t>The dragon exhales acid in a 30-foot line that is 5 feet wide. Each creature in that line must make a DC 14 Dexterity saving throw, taking 49 (11d8) acid damage on a failed save, or half as much damage on a successful one.</t>
  </si>
  <si>
    <t>Acid Breath (Recharge 5-6)</t>
  </si>
  <si>
    <t>Melee Weapon Attack: +7 to hit, reach 10 ft., one target. Hit: 15 (2d10 + 4) piercing damage plus 4 (1d8) acid damage.</t>
  </si>
  <si>
    <t>12:29</t>
  </si>
  <si>
    <t>https://www.aidedd.org/dnd/monstres.php?vo=Young-Black-Dragon</t>
  </si>
  <si>
    <t>Young-Black-Dragon</t>
  </si>
  <si>
    <t>Young Black Dragon</t>
  </si>
  <si>
    <t>Chilling Gaze</t>
  </si>
  <si>
    <t>The yeti targets one creature it can see within 30 ft. of it. If the target can see the yeti, the target must succeed on a DC 13 Constitution saving throw against this magic or take 10 (3d6) cold damage and then be paralyzed for 1 minute, unless it is immune to cold damage. The target can repeat the saving throw at the end of each of its turns, ending the effect on itself on a success. If the target's saving throw is successful, or if the effect ends on it, the target is immune to the Chilling Gaze of all yetis (but not abominable yetis) for 1 hour.</t>
  </si>
  <si>
    <t>Claw|6|1d6+4+1d6</t>
  </si>
  <si>
    <t>Melee Weapon Attack: +6 to hit, reach 5 ft., one target. Hit: 7 (1d6 + 4) slashing damage plus 3 (1d6) cold damage.</t>
  </si>
  <si>
    <t>The yeti can use its Chilling Gaze and makes two claw attacks.</t>
  </si>
  <si>
    <t>Snow Camouflage</t>
  </si>
  <si>
    <t>The yeti has advantage on Dexterity (Stealth) checks made to hide in snowy terrain.</t>
  </si>
  <si>
    <t>Keen Smell</t>
  </si>
  <si>
    <t>The yeti has advantage on Wisdom (Perception) checks that rely on smell.</t>
  </si>
  <si>
    <t>Fear of Fire</t>
  </si>
  <si>
    <t>If the yeti takes fire damage, it has disadvantage on attack rolls and ability checks until the end of its next turn.</t>
  </si>
  <si>
    <t>4:27, 9:53</t>
  </si>
  <si>
    <t>+6, 2d6+4</t>
  </si>
  <si>
    <t>Monstrosity</t>
  </si>
  <si>
    <t>https://www.aidedd.org/dnd/monstres.php?vo=Yeti</t>
  </si>
  <si>
    <t>Yeti</t>
  </si>
  <si>
    <t>OGL</t>
  </si>
  <si>
    <t>dunno</t>
  </si>
  <si>
    <t>Heavy Crossbow|2|1d10</t>
  </si>
  <si>
    <t>Ranged Weapon Attack: +2 to hit, range 100/400 ft., one target. Hit: 5 (1d10) piercing damage.</t>
  </si>
  <si>
    <t>Heavy Crossbow</t>
  </si>
  <si>
    <t>Mace|4|1d6+2</t>
  </si>
  <si>
    <t>Melee Weapon Attack: +4 to hit, reach 5 ft., one creature. Hit: 5 (1d6 + 2) bludgeoning damage.</t>
  </si>
  <si>
    <t>Mace</t>
  </si>
  <si>
    <t>The thug makes two melee attacks.</t>
  </si>
  <si>
    <t>Pack Tactics</t>
  </si>
  <si>
    <t>The thug has advantage on an attack roll against a creature if at least one of the thug's allies is within 5 ft. of the creature and the ally isn't incapacitated.</t>
  </si>
  <si>
    <t>2:30, 5:24, 6:18, 9:27</t>
  </si>
  <si>
    <t>1:19, 2:21, 3:22/23, 4:25, 5:24, 6:35, 8:21, 9:55</t>
  </si>
  <si>
    <t>1:10, 2:25, 4:23, 6:28, 9:31, 11:35, 13:30/32, 14:22</t>
  </si>
  <si>
    <t>+4, 1d10</t>
  </si>
  <si>
    <t>+4, 1d6+2</t>
  </si>
  <si>
    <t>!G</t>
  </si>
  <si>
    <t>Any</t>
  </si>
  <si>
    <t>Humanoid</t>
  </si>
  <si>
    <t>NPC</t>
  </si>
  <si>
    <t>https://www.aidedd.org/dnd/monstres.php?vo=Thug</t>
  </si>
  <si>
    <t>Yagra -- 1/2 Orc Thug</t>
  </si>
  <si>
    <t>Yagra Stonefist</t>
  </si>
  <si>
    <t>Claw|6|1d6+3</t>
  </si>
  <si>
    <t>Melee Weapon Attack: +6 to hit, reach 5 ft., one target. Hit: 6 (1d6 + 3) slashing damage.</t>
  </si>
  <si>
    <t>Bite|6|3d6+3</t>
  </si>
  <si>
    <t>Melee Weapon Attack: +6 to hit, reach 5 ft., one target. Hit: 13 (3d6 + 3) piercing damage.</t>
  </si>
  <si>
    <t>The xorn makes three claw attacks and one bite attack.</t>
  </si>
  <si>
    <t>Treasure Sense</t>
  </si>
  <si>
    <t>The xorn can pinpoint, by scent, the location of precious metals and stones, such as coins and gems, within 60 ft. of it.</t>
  </si>
  <si>
    <t>Stone Camouflage</t>
  </si>
  <si>
    <t>The xorn has advantage on Dexterity (Stealth) checks made to hide in rocky terrain.</t>
  </si>
  <si>
    <t>Earth Glide</t>
  </si>
  <si>
    <t>The xorn can burrow through nonmagical, unworked earth and stone. While doing so, the xorn doesn't disturb the material it moves through.</t>
  </si>
  <si>
    <t>+6, 3d6+3</t>
  </si>
  <si>
    <t>+6, 1d6+3</t>
  </si>
  <si>
    <t>Elemental</t>
  </si>
  <si>
    <t>https://www.aidedd.org/dnd/monstres.php?vo=Xorn</t>
  </si>
  <si>
    <t>Xorn</t>
  </si>
  <si>
    <t>Poisoned Dart|4|1d4+2</t>
  </si>
  <si>
    <t>Ranged Weapon Attack: +4 to hit, range 30/120 ft., one creature. Hit: 4 (1d4 + 2) piercing damage, and the target must succeed on a DC 12 Constitution saving throw or be poisoned for 1 minute. The target can repeat the saving throw at the end of each of its turns, ending the effect on itself on a success</t>
  </si>
  <si>
    <t>Poisoned Dart</t>
  </si>
  <si>
    <t>War Pick|4|1d8+2</t>
  </si>
  <si>
    <t>Melee Weapon Attack: +4 to hit, reach 5 ft., one target. Hit: 6 (1d8 + 2) piercing damage.</t>
  </si>
  <si>
    <t>War Pick</t>
  </si>
  <si>
    <t>Innate Spellcasting</t>
  </si>
  <si>
    <t>The gnome's innate spellcasting ability is Intelligence (spell save DC 11). It can innately cast the following spells, requiring no material components: ¶At will: nondetection (self only) ¶1/day each: blindness/deafness, blur, disguise self</t>
  </si>
  <si>
    <t>Gnome Cunning</t>
  </si>
  <si>
    <t>The gnome has advantage on Intelligence, Wisdom, and Charisma saving throws against magic.</t>
  </si>
  <si>
    <t>The gnome has advantage on Dexterity (Stealth) checks made to hide in rocky terrain.</t>
  </si>
  <si>
    <t>11:21</t>
  </si>
  <si>
    <t/>
  </si>
  <si>
    <t>NG</t>
  </si>
  <si>
    <t>Gnome</t>
  </si>
  <si>
    <t>Small</t>
  </si>
  <si>
    <t>https://www.aidedd.org/dnd/monstres.php?vo=Deep-Gnome-(Svirfneblin)</t>
  </si>
  <si>
    <t>Xoblob</t>
  </si>
  <si>
    <t>Stinger|7|2d6+4</t>
  </si>
  <si>
    <t>Melee Weapon Attack: +7 to hit, reach 10 ft., one creature. Hit: 11 (2d6 + 4) piercing damage. The target must make a DC 15 Constitution saving throw, taking 24 (7d6) poison damage on a failed save, or half as much damage on a successful one.</t>
  </si>
  <si>
    <t>Stinger</t>
  </si>
  <si>
    <t>Claws|7|2d8+4</t>
  </si>
  <si>
    <t>Melee Weapon Attack: +7 to hit, reach 5 ft., one target. Hit: 13 (2d8 + 4) slashing damage.</t>
  </si>
  <si>
    <t>Claws</t>
  </si>
  <si>
    <t>Bite|7|2d6+4</t>
  </si>
  <si>
    <t>Melee Weapon Attack: +7 to hit, reach 10 ft., one creature. Hit: 11 (2d6 + 4) piercing damage.</t>
  </si>
  <si>
    <t>The wyvern makes two attacks: one with its bite and one with its stinger. While flying, it can use its claws in place of one other attack.</t>
  </si>
  <si>
    <t>10:36, 13:31</t>
  </si>
  <si>
    <t>+7, 2d8+4</t>
  </si>
  <si>
    <t>https://www.aidedd.org/dnd/monstres.php?vo=Wyvern</t>
  </si>
  <si>
    <t>Wyvern</t>
  </si>
  <si>
    <t>Create Specter</t>
  </si>
  <si>
    <t>The wraith targets a humanoid within 10 feet of it that has been dead for no longer than 1 minute and died violently. The target's spirit rises as a specter in the space of its corpse or in the nearest unoccupied space. The specter is under the wraith's control. The wraith can have no more than seven specters under its control at one time.</t>
  </si>
  <si>
    <t>Life Drain|6|4d8+3</t>
  </si>
  <si>
    <t>Melee Weapon Attack: +6 to hit, reach 5 ft., one creature. Hit: 21 (4d8 + 3) necrotic damage. The target must succeed on a DC 14 Constitution saving throw or its hit point maximum is reduced by an amount equal to the damage taken. This reduction lasts until the target finishes a long rest. The target dies if this effect reduces its hit point maximum to 0.</t>
  </si>
  <si>
    <t>Life Drain</t>
  </si>
  <si>
    <t>Sunlight Sensitivity</t>
  </si>
  <si>
    <t>While in sunlight, the wraith has disadvantage on attack rolls, as well as on Wisdom (Perception) checks that rely on sight.</t>
  </si>
  <si>
    <t>Incorporeal Movement</t>
  </si>
  <si>
    <t>The wraith can move through other creatures and objects as if they were difficult terrain. It takes 5 (1d10) force damage if it ends its turn inside an object.</t>
  </si>
  <si>
    <t>7:34</t>
  </si>
  <si>
    <t>+6, 4d8+3</t>
  </si>
  <si>
    <t>https://www.aidedd.org/dnd/monstres.php?vo=Wraith</t>
  </si>
  <si>
    <t>Wraith</t>
  </si>
  <si>
    <t>Bite |5|2d6+3</t>
  </si>
  <si>
    <t>Melee Weapon Attack: +5 to hit, reach 5 ft., one target. Hit: 10 (2d6 + 3) piercing damage. If the target is a creature, it must succeed on a DC 13 Strength saving throw or be knocked prone.</t>
  </si>
  <si>
    <t>Keen Hearing and Smell</t>
  </si>
  <si>
    <t>The worg has advantage on Wisdom (Perception) checks that rely on hearing or smell.</t>
  </si>
  <si>
    <t>5:26</t>
  </si>
  <si>
    <t>1:15, 9:31, 13:31</t>
  </si>
  <si>
    <t>+5, 2d6+3</t>
  </si>
  <si>
    <t>Creature</t>
  </si>
  <si>
    <t>https://www.aidedd.org/dnd/monstres.php?vo=Worg</t>
  </si>
  <si>
    <t>Worg</t>
  </si>
  <si>
    <t>Bite|4|2d4+2</t>
  </si>
  <si>
    <t>Melee Weapon Attack: +4 to hit, reach 5 ft., one target. Hit: 7 (2d4 + 2) piercing damage. If the target is a creature, it must succeed on a DC 11 Strength saving throw or be knocked prone.</t>
  </si>
  <si>
    <t>The wolf has advantage on an attack roll against a creature if at least one of the wolf's allies is within 5 ft. of the creature and the ally isn't incapacitated.</t>
  </si>
  <si>
    <t>The wolf has advantage on Wisdom (Perception) checks that rely on hearing or smell.</t>
  </si>
  <si>
    <t>9:26</t>
  </si>
  <si>
    <t>1:15/31</t>
  </si>
  <si>
    <t>+6, 2d4+4</t>
  </si>
  <si>
    <t>Beast</t>
  </si>
  <si>
    <t>https://www.aidedd.org/dnd/monstres.php?vo=Wolf</t>
  </si>
  <si>
    <t>Wolf</t>
  </si>
  <si>
    <t>Cold Breath (Recharge 5-6)||4d8</t>
  </si>
  <si>
    <t>The wolf exhales a blast of freezing wind in a 15-foot cone. Each creature in that area must make a DC 12 Dexterity saving throw, taking 18 (4d8) cold damage on a failed save, or half as much damage on a successful one.</t>
  </si>
  <si>
    <t>Bite |6|2d6+4</t>
  </si>
  <si>
    <t>Melee Weapon Attack: +6 to hit, reach 5 ft., one target. Hit: 11 (2d6 + 4) piercing damage. If the target is a creature, it must succeed on a DC 14 Strength saving throw or be knocked prone.</t>
  </si>
  <si>
    <t>The wolf has advantage on Dexterity (Stealth) checks made to hide in snowy terrain.</t>
  </si>
  <si>
    <t>9:53</t>
  </si>
  <si>
    <t>+6, 4d8</t>
  </si>
  <si>
    <t>https://www.aidedd.org/dnd/monstres.php?vo=Winter-Wolf</t>
  </si>
  <si>
    <t>Winter-Wolf</t>
  </si>
  <si>
    <t>Winter Wolf</t>
  </si>
  <si>
    <t>Invisibility</t>
  </si>
  <si>
    <t>The will-o'-wisp and its light magically become invisible until it attacks or uses its Consume Life, or until its concentration ends (as if concentrating on a spell).</t>
  </si>
  <si>
    <t>Shock |4|2d8</t>
  </si>
  <si>
    <t>Melee Spell Attack: +4 to hit, reach 5 ft., one creature. Hit: 9 (2d8) lightning damage.</t>
  </si>
  <si>
    <t>Shock</t>
  </si>
  <si>
    <t>The will-o'-wisp sheds bright light in a 5- to 20-foot radius and dim light for an additional number of ft. equal to the chosen radius. The will-o'-wisp can alter the radius as a bonus action.</t>
  </si>
  <si>
    <t>Variable Illumination</t>
  </si>
  <si>
    <t>The will-o'-wisp can move through other creatures and objects as if they were difficult terrain. It takes 5 (1d10) force damage if it ends its turn inside an object.</t>
  </si>
  <si>
    <t>Ephemeral</t>
  </si>
  <si>
    <t>The will-o'-wisp can't wear or carry anything.</t>
  </si>
  <si>
    <t>Consume Life</t>
  </si>
  <si>
    <t>As a bonus action, the will-o'-wisp can target one creature it can see within 5 ft. of it that has 0 hit points and is still alive. The target must succeed on a DC 10 Constitution saving throw against this magic or die. If the target dies, the will-o'-wisp regains 10 (3d6) hit points.</t>
  </si>
  <si>
    <t>7:32</t>
  </si>
  <si>
    <t>9:51</t>
  </si>
  <si>
    <t>12:29, 14:22</t>
  </si>
  <si>
    <t>+2, 2d8</t>
  </si>
  <si>
    <t>Tiny</t>
  </si>
  <si>
    <t>https://www.aidedd.org/dnd/monstres.php?vo=Will-o'-Wisp</t>
  </si>
  <si>
    <t>Will-o'-Wisp</t>
  </si>
  <si>
    <t>Longbow|4|1d8+2</t>
  </si>
  <si>
    <t>Ranged Weapon Attack: +4 to hit, range 150/600 ft., one target. Hit: 6 (1d8 + 2) piercing damage.</t>
  </si>
  <si>
    <t>Longbow</t>
  </si>
  <si>
    <t>Longsword|4|1d8+2</t>
  </si>
  <si>
    <t>Melee Weapon Attack: +4 to hit, reach 5 ft., one target. Hit: 6 (1d8 + 2) slashing damage, or 7 (1d10 + 2) slashing damage if used with two hands.</t>
  </si>
  <si>
    <t>Longsword</t>
  </si>
  <si>
    <t>Life Drain|4|1d6+2</t>
  </si>
  <si>
    <t>Melee Weapon Attack: +4 to hit, reach 5 ft., one creature. Hit: 5 (1d6 + 2) necrotic damage. The target must succeed on a DC 13 Constitution saving throw or its hit point maximum is reduced by an amount equal to the damage taken. This reduction lasts until the target finishes a long rest. The target dies if this effect reduces its hit point maximum to 0. ¶A humanoid slain by this attack rises 24 hours later as a zombie under the wight's control, unless the humanoid is restored to life or its body is destroyed. The wight can have no more than twelve zombies under its control at one time.</t>
  </si>
  <si>
    <t>The wight makes two longsword attacks or two longbow attacks. It can use its Life Drain in place of one longsword attack.</t>
  </si>
  <si>
    <t>While in sunlight, the wight has disadvantage on attack rolls, as well as on Wisdom (Perception) checks that rely on sight.</t>
  </si>
  <si>
    <t>5:21</t>
  </si>
  <si>
    <t>+4, 1d10+2</t>
  </si>
  <si>
    <t>https://www.aidedd.org/dnd/monstres.php?vo=Wight</t>
  </si>
  <si>
    <t>Wight</t>
  </si>
  <si>
    <t>Cold Breath||5d8</t>
  </si>
  <si>
    <t>The dragon exhales an icy blast of hail in a 15-foot cone. Each creature in that area must make a DC 12 Constitution saving throw, taking 22 (5d8) cold damage on a failed save, or half as much damage on a successful one.</t>
  </si>
  <si>
    <t>Bite|4|1d10+2+1d4</t>
  </si>
  <si>
    <t>Melee Weapon Attack: +4 to hit, reach 5 ft., one target. Hit: 7 (1d10 + 2) piercing damage plus 2 (1d4) cold damage.</t>
  </si>
  <si>
    <t>https://www.aidedd.org/dnd/monstres.php?vo=White-Dragon-Wyrmling</t>
  </si>
  <si>
    <t>White-Dragon-Wyrmling</t>
  </si>
  <si>
    <t>White Dragon Wyrmling</t>
  </si>
  <si>
    <t>One-Handed|4|1d6+2 Two-Handed|4|1d8+2</t>
  </si>
  <si>
    <t>Melee or Ranged Weapon Attack: +4 to hit, reach 5 ft. or range 20/60 ft., one creature. Hit: 5 (1d6 + 2) piercing damage, or 6 (1d8 + 2) piercing damage if used with two hands to make a melee attack.</t>
  </si>
  <si>
    <t>Spear (Humanoid Form Only)</t>
  </si>
  <si>
    <t>Claws|4|2d4+2</t>
  </si>
  <si>
    <t>Melee Weapon Attack: +4 to hit, reach 5 ft., one creature. Hit: 7 (2d4 + 2) slashing damage.</t>
  </si>
  <si>
    <t>Claws (Hybrid Form Only)</t>
  </si>
  <si>
    <t>Bite (Wolf or Hybrid Form Only)|4|1d8+2</t>
  </si>
  <si>
    <t>Melee Weapon Attack: +4 to hit, reach 5 ft., one target. Hit: 6 (1d8 + 2) piercing damage. If the target is a humanoid, it must succeed on a DC 12 Constitution saving throw or be cursed with werewolf lycanthropy.</t>
  </si>
  <si>
    <t>Bite (Wolf or Hybrid Form Only)</t>
  </si>
  <si>
    <t>Multiattack (Humanoid or Hybrid Form Only)</t>
  </si>
  <si>
    <t>The werewolf makes two attacks: one with its bite and one with its claws or spear.</t>
  </si>
  <si>
    <t>The werewolf has advantage on Wisdom (Perception) checks that rely on hearing or smell.</t>
  </si>
  <si>
    <t>Shapechanger</t>
  </si>
  <si>
    <t>The werewolf can use its action to polymorph into a wolf-humanoid hybrid or into a wolf, or back into its true form, which is humanoid. Its statistics, other than its AC, are the same in each form. Any equipment it is wearing or carrying isn't transformed. It reverts to its true form if it dies.</t>
  </si>
  <si>
    <t>+4, 2d4+2</t>
  </si>
  <si>
    <t>+4, 1d8+2</t>
  </si>
  <si>
    <t>Human</t>
  </si>
  <si>
    <t>https://www.aidedd.org/dnd/monstres.php?vo=Werewolf</t>
  </si>
  <si>
    <t>Werewolf</t>
  </si>
  <si>
    <t>Longbow (Humanoid or Hybrid Form Only)</t>
  </si>
  <si>
    <t>Scimitar|5|1d6+3</t>
  </si>
  <si>
    <t>Melee Weapon Attack: +5 to hit, reach 5 ft., one target. Hit: 6 (1d6 + 3) slashing damage.</t>
  </si>
  <si>
    <t>Scimitar (Humanoid or Hybrid Form Only)</t>
  </si>
  <si>
    <t>Claw|5|1d8+3</t>
  </si>
  <si>
    <t>Melee Weapon Attack: +5 to hit, reach 5 ft., one target. Hit: 7 (1d8 + 3) slashing damage.</t>
  </si>
  <si>
    <t>Claw (Tiger or Hybrid Form Only)</t>
  </si>
  <si>
    <t>Bite|5|1d10+3</t>
  </si>
  <si>
    <t>Melee Weapon Attack: +5 to hit, reach 5 ft., one target. Hit: 8 (1d10 + 3) piercing damage. If the target is a humanoid, it must succeed on a DC 13 Constitution saving throw or be cursed with weretiger lycanthropy.</t>
  </si>
  <si>
    <t>Bite (Tiger or Hybrid Form Only)</t>
  </si>
  <si>
    <t>In humanoid form, the weretiger makes two scimitar attacks or two longbow attacks. In hybrid form, it can attack like a humanoid or make two claw attacks.</t>
  </si>
  <si>
    <t>Pounce (Tiger or Hybrid Form Only)</t>
  </si>
  <si>
    <t>If the weretiger moves at least 15 feet straight toward a creature and then hits it with a claw attack on the same turn, that target must succeed on a DC 14 Strength saving throw or be knocked prone. If the target is prone, the weretiger can make one bite attack against it as a bonus action.</t>
  </si>
  <si>
    <t>The weretiger has advantage on Wisdom (Perception) checks that rely on hearing or smell.</t>
  </si>
  <si>
    <t>The weretiger can use its action to polymorph into a tiger-humanoid hybrid or into a tiger, or back into its true form, which is humanoid. Its statistics, other than its size, are the same in each form. Any equipment it is wearing or carrying isn't transformed. It reverts to its true form if it dies.</t>
  </si>
  <si>
    <t>+5, 1d8+3</t>
  </si>
  <si>
    <t>+5, 1d10+3</t>
  </si>
  <si>
    <t>https://www.aidedd.org/dnd/monstres.php?vo=Weretiger</t>
  </si>
  <si>
    <t>Weretiger</t>
  </si>
  <si>
    <t>Hand Crossbow|4|1d6+2</t>
  </si>
  <si>
    <t>Ranged Weapon Attack: +4 to hit, range 30/120 ft., one target. Hit: 5 (1d6 + 2) piercing damage.</t>
  </si>
  <si>
    <t>Hand Crossbow (Humanoid or Hybrid Form Only)</t>
  </si>
  <si>
    <t>Shortsword|4|1d6+2</t>
  </si>
  <si>
    <t>Melee Weapon Attack: +4 to hit, reach 5 ft., one target. Hit: 5 (1d6 + 2) piercing damage.</t>
  </si>
  <si>
    <t>Shortsword (Humanoid or Hybrid Form Only)</t>
  </si>
  <si>
    <t>Bite|4|1d4+2</t>
  </si>
  <si>
    <t>Melee Weapon Attack: +4 to hit, reach 5 ft., one target. Hit: 4 (1d4 + 2) piercing damage. If the target is a humanoid, it must succeed on a DC 11 Constitution saving throw or be cursed with wererat lycanthropy.</t>
  </si>
  <si>
    <t>Bite (Rat or Hybrid Form Only).</t>
  </si>
  <si>
    <t>The wererat makes two attacks, only one of which can be a bite.</t>
  </si>
  <si>
    <t>The wererat has advantage on Wisdom (Perception) checks that rely on smell.</t>
  </si>
  <si>
    <t>The wererat can use its action to polymorph into a rat-humanoid hybrid or into a giant rat, or back into its true form, which is humanoid. Its statistics, other than its size, are the same in each form. Any equipment it is wearing or carrying isn't transformed. It reverts to its true form if it dies.</t>
  </si>
  <si>
    <t>+4, 1d4+2</t>
  </si>
  <si>
    <t>https://www.aidedd.org/dnd/monstres.php?vo=Wererat</t>
  </si>
  <si>
    <t>Wererat</t>
  </si>
  <si>
    <t>Tusks|5|2d6+3</t>
  </si>
  <si>
    <t>Melee Weapon Attack: +5 to hit, reach 5 ft., one target. Hit: 10 (2d6 + 3) slashing damage. If the target is a humanoid, it must succeed on a DC 12 Constitution saving throw or be cursed with wereboar lycanthropy.</t>
  </si>
  <si>
    <t>Tusks (Boar or Hybrid Form Only)</t>
  </si>
  <si>
    <t>Maul|5|2d6+3</t>
  </si>
  <si>
    <t>Melee Weapon Attack: +5 to hit, reach 5 ft., one target. Hit: 10 (2d6 + 3) bludgeoning damage.</t>
  </si>
  <si>
    <t>Maul (Humanoid or Hybrid Form Only)</t>
  </si>
  <si>
    <t>The wereboar makes two attacks, only one of which can be with its tusks.</t>
  </si>
  <si>
    <t>Relentless (Recharges after a Short or Long Rest)</t>
  </si>
  <si>
    <t>If the wereboar takes 14 damage or less that would reduce it to 0 hit points, it is reduced to 1 hit point instead.</t>
  </si>
  <si>
    <t>Charge||2d6</t>
  </si>
  <si>
    <t>If the wereboar moves at least 15 feet straight toward a target and then hits it with its tusks on the same turn, the target takes an extra 7 (2d6) slashing damage. If the target is a creature, it must succeed on a DC 13 Strength saving throw or be knocked prone.</t>
  </si>
  <si>
    <t>Charge (Boar or Hybrid Form Only)</t>
  </si>
  <si>
    <t>The wereboar can use its action to polymorph into a boar-humanoid hybrid or into a boar, or back into its true form, which is humanoid. Its statistics, other than its AC, are the same in each form. Any equipment it is wearing or carrying isn't transformed. It reverts to its true form if it dies.</t>
  </si>
  <si>
    <t>https://www.aidedd.org/dnd/monstres.php?vo=Wereboar</t>
  </si>
  <si>
    <t>Wereboar</t>
  </si>
  <si>
    <t>Greataxe|7|1d12+4</t>
  </si>
  <si>
    <t>Melee Weapon Attack: +7 to hit, reach 5 ft., one target. Hit: 10 (1d12 + 4) slashing damage.</t>
  </si>
  <si>
    <t>Greataxe (Humanoid or Hybrid Form Only)</t>
  </si>
  <si>
    <t>Claw|7|2d8+4</t>
  </si>
  <si>
    <t>Claw (Bear or Hybrid Form Only)</t>
  </si>
  <si>
    <t>Melee Weapon Attack: +7 to hit, reach 5 ft., one target. Hit: 15 (2d10 + 4) piercing damage. If the target is a humanoid, it must succeed on a DC 14 Constitution saving throw or be cursed with were bear lycanthropy.</t>
  </si>
  <si>
    <t>Bite (Bear or Hybrid Form Only)</t>
  </si>
  <si>
    <t>In bear form, the werebear makes two claw attacks. In humanoid form, it makes two greataxe attacks. In hybrid form, it can attack like a bear or a humanoid.</t>
  </si>
  <si>
    <t>The werebear has advantage on WisGlom (Perception) checks that rely on smell.</t>
  </si>
  <si>
    <t>The werebear can use its action to polymorph into a Large bear-humanoid hybrid or into a Large bear, or back into its true form, which is humanoid. Its statistics, other than its size and AC, are the same in each form. Any equipment it. is wearing or carrying isn't transformed. It reverts to its true form if it dies.</t>
  </si>
  <si>
    <t>https://www.aidedd.org/dnd/monstres.php?vo=Werebear</t>
  </si>
  <si>
    <t>Werebear</t>
  </si>
  <si>
    <t>Bite|5|1</t>
  </si>
  <si>
    <t>Melee Weapon Attack: +5 to hit, reach 5 ft., one creature. Hit: 1 piercing damage.</t>
  </si>
  <si>
    <t>The weasel has advantage on Wisdom (Perception) checks that rely on hearing or smell.</t>
  </si>
  <si>
    <t>+2, 1</t>
  </si>
  <si>
    <t>https://www.aidedd.org/dnd/monstres.php?vo=Weasel</t>
  </si>
  <si>
    <t>Weasel</t>
  </si>
  <si>
    <t>Whelm (Recharge 4-6)</t>
  </si>
  <si>
    <t>Each creature in the elemental's space must make a DC 15 Strength saving throw. On a failure, a target takes 13 (2d8 + 4) bludgeoning damage. If it is Large or smaller, it is also grappled (escape DC 14). Until this grapple ends, the target is restrained and unable to breathe unless it can breathe water. If the saving throw is successful, the target is pushed out of the elemental's space. ¶The elemental can grapple one Large creature or up to two Medium or smaller creatures at one time. At the start of each of the elemental's turns, each target grappled by it takes 13 (2d8 + 4) bludgeoning damage. A creature within 5 feet of the elemental can pull a creature or object out of it by taking an action to make a DC 14 Strength and succeeding.</t>
  </si>
  <si>
    <t>Slam|7|2d8+4</t>
  </si>
  <si>
    <t>Melee Weapon Attack: +7 to hit, reach 5 ft., one target. Hit: 13 (2d8 + 4) bludgeoning damage.</t>
  </si>
  <si>
    <t>The elemental makes two slam attacks.</t>
  </si>
  <si>
    <t>Freeze</t>
  </si>
  <si>
    <t>If the elemental takes cold damage, it partially freezes; its speed is reduced by 20 ft. until the end of its next turn.</t>
  </si>
  <si>
    <t>Water Form</t>
  </si>
  <si>
    <t>The elemental can enter a hostile creature's space and stop there. It can move through a space as narrow as 1 inch wide without squeezing.</t>
  </si>
  <si>
    <t>3:25</t>
  </si>
  <si>
    <t>https://www.aidedd.org/dnd/monstres.php?vo=Water-Elemental</t>
  </si>
  <si>
    <t>Water-Elemental</t>
  </si>
  <si>
    <t>Water Elemental</t>
  </si>
  <si>
    <t>Hooves|6|2d6+4</t>
  </si>
  <si>
    <t>Melee Weapon Attack: +6 to hit, reach 5 ft., one target. Hit: 11 (2d6 + 4) bludgeoning damage.</t>
  </si>
  <si>
    <t>Hooves</t>
  </si>
  <si>
    <t>https://www.aidedd.org/dnd/monstres.php?vo=Warhorse-Skeleton</t>
  </si>
  <si>
    <t>Warhorse-Skeleton</t>
  </si>
  <si>
    <t>Warhorse Skeleton</t>
  </si>
  <si>
    <t>Trampling Charge</t>
  </si>
  <si>
    <t>If the horse moves at least 20 ft. straight toward a creature and then hits it with a hooves attack on the same turn, that target must succeed on a DC 14 Strength saving throw or be knocked prone. If the target is prone, the horse can make another attack with its hooves against it as a bonus action.</t>
  </si>
  <si>
    <t>https://www.aidedd.org/dnd/monstres.php?vo=Warhorse</t>
  </si>
  <si>
    <t>Warhorse</t>
  </si>
  <si>
    <t>Beak|2|1d4</t>
  </si>
  <si>
    <t>Melee Weapon Attack: +2 to hit, reach 5 ft., one target. Hit: 2 (1d4) piercing damage.</t>
  </si>
  <si>
    <t>Beak</t>
  </si>
  <si>
    <t>The vulture has advantage on an attack roll against a creature if at least one of the vulture's allies is within 5 ft. of the creature and the ally isn't incapacitated.</t>
  </si>
  <si>
    <t>Keen Sight and Smell</t>
  </si>
  <si>
    <t>The vulture has advantage on Wisdom (Perception) checks that rely on sight or smell.</t>
  </si>
  <si>
    <t>+2, 1d4</t>
  </si>
  <si>
    <t>https://www.aidedd.org/dnd/monstres.php?vo=Vulture</t>
  </si>
  <si>
    <t>Vulture</t>
  </si>
  <si>
    <t>Variant: Summon Demon (1/Day)</t>
  </si>
  <si>
    <t>The demon chooses what to summon and attempts a magical summoning. ¶A vrock has a 30 percent chance of summoning 2d4 dretches or one vrock. ¶A summoned demon appears in an unoccupied space within 60 feet of its summoner, acts as an ally of its summoner, and can't summon other demons. It remains for 1 minute, until it or its summoner dies, or until its summoner dismisses it as an action.</t>
  </si>
  <si>
    <t>Stunning Screech (1/Day)</t>
  </si>
  <si>
    <t>The vrock emits a horrific screech. Each creature within 20 feet of it that can hear it and that isn't a demon must succeed on a DC 14 Constitution saving throw or be stunned until the end of the vrock's next turn .</t>
  </si>
  <si>
    <t>Spores (Recharge 6)</t>
  </si>
  <si>
    <t>A 15-foot-radius cloud of toxic spores extends out from the vrock. The spores spread around corners. Each creature in that area must succeed on a DC 14 Constitution saving throw or become poisoned. While poisoned in this way, a target takes 5 (1d10) poison damage at the start of each of its turns. A target can repeat the saving throw at the end of each of its turns, ending the effect on itself on a success. Emptying a vial of holy water on the target also ends the effect on it.</t>
  </si>
  <si>
    <t>Talons|6|2d10+3</t>
  </si>
  <si>
    <t>Melee Weapon Attack: +6 to hit, reach 5 ft., one target. Hit: 14 (2d10 + 3) slashing damage.</t>
  </si>
  <si>
    <t>Talons</t>
  </si>
  <si>
    <t>Beak|6|2d6+3</t>
  </si>
  <si>
    <t>Melee Weapon Attack: +6 to hit, reach 5 ft., one target. Hit: 10 (2d6 + 3) piercing damage.</t>
  </si>
  <si>
    <t>The vrock makes two attacks: one with its beak and one with its talons.</t>
  </si>
  <si>
    <t>Magic Resistance</t>
  </si>
  <si>
    <t>The vrock has advantage on saving throws against spells and other magical effects.</t>
  </si>
  <si>
    <t>4:50</t>
  </si>
  <si>
    <t>+6, 2d10+3</t>
  </si>
  <si>
    <t>+6, 2d6+3</t>
  </si>
  <si>
    <t>Demon</t>
  </si>
  <si>
    <t>Fiend</t>
  </si>
  <si>
    <t>https://www.aidedd.org/dnd/monstres.php?vo=Vrock</t>
  </si>
  <si>
    <t>Vrock</t>
  </si>
  <si>
    <t>Rotting Touch|2|1d8</t>
  </si>
  <si>
    <t>Melee Weapon Attack: +2 to hit, reach 10 ft., one creature. Hit: 4 (1d8) necrotic damage.</t>
  </si>
  <si>
    <t>Rotting Touch</t>
  </si>
  <si>
    <t>The fungus makes 1d4 Rotting Touch attacks.</t>
  </si>
  <si>
    <t>False Appearance</t>
  </si>
  <si>
    <t>While the violet fungus remains motionless, it is indistinguishable from an ordinary fungus.</t>
  </si>
  <si>
    <t>7:21</t>
  </si>
  <si>
    <t>+2, 1d8</t>
  </si>
  <si>
    <t>Plant</t>
  </si>
  <si>
    <t>https://www.aidedd.org/dnd/monstres.php?vo=Violet-Fungus</t>
  </si>
  <si>
    <t>Violet-Fungus</t>
  </si>
  <si>
    <t>Violet Fungus</t>
  </si>
  <si>
    <t>Heavy Crossbow|3|1d10+1</t>
  </si>
  <si>
    <t>Ranged Weapon Attack: +3 to hit, range 100/400 ft., one target. Hit: 6 (1d10 + 1) piercing damage.</t>
  </si>
  <si>
    <t>Shortsword|5|1d6+3</t>
  </si>
  <si>
    <t>Melee Weapon Attack: +5 to hit, reach 5 ft., one target. Hit: 6 (1d6 + 3) piercing damage.</t>
  </si>
  <si>
    <t>Shortsword</t>
  </si>
  <si>
    <t>Longsword|5|1d8+3</t>
  </si>
  <si>
    <t>Melee Weapon Attack: +5 to hit, reach 5 ft., one target. Hit: 7 (1d8 + 3) slashing damage, or 8 (1d10 + 3) slashing damage if used with two hands.</t>
  </si>
  <si>
    <t>The veteran makes two longsword attacks. If it has a shortsword drawn, it can also make a shortsword attack.</t>
  </si>
  <si>
    <t>2:29, 3:30, 8:24, 9:27</t>
  </si>
  <si>
    <t>2:24, 4:25, 8:22</t>
  </si>
  <si>
    <t>3:29, 10:36, 11:45, 14:22</t>
  </si>
  <si>
    <t>+5, 1d6+3</t>
  </si>
  <si>
    <t>https://www.aidedd.org/dnd/monstres.php?vo=Veteran</t>
  </si>
  <si>
    <t>Veteran</t>
  </si>
  <si>
    <t>Claws|6|2d4+3</t>
  </si>
  <si>
    <t>Melee Weapon Attack: +6 to hit, reach 5 ft., one creature. Hit: 8 (2d4 + 3) slashing damage. Instead of dealing damage, the vampire can grapple the target (escape DC 13).</t>
  </si>
  <si>
    <t>Bite|6|1d6+3+2d6</t>
  </si>
  <si>
    <t>Melee Weapon Attack: +6 to hit, reach 5 ft., one willing creature, or a creature that is grappled by the vampire, incapacitated, or restrained. Hit: 6 (1d6 + 3) piercing damage plus 7 (2d6) necrotic damage. The target's hit point maximum is reduced by an amount equal to the necrotic damage taken, and the vampire regains hit points equal to that amount. The reduction lasts until the target finishes a long rest. The target dies if this effect reduces its hit point maximum to 0.</t>
  </si>
  <si>
    <t>The vampire makes two attacks, only one of which can be a bite attack.</t>
  </si>
  <si>
    <t>Vampire Weaknesses</t>
  </si>
  <si>
    <t>The vampire has the following flaws: ¶Forbiddance. The vampire can't enter a residence without an invitation from one of the occupants. ¶Harmed by Running Water. The vampire takes 20 acid damage when it ends its turn in running water. ¶Stake to the Heart. The vampire is destroyed if a piercing weapon made of wood is driven into its heart while it is incapacitated in its resting place. ¶Sunlight Hypersensitivity. The vampire takes 20 radiant damage when it starts its turn in sunlight. While in sunlight, it has disadvantage on attack rolls and ability checks.</t>
  </si>
  <si>
    <t>Spider Climb</t>
  </si>
  <si>
    <t>The vampire can climb difficult surfaces, including upside down on ceilings, without needing to make an ability check.</t>
  </si>
  <si>
    <t>Regeneration</t>
  </si>
  <si>
    <t>The vampire regains 10 hit points at the start of its turn if it has at least 1 hit point and isn't in sunlight or running water. If the vampire takes radiant damage or damage from holy water, this trait doesn't function at the start of the vampire's next turn.</t>
  </si>
  <si>
    <t>+6, 2d4+3</t>
  </si>
  <si>
    <t>Vampire</t>
  </si>
  <si>
    <t>https://www.aidedd.org/dnd/monstres.php?vo=Vampire-Spawn</t>
  </si>
  <si>
    <t>Vampire-Spawn</t>
  </si>
  <si>
    <t>Vampire Spawn</t>
  </si>
  <si>
    <t>The vampire makes one bite attack.</t>
  </si>
  <si>
    <t>Bite (Costs 2 Actions)</t>
  </si>
  <si>
    <t>The vampire makes one unarmed strike.</t>
  </si>
  <si>
    <t>Unarmed Strike</t>
  </si>
  <si>
    <t>The vampire moves up to its speed without provoking opportunity attacks.</t>
  </si>
  <si>
    <t>Move</t>
  </si>
  <si>
    <t>Children of the Night (1/Day)</t>
  </si>
  <si>
    <t>The vampire magically calls 2d4 swarms of bats or rats, provided that the sun isn't up. While outdoors, the vampire can call 3d6 wolves instead. The called creatures arrive in 1d4 rounds, acting as allies of the vampire and obeying its spoken commands. The beasts remain for 1 hour, until the vampire dies, or until the vampire dismisses them as a bonus action.</t>
  </si>
  <si>
    <t>Charm</t>
  </si>
  <si>
    <t>The vampire targets one humanoid it can see within 30 ft. of it. If the target can see the vampire, the target must succeed on a DC 17 Wisdom saving throw against this magic or be charmed by the vampire. The charmed target regards the vampire as a trusted friend to be heeded and protected. Although the target isn't under the vampire's control, it takes the vampire's requests or actions in the most favorable way it can, and it is a willing target for the vampire's bit attack. ¶Each time the vampire or the vampire's companions do anything harmful to the target, it can repeat the saving throw, ending the effect on itself on a success. Otherwise, the effect lasts 24 hours or until the vampire is destroyed, is on a different plane of existence than the target, or takes a bonus action to end the effect</t>
  </si>
  <si>
    <t>Bite (Bat or Vampire Form Only)|9|1d6+4+3d6</t>
  </si>
  <si>
    <t>Melee Weapon Attack: +9 to hit, reach 5 ft., one willing creature, or a creature that is grappled by the vampire, incapacitated, or restrained. Hit: 7 (1d6 + 4) piercing damage plus 10 (3d6) necrotic damage. The target's hit point maximum is reduced by an amount equal to the necrotic damage taken, and the vampire regains hit points equal to that amount. The reduction lasts until the target finishes a long rest. The target dies if this effect reduces its hit point maximum to 0. A humanoid slain in this way and then buried in the ground rises the following night as a vampire spawn under the vampire's control.</t>
  </si>
  <si>
    <t>Bite (Bat or Vampire Form Only)</t>
  </si>
  <si>
    <t>Unarmed Strike (Vampire Form Only)|9|1d8+4</t>
  </si>
  <si>
    <t>Melee Weapon Attack: +9 to hit, reach 5 ft., one creature. Hit: 8 (1d8 + 4) bludgeoning damage. Instead of dealing damage, the vampire can grapple the target (escape DC 18).</t>
  </si>
  <si>
    <t>Unarmed Strike (Vampire Form Only)</t>
  </si>
  <si>
    <t>Multiattack (Vampire Form Only)</t>
  </si>
  <si>
    <t>The vampire has the following flaws: ¶Forbiddance. The vampire can't enter a residence without an invitation from one of the occupants. ¶Harmed by Running Water. The vampire takes 20 acid damage if it ends its turn in running water. ¶Stake to the Heart. If a piercing weapon made of wood is driven into the vampire's heart while the vampire is incapacitated in its resting place, the vampire is paralyzed until the stake is removed. ¶Sunlight Hypersensitivity. The vampire takes 20 radiant damage when it starts its turn in sunlight. While in sunlight, it has disadvantage on attack rolls and ability checks.</t>
  </si>
  <si>
    <t>The vampire regains 20 hit points at the start of its turn if it has at least 1 hit point and isn't in sunlight or running water. If the vampire takes radiant damage or damage from holy water, this trait doesn't function at the start of the vampire's next turn.</t>
  </si>
  <si>
    <t>Misty Escape</t>
  </si>
  <si>
    <t>When it drops to 0 hit points outside its resting place, the vampire transforms into a cloud of mist (as in the Shapechanger trait) instead of falling unconscious, provided that it isn't in sunlight or running water. If it can't transform, it is destroyed. ¶While it has 0 hit points in mist form, it can't revert to its vampire form, and it must reach its resting place within 2 hours or be destroyed. Once in its resting place, it reverts to its vampire form. It is then paralyzed until it regains at least 1 hit point. After spending 1 hour in its resting place with 0 hit points, it regains 1 hit point.</t>
  </si>
  <si>
    <t>Legendary Resistance (3/Day)</t>
  </si>
  <si>
    <t>If the vampire fails a saving throw, it can choose to succeed instead.</t>
  </si>
  <si>
    <t>If the vampire isn't in sun light or running water, it can use its action to polymorph into a Tiny bat or a Medium cloud of mist, or back into its true form. ¶While in bat form, the vampire can't speak, its walking speed is 5 feet, and it has a flying speed of 30 feet. Its statistics, other than its size and speed, are unchanged. Anything it is wearing transforms with it, but nothing it is carrying does. It reverts to its true form if it dies. ¶While in mist form, the vampire can't take any actions, speak, or manipulate objects. It is weightless, has a flying speed of 20 feet, can hover, and can enter a hostile creature's space and stop there. In addition, if air can pass through a space, the mist can do so without squeezing, and it can't pass through water. It has advantage on Strength, Dexterity, and Constitution saving throws, and it is immune to all nonmagical damage, except the damage it takes from sunlight.</t>
  </si>
  <si>
    <t>+9, 4d6+4</t>
  </si>
  <si>
    <t>https://www.aidedd.org/dnd/monstres.php?vo=Vampire</t>
  </si>
  <si>
    <t>The unicorn magically regains 11 (2d8 + 2) hit points.</t>
  </si>
  <si>
    <t>Heal Self (Costs 3 Actions)</t>
  </si>
  <si>
    <t>The unicorn creates a shimmering, magical field around itself or another creature it can see within 60 ft. of it. The target gains a +2 bonus to AC until the end of the unicorn's next turn.</t>
  </si>
  <si>
    <t>Shimmering Shield (Costs 2 Actions)</t>
  </si>
  <si>
    <t>The unicorn makes one attack with its hooves.</t>
  </si>
  <si>
    <t>Teleport (1/Day)</t>
  </si>
  <si>
    <t>The unicorn magically teleports itself and up to three willing creatures it can see within 5 ft. of it, along with any equipment they are wearing or carrying, to a location the unicorn is familiar with, up to 1 mile away.</t>
  </si>
  <si>
    <t>Healing Touch (3/Day)</t>
  </si>
  <si>
    <t>The unicorn touches another creature with its horn. The target magically regains 11 (2d8 + 2) hit points. In addition, the touch removes all diseases and neutralizes all poisons afflicting the target.</t>
  </si>
  <si>
    <t>Horn|7|1d8+4</t>
  </si>
  <si>
    <t>Melee Weapon Attack: +7 to hit, reach 5 ft ., one target. Hit: 8 (1d8 + 4) piercing damage.</t>
  </si>
  <si>
    <t>Horn</t>
  </si>
  <si>
    <t>Hooves|7|2d6+4</t>
  </si>
  <si>
    <t>Melee Weapon Attack: +7 to hit, reach 5 ft ., one target. Hit: 11 (2d6 + 4) bludgeoning damage.</t>
  </si>
  <si>
    <t>The unicorn makes two attacks: one with its hooves and one with its horn.</t>
  </si>
  <si>
    <t>The unicorn's weapon attacks are magical.</t>
  </si>
  <si>
    <t>Magic Weapons</t>
  </si>
  <si>
    <t>The unicorn has advantage on saving throws against spells and other magical effects.</t>
  </si>
  <si>
    <t>The unicorn's innate spellcasting ability is Charisma (spell save DC 14). The unicorn can innately cast the following spells, requiring no components: At will: detect evil and good, druidcraft, pass without trace ¶1/day each: calm emotions, dispel evil and good, entangle</t>
  </si>
  <si>
    <t>Charge||2d8</t>
  </si>
  <si>
    <t>If the unicorn moves at least 20 ft. straight toward a target and then hits it with a horn attack on the same turn, the target takes an extra 9 (2d8) piercing damage. If the target is a creature, it must succeed on a DC 15 Strength saving throw or be knocked prone.</t>
  </si>
  <si>
    <t>Charge</t>
  </si>
  <si>
    <t>YES</t>
  </si>
  <si>
    <t>Celestial</t>
  </si>
  <si>
    <t>https://www.aidedd.org/dnd/monstres.php?vo=Unicorn</t>
  </si>
  <si>
    <t>Unicorn</t>
  </si>
  <si>
    <t>Tail|10|3d8+7</t>
  </si>
  <si>
    <t>Melee Weapon Attack: +10 to hit, reach 10 ft., one target. Hit: 20 (3d8 + 7) bludgeoning damage.</t>
  </si>
  <si>
    <t>Tail</t>
  </si>
  <si>
    <t>Bite|10|4d12+7</t>
  </si>
  <si>
    <t>Melee Weapon Attack: +10 to hit, reach 10 ft., one target. Hit: 33 (4d12 + 7) piercing damage. If the target is a Medium or smaller creature, it is grappled (escape DC 17). Until this grapple ends, the target is restrained, and the tyrannosaurus can't bite another target.</t>
  </si>
  <si>
    <t>The tyrannosaurus makes two attacks: one with its bite and one with its tail. It can't make both attacks against the same target.</t>
  </si>
  <si>
    <t>+10, 3d8+7</t>
  </si>
  <si>
    <t>+10, 4d12+7</t>
  </si>
  <si>
    <t>Dinosaur</t>
  </si>
  <si>
    <t>Huge</t>
  </si>
  <si>
    <t>https://www.aidedd.org/dnd/monstres.php?vo=Tyrannosaurus-Rex</t>
  </si>
  <si>
    <t>Tyrannosaurus-Rex</t>
  </si>
  <si>
    <t>Tyrannosaurus Rex</t>
  </si>
  <si>
    <t>Claws|3|1d4+1</t>
  </si>
  <si>
    <t>Melee Weapon Attack: +3 to hit, reach 5 ft., one target. Hit: 3 (1d4 + 1) piercing damage.</t>
  </si>
  <si>
    <t>While the blight remains motionless, it is indistinguishable from a dead shrub.</t>
  </si>
  <si>
    <t>+3, 1d4+1</t>
  </si>
  <si>
    <t>https://www.aidedd.org/dnd/monstres.php?vo=Twig-Blight</t>
  </si>
  <si>
    <t>Twig-Blight</t>
  </si>
  <si>
    <t>Twig Blight</t>
  </si>
  <si>
    <t>Bite|7|1d6+4</t>
  </si>
  <si>
    <t>Melee Weapon Attack: +7 to hit, reach 5 ft., one target. Hit: 7 (1d6 + 4) piercing damage.</t>
  </si>
  <si>
    <t>The troll makes three attacks: one with its bite and two with its claws.</t>
  </si>
  <si>
    <t>Variant: Loathsome Limbs</t>
  </si>
  <si>
    <t>Whenever the troll takes at least 15 slashing damage at one time, roll a d20 to determine what else happens to it: ¶1-10: Nothing else happens. ¶11-14: One leg is severed from the troll if it has any legs left. ¶15- 18: One arm is severed from the troll if it has any arms left. ¶19-20: The troll is decapitated, but the troll dies only if it can't regenerate. If it dies, so does the severed head. ¶If the troll finishes a short or long rest without reattaching a severed limb or head, the part regrows. At that point, the severed part dies. Until then, a severed part acts on the troll's initiative and has its own action and movement. A severed part has AC 13, 10 hit points, and the troll's Regeneration trait. ¶A severed leg is unable to attack and has a speed of 5 feet. ¶A severed arm has a speed of 5 feet and can make one claw attack on its turn, with disadvantage on the attack roll unless the troll can see the arm and its target. Each time the troll loses an arm, it loses a claw attack. ¶If its head is severed, the troll loses its bite attack and its body is blinded unless the head can see it. The severed head has a speed of 0 feet and the troll's Keen Smell trait. It can make a bite attack but only against a target in its space. ¶The troll's speed is halved if it's missing a leg. If it loses both legs, it falls prone. If it has both arms, it can crawl. With only one arm, it can still crawl, but its speed is halved. With no arms or legs, its speed is 0, and it can't benefit from bonuses to speed.</t>
  </si>
  <si>
    <t>The troll regains 10 hit points at the start of its turn. If the troll takes acid or fire damage, this trait doesn't function at the start of the troll's next turn. The troll dies only if it starts its turn with 0 hit points and doesn't regenerate.</t>
  </si>
  <si>
    <t>The troll has advantage on Wisdom (Perception) checks that rely on smell.</t>
  </si>
  <si>
    <t>12:28</t>
  </si>
  <si>
    <t>+7, 1d6+4</t>
  </si>
  <si>
    <t>Giant</t>
  </si>
  <si>
    <t>https://www.aidedd.org/dnd/monstres.php?vo=Troll</t>
  </si>
  <si>
    <t>Troll</t>
  </si>
  <si>
    <t>Stomp|9|3d10+6</t>
  </si>
  <si>
    <t>Melee Weapon Attack: +9 to hit, reach 5 ft., one prone creature. Hit: 22 (3d10 + 6) bludgeoning damage</t>
  </si>
  <si>
    <t>Stomp</t>
  </si>
  <si>
    <t>Gore|9|4d8+6</t>
  </si>
  <si>
    <t>Melee Weapon Attack: +9 to hit, reach 5 ft., one target. Hit: 24 (4d8 + 6) piercing damage.</t>
  </si>
  <si>
    <t>Gore</t>
  </si>
  <si>
    <t>If the triceratops moves at least 20 ft. straight toward a creature and then hits it with a gore attack on the same turn, that target must succeed on a DC 13 Strength saving throw or be knocked prone. If the target is prone, the triceratops can make one stomp attack against it as a bonus action.</t>
  </si>
  <si>
    <t>+9, 3d10+6</t>
  </si>
  <si>
    <t>+9, 4d8+6</t>
  </si>
  <si>
    <t>https://www.aidedd.org/dnd/monstres.php?vo=Triceratops</t>
  </si>
  <si>
    <t>Triceratops</t>
  </si>
  <si>
    <t>One Handed|3|1d6+1 Two Handed|3|1d8+1</t>
  </si>
  <si>
    <t>Melee or Ranged Weapon Attack: +3 to hit, reach 5 ft. or range 20/60 ft., one target. Hit: 4 (1d6 + 1) piercing damage, or 5 (1d8 + 1) piercing damage if used with two hands to make a melee attack.</t>
  </si>
  <si>
    <t>The warrior has advantage on an attack roll against a creature if at least one of the warrior's allies is within 5 ft. of the creature and the ally isn't incapacitated.</t>
  </si>
  <si>
    <t>8:28</t>
  </si>
  <si>
    <t>+3, 1d8+1</t>
  </si>
  <si>
    <t>https://www.aidedd.org/dnd/monstres.php?vo=Tribal-Warrior</t>
  </si>
  <si>
    <t>Tribal-Warrior</t>
  </si>
  <si>
    <t>Tribal Warrior</t>
  </si>
  <si>
    <t>Animate Trees (1/Day)</t>
  </si>
  <si>
    <t>The treant magically animates one or two trees it can see within 60 feet of it. These trees have the same statistics as a treant, except they have Intelligence and Charisma scores of 1, they can't speak, and they have only the Slam action option. An animated tree acts as an ally of the treant. The tree remains animate for 1 day or until it dies; until the treant dies or is more than 120 feet from the tree; or until the treant takes a bonus action to turn it back into an inanimate tree. The tree then takes root if possible.</t>
  </si>
  <si>
    <t>Rock|10|4d10+6</t>
  </si>
  <si>
    <t>Ranged Weapon Attack: +10 to hit, range 60/180 ft., one target. Hit: 28 (4d10 + 6) bludgeoning damage.</t>
  </si>
  <si>
    <t>Rock</t>
  </si>
  <si>
    <t>Slam|10|3d6+6</t>
  </si>
  <si>
    <t>Melee Weapon Attack: +10 to hit, reach 5 ft., one target. Hit: 16 (3d6 + 6) bludgeoning damage.</t>
  </si>
  <si>
    <t>The treant makes two slam attacks.</t>
  </si>
  <si>
    <t>Siege Monster</t>
  </si>
  <si>
    <t>The treant deals double damage to objects and structures.</t>
  </si>
  <si>
    <t>While the treant remains motionless, it is indistinguishable from a normal tree.</t>
  </si>
  <si>
    <t>7:29</t>
  </si>
  <si>
    <t>+10, 4d10+6</t>
  </si>
  <si>
    <t>+10, 3d6+6</t>
  </si>
  <si>
    <t>https://www.aidedd.org/dnd/monstres.php?vo=Treant</t>
  </si>
  <si>
    <t>Treant</t>
  </si>
  <si>
    <t>Melee Weapon Attack: +5 to hit, reach 5 ft., one target. Hit: 8 (1d10 + 3) piercing damage.</t>
  </si>
  <si>
    <t>Pounce</t>
  </si>
  <si>
    <t>If the tiger moves at least 20 ft. straight toward a creature and then hits it with a claw attack on the same turn, that target must succeed on a DC 13 Strength saving throw or be knocked prone. If the target is prone, the tiger can make one bite attack against it as a bonus action.</t>
  </si>
  <si>
    <t>The tiger has advantage on Wisdom (Perception) checks that rely on smell.</t>
  </si>
  <si>
    <t>https://www.aidedd.org/dnd/monstres.php?vo=Tiger</t>
  </si>
  <si>
    <t>Tiger</t>
  </si>
  <si>
    <t>Thug</t>
  </si>
  <si>
    <t>The tarrasque makes one bite attack or uses its Swallow.</t>
  </si>
  <si>
    <t>Chomp (Costs 2 Actions)</t>
  </si>
  <si>
    <t>The tarrasque moves up to half its speed.</t>
  </si>
  <si>
    <t>The tarrasque makes one claw attack or tail attack.</t>
  </si>
  <si>
    <t>Attack</t>
  </si>
  <si>
    <t>Swallow</t>
  </si>
  <si>
    <t>The tarrasque makes one bite attack against a Large or smaller creature it is grappling. If the attack hits, the target takes the bite's damage, the target is swallowed, and the grapple ends. While swallowed, the creature is blinded and restrained, it has total cover against attacks and other effects outside the tarrasque, and it takes 56 (16d6) acid damage at the start of each of the tarrasque's turns. ¶If the tarrasque takes 60 damage or more on a single turn from a creature inside it, the tarrasque must succeed on a DC 20 Constitution saving throw at the end of that turn or regurgitate all swallowed creatures, which fall prone in a space within 10 feet of the tarrasque. If the tarrasque dies, a swallowed creature is no longer restrained by it and can escape from the corpse by using 30 feet of movement, exiting prone.</t>
  </si>
  <si>
    <t>Frightful Presence</t>
  </si>
  <si>
    <t>Each creature of the tarrasque's choice within 120 feet of it and aware of it must succeed on a DC 17 Wisdom saving throw or become frightened for 1 minute. A creature can repeat the saving throw at the end of each of its turns, with disadvantage if the tarrasque is within line of sight, ending the effect on itself on a success. If a creature's saving throw is successful or the effect ends for it, the creature is immune to the tarrasque's Frightful Presence for the next 24 hours.</t>
  </si>
  <si>
    <t>Tail|19|4d6+10</t>
  </si>
  <si>
    <t>Melee Weapon Attack: +19 to hit, reach 20 ft., one target. Hit: 24 (4d6 + 10) bludgeoning damage. If the target is a creature, it must succeed on a DC 20 Strength saving throw or be knocked prone.</t>
  </si>
  <si>
    <t>Horns|19|4d10+10</t>
  </si>
  <si>
    <t>Melee Weapon Attack: +19 to hit, reach 10 ft., one target. Hit: 32 (4d10 + 10) piercing damage.</t>
  </si>
  <si>
    <t>Horns</t>
  </si>
  <si>
    <t>Claw|19|4d8+10</t>
  </si>
  <si>
    <t>Melee Weapon Attack: +19 to hit, reach 15 ft., one target. Hit: 28 (4d8 + 10) slashing damage.</t>
  </si>
  <si>
    <t>Bite|19|4d12+10</t>
  </si>
  <si>
    <t>Melee Weapon Attack: +19 to hit, reach 10 ft., one target. Hit: 36 (4d12 + 10) piercing damage. If the target is a creature, it is grappled (escape DC 20). Until this grapple ends, the target is restrained, and the tarrasque can't bite another target.</t>
  </si>
  <si>
    <t>The tarrasque can use its Frightful Presence. It then makes five attacks: one with its bite, two with its claws, one with its horns, and one with its tai l. It can use its Swallow instead of its bite.</t>
  </si>
  <si>
    <t>The tarrasque deals double damage to objects and structures.</t>
  </si>
  <si>
    <t>Reflective Carapace</t>
  </si>
  <si>
    <t>Any time the tarrasque is targeted by a magic missile spell, a line spell, or a spell that requires a ranged attack roll, roll a d6. On a 1 to 5, the tarrasque is unaffected. On a 6, the tarrasque is unaffected, and the effect is reflected back at the caster as though it originated from the tarrasque, turning the caster into the target.</t>
  </si>
  <si>
    <t>The tarrasque has advantage on saving throws against spells and other magical effects.</t>
  </si>
  <si>
    <t>If the tarrasque fails a saving throw, it can choose to succeed instead.</t>
  </si>
  <si>
    <t>+19, 4d10+10</t>
  </si>
  <si>
    <t>+19, 4d8+10</t>
  </si>
  <si>
    <t>Titan</t>
  </si>
  <si>
    <t>Gargantuan</t>
  </si>
  <si>
    <t>https://www.aidedd.org/dnd/monstres.php?vo=Tarrasque</t>
  </si>
  <si>
    <t>Tarrasque</t>
  </si>
  <si>
    <t>Full|4|2d6 Half|4|1d6</t>
  </si>
  <si>
    <t>Melee Weapon Attack: +4 to hit, reach 5 ft., one target in the swarm's space. Hit: 7 (2d6) piercing damage, or 3 (1d6) piercing damage if the swarm has half of its hit points or fewer.</t>
  </si>
  <si>
    <t>Beaks</t>
  </si>
  <si>
    <t>Swarm</t>
  </si>
  <si>
    <t>The swarm can occupy another creature's space and vice versa, and the swarm can move through any opening large enough for a Tiny raven. The swarm can't regain hit points or gain temporary hit points.</t>
  </si>
  <si>
    <t>6:35</t>
  </si>
  <si>
    <t>+2, VARIES</t>
  </si>
  <si>
    <t>https://www.aidedd.org/dnd/monstres.php?vo=Swarm-of-Ravens</t>
  </si>
  <si>
    <t>Swarm-of-Ravens</t>
  </si>
  <si>
    <t>Swarm of Ravens</t>
  </si>
  <si>
    <t>Full|2|2d6 Half|2|1d6</t>
  </si>
  <si>
    <t>Melee Weapon Attack: +2 to hit, reach 0 ft., one target in the swarm's space. Hit: 7 (2d6) piercing damage, or 3 (1d6) piercing damage if the swarm has half of its hit points or fewer.</t>
  </si>
  <si>
    <t>Bites</t>
  </si>
  <si>
    <t>The swarm can occupy another creature's space and vice versa, and the swarm can move through any opening large enough for a Tiny rat. The swarm can't regain hit points or gain temporary hit points.</t>
  </si>
  <si>
    <t>The swarm has advantage on Wisdom (Perception) checks that rely on smell.</t>
  </si>
  <si>
    <t>6:18</t>
  </si>
  <si>
    <t>3:24, 10:27</t>
  </si>
  <si>
    <t>https://www.aidedd.org/dnd/monstres.php?vo=Swarm-of-Rats</t>
  </si>
  <si>
    <t>Swarm-of-Rats</t>
  </si>
  <si>
    <t>Swarm of Rats</t>
  </si>
  <si>
    <t>Full|5|4d6 Half|5|2d6</t>
  </si>
  <si>
    <t>Melee Weapon Attack: +5 to hit, reach 0 ft., one creature in the swarm's space. Hit: 14 (4d6) piercing damage, or 7 (2d6) piercing damage if the swarm has half of its hit points or fewer.</t>
  </si>
  <si>
    <t>Water Breathing</t>
  </si>
  <si>
    <t>The swarm can breathe only underwater.</t>
  </si>
  <si>
    <t>The swarm can occupy another creature's space and vice versa, and the swarm can move through any opening large enough for a Tiny quipper. The swarm can't regain hit points or gain temporary hit points.</t>
  </si>
  <si>
    <t>Blood Frenzy</t>
  </si>
  <si>
    <t>The swarm has advantage on melee attack rolls against any creature that doesn't have all its hit points.</t>
  </si>
  <si>
    <t>2:29, 9:30</t>
  </si>
  <si>
    <t>8:21</t>
  </si>
  <si>
    <t>11:44</t>
  </si>
  <si>
    <t>https://www.aidedd.org/dnd/monstres.php?vo=Swarm-of-Quippers</t>
  </si>
  <si>
    <t>Swarm-of-Quippers</t>
  </si>
  <si>
    <t>Swarm of Quippers</t>
  </si>
  <si>
    <t>Full|6|2d6 Half|6|1d6</t>
  </si>
  <si>
    <t>Melee Weapon Attack: +6 to hit, reach 0 ft., one creature in the swarm's space. Hit: 7 (2d6) piercing damage, or 3 (1d6) piercing damage if the swarm has half of its hit points or fewer. The target must make a DC 10 Constitution saving throw, taking 14 (4d6) poison damage on a failed save, or half as much damage on a successful one.</t>
  </si>
  <si>
    <t>The swarm can occupy another creature's space and vice versa, and the swarm can move through any opening large enough for a Tiny snake. The swarm can't regain hit points or gain temporary hit points.</t>
  </si>
  <si>
    <t>https://www.aidedd.org/dnd/monstres.php?vo=Swarm-of-Poisonous-Snakes</t>
  </si>
  <si>
    <t>Swarm-of-Poisonous-Snakes</t>
  </si>
  <si>
    <t>Swarm of Poisonous Snakes</t>
  </si>
  <si>
    <t>Full|3|4d4 Half|3|2d4</t>
  </si>
  <si>
    <t>Melee Weapon Attack: +3 to hit, reach 0 ft., one target in the swarm's space. Hit: 10 (4d4) piercing damage, or 5 (2d4) piercing damage if the swarm has half of its hit points or fewer.</t>
  </si>
  <si>
    <t>The swarm can occupy another creature's space and vice versa, and the swarm can move through any opening large enough for a Tiny insect. The swarm can't regain hit points or gain temporary hit points.</t>
  </si>
  <si>
    <t>3:24, 9:50</t>
  </si>
  <si>
    <t>https://www.aidedd.org/dnd/monstres.php?vo=Swarm-of-Insects</t>
  </si>
  <si>
    <t>Swarm-of-Insects</t>
  </si>
  <si>
    <t>Swarm of Insects</t>
  </si>
  <si>
    <t>Full|4|2d4 Half|4|1d4</t>
  </si>
  <si>
    <t>Melee Weapon Attack: +4 to hit, reach 0 ft., one creature in the swarm's space. Hit: 5 (2d4) piercing damage, or 2 (1d4) piercing damage if the swarm has half of its hit points or fewer.</t>
  </si>
  <si>
    <t>The swarm can occupy another creature's space and vice versa, and the swarm can move through any opening large enough for a Tiny bat. The swarm can't regain hit points or gain temporary hit points.</t>
  </si>
  <si>
    <t>Keen Hearing</t>
  </si>
  <si>
    <t>The swarm has advantage on Wisdom (Perception) checks that rely on hearing.</t>
  </si>
  <si>
    <t>Echolocation</t>
  </si>
  <si>
    <t>The swarm can't use its blindsight while deafened.</t>
  </si>
  <si>
    <t>https://www.aidedd.org/dnd/monstres.php?vo=Swarm-of-Bats</t>
  </si>
  <si>
    <t>Swarm-of-Bats</t>
  </si>
  <si>
    <t>Swarm of Bats</t>
  </si>
  <si>
    <t>Lightning Strike||12d8</t>
  </si>
  <si>
    <t>The giant hurls a magical lightning bolt at a point it can see within 500 feet of it. Each creature within 10 feet of that point must make a DC 17 Dexterity saving throw, taking 54 (12d8) lightning damage on a failed save, or half as much damage on a successful one.</t>
  </si>
  <si>
    <t>Lightning Strike (Recharge 5-6)</t>
  </si>
  <si>
    <t>Rock|14|4d12+9</t>
  </si>
  <si>
    <t>Ranged Weapon Attack: +14 to hit, range 60/240 ft., one target. Hit: 35 (4d12 + 9) bludgeoning damage.</t>
  </si>
  <si>
    <t>Greatsword|14|6d6+9</t>
  </si>
  <si>
    <t>Melee Weapon Attack: +14 to hit, reach 10 ft., one target. Hit: 30 (6d6 + 9) slashing damage.</t>
  </si>
  <si>
    <t>Greatsword</t>
  </si>
  <si>
    <t>The giant makes two greatsword attacks.</t>
  </si>
  <si>
    <t>The giant's innate spellcasting ability is Charisma (spell save DC 17). It can innately cast the following spells, requiring no material components: At will: detect magic, feather fall, levitate, light ¶3/day each: control weather, water breathing</t>
  </si>
  <si>
    <t>The giant can breathe air and water.</t>
  </si>
  <si>
    <t>+14, 4d12+9</t>
  </si>
  <si>
    <t>+14, 6d6+9</t>
  </si>
  <si>
    <t>https://www.aidedd.org/dnd/monstres.php?vo=Storm-Giant</t>
  </si>
  <si>
    <t>Storm-Giant</t>
  </si>
  <si>
    <t>Storm Giant</t>
  </si>
  <si>
    <t>Slow (Recharge 5-6)</t>
  </si>
  <si>
    <t>The golem targets one or more creatures it can see within 10 ft. of it. Each target must make a DC 17 Wisdom saving throw against this magic. On a failed save, a target can't use reactions, its speed is halved, and it can't make more than one attack on its turn. In addition, the target can take either an action or a bonus action on its turn, not both. These effects last for 1 minute. A target can repeat the saving throw at the end of each of its turns, ending the effect on itself on a success.</t>
  </si>
  <si>
    <t>Slam|10|3d8+6</t>
  </si>
  <si>
    <t>Melee Weapon Attack: +10 to hit, reach 5 ft., one target. Hit: 19 (3d8 + 6) bludgeoning damage.</t>
  </si>
  <si>
    <t>The golem makes two slam attacks.</t>
  </si>
  <si>
    <t>The golem's weapon attacks are magical.</t>
  </si>
  <si>
    <t>The golem has advantage on saving throws against spells and other magical effects.</t>
  </si>
  <si>
    <t>Immutable Form</t>
  </si>
  <si>
    <t>The golem is immune to any spell or effect that would alter its form.</t>
  </si>
  <si>
    <t>4:44</t>
  </si>
  <si>
    <t>+10, 3d8+6</t>
  </si>
  <si>
    <t>Golem</t>
  </si>
  <si>
    <t>Construct</t>
  </si>
  <si>
    <t>https://www.aidedd.org/dnd/monstres.php?vo=Stone-Golem</t>
  </si>
  <si>
    <t>Stone-Golem</t>
  </si>
  <si>
    <t>Stone Golem</t>
  </si>
  <si>
    <t>If a rock or similar object is hurled at the giant, the giant can, with a successful DC 10 Dexterity saving throw, catch the missile and take no bludgeoning damage from it.</t>
  </si>
  <si>
    <t>Rock Catching</t>
  </si>
  <si>
    <t>Rock|9|4d10+</t>
  </si>
  <si>
    <t>Ranged Weapon Attack: +9 to hit, range 60/240 ft., one target. Hit: 28 (4d10 + 6) bludgeoning damage. If the target is a creature, it must succeed on a DC 17 Strength saving throw or be knocked prone.</t>
  </si>
  <si>
    <t>Greatclub|9|3d8+6</t>
  </si>
  <si>
    <t>Melee Weapon Attack: +9 to hit, reach 15 ft., one target. Hit: 19 (3d8 + 6) bludgeoning damage.</t>
  </si>
  <si>
    <t>The giant makes two greatclub attacks.</t>
  </si>
  <si>
    <t>Rolling Rock||3d10+6</t>
  </si>
  <si>
    <t>The giant sends a rock tumbling along the ground in a 30-foot line that is 5 feet wide. Each creature in that line must make a DC 17 Dexterity saving throw, taking 22 (3d10 + 6) bludgeoning damage and falling prone on a failed save</t>
  </si>
  <si>
    <t>Rolling Rock</t>
  </si>
  <si>
    <t>Fling</t>
  </si>
  <si>
    <t>The giant tries to throw a Small or Medium creature within 10 feet of it. The target must succeed on a DC 17 Dexterity saving throw or be hurled up to 60 feet horizontally in a direction of the giant's choice. and land prone, taking 1d6 bludgeoning damage for every 10 feet it was thrown.</t>
  </si>
  <si>
    <t>The giant has advantage on Dexterity (Stealth) checks made to hide in rocky terrain.</t>
  </si>
  <si>
    <t>13:30</t>
  </si>
  <si>
    <t>+9, 4d10+6</t>
  </si>
  <si>
    <t>+9, 3d8+6</t>
  </si>
  <si>
    <t>https://www.aidedd.org/dnd/monstres.php?vo=Stone-Giant</t>
  </si>
  <si>
    <t>Stone-Giant</t>
  </si>
  <si>
    <t>Stone Giant</t>
  </si>
  <si>
    <t>Blood Drain|5|1d4+3</t>
  </si>
  <si>
    <t>Melee Weapon Attack: +5 to hit, reach 5 ft., one creature. Hit: 5 (1d4 + 3) piercing damage, and the stirge attaches to the target. While attached, the stirge doesn't attack. Instead, at the start of each of the stirge's turns, the target loses 5 (1d4 + 3) hit points due to blood loss. ¶The stirge can detach itself by spending 5 feet of its movement. It does so after it drains 10 hit points of blood from the target or the target dies. A creature, including the target, can use its action to detach the stirge</t>
  </si>
  <si>
    <t>Blood Drain</t>
  </si>
  <si>
    <t>11:22</t>
  </si>
  <si>
    <t>+5, 1d4+3</t>
  </si>
  <si>
    <t>https://www.aidedd.org/dnd/monstres.php?vo=Stirge</t>
  </si>
  <si>
    <t>Stirge</t>
  </si>
  <si>
    <t>Variant: Summon Mephits (1/Day)</t>
  </si>
  <si>
    <t>The mephit has a 25 percent chance of summoning 1d4 mephits of its kind. A summoned mephit appears in an unoccupied space within 60 feet of its summoner, acts as an ally of its summoner, and can't summon other mephits. It remains for 1 minute, until it or its summoner dies, or until its summoner dismisses it as an action.</t>
  </si>
  <si>
    <t>Steam Breath (Recharge 6)</t>
  </si>
  <si>
    <t>The mephit exhales a 15-foot cone of scalding steam. Each creature in that area must succeed on a DC 10 Dexterity saving throw, taking 4 (1d8) fire damage on a failed save, or half as much damage on a successful one.</t>
  </si>
  <si>
    <t>Claws|2|1d4+1d4</t>
  </si>
  <si>
    <t>Melee Weapon Attack: +2 to hit, reach 5 ft., one creature. Hit: 2 (1d4) slashing damage plus 2 (1d4) fire damage.</t>
  </si>
  <si>
    <t>Innate Spellcasting (1/Day)</t>
  </si>
  <si>
    <t>The mephit can innately cast blur, requiring no material components. Its innate spellcasting ability is Charisma.</t>
  </si>
  <si>
    <t>Death Burst||1d8</t>
  </si>
  <si>
    <t>When the mephit dies, it explodes in a cloud of steam. Each creature within 5 ft. of the mephit must succeed on a DC 10 Dexterity saving throw or take 4 (1d8) fire damage.</t>
  </si>
  <si>
    <t>Death Burst</t>
  </si>
  <si>
    <t>2:24, 9:59</t>
  </si>
  <si>
    <t>+2, 2d4</t>
  </si>
  <si>
    <t>Mephit</t>
  </si>
  <si>
    <t>https://www.aidedd.org/dnd/monstres.php?vo=Steam-Mephit</t>
  </si>
  <si>
    <t>Steam-Mephit</t>
  </si>
  <si>
    <t>Steam Mephit</t>
  </si>
  <si>
    <t>Hand Crossbow</t>
  </si>
  <si>
    <t>The spy makes two melee attacks.</t>
  </si>
  <si>
    <t>Sneak Attack||2d6</t>
  </si>
  <si>
    <t>The spy deals an extra 7 (2d6) damage when it hits a target with a weapon attack and has advantage on the attack roll, or when the target is within 5 ft. of an ally of the spy that isn't incapacitated and the spy doesn't have disadvantage on the attack roll.</t>
  </si>
  <si>
    <t>Sneak Attack (1/Turn)</t>
  </si>
  <si>
    <t>Cunning Action</t>
  </si>
  <si>
    <t>On each of its turns, the spy can use a bonus action to take the Dash, Disengage, or Hide action.</t>
  </si>
  <si>
    <t>2:27, 8:24</t>
  </si>
  <si>
    <t>2:21, 5:24, 6:35, 7:23</t>
  </si>
  <si>
    <t>1:10, 4:23, 6:28, 8:28, 11:44</t>
  </si>
  <si>
    <t>https://www.aidedd.org/dnd/monstres.php?vo=Spy</t>
  </si>
  <si>
    <t>Spy</t>
  </si>
  <si>
    <t>The sprite magically turns invisible until it attacks or casts a spell, or until its concentration ends (as if concentrating on a spell). Any equipment the sprite wears or carries is invisible with it.</t>
  </si>
  <si>
    <t>Heart Sight</t>
  </si>
  <si>
    <t>The sprite touches a creature and magically knows the creature's current emotional state. If the target fails a DC 10 Charisma saving throw, the sprite also knows the creature's alignment. Celestials, fiends, and undead automatically fail the saving throw.</t>
  </si>
  <si>
    <t>Shortbow|6|1</t>
  </si>
  <si>
    <t>Ranged Weapon Attack: +6 to hit, range 40/160 ft., one target. Hit: 1 piercing damage, and the target must succeed on a DC 10 Constitution saving throw or become poisoned for 1 minute. If its saving throw result is 5 or lower, the poisoned target falls unconscious for the same duration, or until it takes damage or another creature takes an action to shake it awake.</t>
  </si>
  <si>
    <t>Shortbow</t>
  </si>
  <si>
    <t>Longsword|2|1</t>
  </si>
  <si>
    <t>Melee Weapon Attack: +2 to hit, reach 5 ft., one target. Hit: 1 slashing damage.</t>
  </si>
  <si>
    <t>Fey</t>
  </si>
  <si>
    <t>https://www.aidedd.org/dnd/monstres.php?vo=Sprite</t>
  </si>
  <si>
    <t>Sprite</t>
  </si>
  <si>
    <t>Melee Weapon Attack: +7 to hit, reach 10 ft., one creature. Hit: 7 (1d6 + 4) piercing damage, and the target must make a DC 13 Constitution saving throw, taking 31 (7d8) poison damage on a failed save, or half as much damage on a successful one.</t>
  </si>
  <si>
    <t>Spellcasting</t>
  </si>
  <si>
    <t>The naga is a 10th-level spellcaster. Its spellcasting ability is Intelligence (spell save DC 14, +6 to hit with spell attacks), and it needs only verbal components to cast its spells. It has the following wizard spells prepared: ‚Ä¢ Cantrips (at will): mage hand, minor illusion, ray of frost ¶‚Ä¢ 1st level (4 slots): charm person, detect magic, sleep ¶‚Ä¢ 2nd level (3 slots): detect thoughts, hold person ¶‚Ä¢ 3rd level (3 slots): lightning bolt, water breathing ¶‚Ä¢ 4th level (3 slots): blight, dimension door ¶‚Ä¢ 5th level (2 slots): dominate person</t>
  </si>
  <si>
    <t>Rejuvenation</t>
  </si>
  <si>
    <t>If it dies, the naga returns to life in 1d6 days and regains all its hit points. Only a wish spell can prevent this trait from functioning.</t>
  </si>
  <si>
    <t>Naga</t>
  </si>
  <si>
    <t>https://www.aidedd.org/dnd/monstres.php?vo=Spirit-Naga</t>
  </si>
  <si>
    <t>Spirit-Naga</t>
  </si>
  <si>
    <t>Spirit Naga</t>
  </si>
  <si>
    <t>Bite|4|1</t>
  </si>
  <si>
    <t>Melee Weapon Attack: +4 to hit, reach 5 ft., one creature. Hit: 1 piercing damage, and the target must succeed on a DC 9 Constitution saving throw or take 2 (1d4) poison damage.</t>
  </si>
  <si>
    <t>Web Walker</t>
  </si>
  <si>
    <t>The spider ignores movement restrictions caused by webbing.</t>
  </si>
  <si>
    <t>Web Sense</t>
  </si>
  <si>
    <t>While in contact with a web, the spider knows the exact location of any other creature in contact with the same web.</t>
  </si>
  <si>
    <t>The spider can climb difficult surfaces, including upside down on ceilings, without needing to make an ability check.</t>
  </si>
  <si>
    <t>9:31</t>
  </si>
  <si>
    <t>Spider</t>
  </si>
  <si>
    <t>https://www.aidedd.org/dnd/monstres.php?vo=Spider</t>
  </si>
  <si>
    <t>Life Drain|4|3d6</t>
  </si>
  <si>
    <t>Melee Spell Attack: +4 to hit, reach 5 ft., one creature. Hit: 10 (3d6) necrotic damage. The target must succeed on a DC 10 Constitution saving throw or its hit point maximum is reduced by an amount equal to the damage taken. This reduction lasts until the creature finishes a long rest. The target dies if this effect reduces its hit point maximum to 0.</t>
  </si>
  <si>
    <t>While in sunlight, the specter has disadvantage on attack rolls, as well as on Wisdom (Perception) checks that rely on sight.</t>
  </si>
  <si>
    <t>The specter can move through other creatures and objects as if they were difficult terrain. It takes 5 (1d10) force damage if it ends its turn inside an object.</t>
  </si>
  <si>
    <t>11:20</t>
  </si>
  <si>
    <t>6:28, 11:40</t>
  </si>
  <si>
    <t>+2, 1d6</t>
  </si>
  <si>
    <t>https://www.aidedd.org/dnd/monstres.php?vo=Specter</t>
  </si>
  <si>
    <t>Specter</t>
  </si>
  <si>
    <t>The solar targets one creature it can see within 30 ft. of it. If the target can see it, the target must succeed on a DC 15 Constitution saving throw or be blinded until magic such as the lesser restoration spell removes the blindness.</t>
  </si>
  <si>
    <t>Blinding Gaze (Costs 3 Actions)</t>
  </si>
  <si>
    <t>The solar emits magical, divine energy. Each creature of its choice in a 10 -foot radius must make a DC 23 Dexterity saving throw, taking 14 (4d6) fire damage plus 14 (4d6) radiant damage on a failed save, or half as much damage on a successful one.</t>
  </si>
  <si>
    <t>Searing Burst (Costs 2 Actions)</t>
  </si>
  <si>
    <t>The solar magically teleports, along with any equipment it is wearing or carrying, up to 120 ft. to an unoccupied space it can see.</t>
  </si>
  <si>
    <t>Teleport</t>
  </si>
  <si>
    <t>Healing Touch (4/Day)</t>
  </si>
  <si>
    <t>The solar touches another creature. The target magically regains 40 (8d8 + 4) hit points and is freed from any curse, disease, poison, blindness, or deafness.</t>
  </si>
  <si>
    <t>Flying Sword</t>
  </si>
  <si>
    <t>The solar releases its greatsword to hover magically in an unoccupied space within 5 ft. of it. If the solar can see the sword, the solar can mentally command it as a bonus action to fly up to 50 ft. and either make one attack against a target or return to the solar's hands. If the hovering sword is targeted by any effect, the solar is considered to be holding it. The hovering sword falls if the solar dies.</t>
  </si>
  <si>
    <t>Slaying Longbow|13|2d8+6+6d8</t>
  </si>
  <si>
    <t>Ranged Weapon Attack: +13 to hit, range 150/600 ft., one target. Hit: 15 (2d8 + 6) piercing damage plus 27 (6d8) radiant damage. If the target is a creature that has 190 hit points or fewer, it must succeed on a DC 15 Constitution saving throw or die.</t>
  </si>
  <si>
    <t>Slaying Longbow</t>
  </si>
  <si>
    <t>Greatsword|15|4d6+8+6d8</t>
  </si>
  <si>
    <t>Melee Weapon Attack: +15 to hit, reach 5 ft., one target. Hit: 22 (4d6 + 8) slashing damage plus 27 (6d8) radiant damage.</t>
  </si>
  <si>
    <t>The solar makes two greatsword attacks.</t>
  </si>
  <si>
    <t>The solar has advantage on saving throws against spells and other magical effects.</t>
  </si>
  <si>
    <t>The solar's spell casting ability is Charisma (spell save DC 25). It can innately cast the following spells, requiring no material components: ¶At will: detect evil and good, invisibility (self only) ¶3/day each: blade barrier, dispel evil and good, resurrection ¶1/day each: commune, control weather</t>
  </si>
  <si>
    <t>Divine Awareness</t>
  </si>
  <si>
    <t>The solar knows if it hears a lie.</t>
  </si>
  <si>
    <t>Angelic Weapons</t>
  </si>
  <si>
    <t>The solar's weapon attacks are magical. When the solar hits with any weapon, the weapon deals an extra 6d8 radiant damage (included in the attack).</t>
  </si>
  <si>
    <t>+13, 6d8+8</t>
  </si>
  <si>
    <t>+15, 8d8+6</t>
  </si>
  <si>
    <t>+15, 4d6+8</t>
  </si>
  <si>
    <t>https://www.aidedd.org/dnd/monstres.php?vo=Solar</t>
  </si>
  <si>
    <t>Solar</t>
  </si>
  <si>
    <t>Cinder Breath (Recharge 6)</t>
  </si>
  <si>
    <t>The mephit exhales a 15-foot cone of smoldering ash. Each creature in that area must succeed on a DC 10 Dexterity saving throw or be blinded until the end of the mephit's next turn .</t>
  </si>
  <si>
    <t>Claws|4|1d4+2</t>
  </si>
  <si>
    <t>Melee Weapon Attack: +4 to hit, reach 5 ft., one creature. Hit: 4 (1d4 + 2) slashing damage.</t>
  </si>
  <si>
    <t>The mephit can innately cast dancing lights, requiring no material components. Its innate spellcasting ability is Charisma.</t>
  </si>
  <si>
    <t>When the mephit dies, it leaves behind a cloud of smoke that fills a 5-foot-radius sphere centered on its space. The sphere is heavily obscured. Wind disperses the cloud, which otherwise lasts for 1 minute.</t>
  </si>
  <si>
    <t>2:22, 9:59</t>
  </si>
  <si>
    <t>https://www.aidedd.org/dnd/monstres.php?vo=Smoke-Mephit</t>
  </si>
  <si>
    <t>Smoke-Mephit</t>
  </si>
  <si>
    <t>Smoke Mephit</t>
  </si>
  <si>
    <t>Shortbow|4|1d6+2</t>
  </si>
  <si>
    <t>Ranged Weapon Attack: +4 to hit, range 80/320 ft., one target. Hit: 5 (1d6 + 2) piercing damage.</t>
  </si>
  <si>
    <t>3:26, 8:21</t>
  </si>
  <si>
    <t>1:21, 2:25, 4:23, 5:21, 11:43</t>
  </si>
  <si>
    <t>https://www.aidedd.org/dnd/monstres.php?vo=Skeleton</t>
  </si>
  <si>
    <t>Skeleton</t>
  </si>
  <si>
    <t>Cold Breath||4d8</t>
  </si>
  <si>
    <t>The dragon uses one of the following breath weapons. ¶Cold Breath. The dragon exhales an icy blast in a 15-foot cone. Each creature in that area must make a DC 13 Constitution saving throw, taking 18 (4d8) cold damage on a failed save, or half as much damage on a successful one. ¶Paralyzing Breath. The dragon exhales paralyzing gas in a 15-foot cone. Each creature in that area must succeed on a DC 13 Constitution saving throw or be paralyzed for 1 minute. A creature can repeat the saving throw at the end of each of its turns, ending the effect on itself on a success.</t>
  </si>
  <si>
    <t>Bite|6|1d10+4</t>
  </si>
  <si>
    <t>Melee Weapon Attack: +6 to hit, reach 5 ft., one target. Hit: 9 (1d10 + 4) piercing damage.</t>
  </si>
  <si>
    <t>https://www.aidedd.org/dnd/monstres.php?vo=Silver-Dragon-Wyrmling</t>
  </si>
  <si>
    <t>Silver-Dragon-Wyrmling</t>
  </si>
  <si>
    <t>Silver Dragon Wyrmling</t>
  </si>
  <si>
    <t>Shriek</t>
  </si>
  <si>
    <t>When bright light or a creature is within 30 feet of the shrieker, it emits a shriek audible within 300 feet of it. The shrieker continues to shriek until the disturbance moves out of range and for 1d4 of the shrieker's turns afterward</t>
  </si>
  <si>
    <t>While the shrieker remains motionless, it is indistinguishable from an ordinary fungus.</t>
  </si>
  <si>
    <t>https://www.aidedd.org/dnd/monstres.php?vo=Shrieker</t>
  </si>
  <si>
    <t>Shrieker</t>
  </si>
  <si>
    <t>When a creature makes an attack against the wearer of the guardian's amulet, the guardian grants a +2 bonus to the wearer's AC if the guardian is within 5 feet of the wearer.</t>
  </si>
  <si>
    <t>Shield</t>
  </si>
  <si>
    <t>Fist|7|2d6+4</t>
  </si>
  <si>
    <t>Melee Weapon Attack: +7 to hit, reach 5 ft., one target. Hit: 11 (2d6 + 4) bludgeoning damage.</t>
  </si>
  <si>
    <t>Fist</t>
  </si>
  <si>
    <t>The guardian makes two fist attacks.</t>
  </si>
  <si>
    <t>Spell Storing</t>
  </si>
  <si>
    <t>A spellcaster who wears the shield guardian's amulet can cause the guardian to store one spell of 4th level or lower. To do so, the wearer must cast the spell on the guardian. The spell has no effect but is stored within the guardian. When commanded to do so by the wearer or when a situation arises that was predefined by the spellcaster, the guardian casts the stored spell with any parameters set by the original caster, requiring no components. When the spell is cast or a new spell is stored, any previously stored spell is lost.</t>
  </si>
  <si>
    <t>The shield guardian regains 10 hit points at the start of its turn if it has at least 1 hit. point.</t>
  </si>
  <si>
    <t>Bound</t>
  </si>
  <si>
    <t>The shield guardian is magically bound to an amulet. As long as the guardian and its amulet are on the same plane of existence, the amulet's wearer can telepathically call the guardian to travel to it, and the guardian knows the distance and direction to the amulet. If the guardian is within 60 feet of the amulet's wearer, half of any damage the wearer takes (rounded up) is transferred to the guardian.</t>
  </si>
  <si>
    <t>4:45</t>
  </si>
  <si>
    <t>10:35</t>
  </si>
  <si>
    <t>https://www.aidedd.org/dnd/monstres.php?vo=Shield-Guardian</t>
  </si>
  <si>
    <t>Shield-Guardian</t>
  </si>
  <si>
    <t>Shield Guardian</t>
  </si>
  <si>
    <t>Engulf</t>
  </si>
  <si>
    <t>The shambling mound engulfs a Medium or smaller creature grappled by it. The engulfed target is blinded, restrained, and unable to breathe, and it must succeed on a DC 14 Constitution saving throw at the start of each of the mound's turns or take 13 (2d8 + 4) bludgeoning damage. If the mound moves, the engulfed target moves with it. The mound can have only one creature engulfed at a time.</t>
  </si>
  <si>
    <t>The shambling mound makes two slam attacks. If both attacks hit a Medium or smaller target, the target is grappled (escape DC 14), and the shambling mound uses its Engulf on it.</t>
  </si>
  <si>
    <t>Lightning Absorption</t>
  </si>
  <si>
    <t>Whenever the shambling mound is subjected to lightning damage, it takes no damage and regains a number of hit points equal to the lightning damage dealt.</t>
  </si>
  <si>
    <t>12:28, 14:21</t>
  </si>
  <si>
    <t>https://www.aidedd.org/dnd/monstres.php?vo=Shambling-Mound</t>
  </si>
  <si>
    <t>Shambling-Mound</t>
  </si>
  <si>
    <t>Shambling Mound</t>
  </si>
  <si>
    <t>Strength Drain|4|2d6+2</t>
  </si>
  <si>
    <t>Melee Weapon Attack: +4 to hit, reach 5 ft., one creature. Hit: 9 (2d6 + 2) necrotic damage, and the target's Strength score is reduced by 1d4. The target dies if this reduces its Strength to 0. Otherwise, the reduction lasts until the target finishes a short or long rest. ¶If a non-evil humanoid dies from this attack, a new shadow rises from the corpse 1d4 hours later</t>
  </si>
  <si>
    <t>Strength Drain</t>
  </si>
  <si>
    <t>Sunlight Weakness</t>
  </si>
  <si>
    <t>While in sunlight, the shadow has disadvantage on attack rolls, ability checks, and saving throws.</t>
  </si>
  <si>
    <t>Shadow Stealth</t>
  </si>
  <si>
    <t>While in dim light or darkness, the shadow can take the Hide action as a bonus action. Its stealth bonus is also improved to +6.</t>
  </si>
  <si>
    <t>Amorphous</t>
  </si>
  <si>
    <t>The shadow can move through a space as narrow as 1 inch wide without squeezing.</t>
  </si>
  <si>
    <t>1:42</t>
  </si>
  <si>
    <t>6:27, 13:30</t>
  </si>
  <si>
    <t>+4, 2d6+2</t>
  </si>
  <si>
    <t>https://www.aidedd.org/dnd/monstres.php?vo=Shadow</t>
  </si>
  <si>
    <t>Shadow</t>
  </si>
  <si>
    <t>The sea horse can breathe only underwater.</t>
  </si>
  <si>
    <t>https://www.aidedd.org/dnd/monstres.php?vo=Sea-Horse</t>
  </si>
  <si>
    <t>Sea-Horse</t>
  </si>
  <si>
    <t>Sea Horse</t>
  </si>
  <si>
    <t>Illusory Appearance</t>
  </si>
  <si>
    <t>The hag covers herself and anything she is wearing or carrying with a magical illusion that makes her look like an ugly creature of her general size and humanoid shape. The effect ends if the hag takes a bonus action to end it or if she dies. ¶The changes wrought by this effect fail to hold up to physical inspection. For example, the hag could appear to have no claws, but someone touching her hand might feel the claws. Otherwise, a creature must take an action to visually inspect the illusion and succeed on a DC 16 Intelligence (Investigation) check to discern that the hag is disguised.</t>
  </si>
  <si>
    <t>Death Glare</t>
  </si>
  <si>
    <t>The hag targets one frightened creature she can see within 30 ft. of her. If the target can see the hag, it must succeed on a DC 11 Wisdom saving throw against this magic or drop to 0 hit points.</t>
  </si>
  <si>
    <t>Claws|5|2d6+3</t>
  </si>
  <si>
    <t>Melee Weapon Attack: +5 to hit, reach 5 ft., one target. Hit: 10 (2d6 + 3) slashing damage.</t>
  </si>
  <si>
    <t>A hag coven can craft a magic item called a hag eye, which is made from a real eye coated in varnish and often fitted to a pendant or other wearable item. The hag eye is usually entrusted to a minion for safekeeping and transport. A hag in the coven can take an action to see what the hag eye sees if the hag eye is on the same plane of existence. A hag eye has AC 10, 1 hit point, and darkvision with a radius of 60 feet. If it is destroyed, each coven member takes 3d10 psychic damage and is blinded for 24 hours. ¶A hag coven can have only one hag eye at a time, and creating a new one requires all three members of the coven to perform a ritual. The ritual takes 1 hour, and the hags can't perform it while blinded. During the ritual, if the hags take any action other than performing the ritual, they must start over.</t>
  </si>
  <si>
    <t>Hag Eye (Coven Only)</t>
  </si>
  <si>
    <t>While all three members of a hag coven are within 30 feet of one another, they can each cast the following spells from the wizard's spell list but must share the spell slots among themselves: ‚Ä¢ 1st level (4 slots): identify, ray of sickness ¶‚Ä¢ 2nd level (3 slots): hold person, locate object ¶‚Ä¢ 3rd level (3 slots): bestow curse, counterspell, lightning bolt ¶‚Ä¢ 4th level (3 slots): phantasmal killer, polymorph ¶‚Ä¢ 5th level (2 slots): contact other plane, scrying ¶‚Ä¢ 6th level (1 slot): eye bite For casting these spells, each hag is a 12th-level spellcaster that uses Intelligence as her spellcasting ability. The spell save DC is 12+the hag's Intelligence modifier, and the spell attack bonus is 4+the hag's Intelligence modifier</t>
  </si>
  <si>
    <t>Shared Spellcasting (Coven Only)</t>
  </si>
  <si>
    <t>Hag Coven</t>
  </si>
  <si>
    <t>When hags must work together, they form covens, in spite of their selfish natures. A coven is made up of hags of any type, all of whom are equals within the group. However, each of the hags continues to desire more personal power. ¶A coven consists of three hags so that any arguments between two hags can be settled by the third. If more than three hags ever come together, as might happen if two covens come into conflict, the result is usually chaos.</t>
  </si>
  <si>
    <t>Horrific Appearance</t>
  </si>
  <si>
    <t>Any humanoid that starts its turn within 30 feet of the hag and can see the hag's true form must make a DC 11 Wisdom saving throw. On a failed save, the creature is frightened for 1 minute. A creature can repeat the saving throw at the end of each of its turns, with disadvantage if the hag is within line of sight, ending the effect on itself on a success. If a creature's saving throw is successful or the effect ends for it, the creature is immune to the hag's Horrific Appearance for the next 24 hours. ¶Unless the target is surprised or the revelation of the hag's true form is sudden, the target can avert its eyes and avoid making the initial saving throw. Until the start of its next turn, a creature that averts its eyes has disadvantage on attack rolls against the hag.</t>
  </si>
  <si>
    <t>The hag can breathe air and water.</t>
  </si>
  <si>
    <t>Hag</t>
  </si>
  <si>
    <t>https://www.aidedd.org/dnd/monstres.php?vo=Sea-Hag</t>
  </si>
  <si>
    <t>Sea-Hag</t>
  </si>
  <si>
    <t>Sea Hag</t>
  </si>
  <si>
    <t>Ranged Weapon Attack: +4 to hit, ranged 150/600 ft., one target. Hit: 6 (1d8 + 2) piercing damage.</t>
  </si>
  <si>
    <t>The scout makes two melee attacks or two ranged attacks.</t>
  </si>
  <si>
    <t>Keen Hearing and Sight</t>
  </si>
  <si>
    <t>The scout has advantage on Wisdom (Perception) checks that rely on hearing or sight.</t>
  </si>
  <si>
    <t>2:26</t>
  </si>
  <si>
    <t>7:20, 8:21, 9:56</t>
  </si>
  <si>
    <t>1:31, 3:31, 8:27, 9:28/30, 11:43</t>
  </si>
  <si>
    <t>https://www.aidedd.org/dnd/monstres.php?vo=Scout</t>
  </si>
  <si>
    <t>Scout</t>
  </si>
  <si>
    <t>Sting|2|1</t>
  </si>
  <si>
    <t>Melee Weapon Attack: +2 to hit, reach 5 ft., one creature. Hit: 1 piercing damage, and the target must make a DC 9 Constitution saving throw, taking 4 (1d8) poison damage on a failed save, or half as much damage on a successful one.</t>
  </si>
  <si>
    <t>Sting</t>
  </si>
  <si>
    <t>https://www.aidedd.org/dnd/monstres.php?vo=Scorpion</t>
  </si>
  <si>
    <t>Scorpion</t>
  </si>
  <si>
    <t>Variant: Panpipes</t>
  </si>
  <si>
    <t>Gentle Lullaby. The creature falls asleep and is unconscious for 1 minute. The effect ends if the creature takes damage or if someone takes an action to shake the creature awake.</t>
  </si>
  <si>
    <t>Shortbow|5|1d6+3</t>
  </si>
  <si>
    <t>Ranged Weapon Attack: +5 to hit, range 80/320 ft., one target. Hit: 6 (1d6 + 3) piercing damage.</t>
  </si>
  <si>
    <t>Melee Weapon Attack: +5 to hit, reach 5 ft., one target. Hit: 6 (1 d6 + 3) piercing damage.</t>
  </si>
  <si>
    <t>Ram|3|2d4+1</t>
  </si>
  <si>
    <t>Melee Weapon Attack: +3 to hit, reach 5 ft., one target. Hit: 6 (2d4 + 1) bludgeoning damage.</t>
  </si>
  <si>
    <t>Ram</t>
  </si>
  <si>
    <t>The satyr has advantage on saving throws against spells and other magical effects.</t>
  </si>
  <si>
    <t>+3, 1d6+3</t>
  </si>
  <si>
    <t>+3, 2d4+1</t>
  </si>
  <si>
    <t>CN</t>
  </si>
  <si>
    <t>https://www.aidedd.org/dnd/monstres.php?vo=Satyr</t>
  </si>
  <si>
    <t>Satyr</t>
  </si>
  <si>
    <t>Tail|7|2d6+4+2d6</t>
  </si>
  <si>
    <t>Melee Weapon Attack: +7 to hit, reach 10 ft., one target. Hit: 11 (2d6 + 4) bludgeoning damage plus 7 (2d6) fire damage, and the target is grappled (escape DC 14). Until this grapple ends, the target is restrained, the salamander can automatically hit the target with its tail, and the salamander can't make tail attacks against other targets.</t>
  </si>
  <si>
    <t>Spear|7|2d6+4+1d6</t>
  </si>
  <si>
    <t>Melee or Ranged Weapon Attack: +7 to hit, reach 5 ft. or range 20 ft./60 ft., one target. Hit: 11 (2d6 + 4) piercing damage, or 13 (2d8 + 4) piercing damage if used with two hands to make a melee attack, plus 3 (1d6) fire damage.</t>
  </si>
  <si>
    <t>The salamander makes two attacks: one with its spear and one with its tail.</t>
  </si>
  <si>
    <t>Heated Weapons</t>
  </si>
  <si>
    <t>Any metal melee weapon the salamander wields deals an extra 3 (1d6) fire damage on a hit (included in the attack).</t>
  </si>
  <si>
    <t>Heated Body||2d6</t>
  </si>
  <si>
    <t>A creature that touches the salamander or hits it with a melee attack while within 5 ft. of it takes 7 (2d6) fire damage.</t>
  </si>
  <si>
    <t>Heated Body</t>
  </si>
  <si>
    <t>+7, 4d6+4</t>
  </si>
  <si>
    <t>https://www.aidedd.org/dnd/monstres.php?vo=Salamander</t>
  </si>
  <si>
    <t>Salamander</t>
  </si>
  <si>
    <t>Melee Weapon Attack: +3 to hit, reach 5 ft., one target. Hit: 3 (1d4 + 1) slashing damage.</t>
  </si>
  <si>
    <t>Bite|3|1d4+1</t>
  </si>
  <si>
    <t>The sahuagin makes two melee attacks: one with its bite and one with its claws or spear.</t>
  </si>
  <si>
    <t>Shark Telepathy</t>
  </si>
  <si>
    <t>The sahuagin can magically command any shark within 120 feet of it, using a limited telepathy.</t>
  </si>
  <si>
    <t>Limited Amphibiousness</t>
  </si>
  <si>
    <t>The sahuagin can breathe air and water, but it needs to be submerged at least once every 4 hours to avoid suffocating.</t>
  </si>
  <si>
    <t>The sahuagin has advantage on melee attack rolls against any creature that doesn't have all its hit points.</t>
  </si>
  <si>
    <t>11:42</t>
  </si>
  <si>
    <t>Sahuagin</t>
  </si>
  <si>
    <t>https://www.aidedd.org/dnd/monstres.php?vo=Sahuagin</t>
  </si>
  <si>
    <t>Claw|6|2d6+5</t>
  </si>
  <si>
    <t>Melee Weapon Attack: +6 to hit, reach 5 ft., one target. Hit: 12 (2d6 + 5) slashing damage.</t>
  </si>
  <si>
    <t>Bite|6|1d10+5</t>
  </si>
  <si>
    <t>Melee Weapon Attack: +6 to hit, reach 5 ft., one target. Hit: 10 (1d10 + 5) piercing damage.</t>
  </si>
  <si>
    <t>If the tiger moves at least 20 ft. straight toward a creature and then hits it with a claw attack on the same turn, that target must succeed on a DC 14 Strength saving throw or be knocked prone. If the target is prone, the tiger can make one bite attack against it as a bonus action.</t>
  </si>
  <si>
    <t>13:29</t>
  </si>
  <si>
    <t>+7, 2d6+5</t>
  </si>
  <si>
    <t>+7, 1d10+5</t>
  </si>
  <si>
    <t>https://www.aidedd.org/dnd/monstres.php?vo=Saber-Toothed-Tiger</t>
  </si>
  <si>
    <t>Saber-Toothed-Tiger</t>
  </si>
  <si>
    <t>Saber-Toothed Tiger</t>
  </si>
  <si>
    <t>Antennae</t>
  </si>
  <si>
    <t>The rust monster corrodes a nonmagical ferrous metal object it can see within 5 feet of it. If the object isn't being worn or carried, the touch destroys a 1-foot cube of it. If the object is being worn or carried by a creature, the creature can make a DC 11 Dexterity saving throw to avoid the rust monster's touch. ¶If the object touched is either metal armor or a metal shield being worn or carried, its takes a permanent and cumulative -1 penalty to the AC it offers. Armor reduced to an AC of 10 or a shield that drops to a +0 bonus is destroyed. If the object touched is a held metal weapon, it rusts as described in the Rust Metal trait.</t>
  </si>
  <si>
    <t>Bite|3|1d8+1</t>
  </si>
  <si>
    <t>Melee Weapon Attack: +3 to hit, reach 5 ft., one target. Hit: 5 (1d8 + 1) piercing damage.</t>
  </si>
  <si>
    <t>Rust Metal</t>
  </si>
  <si>
    <t>Any nonmagical weapon made of metal that hits the rust monster corrodes. After dealing damage, the weapon takes a permanent and cumulative -1 penalty to damage rolls. If its penalty drops to -5, the weapon is destroyed. Non magical ammunition made of metal that hits the rust monster is destroyed after dealing damage.</t>
  </si>
  <si>
    <t>Iron Scent</t>
  </si>
  <si>
    <t>The rust monster can pinpoint, by scent, the location of ferrous metal within 30 feet of it.</t>
  </si>
  <si>
    <t>https://www.aidedd.org/dnd/monstres.php?vo=Rust-Monster</t>
  </si>
  <si>
    <t>Rust-Monster</t>
  </si>
  <si>
    <t>Rust Monster</t>
  </si>
  <si>
    <t>Smother|5|2d6+3</t>
  </si>
  <si>
    <t>Melee Weapon Attack: +5 to hit, reach 5 ft., one Medium or smaller creature. Hit: The creature is grappled (escape DC 13). Until this grapple ends, the target is restrained, blinded, and at risk of suffocating, and the rug can't smother another target. In addition, at the start of each of the target's turns, the target takes 10 (2d6 + 3) bludgeoning damage.</t>
  </si>
  <si>
    <t>Smother</t>
  </si>
  <si>
    <t>While the rug remains motionless, it is indistinguishable from a normal rug.</t>
  </si>
  <si>
    <t>Damage Transfer</t>
  </si>
  <si>
    <t>While it is grappling a creature, the rug takes only half the damage dealt to it, and the creature grappled by the rug takes the other half.</t>
  </si>
  <si>
    <t>Antimagic Susceptibility</t>
  </si>
  <si>
    <t>The rug is incapacitated while in the area of an antimagic field. If targeted by dispel magic, the rug must succeed on a Constitution saving throw against the caster's spell save DC or fall unconscious for 1 minute.</t>
  </si>
  <si>
    <t>https://www.aidedd.org/dnd/monstres.php?vo=Rug-of-Smothering</t>
  </si>
  <si>
    <t>Rug-of-Smothering</t>
  </si>
  <si>
    <t>Rug of Smothering</t>
  </si>
  <si>
    <t>Reel</t>
  </si>
  <si>
    <t>The roper pulls each creature grappled by it up to 25 ft. straight toward it.</t>
  </si>
  <si>
    <t>Tendril|7|</t>
  </si>
  <si>
    <t>Melee Weapon Attack: +7 to hit, reach 50 ft., one creature. Hit: The target is grappled (escape DC 15). Until the grapple ends, the target is restrained and has disadvantage on Strength checks and Strength saving throws, and the roper can't use the same tendril on another target.</t>
  </si>
  <si>
    <t>Tendril</t>
  </si>
  <si>
    <t>Bite|7|4d8+4</t>
  </si>
  <si>
    <t>Melee Weapon Attack: +7 to hit, reach 5 ft., one target. Hit: 22 (4d8 + 4) piercing damage.</t>
  </si>
  <si>
    <t>The roper makes four attacks with its tendrils, uses Reel, and makes one attack with its bite.</t>
  </si>
  <si>
    <t>The roper can climb difficult surfaces, including upside down on ceilings, without needing to make an ability check.</t>
  </si>
  <si>
    <t>Grasping Tendrils</t>
  </si>
  <si>
    <t>The roper can have up to six tendrils at a time. Each tendril can be attacked (AC 20; 10 hit points; immunity to poison and psychic damage). Destroying a tendril deals no damage to the roper, which can extrude a replacement tendril on its next turn. A tendril can also be broken if a creature takes an action and succeeds on a DC 15 Strength check against it.</t>
  </si>
  <si>
    <t>While the roper remains motionless, it is indistinguishable from a normal cave formation, such as a stalagmite.</t>
  </si>
  <si>
    <t>4:40</t>
  </si>
  <si>
    <t>+7, 4d8+4</t>
  </si>
  <si>
    <t>https://www.aidedd.org/dnd/monstres.php?vo=Roper</t>
  </si>
  <si>
    <t>Roper</t>
  </si>
  <si>
    <t>Talons|13|4d6+9</t>
  </si>
  <si>
    <t>Melee Weapon Attack: +13 to hit, reach 5 ft., one target. Hit: 23 (4d6 + 9) slashing damage, and the target is grappled (escape DC 19). Until this grapple ends, the target is restrained, and the roc can't use its talons on another target.</t>
  </si>
  <si>
    <t>Beak|13|4d8+9</t>
  </si>
  <si>
    <t>Melee Weapon Attack: +13 to hit, reach 10 ft., one target. Hit: 27 (4d8 + 9) piercing damage.</t>
  </si>
  <si>
    <t>The roc makes two attacks: one with its beak and one with its talons.</t>
  </si>
  <si>
    <t>Keen Sight</t>
  </si>
  <si>
    <t>The roc has advantage on Wisdom (Perception) checks that rely on sight.</t>
  </si>
  <si>
    <t>+13, 4d6+9</t>
  </si>
  <si>
    <t>+13, 4d8+9</t>
  </si>
  <si>
    <t>https://www.aidedd.org/dnd/monstres.php?vo=Roc</t>
  </si>
  <si>
    <t>Roc</t>
  </si>
  <si>
    <t>Hooves|5|2d4+3</t>
  </si>
  <si>
    <t>Melee Weapon Attack: +5 to hit, reach 5 ft., one target. Hit: 8 (2d4 + 3) bludgeoning damage.</t>
  </si>
  <si>
    <t>+5, 2d4+3</t>
  </si>
  <si>
    <t>https://www.aidedd.org/dnd/monstres.php?vo=Riding-Horse</t>
  </si>
  <si>
    <t>Riding-Horse</t>
  </si>
  <si>
    <t>Riding Horse</t>
  </si>
  <si>
    <t>Gore|7|2d8+5</t>
  </si>
  <si>
    <t>Melee Weapon Attack: +7 to hit, reach 5 ft., one target. Hit: 14 (2d8 + 5) bludgeoning damage.</t>
  </si>
  <si>
    <t>If the rhinoceros moves at least 20 ft. straight toward a target and then hits it with a gore attack on the same turn, the target takes an extra 9 (2d8) bludgeoning damage. If the target is a creature, it must succeed on a DC 15 Strength saving throw or be knocked prone.</t>
  </si>
  <si>
    <t>+7, 2d8+5</t>
  </si>
  <si>
    <t>https://www.aidedd.org/dnd/monstres.php?vo=Rhinoceros</t>
  </si>
  <si>
    <t>Rhinoceros</t>
  </si>
  <si>
    <t>The remorhaz makes one bite attack against a Medium or smaller creature it is grappling. If the attack hits, that creature takes the bite's damage and is swallowed, and the grapple ends. While swallowed, the creature is blinded and restrained, it has total cover against attacks and other effects outside the remorhaz, and it takes 21 (6d6) acid damage at the start of each of the remorhaz's turns. ¶If the remorhaz takes 30 damage or more on a single turn from a creature inside it, the remorhaz must succeed on a DC 15 Constitution saving throw at the end of that turn or regurgitate all swallowed creatures, which fall prone in a space within 10 feet oft he remorhaz. If the remorhaz dies, a swallowed creature is no longer restrained by it and can escape from the corpse using 15 feet of movement, exiting prone.</t>
  </si>
  <si>
    <t>Bite|11|6d10+7+3d6</t>
  </si>
  <si>
    <t>Melee Weapon Attack: +11 to hit, reach 10 ft., one target. Hit: 40 (6d10 + 7) piercing damage plus 10 (3d6) fire damage. If the target is a creature, it is grappled (escape DC 17). Until this grapple ends, the target is restrained, and the remorhaz can't bite another target.</t>
  </si>
  <si>
    <t>Heated Body||3d6</t>
  </si>
  <si>
    <t>A creature that touches the remorhaz or hits it with a melee attack while within 5 feet of it takes 10 (3d6) fire damage.</t>
  </si>
  <si>
    <t>+4, 3d6+7</t>
  </si>
  <si>
    <t>+11, 6d10+7</t>
  </si>
  <si>
    <t>https://www.aidedd.org/dnd/monstres.php?vo=Remorhaz</t>
  </si>
  <si>
    <t>Remorhaz</t>
  </si>
  <si>
    <t>Bite|4|1d8+2</t>
  </si>
  <si>
    <t>The shark can breathe only underwater.</t>
  </si>
  <si>
    <t>The shark has advantage on an attack roll against a creature if at least one of the shark's allies is within 5 ft. of the creature and the ally isn't incapacitated.</t>
  </si>
  <si>
    <t>https://www.aidedd.org/dnd/monstres.php?vo=Reef-Shark</t>
  </si>
  <si>
    <t>Reef-Shark</t>
  </si>
  <si>
    <t>Reef Shark</t>
  </si>
  <si>
    <t>Fire Breath||7d6</t>
  </si>
  <si>
    <t>The dragon exhales fire in a 15-foot cone. Each creature in that area must make a DC l3 Dexterity saving throw, taking 24 (7d6) fire damage on a failed save, or half as much damage on a successful one.</t>
  </si>
  <si>
    <t>Bite|6|1d10+4+1d6</t>
  </si>
  <si>
    <t>Melee Weapon Attack: +6 to hit, reach 5 ft., one target. Hit: 9 (1d10 + 4) piercing damage plus 3 (1d6) fire damage.</t>
  </si>
  <si>
    <t>https://www.aidedd.org/dnd/monstres.php?vo=Red-Dragon-Wyrmling</t>
  </si>
  <si>
    <t>Red-Dragon-Wyrmling</t>
  </si>
  <si>
    <t>Red Dragon Wyrmling</t>
  </si>
  <si>
    <t>Beak|4|1</t>
  </si>
  <si>
    <t>Melee Weapon Attack: +4 to hit, reach 5 ft., one target. Hit: 1 piercing damage.</t>
  </si>
  <si>
    <t>Mimicry</t>
  </si>
  <si>
    <t>The raven can mimic simple sounds it has heard, such as a person whispering, a baby crying, or an animal chittering. A creature that hears the sounds can tell they are imitations with a successful DC 10 Wisdom (Insight) check.</t>
  </si>
  <si>
    <t>https://www.aidedd.org/dnd/monstres.php?vo=Raven</t>
  </si>
  <si>
    <t>Raven</t>
  </si>
  <si>
    <t>Bite|0|1</t>
  </si>
  <si>
    <t>Melee Weapon Attack: +0 to hit, reach 5 ft., one target. Hit: 1 piercing damage.</t>
  </si>
  <si>
    <t>The rat has advantage on Wisdom (Perception) checks that rely on smell.</t>
  </si>
  <si>
    <t>https://www.aidedd.org/dnd/monstres.php?vo=Rat</t>
  </si>
  <si>
    <t>Rat</t>
  </si>
  <si>
    <t>The swashbuckler makes three attacks: one with a dagger and two with its rapier.</t>
  </si>
  <si>
    <t>Suave Defense</t>
  </si>
  <si>
    <t>While the swashbuckler is wearing light or no armor and wielding no shield, its AC includes its Charisma modifier.</t>
  </si>
  <si>
    <t>Lightfooted</t>
  </si>
  <si>
    <t>The swashbuckler can take the Dash or Disengage action as a bonus action on each of its turns.</t>
  </si>
  <si>
    <t>+6, 1d8+4</t>
  </si>
  <si>
    <t>+6, 1d6+4</t>
  </si>
  <si>
    <t>creature</t>
  </si>
  <si>
    <t>Ranaer Neverember (Swashbuckler)</t>
  </si>
  <si>
    <t>Ranaer Neverember</t>
  </si>
  <si>
    <t>Claw|7|2d6+2</t>
  </si>
  <si>
    <t>Melee Weapon Attack: +7 to hit, reach 5 ft., one target. Hit: 9 (2d6 + 2) slashing damage, and the target is cursed if it is a creature. The magical curse takes effect whenever the target takes a short or long rest, filling the target's thoughts with horrible images and dreams. The cursed target gains no benefit from finishing a short or long rest. The curse lasts until it is lifted by a remove curse spell or similar magic.</t>
  </si>
  <si>
    <t>The rakshasa makes two claw attacks</t>
  </si>
  <si>
    <t>The rakshasa's innate spellcasting ability is Charisma (spell save DC 18, +10 to hit with spell attacks). The rakshasa can innately cast the following spells, requiring no material components: At will: detect thoughts, disguise self, mage hand, minor illusion ¶3/day each: charm person, detect magic, invisibility, major image, suggestion ¶1/day each: dominate person, fly, plane shift, true seeing</t>
  </si>
  <si>
    <t>Limited Magic Immunity</t>
  </si>
  <si>
    <t>The rakshasa can't be affected or detected by spells of 6th level or lower unless it wishes to be. It has advantage on saving throws against all other spells and magical effects.</t>
  </si>
  <si>
    <t>+7, 2d6+2</t>
  </si>
  <si>
    <t>https://www.aidedd.org/dnd/monstres.php?vo=Rakshasa</t>
  </si>
  <si>
    <t>Rakshasa</t>
  </si>
  <si>
    <t>Melee Weapon Attack: +5 to hit, reach 5 ft., one target. Hit: 1 piercing damage.</t>
  </si>
  <si>
    <t>The quipper can breathe only underwater.</t>
  </si>
  <si>
    <t>The quipper has advantage on melee attack rolls against any creature that doesn't have all its hit points.</t>
  </si>
  <si>
    <t>https://www.aidedd.org/dnd/monstres.php?vo=Quipper</t>
  </si>
  <si>
    <t>Quipper</t>
  </si>
  <si>
    <t>The quasit magically turns invisible until it attacks or uses Scare, or until its concentration ends (as if concentrating on a spell). Any equipment the quasit wears or carries is invisible with it.</t>
  </si>
  <si>
    <t>Scare (1/day)</t>
  </si>
  <si>
    <t>One creature of the quasit's choice within 20 ft. of it must succeed on a DC 10 Wisdom saving throw or be frightened for 1 minute. The target can repeat the saving throw at the end of each of its turns, with disadvantage if the quasit is within line of sight, ending the effect on itself on a success.</t>
  </si>
  <si>
    <t>Claw/Bite|4|1d4+3</t>
  </si>
  <si>
    <t>Melee Weapon Attack: +4 to hit, reach 5 ft ., one target. Hit: 5 (1d4 + 3) piercing damage, and the target must succeed on a DC 10 Constitution saving throw or take 5 (2d4) poison damage and become poisoned for 1 minute. The target can repeat the saving throw at the end of each of its turns, ending the effect on itself on a success.</t>
  </si>
  <si>
    <t>Claw (Bite in Beast Form)</t>
  </si>
  <si>
    <t>Variant: Familiar</t>
  </si>
  <si>
    <t>The quasit can serve another creature as a familiar, forming a telepathic bond with its willing master. While the two are bonded, the master can sense what the quasit senses as long as they are within 1 mile of each other. While the quasit is within 10 feet of its master, the master shares the quasit's Magic Resistance trait. At any time and for any reason, the quasit can end its service as a familiar, ending the telepathic bond.</t>
  </si>
  <si>
    <t>The quasit has advantage on saving throws against spells and other magical effects.</t>
  </si>
  <si>
    <t>The quasit can use its action to polymorph into a beast form that resembles a bat (speed 10 ft. fly 40 ft.), a centipede (40 ft., climb 40 ft.), or a toad (40 ft., swim 40 ft.), or back into its true form . Its statistics are the same in each form, except for the speed changes noted. Any equipment it is wearing or carrying isn't transformed . It reverts to its true form if it dies.</t>
  </si>
  <si>
    <t>5:25</t>
  </si>
  <si>
    <t>1:39</t>
  </si>
  <si>
    <t>https://www.aidedd.org/dnd/monstres.php?vo=Quasit</t>
  </si>
  <si>
    <t>Quasit</t>
  </si>
  <si>
    <t>Tail Stinger|9|3d6+9</t>
  </si>
  <si>
    <t>Melee Weapon Attack: +9 to hit, reach 10 ft., one creature. Hit: 19 (3d6 + 9) piercing damage, and the target must make a DC 19 Constitution saving throw, taking 42 (12d6) poison damage on a failed save, or half as much damage on a successful one.</t>
  </si>
  <si>
    <t>Tail Stinger</t>
  </si>
  <si>
    <t>Bite|9|3d8+9</t>
  </si>
  <si>
    <t>Melee Weapon Attack: +9 to hit, reach 10 ft., one target. Hit: 22 (3d8 + 9) piercing damage. If the target is a Large or smaller creature, it must succeed on a DC 19 Dexterity saving throw or be swallowed by the worm. A swallowed creature is blinded and restrained, it has total cover against attacks and other effects outside the worm, and it takes 21 (6d6) acid damage at the start of each of the worm's turns. ¶If the worm takes 30 damage or more on a single turn from a creature inside it, the worm must succeed on a DC 21 Constitution saving throw at the end of that turn or regurgitate all swallowed creatures, which fall prone in a space within 10 feet of the worm. If the worm dies, a swallowed creature is no longer restrained by it and can escape from the corpse by using 20 feet of movement, exiting prone.</t>
  </si>
  <si>
    <t>The worm makes two attacks: one with its bite and one with its stinger.</t>
  </si>
  <si>
    <t>Tunneler</t>
  </si>
  <si>
    <t>The worm can burrow through solid rock at half its burrow speed and leaves a 10-foot-diameter tunnel in its wake.</t>
  </si>
  <si>
    <t>+14, 15d6+9</t>
  </si>
  <si>
    <t>+14, 3d8+9</t>
  </si>
  <si>
    <t>https://www.aidedd.org/dnd/monstres.php?vo=Purple-Worm</t>
  </si>
  <si>
    <t>Purple-Worm</t>
  </si>
  <si>
    <t>Purple Worm</t>
  </si>
  <si>
    <t>Bite|3|2d4+1</t>
  </si>
  <si>
    <t>Melee Weapon Attack: +3 to hit, reach 5 ft., one target. Hit: 6 (2d4 + 1) piercing damage</t>
  </si>
  <si>
    <t>Flyby</t>
  </si>
  <si>
    <t>The pteranodon doesn't provoke opportunity attacks when it flies out of an enemy's reach.</t>
  </si>
  <si>
    <t>https://www.aidedd.org/dnd/monstres.php?vo=Pteranodon</t>
  </si>
  <si>
    <t>Pteranodon</t>
  </si>
  <si>
    <t>Sting|4|1d4+2</t>
  </si>
  <si>
    <t>Melee Weapon Attack: +4 to hit, reach 5 ft., one creature. Hit: 4 (1d4 + 2) piercing damage, and the target must succeed on a DC 11 Constitution saving throw or become poisoned for 1 hour. If the saving throw fails by 5 or more, the target falls unconscious for the same duration, or until it takes damage or another creature uses an action to shake it awake.</t>
  </si>
  <si>
    <t>Melee Weapon Attack: +4 to hit, reach 5 ft., one target. Hit: 4 (1d4 + 2) piercing damage.</t>
  </si>
  <si>
    <t>The pseudodragon can serve another creature as a familiar, forming a magic, telepathic bond with that willing companion. While the two are bonded, the companion can sense what the pseudodragon senses as long as they are within 1 mile of each other. While the pseudodragon is within 10 feet of its companion, the companion shares the pseudodragon's Magic Resistance trait. At any time and for any reason, the pseudodragon can end its service as a familiar, ending the telepathic bond.</t>
  </si>
  <si>
    <t>Limited Telepathy</t>
  </si>
  <si>
    <t>The pseudodragon can magically communicate simple ideas, emotions, and images telepathically with any creature within 100 ft. of it that can understand a language.</t>
  </si>
  <si>
    <t>The pseudodragon has advantage on saving throws against spells and other magical effects.</t>
  </si>
  <si>
    <t>Keen Senses</t>
  </si>
  <si>
    <t>The pseudodragon has advantage on Wisdom (Perception) checks that rely on sight, hearing, or smell.</t>
  </si>
  <si>
    <t>https://www.aidedd.org/dnd/monstres.php?vo=Pseudodragon</t>
  </si>
  <si>
    <t>Pseudodragon</t>
  </si>
  <si>
    <t>Mace|2|1d6</t>
  </si>
  <si>
    <t>Melee Weapon Attack: +2 to hit, reach 5 ft., one target. Hit: 3 (1d6) bludgeoning damage.</t>
  </si>
  <si>
    <t>The priest is a 5th-level spellcaster. Its spellcasting ability is Wisdom (spell save DC 13, +5 to hit with spell attacks). The priest has the following cleric spells prepared: ‚Ä¢ Cantrips (at will): light, sacred flame, thaumaturgy ¶‚Ä¢ 1st level (4 slots): cure wounds, guiding bolt, sanctuary ¶‚Ä¢ 2nd level (3 slots): lesser restoration, spiritual weapon ¶‚Ä¢ 3rd level (2 slots): dispel magic, spirit guardians</t>
  </si>
  <si>
    <t>Divine Eminence||3d6</t>
  </si>
  <si>
    <t>As a bonus action, the priest can expend a spell slot to cause its melee weapon attacks to magically deal an extra 10 (3d6) radiant damage to a target on a hit. This benefit lasts until the end of the turn. If the priest expends a spell slot of 2nd level or higher, the extra damage increases by 1d6 for each level above 1st.</t>
  </si>
  <si>
    <t>Divine Eminence</t>
  </si>
  <si>
    <t>10:34</t>
  </si>
  <si>
    <t>https://www.aidedd.org/dnd/monstres.php?vo=Priest</t>
  </si>
  <si>
    <t>Priest</t>
  </si>
  <si>
    <t>Hooves|4|2d4+2</t>
  </si>
  <si>
    <t>Melee Weapon Attack: +4 to hit, reach 5 ft., one target. Hit: 7 (2d4 + 2) bludgeoning damage.</t>
  </si>
  <si>
    <t>https://www.aidedd.org/dnd/monstres.php?vo=Pony</t>
  </si>
  <si>
    <t>Pony</t>
  </si>
  <si>
    <t>Claws|7|2d6+5</t>
  </si>
  <si>
    <t>Melee Weapon Attack: +7 to hit, reach 5 ft., one target. Hit: 12 (2d6 + 5) slashing damage.</t>
  </si>
  <si>
    <t>Bite|7|1d8+5</t>
  </si>
  <si>
    <t>Melee Weapon Attack: +7 to hit, reach 5 ft., one target. Hit: 9 (1d8 + 5) piercing damage.</t>
  </si>
  <si>
    <t>The bear makes two attacks: one with its bite and one with its claws.</t>
  </si>
  <si>
    <t>The bear has advantage on Wisdom (Perception) checks that rely on smell.</t>
  </si>
  <si>
    <t>9:54</t>
  </si>
  <si>
    <t>+7, 1d8+5</t>
  </si>
  <si>
    <t>https://www.aidedd.org/dnd/monstres.php?vo=Polar-Bear</t>
  </si>
  <si>
    <t>Polar-Bear</t>
  </si>
  <si>
    <t>Polar Bear</t>
  </si>
  <si>
    <t>Melee Weapon Attack: +5 to hit, reach 5 ft., one target. Hit: 1 piercing damage, and the target must make a DC 10 Constitution saving throw, taking 5 (2d4) poison damage on a failed save, or half as much damage on a successful one.</t>
  </si>
  <si>
    <t>https://www.aidedd.org/dnd/monstres.php?vo=Poisonous-Snake</t>
  </si>
  <si>
    <t>Poisonous-Snake</t>
  </si>
  <si>
    <t>Poisonous Snake</t>
  </si>
  <si>
    <t>Bite|6|3d6+4</t>
  </si>
  <si>
    <t>Melee Weapon Attack: +6 to hit, reach 10 ft., one target. Hit: 14 (3d6 + 4) piercing damage.</t>
  </si>
  <si>
    <t>Hold Breath</t>
  </si>
  <si>
    <t>The plesiosaurus can hold its breath for 1 hour.</t>
  </si>
  <si>
    <t>+6, 3d6+4</t>
  </si>
  <si>
    <t>https://www.aidedd.org/dnd/monstres.php?vo=Plesiosaurus</t>
  </si>
  <si>
    <t>Plesiosaurus</t>
  </si>
  <si>
    <t>The planetar touches another creature. The target magically regains 30 (6d8 + 3) hit points and is freed from any curse, disease, poison, blindness, or deafness.</t>
  </si>
  <si>
    <t>Greatsword|12|4d6+7+5d8</t>
  </si>
  <si>
    <t>Melee Weapon Attack: +12 to hit, reach 5 ft., one target. Hit: 21 (4d6 + 7) slashing damage plus 22 (5d8) radiant damage.</t>
  </si>
  <si>
    <t>The planetar makes two melee attacks.</t>
  </si>
  <si>
    <t>The planetar has advantage on saving throws against spells and other magical effects.</t>
  </si>
  <si>
    <t>The planetar's spellcasting ability is Charisma (spell save DC 20). The planetar can innately cast the following spells, requiring no material components: ¶At will: detect evil and good, invisibility (self only) ¶3/day each: blade barrier, dispel evil and good, flame strike, raise dead ¶1/day each: commune, control weather, insect plague</t>
  </si>
  <si>
    <t>The planetar knows if it hears a lie.</t>
  </si>
  <si>
    <t>The planetar's weapon attacks are magical. When the planetar hits with any weapon, the weapon deals an extra 5d8 radiant damage (included in the attack).</t>
  </si>
  <si>
    <t>+5, 5d8+7</t>
  </si>
  <si>
    <t>+12, 4d6+7</t>
  </si>
  <si>
    <t>https://www.aidedd.org/dnd/monstres.php?vo=Planetar</t>
  </si>
  <si>
    <t>Planetar</t>
  </si>
  <si>
    <t>Tail|14|3d10+8</t>
  </si>
  <si>
    <t>Melee Weapon Attack: +14 to hit, reach 10ft., one target. Hit: 24 (3d10 + 8) bludgeoning damage.</t>
  </si>
  <si>
    <t>Mace|14|2d6+8+6d6</t>
  </si>
  <si>
    <t>Melee Weapon Attack: +14 to hit, reach 10ft., one target. Hit: 15 (2d6 + 8) bludgeoning damage plus 21 (6d6) fire damage.</t>
  </si>
  <si>
    <t>Claw|14|2d8+8</t>
  </si>
  <si>
    <t>Melee Weapon Attack: +14 to hit, reach 10 ft. , one target. Hit: 17 (2d8 + 8) slashing damage.</t>
  </si>
  <si>
    <t>Bite|14|4d6+8</t>
  </si>
  <si>
    <t>Melee Weapon Attack: +14 to hit, reach 5 ft., one target. Hit: 22 (4d6 + 8) piercing damage. The target must succeed on a DC 21 Constitution saving throw or become poisoned. While poisoned in this way, the target can't regain hit points, and it takes 21 (6d6) poison damage at the start of each of its turns. The poisoned target can repeat the saving throw at the end of each of its turns, ending the effect on itself on a success.</t>
  </si>
  <si>
    <t>The pit fiend makes four attacks: one with its bite, one with its claw, one with its mace, and one with its tail.</t>
  </si>
  <si>
    <t>The pit fiend's spellcasting ability is Charisma (spell save DC 21). The pit fiend can innately cast the following spells, requiring no material components: ¶At will: detect magic, fireball ¶3/day each: hold monster, wall of fire</t>
  </si>
  <si>
    <t>The pit fiend's weapon attacks are magical.</t>
  </si>
  <si>
    <t>The pit fiend has advantage on saving throws against spells and other magical effects.</t>
  </si>
  <si>
    <t>Fear Aura</t>
  </si>
  <si>
    <t>Any creature hostile to the pit fiend that starts its turn within 20 feet of the pit fiend must make a DC 21 Wisdom saving throw, unless the pit fiend is incapacitated. On a failed save, the creature is frightened until the start of its next turn. If a creature's saving throw is successful, the creature is immune to the pit fiend's Fear Aura for the next 24 hours.</t>
  </si>
  <si>
    <t>+14, 2d8+8</t>
  </si>
  <si>
    <t>+14, 4d6+8</t>
  </si>
  <si>
    <t>Devil</t>
  </si>
  <si>
    <t>https://www.aidedd.org/dnd/monstres.php?vo=Pit-Fiend</t>
  </si>
  <si>
    <t>Pit-Fiend</t>
  </si>
  <si>
    <t>Pit Fiend</t>
  </si>
  <si>
    <t>Bite|4|1d10+2 Poison||4d8</t>
  </si>
  <si>
    <t>Melee Weapon Attack: +4 to hit, reach 5 ft., one creature. Hit: 7 (1d10 + 2) piercing damage, and the target must make a DC 11 Constitution saving throw, taking 18 (4d8) poison damage on a failed save, or half as much damage on a successful one. If the poison damage reduces the target to 0 hit points, the target is stable but poisoned for 1 hour, even after regaining hit points, and is paralyzed while poisoned in this way.</t>
  </si>
  <si>
    <t>Ethereal Jaunt</t>
  </si>
  <si>
    <t>As a bonus action, the spider can magically shift from the Material Plane to the Ethereal Plane, or vice versa.</t>
  </si>
  <si>
    <t>https://www.aidedd.org/dnd/monstres.php?vo=Phase-Spider</t>
  </si>
  <si>
    <t>Phase-Spider</t>
  </si>
  <si>
    <t>Phase Spider</t>
  </si>
  <si>
    <t>https://www.aidedd.org/dnd/monstres.php?vo=Pegasus</t>
  </si>
  <si>
    <t>Pegasus</t>
  </si>
  <si>
    <t>Claw|4|1d4+2</t>
  </si>
  <si>
    <t>Melee Weapon Attack: +4 to hit, reach 5 ft., one target. Hit: 4 (1d4 + 2) slashing damage.</t>
  </si>
  <si>
    <t>Bite|4|1d6+2</t>
  </si>
  <si>
    <t>If the panther moves at least 20 ft. straight toward a creature and then hits it with a claw attack on the same turn, that target must succeed on a DC 12 Strength saving throw or be knocked prone. If the target is prone, the panther can make one bite attack against it as a bonus action.</t>
  </si>
  <si>
    <t>The panther has advantage on Wisdom (Perception) checks that rely on smell.</t>
  </si>
  <si>
    <t>8:26</t>
  </si>
  <si>
    <t>https://www.aidedd.org/dnd/monstres.php?vo=Panther</t>
  </si>
  <si>
    <t>Panther</t>
  </si>
  <si>
    <t>Claws|7|2d8+5</t>
  </si>
  <si>
    <t>Melee Weapon Attack: +7 to hit, reach 5 ft., one target. Hit: 14 (2d8 + 5) slashing damage.</t>
  </si>
  <si>
    <t>Beak|7|1d10+5</t>
  </si>
  <si>
    <t>Melee Weapon Attack: +7 to hit, reach 5 ft., one creature. Hit: 10 (1d10 + 5) piercing damage.</t>
  </si>
  <si>
    <t>The owlbear makes two attacks: one with its beak and one with its claws.</t>
  </si>
  <si>
    <t>The owlbear has advantage on Wisdom (Perception) checks that rely on sight or smell.</t>
  </si>
  <si>
    <t>9:29</t>
  </si>
  <si>
    <t>https://www.aidedd.org/dnd/monstres.php?vo=Owlbear</t>
  </si>
  <si>
    <t>Owlbear</t>
  </si>
  <si>
    <t>Talons|3|1</t>
  </si>
  <si>
    <t>Melee Weapon Attack: +3 to hit, reach 5 ft., one target. Hit: 1 slashing damage.</t>
  </si>
  <si>
    <t>The owl has advantage on Wisdom (Perception) checks that rely on hearing or sight.</t>
  </si>
  <si>
    <t>The owl doesn't provoke opportunity attacks when it flies out of an enemy's reach.</t>
  </si>
  <si>
    <t>https://www.aidedd.org/dnd/monstres.php?vo=Owl</t>
  </si>
  <si>
    <t>Owl</t>
  </si>
  <si>
    <t>Tentacle Slam</t>
  </si>
  <si>
    <t>The otyugh slams creatures grappled by it into each other or a solid surface. Each creature must succeed on a DC 14 Constitution saving throw or take 10 (2d6 + 3) bludgeoning damage and be stunned until the end of the otyugh's next turn. On a successful save, the target takes half the bludgeoning damage and isn't stunned.</t>
  </si>
  <si>
    <t>Tentacle|6|1d8+3+1d8</t>
  </si>
  <si>
    <t>Melee Weapon Attack: +6 to hit, reach 10 ft., one target. Hit: 7 (1d8 + 3) bludgeoning damage plus 4 (1d8) piercing damage. If the target is Medium or smaller, it is grappled (escape DC 13) and restrained until the grapple ends. The otyugh has two tentacles, each of which can grapple one target.</t>
  </si>
  <si>
    <t>Tentacle</t>
  </si>
  <si>
    <t>Bite|6|2d8+3</t>
  </si>
  <si>
    <t>Melee Weapon Attack: +6 to hit, reach 5 ft., one target. Hit: 12 (2d8 + 3) piercing damage. If the target is a creature, it must succeed on a DC 15 Constitution saving throw against disease or become poisoned until the disease is cured. Every 24 hours that elapse, the target must repeat the saving throw, reducing its hit point maximum by 5 (1d10) on a failure. The disease is cured on a success. The target dies if the disease reduces its hit point maximum to 0. This reduction to the target's hit point maximum lasts until the disease is cured.</t>
  </si>
  <si>
    <t>The otyugh makes three attacks: one with its bite and two with its tentacles.</t>
  </si>
  <si>
    <t>The otyugh can magically transmit simple messages and images to any creature within 120 ft. of it that can understand a language. This form of telepathy doesn't allow the receiving creature to telepathically respond.</t>
  </si>
  <si>
    <t>9:50</t>
  </si>
  <si>
    <t>+6, 2d8+3</t>
  </si>
  <si>
    <t>Aberration</t>
  </si>
  <si>
    <t>https://www.aidedd.org/dnd/monstres.php?vo=Otyugh</t>
  </si>
  <si>
    <t>Otyugh</t>
  </si>
  <si>
    <t>Javelin|5|1d6+3</t>
  </si>
  <si>
    <t>Melee or Ranged Weapon Attack: +5 to hit, reach 5 ft. or range 30/120 ft., one target. Hit: 6 (1d6 + 3) piercing damage.</t>
  </si>
  <si>
    <t>Javelin</t>
  </si>
  <si>
    <t>Greataxe|5|1d12+3</t>
  </si>
  <si>
    <t>Melee Weapon Attack: +5 to hit, reach 5 ft., one target. Hit: 9 (1d12 + 3) slashing damage.</t>
  </si>
  <si>
    <t>Greataxe</t>
  </si>
  <si>
    <t>Aggressive</t>
  </si>
  <si>
    <t>As a bonus action, the orc can move up to its speed toward a hostile creature that it can see.</t>
  </si>
  <si>
    <t>9:29, 13:28</t>
  </si>
  <si>
    <t>+5, 1d12+3</t>
  </si>
  <si>
    <t>Orc</t>
  </si>
  <si>
    <t>https://www.aidedd.org/dnd/monstres.php?vo=Orc</t>
  </si>
  <si>
    <t>Change Shape</t>
  </si>
  <si>
    <t>The oni magically polymorphs into a Small or Medium humanoid, into a Large giant, or back into its true form. Other than its size, its statistics are the same in each form. The only equipment that is transformed is its glaive, which shrinks so that it can be wielded in humanoid form. If the oni dies, it reverts to its true form, and its glaive reverts to its normal size.</t>
  </si>
  <si>
    <t>Large Form|7|2d10+4 Small or Medium Form|7|1d10+4</t>
  </si>
  <si>
    <t>Melee Weapon Attack: +7 to hit, reach 10 ft., one target. Hit: 15 (2d10 + 4) slashing damage, or 9 (1d10 + 4) slashing damage in Small or Medium form.</t>
  </si>
  <si>
    <t>Glaive</t>
  </si>
  <si>
    <t>Claw|7|1d8+4</t>
  </si>
  <si>
    <t>Melee Weapon Attack: +7 to hit, reach 5 ft., one target. Hit: 8 (1d8 + 4) slashing damage.</t>
  </si>
  <si>
    <t>Claw (Oni Form Only)</t>
  </si>
  <si>
    <t>The oni makes two attacks, either with its claws or its glaive.</t>
  </si>
  <si>
    <t>The oni regains 10 hit points at the start of its turn if it has at least 1 hit point.</t>
  </si>
  <si>
    <t>The oni's weapon attacks are magical.</t>
  </si>
  <si>
    <t>The oni's innate spellcasting ability is Charisma (spell save DC 13). The oni can innately cast the following spells, requiring no material components: At will: darkness, invisibility ¶1/day each: charm person, cone of cold, gaseous form, sleep</t>
  </si>
  <si>
    <t>https://www.aidedd.org/dnd/monstres.php?vo=Oni</t>
  </si>
  <si>
    <t>Oni</t>
  </si>
  <si>
    <t>Morningstar|6|2d8+4</t>
  </si>
  <si>
    <t>Melee Weapon Attack: +6 to hit, reach 5 ft., one target. Hit: 13 (2d8 + 4) bludgeoning damage.</t>
  </si>
  <si>
    <t>Morningstar</t>
  </si>
  <si>
    <t>+8, 2d8+6</t>
  </si>
  <si>
    <t>https://www.aidedd.org/dnd/monstres.php?vo=Ogre-Zombie</t>
  </si>
  <si>
    <t>Ogre-Zombie</t>
  </si>
  <si>
    <t>Ogre Zombie</t>
  </si>
  <si>
    <t>Javelin|6|2d6+4</t>
  </si>
  <si>
    <t>Melee or Ranged Weapon Attack: +6 to hit, reach 5 ft. or range 30/120 ft., one target. Hit: 11 (2d6 + 4) piercing damage.</t>
  </si>
  <si>
    <t>Greatclub|6|2d8+4</t>
  </si>
  <si>
    <t>4:49</t>
  </si>
  <si>
    <t>+6, 2d8+4</t>
  </si>
  <si>
    <t>https://www.aidedd.org/dnd/monstres.php?vo=Ogre</t>
  </si>
  <si>
    <t>Ogre</t>
  </si>
  <si>
    <t>Ink Cloud (Recharges after a Short or Long Rest)</t>
  </si>
  <si>
    <t>A 5-foot-radius cloud of ink extends all around the octopus if it is underwater. The area is heavily obscured for 1 minute, although a significant current can disperse the ink. After releasing the ink, the octopus can use the Dash action as a bonus action.</t>
  </si>
  <si>
    <t>Tentacles|4|1</t>
  </si>
  <si>
    <t>Melee Weapon Attack: +4 to hit, reach 5 ft., one target. Hit: 1 bludgeoning damage, and the target is grappled (escape DC 10). Until this grapple ends, the octopus can't use its tentacles on another target.</t>
  </si>
  <si>
    <t>Tentacles</t>
  </si>
  <si>
    <t>The octopus can breathe only underwater.</t>
  </si>
  <si>
    <t>Underwater Camouflage</t>
  </si>
  <si>
    <t>The octopus has advantage on Dexterity (Stealth) checks made while underwater.</t>
  </si>
  <si>
    <t>While out of water, the octopus can hold its breath for 30 minutes.</t>
  </si>
  <si>
    <t>https://www.aidedd.org/dnd/monstres.php?vo=Octopus</t>
  </si>
  <si>
    <t>Octopus</t>
  </si>
  <si>
    <t>When a jelly that is Medium or larger is subjected to lightning or slashing damage, it splits into two new jellies if it has at least 10 hit points. Each new jelly has hit points equal to half the original jelly's, rounded down. New jellies are one size smaller than the original jelly.</t>
  </si>
  <si>
    <t>Split</t>
  </si>
  <si>
    <t>Pseudopod|4|2d6+2+1d6</t>
  </si>
  <si>
    <t>Melee Weapon Attack: +4 to hit, reach 5 ft., one target. Hit: 9 (2d6 + 2) bludgeoning damage plus 3 (1d6) acid damage.</t>
  </si>
  <si>
    <t>Pseudopod</t>
  </si>
  <si>
    <t>The jelly can climb difficult surfaces, including upside down on ceilings, without needing to make an ability check.</t>
  </si>
  <si>
    <t>The jelly can move through a space as narrow as 1 inch wide without squeezing.</t>
  </si>
  <si>
    <t>11:40</t>
  </si>
  <si>
    <t>+4, 3d6+2</t>
  </si>
  <si>
    <t>Ooze</t>
  </si>
  <si>
    <t>https://www.aidedd.org/dnd/monstres.php?vo=Ochre-Jelly</t>
  </si>
  <si>
    <t>Ochre-Jelly</t>
  </si>
  <si>
    <t>Ochre Jelly</t>
  </si>
  <si>
    <t>The noble adds 2 to its AC against one melee attack that would hit it. To do so, the noble must see the attacker and be wielding a melee weapon.</t>
  </si>
  <si>
    <t>Parry</t>
  </si>
  <si>
    <t>Rapier|3|1d8+1</t>
  </si>
  <si>
    <t>Rapier</t>
  </si>
  <si>
    <t>6:34, 10:29</t>
  </si>
  <si>
    <t>https://www.aidedd.org/dnd/monstres.php?vo=Noble</t>
  </si>
  <si>
    <t>Ethereal Stride</t>
  </si>
  <si>
    <t>The nightmare and up to three willing creatures within 5 feet of it magically enter the Ethereal Plane from the Material Plane, or vice versa.</t>
  </si>
  <si>
    <t>Hooves|6|2d8+4+2d6</t>
  </si>
  <si>
    <t>Melee Weapon Attack: +6 to hit, reach 5 ft., one target. Hit: 13 (2d8 + 4) bludgeoning damage plus 7 (2d6) fire damage.</t>
  </si>
  <si>
    <t>Illumination</t>
  </si>
  <si>
    <t>The nightmare sheds bright light in a 10-foot radius and dim light for an additional 10 feet.</t>
  </si>
  <si>
    <t>Confer Fire Resistance</t>
  </si>
  <si>
    <t>The nightmare can grant resistance to fire damage to anyone riding it.</t>
  </si>
  <si>
    <t>4:29</t>
  </si>
  <si>
    <t>+2, 2d6+4</t>
  </si>
  <si>
    <t>https://www.aidedd.org/dnd/monstres.php?vo=Nightmare</t>
  </si>
  <si>
    <t>Nightmare</t>
  </si>
  <si>
    <t>Nightmare Haunting (1/Day)</t>
  </si>
  <si>
    <t>While on the Ethereal Plane, the hag magically touches a sleeping humanoid on the Material Plane. A protection from evil and good spell cast on the target prevents this contact, as does a magic circle. As long as the contact persists, the target has dreadful visions. If these visions last for at least 1 hour, the target gains no benefit from its rest, and its hit point maximum is reduced by 5 (1d10). If this effect reduces the target's hit point maximum to 0, the target dies, and if the target was evil, its soul is trapped in the hag's soul bag. The reduction to the target's hit point maximum lasts until removed by the greater restoration spell or similar magic.</t>
  </si>
  <si>
    <t>Etherealness</t>
  </si>
  <si>
    <t>The hag magically enters the Ethereal Plane from the Material Plane, or vice versa. To do so, the hag must have a heartstone in her possession.</t>
  </si>
  <si>
    <t>The hag magically polymorphs into a Small or Medium female humanoid, or back into her true form. Her statistics are the same in each form. Any equipment she is wearing or carrying isn't transformed. She reverts to her true form if she dies.</t>
  </si>
  <si>
    <t>Claws (Hag Form Only)</t>
  </si>
  <si>
    <t>While all three members of a hag coven are within 30 feet of one another, they can each cast the following spells from the wizard's spell list but must share the spell slots among themselves: ‚Ä¢ 1st level (4 slots): identify, ray of sickness ¶‚Ä¢ 2nd level (3 slots): hold person, locate object ¶‚Ä¢ 3rd level (3 slots): bestow curse, counterspell, lightning bolt ¶‚Ä¢ 4th level (3 slots): phantasmal killer, polymorph ¶‚Ä¢ 5th level (2 slots): contact other plane, scrying ¶‚Ä¢ 6th level (1 slot): eye bite For casting these spells, each hag is a 12th-level spellcaster that uses Intelligence as her spellcasting ability. The spell save DC is 12+the hag's Intelligence modifier, and the spell attack bonus is 4+the hag's Intelligence modifier.</t>
  </si>
  <si>
    <t>Night Hag Items</t>
  </si>
  <si>
    <t>A night hag carries two very rare magic items that she must craft for herself If either object is lost, the night hag will go to great lengths to retrieve it, as creating a new tool takes time and effort. ¶Heartstone: This lustrous black gem allows a night hag to become ethereal while it is in her possession. The touch of a heartstone also cures any disease. Crafting a heartstone takes 30 days. ¶Soul Bag: When an evil humanoid dies as a result of a night hag's Nightmare Haunting, the hag catches the soul in this black sack made of stitched flesh. A soul bag can hold only one evil soul at a time, and only the night hag who crafted the bag can catch a soul with it. Crafting a soul bag takes 7 days and a humanoid sacrifice (whose flesh is used to make the bag).</t>
  </si>
  <si>
    <t>The hag has advantage on saving throws against spells and other magical effects.</t>
  </si>
  <si>
    <t>The hag's innate spellcasting ability is Charisma (spell save DC 14, +6 to hit with spell attacks). She can innately cast the following spells, requiring no material components: At will: detect magic, magic missile ¶2/day each: plane shift (self only), ray of enfeeblement, sleep</t>
  </si>
  <si>
    <t>https://www.aidedd.org/dnd/monstres.php?vo=Night-Hag</t>
  </si>
  <si>
    <t>Night-Hag</t>
  </si>
  <si>
    <t>Night Hag</t>
  </si>
  <si>
    <t>The demon chooses what to summon and attempts a magical summoning. ¶A nalfeshnee has a 50 percent chance of summoning 1d4 vrocks, 1d3 hezrous, 1d2 glabrezus, or one nalfeshnee. ¶A summoned demon appears in an unoccupied space within 60 feet of its summoner, acts as an ally of its summoner, and can't summon other demons. It remains for 1 minute, until it or its summoner dies, or until its summoner dismisses it as an action.</t>
  </si>
  <si>
    <t>The nalfeshnee magically teleports, along with any equipment it is wearing or carrying, up to 120 feet to an unoccupied space it can see.</t>
  </si>
  <si>
    <t>Horror Nimbus (Recharge 5-6)</t>
  </si>
  <si>
    <t>The nalfeshnee magically emits scintillating, multicolored light. Each creature within 15 feet of the nalfeshnee that can see the light must succeed on a DC 15 Wisdom saving throw or be frightened for 1 minute. A creature can repeat the saving throw at the end of each of its turns, ending the effect on itself on a success. If a creature's saving throw is successful or the effect ends for it, the creature is immune to the nalfeshnee's Horror Nimbus for the next 24 hours.</t>
  </si>
  <si>
    <t>Claw|10|3d6+5</t>
  </si>
  <si>
    <t>Melee Weapon Attack: +10 to hit, reach 10 ft., one target. Hit: 15 (3d6 + 5) slashing damage.</t>
  </si>
  <si>
    <t>Bite|10|5d10+5</t>
  </si>
  <si>
    <t>Melee Weapon Attack: +10 to hit, reach 5 ft., one target. Hit: 32 (5d10 + 5) piercing damage.</t>
  </si>
  <si>
    <t>The nalfeshnee uses Horror Nimbus if it can.  It then makes three attacks: one with its bite and two with its claws.</t>
  </si>
  <si>
    <t>The nalfeshnee has advantage on saving throws against spells and other magical effects.</t>
  </si>
  <si>
    <t>+10, 3d6+5</t>
  </si>
  <si>
    <t>+10, 5d10+5</t>
  </si>
  <si>
    <t>https://www.aidedd.org/dnd/monstres.php?vo=Nalfeshnee</t>
  </si>
  <si>
    <t>Nalfeshnee</t>
  </si>
  <si>
    <t>The mummy lord magically transforms into a whirlwind of sand, moves up to 60 feet, and reverts to its normal form. While in whirlwind form, the mummy lord is immune to all damage, and it can't be grappled, petrified, knocked prone, restrained, or stunned. Equipment worn or carried by the mummy lord remain in its possession.</t>
  </si>
  <si>
    <t>Whirlwind of Sand (Costs 2 Actions)</t>
  </si>
  <si>
    <t>The mummy lord magically unleashes negative energy. Creatures within 60 feet of the mummy lord, including ones behind barriers and around corners, can't regain hit points until the end of the mummy lord's next turn.</t>
  </si>
  <si>
    <t>Channel Negative Energy (Costs 2 Actions)</t>
  </si>
  <si>
    <t>The mummy lord utters a blasphemous word. Each non-undead creature within 10 feet of the mummy lord that can hear the magical utterance must succeed on a DC 16 Constitution saving throw or be stunned until the end of the mummy lord's next turn.</t>
  </si>
  <si>
    <t>Blasphemous Word (Costs 2 Actions)</t>
  </si>
  <si>
    <t>Blinding dust and sand swirls magically around the mummy lord. Each creature within 5 feet of the mummy lord must succeed on a DC 16 Constitution saving throw or be blinded until the end of the creature's next turn.</t>
  </si>
  <si>
    <t>Blinding Dust</t>
  </si>
  <si>
    <t>The mummy lord makes one attack with its rotting fist or uses its Dreadful Glare.</t>
  </si>
  <si>
    <t>Dreadful Glare</t>
  </si>
  <si>
    <t>The mummy lord targets one creature it can see within 60 feet of it. If the target can see the mummy lord, it must succeed on a DC 16 Wisdom saving throw against this magic or become frightened until the end of the mummy's next turn. If the target fails the saving throw by 5 or more, it is also paralyzed for the same duration. A target that succeeds on the saving throw is immune to the Dreadful Glare of all mummies and mummy lords for the next 24 hours.</t>
  </si>
  <si>
    <t>Rotting Fist|9|3d6+4+6d6</t>
  </si>
  <si>
    <t>Melee Weapon Attack: +9 to hit, reach 5 ft., one target. Hit: 14 (3d6 + 4) bludgeoning damage plus 21 (6d6) necrotic damage. If the target is a creature, it must succeed on a DC 16 Constitution saving throw or be cursed with mummy rot. The cursed target can't regain hit points, and its hit point maximum decreases by 10 (3d6) for every 24 hours that elapse. If the curse reduces the target's hit point maximum to 0, the target dies, and its body turns to dust. The curse lasts until removed by the remove curse spell or other magic.</t>
  </si>
  <si>
    <t>Rotting Fist</t>
  </si>
  <si>
    <t>The mummy can use its Dreadful Glare and makes one attack with its rotting fist.</t>
  </si>
  <si>
    <t>The mummy lord is a 10th-level spellcaster. Its spellcasting ability is Wisdom (spell save DC 17, +9 to hit with spell attacks). The mummy lord has the following cleric spells prepared: ‚Ä¢ Cantrips (at will): sacred flame, thaumaturgy ¶‚Ä¢ 1st level (4 slots): command, guiding bolt, shield of faith ¶‚Ä¢ 2nd level (3 slots): hold person, silence, spiritual weapon ¶‚Ä¢ 3rd level (3 slots): animate dead, dispel magic ¶‚Ä¢ 4th level (3 slots): divination, guardian of faith ¶‚Ä¢ 5th level (2 slots): contagion, insect plague ¶‚Ä¢ 6th level (1 slot): harm</t>
  </si>
  <si>
    <t>A destroyed mummy lord gains a new body in 24 hours if its heart is intact, regaining all its hit points and becoming active again. The new body appears within 5 feet of the mummy lord's heart.</t>
  </si>
  <si>
    <t>The mummy lord has advantage on saving throws against spells and other magical effects.</t>
  </si>
  <si>
    <t>+9, 9d6+4</t>
  </si>
  <si>
    <t>https://www.aidedd.org/dnd/monstres.php?vo=Mummy-Lord</t>
  </si>
  <si>
    <t>Mummy-Lord</t>
  </si>
  <si>
    <t>Mummy Lord</t>
  </si>
  <si>
    <t>The mummy targets one creature it can see within 60 ft. of it. If the target can see the mummy, it must succeed on a DC 11 Wisdom saving throw against this magic or become frightened until the end of the mummy's next turn. If the target fails the saving throw by 5 or more, it is also paralyzed for the same duration. A target that succeeds on the saving throw is immune to the Dreadful Glare of all mummies (but not mummy lords) for the next 24 hours.</t>
  </si>
  <si>
    <t>Rotting Fist|5|2d6+3+3d6</t>
  </si>
  <si>
    <t>Melee Weapon Attack: +5 to hit, reach 5 ft., one target. Hit: 10 (2d6 + 3) bludgeoning damage plus 10 (3d6) necrotic damage. If the target is a creature, it must succeed on a DC 12 Constitution saving throw or be cursed with mummy rot. The cursed target can't regain hit points, and its hit point maximum decreases by 10 (3d6) for every 24 hours that elapse. If the curse reduces the target's hit point maximum to 0, the target dies, and its body turns to dust. The curse lasts until removed by the remove curse spell or other magic.</t>
  </si>
  <si>
    <t>+5, 5d6+3</t>
  </si>
  <si>
    <t>https://www.aidedd.org/dnd/monstres.php?vo=Mummy</t>
  </si>
  <si>
    <t>Mummy</t>
  </si>
  <si>
    <t>Hooves|2|1d4+2</t>
  </si>
  <si>
    <t>Melee Weapon Attack: +2 to hit, reach 5 ft., one target. Hit: 4 (1d4 + 2) bludgeoning damage.</t>
  </si>
  <si>
    <t>Sure-Footed</t>
  </si>
  <si>
    <t>The mule has advantage on Strength and Dexterity saving throws made against effects that would knock it prone.</t>
  </si>
  <si>
    <t>Beast of Burden</t>
  </si>
  <si>
    <t>The mule is considered to be a Large animal for the purpose of determining its carrying capacity.</t>
  </si>
  <si>
    <t>https://www.aidedd.org/dnd/monstres.php?vo=Mule</t>
  </si>
  <si>
    <t>Mule</t>
  </si>
  <si>
    <t>Mud Breath (Recharge 6)</t>
  </si>
  <si>
    <t>The mephit belches viscid mud onto one creature within 5 ft. of it. If the target is Medium or smaller, it must succeed on a DC 11 Dexterity saving throw or be restrained for 1 minute. A creature can repeat the saving throw at the end of each of its turns, ending the effect on itself on a success.</t>
  </si>
  <si>
    <t>Fists|3|1d6+1</t>
  </si>
  <si>
    <t>Melee Weapon Attack: +3 to hit, reach 5 ft., one creature. Hit: 4 (1d6 + 1) bludgeoning damage.</t>
  </si>
  <si>
    <t>Fists</t>
  </si>
  <si>
    <t>While the mephit remains motionless, it is indistinguishable from an ordinary mound of mud.</t>
  </si>
  <si>
    <t>When the mephit dies, it explodes in a burst of sticky mud. Each Medium or smaller creature within 5 ft. of it must succeed on a DC 11 Dexterity saving throw or be restrained until the end of the creature's next turn.</t>
  </si>
  <si>
    <t>7:21, 12:20</t>
  </si>
  <si>
    <t>https://www.aidedd.org/dnd/monstres.php?vo=Mud-Mephit</t>
  </si>
  <si>
    <t>Mud-Mephit</t>
  </si>
  <si>
    <t>Mud Mephit</t>
  </si>
  <si>
    <t>Gore|6|2d8+4</t>
  </si>
  <si>
    <t>Melee Weapon Attack: +6 to hit, reach 5 ft., one target. Hit: 13 (2d8 + 4) piercing damage.</t>
  </si>
  <si>
    <t>Greataxe|6|2d12+4</t>
  </si>
  <si>
    <t>Melee Weapon Attack: +6 to hit, reach 5 ft., one target. Hit: 17 (2d12 + 4) slashing damage.</t>
  </si>
  <si>
    <t>If the skeleton moves at least 10 feet straight toward a target and then hits it with a gore attack on the same turn, the target takes an extra 9 (2d8) piercing damage. If the target is a creature, it must succeed on a DC 14 Strength saving throw or be pushed up to 10 feet away and knocked prone.</t>
  </si>
  <si>
    <t>11:39</t>
  </si>
  <si>
    <t>+6, 2d12+4</t>
  </si>
  <si>
    <t>https://www.aidedd.org/dnd/monstres.php?vo=Minotaur-Skeleton</t>
  </si>
  <si>
    <t>Minotaur-Skeleton</t>
  </si>
  <si>
    <t>Minotaur Skeleton</t>
  </si>
  <si>
    <t>Reckless</t>
  </si>
  <si>
    <t>At the start of its turn, the minotaur can gain advantage on all melee weapon attack rolls it makes during that turn, but attack rolls against it have advantage until the start of its next turn.</t>
  </si>
  <si>
    <t>Labyrinthine Recall</t>
  </si>
  <si>
    <t>The minotaur can perfectly recall any path it has traveled.</t>
  </si>
  <si>
    <t>If the minotaur moves at least 10 ft. straight toward a target and then hits it with a gore attack on the same turn, the target takes an extra 9 (2d8) piercing damage. If the target is a creature, it must succeed on a DC 14 Strength saving throw or be pushed up to 10 ft. away and knocked prone.</t>
  </si>
  <si>
    <t>9:28</t>
  </si>
  <si>
    <t>https://www.aidedd.org/dnd/monstres.php?vo=Minotaur</t>
  </si>
  <si>
    <t>Minotaur</t>
  </si>
  <si>
    <t>Bite|5|1d8+3+1d8</t>
  </si>
  <si>
    <t>Melee Weapon Attack: +5 to hit, reach 5 ft., one target. Hit: 7 (1d8 + 3) piercing damage plus 4 (1d8) acid damage.</t>
  </si>
  <si>
    <t>Pseudopod|5|1d8+3</t>
  </si>
  <si>
    <t>Melee Weapon Attack: +5 to hit, reach 5 ft., one target. Hit: 7 (1d8 + 3) bludgeoning damage. If the mimic is in object form, the target is subjected to its Adhesive trait.</t>
  </si>
  <si>
    <t>The mimic has advantage on attack rolls against any creature grappled by it.</t>
  </si>
  <si>
    <t>Grappler</t>
  </si>
  <si>
    <t>False Appearance (Object Form Only)</t>
  </si>
  <si>
    <t>While the mimic remains motionless, it is indistinguishable from an ordinary object.</t>
  </si>
  <si>
    <t>Adhesive (Object Form Only)</t>
  </si>
  <si>
    <t>The mimic adheres to anything that touches it. A Huge or smaller creature adhered to the mimic is also grappled by it (escape DC 13). Ability checks made to escape this grapple have disadvantage.</t>
  </si>
  <si>
    <t>The mimic can use its action to polymorph into an object or back into its true, amorphous form. Its statistics are the same in each form. Any equipment it is wearing or carrying isn 't transformed. It reverts to its true form if it dies.</t>
  </si>
  <si>
    <t>+5, 2d8+3</t>
  </si>
  <si>
    <t>https://www.aidedd.org/dnd/monstres.php?vo=Mimic</t>
  </si>
  <si>
    <t>Mimic</t>
  </si>
  <si>
    <t>Harpoon|6|2d6+4</t>
  </si>
  <si>
    <t>Melee or Ranged Weapon Attack: +6 to hit, reach 5 ft. or range 20/60 ft., one target. Hit: 11 (2d6 + 4) piercing damage. If the target is a Huge or smaller creature, it must succeed on a Strength contest against the merrow or be pulled up to 20 feet toward the merrow.</t>
  </si>
  <si>
    <t>Harpoon</t>
  </si>
  <si>
    <t>Claws|6|2d4+4</t>
  </si>
  <si>
    <t>Melee Weapon Attack: +6 to hit, reach 5 ft., one target. Hit: 9 (2d4 + 4) slashing damage.</t>
  </si>
  <si>
    <t>Bite|6|1d8+4</t>
  </si>
  <si>
    <t>Melee Weapon Attack: +6 to hit, reach 5 ft., one target. Hit: 8 (1d8 + 4) piercing damage.</t>
  </si>
  <si>
    <t>The merrow makes two attacks: one with its bite and one with its claws or harpoon.</t>
  </si>
  <si>
    <t>The merrow can breathe air and water.</t>
  </si>
  <si>
    <t>https://www.aidedd.org/dnd/monstres.php?vo=Merrow</t>
  </si>
  <si>
    <t>Merrow</t>
  </si>
  <si>
    <t>Spear|2|1d6</t>
  </si>
  <si>
    <t>Melee or Ranged Weapon Attack: +2 to hit, reach 5 ft. or range 20/60 ft., one target. Hit: 3 (1d6) piercing damage, or 4 (1d8) piercing damage if used with two hands to make a melee attack.</t>
  </si>
  <si>
    <t>The merfolk can breathe air and water.</t>
  </si>
  <si>
    <t>Merfolk</t>
  </si>
  <si>
    <t>https://www.aidedd.org/dnd/monstres.php?vo=Merfolk</t>
  </si>
  <si>
    <t>Longbow|5|1d8+2+2d6</t>
  </si>
  <si>
    <t>Ranged Weapon Attack: +5 to hit, range 150/600 ft., one target. Hit: 6 (1d8 + 2) piercing damage plus 7 (2d6) poison damage.</t>
  </si>
  <si>
    <t>Shortsword|5|1d6+2</t>
  </si>
  <si>
    <t>Melee Weapon Attack: +5 to hit, reach 5 ft., one target. Hit: 5 (1d6 + 2) piercing damage.</t>
  </si>
  <si>
    <t>Snake Hair|5|1d4+2+4d6</t>
  </si>
  <si>
    <t>Melee Weapon Attack: +5 to hit, reach 5 ft., one creature. Hit: 4 (1d4 + 2) piercing damage plus 14 (4d6) poison damage.</t>
  </si>
  <si>
    <t>Snake Hair</t>
  </si>
  <si>
    <t>The medusa makes either three melee attacks ‚Äî  one with its snake hair and two with its shortsword ‚Äî or two ranged attacks with its longbow.</t>
  </si>
  <si>
    <t>Petrifying Gaze</t>
  </si>
  <si>
    <t>When a creature that can see the medusa's eyes starts its turn within 30 ft. of the medusa, the medusa can force it to make a DC 14 Constitution saving throw if the medusa isn't incapacitated and can see the creature. If the saving throw fails by 5 or more, the creature is instantly petrified. Otherwise, a creature that fails the save begins to turn to stone and is restrained. The restrained creature must repeat the saving throw at the end of its next turn, becoming petrified on a failure or ending the effect on a success. The petrification lasts until the creature is freed by the greater restoration spell or other magic. ¶Unless surprised, a creature can avert its eyes to avoid the saving throw at the start of its turn. If the creature does so, it can't see the medusa until the start of its next turn, when it can avert its eyes again. If the creature looks at the medusa in the meantime, it must immediately make the save. ¶If the medusa sees itself reflected on a polished surface within 30 ft. of it and in an area of bright light, the medusa is, due to its curse, affected by its own gaze.</t>
  </si>
  <si>
    <t>+5, 4d6+2</t>
  </si>
  <si>
    <t>+5, 1d6+2</t>
  </si>
  <si>
    <t>+5, 1d4+2</t>
  </si>
  <si>
    <t>https://www.aidedd.org/dnd/monstres.php?vo=Medusa</t>
  </si>
  <si>
    <t>Medusa</t>
  </si>
  <si>
    <t>Bite|3|1d6+1</t>
  </si>
  <si>
    <t>Melee Weapon Attack: +3 to hit, reach 5 ft., one target. Hit: 4 (1d6 + 1) piercing damage. If the target is a creature, it must succeed on a DC 11 Strength saving throw or be knocked prone.</t>
  </si>
  <si>
    <t>The mastiff has advantage on Wisdom (Perception) checks that rely on hearing or smell.</t>
  </si>
  <si>
    <t>1:14</t>
  </si>
  <si>
    <t>2:22, 10:26</t>
  </si>
  <si>
    <t>https://www.aidedd.org/dnd/monstres.php?vo=Mastiff</t>
  </si>
  <si>
    <t>Mastiff</t>
  </si>
  <si>
    <t>The marilith adds 5 to its AC against one melee attack that would hit it. To do so, the marilith must see the attacker and be wielding a melee weapon.</t>
  </si>
  <si>
    <t>The demon chooses what to summon and attempts a magical summoning. ¶A marilith has a 50 percent chance of summoning 1d6 vrocks, 1d4 hezrous, 1d3 glabrezus, 1d2 nalfeshnees, or one marilith. ¶A summoned demon appears in an unoccupied space within 60 feet of its summoner, acts as an ally of its summoner, and can't summon other demons. It remains for 1 minute, until it or its summoner dies, or until its summoner dismisses it as an action.</t>
  </si>
  <si>
    <t>The marilith magically teleports, along with any equipment it is wearing or carrying, up to 120 feet to an unoccupied space it can see.</t>
  </si>
  <si>
    <t>Tail|9|2d10+4</t>
  </si>
  <si>
    <t>Melee Weapon Attack: +9 to hit, reach 10 ft., one creature. Hit: 15 (2d10 + 4) bludgeoning damage. If the target is Medium or smaller, it is grappled (escape DC 19). Until this grapple ends, the target is restrained, the marilith can automatically hit the target with its tail, and the marilith can't make tail attacks against other targets.</t>
  </si>
  <si>
    <t>Longsword|9|2d8+4</t>
  </si>
  <si>
    <t>Melee Weapon Attack: +9 to hit, reach 5 ft., one target. Hit: 13 (2d8 + 4) slashing damage.</t>
  </si>
  <si>
    <t>The marilith can make seven attacks: six with its longswords and one with its tail.</t>
  </si>
  <si>
    <t>Reactive</t>
  </si>
  <si>
    <t>The marilith can take one reaction on every turn in combat.</t>
  </si>
  <si>
    <t>The marilith's weapon attacks are magical.</t>
  </si>
  <si>
    <t>The marilith has advantage on saving throws against spells and other magical effects.</t>
  </si>
  <si>
    <t>+9, 2d10+4</t>
  </si>
  <si>
    <t>+9, 2d8+4</t>
  </si>
  <si>
    <t>https://www.aidedd.org/dnd/monstres.php?vo=Marilith</t>
  </si>
  <si>
    <t>Marilith</t>
  </si>
  <si>
    <t>Tail Spike|5|1d8+3</t>
  </si>
  <si>
    <t>Ranged Weapon Attack: +5 to hit, range 100/200 ft., one target. Hit: 7 (1d8 + 3) piercing damage.</t>
  </si>
  <si>
    <t>Tail Spike</t>
  </si>
  <si>
    <t>Claw|5|1d6+3</t>
  </si>
  <si>
    <t>Bite|5|1d8+3</t>
  </si>
  <si>
    <t>Melee Weapon Attack: +5 to hit, reach 5 ft., one target. Hit: 7 (1d8 + 3) piercing damage.</t>
  </si>
  <si>
    <t>The manticore makes three attacks: one with its bite and two with its claws or three with its tail spikes.</t>
  </si>
  <si>
    <t>Tail Spike Regrowth</t>
  </si>
  <si>
    <t>The manticore has twenty-four tail spikes. Used spikes regrow when the manticore finishes a long rest.</t>
  </si>
  <si>
    <t>13:34</t>
  </si>
  <si>
    <t>https://www.aidedd.org/dnd/monstres.php?vo=Manticore</t>
  </si>
  <si>
    <t>Manticore</t>
  </si>
  <si>
    <t>Stomp|10|4d10+7</t>
  </si>
  <si>
    <t>Melee Weapon Attack: +10 to hit, reach 5 ft., one prone creature. Hit: 29 (4d10 + 7) bludgeoning damage.</t>
  </si>
  <si>
    <t>Gore|10|4d8+7</t>
  </si>
  <si>
    <t>Melee Weapon Attack: +10 to hit, reach 10 ft., one target. Hit: 25 (4d8 + 7) piercing damage.</t>
  </si>
  <si>
    <t>If the mammoth moves at least 20 ft. straight toward a creature and then hits it with a gore attack on the same turn, that target must succeed on a DC 18 Strength saving throw or be knocked prone. If the target is prone, the mammoth can make one stomp attack against it as a bonus action.</t>
  </si>
  <si>
    <t>+10, 4d10+7</t>
  </si>
  <si>
    <t>+10, 4d8+7</t>
  </si>
  <si>
    <t>https://www.aidedd.org/dnd/monstres.php?vo=Mammoth</t>
  </si>
  <si>
    <t>Mammoth</t>
  </si>
  <si>
    <t>Touch|4|2d6</t>
  </si>
  <si>
    <t>Melee Weapon Attack: +4 to hit, reach 5 ft., one target. Hit: 7 (2d6) fire damage. If the target is a creature or a flammable object, it ignites. Until a target takes an action to douse the fire, the target takes 3 (1d6) fire damage at the end of each of its turns.</t>
  </si>
  <si>
    <t>Touch</t>
  </si>
  <si>
    <t>Ignited Illumination</t>
  </si>
  <si>
    <t>As a bonus action, the magmin can set itself ablaze or extinguish its flames. While ablaze, the magmin sheds bright light in a 10-foot radius and dim light for an additional 10 ft.</t>
  </si>
  <si>
    <t>Death Burst||2d6</t>
  </si>
  <si>
    <t>When the magmin dies, it explodes in a burst of fire and magma. Each creature within 10 ft. of it must make a DC 11 Dexterity saving throw, taking 7 (2d6) fire damage on a failed save, or half as much damage on a successful one. Flammable objects that aren't being worn or carried in that area are ignited.</t>
  </si>
  <si>
    <t>2:23, 5:26</t>
  </si>
  <si>
    <t>+2, 2d6</t>
  </si>
  <si>
    <t>https://www.aidedd.org/dnd/monstres.php?vo=Magmin</t>
  </si>
  <si>
    <t>Magmin</t>
  </si>
  <si>
    <t>Fire Breath (Recharge 6)</t>
  </si>
  <si>
    <t>The mephit exhales a 15-foot cone of fire. Each creature in that area must make a DC 11 Dexterity saving throw, taking 7 (2d6) fire damage on a failed save, or half as much damage on a successful one.</t>
  </si>
  <si>
    <t>Claws|3|1d4+1+1d4</t>
  </si>
  <si>
    <t>Melee Weapon Attack: +3 to hit, reach 5 ft ., one creature. Hit: 3 (1d4 + 1) slashing damage plus 2 (1d4) fire damage.</t>
  </si>
  <si>
    <t>The mephit can innately cast heat metal (spell save DC 10), requiring no material components. Its innate spellcasting ability is Charisma.</t>
  </si>
  <si>
    <t>While the mephit remains motionless, it is indistinguishable from an ordinary mound of magma.</t>
  </si>
  <si>
    <t>When the mephit dies, it explodes in a burst of lava. Each creature within 5 ft. of it must make a DC 11 Dexterity saving throw, taking 7 (2d6) fire damage on a failed save, or half as much damage on a successful one.</t>
  </si>
  <si>
    <t>2:25</t>
  </si>
  <si>
    <t>https://www.aidedd.org/dnd/monstres.php?vo=Magma-Mephit</t>
  </si>
  <si>
    <t>Magma-Mephit</t>
  </si>
  <si>
    <t>Magma Mephit</t>
  </si>
  <si>
    <t>Dagger|5|1d4+2</t>
  </si>
  <si>
    <t>Melee or Ranged Weapon Attack: +5 to hit, reach 5 ft. or range 20/60 ft., one target. Hit: 4 (1d4 + 2) piercing damage.</t>
  </si>
  <si>
    <t>Dagger</t>
  </si>
  <si>
    <t>The mage is a 9th-level spellcaster. Its spellcasting ability is Intelligence (spell save DC 14, +6 to hit with spell attacks). The mage has the following wizard spells prepared: ‚Ä¢ Cantrips (at will): fire bolt, light, mage hand, prestidigitation ¶‚Ä¢ 1st level (4 slots): detect magic, mage armor, magic missile, shield ¶‚Ä¢ 2nd level (3 slots): misty step, suggestion ¶‚Ä¢ 3rd level (3 slots): counterspell, fireball, fly ¶‚Ä¢ 4th level (3 slots): greater invisibility, ice storm ¶‚Ä¢ 5th level (1 slot): cone of cold</t>
  </si>
  <si>
    <t>4:43, 8:24</t>
  </si>
  <si>
    <t>10:34, 11:39/41, 13:27, 14:21</t>
  </si>
  <si>
    <t>https://www.aidedd.org/dnd/monstres.php?vo=Mage</t>
  </si>
  <si>
    <t>Spiked Shield|4|1d6+</t>
  </si>
  <si>
    <t>Spiked Shield</t>
  </si>
  <si>
    <t>Javelin|4|1d6+2</t>
  </si>
  <si>
    <t>Melee or Ranged Weapon Attack: +4 to hit, reach 5 ft. or range 30/120 ft., one target. Hit: 5 (1d6 + 2) piercing damage.</t>
  </si>
  <si>
    <t>Heavy Club|4|1d6+2</t>
  </si>
  <si>
    <t>Melee Weapon Attack: +4 to hit, reach 5 ft., one target. Hit: 5 (1d6 + 2) bludgeoning damage.</t>
  </si>
  <si>
    <t>Heavy Club</t>
  </si>
  <si>
    <t>The lizardfolk makes two melee attacks, each one with a different weapon.</t>
  </si>
  <si>
    <t>The lizardfolk can hold its breath for 15 minutes.</t>
  </si>
  <si>
    <t>7:20</t>
  </si>
  <si>
    <t>6:27, 7:22</t>
  </si>
  <si>
    <t>Lizardfolk</t>
  </si>
  <si>
    <t>https://www.aidedd.org/dnd/monstres.php?vo=Lizardfolk</t>
  </si>
  <si>
    <t>https://www.aidedd.org/dnd/monstres.php?vo=Lizard</t>
  </si>
  <si>
    <t>Lizard</t>
  </si>
  <si>
    <t>With a 10-foot running start, the lion can long jump up to 25 ft..</t>
  </si>
  <si>
    <t>Running Leap</t>
  </si>
  <si>
    <t>If the lion moves at least 20 ft. straight toward a creature and then hits it with a claw attack on the same turn, that target must succeed on a DC 13 Strength saving throw or be knocked prone. If the target is prone, the lion can make one bite attack against it as a bonus action.</t>
  </si>
  <si>
    <t>The lion has advantage on an attack roll against a creature if at least one of the lion's allies is within 5 ft. of the creature and the ally isn't incapacitated.</t>
  </si>
  <si>
    <t>The lion has advantage on Wisdom (Perception) checks that rely on smell.</t>
  </si>
  <si>
    <t>4:26</t>
  </si>
  <si>
    <t>https://www.aidedd.org/dnd/monstres.php?vo=Lion</t>
  </si>
  <si>
    <t>Lion</t>
  </si>
  <si>
    <t>Disrupt Life||6d6</t>
  </si>
  <si>
    <t>Each non-undead creature within 20 feet of the lich must make a DC 18 Constitution saving throw against this magic, taking 21 (6d6) necrotic damage on a failed save, or half as much damage on a successful one.</t>
  </si>
  <si>
    <t>Disrupt Life (Costs 3 Actions)</t>
  </si>
  <si>
    <t>The lich fixes its gaze on one creature it can see within 10 feet of it. The target must succeed on a DC 18 Wisdom saving throw against this magic or become frightened for 1 minute. The frightened target can repeat the saving throw at the end of each of its turns, ending the effect on itself on a success. If a target's saving throw is successful or the effect ends for it, the target is immune to the lich's gaze for the next 24 hours.</t>
  </si>
  <si>
    <t>Frightening Gaze (Costs 2 Actions)</t>
  </si>
  <si>
    <t>The lich uses its Paralyzing Touch.</t>
  </si>
  <si>
    <t>Paralyzing Touch (Costs 2 Actions)</t>
  </si>
  <si>
    <t>The lich casts a cantrip.</t>
  </si>
  <si>
    <t>Cantrip</t>
  </si>
  <si>
    <t>Paralyzing Touch|12|3d6</t>
  </si>
  <si>
    <t>Melee Spell Attack: +12 to hit, reach 5 ft., one creature. Hit: 10 (3d6) cold damage. The target must succeed on a DC 18 Constitution saving throw or be paralyzed for 1 minute. The target can repeat the saving throw at the end of each of its turns, ending the effect on itself on a success.</t>
  </si>
  <si>
    <t>Paralyzing Touch</t>
  </si>
  <si>
    <t>The lich has advantage on saving throws against any effect that turns undead.</t>
  </si>
  <si>
    <t>Turn Resistance</t>
  </si>
  <si>
    <t>The lich is an 18th-level spellcaster. Its spellcasting ability is Intelligence (spell save DC 20, +12 to hit with spell attacks). The lich has the following wizard spells prepared: ‚Ä¢ Cantrips (at will): mage hand, prestidigitation, ray of frost ¶‚Ä¢ 1st level (4 slots): detect magic, magic missile, shield, thunderwave ¶‚Ä¢ 2nd level (3 slots): detect thoughts, invisibility, Melf's acid arrow, mirror image ¶‚Ä¢ 3rd level (3 slots): animate dead, counterspell, dispel magic, fireball ¶‚Ä¢ 4th level (3 slots): blight, dimension door ¶‚Ä¢ 5th level (3 slots): cloudkill, scrying ¶‚Ä¢ 6th level (1 slot): disintegrate, globe of invulnerability ¶‚Ä¢ 7th level (1 slot): finger of death, plane shift ¶‚Ä¢ 8th level (1 slot): dominate monster, power word stun ¶‚Ä¢ 9th level (1 slot): power word kill</t>
  </si>
  <si>
    <t>If it has a phylactery, a destroyed lich gains a new body in 1d10 days, regaining all its hit points and becoming active again. The new body appears within 5 feet of the phylactery.</t>
  </si>
  <si>
    <t>If the lich fails a saving throw, it can choose to succeed instead.</t>
  </si>
  <si>
    <t>+7, 3d6</t>
  </si>
  <si>
    <t>*E</t>
  </si>
  <si>
    <t>https://www.aidedd.org/dnd/monstres.php?vo=Lich</t>
  </si>
  <si>
    <t>Lich</t>
  </si>
  <si>
    <t>Fist|3|1d4</t>
  </si>
  <si>
    <t>Melee Weapon Attack: +3 to hit, reach 5 ft., one target. Hit: 2 (1d4) bludgeoning damage</t>
  </si>
  <si>
    <t>Hellish Rejuvenation</t>
  </si>
  <si>
    <t>A lemure that dies in the Nine Hells comes back to life with all its hit points in 1d10 days unless it is killed by a good-aligned creature with a bless spell cast on that creature or its remains are sprinkled with holy water.</t>
  </si>
  <si>
    <t>Devil's Sight</t>
  </si>
  <si>
    <t>Magical darkness doesn't impede the lemure's darkvision.</t>
  </si>
  <si>
    <t>3:30</t>
  </si>
  <si>
    <t>https://www.aidedd.org/dnd/monstres.php?vo=Lemure</t>
  </si>
  <si>
    <t>Lemure</t>
  </si>
  <si>
    <t>Intoxicating Touch</t>
  </si>
  <si>
    <t>Melee Spell Attack: +5 to hit, reach 5 ft., one creature. Hit: The target is magically cursed for 1 hour. Until the curse ends, the target has disadvantage on Wisdom saving throws and all ability checks.</t>
  </si>
  <si>
    <t>Dagger|5|1d4+3</t>
  </si>
  <si>
    <t>Melee Weapon Attack: +5 to hit, reach 5 ft., one target. Hit: 5 (1d4 + 3) piercing damage.</t>
  </si>
  <si>
    <t>Claws|5|2d10+3</t>
  </si>
  <si>
    <t>Melee Weapon Attack: +5 to hit, reach 5 ft., one target. Hit: 14 (2d10 + 3) slashing damage.</t>
  </si>
  <si>
    <t>The lamia makes two attacks: one with its claws and one with its dagger or Intoxicating Touch.</t>
  </si>
  <si>
    <t>The lamia's innate spellcasting ability is Charisma (spell save DC 13). It can innately cast the following spells, requiring no material components. At will: disguise self (any humanoid form), major image 3/day each: charm person, mirror image, scrying, suggestion 1/day: geas</t>
  </si>
  <si>
    <t>+5, 2d10+3</t>
  </si>
  <si>
    <t>https://www.aidedd.org/dnd/monstres.php?vo=Lamia</t>
  </si>
  <si>
    <t>Lamia</t>
  </si>
  <si>
    <t>While underwater, the kraken expels an ink cloud in a 60-foot radius. The cloud spreads around corners, and that area is heavily obscured to creatures other than the kraken. Each creature other than the kraken that ends its turn there must succeed on a DC 23 Constitution saving throw, taking 16 (3d10) poison damage on a failed save, or half as much damage on a successful one. A strong current disperses the cloud, which otherwise disappears at the end of the kraken's next turn.</t>
  </si>
  <si>
    <t>Ink Cloud (Costs 3 Actions)</t>
  </si>
  <si>
    <t>The kraken uses Lightning Storm.</t>
  </si>
  <si>
    <t>Lightning Storm (Costs 2 Actions)</t>
  </si>
  <si>
    <t>The kraken makes one tentacle attack or uses its Fling.</t>
  </si>
  <si>
    <t>Tentacle Attack or Fling</t>
  </si>
  <si>
    <t>Lightning Storm||4d10</t>
  </si>
  <si>
    <t>The kraken magically creates three bolts of lightning, each of which can strike a target the kraken can see within 120 feet of it. A target must make a DC 23 Dexterity saving throw, taking 22 (4d10) lightning damage on a failed save, or half as much damage on a successful one.</t>
  </si>
  <si>
    <t>Lightning Storm</t>
  </si>
  <si>
    <t>One Large or smaller object held or creature grappled by the kraken is thrown up to 60 feet in a random direction and knocked prone. If a thrown target strikes a solid surface, the target takes 3 (1d6) bludgeoning damage for every 10 feet it was thrown. If the target is thrown at another creature, that creature must succeed on a DC 18 Dexterity saving throw or take the same damage and be knocked prone.</t>
  </si>
  <si>
    <t>Tentacle|7|3d6+10</t>
  </si>
  <si>
    <t>Melee Weapon Attack: +7 to hit, reach 30 ft., one target. Hit: 20 (3d6 + 10) bludgeoning damage, and the target is grappled (escape DC 18). Until this grapple ends, the target is restrained. The kraken has ten tentacles, each of which can grapple one target.</t>
  </si>
  <si>
    <t>Bite|7|3d8+10</t>
  </si>
  <si>
    <t>Melee Weapon Attack: +7 to hit, reach 5 ft., one target. Hit: 23 (3d8 + 10) piercing damage. If the target is a Large or smaller creature grappled by the kraken, that creature is swallowed, and the grapple ends. While swallowed, the creature is blinded and restrained, it has total cover against attacks and other effects outside the kraken, and it takes 42 (12d6) acid damage at the start of each of the kraken's turns. If the kraken takes 50 damage or more on a single turn from a creature inside it, the kraken must succeed on a DC 25 Constitution saving throw at the end of that turn or regurgitate all swallowed creatures, which fall prone in a space within 10 feet of the kraken. If the kraken dies, a swallowed creature is no longer restrained by it and can escape from the corpse using 15 feet of movement, exiting prone.</t>
  </si>
  <si>
    <t>The kraken makes three tentacle attacks, each of which it can replace with one use of Fling.</t>
  </si>
  <si>
    <t>The kraken deals double damage to objects and structures.</t>
  </si>
  <si>
    <t>Freedom of Movement</t>
  </si>
  <si>
    <t>The kraken ignores difficult terrain, and magical effects can't reduce its speed or cause it to be restrained. It can spend 5 feet of movement to escape from nonmagical restraints or being grappled.</t>
  </si>
  <si>
    <t>The kraken can breathe air and water.</t>
  </si>
  <si>
    <t>+17, 3d6+10</t>
  </si>
  <si>
    <t>+17, 3d8+10</t>
  </si>
  <si>
    <t>https://www.aidedd.org/dnd/monstres.php?vo=Kraken</t>
  </si>
  <si>
    <t>Kraken</t>
  </si>
  <si>
    <t>Sling|4|1d4+2</t>
  </si>
  <si>
    <t>Ranged Weapon Attack: +4 to hit, range 30/120 ft., one target. Hit: 4 (1d4 + 2) bludgeoning damage.</t>
  </si>
  <si>
    <t>Sling</t>
  </si>
  <si>
    <t>Dagger|4|1d4+2</t>
  </si>
  <si>
    <t>The kobold has advantage on an attack roll against a creature if at least one of the kobold's allies is within 5 ft. of the creature and the ally isn't incapacitated.</t>
  </si>
  <si>
    <t>While in sunlight, the kobold has disadvantage on attack rolls, as well as on Wisdom (Perception) checks that rely on sight.</t>
  </si>
  <si>
    <t>3:30, 4:22, 5:20, 9:28, 10:35, 11:39, 12:26</t>
  </si>
  <si>
    <t>Kobold</t>
  </si>
  <si>
    <t>https://www.aidedd.org/dnd/monstres.php?vo=Kobold</t>
  </si>
  <si>
    <t>The knight adds 2 to its AC against one melee attack that would hit it. To do so, the knight must see the attacker and be wielding a melee weapon.</t>
  </si>
  <si>
    <t>Leadership (Recharges after a Short or Long Rest)</t>
  </si>
  <si>
    <t>For 1 minute, the knight can utter a special command or warning whenever a nonhostile creature that it can see within 30 ft. of it makes an attack roll or a saving throw. The creature can add a d4 to its roll provided it can hear and understand the knight. A creature can benefit from only one Leadership die at a time. This effect ends if the knight is incapacitated.</t>
  </si>
  <si>
    <t>Greatsword|5|2d6+3</t>
  </si>
  <si>
    <t>The knight makes two melee attacks.</t>
  </si>
  <si>
    <t>Brave</t>
  </si>
  <si>
    <t>The knight has advantage on saving throws against being frightened.</t>
  </si>
  <si>
    <t>2:28</t>
  </si>
  <si>
    <t>9:57</t>
  </si>
  <si>
    <t>4:22, 9:30, 14:21</t>
  </si>
  <si>
    <t>+5, 1d10</t>
  </si>
  <si>
    <t>https://www.aidedd.org/dnd/monstres.php?vo=Knight</t>
  </si>
  <si>
    <t>Knight</t>
  </si>
  <si>
    <t>Bite|6|5d6+4</t>
  </si>
  <si>
    <t>Melee Weapon Attack: +6 to hit, reach 5 ft., one target. Hit: 21 (5d6 + 4) piercing damage.</t>
  </si>
  <si>
    <t>The whale has advantage on Wisdom (Perception) checks that rely on hearing.</t>
  </si>
  <si>
    <t>The whale can hold its breath for 30 minutes</t>
  </si>
  <si>
    <t>The whale can't use its blindsight while deafened.</t>
  </si>
  <si>
    <t>+6, 5d6+4</t>
  </si>
  <si>
    <t>https://www.aidedd.org/dnd/monstres.php?vo=Killer-Whale</t>
  </si>
  <si>
    <t>Killer-Whale</t>
  </si>
  <si>
    <t>Killer Whale</t>
  </si>
  <si>
    <t>Bite|1|1d4-1</t>
  </si>
  <si>
    <t>Melee Weapon Attack: +1 to hit, reach 5 ft., one target. Hit: 1 (1d4 - 1) piercing damage.</t>
  </si>
  <si>
    <t>The jackal has advantage on an attack roll against a creature if at least one of the jackal's allies is within 5 ft. of the creature and the ally isn't incapacitated.</t>
  </si>
  <si>
    <t>The jackal has advantage on Wisdom (Perception) checks that rely on hearing or smell.</t>
  </si>
  <si>
    <t>1:29</t>
  </si>
  <si>
    <t>+2, 1d4-1</t>
  </si>
  <si>
    <t>https://www.aidedd.org/dnd/monstres.php?vo=Jackal</t>
  </si>
  <si>
    <t>Jackal</t>
  </si>
  <si>
    <t>Poison Breath||10d8</t>
  </si>
  <si>
    <t>The golem exhales poisonous gas in a 15-foot cone. Each creature in that area must make a DC 19 Constitution saving throw, taking 45 (l0d8) poison damage on a failed save, or half as much damage on a successful one.</t>
  </si>
  <si>
    <t>Sword|13|3d10+7</t>
  </si>
  <si>
    <t>Melee Weapon Attack: +13 to hit, reach 10 ft., one target. Hit: 23 (3d10 + 7) slashing damage.</t>
  </si>
  <si>
    <t>Sword</t>
  </si>
  <si>
    <t>Slam|13|3d8+7</t>
  </si>
  <si>
    <t>Melee Weapon Attack: +13 to hit, reach 5 ft., one target. Hit: 20 (3d8 + 7) bludgeoning damage.</t>
  </si>
  <si>
    <t>The golem makes two melee attacks.</t>
  </si>
  <si>
    <t>Fire Absorption</t>
  </si>
  <si>
    <t>Whenever the golem is subjected to fire damage, it takes no damage and instead regains a number of hit points equal to the fire damage dealt.</t>
  </si>
  <si>
    <t>+12, 3d10+7</t>
  </si>
  <si>
    <t>+12, 3d8+7</t>
  </si>
  <si>
    <t>https://www.aidedd.org/dnd/monstres.php?vo=Iron-Golem</t>
  </si>
  <si>
    <t>Iron-Golem</t>
  </si>
  <si>
    <t>Iron Golem</t>
  </si>
  <si>
    <t>Slam|6|2d6+3</t>
  </si>
  <si>
    <t>Melee Weapon Attack: +6 to hit, reach 5 ft., one target. Hit: 10 (2d6 + 3) bludgeoning damage.</t>
  </si>
  <si>
    <t>The stalker makes two slam attacks.</t>
  </si>
  <si>
    <t>Faultless Tracker</t>
  </si>
  <si>
    <t>The stalker is given a quarry by its summoner. The stalker knows the direction and distance to its quarry as long as the two of them are on the same plane of existence. The stalker also knows the location of its summoner.</t>
  </si>
  <si>
    <t>The stalker is invisible.</t>
  </si>
  <si>
    <t>9:55, 13:35</t>
  </si>
  <si>
    <t>https://www.aidedd.org/dnd/monstres.php?vo=Invisible-Stalker</t>
  </si>
  <si>
    <t>Invisible-Stalker</t>
  </si>
  <si>
    <t>Invisible Stalker</t>
  </si>
  <si>
    <t>The imp magically turns invisible until it attacks, or until its concentration ends (as if concentrating on a spell). Any equipment the imp wears or carries is invisible with it.</t>
  </si>
  <si>
    <t>Sting/Bite|5|1d4+3</t>
  </si>
  <si>
    <t>Melee Weapon Attack: +5 to hit, reach 5 ft ., one target. Hit: 5 (1d4 + 3) piercing damage, and the target must make on a DC 11 Constitution saving throw, taking 10 (3d6) poison damage on a failed save, or half as much damage on a successful one.</t>
  </si>
  <si>
    <t>Sting (Bite in Beast Form)</t>
  </si>
  <si>
    <t>The imp can serve another creature as a familiar, forming a telepathic bond with its willing master. While the two are bonded, the master can sense what the quasit senses as long as they are within 1 mile of each other. While the imp is within 10 feet of its master, the master shares the quasit's Magic Resistance trait. At any time and for any reason, the imp can end its service as a familiar, ending the telepathic bond.</t>
  </si>
  <si>
    <t>The imp has advantage on saving throws against spells and other magical effects.</t>
  </si>
  <si>
    <t>Magical darkness doesn't impede the imp's darkvision.</t>
  </si>
  <si>
    <t>The imp can use its action to polymorph into a beast form that resembles a rat (speed 20 ft.), a raven (20 ft., fly 60 ft.), or a spider (20 ft., climb 20 ft.), or back into its true form. Its statistics are the same in each form, except for the speed changes noted. Any equipment it is wearing or carrying isn't transformed. It reverts to its true form if it dies.</t>
  </si>
  <si>
    <t>https://www.aidedd.org/dnd/monstres.php?vo=Imp</t>
  </si>
  <si>
    <t>Imp</t>
  </si>
  <si>
    <t>Frost Breath (Recharge 6)</t>
  </si>
  <si>
    <t>The mephit exhales a 15-foot cone of cold air. Each creature in that area must succeed on a DC 10 Dexterity saving throw, taking 5 (2d4) cold damage on a failed save, or half as much damage on a successful one.</t>
  </si>
  <si>
    <t>Melee Weapon Attack: +3 to hit, reach 5 ft., one creature. Hit: 3 (1d4 + 1) slashing damage plus 2 (1d4) cold damage.</t>
  </si>
  <si>
    <t>The mephit can innately cast fog cloud, requiring no material components. Its innate spellcasting ability is Charisma.</t>
  </si>
  <si>
    <t>While the mephit remains motionless, it is indistinguishable from an ordinary shard of ice.</t>
  </si>
  <si>
    <t>When the mephit dies, it explodes in a burst of jagged ice. Each creature within 5 ft. of it must make a DC 10 Dexterity saving throw, taking 4 (1d8) slashing damage on a failed save, or half as much damage on a successful one.</t>
  </si>
  <si>
    <t>9:52</t>
  </si>
  <si>
    <t>+3, 2d4</t>
  </si>
  <si>
    <t>https://www.aidedd.org/dnd/monstres.php?vo=Ice-Mephit</t>
  </si>
  <si>
    <t>Ice-Mephit</t>
  </si>
  <si>
    <t>Ice Mephit</t>
  </si>
  <si>
    <t>Wall of Ice</t>
  </si>
  <si>
    <t>The devil magically forms an opaque wall of ice on a solid surface it can see within 60 feet of it. The wall is 1 foot thick and up to 30 feet long and 10 feet high, or it's a hemispherical dome up to 20 feet in diameter. ¶When the wall appears, each creature in its space is pushed out of it by the shortest route. The creature chooses which side of the wall to end up on, unless the creature is incapacitated. The creature then makes a DC 17 Dexterity saving throw, taking 35 (10d6) cold damage on a failed save, or half as much damage on a successful one. ¶The wall lasts for 1 minute or until the devil is incapacitated or dies. The wall can be damaged and breached; each 10-foot section has AC 5, 30 hit points, vulnerability to fire damage, and immunity to acid, cold, necrotic, poison, and psychic damage. If a section is destroyed, it leaves behind a sheet of frigid air in the space the wall occupied. Whenever a creature finishes moving through the frigid air on a turn, willingly or otherwise, the creature must make a DC 17 Constitution saving throw, taking 17 (5d6) cold damage on a failed save, or half as much damage on a successful one. The frigid air dissipates when the rest of the wall vanishes.</t>
  </si>
  <si>
    <t>Tail|10|2d6+5+3d6</t>
  </si>
  <si>
    <t>Melee Weapon Attack:+10 to hit, reach 10 ft., one target. Hit: 12 (2d6 + 5) bludgeoning damage plus 10 (3d6) cold damage.</t>
  </si>
  <si>
    <t>Claws|10|2d4+5+3d6</t>
  </si>
  <si>
    <t>Melee Weapon Attack: +10 to hit, reach 5 ft., one target. Hit: 10 (2d4 + 5) slashing damage plus 10 (3d6) cold damage.</t>
  </si>
  <si>
    <t>Bite|10|2d6+5+3d6</t>
  </si>
  <si>
    <t>Melee Weapon Attack: +10 to hit, reach 5 ft., one target. Hit: 12 (2d6 + 5) piercing damage plus 10 (3d6) cold damage.</t>
  </si>
  <si>
    <t>The devil makes three attacks: one with its bite, one with its claws, and one with its tail.</t>
  </si>
  <si>
    <t>The devil has advantage on saving throws against spells and other magical effects.</t>
  </si>
  <si>
    <t>Magical darkness doesn't impede the devil's darkvision.</t>
  </si>
  <si>
    <t>+10, 2d4+5</t>
  </si>
  <si>
    <t>+10, 5d6+5</t>
  </si>
  <si>
    <t>https://www.aidedd.org/dnd/monstres.php?vo=Ice-Devil</t>
  </si>
  <si>
    <t>Ice-Devil</t>
  </si>
  <si>
    <t>Ice Devil</t>
  </si>
  <si>
    <t>Bite|2|1d6</t>
  </si>
  <si>
    <t>Weapon Attack: +2 to hit, reach 5 ft., one target. Hit: 3 (1d6) piercing damage.</t>
  </si>
  <si>
    <t>The hyena has advantage on an attack roll against a creature if at least one of the hyena's allies is within 5 ft. of the creature and the ally isn't incapacitated.</t>
  </si>
  <si>
    <t>https://www.aidedd.org/dnd/monstres.php?vo=Hyena</t>
  </si>
  <si>
    <t>Hyena</t>
  </si>
  <si>
    <t>Bite|8|1d10+5</t>
  </si>
  <si>
    <t>Melee Weapon Attack: +8 to hit, reach 10 ft., one target. Hit: 10 (1d10 + 5) piercing damage.</t>
  </si>
  <si>
    <t>The hydra makes as many bite attacks as it has heads.</t>
  </si>
  <si>
    <t>While the hydra sleeps, at least one of its heads is awake.</t>
  </si>
  <si>
    <t>Wakeful</t>
  </si>
  <si>
    <t>Reactive Heads</t>
  </si>
  <si>
    <t>For each head the hydra has beyond one, it gets an extra reaction that can be used only for opportunity attacks.</t>
  </si>
  <si>
    <t>Multiple Heads</t>
  </si>
  <si>
    <t>The hydra has five heads. While it has more than one head, the hydra has advantage on saving throws against being blinded, charmed, deafened, frightened, stunned, and knocked unconscious. ¶Whenever the hydra takes 25 or more damage in a single turn, one of its heads dies. If all its heads die, the hydra dies. ¶At the end of its turn, it grows two heads for each of its heads that died since its last turn, unless it has taken fire damage since its last turn. The hydra regains 10 hit points for each head regrown in this way.</t>
  </si>
  <si>
    <t>The hydra can hold its breath for 1 hour.</t>
  </si>
  <si>
    <t>3:27</t>
  </si>
  <si>
    <t>+8, 1d10+5</t>
  </si>
  <si>
    <t>https://www.aidedd.org/dnd/monstres.php?vo=Hydra</t>
  </si>
  <si>
    <t>Hydra</t>
  </si>
  <si>
    <t>Bite|6|2d8+4</t>
  </si>
  <si>
    <t>The shark has advantage on melee attack rolls against any creature that doesn't have all its hit points.</t>
  </si>
  <si>
    <t>https://www.aidedd.org/dnd/monstres.php?vo=Hunter-Shark</t>
  </si>
  <si>
    <t>Hunter-Shark</t>
  </si>
  <si>
    <t>Hunter Shark</t>
  </si>
  <si>
    <t>Flame|7|4d6</t>
  </si>
  <si>
    <t>Ranged Spell Attack: +7 to hit, range 150 ft., one target. Hit: 14 (4d6) fire damage. If the target is a flammable object that isn't being worn or carried, it also catches fire.</t>
  </si>
  <si>
    <t>Hurl Flame</t>
  </si>
  <si>
    <t>Tail|10|1d8+6</t>
  </si>
  <si>
    <t>Melee Weapon Attack: +10 to hit, reach 10 ft., one target. Hit: 10 (1d8 + 6) piercing damage. If the target is a creature other than an undead or a construct, it must succeed on a DC 17 Constitution saving throw or lose 10 (3d6) hit points at the start of each of its turns due to an infernal wound. Each time the devil hits the wounded target with this attack, the damage dealt by the wound increases by 10 (3d6). Any creature can take an action to stanch the wound with a successful DC 12 Wisdom (Medicine) check. The wound also closes if the target receives magical healing.</t>
  </si>
  <si>
    <t>Fork|10|2d8+6</t>
  </si>
  <si>
    <t>Melee Weapon Attack: +10 to hit, reach 10 ft., one target. Hit: 15 (2d8 + 6) piercing damage.</t>
  </si>
  <si>
    <t>Fork</t>
  </si>
  <si>
    <t>The devil makes three melee attacks: two with its fork and one with its tail. It can use Hurl Flame in place of any melee attack.</t>
  </si>
  <si>
    <t>+10, 1d8+6</t>
  </si>
  <si>
    <t>+10, 2d8+6</t>
  </si>
  <si>
    <t>https://www.aidedd.org/dnd/monstres.php?vo=Horned-Devil</t>
  </si>
  <si>
    <t>Horned-Devil</t>
  </si>
  <si>
    <t>Horned Devil</t>
  </si>
  <si>
    <t>Melee Weapon Attack: +4 to hit, reach 5 ft., one creature. Hit: 1 piercing damage, and the target must succeed on a DC 10 Constitution saving throw or be poisoned for 1 minute. If the saving throw fails by 5 or more, the target is instead poisoned for 5 (1d10) minutes and unconscious while poisoned in this way.</t>
  </si>
  <si>
    <t>Telepathic Bond</t>
  </si>
  <si>
    <t>While the homunculus is on the same plane of existence as its master, it can magically convey what it senses to its master, and the two can communicate telepathically.</t>
  </si>
  <si>
    <t>https://www.aidedd.org/dnd/monstres.php?vo=Homunculus</t>
  </si>
  <si>
    <t>Homunculus</t>
  </si>
  <si>
    <t>Longbow|3|1d8+1</t>
  </si>
  <si>
    <t>Ranged Weapon Attack: +3 to hit, range 150/600 ft., one target. Hit: 5 (1d8 + 1) piercing damage.</t>
  </si>
  <si>
    <t>Longsword|3|1d8+1</t>
  </si>
  <si>
    <t>Melee Weapon Attack: +3 to hit, reach 5 ft., one target. Hit: 5 (1d8 + 1) slashing damage, or 6 (1d10 + 1) slashing damage if used with two hands.</t>
  </si>
  <si>
    <t>Martial Advantage||2d6</t>
  </si>
  <si>
    <t>Once per turn, the hobgoblin can deal an extra 7 (2d6) damage to a creature it hits with a weapon attack if that creature is within 5 ft. of an ally of the hobgoblin that isn't incapacitated.</t>
  </si>
  <si>
    <t>Martial Advantage</t>
  </si>
  <si>
    <t>+3, 1d10+1</t>
  </si>
  <si>
    <t>Goblinoid</t>
  </si>
  <si>
    <t>https://www.aidedd.org/dnd/monstres.php?vo=Hobgoblin</t>
  </si>
  <si>
    <t>Hobgoblin</t>
  </si>
  <si>
    <t>Beak|5|1d10+3</t>
  </si>
  <si>
    <t>The hippogriff makes two attacks: one with its beak and one with its claws.</t>
  </si>
  <si>
    <t>The hippogriff has advantage on Wisdom (Perception) checks that rely on sight.</t>
  </si>
  <si>
    <t>1:12</t>
  </si>
  <si>
    <t>https://www.aidedd.org/dnd/monstres.php?vo=Hippogriff</t>
  </si>
  <si>
    <t>Hippogriff</t>
  </si>
  <si>
    <t>Rock|8|3d10+5</t>
  </si>
  <si>
    <t>Ranged Weapon Attack: +8 to hit, range 60/240 ft., one target. Hit: 21 (3d10 + 5) bludgeoning damage.</t>
  </si>
  <si>
    <t>Greatclub|8|3d8+5</t>
  </si>
  <si>
    <t>Melee Weapon Attack: +8 to hit, reach 10 ft., one target. Hit: 18 (3d8 + 5) bludgeoning damage.</t>
  </si>
  <si>
    <t>Squash|8|6d6+5</t>
  </si>
  <si>
    <t>Melee Weapon Attack: +8 to hit, reach 5 ft., one Medium or Smaller creature. Hit: 26 (6d6 + 5) bludgeoning damage, the giant lands prone in the target's space, and the target is grappled (escape DC 15). Until this grapple ends, the target is prone. The grapple ends early if the giant stands up.</t>
  </si>
  <si>
    <t>Squash</t>
  </si>
  <si>
    <t>7:28</t>
  </si>
  <si>
    <t>+8, 3d10+5</t>
  </si>
  <si>
    <t>+8, 3d8+5</t>
  </si>
  <si>
    <t>https://www.aidedd.org/dnd/monstres.php?vo=Hill-Giant</t>
  </si>
  <si>
    <t>Hill-Giant</t>
  </si>
  <si>
    <t>Hill Giant</t>
  </si>
  <si>
    <t>The demon chooses what to summon and attempts a magical summoning. ¶A hezrou has a 30 percent chance of summoning 2d6 dretches or one hezrou. ¶A summoned demon appears in an unoccupied space within 60 feet of its summoner, acts as an ally of its summoner, and can't summon other demons. It remains for 1 minute, until it or its summoner dies, or until its summoner dismisses it as an action.</t>
  </si>
  <si>
    <t>Melee Weapon Attack: +7 to hit, reach 5 ft., one target. Hit: 15 (2d10 + 4) piercing damage.</t>
  </si>
  <si>
    <t>The hezrou makes three attacks: one with its bite and two with its claws.</t>
  </si>
  <si>
    <t>Stench</t>
  </si>
  <si>
    <t>Any creature that starts its turn within 10 feet of the hezrou must succeed on a DC 14 Constitution saving throw or be poisoned until the start of its next turn. On a successful saving throw, the creature is immune to the hezrou's stench for 24 hours.</t>
  </si>
  <si>
    <t>The hezrou has advantage on saving throws against spells and other magical effects.</t>
  </si>
  <si>
    <t>3:30, 4:43, 9:30</t>
  </si>
  <si>
    <t>https://www.aidedd.org/dnd/monstres.php?vo=Hezrou</t>
  </si>
  <si>
    <t>Hezrou</t>
  </si>
  <si>
    <t>Fire Breath (Recharge 5-6)||6d6</t>
  </si>
  <si>
    <t>The hound exhales fire in a 15-foot cone. Each creature in that area must make a DC 12 Dexterity saving throw, taking 21 (6d6) fire damage on a failed save, or half as much damage on a successful one.</t>
  </si>
  <si>
    <t>Bite|5|1d8+3+2d6</t>
  </si>
  <si>
    <t>Melee Weapon Attack: +5 to hit, reach 5 ft., one target. Hit: 7 (1d8 + 3) piercing damage plus 7 (2d6) fire damage.</t>
  </si>
  <si>
    <t>The hound has advantage on an attack roll against a creature if at least one of the hound's allies is within 5 ft. of the creature and the ally isn't incapacitated.</t>
  </si>
  <si>
    <t>The hound has advantage on Wisdom (Perception) checks that rely on hearing or smell.</t>
  </si>
  <si>
    <t>13:27</t>
  </si>
  <si>
    <t>+2, 2d6+3</t>
  </si>
  <si>
    <t>+5, 6d6</t>
  </si>
  <si>
    <t>https://www.aidedd.org/dnd/monstres.php?vo=Hell-Hound</t>
  </si>
  <si>
    <t>Hell-Hound</t>
  </si>
  <si>
    <t>Hell Hound</t>
  </si>
  <si>
    <t>Talons|5|1</t>
  </si>
  <si>
    <t>Melee Weapon Attack: +5 to hit, reach 5 ft., one target. Hit: 1 slashing damage.</t>
  </si>
  <si>
    <t>The hawk has advantage on Wisdom (Perception) checks that rely on sight.</t>
  </si>
  <si>
    <t>https://www.aidedd.org/dnd/monstres.php?vo=Hawk</t>
  </si>
  <si>
    <t>Hawk</t>
  </si>
  <si>
    <t>Luring Song</t>
  </si>
  <si>
    <t>The harpy sings a magical melody. Every humanoid and giant within 300 ft. of the harpy that can hear the song must succeed on a DC 11 Wisdom saving throw or be charmed until the song ends. The harpy must take a bonus action on its subsequent turns to continue singing. It can stop singing at any time. The song ends if the harpy is incapacitated. ¶While charmed by the harpy, a target is incapacitated and ignores the songs of other harpies. If the charmed target is more than 5 ft. away from the harpy, the must move on its turn toward the harpy by the most direct route. It doesn't avoid opportunity attacks, but before moving into damaging terrain, such as lava or a pit, and whenever it takes damage from a source other than the harpy, a target can repeat the saving throw. A creature can also repeat the saving throw at the end of each of its turns. If a creature's saving throw is successful, the effect ends on it. ¶A target that successfully saves is immune to this harpy's song for the next 24 hours.</t>
  </si>
  <si>
    <t>Club|3|1d4+1</t>
  </si>
  <si>
    <t>Melee Weapon Attack: +3 to hit, reach 5 ft., one target. Hit: 3 (1d4 + 1) bludgeoning damage.</t>
  </si>
  <si>
    <t>Club</t>
  </si>
  <si>
    <t>Claws|3|2d4+1</t>
  </si>
  <si>
    <t>Melee Weapon Attack: +3 to hit, reach 5 ft., one target. Hit: 6 (2d4 + 1) slashing damage.</t>
  </si>
  <si>
    <t>The harpy makes two attacks: one with its claws and one with its club.</t>
  </si>
  <si>
    <t>https://www.aidedd.org/dnd/monstres.php?vo=Harpy</t>
  </si>
  <si>
    <t>Harpy</t>
  </si>
  <si>
    <t>The sphinx casts a spell from its list of prepared spells, using a spell slot as normal.</t>
  </si>
  <si>
    <t>Cast a Spell (Costs 3 Actions)</t>
  </si>
  <si>
    <t>The sphinx magically teleports, along with any equipment it is wearing or carrying, up to 120 feet to an unoccupied space it can see.</t>
  </si>
  <si>
    <t>Teleport (Costs 2 Actions)</t>
  </si>
  <si>
    <t>The sphinx makes one claw attack.</t>
  </si>
  <si>
    <t>Claw Attack</t>
  </si>
  <si>
    <t>Claw|9|2d8+4</t>
  </si>
  <si>
    <t>The sphinx makes two claw attacks.</t>
  </si>
  <si>
    <t>The sphinx is a 9th-level spellcaster. Its spellcasting ability is Intelligence (spell save DC 16, +8 to hit with spell attacks). It requires no material components to cast its spells. The sphinx has the following wizard spells prepared: ‚Ä¢ Cantrips (at will): mage hand, minor illusion, prestidigitation ¶‚Ä¢ 1st level (4 slots): detect magic, identify, shield ¶‚Ä¢ 2nd level (3 slots): darkness, locate object, suggestion ¶‚Ä¢ 3rd level (3 slots): dispel magic, remove curse, tongues ¶‚Ä¢ 4th level (3 slots): banishment, greater invisibility ¶‚Ä¢ 5th level (1 slot): legend lore</t>
  </si>
  <si>
    <t>The sphinx's weapon attacks are magical.</t>
  </si>
  <si>
    <t>Inscrutable</t>
  </si>
  <si>
    <t>The sphinx is immune to any effect that would sense its emotions or read its thoughts, as well as any divination spell that it refuses. Wisdom (Insight) checks made to ascertain the sphinx's intentions or sincerity have disadvantage.</t>
  </si>
  <si>
    <t>+8, 2d8+4</t>
  </si>
  <si>
    <t>LN</t>
  </si>
  <si>
    <t>https://www.aidedd.org/dnd/monstres.php?vo=Gynosphinx</t>
  </si>
  <si>
    <t>Gynosphinx</t>
  </si>
  <si>
    <t>Spit Poison|8|10d8</t>
  </si>
  <si>
    <t>Ranged Weapon Attack: +8 to hit, range 15/30 ft., one creature. Hit: The target must make a DC 15 Constitution saving throw, taking 45 (10d8) poison damage on a failed save, or half as much damage on a successful one.</t>
  </si>
  <si>
    <t>Spit Poison</t>
  </si>
  <si>
    <t>Bite|8|1d8+4</t>
  </si>
  <si>
    <t>Melee Weapon Attack: +8 to hit, reach 10 ft., one creature. Hit: 8 (1d8 + 4) piercing damage, and the target must make a DC 15 Constitution saving throw, taking 45 (10d8) poison damage on a failed save, or half as much damage on a successful one.</t>
  </si>
  <si>
    <t>The naga is an 11th-level spellcaster. Its spellcasting ability is Wisdom (spell save DC 16, +8 to hit with spell attacks), and it needs only verbal components to cast its spells. It has the following cleric spells prepared: ‚Ä¢ Cantrips (at will): mending, sacred flame, thaumaturgy ¶‚Ä¢ 1st level (4 slots): command, cure wounds, shield of faith ¶‚Ä¢ 2nd level (3 slots): calm emotions, hold person ¶‚Ä¢ 3rd level (3 slots): bestow curse, clairvoyance ¶‚Ä¢ 4th level (3 slots): banishment, freedom of movement ¶‚Ä¢ 5th level (2 slots): flame strike, geas ¶‚Ä¢ 6th level (1 slot): true seeing</t>
  </si>
  <si>
    <t>+8, 1d8+4</t>
  </si>
  <si>
    <t>https://www.aidedd.org/dnd/monstres.php?vo=Guardian-Naga</t>
  </si>
  <si>
    <t>Guardian-Naga</t>
  </si>
  <si>
    <t>Guardian Naga</t>
  </si>
  <si>
    <t>Melee or Ranged Weapon Attack: +3 to hit, reach 5 ft. or range 20/60 ft., one target. Hit: 4 (1d6 + 1) piercing damage or 5 (1d8 + 1) piercing damage if used with two hands to make a melee attack.</t>
  </si>
  <si>
    <t>1:22, 2:28, 5:23</t>
  </si>
  <si>
    <t>1:12, 2:21, 5:24, 6:34, 8:20, 10:26</t>
  </si>
  <si>
    <t>1:10/31, 2:24, 3:30, 6:27, 9:27, 11:38</t>
  </si>
  <si>
    <t>https://www.aidedd.org/dnd/monstres.php?vo=Guard</t>
  </si>
  <si>
    <t>Guard</t>
  </si>
  <si>
    <t>Spiked Bone Club|5|1d4+3+1d4</t>
  </si>
  <si>
    <t>Melee Weapon Attack: +5 to hit, reach 5 ft., one target. Hit: 5 (1d4 + 3) bludgeoning damage plus 2 (1d4) piercing damage.</t>
  </si>
  <si>
    <t>Spiked Bone Club</t>
  </si>
  <si>
    <t>The grimlock has advantage on Dexterity (Stealth) checks made to hide in rocky terrain.</t>
  </si>
  <si>
    <t>The grimlock has advantage on Wisdom (Perception) checks that rely on hearing or smell.</t>
  </si>
  <si>
    <t>Blind Senses</t>
  </si>
  <si>
    <t>The grimlock can't use its blindsight while deafened and unable to smell.</t>
  </si>
  <si>
    <t>Grimlock</t>
  </si>
  <si>
    <t>https://www.aidedd.org/dnd/monstres.php?vo=Grimlock</t>
  </si>
  <si>
    <t>Claws|6|2d6+4</t>
  </si>
  <si>
    <t>Melee Weapon Attack: +6 to hit, reach 5 ft., one target. Hit: 11 (2d6 + 4) slashing damage.</t>
  </si>
  <si>
    <t>Beak|6|1d8+4</t>
  </si>
  <si>
    <t>The griffon makes two attacks: one with its beak and one with its claws.</t>
  </si>
  <si>
    <t>The griffon has advantage on Wisdom (Perception) checks that rely on sight.</t>
  </si>
  <si>
    <t>6:34</t>
  </si>
  <si>
    <t>https://www.aidedd.org/dnd/monstres.php?vo=Griffon</t>
  </si>
  <si>
    <t>Griffon</t>
  </si>
  <si>
    <t>Beak|4|1d6+2</t>
  </si>
  <si>
    <t>Tentacles|4|2d6+2</t>
  </si>
  <si>
    <t>Melee Weapon Attack: +4 to hit, reach 5 ft., one target. Hit: 9 (2d6 + 2) slashing damage.</t>
  </si>
  <si>
    <t>The grick makes one attack with its tentacles. If that attack hits, the grick can make one beak attack against the same target.</t>
  </si>
  <si>
    <t>The grick has advantage on Dexterity (Stealth) checks made to hide in rocky terrain.</t>
  </si>
  <si>
    <t>1:31</t>
  </si>
  <si>
    <t>https://www.aidedd.org/dnd/monstres.php?vo=Grick</t>
  </si>
  <si>
    <t>Grick</t>
  </si>
  <si>
    <t>Invisible Passage</t>
  </si>
  <si>
    <t>The hag magically turns invisible until she attacks or casts a spell, or until her concentration ends (as if concentrating on a spell). While invisible, she leaves no physical evidence of her passage, so she can be tracked only by magic. Any equipment she wears or carries is invisible with her.</t>
  </si>
  <si>
    <t>The hag covers herself and anything she is wearing or carrying with a magical illusion that makes her look like another creature of her general size and humanoid shape. The illusion ends if the hag takes a bonus action to end it or if she dies. ¶The changes wrought by this effect fail to hold up to physical inspection. For example, the hag could appear to have smooth skin, but someone touching her would feel her rough flesh. Otherwise, a creature must take an action to visually inspect the illusion and succeed on a DC 20 Intelligence (Investigation) check to discern that the hag is disguised.</t>
  </si>
  <si>
    <t>Claws|6|2d8+4</t>
  </si>
  <si>
    <t>Melee Weapon Attack: +6 to hit, reach 5 ft., one target. Hit: 13 (2d8 + 4) slashing damage.</t>
  </si>
  <si>
    <t>The hag can mimic animal sounds and humanoid voices. A creature that hears the sounds can tell they are imitations with a successful DC 14 Wisdom (Insight) check.</t>
  </si>
  <si>
    <t>The hag's innate spellcasting ability is Charisma (spell save DC 12). She can innately cast the following spells, requiring no material components: At will: dancing lights, minor illusion, vicious mockery</t>
  </si>
  <si>
    <t>8:25, 12:25</t>
  </si>
  <si>
    <t>https://www.aidedd.org/dnd/monstres.php?vo=Green-Hag</t>
  </si>
  <si>
    <t>Green-Hag</t>
  </si>
  <si>
    <t>Green Hag</t>
  </si>
  <si>
    <t>Poison Breath||6d6</t>
  </si>
  <si>
    <t>The dragon exhales poisonous gas in a 15-foot cone. Each creature in that area must make a DC 11 Constitution saving throw, taking 21 (6d6) poison damage on a failed save, or half as much damage on a successful one.</t>
  </si>
  <si>
    <t>Bite|4|1d10+2+1d6</t>
  </si>
  <si>
    <t>Melee Weapon Attack: +4 to hit, reach 5 ft., one target. Hit: 7 (1d10 + 2) piercing damage plus 3 (1d6) poison damage.</t>
  </si>
  <si>
    <t>https://www.aidedd.org/dnd/monstres.php?vo=Green-Dragon-Wyrmling</t>
  </si>
  <si>
    <t>Green-Dragon-Wyrmling</t>
  </si>
  <si>
    <t>Green Dragon Wyrmling</t>
  </si>
  <si>
    <t>Pseudopod|3|1d6+1+2d6</t>
  </si>
  <si>
    <t>Melee Weapon Attack: +3 to hit, reach 5 ft., one target. Hit: 4 (1d6 + 1) bludgeoning damage plus 7 (2d6) acid damage, and if the target is wearing nonmagical metal armor, its armor is partly corroded and takes a permanent and cumulative -1 penalty to the AC it offers. The armor is destroyed if the penalty reduces its AC to 10.</t>
  </si>
  <si>
    <t>While the ooze remains motionless, it is indistinguishable from an oily pool or wet rock.</t>
  </si>
  <si>
    <t>Corrode Metal</t>
  </si>
  <si>
    <t>Any nonmagical weapon made of metal that hits the ooze corrodes. After dealing damage, the weapon takes a permanent and cumulative -1 penalty to damage rolls. If its penalty drops to -5, the weapon is destroyed. Nonmagical ammunition made of metal that hits the ooze is destroyed after dealing damage. ¶The ooze can eat through 2-inch-thick, nonmagical metal in 1 round.</t>
  </si>
  <si>
    <t>The ooze can move through a space as narrow as 1 inch wide without squeezing.</t>
  </si>
  <si>
    <t>7:22</t>
  </si>
  <si>
    <t>5:20</t>
  </si>
  <si>
    <t>+3, 3d6+1</t>
  </si>
  <si>
    <t>https://www.aidedd.org/dnd/monstres.php?vo=Gray-Ooze</t>
  </si>
  <si>
    <t>Gray-Ooze</t>
  </si>
  <si>
    <t>Gray Ooze</t>
  </si>
  <si>
    <t>Petrifying Breath (Recharge 5-6)</t>
  </si>
  <si>
    <t>The gorgon exhales petrifying gas in a 30-foot cone. Each creature in that area must succeed on a DC 13 Constitution saving throw. On a failed save, a target begins to turn to stone and is restrained. The restrained target must repeat the saving throw at the end of its next turn. On a success, the effect ends on the target. On a failure, the target is petrified until freed by the greater restoration spell or other magic.</t>
  </si>
  <si>
    <t>Hooves|8|2d10+5</t>
  </si>
  <si>
    <t>Melee Weapon Attack: +8 to hit, reach 5 ft., one target. Hit: 16 (2d10 + 5) bludgeoning damage.</t>
  </si>
  <si>
    <t>Gore|8|2d12+5</t>
  </si>
  <si>
    <t>Melee Weapon Attack: +8 to hit, reach 5 ft., one target. Hit: 18 (2d12 + 5) piercing damage.</t>
  </si>
  <si>
    <t>If the gorgon moves at least 20 feet straight toward a creature and then hits it with a gore attack on the same turn, that target must succeed on a DC 16 Strength saving throw or be knocked prone. If the target is prone, the gorgon can make one attack with its hooves against it as a bonus action.</t>
  </si>
  <si>
    <t>+8, 2d12+5</t>
  </si>
  <si>
    <t>https://www.aidedd.org/dnd/monstres.php?vo=Gorgon</t>
  </si>
  <si>
    <t>Gorgon</t>
  </si>
  <si>
    <t>Fire Breath||4d10</t>
  </si>
  <si>
    <t>The dragon uses one of the following breath weapons. ¶Fire Breath. The dragon exhales fire in a 15-foot cone. Each creature in that area must make a DC 13 Dexterity saving throw, taking 22 (4d10) fire damage on a failed save, or half as much damage on a successful one. ¶Weakening Breath. The dragon exhales gas in a 15-foot cone. Each creature in that area must succeed on a DC 13 Strength saving throw or have disadvantage on Strength-based attack rolls, Strength checks, and Strength saving throws for 1 minute. A creature can repeat the saving throw at the end of each of its turns, ending the effect on itself on a success.</t>
  </si>
  <si>
    <t>https://www.aidedd.org/dnd/monstres.php?vo=Gold-Dragon-Wyrmling</t>
  </si>
  <si>
    <t>Gold-Dragon-Wyrmling</t>
  </si>
  <si>
    <t>Gold Dragon Wyrmling</t>
  </si>
  <si>
    <t>Scimitar|4|1d6+2</t>
  </si>
  <si>
    <t>Melee Weapon Attack: +4 to hit, reach 5 ft., one target. Hit: 5 (1d6 + 2) slashing damage.</t>
  </si>
  <si>
    <t>Scimitar</t>
  </si>
  <si>
    <t>Nimble Escape</t>
  </si>
  <si>
    <t>The goblin can take the Disengage or Hide action as a bonus action on each of its turns.</t>
  </si>
  <si>
    <t>1:15, 12:25, 13:28</t>
  </si>
  <si>
    <t>https://www.aidedd.org/dnd/monstres.php?vo=Goblin</t>
  </si>
  <si>
    <t>Goblin</t>
  </si>
  <si>
    <t>Ram|3|1d4+1</t>
  </si>
  <si>
    <t>The goat has advantage on Strength and Dexterity saving throws made against effects that would knock it prone.</t>
  </si>
  <si>
    <t>Charge||1d4</t>
  </si>
  <si>
    <t>If the goat moves at least 20 ft. straight toward a target and then hits it with a ram attack on the same turn, the target takes an extra 2 (1d4) bludgeoning damage. If the target is a creature, it must succeed on a DC 10 Strength saving throw or be knocked prone.</t>
  </si>
  <si>
    <t>https://www.aidedd.org/dnd/monstres.php?vo=Goat</t>
  </si>
  <si>
    <t>Goat</t>
  </si>
  <si>
    <t>Spear|4|1d6+2</t>
  </si>
  <si>
    <t>Melee or Ranged Weapon Attack: +4 to hit, reach 5 ft. or range 20/60 ft., one target. Hit: 5 (1d6 + 2) piercing damage, or 6 (1d8 + 2) piercing damage if used with two hands to make a melee attack.</t>
  </si>
  <si>
    <t>Melee Weapon Attack: +4 to hit, reach 5 ft., one creature. Hit: 4 (1d4 + 2) piercing damage.</t>
  </si>
  <si>
    <t>Rampage</t>
  </si>
  <si>
    <t>When the gnoll reduces a creature to 0 hit points with a melee attack on its turn, the gnoll can take a bonus action to move up to half its speed and make a bite attack.</t>
  </si>
  <si>
    <t>Gnoll</t>
  </si>
  <si>
    <t>https://www.aidedd.org/dnd/monstres.php?vo=Gnoll</t>
  </si>
  <si>
    <t>The gladiator adds 3 to its AC against one melee attack that would hit it. To do so, the gladiator must see the attacker and be wielding a melee weapon.</t>
  </si>
  <si>
    <t>Shield Bash|7|2d4+4</t>
  </si>
  <si>
    <t>Melee Weapon Attack: +7 to hit, reach 5 ft., one creature. Hit: 9 (2d4 + 4) bludgeoning damage. If the target is a Medium or smaller creature, it must succeed on a DC 15 Strength saving throw or be knocked prone.</t>
  </si>
  <si>
    <t>Shield Bash</t>
  </si>
  <si>
    <t>One Handed|7|2d6+4 Two Handed|7|2d8+4</t>
  </si>
  <si>
    <t>Melee or Ranged Weapon Attack: +7 to hit, reach 5 ft. and range 20/60 ft., one target. Hit: 11 (2d6 + 4) piercing damage, or 13 (2d8 + 4) piercing damage if used with two hands to make a melee attack.</t>
  </si>
  <si>
    <t>The gladiator makes three melee attacks or two ranged attacks.</t>
  </si>
  <si>
    <t>Brute</t>
  </si>
  <si>
    <t>A melee weapon deals one extra die of its damage when the gladiator hits with it (included in the attack).</t>
  </si>
  <si>
    <t>The gladiator has advantage on saving throws against being frightened.</t>
  </si>
  <si>
    <t>11:38</t>
  </si>
  <si>
    <t>+7, 2d4+4</t>
  </si>
  <si>
    <t>https://www.aidedd.org/dnd/monstres.php?vo=Gladiator</t>
  </si>
  <si>
    <t>Gladiator</t>
  </si>
  <si>
    <t>The demon chooses what to summon and attempts a magical summoning. ¶A glabrezu has a 30 percent chance of summoning 1d3 vrocks, 1d2 hezrous, or one glabrezu. ¶A summoned demon appears in an unoccupied space within 60 feet of its summoner, acts as an ally of its summoner, and can't summon other demons. It remains for 1 minute, until it or its summoner dies, or until its summoner dismisses it as an action.</t>
  </si>
  <si>
    <t>Fist|9|2d4+2</t>
  </si>
  <si>
    <t>Melee Weapon Attack: +9 to hit, reach 5 ft., one target. Hit: 7 (2d4 + 2) bludgeoning damage.</t>
  </si>
  <si>
    <t>Pincer|9|2d10+5</t>
  </si>
  <si>
    <t>Melee Weapon Attack: +9 to hit, reach 10 ft., one target. Hit: 16 (2d10 + 5) bludgeoning damage. If the target is a Medium or smaller creature, it is grappled (escape DC 15). The glabrezu has two pincers, each of which can grapple only one target.</t>
  </si>
  <si>
    <t>Pincer</t>
  </si>
  <si>
    <t>The glabrezu makes four attacks: two with its pincers and two with its fists. Alternatively, it makes two attacks with its pincers and casts one spell.</t>
  </si>
  <si>
    <t>The glabrezu has advantage on saving throws against spells and other magical effects.</t>
  </si>
  <si>
    <t>The glabrezu's spellcasting ability is Intelligence (spell save DC 16). The glabrezu can innately cast the following spells, requiring no material components: ¶At will: darkness, detect magic, dispel magic ¶1/day each: confusion, fly, power word stun</t>
  </si>
  <si>
    <t>4:42, 8:30</t>
  </si>
  <si>
    <t>+9, 2d4+2</t>
  </si>
  <si>
    <t>+9, 2d10+5</t>
  </si>
  <si>
    <t>https://www.aidedd.org/dnd/monstres.php?vo=Glabrezu</t>
  </si>
  <si>
    <t>Glabrezu</t>
  </si>
  <si>
    <t>Blinding Spittle (Recharge 5-6)</t>
  </si>
  <si>
    <t>The mouther spits a chemical glob at a point it can see within 15 feet of it. The glob explodes in a blinding flash of light on impact. Each creature within 5 feet of the flash must succeed on a DC 13 Dexterity saving throw or be blinded until the end of the mouther's next turn.</t>
  </si>
  <si>
    <t>Bites|2|5d6</t>
  </si>
  <si>
    <t>Melee Weapon Attack: +2 to hit, reach 5 ft., one creature. Hit: 17 (5d6) piercing damage. If the target is Medium or smaller, it must succeed on a DC 10 Strength saving throw or be knocked prone. If the target is killed by this damage, it is absorbed into the mouther.</t>
  </si>
  <si>
    <t>The gibbering mouther makes one bite attack and, if it can, uses its Blinding Spittle.</t>
  </si>
  <si>
    <t>Gibbering</t>
  </si>
  <si>
    <t>The mouther babbles incoherently while it can see any creature and isn't incapacitated. Each creature that starts its turn within 20 feet of the mouther and can hear the gibbering must succeed on a DC 10 Wisdom saving throw. On a failure, the creature can't take reactions until the start of its next turn and rolls a d8 to determine what it does during its turn. On a 1 to 4, the creature does nothing. On a 5 or 6, the creature takes no action or bonus action and uses all its movement to move in a randomly determined direction. On a 7 or 8, the creature makes a melee attack against a randomly determined creature within its reach or does nothing if it can't make such an attack.</t>
  </si>
  <si>
    <t>Aberrant Ground</t>
  </si>
  <si>
    <t>The ground in a 10-foot radius around the mouther is doughlike difficult terrain. Each creature that starts its turn in that area must succeed on a DC 10 Strength saving throw or have its speed reduced to 0 until the start of its next turn.</t>
  </si>
  <si>
    <t>+2, 5d6</t>
  </si>
  <si>
    <t>https://www.aidedd.org/dnd/monstres.php?vo=Gibbering-Mouther</t>
  </si>
  <si>
    <t>Gibbering-Mouther</t>
  </si>
  <si>
    <t>Gibbering Mouther</t>
  </si>
  <si>
    <t>Weapon Attack: +3 to hit, reach 5 ft., one creature. Hit: 4 (1d6 + 1) piercing damage, and the target must make a DC 11 Constitution saving throw, taking 7 (2d6) poison damage on a failed save, or half as much damage on a successful one. If the poison damage reduces the target to 0 hit points, the target is stable but poisoned for 1 hour, even after regaining hit points, and is paralyzed while poisoned in this way.</t>
  </si>
  <si>
    <t>https://www.aidedd.org/dnd/monstres.php?vo=Giant-Wolf-Spider</t>
  </si>
  <si>
    <t>Giant-Wolf-Spider</t>
  </si>
  <si>
    <t>Giant Wolf Spider</t>
  </si>
  <si>
    <t>Bite|5|1d4+3</t>
  </si>
  <si>
    <t>Weapon Attack: +5 to hit, reach 5 ft., one target. Hit: 5 (1d4 + 3) piercing damage.</t>
  </si>
  <si>
    <t>https://www.aidedd.org/dnd/monstres.php?vo=Giant-Weasel</t>
  </si>
  <si>
    <t>Giant-Weasel</t>
  </si>
  <si>
    <t>Giant Weasel</t>
  </si>
  <si>
    <t>Sting|4|1d6+2</t>
  </si>
  <si>
    <t>Sting. Melee Weapon Attack: +4 to hit, reach 5 ft., one creature. Hit: 5 (1d6 + 2) piercing damage, and the target must make a DC 11 Constitution saving throw, taking 10 (3d6) poison damage on a failed save, or half as much damage on a successful one. If the poison damage reduces the target to 0 hit points, the target is stable but poisoned for 1 hour, even after regaining hit points, and is paralyzed while poisoned in this way.</t>
  </si>
  <si>
    <t>https://www.aidedd.org/dnd/monstres.php?vo=Giant-Wasp</t>
  </si>
  <si>
    <t>Giant-Wasp</t>
  </si>
  <si>
    <t>Giant Wasp</t>
  </si>
  <si>
    <t>Talons|4|2d6+2</t>
  </si>
  <si>
    <t>Beak|4|2d4+2</t>
  </si>
  <si>
    <t>Melee Weapon Attack: +4 to hit, reach 5 ft., one target. Hit: 7 (2d4 + 2) piercing damage.</t>
  </si>
  <si>
    <t>The vulture makes two attacks: one with its beak and one with its talons.</t>
  </si>
  <si>
    <t>+6, 2d6+2</t>
  </si>
  <si>
    <t>https://www.aidedd.org/dnd/monstres.php?vo=Giant-Vulture</t>
  </si>
  <si>
    <t>Giant-Vulture</t>
  </si>
  <si>
    <t>Giant Vulture</t>
  </si>
  <si>
    <t>The toad makes one bite attack against a Medium or smaller target it is grappling. If the attack hits, the target is swallowed, and the grapple ends. The swallowed target is blinded and restrained, it has total cover against attacks and other effects outside the toad, and it takes 10 (3d6) acid damage at the start of each of the toad's turns. The toad can have only one target swallowed at a time. ¶If the toad dies, a swallowed creature is no longer restrained by it and can escape from the corpse using 5 feet of movement, exiting prone.</t>
  </si>
  <si>
    <t>Bite|4|1d10+2+1d10</t>
  </si>
  <si>
    <t>Melee Weapon Attack: +4 to hit, reach 5 ft., one target. Hit: 7 (1d10 + 2) piercing damage plus 5 (1d10) poison damage, and the target is grappled (escape DC 13). Until this grapple ends, the target is restrained, and the toad can't bite another target.</t>
  </si>
  <si>
    <t>Standing Leap</t>
  </si>
  <si>
    <t>The toad's long jump is up to 20 ft. and its high jump is up to 10 ft., with or without a running start.</t>
  </si>
  <si>
    <t>The toad can breathe air and water</t>
  </si>
  <si>
    <t>+4, 2d10+2</t>
  </si>
  <si>
    <t>https://www.aidedd.org/dnd/monstres.php?vo=Giant-Toad</t>
  </si>
  <si>
    <t>Giant-Toad</t>
  </si>
  <si>
    <t>Giant Toad</t>
  </si>
  <si>
    <t>Web|5|0</t>
  </si>
  <si>
    <t>Ranged Weapon Attack: +5 to hit, range 30/60 ft., one creature. Hit: The target is restrained by webbing. As an action, the restrained target can make a DC 12 Strength check, bursting the webbing on a success. The webbing can also be attacked and destroyed (AC 10; hp 5; vulnerability to fire damage; immunity to bludgeoning, poison, and psychic damage).</t>
  </si>
  <si>
    <t>Web (Recharge 5-6)</t>
  </si>
  <si>
    <t>Melee Weapon Attack: +5 to hit, reach 5 ft., one creature. Hit: 7 (1d8 + 3) piercing damage, and the target must make a DC 11 Constitution saving throw, taking 9 (2d8) poison damage on a failed save, or half as much damage on a successful one. If the poison damage reduces the target to 0 hit points, the target is stable but poisoned for 1 hour, even after regaining hit points, and is paralyzed while poisoned in this way.</t>
  </si>
  <si>
    <t>https://www.aidedd.org/dnd/monstres.php?vo=Giant-Spider</t>
  </si>
  <si>
    <t>Giant-Spider</t>
  </si>
  <si>
    <t>Giant Spider</t>
  </si>
  <si>
    <t>Bite|9|3d10+6</t>
  </si>
  <si>
    <t>Weapon Attack: +9 to hit, reach 5 ft., one target. Hit: 22 (3d10 + 6) piercing damage.</t>
  </si>
  <si>
    <t>https://www.aidedd.org/dnd/monstres.php?vo=Giant-Shark</t>
  </si>
  <si>
    <t>Giant-Shark</t>
  </si>
  <si>
    <t>Giant Shark</t>
  </si>
  <si>
    <t>Ram|3|1d6+1</t>
  </si>
  <si>
    <t>If the sea horse moves at least 20 ft. straight toward a target and then hits it with a ram attack on the same turn, the target takes an extra 7 (2d6) bludgeoning damage. If the target is a creature, it must succeed on a DC 11 Strength saving throw or be knocked prone.</t>
  </si>
  <si>
    <t>https://www.aidedd.org/dnd/monstres.php?vo=Giant-Sea-Horse</t>
  </si>
  <si>
    <t>Giant-Sea-Horse</t>
  </si>
  <si>
    <t>Giant Sea Horse</t>
  </si>
  <si>
    <t>Sting|4|1d10+2</t>
  </si>
  <si>
    <t>Melee Weapon Attack: +4 to hit, reach 5 ft., one creature. Hit: 7 (1d10 + 2) piercing damage, and the target must make a DC 12 Constitution saving throw, taking 22 (4d10) poison damage on a failed save, or half as much damage on a successful one.</t>
  </si>
  <si>
    <t>The scorpion makes three attacks: two with its claws and one with its sting.</t>
  </si>
  <si>
    <t>Claw|4|1d8+2</t>
  </si>
  <si>
    <t>Melee Weapon Attack: +4 to hit, reach 5 ft., one target. Hit: 6 (1d8 + 2) bludgeoning damage, and the target is grappled (escape DC 12). The scorpion has two claws, each of which can grapple only one target.</t>
  </si>
  <si>
    <t>https://www.aidedd.org/dnd/monstres.php?vo=Giant-Scorpion</t>
  </si>
  <si>
    <t>Giant-Scorpion</t>
  </si>
  <si>
    <t>Giant Scorpion</t>
  </si>
  <si>
    <t>The rat has advantage on an attack roll against a creature if at least one of the rat's allies is within 5 ft. of the creature and the ally isn't incapacitated.</t>
  </si>
  <si>
    <t>https://www.aidedd.org/dnd/monstres.php?vo=Giant-Rat</t>
  </si>
  <si>
    <t>Giant-Rat</t>
  </si>
  <si>
    <t>Giant Rat</t>
  </si>
  <si>
    <t>Bite|6|1d4+4</t>
  </si>
  <si>
    <t>Melee Weapon Attack: +6 to hit, reach 10 ft., one target. Hit: 6 (1d4 + 4) piercing damage, and the target must make a DC 11 Constitution saving throw, taking 10 (3d6) poison damage on a failed save, or half as much damage on a successful one.</t>
  </si>
  <si>
    <t>+6, 1d4+4</t>
  </si>
  <si>
    <t>https://www.aidedd.org/dnd/monstres.php?vo=Giant-Poisonous-Snake</t>
  </si>
  <si>
    <t>Giant-Poisonous-Snake</t>
  </si>
  <si>
    <t>Giant Poisonous Snake</t>
  </si>
  <si>
    <t>Talons|3|2d6+1</t>
  </si>
  <si>
    <t>Melee Weapon Attack: +3 to hit, reach 5 ft., one target. Hit: 8 (2d6 + 1) slashing damage.</t>
  </si>
  <si>
    <t>+3, 2d6+1</t>
  </si>
  <si>
    <t>https://www.aidedd.org/dnd/monstres.php?vo=Giant-Owl</t>
  </si>
  <si>
    <t>Giant-Owl</t>
  </si>
  <si>
    <t>Giant Owl</t>
  </si>
  <si>
    <t>A 20-foot-radius cloud of ink extends all around the octopus if it is underwater. The area is heavily obscured for 1 minute, although a significant current can disperse the ink. After releasing the ink, the octopus can use the Dash action as a bonus action.</t>
  </si>
  <si>
    <t>Tentacles|5|2d6+3</t>
  </si>
  <si>
    <t>Melee Weapon Attack: +5 to hit, reach 15 ft., one target. Hit: 10 (2d6 + 3) bludgeoning damage. If the target is a creature, it is grappled (escape DC 16). Until this grapple ends, the target is restrained, and the octopus can't use its tentacles on another target.</t>
  </si>
  <si>
    <t>While out of water, the octopus can hold its breath for 1 hour.</t>
  </si>
  <si>
    <t>9:30</t>
  </si>
  <si>
    <t>11:36</t>
  </si>
  <si>
    <t>https://www.aidedd.org/dnd/monstres.php?vo=Giant-Octopus</t>
  </si>
  <si>
    <t>Giant-Octopus</t>
  </si>
  <si>
    <t>Giant Octopus</t>
  </si>
  <si>
    <t>Variant: Spider Climb</t>
  </si>
  <si>
    <t>The lizard can climb difficult surfaces, including upside down on ceilings, without needing to make an ability check.</t>
  </si>
  <si>
    <t>Variant: Hold Breath</t>
  </si>
  <si>
    <t>The lizard can hold its breath for 15 minutes. (A lizard that has this trait also has a swimming speed of 30 feet.)</t>
  </si>
  <si>
    <t>https://www.aidedd.org/dnd/monstres.php?vo=Giant-Lizard</t>
  </si>
  <si>
    <t>Giant-Lizard</t>
  </si>
  <si>
    <t>Giant Lizard</t>
  </si>
  <si>
    <t>Bite|5|2d6+3</t>
  </si>
  <si>
    <t>Melee Weapon Attack: +5 to hit, reach 5 ft., one target. Hit: 10 (2d6 + 3) piercing damage.</t>
  </si>
  <si>
    <t>When the hyena reduces a creature to 0 hit points with a melee attack on its turn, the hyena can take a bonus action to move up to half its speed and make a bite attack.</t>
  </si>
  <si>
    <t>https://www.aidedd.org/dnd/monstres.php?vo=Giant-Hyena</t>
  </si>
  <si>
    <t>Giant-Hyena</t>
  </si>
  <si>
    <t>Giant Hyena</t>
  </si>
  <si>
    <t>Ram|5|2d4+3</t>
  </si>
  <si>
    <t>Charge||2d4</t>
  </si>
  <si>
    <t>If the goat moves at least 20 ft. straight toward a target and then hits it with a ram attack on the same turn, the target takes an extra 5 (2d4) bludgeoning damage. If the target is a creature, it must succeed on a DC 13 Strength saving throw or be knocked prone.</t>
  </si>
  <si>
    <t>7:21, 13:26</t>
  </si>
  <si>
    <t>https://www.aidedd.org/dnd/monstres.php?vo=Giant-Goat</t>
  </si>
  <si>
    <t>Giant-Goat</t>
  </si>
  <si>
    <t>Giant Goat</t>
  </si>
  <si>
    <t>The frog makes one bite attack against a Small or smaller target it is grappling. If the attack hits, the target is swallowed, and the grapple ends. The swallowed target is blinded and restrained, it has total cover against attacks and other effects outside the frog, and it takes 5 (2d4) acid damage at the start of each of the frog's turns. The frog can have only one target swallowed at a time. If the frog dies, a swallowed creature is no longer restrained by it and can escape from the corpse using 5 ft. of movement, exiting prone.</t>
  </si>
  <si>
    <t>Melee Weapon Attack: +3 to hit, reach 5 ft., one target. Hit: 4 (1d6 + 1) piercing damage, and the target is grappled (escape DC 11). Until this grapple ends, the target is restrained, and the frog can't bite another target.</t>
  </si>
  <si>
    <t>The frog's long jump is up to 20 ft. and its high jump is up to 10 ft., with or without a running start.</t>
  </si>
  <si>
    <t>The frog can breathe air and water</t>
  </si>
  <si>
    <t>1:32</t>
  </si>
  <si>
    <t>https://www.aidedd.org/dnd/monstres.php?vo=Giant-Frog</t>
  </si>
  <si>
    <t>Giant-Frog</t>
  </si>
  <si>
    <t>Giant Frog</t>
  </si>
  <si>
    <t>Bite|1|1d6-1</t>
  </si>
  <si>
    <t>Melee Weapon Attack: +1 to hit, reach 5 ft., one target. Hit: 2 (1d6 - 1) slashing damage.</t>
  </si>
  <si>
    <t>The beetle sheds bright light in a 10-foot radius and dim light for an additional 10 ft..</t>
  </si>
  <si>
    <t>+2, 1d6-1</t>
  </si>
  <si>
    <t>https://www.aidedd.org/dnd/monstres.php?vo=Giant-Fire-Beetle</t>
  </si>
  <si>
    <t>Giant-Fire-Beetle</t>
  </si>
  <si>
    <t>Giant Fire Beetle</t>
  </si>
  <si>
    <t>Hooves|6|4d8+4</t>
  </si>
  <si>
    <t>Melee Weapon Attack: +6 to hit, reach 5 ft., one prone creature. Hit: 22 (4d8 + 4) bludgeoning damage.</t>
  </si>
  <si>
    <t>Ram|6|2d6+4</t>
  </si>
  <si>
    <t>Melee Weapon Attack: +6 to hit, reach 10 ft., one target. Hit: 11 (2d6 + 4) bludgeoning damage.</t>
  </si>
  <si>
    <t>If the elk moves at least 20 ft. straight toward a target and then hits it with a ram attack on the same turn, the target takes an extra 7 (2d6) damage. If the target is a creature, it must succeed on a DC 14 Strength saving throw or be knocked prone.</t>
  </si>
  <si>
    <t>+6, 4d8+4</t>
  </si>
  <si>
    <t>https://www.aidedd.org/dnd/monstres.php?vo=Giant-Elk</t>
  </si>
  <si>
    <t>Giant-Elk</t>
  </si>
  <si>
    <t>Giant Elk</t>
  </si>
  <si>
    <t>Talons|5|2d6+3</t>
  </si>
  <si>
    <t>Beak|5|1d6+3</t>
  </si>
  <si>
    <t>The eagle makes two attacks: one with its beak and one with its talons.</t>
  </si>
  <si>
    <t>The eagle has advantage on Wisdom (Perception) checks that rely on sight.</t>
  </si>
  <si>
    <t>https://www.aidedd.org/dnd/monstres.php?vo=Giant-Eagle</t>
  </si>
  <si>
    <t>Giant-Eagle</t>
  </si>
  <si>
    <t>Giant Eagle</t>
  </si>
  <si>
    <t>Tail|8|2d8+5</t>
  </si>
  <si>
    <t>Melee Weapon Attack: +8 to hit, reach 10 ft., one target not grappled by the crocodile. Hit: 14 (2d8 + 5) bludgeoning damage. If the target is a creature, it must succeed on a DC 16 Strength saving throw or be knocked prone.</t>
  </si>
  <si>
    <t>Bite|8|3d10+5</t>
  </si>
  <si>
    <t>Melee Weapon Attack: +8 to hit, reach 5 ft., one target. Hit: 21 (3d10 + 5) piercing damage, and the target is grappled (escape DC 16). Until this grapple ends, the target is restrained, and the crocodile can't bite another target.</t>
  </si>
  <si>
    <t>The crocodile makes two attacks: one with its bite and one with its tail.</t>
  </si>
  <si>
    <t>The crocodile can hold its breath for 30 minutes.</t>
  </si>
  <si>
    <t>+8, 2d8+5</t>
  </si>
  <si>
    <t>https://www.aidedd.org/dnd/monstres.php?vo=Giant-Crocodile</t>
  </si>
  <si>
    <t>Giant-Crocodile</t>
  </si>
  <si>
    <t>Giant Crocodile</t>
  </si>
  <si>
    <t>Claw|3|1d6+1</t>
  </si>
  <si>
    <t>Melee Weapon Attack: +3 to hit, reach 5 ft., one target. Hit: 4 (1d6 + 1) bludgeoning damage, and the target is grappled (escape DC 11). The crab has two claws, each of which can grapple only one target.</t>
  </si>
  <si>
    <t>The crab can breathe air and water.</t>
  </si>
  <si>
    <t>12:19</t>
  </si>
  <si>
    <t>https://www.aidedd.org/dnd/monstres.php?vo=Giant-Crab</t>
  </si>
  <si>
    <t>Giant-Crab</t>
  </si>
  <si>
    <t>Giant Crab</t>
  </si>
  <si>
    <t>Constrict|6|2d8+4</t>
  </si>
  <si>
    <t>Melee Weapon Attack: +6 to hit, reach 5 ft., one creature. Hit: 13 (2d8 + 4) bludgeoning damage, and the target is grappled (escape DC 16). Until this grapple ends, the creature is restrained, and the snake can't constrict another target.</t>
  </si>
  <si>
    <t>Constrict</t>
  </si>
  <si>
    <t>Bite|6|2d6+4</t>
  </si>
  <si>
    <t>Melee Weapon Attack: +6 to hit, reach 10 ft., one creature. Hit: 11 (2d6 + 4) piercing damage.</t>
  </si>
  <si>
    <t>https://www.aidedd.org/dnd/monstres.php?vo=Giant-Constrictor-Snake</t>
  </si>
  <si>
    <t>Giant-Constrictor-Snake</t>
  </si>
  <si>
    <t>Giant Constrictor Snake</t>
  </si>
  <si>
    <t>Bite. Melee Weapon Attack: +4 to hit, reach 5 ft., one creature. Hit: 4 (1d4 + 2) piercing damage, and the target must succeed on a DC 11 Constitution saving throw or take 10 (3d6) poison damage. If the poison damage reduces the target to 0 hit points, the target is stable but poisoned for 1 hour, even after regaining hit points, and is paralyzed while poisoned in this way.</t>
  </si>
  <si>
    <t>https://www.aidedd.org/dnd/monstres.php?vo=Giant-Centipede</t>
  </si>
  <si>
    <t>Giant-Centipede</t>
  </si>
  <si>
    <t>Giant Centipede</t>
  </si>
  <si>
    <t>Tusk|5|2d6+3</t>
  </si>
  <si>
    <t>Tusk</t>
  </si>
  <si>
    <t>If the boar takes 10 damage or less that would reduce it to 0 hit points, it is reduced to 1 hit point instead.</t>
  </si>
  <si>
    <t>If the boar moves at least 20 ft. straight toward a target and then hits it with a tusk attack on the same turn, the target takes an extra 7 (2d6) slashing damage. If the target is a creature, it must succeed on a DC 13 Strength saving throw or be knocked prone.</t>
  </si>
  <si>
    <t>+5, 10d6+3</t>
  </si>
  <si>
    <t>https://www.aidedd.org/dnd/monstres.php?vo=Giant-Boar</t>
  </si>
  <si>
    <t>Giant-Boar</t>
  </si>
  <si>
    <t>Giant Boar</t>
  </si>
  <si>
    <t>Melee Weapon Attack: +4 to hit, reach 5 ft., one creature. Hit: 5 (1d6 + 2) piercing damage.</t>
  </si>
  <si>
    <t>The bat has advantage on Wisdom (Perception) checks that rely on hearing.</t>
  </si>
  <si>
    <t>The bat can't use its blindsight while deafened.</t>
  </si>
  <si>
    <t>https://www.aidedd.org/dnd/monstres.php?vo=Giant-Bat</t>
  </si>
  <si>
    <t>Giant-Bat</t>
  </si>
  <si>
    <t>Giant Bat</t>
  </si>
  <si>
    <t>Melee Weapon Attack: +3 to hit, reach 5 ft., one target. Hit: 4 (1d6 + 1) piercing damage.</t>
  </si>
  <si>
    <t>The badger makes two attacks: one with its bite and one with its claws.</t>
  </si>
  <si>
    <t>The badger has advantage on Wisdom (Perception) checks that rely on smell.</t>
  </si>
  <si>
    <t>1:25, 7:22, 11:21</t>
  </si>
  <si>
    <t>https://www.aidedd.org/dnd/monstres.php?vo=Giant-Badger</t>
  </si>
  <si>
    <t>Giant-Badger</t>
  </si>
  <si>
    <t>Giant Badger</t>
  </si>
  <si>
    <t>Rock|9|7d6+6</t>
  </si>
  <si>
    <t>Ranged Weapon Attack: +9 to hit, range 50/100 ft., one target. Hit: 30 (7d6 + 6) bludgeoning damage.</t>
  </si>
  <si>
    <t>Fist|9|3d10+6</t>
  </si>
  <si>
    <t>Melee Weapon Attack: +9 to hit, reach 10 ft., one target. Hit: 22 (3d10 + 6) bludgeoning damage.</t>
  </si>
  <si>
    <t>The ape makes two fist attacks.</t>
  </si>
  <si>
    <t>+9, 7d6+6</t>
  </si>
  <si>
    <t>https://www.aidedd.org/dnd/monstres.php?vo=Giant-Ape</t>
  </si>
  <si>
    <t>Giant-Ape</t>
  </si>
  <si>
    <t>Giant Ape</t>
  </si>
  <si>
    <t>Melee Weapon Attack: +4 to hit, reach 5 ft., one target. Hit: 7 (2d4 + 2) slashing damage. If the target is a creature other than an elf or undead, it must succeed on a DC 10 Constitution saving throw or be paralyzed for 1 minute. The target can repeat the saving throw at the end of each of its turns, ending the effect on itself on a success.</t>
  </si>
  <si>
    <t>Bite|2|2d6+2</t>
  </si>
  <si>
    <t>Melee Weapon Attack: +2 to hit, reach 5 ft., one creature. Hit: 9 (2d6 + 2) piercing damage.</t>
  </si>
  <si>
    <t>2:24, 4:21, 5:19, 11:37</t>
  </si>
  <si>
    <t>https://www.aidedd.org/dnd/monstres.php?vo=Ghoul</t>
  </si>
  <si>
    <t>Ghoul</t>
  </si>
  <si>
    <t>Possession (Recharge 6)</t>
  </si>
  <si>
    <t>One humanoid that the ghost can see within 5 ft. of it must succeed on a DC 13 Charisma saving throw or be possessed by the ghost; the ghost then disappears, and the target is incapacitated and loses control of its body. The ghost now controls the body but doesn't deprive the target of awareness. The ghost can't be targeted by any attack, spell, or other effect, except ones that turn undead, and it retains its alignment, Intelligence, Wisdom, Charisma, and immunity to being charmed and frightened. It otherwise uses the possessed target's statistics, but doesn't gain access to the target's knowledge, class features, or proficiencies. ¶The possession lasts until the body drops to 0 hit points, the ghost ends it as a bonus action, or the ghost is turned or forced out by an effect like the dispel evil and good spell. When the possession ends, the ghost reappears in an unoccupied space within 5 ft. of the body. The target is immune to this ghost's Possession for 24 hours after succeeding on the saving throw or after the possession ends</t>
  </si>
  <si>
    <t>Horrifying Visage</t>
  </si>
  <si>
    <t>Each non-undead creature within 60 ft. of the ghost that can see it must succeed on a DC 13 Wisdom saving throw or be frightened for 1 minute. If the save fails by 5 or more, the target also ages 1d4 _ 10 years. A frightened target can repeat the saving throw at the end of each of its turns, ending the frightened condition on itself on a success. If a target's saving throw is successful or the effect ends for it, the target is immune to this ghost's Horrifying Visage for the next 24 hours. The aging effect can be reversed with a greater restoration spell, but only within 24 hours of it occurring.</t>
  </si>
  <si>
    <t>The ghost enters the Ethereal Plane from the Material Plane, or vice versa. It is visible on the Material Plane while it is in the Border Ethereal, and vice versa, yet it can't affect or be affected by anything on the other plane.</t>
  </si>
  <si>
    <t>Withering Touch|5|4d6+3</t>
  </si>
  <si>
    <t>Melee Weapon Attack: +5 to hit, reach 5 ft., one target. Hit: 17 (4d6 + 3) necrotic damage.</t>
  </si>
  <si>
    <t>Withering Touch</t>
  </si>
  <si>
    <t>The ghost can move through other creatures and objects as if they were difficult terrain. It takes 5 (1d10) force damage if it ends its turn inside an object.</t>
  </si>
  <si>
    <t>Ethereal Sight</t>
  </si>
  <si>
    <t>The ghost can see 60 ft. into the Ethereal Plane when it is on the Material Plane, and vice versa.</t>
  </si>
  <si>
    <t>7:33</t>
  </si>
  <si>
    <t>11:37, 13:26</t>
  </si>
  <si>
    <t>+5, 4d6+3</t>
  </si>
  <si>
    <t>https://www.aidedd.org/dnd/monstres.php?vo=Ghost</t>
  </si>
  <si>
    <t>Ghost</t>
  </si>
  <si>
    <t>Melee Weapon Attack: +5 to hit, reach 5 ft., one target. Hit: 10 (2d6 + 3) slashing damage. If the target is a creature other than an undead, it must succeed on a DC 10 Constitution saving throw or be paralyzed for 1 minute. The target can repeat the saving throw at the end of each of its turns, ending the effect on itself on a success.</t>
  </si>
  <si>
    <t>Bite|3|2d8+3</t>
  </si>
  <si>
    <t>Melee Weapon Attack: +3 to hit, reach 5 ft., one creature. Hit: 12 (2d8 + 3) piercing damage.</t>
  </si>
  <si>
    <t>Turn Defiance</t>
  </si>
  <si>
    <t>The ghast and any ghouls within 30 ft. of it have advantage on saving throws against effects that turn undead.</t>
  </si>
  <si>
    <t>Any creature that starts its turn within 5 ft. of the ghast must succeed on a DC 10 Constitution saving throw or be poisoned until the start of its next turn. On a successful saving throw, the creature is immune to the ghast's Stench for 24 hours.</t>
  </si>
  <si>
    <t>5:19</t>
  </si>
  <si>
    <t>https://www.aidedd.org/dnd/monstres.php?vo=Ghast</t>
  </si>
  <si>
    <t>Ghast</t>
  </si>
  <si>
    <t>The cube moves up to its speed. While doing so, it can enter Large or smaller creatures' spaces. Whenever the cube enters a creature's space, the creature must make a DC 12 Dexterity saving throw. ¶On a successful save, the creature can choose to be pushed 5 feet back or to the side of the cube. A creature that chooses not to be pushed suffers the consequences of a failed saving throw. ¶On a failed save, the cube enters the creature's space, and the creature takes 10 (3d6) acid damage and is engulfed. The engulfed creature can't breathe, is restrained, and takes 21 (6d6) acid damage at the start of each of the cube's turns. When the cube moves, the engulfed creature moves with it. ¶An engulfed creature can try to escape by taking an action to make a DC 12 Strength check. On a success, the creature escapes and enters a space of its choice within 5 feet of the cube.</t>
  </si>
  <si>
    <t>Pseudopod|4|3d6</t>
  </si>
  <si>
    <t>Melee Weapon Attack: +4 to hit, reach 5 ft., one creature. Hit: 10 (3d6) acid damage.</t>
  </si>
  <si>
    <t>Transparent</t>
  </si>
  <si>
    <t>Even when the cube is in plain sight, it takes a successful DC 15 Wisdom (Perception) check to spot a cube that has neither moved nor attacked. A creature that tries to enter the cube's space while unaware of the cube is surprised by the cube.</t>
  </si>
  <si>
    <t>Ooze Cube</t>
  </si>
  <si>
    <t>The cube takes up its entire space. Other creatures can enter the space, but a creature that does so is subjected to the cube's Engulf and has disadvantage on the saving throw. ¶Creatures inside the cube can be seen but have total cover. ¶A creature within 5 feet of the cube can take an action to pull a creature or object out of the cube. Doing so requires a successful DC 12 Strength check, and the creature making the attempt takes 10 (3d6) acid damage. ¶The cube can hold only one Large creature or up to four Medium or smaller creatures inside it at a time.</t>
  </si>
  <si>
    <t>+2, 3d6</t>
  </si>
  <si>
    <t>https://www.aidedd.org/dnd/monstres.php?vo=Gelatinous-Cube</t>
  </si>
  <si>
    <t>Gelatinous-Cube</t>
  </si>
  <si>
    <t>Gelatinous Cube</t>
  </si>
  <si>
    <t>Eye Rays</t>
  </si>
  <si>
    <t>The gazer shoot two of the following magical eye rays at random (reroll duplicates), choosing one or two targets it can see within 60 feet of it:
1. Dazing
2. Fear
3. Frost
4. Teleinetic</t>
  </si>
  <si>
    <t>The gazer can mimic simple sounds of speech it has heard, in any language. A creature that hears the sounds can tell they are imitations with a successful DC 10 Wisdom (Insight) check.</t>
  </si>
  <si>
    <t>As a bonus action, the gazer can move up to its speed toward a hostile ccreature that it can see.</t>
  </si>
  <si>
    <t>+5, 1</t>
  </si>
  <si>
    <t>Gazer</t>
  </si>
  <si>
    <t>Claws|4|1d6+2</t>
  </si>
  <si>
    <t>The gargoyle makes two attacks: one with its bite and one with its claws.</t>
  </si>
  <si>
    <t>While the gargoyle remains motion less, it is indistinguishable from an inanimate statue.</t>
  </si>
  <si>
    <t>https://www.aidedd.org/dnd/monstres.php?vo=Gargoyle</t>
  </si>
  <si>
    <t>Gargoyle</t>
  </si>
  <si>
    <t>Rock|9|4d10+6</t>
  </si>
  <si>
    <t>Ranged Weapon Attack: +9 to hit, range 60/240 ft., one target. Hit: 28 (4d10 + 6) bludgeoning damage.</t>
  </si>
  <si>
    <t>Greataxe|9|3d12+6</t>
  </si>
  <si>
    <t>Melee Weapon Attack: +9 to hit, reach 10 ft., one target. Hit: 25 (3d12 + 6) slashing damage.</t>
  </si>
  <si>
    <t>The giant makes two greataxe attacks.</t>
  </si>
  <si>
    <t>Weighted Net|5|</t>
  </si>
  <si>
    <t>Ranged Weapon Attack: +5 to hit, ranged 20/60 ft., one Small, Medium, or Large creature. Hit: The target is restrained until it escapes the net. Any creature can use its action to make a DC 17 Strength check to free itself or another creature in the net, ending the effect on a success. Dealing 15 slashing damage to the net (AC 12) destroys the net and frees the target.</t>
  </si>
  <si>
    <t>Weighted Net</t>
  </si>
  <si>
    <t>+9, 3d12+6</t>
  </si>
  <si>
    <t>https://www.aidedd.org/dnd/monstres.php?vo=Frost-Giant</t>
  </si>
  <si>
    <t>Frost-Giant</t>
  </si>
  <si>
    <t>Frost Giant</t>
  </si>
  <si>
    <t>The frog's long jump is up to 10 ft. and its high jump is up to 5 ft., with or without a running start.</t>
  </si>
  <si>
    <t>https://www.aidedd.org/dnd/monstres.php?vo=Frog</t>
  </si>
  <si>
    <t>Frog</t>
  </si>
  <si>
    <t>Melee Weapon Attack: +3 to hit, reach 5 ft., one target. Hit: 5 (1d8 + 1) slashing damage.</t>
  </si>
  <si>
    <t>While the sword remains motionless and isn't flying, it is indistinguishable from a normal sword.</t>
  </si>
  <si>
    <t>The sword is incapacitated while in the area of an antimagic field. If targeted by dispel magic, the sword must succeed on a Constitution saving throw against the caster's spell save DC or fall unconscious for 1 minute.</t>
  </si>
  <si>
    <t>9:26, 11:35</t>
  </si>
  <si>
    <t>https://www.aidedd.org/dnd/monstres.php?vo=Flying-Sword</t>
  </si>
  <si>
    <t>Flying-Sword</t>
  </si>
  <si>
    <t>Bite|6|1+3d4</t>
  </si>
  <si>
    <t>Melee Weapon Attack: +6 to hit, reach 5 ft., one target. Hit: 1 piercing damage plus 7 (3d4) poison damage.</t>
  </si>
  <si>
    <t>The snake doesn't provoke opportunity attacks when it flies out of an enemy's reach.</t>
  </si>
  <si>
    <t>+3, 3d4+1</t>
  </si>
  <si>
    <t>https://www.aidedd.org/dnd/monstres.php?vo=Flying-Snake</t>
  </si>
  <si>
    <t>Flying-Snake</t>
  </si>
  <si>
    <t>Flying Snake</t>
  </si>
  <si>
    <t>Whenever the golem is subjected to lightning damage, it takes no damage and instead regains a number of hit points equal to the lightning damage dealt.</t>
  </si>
  <si>
    <t>Aversion of Fire</t>
  </si>
  <si>
    <t>If the golem takes fire damage, it has disadvantage on attack rolls and ability checks until the end of its next turn.</t>
  </si>
  <si>
    <t>Berserk</t>
  </si>
  <si>
    <t>Whenever the golem starts its turn with 40 hit points or fewer, roll a d6. On a 6, the golem goes berserk. On each of its turns while berserk, the golem attacks the nearest creature it can see. If no creature is near enough to move to and attack, the golem attacks an object, with preference for an object smaller than itself. Once the golem goes berserk, it continues to do so until it is destroyed or regains all its hit points. ¶The golem's creator, if within 60 feet of the berserk golem, can try to calm it by speaking firmly and persuasively. The golem must be able to hear its creator, who must take an action to make a DC 15 Charisma (Persuasion) check. If the check succeeds, the golem ceases being berserk. If it takes damage while still at 40 hit points or fewer, the golem might go berserk again.</t>
  </si>
  <si>
    <t>4:28, 13:33</t>
  </si>
  <si>
    <t>10:33</t>
  </si>
  <si>
    <t>https://www.aidedd.org/dnd/monstres.php?vo=Flesh-Golem</t>
  </si>
  <si>
    <t>Flesh-Golem</t>
  </si>
  <si>
    <t>Flesh Golem</t>
  </si>
  <si>
    <t>Fire Ray|5|3d6</t>
  </si>
  <si>
    <t>Ranged Spell Attack: +5 to hit, range 30 ft., one target. Hit: 10 (3d6) fire damage.</t>
  </si>
  <si>
    <t>Fire Ray</t>
  </si>
  <si>
    <t>The flameskull uses Fire Ray twice.</t>
  </si>
  <si>
    <t>The flameskull is a 5th-level spellcaster. Its spellcasting ability is Intelligence (spell save DC 13, +5 to hit with spell attacks). It requires no somatic or material components to cast its spells. The flameskull has the following wizard spells prepared: ‚Ä¢ Cantrips (at will): mage hand ¶‚Ä¢ 1st level (3 slots): magic missile, shield ¶‚Ä¢ 2nd level (2 slots): blur, flaming sphere ¶‚Ä¢ 3rd level (1 slot): fireball</t>
  </si>
  <si>
    <t>If the flameskull is destroyed, it regains all its hit points in 1 hour unless holy water is sprinkled on its remains or a dispel magic or remove curse spell is cast on them.</t>
  </si>
  <si>
    <t>The flameskull has advantage on saving throws against spells and other magical effects.</t>
  </si>
  <si>
    <t>The flameskull sheds either dim light in a 15- foot radius, or bright light in a 15-foot radius and dim light for an additional 15 ft.. It can switch between the options as an action.</t>
  </si>
  <si>
    <t>2:24</t>
  </si>
  <si>
    <t>https://www.aidedd.org/dnd/monstres.php?vo=Flameskull</t>
  </si>
  <si>
    <t>Flameskull</t>
  </si>
  <si>
    <t>Rock|11|4d10+7</t>
  </si>
  <si>
    <t>Ranged Weapon Attack: +11 to hit, range 60/240 ft., one target. Hit: 29 (4d10 + 7) bludgeoning damage.</t>
  </si>
  <si>
    <t>Greatsword|11|6d6+7</t>
  </si>
  <si>
    <t>Melee Weapon Attack: +11 to hit, reach 10 ft., one target. Hit: 28 (6d6 + 7) slashing damage.</t>
  </si>
  <si>
    <t>Tackle</t>
  </si>
  <si>
    <t>When the giant enters any enemy's space for the first time on a turn, the enemy must succeed on a DC 19 Strength saving throw or be knocked prone.</t>
  </si>
  <si>
    <t>The giant deals double damage to objects and structures.</t>
  </si>
  <si>
    <t>3:30, 4:42</t>
  </si>
  <si>
    <t>+11, 4d10+7</t>
  </si>
  <si>
    <t>+11, 6d6+7</t>
  </si>
  <si>
    <t>https://www.aidedd.org/dnd/monstres.php?vo=Fire-Giant</t>
  </si>
  <si>
    <t>Fire-Giant</t>
  </si>
  <si>
    <t>Fire Giant</t>
  </si>
  <si>
    <t>Touch|6|2d6+3</t>
  </si>
  <si>
    <t>Melee Weapon Attack: +6 to hit, reach 5 ft., one target. Hit: 10 (2d6 + 3) fire damage. If the target is a creature or a flammable object, it ignites. Until a creature takes an action to douse the fire, the target takes 5 (1d10) fire damage at the start of each of its turns.</t>
  </si>
  <si>
    <t>The elemental makes two touch attacks.</t>
  </si>
  <si>
    <t>Water Susceptibility</t>
  </si>
  <si>
    <t>For every 5 ft. the elemental moves in water, or for every gallon of water splashed on it, it takes 1 cold damage.</t>
  </si>
  <si>
    <t>The elemental sheds bright light in a 30-foot radius and dim light in an additional 30 ft..</t>
  </si>
  <si>
    <t>Fire Form||5d10
Burn Damage||1d10</t>
  </si>
  <si>
    <t>The elemental can move through a space as narrow as 1 inch wide without squeezing. A creature that touches the elemental or hits it with a melee attack while within 5 ft. of it takes 5 (1d10) fire damage. In addition, the elemental can enter a hostile creature's space and stop there. The first time it enters a creature's space on a turn, that creature takes 5 (1d10) fire damage and catches fire; until someone takes an action to douse the fire, the creature takes 5 (1d10) fire damage at the start of each of its turns.</t>
  </si>
  <si>
    <t>Fire Form</t>
  </si>
  <si>
    <t>https://www.aidedd.org/dnd/monstres.php?vo=Fire-Elemental</t>
  </si>
  <si>
    <t>Fire-Elemental</t>
  </si>
  <si>
    <t>Fire Elemental</t>
  </si>
  <si>
    <t>Morningstar|7|2d8+5</t>
  </si>
  <si>
    <t>Melee Weapon Attack: +7 to hit, reach 5 ft., one target. Hit: 14 (2d8 + 5) piercing damage.</t>
  </si>
  <si>
    <t>Battleaxe|7|2d8+5</t>
  </si>
  <si>
    <t>Battleaxe</t>
  </si>
  <si>
    <t>The ettin makes two attacks: one with its battleaxe and one with its morningstar.</t>
  </si>
  <si>
    <t>When one of the ettin's heads is asleep, its other head is awake.</t>
  </si>
  <si>
    <t>Two Heads</t>
  </si>
  <si>
    <t>The ettin has advantage on Wisdom (Perception) checks and on saving throws against being blinded, charmed, deafened, frightened, stunned, and knocked unconscious.</t>
  </si>
  <si>
    <t>https://www.aidedd.org/dnd/monstres.php?vo=Ettin</t>
  </si>
  <si>
    <t>Ettin</t>
  </si>
  <si>
    <t>Garrote|4|1d4+2</t>
  </si>
  <si>
    <t>Melee Weapon Attack: +4 to hit, reach 5 ft., one Medium or Small creature against which the ettercap has advantage on the attack roll. Hit: 4 (1d4 + 2) bludgeoning damage, and the target is grappled (escape DC 12). Until this grapple ends, the target can't breathe, and the ettercap has advantage on attack rolls against it.</t>
  </si>
  <si>
    <t>Variant: Web Garrote</t>
  </si>
  <si>
    <t>Ranged Weapon Attack: +4 to hit, range 30/60 ft., one Large or smaller creature. Hit: The creature is restrained by webbing. As an action, the restrained creature can make a DC 11 Strength check, escaping from the webbing on a success. The effect ends if the webbing is destroyed. The webbing has AC 10, 5 hit points, is vulnerable to fire damage and immune to bludgeoning damage.</t>
  </si>
  <si>
    <t>Melee Weapon Attack: +4 to hit, reach 5 ft., one target. Hit: 7 (2d4 + 2) slashing damage.</t>
  </si>
  <si>
    <t>Bite|4|1d8+2+1d8</t>
  </si>
  <si>
    <t>Melee Weapon Attack: +4 to hit, reach 5 ft., one creature. Hit: 6 (1d8 + 2) piercing damage plus 4 (1d8) poison damage. The target must succeed on a DC 11 Constitution saving throw or be poisoned for 1 minute. The creature can repeat the saving throw at the end of each of its turns, ending the effect on itself on a success.</t>
  </si>
  <si>
    <t>The ettercap makes two attacks: one with its bite and one with its claws.</t>
  </si>
  <si>
    <t>The ettercap ignores movement restrictions caused by webbing.</t>
  </si>
  <si>
    <t>While in contact with a web, the ettercap knows the exact location of any other creature in contact with the same web.</t>
  </si>
  <si>
    <t>The ettercap can climb difficult surfaces, including upside down on ceilings, without needing to make an ability check.</t>
  </si>
  <si>
    <t>+4, 2d8+2</t>
  </si>
  <si>
    <t>https://www.aidedd.org/dnd/monstres.php?vo=Ettercap</t>
  </si>
  <si>
    <t>Ettercap</t>
  </si>
  <si>
    <t>The erinyes adds 4 to its AC against one melee attack that would hit it. To do so, the erinyes must see the attacker and be wielding a melee weapon.</t>
  </si>
  <si>
    <t>Variant: Rope of Entanglement</t>
  </si>
  <si>
    <t>Some erinyes carry a rope of entanglement (detailed in the Dungeon Master's Guide). When such an erinyes uses its Multiattack, the erinyes can use the rope in place of two of the attacks.</t>
  </si>
  <si>
    <t>Longbow|7|1d8+3+3d8</t>
  </si>
  <si>
    <t>Ranged Weapon Attack: +7 to hit, range 150/600 ft., one target. Hit: 7 (1d8 + 3) piercing damage plus 13 (3d8) poison damage, and the target must succeed on a DC 14 Constitution saving throw or be poisoned. The poison lasts until it is removed by the lesser restoration spell or similar magic.</t>
  </si>
  <si>
    <t>One Handed|8|1d8+4+3d8 Two Handed|8|1d10+4+3d8</t>
  </si>
  <si>
    <t>Melee Weapon Attack: +8 to hit, reach 5 ft., one target. Hit: 8 (1d8 + 4) slashing damage, or 9 (1d10 + 4) slashing damage if used with two hands, plus 13 (3d8) poison damage.</t>
  </si>
  <si>
    <t>The erinyes makes three attacks</t>
  </si>
  <si>
    <t>The erinyes has advantage on saving throws against spells and other magical effects.</t>
  </si>
  <si>
    <t>Hellish Weapons</t>
  </si>
  <si>
    <t>The erinyes's weapon attacks are magical and deal an extra 13 (3d8) poison damage on a hit (included in the attacks).</t>
  </si>
  <si>
    <t>+7, 1d10+4</t>
  </si>
  <si>
    <t>+8, 4d8+3</t>
  </si>
  <si>
    <t>+8, 3d8+4</t>
  </si>
  <si>
    <t>https://www.aidedd.org/dnd/monstres.php?vo=Erinyes</t>
  </si>
  <si>
    <t>Erinyes</t>
  </si>
  <si>
    <t>Melee Weapon Attack: +5 to hit, reach 5 ft., one prone creature. Hit: 8 (2d4 + 3) bludgeoning damage.</t>
  </si>
  <si>
    <t>Ram|5|1d6+3</t>
  </si>
  <si>
    <t>Melee Weapon Attack: +5 to hit, reach 5 ft., one target. Hit: 6 (1d6 + 3) bludgeoning damage.</t>
  </si>
  <si>
    <t>If the elk moves at least 20 ft. straight toward a target and then hits it with a ram attack on the same turn, the target takes an extra 7 (2d6) damage. If the target is a creature, it must succeed on a DC 13 Strength saving throw or be knocked prone.</t>
  </si>
  <si>
    <t>https://www.aidedd.org/dnd/monstres.php?vo=Elk</t>
  </si>
  <si>
    <t>Elk</t>
  </si>
  <si>
    <t>Stomp|8|3d10+6</t>
  </si>
  <si>
    <t>Melee Weapon Attack: +8 to hit, reach 5 ft., one prone creature. Hit: 22 (3d10 + 6) bludgeoning damage.</t>
  </si>
  <si>
    <t>Gore|8|3d8+6</t>
  </si>
  <si>
    <t>Melee Weapon Attack: +8 to hit, reach 5 ft., one target. Hit: 19 (3d8 + 6) piercing damage.</t>
  </si>
  <si>
    <t>If the elephant moves at least 20 ft. straight toward a creature and then hits it with a gore attack on the same turn, that target must succeed on a DC 12 Strength saving throw or be knocked prone. If the target is prone, the elephant can make one stomp attack against it as a bonus action.</t>
  </si>
  <si>
    <t>+7, 3d10+5</t>
  </si>
  <si>
    <t>+7, 3d8+5</t>
  </si>
  <si>
    <t>https://www.aidedd.org/dnd/monstres.php?vo=Elephant</t>
  </si>
  <si>
    <t>Elephant</t>
  </si>
  <si>
    <t>Flame|7|5d6</t>
  </si>
  <si>
    <t>Ranged Spell Attack: +7 to hit, range 120 ft., one target. Hit: 17 (5d6) fire damage.</t>
  </si>
  <si>
    <t>Scimitar|10|2d6+6+2d6</t>
  </si>
  <si>
    <t>Melee Weapon Attack: +10 to hit, reach 5 ft., one target. Hit: 13 (2d6 + 6) slashing damage plus 7 (2d6) fire damage.</t>
  </si>
  <si>
    <t>The efreeti makes two scimitar attacks or uses its Hurl Flame twice.</t>
  </si>
  <si>
    <t>Variant: Genie Powers</t>
  </si>
  <si>
    <t>Genies have a variety of magical capabilities, including spells. A few have even greater powers that allow them to alter their appearance or the nature of reality. Disguises. ¶Some genies can veil themselves in illusion to pass as other similarly shaped creatures. Such genies can innately cast the disguise self spell at will, often with a longer duration than is normal for that spell. Mightier genies can cast the true polymorph spell one to three times per day, possibly with a longer duration than normal. Such genies can change only their own shape, but a rare few can use the spell on other creatures and objects as well. ¶Wishes. ¶The genie power to grant wishes is legendary among mortals. Only the most potent genies, such as those among the nobility, can do so. A particular genie that has this power can grant one to three wishes to a creature that isn't a genie. Once a genie has granted its limit of wishes, it can't grant wishes again for some amount of time (usually 1 year). and cosmic law dictates that the same genie can expend its limit of wishes on a specific creature only once in that creature's existence. ¶To be granted a wish, a creature within 60 feet of the genie states a desired effect to it. The genie can then cast the wish spell on the creature's behalf to bring about the effect. Depending on the genie's nature, the genie might try to pervert the intent of the wish by exploiting the wish's poor wording. The perversion of the wording is usually crafted to be to the genie's benefit.</t>
  </si>
  <si>
    <t>The efreeti's innate spell casting ability is Charisma (spell save DC 15, +7 to hit with spell attacks). It can innately cast the following spells, requiring no material components: At will: detect magic ¶3/day: enlarge/reduce, tongues ¶1/day each: conjure elemental (fire elemental only), gaseous form, invisibility, major image, plane shift, wall of fire</t>
  </si>
  <si>
    <t>Elemental Demise</t>
  </si>
  <si>
    <t>If the efreeti dies, its body disintegrates in a flash of fire and puff of smoke, leaving behind only equipment the djinni was wearing or carrying.</t>
  </si>
  <si>
    <t>+10, 5d6</t>
  </si>
  <si>
    <t>Genie</t>
  </si>
  <si>
    <t>https://www.aidedd.org/dnd/monstres.php?vo=Efreeti</t>
  </si>
  <si>
    <t>Efreeti</t>
  </si>
  <si>
    <t>Slam|8|2d8+5</t>
  </si>
  <si>
    <t>Melee Weapon Attack: +8 to hit, reach 10 ft., one target. Hit: 14 (2d8 + 5) bludgeoning damage.</t>
  </si>
  <si>
    <t>The elemental deals double damage to objects and structures.</t>
  </si>
  <si>
    <t>The elemental can burrow through nonmagical, unworked earth and stone. While doing so, the elemental doesn't disturb the material it moves through.</t>
  </si>
  <si>
    <t>https://www.aidedd.org/dnd/monstres.php?vo=Earth-Elemental</t>
  </si>
  <si>
    <t>Earth-Elemental</t>
  </si>
  <si>
    <t>Earth Elemental</t>
  </si>
  <si>
    <t>Talons|4|1d4+2</t>
  </si>
  <si>
    <t>https://www.aidedd.org/dnd/monstres.php?vo=Eagle</t>
  </si>
  <si>
    <t>Eagle</t>
  </si>
  <si>
    <t>Blinding Breath (Recharge 6)</t>
  </si>
  <si>
    <t>The mephit exhales a 15-foot cone of blinding dust. Each creature in that area must succeed on a DC 10 Dexterity saving throw or be blinded for 1 minute. A creature can repeat the saving throw at the end of each of its turns, ending the effect on itself on a success.</t>
  </si>
  <si>
    <t>The mephit can innately cast sleep, requiring no material components. Its innate spellcasting ability is Charisma.</t>
  </si>
  <si>
    <t>When the mephit dies, it explodes in a burst of dust. Each creature within 5 ft. of it must then succeed on a DC 10 Constitution saving throw or be blinded for 1 minute. A blinded creature can repeat the saving throw on each of its turns, ending the effect on itself on a success.</t>
  </si>
  <si>
    <t>6:33, 9:58, 10:27</t>
  </si>
  <si>
    <t>https://www.aidedd.org/dnd/monstres.php?vo=Dust-Mephit</t>
  </si>
  <si>
    <t>Dust-Mephit</t>
  </si>
  <si>
    <t>Dust Mephit</t>
  </si>
  <si>
    <t>Special Equipment -- Second Column</t>
  </si>
  <si>
    <t>Durnan wields a sword of sharpness (great-sword) called Grimvault. He wears boots of striding and springing, elven chain, and a ring of spell turning.</t>
  </si>
  <si>
    <t>Special Equipment</t>
  </si>
  <si>
    <t>Double-Crossbox -- second column</t>
  </si>
  <si>
    <t>ranged Weapon Attack: +6 to hit, range 60/240 fr., one target. Hit: 13 (2d10 + 2) piercing damage.</t>
  </si>
  <si>
    <t>Double Crossbow</t>
  </si>
  <si>
    <t>Melee Weapon Attack: +8 to hit, reach 5ft., one target. Hit:11 (2d6 + 4) slashing damage. If the target is an object, the hit instead deals 16 slashing damage. If the target is an object, the hit instead deals 16 slashing damage. If the target is a creature and Durnan rolls a  20 on the d20 for the attack rol, the target takes an extra 14 slashing damage, and Durnan rolls another d20. On a roll of 20, he lops off one of the target's limbs, or some other part of its body if it is limbless.</t>
  </si>
  <si>
    <t>Grimvault</t>
  </si>
  <si>
    <t>Durnan makes four melee weapon attacks.</t>
  </si>
  <si>
    <t>Spell Turning -- Second Column</t>
  </si>
  <si>
    <t>While wearing his ring of spell turning, Durnan has advantage on saving throws against any spell that targets only him (not in an area of effect). If Durnan rolls a 20 for the save and the spell is 7th level or lower, the spell has no effect on him and instead targets the caster, using the slot level, spell save DC, attack bonus, and spellcasting ability of the caster.</t>
  </si>
  <si>
    <t>Spell Turning</t>
  </si>
  <si>
    <t>Indomitable -- second column</t>
  </si>
  <si>
    <t>(Recharges after a Long Rest.) Durnan can reroll a saving throw that he failes. He must use the new roll.</t>
  </si>
  <si>
    <t>Indomitable</t>
  </si>
  <si>
    <t>Durnan</t>
  </si>
  <si>
    <t>Invisibility (Recharges after a Short or Long Rest)</t>
  </si>
  <si>
    <t>The duergar magically turns invisible until it attacks, casts a spell, or uses its Enlarge, or until its concentration is broken, up to 1 hour (as if concentrating on a spell). Any equipment the duergar wears or carries is invisible with it .</t>
  </si>
  <si>
    <t>Javelin|4|1d6+2 Enlarged|4|2d6+2</t>
  </si>
  <si>
    <t>Melee or Ranged Weapon Attack: +4 to hit, reach 5 ft. or range 30/120 ft., one target. Hit: 5 (1d6 + 2) piercing damage, or 9 (2d6 + 2) piercing damage while enlarged.</t>
  </si>
  <si>
    <t>War Pick|4|1d8+2 Enlarged|4|2d8+2</t>
  </si>
  <si>
    <t>Melee Weapon Attack: +4 to hit, reach 5 ft., one target. Hit: 6 (1d8 + 2) piercing damage, or 11 (2d8 + 2) piercing damage while enlarged.</t>
  </si>
  <si>
    <t>Enlarge (Recharges after a Short or Long Rest)</t>
  </si>
  <si>
    <t>For 1 minute, the duergar magically increases in size, along with anything it is wearing or carrying. While enlarged, the duergar is Large, doubles its damage dice on Strength-based weapon attacks (included in the attacks), and makes Strength checks and Strength saving throws with advantage. If the duergar lacks the room to become Large, it attains the maximum size possible in the space available.</t>
  </si>
  <si>
    <t>While in sunlight, the duergar has disadvantage on attack rolls, as well as on Wisdom (Perception) checks that rely on sight.</t>
  </si>
  <si>
    <t>Duergar Resilience</t>
  </si>
  <si>
    <t>The duergar has advantage on saving throws against poison, spells, and illusions, as well as to resist being charmed or paralyzed.</t>
  </si>
  <si>
    <t>1:22, 5:27, 8:27</t>
  </si>
  <si>
    <t>Dwarf</t>
  </si>
  <si>
    <t>https://www.aidedd.org/dnd/monstres.php?vo=Duergar</t>
  </si>
  <si>
    <t>Duergar</t>
  </si>
  <si>
    <t>Fey Charm</t>
  </si>
  <si>
    <t>The dryad targets one humanoid or beast that she can see within 30 feet of her. If the target can see the dryad, it must succeed on a DC 14 Wisdom saving throw or be magically charmed. The charmed creature regards the dryad as a trusted friend to be heeded and protected. Although the target isn't under the dryad's control, it takes the dryad's requests or actions in the most favorable way it can. ¶Each time the dryad or its allies do anything harmful to the target, it can repeat the saving throw, ending the effect on itself on a success. Otherwise, the effect lasts 24 hours or until the dryad dies, is on a different plane of existence from the target, or ends the effect as a bonus action. If a target's saving throw is successful, the target is immune to the dryad's Fey Charm for the next 24 hours. ¶The dryad can have no more than one humanoid and up to three beasts charmed at a time.</t>
  </si>
  <si>
    <t>Club|2|1d4 Shillelagh|6|1d8+4</t>
  </si>
  <si>
    <t>Melee Weapon Attack: +2 to hit (+6 to hit with shillelagh), reach 5 ft., one target. Hit: 2 (1d4) bludgeoning damage, or 8 (1d8 + 4) bludgeoning damage with shillelagh.</t>
  </si>
  <si>
    <t>Once on her turn, the dryad can use 10 ft. of her movement to step magically into one living tree within her reach and emerge from a second living tree within 60 ft. of the first tree, appearing in an unoccupied space within 5 ft. of the second tree. Both trees must be large or bigger.</t>
  </si>
  <si>
    <t>Tree Stride</t>
  </si>
  <si>
    <t>Speak with Beasts and Plants</t>
  </si>
  <si>
    <t>The dryad can communicate with beasts and plants as if they shared a language.</t>
  </si>
  <si>
    <t>The dryad has advantage on saving throws against spells and other magical effects.</t>
  </si>
  <si>
    <t>The dryad's innate spellcasting ability is Charisma (spell save DC 14). The dryad can innately cast the following spells, requiring no material components: At will: druidcraft ¶3/day each: entangle, goodberry ¶1/day each: barkskin, pass without trace, shillelagh</t>
  </si>
  <si>
    <t>https://www.aidedd.org/dnd/monstres.php?vo=Dryad</t>
  </si>
  <si>
    <t>Dryad</t>
  </si>
  <si>
    <t>Quarterstaff|2|1d6 Shillelagh|4|1d8+2</t>
  </si>
  <si>
    <t>Melee Weapon Attack: +2 to hit (+4 to hit with shillelagh), reach 5 ft., one target. Hit: 3 (1d6) bludgeoning damage, or 6 (1d8 + 2) bludgeoning damage with shillelagh or if wielded with two hands.</t>
  </si>
  <si>
    <t>Quarterstaff</t>
  </si>
  <si>
    <t>The druid is a 4th-level spellcaster. Its spellcasting ability is Wisdom (spell save DC 12, +4 to hit with spell attacks). It has the following druid spells prepared: ‚Ä¢ Cantrips (at will): druidcraft, produce flame, shillelagh ¶‚Ä¢ 1st level (4 slots): entangle, longstrider, speak with animals, thunderwave ¶‚Ä¢ 2nd level (3 slots): animal messenger, barkskin</t>
  </si>
  <si>
    <t>2:29</t>
  </si>
  <si>
    <t>8:20</t>
  </si>
  <si>
    <t>11:35, 13:25</t>
  </si>
  <si>
    <t>https://www.aidedd.org/dnd/monstres.php?vo=Druid</t>
  </si>
  <si>
    <t>Druid</t>
  </si>
  <si>
    <t>Ranged Weapon Attack: +4 to hit, range 30/120 ft., one target. Hit: 5 (1d6 + 2) piercing damage, and the target must succeed on a DC 13 Constitution saving throw or be poisoned for 1 hour. If the saving throw fails by 5 or more, the target is also unconscious while poisoned in this way. The target wakes up if it takes damage or if another creature takes an action to shake it awake.</t>
  </si>
  <si>
    <t>While in sunlight, the drow has disadvantage on attack rolls, as well as on Wisdom (Perception) checks that rely on sight.</t>
  </si>
  <si>
    <t>The drow's spellcasting ability is Charisma (spell save DC 11). It can innately cast the following spells, requiring no material components: ¶At will: dancing lights ¶1/day each: darkness, faerie fire</t>
  </si>
  <si>
    <t>Fey Ancestry</t>
  </si>
  <si>
    <t>The drow has advantage on saving throws against being charmed, and magic can't put the drow to sleep.</t>
  </si>
  <si>
    <t>3:24, 7:30</t>
  </si>
  <si>
    <t>Elf</t>
  </si>
  <si>
    <t>https://www.aidedd.org/dnd/monstres.php?vo=Drow</t>
  </si>
  <si>
    <t>Drow</t>
  </si>
  <si>
    <t>Longbow|6|1d8+3+1d8</t>
  </si>
  <si>
    <t>Ranged Weapon Attack: +6 to hit, range 150/600 ft., one target. Hit: 7 (1d8 + 3) piercing damage plus 4 (1d8) poison damage.</t>
  </si>
  <si>
    <t>One Handed|6|1d8+3 Two Handed|6|1d10+3</t>
  </si>
  <si>
    <t>Melee Weapon Attack: +6 to hit, reach 5 ft., one target. Hit: 7 (1d8 + 3) slashing damage, or 8 (1d10 + 3) slashing damage if used with two hands.</t>
  </si>
  <si>
    <t>Bite|6|1d4+2d8</t>
  </si>
  <si>
    <t>Melee Weapon Attack: +6 to hit, reach 5 ft., one creature. Hit: 2 (1d4) piercing damage plus 9 (2d8) poison damage.</t>
  </si>
  <si>
    <t>The drider makes three attacks, either with its longsword or its longbow. It can replace one of those attacks with a bite attack.</t>
  </si>
  <si>
    <t>The drider ignores movement restrictions caused by webbing.</t>
  </si>
  <si>
    <t>While in sunlight, the drider has disadvantage on attack rolls, as well as on Wisdom (Perception) checks that rely on sight.</t>
  </si>
  <si>
    <t>The drider can climb difficult surfaces, including upside down on ceilings, without needing to make an ability check.</t>
  </si>
  <si>
    <t>The drider's innate spellcasting ability is Wisdom (spell save DC 13). The drider can innately cast the following spells, requiring no material components: ¶At will: dancing lights ¶1/day each: darkness, faerie fire</t>
  </si>
  <si>
    <t>The drider has advantage on saving throws against being charmed, and magic can't put the drider to sleep.</t>
  </si>
  <si>
    <t>+6, 1d4</t>
  </si>
  <si>
    <t>+3, 1d10+3</t>
  </si>
  <si>
    <t>+3, 2d8</t>
  </si>
  <si>
    <t>https://www.aidedd.org/dnd/monstres.php?vo=Drider</t>
  </si>
  <si>
    <t>Drider</t>
  </si>
  <si>
    <t>Fetid Cloud (1/Day)</t>
  </si>
  <si>
    <t>A 10-foot radius of disgusting green gas extends out from the dretch. The gas spreads around corners, and its area is lightly obscured. It lasts for 1 minute or until a strong wind disperses it. Any creature that starts its turn in that area must succeed on a DC 11 Constitution saving throw or be poisoned until the start of its next turn. While poisoned in this way, the target can take either an action or a bonus action on its turn, not both, and can't take reactions.</t>
  </si>
  <si>
    <t>Claws|2|2d4</t>
  </si>
  <si>
    <t>Melee Weapon Attack: +2 to hit, reach 5 ft., one target. Hit: 5 (2d4) slashing damage.</t>
  </si>
  <si>
    <t>Melee Weapon Attack: +2 to hit, reach 5 ft., one target. Hit: 3 (1d6) piercing damage.</t>
  </si>
  <si>
    <t>The dretch makes two attacks: one with its bite and one with its claws.</t>
  </si>
  <si>
    <t>1:36, 3:28</t>
  </si>
  <si>
    <t>https://www.aidedd.org/dnd/monstres.php?vo=Dretch</t>
  </si>
  <si>
    <t>Dretch</t>
  </si>
  <si>
    <t>Steam Breath||15d6</t>
  </si>
  <si>
    <t>The dragon turtle exhales scalding steam in a 60-foot cone. Each creature in that area must make a DC 18 Constitution saving throw, taking 52 (15d6) fire damage on a failed save, or half as much damage on a successful one. Being underwater doesn't grant resistance against this damage.</t>
  </si>
  <si>
    <t>Steam Breath (Recharge 5-6)</t>
  </si>
  <si>
    <t>Tail|13|3d12+7</t>
  </si>
  <si>
    <t>Melee Weapon Attack: +13 to hit, reach 15 ft., one target. Hit: 26 (3d12 + 7) bludgeoning damage. If the target is a creature, it must succeed on a DC 20 Strength saving throw or be pushed up to 10 feet away from the dragon turtle and knocked prone.</t>
  </si>
  <si>
    <t>Claw|13|2d8+7</t>
  </si>
  <si>
    <t>Melee Weapon Attack: +13 to hit, reach 10 ft., one target. Hit: 16 (2d8 + 7) slashing damage.</t>
  </si>
  <si>
    <t>Bite|13|3d12+7</t>
  </si>
  <si>
    <t>Melee Weapon Attack: +13 to hit, reach 15 ft., one target. Hit: 26 (3d12 + 7) piercing damage.</t>
  </si>
  <si>
    <t>The dragon turtle makes three attacks: one with its bite and two with its claws. It can make one tail attack in place of its two claw attacks.</t>
  </si>
  <si>
    <t>The dragon turtle can breathe air and water.</t>
  </si>
  <si>
    <t>+13, 2d8+7</t>
  </si>
  <si>
    <t>+13, 3d12+7</t>
  </si>
  <si>
    <t>https://www.aidedd.org/dnd/monstres.php?vo=Dragon-Turtle</t>
  </si>
  <si>
    <t>Dragon-Turtle</t>
  </si>
  <si>
    <t>Dragon Turtle</t>
  </si>
  <si>
    <t>Hooves|6|2d4+4</t>
  </si>
  <si>
    <t>Melee Weapon Attack: +6 to hit, reach 5 ft., one target. Hit: 9 (2d4 + 4) bludgeoning damage.</t>
  </si>
  <si>
    <t>https://www.aidedd.org/dnd/monstres.php?vo=Draft-Horse</t>
  </si>
  <si>
    <t>Draft-Horse</t>
  </si>
  <si>
    <t>Draft Horse</t>
  </si>
  <si>
    <t>Read Thoughts</t>
  </si>
  <si>
    <t>The doppelganger magically reads the surface thoughts of one creature within 60 ft. of it. The effect can penetrate barriers, but 3 ft. of wood or dirt, 2 ft. of stone, 2 inches of metal, or a thin sheet of lead blocks it. While the target is in range, the doppelganger can continue reading its thoughts, as long as the doppelganger's concentration isn't broken (as if concentrating on a spell). While reading the target's mind, the doppelganger has advantage on Wisdom (Insight) and Charisma (Deception, Intimidation, and Persuasion) checks against the target.</t>
  </si>
  <si>
    <t>Slam|6|1d6+4</t>
  </si>
  <si>
    <t>Melee Weapon Attack: +6 to hit, reach 5 ft., one target. Hit: 7 (1d6 + 4) bludgeoning damage.</t>
  </si>
  <si>
    <t>The doppelganger makes two melee attacks.</t>
  </si>
  <si>
    <t>Surprise Attack||3d6</t>
  </si>
  <si>
    <t>If the doppelganger surprises a creature and hits it with an attack during the first round of combat, the target takes an extra 10 (3d6) damage from the attack.</t>
  </si>
  <si>
    <t>Surprise Attack</t>
  </si>
  <si>
    <t>Ambusher</t>
  </si>
  <si>
    <t>In the first round of a combat, the doppelganger has advantage on attack rolls against any creature it surprised</t>
  </si>
  <si>
    <t>The doppelganger can use its action to polymorph into a Small or Medium humanoid it has seen, or back into its true form. Its statistics, other than its size, are the same in each form. Any equipment it is wearing or carrying isn't transformed. It reverts to its true form if it dies.</t>
  </si>
  <si>
    <t>3:19</t>
  </si>
  <si>
    <t>4:30</t>
  </si>
  <si>
    <t>https://www.aidedd.org/dnd/monstres.php?vo=Doppelganger</t>
  </si>
  <si>
    <t>Doppelganger</t>
  </si>
  <si>
    <t>Create Whirlwind</t>
  </si>
  <si>
    <t>A 5-foot-radius, 30-foot-tall cylinder of swirling air magically forms on a point the djinni can see within 120 feet of it. The whirlwind lasts as long as the djinni maintains concentration (as if concentrating on a spell). Any creature but the djinni that enters the whirlwind must succeed on a DC 18 Strength saving throw or be restrained by it. The djinni can move the whirlwind up to 60 feet as an action, and creatures restrained by the whirlwind move with it. The whirlwind ends if the djinni loses sight of it. ¶A creature can use its action to free a creature restrained by the whirlwind, including itself, by succeeding on a DC 18 Strength check. If the check succeeds, the creature is no longer restrained and moves to the nearest space outside the whirlwind.</t>
  </si>
  <si>
    <t>Scimitar|9|2d6+5+1d6</t>
  </si>
  <si>
    <t>Melee Weapon Attack: +9 to hit, reach 5 ft., one target. Hit: 12 (2d6 + 5) slashing damage plus 3 (1d6) lightning or thunder damage (djinni's choice).</t>
  </si>
  <si>
    <t>The djinni makes three scimitar attacks.</t>
  </si>
  <si>
    <t>The djinni's innate spellcasting ability is Charisma (spell save DC 17, +9 to hit with spell attacks). It can innately cast the following spells, requiring no material components: At will: detect evil and good, detect magic, thunderwave 3/day each: create food and water (can create wine instead of water), tongues, wind walk ¶1/day each: conjure elemental (air elemental only), creation, gaseous form, invisibility, major image, plane shift</t>
  </si>
  <si>
    <t>If the djinni dies, its body disintegrates into a warm breeze, leaving behind only equipment the djinni was wearing or carrying.</t>
  </si>
  <si>
    <t>https://www.aidedd.org/dnd/monstres.php?vo=Djinni</t>
  </si>
  <si>
    <t>Djinni</t>
  </si>
  <si>
    <t>3:29</t>
  </si>
  <si>
    <t>https://www.aidedd.org/dnd/monstres.php?vo=Dire-Wolf</t>
  </si>
  <si>
    <t>Dire-Wolf</t>
  </si>
  <si>
    <t>Dire Wolf</t>
  </si>
  <si>
    <t>The deva magically polymorphs into a humanoid or beast that has a challenge rating equal to or less than its own, or back into its true form. It reverts to its true form if it dies. Any equipment it is wearing or carrying is absorbed or borne by the new form (the deva's choice). ¶In a new form, the deva retains its game statistics and ability to speak, but its AC, movement modes, Strength, Dexterity, and special senses are replaced by those of the new form, and it gains any statistics and capabilities (except class features, legendary actions, and lair actions) that the new form has but that it lacks</t>
  </si>
  <si>
    <t>The deva touches another creature. The target magically regains 20 (4d8 + 2) hit points and is freed from any curse, disease, poison, blindness, or deafness.</t>
  </si>
  <si>
    <t>Mace|8|1d6+4+4d8</t>
  </si>
  <si>
    <t>Melee Weapon Attack: +8 to hit, reach 5 ft., one target. Hit: 7 (1d6 + 4) bludgeoning damage plus 18 (4d8) radiant damage.</t>
  </si>
  <si>
    <t>The deva makes two melee attacks.</t>
  </si>
  <si>
    <t>The deva has advantage on saving throws against spells and other magical effects.</t>
  </si>
  <si>
    <t>The deva's spellcasting ability is Charisma (spell save DC 17). The deva can innately cast the following spells, requiring only verbal components: ¶At will: detect evil and good ¶1/day each: commune, raise dead</t>
  </si>
  <si>
    <t>The deva's weapon attacks are magical. When the deva hits with any weapon, the weapon deals an extra 4d8 radiant damage (included in the attack).</t>
  </si>
  <si>
    <t>+8, 1d6+4</t>
  </si>
  <si>
    <t>+8, 4d8+4</t>
  </si>
  <si>
    <t>https://www.aidedd.org/dnd/monstres.php?vo=Deva</t>
  </si>
  <si>
    <t>Deva</t>
  </si>
  <si>
    <t>Bite|2|1d4</t>
  </si>
  <si>
    <t>https://www.aidedd.org/dnd/monstres.php?vo=Deer</t>
  </si>
  <si>
    <t>Deer</t>
  </si>
  <si>
    <t>Deep-Gnome-(Svirfneblin)</t>
  </si>
  <si>
    <t>Deep Gnome (Svirfneblin)</t>
  </si>
  <si>
    <t>Melee Weapon Attack: +4 to hit, reach 5 ft., one target. Hit: 5 (1d6 + 2) piercing damage. If the target is a creature, it must succeed on a DC 12 Constitution saving throw against disease or become poisoned until the disease is cured. Every 24 hours that elapse, the creature must repeat the saving throw, reducing its hit point maximum by 5 (1d10) on a failure. This reduction lasts until the disease is cured. The creature dies if the disease reduces its hit point maximum to 0.</t>
  </si>
  <si>
    <t>The dog makes two bite attacks.</t>
  </si>
  <si>
    <t>Two-Headed</t>
  </si>
  <si>
    <t>The dog has advantage on Wisdom (Perception) checks and on saving throws against being blinded, charmed, deafened, frightened, stunned, or knocked unconscious.</t>
  </si>
  <si>
    <t>11:34, 13:24</t>
  </si>
  <si>
    <t>https://www.aidedd.org/dnd/monstres.php?vo=Death-Dog</t>
  </si>
  <si>
    <t>Death-Dog</t>
  </si>
  <si>
    <t>Death Dog</t>
  </si>
  <si>
    <t>Darkness Aura (1/day)</t>
  </si>
  <si>
    <t>A 15-foot radius of magical darkness extends out from the darkmantle, moves with it, and spreads around corners. The darkness lasts as long as the darkmantle maintains concentration, up to 10 minutes (as if concentrating on a spell). Darkvision can't penetrate this darkness, and no natural light can illuminate it. If any of the darkness overlaps with an area of light created by a spell of 2nd level or lower, the spell creating the light is dispelled.</t>
  </si>
  <si>
    <t>Crush|5|1d6+3</t>
  </si>
  <si>
    <t>Melee Weapon Attack: +5 to hit, reach 5 ft., one creature. Hit: 6 (1d6 + 3) bludgeoning damage, and the darkmantle attaches to the target. If the target is Medium or smaller and the darkmantle has advantage on the attack roll, it attaches by engulfing the target's head, and the target is also blinded and unable to breathe while the darkmantle is attached in this way. ¶While attached to the target, the darkmantle can attack no other creature except the target but has advantage on its attack rolls. The darkmantle's speed also becomes 0, it can't benefit from any bonus to its speed, and it moves with the target. ¶A creature can detach the darkmantle by making a successful DC 13 Strength check as an action. On its turn, the darkmantle can detach itself from the target by using 5 feet of movement.</t>
  </si>
  <si>
    <t>Crush</t>
  </si>
  <si>
    <t>While the darkmantle remains motionless, it is indistinguishable from a cave formation such as a stalactite or stalagmite.</t>
  </si>
  <si>
    <t>The darkmantle can't use its blindsight while deafened.</t>
  </si>
  <si>
    <t>https://www.aidedd.org/dnd/monstres.php?vo=Darkmantle</t>
  </si>
  <si>
    <t>Darkmantle</t>
  </si>
  <si>
    <t>Ranged Weapon Attack: +9 to hit, range 30/120 ft., one target. Hit: 28 (4d10 + 6) bludgeoning damage.</t>
  </si>
  <si>
    <t>Melee Weapon Attack: +9 to hit, reach 10 ft., one target. Hit: 19 (3d8 + 6) bludgeoning damage.</t>
  </si>
  <si>
    <t>The cyclops makes two greatclub attacks.</t>
  </si>
  <si>
    <t>Poor Depth Perception</t>
  </si>
  <si>
    <t>The cyclops has disadvantage on any attack roll against a target more than 30 ft. away.</t>
  </si>
  <si>
    <t>13:35</t>
  </si>
  <si>
    <t>13:24</t>
  </si>
  <si>
    <t>https://www.aidedd.org/dnd/monstres.php?vo=Cyclops</t>
  </si>
  <si>
    <t>Cyclops</t>
  </si>
  <si>
    <t>Scimitar|3|1d6+1</t>
  </si>
  <si>
    <t>Melee Weapon Attack: +3 to hit, reach 5 ft., one creature. Hit: 4 (1d6 + 1) slashing damage.</t>
  </si>
  <si>
    <t>Dark Devotion</t>
  </si>
  <si>
    <t>The cultist has advantage on saving throws against being charmed or frightened.</t>
  </si>
  <si>
    <t>2:23, 5:26, 9:56, 10:29, 12:20</t>
  </si>
  <si>
    <t>4:21</t>
  </si>
  <si>
    <t>https://www.aidedd.org/dnd/monstres.php?vo=Cultist</t>
  </si>
  <si>
    <t>Cultist</t>
  </si>
  <si>
    <t>Melee or Ranged Weapon Attack: +4 to hit, reach 5 ft. or range 20/60 ft., one creature. Hit: 4 (1d4 + 2) piercing damage.</t>
  </si>
  <si>
    <t>The fanatic makes two melee attacks.</t>
  </si>
  <si>
    <t>The fanatic is a 4th-level spellcaster. Its spell casting ability is Wisdom (spell save DC 11, +3 to hit with spell attacks). The fanatic has the following cleric spells prepared: Cantrips (at will): light, sacred flame, thaumaturgy ¶‚Ä¢ 1st level (4 slots): command, inflict wounds, shield of faith ¶‚Ä¢ 2nd level (3 slots): hold person, spiritual weapon</t>
  </si>
  <si>
    <t>The fanatic has advantage on saving throws against being charmed or frightened.</t>
  </si>
  <si>
    <t>2:23, 9:57</t>
  </si>
  <si>
    <t>3:30, 5:21, 10:35/36, 12:27</t>
  </si>
  <si>
    <t>https://www.aidedd.org/dnd/monstres.php?vo=Cult-Fanatic</t>
  </si>
  <si>
    <t>Cult-Fanatic</t>
  </si>
  <si>
    <t>Cult Fanatic</t>
  </si>
  <si>
    <t>Bite|4|1d10+2</t>
  </si>
  <si>
    <t>Melee Weapon Attack: +4 to hit, reach 5 ft., one creature. Hit: 7 (1d10 + 2) piercing damage, and the target is grappled (escape DC 12). Until this grapple ends, the target is restrained, and the crocodile can't bite another target</t>
  </si>
  <si>
    <t>The crocodile can hold its breath for 15 minutes.</t>
  </si>
  <si>
    <t>https://www.aidedd.org/dnd/monstres.php?vo=Crocodile</t>
  </si>
  <si>
    <t>Crocodile</t>
  </si>
  <si>
    <t>Claw||1</t>
  </si>
  <si>
    <t>Melee Weapon Attack: +0 to hit, reach 5 ft., one target. Hit: 1 bludgeoning damage.</t>
  </si>
  <si>
    <t>https://www.aidedd.org/dnd/monstres.php?vo=Crab</t>
  </si>
  <si>
    <t>Crab</t>
  </si>
  <si>
    <t>The couatl magically polymorphs into a humanoid or beast that has a challenge rating equal to or less than its own, or back into its true form. It reverts to its true form if it dies. Any equipment it is wearing or carrying is absorbed or borne by the new form (the couatl's choice). ¶In a new form, the couatl retains its game statistics and ability to speak, but its AC, movement modes, Strength, Dexterity, and other actions are replaced by those of the new form, and it gains any statistics and capabilities (except class features, legendary actions, and lair actions) that the new form has but that it lacks. If the new form has a bite attack, the couatl can use its bite in that form.</t>
  </si>
  <si>
    <t>Constrict|6|2d6+3</t>
  </si>
  <si>
    <t>Melee Weapon Attack: +6 to hit, reach 10 ft., one Medium or smaller creature. Hit: 10 (2d6 + 3) bludgeoning damage, and the target is grappled (escape DC 15). Until this grapple ends, the target is restrained, and the couatl can't constrict another target.</t>
  </si>
  <si>
    <t>Bite|8|1d6+5</t>
  </si>
  <si>
    <t>Melee Weapon Attack: +8 to hit, reach 5 ft., one creature. Hit: 8 (1d6 + 5) piercing damage, and the target must succeed on a DC 13 Constitution saving throw or be poisoned for 24 hours. Until this poison ends, the target is unconscious. Another creature can use an action to shake the target awake.</t>
  </si>
  <si>
    <t>Shielded Mind</t>
  </si>
  <si>
    <t>The couatl is immune to scrying and to any effect that would sense its emotions, read its thoughts, or detect its location.</t>
  </si>
  <si>
    <t>The couatl's weapon attacks are magical.</t>
  </si>
  <si>
    <t>The couatl's spellcasting ability is Charisma (spell save DC 14). It can innately cast the following spells, requiring only verbal components: At will: detect evil and good, detect magic, detect thoughts ¶3/day each: bless, create food and water, cure wounds, lesser restoration, protection from poison, sanctuary, shield ¶1/day each: dream, greater restoration, scrying</t>
  </si>
  <si>
    <t>+7, 2d6+3</t>
  </si>
  <si>
    <t>+7, 1d6+5</t>
  </si>
  <si>
    <t>https://www.aidedd.org/dnd/monstres.php?vo=Couatl</t>
  </si>
  <si>
    <t>Couatl</t>
  </si>
  <si>
    <t>Acid Breath||4d8</t>
  </si>
  <si>
    <t>The dragon uses one of the following breath weapons. ¶Acid Breath. The dragon exhales acid in an 20-foot line that is 5 feet wide. Each creature in that line must make a DC 11 Dexterity saving throw, taking 18 (4d8) acid damage on a failed save, or half as much damage on a successful one. ¶Slowing Breath. The dragon exhales gas in a 1 5-foot cone. Each creature in that area must succeed on a DC 11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t>
  </si>
  <si>
    <t>Melee Weapon Attack: +4 to hit, reach 5 ft., one target. Hit: 7 (1d10 + 2) piercing damage.</t>
  </si>
  <si>
    <t>https://www.aidedd.org/dnd/monstres.php?vo=Copper-Dragon-Wyrmling</t>
  </si>
  <si>
    <t>Copper-Dragon-Wyrmling</t>
  </si>
  <si>
    <t>Copper Dragon Wyrmling</t>
  </si>
  <si>
    <t>Constrict|4|1d8+2</t>
  </si>
  <si>
    <t>Melee Weapon Attack: +4 to hit, reach 5 ft., one creature. Hit: 6 (1d8 + 2) bludgeoning damage, and the target is grappled (escape DC 14). Until this grapple ends, the creature is restrained, and the snake can't constrict another target.</t>
  </si>
  <si>
    <t>https://www.aidedd.org/dnd/monstres.php?vo=Constrictor-Snake</t>
  </si>
  <si>
    <t>Constrictor-Snake</t>
  </si>
  <si>
    <t>Constrictor Snake</t>
  </si>
  <si>
    <t>Club|2|1d4</t>
  </si>
  <si>
    <t>Melee Weapon Attack: +2 to hit, reach 5 ft., one target. Hit: 2 (1d4) bludgeoning damage.</t>
  </si>
  <si>
    <t>2:26, 3:24, 4:40, 5:24, 6:18, 9:26</t>
  </si>
  <si>
    <t>2:21, 3:23, 5:26</t>
  </si>
  <si>
    <t>2:24, 3:29, 7:21, 9:26</t>
  </si>
  <si>
    <t>https://www.aidedd.org/dnd/monstres.php?vo=Commoner</t>
  </si>
  <si>
    <t>Commoner</t>
  </si>
  <si>
    <t>Melee Weapon Attack: +3 to hit, reach 5 ft., one creature. Hit: 3 (1d4 + 1) piercing damage, and the target must succeed on a DC 11 Constitution saving throw against being magically petrified. On a failed save, the creature begins to turn to stone and is restrained. It must repeat the saving throw at the end of its next turn. On a success, the effect ends. On a failure, the creature is petrified for 24 hours.</t>
  </si>
  <si>
    <t>https://www.aidedd.org/dnd/monstres.php?vo=Cockatrice</t>
  </si>
  <si>
    <t>Cockatrice</t>
  </si>
  <si>
    <t>Rock|12|4d10+8</t>
  </si>
  <si>
    <t>Ranged Weapon Attack: +12 to hit, range 60/240 ft., one target. Hit: 30 (4d10 + 8) bludgeoning damage.</t>
  </si>
  <si>
    <t>Morningstar|12|3d8+8</t>
  </si>
  <si>
    <t>Melee Weapon Attack: +12 to hit, reach 10 ft., one target. Hit: 21 (3d8 + 8) piercing damage.</t>
  </si>
  <si>
    <t>The giant makes two morningstar attacks.</t>
  </si>
  <si>
    <t>Wind Aura</t>
  </si>
  <si>
    <t>A magical aura of wind surrounds the giant. The aura is a 10-foot-radius sphere that lasts as long as the giant maintains concentration on it (as if concentrating on a spell). While the aura is in effect, the giant gains a +2 bonus to its AC against ranged weapon attacks, and all open flames within the aura are extinguished unless they are magical.</t>
  </si>
  <si>
    <t>The giant tries to throw a Small or Medium creature within 10 feet of it. The target must succeed on a DC 20 Dexterity saving throw or be hurled up to 60 feet horizontally in a direction of the giant's choice and land prone, taking 1d8 bludgeoning damage for every 10 feet it was thrown.</t>
  </si>
  <si>
    <t>The giant's innate spellcasting ability is Charisma. It can innately cast the following spells, requiring no material components: At will: detect magic, fog cloud, light ¶3/day each: feather fall, fly, misty step, telekinesis ¶1/day each: control weather, gaseous form</t>
  </si>
  <si>
    <t>The giant has advantage on Wisdom (Perception) checks that rely on smell.</t>
  </si>
  <si>
    <t>+12, 4d10+8</t>
  </si>
  <si>
    <t>+12, 3d8+8</t>
  </si>
  <si>
    <t>NG|NE</t>
  </si>
  <si>
    <t>https://www.aidedd.org/dnd/monstres.php?vo=Cloud-Giant</t>
  </si>
  <si>
    <t>Cloud-Giant</t>
  </si>
  <si>
    <t>Cloud Giant</t>
  </si>
  <si>
    <t>Phantasms (Recharges after a Short or Long Rest)</t>
  </si>
  <si>
    <t>The cloaker magically creates three illusory duplicates of itself if it isn't in bright light. The duplicates move with it and mimic its actions, shifting position so as to make it impossible to track which cloaker is the real one. If the cloaker is ever in an area of bright light, the duplicates disappear. ¶Whenever any creature targets the cloaker with an attack or a harmful spell while a duplicate remains, that creature rolls randomly to determine whether it targets the cloaker or one of the duplicates. A creature is unaffected by this magical effect if it can't see or if it relies on senses other than sight. ¶A duplicate has the cloaker's AC and uses its saving throws. If an attack hits a duplicate, or if a duplicate fails a saving throw against an effect that deals damage, the duplicate disappears.</t>
  </si>
  <si>
    <t>Moan</t>
  </si>
  <si>
    <t>Each creature within 60 feet of the cloaker that can hear its moan and that isn't an aberration must succeed on a DC 13 Wisdom saving throw or become frightened until the end of the cloaker's next turn. If a creature's saving throw is successful, the creature is immune to the cloaker's moan for the next 24 hours.</t>
  </si>
  <si>
    <t>Tail|6|1d8+3</t>
  </si>
  <si>
    <t>Melee Weapon Attack: +6 to hit, reach 10 ft., one creature. Hit: 7 (1d8 + 3) slashing damage.</t>
  </si>
  <si>
    <t>Bite|6|2d6+3</t>
  </si>
  <si>
    <t>Melee Weapon Attack: +6 to hit, reach 5 ft., one creature. Hit: 10 (2d6 + 3) piercing damage, and if the target is Large or smaller, the cloaker attaches to it. If the cloaker has advantage against the target, the cloaker attaches to the target's head, and the target is blinded and unable to breathe while the cloaker is attached. While attached, the cloaker can make this attack only against the target and has advantage on the attack roll. The cloaker can detach itself by spending 5 feet of its movement. A creature, including the target, can take its action to detach the cloaker by succeeding on a DC 16 Strength check.</t>
  </si>
  <si>
    <t>The cloaker makes two attacks: one with its bite and one with its tail.</t>
  </si>
  <si>
    <t>Light Sensitivity</t>
  </si>
  <si>
    <t>While in bright light, the cloaker has disadvantage on attack rolls and Wisdom (Perception) checks that rely on sight.</t>
  </si>
  <si>
    <t>While the cloaker remains motionless without its underside exposed, it is indistinguishable from a dark leather cloak.</t>
  </si>
  <si>
    <t>While attached to a creature, the cloaker takes only half the damage dealt to it (rounded down). and that creature takes the other half.</t>
  </si>
  <si>
    <t>4:41</t>
  </si>
  <si>
    <t>+6, 1d8+3</t>
  </si>
  <si>
    <t>https://www.aidedd.org/dnd/monstres.php?vo=Cloaker</t>
  </si>
  <si>
    <t>Cloaker</t>
  </si>
  <si>
    <t>Haste (Recharge 5-6)</t>
  </si>
  <si>
    <t>Until the end of its next turn, the golem magically gains a +2 bonus to its AC, has advantage on Dexterity saving throws, and can use its slam attack as a bonus action.</t>
  </si>
  <si>
    <t>Slam|8|2d10+5</t>
  </si>
  <si>
    <t>Melee Weapon Attack: +8 to hit, reach 5 ft., one target. Hit: 16 (2d10 + 5) bludgeoning damage. If the target is a creature, it must succeed on a DC 15 Constitution saving throw or have its hit point maximum reduced by an amount equal to the damage taken. The target dies if this attack reduces its hit point maximum to 0. The reduction lasts until removed by the greater restoration spell or other magic.</t>
  </si>
  <si>
    <t>Whenever the golem starts its turn with 60 hit points or fewer, roll a d6. On a 6, the golem goes berserk. On each of its turns while berserk, the golem attacks the nearest creature it can see. If no creature is near enough to move to and attack, the golem attacks an object, with preference for an object smaller than itself. Once the golem goes berserk, it continues to do so until it is destroyed or regains all its hit points.</t>
  </si>
  <si>
    <t>Acid Absorption</t>
  </si>
  <si>
    <t>Whenever the golem is subjected to acid damage, it takes no damage and instead regains a number of hit points equal to the acid damage dealt.</t>
  </si>
  <si>
    <t>4:44, 9:27</t>
  </si>
  <si>
    <t>https://www.aidedd.org/dnd/monstres.php?vo=Clay-Golem</t>
  </si>
  <si>
    <t>Clay-Golem</t>
  </si>
  <si>
    <t>Clay Golem</t>
  </si>
  <si>
    <t>One creature grappled by the chuul must succeed on a DC 13 Constitution saving throw or be poisoned for 1 minute. Until this poison ends, the target is paralyzed. The target can repeat the saving throw at the end of each of its turns, ending the effect on itself on a success.</t>
  </si>
  <si>
    <t>Pincer|6|2d6+4</t>
  </si>
  <si>
    <t>Melee Weapon Attack: +6 to hit, reach 10 ft., one target. Hit: 11 (2d6 + 4) bludgeoning damage. The target is grappled (escape DC 14) if it is a Large or smaller creature and the chuul doesn't have two other creatures grappled.</t>
  </si>
  <si>
    <t>The chuul makes two pincer attacks. If the chuul is grappling a creature, the chuul can also use its tentacles once.</t>
  </si>
  <si>
    <t>Sense Magic</t>
  </si>
  <si>
    <t>The chuul senses magic within 120 feet of it at will. This trait otherwise works like the detect magic spell but isn't itself magical.</t>
  </si>
  <si>
    <t>The chuul can breathe air and water.</t>
  </si>
  <si>
    <t>https://www.aidedd.org/dnd/monstres.php?vo=Chuul</t>
  </si>
  <si>
    <t>Chuul</t>
  </si>
  <si>
    <t>Fire Breath (Recharge 5-6)||7d</t>
  </si>
  <si>
    <t>The dragon head exhales fire in a 15-foot cone. Each creature in that area must make a DC 15 Dexterity saving throw, taking 31 (7d8) fire damage on a failed save, or half as much damage on a successful one.</t>
  </si>
  <si>
    <t>Claws|7|2d6+4</t>
  </si>
  <si>
    <t>Horns|7|1d12+4</t>
  </si>
  <si>
    <t>Melee Weapon Attack: +7 to hit, reach 5 ft., one target. Hit: 10 (1d12 + 4) bludgeoning damage.</t>
  </si>
  <si>
    <t>Melee Weapon Attack: +7 to hit, reach 5 ft., one target. Hit: 11 (2d6 + 4) piercing damage.</t>
  </si>
  <si>
    <t>The chimera makes three attacks: one with its bite, one with its horns, and one with its claws. When its fire breath is available, it can use the breath in place of its bite or horns.</t>
  </si>
  <si>
    <t>11:34</t>
  </si>
  <si>
    <t>+7, 1d12+4</t>
  </si>
  <si>
    <t>https://www.aidedd.org/dnd/monstres.php?vo=Chimera</t>
  </si>
  <si>
    <t>Chimera</t>
  </si>
  <si>
    <t>When a creature the devil can see starts its turn within 30 feet of the devil, the devil can create the illusion that it looks like one of the creature's departed loved ones or bitter enemies. If the creature can see the devil, it must succeed on a DC 14 Wisdom saving throw or be frightened until the end of its turn.</t>
  </si>
  <si>
    <t>Unnerving Mask</t>
  </si>
  <si>
    <t>Animate Chains (Recharges after a Short or Long Rest)</t>
  </si>
  <si>
    <t>Up to four chains the devil can see within 60 feet of it magically sprout razor-edged barbs and animate under the devil's control, provided that the chains aren't being worn or carried. ¶Each animated chain is an object with AC 20, 20 hit points, resistance to piercing damage, and immunity to psychic and thunder damage. When the devil uses Multiattack on its turn, it can use each animated chain to make one additional chain attack. An animated chain can grapple one creature of its own but can't make attacks while grappling. An animated chain reverts to its inanimate state if reduced to 0 hit points or if the devil is incapacitated or dies.</t>
  </si>
  <si>
    <t>Chain|8|2d6+4</t>
  </si>
  <si>
    <t>Melee Weapon Attack: +8 to hit, reach 10 ft., one target. Hit: 11 (2d6 + 4) slashing damage. The target is grappled (escape DC 14) if the devil isn't already grappling a creature. Until this grapple ends, the target is restrained and takes 7 (2d6) piercing damage at the start of each of its turns.</t>
  </si>
  <si>
    <t>Chain</t>
  </si>
  <si>
    <t>The devil makes two attacks with its chains.</t>
  </si>
  <si>
    <t>https://www.aidedd.org/dnd/monstres.php?vo=Chain-Devil</t>
  </si>
  <si>
    <t>Chain-Devil</t>
  </si>
  <si>
    <t>Chain Devil</t>
  </si>
  <si>
    <t>Hooves |6|2d6+4</t>
  </si>
  <si>
    <t>Pike|6|1d10+4</t>
  </si>
  <si>
    <t>Melee Weapon Attack: +6 to hit, reach 10 ft., one target. Hit: 9 (1d10 + 4) piercing damage.</t>
  </si>
  <si>
    <t>The centaur makes two attacks: one with its pike and one with its hooves or two with its longbow.</t>
  </si>
  <si>
    <t>Charge||3d6</t>
  </si>
  <si>
    <t>If the centaur moves at least 30 ft. straight toward a target and then hits it with a pike attack on the same turn, the target takes an extra 10 (3d6) piercing damage.</t>
  </si>
  <si>
    <t>+6, 1d10+4</t>
  </si>
  <si>
    <t>https://www.aidedd.org/dnd/monstres.php?vo=Centaur</t>
  </si>
  <si>
    <t>Centaur</t>
  </si>
  <si>
    <t>Claws||1</t>
  </si>
  <si>
    <t>Melee Weapon Attack: +0 to hit, reach 5 ft., one target. Hit: 1 slashing damage.</t>
  </si>
  <si>
    <t>The cat has advantage on Wisdom (Perception) checks that rely on smell.</t>
  </si>
  <si>
    <t>https://www.aidedd.org/dnd/monstres.php?vo=Cat</t>
  </si>
  <si>
    <t>Cat</t>
  </si>
  <si>
    <t>Bite|5|1d4</t>
  </si>
  <si>
    <t>Melee Weapon Attack: +5 to hit, reach 5 ft., one target. Hit: 2 (1d4) bludgeoning damage.</t>
  </si>
  <si>
    <t>https://www.aidedd.org/dnd/monstres.php?vo=Camel</t>
  </si>
  <si>
    <t>Camel</t>
  </si>
  <si>
    <t>Deadly Leap</t>
  </si>
  <si>
    <t>If the bulette jumps at least 15 ft. as part of its movement, it can then use this action to land on its ft. in a space that contains one or more other creatures. Each of those creatures must succeed on a DC 16 Strength or Dexterity saving throw (target's choice) or be knocked prone and take 14 (3d6 + 4) bludgeoning damage plus 14 (3d6 + 4) slashing damage. On a successful save, the creature takes only half the damage, isn't knocked prone, and is pushed 5 ft. out of the bulette's space into an unoccupied space of the creature's choice. If no unoccupied space is within range, the creature instead falls prone in the bulette's space.</t>
  </si>
  <si>
    <t>Bite|7|4d12+4</t>
  </si>
  <si>
    <t>Melee Weapon Attack: +7 to hit, reach 5 ft., one target. Hit: 30 (4d12 + 4) piercing damage.</t>
  </si>
  <si>
    <t>The bulette's long jump is up to 30 ft. and its high jump is up to 15 ft., with or without a running start.</t>
  </si>
  <si>
    <t>4:28</t>
  </si>
  <si>
    <t>+7, 4d12+4</t>
  </si>
  <si>
    <t>https://www.aidedd.org/dnd/monstres.php?vo=Bulette</t>
  </si>
  <si>
    <t>Bulette</t>
  </si>
  <si>
    <t>Melee|4|2d6+2 Ranged|4|1d6+2</t>
  </si>
  <si>
    <t>Melee or Ranged Weapon Attack: +4 to hit, reach 5 ft. or range 30/120 ft., one target. Hit: 9 (2d6 + 2) piercing damage in melee or 5 (1d6 + 2) piercing damage at range.</t>
  </si>
  <si>
    <t>Morningstar|4|2d8+2</t>
  </si>
  <si>
    <t>Melee Weapon Attack: +4 to hit, reach 5 ft., one target. Hit: 11 (2d8 + 2) piercing damage.</t>
  </si>
  <si>
    <t>Surprise Attack||2d6</t>
  </si>
  <si>
    <t>If the bugbear surprises a creature and hits it with an attack during the first round of combat, the target takes an extra 7 (2d6) damage from the attack.</t>
  </si>
  <si>
    <t>A melee weapon deals one extra die of its damage when the bugbear hits with it (included in the attack).</t>
  </si>
  <si>
    <t>9:56</t>
  </si>
  <si>
    <t>1:15</t>
  </si>
  <si>
    <t>https://www.aidedd.org/dnd/monstres.php?vo=Bugbear</t>
  </si>
  <si>
    <t>Bugbear</t>
  </si>
  <si>
    <t>Claws|5|2d6+4</t>
  </si>
  <si>
    <t>Melee Weapon Attack: +5 to hit, reach 5 ft., one target. Hit: 11 (2d6 + 4) slashing damage.</t>
  </si>
  <si>
    <t>Bite|5|1d8+4</t>
  </si>
  <si>
    <t>Weapon Attack: +5 to hit, reach 5 ft., one target. Hit: 8 (1d8 + 4) piercing damage.</t>
  </si>
  <si>
    <t>https://www.aidedd.org/dnd/monstres.php?vo=Brown-Bear</t>
  </si>
  <si>
    <t>Brown-Bear</t>
  </si>
  <si>
    <t>Brown Bear</t>
  </si>
  <si>
    <t>Lightning Breath||3d10</t>
  </si>
  <si>
    <t>The dragon uses one of the following breath weapons. ¶Lightning Breath. The dragon exhales lightning in a 40-foot line that is 5 feet wide. Each creature in that line must make a DC 12 Dexterity saving throw, taking 16 (3d10) lightning damage on a failed save, or half as much damage on a successful one. ¶Repulsion Breath. The dragon exhales repulsion energy in a 30-foot cone. Each creature in that area must succeed on a DC 12 Strength saving throw. On a failed save, the creature is pushed 30 feet away from the dragon.</t>
  </si>
  <si>
    <t>https://www.aidedd.org/dnd/monstres.php?vo=Bronze-Dragon-Wyrmling</t>
  </si>
  <si>
    <t>Bronze-Dragon-Wyrmling</t>
  </si>
  <si>
    <t>Bronze Dragon Wyrmling</t>
  </si>
  <si>
    <t>Fire Breath||4d6</t>
  </si>
  <si>
    <t>The dragon uses one of the following breath weapons. ¶Fire Breath. The dragon exhales fire in an 20-foot line that is 5 feet wide. Each creature in that line must make a DC 11 Dexterity saving throw, taking 14 (4d6) fire damage on a failed save, or half as much damage on a successful one. ¶Sleep Breath. The dragon exhales sleep gas in a 15-foot cone. Each creature in that area must succeed on a DC 11 Constitution saving throw or fall unconscious for 1 minute. This effect ends for a creature if the creature takes damage or someone uses an action to wake it.</t>
  </si>
  <si>
    <t>https://www.aidedd.org/dnd/monstres.php?vo=Brass-Dragon-Wyrmling</t>
  </si>
  <si>
    <t>Brass-Dragon-Wyrmling</t>
  </si>
  <si>
    <t>Brass Dragon Wyrmling</t>
  </si>
  <si>
    <t>Sting|8|2d8+4+5d6</t>
  </si>
  <si>
    <t>Melee Weapon Attack: +8 to hit, reach 10 ft., one target. Hit: 13 (2d8 + 4) piercing damage plus 17 (5d6) poison damage, and the target must succeed on a DC 14 Constitution saving throw or become poisoned for 1 minute. The target can repeat the saving throw at the end of each of its turns, ending the effect on itself on a success .</t>
  </si>
  <si>
    <t>Claw|8|1d8+4</t>
  </si>
  <si>
    <t>Melee Weapon Attack: +8 to hit, reach 10 ft., one target. Hit: 8 (1d8 + 4) slashing damage.</t>
  </si>
  <si>
    <t>The devil makes three attacks: two with its claws and one with its sting.</t>
  </si>
  <si>
    <t>https://www.aidedd.org/dnd/monstres.php?vo=Bone-Devil</t>
  </si>
  <si>
    <t>Bone-Devil</t>
  </si>
  <si>
    <t>Bone Devil</t>
  </si>
  <si>
    <t>Tusk|3|1d6+1</t>
  </si>
  <si>
    <t>Weapon Attack: +3 to hit, reach 5 ft., one target. Hit: 4 (1d6 + 1) slashing damage.</t>
  </si>
  <si>
    <t>If the boar takes 7 damage or less that would reduce it to 0 hit points, it is reduced to 1 hit point instead.</t>
  </si>
  <si>
    <t>Charge||1d6</t>
  </si>
  <si>
    <t>If the boar moves at least 20 ft. straight toward a target and then hits it with a tusk attack on the same turn, the target takes an extra 3 (1d6) slashing damage. If the target is a creature, it must succeed on a DC 11 Strength saving throw or be knocked prone.</t>
  </si>
  <si>
    <t>11:33</t>
  </si>
  <si>
    <t>https://www.aidedd.org/dnd/monstres.php?vo=Boar</t>
  </si>
  <si>
    <t>Boar</t>
  </si>
  <si>
    <t>Lightning Breath||4d10</t>
  </si>
  <si>
    <t>The dragon exhales lightning in a 30-foot line that is 5 feet wide. Each creature in that line must make a DC 12 Dexterity saving throw, taking 22 (4d10) lightning damage on a failed save, or half as much damage on a successful one.</t>
  </si>
  <si>
    <t>Bite|5|1d10+3+1d6</t>
  </si>
  <si>
    <t>Melee Weapon Attack: +5 to hit, reach 5 ft., one target. Hit: 8 (1d10 + 3) piercing damage plus 3 (1d6) lightning damage.</t>
  </si>
  <si>
    <t>https://www.aidedd.org/dnd/monstres.php?vo=Blue-Dragon-Wyrmling</t>
  </si>
  <si>
    <t>Blue-Dragon-Wyrmling</t>
  </si>
  <si>
    <t>Blue Dragon Wyrmling</t>
  </si>
  <si>
    <t>Beak|4|1d4+2</t>
  </si>
  <si>
    <t>The hawk has advantage on an attack roll against a creature if at least one of the hawk's allies is within 5 ft. of the creature and the ally isn't incapacitated.</t>
  </si>
  <si>
    <t>https://www.aidedd.org/dnd/monstres.php?vo=Blood-Hawk</t>
  </si>
  <si>
    <t>Blood-Hawk</t>
  </si>
  <si>
    <t>Blood Hawk</t>
  </si>
  <si>
    <t>Teleport (Recharge 4-6)</t>
  </si>
  <si>
    <t>The dog magically teleports, along with any equipment it is wearing or carrying, up to 40 ft. to an unoccupied space it can see. Before or after teleporting, the dog can make one bite attack.</t>
  </si>
  <si>
    <t>The dog has advantage on Wisdom (Perception) checks that rely on hearing or smell.</t>
  </si>
  <si>
    <t>https://www.aidedd.org/dnd/monstres.php?vo=Blink-Dog</t>
  </si>
  <si>
    <t>Blink-Dog</t>
  </si>
  <si>
    <t>Blink Dog</t>
  </si>
  <si>
    <t>When a pudding that is Medium or larger is subjected to lightning or slashing damage, it splits into two new puddings if it has at least 10 hit points. Each new pudding has hit points equal to half the original pudding's, rounded down. New puddings are one size smaller than the original pudding.</t>
  </si>
  <si>
    <t>Pseudopod|5|1d6+3+4d8</t>
  </si>
  <si>
    <t>Melee Weapon Attack: +5 to hit, reach 5 ft., one target. Hit: 6 (1d6 + 3) bludgeoning damage plus 18 (4d8) acid damage. In addition, nonmagical armor worn by the target is partly dissolved and takes a permanent and cumulative -1 penalty to the AC it offers. The armor is destroyed if the penalty reduces its AC to 10.</t>
  </si>
  <si>
    <t>The pudding can climb difficult surfaces, including upside down on ceilings, without needing to make an ability check.</t>
  </si>
  <si>
    <t>Corrosive Form||1d8</t>
  </si>
  <si>
    <t>A creature that touches the pudding or hits it with a melee attack while within 5 feet of it takes 4 (1d8) acid damage. Any nonmagical weapon made of metal or wood that hits the pudding corrodes. After dealing damage, the weapon takes a permanent and cumulative -1 penalty to damage rolls. If its penalty drops to -5, the weapon is destroyed. Nonmagical ammunition made of metal or wood that hits the pudding is destroyed after dealing damage. The pudding can eat through 2-inch-thick, nonmagical wood or metal in 1 round.</t>
  </si>
  <si>
    <t>Corrosive Form</t>
  </si>
  <si>
    <t>The pudding can move through a space as narrow as 1 inch wide without squeezing.</t>
  </si>
  <si>
    <t>3:24, 7:33</t>
  </si>
  <si>
    <t>3:24, 4:27</t>
  </si>
  <si>
    <t>+5, 4d8+3</t>
  </si>
  <si>
    <t>https://www.aidedd.org/dnd/monstres.php?vo=Black-Pudding</t>
  </si>
  <si>
    <t>Black-Pudding</t>
  </si>
  <si>
    <t>Black Pudding</t>
  </si>
  <si>
    <t>Acid Breath||5d8</t>
  </si>
  <si>
    <t>The dragon exhales acid in a 15-foot line that is 5 feet wide. Each creature in that line must make a DC 11 Dexterity saving throw, taking 22 (Sd8) acid damage on a failed save, or half as much damage on a successful one.</t>
  </si>
  <si>
    <t>Melee Weapon Attack: +4 to hit, reach 5 ft., one target. Hit: 7 (1d10 + 2) piercing damage plus 2 (1d4) acid damage.</t>
  </si>
  <si>
    <t>6:26</t>
  </si>
  <si>
    <t>https://www.aidedd.org/dnd/monstres.php?vo=Black-Dragon-Wyrmling</t>
  </si>
  <si>
    <t>Black-Dragon-Wyrmling</t>
  </si>
  <si>
    <t>Black Dragon Wyrmling</t>
  </si>
  <si>
    <t>Claws|3|2d4+2</t>
  </si>
  <si>
    <t>Melee Weapon Attack: +3 to hit, reach 5 ft., one target. Hit: 7 (2d4 + 2) slashing damage.</t>
  </si>
  <si>
    <t>Bite|3|1d6+2</t>
  </si>
  <si>
    <t>Melee Weapon Attack: +3 to hit, reach 5 ft., one target. Hit: 5 (1d6 + 2) piercing damage.</t>
  </si>
  <si>
    <t>https://www.aidedd.org/dnd/monstres.php?vo=Black-Bear</t>
  </si>
  <si>
    <t>Black-Bear</t>
  </si>
  <si>
    <t>Black Bear</t>
  </si>
  <si>
    <t>Greataxe |5|1d12+3</t>
  </si>
  <si>
    <t>At the start of its turn, the berserker can gain advantage on all melee weapon attack rolls during that turn, but attack rolls against it have advantage until the start of its next turn.</t>
  </si>
  <si>
    <t>3:22</t>
  </si>
  <si>
    <t>9:29, 12:25, 12:27</t>
  </si>
  <si>
    <t>*C</t>
  </si>
  <si>
    <t>https://www.aidedd.org/dnd/monstres.php?vo=Berserker</t>
  </si>
  <si>
    <t>Berserker</t>
  </si>
  <si>
    <t>Acid Damage||6d6</t>
  </si>
  <si>
    <t>The behir makes one bite attack against a Medium or smaller target it is grappling. If the attack hits, the target is also swallowed, and the grapple ends. While swallowed, the target is blinded and restrained, it has total cover against attacks and other effects outside the behir, and it takes 21 (6d6) acid damage at the start of each of the behir's turns. A behir can have only one creature swallowed at a time. ¶If the behir takes 30 damage or more on a single turn from the swallowed creature, the behir must succeed on a DC 14 Constitution saving throw at the end of that turn or regurgitate the creature, which falls prone in a space within 10 ft. of the behir. If the behir dies, a swallowed creature is no longer restrained by it and can escape from the corpse by using 15 ft. of movement, exiting prone</t>
  </si>
  <si>
    <t>Lightning Breath||12d10</t>
  </si>
  <si>
    <t>The behir exhales a line of lightning that is 20 ft. long and 5 ft. wide. Each creature in that line must make a DC 16 Dexterity saving throw, taking 66 (12d10) lightning damage on a failed save, or half as much damage on a successful one.</t>
  </si>
  <si>
    <t>Constrict|10|2d10+6+2d10+6</t>
  </si>
  <si>
    <t>Melee Weapon Attack: +10 to hit, reach 5 ft., one Large or smaller creature. Hit: 17 (2d10 + 6) bludgeoning damage plus 17 (2d10 + 6) slashing damage. The target is grappled (escape DC 16) if the behir isn't already constricting a creature, and the target is restrained until this grapple ends.</t>
  </si>
  <si>
    <t>Bite|10|3d10+6</t>
  </si>
  <si>
    <t>Melee Weapon Attack: +10 to hit, reach 10 ft., one target. Hit: 22 (3d10 + 6) piercing damage.</t>
  </si>
  <si>
    <t>The behir makes two attacks: one with its bite and one to constrict.</t>
  </si>
  <si>
    <t>13:36</t>
  </si>
  <si>
    <t>+10, 4d10+12</t>
  </si>
  <si>
    <t>+10, 3d10+6</t>
  </si>
  <si>
    <t>https://www.aidedd.org/dnd/monstres.php?vo=Behir</t>
  </si>
  <si>
    <t>Behir</t>
  </si>
  <si>
    <t>Glaive|5|1d10+3</t>
  </si>
  <si>
    <t>Melee Weapon Attack: +5 to hit, reach 10 ft., one target. Hit: 8 (1d10 + 3) slashing damage. If the target is a creature other than an undead or a construct, it must succeed on a DC 12 Constitution saving throw or lose 5 (1d10) hit points at the start of each of its turns due to an infernal wound. Each time the devil hits the wounded target with this attack, the damage dealt by the wound increases by 5 (1d10). Any creature can take an action to stanch the wound with a successful DC 12 Wisdom (Medicine) check. The wound also closes if the target receives magical healing.</t>
  </si>
  <si>
    <t>Beard|5|1d8+2</t>
  </si>
  <si>
    <t>Melee Weapon Attack: +5 to hit, reach 5 ft., one creature. Hit: 6 (1d8 + 2) piercing damage, and the target must succeed on a DC 12 Constitution saving throw or be poisoned for 1 minute. While poisoned in this way, the target can't regain hit points. The target can repeat the saving throw at the end of each of its turns, ending the effect on itself on a success.</t>
  </si>
  <si>
    <t>Beard</t>
  </si>
  <si>
    <t>The devil makes two attacks: one with its beard and one with its glaive.</t>
  </si>
  <si>
    <t>Steadfast</t>
  </si>
  <si>
    <t>The devil can't be frightened while it can see an allied creature within 30 feet of it.</t>
  </si>
  <si>
    <t>+4, 1d10+3</t>
  </si>
  <si>
    <t>https://www.aidedd.org/dnd/monstres.php?vo=Bearded-Devil</t>
  </si>
  <si>
    <t>Bearded-Devil</t>
  </si>
  <si>
    <t>Bearded Devil</t>
  </si>
  <si>
    <t>Melee Weapon Attack: +0 to hit, reach 5 ft., one creature. Hit: 1 piercing damage.</t>
  </si>
  <si>
    <t>10:30</t>
  </si>
  <si>
    <t>https://www.aidedd.org/dnd/monstres.php?vo=Bat</t>
  </si>
  <si>
    <t>Bat</t>
  </si>
  <si>
    <t>Bite |5|2d6+3+2d6</t>
  </si>
  <si>
    <t>Melee Weapon Attack: +5 to hit, reach 5 ft., one target. Hit: 10 (2d6 + 3) piercing damage plus 7 (2d6) poison damage.</t>
  </si>
  <si>
    <t>If a creature starts its turn within 30 ft. of the basilisk and the two of them can see each other, the basilisk can force the creature to make a DC 12 Constitution saving throw if the basilisk isn't incapacitated. On a failed save, the creature magically begins to turn to stone and is restrained. It must repeat the saving throw at the end of its next turn. On a success, the effect ends. On a failure, the creature is petrified until freed by the greater restoration spell or other magic. ¶A creature that isn't surprised can avert its eyes to avoid the saving throw at the start of its turn. If it does so, it can't see the basilisk until the start of its next turn, when it can avert its eyes again. If it looks at the basilisk in the meantime, it must immediately make the save. ¶If the basilisk sees its reflection within 30 ft. of it in bright light, it mistakes itself for a rival and targets itself with its gaze.</t>
  </si>
  <si>
    <t>10:31</t>
  </si>
  <si>
    <t>https://www.aidedd.org/dnd/monstres.php?vo=Basilisk</t>
  </si>
  <si>
    <t>Basilisk</t>
  </si>
  <si>
    <t>Flame|5|3d6</t>
  </si>
  <si>
    <t>Ranged Spell Attack: +5 to hit, range 150 ft., one target. Hit: 10 (3d6) fire damage. If the target is a flammable object that isn't being worn or carried, it also catches fire.</t>
  </si>
  <si>
    <t>Tail|6|2d6+3</t>
  </si>
  <si>
    <t>Melee Weapon Attack: +6 to hit, reach 5 ft ., one target. Hit: 6 (1d6 + 3) piercing damage.</t>
  </si>
  <si>
    <t>The devil makes three melee attacks: one with its tail and two with its claws. Alternatively, it can use Hurl Flame twice.</t>
  </si>
  <si>
    <t>Barbed Hide||1d10</t>
  </si>
  <si>
    <t>At the start of each of its turns, the barbed devil deals 5 (1d10) piercing damage to any creature grappling it.</t>
  </si>
  <si>
    <t>Barbed Hide</t>
  </si>
  <si>
    <t>https://www.aidedd.org/dnd/monstres.php?vo=Barbed-Devil</t>
  </si>
  <si>
    <t>Barbed-Devil</t>
  </si>
  <si>
    <t>Barbed Devil</t>
  </si>
  <si>
    <t>Wail (1/Day)</t>
  </si>
  <si>
    <t>The banshee releases a mournful wail, provided that she isn't in sunlight. This wail has no effect on constructs and undead. All other creatures within 30 ft. of her that can hear her must make a DC 13 Constitution saving throw. On a failure, a creature drops to 0 hit points. On a success, a creature takes 10 (3d6) psychic damage.The woeful banshee is a spiteful creature formed from the spirit of a female elf. Its face is wreathed in a wild tangle of hair, its body clad in wispy rags that flutter and stream around it.</t>
  </si>
  <si>
    <t>Each non-undead creature within 60 ft. of the banshee that can see her must succeed on a DC 13 Wisdom saving throw or be frightened for 1 minute. A frightened target can repeat the saving throw at the end of each of its turns, with disadvantage if the banshee is within line of sight, ending the effect on itself on a success. If a target's saving throw is successful or the effect ends for it, the target is immune to the banshee's Horrifying Visage for the next 24 hours.</t>
  </si>
  <si>
    <t>Corrupting Touch|4|3d6+2</t>
  </si>
  <si>
    <t>Melee Spell Attack: +4 to hit, reach 5 ft., one target. Hit: 12 (3d6 + 2) necrotic damage.</t>
  </si>
  <si>
    <t>Corrupting Touch</t>
  </si>
  <si>
    <t>The banshee can move through other creatures and objects as if they were difficult terrain. She takes 5 (1d10) force damage if she ends her turn inside an object.</t>
  </si>
  <si>
    <t>Detect Life</t>
  </si>
  <si>
    <t>The banshee can magically sense the presence of living creatures up to 5 miles away that aren't  undead or constructs. She knows the general direction they're in but not their exact locations.</t>
  </si>
  <si>
    <t>https://www.aidedd.org/dnd/monstres.php?vo=Banshee</t>
  </si>
  <si>
    <t>Banshee</t>
  </si>
  <si>
    <t>The captain adds 2 to its AC against one melee attack that would hit it. To do so, the captain must see the attacker and be wielding a melee weapon.</t>
  </si>
  <si>
    <t>Melee or Ranged Weapon Attack: +5 to hit, reach 5 ft. or range 20/60 ft., one target. Hit: 5 (1d4 + 3) piercing damage.</t>
  </si>
  <si>
    <t>The captain makes three melee attacks: two with its scimitar and one with its dagger. Or the captain makes two ranged attacks with its daggers.</t>
  </si>
  <si>
    <t>5:24</t>
  </si>
  <si>
    <t>5:19, 6:26, 14:20</t>
  </si>
  <si>
    <t>!L</t>
  </si>
  <si>
    <t>https://www.aidedd.org/dnd/monstres.php?vo=Bandit-Captain</t>
  </si>
  <si>
    <t>Bandit-Captain</t>
  </si>
  <si>
    <t>Bandit Captain</t>
  </si>
  <si>
    <t>Light Crossbow|3|1d8+1</t>
  </si>
  <si>
    <t>Ranged Weapon Attack: +3 to hit, range 80 ft./320 ft., one target. Hit: 5 (1d8 + 1) piercing damage.</t>
  </si>
  <si>
    <t>Light Crossbow</t>
  </si>
  <si>
    <t>Melee Weapon Attack: +3 to hit, reach 5 ft., one target. Hit: 4 (1d6 + 1) slashing damage.</t>
  </si>
  <si>
    <t>5:23</t>
  </si>
  <si>
    <t>1:19, 2:22, 3:22/23, 7:20</t>
  </si>
  <si>
    <t>1:10, 3:29, 4:21, 9:26</t>
  </si>
  <si>
    <t>https://www.aidedd.org/dnd/monstres.php?vo=Bandit</t>
  </si>
  <si>
    <t>Bandit</t>
  </si>
  <si>
    <t>The demon chooses what to summon and attempts a magical summoning. ¶A balor has a 50 percent chance of summoning 1d8 vrocks, 1d6 hezrous, 1d4 glabrezus, 1d3 nalfeshnees, 1d2 mariliths, or one goristro. ¶A summoned demon appears in an unoccupied space within 60 feet of its summoner, acts as an ally of its summoner, and can't summon other demons. It remains for 1 minute, until it or its summoner dies, or until its summoner dismisses it as an action.</t>
  </si>
  <si>
    <t>The balor magically teleports, along with any equipment it is wearing or carrying, up to 120 feet to an unoccupied space it can see.</t>
  </si>
  <si>
    <t>Whip|14|2d6+8+3d6</t>
  </si>
  <si>
    <t>Melee Weapon Attack: +14 to hit, reach 30 ft., one target. Hit: 15 (2d6 + 8) slashing damage plus 10 (3d6) fire damage, and the target must succeed on a DC 20 Strength saving throw or be pulled up to 25 feet toward the balor.</t>
  </si>
  <si>
    <t>Whip</t>
  </si>
  <si>
    <t>Longsword|14|3d8+8+3d8</t>
  </si>
  <si>
    <t>Melee Weapon Attack: +14 to hit, reach 10 ft., one target. Hit: 21 (3d8 + 8) slashing damage plus 13 (3d8) lightning damage. If the balor scores a critical hit, it rolls damage dice three times, instead of twice.</t>
  </si>
  <si>
    <t>The balor makes two attacks: one with its longsword and one with its whip.</t>
  </si>
  <si>
    <t>The balor's weapon attacks are magical.</t>
  </si>
  <si>
    <t>The balor has advantage on saving throws against spells and other magical effects.</t>
  </si>
  <si>
    <t>Fire Aura||3d6</t>
  </si>
  <si>
    <t>At the start of each of the balor's turns, each creature within 5 feet of it takes 10 (3d6) fire damage, and flammable objects in the aura that aren't being worn or carried ignite. A creature that touches the balor or hits it with a melee attack while within 5 feet of it takes 10 (3d6) fire damage.</t>
  </si>
  <si>
    <t>Fire Aura</t>
  </si>
  <si>
    <t>Death Throes||20d6</t>
  </si>
  <si>
    <t>When the balor dies, it explodes, and each creature within 30 feet of it must make a DC 20 Dexterity saving throw, taking 70 (20d6) fire damage on a failed save, or half as much damage on a successful one. The explosion ignites flammable objects in that area that aren't being worn or carried, and it destroys the balor's weapons.</t>
  </si>
  <si>
    <t>Death Throes</t>
  </si>
  <si>
    <t>+14, 2d6+8</t>
  </si>
  <si>
    <t>+14, 3d8+8</t>
  </si>
  <si>
    <t>https://www.aidedd.org/dnd/monstres.php?vo=Balor</t>
  </si>
  <si>
    <t>Balor</t>
  </si>
  <si>
    <t>Bite|2|1</t>
  </si>
  <si>
    <t>Melee Weapon Attack: +2 to hit, reach 5 ft., one target. Hit: 1 piercing damage.</t>
  </si>
  <si>
    <t>https://www.aidedd.org/dnd/monstres.php?vo=Badger</t>
  </si>
  <si>
    <t>Badger</t>
  </si>
  <si>
    <t>The baboon has advantage on an attack roll against a creature if at least one of the baboon's allies is within 5 ft. of the creature and the ally isn't incapacitated.</t>
  </si>
  <si>
    <t>https://www.aidedd.org/dnd/monstres.php?vo=Baboon</t>
  </si>
  <si>
    <t>Baboon</t>
  </si>
  <si>
    <t>Warhammer|5|1d8+3+1d6</t>
  </si>
  <si>
    <t>Melee Weapon Attack: +5 to hit, reach 5 ft., one target. Hit: 7 (1d8 + 3) bludgeoning damage, or 8 (1d10 + 3) bludgeoning damage if used with two hands to make a melee attack, plus 3 (1d6) fire damage.</t>
  </si>
  <si>
    <t>Warhammer</t>
  </si>
  <si>
    <t>The azer sheds bright light in a 10-foot radius and dim light for an additional 10 ft..</t>
  </si>
  <si>
    <t>When the azer hits with a metal melee weapon, it deals an extra 3 (1d6) fire damage (included in the attack).</t>
  </si>
  <si>
    <t>Heated Body||1d10</t>
  </si>
  <si>
    <t>A creature that touches the azer or hits it with a melee attack while within 5 ft. of it takes 5 (1d10) fire damage.</t>
  </si>
  <si>
    <t>https://www.aidedd.org/dnd/monstres.php?vo=Azer</t>
  </si>
  <si>
    <t>Azer</t>
  </si>
  <si>
    <t>Beak|4|1d8+2</t>
  </si>
  <si>
    <t>Melee Weapon Attack: +4 to hit, reach 5 ft., one target. Hit: 6 (1d8 + 2) slashing damage.</t>
  </si>
  <si>
    <t>6:33</t>
  </si>
  <si>
    <t>https://www.aidedd.org/dnd/monstres.php?vo=Axe-Beak</t>
  </si>
  <si>
    <t>Axe-Beak</t>
  </si>
  <si>
    <t>Axe Beak</t>
  </si>
  <si>
    <t>Slam|6|3d6+4</t>
  </si>
  <si>
    <t>Melee Weapon Attack: +6 to hit, reach 10 ft., one target. Hit: 14 (3d6 + 4) bludgeoning damage.</t>
  </si>
  <si>
    <t>While the tree remains motionless, it is indistinguishable from a normal tree.</t>
  </si>
  <si>
    <t>12:25</t>
  </si>
  <si>
    <t>https://www.aidedd.org/dnd/monstres.php?vo=Awakened-Tree</t>
  </si>
  <si>
    <t>Awakened-Tree</t>
  </si>
  <si>
    <t>Awakened Tree</t>
  </si>
  <si>
    <t>Rake|1|1d4-1</t>
  </si>
  <si>
    <t>Melee Weapon Attack: +1 to hit, reach 5 ft., one target. Hit: 1 (1d4 - 1) slashing damage.</t>
  </si>
  <si>
    <t>Rake</t>
  </si>
  <si>
    <t>While the shrub remains motionless, it is indistinguishable from a normal shrub.</t>
  </si>
  <si>
    <t>https://www.aidedd.org/dnd/monstres.php?vo=Awakened-Shrub</t>
  </si>
  <si>
    <t>Awakened-Shrub</t>
  </si>
  <si>
    <t>Awakened Shrub</t>
  </si>
  <si>
    <t>Light Crossbow|6|1d8+3</t>
  </si>
  <si>
    <t>Ranged Weapon Attack: +6 to hit, range 80/320 ft., one target. Hit: 7 (1d8 + 3) piercing damage, and the target must make a DC 15 Constitution saving throw, taking 24 (7d6) poison damage on a failed save, or half as much damage on a successful one.</t>
  </si>
  <si>
    <t>Shortsword|6|1d6+3</t>
  </si>
  <si>
    <t>Melee Weapon Attack: +6 to hit, reach 5 ft., one target. Hit: 6 (1d6 + 3) piercing damage, and the target must make a DC 15 Constitution saving throw, taking 24 (7d6) poison damage on a failed save, or half as much damage on a successful one.</t>
  </si>
  <si>
    <t>The assassin makes two shortsword attacks.</t>
  </si>
  <si>
    <t>Sneak Attack||4d6</t>
  </si>
  <si>
    <t>The assassin deals an extra 13 (4d6) damage when it hits a target with a weapon attack and has advantage on the attack roll, or when the target is within 5 ft. of an ally of the assassin that isn't incapacitated and the assassin doesn't have disadvantage on the attack roll.</t>
  </si>
  <si>
    <t>Evasion</t>
  </si>
  <si>
    <t>If the assassin is subjected to an effect that allows it to make a Dexterity saving throw to take only half damage, the assassin instead takes no damage if it succeeds on the saving throw, and only half damage if it fails.</t>
  </si>
  <si>
    <t>Assassinate</t>
  </si>
  <si>
    <t>During its first turn, the assassin has advantage on attack rolls against any creature that hasn't taken a turn. Any hit the assassin scores against a surprised creature is a critical hit.</t>
  </si>
  <si>
    <t>https://www.aidedd.org/dnd/monstres.php?vo=Assassin</t>
  </si>
  <si>
    <t>Assassin</t>
  </si>
  <si>
    <t>Dagger|6|1d4+2</t>
  </si>
  <si>
    <t>Melee or Ranged Weapon Attack: +6 to hit, reach 5 ft. or range 20/60 ft., one target. Hit: 4 (1d4 + 2) piercing damage.</t>
  </si>
  <si>
    <t>The archmage is an 18th-level spellcaster. Its spellcasting ability is Intelligence (spell save DC 17, +9 to hit with spell attacks). The archmage can cast disguise self and invisibility at will and has the following wizard spells prepared: ‚Ä¢ Cantrips (at will): fire bolt, light, mage hand, prestidigitation, shocking grasp ¶‚Ä¢ 1st level (4 slots): detect magic, identify, mage armor*, magic missile ¶‚Ä¢ 2nd level (3 slots): detect thoughts, mirror image, misty step ¶‚Ä¢ 3rd level (3 slots): counterspell,fly, lightning bolt ¶‚Ä¢ 4th level (3 slots): banishment, fire shield, stoneskin* ¶‚Ä¢ 5th level (3 slots): cone of cold, scrying, wall of force ¶‚Ä¢ 6th level (1 slot): globe of invulnerability ¶‚Ä¢ 7th level (1 slot): teleport ¶‚Ä¢ 8th level (1 slot): mind blank* ¶‚Ä¢ 9th level (1 slot): time stop ¶* The archmage casts these spells on itself before combat.</t>
  </si>
  <si>
    <t>The archmage has advantage on saving throws against spells and other magical effects.</t>
  </si>
  <si>
    <t>+6, 1d4+2</t>
  </si>
  <si>
    <t>https://www.aidedd.org/dnd/monstres.php?vo=Archmage</t>
  </si>
  <si>
    <t>The apprentices is a 1st-level spellcaster. Its spellcasting ability is Intelligence (spell save DC 12, +4 to hit with spell attacks). Spells on p194</t>
  </si>
  <si>
    <t>Apprentice Wizard</t>
  </si>
  <si>
    <t>Rock|5|1d6+3</t>
  </si>
  <si>
    <t>Ranged Weapon Attack: +5 to hit, range 25/50 ft., one target. Hit: 6 (1d6 + 3) bludgeoning damage.</t>
  </si>
  <si>
    <t>Fist|5|1d6+3</t>
  </si>
  <si>
    <t>https://www.aidedd.org/dnd/monstres.php?vo=Ape</t>
  </si>
  <si>
    <t>Ape</t>
  </si>
  <si>
    <t>Tail|7|4d6+4</t>
  </si>
  <si>
    <t>Melee Weapon Attack: +7 to hit, reach 10 ft., one target. Hit: 18 (4d6 + 4) bludgeoning damage. If the target is a creature, it must succeed on a DC 14 Strength saving throw or be knocked prone.</t>
  </si>
  <si>
    <t>+6, 4d6+4</t>
  </si>
  <si>
    <t>https://www.aidedd.org/dnd/monstres.php?vo=Ankylosaurus</t>
  </si>
  <si>
    <t>Ankylosaurus</t>
  </si>
  <si>
    <t>Acid Spray||3d6</t>
  </si>
  <si>
    <t>The ankheg spits acid in a line that is 30 ft. long and 5 ft. wide, provided that it has no creature grappled. Each creature in that line must make a DC 13 Dexterity saving throw, taking 10 (3d6) acid damage on a failed save, or half as much damage on a successful one.</t>
  </si>
  <si>
    <t>Acid Spray (Recharge 6)</t>
  </si>
  <si>
    <t>Bite|5|2d6+3+1d6</t>
  </si>
  <si>
    <t>Melee Weapon Attack: +5 to hit, reach 5 ft., one target. Hit: 10 (2d6 + 3) slashing damage plus 3 (1d6) acid damage. If the target is a Large or smaller creature, it is grappled (escape DC 13). Until this grapple ends, the ankheg can bite only the grappled creature and has advantage on attack rolls to do so.</t>
  </si>
  <si>
    <t>1:25</t>
  </si>
  <si>
    <t>+5, 3d6</t>
  </si>
  <si>
    <t>+5, 3d6+3</t>
  </si>
  <si>
    <t>https://www.aidedd.org/dnd/monstres.php?vo=Ankheg</t>
  </si>
  <si>
    <t>Ankheg</t>
  </si>
  <si>
    <t>Slam|4|1d6+2</t>
  </si>
  <si>
    <t>The armor makes two melee attacks.</t>
  </si>
  <si>
    <t>While the armor remains motionless, it is indistinguishable from a normal suit of armor.</t>
  </si>
  <si>
    <t>The armor is incapacitated while in the area of an antimagic field. If targeted by dispel magic, the armor must succeed on a Constitution saving throw against the caster's spell save DC or fall unconscious for 1 minute.</t>
  </si>
  <si>
    <t>2:24, 11:33</t>
  </si>
  <si>
    <t>https://www.aidedd.org/dnd/monstres.php?vo=Animated-Armor</t>
  </si>
  <si>
    <t>Animated-Armor</t>
  </si>
  <si>
    <t>Animated Armor</t>
  </si>
  <si>
    <t>Roar (3/Day)</t>
  </si>
  <si>
    <t>The sphinx emits a magical roar. Each time it roars before finishing a long rest, the roar is louder and the effect is different, as detailed below. Each creature within 500 feet of the sphinx and able to hear the roar must make a saving throw. First Roar. Each creature that fails a DC 18 Wisdom saving throw is frightened for 1 minute. A frightened creature can repeat the saving throw at the end of each of its turns, ending the effect on itself on a success. Second Roar. Each creature that fails a DC 18 Wisdom saving throw is deafened and frightened for 1 minute. A frightened creature is paralyzed and can repeat the saving throw at the end of each of its turns, ending the effect on itself on a success. Third Roar. Each creature makes a DC 18 Constitution saving throw. On a failed save, a creature takes 44 (8d10) thunder damage and is knocked prone. On a successful save, the creature takes half as much damage and isn't knocked prone.</t>
  </si>
  <si>
    <t>Claw|12|2d10+6</t>
  </si>
  <si>
    <t>Melee Weapon Attack: +12 to hit, reach 5 ft., one target. Hit: 17 (2d10 + 6) slashing damage.</t>
  </si>
  <si>
    <t>The sphinx is a 12th-level spellcaster. Its spellcasting ability is Wisdom (spell save DC 18, +10 to hit with spell attacks). It requires no material components to cast its spells. The sphinx has the following cleric spells prepared: ‚Ä¢ Cantrips (at will): sacred flame, spare the dying, thaumaturgy ¶‚Ä¢ 1st level (4 slots): command, detect evil and good, detect magic ¶‚Ä¢ 2nd level (3 slots): lesser restoration, zone of truth ¶‚Ä¢ 3rd level (3 slots): dispel magic, tongues ¶‚Ä¢ 4th level (3 slots): banishment, freedom of movement ¶‚Ä¢ 5th level (2 slots): flame strike, greater restoration ¶‚Ä¢ 6th level (1 slot): heroes' feast</t>
  </si>
  <si>
    <t>+12, 2d10+6</t>
  </si>
  <si>
    <t>https://www.aidedd.org/dnd/monstres.php?vo=Androsphinx</t>
  </si>
  <si>
    <t>Androsphinx</t>
  </si>
  <si>
    <t>Cold Breath||16d8</t>
  </si>
  <si>
    <t>The dragon exhales an icy blast in a 90-foot cone. Each creature in that area must make a DC 22 Constitution saving throw, taking 72 (l6d8) cold damage on a failed save, or half as much damage on a successful one.</t>
  </si>
  <si>
    <t>Each creature of the dragon's choice that is within 120 feet of the dragon and aware of it must succeed on a DC 16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 .</t>
  </si>
  <si>
    <t>Tail|14|2d8+8</t>
  </si>
  <si>
    <t>Melee Weapon Attack: +14 to hit, reach 20 ft., one target. Hit: 17 (2d8 + 8) bludgeoning damage.</t>
  </si>
  <si>
    <t>Claw|14|2d6+8</t>
  </si>
  <si>
    <t>Melee Weapon Attack: +14 to hit, reach 10 ft., one target. Hit: 15 (2d6 + 8) slashing damage.</t>
  </si>
  <si>
    <t>Bite|14|2d10+8+2d8</t>
  </si>
  <si>
    <t>Melee Weapon Attack: +14 to hit, reach 15 ft., one target. Hit: 19 (2d10 + 8) piercing damage plus 9 (2d8) cold damage.</t>
  </si>
  <si>
    <t>The dragon can use its Frightful Presence. It then makes three attacks: one with its bite and two with its claws.</t>
  </si>
  <si>
    <t>If the dragon fails a saving throw, it can choose to succeed instead.</t>
  </si>
  <si>
    <t>+14, 2d10+8</t>
  </si>
  <si>
    <t>https://www.aidedd.org/dnd/monstres.php?vo=Ancient-White-Dragon</t>
  </si>
  <si>
    <t>Ancient-White-Dragon</t>
  </si>
  <si>
    <t>Ancient White Dragon</t>
  </si>
  <si>
    <t>The dragon beats its wings. Each creature within 15 ft. of the dragon must succeed on a DC 25 Dexterity saving throw or take 17 (2d6 + 10) bludgeoning damage and be knocked prone. The dragon can then fly up to half its flying speed.</t>
  </si>
  <si>
    <t>Wing Attack (Costs 2 Actions)</t>
  </si>
  <si>
    <t>The dragon makes a tail attack.</t>
  </si>
  <si>
    <t>Tail Attack</t>
  </si>
  <si>
    <t>The dragon makes a Wisdom (Perception) check.</t>
  </si>
  <si>
    <t>Detect</t>
  </si>
  <si>
    <t>The dragon magically polymorphs into a humanoid or beast that has a challenge rating no higher than its own, or back into its true form. It reverts to its true form if it dies. Any equipment it is wearing or carrying is absorbed or borne by the new form (the dragon's choice). ¶In a new form, the dragon retains its alignment, hit points, Hit Dice, ability to speak, proficiencies, Legendary Resistance, lair actions, and Intelligence, Wisdom, and Charisma scores, as well as this action. Its statistics and capabilities are otherwise replaced by those of the new form, except any class features or legendary actions of that form.</t>
  </si>
  <si>
    <t>Cold Breath||15d8</t>
  </si>
  <si>
    <t>The dragon uses one of the following breath weapons. ¶Cold Breath. The dragon exhales an icy blast in a 90-foot cone. Each creature in that area must make a DC 24 Constitution saving throw, taking 67 (15d8) cold damage on a failed save, or half as much damage on a successful one. ¶Paralyzing Breath. The dragon exhales paralyzing gas in a 90- foot cone. Each creature in that area must succeed on a DC 24 Constitution saving throw or be paralyzed for 1 minute. A creature can repeat the saving throw at the end of each of its turns, ending the effect on itself on a success.</t>
  </si>
  <si>
    <t>Each creature of the dragon's choice that is within 120 feet of the dragon and aware of it must succeed on a DC 21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</si>
  <si>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Tail|17|2d8+10</t>
  </si>
  <si>
    <t>Melee Weapon Attack: +17 to hit, reach 20 ft., one target. Hit: 19 (2d8 + 10) bludgeoning damage.</t>
  </si>
  <si>
    <t>Claw|17|2d6+10</t>
  </si>
  <si>
    <t>Melee Weapon Attack: +17 to hit, reach 10 ft., one target. Hit: 17 (2d6 + 10) slashing damage.</t>
  </si>
  <si>
    <t>Bite|17|2d10+10</t>
  </si>
  <si>
    <t>Melee Weapon Attack: +17 to hit, reach 15 ft., one target. Hit: 21 (2d10 + 10) piercing damage.</t>
  </si>
  <si>
    <t>+17, 2d6+10</t>
  </si>
  <si>
    <t>+17, 2d10+10</t>
  </si>
  <si>
    <t>https://www.aidedd.org/dnd/monstres.php?vo=Ancient-Silver-Dragon</t>
  </si>
  <si>
    <t>Ancient-Silver-Dragon</t>
  </si>
  <si>
    <t>Ancient Silver Dragon</t>
  </si>
  <si>
    <t>Fire Breath||26d6</t>
  </si>
  <si>
    <t>The dragon exhales fire in a 90-foot cone. Each creature in that area must make a DC 24 Dexterity saving throw, taking 91 (26d6) fire damage on a failed save, or half as much damage on a successful one.</t>
  </si>
  <si>
    <t>Bite|17|2d10+10+4d6</t>
  </si>
  <si>
    <t>Melee Weapon Attack: +17 to hit, reach 15 ft., one target. Hit: 21 (2d10 + 10) piercing damage plus 14 (4d6) fire damage.</t>
  </si>
  <si>
    <t>+17, 4d6+10</t>
  </si>
  <si>
    <t>https://www.aidedd.org/dnd/monstres.php?vo=Ancient-Red-Dragon</t>
  </si>
  <si>
    <t>Ancient-Red-Dragon</t>
  </si>
  <si>
    <t>Ancient Red Dragon</t>
  </si>
  <si>
    <t>The dragon beats its wings. Each creature within 15 ft. of the dragon must succeed on a DC 23 Dexterity saving throw or take 15 (2d6 + 8) bludgeoning damage and be knocked prone. The dragon can then fly up to half its flying speed.</t>
  </si>
  <si>
    <t>Poison Breath||22d6</t>
  </si>
  <si>
    <t>The dragon exhales poisonous gas in a 90-foot cone. Each creature in that area must make a DC 22 Constitution saving throw, taking 77 (22d6) poison damage on a failed save, or half as much damage on a successful one.</t>
  </si>
  <si>
    <t>Each creature of the dragon's choice that is within 120 feet of the dragon and aware of it must succeed on a DC 19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</si>
  <si>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Tail|15|2d8+8</t>
  </si>
  <si>
    <t>Melee Weapon Attack: +15 to hit, reach 20 ft., one target. Hit: 17 (2d8 + 8) bludgeoning damage.</t>
  </si>
  <si>
    <t>Claw|15|4d6+8</t>
  </si>
  <si>
    <t>Melee Weapon Attack: +15 to hit, reach 10 ft., one target. Hit: 22 (4d6 + 8) slashing damage.</t>
  </si>
  <si>
    <t>Bite|15|2d10+8+3d6</t>
  </si>
  <si>
    <t>Melee Weapon Attack: +15 to hit, reach 15 ft., one target. Hit: 19 (2d10 + 8) piercing damage plus 10 (3d6) poison damage.</t>
  </si>
  <si>
    <t>+15, 3d6+8</t>
  </si>
  <si>
    <t>+15, 2d10+8</t>
  </si>
  <si>
    <t>https://www.aidedd.org/dnd/monstres.php?vo=Ancient-Green-Dragon</t>
  </si>
  <si>
    <t>Ancient-Green-Dragon</t>
  </si>
  <si>
    <t>Ancient Green Dragon</t>
  </si>
  <si>
    <t>Fire Breath||13d10</t>
  </si>
  <si>
    <t>The dragon uses one of the following breath weapons. ¶Fire Breath. The dragon exhales fire in a 90-foot cone. Each creature in that area must make a DC 24 Dexterity saving throw, taking 71 (13d10) fire damage on a failed save, or half as much damage on a successful one. ¶Weakening Breath. The dragon exhales gas in a 90-foot cone. Each creature in that area must succeed on a DC 24 Strength saving throw or have disadvantage on Strength-based attack rolls, Strength checks, and Strength saving throws for 1 minute. A creature can repeat the saving throw at the end of each of its turns, ending the effect on itself on a success.</t>
  </si>
  <si>
    <t>Each creature of the dragon's choice that is within 120 feet of the dragon and aware of it must succeed on a DC 24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</si>
  <si>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https://www.aidedd.org/dnd/monstres.php?vo=Ancient-Gold-Dragon</t>
  </si>
  <si>
    <t>Ancient-Gold-Dragon</t>
  </si>
  <si>
    <t>Ancient Gold Dragon</t>
  </si>
  <si>
    <t>Acid Breath||14d8</t>
  </si>
  <si>
    <t>The dragon uses one of the following breath weapons. ¶Acid Breath. The dragon exhales acid in an 90-foot line that is 10 feet wide. Each creature in that line must make a DC 22 Dexterity saving throw, taking 63 (14d8) acid damage on a failed save, or half as much damage on a successful one. ¶Slowing Breath. The dragon exhales gas in a 90-foot cone. Each creature in that area must succeed on a DC 22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t>
  </si>
  <si>
    <t>Claw|15|2d6+8</t>
  </si>
  <si>
    <t>Melee Weapon Attack: +15 to hit, reach 10 ft., one target. Hit: 15 (2d6 + 8) slashing damage.</t>
  </si>
  <si>
    <t>Bite|15|2d10+8</t>
  </si>
  <si>
    <t>Melee Weapon Attack: +15 to hit, reach 15 ft., one target. Hit: 19 (2d10 + 8) piercing damage.</t>
  </si>
  <si>
    <t>+15, 2d6+8</t>
  </si>
  <si>
    <t>https://www.aidedd.org/dnd/monstres.php?vo=Ancient-Copper-Dragon</t>
  </si>
  <si>
    <t>Ancient-Copper-Dragon</t>
  </si>
  <si>
    <t>Ancient Copper Dragon</t>
  </si>
  <si>
    <t>The dragon beats its wings. Each creature within 15 ft. of the dragon must succeed on a DC 24 Dexterity saving throw or take 16 (2d6 + 9) bludgeoning damage and be knocked prone. The dragon can then fly up to half its flying speed.</t>
  </si>
  <si>
    <t>Lightning Breath||16d10</t>
  </si>
  <si>
    <t>The dragon uses one of the following breath weapons. ¶Lightning Breath. The dragon exhales lightning in a 120-foot line that is 10 feet wide. Each creature in that line must make a DC 23 Dexterity saving throw, taking 88 (16d10) lightning damage on a failed save, or half as much damage on a successful one. ¶Repulsion Breath. The dragon exhales repulsion energy in a 30-foot cone. Each creature in that area must succeed on a DC 23 Strength saving throw. On a failed save, the creature is pushed 60 feet away from the dragon.</t>
  </si>
  <si>
    <t>Each creature of the dragon's choice that is within 120 feet of the dragon and aware of it must succeed on a DC 20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</si>
  <si>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Tail|16|2d8+9</t>
  </si>
  <si>
    <t>Melee Weapon Attack: +16 to hit, reach 20 ft., one target. Hit: 18 (2d8 + 9) bludgeoning damage.</t>
  </si>
  <si>
    <t>Claw|16|2d6+9</t>
  </si>
  <si>
    <t>Melee Weapon Attack: +16 to hit, reach 10 ft., one target. Hit: 16 (2d6 + 9) slashing damage.</t>
  </si>
  <si>
    <t>Bite|16|2d10+9</t>
  </si>
  <si>
    <t>Melee Weapon Attack: +16 to hit, reach 15 ft., one target. Hit: 20 (2d10 + 9) piercing damage.</t>
  </si>
  <si>
    <t>+16, 2d6+9</t>
  </si>
  <si>
    <t>+16, 2d10+9</t>
  </si>
  <si>
    <t>https://www.aidedd.org/dnd/monstres.php?vo=Ancient-Bronze-Dragon</t>
  </si>
  <si>
    <t>Ancient-Bronze-Dragon</t>
  </si>
  <si>
    <t>Ancient Bronze Dragon</t>
  </si>
  <si>
    <t>The dragon beats its wings. Each creature within 15 ft. of the dragon must succeed on a DC 22 Dexterity saving throw or take 15 (2d6 + 8) bludgeoning damage and be knocked prone. The dragon can then fly up to half its flying speed.</t>
  </si>
  <si>
    <t>The dragon uses one of the following breath weapons: ¶Fire Breath. The dragon exhales fire in an 90-foot line that is 10 feet wide. Each creature in that line must make a DC 21 Dexterity saving throw, taking 56 (16d6) fire damage on a failed save, or half as much damage on a successful one. ¶Sleep Breath. The dragon exhales sleep gas in a 90-foot cone. Each creature in that area must succeed on a DC 21 Constitution saving throw or fall unconscious for 10 minutes. This effect ends for a creature if the creature takes damage or someone uses an action to wake it.</t>
  </si>
  <si>
    <t>Each creature of the dragon's choice that is within 120 feet of the dragon and aware of it must succeed on a DC 18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</si>
  <si>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Bite|14|2d10+8</t>
  </si>
  <si>
    <t>Melee Weapon Attack: +14 to hit, reach 15 ft., one target. Hit: 19 (2d10 + 8) piercing damage.</t>
  </si>
  <si>
    <t>https://www.aidedd.org/dnd/monstres.php?vo=Ancient-Brass-Dragon</t>
  </si>
  <si>
    <t>Ancient-Brass-Dragon</t>
  </si>
  <si>
    <t>Ancient Brass Dragon</t>
  </si>
  <si>
    <t>The dragon exhales lightning in a 120-foot line that is 10 feet wide. Each creature in that line must make a DC 23 Dexterity saving throw, taking 88 (16d10) lightning damage on a failed save, or half as much damage on a successful one.</t>
  </si>
  <si>
    <t>Bite|16|2d10+9+2d10</t>
  </si>
  <si>
    <t>Melee Weapon Attack: +16 to hit, reach 15 ft., one target. Hit: 20 (2d10 + 9) piercing damage plus 11 (2d10) lightning damage.</t>
  </si>
  <si>
    <t>+16, 4d10+9</t>
  </si>
  <si>
    <t>https://www.aidedd.org/dnd/monstres.php?vo=Ancient-Blue-Dragon</t>
  </si>
  <si>
    <t>Ancient-Blue-Dragon</t>
  </si>
  <si>
    <t>Ancient Blue Dragon</t>
  </si>
  <si>
    <t>The dragon exhales acid in a 90-foot line that is 10 feet wide. Each creature in that line must make a DC 22 Dexterity saving throw, taking 67 (15d8) acid damage on a failed save, or half as much damage on a successful one.</t>
  </si>
  <si>
    <t>Melee Weapon Attack: +15 to hit, reach 20 ft ., one target. Hit: 17 (2d8 + 8) bludgeoning damage.</t>
  </si>
  <si>
    <t>Bite|15|2d10+8+2d8</t>
  </si>
  <si>
    <t>Melee Weapon Attack: +15 to hit, reach 15 ft., one target. Hit: 19 (2d10 + 8) piercing damage plus 9 (2d8) acid damage.</t>
  </si>
  <si>
    <t>+15, 2d8+8</t>
  </si>
  <si>
    <t>https://www.aidedd.org/dnd/monstres.php?vo=Ancient-Black-Dragon</t>
  </si>
  <si>
    <t>Ancient-Black-Dragon</t>
  </si>
  <si>
    <t>Ancient Black Dragon</t>
  </si>
  <si>
    <t>Claw|6|1d8+4</t>
  </si>
  <si>
    <t>Melee Weapon Attack: +6 to hit, reach 5 ft., one target. Hit: 8 (1d8 + 4) slashing damage.</t>
  </si>
  <si>
    <t>Bite|6|2d10+4</t>
  </si>
  <si>
    <t>Melee Weapon Attack: +6 to hit, reach 5 ft., one target. Hit: 15 (2d10 + 4) piercing damage.</t>
  </si>
  <si>
    <t>If the allosaurus moves at least 30 ft. straight toward a creature and then hits it with a claw attack on the same turn, that target must succeed on a DC 13 Strength saving throw or be knocked prone. If the target is prone, the allosaurus can make one bite attack against it as a bonus action.</t>
  </si>
  <si>
    <t>+6, 2d10+4</t>
  </si>
  <si>
    <t>https://www.aidedd.org/dnd/monstres.php?vo=Allosaurus</t>
  </si>
  <si>
    <t>Allosaurus</t>
  </si>
  <si>
    <t>Whirlwind (Recharge 4-6)</t>
  </si>
  <si>
    <t>Each creature in the elemental's space must make a DC 13 Strength saving throw. On a failure, a target takes 15 (3d8 + 2) bludgeoning damage and is flung up 20 feet away from the elemental in a random direction and knocked prone. If a thrown target strikes an object, such as a wall or floor, the target takes 3 (1d6) bludgeoning damage for every 10 feet it was thrown. If the target is thrown at another creature, that creature must succeed on a DC 13 Dexterity saving throw or take the same damage and be knocked prone. ¶If the saving throw is successful, the target takes half the bludgeoning damage and isn't flung away or knocked prone.</t>
  </si>
  <si>
    <t>Melee Weapon Attack: +8 to hit, reach 5 ft., one target. Hit: 14 (2d8 + 5) bludgeoning damage.</t>
  </si>
  <si>
    <t>Air Form</t>
  </si>
  <si>
    <t>6:33, 9:55, 13:31</t>
  </si>
  <si>
    <t>+8, 3d8+2</t>
  </si>
  <si>
    <t>https://www.aidedd.org/dnd/monstres.php?vo=Air-Elemental</t>
  </si>
  <si>
    <t>Air-Elemental</t>
  </si>
  <si>
    <t>Air Elemental</t>
  </si>
  <si>
    <t>The dragon beats its wings. Each creature within 10 ft. of the dragon must succeed on a DC 19 Dexterity saving throw or take 13 (2d6 + 6) bludgeoning damage and be knocked prone. The dragon can then fly up to half its flying speed.</t>
  </si>
  <si>
    <t>The dragon exhales an icy blast in a 60-foot cone. Each creature in that area must make a DC 19 Constitution saving throw, taking 54 (12d8) cold damage on a failed save, or half as much damage on a successful one.</t>
  </si>
  <si>
    <t>Each creature of the dragon's choice that is within 120 ft. of the dragon and aware of it must succeed on a DC 14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</si>
  <si>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Tail|11|2d8+6</t>
  </si>
  <si>
    <t>Melee Weapon Attack: +11 to hit, reach 15 ft., one target. Hit: 15 (2d8 + 6) bludgeoning damage.</t>
  </si>
  <si>
    <t>Claw|11|2d6+6</t>
  </si>
  <si>
    <t>Melee Weapon Attack: +11 to hit, reach 5 ft., one target. Hit: 13 (2d6 + 6) slashing damage.</t>
  </si>
  <si>
    <t>Bite|11|2d10+6+1d8</t>
  </si>
  <si>
    <t>Melee Weapon Attack: +11 to hit, reach 10 ft., one target. Hit: 17 (2d10 + 6) piercing damage plus 4 (1d8) cold damage.</t>
  </si>
  <si>
    <t>+11, 1d8+6</t>
  </si>
  <si>
    <t>+11, 2d6+6</t>
  </si>
  <si>
    <t>+11, 2d10+6</t>
  </si>
  <si>
    <t>https://www.aidedd.org/dnd/monstres.php?vo=Adult-White-Dragon</t>
  </si>
  <si>
    <t>Adult-White-Dragon</t>
  </si>
  <si>
    <t>Adult White Dragon</t>
  </si>
  <si>
    <t>The dragon beats its wings. Each creature within 10 ft. of the dragon must succeed on a DC 22 Dexterity saving throw or take 15 (2d6 + 8) bludgeoning damage and be knocked prone. The dragon can then fly up to half its flying speed.</t>
  </si>
  <si>
    <t>Cold Breath||13d8</t>
  </si>
  <si>
    <t>The dragon uses one of the following breath weapons. ¶Cold Breath. The dragon exhales an icy blast in a 60-foot cone. Each creature in that area must make a DC 20 Constitution saving throw, taking 58 (13d8) cold damage on a failed save, or half as much damage on a successful one. ¶Paralyzing Breath. The dragon exhales paralyzing gas in a 60-foot cone. Each creature in that area must succeed on a DC 20 Constitution saving throw or be paralyzed for 1 minute. A creature can repeat the saving throw at the end of each of its turns, ending the effect on itself on a success.</t>
  </si>
  <si>
    <t>Tail|13|2d8+8</t>
  </si>
  <si>
    <t>Melee Weapon Attack: +13 to hit, reach 15 ft., one target. Hit: 17 (2d8 + 8) bludgeoning damage.</t>
  </si>
  <si>
    <t>Claw|13|2d6+8</t>
  </si>
  <si>
    <t>Melee Weapon Attack: +13 to hit, reach 5 ft., one target. Hit: 15 (2d6 + 8) slashing damage.</t>
  </si>
  <si>
    <t>Bite|13|2d10+8</t>
  </si>
  <si>
    <t>Melee Weapon Attack: +13 to hit, reach 10 ft., one target. Hit: 19 (2d10 + 8) piercing damage.</t>
  </si>
  <si>
    <t>+13, 2d6+8</t>
  </si>
  <si>
    <t>+13, 2d10+8</t>
  </si>
  <si>
    <t>https://www.aidedd.org/dnd/monstres.php?vo=Adult-Silver-Dragon</t>
  </si>
  <si>
    <t>Adult-Silver-Dragon</t>
  </si>
  <si>
    <t>Adult Silver Dragon</t>
  </si>
  <si>
    <t>Magma Eruption||6d6</t>
  </si>
  <si>
    <t>On initiative count 20 (losing initiative ties), the dragon takes a lair action to cause one of the following effects: the dragon can't use the same effect two rounds in a row: ¶‚Ä¢ Magma erupts from a point on the ground the dragon can see within 120 feet of it, creating a 20-foot-high, 5-foot-radius geyser. Each creature in the geyser's area must make a DC 15 Dexterity saving throw, taking 21 (6d6) fire damage on a failed save, or half as much damage on a successful one. ¶‚Ä¢ A tremor shakes the lair in a 60-foot-radius around the dragon. Each creature other than the dragon on the ground in that area must succeed on a DC 15 Dexterity saving throw or be knocked prone. ¶‚Ä¢ Volcanic gases form a cloud in a 20-foot-radius sphere centered on a point the dragon can see within 120 feet of it. The sphere spreads around corners, and its area is lightly obscured. It lasts until initiative count 20 on the next round. Each creature that starts its turn in the cloud must succeed on a DC 13 Constitution saving throw or be poisoned until the end of its turn. While poisoned in this way, a creature is incapacitated.</t>
  </si>
  <si>
    <t>Lair Actions</t>
  </si>
  <si>
    <t>Fire Breath||18d6</t>
  </si>
  <si>
    <t>The dragon exhales fire in a 60-foot cone. Each creature in that area must make a DC 21 Dexterity saving throw, taking 63 (18d6) fire damage on a failed save, or half as much damage on a successful one.</t>
  </si>
  <si>
    <t>Each creature of the dragon's choice that is within 120 ft. of the dragon and aware of it must succeed on a DC 19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</si>
  <si>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Melee Weapon Attack: +14 to hit, reach 15 ft., one target. Hit: 17 (2d8 + 8) bludgeoning damage.</t>
  </si>
  <si>
    <t>Melee Weapon Attack: +14 to hit, reach 5 ft., one target. Hit: 15 (2d6 + 8) slashing damage.</t>
  </si>
  <si>
    <t>Bite|14|2d10+8+2d6</t>
  </si>
  <si>
    <t>Melee Weapon Attack: +14 to hit, reach 10 ft., one target. Hit: 19 (2d10 + 8) piercing damage plus 7 (2d6) fire damage.</t>
  </si>
  <si>
    <t>https://www.aidedd.org/dnd/monstres.php?vo=Adult-Red-Dragon</t>
  </si>
  <si>
    <t>Adult-Red-Dragon</t>
  </si>
  <si>
    <t>Adult Red Dragon</t>
  </si>
  <si>
    <t>Poison Breath||16d6</t>
  </si>
  <si>
    <t>The dragon exhales poisonous gas in a 60-foot cone. Each creature in that area must make a DC 18 Constitution saving throw, taking 56 (16d6) poison damage on a failed save, or half as much damage on a successful one.</t>
  </si>
  <si>
    <t>Bite|11|2d10+6+2d6</t>
  </si>
  <si>
    <t>Melee Weapon Attack: +11 to hit, reach 10 ft., one target. Hit: 17 (2d10 + 6) piercing damage plus 7 (2d6) poison damage.</t>
  </si>
  <si>
    <t>14:23</t>
  </si>
  <si>
    <t>https://www.aidedd.org/dnd/monstres.php?vo=Adult-Green-Dragon</t>
  </si>
  <si>
    <t>Adult-Green-Dragon</t>
  </si>
  <si>
    <t>Adult Green Dragon</t>
  </si>
  <si>
    <t>Fire Breath||12d10</t>
  </si>
  <si>
    <t>The dragon uses one of the following breath weapons. ¶Fire Breath. The dragon exhales fire in a 60-foot cone. Each creature in that area must make a DC 21 Dexterity saving throw, taking 66 (12d10) fire damage on a failed save, or half as much damage on a successful one. ¶Weakening Breath. The dragon exhales gas in a 60-foot cone. Each creature in that area must succeed on a DC 21 Strength saving throw or have disadvantage on Strength-based attack rolls, Strength checks, and Strength saving throws for 1 minute. A creature can repeat the saving throw at the end of each of its turns, ending the effect on itself on a success.</t>
  </si>
  <si>
    <t>Melee Weapon Attack: +14 to hit, reach 10 ft., one target. Hit: 19 (2d10 + 8) piercing damage.</t>
  </si>
  <si>
    <t>https://www.aidedd.org/dnd/monstres.php?vo=Adult-Gold-Dragon</t>
  </si>
  <si>
    <t>Adult-Gold-Dragon</t>
  </si>
  <si>
    <t>Adult Gold Dragon</t>
  </si>
  <si>
    <t>Acid Breath||12d8</t>
  </si>
  <si>
    <t>The dragon uses one of the following breath weapons. ¶Acid Breath. The dragon exhales acid in an 60-foot line that is 5 feet wide. Each creature in that line must make a DC 18 Dexterity saving throw, taking 54 (12d8) acid damage on a failed save, or half as much damage on a successful one. ¶Slowing Breath. The dragon exhales gas in a 60-foot cone. Each creature in that area must succeed on a DC 18 Constitution saving throw. On a failed save, the creature can't use reactions, its speed is halved, and it can't make more than one attack on its turn. In addition, the creature can use either an action or a bonus action on its turn, but not both. These effects last for 1 minute. The creature can repeat the saving throw at the end of each of its turns, ending the effect on itself with a successful save.</t>
  </si>
  <si>
    <t>Each creature of the dragon's choice that is within 120 feet of the dragon and aware of it must succeed on a DC 16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</si>
  <si>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Bite|11|2d10+6</t>
  </si>
  <si>
    <t>Melee Weapon Attack: +11 to hit, reach 10 ft., one target. Hit: 17 (2d10 + 6) piercing damage.</t>
  </si>
  <si>
    <t>https://www.aidedd.org/dnd/monstres.php?vo=Adult-Copper-Dragon</t>
  </si>
  <si>
    <t>Adult-Copper-Dragon</t>
  </si>
  <si>
    <t>Adult Copper Dragon</t>
  </si>
  <si>
    <t>The dragon beats its wings. Each creature within 10 ft. of the dragon must succeed on a DC 20 Dexterity saving throw or take 14 (2d6 + 7) bludgeoning damage and be knocked prone. The dragon can then fly up to half its flying speed.</t>
  </si>
  <si>
    <t>The dragon uses one of the following breath weapons. ¶Lightning Breath. The dragon exhales lightning in a 90-foot line that is 5 feet wide. Each creature in that line must make a DC 19 Dexterity saving throw, taking 66 (12d10) lightning damage on a failed save, or half as much damage on a successful one. ¶Repulsion Breath. The dragon exhales repulsion energy in a 30-foot cone. Each creature in that area must succeed on a DC 19 Strength saving throw. On a failed save, the creature is pushed 60 feet away from the dragon.</t>
  </si>
  <si>
    <t>Each creature of the dragon's choice that is within 120 feet of the dragon and aware of it must succeed on a DC 17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</si>
  <si>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Tail|12|2d8+7</t>
  </si>
  <si>
    <t>Melee Weapon Attack: +12 to hit, reach 15 ft., one target. Hit: 16 (2d8 + 7) bludgeoning damage.</t>
  </si>
  <si>
    <t>Claw|12|2d6+7</t>
  </si>
  <si>
    <t>Melee Weapon Attack: +12 to hit, reach 5 ft., one target. Hit: 14 (2d6 + 7) slashing damage.</t>
  </si>
  <si>
    <t>Bite|12|2d10+7</t>
  </si>
  <si>
    <t>Melee Weapon Attack: +12 to hit, reach 10 ft., one target. Hit: 18 (2d10 + 7) piercing damage.</t>
  </si>
  <si>
    <t>+12, 2d6+7</t>
  </si>
  <si>
    <t>+12, 2d10+7</t>
  </si>
  <si>
    <t>https://www.aidedd.org/dnd/monstres.php?vo=Adult-Bronze-Dragon</t>
  </si>
  <si>
    <t>Adult-Bronze-Dragon</t>
  </si>
  <si>
    <t>Adult Bronze Dragon</t>
  </si>
  <si>
    <t>Fire Breath||13d6</t>
  </si>
  <si>
    <t>The dragon uses one of the following breath weapons. ¶Fire Breath. The dragon exhales fire in an 60-foot line that is 5 feet wide. Each creature in that line must make a DC 18 Dexterity saving throw, taking 45 (13d6) fire damage on a failed save, or half as much damage on a successful one. ¶Sleep Breath. The dragon exhales sleep gas in a 60-foot cone. Each creature in that area must succeed on a DC 18 Constitution saving throw or fall unconscious for 10 minutes. This effect ends for a creature if the creature takes damage or someone uses an action to wake it.</t>
  </si>
  <si>
    <t>Melee Weapon Attack: +11 to hit, reach,.0 ft., one target. Hit: 17 (2d10 + 6) piercing damage.</t>
  </si>
  <si>
    <t>https://www.aidedd.org/dnd/monstres.php?vo=Adult-Brass-Dragon</t>
  </si>
  <si>
    <t>Adult-Brass-Dragon</t>
  </si>
  <si>
    <t>Adult Brass Dragon</t>
  </si>
  <si>
    <t>The dragon exhales lightning in a 90-foot line that is 5 ft. wide. Each creature in that line must make a DC 19 Dexterity saving throw, taking 66 (12d10) lightning damage on a failed save, or half as much damage on a successful one.</t>
  </si>
  <si>
    <t>Each creature of the dragon's choice that is within 120 ft. of the dragon and aware of it must succeed on a DC 17 Wisdom saving throw or become frightened for 1 minute. A creature can repeat the saving throw at the end of each of its turns, ending the effect on itself on a success. If a creature's saving throw is successful or the effect ends for it, the creature is immune to the dragon's Frightful Presence for the next 24 hours.</t>
  </si>
  <si>
    <t>Bite|12|2d10+7+1d10</t>
  </si>
  <si>
    <t>Melee Weapon Attack: +12 to hit, reach 10 ft., one target. Hit: 18 (2d10 + 7) piercing damage plus 5 (1d10) lightning damage.</t>
  </si>
  <si>
    <t>https://www.aidedd.org/dnd/monstres.php?vo=Adult-Blue-Dragon</t>
  </si>
  <si>
    <t>Adult-Blue-Dragon</t>
  </si>
  <si>
    <t>Adult Blue Dragon</t>
  </si>
  <si>
    <t>The dragon exhales acid in a 60-foot line that is 5 feet wide. Each creature in that line must make a DC 18 Dexterity saving throw, taking 54 (12d8) acid damage on a failed save, or half as much damage on a successful one.</t>
  </si>
  <si>
    <t>Melee Weapon Attack: +11 to hit, reach 10 ft., one target. Hit: 17 (2d10 + 6) piercing damage plus 4 (1d8) acid damage.</t>
  </si>
  <si>
    <t>https://www.aidedd.org/dnd/monstres.php?vo=Adult-Black-Dragon</t>
  </si>
  <si>
    <t>Adult-Black-Dragon</t>
  </si>
  <si>
    <t>Adult Black Dragon</t>
  </si>
  <si>
    <t>The acolyte is a 1st-level spellcaster. Its spellcasting ability is Wisdom (spell save DC 12, +4 to hit with spell attacks). The acolyte has following cleric spells prepared: ‚Ä¢ Cantrips (at will): light, sacred flame, thaumaturgy ¶‚Ä¢ 1st level (3 slots): bless, cure wounds, sanctuary</t>
  </si>
  <si>
    <t>https://www.aidedd.org/dnd/monstres.php?vo=Acolyte</t>
  </si>
  <si>
    <t>Acolyte</t>
  </si>
  <si>
    <t>One creature charmed by the aboleth takes 10 (3d6) psychic damage, and the aboleth regains hit points equal to the damage the creature takes.</t>
  </si>
  <si>
    <t>Psychic Drain (Costs 2 Actions)</t>
  </si>
  <si>
    <t>The aboleth makes one tail attack.</t>
  </si>
  <si>
    <t>Tail Swipe</t>
  </si>
  <si>
    <t>The aboleth makes a Wisdom (Perception) check.</t>
  </si>
  <si>
    <t>Enslave (3/day)</t>
  </si>
  <si>
    <t>The aboleth targets one creature it can see within 30 ft. of it. The target must succeed on a DC 14 Wisdom saving throw or be magically charmed by the aboleth until the aboleth dies or until it is on a different plane of existence from the target. The charmed target is under the aboleth's control and can't take reactions, and the aboleth and the target can communicate telepathically with each other over any distance. ¶Whenever the charmed target takes damage, the target can repeat the saving throw. On a success, the effect ends. No more than once every 24 hours, the target can also repeat the saving throw when it is at least 1 mile away from the aboleth</t>
  </si>
  <si>
    <t>Tail|9|3d6+5</t>
  </si>
  <si>
    <t>Melee Weapon Attack: +9 to hit, reach 10 ft. one target. Hit: 15 (3d6 + 5) bludgeoning damage.</t>
  </si>
  <si>
    <t>Tentacle|9|2d6+5</t>
  </si>
  <si>
    <t>Melee Weapon Attack: +9 to hit, reach 10 ft., one target. Hit: 12 (2d6 + 5) bludgeoning damage. If the target is a creature, it must succeed on a DC 14 Constitution saving throw or become diseased. The disease has no effect for 1 minute and can be removed by any magic that cures disease. After 1 minute, the diseased creature's skin becomes translucent and slimy, the creature can't regain hit points unless it is underwater, and the disease can be removed only by heal or another disease-curing spell of 6th level or higher. When the creature is outside a body of water, it takes 6 (1d12) acid damage every 10 minutes unless moisture is applied to the skin before 10 minutes have passed.</t>
  </si>
  <si>
    <t>The aboleth makes three tentacle attacks.</t>
  </si>
  <si>
    <t>Probing Telepathy</t>
  </si>
  <si>
    <t>If a creature communicates telepathically with the aboleth, the aboleth learns the creature's greatest desires if the aboleth can see the creature.</t>
  </si>
  <si>
    <t>Mucous Cloud</t>
  </si>
  <si>
    <t>While underwater, the aboleth is surrounded by transformative mucus. A creature that touches the aboleth or that hits it with a melee attack while within 5 ft. of it must make a DC 14 Constitution saving throw. On a failure, the creature is diseased for 1d4 hours. The diseased creature can breathe only underwater.</t>
  </si>
  <si>
    <t>The aboleth can breathe air and water.</t>
  </si>
  <si>
    <t>+9, 3d6+5</t>
  </si>
  <si>
    <t>https://www.aidedd.org/dnd/monstres.php?vo=Aboleth</t>
  </si>
  <si>
    <t>Aboleth</t>
  </si>
  <si>
    <t>License</t>
  </si>
  <si>
    <t>Page</t>
  </si>
  <si>
    <t>Source</t>
  </si>
  <si>
    <t>Text</t>
  </si>
  <si>
    <t>DDEX3</t>
  </si>
  <si>
    <t>DDEN3</t>
  </si>
  <si>
    <t>DDEX2</t>
  </si>
  <si>
    <t>DDEN2</t>
  </si>
  <si>
    <t>POA</t>
  </si>
  <si>
    <t>DDEX1</t>
  </si>
  <si>
    <t>DDEN1</t>
  </si>
  <si>
    <t>ROT</t>
  </si>
  <si>
    <t>HDQ</t>
  </si>
  <si>
    <t>SRD</t>
  </si>
  <si>
    <t>Basic</t>
  </si>
  <si>
    <t>LMP</t>
  </si>
  <si>
    <t>DMG</t>
  </si>
  <si>
    <t>PHB</t>
  </si>
  <si>
    <t>MM</t>
  </si>
  <si>
    <t>Cha</t>
  </si>
  <si>
    <t>Wis</t>
  </si>
  <si>
    <t>Int</t>
  </si>
  <si>
    <t>Con</t>
  </si>
  <si>
    <t>Dex</t>
  </si>
  <si>
    <t>Str</t>
  </si>
  <si>
    <t>swim</t>
  </si>
  <si>
    <t>fly</t>
  </si>
  <si>
    <t>climb</t>
  </si>
  <si>
    <t>burrow</t>
  </si>
  <si>
    <t>walk</t>
  </si>
  <si>
    <t>Atk 3</t>
  </si>
  <si>
    <t>Atk 2</t>
  </si>
  <si>
    <t>Atk 1</t>
  </si>
  <si>
    <t>Spell</t>
  </si>
  <si>
    <t>+</t>
  </si>
  <si>
    <t>HP</t>
  </si>
  <si>
    <t>AC</t>
  </si>
  <si>
    <t>C?</t>
  </si>
  <si>
    <t>C#</t>
  </si>
  <si>
    <t>AL</t>
  </si>
  <si>
    <t>SC</t>
  </si>
  <si>
    <t>Tag</t>
  </si>
  <si>
    <t>Size</t>
  </si>
  <si>
    <t>CR</t>
  </si>
  <si>
    <t>URL</t>
  </si>
  <si>
    <t>Creatures URL Name</t>
  </si>
  <si>
    <t>Reaction</t>
  </si>
  <si>
    <t>Legendary 5</t>
  </si>
  <si>
    <t>Legendary 4</t>
  </si>
  <si>
    <t>Legendary 3</t>
  </si>
  <si>
    <t>Legendary 2</t>
  </si>
  <si>
    <t>Legendary 1</t>
  </si>
  <si>
    <t>Action 7</t>
  </si>
  <si>
    <t>Action 6</t>
  </si>
  <si>
    <t>Action 5</t>
  </si>
  <si>
    <t>Action 4</t>
  </si>
  <si>
    <t>Action 3</t>
  </si>
  <si>
    <t>Action 2</t>
  </si>
  <si>
    <t>Action 1</t>
  </si>
  <si>
    <t>Trait 7</t>
  </si>
  <si>
    <t>Trait 6</t>
  </si>
  <si>
    <t>Trait 5</t>
  </si>
  <si>
    <t>Trait 4</t>
  </si>
  <si>
    <t>Trait 3</t>
  </si>
  <si>
    <t>Trait 2</t>
  </si>
  <si>
    <t>Trait 1</t>
  </si>
  <si>
    <t>Free PDF sources</t>
  </si>
  <si>
    <t>Books</t>
  </si>
  <si>
    <t>Ability Scores</t>
  </si>
  <si>
    <t>To Hit, Damage</t>
  </si>
  <si>
    <t>Hit Points</t>
  </si>
  <si>
    <t>Properties</t>
  </si>
  <si>
    <t>Filters</t>
  </si>
  <si>
    <t>Proficiency Bonus</t>
  </si>
  <si>
    <t>XP</t>
  </si>
  <si>
    <t>Challenge Rating</t>
  </si>
  <si>
    <t>Score</t>
  </si>
  <si>
    <t>Ability Score Modifier</t>
  </si>
  <si>
    <t>!R52</t>
  </si>
  <si>
    <t>Cha Sav</t>
  </si>
  <si>
    <t>!R45</t>
  </si>
  <si>
    <t>Wis Sav</t>
  </si>
  <si>
    <t>!R38</t>
  </si>
  <si>
    <t>Int Sav</t>
  </si>
  <si>
    <t>!R31</t>
  </si>
  <si>
    <t>Con Sav</t>
  </si>
  <si>
    <t>!R24</t>
  </si>
  <si>
    <t>Dex Sav</t>
  </si>
  <si>
    <t>!R17</t>
  </si>
  <si>
    <t>Str Sav</t>
  </si>
  <si>
    <t>Saving Throw Locations</t>
  </si>
  <si>
    <t>!B54</t>
  </si>
  <si>
    <t>Cha Mod</t>
  </si>
  <si>
    <t>Hoard of the Dragon Queen</t>
  </si>
  <si>
    <t>!B47</t>
  </si>
  <si>
    <t>Wis Mod</t>
  </si>
  <si>
    <t>D&amp;D Encounters:</t>
  </si>
  <si>
    <t>!B40</t>
  </si>
  <si>
    <t>Int Mod</t>
  </si>
  <si>
    <t>Rise of Tiamat Supplement</t>
  </si>
  <si>
    <t>!B33</t>
  </si>
  <si>
    <t>Con Mod</t>
  </si>
  <si>
    <t>Hoard of the Dragon Queen Supplement</t>
  </si>
  <si>
    <t>!B26</t>
  </si>
  <si>
    <t>Dex Mod</t>
  </si>
  <si>
    <t>System Reference Document</t>
  </si>
  <si>
    <t>!B19</t>
  </si>
  <si>
    <t>Str Mod</t>
  </si>
  <si>
    <t>DM's Basic Rules</t>
  </si>
  <si>
    <t>Atribute Modifyers</t>
  </si>
  <si>
    <t>Princes of the Apocalypse</t>
  </si>
  <si>
    <t>AI</t>
  </si>
  <si>
    <t>!D56</t>
  </si>
  <si>
    <t>AH</t>
  </si>
  <si>
    <t>!D49</t>
  </si>
  <si>
    <t>Lost Mine of Phandelver</t>
  </si>
  <si>
    <t>AG</t>
  </si>
  <si>
    <t>!D42</t>
  </si>
  <si>
    <t>Dungeon Master's Guide</t>
  </si>
  <si>
    <t>AF</t>
  </si>
  <si>
    <t>!D35</t>
  </si>
  <si>
    <t>Player's Handbook</t>
  </si>
  <si>
    <t>AE</t>
  </si>
  <si>
    <t>!D28</t>
  </si>
  <si>
    <t>AD</t>
  </si>
  <si>
    <t>!D21</t>
  </si>
  <si>
    <t>Source Long</t>
  </si>
  <si>
    <t>Source Short</t>
  </si>
  <si>
    <t>Count Toward Subsequent-Round Initiative</t>
  </si>
  <si>
    <t>Count Toward 1st-Round Initiative</t>
  </si>
  <si>
    <t>Atributes</t>
  </si>
  <si>
    <t>Exploring</t>
  </si>
  <si>
    <t>Hunting</t>
  </si>
  <si>
    <t>Foraging</t>
  </si>
  <si>
    <t>Hustle</t>
  </si>
  <si>
    <t>ForageHuntMod</t>
  </si>
  <si>
    <t>NavMod</t>
  </si>
  <si>
    <t>SpeedMod</t>
  </si>
  <si>
    <t>TravelEffort</t>
  </si>
  <si>
    <t>ElementalGalleon</t>
  </si>
  <si>
    <t>Airship</t>
  </si>
  <si>
    <t>LightningRail</t>
  </si>
  <si>
    <t>Clipper</t>
  </si>
  <si>
    <t>Schooner</t>
  </si>
  <si>
    <t>SmallBoat</t>
  </si>
  <si>
    <t>Raft</t>
  </si>
  <si>
    <t>CartWagon</t>
  </si>
  <si>
    <t>FlyingMount</t>
  </si>
  <si>
    <t>RidingDog</t>
  </si>
  <si>
    <t>HeavyWarhorse</t>
  </si>
  <si>
    <t>MediumWarhorse</t>
  </si>
  <si>
    <t>LightHorse</t>
  </si>
  <si>
    <t>DraftHorse</t>
  </si>
  <si>
    <t>Marching</t>
  </si>
  <si>
    <t>ModeOfTravel</t>
  </si>
  <si>
    <t>Storm, powerful</t>
  </si>
  <si>
    <t>Storm</t>
  </si>
  <si>
    <t>Snow cover, heavy</t>
  </si>
  <si>
    <t>Snow cover</t>
  </si>
  <si>
    <t>River crossing</t>
  </si>
  <si>
    <t>Poor visibility (fog, darkness)</t>
  </si>
  <si>
    <t>Hurricane</t>
  </si>
  <si>
    <t>Giant terrain</t>
  </si>
  <si>
    <t>Temperate</t>
  </si>
  <si>
    <t>Cold or hot climate</t>
  </si>
  <si>
    <t>Weather</t>
  </si>
  <si>
    <t>Frozen Tundra</t>
  </si>
  <si>
    <t>Swamp</t>
  </si>
  <si>
    <t>Plains</t>
  </si>
  <si>
    <t>Mountains</t>
  </si>
  <si>
    <t>Moor</t>
  </si>
  <si>
    <t>Jungle</t>
  </si>
  <si>
    <t>Hills</t>
  </si>
  <si>
    <t>Forest (dense)</t>
  </si>
  <si>
    <t>Forest (medium)</t>
  </si>
  <si>
    <t>Forest (sparse)</t>
  </si>
  <si>
    <t>Desert</t>
  </si>
  <si>
    <t>Grasslands</t>
  </si>
  <si>
    <t>ForageHuntDC</t>
  </si>
  <si>
    <t>NavDC</t>
  </si>
  <si>
    <t>WILD</t>
  </si>
  <si>
    <t>ROAD</t>
  </si>
  <si>
    <t>HIGHWAY</t>
  </si>
  <si>
    <t>TERRAIN</t>
  </si>
  <si>
    <t>Downpour</t>
  </si>
  <si>
    <r>
      <t>Windstorm, blizzard</t>
    </r>
    <r>
      <rPr>
        <vertAlign val="superscript"/>
        <sz val="10"/>
        <color rgb="FF000000"/>
        <rFont val="Trebuchet MS"/>
        <family val="2"/>
        <charset val="204"/>
      </rPr>
      <t>4</t>
    </r>
    <r>
      <rPr>
        <sz val="10"/>
        <color rgb="FF000000"/>
        <rFont val="Trebuchet MS"/>
        <family val="2"/>
        <charset val="204"/>
      </rPr>
      <t>, hurricane, tornado</t>
    </r>
  </si>
  <si>
    <t>Blizzard</t>
  </si>
  <si>
    <t>Powerful storm</t>
  </si>
  <si>
    <t>Duststorm</t>
  </si>
  <si>
    <r>
      <t>Thunderstorm, snowstorm</t>
    </r>
    <r>
      <rPr>
        <vertAlign val="superscript"/>
        <sz val="10"/>
        <color rgb="FF000000"/>
        <rFont val="Trebuchet MS"/>
        <family val="2"/>
        <charset val="204"/>
      </rPr>
      <t>3</t>
    </r>
  </si>
  <si>
    <t>Snowstorm</t>
  </si>
  <si>
    <t>91-99</t>
  </si>
  <si>
    <t>Hot, windy</t>
  </si>
  <si>
    <t>Precipitation (normal for season)</t>
  </si>
  <si>
    <t>Precipitation (snow)</t>
  </si>
  <si>
    <t>Inclement weather</t>
  </si>
  <si>
    <t>81-90</t>
  </si>
  <si>
    <t>cold snap (51-100)</t>
  </si>
  <si>
    <t>cold snap (31-100)</t>
  </si>
  <si>
    <t>Heat wave (01-50) or</t>
  </si>
  <si>
    <t>Heat wave (01-30) or</t>
  </si>
  <si>
    <t>Abnormal weather</t>
  </si>
  <si>
    <t>71-80</t>
  </si>
  <si>
    <t>Hot, calm</t>
  </si>
  <si>
    <t>Normal for season</t>
  </si>
  <si>
    <t>Cold, calm</t>
  </si>
  <si>
    <t>Normal weather</t>
  </si>
  <si>
    <t>01-70</t>
  </si>
  <si>
    <t>Temperate Climate</t>
  </si>
  <si>
    <t>Cold Climate</t>
  </si>
  <si>
    <t>Weather d100</t>
  </si>
  <si>
    <t>Foraging/Hunting DC</t>
  </si>
  <si>
    <t>Navigation DC</t>
  </si>
  <si>
    <t>Miles Per Watch</t>
  </si>
  <si>
    <t>Miles Per Hour</t>
  </si>
  <si>
    <t>Encounter Die</t>
  </si>
  <si>
    <t>Tracks</t>
  </si>
  <si>
    <t>Terrain</t>
  </si>
  <si>
    <t>Cautious</t>
  </si>
  <si>
    <t>ModeofTravel</t>
  </si>
  <si>
    <t>Forage/Hunt DC Modifier</t>
  </si>
  <si>
    <t>Navigation DC Modifier</t>
  </si>
  <si>
    <t>Speed Modifier</t>
  </si>
  <si>
    <t xml:space="preserve">CLASS SPECIFICATIONS                                                                                                                                                </t>
  </si>
  <si>
    <t>CLASS BASICS</t>
  </si>
  <si>
    <t>ABILITY SCORE DISTRIBUTION</t>
  </si>
  <si>
    <t>SKILLS (Chosen at random)</t>
  </si>
  <si>
    <t>PROFICIENCIES</t>
  </si>
  <si>
    <t>CLASS</t>
  </si>
  <si>
    <t>SPECIALTY</t>
  </si>
  <si>
    <t>HIT DIE</t>
  </si>
  <si>
    <t>PRIMARY ABLITIES (from quick build)</t>
  </si>
  <si>
    <t>CLASS LIST</t>
  </si>
  <si>
    <t>RACE 1</t>
  </si>
  <si>
    <t>RACE 2</t>
  </si>
  <si>
    <t>PROF</t>
  </si>
  <si>
    <t>CLASS SAVING THROW PROFICIENCIES</t>
  </si>
  <si>
    <t>Abil1</t>
  </si>
  <si>
    <t>Abil 2</t>
  </si>
  <si>
    <t>Abil 3</t>
  </si>
  <si>
    <t>#1</t>
  </si>
  <si>
    <t>#2</t>
  </si>
  <si>
    <t>#3</t>
  </si>
  <si>
    <t>#4</t>
  </si>
  <si>
    <t>#5</t>
  </si>
  <si>
    <t>#6</t>
  </si>
  <si>
    <t>BONUS</t>
  </si>
  <si>
    <t>Weapons</t>
  </si>
  <si>
    <t>Armor</t>
  </si>
  <si>
    <t>Tools</t>
  </si>
  <si>
    <t>Spell Save Mod</t>
  </si>
  <si>
    <t>Save 1</t>
  </si>
  <si>
    <t>Save 2</t>
  </si>
  <si>
    <t>reference only</t>
  </si>
  <si>
    <t>Cleric</t>
  </si>
  <si>
    <t>Light &amp; Medium armor, Shields</t>
  </si>
  <si>
    <t>None</t>
  </si>
  <si>
    <t>Fighter</t>
  </si>
  <si>
    <t>Simple and martial weapons</t>
  </si>
  <si>
    <t>All armor, Shields</t>
  </si>
  <si>
    <t>Rogue</t>
  </si>
  <si>
    <t>Simple weapons, hand crossbow, longsword, rapier, shorts word</t>
  </si>
  <si>
    <t>Light armor</t>
  </si>
  <si>
    <t>Thieves' tools</t>
  </si>
  <si>
    <t>Dagger, dart, sling, quarterstaff, light crossbow</t>
  </si>
  <si>
    <t>Barbarian</t>
  </si>
  <si>
    <t>Simple &amp; martial weapons</t>
  </si>
  <si>
    <t>Bard</t>
  </si>
  <si>
    <t>3 Musical Instruments</t>
  </si>
  <si>
    <t>Club, dagger, dart, javelin, mace, quarterstaff, scimitar, sickle, sling, spear</t>
  </si>
  <si>
    <t>Nonmetal light &amp; medium armor &amp; shields</t>
  </si>
  <si>
    <t>Herbalism Kit</t>
  </si>
  <si>
    <t>Monk</t>
  </si>
  <si>
    <t>Simple weapons, Shortsword</t>
  </si>
  <si>
    <t>Artisan's tools or Musical instrument</t>
  </si>
  <si>
    <t>Paladin</t>
  </si>
  <si>
    <t>All simple &amp; martial weapons</t>
  </si>
  <si>
    <t>All armor and shields</t>
  </si>
  <si>
    <t>Ranger</t>
  </si>
  <si>
    <t>Light &amp; Medium armor, shields</t>
  </si>
  <si>
    <t>Sorcerer</t>
  </si>
  <si>
    <t>Warlock</t>
  </si>
  <si>
    <t>Mystic</t>
  </si>
  <si>
    <t>Simple Weapons</t>
  </si>
  <si>
    <t>ABILITY LEVEL INCREASES</t>
  </si>
  <si>
    <t>EXPERIENCE TABLE</t>
  </si>
  <si>
    <t>PROFICIENCY BONUS TABLE</t>
  </si>
  <si>
    <t xml:space="preserve"> FINAL ABILITY SUMMARY BY LEVEL</t>
  </si>
  <si>
    <t>Race Qual Cntrl:</t>
  </si>
  <si>
    <t>LEVEL</t>
  </si>
  <si>
    <t>XP BY LEVEL</t>
  </si>
  <si>
    <t>Prof Bonus</t>
  </si>
  <si>
    <t>Class Qual Cntrl:</t>
  </si>
  <si>
    <t>Primary Attributes (author preference)</t>
  </si>
  <si>
    <t>Ability -1 (Important)</t>
  </si>
  <si>
    <t>Ability -2</t>
  </si>
  <si>
    <t>Ability -3</t>
  </si>
  <si>
    <t>Ability -4</t>
  </si>
  <si>
    <t>Ability -5</t>
  </si>
  <si>
    <t>FIGHTER ONLY</t>
  </si>
  <si>
    <t>Ability -6 (Least Imp.)</t>
  </si>
  <si>
    <t>CLASS FEATURES AND TRAITS BY LEVEL</t>
  </si>
  <si>
    <t>Pick:</t>
  </si>
  <si>
    <t>CLERIC</t>
  </si>
  <si>
    <t>FIGHTER</t>
  </si>
  <si>
    <t>ROGUE</t>
  </si>
  <si>
    <t>WIZARD</t>
  </si>
  <si>
    <t>BARBARIAN</t>
  </si>
  <si>
    <t>BARD</t>
  </si>
  <si>
    <t>DRUID</t>
  </si>
  <si>
    <t>MONK</t>
  </si>
  <si>
    <t>PALADIN</t>
  </si>
  <si>
    <t>RANGER</t>
  </si>
  <si>
    <t>SORCERER</t>
  </si>
  <si>
    <t>WARLOCK</t>
  </si>
  <si>
    <t>MYSTIC</t>
  </si>
  <si>
    <t>SEEING "N/A" IN ANY CATEGORY MEANS THAT THE REFERENCE IS PROBABLY NORMAL, BUT CLASS IS PULLING THE NUMBER FROM math! AND REFERENCING TOO HIGH OF AN ARCHETYPE---This is PROBABLY normal.</t>
  </si>
  <si>
    <t>TOTAL</t>
  </si>
  <si>
    <t>Expertise, Sneak Attack - 1d6, Thieves Cant</t>
  </si>
  <si>
    <t>Spellcasting, Arcane Recovery</t>
  </si>
  <si>
    <t>Rage, Unarmored Defense</t>
  </si>
  <si>
    <t>Spellcasting, Bardic Inspiration (d6)</t>
  </si>
  <si>
    <t>Druidic, Spellcasting</t>
  </si>
  <si>
    <t>Unarmored Defense, Martial Arts</t>
  </si>
  <si>
    <t>Divine Sense, Lay on Hands</t>
  </si>
  <si>
    <t>Action Surge (1/lr)</t>
  </si>
  <si>
    <t>Reckless Attack, Danger Sense</t>
  </si>
  <si>
    <t>Jack of all Trades, Song of Rest (d6)</t>
  </si>
  <si>
    <t>Ki, Unarmored Movement</t>
  </si>
  <si>
    <t>Font of Magic, Flexible Casting</t>
  </si>
  <si>
    <t>Eldritch Invocations</t>
  </si>
  <si>
    <t>Mystical Recovery, Telepathy</t>
  </si>
  <si>
    <t>Domain Spells</t>
  </si>
  <si>
    <t>Ability Score Improvement</t>
  </si>
  <si>
    <t>Wild Shape Improvement, Ability Score Improvement</t>
  </si>
  <si>
    <t>Total</t>
  </si>
  <si>
    <t>Domain Spells, Destroy Undead (CR-1/2)</t>
  </si>
  <si>
    <t>Extra Attack</t>
  </si>
  <si>
    <t>Sneak Attack - 3d6, Uncanny Dodge</t>
  </si>
  <si>
    <t>Extra Attack (1), Fast Movement</t>
  </si>
  <si>
    <t>Bardic Inspiration (d8), Font of Inspiration</t>
  </si>
  <si>
    <t>Extra Attack (1), Stunning Strike</t>
  </si>
  <si>
    <t>Extra Attack (1)</t>
  </si>
  <si>
    <t>Expertise</t>
  </si>
  <si>
    <t>Aura of Protection (10' Rad.)</t>
  </si>
  <si>
    <t>Sneak Attack - 4d6, Evasion</t>
  </si>
  <si>
    <t>Feral Instinct</t>
  </si>
  <si>
    <t>Evasion, Stillness of Mind</t>
  </si>
  <si>
    <t>Indominatible (1/lr)</t>
  </si>
  <si>
    <t>Brutal Critical (1 die)</t>
  </si>
  <si>
    <t>Song of Rest (d8)</t>
  </si>
  <si>
    <t>Unarmored Movement Improvement</t>
  </si>
  <si>
    <t>Divine Intervention</t>
  </si>
  <si>
    <t>Bardic Inspiration (d10), Expertise, Magic Secrets</t>
  </si>
  <si>
    <t>Purity of Body</t>
  </si>
  <si>
    <t>Aura of Courage (10' Rad.)</t>
  </si>
  <si>
    <t>Consumptive Power</t>
  </si>
  <si>
    <t>'Destroy Undead (CR-2)</t>
  </si>
  <si>
    <t>Extra Attack (2)</t>
  </si>
  <si>
    <t>Sneak Attack - 6d6, Reliable Talent</t>
  </si>
  <si>
    <t>Relentless Rage</t>
  </si>
  <si>
    <t>Improved Divine Smite (+1d8 Radiant Dam.)</t>
  </si>
  <si>
    <t>Psionic Mastery (1/day)</t>
  </si>
  <si>
    <t>Indominatible (2/lr)</t>
  </si>
  <si>
    <t>Brutal Critical (2 die)</t>
  </si>
  <si>
    <t>Song of Rest (d10)</t>
  </si>
  <si>
    <t>Tongue of the Sun and Moon</t>
  </si>
  <si>
    <t>Psionic Mastery (2/day)</t>
  </si>
  <si>
    <t>Destroy Undead (CR-3)</t>
  </si>
  <si>
    <t>Blindsense</t>
  </si>
  <si>
    <t>Diamond Soul</t>
  </si>
  <si>
    <t>Cleansing Touch</t>
  </si>
  <si>
    <t>Sneak Attack - 8d6, Slippery Mind</t>
  </si>
  <si>
    <t>Persistent Rage</t>
  </si>
  <si>
    <t>Bardic Inspiration (d12)</t>
  </si>
  <si>
    <t>Timeless Body</t>
  </si>
  <si>
    <t>Psionic Master (3/day)</t>
  </si>
  <si>
    <t>Action Surge (2/lr), Indominatible (3/lr)</t>
  </si>
  <si>
    <t>Brutal Critical (3 die)</t>
  </si>
  <si>
    <t>Song of Rest (d12)</t>
  </si>
  <si>
    <t>Psionic Mastery (4/day)</t>
  </si>
  <si>
    <t>Channel Divinity (3/lr)</t>
  </si>
  <si>
    <t>Elusive</t>
  </si>
  <si>
    <t>Spell Mastery</t>
  </si>
  <si>
    <t>Indomitable Might</t>
  </si>
  <si>
    <t>Magical Secrets, Bardic College Feature</t>
  </si>
  <si>
    <t>Timeless Body, Beast Spells</t>
  </si>
  <si>
    <t>Empty Body</t>
  </si>
  <si>
    <t>Aura Improvements (30' Rad.)</t>
  </si>
  <si>
    <t>Feral Senses</t>
  </si>
  <si>
    <t>Sneak Attack - 10d6, Ability Score Improvement</t>
  </si>
  <si>
    <t>Divine Intervention Improvement</t>
  </si>
  <si>
    <t>Extra Attack (3)</t>
  </si>
  <si>
    <t>Stroke of Luck</t>
  </si>
  <si>
    <t>Signature Spells</t>
  </si>
  <si>
    <t>Primal Champion</t>
  </si>
  <si>
    <t>Superior Inspiration</t>
  </si>
  <si>
    <t>Archdruid</t>
  </si>
  <si>
    <t>Perfect Step</t>
  </si>
  <si>
    <t>Foe Slayer</t>
  </si>
  <si>
    <t>Sorcerous Restoration</t>
  </si>
  <si>
    <t>Eldritch Master</t>
  </si>
  <si>
    <t>Psionic Body</t>
  </si>
  <si>
    <t>CLASS ARCHETYPES</t>
  </si>
  <si>
    <t>ARCHETYPE</t>
  </si>
  <si>
    <t>CLASS:</t>
  </si>
  <si>
    <t>DRAC/Sorcerer</t>
  </si>
  <si>
    <t>DOMAIN-1st</t>
  </si>
  <si>
    <t>ARCHETYPE-3RD</t>
  </si>
  <si>
    <t>Archetype-3rd</t>
  </si>
  <si>
    <t>SCHOOL</t>
  </si>
  <si>
    <t>PATH-3rd</t>
  </si>
  <si>
    <t>COLLEGE-3rd</t>
  </si>
  <si>
    <t>CIRCLE-2</t>
  </si>
  <si>
    <t>Traditon-3rd</t>
  </si>
  <si>
    <t>Oath-3rd</t>
  </si>
  <si>
    <t>Origin-1st</t>
  </si>
  <si>
    <t>Patron-1st</t>
  </si>
  <si>
    <t>???</t>
  </si>
  <si>
    <t>COLUMN</t>
  </si>
  <si>
    <t>(Knowledge)</t>
  </si>
  <si>
    <t>Champion</t>
  </si>
  <si>
    <t>Thief</t>
  </si>
  <si>
    <t>(Abjuration)</t>
  </si>
  <si>
    <t>College of Lore</t>
  </si>
  <si>
    <t>Circle of the Land</t>
  </si>
  <si>
    <t>Way  of the Open Hand</t>
  </si>
  <si>
    <t>Oath of Devotion</t>
  </si>
  <si>
    <t>Hunter</t>
  </si>
  <si>
    <t>Archfey Pact</t>
  </si>
  <si>
    <t>Order of the Avatar</t>
  </si>
  <si>
    <t>(Black)</t>
  </si>
  <si>
    <t>(Life)</t>
  </si>
  <si>
    <t>Battle Master</t>
  </si>
  <si>
    <t>(Conjuration)</t>
  </si>
  <si>
    <t>College of Valor</t>
  </si>
  <si>
    <t>Circle of the Moon</t>
  </si>
  <si>
    <t>Way of the Shadow</t>
  </si>
  <si>
    <t>Oath of the Ancients</t>
  </si>
  <si>
    <t>Beastmaster</t>
  </si>
  <si>
    <t>Wild Magic</t>
  </si>
  <si>
    <t>Fiend Pact</t>
  </si>
  <si>
    <t>Order of the Awakened</t>
  </si>
  <si>
    <t>(Blue)</t>
  </si>
  <si>
    <t>(Light)</t>
  </si>
  <si>
    <t>Eldritch Knight</t>
  </si>
  <si>
    <t>Arcane Trickster</t>
  </si>
  <si>
    <t>(Divination)</t>
  </si>
  <si>
    <t>Battlerager</t>
  </si>
  <si>
    <t>College of Blamour</t>
  </si>
  <si>
    <t>Circle of Dreams</t>
  </si>
  <si>
    <t>Way of the Four Elements</t>
  </si>
  <si>
    <t>Oath of Vengeance</t>
  </si>
  <si>
    <t>Horizon Walker</t>
  </si>
  <si>
    <t>Storm Sorcery</t>
  </si>
  <si>
    <t>Great Old One Pact</t>
  </si>
  <si>
    <t>Order of the Immortal</t>
  </si>
  <si>
    <t>(Brass)</t>
  </si>
  <si>
    <t>(Nature)</t>
  </si>
  <si>
    <t>Purple Dragon Knight</t>
  </si>
  <si>
    <t>Mastermind</t>
  </si>
  <si>
    <t>(Enchantment)</t>
  </si>
  <si>
    <t>Ancestral Guardian</t>
  </si>
  <si>
    <t>College of Swords</t>
  </si>
  <si>
    <t>Circle of the Shepherd</t>
  </si>
  <si>
    <t>Way of the Long Death</t>
  </si>
  <si>
    <t>Oath of the Crown</t>
  </si>
  <si>
    <t>Monster Slayer</t>
  </si>
  <si>
    <t>Divine Soul</t>
  </si>
  <si>
    <t>The Undying</t>
  </si>
  <si>
    <t>Order of the Nomad</t>
  </si>
  <si>
    <t>(Bronze)</t>
  </si>
  <si>
    <t>(Tempest)</t>
  </si>
  <si>
    <t>Arcane Archer</t>
  </si>
  <si>
    <t>Swashbuckler</t>
  </si>
  <si>
    <t>(Evocation)</t>
  </si>
  <si>
    <t>Storm Herld</t>
  </si>
  <si>
    <t>College of Whispers</t>
  </si>
  <si>
    <t>Way of the Sun Soul</t>
  </si>
  <si>
    <t>Oath of Conquest</t>
  </si>
  <si>
    <t>Shadow Magic</t>
  </si>
  <si>
    <t>The Celestial</t>
  </si>
  <si>
    <t>Order of the Soul Knife</t>
  </si>
  <si>
    <t>(Copper)</t>
  </si>
  <si>
    <t>(Trickery)</t>
  </si>
  <si>
    <t>Cavalier</t>
  </si>
  <si>
    <t>Inquisitive</t>
  </si>
  <si>
    <t>(Illusion)</t>
  </si>
  <si>
    <t>Way of the Drunken Master</t>
  </si>
  <si>
    <t>Oath of Redemption</t>
  </si>
  <si>
    <t>The Hexblade</t>
  </si>
  <si>
    <t>Order of the Wu Jen</t>
  </si>
  <si>
    <t>(Gold)</t>
  </si>
  <si>
    <t>(War)</t>
  </si>
  <si>
    <t>Samurai</t>
  </si>
  <si>
    <t>(Necromancy)</t>
  </si>
  <si>
    <t>Way of the Kensei</t>
  </si>
  <si>
    <t>(Green)</t>
  </si>
  <si>
    <t>(Arcana)</t>
  </si>
  <si>
    <t>(Transmutation)</t>
  </si>
  <si>
    <t>(Red)</t>
  </si>
  <si>
    <t>(Forge)</t>
  </si>
  <si>
    <t>(Bladesinging)</t>
  </si>
  <si>
    <t>(Silver)</t>
  </si>
  <si>
    <t>(Grave)</t>
  </si>
  <si>
    <t>(War Magic)</t>
  </si>
  <si>
    <t>(White)</t>
  </si>
  <si>
    <t>CLASS  SPECIALIZATIONS</t>
  </si>
  <si>
    <t>FIGHTING STYLE</t>
  </si>
  <si>
    <t>ARC TRX SPELL</t>
  </si>
  <si>
    <t>TOTEM</t>
  </si>
  <si>
    <t>Ld Crcle Type</t>
  </si>
  <si>
    <t>Fight style @-2nd</t>
  </si>
  <si>
    <t>fight style @</t>
  </si>
  <si>
    <t>PACT</t>
  </si>
  <si>
    <t>OATH STUFF</t>
  </si>
  <si>
    <t>(Archery)</t>
  </si>
  <si>
    <t>Bear</t>
  </si>
  <si>
    <t>Arctic</t>
  </si>
  <si>
    <t>(Defense)</t>
  </si>
  <si>
    <t>Pact of the Chain: Familiar</t>
  </si>
  <si>
    <t>Honesty</t>
  </si>
  <si>
    <t>Coast</t>
  </si>
  <si>
    <t>(Dueling)</t>
  </si>
  <si>
    <t>Courage</t>
  </si>
  <si>
    <t>(Gr.Wep.Fighting)</t>
  </si>
  <si>
    <t>Pact of the Tome - Pick 3 extra Cantrips</t>
  </si>
  <si>
    <t>Compassion</t>
  </si>
  <si>
    <t>Forest</t>
  </si>
  <si>
    <t>(Protection)</t>
  </si>
  <si>
    <t>(2-Wep. Fighting)</t>
  </si>
  <si>
    <t>Honor</t>
  </si>
  <si>
    <t>Grassland</t>
  </si>
  <si>
    <t>Duty</t>
  </si>
  <si>
    <t>(2-Wep.Fighting)</t>
  </si>
  <si>
    <t>Mountain</t>
  </si>
  <si>
    <t>Kindle the Light</t>
  </si>
  <si>
    <t>Shelter the Light</t>
  </si>
  <si>
    <t>Underdark</t>
  </si>
  <si>
    <t>Preserve Your Own Light</t>
  </si>
  <si>
    <t>Be the Light</t>
  </si>
  <si>
    <t>Fight the Greater Evil</t>
  </si>
  <si>
    <t>No Mercy for the Wicked</t>
  </si>
  <si>
    <t>By Any Means Necessary</t>
  </si>
  <si>
    <t>Restitution</t>
  </si>
  <si>
    <t>SPECIAL SKILLS, ABILITIES, SPELLS</t>
  </si>
  <si>
    <t>Class</t>
  </si>
  <si>
    <t>CLERIC DOMAINS</t>
  </si>
  <si>
    <t>SCAG</t>
  </si>
  <si>
    <t>XGtE</t>
  </si>
  <si>
    <t>Knowledge</t>
  </si>
  <si>
    <t>Life</t>
  </si>
  <si>
    <t>Light</t>
  </si>
  <si>
    <t>Nature</t>
  </si>
  <si>
    <t>Tempest</t>
  </si>
  <si>
    <t>Trickery</t>
  </si>
  <si>
    <t>War</t>
  </si>
  <si>
    <t>Arcana</t>
  </si>
  <si>
    <t>Forge</t>
  </si>
  <si>
    <t>Grave</t>
  </si>
  <si>
    <t>Spell &amp; Ritual Casting, Extra Lang.</t>
  </si>
  <si>
    <t>Spell &amp; Ritual Casting, Heavy Armor Prof, Disciple of Life</t>
  </si>
  <si>
    <t>Spell &amp; Ritual Casting, Bonus Cantrip, Warding Flare</t>
  </si>
  <si>
    <t>Spell &amp; Ritual Casting, Hvy. Armor Prof, Druid Cantrip</t>
  </si>
  <si>
    <t>Ritual Casting, Martial Weap &amp; Hvy. Armor Prof, Wrath of the Storm</t>
  </si>
  <si>
    <t>Spell &amp; Ritual Casting, Blessing of the Trickster</t>
  </si>
  <si>
    <t>Ritual Casting, Martial Weap &amp; Hvy. Armor Prof, War Priest</t>
  </si>
  <si>
    <t>Spellcasting, Arcane Initiate</t>
  </si>
  <si>
    <t>Domain Spells, Bonus Proficiencies, Blessing ofthe Forge</t>
  </si>
  <si>
    <t>Domain Spells, Circle of Mortality,Eyes ofthe Grave</t>
  </si>
  <si>
    <t>Knowledge of the Ages (1 Channel Divinity/rest)</t>
  </si>
  <si>
    <t>Preserve Life (1 Channel Divinity/rest)</t>
  </si>
  <si>
    <t>Radiance of the Dawn (1 Channel Divinity/rest)</t>
  </si>
  <si>
    <t>Charm Animals and Plants (1 Channel Divinity/rest)</t>
  </si>
  <si>
    <t>Destructive Wrath (1 Channel Divinity/rest)</t>
  </si>
  <si>
    <t>Invoke Duplicity (1 Channel Divinity/rest)</t>
  </si>
  <si>
    <t>Guided Strike (1 Channel Divinity/rest)</t>
  </si>
  <si>
    <t>Channel: Arcane Abjuration</t>
  </si>
  <si>
    <t>Channel Divinity: Artisan's Blessing</t>
  </si>
  <si>
    <t>Channel Divinity: Path to the Grave</t>
  </si>
  <si>
    <t>Read Thoughts (2 Channel Divinity/rest)</t>
  </si>
  <si>
    <t>Blessed Healer, (2 Channel Divinity/rest)</t>
  </si>
  <si>
    <t>Improved Flare, (2 Channel Divinity/rest)</t>
  </si>
  <si>
    <t>Dampen Elements, (2 Channel Divinity/rest)</t>
  </si>
  <si>
    <t>Thunderbolt Strike, (2 Channel Divinity/rest)</t>
  </si>
  <si>
    <t>Cloak of Shadows (2 Channel Divinity/rest)</t>
  </si>
  <si>
    <t>War God's Blessing (2 Channel Divinity/rest)</t>
  </si>
  <si>
    <t>Channel (2/rest),Spell Breaker</t>
  </si>
  <si>
    <t>Soul ofthe Forge</t>
  </si>
  <si>
    <t>Sentinel at Death’s Door</t>
  </si>
  <si>
    <t>Ability Score Improv., Destroy Undead (CR 1), Potent Spellcasting</t>
  </si>
  <si>
    <t>Ability Score Improv., Destroy Undead (CR 1), Divine Strike</t>
  </si>
  <si>
    <t xml:space="preserve"> Ability Score Improv., Destroy Undead (CR 1), Divine Strike</t>
  </si>
  <si>
    <t>Ability Score Improv., Destroy Undead (CR 1), Divine Strike,Potent Spellcasting</t>
  </si>
  <si>
    <t>Divine Strike (ld8) (also see 14th)</t>
  </si>
  <si>
    <t>Potent Spellcasting</t>
  </si>
  <si>
    <t>Destroy Undead (CR 4), Visions of the Past</t>
  </si>
  <si>
    <t>Destroy Undead (CR 4), Supreme Healing</t>
  </si>
  <si>
    <t>Destroy Undead (CR 4), Corona of Light</t>
  </si>
  <si>
    <t>Destroy Undead (CR 4), Master of Nature</t>
  </si>
  <si>
    <t>Destroy Undead (CR 4), Stormborn</t>
  </si>
  <si>
    <t>Destroy Undead (CR 4), Improved Duplicity</t>
  </si>
  <si>
    <t>Destroy Undead (CR 4), Avatar of Battle</t>
  </si>
  <si>
    <t>Destroy Undead (CR 4),Arcane Mastery</t>
  </si>
  <si>
    <t>Saint of Forge and Fire</t>
  </si>
  <si>
    <t>Keeper of Souls</t>
  </si>
  <si>
    <t>DRUID CIRCLE</t>
  </si>
  <si>
    <t>SCAG no new</t>
  </si>
  <si>
    <t>Wild Shape, Bonus Cantrip, Natural Recovery</t>
  </si>
  <si>
    <t>Combat Wild Shape, Circle Forms</t>
  </si>
  <si>
    <t>Balm ofthe Summer Court</t>
  </si>
  <si>
    <t>Speech ofthe Woods, Spirit Totem</t>
  </si>
  <si>
    <t>Land's Stride</t>
  </si>
  <si>
    <t>Primal Strike</t>
  </si>
  <si>
    <t>Hearth of Moonlight and Shadow</t>
  </si>
  <si>
    <t>Mighty Summoner</t>
  </si>
  <si>
    <t>Nature's Ward</t>
  </si>
  <si>
    <t>Elemental Wild Shape</t>
  </si>
  <si>
    <t>Hidden Paths</t>
  </si>
  <si>
    <t>Guardian Spirit</t>
  </si>
  <si>
    <t>Nature's Sanctuary</t>
  </si>
  <si>
    <t>Thousand Forms</t>
  </si>
  <si>
    <t>Walker in Dreams</t>
  </si>
  <si>
    <t>Faithful Summons</t>
  </si>
  <si>
    <t>BARBARIAN ARCHTYPE</t>
  </si>
  <si>
    <t>Totem Warrior</t>
  </si>
  <si>
    <t>Storm Herald</t>
  </si>
  <si>
    <t>Zealot</t>
  </si>
  <si>
    <t>Frenzy</t>
  </si>
  <si>
    <t>Spirit Seeker</t>
  </si>
  <si>
    <t>Battlerager Armor</t>
  </si>
  <si>
    <t>Ancestral Protectors</t>
  </si>
  <si>
    <t>Storm Aura</t>
  </si>
  <si>
    <t>Divine Fury, Warrior ofthe Gods</t>
  </si>
  <si>
    <t>Mindless Rage</t>
  </si>
  <si>
    <t>Aspect of the Beast</t>
  </si>
  <si>
    <t>Reckless Abandon</t>
  </si>
  <si>
    <t>Spirit Shield (2d8)</t>
  </si>
  <si>
    <t>Storm Soul</t>
  </si>
  <si>
    <t>Fanatical Focus</t>
  </si>
  <si>
    <t>Intimidating Presence</t>
  </si>
  <si>
    <t>Spirit Walker</t>
  </si>
  <si>
    <t>Battlerager Charge</t>
  </si>
  <si>
    <t>Consult the Spirits, Spirit Shield (3d8)</t>
  </si>
  <si>
    <t>Shielding Storm</t>
  </si>
  <si>
    <t>Zealous Presence</t>
  </si>
  <si>
    <t>Retaliation</t>
  </si>
  <si>
    <t>Totemic Attunement</t>
  </si>
  <si>
    <t>Spiked Retribution</t>
  </si>
  <si>
    <t>Vengeful Ancestors, Spirit Shield (4d8)</t>
  </si>
  <si>
    <t>Raging Storm</t>
  </si>
  <si>
    <t>Rage beyond Death</t>
  </si>
  <si>
    <t>BARD ARCHTYPE</t>
  </si>
  <si>
    <t>College of Glamour</t>
  </si>
  <si>
    <t>Bonus Proficiencies, Cutting Words</t>
  </si>
  <si>
    <t>Prof. in Med. Armor, Shields, Martial Weapons</t>
  </si>
  <si>
    <t>Mantle of Inspiration, Enthralling Performance</t>
  </si>
  <si>
    <t>Blade Flourish</t>
  </si>
  <si>
    <t>Psychic Blades, Words ofTerror</t>
  </si>
  <si>
    <t>Additional Magical Secrets, Countercharm</t>
  </si>
  <si>
    <t>Extra Attack, Countercharm</t>
  </si>
  <si>
    <t>Mantle of Majesty</t>
  </si>
  <si>
    <t>Mantle ofWhispers</t>
  </si>
  <si>
    <t>Peerless Skill, Magical Secrets</t>
  </si>
  <si>
    <t>Battle Magic, Magical Secrets</t>
  </si>
  <si>
    <t>Unbreakable Majesty</t>
  </si>
  <si>
    <t>Master's Flourish</t>
  </si>
  <si>
    <t>Shadow Lore</t>
  </si>
  <si>
    <t>ROGUE ARCHTYPE</t>
  </si>
  <si>
    <t>Sneak Attack - 2d6,  Fast Hands, Second- Story Work</t>
  </si>
  <si>
    <t>Sneak Attack - 2d6, Profic: Disguise &amp; Poison, Assassinate</t>
  </si>
  <si>
    <t>Sneak Attack - 2d6, Mage Hand Legerdemain</t>
  </si>
  <si>
    <t>Sn.Att2d6,Master of Intrigue, Master of Tactics</t>
  </si>
  <si>
    <t>Sneak Attack - 2d6,Fancy Footwork, Rakish Audacity</t>
  </si>
  <si>
    <t>Sn.Att,Ear for Deceit, Eye for Detail,Ins.Fighting</t>
  </si>
  <si>
    <t>Sn.Att,Skirmisher, Survivalist</t>
  </si>
  <si>
    <t>Sneak Attack - 5d6, Supreme Sneak</t>
  </si>
  <si>
    <t>Sneak Attack - 5d6, Infiltration Expertise</t>
  </si>
  <si>
    <t>Sneak Attack - 5d6, Magical Ambush</t>
  </si>
  <si>
    <t>Sneak Attack - 5d6, Insightful Manipulator</t>
  </si>
  <si>
    <t>Sneak Attack - 5d6, Panache</t>
  </si>
  <si>
    <t>Sn.Att,Steady Eye</t>
  </si>
  <si>
    <t>Sn.Att,Superior Mobility</t>
  </si>
  <si>
    <t>Sneak Attack - 7d6, Use Magic Device</t>
  </si>
  <si>
    <t>Sneak Attack - 7d6, Imposter</t>
  </si>
  <si>
    <t>Sneak Attack - 7d6, Versatile Trickster</t>
  </si>
  <si>
    <t>Sneak Attack - 7d6, Misdirection</t>
  </si>
  <si>
    <t>Sneak Attack - 7d6, Elegant Maneuver</t>
  </si>
  <si>
    <t>Sn.Att,Unerring Eye</t>
  </si>
  <si>
    <t>Sn.Att,Ambush Master</t>
  </si>
  <si>
    <t>Sneak Attack - 9d6, Thief's Reflexes</t>
  </si>
  <si>
    <t>Sneak Attack - 9d6, Death Strike</t>
  </si>
  <si>
    <t>Sneak Attack - 9d6, Spell Thief</t>
  </si>
  <si>
    <t>Sneak Attack - 9d6,Soul of Deceit</t>
  </si>
  <si>
    <t>Sneak Attack - 9d6, Master Duelist</t>
  </si>
  <si>
    <t>Sn.Att,Eye for Weakness</t>
  </si>
  <si>
    <t>Sn.Att,Sudden Strike</t>
  </si>
  <si>
    <t>PALADIN OATHS</t>
  </si>
  <si>
    <t>Oath of Ancients</t>
  </si>
  <si>
    <t>Divine Health, Sacred Weapon, Turn the Unholy</t>
  </si>
  <si>
    <t>Divine Health, Nature's Wrath, Turn the Faithless</t>
  </si>
  <si>
    <t>Divine Health, Abjure Enemy, Vow of Enmity</t>
  </si>
  <si>
    <t>Divine Health, Ch.Div: Champ.Chall, Turn Tide</t>
  </si>
  <si>
    <t>Oath Spells, Channel Divinity</t>
  </si>
  <si>
    <t>Oath Spells. Channel Divinity</t>
  </si>
  <si>
    <t>Aura of Devotion</t>
  </si>
  <si>
    <t>Aura of Warding</t>
  </si>
  <si>
    <t>Relentless Avenger</t>
  </si>
  <si>
    <t>Divine Allegiance</t>
  </si>
  <si>
    <t>Aura ofConquest (10ft.) (also 18th)</t>
  </si>
  <si>
    <t>Aura ofthe Guardian (l0ft)-aslo 18th</t>
  </si>
  <si>
    <t>Purity of Spirit</t>
  </si>
  <si>
    <t>Undying Sentinel</t>
  </si>
  <si>
    <t>Soul of Vengeance</t>
  </si>
  <si>
    <t>Unyielding Spirit</t>
  </si>
  <si>
    <t>Scornful Rebuke</t>
  </si>
  <si>
    <t>Protective Spirit</t>
  </si>
  <si>
    <t>Holy Nimbus</t>
  </si>
  <si>
    <t>Elder Champion</t>
  </si>
  <si>
    <t>Avenging Angel</t>
  </si>
  <si>
    <t>Exalted Champion</t>
  </si>
  <si>
    <t>Invincible Conqueror</t>
  </si>
  <si>
    <t>Emissary of Redemption</t>
  </si>
  <si>
    <t>SORCEROUS ORIGINS</t>
  </si>
  <si>
    <t>Draconic Bloodline</t>
  </si>
  <si>
    <t>Spellcasting, Draconic Resilience</t>
  </si>
  <si>
    <t>Spellcasting, Wild Magic Surge, Tides of Chaos</t>
  </si>
  <si>
    <t>Spellcasting,Wind Speaker, Tempest Magic</t>
  </si>
  <si>
    <t>Spells,Divine Magic, Favored by the Gods</t>
  </si>
  <si>
    <t>Spells,Eyes ofthe Dark (also 3rd), Strength ofthe Grave</t>
  </si>
  <si>
    <t>Elemental Affinity</t>
  </si>
  <si>
    <t>Bend Luck</t>
  </si>
  <si>
    <t>Heart of the Storm, Storm Guide</t>
  </si>
  <si>
    <t>Empowered Healing</t>
  </si>
  <si>
    <t>Hound of III Omen</t>
  </si>
  <si>
    <t>Dragon Wings</t>
  </si>
  <si>
    <t>Controlled Chaos</t>
  </si>
  <si>
    <t>Storm's Fury</t>
  </si>
  <si>
    <t>Otherworldly Wings</t>
  </si>
  <si>
    <t>Shadow Walk</t>
  </si>
  <si>
    <t>Draconic Presence</t>
  </si>
  <si>
    <t>Spell Bombardment</t>
  </si>
  <si>
    <t>Wind Soul</t>
  </si>
  <si>
    <t>Unearthly Recovery</t>
  </si>
  <si>
    <t>Umbral Form</t>
  </si>
  <si>
    <t>Numbers</t>
  </si>
  <si>
    <t>Sorcerer - Metamagic</t>
  </si>
  <si>
    <t>Careful Spell</t>
  </si>
  <si>
    <t>Distant Spell</t>
  </si>
  <si>
    <t>Empowered Spell</t>
  </si>
  <si>
    <t>Extended Spell</t>
  </si>
  <si>
    <t>Heightened Spell</t>
  </si>
  <si>
    <t>Quickened Spell</t>
  </si>
  <si>
    <t>Subtle Spell</t>
  </si>
  <si>
    <t>Twinned Spell</t>
  </si>
  <si>
    <t>LVL. 3</t>
  </si>
  <si>
    <t>LVL. 10</t>
  </si>
  <si>
    <t>LVL. 17</t>
  </si>
  <si>
    <t>FIGHTER ARCHTYPE</t>
  </si>
  <si>
    <t>Improved Critical</t>
  </si>
  <si>
    <t>Maneuvers, Sup. Dice (1d8), Saves, Student of War</t>
  </si>
  <si>
    <t>Spell Casting, Weapon Bond</t>
  </si>
  <si>
    <t>Rallying Cry</t>
  </si>
  <si>
    <t>Arc. Archer Lore, Arcane Shot (2 options)</t>
  </si>
  <si>
    <t>Bon.Prof, Born to the Saddle,Unwavering Mark</t>
  </si>
  <si>
    <t>Bon.Prof, Fighting Spirit (5 temp.hp)</t>
  </si>
  <si>
    <t>Remarkable Athlete</t>
  </si>
  <si>
    <t>Maneuvers, Superiority Dice (2d8), Know your enemy</t>
  </si>
  <si>
    <t>War Magic</t>
  </si>
  <si>
    <t>Royal Envoy</t>
  </si>
  <si>
    <t>Curving Shot, Magic Arrow,Arcane Shot (3 opt)</t>
  </si>
  <si>
    <t>Warding Maneuver</t>
  </si>
  <si>
    <t>Elegant Courtier</t>
  </si>
  <si>
    <t>Additional Fighting Style</t>
  </si>
  <si>
    <t>Improved Combat Superiority</t>
  </si>
  <si>
    <t>Eldritch Strike</t>
  </si>
  <si>
    <t>Inspiring Surge</t>
  </si>
  <si>
    <t>Arcane Shot (4 opt)</t>
  </si>
  <si>
    <t>Hold the Line</t>
  </si>
  <si>
    <t>Tireless Spirit, Fighting Spirit (10 temp.hp)</t>
  </si>
  <si>
    <t>Superior Critical</t>
  </si>
  <si>
    <t>Relentless</t>
  </si>
  <si>
    <t>Arcane Charge</t>
  </si>
  <si>
    <t>Bulwark</t>
  </si>
  <si>
    <t>Ever-Ready Shot, Arcane Shot (5 opt)</t>
  </si>
  <si>
    <t>Ferocious Charger</t>
  </si>
  <si>
    <t>Rapid Strike, Fighting Spirit (l5 temp.hp)</t>
  </si>
  <si>
    <t>Survivor</t>
  </si>
  <si>
    <t>Improved War Magic</t>
  </si>
  <si>
    <t>Arcane Shot (6 opt, improved shots)</t>
  </si>
  <si>
    <t>Vigilant Defender</t>
  </si>
  <si>
    <t>Strength before Death</t>
  </si>
  <si>
    <t>FIGHTER MANEUVERS</t>
  </si>
  <si>
    <t>ONLY FIRST SEVEN FIGHTERS MANEUVERS APPEAR ON TOP SHEET</t>
  </si>
  <si>
    <t>Maneuvers</t>
  </si>
  <si>
    <t>Rand</t>
  </si>
  <si>
    <t xml:space="preserve">Rank  </t>
  </si>
  <si>
    <t>Selected Maneuvers</t>
  </si>
  <si>
    <t>Commander's Strike</t>
  </si>
  <si>
    <t>Disarming Attack</t>
  </si>
  <si>
    <t>Distracting Strike</t>
  </si>
  <si>
    <t>Evasive Footwork</t>
  </si>
  <si>
    <t>Feinting Attack</t>
  </si>
  <si>
    <t>Goading Attack</t>
  </si>
  <si>
    <t>Lunging Attack</t>
  </si>
  <si>
    <t>Maneuvering Attack</t>
  </si>
  <si>
    <t>Menacing Attack</t>
  </si>
  <si>
    <t>Precision Attack</t>
  </si>
  <si>
    <t>Pushing Attack</t>
  </si>
  <si>
    <t>Rally</t>
  </si>
  <si>
    <t>Riposte</t>
  </si>
  <si>
    <t>Sweeping Attack</t>
  </si>
  <si>
    <t>Trip Attack</t>
  </si>
  <si>
    <t>MONK TRADITIONS</t>
  </si>
  <si>
    <t>Way of the Open Hand</t>
  </si>
  <si>
    <t>Deflect Missiles</t>
  </si>
  <si>
    <t>Deflect Missiles, Shadow Arts</t>
  </si>
  <si>
    <t>Touch of Death, Deflect missiles</t>
  </si>
  <si>
    <t>Radiant Sun Bolt, Deflect Missiles</t>
  </si>
  <si>
    <t>Bon Profs, Drunken Technique</t>
  </si>
  <si>
    <t>Path of the Kensei (2 weapons)</t>
  </si>
  <si>
    <t>Ki-Empowered Strikes, Wholeness of Body</t>
  </si>
  <si>
    <t>Ki-Empowered Strikes, Shadow Step</t>
  </si>
  <si>
    <t>Ki Strikes, Hour of Reaping</t>
  </si>
  <si>
    <t>Ki strikes, Searing Arc Strike</t>
  </si>
  <si>
    <t>Tipsy Sway</t>
  </si>
  <si>
    <t>One w/ Blade,Path Kensei (3 weapons)</t>
  </si>
  <si>
    <t>Tranquility</t>
  </si>
  <si>
    <t>Cloak of Shadows</t>
  </si>
  <si>
    <t>Mastery of Death</t>
  </si>
  <si>
    <t>Searing Sunburst</t>
  </si>
  <si>
    <t>Drunkard's Luck</t>
  </si>
  <si>
    <t>Sharpen the Blade,Path Kensei (4 weapons)</t>
  </si>
  <si>
    <t>Quivering Palm</t>
  </si>
  <si>
    <t>Opportunist</t>
  </si>
  <si>
    <t>Touch of the Long Death</t>
  </si>
  <si>
    <t>Sun Shield</t>
  </si>
  <si>
    <t>Intoxicated Frenzy</t>
  </si>
  <si>
    <t>Unerring Accuracy,Path Kensei (5 weapons)</t>
  </si>
  <si>
    <t>Rank</t>
  </si>
  <si>
    <t>Disciplines</t>
  </si>
  <si>
    <t>Random Disciplines</t>
  </si>
  <si>
    <t>Reference Level Prereq</t>
  </si>
  <si>
    <t>Elemental Attunement</t>
  </si>
  <si>
    <t>Chosen Disciplines</t>
  </si>
  <si>
    <t>Random</t>
  </si>
  <si>
    <t>Selected</t>
  </si>
  <si>
    <t>MARTIAL ARTS</t>
  </si>
  <si>
    <t>Movement Speed</t>
  </si>
  <si>
    <t>KI save DC</t>
  </si>
  <si>
    <t>Fangs of the Fire Snake</t>
  </si>
  <si>
    <t>Flurry of Blows</t>
  </si>
  <si>
    <t>1d4</t>
  </si>
  <si>
    <t>Fist of Four Thunders</t>
  </si>
  <si>
    <t>Patient Defense</t>
  </si>
  <si>
    <t>Fist of Unbroken Air</t>
  </si>
  <si>
    <t>Step of the Wind</t>
  </si>
  <si>
    <t>Rush of the Gale Spirits</t>
  </si>
  <si>
    <t>Shape the Flowing River</t>
  </si>
  <si>
    <t>1d6</t>
  </si>
  <si>
    <t>Sweeping Cinder Strike</t>
  </si>
  <si>
    <t>Water Whip</t>
  </si>
  <si>
    <t>Clench of the North Wind</t>
  </si>
  <si>
    <t>Gong of the Summit</t>
  </si>
  <si>
    <t>Eternal Mountain Defense</t>
  </si>
  <si>
    <t>Flames of the Phoenix</t>
  </si>
  <si>
    <t>1d8</t>
  </si>
  <si>
    <t>Ride the Wind</t>
  </si>
  <si>
    <t>Monk Disciplines chosen by level.  As next level is reached, Discipline chosen from that level.</t>
  </si>
  <si>
    <t>Mist Stance</t>
  </si>
  <si>
    <t>Breath of Winter</t>
  </si>
  <si>
    <t>River of Hungry Flame</t>
  </si>
  <si>
    <t>Wave of Rolling Earth</t>
  </si>
  <si>
    <t>1d10</t>
  </si>
  <si>
    <t>RANGER ARCHTYPE</t>
  </si>
  <si>
    <t xml:space="preserve"> Beast Master</t>
  </si>
  <si>
    <t>Gloom Stalker</t>
  </si>
  <si>
    <t>Gloom St. Magic, Dread Ambusher,Umbral Sight</t>
  </si>
  <si>
    <t>Horiz.Walk.Mag, Det.Portal,Pl.Warrior (ld3)</t>
  </si>
  <si>
    <t>Monst.Slayer Mag, Hunter’s Sense,Slayer's Prey</t>
  </si>
  <si>
    <t>Exceptional Training</t>
  </si>
  <si>
    <t>Iron Mind</t>
  </si>
  <si>
    <t>Ethereal Step</t>
  </si>
  <si>
    <t>Supernatural Defense</t>
  </si>
  <si>
    <t>Bestial Fury (Pet attack X2)</t>
  </si>
  <si>
    <t>Stalker’s Flurry</t>
  </si>
  <si>
    <t>Distant Strike, Planar Warrior (2d8)</t>
  </si>
  <si>
    <t>Magic-User’s Nemesis</t>
  </si>
  <si>
    <t>Share Spells</t>
  </si>
  <si>
    <t>Shadowy Dodge</t>
  </si>
  <si>
    <t>Spectral Defense</t>
  </si>
  <si>
    <t>Slayer's Counter</t>
  </si>
  <si>
    <t>Ranger Favored Enemy</t>
  </si>
  <si>
    <t>Defensive Tactics</t>
  </si>
  <si>
    <t>Escape the Horde</t>
  </si>
  <si>
    <t>Multiattack Defense</t>
  </si>
  <si>
    <t>Steel Will</t>
  </si>
  <si>
    <t>Aberrations</t>
  </si>
  <si>
    <t>Beasts</t>
  </si>
  <si>
    <t>Volley</t>
  </si>
  <si>
    <t>Celestials</t>
  </si>
  <si>
    <t>Whirlwind Attack</t>
  </si>
  <si>
    <t>Constructs</t>
  </si>
  <si>
    <t>Dragons</t>
  </si>
  <si>
    <t>Elementals</t>
  </si>
  <si>
    <t>Superior Hunter's Defense</t>
  </si>
  <si>
    <t>Fiends</t>
  </si>
  <si>
    <t>Stand Against the Tide</t>
  </si>
  <si>
    <t>Giants</t>
  </si>
  <si>
    <t>Uncanny Dodge</t>
  </si>
  <si>
    <t>Monstrosities</t>
  </si>
  <si>
    <t>Oozes</t>
  </si>
  <si>
    <t>Plants</t>
  </si>
  <si>
    <t>Giant Killer</t>
  </si>
  <si>
    <t>Horde Breaker</t>
  </si>
  <si>
    <t>Aarakocra</t>
  </si>
  <si>
    <t>mm 12</t>
  </si>
  <si>
    <t>mm 33</t>
  </si>
  <si>
    <t>Bullywug</t>
  </si>
  <si>
    <t>mm 35</t>
  </si>
  <si>
    <t>Natural Explorer/Favored Terrain</t>
  </si>
  <si>
    <t>mm 128</t>
  </si>
  <si>
    <t>mm 122</t>
  </si>
  <si>
    <t>Githyanki/Githzerai</t>
  </si>
  <si>
    <t>mm 160</t>
  </si>
  <si>
    <t>mm 163</t>
  </si>
  <si>
    <t>mm 175</t>
  </si>
  <si>
    <t>mm 186</t>
  </si>
  <si>
    <t>Jackalwere</t>
  </si>
  <si>
    <t>mm 193</t>
  </si>
  <si>
    <t>Kenku</t>
  </si>
  <si>
    <t>mm 194</t>
  </si>
  <si>
    <t>mm 195</t>
  </si>
  <si>
    <t>Kuo-toa</t>
  </si>
  <si>
    <t>mm 199</t>
  </si>
  <si>
    <t>mm 204</t>
  </si>
  <si>
    <t>mm 218</t>
  </si>
  <si>
    <t>mm 246</t>
  </si>
  <si>
    <t>Orog</t>
  </si>
  <si>
    <t>mm 247</t>
  </si>
  <si>
    <t>Quaggoth</t>
  </si>
  <si>
    <t>mm 256</t>
  </si>
  <si>
    <t>mm 263</t>
  </si>
  <si>
    <t>Svirfneblin</t>
  </si>
  <si>
    <t>mm 164</t>
  </si>
  <si>
    <t>Thri-kreen</t>
  </si>
  <si>
    <t>mm 288</t>
  </si>
  <si>
    <t>Troglodyte</t>
  </si>
  <si>
    <t>mm 290</t>
  </si>
  <si>
    <t>Werecreatues</t>
  </si>
  <si>
    <t>mm 208</t>
  </si>
  <si>
    <t>Yuan-ti</t>
  </si>
  <si>
    <t>mm 310</t>
  </si>
  <si>
    <t>IF YOU ADD ARCHETYPES:</t>
  </si>
  <si>
    <t>WARLOCK PATRONS</t>
  </si>
  <si>
    <t>1.  ADD THEM TO USER TAB</t>
  </si>
  <si>
    <t>2. update the COLUMNS searched in class level summary</t>
  </si>
  <si>
    <t>3. add COLUMN to archetype</t>
  </si>
  <si>
    <t>Archfey</t>
  </si>
  <si>
    <t>Great Old One</t>
  </si>
  <si>
    <t>Hexblade</t>
  </si>
  <si>
    <t>4 Add to math!class archetypes</t>
  </si>
  <si>
    <t>Archfey Patron, Fey Presence, Pact Magic</t>
  </si>
  <si>
    <t>Fiend Patron, Dark One's Blessing, Pact Magic</t>
  </si>
  <si>
    <t>Great Old One Patron, Awakened Mind, Pact Magic</t>
  </si>
  <si>
    <t>Exp. Spell List, Among the Dead, Pact Magic, Patron</t>
  </si>
  <si>
    <t>Exp.Spell List, Bon.Cantrips,Healing Light</t>
  </si>
  <si>
    <t>Expanded Spell List, Hexblade’s Curse,Hex Warrior</t>
  </si>
  <si>
    <t>5. Add to Math class archetype specializations</t>
  </si>
  <si>
    <t>Pact Boon</t>
  </si>
  <si>
    <t>Accursed Specter</t>
  </si>
  <si>
    <t>6. Update coding columns in features/traits level</t>
  </si>
  <si>
    <t>Dark One's Own Luck</t>
  </si>
  <si>
    <t>Entropic Ward</t>
  </si>
  <si>
    <t>Defy Death</t>
  </si>
  <si>
    <t>Radiant Soul</t>
  </si>
  <si>
    <t>Armor of Hexes</t>
  </si>
  <si>
    <t>Beguiling Defenses</t>
  </si>
  <si>
    <t>Fiendish Resilience</t>
  </si>
  <si>
    <t>Thought Shield</t>
  </si>
  <si>
    <t>Undying Nature</t>
  </si>
  <si>
    <t>Celestial Resilience</t>
  </si>
  <si>
    <t>Master of Hexes</t>
  </si>
  <si>
    <t>Dark Delirium</t>
  </si>
  <si>
    <t>Hurl Through Hell</t>
  </si>
  <si>
    <t>Create Thrall</t>
  </si>
  <si>
    <t>Indestructible Life</t>
  </si>
  <si>
    <t>Searing Vengeance</t>
  </si>
  <si>
    <t>WIZARD SCHOOLS / ARCANE TRADITION</t>
  </si>
  <si>
    <t>Abjuration</t>
  </si>
  <si>
    <t>Conjuration</t>
  </si>
  <si>
    <t>Divination</t>
  </si>
  <si>
    <t>Enchantment</t>
  </si>
  <si>
    <t>Evocation</t>
  </si>
  <si>
    <t>Illusion</t>
  </si>
  <si>
    <t>Necromancy</t>
  </si>
  <si>
    <t>Transmutation</t>
  </si>
  <si>
    <t>Bladesong</t>
  </si>
  <si>
    <t>Abjuration Savant, Arcane Ward</t>
  </si>
  <si>
    <t>Conjuration Savant, Minor Conjuration</t>
  </si>
  <si>
    <t>Divination Savant, Portent</t>
  </si>
  <si>
    <t>Enchantment Savant, Hypnotic Gaze</t>
  </si>
  <si>
    <t>Evocation Savant, Sculpt Spells</t>
  </si>
  <si>
    <t>Illusion Savant, Improved Minor Illusion</t>
  </si>
  <si>
    <t>Necromancy Savant, Grim Harvest</t>
  </si>
  <si>
    <t>Transmutation Savant, Minor Alchemy</t>
  </si>
  <si>
    <t>Bladesong Ability; Prof.Lt.Armor, Melee,Perform</t>
  </si>
  <si>
    <t>Arcane Deflection, Tactical Wit</t>
  </si>
  <si>
    <t>Project Ward</t>
  </si>
  <si>
    <t>Benign Transposition</t>
  </si>
  <si>
    <t>Expert Divination</t>
  </si>
  <si>
    <t>Instinctive Charm</t>
  </si>
  <si>
    <t>Potent Cantrip</t>
  </si>
  <si>
    <t>Malleable Illusions</t>
  </si>
  <si>
    <t>Undead Thralls</t>
  </si>
  <si>
    <t>Transmuter's Stone</t>
  </si>
  <si>
    <t>Extra attack</t>
  </si>
  <si>
    <t>Power Surge</t>
  </si>
  <si>
    <t>Improved Abjuration</t>
  </si>
  <si>
    <t>Focused Conjuration</t>
  </si>
  <si>
    <t>The Third Eye</t>
  </si>
  <si>
    <t>Split Enchantment</t>
  </si>
  <si>
    <t>Empowered Evocation</t>
  </si>
  <si>
    <t>Illusory Self</t>
  </si>
  <si>
    <t>Inured to Undeath</t>
  </si>
  <si>
    <t>Song of Defense</t>
  </si>
  <si>
    <t>Durable Magic</t>
  </si>
  <si>
    <t>Spell Resistance</t>
  </si>
  <si>
    <t>Durable Summons</t>
  </si>
  <si>
    <t>Greater Portent</t>
  </si>
  <si>
    <t>Alter Memories</t>
  </si>
  <si>
    <t>Overchannel</t>
  </si>
  <si>
    <t>Illusory Reality</t>
  </si>
  <si>
    <t>Command Undead</t>
  </si>
  <si>
    <t>Song of Victory</t>
  </si>
  <si>
    <t>Deflecting Shroud</t>
  </si>
  <si>
    <t>MYSTIC ORDERS</t>
  </si>
  <si>
    <t>MYSTIC QUIRKS</t>
  </si>
  <si>
    <t>RANDOM QUIRK</t>
  </si>
  <si>
    <t>You never cut your hair</t>
  </si>
  <si>
    <t>Avatar</t>
  </si>
  <si>
    <t>Awakened</t>
  </si>
  <si>
    <t>Immortal</t>
  </si>
  <si>
    <t>Nomad</t>
  </si>
  <si>
    <t>Soul Knife</t>
  </si>
  <si>
    <t>Wu Jen</t>
  </si>
  <si>
    <t>You refuse to wear clothes of a specific color</t>
  </si>
  <si>
    <t>Med. Armor/shield Prof, 2 Addl. psionic disciplines</t>
  </si>
  <si>
    <t>Awakend Talent,  2 Addl. psionic disciplines</t>
  </si>
  <si>
    <t>Immortal Durability, 2 Addl. psionic disciplines</t>
  </si>
  <si>
    <t>Breadth of Knowledge, 2 Addl. psionic disciplines</t>
  </si>
  <si>
    <t>Med. Armor &amp; Martial Weapons, Soul Knife</t>
  </si>
  <si>
    <t>Hermit's Study,  2 Addl. psionic disciplines</t>
  </si>
  <si>
    <t>You never say your name.</t>
  </si>
  <si>
    <t>Avatar of Battle</t>
  </si>
  <si>
    <t>Psionic Investigation</t>
  </si>
  <si>
    <t>Psionic Resilience</t>
  </si>
  <si>
    <t>Memory of One Thousand Steps</t>
  </si>
  <si>
    <t>Hone the Blade</t>
  </si>
  <si>
    <t>You never wear footwear.</t>
  </si>
  <si>
    <t>Avatar of Healing</t>
  </si>
  <si>
    <t>Psionic Surge</t>
  </si>
  <si>
    <t>Surge of Health</t>
  </si>
  <si>
    <t>Superior Teleportation</t>
  </si>
  <si>
    <t>Consumptive Knife</t>
  </si>
  <si>
    <t>Arcane Dabbler</t>
  </si>
  <si>
    <t>You always wear a mask.</t>
  </si>
  <si>
    <t>Avatar of Speed</t>
  </si>
  <si>
    <t>Spectral Form</t>
  </si>
  <si>
    <t>Immortal Will</t>
  </si>
  <si>
    <t>Effortless Journey</t>
  </si>
  <si>
    <t>Phantom Knife</t>
  </si>
  <si>
    <t>Elementary Mastery</t>
  </si>
  <si>
    <t>You dye your hair bright blue or green.</t>
  </si>
  <si>
    <t>You pick a new name each day.</t>
  </si>
  <si>
    <t>You never immerse yourself in water.</t>
  </si>
  <si>
    <t>Avatar Disciplines</t>
  </si>
  <si>
    <t>Awakened Disciplines</t>
  </si>
  <si>
    <t>Immortal Disciplines</t>
  </si>
  <si>
    <t>Nomad Disciplines</t>
  </si>
  <si>
    <t>Soul Knife Disciplines</t>
  </si>
  <si>
    <t>Wu Jen Disciplines</t>
  </si>
  <si>
    <t>You sleep on bare earth.</t>
  </si>
  <si>
    <t>Crown of Despair</t>
  </si>
  <si>
    <t>Aura Sight</t>
  </si>
  <si>
    <t>Addaptive Body</t>
  </si>
  <si>
    <t>Nomadic Arrow</t>
  </si>
  <si>
    <t>Mastery of Air</t>
  </si>
  <si>
    <t>You never consume alcohol.</t>
  </si>
  <si>
    <t>Crown of Disgust</t>
  </si>
  <si>
    <t>Intellect Fortress</t>
  </si>
  <si>
    <t>Bestial Form</t>
  </si>
  <si>
    <t>Nomadic Chameleon</t>
  </si>
  <si>
    <t>Mastery of Fire</t>
  </si>
  <si>
    <t>You wear a veil to conceal your face.</t>
  </si>
  <si>
    <t>Crown of Rage</t>
  </si>
  <si>
    <t>Mantle of Awe</t>
  </si>
  <si>
    <t>Brute Force</t>
  </si>
  <si>
    <t>Nomadic Mind</t>
  </si>
  <si>
    <t>Mastery of Force</t>
  </si>
  <si>
    <t>You always wear a specific piece of clothing.</t>
  </si>
  <si>
    <t>Mantle of Command</t>
  </si>
  <si>
    <t>Precognition</t>
  </si>
  <si>
    <t>Celerity</t>
  </si>
  <si>
    <t>Nomadic Step</t>
  </si>
  <si>
    <t>Mastery of Ice</t>
  </si>
  <si>
    <t>You refuse to light fires.</t>
  </si>
  <si>
    <t>Mantle of Courage</t>
  </si>
  <si>
    <t>Psychic Assault</t>
  </si>
  <si>
    <t>Corrosive Metabolism</t>
  </si>
  <si>
    <t>Third Eye</t>
  </si>
  <si>
    <t>Mastery of Light &amp; Dark</t>
  </si>
  <si>
    <t>You refuse to write things down, instead using pictograms.</t>
  </si>
  <si>
    <t>Mantle of Fear</t>
  </si>
  <si>
    <t>Psychic Disruption</t>
  </si>
  <si>
    <t>Diminution</t>
  </si>
  <si>
    <t>Mastery of Water</t>
  </si>
  <si>
    <t>You never sit on a chair, preferring to stand or sit on the floor.</t>
  </si>
  <si>
    <t>Mantle of Fury</t>
  </si>
  <si>
    <t>Psychic Inquisition</t>
  </si>
  <si>
    <t>Giant Growth</t>
  </si>
  <si>
    <t>Mastery of Weather</t>
  </si>
  <si>
    <t>You never answer to any name but your own.</t>
  </si>
  <si>
    <t>Mantle of Joy</t>
  </si>
  <si>
    <t>Psychic Phantoms</t>
  </si>
  <si>
    <t>Iron Durability</t>
  </si>
  <si>
    <t>Mastery of Wood &amp; Earth</t>
  </si>
  <si>
    <t>You write down the name of each creature you slay, and name ones that are unnamed.</t>
  </si>
  <si>
    <t>Telepathic Contact</t>
  </si>
  <si>
    <t>Psionic Restoration</t>
  </si>
  <si>
    <t>You consume only water and raw vegetables.</t>
  </si>
  <si>
    <t>Psionic Weapon</t>
  </si>
  <si>
    <t>You spend any money you earn within 1 week of gaining it.</t>
  </si>
  <si>
    <t>You often speak to an imaginary companion, and act only with its blessing.</t>
  </si>
  <si>
    <t>RANDOM MYSTIC TALENTS</t>
  </si>
  <si>
    <t>MYSTIC DISCIPLINES</t>
  </si>
  <si>
    <t>ALL MYSTIC DISCIPLINES</t>
  </si>
  <si>
    <t>RANDOM BY DISCIPLINE</t>
  </si>
  <si>
    <t>Beacon</t>
  </si>
  <si>
    <t>AVATAR</t>
  </si>
  <si>
    <t>Blade Meld</t>
  </si>
  <si>
    <t>Blind Spot</t>
  </si>
  <si>
    <t>Delusion</t>
  </si>
  <si>
    <t>Energy Beam</t>
  </si>
  <si>
    <t>Light Step</t>
  </si>
  <si>
    <t>Mind Meld</t>
  </si>
  <si>
    <t>Mind Slam</t>
  </si>
  <si>
    <t>Mind Thrust</t>
  </si>
  <si>
    <t>AWAKENED</t>
  </si>
  <si>
    <t>Mystic Charm</t>
  </si>
  <si>
    <t>Mystic Hand</t>
  </si>
  <si>
    <t>Psychic Hammer</t>
  </si>
  <si>
    <t>IMMORTAL</t>
  </si>
  <si>
    <t>NOMAD</t>
  </si>
  <si>
    <t>SOUL KNIFE - WU JEN</t>
  </si>
  <si>
    <t>Agonizing Blast</t>
  </si>
  <si>
    <t>Ranking</t>
  </si>
  <si>
    <t>Armor of Shadows</t>
  </si>
  <si>
    <t>Beast Speech</t>
  </si>
  <si>
    <t>Beguiling Influence</t>
  </si>
  <si>
    <t>Devils Sight</t>
  </si>
  <si>
    <t>Eldritch Sight</t>
  </si>
  <si>
    <t>Eyes of the Rune Keeper</t>
  </si>
  <si>
    <t>Fiendish Vigor</t>
  </si>
  <si>
    <t>Gaze of Two Minds</t>
  </si>
  <si>
    <t xml:space="preserve">Need to fix duplicate choices. </t>
  </si>
  <si>
    <t>Mask of Many Faces</t>
  </si>
  <si>
    <t>Occasionally duplicates get picked - need to fix this</t>
  </si>
  <si>
    <t>Misty Visions</t>
  </si>
  <si>
    <t>Repelling Blast</t>
  </si>
  <si>
    <t>Thief of Five Fates</t>
  </si>
  <si>
    <t>Mire the Mind</t>
  </si>
  <si>
    <t>One with Shadows</t>
  </si>
  <si>
    <t>Sign of Ill Omen</t>
  </si>
  <si>
    <t>Bewitching Whispers</t>
  </si>
  <si>
    <t>Dreadful Word</t>
  </si>
  <si>
    <t>Sculptor of Flesh</t>
  </si>
  <si>
    <t>Ascendant Step</t>
  </si>
  <si>
    <t>Minions of Chaos</t>
  </si>
  <si>
    <t>Otherworldly Leap</t>
  </si>
  <si>
    <t>Whispers of the Grave</t>
  </si>
  <si>
    <t>Master of Many Faces</t>
  </si>
  <si>
    <t>Visions of Distant Realms</t>
  </si>
  <si>
    <t>Witch Sight</t>
  </si>
  <si>
    <t>RACIAL SKILLS</t>
  </si>
  <si>
    <t>SKILLS BY CLASS CALCULATION</t>
  </si>
  <si>
    <t>RACE</t>
  </si>
  <si>
    <t>SKILL#</t>
  </si>
  <si>
    <t>SKILL-1</t>
  </si>
  <si>
    <t>SKILL-2</t>
  </si>
  <si>
    <t>Acrobatics</t>
  </si>
  <si>
    <t>High elf</t>
  </si>
  <si>
    <t>Animal Handling</t>
  </si>
  <si>
    <t>Wood elf</t>
  </si>
  <si>
    <t>Hum var.</t>
  </si>
  <si>
    <t>Athletics</t>
  </si>
  <si>
    <t>Half elf</t>
  </si>
  <si>
    <t>Deception</t>
  </si>
  <si>
    <t>Half orc</t>
  </si>
  <si>
    <t>History</t>
  </si>
  <si>
    <t>RANK</t>
  </si>
  <si>
    <t>Insight</t>
  </si>
  <si>
    <t>eladrin</t>
  </si>
  <si>
    <t>Intimidation</t>
  </si>
  <si>
    <t>Investigation</t>
  </si>
  <si>
    <t>Medicine</t>
  </si>
  <si>
    <t>Perception</t>
  </si>
  <si>
    <t>Performance</t>
  </si>
  <si>
    <t>Persuasion</t>
  </si>
  <si>
    <t>Religion</t>
  </si>
  <si>
    <t>Sleight of Hand</t>
  </si>
  <si>
    <t>Stealth</t>
  </si>
  <si>
    <t>Survival</t>
  </si>
  <si>
    <t>RANDOM</t>
  </si>
  <si>
    <t>RAND</t>
  </si>
  <si>
    <t>Var Human</t>
  </si>
  <si>
    <t>HALF ELF#</t>
  </si>
  <si>
    <t>H Elf List</t>
  </si>
  <si>
    <t>H Elf Rand</t>
  </si>
  <si>
    <t>BARBARIAN#</t>
  </si>
  <si>
    <t>Bbn List</t>
  </si>
  <si>
    <t>Bbn Rnd</t>
  </si>
  <si>
    <t>BARD#</t>
  </si>
  <si>
    <t>Brd List</t>
  </si>
  <si>
    <t>Brd Rnd</t>
  </si>
  <si>
    <t>CLERIC#</t>
  </si>
  <si>
    <t>Clr List</t>
  </si>
  <si>
    <t xml:space="preserve">Clr Rnd </t>
  </si>
  <si>
    <t>DRUID#</t>
  </si>
  <si>
    <t>Drd List</t>
  </si>
  <si>
    <t>Drd Rnd</t>
  </si>
  <si>
    <t>FIGHTER#</t>
  </si>
  <si>
    <t>Fgt List</t>
  </si>
  <si>
    <t>Ftr Rnd</t>
  </si>
  <si>
    <t>MONK#</t>
  </si>
  <si>
    <t>Mnk List</t>
  </si>
  <si>
    <t>Mnk Rnd</t>
  </si>
  <si>
    <t>PALADIN#</t>
  </si>
  <si>
    <t>Pal List</t>
  </si>
  <si>
    <t>Pal Rnd</t>
  </si>
  <si>
    <t>RANGER#</t>
  </si>
  <si>
    <t>Rgr List</t>
  </si>
  <si>
    <t>Rgr Rnd</t>
  </si>
  <si>
    <t>ROGUE#</t>
  </si>
  <si>
    <t>Rog List</t>
  </si>
  <si>
    <t>Rog Rnd</t>
  </si>
  <si>
    <t>SORCERER#</t>
  </si>
  <si>
    <t>Sor List</t>
  </si>
  <si>
    <t>Sor Rnd</t>
  </si>
  <si>
    <t>WARLOCK#</t>
  </si>
  <si>
    <t>Wlk List</t>
  </si>
  <si>
    <t>Wlk Rnd</t>
  </si>
  <si>
    <t>WIZARD#</t>
  </si>
  <si>
    <t>Wiz List</t>
  </si>
  <si>
    <t>Wiz Rnd</t>
  </si>
  <si>
    <t>MYSTIC#</t>
  </si>
  <si>
    <t>Mystic List</t>
  </si>
  <si>
    <t>Mystic Rnd</t>
  </si>
  <si>
    <t>SKILL</t>
  </si>
  <si>
    <t>&lt;==  Human Variant - NOT IMPLEMENTED</t>
  </si>
  <si>
    <t>CLASS - SKILLS</t>
  </si>
  <si>
    <t>RACE - SKILLS</t>
  </si>
  <si>
    <t>WEAPON PROFICIENCY</t>
  </si>
  <si>
    <t>SKILLS</t>
  </si>
  <si>
    <t>RACE NUMBER</t>
  </si>
  <si>
    <t>SIMPLE  WEAPONS</t>
  </si>
  <si>
    <t>SIMPLE RANGED WEAPONS</t>
  </si>
  <si>
    <t>MARTIAL  MELEE  WEAPONS</t>
  </si>
  <si>
    <t>MARTIAL RANGED  WEAPONS</t>
  </si>
  <si>
    <t xml:space="preserve">SKILL </t>
  </si>
  <si>
    <t>Ability +</t>
  </si>
  <si>
    <t>Class +2</t>
  </si>
  <si>
    <t>Bckgd</t>
  </si>
  <si>
    <t>Proficiency</t>
  </si>
  <si>
    <t xml:space="preserve"> other</t>
  </si>
  <si>
    <t>ABILITY</t>
  </si>
  <si>
    <t>High Elf</t>
  </si>
  <si>
    <t>Wood Elf</t>
  </si>
  <si>
    <t>Human V.</t>
  </si>
  <si>
    <t>Half Elf</t>
  </si>
  <si>
    <t>Half Orc</t>
  </si>
  <si>
    <t>Dark Elf</t>
  </si>
  <si>
    <t>Ela. Elf</t>
  </si>
  <si>
    <t># cl skills</t>
  </si>
  <si>
    <t>Handaxe</t>
  </si>
  <si>
    <t>Lgt. Hammer</t>
  </si>
  <si>
    <t>Unarmed</t>
  </si>
  <si>
    <t>Lgt. X-bow</t>
  </si>
  <si>
    <t>Dart</t>
  </si>
  <si>
    <t>Flail</t>
  </si>
  <si>
    <t>Halberd</t>
  </si>
  <si>
    <t>Lance</t>
  </si>
  <si>
    <t>Maul</t>
  </si>
  <si>
    <t>Blowgun</t>
  </si>
  <si>
    <t>Hand X-bow</t>
  </si>
  <si>
    <t>Heavy X-bow</t>
  </si>
  <si>
    <t>pick</t>
  </si>
  <si>
    <t>Hill Dwarf</t>
  </si>
  <si>
    <t>Mountain Dwarf</t>
  </si>
  <si>
    <t>Lightfoot Halfling</t>
  </si>
  <si>
    <t>Stout Halfling</t>
  </si>
  <si>
    <t>Indimidation</t>
  </si>
  <si>
    <t>Human (Calishite)</t>
  </si>
  <si>
    <t>Human (Chondathan)</t>
  </si>
  <si>
    <t>Human (Damaran)</t>
  </si>
  <si>
    <t>Human (Illuskan)</t>
  </si>
  <si>
    <t>Human (Mulan)</t>
  </si>
  <si>
    <t>LANGUAGE</t>
  </si>
  <si>
    <t>LANGUAGES</t>
  </si>
  <si>
    <t>Human (Rashemi)</t>
  </si>
  <si>
    <t>IDENTIFY</t>
  </si>
  <si>
    <t>Common</t>
  </si>
  <si>
    <t>All Races</t>
  </si>
  <si>
    <t>Human (Shou)</t>
  </si>
  <si>
    <t>Backgroud</t>
  </si>
  <si>
    <t>Elvish</t>
  </si>
  <si>
    <t>Human (Tehyrian-Chondathan)</t>
  </si>
  <si>
    <t>ARCHTYPE</t>
  </si>
  <si>
    <t>Dwarvish</t>
  </si>
  <si>
    <t>Human (Turami)</t>
  </si>
  <si>
    <t>Human (Variant)</t>
  </si>
  <si>
    <t>Gnomish</t>
  </si>
  <si>
    <t>Forest Gnome</t>
  </si>
  <si>
    <t>Rock Gnome</t>
  </si>
  <si>
    <t>Halfling</t>
  </si>
  <si>
    <t>Half-elf</t>
  </si>
  <si>
    <t>QC CHECK - Class:</t>
  </si>
  <si>
    <t>Half-orc</t>
  </si>
  <si>
    <t>QC CHECK - back:</t>
  </si>
  <si>
    <t>Abyssal</t>
  </si>
  <si>
    <t>Tiefling</t>
  </si>
  <si>
    <t>QC CHECK - Rolled Class:</t>
  </si>
  <si>
    <t>Dragonborn</t>
  </si>
  <si>
    <t>QC CHECK - Race:</t>
  </si>
  <si>
    <t>Draconic</t>
  </si>
  <si>
    <t>Race bonus skill 1:</t>
  </si>
  <si>
    <t>Deep Speech</t>
  </si>
  <si>
    <t>Eladrin (Elf)</t>
  </si>
  <si>
    <t>Race bonus skill 2:</t>
  </si>
  <si>
    <t>Infernal</t>
  </si>
  <si>
    <t>Aasimar</t>
  </si>
  <si>
    <t>Primordial</t>
  </si>
  <si>
    <t>Air Genasi</t>
  </si>
  <si>
    <t>Sylvan</t>
  </si>
  <si>
    <t>Earth Genasi</t>
  </si>
  <si>
    <t>Undercommon</t>
  </si>
  <si>
    <t>Fire Genasi</t>
  </si>
  <si>
    <t>Thieves Cant</t>
  </si>
  <si>
    <t>Water Genasi</t>
  </si>
  <si>
    <t>Archery Bonus</t>
  </si>
  <si>
    <t>Druidic</t>
  </si>
  <si>
    <t>Defense Bonus</t>
  </si>
  <si>
    <t>This table ensures there are no duplicate skills (Does occasionally happen with 1/2 elf rogue)</t>
  </si>
  <si>
    <t>BACKGROUND - 1</t>
  </si>
  <si>
    <t>RACE - 1</t>
  </si>
  <si>
    <t>Dueling Bonus</t>
  </si>
  <si>
    <t>BACKGROUND - 2</t>
  </si>
  <si>
    <t>RACE - 2</t>
  </si>
  <si>
    <t>RACE - 3</t>
  </si>
  <si>
    <t>Two-Weapon  Bonus</t>
  </si>
  <si>
    <t>CLASS NO.</t>
  </si>
  <si>
    <t>SIMPLE WEAPONS</t>
  </si>
  <si>
    <t>WEAPON PREFERENCE</t>
  </si>
  <si>
    <t>ALL WEAPONS</t>
  </si>
  <si>
    <t>SIMP. WEAPONS</t>
  </si>
  <si>
    <t>S. RANG.  WEAPONS</t>
  </si>
  <si>
    <t>MARTIAL WEAPONS</t>
  </si>
  <si>
    <t>MARTIAL R. WEAPONS</t>
  </si>
  <si>
    <t>ROW</t>
  </si>
  <si>
    <t>When adding new races or classes "all weapons" cells need to be expanded</t>
  </si>
  <si>
    <t>MARTIAL RANG. WEAPONS</t>
  </si>
  <si>
    <t>Spells</t>
  </si>
  <si>
    <t>LVL - 1</t>
  </si>
  <si>
    <t>LVL - 2</t>
  </si>
  <si>
    <t>LVL - 3</t>
  </si>
  <si>
    <t>LVL - 4</t>
  </si>
  <si>
    <t>LVL - 5</t>
  </si>
  <si>
    <t>LVL - 6</t>
  </si>
  <si>
    <t>LVL - 7</t>
  </si>
  <si>
    <t>LVL - 8</t>
  </si>
  <si>
    <t>LVL - 9</t>
  </si>
  <si>
    <t>LVL - 10</t>
  </si>
  <si>
    <t>LVL - 11</t>
  </si>
  <si>
    <t>LVL - 12</t>
  </si>
  <si>
    <t>LVL - 13</t>
  </si>
  <si>
    <t>LVL - 14</t>
  </si>
  <si>
    <t>LVL - 15</t>
  </si>
  <si>
    <t>LVL - 16</t>
  </si>
  <si>
    <t>LVL - 17</t>
  </si>
  <si>
    <t>LVL - 18</t>
  </si>
  <si>
    <t>LVL - 19</t>
  </si>
  <si>
    <t>LVL - 20</t>
  </si>
  <si>
    <t>HYPERLINK TO SPELLBOOKS</t>
  </si>
  <si>
    <t>Class List</t>
  </si>
  <si>
    <t>BARD SPELLBOOK</t>
  </si>
  <si>
    <t>CLERIC SPELLBOOK</t>
  </si>
  <si>
    <t>DRUID SPELLBOOK</t>
  </si>
  <si>
    <t>ELDRITCH KNIGHT SPELLBOOK</t>
  </si>
  <si>
    <t>Spells from Elemental Evil (EE)</t>
  </si>
  <si>
    <t>PALADIN SPELLBOOK</t>
  </si>
  <si>
    <t>RANGER SPELLBOOK</t>
  </si>
  <si>
    <t>ARCANE TRICKSTER SPELLBOOK</t>
  </si>
  <si>
    <t>SORCEROR SPELLBOOK</t>
  </si>
  <si>
    <t>WARLOCK SPELLBOOK</t>
  </si>
  <si>
    <t>WIZARD SPELLBOOK</t>
  </si>
  <si>
    <t xml:space="preserve"> BARD - CANTRIPS</t>
  </si>
  <si>
    <t xml:space="preserve"> BARD - FIRST LEVEL SPELLS</t>
  </si>
  <si>
    <t>BARD - SECOND LEVEL SPELLS</t>
  </si>
  <si>
    <t>BARD - THIRD LEVEL SPELLS</t>
  </si>
  <si>
    <t xml:space="preserve"> BARD - FOURTH LEVEL SPELLS</t>
  </si>
  <si>
    <t xml:space="preserve"> BARD - FIFTH LEVEL SPELLS</t>
  </si>
  <si>
    <t xml:space="preserve"> BARD - SIXTH LEVEL SPELLS</t>
  </si>
  <si>
    <t xml:space="preserve"> BARD - SEVENTH LEVEL SPELLS</t>
  </si>
  <si>
    <t xml:space="preserve"> BARD - EIGHTH LEVEL SPELLS</t>
  </si>
  <si>
    <t xml:space="preserve"> BARD - NINTH LEVEL SPELLS</t>
  </si>
  <si>
    <t>#Spells</t>
  </si>
  <si>
    <t>Spell Count</t>
  </si>
  <si>
    <t>CANTRIPS</t>
  </si>
  <si>
    <t>RANDOM CANTRIPS</t>
  </si>
  <si>
    <t>FIRST</t>
  </si>
  <si>
    <t>RANDOM SPELLS</t>
  </si>
  <si>
    <t>SECOND</t>
  </si>
  <si>
    <t>THIRD</t>
  </si>
  <si>
    <t>FOURTH</t>
  </si>
  <si>
    <t>FIFTH</t>
  </si>
  <si>
    <t>SIXTH</t>
  </si>
  <si>
    <t>SEVENTH</t>
  </si>
  <si>
    <t>EIGHTH</t>
  </si>
  <si>
    <t>NINTH</t>
  </si>
  <si>
    <t>Chosen</t>
  </si>
  <si>
    <t>Blade Ward</t>
  </si>
  <si>
    <t>Animal Friendship</t>
  </si>
  <si>
    <t>Animal Messenger</t>
  </si>
  <si>
    <t>Bestow Curse</t>
  </si>
  <si>
    <t>Compulsion</t>
  </si>
  <si>
    <t>Animate Object</t>
  </si>
  <si>
    <t>Eyebite</t>
  </si>
  <si>
    <t>Dominate Monster</t>
  </si>
  <si>
    <t>Foresight</t>
  </si>
  <si>
    <t>Dancing Lights</t>
  </si>
  <si>
    <t>Bane</t>
  </si>
  <si>
    <t>Blindness/Deafness</t>
  </si>
  <si>
    <t>Clairvoyance</t>
  </si>
  <si>
    <t>Confusion</t>
  </si>
  <si>
    <t>Awaken</t>
  </si>
  <si>
    <t>Find the Path</t>
  </si>
  <si>
    <t>Forcecage</t>
  </si>
  <si>
    <t>Feeblemind</t>
  </si>
  <si>
    <t>Power Word Heal</t>
  </si>
  <si>
    <t>Friends</t>
  </si>
  <si>
    <t>Charm Person</t>
  </si>
  <si>
    <t>Calm Emotions</t>
  </si>
  <si>
    <t>Dispel Magic</t>
  </si>
  <si>
    <t>Dimension Door</t>
  </si>
  <si>
    <t>Dominate Person</t>
  </si>
  <si>
    <t>Guards and Wards</t>
  </si>
  <si>
    <t>Mirage Arcane</t>
  </si>
  <si>
    <t>Glibness</t>
  </si>
  <si>
    <t>Power Word Kill</t>
  </si>
  <si>
    <t>Comprehend Languages</t>
  </si>
  <si>
    <t>Cloud of Daggers</t>
  </si>
  <si>
    <t>Fear</t>
  </si>
  <si>
    <t>Dream</t>
  </si>
  <si>
    <t>Mass Suggestion</t>
  </si>
  <si>
    <t>Mordekainen's Magnificent Mansion</t>
  </si>
  <si>
    <t>Mind Blank</t>
  </si>
  <si>
    <t>True Polymorph</t>
  </si>
  <si>
    <t>Mage hand</t>
  </si>
  <si>
    <t>Cure Wounds</t>
  </si>
  <si>
    <t>Crown of Madness</t>
  </si>
  <si>
    <t>Feign Death</t>
  </si>
  <si>
    <t>Greater Invisibility</t>
  </si>
  <si>
    <t>Geas</t>
  </si>
  <si>
    <t>Otto's Irresistible Dance</t>
  </si>
  <si>
    <t>Mordekainen's Sword</t>
  </si>
  <si>
    <t>Power Word Stun</t>
  </si>
  <si>
    <t>Mending</t>
  </si>
  <si>
    <t>Detect Magic</t>
  </si>
  <si>
    <t>Detect Thoughts</t>
  </si>
  <si>
    <t>Glyph of Warding</t>
  </si>
  <si>
    <t>Hallucinatory Terrain</t>
  </si>
  <si>
    <t>Greater Restoration</t>
  </si>
  <si>
    <t>Programmed Illusion</t>
  </si>
  <si>
    <t>Project Image</t>
  </si>
  <si>
    <t>Message</t>
  </si>
  <si>
    <t>Disguise Self</t>
  </si>
  <si>
    <t>Enhance Ability</t>
  </si>
  <si>
    <t>Hypnotic Pattern</t>
  </si>
  <si>
    <t>Locate Creature</t>
  </si>
  <si>
    <t>Hold Monster</t>
  </si>
  <si>
    <t>True Seeing</t>
  </si>
  <si>
    <t>Regenerate</t>
  </si>
  <si>
    <t>Minor Illusion</t>
  </si>
  <si>
    <t>Dissonant Whispers</t>
  </si>
  <si>
    <t>Enthrall</t>
  </si>
  <si>
    <t>Leomund's Tiny Hut</t>
  </si>
  <si>
    <t>Polymorph</t>
  </si>
  <si>
    <t>Legend Lore</t>
  </si>
  <si>
    <t>Resurrection</t>
  </si>
  <si>
    <t>Prestidgitation</t>
  </si>
  <si>
    <t>Earth Tremors</t>
  </si>
  <si>
    <t>Heat Metal</t>
  </si>
  <si>
    <t>Major Image</t>
  </si>
  <si>
    <t>Mass Cure Wounds</t>
  </si>
  <si>
    <t>Symbol</t>
  </si>
  <si>
    <t>Thunder Clap</t>
  </si>
  <si>
    <t>Faerie Fire</t>
  </si>
  <si>
    <t>Hold Person</t>
  </si>
  <si>
    <t>Nondetection</t>
  </si>
  <si>
    <t>Mislead</t>
  </si>
  <si>
    <t>True Strike</t>
  </si>
  <si>
    <t>Feather Fall</t>
  </si>
  <si>
    <t>Plant Growth</t>
  </si>
  <si>
    <t>Modify Memory</t>
  </si>
  <si>
    <t>Vicious Mockery</t>
  </si>
  <si>
    <t>Healing Word</t>
  </si>
  <si>
    <t>Knock</t>
  </si>
  <si>
    <t>Sending</t>
  </si>
  <si>
    <t>Planar Binding</t>
  </si>
  <si>
    <t>Heroism</t>
  </si>
  <si>
    <t>Lesser Restoration</t>
  </si>
  <si>
    <t>Speak with Dead</t>
  </si>
  <si>
    <t>Raise Dead</t>
  </si>
  <si>
    <t>Identify</t>
  </si>
  <si>
    <t>Locate Animals or Plants</t>
  </si>
  <si>
    <t>Speak with Plants</t>
  </si>
  <si>
    <t>Scrying</t>
  </si>
  <si>
    <t>Illusory Script</t>
  </si>
  <si>
    <t>Locate Object</t>
  </si>
  <si>
    <t>Stinking Cloud</t>
  </si>
  <si>
    <t>Seeming</t>
  </si>
  <si>
    <t>Longstrider</t>
  </si>
  <si>
    <t>Magic Mouth</t>
  </si>
  <si>
    <t>Tongues</t>
  </si>
  <si>
    <t>Teleportation Circle</t>
  </si>
  <si>
    <t>Silent Image</t>
  </si>
  <si>
    <t>Phantasmal Force</t>
  </si>
  <si>
    <t>Sleep</t>
  </si>
  <si>
    <t>Pyrotechnics</t>
  </si>
  <si>
    <t>Speak with Animals</t>
  </si>
  <si>
    <t>See Invisibility</t>
  </si>
  <si>
    <t>Tasha's Hideous Laughter</t>
  </si>
  <si>
    <t>Shatter</t>
  </si>
  <si>
    <t>Thunderwave</t>
  </si>
  <si>
    <t>Silence</t>
  </si>
  <si>
    <t>Unseen Servant</t>
  </si>
  <si>
    <t>Skywrite</t>
  </si>
  <si>
    <t>Suggestion</t>
  </si>
  <si>
    <t>Warding Wind</t>
  </si>
  <si>
    <t>Zone of Truth</t>
  </si>
  <si>
    <t>RETURN TO TOP</t>
  </si>
  <si>
    <t xml:space="preserve"> CLERIC - CANTRIPS</t>
  </si>
  <si>
    <t xml:space="preserve"> CLERIC - FIRST LEVEL SPELLS</t>
  </si>
  <si>
    <t xml:space="preserve">  CLERIC - SECOND LEVEL SPELLS</t>
  </si>
  <si>
    <t xml:space="preserve">   CLERIC - THIRD LEVEL SPELLS</t>
  </si>
  <si>
    <t>CLERIC - FOURTH LEVEL SPELLS</t>
  </si>
  <si>
    <t>CLERIC - FIFTH LEVEL SPELLS</t>
  </si>
  <si>
    <t xml:space="preserve"> CLERIC - SIXTH LEVEL SPELLS</t>
  </si>
  <si>
    <t xml:space="preserve"> CLERIC - SEVENTH LEVEL SPELLS</t>
  </si>
  <si>
    <t xml:space="preserve">  CLERIC - EIGHTH LEVEL SPELLS </t>
  </si>
  <si>
    <t xml:space="preserve">  CLERIC - NINETH LEVEL SPELLS </t>
  </si>
  <si>
    <t>ALL CANTRIPS</t>
  </si>
  <si>
    <t>Rank  Count</t>
  </si>
  <si>
    <t>ALL FIRST LVL. SPELLS</t>
  </si>
  <si>
    <t>ALL FIRST</t>
  </si>
  <si>
    <t>RANDOMLY CHOSEN</t>
  </si>
  <si>
    <t>ALL THIRD LVL. SPELLS</t>
  </si>
  <si>
    <t>ALL FOURTH LVL. SPELLS</t>
  </si>
  <si>
    <t>LEVEL 4 - FINAL SPELL LIST</t>
  </si>
  <si>
    <t>ALL FIFTH LVL. SPELLS</t>
  </si>
  <si>
    <t>LVL. 5 - FINAL SPELL</t>
  </si>
  <si>
    <t>LVL. 6 - FINAL SPELL</t>
  </si>
  <si>
    <t>LVL. 7 - FINAL SPELL</t>
  </si>
  <si>
    <t>LVL. 8 - FINAL SPELL</t>
  </si>
  <si>
    <t>NINETH</t>
  </si>
  <si>
    <t>LVL. 9 - FINAL SPELL</t>
  </si>
  <si>
    <t>Guidance</t>
  </si>
  <si>
    <t>Aid</t>
  </si>
  <si>
    <t>Animate Dead</t>
  </si>
  <si>
    <t>Banishment</t>
  </si>
  <si>
    <t>Commune</t>
  </si>
  <si>
    <t>Blade Barrier</t>
  </si>
  <si>
    <t>Conjure Celestial</t>
  </si>
  <si>
    <t>Antimagic Field</t>
  </si>
  <si>
    <t>Astral Projection</t>
  </si>
  <si>
    <t>Command</t>
  </si>
  <si>
    <t>Bless</t>
  </si>
  <si>
    <t>Burning Hands</t>
  </si>
  <si>
    <t>Fog Cloud</t>
  </si>
  <si>
    <t>Divine Favor</t>
  </si>
  <si>
    <t>Augury</t>
  </si>
  <si>
    <t>Beacon of Hope</t>
  </si>
  <si>
    <t>Control Water</t>
  </si>
  <si>
    <t>Contagion</t>
  </si>
  <si>
    <t>Create Undead</t>
  </si>
  <si>
    <t>Divine Word</t>
  </si>
  <si>
    <t>Control Weather</t>
  </si>
  <si>
    <t>Gate</t>
  </si>
  <si>
    <t>Shield of Faith</t>
  </si>
  <si>
    <t>Death Ward</t>
  </si>
  <si>
    <t>Dispel Evil and Good</t>
  </si>
  <si>
    <t>Earthquake</t>
  </si>
  <si>
    <t>Mass Heal</t>
  </si>
  <si>
    <t>Flaming Sphere</t>
  </si>
  <si>
    <t>Barkskin</t>
  </si>
  <si>
    <t>Gust of Wind</t>
  </si>
  <si>
    <t>Mirror Image</t>
  </si>
  <si>
    <t>Magic Weapon</t>
  </si>
  <si>
    <t>Resistance</t>
  </si>
  <si>
    <t>Create or Destroy Water</t>
  </si>
  <si>
    <t>Flame Strike</t>
  </si>
  <si>
    <t>Forbiddance</t>
  </si>
  <si>
    <t>Fire Storm</t>
  </si>
  <si>
    <t>Holy Aura</t>
  </si>
  <si>
    <t>Prismatic Wall</t>
  </si>
  <si>
    <t>Spiritual Weapon</t>
  </si>
  <si>
    <t>Scorching Ray</t>
  </si>
  <si>
    <t>Spike Growth</t>
  </si>
  <si>
    <t>Pass without Trace</t>
  </si>
  <si>
    <t>SpirItual Weapon</t>
  </si>
  <si>
    <t>Sacred Flame</t>
  </si>
  <si>
    <t>Continual Flame</t>
  </si>
  <si>
    <t>Create Food and Water</t>
  </si>
  <si>
    <t>Harm</t>
  </si>
  <si>
    <t>Plane Shift</t>
  </si>
  <si>
    <t>Daylight</t>
  </si>
  <si>
    <t>Call Lightning</t>
  </si>
  <si>
    <t>Blink</t>
  </si>
  <si>
    <t>Crusader's Mantle</t>
  </si>
  <si>
    <t>Spare the Dying</t>
  </si>
  <si>
    <t>Detect Evil and Good</t>
  </si>
  <si>
    <t>Guardian of Faith</t>
  </si>
  <si>
    <t>Heal</t>
  </si>
  <si>
    <t>Revivify</t>
  </si>
  <si>
    <t>Fireball</t>
  </si>
  <si>
    <t>Wind Wall</t>
  </si>
  <si>
    <t>Sleet Storm</t>
  </si>
  <si>
    <t>Spirit Guardian</t>
  </si>
  <si>
    <t>Thaumaturgy</t>
  </si>
  <si>
    <t>Find Traps</t>
  </si>
  <si>
    <t>Hallow</t>
  </si>
  <si>
    <t>Heroes's Feast</t>
  </si>
  <si>
    <t>Arcane Eye</t>
  </si>
  <si>
    <t>Dominate Beast</t>
  </si>
  <si>
    <t>Dimensional Door</t>
  </si>
  <si>
    <t>Detect Poison and Disease</t>
  </si>
  <si>
    <t>Gentle Repose</t>
  </si>
  <si>
    <t>Stone Shape</t>
  </si>
  <si>
    <t>Insect Plague</t>
  </si>
  <si>
    <t>Planar Ally</t>
  </si>
  <si>
    <t>Wall of Fire</t>
  </si>
  <si>
    <t>Grasping Vine</t>
  </si>
  <si>
    <t>Ice Storm</t>
  </si>
  <si>
    <t>Stoneskin</t>
  </si>
  <si>
    <t>Guiding Bolt</t>
  </si>
  <si>
    <t>Destructive Wave</t>
  </si>
  <si>
    <t>Magic Circle</t>
  </si>
  <si>
    <t>Word of Recall</t>
  </si>
  <si>
    <t>Inflict Wounds</t>
  </si>
  <si>
    <t>Mass Healing Word</t>
  </si>
  <si>
    <t>Protection From Evil and Good</t>
  </si>
  <si>
    <t>Prayer of Healing</t>
  </si>
  <si>
    <t>Meld Into Stone</t>
  </si>
  <si>
    <t>Purify Food and Drink</t>
  </si>
  <si>
    <t>Protection From Poison</t>
  </si>
  <si>
    <t>Protection From Energy</t>
  </si>
  <si>
    <t>Sanctuary</t>
  </si>
  <si>
    <t>Remove Curse</t>
  </si>
  <si>
    <t>Warding Bond</t>
  </si>
  <si>
    <t>Water Walk</t>
  </si>
  <si>
    <t xml:space="preserve"> DRUID - CANTRIPS</t>
  </si>
  <si>
    <t xml:space="preserve"> DRUID - FIRST LEVEL SPELLS</t>
  </si>
  <si>
    <t xml:space="preserve"> DRUID - SECOND LEVEL SPELLS</t>
  </si>
  <si>
    <t xml:space="preserve"> DRUID - THIRD LEVEL SPELLS</t>
  </si>
  <si>
    <t xml:space="preserve"> DRUID - FOURTH LEVEL SPELLS</t>
  </si>
  <si>
    <t xml:space="preserve"> DRUID - FIFTH LEVEL SPELLS</t>
  </si>
  <si>
    <t xml:space="preserve"> DRUID - SIXTH LEVEL SPELLS</t>
  </si>
  <si>
    <t xml:space="preserve"> DRUID - SEVENTH LEVEL SPELLS</t>
  </si>
  <si>
    <t xml:space="preserve"> DRUID - EIGHTH LEVEL SPELLS</t>
  </si>
  <si>
    <t xml:space="preserve"> DRUID - NINETH LEVEL SPELLS</t>
  </si>
  <si>
    <t>DRUID : CIRCLE OF THE LAND</t>
  </si>
  <si>
    <t>Control Flames</t>
  </si>
  <si>
    <t>Absorb Elements</t>
  </si>
  <si>
    <t>Blight</t>
  </si>
  <si>
    <t>Antilife Shell</t>
  </si>
  <si>
    <t>Bones of the Earth</t>
  </si>
  <si>
    <t>Animal Shapes</t>
  </si>
  <si>
    <t>Blur</t>
  </si>
  <si>
    <t>Melf's Acid Arrow</t>
  </si>
  <si>
    <t>Create Bonfire</t>
  </si>
  <si>
    <t>Conjure Animals</t>
  </si>
  <si>
    <t>Conjure Fey</t>
  </si>
  <si>
    <t>Antipathy/Sympathy</t>
  </si>
  <si>
    <t>Shapechange</t>
  </si>
  <si>
    <t>Misty Step</t>
  </si>
  <si>
    <t>Darkness</t>
  </si>
  <si>
    <t>Web</t>
  </si>
  <si>
    <t>Druidcraft</t>
  </si>
  <si>
    <t>Beast Bond</t>
  </si>
  <si>
    <t>Beast Sense</t>
  </si>
  <si>
    <t>Conjure Minor Elementals</t>
  </si>
  <si>
    <t>Commune with Nature</t>
  </si>
  <si>
    <t>Storm of Vengeance</t>
  </si>
  <si>
    <t>Create Food &amp; Water</t>
  </si>
  <si>
    <t>Lightning Bolt</t>
  </si>
  <si>
    <t>Water Walking</t>
  </si>
  <si>
    <t>Gaseous Form</t>
  </si>
  <si>
    <t>Frostbite</t>
  </si>
  <si>
    <t>Darkvision</t>
  </si>
  <si>
    <t>Conjure Woodland Beings</t>
  </si>
  <si>
    <t>Conjure Elemental</t>
  </si>
  <si>
    <t>True Resurrection</t>
  </si>
  <si>
    <t>Slow</t>
  </si>
  <si>
    <t>Protection from Energy</t>
  </si>
  <si>
    <t>Haste</t>
  </si>
  <si>
    <t>Meld into Stone</t>
  </si>
  <si>
    <t>Dust Devil</t>
  </si>
  <si>
    <t>Erupting Earth</t>
  </si>
  <si>
    <t>Reverse Gravity</t>
  </si>
  <si>
    <t>Gust</t>
  </si>
  <si>
    <t>Earthbind</t>
  </si>
  <si>
    <t>Control Winds</t>
  </si>
  <si>
    <t>Investiture of Flame</t>
  </si>
  <si>
    <t>Whirlwind</t>
  </si>
  <si>
    <t>Sunburst</t>
  </si>
  <si>
    <t>Magic Stone</t>
  </si>
  <si>
    <t>Flame Arrows</t>
  </si>
  <si>
    <t>Elemental Bane</t>
  </si>
  <si>
    <t>Investiture of Ice</t>
  </si>
  <si>
    <t>Tsunami</t>
  </si>
  <si>
    <t>Passwall</t>
  </si>
  <si>
    <t>Cloudkill</t>
  </si>
  <si>
    <t>Investiture of Stone</t>
  </si>
  <si>
    <t>Cone of Cold</t>
  </si>
  <si>
    <t>Wall of Stone</t>
  </si>
  <si>
    <t>Mold Earth</t>
  </si>
  <si>
    <t>Earth Tremor</t>
  </si>
  <si>
    <t>Flame Blade</t>
  </si>
  <si>
    <t>Giant Insect</t>
  </si>
  <si>
    <t>Investiture of Wind</t>
  </si>
  <si>
    <t>Poison Spray</t>
  </si>
  <si>
    <t>Entangle</t>
  </si>
  <si>
    <t>Grasping Wine</t>
  </si>
  <si>
    <t>Maelstrom</t>
  </si>
  <si>
    <t>Move Earth</t>
  </si>
  <si>
    <t>Produce Flame</t>
  </si>
  <si>
    <t>Primordial Ward</t>
  </si>
  <si>
    <t>Sunbeam</t>
  </si>
  <si>
    <t>Shape Water</t>
  </si>
  <si>
    <t>Goodberry</t>
  </si>
  <si>
    <t>Tidal Wave</t>
  </si>
  <si>
    <t>Reincarnate</t>
  </si>
  <si>
    <t>Transport Via Plants</t>
  </si>
  <si>
    <t>Shillelagh</t>
  </si>
  <si>
    <t>Wall of Water</t>
  </si>
  <si>
    <t>Wall of Thorns</t>
  </si>
  <si>
    <t>Thorn Whip</t>
  </si>
  <si>
    <t>Ice Knife</t>
  </si>
  <si>
    <t>Transmute Rock</t>
  </si>
  <si>
    <t>Wind Walk</t>
  </si>
  <si>
    <t>Thunderclap</t>
  </si>
  <si>
    <t>Jump</t>
  </si>
  <si>
    <t>Moonbeam</t>
  </si>
  <si>
    <t>Watery Sphere</t>
  </si>
  <si>
    <t>Protection from Poison</t>
  </si>
  <si>
    <t>ELDRITCH KNIGHT - CANTRIPS</t>
  </si>
  <si>
    <t>ELDRITCH KNIGHT - FIRST LEVEL SPELLS</t>
  </si>
  <si>
    <t>ELDRITCH KNIGHT - SECOND LEVEL SPELLS</t>
  </si>
  <si>
    <t>ELDRITCH KNIGHT - THIRD LEVEL SPELLS</t>
  </si>
  <si>
    <t>ELDRITCH KNIGHT - FOURTH LEVEL SPELLS</t>
  </si>
  <si>
    <t>Aganazzar's Scorcher</t>
  </si>
  <si>
    <t>Counterspell</t>
  </si>
  <si>
    <t>Alarm</t>
  </si>
  <si>
    <t>Arcane Lock</t>
  </si>
  <si>
    <t>Fire Shield</t>
  </si>
  <si>
    <t>Fire Bolt</t>
  </si>
  <si>
    <t>Chromatic Orb</t>
  </si>
  <si>
    <t>Mordenkainen's Private Sanctum</t>
  </si>
  <si>
    <t>Otiluke's Resilient Sphere</t>
  </si>
  <si>
    <t>Ray of Frost</t>
  </si>
  <si>
    <t>Mage Armor</t>
  </si>
  <si>
    <t>Shocking Grasp</t>
  </si>
  <si>
    <t>Magic Missile</t>
  </si>
  <si>
    <t>Storm Sphere</t>
  </si>
  <si>
    <t>Protection from Evil and Good</t>
  </si>
  <si>
    <t>Melf's Minute Meteors</t>
  </si>
  <si>
    <t>Vitriolic Sphere</t>
  </si>
  <si>
    <t>Snilloc's Snowball Swarm</t>
  </si>
  <si>
    <t>Witch Bolt</t>
  </si>
  <si>
    <t>Wall of Sand</t>
  </si>
  <si>
    <t>PALADIN - FIRST LEVEL SPELLS</t>
  </si>
  <si>
    <t>PALADIN - SECOND LEVEL SPELLS</t>
  </si>
  <si>
    <t>PALADIN - THIRD LEVEL SPELLS</t>
  </si>
  <si>
    <t>PALADIN - FOURTH LEVEL SPELLS</t>
  </si>
  <si>
    <t>PALADIN - FIFTH LEVEL SPELLS</t>
  </si>
  <si>
    <t>ALL SECOND</t>
  </si>
  <si>
    <t>ALL THIRD</t>
  </si>
  <si>
    <t>ALL  FOURTH</t>
  </si>
  <si>
    <t>ALL  FIFTH</t>
  </si>
  <si>
    <t>OATH</t>
  </si>
  <si>
    <t>SPELL</t>
  </si>
  <si>
    <t>Aura of Vitality</t>
  </si>
  <si>
    <t>Aura of Life</t>
  </si>
  <si>
    <t>Banishing Smite</t>
  </si>
  <si>
    <t>Branding Smite</t>
  </si>
  <si>
    <t>Blinding Smite</t>
  </si>
  <si>
    <t>Aura of Purity</t>
  </si>
  <si>
    <t>Circle of Power</t>
  </si>
  <si>
    <t>Compelled Duel</t>
  </si>
  <si>
    <t>Find Steed</t>
  </si>
  <si>
    <t>Destructive Wave (Smite?)</t>
  </si>
  <si>
    <t>Staggering Smite</t>
  </si>
  <si>
    <t>Elemental Weapon</t>
  </si>
  <si>
    <t>Ensnaring Strike</t>
  </si>
  <si>
    <t>Searing Smite</t>
  </si>
  <si>
    <t>Thunderous Smite</t>
  </si>
  <si>
    <t>Wrathful Smite</t>
  </si>
  <si>
    <t>Prot. from Energy</t>
  </si>
  <si>
    <t>Commune w/ Nature</t>
  </si>
  <si>
    <t>RANGER - FIRST LEVEL SPELLS</t>
  </si>
  <si>
    <t>RANGER - SECOND LEVEL SPELLS</t>
  </si>
  <si>
    <t>RANGER - THIRD LEVEL SPELLS</t>
  </si>
  <si>
    <t>RANGER - FOURTH LEVEL SPELLS</t>
  </si>
  <si>
    <t>RANGER - FIFTH LEVEL SPELLS</t>
  </si>
  <si>
    <t>Hunter's Mark</t>
  </si>
  <si>
    <t>ALL FOURTH</t>
  </si>
  <si>
    <t>ALL FIFTH</t>
  </si>
  <si>
    <t>Conjure Barrage</t>
  </si>
  <si>
    <t>Conjure Volley</t>
  </si>
  <si>
    <t>Swift Quiver</t>
  </si>
  <si>
    <t>Cordon of Arrows</t>
  </si>
  <si>
    <t>Lightning Arrow</t>
  </si>
  <si>
    <t>Hold Monsters</t>
  </si>
  <si>
    <t>Pass Without Trace</t>
  </si>
  <si>
    <t>Hail of Thorns</t>
  </si>
  <si>
    <t>ARCANE TRICKSTER - CANTRIPS</t>
  </si>
  <si>
    <t>ARCANE TRICKSTER - FIRST LEVEL SPELLS</t>
  </si>
  <si>
    <t>ARCANE TRICKSTER - SECOND LEVEL SPELLS</t>
  </si>
  <si>
    <t>ARCANE TRICKSTER - THIRD LEVEL SPELLS</t>
  </si>
  <si>
    <t>ARCANE TRICKSTER - FOURTH LEVEL SPELLS</t>
  </si>
  <si>
    <t>Mage Hand</t>
  </si>
  <si>
    <t>Acid Splash</t>
  </si>
  <si>
    <t>Alter Self</t>
  </si>
  <si>
    <t>Chill Touch</t>
  </si>
  <si>
    <t>Color Spray</t>
  </si>
  <si>
    <t>Evard's Black Tentacles</t>
  </si>
  <si>
    <t>Expeditious Retreat</t>
  </si>
  <si>
    <t>Fabricate</t>
  </si>
  <si>
    <t>False Life</t>
  </si>
  <si>
    <t>Fly</t>
  </si>
  <si>
    <t>Enlarge/Reduce</t>
  </si>
  <si>
    <t>Prestidigitation</t>
  </si>
  <si>
    <t>Find Familiar</t>
  </si>
  <si>
    <t>Grease</t>
  </si>
  <si>
    <t>Leomund's Secret Chest</t>
  </si>
  <si>
    <t>Mordekainen's Faithful Hound</t>
  </si>
  <si>
    <t>Mordekainen's Private Sanctum</t>
  </si>
  <si>
    <t>Levitate</t>
  </si>
  <si>
    <t>Otiluke resilient Sphere</t>
  </si>
  <si>
    <t>Phantasmal Killer</t>
  </si>
  <si>
    <t>Phantom Seed</t>
  </si>
  <si>
    <t>Protection from Evil &amp; Good</t>
  </si>
  <si>
    <t>Ray of Sickness</t>
  </si>
  <si>
    <t>Nystul's Magic Aura</t>
  </si>
  <si>
    <t>Tenser's Floating Disk</t>
  </si>
  <si>
    <t>Ray of Enfeeblement</t>
  </si>
  <si>
    <t>Rope Trick</t>
  </si>
  <si>
    <t>Vampiric Touch</t>
  </si>
  <si>
    <t>SORCEROR - CANTRIPS</t>
  </si>
  <si>
    <t>SORCEROR - FIRST LEVEL SPELLS</t>
  </si>
  <si>
    <t>SORCEROR - SECOND LEVEL SPELLS</t>
  </si>
  <si>
    <t>SORCEROR - THIRD LEVEL SPELLS</t>
  </si>
  <si>
    <t>SORCEROR - FOURTH LEVEL SPELLS</t>
  </si>
  <si>
    <t>SORCEROR - FIFTH LEVEL SPELLS</t>
  </si>
  <si>
    <t>SORCEROR - SIXTH LEVEL SPELLS</t>
  </si>
  <si>
    <t>SORCEROR - SEVENTH LEVEL SPELLS</t>
  </si>
  <si>
    <t>SORCEROR - EIGHTH LEVEL SPELLS</t>
  </si>
  <si>
    <t>SORCEROR - NINETH LEVEL SPELLS</t>
  </si>
  <si>
    <t>Arcane Gate</t>
  </si>
  <si>
    <t>Delayed Blast Fireball</t>
  </si>
  <si>
    <t>Chain Lightning</t>
  </si>
  <si>
    <t>Meteor Swarm</t>
  </si>
  <si>
    <t>Circle of Death</t>
  </si>
  <si>
    <t>Finger of Death</t>
  </si>
  <si>
    <t>Incendiary Cloud</t>
  </si>
  <si>
    <t>Creation</t>
  </si>
  <si>
    <t>Disintegrate</t>
  </si>
  <si>
    <t>Time Stop</t>
  </si>
  <si>
    <t>Wish</t>
  </si>
  <si>
    <t>Globe of Invulnerability</t>
  </si>
  <si>
    <t>Prismatic Spray</t>
  </si>
  <si>
    <t>Mendin</t>
  </si>
  <si>
    <t>Telekinesis</t>
  </si>
  <si>
    <t>WARLOCK- CANTRIPS</t>
  </si>
  <si>
    <t>WARLOCK - FIRST LEVEL SPELLS</t>
  </si>
  <si>
    <t>WARLOCK - SECOND LEVEL SPELLS</t>
  </si>
  <si>
    <t>WARLOCK - THIRD LEVEL SPELLS</t>
  </si>
  <si>
    <t>WARLOCK - FOURTH LEVEL SPELLS</t>
  </si>
  <si>
    <t>WARLOCK - FIFTH LEVEL SPELLS</t>
  </si>
  <si>
    <t>WARLOCK - SIXTH LEVEL SPELLS</t>
  </si>
  <si>
    <t>WARLOCK - SEVENTH LEVEL SPELLS</t>
  </si>
  <si>
    <t>WARLOCK - EIGHTH LEVEL SPELLS</t>
  </si>
  <si>
    <t>WARLOCK - NINETH LEVEL SPELLS</t>
  </si>
  <si>
    <t>SPELLS</t>
  </si>
  <si>
    <t>ALL CANTRIPS EXCEPT WARLOCK</t>
  </si>
  <si>
    <t>No.</t>
  </si>
  <si>
    <t>Rand.</t>
  </si>
  <si>
    <t>All Spells</t>
  </si>
  <si>
    <t>Rand. Chosen</t>
  </si>
  <si>
    <t>PATRON</t>
  </si>
  <si>
    <t>Spell No.</t>
  </si>
  <si>
    <t>Random Chosen Spell</t>
  </si>
  <si>
    <t>Spells from all Levels</t>
  </si>
  <si>
    <t>Spell Lvl.</t>
  </si>
  <si>
    <t>Armor of Agathys</t>
  </si>
  <si>
    <t>Contact Other Plane</t>
  </si>
  <si>
    <t>Demiplane</t>
  </si>
  <si>
    <t>Arms of Hadar</t>
  </si>
  <si>
    <t>Eldritch Blast</t>
  </si>
  <si>
    <t>Imprisonment</t>
  </si>
  <si>
    <t>Hellish Rebuke</t>
  </si>
  <si>
    <t>Hunger of Hadar</t>
  </si>
  <si>
    <t>Flesh to Stone</t>
  </si>
  <si>
    <t>Hex</t>
  </si>
  <si>
    <t>6 Lvl.</t>
  </si>
  <si>
    <t>7 Lvl.</t>
  </si>
  <si>
    <t>8 Lvl.</t>
  </si>
  <si>
    <t>9 Lvl.</t>
  </si>
  <si>
    <t>After 10th level getting 1 too many spells</t>
  </si>
  <si>
    <t>WIZARD - CANTRIPS</t>
  </si>
  <si>
    <t>WIZARD - FIRST LEVEL SPELLS</t>
  </si>
  <si>
    <t>WIZARD - SECOND LEVEL SPELLS</t>
  </si>
  <si>
    <t>WIZARD - THIRD LEVEL SPELLS</t>
  </si>
  <si>
    <t>WIZARD - FOURTH LEVEL SPELLS</t>
  </si>
  <si>
    <t>WIZARD - FIFTH LEVEL SPELLS</t>
  </si>
  <si>
    <t>WIZARD - SIXTH LEVEL SPELLS</t>
  </si>
  <si>
    <t>WIZARD - SEVENTH LEVEL SPELLS</t>
  </si>
  <si>
    <t>WIZARD - EIGHTH LEVEL SPELLS</t>
  </si>
  <si>
    <t>WIZARD - NINETH LEVEL SPELLS</t>
  </si>
  <si>
    <t>Bigby's Hand</t>
  </si>
  <si>
    <t>Tasha's hideous laughter</t>
  </si>
  <si>
    <t>Clone</t>
  </si>
  <si>
    <t>Contingency</t>
  </si>
  <si>
    <t>Drawmij's Instant Summon</t>
  </si>
  <si>
    <t>Maze</t>
  </si>
  <si>
    <t>WARLOCK CANTRIPS</t>
  </si>
  <si>
    <t>Weird</t>
  </si>
  <si>
    <t>Prerequsite:</t>
  </si>
  <si>
    <t>Magic Jar</t>
  </si>
  <si>
    <t>Sequester</t>
  </si>
  <si>
    <t>Simulacrum</t>
  </si>
  <si>
    <t>Telepathy</t>
  </si>
  <si>
    <t>Trap the Soul</t>
  </si>
  <si>
    <t>Otiluke Freezing Sphere</t>
  </si>
  <si>
    <t>Rary's Telepathic Bond</t>
  </si>
  <si>
    <t>Wall of Force</t>
  </si>
  <si>
    <t>PET TABLE</t>
  </si>
  <si>
    <t>Prof. Bonus per Character Level</t>
  </si>
  <si>
    <t>FEATS</t>
  </si>
  <si>
    <t>PETS</t>
  </si>
  <si>
    <t>ABILITIES</t>
  </si>
  <si>
    <t>TO HIT</t>
  </si>
  <si>
    <t>DAMAGE</t>
  </si>
  <si>
    <t>SPEED</t>
  </si>
  <si>
    <t>Alert</t>
  </si>
  <si>
    <t>Blindsight 60', Keen hearing</t>
  </si>
  <si>
    <t>30' Fly</t>
  </si>
  <si>
    <t>Athlete</t>
  </si>
  <si>
    <t>Charge, Relentless</t>
  </si>
  <si>
    <t>1d6+1</t>
  </si>
  <si>
    <t>40'</t>
  </si>
  <si>
    <t>Actor</t>
  </si>
  <si>
    <t>Keen smell, Claws</t>
  </si>
  <si>
    <t>Blindsight 10'</t>
  </si>
  <si>
    <t>1d6+2</t>
  </si>
  <si>
    <t>30' &amp; Swim</t>
  </si>
  <si>
    <t>X-bow Expert</t>
  </si>
  <si>
    <t>Dark Vision 30', Amphibious</t>
  </si>
  <si>
    <t>20' &amp; Swim</t>
  </si>
  <si>
    <t>Defensive Duelist</t>
  </si>
  <si>
    <t>Keen sight</t>
  </si>
  <si>
    <t>60' Fly</t>
  </si>
  <si>
    <t>Duel Wielder</t>
  </si>
  <si>
    <t>Mastif (Dog)</t>
  </si>
  <si>
    <t>Keen hearing and smell</t>
  </si>
  <si>
    <t>Dungeon Delver</t>
  </si>
  <si>
    <t>Beast of Burden, Sure footed</t>
  </si>
  <si>
    <t>1d4+2</t>
  </si>
  <si>
    <t>Durable</t>
  </si>
  <si>
    <t>Flyby, Keen sight</t>
  </si>
  <si>
    <t>Elemental Adept</t>
  </si>
  <si>
    <t>Keen smell, Pounce</t>
  </si>
  <si>
    <t>4/4</t>
  </si>
  <si>
    <t>1d6+2/1d4+2</t>
  </si>
  <si>
    <t>50'</t>
  </si>
  <si>
    <t>Blindsight 10', Posion</t>
  </si>
  <si>
    <t>1 &amp; 2d4 Poison</t>
  </si>
  <si>
    <t>Great Weapon Master</t>
  </si>
  <si>
    <t>Keen senses, Magic Reist, Telepathy</t>
  </si>
  <si>
    <t>1d4+2/1d4+2 (P)</t>
  </si>
  <si>
    <t>Healer</t>
  </si>
  <si>
    <t>Dark Vision 30', Keen smell</t>
  </si>
  <si>
    <t>20'</t>
  </si>
  <si>
    <t>Heavily Armored</t>
  </si>
  <si>
    <t>Heavy Armor Master</t>
  </si>
  <si>
    <t>2d4+3</t>
  </si>
  <si>
    <t>60'</t>
  </si>
  <si>
    <t>Inspiring Leader</t>
  </si>
  <si>
    <t>Perc +3, Stealth +8, Languages</t>
  </si>
  <si>
    <t>40' Fly</t>
  </si>
  <si>
    <t>Keen Mind</t>
  </si>
  <si>
    <t>Keen hearing and smell, Pack Tatics</t>
  </si>
  <si>
    <t>2d4+2</t>
  </si>
  <si>
    <t>Lightly Armored</t>
  </si>
  <si>
    <t>Shapechanger, Devil's Sight, MR, DR, Im. to Fire/Posion,more</t>
  </si>
  <si>
    <t>1d4+3</t>
  </si>
  <si>
    <t>20'/40' Fly</t>
  </si>
  <si>
    <t>Warlock Familiars</t>
  </si>
  <si>
    <t>Linguist</t>
  </si>
  <si>
    <t>Shapechanger, MR, DR, Darkvision, Im. to Posion</t>
  </si>
  <si>
    <t>Lucky</t>
  </si>
  <si>
    <t>Mage Slayer</t>
  </si>
  <si>
    <t>Magic Initiate</t>
  </si>
  <si>
    <t>Martial Adept</t>
  </si>
  <si>
    <t>Medium Armor Master</t>
  </si>
  <si>
    <t>Mobile</t>
  </si>
  <si>
    <t>Moderately Armored</t>
  </si>
  <si>
    <t>Mounted Combatant</t>
  </si>
  <si>
    <t>Observant</t>
  </si>
  <si>
    <t>Polearm Master</t>
  </si>
  <si>
    <t>Resilient</t>
  </si>
  <si>
    <t>Ritual Caster</t>
  </si>
  <si>
    <t>Savage Attacker</t>
  </si>
  <si>
    <t>Sentinel</t>
  </si>
  <si>
    <t>Sharpshooter</t>
  </si>
  <si>
    <t>Shield Master</t>
  </si>
  <si>
    <t>Skilled</t>
  </si>
  <si>
    <t>Skulker</t>
  </si>
  <si>
    <t>Spell Sniper</t>
  </si>
  <si>
    <t>Tavern Brawler</t>
  </si>
  <si>
    <t>Tough</t>
  </si>
  <si>
    <t>War Caster</t>
  </si>
  <si>
    <t>Weapon Master</t>
  </si>
  <si>
    <t>Smith's tools</t>
  </si>
  <si>
    <t>Brewer's supplies</t>
  </si>
  <si>
    <t>Mason's tools</t>
  </si>
  <si>
    <t>ARMOR</t>
  </si>
  <si>
    <t>Hide</t>
  </si>
  <si>
    <t xml:space="preserve">  </t>
  </si>
  <si>
    <t>Rand#</t>
  </si>
  <si>
    <t>ADVENTURING GEAR</t>
  </si>
  <si>
    <t>RELIGION</t>
  </si>
  <si>
    <t>ITEM</t>
  </si>
  <si>
    <t>COST</t>
  </si>
  <si>
    <t>WEIGHT</t>
  </si>
  <si>
    <t>Lawful Good</t>
  </si>
  <si>
    <t>Lawful Neutral</t>
  </si>
  <si>
    <t>Lawful Evil</t>
  </si>
  <si>
    <t>Neutral Good</t>
  </si>
  <si>
    <t>Neutral</t>
  </si>
  <si>
    <t>Neutral evil</t>
  </si>
  <si>
    <t>Chaotic Good</t>
  </si>
  <si>
    <t>Chaotic Neutral</t>
  </si>
  <si>
    <t>Chaotic Evil</t>
  </si>
  <si>
    <t>Abacus</t>
  </si>
  <si>
    <t>Acid (Vial)</t>
  </si>
  <si>
    <t>GREYHAWK</t>
  </si>
  <si>
    <t>Alchemists Fire (Flask)</t>
  </si>
  <si>
    <t>FORGOTTEN REALMS</t>
  </si>
  <si>
    <t>Arrows (20)</t>
  </si>
  <si>
    <t>Ammunition</t>
  </si>
  <si>
    <t>DRAGONLANCE</t>
  </si>
  <si>
    <t>Blowgun Needles (50)</t>
  </si>
  <si>
    <t>EBERRON</t>
  </si>
  <si>
    <t>Crossbow Bolts (20)</t>
  </si>
  <si>
    <t>NON-HUMAN</t>
  </si>
  <si>
    <t>Sling Bullets (20)</t>
  </si>
  <si>
    <t>CELTIC</t>
  </si>
  <si>
    <t>Antitoxin (Vial)</t>
  </si>
  <si>
    <t>GREEK</t>
  </si>
  <si>
    <t>Crystal</t>
  </si>
  <si>
    <t>Arcane Focus</t>
  </si>
  <si>
    <t>EGYPTION</t>
  </si>
  <si>
    <t>Orb</t>
  </si>
  <si>
    <t>NORSE</t>
  </si>
  <si>
    <t>Rod</t>
  </si>
  <si>
    <t>METAPHYSICAL</t>
  </si>
  <si>
    <t>Staff</t>
  </si>
  <si>
    <t>NONE</t>
  </si>
  <si>
    <t>Wand</t>
  </si>
  <si>
    <t>Backpack</t>
  </si>
  <si>
    <t>Container</t>
  </si>
  <si>
    <t>Ball Bearings (bag of 1,000)</t>
  </si>
  <si>
    <t>RELIGION - LAWFUL GOOD</t>
  </si>
  <si>
    <t>Barrel</t>
  </si>
  <si>
    <t>Basket</t>
  </si>
  <si>
    <t>Greyhawk</t>
  </si>
  <si>
    <t>Forg.Realms</t>
  </si>
  <si>
    <t>Dragonlance</t>
  </si>
  <si>
    <t>Eberron</t>
  </si>
  <si>
    <t>Non-Human</t>
  </si>
  <si>
    <t>Celtic</t>
  </si>
  <si>
    <t>Greek</t>
  </si>
  <si>
    <t>Egyptian</t>
  </si>
  <si>
    <t>Norse</t>
  </si>
  <si>
    <t>Metaphysical</t>
  </si>
  <si>
    <t>Bedroll</t>
  </si>
  <si>
    <t>Bell</t>
  </si>
  <si>
    <t>Blanket</t>
  </si>
  <si>
    <t xml:space="preserve">Heironeous, god of chivalry and valor LG </t>
  </si>
  <si>
    <t xml:space="preserve">Ilmater, god of endurance LG </t>
  </si>
  <si>
    <t>Paladine, god of rulers and guardians LG</t>
  </si>
  <si>
    <t xml:space="preserve">Boldrei, goddess of community and home LG </t>
  </si>
  <si>
    <t xml:space="preserve">Bahamut, dragon god of good LG </t>
  </si>
  <si>
    <t>Diancecht, god of medicine and healing LG</t>
  </si>
  <si>
    <t xml:space="preserve">Athena, goddess of wisdom and civilization LG </t>
  </si>
  <si>
    <t xml:space="preserve">Re-Horakhty, god of the sun, ruler of the gods LG </t>
  </si>
  <si>
    <t xml:space="preserve">Heimdall, god of watchfulness and loyalty LG </t>
  </si>
  <si>
    <t>Mount Celestia, the Seven Heavens of LG</t>
  </si>
  <si>
    <t>Block and Tackle</t>
  </si>
  <si>
    <t xml:space="preserve">Pholtus, god of light and law LG </t>
  </si>
  <si>
    <t>Torm, god of courage and self-sacrifice LG</t>
  </si>
  <si>
    <t>Kiri-Jolith, god of honor and war LG</t>
  </si>
  <si>
    <t xml:space="preserve">Dol Arrah, goddess of sunlight and honor LG </t>
  </si>
  <si>
    <t xml:space="preserve">Garl Glittergold, gnome god of trickery and wiles LG </t>
  </si>
  <si>
    <t xml:space="preserve">Osiris, god of nature and the underworld LG </t>
  </si>
  <si>
    <t>Bytopia, the Twin Paradises of NG, LG</t>
  </si>
  <si>
    <t>Book</t>
  </si>
  <si>
    <t xml:space="preserve">Rao, god of peace and reason LG </t>
  </si>
  <si>
    <t>Tyr, god of justice LG</t>
  </si>
  <si>
    <t>Majere, god of meditation and order LG</t>
  </si>
  <si>
    <t xml:space="preserve">The Silver Flame, deity of protection and good LG </t>
  </si>
  <si>
    <t xml:space="preserve">Moradin, dwarf god of creation LG </t>
  </si>
  <si>
    <t>Arcadia, the Peaceable Kingdoms of LN, LG</t>
  </si>
  <si>
    <t>Bottle,glass</t>
  </si>
  <si>
    <t xml:space="preserve">Ulaa, goddess of hills and mountains LG </t>
  </si>
  <si>
    <t>Mishakal, goddess of healing LG</t>
  </si>
  <si>
    <t xml:space="preserve">Yondalla, halfling goddess of fertility and protection LG </t>
  </si>
  <si>
    <t>Bucket</t>
  </si>
  <si>
    <t>Solinari, god of good magic LG</t>
  </si>
  <si>
    <t>Caltrops (bag of 20)</t>
  </si>
  <si>
    <t>Candle</t>
  </si>
  <si>
    <t>Case, Crossbow Bolt</t>
  </si>
  <si>
    <t>Clangeddin Silverbeard, god of war LG</t>
  </si>
  <si>
    <t>Case, Map or Scroll</t>
  </si>
  <si>
    <t>Gorm Gulthyn, god of vigilance LG</t>
  </si>
  <si>
    <t>Chain (10 feet)</t>
  </si>
  <si>
    <t>Arvoreen, god of vigilance and war LG</t>
  </si>
  <si>
    <t>Chalk (1 piece)</t>
  </si>
  <si>
    <t>Cyrrollalee, goddess of hearth and home LG</t>
  </si>
  <si>
    <t>Chest</t>
  </si>
  <si>
    <t>5 gp</t>
  </si>
  <si>
    <t>25 lb.</t>
  </si>
  <si>
    <t>Gaerdal Iron hand, gnome god of protection LG</t>
  </si>
  <si>
    <t>Climber's kit</t>
  </si>
  <si>
    <t xml:space="preserve">25 gp </t>
  </si>
  <si>
    <t>12 lb.</t>
  </si>
  <si>
    <t>Berronar Truesilver, goddess of hearth and home LG</t>
  </si>
  <si>
    <t>Clothes, common</t>
  </si>
  <si>
    <t>5 sp 3 lb.</t>
  </si>
  <si>
    <t>Clothes, costume</t>
  </si>
  <si>
    <t>5 gp 4 lb.</t>
  </si>
  <si>
    <t>15 gp 6 lb.</t>
  </si>
  <si>
    <t>Clothes, traveler’s</t>
  </si>
  <si>
    <t>2 gp 4 lb.</t>
  </si>
  <si>
    <t>Component pouch</t>
  </si>
  <si>
    <t>25 gp</t>
  </si>
  <si>
    <t>2 lb.</t>
  </si>
  <si>
    <t>Crowbar</t>
  </si>
  <si>
    <t>2 gp</t>
  </si>
  <si>
    <t>5 lb.</t>
  </si>
  <si>
    <t xml:space="preserve">Druidic focus: Sprig of mistletoe </t>
  </si>
  <si>
    <t>1 gp —</t>
  </si>
  <si>
    <t xml:space="preserve">Druidic focus: Totem </t>
  </si>
  <si>
    <t>Druidic focus: Wooden staff</t>
  </si>
  <si>
    <t>RELIGION - LAWFUL NEUTRAL</t>
  </si>
  <si>
    <t>Sigil and the Outlands</t>
  </si>
  <si>
    <t xml:space="preserve">Druidic focus: Yew wand </t>
  </si>
  <si>
    <t xml:space="preserve">10 gp </t>
  </si>
  <si>
    <t>1 lb.</t>
  </si>
  <si>
    <t>Demiplane of Dread</t>
  </si>
  <si>
    <t>1 gp 4 lb.</t>
  </si>
  <si>
    <t>The Far Realm</t>
  </si>
  <si>
    <t>Flask or tankard</t>
  </si>
  <si>
    <t xml:space="preserve">2 cp </t>
  </si>
  <si>
    <t>Grappling hook</t>
  </si>
  <si>
    <t>Feywild</t>
  </si>
  <si>
    <t>1 gp 3 lb.</t>
  </si>
  <si>
    <t xml:space="preserve">St. Cuthbert, god of common sense and zeal LN </t>
  </si>
  <si>
    <t xml:space="preserve">Azuth, god of wizards LN </t>
  </si>
  <si>
    <t xml:space="preserve">Aureon, god of law and knowledge LN </t>
  </si>
  <si>
    <t xml:space="preserve">Manannan mac Lir, god of oceans and sea creatures LN </t>
  </si>
  <si>
    <t xml:space="preserve">Nike, goddess of victory LN </t>
  </si>
  <si>
    <t xml:space="preserve">Anubis, god of judgment and death LN </t>
  </si>
  <si>
    <t xml:space="preserve">Tyr, god of courage and strategy LN </t>
  </si>
  <si>
    <t>Acheron, the Infinite Battlefield of LN, LE</t>
  </si>
  <si>
    <t>Shadowfell</t>
  </si>
  <si>
    <t>Hammer, sledge</t>
  </si>
  <si>
    <t xml:space="preserve">2 gp </t>
  </si>
  <si>
    <t>10 lb.</t>
  </si>
  <si>
    <t>Wee Jas, goddess of magic and death LN</t>
  </si>
  <si>
    <t xml:space="preserve">Helm, god of protection LN </t>
  </si>
  <si>
    <t xml:space="preserve">The Blood of Vol, philosophy of immortality and undeath LN </t>
  </si>
  <si>
    <t xml:space="preserve">Ptah, god of crafts, knowledge, and secrets LN </t>
  </si>
  <si>
    <t>Mechanus, the Clockwork Nirvana of LN</t>
  </si>
  <si>
    <t>Ethereal Plane</t>
  </si>
  <si>
    <t>Healer’s kit</t>
  </si>
  <si>
    <t>5 gp 3 lb.</t>
  </si>
  <si>
    <t xml:space="preserve">Kelemvor, god of the dead LN </t>
  </si>
  <si>
    <t xml:space="preserve">The Path of Light, philosophy of light and self-improvement LN </t>
  </si>
  <si>
    <t>Astral Plane</t>
  </si>
  <si>
    <t>Holy symbol: Amulet</t>
  </si>
  <si>
    <t xml:space="preserve">5 gp </t>
  </si>
  <si>
    <t xml:space="preserve">Savras, god of divination and fate LN </t>
  </si>
  <si>
    <t>Positive Plane</t>
  </si>
  <si>
    <t>Holy symbol: Emblem</t>
  </si>
  <si>
    <t>5 gp —</t>
  </si>
  <si>
    <t>Amaunator, god of the sun LN</t>
  </si>
  <si>
    <t>Negative Plane</t>
  </si>
  <si>
    <t>Holy symbol: Reliquary</t>
  </si>
  <si>
    <t>Hoar, god of revenge and retribution LN</t>
  </si>
  <si>
    <t>Holy water (flask)</t>
  </si>
  <si>
    <t>Jergal, scribe of the dead LN</t>
  </si>
  <si>
    <t>Hourglass</t>
  </si>
  <si>
    <t>Savras, god of divination and fate LN</t>
  </si>
  <si>
    <t>Hunting trap</t>
  </si>
  <si>
    <t>The Red Knight, goddess of strategy LN</t>
  </si>
  <si>
    <t>Ink (</t>
  </si>
  <si>
    <t xml:space="preserve">1 ounce bottle) </t>
  </si>
  <si>
    <t>10 gp —</t>
  </si>
  <si>
    <t>Urogalan , god of earth and death LN</t>
  </si>
  <si>
    <t>Ink pen</t>
  </si>
  <si>
    <t>2 cp —</t>
  </si>
  <si>
    <t>Jug or pitcher</t>
  </si>
  <si>
    <t>2 cp 4 lb.</t>
  </si>
  <si>
    <t>Ladder (</t>
  </si>
  <si>
    <t xml:space="preserve">10-foot) </t>
  </si>
  <si>
    <t>1 sp</t>
  </si>
  <si>
    <t>Lamp</t>
  </si>
  <si>
    <t xml:space="preserve">5 sp </t>
  </si>
  <si>
    <t>10 gp</t>
  </si>
  <si>
    <t>Lantern, hooded</t>
  </si>
  <si>
    <t>100 gp —</t>
  </si>
  <si>
    <t>Manacles</t>
  </si>
  <si>
    <t>2 gp 6 lb.</t>
  </si>
  <si>
    <t>Mess kit</t>
  </si>
  <si>
    <t xml:space="preserve">2 sp </t>
  </si>
  <si>
    <t>Mirror, steel</t>
  </si>
  <si>
    <t>1/2 lb.</t>
  </si>
  <si>
    <t xml:space="preserve">1 sp </t>
  </si>
  <si>
    <t>RELIGION - LAWFUL EVIL</t>
  </si>
  <si>
    <t>Paper (one sheet)</t>
  </si>
  <si>
    <t>2 sp —</t>
  </si>
  <si>
    <t>1 sp —</t>
  </si>
  <si>
    <t>Perfume (vial)</t>
  </si>
  <si>
    <t>Pick, miner’s</t>
  </si>
  <si>
    <t>Piton</t>
  </si>
  <si>
    <t xml:space="preserve">5 cp </t>
  </si>
  <si>
    <t>1/4 lb.</t>
  </si>
  <si>
    <t xml:space="preserve">Hextor, god of war and discord LE </t>
  </si>
  <si>
    <t xml:space="preserve">Bane, god of tyranny LE </t>
  </si>
  <si>
    <t>Takhisis, goddess of night and hatred LE</t>
  </si>
  <si>
    <t xml:space="preserve">Kurtulmak, kobold god of war and mining LE </t>
  </si>
  <si>
    <t xml:space="preserve">Hades, god of the underworld LE </t>
  </si>
  <si>
    <t xml:space="preserve">Sobek, god of water and crocodiles LE </t>
  </si>
  <si>
    <t xml:space="preserve">Surtur, god of fire giants and war LE </t>
  </si>
  <si>
    <t>Gehenna, the Bleak Eternity of NE, LE</t>
  </si>
  <si>
    <t xml:space="preserve">Loviatar, goddess of pain LE </t>
  </si>
  <si>
    <t>Chemosh, god of the undead LE</t>
  </si>
  <si>
    <t xml:space="preserve">Maglubiyet, goblinoid god of war LE </t>
  </si>
  <si>
    <t>The Nine Hells (of Baator) LE</t>
  </si>
  <si>
    <t>Pole (</t>
  </si>
  <si>
    <t>10-foot)</t>
  </si>
  <si>
    <t>5 cp 7 lb.</t>
  </si>
  <si>
    <t>Sargonnas, god of vengeance and fire LE</t>
  </si>
  <si>
    <t xml:space="preserve">Sekolah, sahuagin god of the hunt LE </t>
  </si>
  <si>
    <t>Pot, iron</t>
  </si>
  <si>
    <t>Nuitari, god of evil magic LE</t>
  </si>
  <si>
    <t xml:space="preserve">Surtur, god of fire giants and craft LE </t>
  </si>
  <si>
    <t>Potion of healing</t>
  </si>
  <si>
    <r>
      <t>5</t>
    </r>
    <r>
      <rPr>
        <sz val="11"/>
        <color theme="1"/>
        <rFont val="Lato"/>
        <family val="2"/>
        <charset val="204"/>
        <scheme val="minor"/>
      </rPr>
      <t xml:space="preserve">0 gp </t>
    </r>
  </si>
  <si>
    <t xml:space="preserve">Tiamat, dragon goddess of evil LE </t>
  </si>
  <si>
    <t>Pouch</t>
  </si>
  <si>
    <t xml:space="preserve">1 gp </t>
  </si>
  <si>
    <t>Ram, portable 4 gp 35 lb.</t>
  </si>
  <si>
    <t>Asmodeus, god of indulgence LE</t>
  </si>
  <si>
    <t>Rations (</t>
  </si>
  <si>
    <t>1 day)</t>
  </si>
  <si>
    <t>5 sp</t>
  </si>
  <si>
    <t>Deep Duerra, duergar goddess of conquest and psionics LE</t>
  </si>
  <si>
    <t>Laduguer, duergar god of magic and slavery LE</t>
  </si>
  <si>
    <t>llneval , orcish god of strategy and hordes LE</t>
  </si>
  <si>
    <t>Luthic, orcish mother-goddess of fertility and healing LE</t>
  </si>
  <si>
    <t xml:space="preserve">1 cp </t>
  </si>
  <si>
    <t>Bahgtru, orcish god of strength LE</t>
  </si>
  <si>
    <t>Scale, merchant’s</t>
  </si>
  <si>
    <t>Sealing wax</t>
  </si>
  <si>
    <t>Shovel</t>
  </si>
  <si>
    <t>Signal whistle</t>
  </si>
  <si>
    <t>5 cp —</t>
  </si>
  <si>
    <t>Signet ring</t>
  </si>
  <si>
    <t>Soap</t>
  </si>
  <si>
    <t>Spellbook</t>
  </si>
  <si>
    <t>50 gp 3 lb.</t>
  </si>
  <si>
    <t>Spikes, iron (</t>
  </si>
  <si>
    <t xml:space="preserve">10) </t>
  </si>
  <si>
    <t>1 gp</t>
  </si>
  <si>
    <t xml:space="preserve">1,000 gp </t>
  </si>
  <si>
    <t>RELIGION - NEUTRAL GOOD</t>
  </si>
  <si>
    <t>Tent, two-person</t>
  </si>
  <si>
    <t>2 0 lb.</t>
  </si>
  <si>
    <t>Tinderbox</t>
  </si>
  <si>
    <t>Waterskin</t>
  </si>
  <si>
    <t>2 sp</t>
  </si>
  <si>
    <t>5 lb. (full)</t>
  </si>
  <si>
    <t xml:space="preserve">Ehlonna, goddess of woodlands NG </t>
  </si>
  <si>
    <t xml:space="preserve">Chauntea, goddess of agriculture NG </t>
  </si>
  <si>
    <t>Branchala, god of music NG</t>
  </si>
  <si>
    <t>Arawai, goddess of fertility NG</t>
  </si>
  <si>
    <t xml:space="preserve">Belenus, god of sun, light, and warmth NG </t>
  </si>
  <si>
    <t xml:space="preserve">Artemis, goddess of hunting and childbirth NG </t>
  </si>
  <si>
    <t xml:space="preserve">Hathor, goddess of love, music, and motherhood NG </t>
  </si>
  <si>
    <t xml:space="preserve">Odin, god of knowledge and war NG </t>
  </si>
  <si>
    <t xml:space="preserve">Fharlanghn, god of horizons and travel NG </t>
  </si>
  <si>
    <t xml:space="preserve">Deneir, god of writing NG </t>
  </si>
  <si>
    <t>Habbakuk, god of animal life and the sea NG</t>
  </si>
  <si>
    <t xml:space="preserve">Olladra, goddess of good fortune NG </t>
  </si>
  <si>
    <t xml:space="preserve">Brigantia, goddess of rivers and livestock NG </t>
  </si>
  <si>
    <t xml:space="preserve">Demeter, goddess of agriculture NG </t>
  </si>
  <si>
    <t xml:space="preserve">Imhotep, god of crafts and medicine NG </t>
  </si>
  <si>
    <t xml:space="preserve">Balder, god of beauty and poetry NG </t>
  </si>
  <si>
    <t>Elysium, the Blessed Fields of NG</t>
  </si>
  <si>
    <t xml:space="preserve">Pelor, god of the sun and healing NG </t>
  </si>
  <si>
    <t xml:space="preserve">Eldath, goddess of peace NG </t>
  </si>
  <si>
    <t xml:space="preserve">Onatar, god of craft NG </t>
  </si>
  <si>
    <t xml:space="preserve">Goibhniu, god of smiths and healing NG </t>
  </si>
  <si>
    <t xml:space="preserve">Hephaestus, god of smithing and craft NG </t>
  </si>
  <si>
    <t xml:space="preserve">Isis, goddess of fertility and magic NG </t>
  </si>
  <si>
    <t xml:space="preserve">Frey, god of fertility and the sun NG </t>
  </si>
  <si>
    <t>The Beastlands, the Wilderness of NG, CG</t>
  </si>
  <si>
    <t xml:space="preserve">Lathander, god of birth and renewal NG </t>
  </si>
  <si>
    <t xml:space="preserve">The Undying Court, elven ancestors NG </t>
  </si>
  <si>
    <t xml:space="preserve">Oghma, god of speech and writing NG </t>
  </si>
  <si>
    <t xml:space="preserve">Hestia, goddess of home and family NG </t>
  </si>
  <si>
    <t xml:space="preserve">Freya, goddess of fertility and love NG </t>
  </si>
  <si>
    <t xml:space="preserve">Mielikki, goddess of forests NG </t>
  </si>
  <si>
    <t xml:space="preserve">Njord, god of sea and wind NG </t>
  </si>
  <si>
    <t xml:space="preserve">Milil, god of poetry and song NG </t>
  </si>
  <si>
    <t xml:space="preserve">Mystra, goddess of magic NG </t>
  </si>
  <si>
    <t>Marthammor Duin , god of wanderers NG</t>
  </si>
  <si>
    <t>Gwaeron Windstrom, god of tracking NG</t>
  </si>
  <si>
    <t>Baervan Wildwanderer, god of woodlands NG</t>
  </si>
  <si>
    <t>Baravar Cloakshadow, god of illusion and deception NG</t>
  </si>
  <si>
    <t>Segojan Earthcaller, god of earth and the dead NG</t>
  </si>
  <si>
    <t>RELIGION - NEUTRAL</t>
  </si>
  <si>
    <t xml:space="preserve">Beory, goddess of nature N </t>
  </si>
  <si>
    <t xml:space="preserve">Gond, god of craft N </t>
  </si>
  <si>
    <t>Gilean, god of knowledge N</t>
  </si>
  <si>
    <t xml:space="preserve">Balinor, god of beasts and the hunt N </t>
  </si>
  <si>
    <t xml:space="preserve">Eadro, merfolk deity of the sea N </t>
  </si>
  <si>
    <t xml:space="preserve">Dunatis, god of mountains and peaks N </t>
  </si>
  <si>
    <t xml:space="preserve">Zeus, god of the sky, ruler of the gods N </t>
  </si>
  <si>
    <t xml:space="preserve">Thoth, god of knowledge and wisdom N </t>
  </si>
  <si>
    <t xml:space="preserve">Forseti, god of justice and law N </t>
  </si>
  <si>
    <t xml:space="preserve">Boccob, god of magic N </t>
  </si>
  <si>
    <t xml:space="preserve">Oghma, god of knowledge N </t>
  </si>
  <si>
    <t>Chislev, goddess of nature N</t>
  </si>
  <si>
    <t xml:space="preserve">Kol Korran, god o f trade and wealth N </t>
  </si>
  <si>
    <t xml:space="preserve">Semuanya, lizardfolk deity of survival N </t>
  </si>
  <si>
    <t xml:space="preserve">Nuada, god of war and warriors N </t>
  </si>
  <si>
    <t xml:space="preserve">Tyche, goddess of good fortune N </t>
  </si>
  <si>
    <t xml:space="preserve">Frigga, goddess of birth and fertility N </t>
  </si>
  <si>
    <t xml:space="preserve">Celestian, god of stars and wanderers N </t>
  </si>
  <si>
    <t xml:space="preserve">Silvanus, god of wild nature N </t>
  </si>
  <si>
    <t>Reorx, god of craft N</t>
  </si>
  <si>
    <t xml:space="preserve">Skerrit, centaur and satyr god of nature N </t>
  </si>
  <si>
    <t xml:space="preserve">Silvanus, god of nature and forests N </t>
  </si>
  <si>
    <t xml:space="preserve">Skadi, god of earth and mountains N </t>
  </si>
  <si>
    <t xml:space="preserve">Istus, goddess of fate and destiny N </t>
  </si>
  <si>
    <t xml:space="preserve">Tempus, god of war N </t>
  </si>
  <si>
    <t>Shinare, goddess of wealth and trade N</t>
  </si>
  <si>
    <t xml:space="preserve">Skoraeus Stonebones, god of stone giants and art N </t>
  </si>
  <si>
    <t xml:space="preserve">Obad-Hai, god of nature N </t>
  </si>
  <si>
    <t>Waukeen, goddess of trade N</t>
  </si>
  <si>
    <t>Sirrion, god of fire and change N</t>
  </si>
  <si>
    <t>Zivilyn, god of wisdom N</t>
  </si>
  <si>
    <t>Lunitari, goddess of neutral magic N</t>
  </si>
  <si>
    <t>Brandobaris, god of thievery and adventure N</t>
  </si>
  <si>
    <t>Sheela Peryroyl, goddess of agriculture and weather N</t>
  </si>
  <si>
    <t>Dumathoin, god of buried secrets N</t>
  </si>
  <si>
    <t>lstishia, god of water N</t>
  </si>
  <si>
    <t>Grumbar, god of earth N</t>
  </si>
  <si>
    <t>Akadi, goddess of air N</t>
  </si>
  <si>
    <t>Callarduran Smoothhands, god of mining N
and carving stone</t>
  </si>
  <si>
    <t>RELIGION - NEUTRAL EVIL</t>
  </si>
  <si>
    <t xml:space="preserve">Incabulos, god of plague and famine NE </t>
  </si>
  <si>
    <t xml:space="preserve">Auril, goddess of winter NE </t>
  </si>
  <si>
    <t>Morgion, god of disease and secrecy NE</t>
  </si>
  <si>
    <t xml:space="preserve">The Devourer, god of nature’s wrath NE </t>
  </si>
  <si>
    <t xml:space="preserve">Blibdoolpoolp, kuo-toa goddess NE </t>
  </si>
  <si>
    <t xml:space="preserve">Arawn, god of life and death NE </t>
  </si>
  <si>
    <t xml:space="preserve">Apep, god of evil, fire, and serpents NE </t>
  </si>
  <si>
    <t xml:space="preserve">Aegir, god of the sea and storms NE </t>
  </si>
  <si>
    <t>Carceri, the Tarterian Depths of NE, CE</t>
  </si>
  <si>
    <t xml:space="preserve">Nerull, god of death NE </t>
  </si>
  <si>
    <t>Bhaal, god of murder NE</t>
  </si>
  <si>
    <t xml:space="preserve">The Fury, goddess of wrath and madness NE </t>
  </si>
  <si>
    <t xml:space="preserve">Math Mathonwy, god of magic NE </t>
  </si>
  <si>
    <t xml:space="preserve">Hel, goddess of the underworld NE </t>
  </si>
  <si>
    <t>Hades, the Gray Waste of NE</t>
  </si>
  <si>
    <t xml:space="preserve">Vecna, god of evil secrets NE </t>
  </si>
  <si>
    <t xml:space="preserve">Myrkul, god of death NE </t>
  </si>
  <si>
    <t xml:space="preserve">The Keeper, god o f greed and death NE </t>
  </si>
  <si>
    <t xml:space="preserve">Shar, goddess of darkness and loss NE </t>
  </si>
  <si>
    <t xml:space="preserve">The Mockery, god of violence and treachery NE </t>
  </si>
  <si>
    <t xml:space="preserve">Cults of the Dragon Below, deities of madness NE </t>
  </si>
  <si>
    <t>Abbathor, gad of greed NE</t>
  </si>
  <si>
    <t>Shargaas, god of stealth and darkness NE</t>
  </si>
  <si>
    <t>Yurtrus, god of death and disease NE</t>
  </si>
  <si>
    <t>RELIGION - CHAOTIC GOOD</t>
  </si>
  <si>
    <t xml:space="preserve">Kord, god of athletics and sport CG </t>
  </si>
  <si>
    <t xml:space="preserve">Lliira, goddess of joy CG </t>
  </si>
  <si>
    <t xml:space="preserve">Dol Dorn, god of strength at arms CG </t>
  </si>
  <si>
    <t xml:space="preserve">Corellon Larethian, elf deity of art and magic CG </t>
  </si>
  <si>
    <t>The Daghdha, god of weather and crops CG</t>
  </si>
  <si>
    <t xml:space="preserve">Aphrodite, goddess of love and beauty CG </t>
  </si>
  <si>
    <t xml:space="preserve">Bast, goddess of cats and vengeance CG </t>
  </si>
  <si>
    <t xml:space="preserve">Odur, god of light and the sun CG </t>
  </si>
  <si>
    <t xml:space="preserve">Trithereon, god o f liberty and retribution CG </t>
  </si>
  <si>
    <t xml:space="preserve">Selune, goddess of the moon CG </t>
  </si>
  <si>
    <t xml:space="preserve">The Spirits of the Past, elven ancestors CG </t>
  </si>
  <si>
    <t xml:space="preserve">Deep Sashelas, elf god of the sea CG </t>
  </si>
  <si>
    <t xml:space="preserve">Apollo, god of light, music, and healing CG </t>
  </si>
  <si>
    <t xml:space="preserve">Nephthys, goddess of death and grief CG </t>
  </si>
  <si>
    <t xml:space="preserve">Sif, goddess of war CG </t>
  </si>
  <si>
    <t>Arborea, the Olympian Glades of CG</t>
  </si>
  <si>
    <t xml:space="preserve">Sune, goddess of love and beauty CG </t>
  </si>
  <si>
    <t xml:space="preserve">Rillifane Rallathil, wood elf god of nature CG </t>
  </si>
  <si>
    <t xml:space="preserve">Hercules, god of strength and adventure CG </t>
  </si>
  <si>
    <t xml:space="preserve">Thor, god of storms and thunder CG </t>
  </si>
  <si>
    <t>Ysgard, the Heroic Domains of CN, CG</t>
  </si>
  <si>
    <t xml:space="preserve">Tymora, goddess of good fortune CG </t>
  </si>
  <si>
    <t>Sehanine Moonbow, elf goddess of the moon CG</t>
  </si>
  <si>
    <t xml:space="preserve">Hermes, god of travel and commerce CG </t>
  </si>
  <si>
    <t>Valkur, North lander god of sailors CG</t>
  </si>
  <si>
    <t>Dugmaren Brightmantle, god of discovery CG</t>
  </si>
  <si>
    <t>Haela Brightaxe, goddess of war-luck CG</t>
  </si>
  <si>
    <t>Sharindlar, goddess of healing CG</t>
  </si>
  <si>
    <t>Eilistraee, goddess of song and moonlight CG</t>
  </si>
  <si>
    <t>Aerdrie Faenya, goddess of the sky CG</t>
  </si>
  <si>
    <t>Angharradh, triple goddess of wisdom &amp; protection CG</t>
  </si>
  <si>
    <t>Hanali Celanil, goddess of love and beauty CG</t>
  </si>
  <si>
    <t>Labelas Enoreth , god of time, history, &amp; philosophy CG</t>
  </si>
  <si>
    <t>Solonor Thelandira, god of archery CG</t>
  </si>
  <si>
    <t>Nebelun , god of invention and luck CG</t>
  </si>
  <si>
    <t>RELIGION - CHAOTIC NEUTRAL</t>
  </si>
  <si>
    <t>Olidammara, god of revelry CN</t>
  </si>
  <si>
    <t xml:space="preserve">Leira, goddess of illusion CN </t>
  </si>
  <si>
    <t xml:space="preserve">The Traveler, deity of chaos and change CN </t>
  </si>
  <si>
    <t xml:space="preserve">Lugh, god of arts, travel, and commerce CN </t>
  </si>
  <si>
    <t xml:space="preserve">Dionysus, god of mirth and wine CN </t>
  </si>
  <si>
    <t xml:space="preserve">Bes, god of luck and music CN </t>
  </si>
  <si>
    <t xml:space="preserve">Hermod, god of luck CN </t>
  </si>
  <si>
    <t xml:space="preserve">Ralishaz, god of ill luck and insanity CN </t>
  </si>
  <si>
    <t>Mask, god of thieves CN</t>
  </si>
  <si>
    <t xml:space="preserve">Hera, goddess of marriage and intrigue CN </t>
  </si>
  <si>
    <t xml:space="preserve">Uller, god of hunting and winter CN </t>
  </si>
  <si>
    <t>Limbo, the Ever-Changing Chaos of CN</t>
  </si>
  <si>
    <t>Shevarash, god of vengeance CN</t>
  </si>
  <si>
    <t xml:space="preserve">Pan, god of nature CN </t>
  </si>
  <si>
    <t>Pandemonium, the Windswept Depths of CN, CE</t>
  </si>
  <si>
    <t>Fenmarel Mestarine, god of outcasts CN</t>
  </si>
  <si>
    <t xml:space="preserve">Poseidon, god of the sea and earthquakes CN </t>
  </si>
  <si>
    <t>Erevan llesere, god of mischief CN</t>
  </si>
  <si>
    <t>RELIGION - CHAOTIC EVIL</t>
  </si>
  <si>
    <t xml:space="preserve">Erythnul, god of envy and slaughter CE </t>
  </si>
  <si>
    <t xml:space="preserve">Beshaba, goddess of misfortune CE </t>
  </si>
  <si>
    <t>Hiddukel, god of lies and greed CE</t>
  </si>
  <si>
    <t xml:space="preserve">The Shadow, god of dark magic CE </t>
  </si>
  <si>
    <t xml:space="preserve">Grolantor, hill giant god of war CE </t>
  </si>
  <si>
    <t xml:space="preserve">Morrigan, goddess of battle CE </t>
  </si>
  <si>
    <t xml:space="preserve">Ares, god of war and strife CE </t>
  </si>
  <si>
    <t xml:space="preserve">Set, god of darkness and desert storms CE </t>
  </si>
  <si>
    <t xml:space="preserve">Loki, god of thieves and trickery CE </t>
  </si>
  <si>
    <t xml:space="preserve">luz, god of pain and oppression CE </t>
  </si>
  <si>
    <t xml:space="preserve">Cyric, god of lies CE </t>
  </si>
  <si>
    <t>Zeboim, goddess of the sea and storms CE</t>
  </si>
  <si>
    <t xml:space="preserve">Gruumsh, orc god of storms and war CE </t>
  </si>
  <si>
    <t xml:space="preserve">Hecate, goddess of magic and the moon CE </t>
  </si>
  <si>
    <t xml:space="preserve">Thrym, god of fire giants and cold CE </t>
  </si>
  <si>
    <t>The Abyss, the Infinite Layers of CE</t>
  </si>
  <si>
    <t xml:space="preserve">Tharizdun, god o f eternal darkness CE </t>
  </si>
  <si>
    <t xml:space="preserve">Malar, god of the hunt CE </t>
  </si>
  <si>
    <t xml:space="preserve">Hruggek, bugbear god of violence CE </t>
  </si>
  <si>
    <t xml:space="preserve">Talona, goddess of disease and poison CE </t>
  </si>
  <si>
    <t xml:space="preserve">Laogzed, troglodyte god of hunger CE </t>
  </si>
  <si>
    <t xml:space="preserve">Talos, god of storms CE </t>
  </si>
  <si>
    <t xml:space="preserve">Lolth, drow goddess of spiders CE </t>
  </si>
  <si>
    <t>Umberlee, goddess of the sea CE</t>
  </si>
  <si>
    <t xml:space="preserve">Thrym, god of frost giants and strength CE </t>
  </si>
  <si>
    <t>Kiaransalee, goddess of necromancy CE</t>
  </si>
  <si>
    <t>Selvetarm, god of warriors CE</t>
  </si>
  <si>
    <t>Vhaeraun, god of thieves CE</t>
  </si>
  <si>
    <t>Urdlen, god of greed and murder CE</t>
  </si>
  <si>
    <t>BASIC WEAPONS CHART</t>
  </si>
  <si>
    <t>ARMOR &amp; SHEILD</t>
  </si>
  <si>
    <t>SIMPLE MELEE WEAPONS</t>
  </si>
  <si>
    <t>SPECIAL</t>
  </si>
  <si>
    <t>SUMMARY</t>
  </si>
  <si>
    <t>LIGHT ARMOR</t>
  </si>
  <si>
    <r>
      <t xml:space="preserve"> </t>
    </r>
    <r>
      <rPr>
        <sz val="8"/>
        <color indexed="8"/>
        <rFont val="Lato"/>
        <family val="2"/>
        <scheme val="minor"/>
      </rPr>
      <t>Cost</t>
    </r>
    <r>
      <rPr>
        <sz val="8"/>
        <rFont val="Lato"/>
        <family val="2"/>
        <scheme val="minor"/>
      </rPr>
      <t xml:space="preserve"> </t>
    </r>
  </si>
  <si>
    <r>
      <t xml:space="preserve"> </t>
    </r>
    <r>
      <rPr>
        <sz val="8"/>
        <color indexed="8"/>
        <rFont val="Lato"/>
        <family val="2"/>
        <scheme val="minor"/>
      </rPr>
      <t>Armor Class (AC)</t>
    </r>
    <r>
      <rPr>
        <sz val="8"/>
        <rFont val="Lato"/>
        <family val="2"/>
        <scheme val="minor"/>
      </rPr>
      <t xml:space="preserve"> </t>
    </r>
  </si>
  <si>
    <r>
      <t xml:space="preserve"> </t>
    </r>
    <r>
      <rPr>
        <sz val="8"/>
        <color indexed="8"/>
        <rFont val="Lato"/>
        <family val="2"/>
        <scheme val="minor"/>
      </rPr>
      <t>Strength</t>
    </r>
    <r>
      <rPr>
        <sz val="8"/>
        <rFont val="Lato"/>
        <family val="2"/>
        <scheme val="minor"/>
      </rPr>
      <t xml:space="preserve"> </t>
    </r>
  </si>
  <si>
    <r>
      <t xml:space="preserve"> </t>
    </r>
    <r>
      <rPr>
        <sz val="8"/>
        <color indexed="8"/>
        <rFont val="Lato"/>
        <family val="2"/>
        <scheme val="minor"/>
      </rPr>
      <t>Stealth</t>
    </r>
    <r>
      <rPr>
        <sz val="8"/>
        <rFont val="Lato"/>
        <family val="2"/>
        <scheme val="minor"/>
      </rPr>
      <t xml:space="preserve"> </t>
    </r>
  </si>
  <si>
    <r>
      <t xml:space="preserve"> </t>
    </r>
    <r>
      <rPr>
        <sz val="8"/>
        <color indexed="8"/>
        <rFont val="Lato"/>
        <family val="2"/>
        <scheme val="minor"/>
      </rPr>
      <t>Weight</t>
    </r>
    <r>
      <rPr>
        <sz val="8"/>
        <rFont val="Lato"/>
        <family val="2"/>
        <scheme val="minor"/>
      </rPr>
      <t xml:space="preserve"> </t>
    </r>
  </si>
  <si>
    <t>Max Dex</t>
  </si>
  <si>
    <r>
      <t xml:space="preserve"> </t>
    </r>
    <r>
      <rPr>
        <sz val="8"/>
        <color indexed="8"/>
        <rFont val="Lato"/>
        <family val="2"/>
        <scheme val="minor"/>
      </rPr>
      <t>1 sp</t>
    </r>
    <r>
      <rPr>
        <sz val="8"/>
        <rFont val="Lato"/>
        <family val="2"/>
        <scheme val="minor"/>
      </rPr>
      <t xml:space="preserve"> </t>
    </r>
  </si>
  <si>
    <r>
      <t xml:space="preserve"> </t>
    </r>
    <r>
      <rPr>
        <sz val="8"/>
        <color indexed="8"/>
        <rFont val="Lato"/>
        <family val="2"/>
        <scheme val="minor"/>
      </rPr>
      <t>2 lb.</t>
    </r>
    <r>
      <rPr>
        <sz val="8"/>
        <rFont val="Lato"/>
        <family val="2"/>
        <scheme val="minor"/>
      </rPr>
      <t xml:space="preserve"> </t>
    </r>
  </si>
  <si>
    <r>
      <rPr>
        <sz val="8"/>
        <color indexed="8"/>
        <rFont val="Lato"/>
        <family val="2"/>
        <scheme val="minor"/>
      </rPr>
      <t>Light</t>
    </r>
    <r>
      <rPr>
        <sz val="8"/>
        <rFont val="Lato"/>
        <family val="2"/>
        <scheme val="minor"/>
      </rPr>
      <t xml:space="preserve"> </t>
    </r>
  </si>
  <si>
    <t>10+Dex Modifier</t>
  </si>
  <si>
    <t>NONE:</t>
  </si>
  <si>
    <r>
      <rPr>
        <sz val="8"/>
        <color indexed="8"/>
        <rFont val="Lato"/>
        <family val="2"/>
        <scheme val="minor"/>
      </rPr>
      <t>Dagger</t>
    </r>
    <r>
      <rPr>
        <sz val="8"/>
        <rFont val="Lato"/>
        <family val="2"/>
        <scheme val="minor"/>
      </rPr>
      <t xml:space="preserve"> </t>
    </r>
  </si>
  <si>
    <r>
      <t xml:space="preserve"> </t>
    </r>
    <r>
      <rPr>
        <sz val="8"/>
        <color indexed="8"/>
        <rFont val="Lato"/>
        <family val="2"/>
        <scheme val="minor"/>
      </rPr>
      <t>2 gp</t>
    </r>
    <r>
      <rPr>
        <sz val="8"/>
        <rFont val="Lato"/>
        <family val="2"/>
        <scheme val="minor"/>
      </rPr>
      <t xml:space="preserve"> </t>
    </r>
  </si>
  <si>
    <r>
      <t xml:space="preserve"> </t>
    </r>
    <r>
      <rPr>
        <sz val="8"/>
        <color indexed="8"/>
        <rFont val="Lato"/>
        <family val="2"/>
        <scheme val="minor"/>
      </rPr>
      <t>1 lb.</t>
    </r>
    <r>
      <rPr>
        <sz val="8"/>
        <rFont val="Lato"/>
        <family val="2"/>
        <scheme val="minor"/>
      </rPr>
      <t xml:space="preserve"> </t>
    </r>
  </si>
  <si>
    <t>P</t>
  </si>
  <si>
    <r>
      <rPr>
        <sz val="8"/>
        <color indexed="8"/>
        <rFont val="Lato"/>
        <family val="2"/>
        <scheme val="minor"/>
      </rPr>
      <t>Finesse, light, thrown (range 20/60)</t>
    </r>
    <r>
      <rPr>
        <sz val="8"/>
        <rFont val="Lato"/>
        <family val="2"/>
        <scheme val="minor"/>
      </rPr>
      <t xml:space="preserve"> </t>
    </r>
  </si>
  <si>
    <t>Padded</t>
  </si>
  <si>
    <r>
      <t xml:space="preserve"> </t>
    </r>
    <r>
      <rPr>
        <sz val="8"/>
        <color indexed="8"/>
        <rFont val="Lato"/>
        <family val="2"/>
        <scheme val="minor"/>
      </rPr>
      <t>5 gp</t>
    </r>
    <r>
      <rPr>
        <sz val="8"/>
        <rFont val="Lato"/>
        <family val="2"/>
        <scheme val="minor"/>
      </rPr>
      <t xml:space="preserve"> </t>
    </r>
  </si>
  <si>
    <r>
      <t xml:space="preserve"> </t>
    </r>
    <r>
      <rPr>
        <sz val="8"/>
        <color indexed="8"/>
        <rFont val="Lato"/>
        <family val="2"/>
        <scheme val="minor"/>
      </rPr>
      <t>11 + Dex modifier</t>
    </r>
    <r>
      <rPr>
        <sz val="8"/>
        <rFont val="Lato"/>
        <family val="2"/>
        <scheme val="minor"/>
      </rPr>
      <t xml:space="preserve"> </t>
    </r>
  </si>
  <si>
    <r>
      <t xml:space="preserve"> Stealth </t>
    </r>
    <r>
      <rPr>
        <sz val="8"/>
        <color indexed="8"/>
        <rFont val="Lato"/>
        <family val="2"/>
        <scheme val="minor"/>
      </rPr>
      <t>Disadvantage</t>
    </r>
    <r>
      <rPr>
        <sz val="8"/>
        <rFont val="Lato"/>
        <family val="2"/>
        <scheme val="minor"/>
      </rPr>
      <t xml:space="preserve"> </t>
    </r>
  </si>
  <si>
    <r>
      <t xml:space="preserve"> </t>
    </r>
    <r>
      <rPr>
        <sz val="8"/>
        <color indexed="8"/>
        <rFont val="Lato"/>
        <family val="2"/>
        <scheme val="minor"/>
      </rPr>
      <t>8 lb.</t>
    </r>
    <r>
      <rPr>
        <sz val="8"/>
        <rFont val="Lato"/>
        <family val="2"/>
        <scheme val="minor"/>
      </rPr>
      <t xml:space="preserve"> </t>
    </r>
  </si>
  <si>
    <r>
      <rPr>
        <sz val="8"/>
        <color indexed="8"/>
        <rFont val="Lato"/>
        <family val="2"/>
        <scheme val="minor"/>
      </rPr>
      <t>Greatclub</t>
    </r>
    <r>
      <rPr>
        <sz val="8"/>
        <rFont val="Lato"/>
        <family val="2"/>
        <scheme val="minor"/>
      </rPr>
      <t xml:space="preserve"> </t>
    </r>
  </si>
  <si>
    <r>
      <t xml:space="preserve"> </t>
    </r>
    <r>
      <rPr>
        <sz val="8"/>
        <color indexed="8"/>
        <rFont val="Lato"/>
        <family val="2"/>
        <scheme val="minor"/>
      </rPr>
      <t>2 sp</t>
    </r>
    <r>
      <rPr>
        <sz val="8"/>
        <rFont val="Lato"/>
        <family val="2"/>
        <scheme val="minor"/>
      </rPr>
      <t xml:space="preserve"> </t>
    </r>
  </si>
  <si>
    <r>
      <t xml:space="preserve"> </t>
    </r>
    <r>
      <rPr>
        <sz val="8"/>
        <color indexed="8"/>
        <rFont val="Lato"/>
        <family val="2"/>
        <scheme val="minor"/>
      </rPr>
      <t>10 lb.</t>
    </r>
    <r>
      <rPr>
        <sz val="8"/>
        <rFont val="Lato"/>
        <family val="2"/>
        <scheme val="minor"/>
      </rPr>
      <t xml:space="preserve"> </t>
    </r>
  </si>
  <si>
    <r>
      <rPr>
        <sz val="8"/>
        <color indexed="8"/>
        <rFont val="Lato"/>
        <family val="2"/>
        <scheme val="minor"/>
      </rPr>
      <t>Two-handed</t>
    </r>
    <r>
      <rPr>
        <sz val="8"/>
        <rFont val="Lato"/>
        <family val="2"/>
        <scheme val="minor"/>
      </rPr>
      <t xml:space="preserve"> </t>
    </r>
  </si>
  <si>
    <t>Leather</t>
  </si>
  <si>
    <r>
      <t xml:space="preserve"> </t>
    </r>
    <r>
      <rPr>
        <sz val="8"/>
        <color indexed="8"/>
        <rFont val="Lato"/>
        <family val="2"/>
        <scheme val="minor"/>
      </rPr>
      <t>10 gp</t>
    </r>
    <r>
      <rPr>
        <sz val="8"/>
        <rFont val="Lato"/>
        <family val="2"/>
        <scheme val="minor"/>
      </rPr>
      <t xml:space="preserve"> </t>
    </r>
  </si>
  <si>
    <r>
      <rPr>
        <sz val="8"/>
        <color indexed="8"/>
        <rFont val="Lato"/>
        <family val="2"/>
        <scheme val="minor"/>
      </rPr>
      <t>Handaxe</t>
    </r>
    <r>
      <rPr>
        <sz val="8"/>
        <rFont val="Lato"/>
        <family val="2"/>
        <scheme val="minor"/>
      </rPr>
      <t xml:space="preserve"> </t>
    </r>
  </si>
  <si>
    <r>
      <rPr>
        <sz val="8"/>
        <color indexed="8"/>
        <rFont val="Lato"/>
        <family val="2"/>
        <scheme val="minor"/>
      </rPr>
      <t>Light, Thrown (range 20/60)</t>
    </r>
    <r>
      <rPr>
        <sz val="8"/>
        <rFont val="Lato"/>
        <family val="2"/>
        <scheme val="minor"/>
      </rPr>
      <t xml:space="preserve"> </t>
    </r>
  </si>
  <si>
    <t>Studded leather</t>
  </si>
  <si>
    <r>
      <t xml:space="preserve"> </t>
    </r>
    <r>
      <rPr>
        <sz val="8"/>
        <color indexed="8"/>
        <rFont val="Lato"/>
        <family val="2"/>
        <scheme val="minor"/>
      </rPr>
      <t>45 gp</t>
    </r>
    <r>
      <rPr>
        <sz val="8"/>
        <rFont val="Lato"/>
        <family val="2"/>
        <scheme val="minor"/>
      </rPr>
      <t xml:space="preserve"> </t>
    </r>
  </si>
  <si>
    <r>
      <t xml:space="preserve"> </t>
    </r>
    <r>
      <rPr>
        <sz val="8"/>
        <color indexed="8"/>
        <rFont val="Lato"/>
        <family val="2"/>
        <scheme val="minor"/>
      </rPr>
      <t>12 + Dex modifier</t>
    </r>
    <r>
      <rPr>
        <sz val="8"/>
        <rFont val="Lato"/>
        <family val="2"/>
        <scheme val="minor"/>
      </rPr>
      <t xml:space="preserve"> </t>
    </r>
  </si>
  <si>
    <r>
      <t xml:space="preserve"> </t>
    </r>
    <r>
      <rPr>
        <sz val="8"/>
        <color indexed="8"/>
        <rFont val="Lato"/>
        <family val="2"/>
        <scheme val="minor"/>
      </rPr>
      <t>13 lb.</t>
    </r>
    <r>
      <rPr>
        <sz val="8"/>
        <rFont val="Lato"/>
        <family val="2"/>
        <scheme val="minor"/>
      </rPr>
      <t xml:space="preserve"> </t>
    </r>
  </si>
  <si>
    <r>
      <rPr>
        <sz val="8"/>
        <color indexed="8"/>
        <rFont val="Lato"/>
        <family val="2"/>
        <scheme val="minor"/>
      </rPr>
      <t>Javelin</t>
    </r>
    <r>
      <rPr>
        <sz val="8"/>
        <rFont val="Lato"/>
        <family val="2"/>
        <scheme val="minor"/>
      </rPr>
      <t xml:space="preserve"> </t>
    </r>
  </si>
  <si>
    <r>
      <t xml:space="preserve"> </t>
    </r>
    <r>
      <rPr>
        <sz val="8"/>
        <color indexed="8"/>
        <rFont val="Lato"/>
        <family val="2"/>
        <scheme val="minor"/>
      </rPr>
      <t>5 sp</t>
    </r>
    <r>
      <rPr>
        <sz val="8"/>
        <rFont val="Lato"/>
        <family val="2"/>
        <scheme val="minor"/>
      </rPr>
      <t xml:space="preserve"> </t>
    </r>
  </si>
  <si>
    <r>
      <rPr>
        <sz val="8"/>
        <color indexed="8"/>
        <rFont val="Lato"/>
        <family val="2"/>
        <scheme val="minor"/>
      </rPr>
      <t>Thrown (range 30/120)</t>
    </r>
    <r>
      <rPr>
        <sz val="8"/>
        <rFont val="Lato"/>
        <family val="2"/>
        <scheme val="minor"/>
      </rPr>
      <t xml:space="preserve"> </t>
    </r>
  </si>
  <si>
    <t>MEDIUM ARMOR</t>
  </si>
  <si>
    <t>Lt Hammer</t>
  </si>
  <si>
    <r>
      <t xml:space="preserve"> </t>
    </r>
    <r>
      <rPr>
        <sz val="8"/>
        <color indexed="8"/>
        <rFont val="Lato"/>
        <family val="2"/>
        <scheme val="minor"/>
      </rPr>
      <t>12 + Dex (max 2)</t>
    </r>
    <r>
      <rPr>
        <sz val="8"/>
        <rFont val="Lato"/>
        <family val="2"/>
        <scheme val="minor"/>
      </rPr>
      <t xml:space="preserve"> </t>
    </r>
  </si>
  <si>
    <r>
      <t xml:space="preserve"> </t>
    </r>
    <r>
      <rPr>
        <sz val="8"/>
        <color indexed="8"/>
        <rFont val="Lato"/>
        <family val="2"/>
        <scheme val="minor"/>
      </rPr>
      <t>12 lb.</t>
    </r>
    <r>
      <rPr>
        <sz val="8"/>
        <rFont val="Lato"/>
        <family val="2"/>
        <scheme val="minor"/>
      </rPr>
      <t xml:space="preserve"> </t>
    </r>
  </si>
  <si>
    <r>
      <rPr>
        <sz val="8"/>
        <color indexed="8"/>
        <rFont val="Lato"/>
        <family val="2"/>
        <scheme val="minor"/>
      </rPr>
      <t>Mace</t>
    </r>
    <r>
      <rPr>
        <sz val="8"/>
        <rFont val="Lato"/>
        <family val="2"/>
        <scheme val="minor"/>
      </rPr>
      <t xml:space="preserve"> </t>
    </r>
  </si>
  <si>
    <r>
      <t xml:space="preserve"> </t>
    </r>
    <r>
      <rPr>
        <sz val="8"/>
        <color indexed="8"/>
        <rFont val="Lato"/>
        <family val="2"/>
        <scheme val="minor"/>
      </rPr>
      <t>4 lb.</t>
    </r>
    <r>
      <rPr>
        <sz val="8"/>
        <rFont val="Lato"/>
        <family val="2"/>
        <scheme val="minor"/>
      </rPr>
      <t xml:space="preserve"> </t>
    </r>
  </si>
  <si>
    <t xml:space="preserve"> — </t>
  </si>
  <si>
    <t>Chain shirt</t>
  </si>
  <si>
    <r>
      <t xml:space="preserve"> </t>
    </r>
    <r>
      <rPr>
        <sz val="8"/>
        <color indexed="8"/>
        <rFont val="Lato"/>
        <family val="2"/>
        <scheme val="minor"/>
      </rPr>
      <t>50 gp</t>
    </r>
    <r>
      <rPr>
        <sz val="8"/>
        <rFont val="Lato"/>
        <family val="2"/>
        <scheme val="minor"/>
      </rPr>
      <t xml:space="preserve"> </t>
    </r>
  </si>
  <si>
    <r>
      <t xml:space="preserve"> </t>
    </r>
    <r>
      <rPr>
        <sz val="8"/>
        <color indexed="8"/>
        <rFont val="Lato"/>
        <family val="2"/>
        <scheme val="minor"/>
      </rPr>
      <t>13 + Dex (max 2)</t>
    </r>
    <r>
      <rPr>
        <sz val="8"/>
        <rFont val="Lato"/>
        <family val="2"/>
        <scheme val="minor"/>
      </rPr>
      <t xml:space="preserve"> </t>
    </r>
  </si>
  <si>
    <r>
      <t xml:space="preserve"> </t>
    </r>
    <r>
      <rPr>
        <sz val="8"/>
        <color indexed="8"/>
        <rFont val="Lato"/>
        <family val="2"/>
        <scheme val="minor"/>
      </rPr>
      <t>20 lb.</t>
    </r>
    <r>
      <rPr>
        <sz val="8"/>
        <rFont val="Lato"/>
        <family val="2"/>
        <scheme val="minor"/>
      </rPr>
      <t xml:space="preserve"> </t>
    </r>
  </si>
  <si>
    <r>
      <rPr>
        <sz val="8"/>
        <color indexed="8"/>
        <rFont val="Lato"/>
        <family val="2"/>
        <scheme val="minor"/>
      </rPr>
      <t>Quarterstaff</t>
    </r>
    <r>
      <rPr>
        <sz val="8"/>
        <rFont val="Lato"/>
        <family val="2"/>
        <scheme val="minor"/>
      </rPr>
      <t xml:space="preserve"> </t>
    </r>
  </si>
  <si>
    <r>
      <rPr>
        <sz val="8"/>
        <color indexed="8"/>
        <rFont val="Lato"/>
        <family val="2"/>
        <scheme val="minor"/>
      </rPr>
      <t>Versatile (1d8)</t>
    </r>
    <r>
      <rPr>
        <sz val="8"/>
        <rFont val="Lato"/>
        <family val="2"/>
        <scheme val="minor"/>
      </rPr>
      <t xml:space="preserve"> </t>
    </r>
  </si>
  <si>
    <t>Scale mail</t>
  </si>
  <si>
    <r>
      <t xml:space="preserve"> </t>
    </r>
    <r>
      <rPr>
        <sz val="8"/>
        <color indexed="8"/>
        <rFont val="Lato"/>
        <family val="2"/>
        <scheme val="minor"/>
      </rPr>
      <t>14 + Dex (max 2)</t>
    </r>
    <r>
      <rPr>
        <sz val="8"/>
        <rFont val="Lato"/>
        <family val="2"/>
        <scheme val="minor"/>
      </rPr>
      <t xml:space="preserve"> </t>
    </r>
  </si>
  <si>
    <r>
      <t xml:space="preserve"> </t>
    </r>
    <r>
      <rPr>
        <sz val="8"/>
        <color indexed="8"/>
        <rFont val="Lato"/>
        <family val="2"/>
        <scheme val="minor"/>
      </rPr>
      <t>45 lb.</t>
    </r>
    <r>
      <rPr>
        <sz val="8"/>
        <rFont val="Lato"/>
        <family val="2"/>
        <scheme val="minor"/>
      </rPr>
      <t xml:space="preserve"> </t>
    </r>
  </si>
  <si>
    <r>
      <rPr>
        <sz val="8"/>
        <color indexed="8"/>
        <rFont val="Lato"/>
        <family val="2"/>
        <scheme val="minor"/>
      </rPr>
      <t>Sickle</t>
    </r>
    <r>
      <rPr>
        <sz val="8"/>
        <rFont val="Lato"/>
        <family val="2"/>
        <scheme val="minor"/>
      </rPr>
      <t xml:space="preserve"> </t>
    </r>
  </si>
  <si>
    <r>
      <t xml:space="preserve"> </t>
    </r>
    <r>
      <rPr>
        <sz val="8"/>
        <color indexed="8"/>
        <rFont val="Lato"/>
        <family val="2"/>
        <scheme val="minor"/>
      </rPr>
      <t>1 gp</t>
    </r>
    <r>
      <rPr>
        <sz val="8"/>
        <rFont val="Lato"/>
        <family val="2"/>
        <scheme val="minor"/>
      </rPr>
      <t xml:space="preserve"> </t>
    </r>
  </si>
  <si>
    <t>Breastplate</t>
  </si>
  <si>
    <r>
      <t xml:space="preserve"> </t>
    </r>
    <r>
      <rPr>
        <sz val="8"/>
        <color indexed="8"/>
        <rFont val="Lato"/>
        <family val="2"/>
        <scheme val="minor"/>
      </rPr>
      <t>400 gp</t>
    </r>
    <r>
      <rPr>
        <sz val="8"/>
        <rFont val="Lato"/>
        <family val="2"/>
        <scheme val="minor"/>
      </rPr>
      <t xml:space="preserve"> </t>
    </r>
  </si>
  <si>
    <r>
      <rPr>
        <sz val="8"/>
        <color indexed="8"/>
        <rFont val="Lato"/>
        <family val="2"/>
        <scheme val="minor"/>
      </rPr>
      <t>Spear</t>
    </r>
    <r>
      <rPr>
        <sz val="8"/>
        <rFont val="Lato"/>
        <family val="2"/>
        <scheme val="minor"/>
      </rPr>
      <t xml:space="preserve"> </t>
    </r>
  </si>
  <si>
    <r>
      <t xml:space="preserve"> </t>
    </r>
    <r>
      <rPr>
        <sz val="8"/>
        <color indexed="8"/>
        <rFont val="Lato"/>
        <family val="2"/>
        <scheme val="minor"/>
      </rPr>
      <t>3 lb.</t>
    </r>
    <r>
      <rPr>
        <sz val="8"/>
        <rFont val="Lato"/>
        <family val="2"/>
        <scheme val="minor"/>
      </rPr>
      <t xml:space="preserve"> </t>
    </r>
  </si>
  <si>
    <r>
      <rPr>
        <sz val="8"/>
        <color indexed="8"/>
        <rFont val="Lato"/>
        <family val="2"/>
        <scheme val="minor"/>
      </rPr>
      <t>Thrown (range 20/60), Versatile (1d8)</t>
    </r>
    <r>
      <rPr>
        <sz val="8"/>
        <rFont val="Lato"/>
        <family val="2"/>
        <scheme val="minor"/>
      </rPr>
      <t xml:space="preserve"> </t>
    </r>
  </si>
  <si>
    <t>Half plate</t>
  </si>
  <si>
    <r>
      <t xml:space="preserve"> </t>
    </r>
    <r>
      <rPr>
        <sz val="8"/>
        <color indexed="8"/>
        <rFont val="Lato"/>
        <family val="2"/>
        <scheme val="minor"/>
      </rPr>
      <t>750 gp</t>
    </r>
    <r>
      <rPr>
        <sz val="8"/>
        <rFont val="Lato"/>
        <family val="2"/>
        <scheme val="minor"/>
      </rPr>
      <t xml:space="preserve"> </t>
    </r>
  </si>
  <si>
    <r>
      <t xml:space="preserve"> </t>
    </r>
    <r>
      <rPr>
        <sz val="8"/>
        <color indexed="8"/>
        <rFont val="Lato"/>
        <family val="2"/>
        <scheme val="minor"/>
      </rPr>
      <t>15 + Dex (max 2)</t>
    </r>
    <r>
      <rPr>
        <sz val="8"/>
        <rFont val="Lato"/>
        <family val="2"/>
        <scheme val="minor"/>
      </rPr>
      <t xml:space="preserve"> </t>
    </r>
  </si>
  <si>
    <r>
      <t xml:space="preserve"> </t>
    </r>
    <r>
      <rPr>
        <sz val="8"/>
        <color indexed="8"/>
        <rFont val="Lato"/>
        <family val="2"/>
        <scheme val="minor"/>
      </rPr>
      <t>40 lb.</t>
    </r>
    <r>
      <rPr>
        <sz val="8"/>
        <rFont val="Lato"/>
        <family val="2"/>
        <scheme val="minor"/>
      </rPr>
      <t xml:space="preserve"> </t>
    </r>
  </si>
  <si>
    <t>HEAVY ARMOR</t>
  </si>
  <si>
    <t>Ring mail</t>
  </si>
  <si>
    <r>
      <t xml:space="preserve"> </t>
    </r>
    <r>
      <rPr>
        <sz val="8"/>
        <color indexed="8"/>
        <rFont val="Lato"/>
        <family val="2"/>
        <scheme val="minor"/>
      </rPr>
      <t>30 gp</t>
    </r>
    <r>
      <rPr>
        <sz val="8"/>
        <rFont val="Lato"/>
        <family val="2"/>
        <scheme val="minor"/>
      </rPr>
      <t xml:space="preserve"> </t>
    </r>
  </si>
  <si>
    <t>Chain mail</t>
  </si>
  <si>
    <r>
      <t xml:space="preserve"> </t>
    </r>
    <r>
      <rPr>
        <sz val="8"/>
        <color indexed="8"/>
        <rFont val="Lato"/>
        <family val="2"/>
        <scheme val="minor"/>
      </rPr>
      <t>75 gp</t>
    </r>
    <r>
      <rPr>
        <sz val="8"/>
        <rFont val="Lato"/>
        <family val="2"/>
        <scheme val="minor"/>
      </rPr>
      <t xml:space="preserve"> </t>
    </r>
  </si>
  <si>
    <r>
      <t xml:space="preserve"> </t>
    </r>
    <r>
      <rPr>
        <sz val="8"/>
        <color indexed="8"/>
        <rFont val="Lato"/>
        <family val="2"/>
        <scheme val="minor"/>
      </rPr>
      <t>Str 13</t>
    </r>
    <r>
      <rPr>
        <sz val="8"/>
        <rFont val="Lato"/>
        <family val="2"/>
        <scheme val="minor"/>
      </rPr>
      <t xml:space="preserve"> </t>
    </r>
  </si>
  <si>
    <r>
      <t xml:space="preserve"> </t>
    </r>
    <r>
      <rPr>
        <sz val="8"/>
        <color indexed="8"/>
        <rFont val="Lato"/>
        <family val="2"/>
        <scheme val="minor"/>
      </rPr>
      <t>55 lb.</t>
    </r>
    <r>
      <rPr>
        <sz val="8"/>
        <rFont val="Lato"/>
        <family val="2"/>
        <scheme val="minor"/>
      </rPr>
      <t xml:space="preserve"> </t>
    </r>
  </si>
  <si>
    <t>Splint</t>
  </si>
  <si>
    <r>
      <t xml:space="preserve"> </t>
    </r>
    <r>
      <rPr>
        <sz val="8"/>
        <color indexed="8"/>
        <rFont val="Lato"/>
        <family val="2"/>
        <scheme val="minor"/>
      </rPr>
      <t>200 gp</t>
    </r>
    <r>
      <rPr>
        <sz val="8"/>
        <rFont val="Lato"/>
        <family val="2"/>
        <scheme val="minor"/>
      </rPr>
      <t xml:space="preserve"> </t>
    </r>
  </si>
  <si>
    <r>
      <t xml:space="preserve"> </t>
    </r>
    <r>
      <rPr>
        <sz val="8"/>
        <color indexed="8"/>
        <rFont val="Lato"/>
        <family val="2"/>
        <scheme val="minor"/>
      </rPr>
      <t>Str 15</t>
    </r>
    <r>
      <rPr>
        <sz val="8"/>
        <rFont val="Lato"/>
        <family val="2"/>
        <scheme val="minor"/>
      </rPr>
      <t xml:space="preserve"> </t>
    </r>
  </si>
  <si>
    <r>
      <t xml:space="preserve"> </t>
    </r>
    <r>
      <rPr>
        <sz val="8"/>
        <color indexed="8"/>
        <rFont val="Lato"/>
        <family val="2"/>
        <scheme val="minor"/>
      </rPr>
      <t>60 lb.</t>
    </r>
    <r>
      <rPr>
        <sz val="8"/>
        <rFont val="Lato"/>
        <family val="2"/>
        <scheme val="minor"/>
      </rPr>
      <t xml:space="preserve"> </t>
    </r>
  </si>
  <si>
    <r>
      <rPr>
        <sz val="8"/>
        <color indexed="8"/>
        <rFont val="Lato"/>
        <family val="2"/>
        <scheme val="minor"/>
      </rPr>
      <t>Dart</t>
    </r>
    <r>
      <rPr>
        <sz val="8"/>
        <rFont val="Lato"/>
        <family val="2"/>
        <scheme val="minor"/>
      </rPr>
      <t xml:space="preserve"> </t>
    </r>
  </si>
  <si>
    <r>
      <t xml:space="preserve"> </t>
    </r>
    <r>
      <rPr>
        <sz val="8"/>
        <color indexed="8"/>
        <rFont val="Lato"/>
        <family val="2"/>
        <scheme val="minor"/>
      </rPr>
      <t>5 cp</t>
    </r>
    <r>
      <rPr>
        <sz val="8"/>
        <rFont val="Lato"/>
        <family val="2"/>
        <scheme val="minor"/>
      </rPr>
      <t xml:space="preserve"> </t>
    </r>
  </si>
  <si>
    <r>
      <t xml:space="preserve"> </t>
    </r>
    <r>
      <rPr>
        <sz val="8"/>
        <color indexed="8"/>
        <rFont val="Lato"/>
        <family val="2"/>
        <scheme val="minor"/>
      </rPr>
      <t>1/4 lb.</t>
    </r>
    <r>
      <rPr>
        <sz val="8"/>
        <rFont val="Lato"/>
        <family val="2"/>
        <scheme val="minor"/>
      </rPr>
      <t xml:space="preserve"> </t>
    </r>
  </si>
  <si>
    <r>
      <rPr>
        <sz val="8"/>
        <color indexed="8"/>
        <rFont val="Lato"/>
        <family val="2"/>
        <scheme val="minor"/>
      </rPr>
      <t>Finesse, Thrown (range 20/60)</t>
    </r>
    <r>
      <rPr>
        <sz val="8"/>
        <rFont val="Lato"/>
        <family val="2"/>
        <scheme val="minor"/>
      </rPr>
      <t xml:space="preserve"> </t>
    </r>
  </si>
  <si>
    <t>Plate</t>
  </si>
  <si>
    <r>
      <t xml:space="preserve"> </t>
    </r>
    <r>
      <rPr>
        <sz val="8"/>
        <color indexed="8"/>
        <rFont val="Lato"/>
        <family val="2"/>
        <scheme val="minor"/>
      </rPr>
      <t>1,500 gp</t>
    </r>
    <r>
      <rPr>
        <sz val="8"/>
        <rFont val="Lato"/>
        <family val="2"/>
        <scheme val="minor"/>
      </rPr>
      <t xml:space="preserve"> </t>
    </r>
  </si>
  <si>
    <r>
      <t xml:space="preserve"> </t>
    </r>
    <r>
      <rPr>
        <sz val="8"/>
        <color indexed="8"/>
        <rFont val="Lato"/>
        <family val="2"/>
        <scheme val="minor"/>
      </rPr>
      <t>65 lb.</t>
    </r>
    <r>
      <rPr>
        <sz val="8"/>
        <rFont val="Lato"/>
        <family val="2"/>
        <scheme val="minor"/>
      </rPr>
      <t xml:space="preserve"> </t>
    </r>
  </si>
  <si>
    <r>
      <rPr>
        <sz val="8"/>
        <color indexed="8"/>
        <rFont val="Lato"/>
        <family val="2"/>
        <scheme val="minor"/>
      </rPr>
      <t>Sling</t>
    </r>
    <r>
      <rPr>
        <sz val="8"/>
        <rFont val="Lato"/>
        <family val="2"/>
        <scheme val="minor"/>
      </rPr>
      <t xml:space="preserve"> </t>
    </r>
  </si>
  <si>
    <r>
      <t xml:space="preserve"> </t>
    </r>
    <r>
      <rPr>
        <sz val="8"/>
        <color indexed="8"/>
        <rFont val="Lato"/>
        <family val="2"/>
        <scheme val="minor"/>
      </rPr>
      <t>—</t>
    </r>
    <r>
      <rPr>
        <sz val="8"/>
        <rFont val="Lato"/>
        <family val="2"/>
        <scheme val="minor"/>
      </rPr>
      <t xml:space="preserve"> </t>
    </r>
  </si>
  <si>
    <r>
      <rPr>
        <sz val="8"/>
        <color indexed="8"/>
        <rFont val="Lato"/>
        <family val="2"/>
        <scheme val="minor"/>
      </rPr>
      <t>Ammo (range 30/120)</t>
    </r>
    <r>
      <rPr>
        <sz val="8"/>
        <rFont val="Lato"/>
        <family val="2"/>
        <scheme val="minor"/>
      </rPr>
      <t xml:space="preserve"> </t>
    </r>
  </si>
  <si>
    <t>SHIELD</t>
  </si>
  <si>
    <r>
      <rPr>
        <sz val="8"/>
        <color indexed="8"/>
        <rFont val="Lato"/>
        <family val="2"/>
        <scheme val="minor"/>
      </rPr>
      <t>Finesse, Light, Thrown (range 20/60)</t>
    </r>
    <r>
      <rPr>
        <sz val="8"/>
        <rFont val="Lato"/>
        <family val="2"/>
        <scheme val="minor"/>
      </rPr>
      <t xml:space="preserve"> </t>
    </r>
  </si>
  <si>
    <r>
      <t xml:space="preserve"> </t>
    </r>
    <r>
      <rPr>
        <sz val="8"/>
        <color indexed="8"/>
        <rFont val="Lato"/>
        <family val="2"/>
        <scheme val="minor"/>
      </rPr>
      <t>6 lb.</t>
    </r>
    <r>
      <rPr>
        <sz val="8"/>
        <rFont val="Lato"/>
        <family val="2"/>
        <scheme val="minor"/>
      </rPr>
      <t xml:space="preserve"> </t>
    </r>
  </si>
  <si>
    <r>
      <rPr>
        <sz val="8"/>
        <color indexed="8"/>
        <rFont val="Lato"/>
        <family val="2"/>
        <scheme val="minor"/>
      </rPr>
      <t>Lt Hammer</t>
    </r>
    <r>
      <rPr>
        <sz val="8"/>
        <rFont val="Lato"/>
        <family val="2"/>
        <scheme val="minor"/>
      </rPr>
      <t xml:space="preserve"> </t>
    </r>
  </si>
  <si>
    <t>STEALTH:</t>
  </si>
  <si>
    <t>Rolled:</t>
  </si>
  <si>
    <t xml:space="preserve">AC: </t>
  </si>
  <si>
    <t>Lt Crossbow</t>
  </si>
  <si>
    <r>
      <t xml:space="preserve"> </t>
    </r>
    <r>
      <rPr>
        <sz val="8"/>
        <color indexed="8"/>
        <rFont val="Lato"/>
        <family val="2"/>
        <scheme val="minor"/>
      </rPr>
      <t>25 gp</t>
    </r>
    <r>
      <rPr>
        <sz val="8"/>
        <rFont val="Lato"/>
        <family val="2"/>
        <scheme val="minor"/>
      </rPr>
      <t xml:space="preserve"> </t>
    </r>
  </si>
  <si>
    <r>
      <t xml:space="preserve"> </t>
    </r>
    <r>
      <rPr>
        <sz val="8"/>
        <color indexed="8"/>
        <rFont val="Lato"/>
        <family val="2"/>
        <scheme val="minor"/>
      </rPr>
      <t>5 lb.</t>
    </r>
    <r>
      <rPr>
        <sz val="8"/>
        <rFont val="Lato"/>
        <family val="2"/>
        <scheme val="minor"/>
      </rPr>
      <t xml:space="preserve"> </t>
    </r>
  </si>
  <si>
    <t>Ammo (range 80/320), Loading, 2-hand</t>
  </si>
  <si>
    <r>
      <rPr>
        <sz val="8"/>
        <color indexed="8"/>
        <rFont val="Lato"/>
        <family val="2"/>
        <scheme val="minor"/>
      </rPr>
      <t>Shortbow</t>
    </r>
    <r>
      <rPr>
        <sz val="8"/>
        <rFont val="Lato"/>
        <family val="2"/>
        <scheme val="minor"/>
      </rPr>
      <t xml:space="preserve"> </t>
    </r>
  </si>
  <si>
    <r>
      <rPr>
        <sz val="8"/>
        <color indexed="8"/>
        <rFont val="Lato"/>
        <family val="2"/>
        <scheme val="minor"/>
      </rPr>
      <t>Ammo (range 80/320), Two-handed</t>
    </r>
    <r>
      <rPr>
        <sz val="8"/>
        <rFont val="Lato"/>
        <family val="2"/>
        <scheme val="minor"/>
      </rPr>
      <t xml:space="preserve"> </t>
    </r>
  </si>
  <si>
    <t>LIFESTYLE PREFERENCE</t>
  </si>
  <si>
    <t>ARTISAN'S TOOLS</t>
  </si>
  <si>
    <r>
      <rPr>
        <sz val="8"/>
        <color indexed="8"/>
        <rFont val="Lato"/>
        <family val="2"/>
        <scheme val="minor"/>
      </rPr>
      <t>Ammo (range 30/120), Light, Loading</t>
    </r>
    <r>
      <rPr>
        <sz val="8"/>
        <rFont val="Lato"/>
        <family val="2"/>
        <scheme val="minor"/>
      </rPr>
      <t xml:space="preserve"> </t>
    </r>
  </si>
  <si>
    <t>Rslt:</t>
  </si>
  <si>
    <t>MARTIAL MELEE WEAPONS</t>
  </si>
  <si>
    <t>Wretched</t>
  </si>
  <si>
    <t>Alchemist's supplies</t>
  </si>
  <si>
    <r>
      <rPr>
        <sz val="8"/>
        <color indexed="8"/>
        <rFont val="Lato"/>
        <family val="2"/>
        <scheme val="minor"/>
      </rPr>
      <t>Versatile (1d10)</t>
    </r>
    <r>
      <rPr>
        <sz val="8"/>
        <rFont val="Lato"/>
        <family val="2"/>
        <scheme val="minor"/>
      </rPr>
      <t xml:space="preserve"> </t>
    </r>
  </si>
  <si>
    <t>Squalid (1 sp/d)</t>
  </si>
  <si>
    <r>
      <rPr>
        <sz val="8"/>
        <color indexed="8"/>
        <rFont val="Lato"/>
        <family val="2"/>
        <scheme val="minor"/>
      </rPr>
      <t>Flail</t>
    </r>
    <r>
      <rPr>
        <sz val="8"/>
        <rFont val="Lato"/>
        <family val="2"/>
        <scheme val="minor"/>
      </rPr>
      <t xml:space="preserve"> </t>
    </r>
  </si>
  <si>
    <r>
      <rPr>
        <sz val="8"/>
        <color indexed="8"/>
        <rFont val="Lato"/>
        <family val="2"/>
        <scheme val="minor"/>
      </rPr>
      <t>—</t>
    </r>
    <r>
      <rPr>
        <sz val="8"/>
        <rFont val="Lato"/>
        <family val="2"/>
        <scheme val="minor"/>
      </rPr>
      <t xml:space="preserve"> </t>
    </r>
  </si>
  <si>
    <t>Poor (2 sp/d)</t>
  </si>
  <si>
    <t>Calligrapher's supplies</t>
  </si>
  <si>
    <r>
      <rPr>
        <sz val="8"/>
        <color indexed="8"/>
        <rFont val="Lato"/>
        <family val="2"/>
        <scheme val="minor"/>
      </rPr>
      <t>Glaive</t>
    </r>
    <r>
      <rPr>
        <sz val="8"/>
        <rFont val="Lato"/>
        <family val="2"/>
        <scheme val="minor"/>
      </rPr>
      <t xml:space="preserve"> </t>
    </r>
  </si>
  <si>
    <r>
      <t xml:space="preserve"> </t>
    </r>
    <r>
      <rPr>
        <sz val="8"/>
        <color indexed="8"/>
        <rFont val="Lato"/>
        <family val="2"/>
        <scheme val="minor"/>
      </rPr>
      <t>20 gp</t>
    </r>
    <r>
      <rPr>
        <sz val="8"/>
        <rFont val="Lato"/>
        <family val="2"/>
        <scheme val="minor"/>
      </rPr>
      <t xml:space="preserve"> </t>
    </r>
  </si>
  <si>
    <r>
      <rPr>
        <sz val="8"/>
        <color indexed="8"/>
        <rFont val="Lato"/>
        <family val="2"/>
        <scheme val="minor"/>
      </rPr>
      <t>Heavy, Reach, Two-handed</t>
    </r>
    <r>
      <rPr>
        <sz val="8"/>
        <rFont val="Lato"/>
        <family val="2"/>
        <scheme val="minor"/>
      </rPr>
      <t xml:space="preserve"> </t>
    </r>
  </si>
  <si>
    <t>Modest (1 gp/d)</t>
  </si>
  <si>
    <t>Carpenter's tools</t>
  </si>
  <si>
    <r>
      <rPr>
        <sz val="8"/>
        <color indexed="8"/>
        <rFont val="Lato"/>
        <family val="2"/>
        <scheme val="minor"/>
      </rPr>
      <t>Greataxe</t>
    </r>
    <r>
      <rPr>
        <sz val="8"/>
        <rFont val="Lato"/>
        <family val="2"/>
        <scheme val="minor"/>
      </rPr>
      <t xml:space="preserve"> </t>
    </r>
  </si>
  <si>
    <t>1d12</t>
  </si>
  <si>
    <r>
      <t xml:space="preserve"> </t>
    </r>
    <r>
      <rPr>
        <sz val="8"/>
        <color indexed="8"/>
        <rFont val="Lato"/>
        <family val="2"/>
        <scheme val="minor"/>
      </rPr>
      <t>7 lb.</t>
    </r>
    <r>
      <rPr>
        <sz val="8"/>
        <rFont val="Lato"/>
        <family val="2"/>
        <scheme val="minor"/>
      </rPr>
      <t xml:space="preserve"> </t>
    </r>
  </si>
  <si>
    <r>
      <rPr>
        <sz val="8"/>
        <color indexed="8"/>
        <rFont val="Lato"/>
        <family val="2"/>
        <scheme val="minor"/>
      </rPr>
      <t>Heavy, Two-handed</t>
    </r>
    <r>
      <rPr>
        <sz val="8"/>
        <rFont val="Lato"/>
        <family val="2"/>
        <scheme val="minor"/>
      </rPr>
      <t xml:space="preserve"> </t>
    </r>
  </si>
  <si>
    <t>Comfortable (2 gp/d)</t>
  </si>
  <si>
    <t>Cartographer's tools</t>
  </si>
  <si>
    <r>
      <rPr>
        <sz val="8"/>
        <color indexed="8"/>
        <rFont val="Lato"/>
        <family val="2"/>
        <scheme val="minor"/>
      </rPr>
      <t>Greatsword</t>
    </r>
    <r>
      <rPr>
        <sz val="8"/>
        <rFont val="Lato"/>
        <family val="2"/>
        <scheme val="minor"/>
      </rPr>
      <t xml:space="preserve"> </t>
    </r>
  </si>
  <si>
    <t>2d6</t>
  </si>
  <si>
    <t>Wealthy (4 gp/d)</t>
  </si>
  <si>
    <t>Cobbler's tools</t>
  </si>
  <si>
    <r>
      <rPr>
        <sz val="8"/>
        <color indexed="8"/>
        <rFont val="Lato"/>
        <family val="2"/>
        <scheme val="minor"/>
      </rPr>
      <t>Halberd</t>
    </r>
    <r>
      <rPr>
        <sz val="8"/>
        <rFont val="Lato"/>
        <family val="2"/>
        <scheme val="minor"/>
      </rPr>
      <t xml:space="preserve"> </t>
    </r>
  </si>
  <si>
    <t>Self-sufficiency</t>
  </si>
  <si>
    <t>Cook's utensils</t>
  </si>
  <si>
    <r>
      <rPr>
        <sz val="8"/>
        <color indexed="8"/>
        <rFont val="Lato"/>
        <family val="2"/>
        <scheme val="minor"/>
      </rPr>
      <t>Lance</t>
    </r>
    <r>
      <rPr>
        <sz val="8"/>
        <rFont val="Lato"/>
        <family val="2"/>
        <scheme val="minor"/>
      </rPr>
      <t xml:space="preserve"> </t>
    </r>
  </si>
  <si>
    <r>
      <rPr>
        <sz val="8"/>
        <color indexed="8"/>
        <rFont val="Lato"/>
        <family val="2"/>
        <scheme val="minor"/>
      </rPr>
      <t>Reach, Special</t>
    </r>
    <r>
      <rPr>
        <sz val="8"/>
        <rFont val="Lato"/>
        <family val="2"/>
        <scheme val="minor"/>
      </rPr>
      <t xml:space="preserve"> </t>
    </r>
  </si>
  <si>
    <t>Glassblower's tools</t>
  </si>
  <si>
    <r>
      <rPr>
        <sz val="8"/>
        <color indexed="8"/>
        <rFont val="Lato"/>
        <family val="2"/>
        <scheme val="minor"/>
      </rPr>
      <t>Longsword</t>
    </r>
    <r>
      <rPr>
        <sz val="8"/>
        <rFont val="Lato"/>
        <family val="2"/>
        <scheme val="minor"/>
      </rPr>
      <t xml:space="preserve"> </t>
    </r>
  </si>
  <si>
    <r>
      <t xml:space="preserve"> </t>
    </r>
    <r>
      <rPr>
        <sz val="8"/>
        <color indexed="8"/>
        <rFont val="Lato"/>
        <family val="2"/>
        <scheme val="minor"/>
      </rPr>
      <t>15 gp</t>
    </r>
    <r>
      <rPr>
        <sz val="8"/>
        <rFont val="Lato"/>
        <family val="2"/>
        <scheme val="minor"/>
      </rPr>
      <t xml:space="preserve"> </t>
    </r>
  </si>
  <si>
    <t>ARCANE FOCI</t>
  </si>
  <si>
    <t>Jeweler's tools</t>
  </si>
  <si>
    <r>
      <rPr>
        <sz val="8"/>
        <color indexed="8"/>
        <rFont val="Lato"/>
        <family val="2"/>
        <scheme val="minor"/>
      </rPr>
      <t>Maul</t>
    </r>
    <r>
      <rPr>
        <sz val="8"/>
        <rFont val="Lato"/>
        <family val="2"/>
        <scheme val="minor"/>
      </rPr>
      <t xml:space="preserve"> </t>
    </r>
  </si>
  <si>
    <t>Leatherworker's tools</t>
  </si>
  <si>
    <r>
      <rPr>
        <sz val="8"/>
        <color indexed="8"/>
        <rFont val="Lato"/>
        <family val="2"/>
        <scheme val="minor"/>
      </rPr>
      <t>Morningstar</t>
    </r>
    <r>
      <rPr>
        <sz val="8"/>
        <rFont val="Lato"/>
        <family val="2"/>
        <scheme val="minor"/>
      </rPr>
      <t xml:space="preserve"> </t>
    </r>
  </si>
  <si>
    <r>
      <rPr>
        <sz val="8"/>
        <color indexed="8"/>
        <rFont val="Lato"/>
        <family val="2"/>
        <scheme val="minor"/>
      </rPr>
      <t>Pike</t>
    </r>
    <r>
      <rPr>
        <sz val="8"/>
        <rFont val="Lato"/>
        <family val="2"/>
        <scheme val="minor"/>
      </rPr>
      <t xml:space="preserve"> </t>
    </r>
  </si>
  <si>
    <r>
      <t xml:space="preserve"> </t>
    </r>
    <r>
      <rPr>
        <sz val="8"/>
        <color indexed="8"/>
        <rFont val="Lato"/>
        <family val="2"/>
        <scheme val="minor"/>
      </rPr>
      <t>18 lb.</t>
    </r>
    <r>
      <rPr>
        <sz val="8"/>
        <rFont val="Lato"/>
        <family val="2"/>
        <scheme val="minor"/>
      </rPr>
      <t xml:space="preserve"> </t>
    </r>
  </si>
  <si>
    <t>Painter's supplies</t>
  </si>
  <si>
    <r>
      <rPr>
        <sz val="8"/>
        <color indexed="8"/>
        <rFont val="Lato"/>
        <family val="2"/>
        <scheme val="minor"/>
      </rPr>
      <t>Rapier</t>
    </r>
    <r>
      <rPr>
        <sz val="8"/>
        <rFont val="Lato"/>
        <family val="2"/>
        <scheme val="minor"/>
      </rPr>
      <t xml:space="preserve"> </t>
    </r>
  </si>
  <si>
    <r>
      <rPr>
        <sz val="8"/>
        <color indexed="8"/>
        <rFont val="Lato"/>
        <family val="2"/>
        <scheme val="minor"/>
      </rPr>
      <t>Finesse</t>
    </r>
    <r>
      <rPr>
        <sz val="8"/>
        <rFont val="Lato"/>
        <family val="2"/>
        <scheme val="minor"/>
      </rPr>
      <t xml:space="preserve"> </t>
    </r>
  </si>
  <si>
    <t>Potter's tools</t>
  </si>
  <si>
    <r>
      <rPr>
        <sz val="8"/>
        <color indexed="8"/>
        <rFont val="Lato"/>
        <family val="2"/>
        <scheme val="minor"/>
      </rPr>
      <t>Scimitar</t>
    </r>
    <r>
      <rPr>
        <sz val="8"/>
        <rFont val="Lato"/>
        <family val="2"/>
        <scheme val="minor"/>
      </rPr>
      <t xml:space="preserve"> </t>
    </r>
  </si>
  <si>
    <r>
      <rPr>
        <sz val="8"/>
        <color indexed="8"/>
        <rFont val="Lato"/>
        <family val="2"/>
        <scheme val="minor"/>
      </rPr>
      <t>Finesse, Light</t>
    </r>
    <r>
      <rPr>
        <sz val="8"/>
        <rFont val="Lato"/>
        <family val="2"/>
        <scheme val="minor"/>
      </rPr>
      <t xml:space="preserve"> </t>
    </r>
  </si>
  <si>
    <r>
      <rPr>
        <sz val="8"/>
        <color indexed="8"/>
        <rFont val="Lato"/>
        <family val="2"/>
        <scheme val="minor"/>
      </rPr>
      <t>Shortsword</t>
    </r>
    <r>
      <rPr>
        <sz val="8"/>
        <rFont val="Lato"/>
        <family val="2"/>
        <scheme val="minor"/>
      </rPr>
      <t xml:space="preserve"> </t>
    </r>
  </si>
  <si>
    <r>
      <t xml:space="preserve"> </t>
    </r>
    <r>
      <rPr>
        <sz val="8"/>
        <color indexed="8"/>
        <rFont val="Lato"/>
        <family val="2"/>
        <scheme val="minor"/>
      </rPr>
      <t xml:space="preserve">2 lb. </t>
    </r>
    <r>
      <rPr>
        <sz val="8"/>
        <rFont val="Lato"/>
        <family val="2"/>
        <scheme val="minor"/>
      </rPr>
      <t xml:space="preserve"> </t>
    </r>
  </si>
  <si>
    <t>Tinker's tools</t>
  </si>
  <si>
    <r>
      <rPr>
        <sz val="8"/>
        <color indexed="8"/>
        <rFont val="Lato"/>
        <family val="2"/>
        <scheme val="minor"/>
      </rPr>
      <t>Trident</t>
    </r>
    <r>
      <rPr>
        <sz val="8"/>
        <rFont val="Lato"/>
        <family val="2"/>
        <scheme val="minor"/>
      </rPr>
      <t xml:space="preserve"> </t>
    </r>
  </si>
  <si>
    <r>
      <rPr>
        <sz val="8"/>
        <color indexed="8"/>
        <rFont val="Lato"/>
        <family val="2"/>
        <scheme val="minor"/>
      </rPr>
      <t>Thrown (Range 20/60), Versatile (1d8)</t>
    </r>
    <r>
      <rPr>
        <sz val="8"/>
        <rFont val="Lato"/>
        <family val="2"/>
        <scheme val="minor"/>
      </rPr>
      <t xml:space="preserve"> </t>
    </r>
  </si>
  <si>
    <t>Weaver's tools</t>
  </si>
  <si>
    <r>
      <rPr>
        <sz val="8"/>
        <color indexed="8"/>
        <rFont val="Lato"/>
        <family val="2"/>
        <scheme val="minor"/>
      </rPr>
      <t>War pick</t>
    </r>
    <r>
      <rPr>
        <sz val="8"/>
        <rFont val="Lato"/>
        <family val="2"/>
        <scheme val="minor"/>
      </rPr>
      <t xml:space="preserve"> </t>
    </r>
  </si>
  <si>
    <t>Woodcarver's tools</t>
  </si>
  <si>
    <r>
      <rPr>
        <sz val="8"/>
        <color indexed="8"/>
        <rFont val="Lato"/>
        <family val="2"/>
        <scheme val="minor"/>
      </rPr>
      <t>Warhammer</t>
    </r>
    <r>
      <rPr>
        <sz val="8"/>
        <rFont val="Lato"/>
        <family val="2"/>
        <scheme val="minor"/>
      </rPr>
      <t xml:space="preserve"> </t>
    </r>
  </si>
  <si>
    <r>
      <rPr>
        <sz val="8"/>
        <color indexed="8"/>
        <rFont val="Lato"/>
        <family val="2"/>
        <scheme val="minor"/>
      </rPr>
      <t>Whip</t>
    </r>
    <r>
      <rPr>
        <sz val="8"/>
        <rFont val="Lato"/>
        <family val="2"/>
        <scheme val="minor"/>
      </rPr>
      <t xml:space="preserve"> </t>
    </r>
  </si>
  <si>
    <r>
      <rPr>
        <sz val="8"/>
        <color indexed="8"/>
        <rFont val="Lato"/>
        <family val="2"/>
        <scheme val="minor"/>
      </rPr>
      <t>Finesse, Reach</t>
    </r>
    <r>
      <rPr>
        <sz val="8"/>
        <rFont val="Lato"/>
        <family val="2"/>
        <scheme val="minor"/>
      </rPr>
      <t xml:space="preserve"> </t>
    </r>
  </si>
  <si>
    <t>MARTIAL RANGED WEAPONS</t>
  </si>
  <si>
    <r>
      <rPr>
        <sz val="8"/>
        <color indexed="8"/>
        <rFont val="Lato"/>
        <family val="2"/>
        <scheme val="minor"/>
      </rPr>
      <t>Blowgun</t>
    </r>
    <r>
      <rPr>
        <sz val="8"/>
        <rFont val="Lato"/>
        <family val="2"/>
        <scheme val="minor"/>
      </rPr>
      <t xml:space="preserve"> </t>
    </r>
  </si>
  <si>
    <r>
      <rPr>
        <sz val="8"/>
        <color indexed="8"/>
        <rFont val="Lato"/>
        <family val="2"/>
        <scheme val="minor"/>
      </rPr>
      <t>Ammo (range 25/100), Loading</t>
    </r>
    <r>
      <rPr>
        <sz val="8"/>
        <rFont val="Lato"/>
        <family val="2"/>
        <scheme val="minor"/>
      </rPr>
      <t xml:space="preserve"> </t>
    </r>
  </si>
  <si>
    <r>
      <rPr>
        <sz val="8"/>
        <color indexed="8"/>
        <rFont val="Lato"/>
        <family val="2"/>
        <scheme val="minor"/>
      </rPr>
      <t>Ammo (range 100/400), Heavy, Load, 2-hand</t>
    </r>
    <r>
      <rPr>
        <sz val="8"/>
        <rFont val="Lato"/>
        <family val="2"/>
        <scheme val="minor"/>
      </rPr>
      <t xml:space="preserve"> </t>
    </r>
  </si>
  <si>
    <r>
      <rPr>
        <sz val="8"/>
        <color indexed="8"/>
        <rFont val="Lato"/>
        <family val="2"/>
        <scheme val="minor"/>
      </rPr>
      <t>Longbow</t>
    </r>
    <r>
      <rPr>
        <sz val="8"/>
        <rFont val="Lato"/>
        <family val="2"/>
        <scheme val="minor"/>
      </rPr>
      <t xml:space="preserve"> </t>
    </r>
  </si>
  <si>
    <r>
      <rPr>
        <sz val="8"/>
        <color indexed="8"/>
        <rFont val="Lato"/>
        <family val="2"/>
        <scheme val="minor"/>
      </rPr>
      <t>Ammo (range 150/600), Heavy, 2-hand</t>
    </r>
    <r>
      <rPr>
        <sz val="8"/>
        <rFont val="Lato"/>
        <family val="2"/>
        <scheme val="minor"/>
      </rPr>
      <t xml:space="preserve"> </t>
    </r>
  </si>
  <si>
    <r>
      <rPr>
        <sz val="8"/>
        <color indexed="8"/>
        <rFont val="Lato"/>
        <family val="2"/>
        <scheme val="minor"/>
      </rPr>
      <t>Net</t>
    </r>
    <r>
      <rPr>
        <sz val="8"/>
        <rFont val="Lato"/>
        <family val="2"/>
        <scheme val="minor"/>
      </rPr>
      <t xml:space="preserve"> </t>
    </r>
  </si>
  <si>
    <t>0d</t>
  </si>
  <si>
    <t>E</t>
  </si>
  <si>
    <r>
      <rPr>
        <sz val="8"/>
        <color indexed="8"/>
        <rFont val="Lato"/>
        <family val="2"/>
        <scheme val="minor"/>
      </rPr>
      <t>Special, Thrown (Range 5/15)</t>
    </r>
    <r>
      <rPr>
        <sz val="8"/>
        <rFont val="Lato"/>
        <family val="2"/>
        <scheme val="minor"/>
      </rPr>
      <t xml:space="preserve"> </t>
    </r>
  </si>
  <si>
    <t>WEALTH</t>
  </si>
  <si>
    <t>TRINKETS</t>
  </si>
  <si>
    <t>JEWELERY</t>
  </si>
  <si>
    <t xml:space="preserve">CLASS: </t>
  </si>
  <si>
    <t>Ornamental Stones</t>
  </si>
  <si>
    <t>Semiprecious Stones</t>
  </si>
  <si>
    <t>Fancy Stones</t>
  </si>
  <si>
    <t>Precious Stones</t>
  </si>
  <si>
    <t>Gem Stones</t>
  </si>
  <si>
    <t>Jewel Stones</t>
  </si>
  <si>
    <t>Hardstones</t>
  </si>
  <si>
    <t>Shells</t>
  </si>
  <si>
    <t xml:space="preserve">LEVEL: </t>
  </si>
  <si>
    <t>A shard of obsidian that always feels warm to the</t>
  </si>
  <si>
    <t>Copper Bracelet</t>
  </si>
  <si>
    <t>Agni Mani</t>
  </si>
  <si>
    <t>Agate</t>
  </si>
  <si>
    <t>Alexandrite</t>
  </si>
  <si>
    <t>Aquamarine</t>
  </si>
  <si>
    <t>Black Opal</t>
  </si>
  <si>
    <t>Amaratha</t>
  </si>
  <si>
    <t>Alabaser</t>
  </si>
  <si>
    <t>Abalone, Red</t>
  </si>
  <si>
    <t xml:space="preserve">GPV TOTAL: </t>
  </si>
  <si>
    <t>A mummified goblin hand touch</t>
  </si>
  <si>
    <t>Agate inlaid copper armband</t>
  </si>
  <si>
    <t>Algae</t>
  </si>
  <si>
    <t>Alestone</t>
  </si>
  <si>
    <t>Amber</t>
  </si>
  <si>
    <t>Euclase</t>
  </si>
  <si>
    <t>Fire Opal</t>
  </si>
  <si>
    <t>Beljuril</t>
  </si>
  <si>
    <t>Archon</t>
  </si>
  <si>
    <t>Abalone, Green</t>
  </si>
  <si>
    <t>COINS</t>
  </si>
  <si>
    <t>% DIST</t>
  </si>
  <si>
    <t xml:space="preserve">A piece of crystal that faintly glows in the moonlight </t>
  </si>
  <si>
    <t>Amber and emerald tree pendant</t>
  </si>
  <si>
    <t>Augelite</t>
  </si>
  <si>
    <t>Andar</t>
  </si>
  <si>
    <t>Amethyst</t>
  </si>
  <si>
    <t>Flamedance</t>
  </si>
  <si>
    <t>Jasmal</t>
  </si>
  <si>
    <t>Black Sapphire</t>
  </si>
  <si>
    <t>Horbill Ivory</t>
  </si>
  <si>
    <t>Black Helmet</t>
  </si>
  <si>
    <t>A dragon's bony talon hanging from a plain leather</t>
  </si>
  <si>
    <t>Brass bumblebee brooch</t>
  </si>
  <si>
    <t>Azurite</t>
  </si>
  <si>
    <t>Aventurine</t>
  </si>
  <si>
    <t>Angels Skin</t>
  </si>
  <si>
    <t>Garnet</t>
  </si>
  <si>
    <t>Moonbar</t>
  </si>
  <si>
    <t>Diamond</t>
  </si>
  <si>
    <t>Iris Agate</t>
  </si>
  <si>
    <t>Conch</t>
  </si>
  <si>
    <t>A gold coin minted in an unknown land necklace</t>
  </si>
  <si>
    <t>Carved ivory mask inlaid with jet</t>
  </si>
  <si>
    <t>Banded Agate</t>
  </si>
  <si>
    <t>Bloodstone</t>
  </si>
  <si>
    <t>Brandeen</t>
  </si>
  <si>
    <t>Heliodor</t>
  </si>
  <si>
    <t>Opal</t>
  </si>
  <si>
    <t>Emerald</t>
  </si>
  <si>
    <t>Ivory</t>
  </si>
  <si>
    <t>Cowrie, Tiger</t>
  </si>
  <si>
    <t>EP</t>
  </si>
  <si>
    <t xml:space="preserve">A diary written in a language you don’t know </t>
  </si>
  <si>
    <t>Carved sapphire bluebird pendant</t>
  </si>
  <si>
    <t>Blue Quartz</t>
  </si>
  <si>
    <t>Boakhar</t>
  </si>
  <si>
    <t>Cairngorm</t>
  </si>
  <si>
    <t>Horn Coral</t>
  </si>
  <si>
    <t>Orange Sapphire</t>
  </si>
  <si>
    <t>Jacinth</t>
  </si>
  <si>
    <t>Lumachella</t>
  </si>
  <si>
    <t>Cowrie, Pearl</t>
  </si>
  <si>
    <t>A  living worm with a head on each end of its body</t>
  </si>
  <si>
    <t>Carved tiger-eye lion pendant</t>
  </si>
  <si>
    <t>Bluestone</t>
  </si>
  <si>
    <t>Carnelian</t>
  </si>
  <si>
    <t>Chrysoberyl</t>
  </si>
  <si>
    <t>Orbaline</t>
  </si>
  <si>
    <t>Orblen</t>
  </si>
  <si>
    <t>Kings Tears</t>
  </si>
  <si>
    <t>Luspeel</t>
  </si>
  <si>
    <t>Cowrie, Opal</t>
  </si>
  <si>
    <t>PP</t>
  </si>
  <si>
    <t xml:space="preserve">A brass ring that never tarnishes </t>
  </si>
  <si>
    <t>Copper pegasus pendant</t>
  </si>
  <si>
    <t>Chrysocolla</t>
  </si>
  <si>
    <t>Chalcedony</t>
  </si>
  <si>
    <t>Chrysolite</t>
  </si>
  <si>
    <t>Pearl</t>
  </si>
  <si>
    <t>Orl</t>
  </si>
  <si>
    <t>Rogue Stone</t>
  </si>
  <si>
    <t>Marble</t>
  </si>
  <si>
    <t>Cowrie, Purple Star</t>
  </si>
  <si>
    <t>GEMS</t>
  </si>
  <si>
    <t>A blank book whose pages refuse to hold ink, chalk,</t>
  </si>
  <si>
    <t>Coral and pearl prayer beads</t>
  </si>
  <si>
    <t>Corstal</t>
  </si>
  <si>
    <t>Chrysoprase</t>
  </si>
  <si>
    <t>coral</t>
  </si>
  <si>
    <t>Peridot</t>
  </si>
  <si>
    <t>Purple Sapphire</t>
  </si>
  <si>
    <t>Ruby</t>
  </si>
  <si>
    <t>Meerschaum</t>
  </si>
  <si>
    <t>Flame Helmet</t>
  </si>
  <si>
    <t>An old chess piece made from glass graphite, or any other substance or marking</t>
  </si>
  <si>
    <t>Crystal sphere containing a black crystal sphere</t>
  </si>
  <si>
    <t>Crown of Silver</t>
  </si>
  <si>
    <t>Citrine</t>
  </si>
  <si>
    <t>Golden Sapphire</t>
  </si>
  <si>
    <t>Raindrop</t>
  </si>
  <si>
    <t>Ravenar</t>
  </si>
  <si>
    <t>Shou Lung Emerald</t>
  </si>
  <si>
    <t>Pipestone</t>
  </si>
  <si>
    <t>Horned Helmet</t>
  </si>
  <si>
    <t>A pair of knucklebone dice, each with a skull symbol on the side that would normally show six pips</t>
  </si>
  <si>
    <t>Detailed pearl mermaid pendant</t>
  </si>
  <si>
    <t>Disthene</t>
  </si>
  <si>
    <t>Clelophane</t>
  </si>
  <si>
    <t>Green Sapphire</t>
  </si>
  <si>
    <t>Rusteen</t>
  </si>
  <si>
    <t>Red Tears</t>
  </si>
  <si>
    <t>Star Ruby</t>
  </si>
  <si>
    <t>Psaedros</t>
  </si>
  <si>
    <t>Mother of Pearl</t>
  </si>
  <si>
    <t>GEMS:</t>
  </si>
  <si>
    <t>A silver badge in the shape of a five-pointed star</t>
  </si>
  <si>
    <t>Emerald pendant on a platinum chain</t>
  </si>
  <si>
    <t>Epidote</t>
  </si>
  <si>
    <t>Datchas</t>
  </si>
  <si>
    <t>Heliotrope</t>
  </si>
  <si>
    <t>Sphene</t>
  </si>
  <si>
    <t>Rhodolite</t>
  </si>
  <si>
    <t>Star Sapphire</t>
  </si>
  <si>
    <t>Serpentine Stone</t>
  </si>
  <si>
    <t>Nacre</t>
  </si>
  <si>
    <t>MISC GP</t>
  </si>
  <si>
    <t>ADD TO GP</t>
  </si>
  <si>
    <t>A knife that belonged to a relative</t>
  </si>
  <si>
    <t>Fine gemstone pendant on a golden chain</t>
  </si>
  <si>
    <t>Eye Agate</t>
  </si>
  <si>
    <t>Dioptase</t>
  </si>
  <si>
    <t>Hyacinth</t>
  </si>
  <si>
    <t>Spinel</t>
  </si>
  <si>
    <t>Sapphire</t>
  </si>
  <si>
    <t>Soapstone</t>
  </si>
  <si>
    <t>Nautilus</t>
  </si>
  <si>
    <t>A small idol depicting a nightmarish creature that gives you unsettling dreams when you sleep near it</t>
  </si>
  <si>
    <t>Finely wrought gold bracelet</t>
  </si>
  <si>
    <t>Fire Agate</t>
  </si>
  <si>
    <t>Gold Sheen</t>
  </si>
  <si>
    <t>Jade</t>
  </si>
  <si>
    <t>Topaz</t>
  </si>
  <si>
    <t>Sard</t>
  </si>
  <si>
    <t>Sulabra</t>
  </si>
  <si>
    <t>Red Helmet</t>
  </si>
  <si>
    <t>JEWELERY:</t>
  </si>
  <si>
    <t>A glass vial filled with nail clippings</t>
  </si>
  <si>
    <t>Fire opal inlaid luminar locket</t>
  </si>
  <si>
    <t>Fluorspar</t>
  </si>
  <si>
    <t>Hambergyle</t>
  </si>
  <si>
    <t>Jargoon</t>
  </si>
  <si>
    <t>Achroite</t>
  </si>
  <si>
    <t>Shou Lung Topaz</t>
  </si>
  <si>
    <t>Tempskya</t>
  </si>
  <si>
    <t>Sardonyx Helmet</t>
  </si>
  <si>
    <t>A rectangular metal device with two tiny metal cups</t>
  </si>
  <si>
    <t>Intricately linked snowflake necklace</t>
  </si>
  <si>
    <t>Frost Agate</t>
  </si>
  <si>
    <t>Hydrophane</t>
  </si>
  <si>
    <t>Jet</t>
  </si>
  <si>
    <t>Shou Lung Amethyst</t>
  </si>
  <si>
    <t>Turritella</t>
  </si>
  <si>
    <t>Shambos</t>
  </si>
  <si>
    <t xml:space="preserve">A rope necklace from which dangles four mummified on one end that throws sparks when wet elf fingers </t>
  </si>
  <si>
    <t>Jeweled ring</t>
  </si>
  <si>
    <t>Goldline</t>
  </si>
  <si>
    <t>Hypersthene</t>
  </si>
  <si>
    <t>Kornerupine</t>
  </si>
  <si>
    <t>Tomb Jade</t>
  </si>
  <si>
    <t>Xylopal</t>
  </si>
  <si>
    <t>Trochus</t>
  </si>
  <si>
    <t>QC User choice:</t>
  </si>
  <si>
    <t>A white, sequined glove sized for a human</t>
  </si>
  <si>
    <t>Malachite inlaid battleaxe on a bronze chain</t>
  </si>
  <si>
    <t>Greenstone</t>
  </si>
  <si>
    <t>Iol</t>
  </si>
  <si>
    <t>Laerals Tears</t>
  </si>
  <si>
    <t>Water Opal</t>
  </si>
  <si>
    <t>Star Metal</t>
  </si>
  <si>
    <t>Turbo</t>
  </si>
  <si>
    <t>The deed for a parcel of land in a realm unknown to you</t>
  </si>
  <si>
    <t>Moonstone lotus blossom pendant</t>
  </si>
  <si>
    <t>Hematite</t>
  </si>
  <si>
    <t>Irtios</t>
  </si>
  <si>
    <t>Mocca Stone</t>
  </si>
  <si>
    <t>Zendalure</t>
  </si>
  <si>
    <t>Unio</t>
  </si>
  <si>
    <t>A vest with one hundred tiny pockets</t>
  </si>
  <si>
    <t>Pearl inlaid mirrored locket</t>
  </si>
  <si>
    <t>Hyaline</t>
  </si>
  <si>
    <t>Jasper</t>
  </si>
  <si>
    <t>Octel</t>
  </si>
  <si>
    <t>WEALTH by class</t>
  </si>
  <si>
    <t xml:space="preserve">Max </t>
  </si>
  <si>
    <t>A small, weightless stone block</t>
  </si>
  <si>
    <t>Raven-headed silver torc</t>
  </si>
  <si>
    <t>Lapis Lazuli</t>
  </si>
  <si>
    <t>Luriyl</t>
  </si>
  <si>
    <t>Precious Cats-Eye</t>
  </si>
  <si>
    <t>Starting GP</t>
  </si>
  <si>
    <t xml:space="preserve">A 1-ounce block made from an unknown material </t>
  </si>
  <si>
    <t>Ruby-eyed moonsilver snake torc</t>
  </si>
  <si>
    <t>Lynx Eye</t>
  </si>
  <si>
    <t>Malacon</t>
  </si>
  <si>
    <t>Scapra</t>
  </si>
  <si>
    <t>A tiny sketch portrait of a goblin</t>
  </si>
  <si>
    <t>Rune engraved hammered silver bracelet</t>
  </si>
  <si>
    <t>Malachite</t>
  </si>
  <si>
    <t>Mellochrysos</t>
  </si>
  <si>
    <t>Shandon</t>
  </si>
  <si>
    <t xml:space="preserve">A small cloth doll skewered with needles </t>
  </si>
  <si>
    <t>Silver dragon minature pendant</t>
  </si>
  <si>
    <t>Microcline</t>
  </si>
  <si>
    <t>Moonstone</t>
  </si>
  <si>
    <t>Sinhalite</t>
  </si>
  <si>
    <t>An empty glass vial that smells of perfume when</t>
  </si>
  <si>
    <t>Silver hourglass pendant</t>
  </si>
  <si>
    <t>Moss Agate</t>
  </si>
  <si>
    <t>Mykaro</t>
  </si>
  <si>
    <t>Star Diopside</t>
  </si>
  <si>
    <t>A tooth from an unknown beast opened</t>
  </si>
  <si>
    <t>Emerald-eyed wolfs-head ring</t>
  </si>
  <si>
    <t>Nelvine</t>
  </si>
  <si>
    <t>Mynteer</t>
  </si>
  <si>
    <t>Tourmaline</t>
  </si>
  <si>
    <t xml:space="preserve">An enormous scale, perhaps from a dragon </t>
  </si>
  <si>
    <t>Jade eyed serpentine ring</t>
  </si>
  <si>
    <t>Nune</t>
  </si>
  <si>
    <t>Onyx</t>
  </si>
  <si>
    <t>Temair</t>
  </si>
  <si>
    <t>A gemstone that looks like a lump of coal when</t>
  </si>
  <si>
    <t>Silver ring etched with dice</t>
  </si>
  <si>
    <t>Obsidian</t>
  </si>
  <si>
    <t>Orprase</t>
  </si>
  <si>
    <t>Ulvaen</t>
  </si>
  <si>
    <t>A bright green feather examined by anyone but you</t>
  </si>
  <si>
    <t>Grimsilver ring emblazoned with an etched ruby eye and flame</t>
  </si>
  <si>
    <t>Oolite</t>
  </si>
  <si>
    <t>Phenalope</t>
  </si>
  <si>
    <t>Waterstar</t>
  </si>
  <si>
    <t xml:space="preserve">An old divination card bearing your likeness </t>
  </si>
  <si>
    <t>Steel ring with a battle-axe etched bloodstone</t>
  </si>
  <si>
    <t>Ophealine</t>
  </si>
  <si>
    <t>Rainbow Obsidian</t>
  </si>
  <si>
    <t>Ziose</t>
  </si>
  <si>
    <t>A scrap of cloth from an old banner</t>
  </si>
  <si>
    <t>Etched ivory ring set with a freshwater pearl</t>
  </si>
  <si>
    <t>Rhodocrhrosite</t>
  </si>
  <si>
    <t>Rock Crystal</t>
  </si>
  <si>
    <t>Danburite</t>
  </si>
  <si>
    <t xml:space="preserve">A glass orb filled with moving smoke </t>
  </si>
  <si>
    <t>Bluesteel joined-hands ring</t>
  </si>
  <si>
    <t>Rosaline</t>
  </si>
  <si>
    <t>Samarskite</t>
  </si>
  <si>
    <t>Cerussite</t>
  </si>
  <si>
    <t>A rank insignia from a lost legionnaire</t>
  </si>
  <si>
    <t>Silver ring set with a triquerta-etched lapis lazuli</t>
  </si>
  <si>
    <t>Sagenite</t>
  </si>
  <si>
    <t>Sardonyx</t>
  </si>
  <si>
    <t>Morganite</t>
  </si>
  <si>
    <t xml:space="preserve">A 1-pound egg with a bright red shell </t>
  </si>
  <si>
    <t>Onyx ring carved with a jackal's head</t>
  </si>
  <si>
    <t>Sanidine</t>
  </si>
  <si>
    <t>Serpentine</t>
  </si>
  <si>
    <t>Kunzite</t>
  </si>
  <si>
    <t>A tiny silver bell without a clapper</t>
  </si>
  <si>
    <t>Black dragonhide weapon's harness</t>
  </si>
  <si>
    <t>Sarbossa</t>
  </si>
  <si>
    <t>Skydrop</t>
  </si>
  <si>
    <t>Almadine</t>
  </si>
  <si>
    <t>A pipe that blows bubbles</t>
  </si>
  <si>
    <t>Blue and green honey-leather tabard</t>
  </si>
  <si>
    <t>Satin Spar</t>
  </si>
  <si>
    <t>Smoky Quartz</t>
  </si>
  <si>
    <t>Watermelon Tourmaline</t>
  </si>
  <si>
    <t>WEALTH by Level</t>
  </si>
  <si>
    <t>A mechanical canary inside a gnomish lamp</t>
  </si>
  <si>
    <t>Brillantly red spidersilk shawl</t>
  </si>
  <si>
    <t>Sharpstone</t>
  </si>
  <si>
    <t>Spodumene</t>
  </si>
  <si>
    <t>Titanite</t>
  </si>
  <si>
    <t>Cost of Equip</t>
  </si>
  <si>
    <t>Cost of Magic</t>
  </si>
  <si>
    <t>Adjusted GP</t>
  </si>
  <si>
    <t>A glass jar containing a weird bit of flesh floating in pickling fluid</t>
  </si>
  <si>
    <t>Dragon-embossed leather bracers</t>
  </si>
  <si>
    <t>Sheen</t>
  </si>
  <si>
    <t>Star Rose Quartz</t>
  </si>
  <si>
    <t>Pink Tourmaline</t>
  </si>
  <si>
    <t>1ST LEVEL</t>
  </si>
  <si>
    <t>A tiny chest carved to look like it has numerous feet on the bottom</t>
  </si>
  <si>
    <t>Embroidered gray velvet slippers</t>
  </si>
  <si>
    <t>Silkstone</t>
  </si>
  <si>
    <t>Tabasheer</t>
  </si>
  <si>
    <t>Padparadscha</t>
  </si>
  <si>
    <t>2ND LEVEL</t>
  </si>
  <si>
    <t>A tiny gnome-crafted music box that plays a song you dimly remember from your childhood</t>
  </si>
  <si>
    <t>Exquisite off-white spidersilk gown</t>
  </si>
  <si>
    <t>Snowflake Obsidian</t>
  </si>
  <si>
    <t>Tehazar</t>
  </si>
  <si>
    <t>Axinite</t>
  </si>
  <si>
    <t>3RD LEVEL</t>
  </si>
  <si>
    <t>A dead sprite inside a clear glass bottle</t>
  </si>
  <si>
    <t>Garnet inlaid bronze bracers</t>
  </si>
  <si>
    <t>Sunstone</t>
  </si>
  <si>
    <t>Witherite</t>
  </si>
  <si>
    <t>Prase</t>
  </si>
  <si>
    <t>4th LEVEL</t>
  </si>
  <si>
    <t>A metal can that has no opening but sounds as if it is filled with liquid, sand, spiders, or broken glass (your choice)</t>
  </si>
  <si>
    <t>Honey-leather baldric</t>
  </si>
  <si>
    <t>Thuparlial</t>
  </si>
  <si>
    <t>Zircon</t>
  </si>
  <si>
    <t>Lavender Jade</t>
  </si>
  <si>
    <t>5th LEVEL</t>
  </si>
  <si>
    <t>A small wooden statuette of a smug halfling</t>
  </si>
  <si>
    <t>Honey-leather vest with hidden pockets</t>
  </si>
  <si>
    <t>Tiger Eye Agate</t>
  </si>
  <si>
    <t>Petalite</t>
  </si>
  <si>
    <t>Yellow Jade</t>
  </si>
  <si>
    <t>6th LEVEL</t>
  </si>
  <si>
    <t>A brass orb etched with strange runes</t>
  </si>
  <si>
    <t>Rune-embroidered gray spidersilk robes</t>
  </si>
  <si>
    <t>Turquoise</t>
  </si>
  <si>
    <t>Datolite</t>
  </si>
  <si>
    <t>Purple Jade</t>
  </si>
  <si>
    <t>7th LEVEL</t>
  </si>
  <si>
    <t>A multicolored stone disk</t>
  </si>
  <si>
    <t>Silver constellation embroidered black spidersilk cloak</t>
  </si>
  <si>
    <t>Variscite</t>
  </si>
  <si>
    <t>Scheelite</t>
  </si>
  <si>
    <t>Blue Topaz</t>
  </si>
  <si>
    <t>8th LEVEL</t>
  </si>
  <si>
    <t>A glass orb filled with water, in which swims a</t>
  </si>
  <si>
    <t>Silver-embroidered black velvet cloak</t>
  </si>
  <si>
    <t>Violane</t>
  </si>
  <si>
    <t>Celestine</t>
  </si>
  <si>
    <t>9th LEVEL</t>
  </si>
  <si>
    <t>A tiny silver icon of a raven clockwork goldfish</t>
  </si>
  <si>
    <t>Snowflake etched silver goblets</t>
  </si>
  <si>
    <t>Webstone</t>
  </si>
  <si>
    <t>10th LEVEL</t>
  </si>
  <si>
    <t>A bag containing forty-seven humanoid teeth, one of which is rotten</t>
  </si>
  <si>
    <t>Winter wolf-skin vest</t>
  </si>
  <si>
    <t>Wonderstone</t>
  </si>
  <si>
    <t>11TH LEVEL</t>
  </si>
  <si>
    <t>A silver spoon with an M engraved on the handle</t>
  </si>
  <si>
    <t>Elegantly drapping white velvet cloak</t>
  </si>
  <si>
    <t>Woodtine</t>
  </si>
  <si>
    <t>12th LEVEL</t>
  </si>
  <si>
    <t>A whistle made from gold-colored wood</t>
  </si>
  <si>
    <t>Silver spiderweb embroidered gray spiderspilk robes</t>
  </si>
  <si>
    <t>Zarbrina</t>
  </si>
  <si>
    <t>13th LEVEL</t>
  </si>
  <si>
    <t xml:space="preserve">A dead scarab beetle the size of your hand </t>
  </si>
  <si>
    <t>Translucent black spidersilk cloak</t>
  </si>
  <si>
    <t>14th LEVEL</t>
  </si>
  <si>
    <t>An invitation to a party where a murder happened</t>
  </si>
  <si>
    <t>15th LEVEL</t>
  </si>
  <si>
    <t xml:space="preserve">Two toy soldiers, one with a missing head </t>
  </si>
  <si>
    <t>16th LEVEL</t>
  </si>
  <si>
    <t>A bronze pentacle with an etching of a rat's head</t>
  </si>
  <si>
    <t>17th LEVEL</t>
  </si>
  <si>
    <t>A small box filled with different-sized buttons in its center</t>
  </si>
  <si>
    <t>18th LEVEL</t>
  </si>
  <si>
    <t xml:space="preserve">A candle that can’t be lit </t>
  </si>
  <si>
    <t>19th LEVEL</t>
  </si>
  <si>
    <t>A purple handkerchief embroidered with the name of</t>
  </si>
  <si>
    <t>20TH LEVEL</t>
  </si>
  <si>
    <t>A tiny cage with no door a powerful archmage</t>
  </si>
  <si>
    <t xml:space="preserve">An old key </t>
  </si>
  <si>
    <t>Half of a floorplan for a temple, castle, or some other</t>
  </si>
  <si>
    <t>An indecipherable treasure map structure</t>
  </si>
  <si>
    <t xml:space="preserve">A hilt from a broken sword </t>
  </si>
  <si>
    <t>A bit of folded cloth that, when unfolded, turns into</t>
  </si>
  <si>
    <t>A rabbit’s foot a stylish cap</t>
  </si>
  <si>
    <t xml:space="preserve">A glass eye </t>
  </si>
  <si>
    <t>A receipt of deposit at a bank in a far-flung city</t>
  </si>
  <si>
    <t xml:space="preserve">A cameo carved in the likeness of a hideous person </t>
  </si>
  <si>
    <t>A diary with seven missing pages</t>
  </si>
  <si>
    <t xml:space="preserve">A silver skull the size of a coin </t>
  </si>
  <si>
    <t>An empty silver snuffbox bearing an inscription on</t>
  </si>
  <si>
    <t>An alabaster mask the surface that says “dreams’’</t>
  </si>
  <si>
    <t xml:space="preserve">A pyramid of sticky black incense that smells very bad </t>
  </si>
  <si>
    <t>An iron holy symbol devoted to an unknown god</t>
  </si>
  <si>
    <t>A nightcap that, when worn, gives you pleasant dreams</t>
  </si>
  <si>
    <t>A book that tells the story of a legendary hero's rise and fall, with the last chapter missing</t>
  </si>
  <si>
    <t xml:space="preserve">A single caltrop made from bone </t>
  </si>
  <si>
    <t>A vial of dragon blood</t>
  </si>
  <si>
    <t>A gold monocle frame without the lens</t>
  </si>
  <si>
    <t>An ancient arrow of elven design</t>
  </si>
  <si>
    <t>A 1-inch cube, each side painted a different color</t>
  </si>
  <si>
    <t>A needle that never bends</t>
  </si>
  <si>
    <t xml:space="preserve">A crystal knob from a door </t>
  </si>
  <si>
    <t>An ornate brooch of dwarven design</t>
  </si>
  <si>
    <t xml:space="preserve">A small packet filled with pink dust </t>
  </si>
  <si>
    <t>An empty wine bottle bearing a pretty label that says, “The Wizard of Wines Winery, Red Dragon Crush, 331422-W"</t>
  </si>
  <si>
    <t>A fragment of a beautiful song, written as musical notes on two pieces of parchment</t>
  </si>
  <si>
    <t xml:space="preserve">A silver teardrop earring made from a real teardrop </t>
  </si>
  <si>
    <t>A mosaic tile with a multicolored, glazed surface</t>
  </si>
  <si>
    <t>The shell of an egg painted with scenes of human misery in disturbing detail</t>
  </si>
  <si>
    <t>A petrified mouse</t>
  </si>
  <si>
    <t>A black pirate flag adorned with a dragon's skull</t>
  </si>
  <si>
    <t>A fan that, when unfolded, shows a sleeping cat and crossbones</t>
  </si>
  <si>
    <t xml:space="preserve">A set of bone pipes </t>
  </si>
  <si>
    <t>A tiny mechanical crab or spider that moves about</t>
  </si>
  <si>
    <t>A four-leaf clover pressed inside a book discussing when it’s not being observed manners and etiquette</t>
  </si>
  <si>
    <t>A glass jar containing lard with a label that reads,</t>
  </si>
  <si>
    <t>A sheet of parchment upon which is drawn a complex “Griffon Grease” mechanical contraption</t>
  </si>
  <si>
    <t>A wooden box with a ceramic bottom that holds a</t>
  </si>
  <si>
    <t>An ornate scabbard that fits no blade you have found so far</t>
  </si>
  <si>
    <t>A metal urn containing the ashes of a hero</t>
  </si>
  <si>
    <t>MAGIC ITEMS</t>
  </si>
  <si>
    <t>COMMON/UNCOMMON ITEMS</t>
  </si>
  <si>
    <t>Attune</t>
  </si>
  <si>
    <t>AC Bonus</t>
  </si>
  <si>
    <t>LEVEL (OR 0)</t>
  </si>
  <si>
    <t>COMMON/UNCOMMON</t>
  </si>
  <si>
    <t>RARE</t>
  </si>
  <si>
    <t>VERY RARE</t>
  </si>
  <si>
    <t>LEGENDARY</t>
  </si>
  <si>
    <t>Potion of Climbing</t>
  </si>
  <si>
    <t>Potion</t>
  </si>
  <si>
    <t>Climb 1 hr. = Walk speed</t>
  </si>
  <si>
    <t>dmg 187</t>
  </si>
  <si>
    <t>Potion of Healing - Common</t>
  </si>
  <si>
    <t>Healing  (2D4+2)</t>
  </si>
  <si>
    <t>NOTES</t>
  </si>
  <si>
    <t>SOURCE</t>
  </si>
  <si>
    <t>Spell Scroll, 1st Level</t>
  </si>
  <si>
    <t>Scroll</t>
  </si>
  <si>
    <t>dmg 200</t>
  </si>
  <si>
    <t>ITEM#1</t>
  </si>
  <si>
    <t>Spell Scroll, Cantrip</t>
  </si>
  <si>
    <t>ITEM#2</t>
  </si>
  <si>
    <t>Adamantine Armor</t>
  </si>
  <si>
    <t>Uncommon</t>
  </si>
  <si>
    <t>dmg 150</t>
  </si>
  <si>
    <t>ITEM#3</t>
  </si>
  <si>
    <t>Mariner's Armor</t>
  </si>
  <si>
    <t>dmg 181</t>
  </si>
  <si>
    <t>ITEM#4</t>
  </si>
  <si>
    <t>Mithral Armor</t>
  </si>
  <si>
    <t>dmg 182</t>
  </si>
  <si>
    <t>ITEM#5</t>
  </si>
  <si>
    <t>Sentinel Shield</t>
  </si>
  <si>
    <t xml:space="preserve">Advantage on Initiative and Perception </t>
  </si>
  <si>
    <t>dmg 199</t>
  </si>
  <si>
    <t>ITEM#6</t>
  </si>
  <si>
    <t>Shield, +1</t>
  </si>
  <si>
    <t>ITEM#7</t>
  </si>
  <si>
    <t>Oil of Slipperiness</t>
  </si>
  <si>
    <t>Freedom of movement - 8 hrs.</t>
  </si>
  <si>
    <t>dmg 184</t>
  </si>
  <si>
    <t>Philter of Love</t>
  </si>
  <si>
    <t>Cursed - Charmed by first creature you see - 1 hr.</t>
  </si>
  <si>
    <t>Potion of Animal Friendship</t>
  </si>
  <si>
    <t>Animal Friendship - 1 hr.</t>
  </si>
  <si>
    <t>RARE ITEMS</t>
  </si>
  <si>
    <t>Potion of Fire Breath</t>
  </si>
  <si>
    <t>30' Fire - 4D6 damage (3X or 1 hr.)</t>
  </si>
  <si>
    <t>Potion of Greater Healing</t>
  </si>
  <si>
    <t>Healing  (4D4+4)</t>
  </si>
  <si>
    <t>Potion of Growth</t>
  </si>
  <si>
    <t>Enlarge - 4 hrs.</t>
  </si>
  <si>
    <t>Potion of Hill Giant Strength</t>
  </si>
  <si>
    <t>Strength 21 - 1 hr.</t>
  </si>
  <si>
    <t>Potion of Poison</t>
  </si>
  <si>
    <t>Drink - 3d6,  -1d6 per save</t>
  </si>
  <si>
    <t>dmg 188</t>
  </si>
  <si>
    <t>Potion of Resistance</t>
  </si>
  <si>
    <t>Potion of Water Breathing</t>
  </si>
  <si>
    <t>Breath underwater - 1 hr.</t>
  </si>
  <si>
    <t>Ring of Jumping</t>
  </si>
  <si>
    <t>Ring</t>
  </si>
  <si>
    <t>yes</t>
  </si>
  <si>
    <t>Jump - bonus action - at will</t>
  </si>
  <si>
    <t>dmg 191</t>
  </si>
  <si>
    <t>Ring of Mind Shielding</t>
  </si>
  <si>
    <t>Immune to mind reading/alignmen/lying - Die soul enters ring</t>
  </si>
  <si>
    <t>VERY RARE ITEMS</t>
  </si>
  <si>
    <t>Ring of Swimming</t>
  </si>
  <si>
    <t>Swim 40' / turn</t>
  </si>
  <si>
    <t>dmg 193</t>
  </si>
  <si>
    <t>Ring of Warmth</t>
  </si>
  <si>
    <t>Resistant to cold damage</t>
  </si>
  <si>
    <t>Ring of Water Walking</t>
  </si>
  <si>
    <t>Stand/Move on any liquid</t>
  </si>
  <si>
    <t>Immovable Rod</t>
  </si>
  <si>
    <t>Push button - Rod immovable - DC 30 to move rod 10'</t>
  </si>
  <si>
    <t>dmg 175</t>
  </si>
  <si>
    <t>Rod of the Pact Keeper, +1</t>
  </si>
  <si>
    <t>Warlock - Spell attack +1, Saves +1</t>
  </si>
  <si>
    <t>dmg 197</t>
  </si>
  <si>
    <t>Spell Scroll, 2nd Level</t>
  </si>
  <si>
    <t>Spell Scroll, 3rd Level</t>
  </si>
  <si>
    <t>LEGENDARY ITEMS</t>
  </si>
  <si>
    <t>Staff of the Adder</t>
  </si>
  <si>
    <t>dmg 203</t>
  </si>
  <si>
    <t>Staff of the Python</t>
  </si>
  <si>
    <t>Cleric, Druid, or Warlock - Turns into Giant Constrictor Snake</t>
  </si>
  <si>
    <t>dmg 204</t>
  </si>
  <si>
    <t>Wand of Magic Detection</t>
  </si>
  <si>
    <t>3 Charges/day - (1 chg.) Dect. Magic   ( +1d3 charge/day)</t>
  </si>
  <si>
    <t>dmg 211</t>
  </si>
  <si>
    <t>Wand of Magic Missiles</t>
  </si>
  <si>
    <t>7 Charges/day - (1 chg.) Magic Missle - (can increase power)</t>
  </si>
  <si>
    <t>Reistance Potion</t>
  </si>
  <si>
    <t>Wand of Secrets</t>
  </si>
  <si>
    <t>3 Charges/day - (1 chg.) Dect. Secret door - 30'   ( +1d3 charge/day)</t>
  </si>
  <si>
    <t>Acid</t>
  </si>
  <si>
    <t>Wand of Web</t>
  </si>
  <si>
    <t>Spellcaster - 7 Charges - DC15 to dodge/escape</t>
  </si>
  <si>
    <t>dmg 212</t>
  </si>
  <si>
    <t>Cold</t>
  </si>
  <si>
    <t>Wand of the War Mage, +1</t>
  </si>
  <si>
    <t>Spellcaster - (+1 to attack rolls)</t>
  </si>
  <si>
    <t>Fire</t>
  </si>
  <si>
    <t>Magic Ammunition</t>
  </si>
  <si>
    <t>Force</t>
  </si>
  <si>
    <t>Javelin of Lightning</t>
  </si>
  <si>
    <t>Lightning - 120' x 5' - DC13 - 1d6+4d6   -  1/day</t>
  </si>
  <si>
    <t>dmg 178</t>
  </si>
  <si>
    <t>Lightning</t>
  </si>
  <si>
    <t>Sword of Vengeance</t>
  </si>
  <si>
    <t>dmg 206</t>
  </si>
  <si>
    <t>Necrotic</t>
  </si>
  <si>
    <t>Trident of Fish Command</t>
  </si>
  <si>
    <t>3 Charges/day - (1 chg.) Dominate Beast   ( +1d3 charge/day)</t>
  </si>
  <si>
    <t>dmg 209</t>
  </si>
  <si>
    <t>Poison</t>
  </si>
  <si>
    <t>Weapon of Warning</t>
  </si>
  <si>
    <t>Adv. on Init. rolls, Party not surprised in 30', wakes if sleeping</t>
  </si>
  <si>
    <t>dmg 213</t>
  </si>
  <si>
    <t>Psychic</t>
  </si>
  <si>
    <t>Radiant</t>
  </si>
  <si>
    <t>Alchemy Jug</t>
  </si>
  <si>
    <t>Wondrous Item</t>
  </si>
  <si>
    <t>Produce many liquids on command - 1/day</t>
  </si>
  <si>
    <t>Thunder</t>
  </si>
  <si>
    <t>Amulet of Proof Against Detection and Location</t>
  </si>
  <si>
    <t>Hidden from divination magic</t>
  </si>
  <si>
    <t>Bag of Holding</t>
  </si>
  <si>
    <t>Hold 500 lbs. - always weighs 15 lbs.</t>
  </si>
  <si>
    <t>dmg 153</t>
  </si>
  <si>
    <t>Swords</t>
  </si>
  <si>
    <t>Bag of Tricks</t>
  </si>
  <si>
    <t>dmg 154</t>
  </si>
  <si>
    <t>Boots of Elvenkind</t>
  </si>
  <si>
    <t>Make no sound - Advantage Dex &amp; Stealth checks</t>
  </si>
  <si>
    <t>dmg 155</t>
  </si>
  <si>
    <t>Boots of Striding and Springing</t>
  </si>
  <si>
    <t>Walk 30'/turn, Jump 3X normal</t>
  </si>
  <si>
    <t>dmg 156</t>
  </si>
  <si>
    <t>Boots of the Winterlands</t>
  </si>
  <si>
    <t>Resistant to cold damage, ignore ice/snow, tolerate -50</t>
  </si>
  <si>
    <t>Scimiter</t>
  </si>
  <si>
    <t>Bracers of Archery</t>
  </si>
  <si>
    <t>Proficency with Longbow &amp; Shortbow, +2 damage</t>
  </si>
  <si>
    <t>Brooch of Shielding</t>
  </si>
  <si>
    <t>Reistance to Force Damage, Immunity to Magic Missile</t>
  </si>
  <si>
    <t>Broom of Flying</t>
  </si>
  <si>
    <t>Fly 50'/turn, carrying 200 lbs or less, 30' Fly if over 200 (400 Max)</t>
  </si>
  <si>
    <t>Cap of Water Breathing</t>
  </si>
  <si>
    <t>Breath underwater</t>
  </si>
  <si>
    <t>dmg 157</t>
  </si>
  <si>
    <t>Gray Bag</t>
  </si>
  <si>
    <t>Circlet of Blasting</t>
  </si>
  <si>
    <t>Scorching Ray 1/day, +5 to hit</t>
  </si>
  <si>
    <t>dmg 158</t>
  </si>
  <si>
    <t>Cloak of Elvenkind</t>
  </si>
  <si>
    <t>Perc. Rolls disadantage, Stealth Adv. Rolls</t>
  </si>
  <si>
    <t>Rust Bag</t>
  </si>
  <si>
    <t>Cloak of Protection</t>
  </si>
  <si>
    <t>"+1 AC and +1 Saves"</t>
  </si>
  <si>
    <t>dmg 159</t>
  </si>
  <si>
    <t>Tan Bag</t>
  </si>
  <si>
    <t>Cloak of the Manta Ray</t>
  </si>
  <si>
    <t>Breath underwater, Swim 60'/turn</t>
  </si>
  <si>
    <t>Decanter of Endless Water</t>
  </si>
  <si>
    <t>Stream - 1 Gal, Fountain - 5 Gal, Geyser - 30 Gal.(1d4 dam.)</t>
  </si>
  <si>
    <t>dmg 161</t>
  </si>
  <si>
    <t>Elemental Gem</t>
  </si>
  <si>
    <t>Deck of Illusions</t>
  </si>
  <si>
    <t>Illusions - (1d20-1) Cards - See DMG.</t>
  </si>
  <si>
    <t>Air</t>
  </si>
  <si>
    <t>Driftglobe</t>
  </si>
  <si>
    <t>Light or Daylight 1/day - floats around you</t>
  </si>
  <si>
    <t>dmg 166</t>
  </si>
  <si>
    <t>Earth</t>
  </si>
  <si>
    <t>Dust of Disappearance</t>
  </si>
  <si>
    <t>10' sq. of invisibility - 2d4 Min.</t>
  </si>
  <si>
    <t>Dust of Dryness</t>
  </si>
  <si>
    <t>Turn 15' sq. of water into small pellet</t>
  </si>
  <si>
    <t>Water</t>
  </si>
  <si>
    <t>Dust of Sneezing and Choking</t>
  </si>
  <si>
    <t>30' area, DC 15 Con or incapacited until save</t>
  </si>
  <si>
    <t>dmg 167</t>
  </si>
  <si>
    <t>Eversmoking Bottle</t>
  </si>
  <si>
    <t>60' radius Thick Cloud - expands to 120' - Ends when closed</t>
  </si>
  <si>
    <t>dmg 168</t>
  </si>
  <si>
    <t>Eyes of Charming</t>
  </si>
  <si>
    <t>3 Charges/day - (1 chg.) Charm Person (save DC 13)</t>
  </si>
  <si>
    <t>Eyes of Minute Seeing</t>
  </si>
  <si>
    <t>Advantage on Investigation (Searching Check)</t>
  </si>
  <si>
    <t>Eyes of the Eagle</t>
  </si>
  <si>
    <t>Advantage on Perception Check - Long distance</t>
  </si>
  <si>
    <t>Figurine of Wondrous Power, Silver Raven</t>
  </si>
  <si>
    <t>Lasts 12 hrs. - every other day - Animal Messenger spell</t>
  </si>
  <si>
    <t>dmg 170</t>
  </si>
  <si>
    <t>Gauntlets of Ogre Power</t>
  </si>
  <si>
    <t>Strength 19 (no effect if NPC is stronger)</t>
  </si>
  <si>
    <t>dmg 171</t>
  </si>
  <si>
    <t>Gem of Brightness</t>
  </si>
  <si>
    <t>50 charges - 30 to 60 light - or Blinding beam or 30' blinding sph.</t>
  </si>
  <si>
    <t>Gloves of Missile Snaring</t>
  </si>
  <si>
    <t>dmg 172</t>
  </si>
  <si>
    <t>Gloves of Swimming and Climbing</t>
  </si>
  <si>
    <t>Climb and Swim at walk speed, +5 str check when Swim or climb</t>
  </si>
  <si>
    <t>Gloves of Thievery</t>
  </si>
  <si>
    <t>Invis. When worn, +5 to Sleight of Hand and Pick locks</t>
  </si>
  <si>
    <t>Goggles of Night</t>
  </si>
  <si>
    <t>Darkvision 60'</t>
  </si>
  <si>
    <t>Hat of Disguise</t>
  </si>
  <si>
    <t>Disguse self - at will</t>
  </si>
  <si>
    <t>dmg 173</t>
  </si>
  <si>
    <t>Headband of Intellect</t>
  </si>
  <si>
    <t>Int = 19</t>
  </si>
  <si>
    <t>Helm of Comprehending Languages</t>
  </si>
  <si>
    <t>Comprehend Languages at will</t>
  </si>
  <si>
    <t>Helm of Telepathy</t>
  </si>
  <si>
    <t>Dect. Thoughts (DC 13) + send telepathic messages, Suggestion 1/day</t>
  </si>
  <si>
    <t>dmg 174</t>
  </si>
  <si>
    <t>Instrument of the Bards, Doss Lute</t>
  </si>
  <si>
    <t>Bard - Fly, Invis, Levitate, Prot. Good &amp; Evil, Animal Friendship, Prot. Fire &amp; Posion 1/day</t>
  </si>
  <si>
    <t>dmg 176</t>
  </si>
  <si>
    <t>Instrument of the Bards, Fochlucan Bandore</t>
  </si>
  <si>
    <t>Bard - Fly, Invis, Levitate, Prot. Good &amp; Evil, Entangle, Faire Fire, Shillelagh, Speak w/ Animals - 1/day</t>
  </si>
  <si>
    <t>Instrument of the Bards, Mac-Fuirmidh Cittern</t>
  </si>
  <si>
    <t>Bard - Fly, Invis, Levitate, Prot. Good &amp; Evil, Barkskin, cure wounds, fog cloud  - 1/day</t>
  </si>
  <si>
    <t>Keoghtom's Ointment</t>
  </si>
  <si>
    <t>1d4+1 doses, 2d8+2 healing, cures poison and disease</t>
  </si>
  <si>
    <t>dmg 179</t>
  </si>
  <si>
    <t>Lantern of Revealing</t>
  </si>
  <si>
    <t>30' bright light, +30' dim light, see invisible in light - 6 hrs./pint of oil</t>
  </si>
  <si>
    <t>Medallion of Thoughts</t>
  </si>
  <si>
    <t xml:space="preserve">3 charges - Dect. Thoughts (DC 13) (recharges 1d3/day) </t>
  </si>
  <si>
    <t>Necklace of Adaptation</t>
  </si>
  <si>
    <t>Breath in any environment, saving throw vs. gases &amp; breath weapons</t>
  </si>
  <si>
    <t>Pearl of Power</t>
  </si>
  <si>
    <t>Spellcaster only - Regain 1 spell up to 3rd level - 1/day</t>
  </si>
  <si>
    <t>Periapt of Health</t>
  </si>
  <si>
    <t>Immune to disease</t>
  </si>
  <si>
    <t>Periapt of Wound Closure</t>
  </si>
  <si>
    <t>Stabilize when dying - regain HP at double rate</t>
  </si>
  <si>
    <t>Pipes of Haunting</t>
  </si>
  <si>
    <t>3 Charges/day - (1 chg.) Fear 30'  (save DC 15 Wis.)</t>
  </si>
  <si>
    <t>dmg 185</t>
  </si>
  <si>
    <t>Pipes of the Sewers</t>
  </si>
  <si>
    <t xml:space="preserve">Prof. with wind instruments only - 3 charges - summons rats </t>
  </si>
  <si>
    <t>Quiver of Ehlonna</t>
  </si>
  <si>
    <t>Holds extra ammo - bolts, arrows, javelins and bows, staffs or spears</t>
  </si>
  <si>
    <t>dmg 189</t>
  </si>
  <si>
    <t>Robe of Useful Items</t>
  </si>
  <si>
    <t>Robe w/ 4d4 patches - Random items see DMG</t>
  </si>
  <si>
    <t>dmg 195</t>
  </si>
  <si>
    <t>Rope of Climbing</t>
  </si>
  <si>
    <t>60' rope, hold 3,000 lbs, rope animates, advantage on climb</t>
  </si>
  <si>
    <t>Saddle of the Cavalier</t>
  </si>
  <si>
    <t>can't be dismounted, disadvantange attacks against mount</t>
  </si>
  <si>
    <t>Sending Stones</t>
  </si>
  <si>
    <t>Pair of stones, cast Sending 1/day to person with other stone</t>
  </si>
  <si>
    <t>Slippers of Spider Climbing</t>
  </si>
  <si>
    <t>Climb walls - hands free @ walking speed</t>
  </si>
  <si>
    <t>Stone of Good Luck</t>
  </si>
  <si>
    <t>Ability checks and saves +1</t>
  </si>
  <si>
    <t>dmg 205</t>
  </si>
  <si>
    <t>Wind Fan</t>
  </si>
  <si>
    <t>Cast Gust of Wind (DC 13) 1/day</t>
  </si>
  <si>
    <t>Winged Boots</t>
  </si>
  <si>
    <t>Fly speed equal to walk speed - 4 hrs./day</t>
  </si>
  <si>
    <t>dmg 214</t>
  </si>
  <si>
    <t>Rare</t>
  </si>
  <si>
    <t>dmg 152</t>
  </si>
  <si>
    <t>Armor of Reistance</t>
  </si>
  <si>
    <t>Plate Armor of Vulnerability</t>
  </si>
  <si>
    <t>Magic Armor</t>
  </si>
  <si>
    <t>Arrow-catching Shield</t>
  </si>
  <si>
    <t>"+2 vs. ranged attacks, +normal shield AC"</t>
  </si>
  <si>
    <t>Elven Chain</t>
  </si>
  <si>
    <t>Automatically proficient with medium armor, +2 AC</t>
  </si>
  <si>
    <t>Glamoured Studded Leather</t>
  </si>
  <si>
    <t>Command word - looks like normal clothes, +1 AC</t>
  </si>
  <si>
    <t>Shield of Missile Attraction</t>
  </si>
  <si>
    <t>CURSED - Any ranged attack within 10', attacks you instead</t>
  </si>
  <si>
    <t>Shield, +2</t>
  </si>
  <si>
    <t>"+2 AC, +normal shield AC"</t>
  </si>
  <si>
    <t>Elixir of Health</t>
  </si>
  <si>
    <t>Cures any disease, poison, blindness, deafened, or paralyzed</t>
  </si>
  <si>
    <t>Oil of Etherealness</t>
  </si>
  <si>
    <t>10 minutes to apply - Cast Etherealness</t>
  </si>
  <si>
    <t>dmg 183</t>
  </si>
  <si>
    <t>Potion of Clairvoyance</t>
  </si>
  <si>
    <t>Clairvoyance spell</t>
  </si>
  <si>
    <t>Potion of Diminution</t>
  </si>
  <si>
    <t>"Reduce" spell - 1d4 hours</t>
  </si>
  <si>
    <t>Potion of Fire Giant Strength</t>
  </si>
  <si>
    <t>25  Strength - 1 hr.</t>
  </si>
  <si>
    <t>Potion of Frost Giant Strength</t>
  </si>
  <si>
    <t>23  Strength - 1 hr.</t>
  </si>
  <si>
    <t>Heavy</t>
  </si>
  <si>
    <t>Potion of Gaseous Form</t>
  </si>
  <si>
    <t>"Gaseous Form" - 1 hr.</t>
  </si>
  <si>
    <t>Potion of Heroism</t>
  </si>
  <si>
    <t>10 temporary HP and "Bless" - 1 hr.</t>
  </si>
  <si>
    <t>Armor of Vulnerability</t>
  </si>
  <si>
    <t>Potion of Invulnerability</t>
  </si>
  <si>
    <t>Invulnerablity - 1 min.</t>
  </si>
  <si>
    <t>Bludgeoning</t>
  </si>
  <si>
    <t>Potion of Mind Reading</t>
  </si>
  <si>
    <t>"Dect. Thoughts" (DC 13)</t>
  </si>
  <si>
    <t>Piercing</t>
  </si>
  <si>
    <t>Potion of Stone Giant Strength</t>
  </si>
  <si>
    <t>Slashing</t>
  </si>
  <si>
    <t>Potion of Superior Healing</t>
  </si>
  <si>
    <t>Healing (8d4+8)</t>
  </si>
  <si>
    <t>Ring of Animal Influence</t>
  </si>
  <si>
    <t>3 Charges - Animal Friendship (DC 13), Fear (Int. 3 or lower), Speak w/ Animals</t>
  </si>
  <si>
    <t>Armor Types</t>
  </si>
  <si>
    <t>Ring of Evasion</t>
  </si>
  <si>
    <t>3 Charges - Failed Dex. Roll succeeds (recharge 1d3/day)</t>
  </si>
  <si>
    <t>Ring of Feather Falling</t>
  </si>
  <si>
    <t>Descend 60' round - take no damage</t>
  </si>
  <si>
    <t>Ring of Free Action</t>
  </si>
  <si>
    <t>Terrain doesn't slow you, Magic cannot reduce speed or paralyze</t>
  </si>
  <si>
    <t>Studded Leather</t>
  </si>
  <si>
    <t>Ring of Protection</t>
  </si>
  <si>
    <t>"+1 AC"</t>
  </si>
  <si>
    <t>Ring of Resistance</t>
  </si>
  <si>
    <t>dmg 192</t>
  </si>
  <si>
    <t>Chain Shirt</t>
  </si>
  <si>
    <t>Ring of Spell Storing</t>
  </si>
  <si>
    <t>Scale Shirt</t>
  </si>
  <si>
    <t>Ring of X-ray Vision</t>
  </si>
  <si>
    <t>See through solid matter - (1' stone, 1" Metal, 3' wood or dirt) (30' radius) - 1 min.</t>
  </si>
  <si>
    <t>Ring of the Ram</t>
  </si>
  <si>
    <t>3 charges - Spectral Ram head - 60' radius, +7 to hit, 2d10 force dmg.,knockback 5'</t>
  </si>
  <si>
    <t>Half Plate</t>
  </si>
  <si>
    <t>Rod of Rulership</t>
  </si>
  <si>
    <t>Command creature - 120', (DC 15 - Wis.) - lasts 8 hrs. - Harm breaks spell</t>
  </si>
  <si>
    <t>Ring Mail</t>
  </si>
  <si>
    <t>Rod of the Pact Keeper, +2</t>
  </si>
  <si>
    <t>Warlock - Spell attack +2, Saves +2</t>
  </si>
  <si>
    <t>Chain Mail</t>
  </si>
  <si>
    <t>Tentacle Rod</t>
  </si>
  <si>
    <t>3 Tentacles - 15' rad. - +9 to hit, 1d6 Bludg dmg., If all 3 tentacles hit - See DMG.</t>
  </si>
  <si>
    <t>dmg 208</t>
  </si>
  <si>
    <t>Scroll of Protection</t>
  </si>
  <si>
    <t>Spell Scroll, 4th Level</t>
  </si>
  <si>
    <t>Spell Scroll, 5th Level</t>
  </si>
  <si>
    <t>Staff/Weapon</t>
  </si>
  <si>
    <t>dmg 201</t>
  </si>
  <si>
    <t>dmg 202</t>
  </si>
  <si>
    <t>Wand of Binding</t>
  </si>
  <si>
    <t>Spellcaster - 7 Chg. - Hold Monster (5 chg.) - Hold Person (2 chg.) - Advantage (1 chg.)</t>
  </si>
  <si>
    <t>Wand of Enemy Detection</t>
  </si>
  <si>
    <t>7 charges - Dect. Hostile - 60', 1 min.</t>
  </si>
  <si>
    <t>dmg 210</t>
  </si>
  <si>
    <t>Wand of Fear</t>
  </si>
  <si>
    <t>7 charges - Flee or Grovel (1 chg), Cone of Fear - 60' - (2 chg.) (DC 15 Wis.)</t>
  </si>
  <si>
    <t>Wand of Fireballs</t>
  </si>
  <si>
    <t>spellcaster - 7 Charges - Fireball (lvl. 3 - 1 chg.) extra chg = extra dmg.</t>
  </si>
  <si>
    <t>Wand of Lightning Bolts</t>
  </si>
  <si>
    <t>spellcaster - 7 Charges - Lightning Bolt (lvl. 3 - 1 chg.) extra chg = extra dmg.</t>
  </si>
  <si>
    <t>Staff of Charming</t>
  </si>
  <si>
    <t>Wand of Paralysis</t>
  </si>
  <si>
    <t>spellcaster - 7 Charges, 60' - spell attack, paralyzed 1 min.</t>
  </si>
  <si>
    <t>Wand of Wonder</t>
  </si>
  <si>
    <t>spellcaster - 7 Charges,  See DMG</t>
  </si>
  <si>
    <t>Swords &amp; Axes</t>
  </si>
  <si>
    <t>Wand of the War Mage, +2</t>
  </si>
  <si>
    <t>Spell attacks +2 while holding wand</t>
  </si>
  <si>
    <t>Magic ammo</t>
  </si>
  <si>
    <t>CURSED - When hit, go berserk.  Attack target until it's dead.</t>
  </si>
  <si>
    <t>Dagger of Venom</t>
  </si>
  <si>
    <t>1d10 dmg. Poison (DC 15 Con) +1 hit and dmg.</t>
  </si>
  <si>
    <t>Extra 3d6 dmg. to all dragons, +1 to hit and dmg.</t>
  </si>
  <si>
    <t>Extra 2d6 fire dmg. - Light 40' - 60'</t>
  </si>
  <si>
    <t>Hand Axe</t>
  </si>
  <si>
    <t>Extra 2d6 dmg. to Giants (DC 15 or fall prone), +1 hit and dmg.</t>
  </si>
  <si>
    <t>Mace of Disruption</t>
  </si>
  <si>
    <t>Extra 2d6 dmg. To Undead &amp; Fiends (DC 15 Wis. Or destroyed), Light 20' - 40'</t>
  </si>
  <si>
    <t>Great Axe</t>
  </si>
  <si>
    <t>Mace of Smiting</t>
  </si>
  <si>
    <t>On 20 roll, +7 dmg.(dbl. vs. construct) - +1 to hit (+3 vs. construct),</t>
  </si>
  <si>
    <t>Mace of Terror</t>
  </si>
  <si>
    <t>3 Charges - Wave of Terror (1 Chg) - 30' radius (DC 15 Wis.) Lasts 1 min.</t>
  </si>
  <si>
    <t>dmg 180</t>
  </si>
  <si>
    <t>Sun Blade - Longsword</t>
  </si>
  <si>
    <t>Looks like sword hilt - grants finesse - must be prof. with short or long sword</t>
  </si>
  <si>
    <t>On 20 roll, extra 10 dmg (except undead or construct) +10 temp HP</t>
  </si>
  <si>
    <t>1d4 necrotic dmg/turn/hit - can only heal over time… not magical healing</t>
  </si>
  <si>
    <t>dmg 207</t>
  </si>
  <si>
    <t>Vicious Weapon</t>
  </si>
  <si>
    <t>On 20 roll, extra 7 dmg.</t>
  </si>
  <si>
    <t>Magic weapon</t>
  </si>
  <si>
    <t>Amulet of Health</t>
  </si>
  <si>
    <t>Con = 19</t>
  </si>
  <si>
    <t>Bag of Beans</t>
  </si>
  <si>
    <t>3d4 beans, Dump bag = 5d4 fire explosion - Plant seed = random (see DMG)</t>
  </si>
  <si>
    <t>Bead of Force</t>
  </si>
  <si>
    <t>Black sphere - 3/4", 1d4+4 beads, throw 60', 5d4 force dmg. (See DMG)</t>
  </si>
  <si>
    <t>Belt of Dwarvenkind</t>
  </si>
  <si>
    <t>Con +2, Max. 20 - Adv. On Persuasion Chk. - 50%/day growing full beard (See DMG)</t>
  </si>
  <si>
    <t>Belt of Hill Giant Strength</t>
  </si>
  <si>
    <t>Str = 21</t>
  </si>
  <si>
    <t>Boots of Levitation</t>
  </si>
  <si>
    <t>Levitate at will</t>
  </si>
  <si>
    <t>Boots of Speed</t>
  </si>
  <si>
    <t>Dbl. walking speed as bonus action - lasts 10 min total/day</t>
  </si>
  <si>
    <t>Bowl of Commanding Water Elementals</t>
  </si>
  <si>
    <t>Summon Water Elemental 1/day</t>
  </si>
  <si>
    <t>Bracers of Defense</t>
  </si>
  <si>
    <t>AC +2 if wearing no armor or shield</t>
  </si>
  <si>
    <t>Brazier of Commanding Fire Elementals</t>
  </si>
  <si>
    <t>Summon Fire Elemental 1/day</t>
  </si>
  <si>
    <t>Cape of the Mountebank</t>
  </si>
  <si>
    <t>Dimension Door - 1/day (Smells like Brimstone)</t>
  </si>
  <si>
    <t>Censer of Controlling Air Elementals</t>
  </si>
  <si>
    <t>Summon Air Elemental 1/day</t>
  </si>
  <si>
    <t>Chime of Opening</t>
  </si>
  <si>
    <t>10 uses - point at object within 120', it will open</t>
  </si>
  <si>
    <t>Cloak of Displacement</t>
  </si>
  <si>
    <t>Creatues illusion - attacks are disadvantaged against you</t>
  </si>
  <si>
    <t>Cloak of the Bat</t>
  </si>
  <si>
    <t>Adv. On Dex rolls - Fly 40' in dim light - Polymorph into bat in dim light</t>
  </si>
  <si>
    <t>Cube of Force</t>
  </si>
  <si>
    <t>36 Charges - creates walls (See DMG)</t>
  </si>
  <si>
    <t>Daern's Instant Fortress</t>
  </si>
  <si>
    <t>1" metal cube - Creates large tower</t>
  </si>
  <si>
    <t>dmg 160</t>
  </si>
  <si>
    <t>Dimensional Shackles</t>
  </si>
  <si>
    <t>Use on incapacited creature - cannot teleport or use extradimensional travel</t>
  </si>
  <si>
    <t>dmg 165</t>
  </si>
  <si>
    <t>Figurine of Wondrous Power, Bronze Griffon</t>
  </si>
  <si>
    <t>Lasts 6 hours - Use once/5 days</t>
  </si>
  <si>
    <t>dmg 169</t>
  </si>
  <si>
    <t>Figurine of Wondrous Power, Ebony Fly</t>
  </si>
  <si>
    <t>Lasts 12 hrs. - can be ridden - Use once/2 days</t>
  </si>
  <si>
    <t>Figurine of Wondrous Power, Golden Lions</t>
  </si>
  <si>
    <t>Lasts 1 hour - Use 1/7 days (Pair of lions)</t>
  </si>
  <si>
    <t>Figurine of Wondrous Power, Ivory Goats</t>
  </si>
  <si>
    <t>3 goats (Traveling, Travail and terror) (See DMG)</t>
  </si>
  <si>
    <t>Figurine of Wondrous Power, Marble Elephant</t>
  </si>
  <si>
    <t>Lasts 24 hrs. - Use 1/7 days</t>
  </si>
  <si>
    <t>Figurine of Wondrous Power, Onyx Dog</t>
  </si>
  <si>
    <t>Lasts 6 hrs. - Mastif, can speak common, darkvision 60', see invis, Use 1/7 days</t>
  </si>
  <si>
    <t>Figurine of Wondrous Power, Serpentine Owl</t>
  </si>
  <si>
    <t>Folding Boat</t>
  </si>
  <si>
    <t>Gem of Seeing</t>
  </si>
  <si>
    <t>Helm of Teleportation</t>
  </si>
  <si>
    <t>Heward's Handy Haversack</t>
  </si>
  <si>
    <t>Horn of Blasting</t>
  </si>
  <si>
    <t>Horn of Valhalla, Brass</t>
  </si>
  <si>
    <t>Horn of Valhalla, Silver</t>
  </si>
  <si>
    <t>Horseshoes of Speed</t>
  </si>
  <si>
    <t>Instrument of the Bards, Canaith Mandolin</t>
  </si>
  <si>
    <t>bard</t>
  </si>
  <si>
    <t>Instrument of the Bards, Cli Lyre</t>
  </si>
  <si>
    <t>Ioun Stone, Awareness</t>
  </si>
  <si>
    <t>Ioun Stone, Protection</t>
  </si>
  <si>
    <t>Ioun Stone, Reserve</t>
  </si>
  <si>
    <t>Ioun Stone, Sustenance</t>
  </si>
  <si>
    <t>Iron Bands of Bilarro</t>
  </si>
  <si>
    <t>dmg 177</t>
  </si>
  <si>
    <t>Mantle of Spell Resistance</t>
  </si>
  <si>
    <t>Necklace of Fireballs</t>
  </si>
  <si>
    <t>Necklace of Prayer Beads</t>
  </si>
  <si>
    <t>cleric, druid, or paladin</t>
  </si>
  <si>
    <t>Periapt of Proof Against Poison</t>
  </si>
  <si>
    <t>Portable Hole</t>
  </si>
  <si>
    <t>Quaal's Feather Token</t>
  </si>
  <si>
    <t>Robe of Eyes</t>
  </si>
  <si>
    <t>Rope of Entanglement</t>
  </si>
  <si>
    <t>Stone of Controlling Earth Elementals</t>
  </si>
  <si>
    <t>Wings of Flying</t>
  </si>
  <si>
    <t>Ring of Regeneration</t>
  </si>
  <si>
    <t>Very Rare</t>
  </si>
  <si>
    <t>Ring of Shooting Stars</t>
  </si>
  <si>
    <t>Ring of Telekinesis</t>
  </si>
  <si>
    <t>Oil of Sharpness</t>
  </si>
  <si>
    <t>Potion of Cloud Giant Strength</t>
  </si>
  <si>
    <t>Potion of Flying</t>
  </si>
  <si>
    <t>Potion of Invisibility</t>
  </si>
  <si>
    <t>Potion of Longevity</t>
  </si>
  <si>
    <t>Age reduced 1D6+6 years</t>
  </si>
  <si>
    <t>Potion of Speed</t>
  </si>
  <si>
    <t>Haste spell - 1 Min.</t>
  </si>
  <si>
    <t>Potion of Supreme Healing</t>
  </si>
  <si>
    <t>Healing (10d4+20)</t>
  </si>
  <si>
    <t>Potion of Vitality</t>
  </si>
  <si>
    <t>Cures any disease or poison</t>
  </si>
  <si>
    <t>Rod of Absorption</t>
  </si>
  <si>
    <t>Rod of Alertness</t>
  </si>
  <si>
    <t>dmg 196</t>
  </si>
  <si>
    <t>Rod of Security</t>
  </si>
  <si>
    <t>Rod of the Pact Keeper, +3</t>
  </si>
  <si>
    <t>Spell Scroll, 6th Level</t>
  </si>
  <si>
    <t>Spell Scroll, 7th Level</t>
  </si>
  <si>
    <t>Spell Scroll, 8th Level</t>
  </si>
  <si>
    <t>Staff of Fire</t>
  </si>
  <si>
    <t>druid, sorcerer, warlock, or wizard</t>
  </si>
  <si>
    <t>Staff of Frost</t>
  </si>
  <si>
    <t>Staff of Power</t>
  </si>
  <si>
    <t>sorcerer, warlock, or wizard</t>
  </si>
  <si>
    <t>Staff of Striking</t>
  </si>
  <si>
    <t>Staff of Thunder and Lightning</t>
  </si>
  <si>
    <t>Wand of Polymorph</t>
  </si>
  <si>
    <t>spellcaster</t>
  </si>
  <si>
    <t>Wand of the War Mage, +3</t>
  </si>
  <si>
    <t>Ammuntion, +3</t>
  </si>
  <si>
    <t>any ammuntion</t>
  </si>
  <si>
    <t>Arrow of Slaying</t>
  </si>
  <si>
    <t>arrow</t>
  </si>
  <si>
    <t>Dancing Sword</t>
  </si>
  <si>
    <t>any sword</t>
  </si>
  <si>
    <t>Dwarven Thrower</t>
  </si>
  <si>
    <t>warhammer, dwarf</t>
  </si>
  <si>
    <t>Frost Brand</t>
  </si>
  <si>
    <t>Nine Lives Stealer</t>
  </si>
  <si>
    <t>Oathbow</t>
  </si>
  <si>
    <t>Scimitar of Speed</t>
  </si>
  <si>
    <t>scimitar</t>
  </si>
  <si>
    <t>Sword of Sharpness</t>
  </si>
  <si>
    <t>any sword that deals slashing damage</t>
  </si>
  <si>
    <t>Weapon, +3</t>
  </si>
  <si>
    <t>Animated Shield</t>
  </si>
  <si>
    <t>dmg 151</t>
  </si>
  <si>
    <t>Armor, +2</t>
  </si>
  <si>
    <t>Demon Armor</t>
  </si>
  <si>
    <t>plate</t>
  </si>
  <si>
    <t>Dragon Scale Mail</t>
  </si>
  <si>
    <t>Dwarven Plate</t>
  </si>
  <si>
    <t>Shield, +3</t>
  </si>
  <si>
    <t>Spellguard Shield</t>
  </si>
  <si>
    <t>Amulet of the Planes</t>
  </si>
  <si>
    <t>Bag of Devouring</t>
  </si>
  <si>
    <t>Belt of Fire Giant Strength</t>
  </si>
  <si>
    <t>Belt of Frost Giant Strength</t>
  </si>
  <si>
    <t>Belt of Stone Giant Strength</t>
  </si>
  <si>
    <t>Candle of Invocation</t>
  </si>
  <si>
    <t>Carpet of Flying</t>
  </si>
  <si>
    <t>Cloak of Arachnida</t>
  </si>
  <si>
    <t>Crystal Ball</t>
  </si>
  <si>
    <t>Efreeti Bottle</t>
  </si>
  <si>
    <t>Figurine of Wondrous Power, Obsidian Steed</t>
  </si>
  <si>
    <t>Helm of Brilliance</t>
  </si>
  <si>
    <t>Horn of Valhalla, Bronze</t>
  </si>
  <si>
    <t>Horseshoes of a Zephyr</t>
  </si>
  <si>
    <t>Instrument of the Bards, Anstruth Harp</t>
  </si>
  <si>
    <t>Ioun Stone, Absorption</t>
  </si>
  <si>
    <t>Ioun Stone, Agility</t>
  </si>
  <si>
    <t>Ioun Stone, Fortitude</t>
  </si>
  <si>
    <t>Ioun Stone, Insight</t>
  </si>
  <si>
    <t>Ioun Stone, Intellect</t>
  </si>
  <si>
    <t>Ioun Stone, Leadership</t>
  </si>
  <si>
    <t>Ioun Stone, Strength</t>
  </si>
  <si>
    <t>Manual of Bodily Health</t>
  </si>
  <si>
    <t>Manual of Gainful Exercise</t>
  </si>
  <si>
    <t>Manual of Golems</t>
  </si>
  <si>
    <t>Manual of Quickness of Action</t>
  </si>
  <si>
    <t>Mirror of Life Trapping</t>
  </si>
  <si>
    <t>Nolzur's Marvelous Pigments</t>
  </si>
  <si>
    <t>Robe of Scintillating Colors</t>
  </si>
  <si>
    <t>dmg 194</t>
  </si>
  <si>
    <t>Robe of Stars</t>
  </si>
  <si>
    <t>Tome of Clear Thought</t>
  </si>
  <si>
    <t>Tome of Leadership and Influence</t>
  </si>
  <si>
    <t>Tome of Understanding</t>
  </si>
  <si>
    <t>Armor of Invulnerability</t>
  </si>
  <si>
    <t>Armor, +3</t>
  </si>
  <si>
    <t>Efreeti Chain</t>
  </si>
  <si>
    <t>chain mail</t>
  </si>
  <si>
    <t>Plate Armor of Etherealness</t>
  </si>
  <si>
    <t>Potion of Storm Giant Strength</t>
  </si>
  <si>
    <t>Ring of Djinni Summoning</t>
  </si>
  <si>
    <t>dmg 190</t>
  </si>
  <si>
    <t>Ring of Elemental Command</t>
  </si>
  <si>
    <t>Ring of Invisibility</t>
  </si>
  <si>
    <t>Ring of Spell Turning</t>
  </si>
  <si>
    <t>Ring of Three Wishes</t>
  </si>
  <si>
    <t>Rod of Lordly Might</t>
  </si>
  <si>
    <t>Rod of Resurrection</t>
  </si>
  <si>
    <t>Spell Scroll, 9th Level</t>
  </si>
  <si>
    <t>Staff of the Magi</t>
  </si>
  <si>
    <t>Defender</t>
  </si>
  <si>
    <t>dmg 164</t>
  </si>
  <si>
    <t>Hammer of Thunderbolts</t>
  </si>
  <si>
    <t>Holy Avenger</t>
  </si>
  <si>
    <t>any sword, paladin</t>
  </si>
  <si>
    <t>Luck Blade</t>
  </si>
  <si>
    <t>Sword of Answering</t>
  </si>
  <si>
    <t>longsword, by alignment</t>
  </si>
  <si>
    <t>Vorpal Sword</t>
  </si>
  <si>
    <t>Apparatus of Kwalish</t>
  </si>
  <si>
    <t>Belt of Cloud Giant Strength</t>
  </si>
  <si>
    <t>Belt of Storm Giant Strength</t>
  </si>
  <si>
    <t>Cloak of Invisibility</t>
  </si>
  <si>
    <t>Crystal Ball of Mind Reading</t>
  </si>
  <si>
    <t>Crystal Ball of Telepathy</t>
  </si>
  <si>
    <t>Crystal Ball of True Seeing</t>
  </si>
  <si>
    <t>Cubic Gate</t>
  </si>
  <si>
    <t>Deck of Many Things</t>
  </si>
  <si>
    <t>dmg 162</t>
  </si>
  <si>
    <t>Horn of Valhalla, Iron</t>
  </si>
  <si>
    <t>Instrument of the Bards, Ollamh Harp</t>
  </si>
  <si>
    <t>Ioun Stone, Greater Absorption</t>
  </si>
  <si>
    <t>Ioun Stone, Mastery</t>
  </si>
  <si>
    <t>Ioun Stone, Regeneration</t>
  </si>
  <si>
    <t>Iron Flask</t>
  </si>
  <si>
    <t>Robe of the Archmagi</t>
  </si>
  <si>
    <t>Scarab of Protection</t>
  </si>
  <si>
    <t>Sovereign Glue</t>
  </si>
  <si>
    <t>Sphere of Annihilation</t>
  </si>
  <si>
    <t>Talisman of Pure Good</t>
  </si>
  <si>
    <t>good alignment</t>
  </si>
  <si>
    <t>Talisman of Ultimate Evil</t>
  </si>
  <si>
    <t>evil alignment</t>
  </si>
  <si>
    <t>Talisman of the Sphere</t>
  </si>
  <si>
    <t>Tome of the Stilled Tongue</t>
  </si>
  <si>
    <t>wizard</t>
  </si>
  <si>
    <t>Universal Solvent</t>
  </si>
  <si>
    <t>Well of Many Worlds</t>
  </si>
  <si>
    <t>Organized Play/Adv. League/ SCAG /  ELEMENTAL EVIL ADDITIOn workspace</t>
  </si>
  <si>
    <t>SWORD COAST ADVENTURER GUIDE CHARTS/TABLES</t>
  </si>
  <si>
    <t>Birthday Calendar</t>
  </si>
  <si>
    <t>CURRENT YEAR??</t>
  </si>
  <si>
    <t>Years old?</t>
  </si>
  <si>
    <t>Faction</t>
  </si>
  <si>
    <t>Insignia/Item</t>
  </si>
  <si>
    <t>Lifestyle (background)</t>
  </si>
  <si>
    <t>Background</t>
  </si>
  <si>
    <r>
      <t xml:space="preserve"> </t>
    </r>
    <r>
      <rPr>
        <b/>
        <sz val="9"/>
        <color indexed="8"/>
        <rFont val="Lato"/>
        <family val="2"/>
        <scheme val="minor"/>
      </rPr>
      <t>Starting Lifestyle</t>
    </r>
  </si>
  <si>
    <t>Chance Holiday</t>
  </si>
  <si>
    <t>Holiday birth?</t>
  </si>
  <si>
    <t>Harpers</t>
  </si>
  <si>
    <t>Pin</t>
  </si>
  <si>
    <t>Modest</t>
  </si>
  <si>
    <t>Day/mo</t>
  </si>
  <si>
    <t>If Holiday #</t>
  </si>
  <si>
    <t>Order of the Gauntlet</t>
  </si>
  <si>
    <t>Pendant</t>
  </si>
  <si>
    <t>Charlatan</t>
  </si>
  <si>
    <t>Comfortable</t>
  </si>
  <si>
    <t>Month #</t>
  </si>
  <si>
    <t>Holiday Ref:</t>
  </si>
  <si>
    <t>Emerald Enclave</t>
  </si>
  <si>
    <t>Leaf clasp</t>
  </si>
  <si>
    <r>
      <rPr>
        <sz val="9"/>
        <color indexed="8"/>
        <rFont val="Lato"/>
        <family val="2"/>
        <scheme val="minor"/>
      </rPr>
      <t xml:space="preserve">Criminal </t>
    </r>
    <r>
      <rPr>
        <sz val="9"/>
        <rFont val="Lato"/>
        <family val="2"/>
        <scheme val="minor"/>
      </rPr>
      <t xml:space="preserve"> </t>
    </r>
  </si>
  <si>
    <r>
      <rPr>
        <sz val="9"/>
        <color indexed="8"/>
        <rFont val="Lato"/>
        <family val="2"/>
        <scheme val="minor"/>
      </rPr>
      <t xml:space="preserve">Poor </t>
    </r>
    <r>
      <rPr>
        <sz val="9"/>
        <rFont val="Lato"/>
        <family val="2"/>
        <scheme val="minor"/>
      </rPr>
      <t xml:space="preserve"> </t>
    </r>
  </si>
  <si>
    <t>Month Name</t>
  </si>
  <si>
    <t>Common Name mo</t>
  </si>
  <si>
    <t>Lords’ Alliance</t>
  </si>
  <si>
    <t>Signet ring (symbol palm side)</t>
  </si>
  <si>
    <r>
      <rPr>
        <sz val="9"/>
        <color indexed="8"/>
        <rFont val="Lato"/>
        <family val="2"/>
        <scheme val="minor"/>
      </rPr>
      <t xml:space="preserve">Entertainer </t>
    </r>
    <r>
      <rPr>
        <sz val="9"/>
        <rFont val="Lato"/>
        <family val="2"/>
        <scheme val="minor"/>
      </rPr>
      <t xml:space="preserve"> </t>
    </r>
  </si>
  <si>
    <r>
      <rPr>
        <sz val="9"/>
        <color indexed="8"/>
        <rFont val="Lato"/>
        <family val="2"/>
        <scheme val="minor"/>
      </rPr>
      <t xml:space="preserve">Modest </t>
    </r>
    <r>
      <rPr>
        <sz val="9"/>
        <rFont val="Lato"/>
        <family val="2"/>
        <scheme val="minor"/>
      </rPr>
      <t xml:space="preserve"> </t>
    </r>
  </si>
  <si>
    <t>FR BIRTHDAY:</t>
  </si>
  <si>
    <t>Zhentarim</t>
  </si>
  <si>
    <t>Gold coin (stamped symbol)</t>
  </si>
  <si>
    <r>
      <rPr>
        <sz val="9"/>
        <color indexed="8"/>
        <rFont val="Lato"/>
        <family val="2"/>
        <scheme val="minor"/>
      </rPr>
      <t xml:space="preserve">Folk Hero </t>
    </r>
    <r>
      <rPr>
        <sz val="9"/>
        <rFont val="Lato"/>
        <family val="2"/>
        <scheme val="minor"/>
      </rPr>
      <t xml:space="preserve"> </t>
    </r>
  </si>
  <si>
    <t>Common Name</t>
  </si>
  <si>
    <r>
      <rPr>
        <sz val="9"/>
        <color indexed="8"/>
        <rFont val="Lato"/>
        <family val="2"/>
        <scheme val="minor"/>
      </rPr>
      <t xml:space="preserve">Guild Artisan </t>
    </r>
    <r>
      <rPr>
        <sz val="9"/>
        <rFont val="Lato"/>
        <family val="2"/>
        <scheme val="minor"/>
      </rPr>
      <t xml:space="preserve"> </t>
    </r>
  </si>
  <si>
    <r>
      <rPr>
        <sz val="9"/>
        <color indexed="8"/>
        <rFont val="Lato"/>
        <family val="2"/>
        <scheme val="minor"/>
      </rPr>
      <t xml:space="preserve">Comfortable </t>
    </r>
    <r>
      <rPr>
        <sz val="9"/>
        <rFont val="Lato"/>
        <family val="2"/>
        <scheme val="minor"/>
      </rPr>
      <t xml:space="preserve"> </t>
    </r>
  </si>
  <si>
    <t>Hammer</t>
  </si>
  <si>
    <t>(Deepwinter)</t>
  </si>
  <si>
    <r>
      <rPr>
        <sz val="9"/>
        <color indexed="8"/>
        <rFont val="Lato"/>
        <family val="2"/>
        <scheme val="minor"/>
      </rPr>
      <t xml:space="preserve">Hermit </t>
    </r>
    <r>
      <rPr>
        <sz val="9"/>
        <rFont val="Lato"/>
        <family val="2"/>
        <scheme val="minor"/>
      </rPr>
      <t xml:space="preserve"> </t>
    </r>
  </si>
  <si>
    <t xml:space="preserve">Alturiak </t>
  </si>
  <si>
    <t>(Claw of Winter)</t>
  </si>
  <si>
    <t>Wealthy</t>
  </si>
  <si>
    <t xml:space="preserve">Ches </t>
  </si>
  <si>
    <t>(Claw of Sunsets)</t>
  </si>
  <si>
    <r>
      <rPr>
        <sz val="9"/>
        <color indexed="8"/>
        <rFont val="Lato"/>
        <family val="2"/>
        <scheme val="minor"/>
      </rPr>
      <t xml:space="preserve">Outlander </t>
    </r>
    <r>
      <rPr>
        <sz val="9"/>
        <rFont val="Lato"/>
        <family val="2"/>
        <scheme val="minor"/>
      </rPr>
      <t xml:space="preserve"> </t>
    </r>
  </si>
  <si>
    <t>Poor</t>
  </si>
  <si>
    <t xml:space="preserve">Tarsahk </t>
  </si>
  <si>
    <t>(Claw of Storms)</t>
  </si>
  <si>
    <t>Sage</t>
  </si>
  <si>
    <t xml:space="preserve">Mirtul </t>
  </si>
  <si>
    <t>(Melting)</t>
  </si>
  <si>
    <r>
      <rPr>
        <sz val="9"/>
        <color indexed="8"/>
        <rFont val="Lato"/>
        <family val="2"/>
        <scheme val="minor"/>
      </rPr>
      <t xml:space="preserve">Sailor </t>
    </r>
    <r>
      <rPr>
        <sz val="9"/>
        <rFont val="Lato"/>
        <family val="2"/>
        <scheme val="minor"/>
      </rPr>
      <t xml:space="preserve"> </t>
    </r>
  </si>
  <si>
    <t xml:space="preserve">Kythorn </t>
  </si>
  <si>
    <t xml:space="preserve">(Time of Flowers) </t>
  </si>
  <si>
    <r>
      <rPr>
        <sz val="9"/>
        <color indexed="8"/>
        <rFont val="Lato"/>
        <family val="2"/>
        <scheme val="minor"/>
      </rPr>
      <t xml:space="preserve">Soldier </t>
    </r>
    <r>
      <rPr>
        <sz val="9"/>
        <rFont val="Lato"/>
        <family val="2"/>
        <scheme val="minor"/>
      </rPr>
      <t xml:space="preserve"> </t>
    </r>
  </si>
  <si>
    <t xml:space="preserve">Flamerule </t>
  </si>
  <si>
    <t>(Summertide)</t>
  </si>
  <si>
    <r>
      <rPr>
        <sz val="9"/>
        <color indexed="8"/>
        <rFont val="Lato"/>
        <family val="2"/>
        <scheme val="minor"/>
      </rPr>
      <t xml:space="preserve">Urchin </t>
    </r>
    <r>
      <rPr>
        <sz val="9"/>
        <rFont val="Lato"/>
        <family val="2"/>
        <scheme val="minor"/>
      </rPr>
      <t xml:space="preserve"> </t>
    </r>
  </si>
  <si>
    <t xml:space="preserve">Eleasis </t>
  </si>
  <si>
    <t>(Highsun)</t>
  </si>
  <si>
    <t xml:space="preserve">Elient </t>
  </si>
  <si>
    <t>(Fading)</t>
  </si>
  <si>
    <t xml:space="preserve">Marpenoth </t>
  </si>
  <si>
    <t>(Leaffall)</t>
  </si>
  <si>
    <t xml:space="preserve">Order of </t>
  </si>
  <si>
    <t>Lords'</t>
  </si>
  <si>
    <r>
      <t xml:space="preserve"> </t>
    </r>
    <r>
      <rPr>
        <b/>
        <u/>
        <sz val="9"/>
        <color indexed="8"/>
        <rFont val="Lato"/>
        <family val="2"/>
        <scheme val="minor"/>
      </rPr>
      <t xml:space="preserve">Rank 1 </t>
    </r>
    <r>
      <rPr>
        <b/>
        <u/>
        <sz val="9"/>
        <rFont val="Lato"/>
        <family val="2"/>
        <scheme val="minor"/>
      </rPr>
      <t xml:space="preserve"> </t>
    </r>
  </si>
  <si>
    <r>
      <t xml:space="preserve"> </t>
    </r>
    <r>
      <rPr>
        <b/>
        <u/>
        <sz val="9"/>
        <color indexed="8"/>
        <rFont val="Lato"/>
        <family val="2"/>
        <scheme val="minor"/>
      </rPr>
      <t xml:space="preserve">Renown 0 </t>
    </r>
    <r>
      <rPr>
        <b/>
        <u/>
        <sz val="9"/>
        <rFont val="Lato"/>
        <family val="2"/>
        <scheme val="minor"/>
      </rPr>
      <t xml:space="preserve"> </t>
    </r>
  </si>
  <si>
    <r>
      <t xml:space="preserve"> </t>
    </r>
    <r>
      <rPr>
        <b/>
        <u/>
        <sz val="9"/>
        <color indexed="8"/>
        <rFont val="Lato"/>
        <family val="2"/>
        <scheme val="minor"/>
      </rPr>
      <t xml:space="preserve">Other Requirements — </t>
    </r>
    <r>
      <rPr>
        <b/>
        <u/>
        <sz val="9"/>
        <rFont val="Lato"/>
        <family val="2"/>
        <scheme val="minor"/>
      </rPr>
      <t xml:space="preserve"> </t>
    </r>
  </si>
  <si>
    <t xml:space="preserve">Uktar </t>
  </si>
  <si>
    <t>(Rotting)</t>
  </si>
  <si>
    <t>• Watcher (rank 1)</t>
  </si>
  <si>
    <t>• Chevall (rank 1)</t>
  </si>
  <si>
    <t>• Springwarden (rank 1)</t>
  </si>
  <si>
    <t>• Cloak (rank 1)</t>
  </si>
  <si>
    <t>• Fang (rank 1)</t>
  </si>
  <si>
    <r>
      <t xml:space="preserve"> </t>
    </r>
    <r>
      <rPr>
        <sz val="9"/>
        <color indexed="8"/>
        <rFont val="Lato"/>
        <family val="2"/>
        <scheme val="minor"/>
      </rPr>
      <t xml:space="preserve">— </t>
    </r>
    <r>
      <rPr>
        <sz val="9"/>
        <rFont val="Lato"/>
        <family val="2"/>
        <scheme val="minor"/>
      </rPr>
      <t xml:space="preserve"> </t>
    </r>
  </si>
  <si>
    <t xml:space="preserve">Nightal </t>
  </si>
  <si>
    <t>(Drawing Down)</t>
  </si>
  <si>
    <t>• Harpshadow (rank 2)</t>
  </si>
  <si>
    <t>• Marcheon (rank 2)</t>
  </si>
  <si>
    <t>• Summerstrider (rank 2)</t>
  </si>
  <si>
    <t>• Redknife (rank 2)</t>
  </si>
  <si>
    <t>• Wolf (rank 2)</t>
  </si>
  <si>
    <t>Holi #</t>
  </si>
  <si>
    <t>Holiday</t>
  </si>
  <si>
    <t>• Brightcandle (rank 3)</t>
  </si>
  <si>
    <t>• Whitehawk (rank 3)</t>
  </si>
  <si>
    <t>• Autumnreaver (rank 3)</t>
  </si>
  <si>
    <t>• Stingblade (rank 3)</t>
  </si>
  <si>
    <t>• Viper (rank 3)</t>
  </si>
  <si>
    <r>
      <t xml:space="preserve"> </t>
    </r>
    <r>
      <rPr>
        <sz val="9"/>
        <color indexed="8"/>
        <rFont val="Lato"/>
        <family val="2"/>
        <scheme val="minor"/>
      </rPr>
      <t xml:space="preserve">5th level, 1 secret mission </t>
    </r>
    <r>
      <rPr>
        <sz val="9"/>
        <rFont val="Lato"/>
        <family val="2"/>
        <scheme val="minor"/>
      </rPr>
      <t xml:space="preserve"> </t>
    </r>
  </si>
  <si>
    <t xml:space="preserve">Holiday: Midwinter </t>
  </si>
  <si>
    <t>• Wise Owl (rank 4)</t>
  </si>
  <si>
    <t>• Vindicator (rank 4)</t>
  </si>
  <si>
    <t>• Winterstalker (rank 4)</t>
  </si>
  <si>
    <t>• Warduke (rank 4)</t>
  </si>
  <si>
    <t>• Ardragon (rank 4)</t>
  </si>
  <si>
    <r>
      <t xml:space="preserve"> </t>
    </r>
    <r>
      <rPr>
        <sz val="9"/>
        <color indexed="8"/>
        <rFont val="Lato"/>
        <family val="2"/>
        <scheme val="minor"/>
      </rPr>
      <t xml:space="preserve">11th level, 3 secret missions </t>
    </r>
    <r>
      <rPr>
        <sz val="9"/>
        <rFont val="Lato"/>
        <family val="2"/>
        <scheme val="minor"/>
      </rPr>
      <t xml:space="preserve"> </t>
    </r>
  </si>
  <si>
    <t xml:space="preserve">Holiday: Greengrass </t>
  </si>
  <si>
    <t>• High Harper (rank 5)</t>
  </si>
  <si>
    <t>• Righteous Hand (rank 5)</t>
  </si>
  <si>
    <t>• Master of the Wild (rank 5)</t>
  </si>
  <si>
    <t>• Lioncrown (rank 5)</t>
  </si>
  <si>
    <t>• Dread Lord (rank 5)</t>
  </si>
  <si>
    <r>
      <t xml:space="preserve"> </t>
    </r>
    <r>
      <rPr>
        <sz val="9"/>
        <color indexed="8"/>
        <rFont val="Lato"/>
        <family val="2"/>
        <scheme val="minor"/>
      </rPr>
      <t xml:space="preserve">17th level, 10 secret missions </t>
    </r>
    <r>
      <rPr>
        <sz val="9"/>
        <rFont val="Lato"/>
        <family val="2"/>
        <scheme val="minor"/>
      </rPr>
      <t xml:space="preserve"> </t>
    </r>
  </si>
  <si>
    <t xml:space="preserve">Holiday: Midsummer </t>
  </si>
  <si>
    <t xml:space="preserve">Holiday: Highharvestide </t>
  </si>
  <si>
    <t xml:space="preserve">Holiday: The Feast of the Moon </t>
  </si>
  <si>
    <t>Randomized Skill Table</t>
  </si>
  <si>
    <t>BACKGROUND</t>
  </si>
  <si>
    <t>REFERENCE VLOOKUP#</t>
  </si>
  <si>
    <t>Actual:</t>
  </si>
  <si>
    <t>Subcategory:</t>
  </si>
  <si>
    <t>TOOLS</t>
  </si>
  <si>
    <t>EQ</t>
  </si>
  <si>
    <t>FEATURE</t>
  </si>
  <si>
    <t>BONUS LANGUAGES</t>
  </si>
  <si>
    <t>Skills</t>
  </si>
  <si>
    <t>CHARACTERISTICS (SCAG)</t>
  </si>
  <si>
    <t>n/a</t>
  </si>
  <si>
    <t>Holy symbol, prayer book, 5 sticks incense, vestments, set of common clothes, belt pouch +15gp</t>
  </si>
  <si>
    <t>Shelter of the Faithful</t>
  </si>
  <si>
    <t>Criminal</t>
  </si>
  <si>
    <t>One type of gaming set, thieves’ tools</t>
  </si>
  <si>
    <t>A crowbar, a set of dark common clothes including a hood, and a belt pouch containing 15 gp</t>
  </si>
  <si>
    <t>Criminal Contact</t>
  </si>
  <si>
    <t>Folk Hero</t>
  </si>
  <si>
    <t>One type of artisan’s tools, vehicles (land)</t>
  </si>
  <si>
    <t>A set of artisan’s tools (one of your choice), a shovel, an iron pot, a set of common clothes, and a belt pouch containing 10 gp</t>
  </si>
  <si>
    <t>Rustic Hospitality</t>
  </si>
  <si>
    <t xml:space="preserve">One type of gaming set </t>
  </si>
  <si>
    <t xml:space="preserve"> A set of fine clothes, a signet ring, a scroll of pedigree, and a purse containing 25 gp</t>
  </si>
  <si>
    <t>Position of Privilege</t>
  </si>
  <si>
    <t>A bottle of black ink, a quill, a small knife, a letter from a dead colleague posing a question you have not yet been able to answer, a set of common clothes, and a belt pouch containing 10 gp</t>
  </si>
  <si>
    <t>Researcher</t>
  </si>
  <si>
    <t>Soldier</t>
  </si>
  <si>
    <t>One type of gaming set, vehicles (land)</t>
  </si>
  <si>
    <t>An insignia of rank, a trophy taken from a fallen enemy (a dagger, broken blade, or piece of a banner), a set of bone dice or deck of cards, a set of common clothes, and a belt pouch containing 10 gp</t>
  </si>
  <si>
    <t>Military Rank</t>
  </si>
  <si>
    <t>Disguise kit, forgery kit</t>
  </si>
  <si>
    <t>A set of fine clothes, a disguise kit, tools of the con of your choice (ten stoppered bottles filled with colored liquid, a set of weighted dice, a deck of marked cards, or a signet ring of an imaginary duke), and a belt pouch containing 15 gp</t>
  </si>
  <si>
    <t>False Identity</t>
  </si>
  <si>
    <t>Entertainer</t>
  </si>
  <si>
    <t>Disguise kit, one type of musical instrument</t>
  </si>
  <si>
    <t>A musical instrument (one of your choice), the favor of an admirer (love letter, lock o f hair, or trinket), a costume, and a belt pouch containing 15 gp</t>
  </si>
  <si>
    <t>By Popular Demand</t>
  </si>
  <si>
    <t>Guild Artisan</t>
  </si>
  <si>
    <t>One type of artisan’s tools</t>
  </si>
  <si>
    <t>A set of artisan’s tools (one of your choice), a letter of introduction from your guild, a set of traveler’s clothes, and a belt pouch containing 15 gp</t>
  </si>
  <si>
    <t>Guild Membership</t>
  </si>
  <si>
    <t>Hermit</t>
  </si>
  <si>
    <t>Herbalism kit</t>
  </si>
  <si>
    <t>A scroll case stuffed full of notes from your studies or prayers, a winter blanket, a set of common clothes, herbalism kit, and 5 gp</t>
  </si>
  <si>
    <t>Discovery</t>
  </si>
  <si>
    <t>Outlander</t>
  </si>
  <si>
    <t>One type of musical instrument</t>
  </si>
  <si>
    <t>A staff, a hunting trap, a trophy from an animal you killed, a set of traveler’s clothes, and a belt pouch containing 10 gp</t>
  </si>
  <si>
    <t>Wanderer</t>
  </si>
  <si>
    <t>Sailor</t>
  </si>
  <si>
    <t>Navigator's tools, vehicles (water)</t>
  </si>
  <si>
    <t>A belaying pin (club), 50 feet of silk rope, a lucky charm such as a rabbit foot or a small stone with a hole in the center (or you may roll for a random trinket on the Trinkets table in chapter 5), a set of common clothes, and a belt pouch containing 10 gp</t>
  </si>
  <si>
    <t>Ship's Passage</t>
  </si>
  <si>
    <t>Urchin</t>
  </si>
  <si>
    <t>Disguise kit, thieves' tools</t>
  </si>
  <si>
    <t>A small knife, a map of the city you grew up in, a pet mouse, a token to remember your parents by, a set of common clothes, and a belt pouch containing 10 gp</t>
  </si>
  <si>
    <t>City Secrets</t>
  </si>
  <si>
    <t>City watch uniform, horn, manacles, 10gp</t>
  </si>
  <si>
    <t>Watcher's eye</t>
  </si>
  <si>
    <t>Clan Crafter</t>
  </si>
  <si>
    <t>One type artisan's tool</t>
  </si>
  <si>
    <t>Artisans tools, makers mark chisel, travelers clothses, 5gp, 10g gem.</t>
  </si>
  <si>
    <t>Respect of the Stout Folk</t>
  </si>
  <si>
    <t>Cloistered Scholar</t>
  </si>
  <si>
    <t>Scholars robes, writing kit, borrowed book, 10gp</t>
  </si>
  <si>
    <t>Library access</t>
  </si>
  <si>
    <t>Courtier</t>
  </si>
  <si>
    <t>Fine clothes, 5gp</t>
  </si>
  <si>
    <t>Court Functionary</t>
  </si>
  <si>
    <t>Faction Agent</t>
  </si>
  <si>
    <t>Badge, faction text, common clothes, 15gp</t>
  </si>
  <si>
    <t>Save Haven</t>
  </si>
  <si>
    <t>Far Traveler</t>
  </si>
  <si>
    <t>Traveler's clothes, mus.instrument or gaming set, poor maps, jewelry 10gp, 5gp)</t>
  </si>
  <si>
    <t>All Eyes On You</t>
  </si>
  <si>
    <t>Far Traveler (SCAG:149)</t>
  </si>
  <si>
    <t>Inheritor</t>
  </si>
  <si>
    <t>Inheritance, travelers clothes, items, 15 gp.</t>
  </si>
  <si>
    <t>Inheritance</t>
  </si>
  <si>
    <t>Knight of the Order</t>
  </si>
  <si>
    <t>Traveler's clothes, signet baner or seal, 10 gp</t>
  </si>
  <si>
    <t>Knightly Regard</t>
  </si>
  <si>
    <t>Mercenary Veteran</t>
  </si>
  <si>
    <t>Gaming set,  vehicle (land)</t>
  </si>
  <si>
    <t>Unfirom, insignia, gaming set, 10gp</t>
  </si>
  <si>
    <t>Mercenary Life</t>
  </si>
  <si>
    <t>Urban Bounty Hunter</t>
  </si>
  <si>
    <t>Musical instrument, Thieves'Tools</t>
  </si>
  <si>
    <t>Clothes, 20gp</t>
  </si>
  <si>
    <t>Ear to the Ground</t>
  </si>
  <si>
    <t>Uthgardt Tribe Member</t>
  </si>
  <si>
    <t>Hunting Trap, token set or tattoos, travelers clothes, 10gp</t>
  </si>
  <si>
    <t>Uthgardt Heritage</t>
  </si>
  <si>
    <t>Watherdhavian Noble</t>
  </si>
  <si>
    <t>Fine clothes, signet ring or brooch, pedigree scroll, skin of fin zzar or wine, 20gp</t>
  </si>
  <si>
    <t>Kept in Style</t>
  </si>
  <si>
    <t>PERSONALITY</t>
  </si>
  <si>
    <t>RANDOM PERSONALITY</t>
  </si>
  <si>
    <t>PERSONALITY:</t>
  </si>
  <si>
    <t>I idolize a particular hero of my faith, and constantly refer to that person’s deeds and example.</t>
  </si>
  <si>
    <t>I always have a plan for what to do when things go wrong.</t>
  </si>
  <si>
    <t>I judge people by their actions, not their words.</t>
  </si>
  <si>
    <t>My eloquent flattery makes everyone I talk to feel like the most wonderful and important person in the world.</t>
  </si>
  <si>
    <t>I use polysyllabic words that convey the impression of great erudition.</t>
  </si>
  <si>
    <t>I’m always polite and respectful.</t>
  </si>
  <si>
    <t>I fall in and out of love easily, and am always pursuing someone.</t>
  </si>
  <si>
    <t>I know a story relevant to almost every situation.</t>
  </si>
  <si>
    <t>I believe that anything worth doing is worth doing right. I can’t help it— I’m a perfectionist.</t>
  </si>
  <si>
    <t>I’ve been isolated for so long that I rarely speak, preferring gestures and the occasional grunt.</t>
  </si>
  <si>
    <t>I’m driven by a wanderlust that led me away from home.</t>
  </si>
  <si>
    <t>My friends know they can rely on me, no matter what.</t>
  </si>
  <si>
    <t>I hide scraps of food and trinkets away in my pockets.</t>
  </si>
  <si>
    <t>I have different assumptions from those around me concerning personal space, blithely invading others' space in innocence, or reacting to ignorant invasion of my own.</t>
  </si>
  <si>
    <t>I can find common ground between the fiercest enemies, empathizing with them and always working toward peace.</t>
  </si>
  <si>
    <t>I am always calm, no matter what the situation. I never raise my voice or let my emotions control me.</t>
  </si>
  <si>
    <t>If someone is in trouble, I’m always ready to lend help.</t>
  </si>
  <si>
    <t>The common folk love me for my kindness and generosity.</t>
  </si>
  <si>
    <t>I’ve read every book in the world’s greatest libraries—or I like to boast that I have.</t>
  </si>
  <si>
    <t>I’m haunted by memories of war. I can’t get the images of violence out of my mind.</t>
  </si>
  <si>
    <t>I have a joke for every occasion, especially occasions where humor is inappropriate.</t>
  </si>
  <si>
    <t>Whenever I come to a new place, I collect local rumors and spread gossip.</t>
  </si>
  <si>
    <t>I’m a snob who looks down on those who can’t appreciate fine art.</t>
  </si>
  <si>
    <t>I am utterly serene, even in the face of disaster.</t>
  </si>
  <si>
    <t>I watch over my friends as if they were a litter of newborn pups.</t>
  </si>
  <si>
    <t>I work hard so that I can play hard when the work is done.</t>
  </si>
  <si>
    <t>I ask a lot of questions.</t>
  </si>
  <si>
    <t>I have my own ideas about what is and is not food, and I find the eating habits of those around me fascinating, confusing, or revolting.</t>
  </si>
  <si>
    <t>I see omens in every event and action. The gods try to speak to us, we just need to listen</t>
  </si>
  <si>
    <t>The first thing I do in a new place is note the locations of everything valuable—or where such things could be hidden.</t>
  </si>
  <si>
    <t>When I set my mind to something, I follow through no matter what gets in my way.</t>
  </si>
  <si>
    <t>No one could doubt by looking at my regal bearing that I am a cut above the unwashed masses.</t>
  </si>
  <si>
    <t>I’m used to helping out those who aren’t as smart as I am, and I patiently explain anything and everything to others.</t>
  </si>
  <si>
    <t>I’ve lost too many friends, and I’m slow to make new ones.</t>
  </si>
  <si>
    <t>Flattery is my preferred trick for getting what I want.</t>
  </si>
  <si>
    <t>I’m a hopeless romantic, always searching for that “special someone.”</t>
  </si>
  <si>
    <t>I always want to know how things work and what makes people tick.</t>
  </si>
  <si>
    <t>The leader of my community had something wise to say on every topic, and I am eager to share that wisdom.</t>
  </si>
  <si>
    <t>I once ran twenty-five miles without stopping to warn to my clan of an approaching orc horde. I’d do it again if I had to.</t>
  </si>
  <si>
    <t>I enjoy sailing into new ports and making new friends over a flagon of ale.</t>
  </si>
  <si>
    <t>I like to squeeze into small places where no one else can get to me.</t>
  </si>
  <si>
    <t>I have a strong code of honor or sense of propriety that others don't comprehend.</t>
  </si>
  <si>
    <t>Nothing can shake my optimistic attitude.</t>
  </si>
  <si>
    <t>I would rather make a new friend than a new enemy.</t>
  </si>
  <si>
    <t>I have a strong sense of fair play and always try to find the most equitable solution to arguments.</t>
  </si>
  <si>
    <t>I take great pains to always look my best and follow the latest fashions.</t>
  </si>
  <si>
    <t>There’s nothing I like more than a good mystery.</t>
  </si>
  <si>
    <t>I’m full of inspiring and cautionary tales from my military experience relevant to almost every combat situation.</t>
  </si>
  <si>
    <t>I’m a born gambler who can't resist taking a risk for a potential payoff.</t>
  </si>
  <si>
    <t>Nobody stays angry at me or around me for long, since I can defuse any amount of tension.</t>
  </si>
  <si>
    <t>I’m full of witty aphorisms and have a proverb for every occasion.</t>
  </si>
  <si>
    <t>I feel tremendous empathy for all who suffer.</t>
  </si>
  <si>
    <t>I have a lesson for every situation, drawn from observing nature.</t>
  </si>
  <si>
    <t>I stretch the truth for the sake of a good story.</t>
  </si>
  <si>
    <t>I sleep with my back to a wall or tree, with everything I own wrapped in a bundle in my arms.</t>
  </si>
  <si>
    <t>I express affection or contempt in ways that are unfamiliar to others.</t>
  </si>
  <si>
    <t>I quote (or misquote) sacred texts and proverbs in almost every situation.</t>
  </si>
  <si>
    <t>I am incredibly slow to trust. Those who seem the fairest often have the most to hide.</t>
  </si>
  <si>
    <t>I’m confident in my own abilities and do what I can to instill confidence in others.</t>
  </si>
  <si>
    <t>I don’t like to get my hands dirty, and I won’t be caught dead in unsuitable accommodations.</t>
  </si>
  <si>
    <t>I’m willing to listen to every side of an argument before I make my own judgment.</t>
  </si>
  <si>
    <t>I can stare down a hell hound without flinching.</t>
  </si>
  <si>
    <t>I lie about almost everything, even when there’s no good reason to.</t>
  </si>
  <si>
    <t>I love a good insult, even one directed at me.</t>
  </si>
  <si>
    <t>I’m rude to people who lack my commitment to hard work and fair play.</t>
  </si>
  <si>
    <t>I’m oblivious to etiquette and social expectations.</t>
  </si>
  <si>
    <t>I place no stock in wealthy or well-mannered folk. Money and manners won’t save you from a hungry owlbear.</t>
  </si>
  <si>
    <t>To me, a tavern brawl is a nice way to get to know a new city.</t>
  </si>
  <si>
    <t>I eat like a pig and have bad manners.</t>
  </si>
  <si>
    <t>I honor my deities through practices that are foreign to this land .</t>
  </si>
  <si>
    <t>I am tolerant (or intolerant) of other faiths and respect (or condemn) the worship of other gods.</t>
  </si>
  <si>
    <t>I don’t pay attention to the risks in a situation. Never tell me the odds.</t>
  </si>
  <si>
    <t>Thinking is for other people. I prefer action.</t>
  </si>
  <si>
    <t>Despite my noble birth, I do not place myself above other folk. We all have the same blood.</t>
  </si>
  <si>
    <t>I . . . speak . . . slowly . . . when talking . . . to idiots, . . .which . . . almost . . . everyone . . . is . . . compared . . .to me.</t>
  </si>
  <si>
    <t>I enjoy being strong and like breaking things.</t>
  </si>
  <si>
    <t>Sarcasm and insults are my weapons of choice.</t>
  </si>
  <si>
    <t>I get bitter if I’m not the center of attention.</t>
  </si>
  <si>
    <t>I like to talk at length about my profession.</t>
  </si>
  <si>
    <t>I connect everything that happens to me to a grand, cosmic plan.</t>
  </si>
  <si>
    <t xml:space="preserve">I’m always picking things up, absently fiddling with them, and sometimes accidentally breaking them. </t>
  </si>
  <si>
    <t>I never pass up a friendly wager.</t>
  </si>
  <si>
    <t>I think anyone who’s nice to me is hiding evil intent.</t>
  </si>
  <si>
    <t>I begin or end my day with small traditional rituals that are unfamiliar to those around me.</t>
  </si>
  <si>
    <t>I’ve enjoyed fine food, drink, and high society among my temple’s elite. Rough living grates on me.</t>
  </si>
  <si>
    <t>The best way to get me to do something is to tell me I can’t do it.</t>
  </si>
  <si>
    <t>I misuse long words in an attempt to sound smarter.</t>
  </si>
  <si>
    <t>My favor, once lost, is lost forever.</t>
  </si>
  <si>
    <t>I am horribly, horribly awkward in social situations.</t>
  </si>
  <si>
    <t>I have a crude sense of humor.</t>
  </si>
  <si>
    <t>I keep multiple holy symbols on me and invoke whatever deity might come in useful at any given moment.</t>
  </si>
  <si>
    <t>I’ll settle for nothing less than perfection.</t>
  </si>
  <si>
    <t>I don’t part with my money easily and will haggle tirelessly to get the best deal possible.</t>
  </si>
  <si>
    <t>I often get lost in my own thoughts and contemplation, becoming oblivious to my surroundings.</t>
  </si>
  <si>
    <t>I feel far more comfortable around animals than people.</t>
  </si>
  <si>
    <t>My language is as foul as an otyugh nest.</t>
  </si>
  <si>
    <t>I don’t like to bathe.</t>
  </si>
  <si>
    <t>Foreign philosophy</t>
  </si>
  <si>
    <t>I’ve spent so long in the temple that I have little practical experience dealing with people in the outside world.</t>
  </si>
  <si>
    <t>I blow up at the slightest insult.</t>
  </si>
  <si>
    <t>I get bored easily. When am I going to get on with my destiny?</t>
  </si>
  <si>
    <t>If you do me an injury, I will crush you, ruin your name, and salt your fields.</t>
  </si>
  <si>
    <t>I’m convinced that people are always trying to steal my secrets.</t>
  </si>
  <si>
    <t>I face problems head-on. A simple, direct solution is the best path to success.</t>
  </si>
  <si>
    <t>I pocket anything I see that might have some value.</t>
  </si>
  <si>
    <t>I change my mood or my mind as quickly as I change key in a song.</t>
  </si>
  <si>
    <t>I’m well known for my work, and I want to make sure everyone appreciates it. I'm always taken aback when people haven’t heard of me.</t>
  </si>
  <si>
    <t>I am working on a grand philosophical theory and love sharing my ideas.</t>
  </si>
  <si>
    <t>I was, in fact, raised by wolves.</t>
  </si>
  <si>
    <t>I like a job well done, especially if I can convince someone else to do it.</t>
  </si>
  <si>
    <t>I bluntly say what other people are hinting at or hiding.</t>
  </si>
  <si>
    <t>Evolving philosophy</t>
  </si>
  <si>
    <t>IDEALS</t>
  </si>
  <si>
    <t>Choices</t>
  </si>
  <si>
    <t>IDEAL</t>
  </si>
  <si>
    <t>Tradition. The ancient traditions of worship and sacrifice must be preserved and upheld. (Lawful)</t>
  </si>
  <si>
    <t>Honor. I don’t steal from others in the trade. (Lawful)</t>
  </si>
  <si>
    <t>Respect. People deserve to be treated with dignity and respect. (Good)</t>
  </si>
  <si>
    <t>Respect. Respect is due to me because of my position,but all people regardless of station deserve to be treated with dignity. (Good)</t>
  </si>
  <si>
    <t>Knowledge. The path to power and self-improvement is through knowledge. (Neutral)</t>
  </si>
  <si>
    <t>Greater Good. Our lot is to lay down our lives in defense of others. (Good)</t>
  </si>
  <si>
    <t>Independence. I am a free spirit— no one tells me what to do. (Chaotic)</t>
  </si>
  <si>
    <t>Beauty. When I perform, I make the world better than it was. (Good)</t>
  </si>
  <si>
    <t>Community. It is the duty of all civilized people to strengthen the bonds of community and the security of civilization. (Lawful)</t>
  </si>
  <si>
    <t>Greater Good. My gifts are meant to be shared with all, not used for my own benefit. (Good)</t>
  </si>
  <si>
    <t>Change. Life is like the seasons, in constant change, and we must change with it. (Chaotic)</t>
  </si>
  <si>
    <t>Respect. The thing that keeps a ship together is mutual respect between captain and crew. (Good)</t>
  </si>
  <si>
    <t>Respect. All people, rich or poor, deserve respect. (Good)</t>
  </si>
  <si>
    <t>Open. I have much to learn from the kindly folk I meet along my way.</t>
  </si>
  <si>
    <t>Charity. I always try to help those in need, no matter what the personal cost. (Good)</t>
  </si>
  <si>
    <t>Freedom. Chains are meant to be broken, as are those who would forge them. (Chaotic)</t>
  </si>
  <si>
    <t>Fairness. No one should get preferential treatment before the law, and no one is above the law. (Lawful)</t>
  </si>
  <si>
    <t>Responsibility. It is my duty to respect the authority of those above me, just as those below me must respect mine. (Lawful)</t>
  </si>
  <si>
    <t>Beauty. What is beautiful points us beyond itself toward what is true. (Good)</t>
  </si>
  <si>
    <t>Responsibility. I do what I must and obey just authority. (Lawful)</t>
  </si>
  <si>
    <t>Fairness. I never target people who can’t afford to lose a few coins. (Lawful)</t>
  </si>
  <si>
    <t>Tradition. The stories, legends, and songs o f the past must never be forgotten, for they teach us who we are. (Lawful)</t>
  </si>
  <si>
    <t>Generosity. My talents were given to me so that I could use them to benefit the world. (Good)</t>
  </si>
  <si>
    <t>Logic. Emotions must not cloud our sense of what is right and true, or our logical thinking. (Lawful)</t>
  </si>
  <si>
    <t>Greater Good. It is each person’s responsibility to make the most happiness for the whole tribe. (Good)</t>
  </si>
  <si>
    <t>Fairness. We all do the work, so we all share in the rewards. (Lawful)</t>
  </si>
  <si>
    <t>Community. We have to take care of each other, because no one else is going to do it. (Lawful)</t>
  </si>
  <si>
    <t>Reserved. As someone new to these strange lands, I am cautious and respectful in my dealings.</t>
  </si>
  <si>
    <t>Change. We must help bring about the changes the gods are constantly working in the world. (Chaotic)</t>
  </si>
  <si>
    <t>Charity. I steal from the wealthy so that I can help people in need. (Good)</t>
  </si>
  <si>
    <t>Freedom. Tyrants must not be allowed to oppress the people. (Chaotic)</t>
  </si>
  <si>
    <t>Independence. I must prove that I can handle myself without the coddling of my family. (Chaotic)</t>
  </si>
  <si>
    <t>Logic. Emotions must not cloud our logical thinking. (Lawful)</t>
  </si>
  <si>
    <t>Independence. When people follow orders blindly, they embrace a kind of tyranny. (Chaotic)</t>
  </si>
  <si>
    <t>Charity. I distribute the money I acquire to the people who really need it. (Good)</t>
  </si>
  <si>
    <t>Creativity. The world is in need of new ideas and bold action. (Chaotic)</t>
  </si>
  <si>
    <t>Freedom. Everyone should be free to pursue his or her own livelihood. (Chaotic)</t>
  </si>
  <si>
    <t>Free Thinking. Inquiry and curiosity are the pillars of progress. (Chaotic)</t>
  </si>
  <si>
    <t>Honor. If I dishonor myself, I dishonor my whole clan. (Lawful)</t>
  </si>
  <si>
    <t>Freedom. The sea is freedom—the freedom to go anywhere and do anything. (Chaotic)</t>
  </si>
  <si>
    <t>Change. The low are lifted up, and the high and mighty are brought down. Change is the nature of things. (Chaotic)</t>
  </si>
  <si>
    <t xml:space="preserve">Adventure. I'm far from home, and everything is strange and wonderful! </t>
  </si>
  <si>
    <t>Power. I hope to one day rise to the top of my faith’s religious hierarchy. (Lawful)</t>
  </si>
  <si>
    <t>Greed. I will do whatever it takes to become wealthy. (Evil)</t>
  </si>
  <si>
    <t>Might. If I become strong, I can take what I want— what I deserve. (Evil)</t>
  </si>
  <si>
    <t>Power. If I can attain more power, no one will tell me what to do. (Evil)</t>
  </si>
  <si>
    <t>No Limits. Nothing should fetter the infinite possibility inherent in all existence. (Chaotic)</t>
  </si>
  <si>
    <t>Might. In life as in war, the stronger force wins. (Evil)</t>
  </si>
  <si>
    <t>Creativity. I never run the same con twice. (Chaotic)</t>
  </si>
  <si>
    <t>Greed. I’m only in it for the money and fame. (Evil)</t>
  </si>
  <si>
    <t>Greed. I’m only in it for the money. (Evil)</t>
  </si>
  <si>
    <t>Power. Solitude and contemplation are paths toward mystical or magical power. (Evil)</t>
  </si>
  <si>
    <t>Might. The strongest are meant to rule. (Evil)</t>
  </si>
  <si>
    <t>Mastery. I’m a predator, and the other ships on the sea are my prey. (Evil)</t>
  </si>
  <si>
    <t>Retribution. The rich need to be shown what life and death are like in the gutters. (Evil)</t>
  </si>
  <si>
    <t xml:space="preserve">Cunning. Though I may not know their ways, neither do they know mine, which can be to my advantage. </t>
  </si>
  <si>
    <t>Faith. I trust that my deity will guide my actions. I have faith that if I work hard, things will go well. (Lawful)</t>
  </si>
  <si>
    <t>People. I’m loyal to my friends, not to any ideals, and everyone else can take a trip down the Styx for all I care. (Neutral)</t>
  </si>
  <si>
    <t>Sincerity. There’s no good in pretending to be something I’m not. (Neutral)</t>
  </si>
  <si>
    <t>Family. Blood runs thicker than water. (Any)</t>
  </si>
  <si>
    <t>Power. Knowledge is the path to power and domination. (Evil)</t>
  </si>
  <si>
    <t>Live and Let Live. Ideals aren’t worth killing over or going to war for. (Neutral)</t>
  </si>
  <si>
    <t>Friendship. Material goods come and go. Bonds of friendship last forever. (Good)</t>
  </si>
  <si>
    <t>People. I like seeing the smiles on people’s faces when I perform. That’s all that matters. (Neutral)</t>
  </si>
  <si>
    <t>People. I’m committed to the people I care about, not to ideals. (Neutral)</t>
  </si>
  <si>
    <t>Live and Let Live. Meddling in the affairs o f others only causes trouble. (Neutral)</t>
  </si>
  <si>
    <t>Nature. The natural world is more important than all the constructs of civilization. (Neutral)</t>
  </si>
  <si>
    <t>People. I’m committed to my crewmates, not to ideals. (Neutral)</t>
  </si>
  <si>
    <t>People. I help the people who help me—that’s what keeps us alive. (Neutral)</t>
  </si>
  <si>
    <t>Inquisitive. Everything is new, but I have a thirst to learn. (Neutral)</t>
  </si>
  <si>
    <t>Aspiration. I seek to prove myself worthy of my god’s favor by matching my actions against his or her teachings. (Any)</t>
  </si>
  <si>
    <t>Redemption. There’s a spark of good in everyone. (Good)</t>
  </si>
  <si>
    <t>Destiny. Nothing and no one can steer me away from my higher calling. (Any)</t>
  </si>
  <si>
    <t>Noble Obligation. It is my duty to protect and care for the people beneath me. (Good)</t>
  </si>
  <si>
    <t>Self-Improvement. The goal of a life of study is the betterment of oneself. (Any)</t>
  </si>
  <si>
    <t>Nation. My city, nation, or people are all that matter. (Any)</t>
  </si>
  <si>
    <t>Aspiration. I’m determined to make something of myself. (Any)</t>
  </si>
  <si>
    <t>Honesty. Art should reflect the soul; it should come from within and reveal who we really are. (Any)</t>
  </si>
  <si>
    <t>Aspiration. I work hard to be the best there is at my craft.</t>
  </si>
  <si>
    <t>Self-Knowledge. If you know yourself, there’s nothing left to know. (Any)</t>
  </si>
  <si>
    <t>Glory. I must earn glory in battle, for myself and my clan. (Any)</t>
  </si>
  <si>
    <t xml:space="preserve">Aspiration. Someday I’ll own my own ship and chart my own destiny. (Any) </t>
  </si>
  <si>
    <t>Aspiration. I'm going to prove that I'm worthy of a better life.</t>
  </si>
  <si>
    <t xml:space="preserve">Suspicious. I must be careful, for I have no way of telling friend from foe here. </t>
  </si>
  <si>
    <t>BOND</t>
  </si>
  <si>
    <t>choices</t>
  </si>
  <si>
    <t>I would die to recover an ancient relic of my faith that was lost long ago.</t>
  </si>
  <si>
    <t>I’m trying to pay off an old debt I owe to a generous benefactor.</t>
  </si>
  <si>
    <t>I have a family, but I have no idea where they are. One day, I hope to see them again.G</t>
  </si>
  <si>
    <t>I will face any challenge to win the approval of my family.</t>
  </si>
  <si>
    <t>It is my duty to protect my students.</t>
  </si>
  <si>
    <t>I would still lay down my life for the people I served with.</t>
  </si>
  <si>
    <t>I fleeced the wrong person and must work to ensure that this individual never crosses paths with me or those I care about.</t>
  </si>
  <si>
    <t>My instrument is my most treasured possession, and it reminds me of someone I love.</t>
  </si>
  <si>
    <t>The workshop where I learned my trade is the most important place in the world to me.</t>
  </si>
  <si>
    <t>Nothing is more important than the other members of my hermitage, order, or association.</t>
  </si>
  <si>
    <t>My family, clan, or tribe is the most important thing in my life, even when they are far from me.</t>
  </si>
  <si>
    <t>I’m loyal to my captain first, everything else second.</t>
  </si>
  <si>
    <t>My town or city is my home, and I’ll fight to defend it.</t>
  </si>
  <si>
    <t>So long as I have this token from my homeland, I can face any adversity in th is strange land.</t>
  </si>
  <si>
    <t>I will someday get revenge on the corrupt temple hierarchy who branded me a heretic.</t>
  </si>
  <si>
    <t>My ill-gotten gains go to support my family.</t>
  </si>
  <si>
    <t>I worked the land, I love the land, and I will protect the land.</t>
  </si>
  <si>
    <t>My house’s alliance with another noble family must be sustained at all costs.</t>
  </si>
  <si>
    <t>I have an ancient text that holds terrible secrets that must not fall into the wrong hands.</t>
  </si>
  <si>
    <t>Someone saved my life on the battlefield. To this day, I will never leave a friend behind.</t>
  </si>
  <si>
    <t>I owe everything to my mentor—a horrible person who’s probably rotting in jail somewhere.</t>
  </si>
  <si>
    <t>Someone stole my precious instrument, and someday I’ll get it back.</t>
  </si>
  <si>
    <t>I created a great work for someone, and then found them unworthy to receive it. I’m still looking for someone worthy.</t>
  </si>
  <si>
    <t>I entered seclusion to hide from the ones who might still be hunting me. I must someday confront them.</t>
  </si>
  <si>
    <t>An injury to the unspoiled wilderness of my home is an injury to me.</t>
  </si>
  <si>
    <t>The ship is most important—crewmates and captains come and go.</t>
  </si>
  <si>
    <t>I sponsor an orphanage to keep others from enduring what I was forced to endure.</t>
  </si>
  <si>
    <t>The gods of my people are a comfort to me so far from home.</t>
  </si>
  <si>
    <t>I owe my life to the priest who took me in when my parents died.</t>
  </si>
  <si>
    <t>Something important was taken from me, and I aim to steal it back.</t>
  </si>
  <si>
    <t>A proud noble once gave me a horrible beating, and I will take my revenge on any bully I encounter.</t>
  </si>
  <si>
    <t>Nothing is more important than the other members of my family.</t>
  </si>
  <si>
    <t>I work to preserve a library, university, scriptorium, or monastery.</t>
  </si>
  <si>
    <t>My honor is my life.</t>
  </si>
  <si>
    <t>Somewhere out there, I have a child who doesn’t know me. I’m making the world better for him or her.</t>
  </si>
  <si>
    <t>I want to be famous, whatever it takes.</t>
  </si>
  <si>
    <t>I owe my guild a great debt for forging me into the person I am today.</t>
  </si>
  <si>
    <t>I’m still seeking the enlightenment I pursued in my seclusion, and it still eludes me.</t>
  </si>
  <si>
    <t>I will bring terrible wrath down on the evildoers who destroyed my homeland.</t>
  </si>
  <si>
    <t>I’ll always remember my first ship.</t>
  </si>
  <si>
    <t>I owe my survival to another urchin who taught me to live on the streets.</t>
  </si>
  <si>
    <t>I hold no greater cause than my service to my people.</t>
  </si>
  <si>
    <t>Everything I do is for the common people.</t>
  </si>
  <si>
    <t>I will become the greatest thief that ever lived.</t>
  </si>
  <si>
    <t>My tools are symbols of my past life, and I carry them so that I will never forget my roots.</t>
  </si>
  <si>
    <t>I am in love with the heir of a family that my family despises.</t>
  </si>
  <si>
    <t>My life’s work is a series of tomes related to a specific field of lore.</t>
  </si>
  <si>
    <t>I’ll never forget the crushing defeat my company suffered or the enemies who dealt it.</t>
  </si>
  <si>
    <t>I come from a noble family, and one day I’ll reclaim my lands and title from those who stole them from me.</t>
  </si>
  <si>
    <t>I idolize a hero of the old tales and measure my deeds against that person’s.</t>
  </si>
  <si>
    <t>I pursue wealth to secure someone’s love.</t>
  </si>
  <si>
    <t>I entered seclusion because I loved someone I could not have.</t>
  </si>
  <si>
    <t>I am the last of my tribe, and it is up to me to ensure their names enter legend.</t>
  </si>
  <si>
    <t>In a harbor town, I have a paramour whose eyes nearly stole me from the sea.</t>
  </si>
  <si>
    <t>I owe a debt I can never repay to the person who took pity on me.</t>
  </si>
  <si>
    <t>My freedom is my most precious possession. I'll never let anyone take it from me again.</t>
  </si>
  <si>
    <t>I will do anything to protect the temple where I served.</t>
  </si>
  <si>
    <t>I’m guilty of a terrible crime. I hope I can redeem myself for it.</t>
  </si>
  <si>
    <t>I protect those who cannot protect themselves.</t>
  </si>
  <si>
    <t>My loyalty to my sovereign is unwavering.</t>
  </si>
  <si>
    <t>I’ve been searching my whole life for the answer to a certain question.</t>
  </si>
  <si>
    <t>Those who fight beside me are those worth dying for.</t>
  </si>
  <si>
    <t>A powerful person killed someone I love. Some day soon, I’ll have my revenge.</t>
  </si>
  <si>
    <t>I will do anything to prove myself superior to my hated rival.</t>
  </si>
  <si>
    <t>One day I will return to my guild and prove that I am the greatest artisan of them all.</t>
  </si>
  <si>
    <t>Should my discovery come to light, it could bring ruin to the world.</t>
  </si>
  <si>
    <t>I suffer awful visions of a coming disaster and will do anything to prevent it.</t>
  </si>
  <si>
    <t>I was cheated out of my fair share of the profits, and I want to get my due.</t>
  </si>
  <si>
    <t>I escaped my life of poverty by robbing an important person, and I’m wanted for it.</t>
  </si>
  <si>
    <t>I'm fascinated by the beauty and wonder of this new land.</t>
  </si>
  <si>
    <t>I seek to preserve a sacred text that my enemies consider heretical and seek to destroy.</t>
  </si>
  <si>
    <t>Someone I loved died because of I mistake I made. That will never happen again.</t>
  </si>
  <si>
    <t>I wish my childhood sweetheart had come with me to pursue my destiny.</t>
  </si>
  <si>
    <t>The common folk must see me as a hero of the people.</t>
  </si>
  <si>
    <t>I sold my soul for knowledge. I hope to do great deeds and win it back.</t>
  </si>
  <si>
    <t>I fight for those who cannot fight for themselves.</t>
  </si>
  <si>
    <t>I swindled and ruined a person who didn’t deserve it. I seek to atone for my misdeeds but might never be able to forgive myself.</t>
  </si>
  <si>
    <t>I would do anything for the other members of my old troupe.</t>
  </si>
  <si>
    <t>I will get revenge on the evil forces that destroyed my place of business and ruined my livelihood.</t>
  </si>
  <si>
    <t>My isolation gave me great insight into a great evil that only I can destroy.</t>
  </si>
  <si>
    <t>It is my duty to provide children to sustain my tribe.</t>
  </si>
  <si>
    <t>Ruthless pirates murdered my captain and crewmates, plundered our ship, and left me to die. Vengeance will be mine.</t>
  </si>
  <si>
    <t>No one else should have to endure the hardships I’ve been through.</t>
  </si>
  <si>
    <t>Though I had no choice, I lame nt having to leave my loved one(s) behind. I hope to see them again one day.</t>
  </si>
  <si>
    <t>FLAW</t>
  </si>
  <si>
    <t>I judge others harshly, and myself even more severely.</t>
  </si>
  <si>
    <t>When I see something valuable, I can’t think about anything but how to steal it.</t>
  </si>
  <si>
    <t>The tyrant who rules my land will stop at nothing to see me killed.</t>
  </si>
  <si>
    <t>I secretly believe that everyone is beneath me.</t>
  </si>
  <si>
    <t>I am easily distracted by the promise of information.</t>
  </si>
  <si>
    <t>The monstrous enemy we faced in battle still leaves me quivering with fear.</t>
  </si>
  <si>
    <t>I can’t resist a pretty face.</t>
  </si>
  <si>
    <t>I’ll do anything to win fame and renown.</t>
  </si>
  <si>
    <t>I’ll do anything to get my hands on something rare or priceless.</t>
  </si>
  <si>
    <t>Now that I've returned to the world, I enjoy its delights a little too much.</t>
  </si>
  <si>
    <t>I am too enamored of ale, wine, and other intoxicants.</t>
  </si>
  <si>
    <t>I follow orders, even if I think they’re wrong.</t>
  </si>
  <si>
    <t>If I'm outnumbered, I will run away from a fight.</t>
  </si>
  <si>
    <t>I am secretly (or not so secretly) convinced of the superiority of my own cu lture over that of this foreign land.</t>
  </si>
  <si>
    <t>I put too much trust in those who wield power within my temple’s hierarchy.</t>
  </si>
  <si>
    <t>When faced with a choice between money and my friends, I usually choose the money.</t>
  </si>
  <si>
    <t>I’m convinced of the significance of my destiny, and blind to my shortcomings and the risk of failure.</t>
  </si>
  <si>
    <t>I hide a truly scandalous secret that could ruin my family forever.</t>
  </si>
  <si>
    <t>Most people scream and run when they see a demon. I stop and take notes on its anatomy.</t>
  </si>
  <si>
    <t>I have little respect for anyone who is not a proven warrior.</t>
  </si>
  <si>
    <t>I'm always in debt. I spend my ill-gotten gains on decadent luxuries faster than I bring them in..</t>
  </si>
  <si>
    <t>I’m a sucker for a pretty face.</t>
  </si>
  <si>
    <t>I’m quick to assume that someone is trying to cheat me.</t>
  </si>
  <si>
    <t>I harbor dark, bloodthirsty thoughts that my isolation and meditation failed to quell.</t>
  </si>
  <si>
    <t>There’s no room for caution in a life lived to the fullest.</t>
  </si>
  <si>
    <t>I’ll say anything to avoid having to do extra work.</t>
  </si>
  <si>
    <t>Gold seems like a lot of money to me, and I’ll do just about anything for more of it.</t>
  </si>
  <si>
    <t>I pretend not to understand the local language in order to avoid interactions I would rather not have.</t>
  </si>
  <si>
    <t>My piety sometimes leads me to blindly trust those that profess faith in my god.</t>
  </si>
  <si>
    <t>If there’s a plan, I’ll forget it. If I don’t forget it, I’ll ignore it.</t>
  </si>
  <si>
    <t>The people who knew me when I was young know my shameful secret, so I can never go home again.</t>
  </si>
  <si>
    <t>I too often hear veiled insults and threats in every word addressed to me, and I’m quick to anger.</t>
  </si>
  <si>
    <t>Unlocking an ancient mystery is worth the price of a civilization.</t>
  </si>
  <si>
    <t>I made a terrible mistake in battle that cost many lives—and I would do anything to keep that mistake secret.</t>
  </si>
  <si>
    <t>I’m convinced that no one could ever fool me the way I fool others.</t>
  </si>
  <si>
    <t>A scandal prevents me from ever going home again. That kind of trouble seems to follow me around.</t>
  </si>
  <si>
    <t>No one must ever learn that I once stole money from guild coffers.</t>
  </si>
  <si>
    <t>I am dogmatic in my thoughts and philosophy.</t>
  </si>
  <si>
    <t>I remember every insult I’ve received and nurse a silent resentment toward anyone who’s ever wronged me.</t>
  </si>
  <si>
    <t>Once someone questions my courage, I never back down no matter how dangerous the situation.</t>
  </si>
  <si>
    <t>I will never fully trust anyone other than myself.</t>
  </si>
  <si>
    <t>I have a weakness for the new intoxica nts and other pleasures of this land.</t>
  </si>
  <si>
    <t>I am inflexible in my thinking.</t>
  </si>
  <si>
    <t>I have a “tell” that reveals when I’m lying.</t>
  </si>
  <si>
    <t>I have a weakness for the vices of the city, especially hard drink.</t>
  </si>
  <si>
    <t>I have an insatiable desire for carnal pleasures.</t>
  </si>
  <si>
    <t>I overlook obvious solutions in favor of complicated ones.</t>
  </si>
  <si>
    <t>My hatred of my enemies is blind and unreasoning.</t>
  </si>
  <si>
    <t>I’m too greedy for my own good. I can’t resist taking a risk if there’s money involved.</t>
  </si>
  <si>
    <t>I once satirized a noble who still wants my head. It was a mistake that I will likely repeat.</t>
  </si>
  <si>
    <t>I’m never satisfied with what I have— I always want more.</t>
  </si>
  <si>
    <t>I let my need to win arguments overshadow friendships and harmony.</t>
  </si>
  <si>
    <t>I am slow to trust members of other races, tribes, and societies.</t>
  </si>
  <si>
    <t>Once I start drinking, it’s hard for me to stop.</t>
  </si>
  <si>
    <t>I’d rather kill someone in their sleep then fight fair.</t>
  </si>
  <si>
    <t>I don't take kindly to some of the actions and motivations of the people of this land, because these folk are different from me.</t>
  </si>
  <si>
    <t>I am suspicious of strangers and expect the worst of them.</t>
  </si>
  <si>
    <t>I turn tail and run when things look bad.</t>
  </si>
  <si>
    <t>Secretly, I believe that things would be better if I were a tyrant lording over the land.</t>
  </si>
  <si>
    <t>In fact, the world does revolve around me.</t>
  </si>
  <si>
    <t>I speak without really thinking through my words, invariably insulting others.</t>
  </si>
  <si>
    <t>I obey the law, even if the law causes misery.</t>
  </si>
  <si>
    <t>I can’t resist swindling people who are more powerful than me.</t>
  </si>
  <si>
    <t>I have trouble keeping my true feelings hidden. My sharp tongue lands me in trouble.</t>
  </si>
  <si>
    <t>I would kill to acquire a noble title.</t>
  </si>
  <si>
    <t>I’d risk too much to uncover a lost bit of knowledge.</t>
  </si>
  <si>
    <t>Violence is my answer to almost any challenge.</t>
  </si>
  <si>
    <t>I can’t help but pocket loose coins and other trinkets I come across.</t>
  </si>
  <si>
    <t>It’s not stealing if I need it more than someone else.</t>
  </si>
  <si>
    <t>I consider the adherents of other gods to be deluded innocents at best, or ignorant foo ls at worst.</t>
  </si>
  <si>
    <t xml:space="preserve">Once I pick a goal, I become obsessed with it to the detriment of everything else in my life. </t>
  </si>
  <si>
    <t>An innocent person is in prison for a crime that I committed. I’m okay with that.</t>
  </si>
  <si>
    <t>I have trouble trusting in my allies.</t>
  </si>
  <si>
    <t>By my words and actions, I often bring shame to my family.</t>
  </si>
  <si>
    <t>I can’t keep a secret to save my life, or anyone else’s.</t>
  </si>
  <si>
    <t>I’d rather eat my armor than admit when I’m wrong.</t>
  </si>
  <si>
    <t>I hate to admit it and will hate myself for it, but I'll run and preserve my own hide if the going gets tough.</t>
  </si>
  <si>
    <t>Despite my best efforts, I am unreliable to my friends.</t>
  </si>
  <si>
    <t>I’m horribly jealous of anyone who can outshine my handiwork. Everywhere I go, I’m surrounded by rivals.</t>
  </si>
  <si>
    <t>I like keeping secrets and won’t share them with anyone.</t>
  </si>
  <si>
    <t>Don’t expect me to save those who can’t save themselves. It is nature’s way that the strong thrive and the weak perish.</t>
  </si>
  <si>
    <t>My pride will probably lead to my destruction.</t>
  </si>
  <si>
    <t>People who can't take care of themselves get what they deserve.</t>
  </si>
  <si>
    <t>I have a weakness for the exotic beauty of the people of these lands.</t>
  </si>
  <si>
    <t>BACKGROUND TYPE SPECIALTY ROLLS</t>
  </si>
  <si>
    <t>VARIANTS ARE ADDED AS "SPECIALTIES"</t>
  </si>
  <si>
    <t>Temple</t>
  </si>
  <si>
    <t xml:space="preserve"> (Blackmailer)</t>
  </si>
  <si>
    <t>I stood up to a tyrant’s agents.</t>
  </si>
  <si>
    <t>Noble Title</t>
  </si>
  <si>
    <t>Alchemist</t>
  </si>
  <si>
    <t xml:space="preserve">Officer </t>
  </si>
  <si>
    <t>I cheat at games of chance.</t>
  </si>
  <si>
    <t xml:space="preserve">Actor </t>
  </si>
  <si>
    <t>Alchemists and apothecaries</t>
  </si>
  <si>
    <t>I was searching for spiritual enlightenment.</t>
  </si>
  <si>
    <t>Forester</t>
  </si>
  <si>
    <t>Ships passage</t>
  </si>
  <si>
    <t>FUTURE</t>
  </si>
  <si>
    <t>Deity</t>
  </si>
  <si>
    <t xml:space="preserve"> (Burglar)</t>
  </si>
  <si>
    <t>I saved people during a natural disaster.</t>
  </si>
  <si>
    <t>Noble Knight Variant</t>
  </si>
  <si>
    <t>Professor</t>
  </si>
  <si>
    <t>Quartermaster</t>
  </si>
  <si>
    <t>I shave coins or forge documents.</t>
  </si>
  <si>
    <t>Instrumentalist</t>
  </si>
  <si>
    <t>Armorers, locksmiths, and finesmiths</t>
  </si>
  <si>
    <t>I was partaking of communal living in accordance with the dictates of a religious order.</t>
  </si>
  <si>
    <t>Bounty hunter</t>
  </si>
  <si>
    <t>Bad Reputation variant</t>
  </si>
  <si>
    <t>Pantheon</t>
  </si>
  <si>
    <t xml:space="preserve"> (Enforcer)</t>
  </si>
  <si>
    <t>I stood alone against a terrible monster.</t>
  </si>
  <si>
    <t>Astronomer</t>
  </si>
  <si>
    <t xml:space="preserve">Scout </t>
  </si>
  <si>
    <t>I insinuate myself into people’s lives to prey on their weakness and secure their fortunes.</t>
  </si>
  <si>
    <t xml:space="preserve">Dancer </t>
  </si>
  <si>
    <t>Brewers, distillers, and vintners</t>
  </si>
  <si>
    <t>I was exiled for a crime I didn’t commit.</t>
  </si>
  <si>
    <t>Trapper</t>
  </si>
  <si>
    <t xml:space="preserve"> (Fence)</t>
  </si>
  <si>
    <t>I stole from a corrupt merchant to help the poor.</t>
  </si>
  <si>
    <t>Standard bearer</t>
  </si>
  <si>
    <t>I put on new identities like clothes.</t>
  </si>
  <si>
    <t>Poet</t>
  </si>
  <si>
    <t>Calligraphers, scribes, and scriveners</t>
  </si>
  <si>
    <t>I retreated from society after a life-altering event.</t>
  </si>
  <si>
    <t>Pilgrim</t>
  </si>
  <si>
    <t xml:space="preserve"> (Highway robber)</t>
  </si>
  <si>
    <t>I led a militia to fight off an invading army.</t>
  </si>
  <si>
    <t>Discredited</t>
  </si>
  <si>
    <t>Infantry</t>
  </si>
  <si>
    <t>I run sleight-of-hand cons on street corners.</t>
  </si>
  <si>
    <t xml:space="preserve">Fire-eater </t>
  </si>
  <si>
    <t>Carpenters, roofers, and plasterers</t>
  </si>
  <si>
    <t>I needed a quiet place to work on my art, literature, music, or manifesto.</t>
  </si>
  <si>
    <t>Homesteader</t>
  </si>
  <si>
    <t xml:space="preserve"> (Hired Killer)</t>
  </si>
  <si>
    <t>I broke into a tyrant’s castle and stole weapons to arm the people.</t>
  </si>
  <si>
    <t>academic</t>
  </si>
  <si>
    <t>Support staff (cook, blacksmith, or the like)</t>
  </si>
  <si>
    <t>I convince people that worthless junk is worth their hard-earned money.</t>
  </si>
  <si>
    <t>Singer</t>
  </si>
  <si>
    <t>Cartographers, surveyors, and chart-makers</t>
  </si>
  <si>
    <t xml:space="preserve">                        </t>
  </si>
  <si>
    <t>Tribal nomad</t>
  </si>
  <si>
    <t xml:space="preserve"> (Pickpocket)</t>
  </si>
  <si>
    <t>I trained the peasantry to use farm implements as weapons against a tyrant’s soldiers.</t>
  </si>
  <si>
    <t>Wizard’s apprentice</t>
  </si>
  <si>
    <t>Cavalry</t>
  </si>
  <si>
    <t xml:space="preserve">Jester </t>
  </si>
  <si>
    <t>Cobblers and shoemakers</t>
  </si>
  <si>
    <t>I was the caretaker of an ancient ruin or relic.</t>
  </si>
  <si>
    <t>Guide</t>
  </si>
  <si>
    <t xml:space="preserve"> (Smuggler)</t>
  </si>
  <si>
    <t>A lord rescinded an unpopular decree after I led a symbolic act of protect against it.</t>
  </si>
  <si>
    <t>Scribe</t>
  </si>
  <si>
    <t>Storyteller</t>
  </si>
  <si>
    <t>Cooks and bakers</t>
  </si>
  <si>
    <t>I was a pilgrim in search of a person, place, or relic of spiritual significance.</t>
  </si>
  <si>
    <t>Hunter-gatherer</t>
  </si>
  <si>
    <t>(Spy variant)</t>
  </si>
  <si>
    <t>A celestial, fey, or similar creature gave me a blessing or revealed my secret origin.</t>
  </si>
  <si>
    <t>Librarian</t>
  </si>
  <si>
    <t xml:space="preserve">Juggler </t>
  </si>
  <si>
    <t>Glassblowers and glaziers</t>
  </si>
  <si>
    <t>Exile</t>
  </si>
  <si>
    <t>Recruited into a lord’s army, I rose to leadership and was commended for my heroism.</t>
  </si>
  <si>
    <t>Tumbler</t>
  </si>
  <si>
    <t>Jewelers and gemcutters</t>
  </si>
  <si>
    <t>Outcast</t>
  </si>
  <si>
    <t>Gladiator Variant</t>
  </si>
  <si>
    <t>Leatherworkers, skinners, and tanners</t>
  </si>
  <si>
    <t>Tribal marauder</t>
  </si>
  <si>
    <t>Masons and stonecutters</t>
  </si>
  <si>
    <t>Painters, limners, and sign-makers</t>
  </si>
  <si>
    <t>Potters and tile-makers</t>
  </si>
  <si>
    <t>Shipwrights and sailmakers</t>
  </si>
  <si>
    <t>Smiths and metal-forgers</t>
  </si>
  <si>
    <t>Tinkers, pewterers, and casters</t>
  </si>
  <si>
    <t>Wagon-makers and wheelwrights</t>
  </si>
  <si>
    <t>Weavers and dyers</t>
  </si>
  <si>
    <t>Woodcarvers, coopers, and bowyers</t>
  </si>
  <si>
    <t>Multi choice Skills for SCAG backgrounds</t>
  </si>
  <si>
    <t>Cloistered</t>
  </si>
  <si>
    <t>Urban</t>
  </si>
  <si>
    <t>BASIC INFORMATION</t>
  </si>
  <si>
    <t>ARMOR CLASS CALCULATIONS</t>
  </si>
  <si>
    <t>LEVEL SPELL SELECTION</t>
  </si>
  <si>
    <t>RESULT</t>
  </si>
  <si>
    <t>DEX MOD:</t>
  </si>
  <si>
    <t>ARMOR TYPE:</t>
  </si>
  <si>
    <t>NAME:</t>
  </si>
  <si>
    <t>MAX DEX:</t>
  </si>
  <si>
    <t>AC ARMOR</t>
  </si>
  <si>
    <t>,</t>
  </si>
  <si>
    <t>LEVEL:</t>
  </si>
  <si>
    <t>STR:</t>
  </si>
  <si>
    <t>SHIELD TYPE:</t>
  </si>
  <si>
    <t>&lt;==  DO NOT ERASE</t>
  </si>
  <si>
    <t>AGE:</t>
  </si>
  <si>
    <t>MIN STR:</t>
  </si>
  <si>
    <t>AC SHEILD:</t>
  </si>
  <si>
    <t>GENDER:</t>
  </si>
  <si>
    <t>Str too weak?</t>
  </si>
  <si>
    <t>ALLOWED DEX:</t>
  </si>
  <si>
    <t>OTHER:</t>
  </si>
  <si>
    <t>FIGHT/RANGR/PAL. (DEFENSE):</t>
  </si>
  <si>
    <t>ARCHTYPE:</t>
  </si>
  <si>
    <t>MONK DEX+WIS BONUS</t>
  </si>
  <si>
    <t>SPECIALIZATION:</t>
  </si>
  <si>
    <t>TOTAL AC:</t>
  </si>
  <si>
    <t>RACE:</t>
  </si>
  <si>
    <t>COMBAT CALCULATIONS</t>
  </si>
  <si>
    <t>STEALTH DISADVANTAGE?</t>
  </si>
  <si>
    <t>BONUS RACE INFO:</t>
  </si>
  <si>
    <t>INITIATIVE:</t>
  </si>
  <si>
    <t>BACKGROUND:</t>
  </si>
  <si>
    <t>MELEE TO HIT:</t>
  </si>
  <si>
    <t>ALIGNMENT:</t>
  </si>
  <si>
    <t>RANGED TO HIT:</t>
  </si>
  <si>
    <t>HEIGHT:</t>
  </si>
  <si>
    <t>MELEE DMG:</t>
  </si>
  <si>
    <t>WEIGHT:</t>
  </si>
  <si>
    <t>RANGED DMG:</t>
  </si>
  <si>
    <t>SPEED:</t>
  </si>
  <si>
    <t xml:space="preserve">  PREFERRED LIFESTYLE:</t>
  </si>
  <si>
    <t>Total Score</t>
  </si>
  <si>
    <t>LANGUAGES:</t>
  </si>
  <si>
    <t>Background Sk 1:</t>
  </si>
  <si>
    <t>Race: 1</t>
  </si>
  <si>
    <t>CLASS SPELL SELECTION</t>
  </si>
  <si>
    <t xml:space="preserve">CLASS TOOLS: </t>
  </si>
  <si>
    <t>Background Sk 2:</t>
  </si>
  <si>
    <t>Race: 2</t>
  </si>
  <si>
    <t>ABILITY ROLL:</t>
  </si>
  <si>
    <t>Race Skill 1:</t>
  </si>
  <si>
    <t>Race: 3</t>
  </si>
  <si>
    <t>Race Skill 2:</t>
  </si>
  <si>
    <t>Background: 1</t>
  </si>
  <si>
    <t>HIT POINT CALCULATIONS</t>
  </si>
  <si>
    <t>Random Skill 1:</t>
  </si>
  <si>
    <t>Background: 2</t>
  </si>
  <si>
    <t>HIT DICE:</t>
  </si>
  <si>
    <t>Random Skill 2:</t>
  </si>
  <si>
    <t>Class: 1</t>
  </si>
  <si>
    <t>HIT POINTS:</t>
  </si>
  <si>
    <t>Random Skill 3:</t>
  </si>
  <si>
    <t>Class: 2</t>
  </si>
  <si>
    <t>Con Mod:</t>
  </si>
  <si>
    <t>Random Skill 4:</t>
  </si>
  <si>
    <t>Class: 3</t>
  </si>
  <si>
    <t>Hill Dwarf?</t>
  </si>
  <si>
    <t>IF HILL +1  Hp/Level</t>
  </si>
  <si>
    <t>Passive Perception:</t>
  </si>
  <si>
    <t>Class: 4</t>
  </si>
  <si>
    <t>TOTAL:</t>
  </si>
  <si>
    <t>Class: 5</t>
  </si>
  <si>
    <t>Class: 6</t>
  </si>
  <si>
    <t xml:space="preserve">USER CHOICE: </t>
  </si>
  <si>
    <t>PANTHEON</t>
  </si>
  <si>
    <t>Class Saving Throw Proficiencies</t>
  </si>
  <si>
    <t>PATRON DEITY</t>
  </si>
  <si>
    <t xml:space="preserve">Abilities: </t>
  </si>
  <si>
    <t>ROLLED</t>
  </si>
  <si>
    <t>HIT POINTS</t>
  </si>
  <si>
    <t>MEDIAN HP +1  PER LEVEL</t>
  </si>
  <si>
    <t>PERSONALITY 1:</t>
  </si>
  <si>
    <t>LVL-3</t>
  </si>
  <si>
    <t>LVL-4</t>
  </si>
  <si>
    <t>LVL-13</t>
  </si>
  <si>
    <t>LVL-14</t>
  </si>
  <si>
    <t>LVL-20</t>
  </si>
  <si>
    <t>PERSONALITY 2:</t>
  </si>
  <si>
    <t>IDEAS:</t>
  </si>
  <si>
    <t>BONDS:</t>
  </si>
  <si>
    <t>FLAWS:</t>
  </si>
  <si>
    <t>SPELLCASTING</t>
  </si>
  <si>
    <t xml:space="preserve">CASTING STAT: </t>
  </si>
  <si>
    <t xml:space="preserve">SPELL ATT: </t>
  </si>
  <si>
    <t xml:space="preserve">PROF BONUS: </t>
  </si>
  <si>
    <t xml:space="preserve">CLASS BONUS: </t>
  </si>
  <si>
    <t xml:space="preserve">SPELL SAVE DC: </t>
  </si>
  <si>
    <t xml:space="preserve">RACIAL BONUS: </t>
  </si>
  <si>
    <t>SIMPLE ALL WEAPON</t>
  </si>
  <si>
    <t>WEAPON DAMAGE:</t>
  </si>
  <si>
    <t>WEAPON SPECIAL:</t>
  </si>
  <si>
    <t>SIMPLE MARTIAL WEAPON:</t>
  </si>
  <si>
    <t>SIMPLE RANGED WEAPON:</t>
  </si>
  <si>
    <t>MARTIAL  WEAPON:</t>
  </si>
  <si>
    <t>MARTIAL RANGED WEAPON:</t>
  </si>
  <si>
    <t>OUTPUT SKILLS PROFICIENT TO SHOW TOTAL BONUS</t>
  </si>
  <si>
    <t>ARMOR PROFICIENCY</t>
  </si>
  <si>
    <t>Duergar or Mtn Dwf corrects at CLASS</t>
  </si>
  <si>
    <t>MANUEVERS, DISCIPLINES, HUNTER</t>
  </si>
  <si>
    <t>FIRST SKILL:</t>
  </si>
  <si>
    <t>SECOND SKILL:</t>
  </si>
  <si>
    <t>THIRD SKILL:</t>
  </si>
  <si>
    <t>FOURTH SKILL:</t>
  </si>
  <si>
    <t>FIFTH SKILL:</t>
  </si>
  <si>
    <t>SIXTH SKILL:</t>
  </si>
  <si>
    <t>SEVENTH SKILL:</t>
  </si>
  <si>
    <t>EIGHTH SKILL:</t>
  </si>
  <si>
    <t>NINETH SKILL:</t>
  </si>
  <si>
    <t>MAGIC ITEMS SUMMARY</t>
  </si>
  <si>
    <t>REFERENCE</t>
  </si>
  <si>
    <t>CAPABILITY</t>
  </si>
  <si>
    <t>PAGE</t>
  </si>
  <si>
    <t>OUTPUT:</t>
  </si>
  <si>
    <t>MAGIC ITEM PARAGRAPH FORMAT</t>
  </si>
  <si>
    <t>DEFINED BONUS RACIAL INFORMATION PARAGRAPH</t>
  </si>
  <si>
    <t>ARCANE TRICKSTER</t>
  </si>
  <si>
    <t>DEFINED  SUMMARY CLASS ABILITY PARAGRAPH FOR STAT BLOCK</t>
  </si>
  <si>
    <t>ALERT:    SPELL SELECTIONS ARE TO THE FAR RIGHT COLUMNS.  DO NOT CLEAR/ERASE LINES</t>
  </si>
  <si>
    <t>CLASSIC WEAPONS (PER CLASS PREGEN IN PHB)</t>
  </si>
  <si>
    <t>WEAPONS (FROM STARTING GEAR METHOD)</t>
  </si>
  <si>
    <t>MELEE (1-3)</t>
  </si>
  <si>
    <t>RANGED (1-2)</t>
  </si>
  <si>
    <t>ABILITY OR FEAT</t>
  </si>
  <si>
    <t>Choose between</t>
  </si>
  <si>
    <t>Choice</t>
  </si>
  <si>
    <t>Calculations</t>
  </si>
  <si>
    <t>Main Stat Total</t>
  </si>
  <si>
    <t>1 to 30</t>
  </si>
  <si>
    <t>Ability Increase</t>
  </si>
  <si>
    <t>to</t>
  </si>
  <si>
    <t>Secondary Stat Bonus</t>
  </si>
  <si>
    <t>Class Main Bonus</t>
  </si>
  <si>
    <t>Total +'s:</t>
  </si>
  <si>
    <t>Modified Ability</t>
  </si>
  <si>
    <t>Ability</t>
  </si>
  <si>
    <t>Secondary Bonus</t>
  </si>
  <si>
    <t>Third Bonus</t>
  </si>
  <si>
    <t>&lt;- Make feats change according to character class</t>
  </si>
  <si>
    <t>NAME</t>
  </si>
  <si>
    <t>HEIGHT</t>
  </si>
  <si>
    <t>AGE  &amp;  SEX</t>
  </si>
  <si>
    <t>ALIGNMENT</t>
  </si>
  <si>
    <t>APPEARANCE</t>
  </si>
  <si>
    <t>DEMEANOR</t>
  </si>
  <si>
    <t>SPECIAL RACIAL ABILITIES</t>
  </si>
  <si>
    <t>STRENGTH</t>
  </si>
  <si>
    <t>PROFICIENCY</t>
  </si>
  <si>
    <t>INITIATIVE</t>
  </si>
  <si>
    <t>FEATURES &amp; TRAITS</t>
  </si>
  <si>
    <t>LVL.</t>
  </si>
  <si>
    <t>SAVES</t>
  </si>
  <si>
    <t>ANIMAL COMPANION</t>
  </si>
  <si>
    <t>Strength</t>
  </si>
  <si>
    <t>HIT BONUS</t>
  </si>
  <si>
    <t>Dexterity</t>
  </si>
  <si>
    <t>DEXTERITY</t>
  </si>
  <si>
    <t>Constitution</t>
  </si>
  <si>
    <t>Intelligence</t>
  </si>
  <si>
    <t>Wisdom</t>
  </si>
  <si>
    <t>Charisma</t>
  </si>
  <si>
    <t>HD</t>
  </si>
  <si>
    <t>CONSTITUTION</t>
  </si>
  <si>
    <t>EQUIPMENT</t>
  </si>
  <si>
    <t>TREASURE / GEMS / JEWELRY</t>
  </si>
  <si>
    <t>INTELLIGENCE</t>
  </si>
  <si>
    <t>DEATH SAVES</t>
  </si>
  <si>
    <t>SUCCESSES</t>
  </si>
  <si>
    <t>SPELLCASTING CLASS</t>
  </si>
  <si>
    <t>SPELLCASTING ABILITY</t>
  </si>
  <si>
    <t>SPELL ATTACK BONUS</t>
  </si>
  <si>
    <t>SPELL SAVE DC</t>
  </si>
  <si>
    <t>□  □  □</t>
  </si>
  <si>
    <t>FAILURES</t>
  </si>
  <si>
    <t>WISDOM</t>
  </si>
  <si>
    <t>INSPIRATION</t>
  </si>
  <si>
    <t>SPELLS  KNOWN</t>
  </si>
  <si>
    <t>RACIAL</t>
  </si>
  <si>
    <t>CHARISMA</t>
  </si>
  <si>
    <t>BACKGROUNDS</t>
  </si>
  <si>
    <t>RACIAL ABILITIES</t>
  </si>
  <si>
    <t>USUAL LIFESTYLE</t>
  </si>
  <si>
    <t>PASSIVE PERCEPTION</t>
  </si>
  <si>
    <t>PERSONALITY TRAITS</t>
  </si>
  <si>
    <t>OTHER NOTES</t>
  </si>
  <si>
    <t>WEAPON PROFICIENCIES</t>
  </si>
  <si>
    <t>4TH LEVEL</t>
  </si>
  <si>
    <t>BONDS</t>
  </si>
  <si>
    <t>FLAWS</t>
  </si>
  <si>
    <t>ARMOR PROFICIENCIES</t>
  </si>
  <si>
    <t>5TH LEVEL</t>
  </si>
  <si>
    <t>SKILL PROFICIENCIES</t>
  </si>
  <si>
    <t>6TH LEVEL</t>
  </si>
  <si>
    <t>ATTACK SUMMARY</t>
  </si>
  <si>
    <t>7TH LEVEL</t>
  </si>
  <si>
    <t>OTHER</t>
  </si>
  <si>
    <t>8TH LEVEL</t>
  </si>
  <si>
    <t>JWLRY</t>
  </si>
  <si>
    <t>9TH LEVEL</t>
  </si>
  <si>
    <t>Yes</t>
  </si>
  <si>
    <t>SPELLS BY LEVEL</t>
  </si>
  <si>
    <t>Cantrips</t>
  </si>
  <si>
    <t>1st Level</t>
  </si>
  <si>
    <t>2nd Level</t>
  </si>
  <si>
    <t>3rd Level</t>
  </si>
  <si>
    <t>4th Level</t>
  </si>
  <si>
    <t>5th Level</t>
  </si>
  <si>
    <t>6th Level</t>
  </si>
  <si>
    <t>7th Level</t>
  </si>
  <si>
    <t>8th Level</t>
  </si>
  <si>
    <t>9th Level</t>
  </si>
  <si>
    <t>Cleric_Cantrip</t>
  </si>
  <si>
    <t>Cleric_First</t>
  </si>
  <si>
    <t>Bard_Cantrip</t>
  </si>
  <si>
    <t>Bard_First</t>
  </si>
  <si>
    <t>Druid_Cantrip</t>
  </si>
  <si>
    <t>Druid_First</t>
  </si>
  <si>
    <t>Powerful Build</t>
  </si>
  <si>
    <t>Carry Mod</t>
  </si>
  <si>
    <t>Y</t>
  </si>
  <si>
    <t>https://www.dndbeyond.com/magic-items/portable-hole</t>
  </si>
  <si>
    <t>https://www.dndbeyond.com/magic-items/handy-haversack</t>
  </si>
  <si>
    <t>↪ Handy Haversack, left pouch</t>
  </si>
  <si>
    <t>↪ Handy Haversack, right pouch</t>
  </si>
  <si>
    <t>Handy Haversack, central pouch</t>
  </si>
  <si>
    <t>Container:</t>
  </si>
  <si>
    <t>Weight:</t>
  </si>
  <si>
    <t>Value:</t>
  </si>
  <si>
    <t>Link:</t>
  </si>
  <si>
    <t>Description:</t>
  </si>
  <si>
    <t>https://www.dndbeyond.com/magic-items/efficient-quiver</t>
  </si>
  <si>
    <t>↪ Efficient Quiver, large compartment for bows, quarterstaffs, spears, etc.</t>
  </si>
  <si>
    <t>Inventory</t>
  </si>
  <si>
    <t>↪ Efficient Quiver, medium compartment for javelins, etc.</t>
  </si>
  <si>
    <t>Efficient Quiver, small compartment for arrows, bolts, etc</t>
  </si>
  <si>
    <t>https://www.dndbeyond.com/magic-items/bag-of-holding</t>
  </si>
  <si>
    <t>---</t>
  </si>
  <si>
    <t>https://www.dndbeyond.com/equipment/waterskin</t>
  </si>
  <si>
    <t>Bullets</t>
  </si>
  <si>
    <t>https://www.dndbeyond.com/equipment/vial</t>
  </si>
  <si>
    <t>Vial</t>
  </si>
  <si>
    <t>Arrows</t>
  </si>
  <si>
    <t>https://www.dndbeyond.com/equipment/saddlebags</t>
  </si>
  <si>
    <t>Saddlebags</t>
  </si>
  <si>
    <t>Water (pints)</t>
  </si>
  <si>
    <t>https://www.dndbeyond.com/equipment/sack</t>
  </si>
  <si>
    <t>Sack</t>
  </si>
  <si>
    <t>Rations (1 day)</t>
  </si>
  <si>
    <t>https://www.dndbeyond.com/equipment/quiver</t>
  </si>
  <si>
    <t>Quiver</t>
  </si>
  <si>
    <t>https://www.dndbeyond.com/equipment/pouch</t>
  </si>
  <si>
    <t>Pouch, blowgun needles</t>
  </si>
  <si>
    <t>Stock</t>
  </si>
  <si>
    <t>Pouch, sling bullets</t>
  </si>
  <si>
    <t>Total :</t>
  </si>
  <si>
    <t>gems  worth</t>
  </si>
  <si>
    <t>pp</t>
  </si>
  <si>
    <t>https://www.dndbeyond.com/equipment/pot-iron</t>
  </si>
  <si>
    <t>https://www.dndbeyond.com/equipment/jug-or-pitcher</t>
  </si>
  <si>
    <t>Jug or Pitcher</t>
  </si>
  <si>
    <t>ep</t>
  </si>
  <si>
    <t>https://www.dndbeyond.com/equipment/flask-or-tankard</t>
  </si>
  <si>
    <t>Flask or Tankard</t>
  </si>
  <si>
    <t>https://www.dndbeyond.com/equipment/chest</t>
  </si>
  <si>
    <t>https://www.dndbeyond.com/equipment/case-map-or-scroll</t>
  </si>
  <si>
    <t>Case, paper sheets</t>
  </si>
  <si>
    <t>Case, parchment rolls</t>
  </si>
  <si>
    <t>Magic Items</t>
  </si>
  <si>
    <t>Coin</t>
  </si>
  <si>
    <t>https://www.dndbeyond.com/equipment/case-crossbow-bolt</t>
  </si>
  <si>
    <t>Case, crossbow bolt</t>
  </si>
  <si>
    <t>https://www.dndbeyond.com/equipment/bucket</t>
  </si>
  <si>
    <t>https://www.dndbeyond.com/equipment/bottle-glass</t>
  </si>
  <si>
    <t>Bottle, glass</t>
  </si>
  <si>
    <t># of container rows to autofill</t>
  </si>
  <si>
    <t>Wgt</t>
  </si>
  <si>
    <t>Mt. Mny Wt</t>
  </si>
  <si>
    <t>Eq. Mny Wt</t>
  </si>
  <si>
    <t>https://www.dndbeyond.com/equipment/basket</t>
  </si>
  <si>
    <t>Encumbrance?</t>
  </si>
  <si>
    <t>https://www.dndbeyond.com/equipment/barrel</t>
  </si>
  <si>
    <t>Riding Mount?</t>
  </si>
  <si>
    <t>https://www.dndbeyond.com/equipment/backpack</t>
  </si>
  <si>
    <t>↪ Backpack - Strapped On Coiled Rope</t>
  </si>
  <si>
    <t>Mount:</t>
  </si>
  <si>
    <t>You:</t>
  </si>
  <si>
    <t>Total Mny Qty</t>
  </si>
  <si>
    <t>Total Money Wt</t>
  </si>
  <si>
    <t>↪ Backpack - Strapped On Bedroll</t>
  </si>
  <si>
    <t>Settings</t>
  </si>
  <si>
    <t>Info</t>
  </si>
  <si>
    <t>Total Weight Carried...............</t>
  </si>
  <si>
    <t>Extradim?</t>
  </si>
  <si>
    <t>Slots?</t>
  </si>
  <si>
    <t>Capacity</t>
  </si>
  <si>
    <t>Weight</t>
  </si>
  <si>
    <t>Link</t>
  </si>
  <si>
    <t>Containers</t>
  </si>
  <si>
    <t>Push, Drag, Lift Max ............</t>
  </si>
  <si>
    <t>Carrying Capacity ................</t>
  </si>
  <si>
    <t>Mount</t>
  </si>
  <si>
    <t>Heavily Encumbered ...........</t>
  </si>
  <si>
    <t>Stored Away</t>
  </si>
  <si>
    <t>Encumbered .........................</t>
  </si>
  <si>
    <t>Equipped</t>
  </si>
  <si>
    <t>Ex?</t>
  </si>
  <si>
    <t>Slots</t>
  </si>
  <si>
    <t>Location:</t>
  </si>
  <si>
    <t>Capacity:</t>
  </si>
  <si>
    <t>Type:</t>
  </si>
  <si>
    <t>Stock Total Wts</t>
  </si>
  <si>
    <t>Item Total Wts</t>
  </si>
  <si>
    <t>Cntnr Wt/Qts</t>
  </si>
  <si>
    <t>Mt. Item Wts</t>
  </si>
  <si>
    <t>Eq. Item Wts</t>
  </si>
  <si>
    <t>Mt. Stock Wts</t>
  </si>
  <si>
    <t>Eq. Stock Wts</t>
  </si>
  <si>
    <t>Total Gem Wts</t>
  </si>
  <si>
    <t>Total Coin Wts</t>
  </si>
  <si>
    <t>Mt. Mgc Itm Wt</t>
  </si>
  <si>
    <t>Eq. Mgc Itm Wt</t>
  </si>
  <si>
    <t>Locations</t>
  </si>
  <si>
    <t>Encumbrance</t>
  </si>
  <si>
    <t>Clear Skies</t>
  </si>
  <si>
    <t>No Wind</t>
  </si>
  <si>
    <t>Weather Hazard Reference</t>
  </si>
  <si>
    <t>No additional effects.</t>
  </si>
  <si>
    <t>Light Rain</t>
  </si>
  <si>
    <t>Disadvantage on ability checks to climb or scale objects and ability checks made to maintain balance or keep one’s footing.</t>
  </si>
  <si>
    <t>Light Snow</t>
  </si>
  <si>
    <t>The area becomes lightly obscured.
Advantage on Wisdom (Survival) checks to track creatures.</t>
  </si>
  <si>
    <t>Heavy Rain</t>
  </si>
  <si>
    <t>Disadvantage on ability checks made to climb or scale objects and ability checks made to maintain balance or keep one’s footing.
The area becomes lightly obscured.
Open flames are extinguished.
Disadvantage on Wisdom (Perception) checks relying on hearing or scent.
Disadvantage on Wisdom (Survival) checks to track creatures.
Advantage on Wisdom (Survival) checks to forage for water.</t>
  </si>
  <si>
    <t>Heavy Snow</t>
  </si>
  <si>
    <t>The area becomes lightly obscured.
Advantage on Wisdom (Survival) checks to track creatures.
The area becomes difficult terrain.
Wisdom (Survival) checks to forage for water automatically succeed.</t>
  </si>
  <si>
    <t>Low Winds</t>
  </si>
  <si>
    <t>Clears light fog, smoke, or fumes.</t>
  </si>
  <si>
    <t>High Winds</t>
  </si>
  <si>
    <t>Disadvantage on ranged weapon attacks.
Clears all fog, smoke, or fumes.
Extinguishes open flames.
Disadvantage on Wisdom (Perception) checks relying on hearing.
Medium and smaller creatures with a fly speed must return to the ground at the end of their turn, or fall. Creatures with a hover speed have their speed halved.</t>
  </si>
  <si>
    <t>The area becomes heavily obscured.
The area becomes difficult terrain. </t>
  </si>
  <si>
    <t>Extreme Heat</t>
  </si>
  <si>
    <t>Constitution save every hour, failure brings exhaustion.</t>
  </si>
  <si>
    <t>DC starts at 5 and increases by 1 every hour, or 2 if wearing medium or heavy armor.</t>
  </si>
  <si>
    <t>Insufficient water provokes disadvantage on this save.</t>
  </si>
  <si>
    <t>Resistance or immunity to fire damage, or being naturally adapted to hot-weather climates means automatic success.</t>
  </si>
  <si>
    <t>Extreme Cold</t>
  </si>
  <si>
    <t>DC 10 Constitution save every hour, failure brings exhaustion.</t>
  </si>
  <si>
    <t>Resistance or immunity to cold, is natural adaption to cold-weather climates, or cold-weather gear means automatic success.</t>
  </si>
  <si>
    <t>🌑</t>
  </si>
  <si>
    <t>New Moon</t>
  </si>
  <si>
    <t>No Roll</t>
  </si>
  <si>
    <t>🌒</t>
  </si>
  <si>
    <t>Waxing Crescent</t>
  </si>
  <si>
    <t>🌓</t>
  </si>
  <si>
    <t>Waxing Half</t>
  </si>
  <si>
    <t>19,20</t>
  </si>
  <si>
    <t>🌔</t>
  </si>
  <si>
    <t>Waxing</t>
  </si>
  <si>
    <t>18-20</t>
  </si>
  <si>
    <t>🌕</t>
  </si>
  <si>
    <t>Full Moon</t>
  </si>
  <si>
    <t>Peak Full</t>
  </si>
  <si>
    <t>🌖</t>
  </si>
  <si>
    <t>Waning Gibbous</t>
  </si>
  <si>
    <t>🌗</t>
  </si>
  <si>
    <t>Waning Half</t>
  </si>
  <si>
    <t>🌘</t>
  </si>
  <si>
    <t>Waning Crescent</t>
  </si>
  <si>
    <t>period</t>
  </si>
  <si>
    <t>%</t>
  </si>
  <si>
    <t>Roll</t>
  </si>
  <si>
    <t>MOON</t>
  </si>
  <si>
    <t>Royal Family 1-5</t>
  </si>
  <si>
    <t>https://cyborgsandmages.wordpress.com/</t>
  </si>
  <si>
    <t>Rakasta Tiger Riders (Chain, Swords):</t>
  </si>
  <si>
    <t>Rakasta Battle Dancers (Leather, Swords):</t>
  </si>
  <si>
    <t>Troll:</t>
  </si>
  <si>
    <t>Ogre (Club):</t>
  </si>
  <si>
    <t>Lizard Man Crocodile Rider (Spear):</t>
  </si>
  <si>
    <t>Hill Giant:</t>
  </si>
  <si>
    <t>Harpy:</t>
  </si>
  <si>
    <t>Griffon Rider (Plate, Lance, Mace):</t>
  </si>
  <si>
    <t>Elite Cavalry (Heavy Horse, Plate, Lance, Sword):</t>
  </si>
  <si>
    <t>Elite Elven Archer (Chain, Longbows):</t>
  </si>
  <si>
    <t>Elite Halfling Slinger (Leather, Sling+1):</t>
  </si>
  <si>
    <t>Dwarven Defender (Plate, Shield, Axe):</t>
  </si>
  <si>
    <t>Bugbear (Morning Star):</t>
  </si>
  <si>
    <t>GP / MONTH</t>
  </si>
  <si>
    <t>HIRELING</t>
  </si>
  <si>
    <t>ELITE MERCENARIES AND COST IN GP/MONTH</t>
  </si>
  <si>
    <t>Lizard Man Raider (Spear):</t>
  </si>
  <si>
    <t>ARCHMAGE</t>
  </si>
  <si>
    <t>Gnoll Archer (Chain, Longbows):</t>
  </si>
  <si>
    <t>Gnoll Raider (Chain, Flails):</t>
  </si>
  <si>
    <t>Topography &amp; Cartography</t>
  </si>
  <si>
    <t>Orc Crossbowman (Chain, Heavy X-bow)</t>
  </si>
  <si>
    <t>Physics</t>
  </si>
  <si>
    <t>Orc Archer (Leather, Shortbows):</t>
  </si>
  <si>
    <t>Oceanography</t>
  </si>
  <si>
    <t>Reptiles</t>
  </si>
  <si>
    <t>Secular World</t>
  </si>
  <si>
    <t>Orc Raider (Chain, Shield, Sword):</t>
  </si>
  <si>
    <t>Meteorology &amp; Climatology</t>
  </si>
  <si>
    <t>Marsupials</t>
  </si>
  <si>
    <t>Orc Infantry (Leather, Scimitar):</t>
  </si>
  <si>
    <t>Mathematics</t>
  </si>
  <si>
    <t>Planes (Inner)</t>
  </si>
  <si>
    <t>Mammals</t>
  </si>
  <si>
    <t>Weeds</t>
  </si>
  <si>
    <t>Supernatural</t>
  </si>
  <si>
    <t>MAGE</t>
  </si>
  <si>
    <t>Goblin Wolf Rider (Leather, Spear):</t>
  </si>
  <si>
    <t>Geology &amp; Mineralogy</t>
  </si>
  <si>
    <t>Planes (Outer)</t>
  </si>
  <si>
    <t>Insects</t>
  </si>
  <si>
    <t>Trees</t>
  </si>
  <si>
    <t>Goblin Archer (Leather, Shortbow):</t>
  </si>
  <si>
    <t>Geography</t>
  </si>
  <si>
    <t>Ichthyoids</t>
  </si>
  <si>
    <t>Mosses and Ferns</t>
  </si>
  <si>
    <t>Fauna</t>
  </si>
  <si>
    <t>Goblin Skirmisher (Leather, Knife): .</t>
  </si>
  <si>
    <t>Chemistry</t>
  </si>
  <si>
    <t>Heraldry, Signs &amp; Sigils</t>
  </si>
  <si>
    <t>Crustaceans &amp; Mollusks</t>
  </si>
  <si>
    <t>Herbs</t>
  </si>
  <si>
    <t>Flora</t>
  </si>
  <si>
    <t>KNIGHT</t>
  </si>
  <si>
    <t>Hobgoblin Heavy Infantry (Plate, Shield, Axe)</t>
  </si>
  <si>
    <t>Business and Economics</t>
  </si>
  <si>
    <t>Dweomercraft</t>
  </si>
  <si>
    <t>Cephalopods &amp; Echinoderms</t>
  </si>
  <si>
    <t>Grasses and Grains</t>
  </si>
  <si>
    <t>Humanoids</t>
  </si>
  <si>
    <t>BERSERKER</t>
  </si>
  <si>
    <t>Hobgoblin Infantry (Chain, Sword):</t>
  </si>
  <si>
    <t>Astronomy</t>
  </si>
  <si>
    <t>Avians</t>
  </si>
  <si>
    <t>Fungi</t>
  </si>
  <si>
    <t>Humans/Demi-humans</t>
  </si>
  <si>
    <t>SOLDIER</t>
  </si>
  <si>
    <t>Dwarf Cranequinier (Mule, Chain, Light X-bow):</t>
  </si>
  <si>
    <t>Engineering &amp; Architecture</t>
  </si>
  <si>
    <t>Arachnids</t>
  </si>
  <si>
    <t>Flowers</t>
  </si>
  <si>
    <t>SCOUT</t>
  </si>
  <si>
    <t>1/4 and 1/2</t>
  </si>
  <si>
    <t>Dwarven Heavy Crossbow (Chain, Heavy X-bow):</t>
  </si>
  <si>
    <t>Alchemy</t>
  </si>
  <si>
    <t>Amphibians</t>
  </si>
  <si>
    <t>Bushes &amp; Shrubs</t>
  </si>
  <si>
    <t>GUARD</t>
  </si>
  <si>
    <t>Dwarf Infantry (Chain, Axe):</t>
  </si>
  <si>
    <t>d12</t>
  </si>
  <si>
    <t>d8</t>
  </si>
  <si>
    <t>d10</t>
  </si>
  <si>
    <t>Field of Lore</t>
  </si>
  <si>
    <t>GP / DAY</t>
  </si>
  <si>
    <t>Challenge        </t>
  </si>
  <si>
    <t>Elven Mounted Bowmen (Leather Shortbow):</t>
  </si>
  <si>
    <t>Elven Light Horse (Leather, Lance):</t>
  </si>
  <si>
    <t>Elf Archer (Leather, Longbow):</t>
  </si>
  <si>
    <t>Elf Medium Infantry (Chain, Sword):</t>
  </si>
  <si>
    <t>per mission</t>
  </si>
  <si>
    <t>Spies</t>
  </si>
  <si>
    <t>Elf Light Foot (Leather, Sword):</t>
  </si>
  <si>
    <t>Smith, Assistant:</t>
  </si>
  <si>
    <t>Halfling Slingers (Leather, Short Sword, Sling):</t>
  </si>
  <si>
    <t>Seneschal</t>
  </si>
  <si>
    <t>Halfling Light Foot (Leather, Sword):</t>
  </si>
  <si>
    <t>Navigator</t>
  </si>
  <si>
    <t>Seamen</t>
  </si>
  <si>
    <t>Mounted Bowman (Leather, Shortbow):</t>
  </si>
  <si>
    <t>Heavy Horseman (Plate, Sword, Lance):</t>
  </si>
  <si>
    <t>Medium Horseman (Chain, Lance):</t>
  </si>
  <si>
    <t>Rower</t>
  </si>
  <si>
    <t>Light Horseman (Leather, Lance):</t>
  </si>
  <si>
    <t>Major Specialization</t>
  </si>
  <si>
    <t>Longbowman (Chain, Longbow and Sword):</t>
  </si>
  <si>
    <t>Minor Expertise</t>
  </si>
  <si>
    <t>apprentice</t>
  </si>
  <si>
    <t>Miner</t>
  </si>
  <si>
    <t>Crossbowman (Chain, Heavy X-bow):</t>
  </si>
  <si>
    <t>2d6 roll</t>
  </si>
  <si>
    <t>expert</t>
  </si>
  <si>
    <t>Archer (Leather, Shortbow, Sword):</t>
  </si>
  <si>
    <t>master</t>
  </si>
  <si>
    <t>Heavy Foot (Chain, Shield, Sword):</t>
  </si>
  <si>
    <t>Attraction</t>
  </si>
  <si>
    <t>26+</t>
  </si>
  <si>
    <t>Gem-cutter (</t>
  </si>
  <si>
    <t>Light Foot (Leather, Shield, Sword):</t>
  </si>
  <si>
    <t>Specialization</t>
  </si>
  <si>
    <t>Like</t>
  </si>
  <si>
    <t>16-25</t>
  </si>
  <si>
    <t>Engineer</t>
  </si>
  <si>
    <t>100/lvl</t>
  </si>
  <si>
    <r>
      <t>Captain 4</t>
    </r>
    <r>
      <rPr>
        <i/>
        <vertAlign val="superscript"/>
        <sz val="11"/>
        <color rgb="FF000000"/>
        <rFont val="Arial"/>
        <family val="2"/>
        <charset val="204"/>
      </rPr>
      <t>th</t>
    </r>
    <r>
      <rPr>
        <i/>
        <sz val="11"/>
        <color rgb="FF000000"/>
        <rFont val="Arial"/>
        <family val="2"/>
        <charset val="204"/>
      </rPr>
      <t xml:space="preserve"> to 6</t>
    </r>
    <r>
      <rPr>
        <i/>
        <vertAlign val="superscript"/>
        <sz val="11"/>
        <color rgb="FF000000"/>
        <rFont val="Arial"/>
        <family val="2"/>
        <charset val="204"/>
      </rPr>
      <t>th</t>
    </r>
    <r>
      <rPr>
        <i/>
        <sz val="11"/>
        <color rgb="FF000000"/>
        <rFont val="Arial"/>
        <family val="2"/>
        <charset val="204"/>
      </rPr>
      <t xml:space="preserve"> level (required per 100 men):</t>
    </r>
  </si>
  <si>
    <t>Major expertise</t>
  </si>
  <si>
    <t>—</t>
  </si>
  <si>
    <t>11-15</t>
  </si>
  <si>
    <t>Animal Trainer</t>
  </si>
  <si>
    <r>
      <t>Lieutenant 2</t>
    </r>
    <r>
      <rPr>
        <i/>
        <vertAlign val="superscript"/>
        <sz val="11"/>
        <color rgb="FF000000"/>
        <rFont val="Arial"/>
        <family val="2"/>
        <charset val="204"/>
      </rPr>
      <t>nd</t>
    </r>
    <r>
      <rPr>
        <i/>
        <sz val="11"/>
        <color rgb="FF000000"/>
        <rFont val="Arial"/>
        <family val="2"/>
        <charset val="204"/>
      </rPr>
      <t xml:space="preserve"> to 3</t>
    </r>
    <r>
      <rPr>
        <i/>
        <vertAlign val="superscript"/>
        <sz val="11"/>
        <color rgb="FF000000"/>
        <rFont val="Arial"/>
        <family val="2"/>
        <charset val="204"/>
      </rPr>
      <t>rd</t>
    </r>
    <r>
      <rPr>
        <i/>
        <sz val="11"/>
        <color rgb="FF000000"/>
        <rFont val="Arial"/>
        <family val="2"/>
        <charset val="204"/>
      </rPr>
      <t xml:space="preserve"> level (required per 30 men):</t>
    </r>
  </si>
  <si>
    <t>Minor expertise</t>
  </si>
  <si>
    <t>Dislike</t>
  </si>
  <si>
    <t>6-10</t>
  </si>
  <si>
    <t>Armorer/Blacksmith</t>
  </si>
  <si>
    <r>
      <t xml:space="preserve">10 </t>
    </r>
    <r>
      <rPr>
        <i/>
        <vertAlign val="superscript"/>
        <sz val="11"/>
        <color rgb="FF000000"/>
        <rFont val="Arial"/>
        <family val="2"/>
        <charset val="204"/>
      </rPr>
      <t xml:space="preserve">x </t>
    </r>
    <r>
      <rPr>
        <i/>
        <sz val="11"/>
        <color rgb="FF000000"/>
        <rFont val="Arial"/>
        <family val="2"/>
        <charset val="204"/>
      </rPr>
      <t>cost of troops</t>
    </r>
  </si>
  <si>
    <t>Sergeant (required per 10 men):</t>
  </si>
  <si>
    <t>Out of fields of expertise</t>
  </si>
  <si>
    <t>Aversion</t>
  </si>
  <si>
    <r>
      <t>&lt;</t>
    </r>
    <r>
      <rPr>
        <sz val="11"/>
        <color rgb="FF000000"/>
        <rFont val="Arial"/>
        <family val="2"/>
        <charset val="204"/>
      </rPr>
      <t>5</t>
    </r>
  </si>
  <si>
    <t>1</t>
  </si>
  <si>
    <t>Non-fighter (peasant):</t>
  </si>
  <si>
    <t>Exacting</t>
  </si>
  <si>
    <t>Specific</t>
  </si>
  <si>
    <t>General</t>
  </si>
  <si>
    <t>Price Modifier</t>
  </si>
  <si>
    <t>Check</t>
  </si>
  <si>
    <t>Стовпець3</t>
  </si>
  <si>
    <t>Стовпець2</t>
  </si>
  <si>
    <t>MERCENARIES AND COST IN GP/MONTH</t>
  </si>
  <si>
    <t>Firm</t>
  </si>
  <si>
    <t>Sweeping</t>
  </si>
  <si>
    <t>Ending(s)</t>
  </si>
  <si>
    <t>Brilliant</t>
  </si>
  <si>
    <t>Discovered</t>
  </si>
  <si>
    <t>Academy of the</t>
  </si>
  <si>
    <t>Ready</t>
  </si>
  <si>
    <t>Whirling</t>
  </si>
  <si>
    <t>Hand(s)</t>
  </si>
  <si>
    <t>[MONSTER]</t>
  </si>
  <si>
    <t>Drunken</t>
  </si>
  <si>
    <t>School of the</t>
  </si>
  <si>
    <t>Rigid</t>
  </si>
  <si>
    <t>Nimble</t>
  </si>
  <si>
    <t>Hammer(s)</t>
  </si>
  <si>
    <t>[BEAST]</t>
  </si>
  <si>
    <t>Dark</t>
  </si>
  <si>
    <t>Order of the</t>
  </si>
  <si>
    <t>Fluid</t>
  </si>
  <si>
    <t>Powerful</t>
  </si>
  <si>
    <t>Shield(s)</t>
  </si>
  <si>
    <t>Correct</t>
  </si>
  <si>
    <t>Bloody</t>
  </si>
  <si>
    <t>Manual of the</t>
  </si>
  <si>
    <t>Help</t>
  </si>
  <si>
    <t>Evasive</t>
  </si>
  <si>
    <t>Swift</t>
  </si>
  <si>
    <t>Death(s)</t>
  </si>
  <si>
    <t>Stone</t>
  </si>
  <si>
    <t>Predatory</t>
  </si>
  <si>
    <t>Army of the</t>
  </si>
  <si>
    <t>Dodge</t>
  </si>
  <si>
    <t>Silent</t>
  </si>
  <si>
    <t>Question(s)</t>
  </si>
  <si>
    <t>Brigand</t>
  </si>
  <si>
    <t>Lost</t>
  </si>
  <si>
    <t>Way of the</t>
  </si>
  <si>
    <t>Perpendicular</t>
  </si>
  <si>
    <t>Brutal</t>
  </si>
  <si>
    <t>Method(s)</t>
  </si>
  <si>
    <t>River</t>
  </si>
  <si>
    <t>Once</t>
  </si>
  <si>
    <t>Hypnotic</t>
  </si>
  <si>
    <t>Smashing</t>
  </si>
  <si>
    <t>Science(s)</t>
  </si>
  <si>
    <t>Mistakenly</t>
  </si>
  <si>
    <t>System of the</t>
  </si>
  <si>
    <t>Climb</t>
  </si>
  <si>
    <t>Rushing</t>
  </si>
  <si>
    <t>Precise</t>
  </si>
  <si>
    <t>Technique(s)</t>
  </si>
  <si>
    <t>Heart</t>
  </si>
  <si>
    <t>Half</t>
  </si>
  <si>
    <t>Answer to the</t>
  </si>
  <si>
    <t>Shoving</t>
  </si>
  <si>
    <t>Linear</t>
  </si>
  <si>
    <t>Quick</t>
  </si>
  <si>
    <t>Manuever(s)</t>
  </si>
  <si>
    <t>Breath</t>
  </si>
  <si>
    <t>Utterly</t>
  </si>
  <si>
    <t>Opponents of the</t>
  </si>
  <si>
    <t>an unpuffed dried saffron is worth 2d20 gp</t>
  </si>
  <si>
    <t>0 (0)</t>
  </si>
  <si>
    <t>Percept 12</t>
  </si>
  <si>
    <t>vulnerable to everything</t>
  </si>
  <si>
    <t>suicidal puff of hallucinogens (DC 15), dies after puffing to save it's flower-bed-mates</t>
  </si>
  <si>
    <t>1d4 (2)</t>
  </si>
  <si>
    <t>Day: 1d8, Night: 0</t>
  </si>
  <si>
    <t>The precious sniffing saffron is cultivated around Puerto Safran and used as a spice by many wizards, particularly diviners and necromancers, to increase the potency of their spells—or so they say. It is also used as an inebriant. The wild version is sometimes more potent, if exposed to Vulcana's wiles, and actually boosts caster level by +1d4. Wis vs. DC 12 to avoid hallucinations (act as confusion)</t>
  </si>
  <si>
    <t>tiny</t>
  </si>
  <si>
    <t>Vulcana's Sniffing Saffron</t>
  </si>
  <si>
    <t>Flamboyant</t>
  </si>
  <si>
    <t>Methodical</t>
  </si>
  <si>
    <t>Strike(s)</t>
  </si>
  <si>
    <t>Ancient</t>
  </si>
  <si>
    <t>Damned</t>
  </si>
  <si>
    <t>Children of the</t>
  </si>
  <si>
    <t>a few worn pieces of jewelry embedded in the tree's branches and roots</t>
  </si>
  <si>
    <t>2 (450)</t>
  </si>
  <si>
    <t>Percept 10</t>
  </si>
  <si>
    <t>vulnerable fire, resistant piercing, bludgeoning</t>
  </si>
  <si>
    <t>bodily fluid stealing roots: +6 piercing 3d6 + 4, reach 10'</t>
  </si>
  <si>
    <t>7d12+14 (59)</t>
  </si>
  <si>
    <t>Day: 1, Night: 2d4</t>
  </si>
  <si>
    <t>Trees are rare in the Yellowland velds because the Yellowlanders cut them down religiously in the wild, trusting only those they plant themselves and consecrate to the Green god. The native red-leaves are said to be inspired by fiery Vulcana to seek water and life fluids from the walking creatures, gone mad in their desire to keep the Yellow Goddess alone for Vulcana in her land. They move only at night, creeping stealthily and striking with aerial tap roots to drain the vital bodily fluids of living creatures.</t>
  </si>
  <si>
    <t>huge</t>
  </si>
  <si>
    <t>Creeping Tree</t>
  </si>
  <si>
    <t>blissful (+4)</t>
  </si>
  <si>
    <t>24+</t>
  </si>
  <si>
    <t>Laugh(s)</t>
  </si>
  <si>
    <t>Scholastic</t>
  </si>
  <si>
    <t>Holy</t>
  </si>
  <si>
    <t>Practioners of the</t>
  </si>
  <si>
    <t>nil</t>
  </si>
  <si>
    <t>0 (10)</t>
  </si>
  <si>
    <t>ulnerable fire, resistant piercing</t>
  </si>
  <si>
    <t>waterdrinking root: +1 piercing 1d4 - 1</t>
  </si>
  <si>
    <t>3d6 (10)</t>
  </si>
  <si>
    <t>Day: 1–2, Night: 5d12</t>
  </si>
  <si>
    <t>Yellowlanders say the tumbling weeds are awakened by Vulcana's scheming distrust of the Yellow Goddess. During the day they tumble harmlessly, but at night they congregate in large numbers to subdue weakened animals—or humans. They are said to drink water from their victims with bladed root appendages.</t>
  </si>
  <si>
    <t>small</t>
  </si>
  <si>
    <t>Tumbling Weeds</t>
  </si>
  <si>
    <t>a lookout point, the (2d4: 2 top of an abandoned and cracked monolith, 3 crown of a tangled growth of dessicated plants, 4 windswept hilltop, 5 panoramic concealed outcrop, 6 the top of a small mesa, 7 a flat shelf on a cliff face, 8 brow of a giant bone)</t>
  </si>
  <si>
    <t>serene (+2)</t>
  </si>
  <si>
    <t>21–23</t>
  </si>
  <si>
    <t>Spinning</t>
  </si>
  <si>
    <t>Graceful</t>
  </si>
  <si>
    <t>Whisper(s)</t>
  </si>
  <si>
    <t>Unyielding</t>
  </si>
  <si>
    <t>Geometrical</t>
  </si>
  <si>
    <t>Disciples of the</t>
  </si>
  <si>
    <t>each shooting cactus has 2d20 ripe soporiffic pears, each of which is worth 1d10 gp to tequila makers in towns and inns</t>
  </si>
  <si>
    <t>1/2 (100)</t>
  </si>
  <si>
    <t>Perception 13</t>
  </si>
  <si>
    <t>Keen tremorsense, has advantage on perception checks against walking targets. Prickly skin: deals 1d4 damage to anyone who attacks it in melee.</t>
  </si>
  <si>
    <t>Multiattack: the pricklier pear makes two ranged attacks (lobbed pear +2 piercing 1d4, burst 5, Con vs. DC 10 or knocked unconscious) or two prickly clubbing melee attacks (+3 bludgeoning 1d6 + 2).</t>
  </si>
  <si>
    <t>3d10 + 6 (22)</t>
  </si>
  <si>
    <t>Day: 1d8, Night: 1d2</t>
  </si>
  <si>
    <t>A pricklier pear cactus, imbued by Vulcana's suspicious possessiveness of the Yellow Goddess, it shoots soporiffic spiked pears at creatures that approach it. Once they are knocked out, it creeps up to them and slowly drains their vital bodily fluids.</t>
  </si>
  <si>
    <t>large</t>
  </si>
  <si>
    <t>Shooting Cactus</t>
  </si>
  <si>
    <t>fantastic shelter, saves at advantage and soothing, +1 hp regained per HD</t>
  </si>
  <si>
    <t>a feast (1d6: 1 veldt gazelle, 2 yellow cabbage, 3 fish, 4 eggs, 5 fruit, 6 lost tins of spam), enough to replenish rations right here!</t>
  </si>
  <si>
    <t>mineral water, +1 hp regained per HD</t>
  </si>
  <si>
    <t>7+</t>
  </si>
  <si>
    <t>a cave or hole (2d4: 2 a cracked egg-like structure half buried, 3 an abandoned mine shaft, 4 a natural wind canyon, 5 a cleft in a hill, 6 a dry spring, 7 a crater, 8 a rusted metal vault)</t>
  </si>
  <si>
    <t>very safe (+1)</t>
  </si>
  <si>
    <t>18–20</t>
  </si>
  <si>
    <t>Grappling</t>
  </si>
  <si>
    <t>Leaping</t>
  </si>
  <si>
    <t>Rapid-fire</t>
  </si>
  <si>
    <t>Secret(s)</t>
  </si>
  <si>
    <t>Hidden</t>
  </si>
  <si>
    <t>Unbreakable</t>
  </si>
  <si>
    <t>Sisterhood of the</t>
  </si>
  <si>
    <t>2d20 silvers each, hunting equipment, 10% chance of a map</t>
  </si>
  <si>
    <t>Nature +4, Perception 15, Stealth +6, Survival +6</t>
  </si>
  <si>
    <t>Keen hearing and sight</t>
  </si>
  <si>
    <t>Multiattack: two melee or ranged attacks. Longbow: +4 piercing 1d8 + 2, range 150/600. Axe: +2 slashing 1d8. Dagger: +4 piercing 1d4 + 2, range 20/60</t>
  </si>
  <si>
    <t>3d8 + 3 (16)</t>
  </si>
  <si>
    <t>Day: 1d2, Night: 1d6 (camp)</t>
  </si>
  <si>
    <t>The Yellowlands teem with gazelles, antelope and stripe-horses, which the local hunters will, well, hunt. They are also skilled trackers.</t>
  </si>
  <si>
    <t>medium</t>
  </si>
  <si>
    <t>Yellowlander Hunters</t>
  </si>
  <si>
    <t>good shelter, in bad weather, saves are at an advantage</t>
  </si>
  <si>
    <t>good food (1d6: 1 veldt rats or rabbits, 2 nuts, 3 berries, 4 succulent tubers, 5 sweetmeat grubs, 6 frogs)</t>
  </si>
  <si>
    <t>good water</t>
  </si>
  <si>
    <t>5–6</t>
  </si>
  <si>
    <t>a water source (2d4: 2 an old pumping station, 3 a secluded gorge and pool, 4 a muddy creek, 5 a herdsman cistern, 6 an animal watering hole, 7 a fine well, 8 a deep cenote with a spiralling staircase)</t>
  </si>
  <si>
    <t>safe (-)</t>
  </si>
  <si>
    <t>11–17</t>
  </si>
  <si>
    <t>Minimal</t>
  </si>
  <si>
    <t>Furious</t>
  </si>
  <si>
    <t>Touch(es)</t>
  </si>
  <si>
    <t>Everlasting</t>
  </si>
  <si>
    <t>Nine</t>
  </si>
  <si>
    <t>Brotherhood of the</t>
  </si>
  <si>
    <t>2d100 gp, potion of healing, saffron pouch worth 1d100 gp</t>
  </si>
  <si>
    <t>Perception 10</t>
  </si>
  <si>
    <t>Saves Str +5, Dex +5, Wis +2.</t>
  </si>
  <si>
    <t>Multiattack: three melee attacks, two with axe (+5 slashing 1d8 + 3) and one with dagger (+5 piercing 1d4 + 3, range 20/60). Bow: +5 piercing 1d6 + 3, range 60/120.</t>
  </si>
  <si>
    <t>10d8 + 20 (65)</t>
  </si>
  <si>
    <t>A larger group of herders will be accompanied by a herdmaster, generally the most experienced warrior and herder of their clan. Each herdmaster is accompanied by 3d10 herders, 5d20 additional cows and 2d6 additional commoners. Herdmaster names: Don Jusco de Velder, Dona Pinta la Guapa, Don Brasco el Viejo, Dona Nuna de la Nina</t>
  </si>
  <si>
    <t>Yellowlander Herdmaster</t>
  </si>
  <si>
    <t>poor shelter, but passable</t>
  </si>
  <si>
    <t>poor food (1d6: 1 lost dried rations, 2 tubers, 3 bugs, 4 semi-edible nuts, 5 cacti, 6 lichen)</t>
  </si>
  <si>
    <t>bad water</t>
  </si>
  <si>
    <t>3–4</t>
  </si>
  <si>
    <t>an abandoned dwelling of (2d4: 2 fine marble, 3 granite blocks, 4 rough sandstone, 5 bleached planks, 6 adobe, 7 woven thorn and branches, 8 porcelain)</t>
  </si>
  <si>
    <t>unsafe (-1)</t>
  </si>
  <si>
    <t>6–10</t>
  </si>
  <si>
    <t>Flowing</t>
  </si>
  <si>
    <t>Dance(s)</t>
  </si>
  <si>
    <t>Enlightened</t>
  </si>
  <si>
    <t>Universal</t>
  </si>
  <si>
    <t>Students of the</t>
  </si>
  <si>
    <t>1d10 silvers each, herding equipment</t>
  </si>
  <si>
    <t>1/8 (25)</t>
  </si>
  <si>
    <t>Perception 12</t>
  </si>
  <si>
    <t>Pack Tactics: advantage if at least one ally is attacking same target</t>
  </si>
  <si>
    <t>Bow: +3 piercing 1d6+1, range 60/120. Axe: +3 slashing 1d8+1. Burning oil: +3 fire 2d6, range 20/60, burst 5</t>
  </si>
  <si>
    <t>2d8 + 2 (11)</t>
  </si>
  <si>
    <t>Day: 1d4, Night: 2d8 (camp)</t>
  </si>
  <si>
    <t>The armed herders of the Veld always carry axes and flammable oil, in addition to their bows, to scare away Vulcana's evil vegetation. Each herder has 3d20 cows and 1d6 commoners.</t>
  </si>
  <si>
    <t>Yellowlander Herders</t>
  </si>
  <si>
    <t>no shelter</t>
  </si>
  <si>
    <t>no food</t>
  </si>
  <si>
    <t>no water</t>
  </si>
  <si>
    <t>1–2</t>
  </si>
  <si>
    <t>a copse of trees (2d4*), they are (2d4: 2 dragon trees, 3 baobabs, 4 acacias, 5 palms, 6 saguaros, 7 flame trees, 8 ebony)</t>
  </si>
  <si>
    <t>dangerous (-2)</t>
  </si>
  <si>
    <t>2–5</t>
  </si>
  <si>
    <t>Staccato</t>
  </si>
  <si>
    <t>Calculated</t>
  </si>
  <si>
    <t>Path(s)</t>
  </si>
  <si>
    <t>Three</t>
  </si>
  <si>
    <t>1d10 coppers each</t>
  </si>
  <si>
    <t>Sling: +2 bludgeoning 1d4. Hand axe: +2 slashing 1d6.</t>
  </si>
  <si>
    <t>1d8 (4)</t>
  </si>
  <si>
    <t>Day: 1d6, Night: in camp with herders.</t>
  </si>
  <si>
    <t>Rarely encountered alone, the commoners of the Yellowlander pastoralists are hardy folk, ready to spring to action against the many dangers of the Veld.</t>
  </si>
  <si>
    <t>medium or small</t>
  </si>
  <si>
    <t>Yellowlander Commoners</t>
  </si>
  <si>
    <t>treacherous, in bad weather saves are at a disadvantage</t>
  </si>
  <si>
    <t>poisonous or diseased foods (1d6: 1 berries, 2 grubs, 3 rats, 4 locusts, 5 roots, 6 nuts)</t>
  </si>
  <si>
    <t>poisonous or disease-bearing water</t>
  </si>
  <si>
    <t>0 or less</t>
  </si>
  <si>
    <t>ancient standing stones (2d4*) of (2d4: 2 jade, 3 marble, 4 sandstone, 5 granite, 6 basalt, 7 obsidian, 8 quartz)</t>
  </si>
  <si>
    <t>very dangerous (-4)</t>
  </si>
  <si>
    <t>1 or less</t>
  </si>
  <si>
    <t>Dash</t>
  </si>
  <si>
    <t>Dancing</t>
  </si>
  <si>
    <t>Savage</t>
  </si>
  <si>
    <t>Master(s)</t>
  </si>
  <si>
    <t>Golden</t>
  </si>
  <si>
    <t>Six</t>
  </si>
  <si>
    <t>Masters of the</t>
  </si>
  <si>
    <t>Treasure</t>
  </si>
  <si>
    <t>Traits</t>
  </si>
  <si>
    <t>Actions</t>
  </si>
  <si>
    <t>Number</t>
  </si>
  <si>
    <t>Detail</t>
  </si>
  <si>
    <t>Encounter</t>
  </si>
  <si>
    <t>Shelter</t>
  </si>
  <si>
    <t>Food</t>
  </si>
  <si>
    <t>d6 + Safety (once for each)</t>
  </si>
  <si>
    <t>d6</t>
  </si>
  <si>
    <t>Safety</t>
  </si>
  <si>
    <t>Survival (d20)</t>
  </si>
  <si>
    <t>Strategic</t>
  </si>
  <si>
    <t>Flashy</t>
  </si>
  <si>
    <t>Blade(s)</t>
  </si>
  <si>
    <t>Adamantine</t>
  </si>
  <si>
    <t>Dozen</t>
  </si>
  <si>
    <t>Cyclical</t>
  </si>
  <si>
    <t>Subtle</t>
  </si>
  <si>
    <t>Truth(s)</t>
  </si>
  <si>
    <t>Broken</t>
  </si>
  <si>
    <t>Hundred</t>
  </si>
  <si>
    <t>Джерело: &lt;http://cauldronsandclerics.blogspot.com/search/label/D%26D5E&gt;</t>
  </si>
  <si>
    <t>Джерело: &lt;http://cauldronsandclerics.blogspot.com/2014/12/campsites-table-where-do-your-pcs-rest.html&gt;</t>
  </si>
  <si>
    <t>Favored Combat Action</t>
  </si>
  <si>
    <t>Footwork</t>
  </si>
  <si>
    <t>Adjective</t>
  </si>
  <si>
    <t>d20</t>
  </si>
  <si>
    <t>Name Element 4</t>
  </si>
  <si>
    <t>Name Element 3</t>
  </si>
  <si>
    <t>Name Element 2</t>
  </si>
  <si>
    <t>Name Element 1</t>
  </si>
  <si>
    <t>3'x4'</t>
  </si>
  <si>
    <t>200 gp</t>
  </si>
  <si>
    <t>Window, Glass</t>
  </si>
  <si>
    <t>20 gp</t>
  </si>
  <si>
    <t>Window, Bars</t>
  </si>
  <si>
    <t>15 gp</t>
  </si>
  <si>
    <t>Window, Shutters</t>
  </si>
  <si>
    <t>Window, Open</t>
  </si>
  <si>
    <t>Lucky*</t>
  </si>
  <si>
    <t>99-100</t>
  </si>
  <si>
    <t>10'x10'x1'</t>
  </si>
  <si>
    <t>2,000 gp</t>
  </si>
  <si>
    <t>Roofing/Floor, Marble</t>
  </si>
  <si>
    <t>Ill-Fortuned*</t>
  </si>
  <si>
    <t>97-98</t>
  </si>
  <si>
    <t>Stone Flagstone/Tile</t>
  </si>
  <si>
    <t>60' base, 90' high</t>
  </si>
  <si>
    <t>75,000 gp</t>
  </si>
  <si>
    <t>Square keep</t>
  </si>
  <si>
    <t>Superior Weapon Placement</t>
  </si>
  <si>
    <t>93-96</t>
  </si>
  <si>
    <t>10'x10'x1"</t>
  </si>
  <si>
    <t>100 gp</t>
  </si>
  <si>
    <t>Roofing/Floor,</t>
  </si>
  <si>
    <t>30' base, 45' high</t>
  </si>
  <si>
    <t>30,000 gp</t>
  </si>
  <si>
    <t>Round Tower</t>
  </si>
  <si>
    <t>Bad Weapon Placement</t>
  </si>
  <si>
    <t>89-92</t>
  </si>
  <si>
    <t>40 gp</t>
  </si>
  <si>
    <t>Roofing/Floor, Fine Wood</t>
  </si>
  <si>
    <t>20' base, 30' high</t>
  </si>
  <si>
    <t>15,000 gp</t>
  </si>
  <si>
    <t>Superior Field of Fire</t>
  </si>
  <si>
    <t>85-88</t>
  </si>
  <si>
    <t>Camouflaged</t>
  </si>
  <si>
    <t>97-100</t>
  </si>
  <si>
    <r>
      <t>3'x4</t>
    </r>
    <r>
      <rPr>
        <vertAlign val="superscript"/>
        <sz val="11"/>
        <color rgb="FF000000"/>
        <rFont val="Arial"/>
        <family val="2"/>
        <charset val="204"/>
      </rPr>
      <t>z</t>
    </r>
  </si>
  <si>
    <t>x2</t>
  </si>
  <si>
    <t>Door, Trap</t>
  </si>
  <si>
    <t>40'x80'x45'</t>
  </si>
  <si>
    <t>3,500 gp</t>
  </si>
  <si>
    <t>Wooden Building, Grand</t>
  </si>
  <si>
    <t>Poor Field of Fire</t>
  </si>
  <si>
    <t>81-84</t>
  </si>
  <si>
    <t>Wind Vulnerability</t>
  </si>
  <si>
    <t>3'x7'</t>
  </si>
  <si>
    <t>x5</t>
  </si>
  <si>
    <t>Door, Secret</t>
  </si>
  <si>
    <t>20'x40'x30'</t>
  </si>
  <si>
    <t>1,500 gp</t>
  </si>
  <si>
    <t>Wooden Building, Great</t>
  </si>
  <si>
    <t>Sturdy Ram</t>
  </si>
  <si>
    <t>77-80</t>
  </si>
  <si>
    <t>Superior Artillery Placement</t>
  </si>
  <si>
    <t>50 gp</t>
  </si>
  <si>
    <t>Door Stone</t>
  </si>
  <si>
    <t>20'x40'x15'</t>
  </si>
  <si>
    <t>750 gp</t>
  </si>
  <si>
    <t>Wooden Building, Medium</t>
  </si>
  <si>
    <t>Loose Ram*</t>
  </si>
  <si>
    <t>73-76</t>
  </si>
  <si>
    <t>Bad Artillery Placement</t>
  </si>
  <si>
    <t>83-87</t>
  </si>
  <si>
    <t>Door, Sturdy</t>
  </si>
  <si>
    <t>20'x20'x15</t>
  </si>
  <si>
    <t>250 gp</t>
  </si>
  <si>
    <t>Wooden Building, Small</t>
  </si>
  <si>
    <t>Sleek Ram*</t>
  </si>
  <si>
    <t>69-72</t>
  </si>
  <si>
    <t>78-82</t>
  </si>
  <si>
    <t>15' high</t>
  </si>
  <si>
    <t>500 gp</t>
  </si>
  <si>
    <t>Portcullis, Steel</t>
  </si>
  <si>
    <r>
      <t>10</t>
    </r>
    <r>
      <rPr>
        <sz val="11"/>
        <color rgb="FF000000"/>
        <rFont val="Arial"/>
        <family val="2"/>
        <charset val="204"/>
      </rPr>
      <t xml:space="preserve"> gp</t>
    </r>
  </si>
  <si>
    <t>Door, Wooden</t>
  </si>
  <si>
    <t>10,000 gp</t>
  </si>
  <si>
    <t>Stone Building, Grand</t>
  </si>
  <si>
    <t>Bulky Ram*</t>
  </si>
  <si>
    <t>65-68</t>
  </si>
  <si>
    <t>re-roll.</t>
  </si>
  <si>
    <t>*If this quirk is rolled again,</t>
  </si>
  <si>
    <t>73-77</t>
  </si>
  <si>
    <t>Portcullis, Wooden</t>
  </si>
  <si>
    <t>3'x10'x15</t>
  </si>
  <si>
    <t>60 gp</t>
  </si>
  <si>
    <t>Stairs, Stone</t>
  </si>
  <si>
    <t>3,000 gp</t>
  </si>
  <si>
    <t>Stone Building, Great</t>
  </si>
  <si>
    <t>again, re-roll.</t>
  </si>
  <si>
    <t>*If this quirk is rolled</t>
  </si>
  <si>
    <t>Efficient Rigging</t>
  </si>
  <si>
    <t>59-64</t>
  </si>
  <si>
    <t>Superior Firing Platform*</t>
  </si>
  <si>
    <t>91-100</t>
  </si>
  <si>
    <t>Bomb Lobby*</t>
  </si>
  <si>
    <r>
      <t>10</t>
    </r>
    <r>
      <rPr>
        <vertAlign val="superscript"/>
        <sz val="11"/>
        <color rgb="FF000000"/>
        <rFont val="Arial"/>
        <family val="2"/>
        <charset val="204"/>
      </rPr>
      <t>z</t>
    </r>
    <r>
      <rPr>
        <sz val="11"/>
        <color rgb="FF000000"/>
        <rFont val="Arial"/>
        <family val="2"/>
        <charset val="204"/>
      </rPr>
      <t>x4'</t>
    </r>
  </si>
  <si>
    <t>Battlements*</t>
  </si>
  <si>
    <t>Stairs, Wooden</t>
  </si>
  <si>
    <t>Stone Building Medium</t>
  </si>
  <si>
    <t>Roll on Vehicle Type sub-table</t>
  </si>
  <si>
    <t>61-100</t>
  </si>
  <si>
    <t>Inefficient Rigging</t>
  </si>
  <si>
    <t>43-58</t>
  </si>
  <si>
    <t>Inferior Firing Platform*</t>
  </si>
  <si>
    <t>Unsafe Seating</t>
  </si>
  <si>
    <t>10' long</t>
  </si>
  <si>
    <t>Catwalk, Wooden</t>
  </si>
  <si>
    <t>10'x10'x10'</t>
  </si>
  <si>
    <t>Stone Dungeon Corridor</t>
  </si>
  <si>
    <t>20'x20'x15'</t>
  </si>
  <si>
    <t>1,000 gp</t>
  </si>
  <si>
    <t>Stone Building, Small</t>
  </si>
  <si>
    <t>High-Quality Armor *</t>
  </si>
  <si>
    <t>56-60</t>
  </si>
  <si>
    <t>Smooth Handling</t>
  </si>
  <si>
    <t>47-52</t>
  </si>
  <si>
    <t>Well-Fitting Harness*</t>
  </si>
  <si>
    <t>Efficient Engines*</t>
  </si>
  <si>
    <t>57-64</t>
  </si>
  <si>
    <r>
      <t>10</t>
    </r>
    <r>
      <rPr>
        <vertAlign val="superscript"/>
        <sz val="11"/>
        <color rgb="FF000000"/>
        <rFont val="Arial"/>
        <family val="2"/>
        <charset val="204"/>
      </rPr>
      <t>z</t>
    </r>
    <r>
      <rPr>
        <sz val="11"/>
        <color rgb="FF000000"/>
        <rFont val="Arial"/>
        <family val="2"/>
        <charset val="204"/>
      </rPr>
      <t>x20</t>
    </r>
    <r>
      <rPr>
        <vertAlign val="superscript"/>
        <sz val="11"/>
        <color rgb="FF000000"/>
        <rFont val="Arial"/>
        <family val="2"/>
        <charset val="204"/>
      </rPr>
      <t>z</t>
    </r>
    <r>
      <rPr>
        <sz val="11"/>
        <color rgb="FF000000"/>
        <rFont val="Arial"/>
        <family val="2"/>
        <charset val="204"/>
      </rPr>
      <t>x6" thick</t>
    </r>
  </si>
  <si>
    <t>Drawbridge</t>
  </si>
  <si>
    <t>Dimension</t>
  </si>
  <si>
    <t>Underground/interior</t>
  </si>
  <si>
    <r>
      <t>Dimensions L</t>
    </r>
    <r>
      <rPr>
        <sz val="11"/>
        <color rgb="FF000000"/>
        <rFont val="Arial"/>
        <family val="2"/>
        <charset val="204"/>
      </rPr>
      <t>x</t>
    </r>
    <r>
      <rPr>
        <b/>
        <sz val="11"/>
        <color rgb="FF000000"/>
        <rFont val="Arial"/>
        <family val="2"/>
        <charset val="204"/>
      </rPr>
      <t>W</t>
    </r>
    <r>
      <rPr>
        <sz val="11"/>
        <color rgb="FF000000"/>
        <rFont val="Arial"/>
        <family val="2"/>
        <charset val="204"/>
      </rPr>
      <t>x</t>
    </r>
    <r>
      <rPr>
        <b/>
        <sz val="11"/>
        <color rgb="FF000000"/>
        <rFont val="Arial"/>
        <family val="2"/>
        <charset val="204"/>
      </rPr>
      <t xml:space="preserve">H </t>
    </r>
  </si>
  <si>
    <t>Buildings</t>
  </si>
  <si>
    <t>Ablative Armor *</t>
  </si>
  <si>
    <t>51-55</t>
  </si>
  <si>
    <t>Cumbersome Handling</t>
  </si>
  <si>
    <t>41-46</t>
  </si>
  <si>
    <t>Ill-Fitting Harness*</t>
  </si>
  <si>
    <t>61-70</t>
  </si>
  <si>
    <t>Fuel-Hungry Engines*</t>
  </si>
  <si>
    <t>49-56</t>
  </si>
  <si>
    <t>500+ gp</t>
  </si>
  <si>
    <t>Fountains</t>
  </si>
  <si>
    <t>Flawless Frame *</t>
  </si>
  <si>
    <t>46-50</t>
  </si>
  <si>
    <t>Good Sight Lines*</t>
  </si>
  <si>
    <t>35-40</t>
  </si>
  <si>
    <t>Lightweight Wheels*</t>
  </si>
  <si>
    <t>51-60</t>
  </si>
  <si>
    <t>Superior Aerodynamics*</t>
  </si>
  <si>
    <t>41-48</t>
  </si>
  <si>
    <t>Shrine</t>
  </si>
  <si>
    <r>
      <t>10'x15'x5</t>
    </r>
    <r>
      <rPr>
        <vertAlign val="superscript"/>
        <sz val="11"/>
        <color rgb="FF000000"/>
        <rFont val="Arial"/>
        <family val="2"/>
        <charset val="204"/>
      </rPr>
      <t>z</t>
    </r>
  </si>
  <si>
    <t>5,000[*] gp</t>
  </si>
  <si>
    <t>Ice Walls</t>
  </si>
  <si>
    <t>Flawed Frame</t>
  </si>
  <si>
    <t>41-45</t>
  </si>
  <si>
    <t>Bad Sight Lines*</t>
  </si>
  <si>
    <t>29-34</t>
  </si>
  <si>
    <t>Oversized Wheels*</t>
  </si>
  <si>
    <t>41-50</t>
  </si>
  <si>
    <t>Inferior Aerodynamics*</t>
  </si>
  <si>
    <t>33-40</t>
  </si>
  <si>
    <t>Maximum 300'</t>
  </si>
  <si>
    <t>100 gp per 10'</t>
  </si>
  <si>
    <t>Bridge, Stone</t>
  </si>
  <si>
    <t>100'x-x10'</t>
  </si>
  <si>
    <t>150 gp</t>
  </si>
  <si>
    <t>Road, Paved</t>
  </si>
  <si>
    <t>Metal Walls</t>
  </si>
  <si>
    <t>Quality Materials</t>
  </si>
  <si>
    <t>31-40</t>
  </si>
  <si>
    <t>Easy to Maintain*</t>
  </si>
  <si>
    <t>23-28</t>
  </si>
  <si>
    <t>Comfortable*</t>
  </si>
  <si>
    <t>25-32</t>
  </si>
  <si>
    <t>Maximum 150'</t>
  </si>
  <si>
    <t>10 gp per 10'</t>
  </si>
  <si>
    <t>Bridge, Wooden</t>
  </si>
  <si>
    <t>Road, Dirt</t>
  </si>
  <si>
    <t>10'x20'x10'</t>
  </si>
  <si>
    <t>Castle Walls</t>
  </si>
  <si>
    <t>Inferior Materials</t>
  </si>
  <si>
    <t>21-30</t>
  </si>
  <si>
    <t>Hard to Maintain*</t>
  </si>
  <si>
    <t>17-22</t>
  </si>
  <si>
    <t>Loud*</t>
  </si>
  <si>
    <t>17-24</t>
  </si>
  <si>
    <t>Maximum 100'</t>
  </si>
  <si>
    <t>5 gp per 10'</t>
  </si>
  <si>
    <t>Bridge, Rope</t>
  </si>
  <si>
    <t>10'x5'x10'</t>
  </si>
  <si>
    <t>Motte</t>
  </si>
  <si>
    <t>10'x6'x1'</t>
  </si>
  <si>
    <t>Metal Fencing</t>
  </si>
  <si>
    <t>Sturdy Construction</t>
  </si>
  <si>
    <t>Solidly Seaworthy*</t>
  </si>
  <si>
    <t>Easy to Repair</t>
  </si>
  <si>
    <t>Low-Altitude Flight Ceiling*</t>
  </si>
  <si>
    <t>x2 Normal Building Cost</t>
  </si>
  <si>
    <t xml:space="preserve">Mill/Windmill </t>
  </si>
  <si>
    <t>10'x20'x20'</t>
  </si>
  <si>
    <t>Moat[†]</t>
  </si>
  <si>
    <t>10'x15'x5'</t>
  </si>
  <si>
    <t>Stone/Bone Walls</t>
  </si>
  <si>
    <t>Shoddy Construction</t>
  </si>
  <si>
    <t>01-08    Leaking Hull*</t>
  </si>
  <si>
    <t>Prone to Break Down</t>
  </si>
  <si>
    <t>High-Altitude Flight Ceiling*</t>
  </si>
  <si>
    <t xml:space="preserve">Improvements    </t>
  </si>
  <si>
    <r>
      <t>10'x20'x5</t>
    </r>
    <r>
      <rPr>
        <vertAlign val="superscript"/>
        <sz val="11"/>
        <color rgb="FF000000"/>
        <rFont val="Arial"/>
        <family val="2"/>
        <charset val="204"/>
      </rPr>
      <t>z</t>
    </r>
  </si>
  <si>
    <t>Ditch</t>
  </si>
  <si>
    <t>10'x15'x1'</t>
  </si>
  <si>
    <r>
      <t>5</t>
    </r>
    <r>
      <rPr>
        <sz val="11"/>
        <color rgb="FF000000"/>
        <rFont val="Arial"/>
        <family val="2"/>
        <charset val="204"/>
      </rPr>
      <t xml:space="preserve"> gp</t>
    </r>
  </si>
  <si>
    <t>Wooden Walls</t>
  </si>
  <si>
    <t>List of Quirks</t>
  </si>
  <si>
    <t>Roll (1d100)</t>
  </si>
  <si>
    <t>Roll (1d100)    Vehicle Type: Sea</t>
  </si>
  <si>
    <t>Vehicle Type: Land</t>
  </si>
  <si>
    <t>Vehicle Type: Air</t>
  </si>
  <si>
    <t>Dimensions LxH/DxW</t>
  </si>
  <si>
    <t>Earthen Works</t>
  </si>
  <si>
    <r>
      <t>10'</t>
    </r>
    <r>
      <rPr>
        <vertAlign val="superscript"/>
        <sz val="11"/>
        <color rgb="FF000000"/>
        <rFont val="Arial"/>
        <family val="2"/>
        <charset val="204"/>
      </rPr>
      <t>x</t>
    </r>
    <r>
      <rPr>
        <sz val="11"/>
        <color rgb="FF000000"/>
        <rFont val="Arial"/>
        <family val="2"/>
        <charset val="204"/>
      </rPr>
      <t>10'</t>
    </r>
    <r>
      <rPr>
        <vertAlign val="superscript"/>
        <sz val="11"/>
        <color rgb="FF000000"/>
        <rFont val="Arial"/>
        <family val="2"/>
        <charset val="204"/>
      </rPr>
      <t>x</t>
    </r>
    <r>
      <rPr>
        <sz val="11"/>
        <color rgb="FF000000"/>
        <rFont val="Arial"/>
        <family val="2"/>
        <charset val="204"/>
      </rPr>
      <t>15'</t>
    </r>
  </si>
  <si>
    <t>Earthen Rampart</t>
  </si>
  <si>
    <t>Palisade (Wooden)</t>
  </si>
  <si>
    <r>
      <t xml:space="preserve">Dimensions LxHxW </t>
    </r>
    <r>
      <rPr>
        <sz val="11"/>
        <color rgb="FF000000"/>
        <rFont val="Arial"/>
        <family val="2"/>
        <charset val="204"/>
      </rPr>
      <t>10'X10'X1'</t>
    </r>
  </si>
  <si>
    <t>Walls</t>
  </si>
  <si>
    <t>A brilliant sky lights up the streets.</t>
  </si>
  <si>
    <t>You come upon a lost leather coin pouch.</t>
  </si>
  <si>
    <t>You hear the loud laughter of an inn.</t>
  </si>
  <si>
    <t>The streets are bustling with colour.</t>
  </si>
  <si>
    <t>The scent of spiced meat is in the air.</t>
  </si>
  <si>
    <t>A few urchin children follow you, laughing.</t>
  </si>
  <si>
    <t>You pass a guard dozing at his post.</t>
  </si>
  <si>
    <t>You pick up the sound of a lute nearby.</t>
  </si>
  <si>
    <t>The streets here are curtained and black.</t>
  </si>
  <si>
    <t>Two guardsmen nod gravely as you pass.</t>
  </si>
  <si>
    <t>The night is still and strangely quiet.</t>
  </si>
  <si>
    <t>The air is full of expectation.</t>
  </si>
  <si>
    <t>Owl eyes watch you from the dark.</t>
  </si>
  <si>
    <t>Rats scurry underfoot, their fangs gleaming.</t>
  </si>
  <si>
    <t>The driving rain is the only sound.</t>
  </si>
  <si>
    <t>The smell of sewage is overwhelming.</t>
  </si>
  <si>
    <t>The smell of incense lingers.</t>
  </si>
  <si>
    <t>The rain floods the gutters and streets.</t>
  </si>
  <si>
    <t>You think you hear steps behind you.</t>
  </si>
  <si>
    <t>A group of cloaked figures watch you pass.</t>
  </si>
  <si>
    <t>Night Description</t>
  </si>
  <si>
    <t>| Day Description</t>
  </si>
  <si>
    <t>Through a hole you spot the night sky.</t>
  </si>
  <si>
    <t>Faint sunlight filters through the roof.</t>
  </si>
  <si>
    <t>You find a small keg of red wine.</t>
  </si>
  <si>
    <t>You find a small box of food supplies.</t>
  </si>
  <si>
    <t>An elven voice can be heard singing.</t>
  </si>
  <si>
    <t>You think you can hear laughter.</t>
  </si>
  <si>
    <t>You come across an old helmet.</t>
  </si>
  <si>
    <t>There's a faint scent of roses near.</t>
  </si>
  <si>
    <t>There's a smell of wet moss about.</t>
  </si>
  <si>
    <t>You find some luminous mushrooms.</t>
  </si>
  <si>
    <t>You hear the sound of footsteps...</t>
  </si>
  <si>
    <t>A strange mist covers the floor.</t>
  </si>
  <si>
    <t>You come upon some odd slime.</t>
  </si>
  <si>
    <t>You can smell brimstone and smoke.</t>
  </si>
  <si>
    <t>Shadows dance upon the walls.</t>
  </si>
  <si>
    <t>There's a sound of scuttling nearby.</t>
  </si>
  <si>
    <t>Strange whispers float on the breeze.</t>
  </si>
  <si>
    <t>You spot movement in the shdaows.</t>
  </si>
  <si>
    <t>The scent of blood is in the air.</t>
  </si>
  <si>
    <t>Eerie cries echo through the corridors.</t>
  </si>
  <si>
    <t>Dungeons</t>
  </si>
  <si>
    <t>Bright constellations guide the way.</t>
  </si>
  <si>
    <t>You happen upon a floating barrel of ale.</t>
  </si>
  <si>
    <t>The moon hangs low and large tonight.</t>
  </si>
  <si>
    <t>You hear melodious singing from far off.</t>
  </si>
  <si>
    <t>You spot blue lights in the distance.</t>
  </si>
  <si>
    <t>A cool breeze brushes your cheeks.</t>
  </si>
  <si>
    <t>The scent of fresh fruit lingers.</t>
  </si>
  <si>
    <t>The seas are calm and collected today.</t>
  </si>
  <si>
    <t>A chill wind glides over the waves.</t>
  </si>
  <si>
    <t>You chase a patch of blue sky overhead.</t>
  </si>
  <si>
    <t>The night is eerily still and silent.</t>
  </si>
  <si>
    <t>The ship bobs rhythmically.</t>
  </si>
  <si>
    <t>Tonight there are no stars to guide you.</t>
  </si>
  <si>
    <t>The scent of rotten fish is on the wind.</t>
  </si>
  <si>
    <t>Bizarrely, you can smell peat and mud.</t>
  </si>
  <si>
    <t>The salt air is coarse and cutting.</t>
  </si>
  <si>
    <t>Strange cries sound in the deep.</t>
  </si>
  <si>
    <t>The churning waves batter your boat.</t>
  </si>
  <si>
    <t>Lightning pierces the midnight dark.</t>
  </si>
  <si>
    <t>Sleet and driving rain hit like stones.</t>
  </si>
  <si>
    <t>the sky tonight.</t>
  </si>
  <si>
    <t>invigorating.</t>
  </si>
  <si>
    <t>Constellations cover</t>
  </si>
  <si>
    <t>The scent of wet moss is</t>
  </si>
  <si>
    <t>The full moon hangs low and bright.</t>
  </si>
  <si>
    <t>A traveller trades a few jokes with you.</t>
  </si>
  <si>
    <t>You hear soft singing on the wind.</t>
  </si>
  <si>
    <t>The ground is firmer here, the air softer.</t>
  </si>
  <si>
    <t>The glittering stars offer comfort.</t>
  </si>
  <si>
    <t>You come across an empty cottage.</t>
  </si>
  <si>
    <t>The night is hot and uncomfortable.</t>
  </si>
  <si>
    <t>The air is humid and heavy as you walk.</t>
  </si>
  <si>
    <t>You spy odd lights in the distance.</t>
  </si>
  <si>
    <t>Flies are constantly nibbling your skin.</t>
  </si>
  <si>
    <t>The earth smells wet and rotten.</t>
  </si>
  <si>
    <t>A huge creature darts into the clouds.</t>
  </si>
  <si>
    <t>Strange cries pierce the night air.</t>
  </si>
  <si>
    <t>You think you see faces in the waters.</t>
  </si>
  <si>
    <t>You hear squelching in the dark.</t>
  </si>
  <si>
    <t>The stench of mud is overwhelming.</t>
  </si>
  <si>
    <t>Thunder crashes over the marshland.</t>
  </si>
  <si>
    <t>At each step the bog tries to drag you in.</t>
  </si>
  <si>
    <t>The hills resound with the music of owls.</t>
  </si>
  <si>
    <t>You find an unopened keg of ale.</t>
  </si>
  <si>
    <t>Constellations glimmer above the hilltops.</t>
  </si>
  <si>
    <t>The hills seem to hum pleasantly.</t>
  </si>
  <si>
    <t>The land is still and quiet tonight.</t>
  </si>
  <si>
    <t>A passing rider bids you good day.</t>
  </si>
  <si>
    <t>A midnight traveller tells you a tale.</t>
  </si>
  <si>
    <t>A drizzle cools and calms your skin.</t>
  </si>
  <si>
    <t>You spy a flurry of bats among the crags.</t>
  </si>
  <si>
    <t>The air is fresh and sweet up here.</t>
  </si>
  <si>
    <t>The air smells of mud and loam tonight.</t>
  </si>
  <si>
    <t>You come across a burnt-out campsite.</t>
  </si>
  <si>
    <t>Wolves howl at the low-hanging moon.</t>
  </si>
  <si>
    <t>The smell of sulphur lingers here.</t>
  </si>
  <si>
    <t>The air is humid and thick tonight.</t>
  </si>
  <si>
    <t>You spot vultures following your path.</t>
  </si>
  <si>
    <t>A crescent moon casts shadows on the rocks.</t>
  </si>
  <si>
    <t>The road is uneven and steep here.</t>
  </si>
  <si>
    <t>Strange cries echo through the valleys.</t>
  </si>
  <si>
    <t>Thunder clashes atop the mountains.</t>
  </si>
  <si>
    <t>Silver moonlight illuminates the wood.</t>
  </si>
  <si>
    <t>You come across a tranquil glade.</t>
  </si>
  <si>
    <t>The forest is utterly still tonight.</t>
  </si>
  <si>
    <t>Small green flags mark out a safe path.</t>
  </si>
  <si>
    <t>Fireflies glimmer through the trees.</t>
  </si>
  <si>
    <t>The scent of lavender follows you.</t>
  </si>
  <si>
    <t>Adult white dragon 1 3</t>
  </si>
  <si>
    <t>You pass an old wooden shrine.</t>
  </si>
  <si>
    <t>The air is heavy and hot under the sun.</t>
  </si>
  <si>
    <t>An acrid smell - sulphur? - lingers.</t>
  </si>
  <si>
    <t>A drizzle makes a quiet symphony.</t>
  </si>
  <si>
    <t>Tundra roc</t>
  </si>
  <si>
    <t>The air is lanquid with humidity.</t>
  </si>
  <si>
    <t>Thunder rumbles above the foliage.</t>
  </si>
  <si>
    <t>Frost giant</t>
  </si>
  <si>
    <t>Distant thunder heralds a storm.</t>
  </si>
  <si>
    <t>The stench of wet moss hangs in th air.</t>
  </si>
  <si>
    <t>Yng. white dragon</t>
  </si>
  <si>
    <t>The cries of owls penetrate the night.</t>
  </si>
  <si>
    <t>A huge beast has trampled trees here.</t>
  </si>
  <si>
    <t>Tundra troll</t>
  </si>
  <si>
    <t>A dense mist envelopes you.</t>
  </si>
  <si>
    <t>The trees draw suffocatingly close.</t>
  </si>
  <si>
    <t>Young remorhaz</t>
  </si>
  <si>
    <t>The wood's denziens sulk in the dark.</t>
  </si>
  <si>
    <t>Yellow light filters through the foliage.</t>
  </si>
  <si>
    <t>Winter wolves</t>
  </si>
  <si>
    <t>1d102</t>
  </si>
  <si>
    <t>Day Description</t>
  </si>
  <si>
    <t>Tundra veteran</t>
  </si>
  <si>
    <t>Hills &amp; Mountains</t>
  </si>
  <si>
    <t>Saber-toothed tiger</t>
  </si>
  <si>
    <t>The aurora bathes the tundra in a medley of light and colour.</t>
  </si>
  <si>
    <t>A solitary fishermen offers you a fresh catch.</t>
  </si>
  <si>
    <t>Polar bear</t>
  </si>
  <si>
    <t>The full moon makes the snowy landscape seem like a dream.</t>
  </si>
  <si>
    <t>You catch a glimpse of a polar bear tending its young.</t>
  </si>
  <si>
    <t>Tundra griffon</t>
  </si>
  <si>
    <t>Bizarrely, you swear you can hear a child's laugh somewhere...</t>
  </si>
  <si>
    <t>Various fish are preserved in the ice underfoot.</t>
  </si>
  <si>
    <t>Arctic Cirlce druids</t>
  </si>
  <si>
    <t>In the dark, someone has left you a fresh fish. But who...?</t>
  </si>
  <si>
    <t>A woman on a dog sled passes without comment.</t>
  </si>
  <si>
    <t>Half-ogre</t>
  </si>
  <si>
    <t>It's especially cold and silent tonight.</t>
  </si>
  <si>
    <t>You hear the barking of wolves in the distance.</t>
  </si>
  <si>
    <t>Tundra orcs</t>
  </si>
  <si>
    <t>Somehow you can sense something moving below the ice.</t>
  </si>
  <si>
    <t>The strange scent of oil lingers in your nose for a while.</t>
  </si>
  <si>
    <t>Ice mephits</t>
  </si>
  <si>
    <t>All night the scent of burning follows you relentlessly.</t>
  </si>
  <si>
    <t>It's probably just the wind, but it sounds like crying...</t>
  </si>
  <si>
    <t>Giant tundra owl</t>
  </si>
  <si>
    <t>The night is full of the howls of wolves in the darkness.</t>
  </si>
  <si>
    <t>You hallucinate seeing a face appear under the ice.</t>
  </si>
  <si>
    <t>White kobolds</t>
  </si>
  <si>
    <t>A single stars shines red tonight. An omen, perhaps...?</t>
  </si>
  <si>
    <t>Jagged ice underfoot makes the terrain hard to traverse.</t>
  </si>
  <si>
    <t>Tundra tribal warr.</t>
  </si>
  <si>
    <t>There is no moonlight tonight, and your steps are uncertain.</t>
  </si>
  <si>
    <t>You spot a huge shard of ice that looks like an arrow.</t>
  </si>
  <si>
    <t>Forests</t>
  </si>
  <si>
    <t>Потерять (сломать) ногу или ступню - ваша скорость передвижения уменьшается вдвое, и у вас есть помехи для всех проверок способностей, основанных на ловкости, из-за отсутствия баланса.</t>
  </si>
  <si>
    <t>Потерять (сломать) руку или кисть - вы можете держать только один предмет за раз, и вы не можете совершать атаки двумя руками.</t>
  </si>
  <si>
    <t>Потерять глаз (затуманенное зрение) - у вас есть недостаток при проверках восприятия на основе зрения и дальних атаках.</t>
  </si>
  <si>
    <t>Потеря уха (звон в ушах) - у вас есть недостаток при проверке восприятия на основе слуха.</t>
  </si>
  <si>
    <t>Проколотое или проколотое легкое - вы можете выполнить действие или бонусное действие, только когда этот объект находится внутри вас. После удаления у вас теперь есть «внутренняя травма» (см. 10 ниже).</t>
  </si>
  <si>
    <t>Перелом черепа или другие переломы костей - у вас есть помехи на броски атаки и все проверки способностей, основанные на силе, ловкости и телосложении (включая заклинания). Кроме того, вы всегда терпите неудачу в проверках концентрации.</t>
  </si>
  <si>
    <t>Гнойная рана - ваше максимальное здоровье уменьшается на 1 каждый день.</t>
  </si>
  <si>
    <t>Хрупкое - Каждый раз, когда вы получаете урон, вы получаете дополнительно 1d6 урона того же типа.</t>
  </si>
  <si>
    <t xml:space="preserve"> Большое сотрясение мозга - у вас есть недостаток в проверках умственных способностей (проверки интеллекта, мудрости и харизмы, не связанные с боем).</t>
  </si>
  <si>
    <t>Внутренняя травма - Вы совершаете с помехой все броски атаки.</t>
  </si>
  <si>
    <t>Слабое место или болезненный шрам - вы получаете дополнительно 1d6 повреждений при попадании в точку травмы.</t>
  </si>
  <si>
    <t>Ушиб или глубокий синяк - вы теряете способность действовать быстро. Вы больше не можете реагировать.</t>
  </si>
  <si>
    <t>Незначительное сотрясение - у вас есть недостаток в проверках умений, основанных на интеллекте, которые не связаны с боем.</t>
  </si>
  <si>
    <t>Сломанные ребра - у вас есть недостаток при проверках способностей, основанных на силе и ловкости.</t>
  </si>
  <si>
    <t>Потеря пальца (сломанная рука) - у вас есть недостаток при проверках ловкости рук и любой проверке способностей, которая включает использование воровских инструментов.</t>
  </si>
  <si>
    <t>Limp - Ваша базовая скорость передвижения снижена на 5.</t>
  </si>
  <si>
    <t>Ужасный шрам</t>
  </si>
  <si>
    <t>выбитых зубов, большой шрам</t>
  </si>
  <si>
    <t>Незначительный небольшой шрам</t>
  </si>
  <si>
    <t>Всплеск адреналина: вы получаете количество временных хитов, равное 1 от вашего хита + модификатор телосложения. Кроме того, в следующих двух раундах вы можете бонусным действием совершить рывок, а ваш модификатор силы удвоится.</t>
  </si>
  <si>
    <t>ТРАВМА</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</si>
  <si>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</si>
  <si>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</si>
  <si>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</si>
  <si>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</si>
  <si>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</si>
  <si>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</si>
  <si>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</si>
  <si>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</si>
  <si>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</si>
  <si>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</si>
  <si>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</si>
  <si>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</si>
  <si>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</si>
  <si>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</si>
  <si>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</si>
  <si>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</si>
  <si>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</si>
  <si>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</si>
  <si>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</si>
  <si>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</si>
  <si>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</si>
  <si>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</si>
  <si>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</si>
  <si>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</si>
  <si>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</si>
  <si>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</si>
  <si>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</si>
  <si>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</si>
  <si>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</si>
  <si>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</si>
  <si>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</si>
  <si>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</si>
  <si>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</si>
  <si>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</si>
  <si>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</si>
  <si>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</si>
  <si>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</si>
  <si>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</si>
  <si>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</si>
  <si>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</si>
  <si>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</si>
  <si>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</si>
  <si>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</si>
  <si>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</si>
  <si>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</si>
  <si>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</si>
  <si>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</si>
  <si>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</si>
  <si>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</si>
  <si>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</si>
  <si>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</si>
  <si>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</si>
  <si>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</si>
  <si>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</si>
  <si>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</si>
  <si>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</si>
  <si>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</si>
  <si>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</si>
  <si>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</si>
  <si>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</si>
  <si>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</si>
  <si>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</si>
  <si>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</si>
  <si>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</si>
  <si>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</si>
  <si>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</si>
  <si>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</si>
  <si>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</si>
  <si>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</si>
  <si>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</si>
  <si>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</si>
  <si>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</si>
  <si>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</si>
  <si>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</si>
  <si>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</si>
  <si>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</si>
  <si>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</si>
  <si>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</si>
  <si>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</si>
  <si>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</si>
  <si>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</si>
  <si>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</si>
  <si>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</si>
  <si>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</si>
  <si>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</si>
  <si>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</si>
  <si>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</si>
  <si>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</si>
  <si>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</si>
  <si>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</si>
  <si>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</si>
  <si>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</si>
  <si>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</si>
  <si>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</si>
  <si>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</si>
  <si>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</si>
  <si>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</si>
  <si>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</si>
  <si>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</si>
  <si>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</si>
  <si>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</si>
  <si>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</si>
  <si>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</si>
  <si>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</si>
  <si>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PARAMETR</t>
  </si>
  <si>
    <t>VALUE</t>
  </si>
  <si>
    <t>dmsguild</t>
  </si>
  <si>
    <t>twitch.tv</t>
  </si>
  <si>
    <t>youtube</t>
  </si>
  <si>
    <t>Facebook</t>
  </si>
  <si>
    <t>⦿2</t>
  </si>
  <si>
    <t>⦿3</t>
  </si>
  <si>
    <t>⦿4</t>
  </si>
  <si>
    <t>⦿5</t>
  </si>
  <si>
    <t>⦿6</t>
  </si>
  <si>
    <t>⦿7</t>
  </si>
  <si>
    <t>⦿8</t>
  </si>
  <si>
    <t>⦿9</t>
  </si>
  <si>
    <t>⦿10</t>
  </si>
  <si>
    <t>⦿11</t>
  </si>
  <si>
    <t>⦿12</t>
  </si>
  <si>
    <t>⦿13</t>
  </si>
  <si>
    <t>⦿14</t>
  </si>
  <si>
    <t>⦿15</t>
  </si>
  <si>
    <t>⦿16</t>
  </si>
  <si>
    <t>⦿17</t>
  </si>
  <si>
    <t>⦿18</t>
  </si>
  <si>
    <t>⦿19</t>
  </si>
  <si>
    <t>⦿20</t>
  </si>
  <si>
    <t>Cormyrian Noble Houses By Kris Metz</t>
  </si>
  <si>
    <t>Timeline</t>
  </si>
  <si>
    <t>23000 Hu
700 Elf
1200 Dw
2100 Hfl
200 Gn</t>
  </si>
  <si>
    <t>DEMOGRAPHICS</t>
  </si>
  <si>
    <t>1400 Hu 350 Dw</t>
  </si>
  <si>
    <t>House Lord 3e</t>
  </si>
  <si>
    <t>Lord 5e</t>
  </si>
  <si>
    <t>King: Astrel (“Az-trell”)</t>
  </si>
  <si>
    <t xml:space="preserve"> Princess: Ardess (“Ar-dess”)</t>
  </si>
  <si>
    <t xml:space="preserve"> Duke: Storn</t>
  </si>
  <si>
    <t xml:space="preserve"> Duchess: Staerra (“Stair-ah”)</t>
  </si>
  <si>
    <t xml:space="preserve"> Marchion: Mahrsar (“Mar-sarr”)</t>
  </si>
  <si>
    <t xml:space="preserve"> Marchioness: Mahrsara</t>
  </si>
  <si>
    <t xml:space="preserve"> Earl: Velm (“Vel-mm”)</t>
  </si>
  <si>
    <t xml:space="preserve"> Countess: Velana (“Vell-anna”)</t>
  </si>
  <si>
    <t xml:space="preserve"> Viscount: Tlarvelm (“Tah-lar-velm”)</t>
  </si>
  <si>
    <t xml:space="preserve"> Viscountess: Tlarvelana (“Tah-lar-velanna”)</t>
  </si>
  <si>
    <t xml:space="preserve"> Baron (in Cormyr, includes Baronet): Taen </t>
  </si>
  <si>
    <t>(“Tayn”)</t>
  </si>
  <si>
    <t xml:space="preserve"> Baroness (in Cormyr, includes Baronetess): </t>
  </si>
  <si>
    <t>Taenya (“Tay-nyah”)</t>
  </si>
  <si>
    <t xml:space="preserve"> Knight: Tahar (“Tah-har”)</t>
  </si>
  <si>
    <t xml:space="preserve"> Lord: Aro (“Air-o”)</t>
  </si>
  <si>
    <t xml:space="preserve"> Lady: Arauna (“Air-on-ah”)</t>
  </si>
  <si>
    <t xml:space="preserve"> Sir: Saer (“Say-ur”)</t>
  </si>
  <si>
    <t>Queen: Araunna (“Arr-awn-ah”)</t>
  </si>
  <si>
    <t>Prince: Ardyr (“Ar-deer”)</t>
  </si>
  <si>
    <t>Charter, adventuring party</t>
  </si>
  <si>
    <t>Charter, Mercenary Companies</t>
  </si>
  <si>
    <t>up to 6</t>
  </si>
  <si>
    <t>usually &lt;12, max 20. A firstsword has the 
authority to make reports, give testimony, disarm and 
detain unchartered adventurers, and otherwise oper-
ate without strict supervision</t>
  </si>
  <si>
    <t>soldier</t>
  </si>
  <si>
    <t>officer</t>
  </si>
  <si>
    <t>Garrison commanders and leaders of fortifications</t>
  </si>
  <si>
    <t>Warden of the Eastern Marches</t>
  </si>
  <si>
    <t>Warvred Emmarask</t>
  </si>
  <si>
    <t>Irvel</t>
  </si>
  <si>
    <t>Alarphon</t>
  </si>
  <si>
    <t>The only formal rank within the War Wizards is that 
of alarphon. The internal investigators of the War 
Wizards, alarphons are empowered to ask questions 
and engage in magical interrogation of their own 
number in order to ferret out treachery and learn 
whether other members of the brotherhood have not 
been forthcoming with information important to the 
protection of the realm. Whether this reluctance is 
due to perfidy or mere stupidity, sometimes the realm 
must be defended from its own protectors, and the 
alarphons are charged with that defense.</t>
  </si>
  <si>
    <t>Warder Vainrence</t>
  </si>
  <si>
    <t>battlefield commander of the War Wizards, reinforcing the brotherhood’s new role in the active defense of the realm</t>
  </si>
  <si>
    <t>Lord Warder</t>
  </si>
  <si>
    <t xml:space="preserve">Dalatha of Monksblade </t>
  </si>
  <si>
    <t>Mordgrandgur</t>
  </si>
  <si>
    <t>Orm</t>
  </si>
  <si>
    <t>Randelio</t>
  </si>
  <si>
    <t>Rasalra of the Many Daggers</t>
  </si>
  <si>
    <t xml:space="preserve">Tamphras Bloodcandle </t>
  </si>
  <si>
    <t>Voruld</t>
  </si>
  <si>
    <t>Feldran “Doraunk” Durvorkar</t>
  </si>
  <si>
    <t>Imdar the Stout (LG Wizard 10)</t>
  </si>
  <si>
    <t xml:space="preserve">Gemstone Market Rate </t>
  </si>
  <si>
    <t xml:space="preserve">Immerstones 10 gp </t>
  </si>
  <si>
    <t>Nightskies 500 gp – 1,000 gp*</t>
  </si>
  <si>
    <t xml:space="preserve">Riverstars 50 gp – 100 gp* </t>
  </si>
  <si>
    <t>Matthew Lee Myers</t>
  </si>
  <si>
    <t>• Netheril attacks Cormyr from the north sacking much of the northeast and laying siege to Arabel. 
• Wheloon is sacked and prisoners are released. 
• King Foril dies of old age. 
• Marsember is sacked. 
• King Irvel is killed by the Purple Dragon Reborn during the siege of Suzail. 
• Raedra defeats the Purple Dragon Reborn in single combat and Cormyr routs the Shadovar army. 
• Baerovus abdicates the throne to Raedra.</t>
  </si>
  <si>
    <t>• War against Sembia erupts. 
• Cormyr captures Daerlun and Urmlaspyr.</t>
  </si>
  <si>
    <t>• King Foril orders city of Wheloon sealed and turned into a prison colony for 
worship of Shar and conspiring with the Netherese.</t>
  </si>
  <si>
    <t>Year of the Heretic’s Rampage</t>
  </si>
  <si>
    <t>• Cormyr declares Proskur a protectorate of Cormyr.</t>
  </si>
  <si>
    <t>• Azoun V restores the Goldfeather family to nobility.</t>
  </si>
  <si>
    <t>• Marriage of Prince Irvel to Ospra Goldfeather.</t>
  </si>
  <si>
    <t>• Death of King Azoun V. 
• Coronation of King Foril.</t>
  </si>
  <si>
    <t>• Birth of Baerovus Obarskyr, son of Crown Prince Irvel and Princess Ospra</t>
  </si>
  <si>
    <t>• Birth of Raedra Obarskyr, daughter of Crown Prince Irvel and Princess Ospra.</t>
  </si>
  <si>
    <t>Edwin Morahan</t>
  </si>
  <si>
    <t>Desc</t>
  </si>
  <si>
    <t>Eleanor Thond</t>
  </si>
  <si>
    <t>Gyles Hawklin</t>
  </si>
  <si>
    <t>Lavartes Dauntinghorn</t>
  </si>
  <si>
    <t>Luckmaster Olane Davanac</t>
  </si>
  <si>
    <t>High Namer Wyndel Sedranis</t>
  </si>
  <si>
    <t>hamlet</t>
  </si>
  <si>
    <t>BogBrook</t>
  </si>
  <si>
    <t>village</t>
  </si>
  <si>
    <t>town</t>
  </si>
  <si>
    <t>flagship of the Cormy-</t>
  </si>
  <si>
    <t>Draegur High</t>
  </si>
  <si>
    <t>Aeson Truesilver</t>
  </si>
  <si>
    <t>Heldul's Rest</t>
  </si>
  <si>
    <t>Jester’s Green</t>
  </si>
  <si>
    <t>Etain Stagblade</t>
  </si>
  <si>
    <t>Jester's Green</t>
  </si>
  <si>
    <t>Ossten Delaire</t>
  </si>
  <si>
    <t>Ella Redbeard</t>
  </si>
  <si>
    <t>Jerrick Valwater</t>
  </si>
  <si>
    <t>1. Citadel (and jail)</t>
  </si>
  <si>
    <t>2. Palace (court, assembly hall)</t>
  </si>
  <si>
    <t>3. House Marliir (noble family)</t>
  </si>
  <si>
    <t>4. The Weary Knight (inn)</t>
  </si>
  <si>
    <t xml:space="preserve">5. The Lady’s House </t>
  </si>
  <si>
    <t xml:space="preserve">6. The Dragon’s Rest </t>
  </si>
  <si>
    <t>7. The Whistling Wheel (inn)</t>
  </si>
  <si>
    <t>8. The Traveler’s Banner (inn)</t>
  </si>
  <si>
    <t>9. The Lamps (hardware store)</t>
  </si>
  <si>
    <t>10. The Bazaar (market area)</t>
  </si>
  <si>
    <t>11. Eastgate</t>
  </si>
  <si>
    <t>12. The Eastwatch Inn</t>
  </si>
  <si>
    <t>13. Iron Throne merchant company</t>
  </si>
  <si>
    <t>14. Milzar’s Yards (rental stockyards)</t>
  </si>
  <si>
    <t>15. Thousandheads Trading Coster</t>
  </si>
  <si>
    <t>16. Dragoneye Dealing Coster</t>
  </si>
  <si>
    <t>17. Elfskull Inn</t>
  </si>
  <si>
    <t>18. Calantar’s Gate</t>
  </si>
  <si>
    <t>19. Red Ravens Mercenary Company</t>
  </si>
  <si>
    <t>20. The King’s Trading Yards</t>
  </si>
  <si>
    <t>21. Trueshield Trading Priakos</t>
  </si>
  <si>
    <t>22. High Horn Gate</t>
  </si>
  <si>
    <t>23. The Night Wolf Inn</t>
  </si>
  <si>
    <t>24. Mother Lahamma’s House</t>
  </si>
  <si>
    <t>25. Raspral’s Kiss</t>
  </si>
  <si>
    <t>26. Six Coffers Market Priakos</t>
  </si>
  <si>
    <t>27. Gelzunduth Warehouse</t>
  </si>
  <si>
    <t>28. Gelzunduth Warehouse</t>
  </si>
  <si>
    <t>29. House of Gelzunduth</t>
  </si>
  <si>
    <t>30. Rhalseer’s boarding house</t>
  </si>
  <si>
    <t>31. House of Kraliqh (local merchant)</t>
  </si>
  <si>
    <t>32. House of Bhela (local merchant)</t>
  </si>
  <si>
    <t>33. Well</t>
  </si>
  <si>
    <t>34. House of Misrim (local merchant)</t>
  </si>
  <si>
    <t>35. House Hiloar (local merchant)</t>
  </si>
  <si>
    <t>36. Shassra’s (boarding house)</t>
  </si>
  <si>
    <t>37. Falcon’s Rest (inn)</t>
  </si>
  <si>
    <t>38. House of Nyaril (local merchant)</t>
  </si>
  <si>
    <t>39. The Watchful Shield Bodyguards</t>
  </si>
  <si>
    <t>40. Dulbiir’s Escort Service</t>
  </si>
  <si>
    <t>41. Mulkaer Lomdath, fine tailor</t>
  </si>
  <si>
    <t>42. The Silver Tankard (tavern)</t>
  </si>
  <si>
    <t>43. Mhaer Tzintin, money changer</t>
  </si>
  <si>
    <t>44. Eighlar’s Fine Wines</t>
  </si>
  <si>
    <t>45. Jhamma’s Silks and Furs</t>
  </si>
  <si>
    <t>46. Dhelthaen (butcher)</t>
  </si>
  <si>
    <t>47. The Strongwatch</t>
  </si>
  <si>
    <t>48. The Pride of Arabel (inn)</t>
  </si>
  <si>
    <t>49. Orbul’s Fine Carving and Furniture</t>
  </si>
  <si>
    <t>50. Khammath’s Crystal (shop)</t>
  </si>
  <si>
    <t>51. The Black Mask (tavern)</t>
  </si>
  <si>
    <t>52. House of Thond (local merchant)</t>
  </si>
  <si>
    <t>53. Hawk’s Perch Trading House</t>
  </si>
  <si>
    <t>54. Szantel’s Ropes, Cords, and Chains</t>
  </si>
  <si>
    <t>55. The Wary Warrior (weapon shop)</t>
  </si>
  <si>
    <t>56. The Two-Headed Lion (tavern)</t>
  </si>
  <si>
    <t>57. The Striking Snake (tavern)</t>
  </si>
  <si>
    <t>58. The Coiled Whip (tavern)</t>
  </si>
  <si>
    <t>59. The Gentle Smile (festhall)</t>
  </si>
  <si>
    <t>60. The House of Baerlear (merchant)</t>
  </si>
  <si>
    <t>61. The Black Barrel (tavern)</t>
  </si>
  <si>
    <t>62. Hundar’s Exotic Goods</t>
  </si>
  <si>
    <t xml:space="preserve">63. Iardon’s Hirelings </t>
  </si>
  <si>
    <t>64. Monument to Dhalmass</t>
  </si>
  <si>
    <t>65. The Silver Stallion tack shop</t>
  </si>
  <si>
    <t>66. Green Phial medicines shop</t>
  </si>
  <si>
    <t>67. Mhaes’s (festhall)</t>
  </si>
  <si>
    <t>68. Thond’s (jewelry)</t>
  </si>
  <si>
    <t>69. Six Coffers warehouse</t>
  </si>
  <si>
    <t>70. The Bent Bow (tavern)</t>
  </si>
  <si>
    <t>71. Laeduth’s (boarding house)</t>
  </si>
  <si>
    <t>72. The Red Sword (tavern)</t>
  </si>
  <si>
    <t>73. Vaethym Olorar, rental falconer</t>
  </si>
  <si>
    <t>74. Saerdar’s Silks and Flowers</t>
  </si>
  <si>
    <t>75. The Hungry Man (restaurant)</t>
  </si>
  <si>
    <t>76. The Chalice (fine brass)</t>
  </si>
  <si>
    <t>77. The Net of Pearls (gowns, jewels)</t>
  </si>
  <si>
    <t>78. Nelzara’s (boarding house)</t>
  </si>
  <si>
    <t>79. Buldo Cravan (butcher)</t>
  </si>
  <si>
    <t xml:space="preserve">80. The Eyes and Ears of Arabel </t>
  </si>
  <si>
    <t>81. Kelsar’s Fowl (live game birds)</t>
  </si>
  <si>
    <t>82. Ssarra’s (restaurant)</t>
  </si>
  <si>
    <t>83. The High Moon Inn</t>
  </si>
  <si>
    <t>84. The Orange Banner Inn</t>
  </si>
  <si>
    <t>85. The Lady’s Tastes (fine clothing)</t>
  </si>
  <si>
    <t>86. Soldiers Boots (tavern)</t>
  </si>
  <si>
    <t>87. The Red Stirge (inn)</t>
  </si>
  <si>
    <t>88. House Misrim warehouse</t>
  </si>
  <si>
    <t>89. The Velvet Couch (festhall)</t>
  </si>
  <si>
    <t>90. The Burning Blade (tavern)</t>
  </si>
  <si>
    <t>91. Nathscal’s (rental) Warehouse</t>
  </si>
  <si>
    <t>92. The Lavender Lion (festhall)</t>
  </si>
  <si>
    <t>93. The Smoky Skull (tavern)</t>
  </si>
  <si>
    <t>94. The Old Warrior (inn)</t>
  </si>
  <si>
    <t>95. Zelond’s (rental) Warehouse</t>
  </si>
  <si>
    <t>96. Zelzar’s (pawnshop)</t>
  </si>
  <si>
    <t>97. Naneatha’s (festhall)</t>
  </si>
  <si>
    <t>98. The Dancing Dracolisk (tavern)</t>
  </si>
  <si>
    <t>99. Thael Diirim’s Scribery</t>
  </si>
  <si>
    <t>100. The Roll Roast (inn)</t>
  </si>
  <si>
    <t>101. Daglar Maermeet (armorer)</t>
  </si>
  <si>
    <t>102. Ulbanath Map Consortium</t>
  </si>
  <si>
    <t>103. The Moonlit Touch (nightclub)</t>
  </si>
  <si>
    <t>104. Quezzo’s (rental) Warehouse</t>
  </si>
  <si>
    <t>105. Dhaliima’s (boarding house)</t>
  </si>
  <si>
    <t>106. The Three Sisters (pawnshop)</t>
  </si>
  <si>
    <t>107. Nuirouve Domar, potter</t>
  </si>
  <si>
    <t>108. Fillaro’s Overland Food (fish)</t>
  </si>
  <si>
    <t>109. The Blue Mace (inn)</t>
  </si>
  <si>
    <t>110. House of Baerlear warehouse</t>
  </si>
  <si>
    <t>111. House of Lheskar Bhaliir</t>
  </si>
  <si>
    <t>112. The Dancing Dancer (tavern)</t>
  </si>
  <si>
    <t>113. The Open Casket (pawnshop)</t>
  </si>
  <si>
    <t>114. Ghastar Ulvarinn, stonecutter</t>
  </si>
  <si>
    <t>115. Baalimr Selmarr, carpenter</t>
  </si>
  <si>
    <t>116. Dazniir Relharphin, wheelwright</t>
  </si>
  <si>
    <t>117. Cheth Zalbar (cosmetics)</t>
  </si>
  <si>
    <t>118. Brandin Thabbold, bedbuilders</t>
  </si>
  <si>
    <t xml:space="preserve">119. Lamp, Lantern, and Candle Shop </t>
  </si>
  <si>
    <t>120. Tamthiir’s Leather Shop</t>
  </si>
  <si>
    <t>121. Psammas Durviir (tailor)</t>
  </si>
  <si>
    <t>122. Elhazir’s Exotica</t>
  </si>
  <si>
    <t>123. The Baths</t>
  </si>
  <si>
    <t>124. Wayscross Inn</t>
  </si>
  <si>
    <t>125. The Ivory Jack (tavern)</t>
  </si>
  <si>
    <t>126. Phaesha’s (boarding house)</t>
  </si>
  <si>
    <t>127. Vondor’s Shoes &amp; Boots</t>
  </si>
  <si>
    <t>128. The Feasting Board (eatery)</t>
  </si>
  <si>
    <t>129. House Hiloar warehouse</t>
  </si>
  <si>
    <t>130. The Lame Camel (tavern)</t>
  </si>
  <si>
    <t>131. Blackhand Lhaol’s smithy</t>
  </si>
  <si>
    <t>132. House Misrim warehouse</t>
  </si>
  <si>
    <t>133. House of Kraliqh warehouse</t>
  </si>
  <si>
    <t>134. The Scarlet Spear (inn)</t>
  </si>
  <si>
    <t>135. The Lazy Lizard (tavern)</t>
  </si>
  <si>
    <t>136. The Watchful Lynx (inn)</t>
  </si>
  <si>
    <t>137. Nyaril warehouse</t>
  </si>
  <si>
    <t>138. House Misrim warehouse</t>
  </si>
  <si>
    <t>139. The Swinging Gate (inn)</t>
  </si>
  <si>
    <t>140. The Nine Fires (inn)</t>
  </si>
  <si>
    <t>141. The Three Bars (inn)</t>
  </si>
  <si>
    <t>142. The Tired Traveler (inn)</t>
  </si>
  <si>
    <t>143. The Wink and Kiss (tavern)</t>
  </si>
  <si>
    <t>144. Thousandheads warehouse</t>
  </si>
  <si>
    <t>145. The “Pork Market” (trade yard)</t>
  </si>
  <si>
    <t>146. Dragoneye Coster warehouse</t>
  </si>
  <si>
    <t>147. Ssantusas’s (rental) Warehouse</t>
  </si>
  <si>
    <t>148. Dhalgim’s Yard (wood, charcoal)</t>
  </si>
  <si>
    <t>149. Copper Cockatrice (hardware)</t>
  </si>
  <si>
    <t>150. Irriphar’s Inn</t>
  </si>
  <si>
    <t>151. The Murdered Manticore (inn)</t>
  </si>
  <si>
    <t xml:space="preserve">152. World Serpent Inn (also called </t>
  </si>
  <si>
    <t>Wild Goose)</t>
  </si>
  <si>
    <t>153. Shrine to Chauntea</t>
  </si>
  <si>
    <t>154. Shrine to Deneir</t>
  </si>
  <si>
    <t>155. Shrine to Helm</t>
  </si>
  <si>
    <t>156. Shrine to Lliira</t>
  </si>
  <si>
    <t>157. Shrine to Milil</t>
  </si>
  <si>
    <t>158. Shrine to Tempus</t>
  </si>
  <si>
    <t>Sir Severin, the White Knight of Arabel</t>
  </si>
  <si>
    <t xml:space="preserve">Secret Plots </t>
  </si>
  <si>
    <t>The Illance Bastard</t>
  </si>
  <si>
    <t xml:space="preserve">Tarmel Drouth is the bastard son of Rancelair Illance, </t>
  </si>
  <si>
    <t xml:space="preserve">the middle brother of the three Illance heirs. Exiled </t>
  </si>
  <si>
    <t xml:space="preserve">from Cormyr after numerous brushes with the law, </t>
  </si>
  <si>
    <t xml:space="preserve">including a number of hushed-up murders and the </t>
  </si>
  <si>
    <t xml:space="preserve">attempted arson of House Illance’s manor in Suzail, </t>
  </si>
  <si>
    <t xml:space="preserve">Tarmel became a brigand in Sembia before returning </t>
  </si>
  <si>
    <t>to Cormyr to exact his revenge on his family. His as-</t>
  </si>
  <si>
    <t xml:space="preserve">sassination attempt was less than successful, but he </t>
  </si>
  <si>
    <t xml:space="preserve">managed to rob the treasury which allowed him to </t>
  </si>
  <si>
    <t>establish himself as a bandit lord along the border</t>
  </si>
  <si>
    <t>Sunset's Hill</t>
  </si>
  <si>
    <t>Sister Linora</t>
  </si>
  <si>
    <t>Thair Coalstriker</t>
  </si>
  <si>
    <t>Lord Padraig</t>
  </si>
  <si>
    <t>Redwolf</t>
  </si>
  <si>
    <t>Cora Inyn</t>
  </si>
  <si>
    <t>1750 | 600</t>
  </si>
  <si>
    <t>Lord Ordamon Thorland</t>
  </si>
  <si>
    <t>arl Bryton Taysith</t>
  </si>
  <si>
    <t>Crownpost</t>
  </si>
  <si>
    <t>Description</t>
  </si>
  <si>
    <t></t>
  </si>
  <si>
    <t></t>
  </si>
  <si>
    <t></t>
  </si>
  <si>
    <t>Major General</t>
  </si>
  <si>
    <t>Lieutenant General</t>
  </si>
  <si>
    <t>https://www.twitch.tv/palikhov</t>
  </si>
  <si>
    <t>https://www.youtube.com/c/%D0%90%D0%BD%D1%82%D0%BE%D0%BD%D0%9F%D0%B0%D0%BB%D0%B8%D1%85%D0%BE%D0%B2</t>
  </si>
  <si>
    <t>https://www.facebook.com/groups/cyborgsandmages/</t>
  </si>
  <si>
    <t>Palant’s Guide to Combat</t>
  </si>
  <si>
    <t>https://www.dmsguild.com/product/305891/Palants-Guide-to-Combat?affiliate_id=759617</t>
  </si>
  <si>
    <t>Auril Frostmaiden’s Holy Symbol</t>
  </si>
  <si>
    <t>https://www.dmsguild.com/product/317569/Auril-Frostmaidens-Holy-Symbol?affiliate_id=759617</t>
  </si>
  <si>
    <t>Press of Eberron</t>
  </si>
  <si>
    <t>https://www.dmsguild.com/product/297874/Press-of-Eberron?affiliate_id=759617</t>
  </si>
  <si>
    <t>Baldur’s Mouth Newspaper Template</t>
  </si>
  <si>
    <t>https://www.dmsguild.com/product/315373/Baldurs-Mouth-Newspaper-Template?affiliate_id=759617</t>
  </si>
  <si>
    <t>Broadsheets of Waterdeep</t>
  </si>
  <si>
    <t>https://www.dmsguild.com/product/290786/Broadsheets-of-Waterdeep?affiliate_id=759617</t>
  </si>
  <si>
    <t>Waterdeep in tables</t>
  </si>
  <si>
    <t>https://www.dmsguild.com/product/247012/Waterdeep-in-tables?affiliate_id=759617</t>
  </si>
  <si>
    <t>Palant’s guide to Exploring Sword Coast</t>
  </si>
  <si>
    <t>https://www.dmsguild.com/product/314810/Palants-guide-to-Exploring-Sword-Coast?affiliate_id=759617</t>
  </si>
  <si>
    <t>Salvation bases and missions in tables</t>
  </si>
  <si>
    <t>https://www.dmsguild.com/product/309280/Salvation-bases-and-missions-in-tables?affiliate_id=759617</t>
  </si>
  <si>
    <t>Flaming Fist</t>
  </si>
  <si>
    <t>https://www.dmsguild.com/product/289077/Flaming-Fist?affiliate_id=759617</t>
  </si>
  <si>
    <t>Sorcerous Sundries — Compendium of Magic Items from Baldur’s Gate — Armors and Helmets</t>
  </si>
  <si>
    <t>https://www.dmsguild.com/product/278467/Sorcerous-Sundries—Compendium-of-Magic-Items-from-Baldurs-Gate—Armors-and-Helmets?affiliate_id=759617</t>
  </si>
  <si>
    <t>Herbs of Forgotten Realms</t>
  </si>
  <si>
    <t>https://www.dmsguild.com/product/291511/Herbs-of-Forgotten-Realms?affiliate_id=759617</t>
  </si>
  <si>
    <t>Coins of Forgotten Realms in tables</t>
  </si>
  <si>
    <t>https://www.dmsguild.com/product/314838/Coins-of-Forgotten-Realms-in-tables?affiliate_id=759617</t>
  </si>
  <si>
    <t>Sorcerous Sundries — Compendium of Magic Items from Baldur’s Gate — Boots</t>
  </si>
  <si>
    <t>https://www.dmsguild.com/product/296982/Sorcerous-Sundries—Compendium-of-Magic-Items-from-Baldurs-Gate—Boots?affiliate_id=759617</t>
  </si>
  <si>
    <t>Languages of Forgotten Realms in Table</t>
  </si>
  <si>
    <t>https://www.dmsguild.com/product/308995/Languages-of-Forgotten-Realms-in-Table?affiliate_id=759617</t>
  </si>
  <si>
    <t>Baldur’s Gate in Tables</t>
  </si>
  <si>
    <t>https://www.dmsguild.com/product/294548/Baldurs-Gate-in-Tables?affiliate_id=759617</t>
  </si>
  <si>
    <t>City Watch of Baldur’s Gate</t>
  </si>
  <si>
    <t>https://www.dmsguild.com/product/294551/City-Watch-of-Baldurs-Gate?affiliate_id=759617</t>
  </si>
  <si>
    <t>Sorcerous Sundries — Compendium of Magic Items from Baldur’s Gate</t>
  </si>
  <si>
    <t>https://www.dmsguild.com/product/276163/Sorcerous-Sundries—Compendium-of-Magic-Items-from-Baldurs-Gate?affiliate_id=759617</t>
  </si>
  <si>
    <t>Palant Excel Inventory template</t>
  </si>
  <si>
    <t>https://www.dmsguild.com/product/247019/Palant-Excel-Inventory-template?affiliate_id=759617</t>
  </si>
  <si>
    <t>ГОД</t>
  </si>
  <si>
    <t>СОБЫТИЕ/</t>
  </si>
  <si>
    <t>1409 Year of True Omens</t>
  </si>
  <si>
    <t xml:space="preserve">Birth of Foril Obarskyr, second son of </t>
  </si>
  <si>
    <t>Azoun V and Queen Nalara.</t>
  </si>
  <si>
    <t>1371 Year of the unstrung Harp</t>
  </si>
  <si>
    <t xml:space="preserve">Birth of Azoun V of Cormyr. Death of </t>
  </si>
  <si>
    <t xml:space="preserve">Azoun IV and Crown Princess Tanalasta </t>
  </si>
  <si>
    <t xml:space="preserve">Obarskyr. Beginning of the Steel Regency </t>
  </si>
  <si>
    <t>of Princess Alusair Nacacia.</t>
  </si>
  <si>
    <t>1384 Year of Three Streams Bloodied</t>
  </si>
  <si>
    <t xml:space="preserve">At the insistence of several members of </t>
  </si>
  <si>
    <t xml:space="preserve">Court and the young king, Azoun V is </t>
  </si>
  <si>
    <t xml:space="preserve">crowned King of Cormyr. </t>
  </si>
  <si>
    <t>1385 Year of Blue Fire</t>
  </si>
  <si>
    <t xml:space="preserve">The Spellplague begins with the murder of </t>
  </si>
  <si>
    <t xml:space="preserve">Mystra. Cormyr is struck hard, but not so </t>
  </si>
  <si>
    <t xml:space="preserve">violently as many other nations. Roughly </t>
  </si>
  <si>
    <t xml:space="preserve">one third of all Wizards of War are slain, </t>
  </si>
  <si>
    <t xml:space="preserve">driven mad, or go missing in the year </t>
  </si>
  <si>
    <t>following Mystra’s death.</t>
  </si>
  <si>
    <t>1390 Year of the Walking Man</t>
  </si>
  <si>
    <t xml:space="preserve">Death of the Dowager Dragon Queen, </t>
  </si>
  <si>
    <t xml:space="preserve">Filfaeril Selazair Obarskyr. </t>
  </si>
  <si>
    <t>1439 Year of the Silent Tear</t>
  </si>
  <si>
    <t xml:space="preserve">Cormyr and Sembia wage a series of </t>
  </si>
  <si>
    <t xml:space="preserve">increasingly hot battles, which escalates </t>
  </si>
  <si>
    <t xml:space="preserve">into full-scale war. </t>
  </si>
  <si>
    <t>1441 Year of Resurrections Rampant</t>
  </si>
  <si>
    <t xml:space="preserve">Treaty of Griffonfang Bridge: Pressured on </t>
  </si>
  <si>
    <t xml:space="preserve">all sides, Sembia (with approval from its </t>
  </si>
  <si>
    <t xml:space="preserve">Netherese governors) agree to a cessation </t>
  </si>
  <si>
    <t xml:space="preserve">of hostilities with Cormyr, the Dalelands, </t>
  </si>
  <si>
    <t>and Cormanthor. The uneasy cease-</t>
  </si>
  <si>
    <t xml:space="preserve">fire endures to this day. Daerlun and </t>
  </si>
  <si>
    <t xml:space="preserve">Urmlaspyr gain their independence from </t>
  </si>
  <si>
    <t>both nations.</t>
  </si>
  <si>
    <t>1449 Year of the Godly invitation</t>
  </si>
  <si>
    <t xml:space="preserve">Death of King Azoun V. Coronation of King </t>
  </si>
  <si>
    <t>Foril.</t>
  </si>
  <si>
    <t>1479 Year of the ageless One</t>
  </si>
  <si>
    <t>Present Day.</t>
  </si>
  <si>
    <t>Thistleflame Keep</t>
  </si>
  <si>
    <t>Kythorn</t>
  </si>
  <si>
    <t>Manshoon plans to conquer Cormyr via a conspiracy of unsatisfied nobles he influences, as Cormyr is on the brink of civil war. To further his goals he also secretly starts killing War Wizards.(E: EE)
Elminster having been 'slain' by Manshoon travels the Underdark below Cormyr as an sentient ashcloud. He discovers that the drow try to harvest silver fire by killing Chosen, among them Simrustar Aglamir. Her silver fire invigorates Elminster and both share the body of a she-drow as a vessel for their spirits.(E: EE)</t>
  </si>
  <si>
    <t>The 'Council of Dragons' is canceled and Cormyr tethers on the brink of civil war.(E: EE)</t>
  </si>
  <si>
    <t>Storm Silverhand travels through the Forest Kingdom, recruiting new Harpers. Meanwhile her sister, the Simbul uses bluefire artifacts to close planar rifts.</t>
  </si>
  <si>
    <t>Castle Urlingstar, a prison for sentenced nobles, suffers a string of murders. Events turn catastrophic as the southern tower is destroyed. In the end the few surviving staff and noble inmates flee the castle, teleporting directly to the royal gardens in Suzail. Rumors speak of a black dragon attacking, mage duels involving the likes of Elminster and Manshoon, drow assassins, and even state-sanctioned killings of the troublesome noble inmates (who are the source of that particular rumor).</t>
  </si>
  <si>
    <t>House Delcastle is attacked by nobles influenced by Manshoon, Delcastles' Matriarch and retainers are killed in the fight, but most of the attacking nobles die as well. </t>
  </si>
  <si>
    <t>The Simbul sacrifices herself to restore Elminster. Empowered by the collected magical energies and enraged over the losses he had to suffer, Elminster goes on a rampage, killing and punishing several deserving villians and ending Manshoon's plan for conquering Cormyr. In the end he uses the power to restore the vestige of Mystra back to full divinity. </t>
  </si>
  <si>
    <t>Storm, Elminster and Mirt the Moneylender start training the new Harpers. (E: EE)</t>
  </si>
  <si>
    <t>Turmish</t>
  </si>
  <si>
    <t>Uktar</t>
  </si>
  <si>
    <t>Festival of the Feast of the Moon</t>
  </si>
  <si>
    <t>Crown prince Baerovus abdicts the throne in favor of his sister Raedra Obarskyr, who is to be officially crowned in a tenday.</t>
  </si>
  <si>
    <t>Marpenoth</t>
  </si>
  <si>
    <t>The Second Fall of Myth Drannor</t>
  </si>
  <si>
    <t>High Prince Tanthul and his arcanist begin the ward-drain ritual devised by Prince Drathan Tanthul to drain the Mythal of Myth Drannor. (S:TH pg.)</t>
  </si>
  <si>
    <t>Sea of Fallen Stars</t>
  </si>
  <si>
    <t xml:space="preserve">Vilhon Wilds/Reach: </t>
  </si>
  <si>
    <t>soldier (1/2)</t>
  </si>
  <si>
    <t>guard (1/4)</t>
  </si>
  <si>
    <t>soldier (1)</t>
  </si>
  <si>
    <t>swordmajors</t>
  </si>
  <si>
    <t>(min. 10)</t>
  </si>
  <si>
    <t>A swordlord is simply the seniormost infantry officer within tactically effective communication range (within range of guidon signals or at most a few minutes gallop of a messenger), and may be any commissioned officer but is usually at least a lionar. There is only one swordlord in any given place and situation.</t>
  </si>
  <si>
    <t>Lancelord</t>
  </si>
  <si>
    <t>A lancelord is simply the seniormost cavalry officer within tactically effective communication range (within range of guidon signals or at most a few minutes gallop of a messenger), and may be any commissioned officer but is usually at least a lionar. There is only one lancelord in any given place and situation.</t>
  </si>
  <si>
    <t>This title is bestowed on the leader of a force of archers. This title is usually an officer or officer-equivalent (if the archers are militia or lord's men), but could also be applied to a senior enlisted person for a small force of archers. The reason that officers are called 'arrowmasters' instead of 'arrowlords' is that those who serve in archery units are commoners (or, at best, disgraced nobles or nobles going incognito) whereas nobles make up a sizeable proportion of the officer corps.</t>
  </si>
  <si>
    <t>Warden</t>
  </si>
  <si>
    <t>a Warden is not really a military title in and of itself; a warden is simply an official appointed by the King to enforce Crown laws and regulations in a specified area. The title of Warden is mentioned here because the majority of the holders of this title happen to also be military general officers. A Warden is empowered to appoint and deputize lesser officers and crown servants to help him in enforcing said laws and regulations, and when a warden is also a military officer he will use the Purple Dragons in his command in this capacity. The title of Warden is entirely separate from any other military titles and positions the holder may have; for example, that Battlemaster Baron Thomdor is Warden of the Eastern Marches means he is empowered to enforce the civil laws within the Eastern Marches and that is an entirely separate responsibility from his post as commander of the Army of the East despite the fact he uses his army as an instrument to enforce these civil laws and regulations as well as provide for the military security of the region. The Warden of the Port of Marsember is another example of this, as Lord Admiral Ayesunder Truesilver has the power to collect customs duties as well as enforce the civil laws of the port as well as the military authority of the garrison and fleet. An example of a warden that is not a military officer is Maestoon Huntsilver, the Warden of the King's Forest. Maestoon is responsible for the health of the forest and the game within and has the power to enforce the King's regulations on logging and hunting and employs many foresters, rangers and guides to help him, but he has no responsibility for military security nor does he have any military forces under his command. The King may grant the title of Warden to anyone he wishes, but historically it is granted almost entirely to nobles with the only exceptions being non-nobles of exceptional ability to do the job. In these few latter cases, more often than not a noble title will also accompany the title of Warden</t>
  </si>
  <si>
    <t>Warden of the Port of Marsember</t>
  </si>
  <si>
    <t> boldshield is the enforcing authority of the King's law and will within a district (i.e. a local regional territory within Cormyr). The territory that a Warden is responsible for will usually be divided into several districts and a person appointed the boldshield of that district to take care of the day-to-day enforcement tasks. Boldshields will often, but not necessarily, be Purple Dragon officers that are garrisoned within the district. One example of a boldshield is the Purple Dragon officer Ergluth Rowanmantle, who is the boldshield of the Northtrees March district (which is in the foothills of the Thunder Peaks north of the Immerflow.]</t>
  </si>
  <si>
    <t>Boldshield</t>
  </si>
  <si>
    <t>the position of guidon is usually given to a blade or, in larger units, a first sword. The guidon is the one who carries the unit's standard — a flag, banner or some other sort of heraldry. It is considered a great honor to be a unit's standard bearer because the standard is the symbol of the unit itself, and some say it is even the heart and soul of a unit. If the standard falls or is captured, it is damaging to the morale of the entire unit. The standard also serves a more practical purpose: it indicates the location of the unit, and where it is to form up or rally, so it is a way to maintain some semblance of order and control on the battlefield. For this reason, the guidon is always near the commanding officer of the unit.</t>
  </si>
  <si>
    <t>Guidon</t>
  </si>
  <si>
    <t xml:space="preserve">Suggested Pay (gp/month) ||| 1372 </t>
  </si>
  <si>
    <t>Abbr.</t>
  </si>
  <si>
    <t>Squad</t>
  </si>
  <si>
    <t>First Sword leads 10 blades and a Royal Scout.</t>
  </si>
  <si>
    <t>Company</t>
  </si>
  <si>
    <t>CPY</t>
  </si>
  <si>
    <t>Kadrath</t>
  </si>
  <si>
    <t>KDR</t>
  </si>
  <si>
    <t>Battalion</t>
  </si>
  <si>
    <t>Regiment</t>
  </si>
  <si>
    <t>RGT</t>
  </si>
  <si>
    <t>SQD</t>
  </si>
  <si>
    <t>BTN</t>
  </si>
  <si>
    <t>Composition</t>
  </si>
  <si>
    <t xml:space="preserve"> Swordlord</t>
  </si>
  <si>
    <t>A respected Purple Dragon officer (or a noble serving as commander of Purple Dragons); used to elevate the subject in the eyes of the listener.</t>
  </si>
  <si>
    <t>Orderly</t>
  </si>
  <si>
    <t>An enlisted soldier assigned to attend and perform various tasks for a senior officer; a soldier who serves as an attendant to a senior officer. Orderlies are usually blades, but a senior officer with several orderlies usually has a first sword as a lead orderly.</t>
  </si>
  <si>
    <t>Company Swordmajor</t>
  </si>
  <si>
    <t>this position is filled by an experienced soldier with the rank of swordmajor. He acts as a second-in-command of a company under the swordcaptain, and is also an advisor to the swordcaptain. Swordcaptains are usually unseasoned and young officers, and it falls to the company swordmajor to gently and tactfully guide them in matters of small-unit tactics and leadership. When these young men are wise enough to listen to their company swordmajors, they often turn out to be fine officers. Those swordcaptains who don't listen to the words of their company swordmajor (usually young high-nose nobles) end up dead in combat with regretful frequency along with many of their men.</t>
  </si>
  <si>
    <t>Drillmaster</t>
  </si>
  <si>
    <t xml:space="preserve"> this position is one almost always filled by one with the rank of swordmajor, and this senior enlisted position has the task of training the soldiers both in military maneuvers and marches and in weapon use. When not functioning in this capacity, the drillmaster functions as a guard for the headquarters and unit commander.</t>
  </si>
  <si>
    <t>Campmaster</t>
  </si>
  <si>
    <t>this position is one almost always filled by one with the rank of swordmajor, and this senior enlisted position has the task of supervising the set-up and tear-down of camps and bivouacs when the unit is on the move. The campmaster's particular concerns are the organization, security and sanitation of the camp. He will insure that the tents and facilities are arranged in manner that will not obstruct the functioning of the camp, schedule round-the-clock watches, and see to it that proper privies and garbage disposal pits are dug to minimize the spread of disease among the soldiers. When not functioning in this capacity, the drillmaster functions as a guard for the headquarters and unit commander.</t>
  </si>
  <si>
    <t>the quartermaster is a vital duty that no large military formation can function without. A unit's quartermaster is the one in charge of all matters logistical — supplies, transport and the like — and is in charge of the supply train of wagons that always follow any large unit on the march. It is the quartermaster's duty to make sure that everyone in the unit has the supplies needed to function and fight, from food to tents to weapons and armor. Normally, the quartermaster will hire on (at crown expense of course) a number of civilian drovers, armorers, weaponsmiths, blacksmiths, wagonwrights, canvas-sewers and so forth to provide the need for such skills that any large military unit requires. This does not count the larger number of civilian camp followers (of various and often unseemly callings) that often accompany large units on the march that the quartermaster does not authorize request or pay for, much to the chagrin of some officers. Such an important responsibility would seem to justify an officer rank, and does in many other militaries, but it is a long-held tradition in the Purple Dragons to assign this task to a senior swordmajor of many years of service so that the officers can concentrate on more combat-oriented matters. The swordmajors assigned this vital task have perhaps more authority than any other enlisted person save the regimental swordmajor.</t>
  </si>
  <si>
    <t>Regimental swordmajor</t>
  </si>
  <si>
    <t>the swordmajor holding this position is the single most senior enlisted person in the regiment. He represents the interests of all the enlisted people to the commander of the regiment and advises him on matters that concern them. The regimental swordmajor also keeps an eye on the morale of the enlisted soldiers and can keep the constal appraised of any potential problems, or solve those problems without needing to involve the officers. The regimental swordmajor is also responsible for overseeing and evaluating the performance of the other swordmajors and can advise the officers about which are ready for more responsibility. Although the drillmaster of the kadrath has the immediate day-to-day responsibility for training the soldiers, it is the regimental swordmajor who is finally responsible to the constal for the training performance and conduct of all the regiment's enlisted personnel.</t>
  </si>
  <si>
    <t>Aide-de-camp (sometimes called an adjutant)</t>
  </si>
  <si>
    <t>An aide-de-camp is a commissioned officer who serves a general officer as a secretary and confidential assistant. The aide helps the general officer with administrative duties, often handling lesser details for the general officer.</t>
  </si>
  <si>
    <t>Yeoman Bridge</t>
  </si>
  <si>
    <t>Castle Crag Garrison:
commanded by the Lord Commander of Castle Crag, Oversword Sir Bren Tallsword (LN hm Ftr8/Prp2)
part of the Army of the East under Baron Thomdor [GTR,p.48]
1 medium infantry regiment
Regimental Headquarters and 1 squadron of the 2nd Mounted Airborne Regiment
Minor garrisons or detachments supported out of the Castle Crag garrison
Slingdyke: one squad of infantry
[VGtC,p.186: a Purple Dragon guardpost is located in a little walled compound with a small keep just east of the ruins, and one of the two farms is rumored to actually house a war wizard with a bodyguard of poorly disguised purple dragons.]
Hillmarch: one squad of infantry
[VGtC,p.184: a tiny Purple Dragon garrison in tiny Hillmarch Keep, and at least one war wizard.]
Gnollpost: one squad of infantry
[VGtC,p.184: an outpost in the heart of Gnoll Pass.]</t>
  </si>
  <si>
    <t>High Horn Garrison
commanded by the Lord Commander of High Horn, Oversword Thursk Dembarron (LG hm Pal15)
part of the Army of the West
Regimental Headquarters and 1 battalion of light infantry
1 archer battery
Minor garrisons or detachments supported out of the High Horn garrison
Tyrluk: one company of infantry
[C9410, inside cover says there are only militia here, but VGtC,p.173 mentions a local garrison of 14 men and 4 women, and VGtC,p.172 also mentions that war wizards are assigned to local guardhouses and are ordered to accompany road patrols.]</t>
  </si>
  <si>
    <t>Mootpost</t>
  </si>
  <si>
    <t>Gnollpost</t>
  </si>
  <si>
    <t>GARRISON</t>
  </si>
  <si>
    <t>Immersea: one company of infantry
[C9410: the inside cover claims there is no Purple Dragon garrison here (militia only), but VGtC,pp.152-153 mentions a detachment of unspecified size.]</t>
  </si>
  <si>
    <t>Jester's Green: 1 troop of cavalry is stationed here and rotated periodically but there are almost always additional Purple Dragons passing through.
[VGtC,p.159: Jester's Green contains permanent Purple Dragon barracks, and it stands to reason that a permanent barracks would be permanently occupied. There is a once-a-tenday horse auction, so it would make sense for at least some of the garrison to be cavalry.]</t>
  </si>
  <si>
    <t>INFANTRY</t>
  </si>
  <si>
    <t>CAVALRY</t>
  </si>
  <si>
    <t>OTHERS</t>
  </si>
  <si>
    <t>Mounted Airborne Regiment</t>
  </si>
  <si>
    <t>Archer Battery</t>
  </si>
  <si>
    <t xml:space="preserve">Royal Corps of Monster Hunters </t>
  </si>
  <si>
    <t xml:space="preserve">Unit Type </t>
  </si>
  <si>
    <t># Units</t>
  </si>
  <si>
    <t>Average # of soldiers</t>
  </si>
  <si>
    <t>Total in Unit Type</t>
  </si>
  <si>
    <t>GRAND TOTAL</t>
  </si>
  <si>
    <t>GROUP</t>
  </si>
  <si>
    <t>Lady Tessaril Winter</t>
  </si>
  <si>
    <t>Personality</t>
  </si>
  <si>
    <t>Goals</t>
  </si>
  <si>
    <t>The lord of Eveningstar is the former adventurer and one-time consort of King Azoun IV known as Tessaril Winter. She is attentive, considerate, and utterly loyal to the crown, serving as wise counsel to four generations of Obarskyr monarchs. She is particularly attentive to the new queen, Raedra, and frequently hosts the young queen at her home. Despite her advanced age, the lord is quite striking. She stands six feet in height, with long ilver hair and piercing blue eyes. Her once slim, muscular build has grown frail with age, but she still walks rigidly upright and carries herself with poise and dignity. She typically wears simple dark robes while at home in er tower or a leather jacket and riding breeches when out amongst the people. Perched on her shoulder is her ever-present companion, her tressym familiar, who insists on tasting all of her food and drink and has saved her from poisoning more times than anyone can count.</t>
  </si>
  <si>
    <t>friendly, loyal, assertive</t>
  </si>
  <si>
    <t>prosperity and well-being of Eveningstar</t>
  </si>
  <si>
    <t>Harlaen Jerlak</t>
  </si>
  <si>
    <t>Maloren's Rest</t>
  </si>
  <si>
    <t>Terrrinton</t>
  </si>
  <si>
    <t>Priapurl</t>
  </si>
  <si>
    <t>Teziir</t>
  </si>
  <si>
    <t>1915 Hu
469 Mf</t>
  </si>
  <si>
    <t>GARRISON size</t>
  </si>
  <si>
    <t>489 Hu 151 Hlf</t>
  </si>
  <si>
    <t>678 Hu 215 Elf 300 Dw</t>
  </si>
  <si>
    <t>Collinwood</t>
  </si>
  <si>
    <t>1255 Hu 1750 Hfl</t>
  </si>
  <si>
    <t>789 Hu 450 Dw 643 Hfl</t>
  </si>
  <si>
    <t>SAGES</t>
  </si>
  <si>
    <t>FENCERS</t>
  </si>
  <si>
    <t>SAGE</t>
  </si>
  <si>
    <t>fencer specialization</t>
  </si>
  <si>
    <t>group</t>
  </si>
  <si>
    <t>fencer specialization group</t>
  </si>
  <si>
    <t>fencer cost</t>
  </si>
  <si>
    <t>MINOR FIELDS</t>
  </si>
  <si>
    <t>Min</t>
  </si>
  <si>
    <t>Reaction2</t>
  </si>
  <si>
    <t>FIELD</t>
  </si>
  <si>
    <t>SPECIALIZATION</t>
  </si>
  <si>
    <t>Sage generation</t>
  </si>
  <si>
    <t>Armor </t>
  </si>
  <si>
    <t>Weapons, Armors, Metalwork</t>
  </si>
  <si>
    <t>Dice Score</t>
  </si>
  <si>
    <t>Minor Fields</t>
  </si>
  <si>
    <t>Special Categories In Major Field</t>
  </si>
  <si>
    <t>Fine metalwork</t>
  </si>
  <si>
    <t>Poisons and Alchemy</t>
  </si>
  <si>
    <t>Poisons </t>
  </si>
  <si>
    <t>Coins &amp; gems</t>
  </si>
  <si>
    <t>Forbidden alchemical substances</t>
  </si>
  <si>
    <t>Regalia</t>
  </si>
  <si>
    <t>Delivery systems of such </t>
  </si>
  <si>
    <t>Carving</t>
  </si>
  <si>
    <t>Coins </t>
  </si>
  <si>
    <t>Furniture &amp; households</t>
  </si>
  <si>
    <t>Gems </t>
  </si>
  <si>
    <t xml:space="preserve">Exotic </t>
  </si>
  <si>
    <t>Regalia &amp; Uniforms</t>
  </si>
  <si>
    <t>Spices, drugs, wines</t>
  </si>
  <si>
    <t>Carvings </t>
  </si>
  <si>
    <t>Magic items</t>
  </si>
  <si>
    <t>Field of Knowledge</t>
  </si>
  <si>
    <t>Field of Knowledge of Sage</t>
  </si>
  <si>
    <t>Probabilty</t>
  </si>
  <si>
    <t>Statuary </t>
  </si>
  <si>
    <t>Horses</t>
  </si>
  <si>
    <t>Physical Universe</t>
  </si>
  <si>
    <t xml:space="preserve">Architecture &amp; Engineering </t>
  </si>
  <si>
    <t>Humankind</t>
  </si>
  <si>
    <t>Furniture </t>
  </si>
  <si>
    <t>Ships</t>
  </si>
  <si>
    <t>Humanoid races</t>
  </si>
  <si>
    <t>Distinctive Household Goods </t>
  </si>
  <si>
    <t>Books, scrolls</t>
  </si>
  <si>
    <t>Humanoid &amp; Giants</t>
  </si>
  <si>
    <t>Exotic Creatures •</t>
  </si>
  <si>
    <t xml:space="preserve">Geology &amp; Mineralogy </t>
  </si>
  <si>
    <t>Exotic Plants</t>
  </si>
  <si>
    <t xml:space="preserve">Meteorology &amp; Climatology </t>
  </si>
  <si>
    <t>Slaves </t>
  </si>
  <si>
    <t>Spices</t>
  </si>
  <si>
    <t>Scents </t>
  </si>
  <si>
    <t>Wines </t>
  </si>
  <si>
    <t>D10</t>
  </si>
  <si>
    <t>Drugs </t>
  </si>
  <si>
    <t>Humans/Demihumans</t>
  </si>
  <si>
    <t>Tapestries</t>
  </si>
  <si>
    <t>Law &amp; Customs</t>
  </si>
  <si>
    <t>Perfumes </t>
  </si>
  <si>
    <t>Philosophy &amp; Ethics</t>
  </si>
  <si>
    <t>Politics &amp; Genealogy</t>
  </si>
  <si>
    <t>Horses </t>
  </si>
  <si>
    <t>Psychology</t>
  </si>
  <si>
    <t>Harnesses </t>
  </si>
  <si>
    <t>Sociology</t>
  </si>
  <si>
    <t>Theology &amp; Myth</t>
  </si>
  <si>
    <t>Shipboard Equipment </t>
  </si>
  <si>
    <t>Art &amp; Music</t>
  </si>
  <si>
    <t>Cargos </t>
  </si>
  <si>
    <t>Humanoids and Giants</t>
  </si>
  <si>
    <t xml:space="preserve">Biology </t>
  </si>
  <si>
    <t>Scrolls</t>
  </si>
  <si>
    <t>D20</t>
  </si>
  <si>
    <t xml:space="preserve">Languages </t>
  </si>
  <si>
    <t>Demography</t>
  </si>
  <si>
    <t>Biology</t>
  </si>
  <si>
    <t>Languages</t>
  </si>
  <si>
    <t>Legends &amp; Folklore</t>
  </si>
  <si>
    <t>Theology, Religion, and Myth</t>
  </si>
  <si>
    <t>D8</t>
  </si>
  <si>
    <t>Martial Hirelings Costs</t>
  </si>
  <si>
    <t>Spellcasting Hirelings Costs</t>
  </si>
  <si>
    <t>CHARACTER</t>
  </si>
  <si>
    <t>Challenge</t>
  </si>
  <si>
    <t>ECL</t>
  </si>
  <si>
    <t>EQUIPMENT COST (5E)</t>
  </si>
  <si>
    <t>DESCRIPTION</t>
  </si>
  <si>
    <t>LINK TO STATBLOCK</t>
  </si>
  <si>
    <t>PAY PER DAY, GP</t>
  </si>
  <si>
    <t>WAGES, GP</t>
  </si>
  <si>
    <t>UPKEEP, GP</t>
  </si>
  <si>
    <t>ONE JOB, GP</t>
  </si>
  <si>
    <t>PAY PER MONTH, GP</t>
  </si>
  <si>
    <t>PAY PER MONTH (IN GARRISON), GP</t>
  </si>
  <si>
    <t>NPC stat block</t>
  </si>
  <si>
    <t>SPELLCASTING LEVEL</t>
  </si>
  <si>
    <t>Описание</t>
  </si>
  <si>
    <t>Pay per day, gp</t>
  </si>
  <si>
    <t>MORALE  MODIFIERS</t>
  </si>
  <si>
    <t>Archer</t>
  </si>
  <si>
    <t>https://www.dndbeyond.com/monsters/archer</t>
  </si>
  <si>
    <t>VGtM 210</t>
  </si>
  <si>
    <t>Abjurer</t>
  </si>
  <si>
    <t>VGtM 209</t>
  </si>
  <si>
    <t>Attitude</t>
  </si>
  <si>
    <t>Means</t>
  </si>
  <si>
    <t>Possible Actions</t>
  </si>
  <si>
    <t>Enlistment Or Association</t>
  </si>
  <si>
    <t>Training Or Status Level</t>
  </si>
  <si>
    <t>Pay Or Treasure Shared</t>
  </si>
  <si>
    <t>Discipline/Activity</t>
  </si>
  <si>
    <t>General Treatment By Liege</t>
  </si>
  <si>
    <t>Alignment of Liege</t>
  </si>
  <si>
    <t>Special Considerations</t>
  </si>
  <si>
    <t>Situation Modifiers</t>
  </si>
  <si>
    <t>Archer (long bow)</t>
  </si>
  <si>
    <t>PALANT'S GUIDE TO COMBAT</t>
  </si>
  <si>
    <t>https://www.dndbeyond.com/monsters/acolyte</t>
  </si>
  <si>
    <t>MM 342</t>
  </si>
  <si>
    <t>Hostile</t>
  </si>
  <si>
    <t>Will take risks to hurt you.</t>
  </si>
  <si>
    <t>Attack, interfere, berate, flee.</t>
  </si>
  <si>
    <t>associated non-player character</t>
  </si>
  <si>
    <t>untrained or peasant</t>
  </si>
  <si>
    <t>none/one</t>
  </si>
  <si>
    <t>inhuman and heartless</t>
  </si>
  <si>
    <t>lawful good</t>
  </si>
  <si>
    <t>killed faithful henchman or hireling in front of a witness(es)</t>
  </si>
  <si>
    <t>liege dead or surrounded and outnumbered</t>
  </si>
  <si>
    <t>Archer (short bow)</t>
  </si>
  <si>
    <t>https://www.dndbeyond.com/monsters/apprentice-wizard</t>
  </si>
  <si>
    <t>Unfriendly</t>
  </si>
  <si>
    <t>Wishes you ill.</t>
  </si>
  <si>
    <t>Mislead, gossip, avoid, watch suspiciously, insult.</t>
  </si>
  <si>
    <t>captured and enlisted</t>
  </si>
  <si>
    <t>little training, levied troops</t>
  </si>
  <si>
    <t>partial, late, or unfair</t>
  </si>
  <si>
    <t>lax/little</t>
  </si>
  <si>
    <t>cruel and domineering</t>
  </si>
  <si>
    <t>lawful neutral</t>
  </si>
  <si>
    <t>tortured faithful henchman or hireling in front of a witeness(es)</t>
  </si>
  <si>
    <t>liege hors de combat</t>
  </si>
  <si>
    <t>scimitar, light crossbow, bolt case, 20 bolts, traveler clothes, bedroll, mess kit, backpack, waterskin x2</t>
  </si>
  <si>
    <t>https://www.dndbeyond.com/monsters/bandit</t>
  </si>
  <si>
    <t>MM 343</t>
  </si>
  <si>
    <t>https://www.dndbeyond.com/monsters/bard</t>
  </si>
  <si>
    <t>VGtM 211</t>
  </si>
  <si>
    <t>Indifferent</t>
  </si>
  <si>
    <t>Doesn't much care.</t>
  </si>
  <si>
    <t>Socially expected interaction.</t>
  </si>
  <si>
    <t>henchman</t>
  </si>
  <si>
    <t>newly recruited regulars</t>
  </si>
  <si>
    <t>average</t>
  </si>
  <si>
    <t>firm and harsh/occasional</t>
  </si>
  <si>
    <t>indifferent and uncaring or variable</t>
  </si>
  <si>
    <t>lawful evil</t>
  </si>
  <si>
    <t>reputed to have slain faithful henchmen or hirelings or actually left them to die</t>
  </si>
  <si>
    <t>each henchman dead or hors de combat</t>
  </si>
  <si>
    <t>https://www.dndbeyond.com/monsters/bandit-captain</t>
  </si>
  <si>
    <t>MM 344</t>
  </si>
  <si>
    <t>Conjurer</t>
  </si>
  <si>
    <t>VGtM 212</t>
  </si>
  <si>
    <t>Friendly</t>
  </si>
  <si>
    <t>Wishes you well.</t>
  </si>
  <si>
    <t>Chat, advise, offer limited help, advocate.</t>
  </si>
  <si>
    <t>hired mercenary</t>
  </si>
  <si>
    <t>trained regulars</t>
  </si>
  <si>
    <t>above average, choice shares</t>
  </si>
  <si>
    <t>firm and fair/often</t>
  </si>
  <si>
    <t>just and invariable</t>
  </si>
  <si>
    <t>neutral good</t>
  </si>
  <si>
    <t>foresworn or oath breaker or deserter</t>
  </si>
  <si>
    <t>each hit die or level dead, friendly</t>
  </si>
  <si>
    <t>https://www.dndbeyond.com/monsters/berserker</t>
  </si>
  <si>
    <t>https://www.dndbeyond.com/monsters/cult-fanatic</t>
  </si>
  <si>
    <t>Helpful</t>
  </si>
  <si>
    <t>Will take risks to help you.</t>
  </si>
  <si>
    <t>Protect, back up, heal,aid.</t>
  </si>
  <si>
    <t>hired mercenary, short term</t>
  </si>
  <si>
    <t>elite, sub-officers, minor officials/expert hireling</t>
  </si>
  <si>
    <t>exceptional, bonuses, gift items*</t>
  </si>
  <si>
    <t>just, kind, and invariable</t>
  </si>
  <si>
    <t>rumored to have tortured faithful henchmen or hirelings</t>
  </si>
  <si>
    <t>each hit die or level alive, enemy</t>
  </si>
  <si>
    <t>Blackguard</t>
  </si>
  <si>
    <t>Diviner</t>
  </si>
  <si>
    <t>VGtM 213</t>
  </si>
  <si>
    <t>slave</t>
  </si>
  <si>
    <t>guards, officers, or major officials/henchmen</t>
  </si>
  <si>
    <t>chaotic good</t>
  </si>
  <si>
    <t>discharged faithful henchmen or hirelings without cause</t>
  </si>
  <si>
    <t>each hit die or level dead, enemy</t>
  </si>
  <si>
    <t>https://www.dndbeyond.com/monsters/druid</t>
  </si>
  <si>
    <t>MM 346</t>
  </si>
  <si>
    <t>Initial Attitude</t>
  </si>
  <si>
    <t xml:space="preserve">Unfriendly </t>
  </si>
  <si>
    <t>less than 1 month</t>
  </si>
  <si>
    <t>chaotic neutral</t>
  </si>
  <si>
    <t>given a choice gift or bonus within last two months (hireling) or three months (henchman)</t>
  </si>
  <si>
    <t>each hit die or level alive, friendly</t>
  </si>
  <si>
    <t>Crossbowman</t>
  </si>
  <si>
    <t>Enchanter</t>
  </si>
  <si>
    <t>Less than 20</t>
  </si>
  <si>
    <t>less than 1 year</t>
  </si>
  <si>
    <t>neutral evil</t>
  </si>
  <si>
    <t>risked life for within last six months (hireling) or one year (henchman)</t>
  </si>
  <si>
    <t>each henchman present, in sight, alive</t>
  </si>
  <si>
    <t>Elite thug</t>
  </si>
  <si>
    <t>Evoker</t>
  </si>
  <si>
    <t>VGtM 214</t>
  </si>
  <si>
    <t>Less than 5</t>
  </si>
  <si>
    <t>1 to 5 years</t>
  </si>
  <si>
    <t>chaotic evil</t>
  </si>
  <si>
    <t>ransomed or rescued within one year</t>
  </si>
  <si>
    <t>liege present, in sight, alive</t>
  </si>
  <si>
    <t>Elite veteran</t>
  </si>
  <si>
    <t>Illusionist</t>
  </si>
  <si>
    <t>Less than 1</t>
  </si>
  <si>
    <t>more than 5 years</t>
  </si>
  <si>
    <t>saved life directly or personally</t>
  </si>
  <si>
    <t>Elvish veteran archer</t>
  </si>
  <si>
    <t>MM 347</t>
  </si>
  <si>
    <t>uses and diminishes his or her own magic to benefit the NPC (including use of spells, especially cures).</t>
  </si>
  <si>
    <t>Field medic</t>
  </si>
  <si>
    <t>Necromancer</t>
  </si>
  <si>
    <t>VGtM 217</t>
  </si>
  <si>
    <t>returned henchman or hireling to normal state from death-like state, had raised or resurrected</t>
  </si>
  <si>
    <t>https://www.dndbeyond.com/monsters/priest</t>
  </si>
  <si>
    <t>MM 348</t>
  </si>
  <si>
    <t>Adjusted Loyalty Score</t>
  </si>
  <si>
    <t>Loyalty</t>
  </si>
  <si>
    <t>Behavior of henchmen or hireling</t>
  </si>
  <si>
    <t>chainshirt, shield, short sword, spear, light crossbow, bolt case, 20 bolts, traveler clothes, bedroll, mess kit, backpack, waterskin x2</t>
  </si>
  <si>
    <t>https://www.dndbeyond.com/monsters/guard</t>
  </si>
  <si>
    <t>Transmuter</t>
  </si>
  <si>
    <t>Less than 01</t>
  </si>
  <si>
    <t xml:space="preserve"> will attempt to kill, capture, harm, or desert at first possible opportunity</t>
  </si>
  <si>
    <t>Heavy cavalry</t>
  </si>
  <si>
    <t>Heavy warhorse with chainmail barding</t>
  </si>
  <si>
    <t>Uthgardt Shaman</t>
  </si>
  <si>
    <t>https://www.dndbeyond.com/monsters/uthgardt-shaman</t>
  </si>
  <si>
    <t>&lt;5</t>
  </si>
  <si>
    <t>Disloyal</t>
  </si>
  <si>
    <t xml:space="preserve"> will always seek own advantage regardless of circumstances</t>
  </si>
  <si>
    <t>Heavy infantry</t>
  </si>
  <si>
    <t>War priest</t>
  </si>
  <si>
    <t>5-10</t>
  </si>
  <si>
    <t>Little</t>
  </si>
  <si>
    <t xml:space="preserve"> will seek own advantage at first sign of weakness</t>
  </si>
  <si>
    <t>https://www.dndbeyond.com/monsters/knight</t>
  </si>
  <si>
    <t>Warlock, archfey</t>
  </si>
  <si>
    <t>VGtM 219</t>
  </si>
  <si>
    <t>Fair</t>
  </si>
  <si>
    <t xml:space="preserve"> will support cause if no great risk is involved</t>
  </si>
  <si>
    <t>Light cavalry</t>
  </si>
  <si>
    <t>Light warhorse,</t>
  </si>
  <si>
    <t>Warlock, fiend</t>
  </si>
  <si>
    <t>15-20</t>
  </si>
  <si>
    <t>Loyal</t>
  </si>
  <si>
    <t>will always attempt to further the ends of the liege, even at great risk</t>
  </si>
  <si>
    <t>Light infantry</t>
  </si>
  <si>
    <t>Warlock, great old one</t>
  </si>
  <si>
    <t>VGtM 220</t>
  </si>
  <si>
    <t>&gt;20</t>
  </si>
  <si>
    <t>Fanatical</t>
  </si>
  <si>
    <t xml:space="preserve"> will serve unquestioningly and lay down own life if necessary without hesitation</t>
  </si>
  <si>
    <t>Martial arts adept</t>
  </si>
  <si>
    <t>VGtM 216</t>
  </si>
  <si>
    <t>Master Thief</t>
  </si>
  <si>
    <t>night blade</t>
  </si>
  <si>
    <t>https://www.dndbeyond.com/monsters/master-thief</t>
  </si>
  <si>
    <t>Medium cavalry</t>
  </si>
  <si>
    <t>Goblins, Unorganized Folk</t>
  </si>
  <si>
    <t>Mounted archer</t>
  </si>
  <si>
    <t>Peasant Militia 6 Barbarian “Horde”</t>
  </si>
  <si>
    <t>Pirate Captain</t>
  </si>
  <si>
    <t>https://www.dndbeyond.com/monsters/pirate-captain</t>
  </si>
  <si>
    <t>Men-at-arms, Viking Raiders</t>
  </si>
  <si>
    <t>leather, longbow, quiver, 40 arrows, shortsword, traveler clothes, bedroll, mess kit, backpack, waterskin x2</t>
  </si>
  <si>
    <t>https://www.dndbeyond.com/monsters/scout</t>
  </si>
  <si>
    <t>MM 349</t>
  </si>
  <si>
    <t xml:space="preserve">Mounted </t>
  </si>
  <si>
    <t>+1</t>
  </si>
  <si>
    <t>Soldier, Archer</t>
  </si>
  <si>
    <t>https://critterdb.com:443/#/creature/view/5e115c77e5d4ba45eab9aff8</t>
  </si>
  <si>
    <t>Elite</t>
  </si>
  <si>
    <t>Soldier, Infantry</t>
  </si>
  <si>
    <t>chainmail, shield, longsword, dagger, light crossbow, bolt case, 20 bolts, traveler clothes, bedroll, mess kit, backpack, waterskin x2 </t>
  </si>
  <si>
    <t>https://critterdb.com:443/#/creature/view/5e11427de5d4ba45eab9aed3</t>
  </si>
  <si>
    <t>Fanatic</t>
  </si>
  <si>
    <t>+2</t>
  </si>
  <si>
    <t>Soldier, standard</t>
  </si>
  <si>
    <t>Spearman</t>
  </si>
  <si>
    <t>https://critterdb.com:443/#/creature/view/5e95844ab60f5b2a15c91164</t>
  </si>
  <si>
    <t>https://www.dndbeyond.com/monsters/spy</t>
  </si>
  <si>
    <t>https://www.dndbeyond.com/monsters/swashbuckler</t>
  </si>
  <si>
    <t>studded leather, mace, heavy crossbow, bolt case, 20 bolts, traveler clothes, bedroll, mess kit, backpack, waterskin x2</t>
  </si>
  <si>
    <t>https://www.dndbeyond.com/monsters/thug</t>
  </si>
  <si>
    <t>MM 350</t>
  </si>
  <si>
    <t>Tribal warrior</t>
  </si>
  <si>
    <t>https://www.dndbeyond.com/monsters/veteran</t>
  </si>
  <si>
    <t>Warrior</t>
  </si>
  <si>
    <t>https://critterdb.com/#/creature/view/5e9578bcb60f5b2a15c9107b</t>
  </si>
  <si>
    <t>Warrior (Thayan warrior)</t>
  </si>
  <si>
    <t>*If paid to create a a specific item, use item prices and working times instead. Price listed is for long-term retention of services. Prices do not include materials, tools, or weapons.</t>
  </si>
  <si>
    <t>Hireling</t>
  </si>
  <si>
    <t>Per Day</t>
  </si>
  <si>
    <t>*</t>
  </si>
  <si>
    <t>Animal tender/groom</t>
  </si>
  <si>
    <t>Architect/engineer</t>
  </si>
  <si>
    <t>Barrister</t>
  </si>
  <si>
    <t>Clerk</t>
  </si>
  <si>
    <t>Cook</t>
  </si>
  <si>
    <t>Entertainer/ performer</t>
  </si>
  <si>
    <t>Laborer</t>
  </si>
  <si>
    <t>Limner</t>
  </si>
  <si>
    <t>Maid</t>
  </si>
  <si>
    <t>Mason/craftsman</t>
  </si>
  <si>
    <t>Mercenary</t>
  </si>
  <si>
    <t>Mercenary horseman</t>
  </si>
  <si>
    <t>Mercenary leader</t>
  </si>
  <si>
    <t>+3 sp per level after 2nd.</t>
  </si>
  <si>
    <t>20 lvl - 24 sp per day</t>
  </si>
  <si>
    <t>Porter</t>
  </si>
  <si>
    <t>Smith</t>
  </si>
  <si>
    <t>Teamster</t>
  </si>
  <si>
    <t>Valet/lackey</t>
  </si>
  <si>
    <t>Market Class</t>
  </si>
  <si>
    <t>Toll</t>
  </si>
  <si>
    <t>Merchants</t>
  </si>
  <si>
    <t>Loads of Merchandise</t>
  </si>
  <si>
    <t>Passengers</t>
  </si>
  <si>
    <t>Shipping Contracts</t>
  </si>
  <si>
    <t>Cargo to be Shipped</t>
  </si>
  <si>
    <t>Range of Trade (Road)</t>
  </si>
  <si>
    <t>Range of Trade (Water)</t>
  </si>
  <si>
    <t>I</t>
  </si>
  <si>
    <t>1d6+15gp</t>
  </si>
  <si>
    <t>2d6+2</t>
  </si>
  <si>
    <t>6d8 loads</t>
  </si>
  <si>
    <t>2d4+1</t>
  </si>
  <si>
    <t>168 miles (28 hexes)</t>
  </si>
  <si>
    <t>480 miles (80 hexes)</t>
  </si>
  <si>
    <t>II</t>
  </si>
  <si>
    <t>1d10+10gp</t>
  </si>
  <si>
    <t>4d6 loads</t>
  </si>
  <si>
    <t>2d4</t>
  </si>
  <si>
    <t>144 miles (24 hexes)</t>
  </si>
  <si>
    <t>360 miles (60 hexes)</t>
  </si>
  <si>
    <t>III</t>
  </si>
  <si>
    <t>1d8+5gp</t>
  </si>
  <si>
    <t>3d4 loads</t>
  </si>
  <si>
    <t>96 miles (18 hexes)</t>
  </si>
  <si>
    <t>240 miles (40 hexes)</t>
  </si>
  <si>
    <t>IV</t>
  </si>
  <si>
    <t>1d6+3gp</t>
  </si>
  <si>
    <t>2d4 loads</t>
  </si>
  <si>
    <t>1d4-1</t>
  </si>
  <si>
    <t>72 miles (12 hexes)</t>
  </si>
  <si>
    <t>120 miles (20 hexes)</t>
  </si>
  <si>
    <t>1d6gp</t>
  </si>
  <si>
    <t>1d4 loads</t>
  </si>
  <si>
    <t>1d3-1</t>
  </si>
  <si>
    <t>48 miles (8 hexes)</t>
  </si>
  <si>
    <t>96 miles (16 hexes)</t>
  </si>
  <si>
    <t>VI</t>
  </si>
  <si>
    <t>1d3gp</t>
  </si>
  <si>
    <t>1d2 loads</t>
  </si>
  <si>
    <t>1d2-1</t>
  </si>
  <si>
    <t>24 miles (4 hexes)</t>
  </si>
  <si>
    <t>ПРАВИЛА ПО ТОРГОВЛЕ</t>
  </si>
  <si>
    <t>Предложение</t>
  </si>
  <si>
    <t>Спрос отсутствует</t>
  </si>
  <si>
    <t>Спрос низкий</t>
  </si>
  <si>
    <t>Спрос базовый</t>
  </si>
  <si>
    <t>Спрос Высокий</t>
  </si>
  <si>
    <t>Спрос крайне высокий</t>
  </si>
  <si>
    <t>Отсутствует</t>
  </si>
  <si>
    <t>Низкая</t>
  </si>
  <si>
    <t>Базовая</t>
  </si>
  <si>
    <t>Высокая</t>
  </si>
  <si>
    <t>Крайне высокая</t>
  </si>
  <si>
    <t>Спрос</t>
  </si>
  <si>
    <t>Поселок</t>
  </si>
  <si>
    <t>Деревня</t>
  </si>
  <si>
    <t>Небольшой город</t>
  </si>
  <si>
    <t>Город</t>
  </si>
  <si>
    <t>Мегаполис</t>
  </si>
  <si>
    <t>НАСЕЛЕНИЕ</t>
  </si>
  <si>
    <t>До 200</t>
  </si>
  <si>
    <t>До 1000</t>
  </si>
  <si>
    <t>До 5000</t>
  </si>
  <si>
    <t>До 25000</t>
  </si>
  <si>
    <t>Больше 25000</t>
  </si>
  <si>
    <t>х</t>
  </si>
  <si>
    <t>Низкий</t>
  </si>
  <si>
    <t>Базовый</t>
  </si>
  <si>
    <t>Высокий</t>
  </si>
  <si>
    <t>Крайне высокий</t>
  </si>
  <si>
    <t>к6</t>
  </si>
  <si>
    <t>Осложнение</t>
  </si>
  <si>
    <t xml:space="preserve">Low Value Goods    </t>
  </si>
  <si>
    <t>High Value Goods</t>
  </si>
  <si>
    <t>D100</t>
  </si>
  <si>
    <t>GOODS</t>
  </si>
  <si>
    <t>01-08</t>
  </si>
  <si>
    <t>Cotton/Wool/Flax</t>
  </si>
  <si>
    <t>Armor/Weapons</t>
  </si>
  <si>
    <t>Furs/Hides/Skins</t>
  </si>
  <si>
    <t>13-16</t>
  </si>
  <si>
    <t>Coffee/Tea</t>
  </si>
  <si>
    <t>19-22</t>
  </si>
  <si>
    <t>Ingots: Iron/Copper/Lead/Tin</t>
  </si>
  <si>
    <t>17-20</t>
  </si>
  <si>
    <t>Exotic Fruits</t>
  </si>
  <si>
    <t>23-26</t>
  </si>
  <si>
    <t>Lumber</t>
  </si>
  <si>
    <t>Leathers/Silks/Fabrics</t>
  </si>
  <si>
    <t>27-35</t>
  </si>
  <si>
    <t>Wine/Ale/Beer/Liquor</t>
  </si>
  <si>
    <t>31-33</t>
  </si>
  <si>
    <t>Gold/Silver/Electrum/Platinum Bars</t>
  </si>
  <si>
    <t>36-48</t>
  </si>
  <si>
    <t>Grain/Foodstuffs</t>
  </si>
  <si>
    <t>34- 37</t>
  </si>
  <si>
    <t>49-52</t>
  </si>
  <si>
    <t>Livestock/Slaves</t>
  </si>
  <si>
    <t>38-40</t>
  </si>
  <si>
    <t>Narcotics/Medicine</t>
  </si>
  <si>
    <t>53-65</t>
  </si>
  <si>
    <t>Sugar/Spices/Hemp/Jute/</t>
  </si>
  <si>
    <t>Perfumes</t>
  </si>
  <si>
    <t>Pipeweed/Herbs/Salt*</t>
  </si>
  <si>
    <t>47-48</t>
  </si>
  <si>
    <t>Ingots, Rare Metals</t>
  </si>
  <si>
    <t>66-69</t>
  </si>
  <si>
    <t>Dressed Stone</t>
  </si>
  <si>
    <t>49-50</t>
  </si>
  <si>
    <t>Rare Woods</t>
  </si>
  <si>
    <t>70-73</t>
  </si>
  <si>
    <t>Cloth/Fabric*</t>
  </si>
  <si>
    <t>51-63</t>
  </si>
  <si>
    <t>Religious Artifacts</t>
  </si>
  <si>
    <t>74-79</t>
  </si>
  <si>
    <t>Leather Goods</t>
  </si>
  <si>
    <t>64-85</t>
  </si>
  <si>
    <t>Scrolls/Books</t>
  </si>
  <si>
    <t>80-87</t>
  </si>
  <si>
    <t>Pewter/Bronze/Copperware/</t>
  </si>
  <si>
    <t>86-90</t>
  </si>
  <si>
    <t>Ingots: Electrum/Silver/Gold/ Platinum</t>
  </si>
  <si>
    <t>Ceramics</t>
  </si>
  <si>
    <t>91-98</t>
  </si>
  <si>
    <t>Laboratory Items</t>
  </si>
  <si>
    <t>88-95</t>
  </si>
  <si>
    <t>Wooden Items</t>
  </si>
  <si>
    <t>99-00</t>
  </si>
  <si>
    <t>Magical Components</t>
  </si>
  <si>
    <t>TRADING STATUS</t>
  </si>
  <si>
    <t>AVAILABILITY</t>
  </si>
  <si>
    <t>COST REGULATION</t>
  </si>
  <si>
    <t>Переизбыток</t>
  </si>
  <si>
    <t>Всегда</t>
  </si>
  <si>
    <t>область производит этот товар круглый год или очень часто, и вероятно экспортирует его в другие области.</t>
  </si>
  <si>
    <t>Излишек</t>
  </si>
  <si>
    <t>область производит этот товар сезонно или около главного источника производства. Торговцы часто покупают товар здесь и транспортируют его к областям более высокого требования.</t>
  </si>
  <si>
    <t>Обычно</t>
  </si>
  <si>
    <t>Обычная</t>
  </si>
  <si>
    <t>0%-10%</t>
  </si>
  <si>
    <t>Цены как в РИ. Товар вероятно производится и потребляется в данной области.</t>
  </si>
  <si>
    <t>Зависит от поставки</t>
  </si>
  <si>
    <t>Обычно всегда</t>
  </si>
  <si>
    <t>область производит товар, но мало. Торговцы транспортируют товар из соседних областей, чтобы продавать здесь.</t>
  </si>
  <si>
    <t>Разыскиваемый</t>
  </si>
  <si>
    <t>товар или не производится в местном масштабе, или в нём очень большая потребность. Торговцы мчатся, чтобы привезти товар в акую области.</t>
  </si>
  <si>
    <t>Популярный</t>
  </si>
  <si>
    <t>Иногда</t>
  </si>
  <si>
    <t>на товар в настоящее время очень большой спрос. Торговцы с большими поставками товара становятся очень богатыми.</t>
  </si>
  <si>
    <t>Требуется</t>
  </si>
  <si>
    <t>товар находится в большом дефиците, и даже богатые не могут иметь его в достатке. Большие города испытывают это условие чаще всего к еде из-за экологических опасностей. Торговцы путешествуют на большие расстояния, чтобы привезти товар в нужную область.</t>
  </si>
  <si>
    <t>Дефицит</t>
  </si>
  <si>
    <t>Чёрный рынок</t>
  </si>
  <si>
    <t xml:space="preserve"> Пища во время голода, медицинские препараты во времена эпидемий, оружие во время войны. Есть большая потребность и нет никаких поставок – те, кто имеет доступ к даже маленькому количеству товара может назначать свою цену, если только смогут защитить товар от тех, кому он нужен. Это условие возникает чаще всего, когда правительство полностью захватывает один тип товара. Для того, чтобы возникла такая ситуация, торговцы должны быть неспособны доставить товар в область. Поступление товара в область осуществляется посредством контрабандистов или людей с мощной магической поддержкой.</t>
  </si>
  <si>
    <t>CARAVANS OF SETTLEMENTS VARIOUS SIZES</t>
  </si>
  <si>
    <t>SETTLEMENT SIZE</t>
  </si>
  <si>
    <t>POPULATION LOW</t>
  </si>
  <si>
    <t>POPULATION HIGH</t>
  </si>
  <si>
    <t>GP LIMIT</t>
  </si>
  <si>
    <t>MERCHANT WEALTH</t>
  </si>
  <si>
    <t>CARAVAN WEALTH</t>
  </si>
  <si>
    <t>DC</t>
  </si>
  <si>
    <t>CARAVANGUARDS</t>
  </si>
  <si>
    <t>Thorpe</t>
  </si>
  <si>
    <t>Guards x2</t>
  </si>
  <si>
    <t>Hamlet</t>
  </si>
  <si>
    <t>Small town</t>
  </si>
  <si>
    <t>Guards x3, Soldier x1</t>
  </si>
  <si>
    <t>Large town</t>
  </si>
  <si>
    <t>Guards x9, Soldier x1, Veteran x1</t>
  </si>
  <si>
    <t>Small city</t>
  </si>
  <si>
    <t>Veteran x2, Soldier x4, Guards x12</t>
  </si>
  <si>
    <t>Large city</t>
  </si>
  <si>
    <t>Knight, Veteran x2, Priest x2, Soldier x10, Guards x12</t>
  </si>
  <si>
    <t>Metropolis</t>
  </si>
  <si>
    <t>Knight, Veteran x4, Priest x4, Soldier x14, Guards x24</t>
  </si>
  <si>
    <t>Market and Merchants</t>
  </si>
  <si>
    <t>Ship/Caravan</t>
  </si>
  <si>
    <t>Upfront Cost</t>
  </si>
  <si>
    <t>Ship Crew / Caravaneers</t>
  </si>
  <si>
    <t>Average Cargo Weight Carried</t>
  </si>
  <si>
    <t>Average Cargo Value Carried (Treasure Type)</t>
  </si>
  <si>
    <t>Average Monthly Costs</t>
  </si>
  <si>
    <t>Average Monthly Profits</t>
  </si>
  <si>
    <t>Small sailing ship</t>
  </si>
  <si>
    <t>10 sailors, 1 navigator, 1 captain</t>
  </si>
  <si>
    <t>10000 stone</t>
  </si>
  <si>
    <t>20000 (Q)</t>
  </si>
  <si>
    <t>Large sailing ship</t>
  </si>
  <si>
    <t>17 sailors, 2 navigators, 1 captain</t>
  </si>
  <si>
    <t>30000 stone</t>
  </si>
  <si>
    <t>64000 (R+Q)</t>
  </si>
  <si>
    <t>10 wagons</t>
  </si>
  <si>
    <t>20 guards, 2 sergeants, 1 leader</t>
  </si>
  <si>
    <t>6400 stone</t>
  </si>
  <si>
    <t>15000 (N+L)</t>
  </si>
  <si>
    <t>20 wagons</t>
  </si>
  <si>
    <t>40 guards, 4 sergeants, 1 leader</t>
  </si>
  <si>
    <t>12800 stone</t>
  </si>
  <si>
    <t>25000 (Q+H)</t>
  </si>
  <si>
    <t>30 wagons</t>
  </si>
  <si>
    <t>60 guards, 6 sergeants, 1 leader</t>
  </si>
  <si>
    <t>19200 stone</t>
  </si>
  <si>
    <t>40000 (Q+P)</t>
  </si>
  <si>
    <t>40 wagons</t>
  </si>
  <si>
    <t>80 guards, 8 sergeants, 1 leader</t>
  </si>
  <si>
    <t>25600 stone</t>
  </si>
  <si>
    <t>55000 (R+N)</t>
  </si>
  <si>
    <t>Common Merchandise</t>
  </si>
  <si>
    <t>Merchandise</t>
  </si>
  <si>
    <t>1 Load</t>
  </si>
  <si>
    <t>Enc. per Load (stone)</t>
  </si>
  <si>
    <t>Base Price</t>
  </si>
  <si>
    <t>01-04</t>
  </si>
  <si>
    <t>Grain, vegetables</t>
  </si>
  <si>
    <t>20 bags</t>
  </si>
  <si>
    <t>05-08</t>
  </si>
  <si>
    <t>Fish, preserved</t>
  </si>
  <si>
    <t>10 barrels</t>
  </si>
  <si>
    <t>09-12</t>
  </si>
  <si>
    <t>Wood, common</t>
  </si>
  <si>
    <t>1 cord of logs</t>
  </si>
  <si>
    <t>Animals</t>
  </si>
  <si>
    <t>(Roll 1d6 on Animals)</t>
  </si>
  <si>
    <t>By Animal</t>
  </si>
  <si>
    <t>Salt</t>
  </si>
  <si>
    <t>150 bricks</t>
  </si>
  <si>
    <t>21-25</t>
  </si>
  <si>
    <t>Beer, ale</t>
  </si>
  <si>
    <t>26-30</t>
  </si>
  <si>
    <t>Oil, lamp</t>
  </si>
  <si>
    <t>5 jars</t>
  </si>
  <si>
    <t>31-35</t>
  </si>
  <si>
    <t>Textiles</t>
  </si>
  <si>
    <t>4 bags</t>
  </si>
  <si>
    <t>36-39</t>
  </si>
  <si>
    <t>Hides, furs</t>
  </si>
  <si>
    <t>10 bundles</t>
  </si>
  <si>
    <t>150</t>
  </si>
  <si>
    <t>40-43</t>
  </si>
  <si>
    <t>Tea or coffee</t>
  </si>
  <si>
    <t>2 bags</t>
  </si>
  <si>
    <t>44-47</t>
  </si>
  <si>
    <t>Metals, common</t>
  </si>
  <si>
    <t>200 ingots</t>
  </si>
  <si>
    <t>200</t>
  </si>
  <si>
    <t>48-51</t>
  </si>
  <si>
    <t>Meats, preserved</t>
  </si>
  <si>
    <t>52-54</t>
  </si>
  <si>
    <t>Cloth</t>
  </si>
  <si>
    <t>20 rolls</t>
  </si>
  <si>
    <t>55-60</t>
  </si>
  <si>
    <t>Wine, spirits</t>
  </si>
  <si>
    <t>1 barrel</t>
  </si>
  <si>
    <t>61-63</t>
  </si>
  <si>
    <t>Pottery</t>
  </si>
  <si>
    <t>2 crates</t>
  </si>
  <si>
    <t>64-68</t>
  </si>
  <si>
    <t>1 crate</t>
  </si>
  <si>
    <t>69-73</t>
  </si>
  <si>
    <t>Armor, weapons</t>
  </si>
  <si>
    <t>225</t>
  </si>
  <si>
    <t>74-75</t>
  </si>
  <si>
    <t>Dye &amp; pigments</t>
  </si>
  <si>
    <t>250</t>
  </si>
  <si>
    <t>76-80</t>
  </si>
  <si>
    <t>Glassware</t>
  </si>
  <si>
    <t>400</t>
  </si>
  <si>
    <t>81-85</t>
  </si>
  <si>
    <t>Mounts</t>
  </si>
  <si>
    <t>(Roll 1d4+4 on Animals)</t>
  </si>
  <si>
    <t>86-100</t>
  </si>
  <si>
    <t>Roll on Precious Merchandise</t>
  </si>
  <si>
    <t>Precious Merchandise</t>
  </si>
  <si>
    <t>01-10</t>
  </si>
  <si>
    <t>Monster parts*</t>
  </si>
  <si>
    <t>300</t>
  </si>
  <si>
    <t>11-25</t>
  </si>
  <si>
    <t>Wood, rare</t>
  </si>
  <si>
    <t>1 cord</t>
  </si>
  <si>
    <t>500</t>
  </si>
  <si>
    <t>26-35</t>
  </si>
  <si>
    <t>Furs, rare</t>
  </si>
  <si>
    <t>1 bundle</t>
  </si>
  <si>
    <t>36-45</t>
  </si>
  <si>
    <t>Metals, precious</t>
  </si>
  <si>
    <t>2 ingots</t>
  </si>
  <si>
    <t>600</t>
  </si>
  <si>
    <t>46-60</t>
  </si>
  <si>
    <t>1 tusk</t>
  </si>
  <si>
    <t>800</t>
  </si>
  <si>
    <t>61-65</t>
  </si>
  <si>
    <t>1 jar</t>
  </si>
  <si>
    <t>66-70</t>
  </si>
  <si>
    <t>Porcelain, fine</t>
  </si>
  <si>
    <t>1000</t>
  </si>
  <si>
    <t>71-75</t>
  </si>
  <si>
    <t>Books, rare</t>
  </si>
  <si>
    <t>1 box</t>
  </si>
  <si>
    <t>76-90</t>
  </si>
  <si>
    <t>Silk</t>
  </si>
  <si>
    <t>5 rolls</t>
  </si>
  <si>
    <t>2000</t>
  </si>
  <si>
    <t>91-95</t>
  </si>
  <si>
    <t>Semiprecious stones</t>
  </si>
  <si>
    <t>96-100</t>
  </si>
  <si>
    <t>Gems</t>
  </si>
  <si>
    <t>3000</t>
  </si>
  <si>
    <t>Animal</t>
  </si>
  <si>
    <t>Encumbrance per Animal, stone</t>
  </si>
  <si>
    <t>Animals per Load</t>
  </si>
  <si>
    <t>Fodder Cost per Load (10 stone)</t>
  </si>
  <si>
    <t>Price per Load</t>
  </si>
  <si>
    <t>Rabbit, hen</t>
  </si>
  <si>
    <t>1/2</t>
  </si>
  <si>
    <t>200 (100 stone)</t>
  </si>
  <si>
    <t>5gp/wk</t>
  </si>
  <si>
    <t>Sheep</t>
  </si>
  <si>
    <t>30 (180 stone)</t>
  </si>
  <si>
    <t>Pig, goat</t>
  </si>
  <si>
    <t>20 (240 stone)</t>
  </si>
  <si>
    <t>Cattle</t>
  </si>
  <si>
    <t>5 (250 stone)</t>
  </si>
  <si>
    <t>5-6</t>
  </si>
  <si>
    <t>Horse, yak</t>
  </si>
  <si>
    <t>2 (300 stone)</t>
  </si>
  <si>
    <t>2 (400 stone)</t>
  </si>
  <si>
    <t>7gp/wk</t>
  </si>
  <si>
    <t>1 (1,000 stone)</t>
  </si>
  <si>
    <t>20gp/wk</t>
  </si>
  <si>
    <t>1500</t>
  </si>
  <si>
    <t>ЗАЧАРОВАНИЕ ПРЕДМЕТОВ</t>
  </si>
  <si>
    <t>№</t>
  </si>
  <si>
    <t>Этап</t>
  </si>
  <si>
    <t>Заклинание</t>
  </si>
  <si>
    <t>Начало</t>
  </si>
  <si>
    <t>Подготовка фокальных камней</t>
  </si>
  <si>
    <t>Зачарование фокальных камней</t>
  </si>
  <si>
    <t>dweomerflow</t>
  </si>
  <si>
    <t>Увеличение длительности хранения заклинаний в фокальных камнях</t>
  </si>
  <si>
    <t>abeyance</t>
  </si>
  <si>
    <t>Создание материальной формы</t>
  </si>
  <si>
    <t>Если материальная составляющая несет предыдущий двеомер, то она должна быть очищена</t>
  </si>
  <si>
    <t>Azundel's purification</t>
  </si>
  <si>
    <t>Все остальные материальные субстанции также должны быть очищены</t>
  </si>
  <si>
    <t>Obar's lesser purification</t>
  </si>
  <si>
    <t>Чтобы предмет был в целом одинаково прочный, слабые части зачаровываются</t>
  </si>
  <si>
    <t>органические составляющие - Nulathoe's ninemen
неорганические Veladar's vambrace</t>
  </si>
  <si>
    <t>Составные элементы зачаровываются на неразъемное соединение</t>
  </si>
  <si>
    <t>Merald's meld</t>
  </si>
  <si>
    <t xml:space="preserve">Закрепляется соединение </t>
  </si>
  <si>
    <t>Crown Meld</t>
  </si>
  <si>
    <t>Enstarment</t>
  </si>
  <si>
    <t>Рисование схемы на неорганической поверхности</t>
  </si>
  <si>
    <t>Соединение схемы с фокальными камнями</t>
  </si>
  <si>
    <t>Если предмет связан с лечением или некромантей</t>
  </si>
  <si>
    <t>Применить соответсвующее покрытие</t>
  </si>
  <si>
    <t>Завершение подготовки материальной формы</t>
  </si>
  <si>
    <t>Eternal flame + wondrous web / holy vesting</t>
  </si>
  <si>
    <t>Mastering</t>
  </si>
  <si>
    <t>Присвоение истинного имени</t>
  </si>
  <si>
    <t>Указание способов активации с помощью слов активации</t>
  </si>
  <si>
    <t>Слова активации</t>
  </si>
  <si>
    <t>Awakening</t>
  </si>
  <si>
    <t>Пробуждение предмета</t>
  </si>
  <si>
    <t>awakening</t>
  </si>
  <si>
    <t>Veiling</t>
  </si>
  <si>
    <t>permanency</t>
  </si>
  <si>
    <t>Написание свитков</t>
  </si>
  <si>
    <t>Spell Level</t>
  </si>
  <si>
    <t>Time</t>
  </si>
  <si>
    <t>SPECIAL COMPONENTS</t>
  </si>
  <si>
    <r>
      <t>Base duration of 1 workweek</t>
    </r>
    <r>
      <rPr>
        <sz val="10.5"/>
        <color theme="1"/>
        <rFont val="Lato"/>
        <family val="2"/>
        <charset val="204"/>
        <scheme val="minor"/>
      </rPr>
      <t xml:space="preserve"> = 5 days.</t>
    </r>
  </si>
  <si>
    <t>2 H</t>
  </si>
  <si>
    <r>
      <t>1 tenday</t>
    </r>
    <r>
      <rPr>
        <sz val="10.5"/>
        <color theme="1"/>
        <rFont val="Lato"/>
        <family val="2"/>
        <charset val="204"/>
        <scheme val="minor"/>
      </rPr>
      <t xml:space="preserve"> = 2 workweeks</t>
    </r>
  </si>
  <si>
    <t>1st</t>
  </si>
  <si>
    <t>4 H</t>
  </si>
  <si>
    <t>2nd</t>
  </si>
  <si>
    <t>3rd</t>
  </si>
  <si>
    <t>4th</t>
  </si>
  <si>
    <t>5th</t>
  </si>
  <si>
    <t>6th</t>
  </si>
  <si>
    <t>7th</t>
  </si>
  <si>
    <t>8th</t>
  </si>
  <si>
    <t>9th</t>
  </si>
  <si>
    <t>Magic research</t>
  </si>
  <si>
    <t>RULES FOR CREATING MAGIC ITEMS AND MAGIC RESEARCHES V02.docx</t>
  </si>
  <si>
    <t>TASK</t>
  </si>
  <si>
    <t>TIME, PER SL</t>
  </si>
  <si>
    <t>Research existing spell</t>
  </si>
  <si>
    <t>15+SL\</t>
  </si>
  <si>
    <t>Research new</t>
  </si>
  <si>
    <t>20+SL</t>
  </si>
  <si>
    <t>IF FORMULA EXIST</t>
  </si>
  <si>
    <t>X0,5</t>
  </si>
  <si>
    <t>PER 0.5 SL</t>
  </si>
  <si>
    <t>Library</t>
  </si>
  <si>
    <t>Minimal value of single book</t>
  </si>
  <si>
    <t>For each subsequent SL</t>
  </si>
  <si>
    <t>SPELL LEVEL</t>
  </si>
  <si>
    <t>MINIMAL LIBRARY COST</t>
  </si>
  <si>
    <t>RESEARCH COST</t>
  </si>
  <si>
    <t>TIME</t>
  </si>
  <si>
    <t>SL</t>
  </si>
  <si>
    <t>total library cost</t>
  </si>
  <si>
    <t>WORKSHOP</t>
  </si>
  <si>
    <t>BASE COST</t>
  </si>
  <si>
    <t>FOR EACH SUBSEQUENT SL</t>
  </si>
  <si>
    <t>BONUS +1 PER ADDITIONAL COST</t>
  </si>
  <si>
    <t xml:space="preserve">MAX BONUS </t>
  </si>
  <si>
    <t>Item Rarity</t>
  </si>
  <si>
    <t>Creation Cost</t>
  </si>
  <si>
    <t>Minimum Level</t>
  </si>
  <si>
    <t>Bonus for cost, +1 per</t>
  </si>
  <si>
    <t>5,000 gp</t>
  </si>
  <si>
    <t>Very rare</t>
  </si>
  <si>
    <t>50,000 gp</t>
  </si>
  <si>
    <t>11th</t>
  </si>
  <si>
    <t>500,000 gp</t>
  </si>
  <si>
    <t>17th</t>
  </si>
  <si>
    <t>Item Type</t>
  </si>
  <si>
    <t>Base Cost</t>
  </si>
  <si>
    <t>One Use Effect</t>
  </si>
  <si>
    <t>500gp x spell level</t>
  </si>
  <si>
    <t>1 work week x spell level</t>
  </si>
  <si>
    <t>Charged Effect</t>
  </si>
  <si>
    <t>500gp x spell level x charges*</t>
  </si>
  <si>
    <t>2 days x spell level x charges</t>
  </si>
  <si>
    <t>Permanent Effect, Unlimited Use</t>
  </si>
  <si>
    <t>500gp x spell level x 50</t>
  </si>
  <si>
    <t>100 days x spell level</t>
  </si>
  <si>
    <t>Permanent Effect, Use 1/turn</t>
  </si>
  <si>
    <t>500gp x spell level x 33</t>
  </si>
  <si>
    <t>80 days x spell level</t>
  </si>
  <si>
    <t>Permanent Effect, Use 1/3 turns</t>
  </si>
  <si>
    <t>500gp x spell level x 25</t>
  </si>
  <si>
    <t>70 days x spell level</t>
  </si>
  <si>
    <t>Permanent Effect, Use 1/hour</t>
  </si>
  <si>
    <t>500gp x spell level x 16</t>
  </si>
  <si>
    <t>60 days x spell level</t>
  </si>
  <si>
    <t>Permanent Effect, Use 3/day</t>
  </si>
  <si>
    <t>500gp x spell level x 12</t>
  </si>
  <si>
    <t>50 days x spell level</t>
  </si>
  <si>
    <t>Permanent Effect, Use 1/day</t>
  </si>
  <si>
    <t>500gp x spell level x 10</t>
  </si>
  <si>
    <t>40 days x spell level</t>
  </si>
  <si>
    <t>Permanent Effect, Use 1/week</t>
  </si>
  <si>
    <t>500gp x spell level x 6</t>
  </si>
  <si>
    <t>30 days x spell level</t>
  </si>
  <si>
    <t>Magical Weapon +1</t>
  </si>
  <si>
    <t>5000gp**</t>
  </si>
  <si>
    <t>30 DAYS x weapon base cost / 10***</t>
  </si>
  <si>
    <t>MAGICAL WEAPON +1</t>
  </si>
  <si>
    <t>A Increase bonus from +1 to +2</t>
  </si>
  <si>
    <t>+10,000gp**</t>
  </si>
  <si>
    <t>MAGICAL WEAPON +2</t>
  </si>
  <si>
    <t>A Increase bonus from +2 to +3</t>
  </si>
  <si>
    <t>+20,000gp**</t>
  </si>
  <si>
    <t>MAGICAL WEAPON +3</t>
  </si>
  <si>
    <t>Magical Armor +1</t>
  </si>
  <si>
    <t>30 DAYS x Armor Class</t>
  </si>
  <si>
    <t>PLATE ARMOR +1</t>
  </si>
  <si>
    <t>+10000gp**</t>
  </si>
  <si>
    <t>+30 DAYS</t>
  </si>
  <si>
    <t>PLATE ARMOR +2</t>
  </si>
  <si>
    <t>PLATE ARMOR +3</t>
  </si>
  <si>
    <t>Possible Special Components</t>
  </si>
  <si>
    <t>Potion of Healing</t>
  </si>
  <si>
    <t>Blood of 1 troll</t>
  </si>
  <si>
    <t>Scroll of Fly</t>
  </si>
  <si>
    <t>Feathers of 3 griffons</t>
  </si>
  <si>
    <t>Wand of Fireball (20 charges)</t>
  </si>
  <si>
    <t>Fangs of 20 hellhounds</t>
  </si>
  <si>
    <t>Ring of Invisibility (1/turn)</t>
  </si>
  <si>
    <t>Ichor of 150 invisible stalkers</t>
  </si>
  <si>
    <t>Sword +1</t>
  </si>
  <si>
    <t>Skulls of 25 ogres or heroes</t>
  </si>
  <si>
    <t>Sword +2</t>
  </si>
  <si>
    <t>Skulls of 75 ogres or heroes</t>
  </si>
  <si>
    <t>Sword +1, +2 vs. spellcasters</t>
  </si>
  <si>
    <t>Skulls of 25 ogres and 25 spellcasters</t>
  </si>
  <si>
    <t>Plate Armor + 1</t>
  </si>
  <si>
    <t>Iron hides of 5 gorgons</t>
  </si>
  <si>
    <t>CRAFT</t>
  </si>
  <si>
    <t>https://drive.google.com/file/d/0B8XAiXpOfz9cMWt1RTBicmpmUDg/view</t>
  </si>
  <si>
    <t>challenge, min</t>
  </si>
  <si>
    <t>challenge, max</t>
  </si>
  <si>
    <t>19+</t>
  </si>
  <si>
    <t>Schema Creation Requirements</t>
  </si>
  <si>
    <t>Days</t>
  </si>
  <si>
    <t>Minimum Skill bonus</t>
  </si>
  <si>
    <t>Magic Item Crafting Time and Cost</t>
  </si>
  <si>
    <t>Cost*</t>
  </si>
  <si>
    <t>*Halved for a consumable item like a potion or scroll</t>
  </si>
  <si>
    <t>Complication</t>
  </si>
  <si>
    <t>A Dragonmarked House takes an interest in your work. Do they view you as a threat, or are they impressed by your techniques? Do they want to buy the item, and what will happen if you refuse?</t>
  </si>
  <si>
    <t>Rumors swirl that what you’re working on is unstable and a threat to the community.*</t>
  </si>
  <si>
    <t>A mishap creates a temporary manifest zone.</t>
  </si>
  <si>
    <t>Your tools are stolen, forcing you to buy new ones.*</t>
  </si>
  <si>
    <t>You need to acquire an additional rare component.</t>
  </si>
  <si>
    <t>A local wizard shows keen interest in your work and insists on observing you.</t>
  </si>
  <si>
    <t>The shifting balance of the planes interferes with your work; you must wait for the current planar alignment to change.</t>
  </si>
  <si>
    <t>A powerful noble offers a hefty price for your work and is not interested in hearing no for an answer.*</t>
  </si>
  <si>
    <t>Your efforts draw the attention of one of the conspiracies of Eberron—such as the Chamber, the Aurum, the Emerald Claw, or the Lords of Dust.</t>
  </si>
  <si>
    <t>A dwarf clan accuses you of stealing its secret lore to fuel your work.*</t>
  </si>
  <si>
    <t>Your item unexpectedly becomes sentient.</t>
  </si>
  <si>
    <t>A competitor spreads rumors that your work is shoddy and prone to failure.*</t>
  </si>
  <si>
    <t>TOOLS FOR CRAFT</t>
  </si>
  <si>
    <t>Items</t>
  </si>
  <si>
    <t>Antitoxin, potion of healing</t>
  </si>
  <si>
    <t>Leatherworker’s tools</t>
  </si>
  <si>
    <t>Leather armor, boots</t>
  </si>
  <si>
    <t>Smith’s tools</t>
  </si>
  <si>
    <t>Weaver’s tools</t>
  </si>
  <si>
    <t>Cloaks, robes</t>
  </si>
  <si>
    <t>POTIONS OF HEALING</t>
  </si>
  <si>
    <t>Healing</t>
  </si>
  <si>
    <t>Greater healing</t>
  </si>
  <si>
    <t>Superior healing</t>
  </si>
  <si>
    <t>Supreme healing</t>
  </si>
  <si>
    <t>RESEARCH</t>
  </si>
  <si>
    <t>Research Complications</t>
  </si>
  <si>
    <t>You accidentally damage a rare book.</t>
  </si>
  <si>
    <t>You offend a sage, who demands an extravagant gift.*</t>
  </si>
  <si>
    <t>If you had known that book was cursed, you never would have opened it.</t>
  </si>
  <si>
    <t>A sage becomes obsessed with convincing you of a number of strange theories about reality.*</t>
  </si>
  <si>
    <t>Your actions cause you to be banned from a library until you make reparations.*</t>
  </si>
  <si>
    <t>You uncovered useful lore, but only by promising to complete a dangerous task in return.</t>
  </si>
  <si>
    <t>*Might involve a rival</t>
  </si>
  <si>
    <t>Ы</t>
  </si>
  <si>
    <t>Spell Scroll Costs</t>
  </si>
  <si>
    <t>RARITY</t>
  </si>
  <si>
    <t>UC</t>
  </si>
  <si>
    <t>VR</t>
  </si>
  <si>
    <t>Scribe a Scroll Complications</t>
  </si>
  <si>
    <t>You bought up the last of the rare ink used to craft scrolls, angering a wizard in town.</t>
  </si>
  <si>
    <t>The priest of a temple of good accuses you of trafficking in dark magic.*</t>
  </si>
  <si>
    <t>A wizard eager to collect one of your spells in a book presses you to sell the scroll.</t>
  </si>
  <si>
    <t>Due to a strange error in creating the scroll, it is instead a random spell of the same level.</t>
  </si>
  <si>
    <t>The rare parchment you bought for your scroll has a barely visible map on it.</t>
  </si>
  <si>
    <t>A thief attempts to break into your workroom.*</t>
  </si>
  <si>
    <t>DESIGNING AND BUILDING A CONSTRUCT</t>
  </si>
  <si>
    <t>COST, PER CHALLENGE</t>
  </si>
  <si>
    <t>COST, PER TRAIT</t>
  </si>
  <si>
    <t>5000 X PROFICIENCY BONUS</t>
  </si>
  <si>
    <t>MAX CHALLENGE</t>
  </si>
  <si>
    <t>2 X MAX SPELLCASTER'S LEVEL</t>
  </si>
  <si>
    <t>TIME, PER HD</t>
  </si>
  <si>
    <t>15+PROFICIENCY BONUS OF CONSTRUCT</t>
  </si>
  <si>
    <t>WORKSHOP COST</t>
  </si>
  <si>
    <t>VALUE OF CONSTRUCT</t>
  </si>
  <si>
    <t>BONUS +1 PER ADDITIIONAL</t>
  </si>
  <si>
    <t>ANGRYGM MAGIC ITEMS</t>
  </si>
  <si>
    <t>MATERIAL COST, GP</t>
  </si>
  <si>
    <t>LABOR COST, GP</t>
  </si>
  <si>
    <t>MIN</t>
  </si>
  <si>
    <t>MAX</t>
  </si>
  <si>
    <t>BASE PRICE</t>
  </si>
  <si>
    <t>BASE COMISSION PRICE</t>
  </si>
  <si>
    <t>MINOR</t>
  </si>
  <si>
    <t>MAJOR</t>
  </si>
  <si>
    <t>Uncommon 150 gp – 500 gp</t>
  </si>
  <si>
    <t>SINGLE</t>
  </si>
  <si>
    <t>Rare 1,500 gp – 5,000 gp</t>
  </si>
  <si>
    <t>minor</t>
  </si>
  <si>
    <t>LIMITED</t>
  </si>
  <si>
    <t>Very Rare 15,000 gp – 50,000 gp</t>
  </si>
  <si>
    <t>major</t>
  </si>
  <si>
    <t>CHARGED</t>
  </si>
  <si>
    <t>Legendary 150,000 gp – 500,000 gp</t>
  </si>
  <si>
    <t>attunement</t>
  </si>
  <si>
    <t>PERMANENT</t>
  </si>
  <si>
    <t>FORMULAE</t>
  </si>
  <si>
    <t>XXX RARITY1 MATERIALS (YYY RARITY2 MATERIAL1)</t>
  </si>
  <si>
    <t>8 Very Rare Materials (6 Very Rare Metals)</t>
  </si>
  <si>
    <t>must have a minimum of 8 units of very rare materials and at least 6 of those materials must be very rare metals</t>
  </si>
  <si>
    <t>XXX2 RARITY2 MATERIALS2</t>
  </si>
  <si>
    <t>4 Cold Materials</t>
  </si>
  <si>
    <t>needs to supply 4 materials with the cold quality</t>
  </si>
  <si>
    <t>cursed</t>
  </si>
  <si>
    <t>CANNOT USE: RARITY, TYPE</t>
  </si>
  <si>
    <t>min price</t>
  </si>
  <si>
    <t>max price</t>
  </si>
  <si>
    <t>ITEM QUALITY</t>
  </si>
  <si>
    <t>Acidic</t>
  </si>
  <si>
    <t>Acidic. Associated with acid damage, evocation spells that deal acid damage, conjuring acid, acid resistance, rusting, and corrosion.</t>
  </si>
  <si>
    <t>Chaotic</t>
  </si>
  <si>
    <t>Chaotic (Wild Magic). Associated with wild magic, randomness, unpredictability, and be used as a substitute for other qualities.</t>
  </si>
  <si>
    <t>Cold. Associated with cold damage, evocation spells that deal cold damage, conjuring ice, and cold resistance.</t>
  </si>
  <si>
    <t>Dimensional</t>
  </si>
  <si>
    <t>Dimensional (Planar, Extraplanar). Associated with teleportation, portals, conjuration magic, summoning, bigger-on-the-inside spaces, and pocket dimensions.</t>
  </si>
  <si>
    <t>Fiendish</t>
  </si>
  <si>
    <t>Fiendish. Associated with fiends, the lower planes, evil effects, and the warlock fiend pact.</t>
  </si>
  <si>
    <t>Fiery</t>
  </si>
  <si>
    <t>Fiery. Associated with fire damage, evocation spells that deal fire damage, conjuring fire, fire resistance, the element of fire, and fire elemental creatures.</t>
  </si>
  <si>
    <t>Forceful</t>
  </si>
  <si>
    <t>Forceful. Associated with force damage, evocation spells that deal force damage, force resistance, force fields, many abjuration spells that ward or hedge, pushing or shoving, and the Strength ability.</t>
  </si>
  <si>
    <t>Inert</t>
  </si>
  <si>
    <t>Inert (Antimagic). Associated with magic resistance, antimagic, magic deflection, the element of earth, earth elemental creatures, and giants. Also associated with resilience and immovability.</t>
  </si>
  <si>
    <t>Lightning. Associated with lightning damage, evocation spells that deal lightning damage, and lightning resistance.</t>
  </si>
  <si>
    <t>Mercurial</t>
  </si>
  <si>
    <t>Mercurial. Associated with transmutation magic, shapeshifting, fluidity, the element of water, and the Dexterity ability.</t>
  </si>
  <si>
    <t>Necrotic. Associated with necromancy magic, necrotic damage, necrotic resistance, and animating or summoning undead creatures.</t>
  </si>
  <si>
    <t>Phantasmal</t>
  </si>
  <si>
    <t>Phantasmal (Fey, Glamered). Associated with illusion magic, senses, awareness, perception, music, the fey, the Feywild, the Wisdom ability, and the warlock archfey pact.</t>
  </si>
  <si>
    <t>Poisonous</t>
  </si>
  <si>
    <t>Poisonous. Associated with poison damage, evocation spells that deal poison damage, poison resistance, conjuring poison, inflicting the poison condition, or protecting from and neutralizing poison.</t>
  </si>
  <si>
    <t>Pyschic. Associated with psychic damage, enchantment magic, spells that deal psychic damage, mind reading, mind shielding, and the Charisma ability.</t>
  </si>
  <si>
    <t>Radiant. Associated with radiant damage, evocation spells that deal radiant damage, light, celestials and upper-planar creatures, the gods, divine blessings, and good.</t>
  </si>
  <si>
    <t>Theurgic</t>
  </si>
  <si>
    <t>Theurgic (Metamagic). Associated with the rules of magic, spell slots, magical storage, divination, knowledge, and the Intelligence ability. Associated with construct creatures and permanent animated objects. Required for any item that has charges and can recharge itself.</t>
  </si>
  <si>
    <t>Thundering</t>
  </si>
  <si>
    <t>Thundering. Associated with thunder damage, evocation spells that deal thunder damage, thunder resistance, and loud noises or explosive sound.</t>
  </si>
  <si>
    <t>Vital</t>
  </si>
  <si>
    <t>Vital (Quickened, Living, Life-Giving). Associated with healing, regeneration, purification, treatment of disease, longevity, and the Constitution ability.</t>
  </si>
  <si>
    <t>Void</t>
  </si>
  <si>
    <t>Void. Darkness, destruction, madness, nonexistence, aberrant creatures, and the warlock Great Old One pact.</t>
  </si>
  <si>
    <t>Zephyrous</t>
  </si>
  <si>
    <t>Zephyrous (Windy, Airy). Associated with wind, elemental air, air elemental creatures, flight, breathing, and objects that can float or hover under their own power.</t>
  </si>
  <si>
    <t>SANE MAGIC ITEM PRICES</t>
  </si>
  <si>
    <t>Item</t>
  </si>
  <si>
    <t>Price (gp)</t>
  </si>
  <si>
    <t>Items that Won't be priced</t>
  </si>
  <si>
    <t>+1 Armor</t>
  </si>
  <si>
    <t>Candle of Invocation: Because we've learned a thing or two from 3.5</t>
  </si>
  <si>
    <t>+1 Shield</t>
  </si>
  <si>
    <t>Deck of Many Things: Because lolrandom</t>
  </si>
  <si>
    <t>+1 Weapon</t>
  </si>
  <si>
    <t>Efreeti Bottle: Because Wishes</t>
  </si>
  <si>
    <t>+2 Armor</t>
  </si>
  <si>
    <t>Iron flask: Because Wishes</t>
  </si>
  <si>
    <t>+2 Shield</t>
  </si>
  <si>
    <t>Ring of Three Wishes: Because Wishes</t>
  </si>
  <si>
    <t>+2 Weapon</t>
  </si>
  <si>
    <t>Luck Blade: Because Wishes</t>
  </si>
  <si>
    <t>+3 Armor</t>
  </si>
  <si>
    <t>Well of Many Worlds: Because if the GM wants you to have a TARDIS you'll have one and if they don't you won't</t>
  </si>
  <si>
    <t>+3 Shield</t>
  </si>
  <si>
    <t>Wand of Wonder: Because lolrandom</t>
  </si>
  <si>
    <t>+3 Weapon</t>
  </si>
  <si>
    <t>Ring of Djinni Summoning: It's pretty much everything from the gamechanging list in a single item. I can't see anyone selling these.</t>
  </si>
  <si>
    <t>Bag of Tricks: Creating permanent living creatures does absolutley silly things to the economy.</t>
  </si>
  <si>
    <t>Tome of the Stilled Tongue: No wizard would ever sell this.</t>
  </si>
  <si>
    <t>Ammunition +1 (each)</t>
  </si>
  <si>
    <t>Manuals and tomes +2: If these come up, the GM is probably giving them to the whole party as a "level up" type thing</t>
  </si>
  <si>
    <t>Ammunition +2 (each)</t>
  </si>
  <si>
    <t>Belt of Giant Strength: Breaks bounded Accuracy</t>
  </si>
  <si>
    <t>Ammunition +3 (each)</t>
  </si>
  <si>
    <t>Potion of Giant Strength: Breaks bounded accuracy</t>
  </si>
  <si>
    <t>Rod of Resurrection: Plot device</t>
  </si>
  <si>
    <t>Helm of Brilliance: Lolrandom</t>
  </si>
  <si>
    <t>Bag of Beans: Lolrandom (Seriously, it summons mummy lords with treasure filled crypts)</t>
  </si>
  <si>
    <t>Staff of the Magi: Too much power</t>
  </si>
  <si>
    <t>Manual of Golems: This is a blueprint, not an item. Use whatever rules go into pricing blueprints for your campaign and adjust the golem crafting prices as needed.</t>
  </si>
  <si>
    <t>Cursed items</t>
  </si>
  <si>
    <t>Armor of Resistance</t>
  </si>
  <si>
    <t>Arrow of Slaying (each)</t>
  </si>
  <si>
    <t>Arrow-Catching Shield</t>
  </si>
  <si>
    <t>Bronze Griffon</t>
  </si>
  <si>
    <t>Dragon Slayer</t>
  </si>
  <si>
    <t>Dust of Dryness (1 pellet)</t>
  </si>
  <si>
    <t>Ebony Fly</t>
  </si>
  <si>
    <t>Flame Tongue</t>
  </si>
  <si>
    <t>Giant Slayer</t>
  </si>
  <si>
    <t>Golden Lion (each)</t>
  </si>
  <si>
    <t>Ivory Goat (Terror)</t>
  </si>
  <si>
    <t>Ivory Goat (Travail)</t>
  </si>
  <si>
    <t>Ivory Goat (Traveling)</t>
  </si>
  <si>
    <t>Keoghtom's Ointment (Per dose)</t>
  </si>
  <si>
    <t>Marble Elephant</t>
  </si>
  <si>
    <t>Necklace of Fireballs (Five beads)</t>
  </si>
  <si>
    <t>Necklace of Fireballs (Four beads)</t>
  </si>
  <si>
    <t>Necklace of Fireballs (One bead)</t>
  </si>
  <si>
    <t>Necklace of Fireballs (Six beads)</t>
  </si>
  <si>
    <t>Necklace of Fireballs (Three beads)</t>
  </si>
  <si>
    <t>Necklace of Fireballs (Two beads)</t>
  </si>
  <si>
    <t>Nine Lives Stealer (Fully Charged)</t>
  </si>
  <si>
    <t>Obsidian Steed</t>
  </si>
  <si>
    <t>Onyx Dog</t>
  </si>
  <si>
    <t>Prayer Bead - Bless</t>
  </si>
  <si>
    <t>Prayer Bead - Curing</t>
  </si>
  <si>
    <t>Prayer Bead - Favor</t>
  </si>
  <si>
    <t>Prayer Bead - Smiting</t>
  </si>
  <si>
    <t>Prayer Bead - Summons</t>
  </si>
  <si>
    <t>Prayer Bead - Wind Walking</t>
  </si>
  <si>
    <t>Quaal's Feather Token, Anchor</t>
  </si>
  <si>
    <t>Quaal's Feather Token, Bird</t>
  </si>
  <si>
    <t>Quaal's Feather Token, Fan</t>
  </si>
  <si>
    <t>Quaal's Feather Token, Swan Boat</t>
  </si>
  <si>
    <t>Quaal's Feather Token, Whip</t>
  </si>
  <si>
    <t>Ring of Air Elemental Command</t>
  </si>
  <si>
    <t>Ring of Earth Elemental Command</t>
  </si>
  <si>
    <t>Ring of Fire Elemental Command</t>
  </si>
  <si>
    <t>Ring of Water Elemental Command</t>
  </si>
  <si>
    <t>Ring of X-Ray Vision</t>
  </si>
  <si>
    <t>Serpentine Owl</t>
  </si>
  <si>
    <t>Silver Raven</t>
  </si>
  <si>
    <t>Spell Scroll, Level 1</t>
  </si>
  <si>
    <t>Spell Scroll, Level 2</t>
  </si>
  <si>
    <t>Spell Scroll, Level 3</t>
  </si>
  <si>
    <t>Spell Scroll, Level 4</t>
  </si>
  <si>
    <t>Spell Scroll, Level 5</t>
  </si>
  <si>
    <t>Spell Scroll, Level 6</t>
  </si>
  <si>
    <t>Spell Scroll, Level 7</t>
  </si>
  <si>
    <t>Spell Scroll, Level 8</t>
  </si>
  <si>
    <t>Spell Scroll, Level 9</t>
  </si>
  <si>
    <t>Staff of Healing</t>
  </si>
  <si>
    <t>Staff of Swarming Insects</t>
  </si>
  <si>
    <t>Staff of the Woodlands</t>
  </si>
  <si>
    <t>Staff of Withering</t>
  </si>
  <si>
    <t>Sun Blade</t>
  </si>
  <si>
    <t>Sword of Life Stealing</t>
  </si>
  <si>
    <t>Sword of Wounding</t>
  </si>
  <si>
    <t>SPELLCASTING SERVICES</t>
  </si>
  <si>
    <t>RITUAL</t>
  </si>
  <si>
    <t>ARCANE</t>
  </si>
  <si>
    <t>DIVINE</t>
  </si>
  <si>
    <t>COST OF RITUAL, % OF COST</t>
  </si>
  <si>
    <t>UP TO 5TH LEVEL</t>
  </si>
  <si>
    <t>TIER AND LEVELS</t>
  </si>
  <si>
    <t>Tier</t>
  </si>
  <si>
    <t>LEVELS</t>
  </si>
  <si>
    <t>Proficiency bonus</t>
  </si>
  <si>
    <t>Apprentice</t>
  </si>
  <si>
    <t>1-2</t>
  </si>
  <si>
    <t>Journeyman</t>
  </si>
  <si>
    <t>3-4</t>
  </si>
  <si>
    <t>AdventureR</t>
  </si>
  <si>
    <t>5-8</t>
  </si>
  <si>
    <t>VeteraN</t>
  </si>
  <si>
    <t>9-11</t>
  </si>
  <si>
    <t>12-14</t>
  </si>
  <si>
    <t>Heroic</t>
  </si>
  <si>
    <t>15-17</t>
  </si>
  <si>
    <t>Adventurer</t>
  </si>
  <si>
    <t>1-4</t>
  </si>
  <si>
    <t>9-12</t>
  </si>
  <si>
    <t>SSS</t>
  </si>
  <si>
    <t>75 gp</t>
  </si>
  <si>
    <t>375 gp</t>
  </si>
  <si>
    <t>3,750 gp</t>
  </si>
  <si>
    <t>37,500 gp</t>
  </si>
  <si>
    <t>375,000 gp</t>
  </si>
  <si>
    <t>125 gp</t>
  </si>
  <si>
    <t>1,250 gp</t>
  </si>
  <si>
    <t>12,500 gp</t>
  </si>
  <si>
    <t>125,000 gp</t>
  </si>
  <si>
    <t>AS</t>
  </si>
  <si>
    <r>
      <t>Бонус</t>
    </r>
    <r>
      <rPr>
        <b/>
        <sz val="10"/>
        <color rgb="FFFFFFFF"/>
        <rFont val="Scaly Sans"/>
      </rPr>
      <t xml:space="preserve"> </t>
    </r>
    <r>
      <rPr>
        <b/>
        <sz val="10"/>
        <color rgb="FFFFFFFF"/>
        <rFont val="Calibri"/>
        <family val="2"/>
        <charset val="204"/>
      </rPr>
      <t>владения</t>
    </r>
  </si>
  <si>
    <r>
      <t>Редкость</t>
    </r>
    <r>
      <rPr>
        <b/>
        <sz val="10"/>
        <color rgb="FFFFFFFF"/>
        <rFont val="Scaly Sans"/>
      </rPr>
      <t xml:space="preserve"> </t>
    </r>
    <r>
      <rPr>
        <b/>
        <sz val="10"/>
        <color rgb="FFFFFFFF"/>
        <rFont val="Calibri"/>
        <family val="2"/>
        <charset val="204"/>
      </rPr>
      <t>рецептов</t>
    </r>
    <r>
      <rPr>
        <b/>
        <sz val="10"/>
        <color rgb="FFFFFFFF"/>
        <rFont val="Scaly Sans"/>
      </rPr>
      <t xml:space="preserve"> </t>
    </r>
    <r>
      <rPr>
        <b/>
        <sz val="10"/>
        <color rgb="FFFFFFFF"/>
        <rFont val="Calibri"/>
        <family val="2"/>
        <charset val="204"/>
      </rPr>
      <t>или</t>
    </r>
    <r>
      <rPr>
        <b/>
        <sz val="10"/>
        <color rgb="FFFFFFFF"/>
        <rFont val="Scaly Sans"/>
      </rPr>
      <t xml:space="preserve"> </t>
    </r>
    <r>
      <rPr>
        <b/>
        <sz val="10"/>
        <color rgb="FFFFFFFF"/>
        <rFont val="Calibri"/>
        <family val="2"/>
        <charset val="204"/>
      </rPr>
      <t>схем</t>
    </r>
  </si>
  <si>
    <t>Обычный</t>
  </si>
  <si>
    <t>Необычный</t>
  </si>
  <si>
    <t>Редкий</t>
  </si>
  <si>
    <t>Очень редкий</t>
  </si>
  <si>
    <t>Легендарный</t>
  </si>
  <si>
    <t>Обычные</t>
  </si>
  <si>
    <t>Ремесленник знает все распространенные рецепты или схемы изготовления предметов</t>
  </si>
  <si>
    <t xml:space="preserve">Необычные </t>
  </si>
  <si>
    <t xml:space="preserve">Редкие </t>
  </si>
  <si>
    <t>Очень редкие</t>
  </si>
  <si>
    <t>Легендарные</t>
  </si>
  <si>
    <t>Эпические</t>
  </si>
  <si>
    <t>Мифические</t>
  </si>
  <si>
    <r>
      <t>Редкость</t>
    </r>
    <r>
      <rPr>
        <b/>
        <sz val="10"/>
        <color rgb="FFFFFFFF"/>
        <rFont val="Scaly Sans"/>
      </rPr>
      <t xml:space="preserve"> </t>
    </r>
    <r>
      <rPr>
        <b/>
        <sz val="10"/>
        <color rgb="FFFFFFFF"/>
        <rFont val="Calibri"/>
        <family val="2"/>
        <charset val="204"/>
      </rPr>
      <t>рецепта</t>
    </r>
  </si>
  <si>
    <r>
      <t>Редкость</t>
    </r>
    <r>
      <rPr>
        <b/>
        <sz val="10"/>
        <color rgb="FFFFFFFF"/>
        <rFont val="Scaly Sans"/>
      </rPr>
      <t xml:space="preserve"> </t>
    </r>
    <r>
      <rPr>
        <b/>
        <sz val="10"/>
        <color rgb="FFFFFFFF"/>
        <rFont val="Calibri"/>
        <family val="2"/>
        <charset val="204"/>
      </rPr>
      <t>его</t>
    </r>
    <r>
      <rPr>
        <b/>
        <sz val="10"/>
        <color rgb="FFFFFFFF"/>
        <rFont val="Scaly Sans"/>
      </rPr>
      <t xml:space="preserve"> </t>
    </r>
    <r>
      <rPr>
        <b/>
        <sz val="10"/>
        <color rgb="FFFFFFFF"/>
        <rFont val="Calibri"/>
        <family val="2"/>
        <charset val="204"/>
      </rPr>
      <t>нахождения</t>
    </r>
  </si>
  <si>
    <t>Широко известны</t>
  </si>
  <si>
    <t>Эпическй</t>
  </si>
  <si>
    <t>Уровень опасности</t>
  </si>
  <si>
    <t>Редкость</t>
  </si>
  <si>
    <t>1/8 – 1/2</t>
  </si>
  <si>
    <t>Обыденный</t>
  </si>
  <si>
    <t>Очень Редкий</t>
  </si>
  <si>
    <t>21-24</t>
  </si>
  <si>
    <t>Эпический</t>
  </si>
  <si>
    <t>25+</t>
  </si>
  <si>
    <t>Мифический</t>
  </si>
  <si>
    <t>УС нахождения</t>
  </si>
  <si>
    <t>Обыденные</t>
  </si>
  <si>
    <t>Необычные</t>
  </si>
  <si>
    <t>Редкие</t>
  </si>
  <si>
    <t>Lifestyle</t>
  </si>
  <si>
    <t>Price/Day</t>
  </si>
  <si>
    <t>Squalid</t>
  </si>
  <si>
    <t>4 gp</t>
  </si>
  <si>
    <t>Aristocratic</t>
  </si>
  <si>
    <t>10 gp minimum</t>
  </si>
  <si>
    <t>Предмет</t>
  </si>
  <si>
    <t>Старая цена</t>
  </si>
  <si>
    <t>Вес</t>
  </si>
  <si>
    <t>Новая цена</t>
  </si>
  <si>
    <t>Acid (vial)</t>
  </si>
  <si>
    <t>10 зм</t>
  </si>
  <si>
    <t>Alchemist's fire (flask)</t>
  </si>
  <si>
    <t>20 зм</t>
  </si>
  <si>
    <t>Poison, basic (vial)</t>
  </si>
  <si>
    <t>—25 зм</t>
  </si>
  <si>
    <t>Antitoxin (vial)</t>
  </si>
  <si>
    <t>50 зм</t>
  </si>
  <si>
    <t>Качество предметов</t>
  </si>
  <si>
    <t>Качество</t>
  </si>
  <si>
    <t>УС изготовления*</t>
  </si>
  <si>
    <t>Обычное</t>
  </si>
  <si>
    <t>Как у базового предмета</t>
  </si>
  <si>
    <t>Отличное</t>
  </si>
  <si>
    <t>Исключительное</t>
  </si>
  <si>
    <t>Превосходное</t>
  </si>
  <si>
    <t>Шедевр</t>
  </si>
  <si>
    <t>ппп</t>
  </si>
  <si>
    <t>Время создания</t>
  </si>
  <si>
    <t>Кислота</t>
  </si>
  <si>
    <t>2 ч</t>
  </si>
  <si>
    <t>Алхимический огонь</t>
  </si>
  <si>
    <t>Антитоксин</t>
  </si>
  <si>
    <t>Духи</t>
  </si>
  <si>
    <t>1,5 ч</t>
  </si>
  <si>
    <t>Мыло</t>
  </si>
  <si>
    <t>1 ч</t>
  </si>
  <si>
    <t>Стрелы (20 шт)</t>
  </si>
  <si>
    <t>3 ч</t>
  </si>
  <si>
    <t>Одежда, простая</t>
  </si>
  <si>
    <t>Размер</t>
  </si>
  <si>
    <t>Малеьникй</t>
  </si>
  <si>
    <t>х0,75</t>
  </si>
  <si>
    <t>Средний</t>
  </si>
  <si>
    <t>х1</t>
  </si>
  <si>
    <t>Большой</t>
  </si>
  <si>
    <t>х2</t>
  </si>
  <si>
    <t>Огромный</t>
  </si>
  <si>
    <t>х4</t>
  </si>
  <si>
    <t>Стоимость</t>
  </si>
  <si>
    <t>х1,5</t>
  </si>
  <si>
    <t>Х2</t>
  </si>
  <si>
    <t>Х3</t>
  </si>
  <si>
    <t>Х4</t>
  </si>
  <si>
    <t>Средний размер</t>
  </si>
  <si>
    <t>Гигантский</t>
  </si>
  <si>
    <t>Колоссальный</t>
  </si>
  <si>
    <t>1к4</t>
  </si>
  <si>
    <t>2к4</t>
  </si>
  <si>
    <t>3к4</t>
  </si>
  <si>
    <t>4к4</t>
  </si>
  <si>
    <t>5к4</t>
  </si>
  <si>
    <t>1к8</t>
  </si>
  <si>
    <t>2к8</t>
  </si>
  <si>
    <t>3к8</t>
  </si>
  <si>
    <t>4к8</t>
  </si>
  <si>
    <t>5к8</t>
  </si>
  <si>
    <t>2к6</t>
  </si>
  <si>
    <t>4к6</t>
  </si>
  <si>
    <t>6к6</t>
  </si>
  <si>
    <t>8к6</t>
  </si>
  <si>
    <t>10к6</t>
  </si>
  <si>
    <t>6к4 или 4к6</t>
  </si>
  <si>
    <t>9к4 или 6к6</t>
  </si>
  <si>
    <t>12к4 или 8к6</t>
  </si>
  <si>
    <t>15к4 или 10к6</t>
  </si>
  <si>
    <t>И т.д.</t>
  </si>
  <si>
    <t>Добавить один набор костей Среднего размера</t>
  </si>
  <si>
    <t>влияние на оружие</t>
  </si>
  <si>
    <t>нет</t>
  </si>
  <si>
    <t>у оружия ухудшилось точность, оружие получает -1 на попадание</t>
  </si>
  <si>
    <t>у оружия ухудшился урон, оружие получает -1 к урону</t>
  </si>
  <si>
    <t>оружие сломано и бесполезно</t>
  </si>
  <si>
    <t>Точность (weapon)</t>
  </si>
  <si>
    <t xml:space="preserve">Accurate: bonus +1 to hit. </t>
  </si>
  <si>
    <t xml:space="preserve">Double: bonus +2 to hit. </t>
  </si>
  <si>
    <t>Triple: bonus +3 to hit.</t>
  </si>
  <si>
    <t>Баланс (shield or weapon)</t>
  </si>
  <si>
    <t>Щит или оружие</t>
  </si>
  <si>
    <t>A weapon or shield with above average balance makes it easier to move in combat.</t>
  </si>
  <si>
    <t>While this item is in hand and readied, the wielder gains a +1 quality bonus to his initiative total.</t>
  </si>
  <si>
    <t>Double: Tie quality bonus increases to +2.</t>
  </si>
  <si>
    <t>Triple : The quality bonus increases to +3.</t>
  </si>
  <si>
    <t>Concealable (any item)</t>
  </si>
  <si>
    <t>Тайного ношения</t>
  </si>
  <si>
    <t>These items are particularly easy to secret on ones person.</t>
  </si>
  <si>
    <t>The bearer gains a bonus +2 to Dexterity (Sleight of Hand) checks to hide this item on his person. Benefits of several grades of this property stack.</t>
  </si>
  <si>
    <t>Crushing (any bludgeoning weapon)</t>
  </si>
  <si>
    <t>This weapon deals 2 bonus damage with every successful attack.</t>
  </si>
  <si>
    <t>Double:The additional damage inflicted increases to +4.</t>
  </si>
  <si>
    <t>Triple :Thc additional damage inflicted increases to +6</t>
  </si>
  <si>
    <t>Guard (any weapon or shield)</t>
  </si>
  <si>
    <t>weapon or shield is easy to use defensively.</t>
  </si>
  <si>
    <t>The wielder may reduce his attack rolls by 1 for the entire round to gain an equal bonus to Armor Class for that round. If this item is shield you gain additional bonus +1 to AC (for total +2)</t>
  </si>
  <si>
    <t>Double: The wielder may reduce his attack rolls by up to 2 to gain an equal deflection bonus to Armor Class. If this item is shield you gain additional bonus +1 to AC (for total +3)</t>
  </si>
  <si>
    <t>Triple: The wieldcr may reduce his attack roils by up to 3 to gain an equal deflection bonus to Armor Class. If this item is shield you gain additional bonus +1 to AC (for total +4)</t>
  </si>
  <si>
    <t>Ornate (any item)</t>
  </si>
  <si>
    <t>Украшенное</t>
  </si>
  <si>
    <t>This item is heavily decorated, possibly with precious metals and/or jewels* and is far more valuable and impressive than other items of its sort even those of similar quality.</t>
  </si>
  <si>
    <t>ORNAMENTATION</t>
  </si>
  <si>
    <t>Most suits of armor have decoration of some sort, be it engraving, scrollwork, stylization, or some other simple beautification. Usually these changes have no game effects. However, adding precious materials or applying serious artistic changes translates into a substantial increase in the object's value, something called “ornamentation.”</t>
  </si>
  <si>
    <t>A crafter needs proficiency with jeweler's tools to add ornamentation to an existing suit of armor. However, if the crafter does not also have proficiency with smith's tools, the suit takes on the ersatz armor quality when modified. A crafter proficient with smith's tools and jeweler's tools can ornament existing armor without weakening it or can create new ornamented armor.</t>
  </si>
  <si>
    <t>Benefit: The cost multiplier for this item is increased by 5. It also adds a bonus +2 to Charisma (Persuassion) checks when given as a gift.</t>
  </si>
  <si>
    <t>Double: Tie cost multiplier for this item is increased by 10. It also adds a bonus +3 to Charisma (Persuassion) checks when given as a gift.</t>
  </si>
  <si>
    <t>Tripl e: The cost multiplier for this item is increased by 15. It also adds a bonus +4 to Charisma (Persuassion) checks when given as a gift.</t>
  </si>
  <si>
    <t>Lethal (any weapon)</t>
  </si>
  <si>
    <t>Смертоносное</t>
  </si>
  <si>
    <t>You deal extra weapon damage on critical hit (1d6 for shortsword, 2d6 for greatsword).</t>
  </si>
  <si>
    <t>Double: You deal two extra weapon damage on critical hit (2d6 for shortsword, 4d6 for greatsword)</t>
  </si>
  <si>
    <t>Triple: You deal three extra weapon damage on critical hit (3d6 for shortsword, 6d6 for greatsword)</t>
  </si>
  <si>
    <t>Subtle Armor</t>
  </si>
  <si>
    <t>Affected armor takes on the appearance of normal, bulky clothing. Leather padding can be</t>
  </si>
  <si>
    <t>sewn inside canvas tunics and baggy trousers. Chain can be disguised with quilting. Even narrow plates and splinting can be incorporated into the lining of heavy coats. Alternately, the armor is crafted for easy concealment under normal clothing.</t>
  </si>
  <si>
    <t>This modification can apply to most armor suits, excluding half plate and plate. Heavy or medium armor with this addition can be identified with a DC 20 Wisdom (Perception) check by anyone within 30 feet. Physically handling any kind of subtle armor reveals its nature without a check. A suit of subtle armor costs twice its normal price.</t>
  </si>
  <si>
    <t>Sharp (slashing or piercing weapon)</t>
  </si>
  <si>
    <t>Острое</t>
  </si>
  <si>
    <t>This weapon has a fine edge on it*</t>
  </si>
  <si>
    <t>Benefit: Add a bonus +1 to all damage rolls with this weapon.</t>
  </si>
  <si>
    <t>Double: The quality bonus increases to +2.</t>
  </si>
  <si>
    <t>Triple: Tie quality bonus increases to +3.</t>
  </si>
  <si>
    <t>Thick (any armor)</t>
  </si>
  <si>
    <t>Толстый</t>
  </si>
  <si>
    <t>This armor is able to absorb some punishment so the wearer doesn’t have to</t>
  </si>
  <si>
    <t>A suit of medium or heavy armor provides Damage Threshold l/- against melee and ranged weapons.</t>
  </si>
  <si>
    <t>Double: A suit of light armor provides Damage Reduction 1/- against melee and ranged weapons.</t>
  </si>
  <si>
    <t>Triple: Any suit armor provides Damage Reduction 2/- against melee and ranged weapons.</t>
  </si>
  <si>
    <t>Well-crafted (any gear)</t>
  </si>
  <si>
    <t>This trait can apply to nearly any tool or device that is employed when using a skill. For example, a well-cratted dark cloak could provide an equipment bonus to Stealth checks, for instance.</t>
  </si>
  <si>
    <t>Benefit: This item provides a bonus +1 to one skill when used for its intended purpose.</t>
  </si>
  <si>
    <t>Triple: The quality bonus increases to +3.</t>
  </si>
  <si>
    <t>MASTERCRAFT ARMOR, WEAPONS</t>
  </si>
  <si>
    <t>Absorbent (armor)</t>
  </si>
  <si>
    <t>Efficient (armor)</t>
  </si>
  <si>
    <t>Enclosed (armor)</t>
  </si>
  <si>
    <t>Layered (armor)</t>
  </si>
  <si>
    <t>Lightweight (armor)</t>
  </si>
  <si>
    <t>Quick-escape (armor)</t>
  </si>
  <si>
    <t>Reinforced (armor)</t>
  </si>
  <si>
    <t>Вид яда</t>
  </si>
  <si>
    <t>Тип</t>
  </si>
  <si>
    <t>Цена 1 порции, зм</t>
  </si>
  <si>
    <t>Бледная настойка</t>
  </si>
  <si>
    <t>Поглощаемый</t>
  </si>
  <si>
    <t>Дым жжёного отура</t>
  </si>
  <si>
    <t>Вдыхаемый</t>
  </si>
  <si>
    <t>Злоба</t>
  </si>
  <si>
    <t>Змеиный яд</t>
  </si>
  <si>
    <t>Оружейный</t>
  </si>
  <si>
    <t>Кровь ассасина</t>
  </si>
  <si>
    <t>Масло таггита</t>
  </si>
  <si>
    <t>Контактный</t>
  </si>
  <si>
    <t>Полуночные слёзы</t>
  </si>
  <si>
    <t>Слизь ползающего падальщика</t>
  </si>
  <si>
    <t>Ступор</t>
  </si>
  <si>
    <t>Сыворотка правды</t>
  </si>
  <si>
    <t>Эссенция эфира</t>
  </si>
  <si>
    <t>Яд виверны</t>
  </si>
  <si>
    <t>Яд дроу</t>
  </si>
  <si>
    <t>Яд лилового червя</t>
  </si>
  <si>
    <t>Яды</t>
  </si>
  <si>
    <t>DC/Dice</t>
  </si>
  <si>
    <t>Assassin vine</t>
  </si>
  <si>
    <t>305 gp</t>
  </si>
  <si>
    <t>—/6d6</t>
  </si>
  <si>
    <t>Basilisk oil</t>
  </si>
  <si>
    <t>Bone devil's sting</t>
  </si>
  <si>
    <t>120 gp</t>
  </si>
  <si>
    <t>14/—</t>
  </si>
  <si>
    <t>Bone naga venom</t>
  </si>
  <si>
    <t>220 gp</t>
  </si>
  <si>
    <t>—/3d6</t>
  </si>
  <si>
    <t>Carrion crawler mucus</t>
  </si>
  <si>
    <t>140 gp</t>
  </si>
  <si>
    <t>13/—</t>
  </si>
  <si>
    <t>Catoblepas musk</t>
  </si>
  <si>
    <t>VGM</t>
  </si>
  <si>
    <t>225 gp</t>
  </si>
  <si>
    <t>16/—</t>
  </si>
  <si>
    <t>Choldrith poison</t>
  </si>
  <si>
    <t>Chuul saliva</t>
  </si>
  <si>
    <t>Coon</t>
  </si>
  <si>
    <t>115 gp</t>
  </si>
  <si>
    <t>—/2d6</t>
  </si>
  <si>
    <t>Couatl venom</t>
  </si>
  <si>
    <t>275 gp</t>
  </si>
  <si>
    <t>Death dog saliva</t>
  </si>
  <si>
    <t>12/1d10</t>
  </si>
  <si>
    <t>Dretch wretch</t>
  </si>
  <si>
    <t>11/—</t>
  </si>
  <si>
    <t>Erinyes poison</t>
  </si>
  <si>
    <t>370 gp</t>
  </si>
  <si>
    <t>14/3d8</t>
  </si>
  <si>
    <t>Ettercap venom</t>
  </si>
  <si>
    <t>Euphoric OotA</t>
  </si>
  <si>
    <t>OotA</t>
  </si>
  <si>
    <t>12/—</t>
  </si>
  <si>
    <t>Flumph stench</t>
  </si>
  <si>
    <t>—/—</t>
  </si>
  <si>
    <t>Flying snake</t>
  </si>
  <si>
    <t>—/3d4</t>
  </si>
  <si>
    <t>Fungi gas spore</t>
  </si>
  <si>
    <t>170 gp</t>
  </si>
  <si>
    <t>15/3d6</t>
  </si>
  <si>
    <t>Giant centipede</t>
  </si>
  <si>
    <t>145 gp</t>
  </si>
  <si>
    <t>11/3d6</t>
  </si>
  <si>
    <t>Giant scorpion</t>
  </si>
  <si>
    <t>190 gp</t>
  </si>
  <si>
    <t>12/4d10</t>
  </si>
  <si>
    <t>Giant spider</t>
  </si>
  <si>
    <t>130 gp</t>
  </si>
  <si>
    <t>11/2d8</t>
  </si>
  <si>
    <t>Giant wasp</t>
  </si>
  <si>
    <t>Giant wolf spider</t>
  </si>
  <si>
    <t>11/2d6</t>
  </si>
  <si>
    <t>Gnoll spittle</t>
  </si>
  <si>
    <t>110 gp</t>
  </si>
  <si>
    <t>12/2d6</t>
  </si>
  <si>
    <t>Green dragon breath Adult</t>
  </si>
  <si>
    <t>2,600 gp</t>
  </si>
  <si>
    <t>18/16d6</t>
  </si>
  <si>
    <t>Green dragon breath Ancient</t>
  </si>
  <si>
    <t>5,200 gp</t>
  </si>
  <si>
    <t>22/22d6</t>
  </si>
  <si>
    <t>Green dragon breath Wyrmling</t>
  </si>
  <si>
    <t>210 gp</t>
  </si>
  <si>
    <t>11/6d6</t>
  </si>
  <si>
    <t>Green dragon breath Young</t>
  </si>
  <si>
    <t>605 gp</t>
  </si>
  <si>
    <t>14/12d6</t>
  </si>
  <si>
    <t>Green dragon poison</t>
  </si>
  <si>
    <t>Grell venom</t>
  </si>
  <si>
    <t>Grung sweat</t>
  </si>
  <si>
    <t>Guardian naga venom</t>
  </si>
  <si>
    <t>600 gp</t>
  </si>
  <si>
    <t>—/10d8</t>
  </si>
  <si>
    <t>Hallucinogenic OotA</t>
  </si>
  <si>
    <t>300 gp</t>
  </si>
  <si>
    <t>Homunculus saliva</t>
  </si>
  <si>
    <t>400 gp</t>
  </si>
  <si>
    <t>10/—</t>
  </si>
  <si>
    <t>Imp sting</t>
  </si>
  <si>
    <t>Iron golem fumes</t>
  </si>
  <si>
    <t>1,350 gp</t>
  </si>
  <si>
    <t>19/10d8</t>
  </si>
  <si>
    <t>Kamadan's snakes</t>
  </si>
  <si>
    <t>ToA</t>
  </si>
  <si>
    <t>155 gp</t>
  </si>
  <si>
    <t>12/6d6</t>
  </si>
  <si>
    <t>Medusa venom</t>
  </si>
  <si>
    <t>235 gp</t>
  </si>
  <si>
    <t>—/4d6</t>
  </si>
  <si>
    <t>Myconid spore</t>
  </si>
  <si>
    <t>Neogi venom</t>
  </si>
  <si>
    <t>12/4d6</t>
  </si>
  <si>
    <t>Neogi venom, hatchling</t>
  </si>
  <si>
    <t>10/2d6</t>
  </si>
  <si>
    <t>Phase spider</t>
  </si>
  <si>
    <t>165 gp</t>
  </si>
  <si>
    <t>11/4d8</t>
  </si>
  <si>
    <t>Pit fiend venom</t>
  </si>
  <si>
    <t>1,280 gp</t>
  </si>
  <si>
    <t>21/6d6</t>
  </si>
  <si>
    <t>Poisonous snake</t>
  </si>
  <si>
    <t>105 gp</t>
  </si>
  <si>
    <t>10/2d4</t>
  </si>
  <si>
    <t>Pseudodragon sting</t>
  </si>
  <si>
    <t>Purple worm poison</t>
  </si>
  <si>
    <t>dmg</t>
  </si>
  <si>
    <t>19/12d6</t>
  </si>
  <si>
    <t>Purple wormling poison</t>
  </si>
  <si>
    <t>SKT</t>
  </si>
  <si>
    <t>13/3d6</t>
  </si>
  <si>
    <t>Quasit crud</t>
  </si>
  <si>
    <t>9/1d8</t>
  </si>
  <si>
    <t>Sea spawn quills</t>
  </si>
  <si>
    <t>12/1d6</t>
  </si>
  <si>
    <t>Serpent</t>
  </si>
  <si>
    <t>Shoosuva poison</t>
  </si>
  <si>
    <t>95 gp</t>
  </si>
  <si>
    <t>9/1d4</t>
  </si>
  <si>
    <t>Spirit naga venom</t>
  </si>
  <si>
    <t>770 gp</t>
  </si>
  <si>
    <t>—/7d8</t>
  </si>
  <si>
    <t>Sprite spit</t>
  </si>
  <si>
    <t>Stench kow breath</t>
  </si>
  <si>
    <t>Thri-kreen venom</t>
  </si>
  <si>
    <t>Tlincalli sting</t>
  </si>
  <si>
    <t>745 gp</t>
  </si>
  <si>
    <t>14/4d6</t>
  </si>
  <si>
    <t>Tressym tongue</t>
  </si>
  <si>
    <t>55 gp</t>
  </si>
  <si>
    <t>Tri-Flower</t>
  </si>
  <si>
    <t>Troglodyte stench</t>
  </si>
  <si>
    <t>Unicorn horn</t>
  </si>
  <si>
    <t>Vegepygmy chief spores</t>
  </si>
  <si>
    <t>450 gp</t>
  </si>
  <si>
    <t>12/2d8</t>
  </si>
  <si>
    <t>Vrock spores</t>
  </si>
  <si>
    <t>295 gp</t>
  </si>
  <si>
    <t>14/1d10</t>
  </si>
  <si>
    <t>Wyvern poison ,</t>
  </si>
  <si>
    <t>DMG, MM</t>
  </si>
  <si>
    <t>1,200 gp</t>
  </si>
  <si>
    <t>15/7d6</t>
  </si>
  <si>
    <t>Yahcha beetle</t>
  </si>
  <si>
    <t>Yochlol mist</t>
  </si>
  <si>
    <t>Yuan-ti Abomination</t>
  </si>
  <si>
    <t>Yuan-ti Anathema VGM</t>
  </si>
  <si>
    <t>Алхимические товары</t>
  </si>
  <si>
    <t>Alchemical Copper</t>
  </si>
  <si>
    <t>50gp per lb</t>
  </si>
  <si>
    <t>Alchemical Copper,</t>
  </si>
  <si>
    <t>5gp per lb of armor</t>
  </si>
  <si>
    <t>Armor Filigree</t>
  </si>
  <si>
    <t>50gp per lb of armor</t>
  </si>
  <si>
    <t>50gp per lb of weapon</t>
  </si>
  <si>
    <t>150gp</t>
  </si>
  <si>
    <t>Lightning Rod</t>
  </si>
  <si>
    <t>Alchemical Gold</t>
  </si>
  <si>
    <t>350gp per lb</t>
  </si>
  <si>
    <t>Alchemical Gold,</t>
  </si>
  <si>
    <t>35gp per lb of armor</t>
  </si>
  <si>
    <t>350gp per lb of armor</t>
  </si>
  <si>
    <t>Alchemical Gold, Magic Item Enchantment</t>
  </si>
  <si>
    <t>varies</t>
  </si>
  <si>
    <t>Alchemical Lead</t>
  </si>
  <si>
    <t>85gp per lb</t>
  </si>
  <si>
    <t>Alchemical Lead,</t>
  </si>
  <si>
    <t>9gp per lb of armor</t>
  </si>
  <si>
    <t>85gp per lb of weapon</t>
  </si>
  <si>
    <t>50gp</t>
  </si>
  <si>
    <t>Seal</t>
  </si>
  <si>
    <t>Alchemical Silver</t>
  </si>
  <si>
    <t>250gp per lb</t>
  </si>
  <si>
    <t>Alchemical Silver,</t>
  </si>
  <si>
    <t>25gp per lb of armor</t>
  </si>
  <si>
    <t>250gp per lb of armor</t>
  </si>
  <si>
    <t>250gp per lb of weapon</t>
  </si>
  <si>
    <t>Ч</t>
  </si>
  <si>
    <t>Alchemical</t>
  </si>
  <si>
    <t>25gp</t>
  </si>
  <si>
    <t>Cosmetics Kit</t>
  </si>
  <si>
    <t>Hair Dye</t>
  </si>
  <si>
    <t>1gp (packet)</t>
  </si>
  <si>
    <t>Hair Growth Tonic</t>
  </si>
  <si>
    <t>1gp (bottle)</t>
  </si>
  <si>
    <t>Scar and Blemish</t>
  </si>
  <si>
    <t>1gp (jar)</t>
  </si>
  <si>
    <t>Remover</t>
  </si>
  <si>
    <t>Ointment</t>
  </si>
  <si>
    <t>Skin Dye</t>
  </si>
  <si>
    <t>10gp (jar)</t>
  </si>
  <si>
    <t>Wrinkle Remover</t>
  </si>
  <si>
    <t>2gp (jar)</t>
  </si>
  <si>
    <t>Acid (vial)*</t>
  </si>
  <si>
    <t>Alchemical glue (vial)</t>
  </si>
  <si>
    <t>Alchemical silver (vial)</t>
  </si>
  <si>
    <t>Alchemical solvent (vial)</t>
  </si>
  <si>
    <t>Alchemist's fire (flask)*</t>
  </si>
  <si>
    <t>Bladefire (vial)</t>
  </si>
  <si>
    <t>Blastpatch (flask)</t>
  </si>
  <si>
    <t>3 gp</t>
  </si>
  <si>
    <t>Blend cream (vial)</t>
  </si>
  <si>
    <t>30 gp</t>
  </si>
  <si>
    <t>Catstink (flask)</t>
  </si>
  <si>
    <t>6 gp</t>
  </si>
  <si>
    <t>Clearwater solution (vial)</t>
  </si>
  <si>
    <t>Defoliant (flask)</t>
  </si>
  <si>
    <t>Eggshell grenade</t>
  </si>
  <si>
    <t>Dust</t>
  </si>
  <si>
    <t>Flash</t>
  </si>
  <si>
    <t>Pepper</t>
  </si>
  <si>
    <t>Smoke</t>
  </si>
  <si>
    <t>Embalming cream (flask)</t>
  </si>
  <si>
    <t>Fireworks*</t>
  </si>
  <si>
    <t>Flash powder (paper packet)*</t>
  </si>
  <si>
    <t>8 gp</t>
  </si>
  <si>
    <t>Flash pellet*</t>
  </si>
  <si>
    <t>Flash rocket*</t>
  </si>
  <si>
    <t>Ghoststrike oil (vial)</t>
  </si>
  <si>
    <t>Ink, dark (1-ounce bottle)</t>
  </si>
  <si>
    <t>Ink, glowing (1-ounce bottle)</t>
  </si>
  <si>
    <t>Instant rope (flask)</t>
  </si>
  <si>
    <t>Lockgrip grease (vial)</t>
  </si>
  <si>
    <t>Longbreath (vial)</t>
  </si>
  <si>
    <t>Mirage powder (vial)</t>
  </si>
  <si>
    <t>Moonrod</t>
  </si>
  <si>
    <t>Motelight (vial)</t>
  </si>
  <si>
    <t>Oil, slow-burning (flask)</t>
  </si>
  <si>
    <t>Potion of climbing (small flask)</t>
  </si>
  <si>
    <t>Salve of slipperiness (flask)</t>
  </si>
  <si>
    <t>Smokestick</t>
  </si>
  <si>
    <t>Stonebreaker acid (vial)</t>
  </si>
  <si>
    <t>Sunrod</t>
  </si>
  <si>
    <t>Tanglefoot bag</t>
  </si>
  <si>
    <t>Tangler grenade</t>
  </si>
  <si>
    <t>Thermal grease (flask)</t>
  </si>
  <si>
    <t>12 gp</t>
  </si>
  <si>
    <t>Tindertwig</t>
  </si>
  <si>
    <t>Torch, alchemical</t>
  </si>
  <si>
    <t>Tracking dust (vial)</t>
  </si>
  <si>
    <t>Whistling box*</t>
  </si>
  <si>
    <t>Vicious bleeder (vial)</t>
  </si>
  <si>
    <t>35 gp</t>
  </si>
  <si>
    <t>Anti-Rust</t>
  </si>
  <si>
    <t>20gp (jar)</t>
  </si>
  <si>
    <t>Treatment</t>
  </si>
  <si>
    <t>Darkeye Oil</t>
  </si>
  <si>
    <t>15gp</t>
  </si>
  <si>
    <t>(bottle)</t>
  </si>
  <si>
    <t>Salamander Salve</t>
  </si>
  <si>
    <t>50gp (jar)</t>
  </si>
  <si>
    <t>Silver Treatment</t>
  </si>
  <si>
    <t>Softfoot</t>
  </si>
  <si>
    <t>12gp</t>
  </si>
  <si>
    <t>Storm Salve</t>
  </si>
  <si>
    <t>Suregrip</t>
  </si>
  <si>
    <t>Травничество</t>
  </si>
  <si>
    <t>Вид</t>
  </si>
  <si>
    <t>Способ применения</t>
  </si>
  <si>
    <t>Мазь</t>
  </si>
  <si>
    <t>Зелье</t>
  </si>
  <si>
    <t>Чай</t>
  </si>
  <si>
    <t>Отвар</t>
  </si>
  <si>
    <t>Настойка</t>
  </si>
  <si>
    <t>Припарка</t>
  </si>
  <si>
    <t>Credits</t>
  </si>
  <si>
    <t>Playtest</t>
  </si>
  <si>
    <t>Introduction</t>
  </si>
  <si>
    <t>Adventure Premise</t>
  </si>
  <si>
    <t> The captain is a shipboard position as well as an actual rank and as a position refers to the individual who has command of a ship. When on board ship, the one who commands a ship is always called captain regardless of his actual rank. A lieutenant given command of a ship taken as a prize is called captain while on board the prize. A commander on board the sloop he commands is called captain, and of course an officer having the rank captain is called captain while on board his galleon. There can only be one captain of a ship; any officer having the rank of captain who visits a ship not his own is always given and honorary promotion and called Commodore, even if that ship be a prize commanded by a lieutenant or a sloop commanded by a commander. Ultimately all authority on board ship rests with the captain. The captain is as much an absolute authority on his ship at sea as a king is of a kingdom. Even if an admiral is on board a ship, the admiral may only assign the mission the ship is to carry out and the captain has the full authority over the details of how his ship and crew carry out that mission; despite their higher rank, Admirals by custom and tradition are not allowed to involve themselves in the routine operations of the ship.</t>
  </si>
  <si>
    <t>Flag Captain</t>
  </si>
  <si>
    <t>In squadron operations, the captain of the commodore's flagship is called the Flag Captain. The flag captain is normally privy to the plans and intentions of his commodore. If the commodore of the squadron should be killed or incapacitated, then the flag captain would assume acting command of the squadron until such time as the commodore is capable of resuming command or a replacement is appointed. The commodore may choose whatever ship of his squadron he wishes as his flagship, so there is no guarantee that the flag captain will be the seniormost captain of the squadron; the position is solely one of convenience for the orderly continuity of command. (Some commodores prefer to choose the ship with the seniormost captain as their flagship, while others prefer a particular ship or ship type, although all commodores will at least select a large ship commanded by a captain by rank rather than a commander. No commander by rank will ever have the position of flag captain.)</t>
  </si>
  <si>
    <t>First Lieutenant</t>
  </si>
  <si>
    <t> The most senior lieutenant on board (i.e. the one to hold the rank of lieutenant the longest) is called the First Lieutenant and is the captain's executive officer. If anything were to happen to the captain, the First Lieutenant would take command of the ship for the remainder of the voyage.</t>
  </si>
  <si>
    <t>Purser</t>
  </si>
  <si>
    <t> this officer is a warrant officer who acts as sort of a clerk for the captain. He is in charge of the ship's ledgers and accounts, and handles monetary receipts and disbursements. He is responsible for purchasing supplies for the ship and making sure the ship has sufficient supplies for whatever mission it is sent on. The ship's purser is always someone who is both literate and numerate, and can be expected to have ranks in Appraise, Profession (bookkeeper) and Profession (scribe).</t>
  </si>
  <si>
    <t>Chaplain</t>
  </si>
  <si>
    <t> this position is held by a warrant officer who is a cleric. The chaplain will tend to the spiritual needs of the captain and crew and will often help the Surgeon in tending to the crew's health as well. Most ship's chaplains also have levels in the Battlepriest prestige class. (See Thomas M. Costa's article Heroes of Cormyr, in Dragon #307, for more detail of the Battlepriest prestige class.)</t>
  </si>
  <si>
    <t>Surgeon</t>
  </si>
  <si>
    <t> The ship's surgeon is a warrant officer who is responsible for the health of the crew. He inspects the provisions the purser obtains to make sure they are fit for consumption, and he treats the diseases and wounds of the crew. Ship's surgeons will usually have levels in the Expert class with ranks in the Heal and Profession (Apothecary) skills (if the surgeon is a NPC), but some ships are lucky enough to have clerics serve as surgeons who can heal with spells (if the campaign is a sea-based one and a PC plays the surgeon). Clerics who serve as ship's surgeons are generally not battlepriests. Medical care can be a chancy thing on board ship, especially in the chaos of ship-to-ship battle where the surgeon is often overloaded with casualties in cramped, unsanitary, hurried conditions in which the noise of battle and the moving of the ship can be distracting. In such times, good care is necessarily replaced with rapid care; amputations are the norm for severe wounds, and if the surgeon is a cleric healing spells are usually reserved for officers.</t>
  </si>
  <si>
    <t> Every ship of the Imperial Navy will have at least one ship's wizard. These are always War Wizards. They are neither commissioned officers nor warrant officers, strictly speaking, and do not receive their pay from the Navy, but they are accorded the social status of a lieutenant. The wizard is under the captain's authority and must obey orders, of course, but captains usually ask the wizard to accomplish arcane tasks and don't micromanage exactly how the wizard plies his Art. The ship's wizard, being a War Wizard, is generally as independent-minded as he is allowed to be under ship's discipline and also serves as eyes and ears for the Royal Magician, giving some oversight to the captain's actions that some captains tend to dislike.</t>
  </si>
  <si>
    <t>Boatswain</t>
  </si>
  <si>
    <t> The boatswain (pronounced bosun) is responsible for the sail and rigging of the ship and for the discipline of the enlisted crew. The boatswain has the rank of master on most ships, but occasionally on larger ships may be a warrant officer. In such cases, a warrant officer boatswain will nearly always have served before as a boatswain with the rank of master. The sailmaker, ropemaker and quartermaster will generally be under his authority. If the captain decrees that an offense of a sailor merits some form of corporal punishment such as flogging, it will be the boatswain or one of his mates who administers the punishment. Profession (sailor) is the primary skill for this rating, and ranks in Intimidate often serve well in his role as disciplinarian.</t>
  </si>
  <si>
    <t>Coxswain</t>
  </si>
  <si>
    <t> The coxswain (pronounced coxsun) has the rank of master and is responsible for the operation and maintenance of all the small boats that a larger ship will carry, such as launches, rowboats, and the captain's gig. Whenever a boat is launched, it will be the coxswain or one of his mates whose hand is on the tiller. The coxswain himself will usually con a boat that the captain of the ship is on. Profession (Boater) is the primary skill for this rating.</t>
  </si>
  <si>
    <t> The quartermaster of a naval ship serves a quite different function than the quartermaster of a Purple Dragon unit despite having the same name. The quartermaster will have a rank of master, and is the "master of the quarterdeck". He or his mates are responsible for actually manning the helm and conning the ship (i.e. manning the wheel that steers the ship), is responsible for the ship's instruments (the compass and hourglass in the binnacle), and is responsible for hoisting the ships colors and signal flags. Although the officers of the ship will be the ones who mainly read the signals of other ships, the quartermaster and his mates are also expected to know how to read them. Profession (sailor) is the primary skill for this rating.</t>
  </si>
  <si>
    <t>Carpenter</t>
  </si>
  <si>
    <t> The ship's carpenter has the rank of master and is responsible for all repairs to the hull, structure or masts of the ship, and will have several mates to help him. The carpenter and his mates will have ranks in the carpentry, shipmaking, and woodcarving crafts. On larger ships, a wealthy captain may invest his own money in obtaining the services of an engineer (a NPC with ranks in Engineer as well as the wood-type crafts aforementioned) as a warrant officer to serve as the ship's carpenter.</t>
  </si>
  <si>
    <t>Sailmaker</t>
  </si>
  <si>
    <t> The sailmaker is responsible for the maintenance and repair of the ship's sails. If a ship's sails are too badly damaged by storm or battle, he is responsible for making new ones using canvas from the ship's stores. He has the rank of master, and will normally have a few mates to assist him. He may also be called upon to make flags. Profession (sailor) and Craft (sewing) are the primary skills for this rating.</t>
  </si>
  <si>
    <t>Ropemaker</t>
  </si>
  <si>
    <t> The ropemaker is responsible for the maintenance and repair of all the ships ropes. A large ship can easily have miles of length of ropes of various sizes for the rigging and stays that keep the masts and sails in place. He has the rank of master, and will normally have one or two mates to assist him.</t>
  </si>
  <si>
    <t> Each ship will have one man designated as the ship's cook. On large ships the ship's cook may have the rank of master, but on smaller ships he is only a mate by rank and is assisted by a couple of more junior mates. The ship's cook is responsible for preparing the meals for the crew and the officers of rank commander and below. Profession (Cook) is the primary skill for this rating.</t>
  </si>
  <si>
    <t>Steward</t>
  </si>
  <si>
    <t> Officers who have the rank of captain or higher will have a steward to serve as a personal manservant. The steward is often a master by rank, but occasionally can be a civilian that a noble or wealthy commoner captain hires to act as his manservant. Captains of noble birth will often bring an experienced manservant from their house along to continue such service. In those cases where the captain brings a personal hireling as a steward rather than using a master, the steward is just a personal hireling and is not a warrant officer. (Only positions that are needful by the ship as a whole are given royal warrants.) The steward will cook the captain's meals from the captain's personal store of foodstuffs that is normally of higher quality than the crew's food, keep the captain's uniforms clean and repaired, and keep the captain's cabin as clean as he can, and generally fulfill the other functions that a manservant usually does. Profession (cook) is the most primary skill for this rating, but Craft (sewing) or Profession (butler) would be secondarily useful. A steward, whether a Blue Dragon master or a civilian hireling, will usually be assisted by one or two mates.</t>
  </si>
  <si>
    <t>Mate</t>
  </si>
  <si>
    <t>Master</t>
  </si>
  <si>
    <t>Midshipman</t>
  </si>
  <si>
    <t>Commander</t>
  </si>
  <si>
    <t>Commodore</t>
  </si>
  <si>
    <t>Admiral</t>
  </si>
  <si>
    <t>Lord High Admiral</t>
  </si>
  <si>
    <t>Payment</t>
  </si>
  <si>
    <t>Warrant Officers</t>
  </si>
  <si>
    <t>Masters</t>
  </si>
  <si>
    <t>Captain (captain by rank)</t>
  </si>
  <si>
    <t>Lieutenants</t>
  </si>
  <si>
    <t>Midshipmen</t>
  </si>
  <si>
    <t>War Wizards</t>
  </si>
  <si>
    <t>Engineer/Carpenter</t>
  </si>
  <si>
    <t>Mates</t>
  </si>
  <si>
    <t>Sailors</t>
  </si>
  <si>
    <t>Total Crew</t>
  </si>
  <si>
    <t>Marines</t>
  </si>
  <si>
    <t>Total Wartime Complement</t>
  </si>
  <si>
    <t xml:space="preserve">rean  </t>
  </si>
  <si>
    <t>Large War Galleon</t>
  </si>
  <si>
    <t>War Galleon</t>
  </si>
  <si>
    <t>Fast Galleon</t>
  </si>
  <si>
    <t>Carrack</t>
  </si>
  <si>
    <t>Royal Galleon</t>
  </si>
  <si>
    <t>War Caravel</t>
  </si>
  <si>
    <t>Coastal Runner</t>
  </si>
  <si>
    <t>Cog</t>
  </si>
  <si>
    <t>Training Ship</t>
  </si>
  <si>
    <t>Supporting Ships</t>
  </si>
  <si>
    <t>Capital Ships</t>
  </si>
  <si>
    <t>Total Marines</t>
  </si>
  <si>
    <r>
      <t>Crown of Cormyr</t>
    </r>
    <r>
      <rPr>
        <sz val="11"/>
        <color rgb="FF979797"/>
        <rFont val="Arial"/>
        <family val="2"/>
        <charset val="204"/>
      </rPr>
      <t> </t>
    </r>
  </si>
  <si>
    <t xml:space="preserve"> [VGtC,p.16]</t>
  </si>
  <si>
    <t>[VGtC,p.16]</t>
  </si>
  <si>
    <t>Welleran</t>
  </si>
  <si>
    <t xml:space="preserve"> [Crus,p.99-101]</t>
  </si>
  <si>
    <r>
      <t>Filfaeril</t>
    </r>
    <r>
      <rPr>
        <sz val="11"/>
        <color rgb="FF979797"/>
        <rFont val="Arial"/>
        <family val="2"/>
        <charset val="204"/>
      </rPr>
      <t> </t>
    </r>
  </si>
  <si>
    <t>[EdG1]</t>
  </si>
  <si>
    <r>
      <t>Warstrike</t>
    </r>
    <r>
      <rPr>
        <sz val="11"/>
        <color rgb="FF979797"/>
        <rFont val="Arial"/>
        <family val="2"/>
        <charset val="204"/>
      </rPr>
      <t> </t>
    </r>
  </si>
  <si>
    <t>Edrel's Chain</t>
  </si>
  <si>
    <t xml:space="preserve"> [EdG1]</t>
  </si>
  <si>
    <r>
      <t>Triumphant</t>
    </r>
    <r>
      <rPr>
        <sz val="11"/>
        <color rgb="FF979797"/>
        <rFont val="Arial"/>
        <family val="2"/>
        <charset val="204"/>
      </rPr>
      <t>†</t>
    </r>
  </si>
  <si>
    <t>The Helm of Serpents</t>
  </si>
  <si>
    <r>
      <t>Blade of Espar</t>
    </r>
    <r>
      <rPr>
        <sz val="11"/>
        <color rgb="FF979797"/>
        <rFont val="Arial"/>
        <family val="2"/>
        <charset val="204"/>
      </rPr>
      <t> </t>
    </r>
  </si>
  <si>
    <t>Shield of Suzail</t>
  </si>
  <si>
    <r>
      <t>Iliphar's Legacy</t>
    </r>
    <r>
      <rPr>
        <sz val="11"/>
        <color rgb="FF979797"/>
        <rFont val="Arial"/>
        <family val="2"/>
        <charset val="204"/>
      </rPr>
      <t>†</t>
    </r>
  </si>
  <si>
    <t>Flame of Esparin</t>
  </si>
  <si>
    <t>[Gar1]</t>
  </si>
  <si>
    <t>Lance of Wheloon</t>
  </si>
  <si>
    <r>
      <t>Sword of Arabel</t>
    </r>
    <r>
      <rPr>
        <sz val="11"/>
        <color rgb="FF979797"/>
        <rFont val="Arial"/>
        <family val="2"/>
        <charset val="204"/>
      </rPr>
      <t> </t>
    </r>
  </si>
  <si>
    <t>Squadron</t>
  </si>
  <si>
    <t>Base</t>
  </si>
  <si>
    <r>
      <t>Morningstar</t>
    </r>
    <r>
      <rPr>
        <sz val="11"/>
        <color rgb="FF979797"/>
        <rFont val="Arial"/>
        <family val="2"/>
        <charset val="204"/>
      </rPr>
      <t>,</t>
    </r>
  </si>
  <si>
    <r>
      <t>Mace of Fire</t>
    </r>
    <r>
      <rPr>
        <sz val="11"/>
        <color rgb="FF979797"/>
        <rFont val="Arial"/>
        <family val="2"/>
        <charset val="204"/>
      </rPr>
      <t>,</t>
    </r>
  </si>
  <si>
    <r>
      <t>Sea Snake</t>
    </r>
    <r>
      <rPr>
        <sz val="11"/>
        <color rgb="FF979797"/>
        <rFont val="Arial"/>
        <family val="2"/>
        <charset val="204"/>
      </rPr>
      <t>,</t>
    </r>
  </si>
  <si>
    <t xml:space="preserve"> [VGtC,p.35]</t>
  </si>
  <si>
    <r>
      <t>Palaghard's Banner</t>
    </r>
    <r>
      <rPr>
        <sz val="11"/>
        <color rgb="FF979797"/>
        <rFont val="Arial"/>
        <family val="2"/>
        <charset val="204"/>
      </rPr>
      <t>,</t>
    </r>
  </si>
  <si>
    <r>
      <t>Thomdor's Fist</t>
    </r>
    <r>
      <rPr>
        <sz val="11"/>
        <color rgb="FF979797"/>
        <rFont val="Arial"/>
        <family val="2"/>
        <charset val="204"/>
      </rPr>
      <t>, (</t>
    </r>
  </si>
  <si>
    <t>[VGtC,p.35]</t>
  </si>
  <si>
    <r>
      <t>Helm of Marsember</t>
    </r>
    <r>
      <rPr>
        <sz val="11"/>
        <color rgb="FF979797"/>
        <rFont val="Arial"/>
        <family val="2"/>
        <charset val="204"/>
      </rPr>
      <t>,</t>
    </r>
  </si>
  <si>
    <r>
      <t>Ansiber's Wrath</t>
    </r>
    <r>
      <rPr>
        <sz val="11"/>
        <color rgb="FF979797"/>
        <rFont val="Arial"/>
        <family val="2"/>
        <charset val="204"/>
      </rPr>
      <t>,</t>
    </r>
  </si>
  <si>
    <r>
      <t>Queen Besmra</t>
    </r>
    <r>
      <rPr>
        <sz val="11"/>
        <color rgb="FF979797"/>
        <rFont val="Arial"/>
        <family val="2"/>
        <charset val="204"/>
      </rPr>
      <t>,</t>
    </r>
  </si>
  <si>
    <t xml:space="preserve"> [SoFS,p.15]</t>
  </si>
  <si>
    <r>
      <t>Hlombur's Blade</t>
    </r>
    <r>
      <rPr>
        <sz val="11"/>
        <color rgb="FF979797"/>
        <rFont val="Arial"/>
        <family val="2"/>
        <charset val="204"/>
      </rPr>
      <t>,</t>
    </r>
  </si>
  <si>
    <t>[AJA1, VGtC,p.22]</t>
  </si>
  <si>
    <r>
      <t>Warrior King</t>
    </r>
    <r>
      <rPr>
        <sz val="11"/>
        <color rgb="FF979797"/>
        <rFont val="Arial"/>
        <family val="2"/>
        <charset val="204"/>
      </rPr>
      <t>†,</t>
    </r>
  </si>
  <si>
    <t>Training</t>
  </si>
  <si>
    <t>Heavy Infantry</t>
  </si>
  <si>
    <t>splint or banded mail with shields, armed with halberds and amixture of swords maces or morningstars.</t>
  </si>
  <si>
    <t xml:space="preserve"> splint or banded mail with shields, or some form of plate if they can afford it, armed with sword.</t>
  </si>
  <si>
    <t>Medium Infantry</t>
  </si>
  <si>
    <t>Light Infantry</t>
  </si>
  <si>
    <t>Officer</t>
  </si>
  <si>
    <t>Unit Type</t>
  </si>
  <si>
    <t xml:space="preserve"> Abbr.</t>
  </si>
  <si>
    <t xml:space="preserve"> # Men</t>
  </si>
  <si>
    <t xml:space="preserve"> First Sword leads 6 blades and a Royal Scout.</t>
  </si>
  <si>
    <t xml:space="preserve">Squadron </t>
  </si>
  <si>
    <t xml:space="preserve"> SQN </t>
  </si>
  <si>
    <t>Lionars (6 TRP CO's and 2 SQN XO's)</t>
  </si>
  <si>
    <t>Ornrions (2 SQN CO's and 1 RGT XO)</t>
  </si>
  <si>
    <t>Light Cavalry</t>
  </si>
  <si>
    <t>Medium Cavalry</t>
  </si>
  <si>
    <t>Equipment</t>
  </si>
  <si>
    <t>Royal Cavalry Regiment</t>
  </si>
  <si>
    <t>King's Cavalry Squadron</t>
  </si>
  <si>
    <t>Queen's Cavalry Squadron</t>
  </si>
  <si>
    <t>[GTR,p.57 describes a Cormyrean patrol as being 12 1st-level fighters led by a 4th-level fighter with a chance of a war wizard. This is 14 men total. HHEv,p.13 describes a road patrol as being 12+1d12 mounted soldiers, with a chance of having a priest, a war wizard, or 1d6 trainees. This can range from 13 to 30 men. A lance of 21 men is a good compromise between these two. The latter source also says the patrol is led by a patrol captain, and that nomenclature matches nicely with the rank of swordcaptain that normally commands a lance.]</t>
  </si>
  <si>
    <t xml:space="preserve"> Composition</t>
  </si>
  <si>
    <t>First Sword leads 4 blades and a Royal Scout.</t>
  </si>
  <si>
    <t>Mounted airborne</t>
  </si>
  <si>
    <t xml:space="preserve">Flight </t>
  </si>
  <si>
    <t xml:space="preserve"> BTY</t>
  </si>
  <si>
    <t>Archers</t>
  </si>
  <si>
    <t>Suzail Garrison</t>
  </si>
  <si>
    <t>Royal Cavalry Regiment (medium)</t>
  </si>
  <si>
    <t>Regimental Headquarters and 1 squadron of the 1st Mounted Airborne Regiment</t>
  </si>
  <si>
    <t>1st Suzail Infantry Regiment (heavy)</t>
  </si>
  <si>
    <t xml:space="preserve"> light cavalry regiment</t>
  </si>
  <si>
    <t>medium infantry regiment</t>
  </si>
  <si>
    <t xml:space="preserve"> light infantry regiments</t>
  </si>
  <si>
    <t>archer batteries</t>
  </si>
  <si>
    <t>King's Messengers (~ 45-48 men), not included in 4,420 total</t>
  </si>
  <si>
    <t>1 kadrath of infantry</t>
  </si>
  <si>
    <t>1 troop of cavalry is stationed here and rotated periodically but there are almost always additional Purple Dragons passing through.</t>
  </si>
  <si>
    <t>1 company of light infantry currently commanded by Swordcaptain Flaergan Hondh (LG hm Ftr5). One would normally expect the company of men garrisoning Eveningstar to come from a closer major garrison like Arabel, but King Azoun IV has decreed that this garrison be provisioned from Suzail due to the frequent royal visits and the friendship he has for the local lord Tessaril Winter.</t>
  </si>
  <si>
    <t>Marsember Garrison</t>
  </si>
  <si>
    <t xml:space="preserve"> light infantry regiment</t>
  </si>
  <si>
    <t xml:space="preserve"> archer battery</t>
  </si>
  <si>
    <t>Arabel Garrison</t>
  </si>
  <si>
    <t>Thunder Gap border outpost</t>
  </si>
  <si>
    <t>Castle Crag Garrison</t>
  </si>
  <si>
    <t>Regimental Headquarters and 1 squadron of the 2nd Mounted Airborne Regiment</t>
  </si>
  <si>
    <t>Minor garrisons or detachments supported out of the Castle Crag garrison</t>
  </si>
  <si>
    <t xml:space="preserve"> squadron of the 2nd Mounted Airborne Regiment</t>
  </si>
  <si>
    <t>archer battery</t>
  </si>
  <si>
    <t>Halfhap Garrison</t>
  </si>
  <si>
    <t>Minor garrisons or detachments supported out of the Skull Crag garrison</t>
  </si>
  <si>
    <t>Regimental Headquarters and 1 squadron of light cavalry</t>
  </si>
  <si>
    <t>High Horn Garrison</t>
  </si>
  <si>
    <t>Regimental Headquarters and 1 battalion of light infantry</t>
  </si>
  <si>
    <t>Eagle Peak Garrison</t>
  </si>
  <si>
    <t xml:space="preserve"> squadron of light cavalry (under Rgt. HQ at Skull Crag)</t>
  </si>
  <si>
    <t>battalion of light infantry (under Rgt. HQ at High Horn)</t>
  </si>
  <si>
    <t>squadron of the 1st Mounted Airborne Regiment</t>
  </si>
  <si>
    <t>Skull Crag Garrison</t>
  </si>
  <si>
    <t>one infantry kadrath and one cavalry troop under command of the senior lionar of the two C.O.'s of those units. The Greatgaunt detachment frequently patrols as far as the Bridge of Fallen Men, and consideration is being given to continually stationing 1 squad at the bridge on a tenday rotation.</t>
  </si>
  <si>
    <t>Wheloon Garrison</t>
  </si>
  <si>
    <t>1st Wheloon Infantry Regiment (light infantry)</t>
  </si>
  <si>
    <t>Minor garrisons or detachments supported out of the Wheloon garrison</t>
  </si>
  <si>
    <t>1 kadrath of infantry plus battalion headquarters</t>
  </si>
  <si>
    <t xml:space="preserve">Marsember Garrison commanded by Lord Admiral Ayesunder Truesilver, Warden of the Port of Marsember (LG hm NvF11/BDK3). [GTR,p.53, Ayesunder's classes modified by new classes described in section 3.5.]
part of the Army of the Heartlands 5 light infantry regiments
</t>
  </si>
  <si>
    <t>Position</t>
  </si>
  <si>
    <t>C9410:</t>
  </si>
  <si>
    <t>VGtC:</t>
  </si>
  <si>
    <t>FR12:</t>
  </si>
  <si>
    <t>HHEv:</t>
  </si>
  <si>
    <t>FFC:</t>
  </si>
  <si>
    <t>PoFS:</t>
  </si>
  <si>
    <t>SoFS:</t>
  </si>
  <si>
    <t>FoMD:</t>
  </si>
  <si>
    <t>Fall of Myth Drannor, Steven E. Schend</t>
  </si>
  <si>
    <t>Crus:</t>
  </si>
  <si>
    <t>PoL:</t>
  </si>
  <si>
    <t>Stmlt:</t>
  </si>
  <si>
    <t>CaN:</t>
  </si>
  <si>
    <t>BtHR:</t>
  </si>
  <si>
    <t>DotD:</t>
  </si>
  <si>
    <t>AtD:</t>
  </si>
  <si>
    <t>FRCS:</t>
  </si>
  <si>
    <t>Dr307:</t>
  </si>
  <si>
    <t>Dragon Magazine #307, May 2003</t>
  </si>
  <si>
    <t>BoRv1:</t>
  </si>
  <si>
    <t>online document Bestiary of the Realms Volume 1,</t>
  </si>
  <si>
    <t>©2003 Eric L. Boyd &amp; Thomas M. Costa</t>
  </si>
  <si>
    <t>http://www.ericlboyd.com/dnd/monsters.html</t>
  </si>
  <si>
    <t>OSaS:</t>
  </si>
  <si>
    <t>Dr250:</t>
  </si>
  <si>
    <t>EdG1:</t>
  </si>
  <si>
    <t>Correspondence on the REALMS-L mailing list</t>
  </si>
  <si>
    <t>written by Ed Greenwood on Wed 11 Aug 2004</t>
  </si>
  <si>
    <t>http://oracle.wizards.com/scripts/wa.exe?A2=ind0408b&amp;L=realms-l&amp;P=1902</t>
  </si>
  <si>
    <t>EdG2:</t>
  </si>
  <si>
    <t>written by Ed Greenwood on Thu 12 Aug 2004</t>
  </si>
  <si>
    <t>http://oracle.wizards.com/scripts/wa.exe?A2=ind0408b&amp;L=realms-l&amp;P=4547</t>
  </si>
  <si>
    <t>EdG3:</t>
  </si>
  <si>
    <t>written by Ed Greenwood on Sat 14 Aug 2004</t>
  </si>
  <si>
    <t>http://oracle.wizards.com/scripts/wa.exe?A2=ind0408b&amp;L=realms-l&amp;P=6658</t>
  </si>
  <si>
    <t>Gar1:</t>
  </si>
  <si>
    <t>written by Garen on Thu 12 Jun 2003</t>
  </si>
  <si>
    <t>http://oracle.wizards.com/scripts/wa.exe?A2=ind0306B&amp;L=realms-l&amp;P=R10395</t>
  </si>
  <si>
    <t>AJA1:</t>
  </si>
  <si>
    <t>written by AJA on Mon 16 Aug 2004</t>
  </si>
  <si>
    <t>http://oracle.wizards.com/scripts/wa.exe?A2=ind0408C&amp;L=realms-l&amp;P=R1109</t>
  </si>
  <si>
    <t>Of Ships and the Sea, AD&amp;D Rules Supplement, Keith Francis Strohm (TSR 2170) ©1997 TSR, Inc.</t>
  </si>
  <si>
    <t>Dragon Magazine #250, August 1998, article "Warships of the Sea" by Keith Francis Strohm, pp.44-52 article supplements OSaS</t>
  </si>
  <si>
    <t>Year of Dwarvenkind Reborn</t>
  </si>
  <si>
    <t>At dawn the Army of the Western Marches rides down from Arabel, crushing what remains of Netheril's army at the walls of Suzail. Not a single soldier of the shadovar is spared. The siege of Suzail ends. It is expected that Marsember can now be quickly liberated between two cormyrean armies. (BA III pg 448)</t>
  </si>
  <si>
    <t>BA III pg 443</t>
  </si>
  <si>
    <t>King Irvil Obarskyr of Cormyr dies</t>
  </si>
  <si>
    <t>Year of the Rune Lords Triumphant</t>
  </si>
  <si>
    <t>Year of the Warrior Princess</t>
  </si>
  <si>
    <t>SCAG pg. 18</t>
  </si>
  <si>
    <t>Year of the Ageless One</t>
  </si>
  <si>
    <t>Year of the Nether Mountain Scrolls</t>
  </si>
  <si>
    <t>Year of the Awakend Sleepers</t>
  </si>
  <si>
    <t>Year of the Deep Water Drifting</t>
  </si>
  <si>
    <t xml:space="preserve"> # Men </t>
  </si>
  <si>
    <t>Swordcaptain leads two squads, a swordmajor, a Royal Scout and a guidon. The company swordmajor fills the same role as an Earth platoon sergeant.</t>
  </si>
  <si>
    <t>Lionar leads three companies and has a staff consisting of a guidon, two swordmajors (a drillmaster and a campmaster), two Royal Scouts and two battlepriests.</t>
  </si>
  <si>
    <t>Ornrion leads three kadrathen and has a staff consisting of a lionar as an executive officer, three orderlies, a guidon, one swordmajor (a quartermaster), three Royal Scouts and three battlepriests.</t>
  </si>
  <si>
    <t xml:space="preserve"> Constal leads two battalions and has a staff consisting of an ornrion as an executive officer, six orderlies, a guidon, a regimental swordmajor, six Royal Scouts and six battlepriests.</t>
  </si>
  <si>
    <t xml:space="preserve"> RDE </t>
  </si>
  <si>
    <t xml:space="preserve"> RGT </t>
  </si>
  <si>
    <t xml:space="preserve"> WNG </t>
  </si>
  <si>
    <t xml:space="preserve">SQN </t>
  </si>
  <si>
    <t xml:space="preserve">Battery </t>
  </si>
  <si>
    <t>chain shirts or occasionally scalemail or chainmail, armed with sword.</t>
  </si>
  <si>
    <t xml:space="preserve">Ride </t>
  </si>
  <si>
    <t xml:space="preserve">Troop </t>
  </si>
  <si>
    <t xml:space="preserve"> TRP </t>
  </si>
  <si>
    <t xml:space="preserve">Talon </t>
  </si>
  <si>
    <t xml:space="preserve">Wing </t>
  </si>
  <si>
    <t xml:space="preserve"> FLT </t>
  </si>
  <si>
    <t>mostly studded leather armor with remainder being plain leather, shields optional, armed with sword and longbow, and sometimes with halberds during defensive actions.</t>
  </si>
  <si>
    <t xml:space="preserve">Swordcaptains (18 LNC CO's) </t>
  </si>
  <si>
    <t xml:space="preserve"> LNC </t>
  </si>
  <si>
    <t xml:space="preserve"> TLN </t>
  </si>
  <si>
    <t xml:space="preserve">Constal (RGT CO)  </t>
  </si>
  <si>
    <t>scalemail or chainmail armor with shields, armed with sword and halberd.</t>
  </si>
  <si>
    <t xml:space="preserve"> scalemail or chainmail typically, or breastplate if they can afford it, armed with sword.</t>
  </si>
  <si>
    <t xml:space="preserve"> mostly studded leather armor with remainder being plain leather, shields optional, armed with sword, light lance and longbow. Mounts will be either Golden Trotter, Duskwood Skewbald, or Emberhawk breeds of light warhorse. A rare few enlisted men might afford their own superior mounts such as Dambraii or Raurin light warhorses.</t>
  </si>
  <si>
    <t>chain shirts or occasionally scalemail or chainmail, armed with sword, light lance and longbow. Mounts will be the same as that of the enlisted men for officers of less wealth, while wealthier officers will ride on Dambraii or Raurin light warhorses or even an occasional Cormyrean Destrier or Tharurr heavy warhorses.</t>
  </si>
  <si>
    <t>scalemail or chainmail armor and barding with shields, armed with sword, heavy lance, and longbow. Mounts will typically be either Amphailian black charger or Tantan Destrier breeds of heavy warhorse. A rare few enlisted men might afford their own superior mounts such as Cormyrean Destrier or Tharurr heavy warhorses.</t>
  </si>
  <si>
    <t xml:space="preserve"> plate armor of some sort, scale or chain barding for the horse, armed with sword, heavy lance and longbow. Mounts will be the same as that of the enlisted men for officers of lesser wealth, while wealthier officers will ride Cormyrean Destrier or Tharurr heavy warhorses.</t>
  </si>
  <si>
    <t xml:space="preserve"> mostly studded leather armor with remainder being plain leather, armed with longbow and a sword for self-defense.</t>
  </si>
  <si>
    <t xml:space="preserve"> chain shirts or occasionally scalemail or chainmail, armed with longbow and sword.</t>
  </si>
  <si>
    <t xml:space="preserve"> Swordcaptain leads two rides, a swordmajor, a Royal Scout and a guidon, and is served by a squire. The company swordmajor fills the same role as an Earth platoon sergeant.</t>
  </si>
  <si>
    <t xml:space="preserve"> Lionar leads three lances and has a staff consisting of a guidon, two swordmajors (a drillmaster and a campmaster), two Royal Scouts, two battlepriests, a blacksmith and assistant, and is served by a squire.</t>
  </si>
  <si>
    <t xml:space="preserve"> Ornrion leads three troops and has a staff consisting of a lionar as an executive officer, two orderlies, a guidon, one swordmajor (a quartermaster), three Royal Scouts, two battlepriests, and a blacksmith and assistant. Both the ornrion and the executive lionar are served by a squire each.</t>
  </si>
  <si>
    <t xml:space="preserve">Constal (RGT CO) </t>
  </si>
  <si>
    <t xml:space="preserve"> Constal leads two squadrons and has a staff consisting of an ornrion as an executive officer, four orderlies, a guidon, a regimental swordmajor, six Royal Scouts, six battlepriests, and a blacksmith and assistant. Both the constal and the executive ornrion are served by a squire each.</t>
  </si>
  <si>
    <t>Swordcaptain leads two talons, a swordmajor, a Royal Scout and a hippogriff handler. The swordmajor fills the same role as an Earth platoon sergeant.</t>
  </si>
  <si>
    <t xml:space="preserve"> Lionar leads two wings and has a staff consisting of two swordmajors (a drillmaster and a campmaster), two Royal Scouts, two battlepriests, and two hippogriff handlers.</t>
  </si>
  <si>
    <t xml:space="preserve"> Ornrion leads two flights and has a staff consisting of a lionar as an executive officer, two orderlies, one swordmajor (a quartermaster), four Royal Scouts, two battlepriests, and four hippogriff handlers.</t>
  </si>
  <si>
    <t xml:space="preserve"> Constal leads two squadrons and has a staff consisting of an ornrion as an executive officer, four orderlies, a regimental swordmajor, six Royal Scouts, four battlepriests, and three hippogriff handlers.</t>
  </si>
  <si>
    <t xml:space="preserve"> Lionar leads 4 flights and has a staff consisting of a guidon, a campmaster, and a battlepriest.</t>
  </si>
  <si>
    <t>24 gp</t>
  </si>
  <si>
    <t>Abracadabrus</t>
  </si>
  <si>
    <t>Absorbing Tattoo</t>
  </si>
  <si>
    <t>Acheron Blade</t>
  </si>
  <si>
    <t>Alchemical Compendium</t>
  </si>
  <si>
    <t>Ammunition +1 (Ea)</t>
  </si>
  <si>
    <t>Ammunition +2 (Ea)</t>
  </si>
  <si>
    <t>Ammunition +3 (Ea)</t>
  </si>
  <si>
    <t>Amulet Of Health</t>
  </si>
  <si>
    <t>Amulet Of Proof Against Detection And Location</t>
  </si>
  <si>
    <t>Amulet Of Protection From Turning</t>
  </si>
  <si>
    <t>Amulet Of The Black Skull</t>
  </si>
  <si>
    <t>Amulet of the Drunkard</t>
  </si>
  <si>
    <t>Amulet Of The Planes</t>
  </si>
  <si>
    <t>Apparatus Of Kwalish</t>
  </si>
  <si>
    <t>Apparatus Of The Crab</t>
  </si>
  <si>
    <t>Arcane Cannon</t>
  </si>
  <si>
    <t>Arcane Propulsion Arm</t>
  </si>
  <si>
    <t>Arcanomechanical Armor</t>
  </si>
  <si>
    <t>Armblade</t>
  </si>
  <si>
    <t>Armor Of Gleaming (any medium or heavy)</t>
  </si>
  <si>
    <t>Armor Of Invulnerability</t>
  </si>
  <si>
    <t>Armor Of Resistance</t>
  </si>
  <si>
    <t>Armor Of Vulnerability</t>
  </si>
  <si>
    <t>Armor, +1</t>
  </si>
  <si>
    <t>Arrow Of Slaying (Ea)</t>
  </si>
  <si>
    <t>Astral Shard</t>
  </si>
  <si>
    <t>Astronomy Archive</t>
  </si>
  <si>
    <t>Atlas of Endless Horizons</t>
  </si>
  <si>
    <t>Azuredge (battleaxe)</t>
  </si>
  <si>
    <t>Badge Of The Watch</t>
  </si>
  <si>
    <t>Bag Of Beans</t>
  </si>
  <si>
    <t>Bag Of Bounty</t>
  </si>
  <si>
    <t>Bag Of Devouring</t>
  </si>
  <si>
    <t>Bag Of Holding</t>
  </si>
  <si>
    <t>Bag Of Tricks</t>
  </si>
  <si>
    <t>Balance Of Harmony</t>
  </si>
  <si>
    <t>Balloon Pack</t>
  </si>
  <si>
    <t>Band Of Loyalty</t>
  </si>
  <si>
    <t>Banner Of The Krig Rune</t>
  </si>
  <si>
    <t>Battering Shield</t>
  </si>
  <si>
    <t>Battle Standard Of Infernal Power</t>
  </si>
  <si>
    <t>Bead Of Force</t>
  </si>
  <si>
    <t>Bead Of Nourishment</t>
  </si>
  <si>
    <t>Bead Of Refreshment</t>
  </si>
  <si>
    <t>Belashyrras Beholder Crown</t>
  </si>
  <si>
    <t>Bell Branch</t>
  </si>
  <si>
    <t>Belt Of Dwarvenkind</t>
  </si>
  <si>
    <t>Belt Of Giant Strength (Cloud)</t>
  </si>
  <si>
    <t>Belt Of Giant Strength (Fire)</t>
  </si>
  <si>
    <t>Belt Of Giant Strength (Hill)</t>
  </si>
  <si>
    <t>Belt Of Giant Strength (Stone/Frost)</t>
  </si>
  <si>
    <t>Belt Of Giant Strength (Storm)</t>
  </si>
  <si>
    <t>Berserker Axe</t>
  </si>
  <si>
    <t>Black Crystal Tablet</t>
  </si>
  <si>
    <t>Black Dragon Mask</t>
  </si>
  <si>
    <t>Blackrazor</t>
  </si>
  <si>
    <t>Blackstaff</t>
  </si>
  <si>
    <t>Blade Of The Medusa</t>
  </si>
  <si>
    <t>Blast Scepter</t>
  </si>
  <si>
    <t>Blod Stone</t>
  </si>
  <si>
    <t>Blood Fury Tattoo</t>
  </si>
  <si>
    <t>Blood Spear</t>
  </si>
  <si>
    <t>Bloodaxe</t>
  </si>
  <si>
    <t>Blue Dragon Mask</t>
  </si>
  <si>
    <t>Bonecounter</t>
  </si>
  <si>
    <t>Bookmark (dagger)</t>
  </si>
  <si>
    <t>Boomerang +1</t>
  </si>
  <si>
    <t>Boomerang +2</t>
  </si>
  <si>
    <t>Boomerang +3</t>
  </si>
  <si>
    <t>Boots Of Elvenkind</t>
  </si>
  <si>
    <t>Boots Of False Tracks</t>
  </si>
  <si>
    <t>Boots Of Levitation</t>
  </si>
  <si>
    <t>Boots Of Speed</t>
  </si>
  <si>
    <t>Boots Of Striding And Springing</t>
  </si>
  <si>
    <t>Boots Of The Winterlands</t>
  </si>
  <si>
    <t>Bottled Breath</t>
  </si>
  <si>
    <t>Bowl Of Commanding Water Elementals</t>
  </si>
  <si>
    <t>Bracelet Of Rock Magic</t>
  </si>
  <si>
    <t>Bracer Of Flying Daggers</t>
  </si>
  <si>
    <t>Bracers Of Archery</t>
  </si>
  <si>
    <t>Bracers Of Defense</t>
  </si>
  <si>
    <t>Brazier Of Commanding Fire Elementals</t>
  </si>
  <si>
    <t>Breathing Bubble</t>
  </si>
  <si>
    <t>Brooch of Living Essence</t>
  </si>
  <si>
    <t>Brooch Of Shielding</t>
  </si>
  <si>
    <t>Broom Of Flying</t>
  </si>
  <si>
    <t>Butchers Bib</t>
  </si>
  <si>
    <t>Candle Of Invocation</t>
  </si>
  <si>
    <t>Candle Of The Deep</t>
  </si>
  <si>
    <t>Cap Of Water Breathing</t>
  </si>
  <si>
    <t>Cape Of The Mountebank</t>
  </si>
  <si>
    <t>Carpet Of Flying</t>
  </si>
  <si>
    <t>Cartographers Map Case</t>
  </si>
  <si>
    <t>Cast Off Armor</t>
  </si>
  <si>
    <t>Cauldron of Plenty</t>
  </si>
  <si>
    <t>Cauldron of Rebirth</t>
  </si>
  <si>
    <t>Censer Of Controlling Air Elementals</t>
  </si>
  <si>
    <t>Charlatan's Die</t>
  </si>
  <si>
    <t>Charm Of Plant Command</t>
  </si>
  <si>
    <t>Chest Of Preserving</t>
  </si>
  <si>
    <t>Chime Of Opening</t>
  </si>
  <si>
    <t>Chronolometer</t>
  </si>
  <si>
    <t>Circlet Of Blasting</t>
  </si>
  <si>
    <t>Circlet Of Human Perfection</t>
  </si>
  <si>
    <t>Claw Of The Wyrm Rune</t>
  </si>
  <si>
    <t>Claws Of The Umber Hulk</t>
  </si>
  <si>
    <t>Cleansing Stone</t>
  </si>
  <si>
    <t>Cloak Of Arachnida</t>
  </si>
  <si>
    <t>Cloak Of Billowing</t>
  </si>
  <si>
    <t>Cloak Of Displacement</t>
  </si>
  <si>
    <t>Cloak Of Elvenkind</t>
  </si>
  <si>
    <t>Cloak Of Invisibility</t>
  </si>
  <si>
    <t>Cloak Of Many Fashions</t>
  </si>
  <si>
    <t>Cloak Of Protection</t>
  </si>
  <si>
    <t>Cloak Of The Bat</t>
  </si>
  <si>
    <t>Cloak Of The Manta Ray</t>
  </si>
  <si>
    <t>Clockwork Amulet</t>
  </si>
  <si>
    <t>Clothes Of Mending</t>
  </si>
  <si>
    <t>Coiling Grasp Tattoo</t>
  </si>
  <si>
    <t>Coin of Delving</t>
  </si>
  <si>
    <t>Conch Of Teleportation</t>
  </si>
  <si>
    <t>Corpse Slayer</t>
  </si>
  <si>
    <t>Crystal Ball Of Mind Reading</t>
  </si>
  <si>
    <t>Crystal Ball Of Telepathy</t>
  </si>
  <si>
    <t>Crystal Ball Of True Seeing</t>
  </si>
  <si>
    <t>Crystalline Chronicle</t>
  </si>
  <si>
    <t>Cube Of Force</t>
  </si>
  <si>
    <t>Cursed Luckstone</t>
  </si>
  <si>
    <t>Dagger Of Blindsight</t>
  </si>
  <si>
    <t>Dagger Of Venom</t>
  </si>
  <si>
    <t>Dancing Sword (any sword)</t>
  </si>
  <si>
    <t>Danoth's Visor</t>
  </si>
  <si>
    <t>Dark Shard Amulet</t>
  </si>
  <si>
    <t>Dawnbringer (longsword)</t>
  </si>
  <si>
    <t>Decanter Of Endless Water</t>
  </si>
  <si>
    <t>Deck Of Illusions</t>
  </si>
  <si>
    <t>Deck Of Many Things</t>
  </si>
  <si>
    <t>Deck Of Several Things</t>
  </si>
  <si>
    <t>Defender (any sword)</t>
  </si>
  <si>
    <t>Demon Armor (plate) (cursed)</t>
  </si>
  <si>
    <t>Devastation Orb (Air)</t>
  </si>
  <si>
    <t>Devastation Orb (Earth)</t>
  </si>
  <si>
    <t>Devastation Orb (Fire)</t>
  </si>
  <si>
    <t>Devastation Orb (Water)</t>
  </si>
  <si>
    <t>Devotee's Censer</t>
  </si>
  <si>
    <t>Dimensional Loop</t>
  </si>
  <si>
    <t>Dimensional Seal</t>
  </si>
  <si>
    <t>Dispelling Stone</t>
  </si>
  <si>
    <t>Docent</t>
  </si>
  <si>
    <t>Dodecahedron Of Doom</t>
  </si>
  <si>
    <t>Dragon Slayer (any sword)</t>
  </si>
  <si>
    <t>Dragonguard</t>
  </si>
  <si>
    <t>Dragonstaff Of Ahghairon</t>
  </si>
  <si>
    <t>Dragontooth Dagger</t>
  </si>
  <si>
    <t>Dread Helm</t>
  </si>
  <si>
    <t>Drown (trident)</t>
  </si>
  <si>
    <t>Duplicitous Manuscript</t>
  </si>
  <si>
    <t>Duskcrusher</t>
  </si>
  <si>
    <t>Dust of Deliciousness</t>
  </si>
  <si>
    <t>Dust Of Disappearance</t>
  </si>
  <si>
    <t>Dust Of Dryness (1 pellet)</t>
  </si>
  <si>
    <t>Dust Of Sneezing And Choking</t>
  </si>
  <si>
    <t>Dwarven Thrower (warhammer)</t>
  </si>
  <si>
    <t>Dyrrns Tentacle Whip</t>
  </si>
  <si>
    <t>Eagle Whistle</t>
  </si>
  <si>
    <t>Ear Horn Of Hearing</t>
  </si>
  <si>
    <t>Earworm</t>
  </si>
  <si>
    <t>Efficient Quiver</t>
  </si>
  <si>
    <t>Efreeti Chain (chain mail)</t>
  </si>
  <si>
    <t>Elder Cartographers Glossography</t>
  </si>
  <si>
    <t>Eldritch Claw Tattoo</t>
  </si>
  <si>
    <t>Elemental Essence Shard</t>
  </si>
  <si>
    <t>Elixir Of Health</t>
  </si>
  <si>
    <t>Enduring Spellbook</t>
  </si>
  <si>
    <t>Ersatz Eye</t>
  </si>
  <si>
    <t>Everbright Lantern</t>
  </si>
  <si>
    <t>Eyes Of Charming</t>
  </si>
  <si>
    <t>Eyes Of Minute Seeing</t>
  </si>
  <si>
    <t>Eyes Of The Eagle</t>
  </si>
  <si>
    <t>Failed Experiment Wand</t>
  </si>
  <si>
    <t>Fane-Eater</t>
  </si>
  <si>
    <t>Far Gear</t>
  </si>
  <si>
    <t>Far Realm Shard</t>
  </si>
  <si>
    <t>Feather Of Diatryma Summoning</t>
  </si>
  <si>
    <t>Feather Token</t>
  </si>
  <si>
    <t>Feather Token (Feather Fall)</t>
  </si>
  <si>
    <t>Feather Token Feather Fall</t>
  </si>
  <si>
    <t>Fernian Ash Focus</t>
  </si>
  <si>
    <t>Feywild Shard</t>
  </si>
  <si>
    <t>Figurine of Wondrous Power (Bronze Griffon)</t>
  </si>
  <si>
    <t>Figurine of Wondrous Power (Ebony Fly)</t>
  </si>
  <si>
    <t>Figurine of Wondrous Power (Golden Lions)</t>
  </si>
  <si>
    <t>Figurine of Wondrous Power (Ivory Goats - Terror)</t>
  </si>
  <si>
    <t>Figurine of Wondrous Power (Ivory Goats - Travail)</t>
  </si>
  <si>
    <t>Figurine of Wondrous Power (Ivory Goats - Travelling)</t>
  </si>
  <si>
    <t>Figurine of Wondrous Power (Marble Elephant)</t>
  </si>
  <si>
    <t>Figurine of Wondrous Power (Obsidian Steed)</t>
  </si>
  <si>
    <t>Figurine of Wondrous Power (Onyx Dog)</t>
  </si>
  <si>
    <t>Figurine of Wondrous Power (Serpentine Owl)</t>
  </si>
  <si>
    <t>Figurine of Wondrous Power (Silver Raven)</t>
  </si>
  <si>
    <t>Finders Goggles</t>
  </si>
  <si>
    <t>Flying Chariot</t>
  </si>
  <si>
    <t>Frost Brand (any sword)</t>
  </si>
  <si>
    <t>Fulminating Treatise</t>
  </si>
  <si>
    <t>Galder's Bubble Pipe</t>
  </si>
  <si>
    <t>Gamblers Blade</t>
  </si>
  <si>
    <t>Gauntlets Of Flaming Fury</t>
  </si>
  <si>
    <t>Gauntlets Of Ogre Power</t>
  </si>
  <si>
    <t>Gavel Of The Venn Rune</t>
  </si>
  <si>
    <t>Gem Of Brightness</t>
  </si>
  <si>
    <t>Gem Of Seeing</t>
  </si>
  <si>
    <t>Ghost Lantern</t>
  </si>
  <si>
    <t>Ghost Step Tattoo</t>
  </si>
  <si>
    <t>Giant Slayer (any sword or axe)</t>
  </si>
  <si>
    <t>Glamerweave (Common)</t>
  </si>
  <si>
    <t>Glamerweave (Uncommon)</t>
  </si>
  <si>
    <t>Gloves Of Missile Snaring</t>
  </si>
  <si>
    <t>Gloves Of Swimming And Climbing</t>
  </si>
  <si>
    <t>Gloves Of Thievery</t>
  </si>
  <si>
    <t>Goggles Of Night</t>
  </si>
  <si>
    <t>Goggles of Object Reading</t>
  </si>
  <si>
    <t>Greater Silver Sword</t>
  </si>
  <si>
    <t>Green Dragon Mask</t>
  </si>
  <si>
    <t>Grimoire Infinitus</t>
  </si>
  <si>
    <t>Guardian Emblem</t>
  </si>
  <si>
    <t>Guild Charms</t>
  </si>
  <si>
    <t>Guild Keyrune (Azorius)</t>
  </si>
  <si>
    <t>Guild Keyrune (Boros)</t>
  </si>
  <si>
    <t>Guild Keyrune (Dimir)</t>
  </si>
  <si>
    <t>Guild Keyrune (Golgari)</t>
  </si>
  <si>
    <t>Guild Keyrune (Gruul)</t>
  </si>
  <si>
    <t>Guild Keyrune (Izzet)</t>
  </si>
  <si>
    <t>Guild Keyrune (Orzhov)</t>
  </si>
  <si>
    <t>Guild Keyrune (Rakdos)</t>
  </si>
  <si>
    <t>Guild Keyrune (Selesnya)</t>
  </si>
  <si>
    <t>Guild Keyrune (Simic)</t>
  </si>
  <si>
    <t>Guild Signet</t>
  </si>
  <si>
    <t>Gulthias Staff</t>
  </si>
  <si>
    <t>Gurt's Greataxe</t>
  </si>
  <si>
    <t>Hammer Of Thunderbolts (maul)</t>
  </si>
  <si>
    <t>Handy Haversack</t>
  </si>
  <si>
    <t>Hat Of Disguise</t>
  </si>
  <si>
    <t>Hat Of Vermin</t>
  </si>
  <si>
    <t>Hat Of Wizardry</t>
  </si>
  <si>
    <t>Hazirawn (greatsword)</t>
  </si>
  <si>
    <t>Headband Of Intellect</t>
  </si>
  <si>
    <t>Heart Weaver's Primer</t>
  </si>
  <si>
    <t>Hell Hound Cloak</t>
  </si>
  <si>
    <t>Hellfire Weapon</t>
  </si>
  <si>
    <t>Helm Of Brilliance</t>
  </si>
  <si>
    <t>Helm Of Comprehending Languages</t>
  </si>
  <si>
    <t>Helm Of Devil Command</t>
  </si>
  <si>
    <t>Helm Of Telepathy</t>
  </si>
  <si>
    <t>Helm Of Teleportation</t>
  </si>
  <si>
    <t>Helm of the Gods</t>
  </si>
  <si>
    <t>Helm Of The Scavenger</t>
  </si>
  <si>
    <t>Helm Of Underwater Action</t>
  </si>
  <si>
    <t>Hew</t>
  </si>
  <si>
    <t>Heward's Handy Spice Pouch</t>
  </si>
  <si>
    <t>Heward's Hireling Armor</t>
  </si>
  <si>
    <t>Hide of the Feral Guardian</t>
  </si>
  <si>
    <t>Holy Avenger (any sword)</t>
  </si>
  <si>
    <t>Holy Symbol Of Ravenkind</t>
  </si>
  <si>
    <t>Hook of Fisher's Delight</t>
  </si>
  <si>
    <t>Horn Of Blasting</t>
  </si>
  <si>
    <t>Horn Of Silent Alarm</t>
  </si>
  <si>
    <t>Horn Of The Endless Maze</t>
  </si>
  <si>
    <t>Horn Of Valhalla (Brass)</t>
  </si>
  <si>
    <t>Horn Of Valhalla (Bronze)</t>
  </si>
  <si>
    <t>Horn Of Valhalla (Iron)</t>
  </si>
  <si>
    <t>Horn Of Valhalla (Silver)</t>
  </si>
  <si>
    <t>Horned Ring</t>
  </si>
  <si>
    <t>Horseshoes Of A Zephyr</t>
  </si>
  <si>
    <t>Horseshoes Of Speed</t>
  </si>
  <si>
    <t>Hunter's Coat</t>
  </si>
  <si>
    <t>Icon Of Ravenloft</t>
  </si>
  <si>
    <t>Illuminator's Tattoo</t>
  </si>
  <si>
    <t>Illusionists Bracers</t>
  </si>
  <si>
    <t>Imbued Wood Focus</t>
  </si>
  <si>
    <t>Infernal Puzzle Box</t>
  </si>
  <si>
    <t>Infernal Tack</t>
  </si>
  <si>
    <t>Infiltrator's Key</t>
  </si>
  <si>
    <t>Ingot Of The Skold Rune</t>
  </si>
  <si>
    <t>Inquisitives Goggles</t>
  </si>
  <si>
    <t>Insignia Of Claws</t>
  </si>
  <si>
    <t>Instant Fortress</t>
  </si>
  <si>
    <t>Instrument Of Illusions</t>
  </si>
  <si>
    <t>Instrument Of Scribing</t>
  </si>
  <si>
    <t>Instrument of the Bards (Anstruth Harp)</t>
  </si>
  <si>
    <t>Instrument of the Bards (Canaith Mandolin)</t>
  </si>
  <si>
    <t>Instrument of the Bards (Cli Lyre)</t>
  </si>
  <si>
    <t>Instrument of the Bards (Doss Lute)</t>
  </si>
  <si>
    <t>Instrument of the Bards (Fochulan Bandore)</t>
  </si>
  <si>
    <t>Instrument of the Bards (Mac-Fuirmidh Cittern)</t>
  </si>
  <si>
    <t>Instrument of the Bards (Ollamh Harp)</t>
  </si>
  <si>
    <t>Ioun Stone (Absorption)</t>
  </si>
  <si>
    <t>Ioun Stone (Agility)</t>
  </si>
  <si>
    <t>Ioun Stone (Awareness)</t>
  </si>
  <si>
    <t>Ioun Stone (Fortitude)</t>
  </si>
  <si>
    <t>Ioun Stone (Greater Absorption)</t>
  </si>
  <si>
    <t>Ioun Stone (Insight)</t>
  </si>
  <si>
    <t>Ioun Stone (Intellect)</t>
  </si>
  <si>
    <t>Ioun Stone (Leadership)</t>
  </si>
  <si>
    <t>Ioun Stone (Mastery)</t>
  </si>
  <si>
    <t>Ioun Stone (Protection)</t>
  </si>
  <si>
    <t>Ioun Stone (Regeneration)</t>
  </si>
  <si>
    <t>Ioun Stone (Reserve)</t>
  </si>
  <si>
    <t>Ioun Stone (Strength)</t>
  </si>
  <si>
    <t>Ioun Stone (Sustenance)</t>
  </si>
  <si>
    <t>Ioun Stone Of Historical Knowledge</t>
  </si>
  <si>
    <t>Ioun Stone Of Language Knowledge</t>
  </si>
  <si>
    <t>Ioun Stone Of Natural Knowledge</t>
  </si>
  <si>
    <t>Ioun Stone Of Religious Knowledge</t>
  </si>
  <si>
    <t>Ioun Stone Of Self Preservation</t>
  </si>
  <si>
    <t>Ioun Stone Of Supreme Intellect</t>
  </si>
  <si>
    <t>Irian Rosewood Focus</t>
  </si>
  <si>
    <t>Iron Bands Of Bilarro</t>
  </si>
  <si>
    <t>Iron Bands Of Binding</t>
  </si>
  <si>
    <t>Ironfang (war pick)</t>
  </si>
  <si>
    <t>Javelin Of Backbiting</t>
  </si>
  <si>
    <t>Javelin Of Lightning</t>
  </si>
  <si>
    <t>Keoghtom's Ointment (Per Dose)</t>
  </si>
  <si>
    <t>Keycharm</t>
  </si>
  <si>
    <t>Knave's Eye Patch</t>
  </si>
  <si>
    <t>Korolnor Scepter</t>
  </si>
  <si>
    <t>Kyrzins Ooze</t>
  </si>
  <si>
    <t>Kythrian Manchineel Focus</t>
  </si>
  <si>
    <t>Lamannian Oak Focus</t>
  </si>
  <si>
    <t>Lantern Of Revealing</t>
  </si>
  <si>
    <t>Lantern of Tracking</t>
  </si>
  <si>
    <t>Last Stand Armor</t>
  </si>
  <si>
    <t>Leather Golem Armor</t>
  </si>
  <si>
    <t>Libram of Souls and Flesh</t>
  </si>
  <si>
    <t>Lifewell Tattoo</t>
  </si>
  <si>
    <t>Lightbringer</t>
  </si>
  <si>
    <t>Living Armor</t>
  </si>
  <si>
    <t>Living Gloves</t>
  </si>
  <si>
    <t>Loadstone</t>
  </si>
  <si>
    <t>Lock Of Trickery</t>
  </si>
  <si>
    <t>Lord's Ensemble</t>
  </si>
  <si>
    <t>Lost Crown Of Besilmer</t>
  </si>
  <si>
    <t>Luxon Beacon</t>
  </si>
  <si>
    <t>Lyre of Building</t>
  </si>
  <si>
    <t>Mabaran Ebony Focus</t>
  </si>
  <si>
    <t>Mabaran Resonator</t>
  </si>
  <si>
    <t>Mace Of Disruption</t>
  </si>
  <si>
    <t>Mace Of Smiting</t>
  </si>
  <si>
    <t>Mace Of Terror</t>
  </si>
  <si>
    <t>Mantle Of Spell Resistance</t>
  </si>
  <si>
    <t>Manual Of Bodily Health</t>
  </si>
  <si>
    <t>Manual Of Gainful Exercise</t>
  </si>
  <si>
    <t>Manual Of Golems</t>
  </si>
  <si>
    <t>Manual Of Quickness Of Action</t>
  </si>
  <si>
    <t>Marvelous Pigments</t>
  </si>
  <si>
    <t>Mask Of The Beast</t>
  </si>
  <si>
    <t>Mask Of The Dragon Queen</t>
  </si>
  <si>
    <t>Masquerade Tattoo</t>
  </si>
  <si>
    <t>Master's Amulet</t>
  </si>
  <si>
    <t>Masters Call</t>
  </si>
  <si>
    <t>Master's Call</t>
  </si>
  <si>
    <t>Matalotok</t>
  </si>
  <si>
    <t>Medallion Of Thoughts</t>
  </si>
  <si>
    <t>Mind Blade</t>
  </si>
  <si>
    <t>Mind Carapace Armor</t>
  </si>
  <si>
    <t>Mind Lash</t>
  </si>
  <si>
    <t>Mirror Of Life Trapping</t>
  </si>
  <si>
    <t>Mirror Of The Past</t>
  </si>
  <si>
    <t>Mithral Armor (medium or heavy, not hide)</t>
  </si>
  <si>
    <t>Mithral Half Plate, +1</t>
  </si>
  <si>
    <t>Mizzium Apparatus</t>
  </si>
  <si>
    <t>Mizzium Armor</t>
  </si>
  <si>
    <t>Mizzium Mortar</t>
  </si>
  <si>
    <t>Molten Bronze Skin</t>
  </si>
  <si>
    <t>Moodmark Paint</t>
  </si>
  <si>
    <t>Moonblade</t>
  </si>
  <si>
    <t>Moon-Touched Sword</t>
  </si>
  <si>
    <t>Mystery Key</t>
  </si>
  <si>
    <t>Nature's Mantle</t>
  </si>
  <si>
    <t>Navigation Orb</t>
  </si>
  <si>
    <t>Necklace Of Adaptation</t>
  </si>
  <si>
    <t>Necklace of Fireballs (1 Bead)</t>
  </si>
  <si>
    <t>Necklace of Fireballs (2 Beads)</t>
  </si>
  <si>
    <t>Necklace of Fireballs (3 Beads)</t>
  </si>
  <si>
    <t>Necklace of Fireballs (4 Beads)</t>
  </si>
  <si>
    <t>Necklace of Fireballs (5 Beads)</t>
  </si>
  <si>
    <t>Necklace of Fireballs (6 Beads)</t>
  </si>
  <si>
    <t>Necklace Of Prayer Beads (Blessing)</t>
  </si>
  <si>
    <t>Necklace Of Prayer Beads (Curing)</t>
  </si>
  <si>
    <t>Necklace Of Prayer Beads (Favor)</t>
  </si>
  <si>
    <t>Necklace Of Prayer Beads (Smiting)</t>
  </si>
  <si>
    <t>Necklace Of Prayer Beads (Summons)</t>
  </si>
  <si>
    <t>Necklace Of Prayer Beads (Wind Walking)</t>
  </si>
  <si>
    <t>Needle of Mending</t>
  </si>
  <si>
    <t>Night Caller</t>
  </si>
  <si>
    <t>Nightfall Pearl</t>
  </si>
  <si>
    <t>Nine Lives Stealer (Fully Charged) (any sword)</t>
  </si>
  <si>
    <t>Oathbow (longbow)</t>
  </si>
  <si>
    <t>Obsidian Flint Dragon Plate</t>
  </si>
  <si>
    <t>Oil Of Etherealness</t>
  </si>
  <si>
    <t>Oil Of Sharpness</t>
  </si>
  <si>
    <t>Oil Of Slipperiness</t>
  </si>
  <si>
    <t>Opal Of The Ild Rune</t>
  </si>
  <si>
    <t>Orb Of Direction</t>
  </si>
  <si>
    <t>Orb Of Gonging</t>
  </si>
  <si>
    <t>Orb Of Shielding</t>
  </si>
  <si>
    <t>Orb Of The Stein Rune</t>
  </si>
  <si>
    <t>Orb of the Veil</t>
  </si>
  <si>
    <t>Orb Of Time</t>
  </si>
  <si>
    <t>Orcsplitter (greataxe)</t>
  </si>
  <si>
    <t>Outer Essence Shard</t>
  </si>
  <si>
    <t>Paper Bird</t>
  </si>
  <si>
    <t>Pariah's Shield</t>
  </si>
  <si>
    <t>Pearl Of Power</t>
  </si>
  <si>
    <t>Pennant Of The Vind Rune</t>
  </si>
  <si>
    <t>Peregrine Mask</t>
  </si>
  <si>
    <t>Perfume Of Bewitching</t>
  </si>
  <si>
    <t>Periapt Of Health</t>
  </si>
  <si>
    <t>Periapt Of Proof Against Poison</t>
  </si>
  <si>
    <t>Periapt Of Wound Closure</t>
  </si>
  <si>
    <t>Philter Of Love</t>
  </si>
  <si>
    <t>Piercer</t>
  </si>
  <si>
    <t>Pipe Of Remembrance</t>
  </si>
  <si>
    <t>Pipe Of Smoke Monsters</t>
  </si>
  <si>
    <t>Pipes Of Haunting</t>
  </si>
  <si>
    <t>Pipes Of The Sewers</t>
  </si>
  <si>
    <t>Piwafwi (Cloak Of Elvenkind)</t>
  </si>
  <si>
    <t>Piwafwi Of Fire Resistance</t>
  </si>
  <si>
    <t>Planecaller's Codex</t>
  </si>
  <si>
    <t>Plate Armor Of Etherealness</t>
  </si>
  <si>
    <t>Pole Of Angling</t>
  </si>
  <si>
    <t>Pole Of Collapsing</t>
  </si>
  <si>
    <t>Polymorph Blade</t>
  </si>
  <si>
    <t>Pot Of Awakening</t>
  </si>
  <si>
    <t>Potion Of Animal Friendship</t>
  </si>
  <si>
    <t>Potion of Aqueous Form</t>
  </si>
  <si>
    <t>Potion Of Clairvoyance</t>
  </si>
  <si>
    <t>Potion Of Climbing</t>
  </si>
  <si>
    <t>Potion Of Comprehension</t>
  </si>
  <si>
    <t>Potion Of Diminution</t>
  </si>
  <si>
    <t>Potion Of Fire Breath</t>
  </si>
  <si>
    <t>Potion Of Flying</t>
  </si>
  <si>
    <t>Potion Of Gaseous Form</t>
  </si>
  <si>
    <t>Potion Of Giant Size</t>
  </si>
  <si>
    <t>Potion Of Giant Strength (Cloud)</t>
  </si>
  <si>
    <t>Potion Of Giant Strength (Fire)</t>
  </si>
  <si>
    <t>Potion Of Giant Strength (Frost/Stone)</t>
  </si>
  <si>
    <t>Potion Of Giant Strength (Hill)</t>
  </si>
  <si>
    <t>Potion Of Giant Strength (Storm)</t>
  </si>
  <si>
    <t>Potion Of Growth</t>
  </si>
  <si>
    <t>Potion Of Healing</t>
  </si>
  <si>
    <t>Potion Of Healing (Greater)</t>
  </si>
  <si>
    <t>Potion Of Healing (Superior)</t>
  </si>
  <si>
    <t>Potion Of Healing (Supreme)</t>
  </si>
  <si>
    <t>Potion Of Heroism</t>
  </si>
  <si>
    <t>Potion Of Invisibility</t>
  </si>
  <si>
    <t>Potion Of Invulnerability</t>
  </si>
  <si>
    <t>Potion Of Longevity</t>
  </si>
  <si>
    <t>Potion of Maximum Power</t>
  </si>
  <si>
    <t>Potion Of Mind Control (Beast)</t>
  </si>
  <si>
    <t>Potion Of Mind Control (Humanoid)</t>
  </si>
  <si>
    <t>Potion Of Mind Control (Monster)</t>
  </si>
  <si>
    <t>Potion Of Mind Reading</t>
  </si>
  <si>
    <t>Potion Of Poison</t>
  </si>
  <si>
    <t>Potion of Possibility</t>
  </si>
  <si>
    <t>Potion Of Resistance</t>
  </si>
  <si>
    <t>Potion Of Speed</t>
  </si>
  <si>
    <t>Potion Of Vitality</t>
  </si>
  <si>
    <t>Potion Of Watchful Rest</t>
  </si>
  <si>
    <t>Potion Of Water Breathing</t>
  </si>
  <si>
    <t>Powered Armor</t>
  </si>
  <si>
    <t>Pressure Capsule</t>
  </si>
  <si>
    <t>Professor Orb</t>
  </si>
  <si>
    <t>Propeller Helm</t>
  </si>
  <si>
    <t>Prosthetic Limb</t>
  </si>
  <si>
    <t>Protective Verses</t>
  </si>
  <si>
    <t>Psi Crystal</t>
  </si>
  <si>
    <t>Pyroconverger</t>
  </si>
  <si>
    <t>Pyxis of Pandemonium</t>
  </si>
  <si>
    <t>Quaals Feather Token (Anchor)</t>
  </si>
  <si>
    <t>Quaals Feather Token (Bird)</t>
  </si>
  <si>
    <t>Quaals Feather Token (Fan)</t>
  </si>
  <si>
    <t>Quaals Feather Token (Swan Boat)</t>
  </si>
  <si>
    <t>Quaals Feather Token (Whip)</t>
  </si>
  <si>
    <t>Quiver Of Ehlonna</t>
  </si>
  <si>
    <t>Quori Beech Focus</t>
  </si>
  <si>
    <t>Rakdos Riteknife (dagger)</t>
  </si>
  <si>
    <t>Red Dragon Mask</t>
  </si>
  <si>
    <t>Reincarnation Dust</t>
  </si>
  <si>
    <t>Restorative Ointment</t>
  </si>
  <si>
    <t>Reveler's Concertina</t>
  </si>
  <si>
    <t>Revenant Double Bladed Scimitar</t>
  </si>
  <si>
    <t>Revenant Double-Bladed Scimitar</t>
  </si>
  <si>
    <t>Ring Of Air Elemental Command</t>
  </si>
  <si>
    <t>Ring Of Animal Influence</t>
  </si>
  <si>
    <t>Ring Of Djinni Summoning</t>
  </si>
  <si>
    <t>Ring Of Earth Elemental Command</t>
  </si>
  <si>
    <t>Ring Of Elemental Command</t>
  </si>
  <si>
    <t>Ring Of Evasion</t>
  </si>
  <si>
    <t>Ring Of Feather Falling</t>
  </si>
  <si>
    <t>Ring Of Fire Elemental Command</t>
  </si>
  <si>
    <t>Ring Of Free Action</t>
  </si>
  <si>
    <t>Ring Of Invisibility</t>
  </si>
  <si>
    <t>Ring Of Jumping</t>
  </si>
  <si>
    <t>Ring Of Mind Shielding</t>
  </si>
  <si>
    <t>Ring of Obscuring</t>
  </si>
  <si>
    <t>Ring Of Protection</t>
  </si>
  <si>
    <t>Ring Of Regeneration</t>
  </si>
  <si>
    <t>Ring Of Resistance</t>
  </si>
  <si>
    <t>Ring Of Shooting Stars</t>
  </si>
  <si>
    <t>Ring Of Spell Storing</t>
  </si>
  <si>
    <t>Ring Of Spell Turning</t>
  </si>
  <si>
    <t>Ring Of Swimming</t>
  </si>
  <si>
    <t>Ring Of Telekinesis</t>
  </si>
  <si>
    <t>Ring of Temporal Salvation</t>
  </si>
  <si>
    <t>Ring Of The Ram</t>
  </si>
  <si>
    <t>Ring Of Three Wishes</t>
  </si>
  <si>
    <t>Ring Of Truth Telling</t>
  </si>
  <si>
    <t>Ring Of Warmth</t>
  </si>
  <si>
    <t>Ring Of Water Elemental Command</t>
  </si>
  <si>
    <t>Ring Of Water Walking</t>
  </si>
  <si>
    <t>Ring Of X-Ray Vision</t>
  </si>
  <si>
    <t>Rings Of Shared Suffering</t>
  </si>
  <si>
    <t>Risian Pine Focus</t>
  </si>
  <si>
    <t>Robe Of Eyes</t>
  </si>
  <si>
    <t>Robe Of Scintillating Colors</t>
  </si>
  <si>
    <t>Robe Of Serpents</t>
  </si>
  <si>
    <t>Robe Of Stars</t>
  </si>
  <si>
    <t>Robe Of Summer</t>
  </si>
  <si>
    <t>Robe Of The Archmagi</t>
  </si>
  <si>
    <t>Robe Of Useful Items</t>
  </si>
  <si>
    <t>Rod Of Absorption</t>
  </si>
  <si>
    <t>Rod Of Alertness</t>
  </si>
  <si>
    <t>Rod Of Lordly Might</t>
  </si>
  <si>
    <t>Rod Of Resurrection</t>
  </si>
  <si>
    <t>Rod of Retribution</t>
  </si>
  <si>
    <t>Rod Of Rulership</t>
  </si>
  <si>
    <t>Rod Of Security</t>
  </si>
  <si>
    <t>Rod Of The Pact Keeper +1</t>
  </si>
  <si>
    <t>Rod Of The Pact Keeper +2</t>
  </si>
  <si>
    <t>Rod Of The Pact Keeper +3</t>
  </si>
  <si>
    <t>Rod Of The Vonindod</t>
  </si>
  <si>
    <t>Rope Of Climbing</t>
  </si>
  <si>
    <t>Rope Of Entanglement</t>
  </si>
  <si>
    <t>Rope Of Mending</t>
  </si>
  <si>
    <t>Rotor Of Return</t>
  </si>
  <si>
    <t>Ruby Of The War Mage</t>
  </si>
  <si>
    <t>Saddle Of The Cavalier</t>
  </si>
  <si>
    <t>Saint Markovia's Thighbone</t>
  </si>
  <si>
    <t>Scarab Of Protection</t>
  </si>
  <si>
    <t>Scimitar Of Speed</t>
  </si>
  <si>
    <t>Scorpion Armor (plate)</t>
  </si>
  <si>
    <t>Scribes Pen</t>
  </si>
  <si>
    <t>Scribe's Pen</t>
  </si>
  <si>
    <t>Scroll Of Protection</t>
  </si>
  <si>
    <t>Scroll of Tarrasque Summoning</t>
  </si>
  <si>
    <t>Scroll of the Comet</t>
  </si>
  <si>
    <t>Seeker Dart</t>
  </si>
  <si>
    <t>Sekolahian Worshiping Statuette</t>
  </si>
  <si>
    <t>Sending Stone</t>
  </si>
  <si>
    <t>Shadowfell Brand Tattoo</t>
  </si>
  <si>
    <t>Shadowfell Shard</t>
  </si>
  <si>
    <t>Shard Of The Ise Rune</t>
  </si>
  <si>
    <t>Shatterspike (longsword)</t>
  </si>
  <si>
    <t>Shavaran Birch Focus</t>
  </si>
  <si>
    <t>Shavarran Birch Focus</t>
  </si>
  <si>
    <t>Shield Of Expression</t>
  </si>
  <si>
    <t>Shield Of Far Sight</t>
  </si>
  <si>
    <t>Shield Of Missile Attraction</t>
  </si>
  <si>
    <t>Shield Of The Hidden Lord</t>
  </si>
  <si>
    <t>Shield Of The Uven Rune</t>
  </si>
  <si>
    <t>Shiftweave</t>
  </si>
  <si>
    <t>Siren Song Lyre</t>
  </si>
  <si>
    <t>Skyblinder Staff</t>
  </si>
  <si>
    <t>Sling Bullets of Althemone</t>
  </si>
  <si>
    <t>Slippers Of Spider Climbing</t>
  </si>
  <si>
    <t>Smokepowder</t>
  </si>
  <si>
    <t>Smoldering Armor</t>
  </si>
  <si>
    <t>Soul Coin</t>
  </si>
  <si>
    <t>Speaking Stone</t>
  </si>
  <si>
    <t>Spear Of Backbiting (javelin or spear)</t>
  </si>
  <si>
    <t>Spell Bottle</t>
  </si>
  <si>
    <t>Spell Gem (Amber, Level 4)</t>
  </si>
  <si>
    <t>Spell Gem (Bloodstone, Level 3)</t>
  </si>
  <si>
    <t>Spell Gem (Diamond, Level 9)</t>
  </si>
  <si>
    <t>Spell Gem (Jade, Level 5)</t>
  </si>
  <si>
    <t>Spell Gem (Lapis Lazuli, Level 1)</t>
  </si>
  <si>
    <t>Spell Gem (Obsidian, Level 0)</t>
  </si>
  <si>
    <t>Spell Gem (Quartz ,Level 2)</t>
  </si>
  <si>
    <t>Spell Gem (Ruby, Level 8)</t>
  </si>
  <si>
    <t>Spell Gem (Star Ruby, Level 7)</t>
  </si>
  <si>
    <t>Spell Gem (Topaz, Level 6)</t>
  </si>
  <si>
    <t>Spell Scroll (Level 0)</t>
  </si>
  <si>
    <t>Spell Scroll (Level 1)</t>
  </si>
  <si>
    <t>Spell Scroll (Level 2)</t>
  </si>
  <si>
    <t>Spell Scroll (Level 3)</t>
  </si>
  <si>
    <t>Spell Scroll (Level 4)</t>
  </si>
  <si>
    <t>Spell Scroll (Level 5)</t>
  </si>
  <si>
    <t>Spell Scroll (Level 6)</t>
  </si>
  <si>
    <t>Spell Scroll (Level 7)</t>
  </si>
  <si>
    <t>Spell Scroll (Level 8)</t>
  </si>
  <si>
    <t>Spell Scroll (Level 9)</t>
  </si>
  <si>
    <t>Spell Sink</t>
  </si>
  <si>
    <t>Spellshard</t>
  </si>
  <si>
    <t>Sphere Of Annihilation</t>
  </si>
  <si>
    <t>Spider Staff</t>
  </si>
  <si>
    <t>Spies' Murmur</t>
  </si>
  <si>
    <t>Spyglass Of Clairvoyance</t>
  </si>
  <si>
    <t>Staff Of Adornment</t>
  </si>
  <si>
    <t>Staff Of Birdcalls</t>
  </si>
  <si>
    <t>Staff Of Charming</t>
  </si>
  <si>
    <t>Staff Of Defense</t>
  </si>
  <si>
    <t>Staff of Dunamancy</t>
  </si>
  <si>
    <t>Staff Of Fire</t>
  </si>
  <si>
    <t>Staff Of Flowers</t>
  </si>
  <si>
    <t>Staff Of Frost</t>
  </si>
  <si>
    <t>Staff Of Healing</t>
  </si>
  <si>
    <t>Staff Of Power</t>
  </si>
  <si>
    <t>Staff Of Striking</t>
  </si>
  <si>
    <t>Staff Of Swarming Insects</t>
  </si>
  <si>
    <t>Staff Of The Adder</t>
  </si>
  <si>
    <t>Staff of the Ivory Claw</t>
  </si>
  <si>
    <t>Staff Of The Magi</t>
  </si>
  <si>
    <t>Staff Of The Python</t>
  </si>
  <si>
    <t>Staff Of The Woodlands</t>
  </si>
  <si>
    <t>Staff Of Thunder And Lightning</t>
  </si>
  <si>
    <t>Staff Of Withering</t>
  </si>
  <si>
    <t>Stone Of Controlling Earth Elementals</t>
  </si>
  <si>
    <t>Stone Of Good Luck (Luckstone)</t>
  </si>
  <si>
    <t>Stone Of Ill Luck</t>
  </si>
  <si>
    <t>Stonespeaker Crystal</t>
  </si>
  <si>
    <t>Storm Boomerang</t>
  </si>
  <si>
    <t>Storm Spire</t>
  </si>
  <si>
    <t>Stormgirdle</t>
  </si>
  <si>
    <t>Sun Blade (longsword)</t>
  </si>
  <si>
    <t>Sunforger (warhammer)</t>
  </si>
  <si>
    <t>Sunsword (longsword)</t>
  </si>
  <si>
    <t>Sword Of Answering</t>
  </si>
  <si>
    <t>Sword Of Life Stealing (any sword)</t>
  </si>
  <si>
    <t>Sword Of Sharpness (slashing swords)</t>
  </si>
  <si>
    <t>Sword Of The Paruns (longsword)</t>
  </si>
  <si>
    <t>Sword Of Vengeance (any sword)</t>
  </si>
  <si>
    <t>Sword Of Wounding (any sword)</t>
  </si>
  <si>
    <t>Talisman Of Pure Good</t>
  </si>
  <si>
    <t>Talisman Of The Sphere</t>
  </si>
  <si>
    <t>Talisman Of Ultimate Evil</t>
  </si>
  <si>
    <t>Talking Doll</t>
  </si>
  <si>
    <t>Tankard Of Plenty</t>
  </si>
  <si>
    <t>Tankard Of Sobriety</t>
  </si>
  <si>
    <t>Thermal Cube</t>
  </si>
  <si>
    <t>Timepiece Of Travel</t>
  </si>
  <si>
    <t>Tinderstrike (dagger)</t>
  </si>
  <si>
    <t>Tome Of Clear Thought</t>
  </si>
  <si>
    <t>Tome Of Leadership And Influence</t>
  </si>
  <si>
    <t>Tome Of The Stilled Tongue</t>
  </si>
  <si>
    <t>Tome Of Understanding</t>
  </si>
  <si>
    <t>Travel Alchemical Kit</t>
  </si>
  <si>
    <t>Trident Of Fish Command</t>
  </si>
  <si>
    <t>Two-Birds Sling</t>
  </si>
  <si>
    <t>Unbreakable Arrow</t>
  </si>
  <si>
    <t>Ventilating Lungs</t>
  </si>
  <si>
    <t>Verminshroud</t>
  </si>
  <si>
    <t>Veteran's Cane</t>
  </si>
  <si>
    <t>Vicious Rapier, +1</t>
  </si>
  <si>
    <t>Vicious Weapon (any weapon)</t>
  </si>
  <si>
    <t>Voting Kit</t>
  </si>
  <si>
    <t>Vox Seeker</t>
  </si>
  <si>
    <t>Voyager Staff</t>
  </si>
  <si>
    <t>Walloping Ammunition</t>
  </si>
  <si>
    <t>Wand Of Binding</t>
  </si>
  <si>
    <t>Wand Of Conducting</t>
  </si>
  <si>
    <t>Wand Of Enemy Detection</t>
  </si>
  <si>
    <t>Wand Of Entangle</t>
  </si>
  <si>
    <t>Wand Of Fear</t>
  </si>
  <si>
    <t>Wand Of Fireballs</t>
  </si>
  <si>
    <t>Wand Of Lightning Bolts</t>
  </si>
  <si>
    <t>Wand Of Magic Detection</t>
  </si>
  <si>
    <t>Wand Of Magic Missiles</t>
  </si>
  <si>
    <t>Wand Of Paralysis</t>
  </si>
  <si>
    <t>Wand Of Polymorph</t>
  </si>
  <si>
    <t>Wand Of Pyrotechnics</t>
  </si>
  <si>
    <t>Wand Of Scowls</t>
  </si>
  <si>
    <t>Wand Of Secrets</t>
  </si>
  <si>
    <t>Wand Of Smiles</t>
  </si>
  <si>
    <t>Wand Of The War Mage +1</t>
  </si>
  <si>
    <t>Wand Of The War Mage +2</t>
  </si>
  <si>
    <t>Wand Of The War Mage +3</t>
  </si>
  <si>
    <t>Wand Of Viscid Globs</t>
  </si>
  <si>
    <t>Wand Of Web</t>
  </si>
  <si>
    <t>Wand Of Winter</t>
  </si>
  <si>
    <t>Wand Of Wonder</t>
  </si>
  <si>
    <t>Wand Sheath</t>
  </si>
  <si>
    <t>Wave</t>
  </si>
  <si>
    <t>Waythe (greatsword)</t>
  </si>
  <si>
    <t>Weapon of Certain Death</t>
  </si>
  <si>
    <t>Weapon Of Warning</t>
  </si>
  <si>
    <t>Weapon, +1</t>
  </si>
  <si>
    <t>Weapon, +2</t>
  </si>
  <si>
    <t>Weird Tank</t>
  </si>
  <si>
    <t>Well Of Many Worlds</t>
  </si>
  <si>
    <t>Wheel Of Stars</t>
  </si>
  <si>
    <t>Wheel Of Wind And Water</t>
  </si>
  <si>
    <t>Whelm</t>
  </si>
  <si>
    <t>White Dragon Mask</t>
  </si>
  <si>
    <t>Windvane</t>
  </si>
  <si>
    <t>Wings Of Flying</t>
  </si>
  <si>
    <t>Wingwear</t>
  </si>
  <si>
    <t>Winters Dark Bite</t>
  </si>
  <si>
    <t>Wreath of the Prism</t>
  </si>
  <si>
    <t>Xorian Wenge Focus</t>
  </si>
  <si>
    <t>Yklwa, +1</t>
  </si>
  <si>
    <t>Yklwa, +2</t>
  </si>
  <si>
    <t>Yklwa, +3</t>
  </si>
  <si>
    <t>Mounted Airborne</t>
  </si>
  <si>
    <t>Siege Weapons</t>
  </si>
  <si>
    <t>A defunct title, equivalent in rank to earl. Now used derisively to refer to the useless husband of a noblewoman of any rank.</t>
  </si>
  <si>
    <t>Highnose: An effete or snooty noble.</t>
  </si>
  <si>
    <t xml:space="preserve">Lackshield: </t>
  </si>
  <si>
    <t>A Purple Dragon that has been stripped of rank. Or, a noble in command of Purple Dragons who holds no true rank.</t>
  </si>
  <si>
    <t>Oldblood</t>
  </si>
  <si>
    <t>Said of a noble house of great age and respected reputation.</t>
  </si>
  <si>
    <t xml:space="preserve">Red Dragon </t>
  </si>
  <si>
    <t>A traitor to the kingdom (from the device of Salember, the Rebel Prince).</t>
  </si>
  <si>
    <t>Spellbeggar</t>
  </si>
  <si>
    <t>A War Wizard’s insulting term for clerics and other divine spellcasters</t>
  </si>
  <si>
    <t>Blood of Gordroun</t>
  </si>
  <si>
    <t>Shield of Aunkspeear</t>
  </si>
  <si>
    <t>Sword of Ilbratha</t>
  </si>
  <si>
    <t>Rock of Hlundadim</t>
  </si>
  <si>
    <t>Scale of Nalavtoryl</t>
  </si>
  <si>
    <t>Crusader of Thesk</t>
  </si>
  <si>
    <t>Witch Lords Lament</t>
  </si>
  <si>
    <t>Heart of the Purple Dragon</t>
  </si>
  <si>
    <t>Ribbon</t>
  </si>
  <si>
    <t>Badge</t>
  </si>
  <si>
    <t>Medal</t>
  </si>
  <si>
    <t>wound</t>
  </si>
  <si>
    <t>periapt</t>
  </si>
  <si>
    <t>Horn of Magrath</t>
  </si>
  <si>
    <t>campaign</t>
  </si>
  <si>
    <t>training</t>
  </si>
  <si>
    <t>service (battle)</t>
  </si>
  <si>
    <t>Points</t>
  </si>
  <si>
    <t>Group</t>
  </si>
  <si>
    <t>Officers</t>
  </si>
  <si>
    <t>Fireteam</t>
  </si>
  <si>
    <t>PAYMENT</t>
  </si>
  <si>
    <t xml:space="preserve"> lowest commissioned rank In addition to commanding over one hundred soldiers trained to fight for the realm, lionars can promote or strip of rank any subordinate Purple Dragon (although, in the case of a swordcaptain, only on a temporary basis), can accept soldiers into service, and can requisition from the Crown additional supplies of food, tents, and weapons.</t>
  </si>
  <si>
    <t xml:space="preserve">Sea Snake </t>
  </si>
  <si>
    <t xml:space="preserve">Thomdo'r Fist </t>
  </si>
  <si>
    <t>Fast galleon</t>
  </si>
  <si>
    <t>Coastal runner</t>
  </si>
  <si>
    <t>Training ship</t>
  </si>
  <si>
    <t>Organization name</t>
  </si>
  <si>
    <t>Leader</t>
  </si>
  <si>
    <t>Headquarter</t>
  </si>
  <si>
    <t>Activity</t>
  </si>
  <si>
    <t>Sculptors and Masons Guild</t>
  </si>
  <si>
    <t>Guild</t>
  </si>
  <si>
    <t>Knightly Order</t>
  </si>
  <si>
    <t>Order of the Golden Way</t>
  </si>
  <si>
    <t>Purple Dragon Knights</t>
  </si>
  <si>
    <t>dissolved</t>
  </si>
  <si>
    <t>Order of the Draconic Wars</t>
  </si>
  <si>
    <t>controls stonework, statuary, quarrying, plastering, and waterproofing</t>
  </si>
  <si>
    <t>Count</t>
  </si>
  <si>
    <t>Bastion</t>
  </si>
  <si>
    <t>BST</t>
  </si>
  <si>
    <t>BTY</t>
  </si>
  <si>
    <t>FTM</t>
  </si>
  <si>
    <t>Swordcaptain leads a swordmajor, two first swords, and 20 blades.</t>
  </si>
  <si>
    <t>Swordcaptains serve as the heads of companies of soldiers, as lieutenants to commissioned officers, as patrol captains and shift officers, and in ny number of other roles within the military. Swordcaptains have the right to wear weapons unbound when they’re not on official duty, and can swear soldiers into the service of the Crown. They also have the power to promote a blade to the rank of telsword, and to recmmend the promotion of a elsword to firstsword.</t>
  </si>
  <si>
    <t>Commander of siege weapon team</t>
  </si>
  <si>
    <t>Arrowmaster</t>
  </si>
  <si>
    <t>Siegemaster</t>
  </si>
  <si>
    <t>Total Cost</t>
  </si>
  <si>
    <t>Siege Weapons Batteries</t>
  </si>
  <si>
    <t>First sword commanding team of siege weapon specialists</t>
  </si>
  <si>
    <t>Swordcaptain, swordmajor, 4 fireteams, siege weapons engineer</t>
  </si>
  <si>
    <t>Lionar, 4, 4 bastions</t>
  </si>
  <si>
    <t>Wheelon</t>
  </si>
  <si>
    <t>course, courteous, wistful</t>
  </si>
  <si>
    <t>serve with distinction and get reassigned to Suzail</t>
  </si>
  <si>
    <t>Ossten is the sergeant in command of the Purple Dragon garrison at Wheloon. His husband lives in Suzail, and Ossten wishes to prove his worth so that he can return home to the capital.</t>
  </si>
  <si>
    <t>wise, calculating, weary</t>
  </si>
  <si>
    <t>return some semblance of dignity and honor to her city</t>
  </si>
  <si>
    <t>The daughter of Sarp Redbeard is a skeptical and cautious woman who runs the reopened Wheloon with calm efficiency. She can often be found standing on one of the many balconies of Oldstone Hall, looking out over her city and making notes in a small notebook that she keeps with her at all times</t>
  </si>
  <si>
    <t>self effacing, helpful, cunning</t>
  </si>
  <si>
    <t>restore his good name</t>
  </si>
  <si>
    <t xml:space="preserve">Jerrick Valwater was a prisoner in Wheloon for his part in an assassination attempt on King Foril, but was freed shortly before the war with the Shadovar. He spent the intervening years serving as an un-cial spy for the crown in Sembia, and after the war he was granted clemency for his aid in the war effort and returned to Wheloon. Disinherited from his noble house, he now runs a small mercantile business employing former convicts in the city. </t>
  </si>
  <si>
    <t>[C9410, inside cover says there are only militia here, but VGtC,p.173 mentions a local garrison of 14 men and 4 women, and VGtC,p.172 also mentions that war wizards are assigned to local guardhouses and are ordered to accompany road patrols.]</t>
  </si>
  <si>
    <t xml:space="preserve">Waymoot: 1 kadrath of infantry
</t>
  </si>
  <si>
    <t>[VGtC,p.179 mentions that the Waymoot garrison has a hundred-strong force of Purple Dragons, even though C9410 says there are only militia here.]</t>
  </si>
  <si>
    <t>[VGtC,p.191: the Purple Dragons keep a seven-sword contingent in the village, most are veteran female officers. Objection: most are veteran officers, meaning only a couple are enlisted? More officers than grunts? Don't bloody well bet on it! Once this bit of Volo's silliness is disregarded, this is most likely an mostly-female squad of infantry that Volo didn't see all of.]
[VGtC,p.189: the fish hatchery here is guarded by no less than 40 Purple Dragons. 40 men does not mesh well with the force structure I've developed, so perhaps Volo miscounted or didn't see everyone.]
[VGtC,p.182)Ghars: village of 1,200 folk boasts a respectable Purple Dragon garrison.]</t>
  </si>
  <si>
    <t>Wheloon Garrison
part of the Army of the Heartlands
1st Wheloon Infantry Regiment (light infantry)
Minor garrisons or detachments supported out of the Wheloon garrison:
• Juniril: 1 squad of infantry from the kadrath at Hultail
• Hultail: 1 kadrath of infantry less one squad at Juniril
• Ghars: 1 kadrath of infantry plus battalion headquarters
• Battlerise: 1 kadrath of infantry
• Kirinwood: 1 kadrath of infantry plus battalion headquarters
• Dawngleam: 1 kadrath of infantry</t>
  </si>
  <si>
    <t>[C9410: the inside cover claims there is no Purple Dragon garrison here (militia only), but VGtC,pp.152-153 mentions a detachment of unspecified size.]</t>
  </si>
  <si>
    <t xml:space="preserve">Arabel Garrison (1,300 men, less detachments)
[Army of the Heartlands]
commanded by Oversword part of the 
• 1 medium infantry regiment
• 1 light infantry regiment
• 1 archer battery
Minor garrisons or detachments supported out of the Arabel Garrison:
• Immersea: 1 company of infantry
</t>
  </si>
  <si>
    <t>Region</t>
  </si>
  <si>
    <t>Marine</t>
  </si>
  <si>
    <t>Board</t>
  </si>
  <si>
    <t>BRD</t>
  </si>
  <si>
    <t>Assault</t>
  </si>
  <si>
    <t>AST</t>
  </si>
  <si>
    <t>Corporal and 9 Marines</t>
  </si>
  <si>
    <t>Unit</t>
  </si>
  <si>
    <t>Abbr</t>
  </si>
  <si>
    <t>Sailor equivavelnt</t>
  </si>
  <si>
    <t>Ship Class</t>
  </si>
  <si>
    <t>Ship Type</t>
  </si>
  <si>
    <t>Ship Group</t>
  </si>
  <si>
    <t>Base of Navy</t>
  </si>
  <si>
    <t>Grand total</t>
  </si>
  <si>
    <t>Ship Types</t>
  </si>
  <si>
    <t>Palace Guard</t>
  </si>
  <si>
    <t>Ornirons</t>
  </si>
  <si>
    <t>Divisions</t>
  </si>
  <si>
    <t>Shifts</t>
  </si>
  <si>
    <t>Palace Guards</t>
  </si>
  <si>
    <t>Personal Guards</t>
  </si>
  <si>
    <t>Person</t>
  </si>
  <si>
    <t>Royal Guards</t>
  </si>
  <si>
    <t>Lionars (4 FLT CO's and 2 SQN XO's)</t>
  </si>
  <si>
    <t>Constal (RGT CO)</t>
  </si>
  <si>
    <t xml:space="preserve">Swordcaptains (18 CPY CO's) </t>
  </si>
  <si>
    <t xml:space="preserve">Lionars (6 KDR CO's and 2 BTN XO's) </t>
  </si>
  <si>
    <t xml:space="preserve">Ornrions (2 BTN CO's and 1 RGT XO)  </t>
  </si>
  <si>
    <t xml:space="preserve">Swordcaptains (8 WNG CO's) </t>
  </si>
  <si>
    <t>Enlisted</t>
  </si>
  <si>
    <t>Artillery</t>
  </si>
  <si>
    <t>Light warhorse</t>
  </si>
  <si>
    <t>Heavy warhorse</t>
  </si>
  <si>
    <t>Hippogrif</t>
  </si>
  <si>
    <t>Barding</t>
  </si>
  <si>
    <t>Longsword, lance, longbow</t>
  </si>
  <si>
    <t>Chainmail, shield</t>
  </si>
  <si>
    <t>Studded leather, shield</t>
  </si>
  <si>
    <t>Plate armor, shield</t>
  </si>
  <si>
    <t>Chainshirt barding</t>
  </si>
  <si>
    <t>Studded Leather barding</t>
  </si>
  <si>
    <t>Chainmail barding</t>
  </si>
  <si>
    <t>Longsword, lance, repeating light crossbow</t>
  </si>
  <si>
    <t xml:space="preserve"> chain shirts or occasionally scalemail or chainmail, armed with sword, light lance and repeating light crossbow</t>
  </si>
  <si>
    <t>mostly studded leather armor with remainder being plain leather, shields optional, armed with sword, light lance and repeating light crossbow.</t>
  </si>
  <si>
    <t>Chain shirts shield</t>
  </si>
  <si>
    <t>Longbow, shortsword</t>
  </si>
  <si>
    <t>Longsword, longbow, halberd</t>
  </si>
  <si>
    <t>Chainshirt, shield</t>
  </si>
  <si>
    <t>Longsword, halberd</t>
  </si>
  <si>
    <t>Splint, shield</t>
  </si>
  <si>
    <t>Halberd, morningstar</t>
  </si>
  <si>
    <t>Longsword, Heavy Crossbow</t>
  </si>
  <si>
    <t>Royal Scout</t>
  </si>
  <si>
    <t>Royal Corps of Monster Hunters</t>
  </si>
  <si>
    <t>Palaggar </t>
  </si>
  <si>
    <t>Prespur, Sea of Fallen Stars</t>
  </si>
  <si>
    <t>Blue Dragons base</t>
  </si>
  <si>
    <t>[Two quotes from SoFS — p.11: "The main island houses two small towns that act as the main ports and shipyards for Cormyr's Blue Dragons as well as the begrudging presence of some Sembian freesails as well (each group in separate towns on opposite ends of the isle). Palaggar is the Cormyrean shipyard and garrison town..." and p.8: "... the best shipbuilders reside in Prespur and work officially for Cormyr's crown." indicate a strong and official Cormyrean military presence on Prespur. However, Ed Greenwood's words strongly contraindicate this. In EdG2 he states "Cormyr patrols the Lake of Dragons and commands the Neck; beyond chasing pirates east of that narrow throat and providing ship escorts, they leave the rest of the Sea of Fallen Stars alone." In EdG3 he states "The 'fleet' based in Prespur is almost entirely chartered vessels", "So the 'real' Imperial vessels usually operate in the Neck and westwards, trying to make it a 'no go' zone for pirates and smugglers. Outside of these waters, they're most likely to be met with off the Sembian coast, escorting important ships. Regular resupply runs are made to Prespur...", and finally "So, yes, the navy IS being neglected." All of these quotes clearly contradict SoFS. In my considered opinion, there is no way in any of the Nine Hells that the Blue Dragons or any King less mad than Boldovar would put their main shipyard and the best shipbuilders of the Inner Sea in a place so far outside of Cormyr without permanently assigning a STRONG official military presence here to defend such valuable assets — to do so would stretch believability several nautical miles past the shattering point! Given that Ed is the ultimate Realms authority, we simply must disregard much of what SoFS says about Prespur and Palaggar. The 26-ship Imperial Navy plainly and simply does not have the resources to maintain such a base.]</t>
  </si>
  <si>
    <t>Blue Dragons</t>
  </si>
  <si>
    <t>[VGtC,p.16: The largest ship based in Suzail is the Crown of Cormyr, a floating palace used by the Royal Family, while the largest warship is Dragon. Both of these are well-equipped with ballistae and firepot-hurlers. I don't specify the numbers of weapons on the ship because the only FR rule mechanics for the fitting out of ships are in PoFS and I'm not at all happy with those rules; ships in that book seem to be woefully underweaponed.]
[Dr250,p.47: the Crown of Cormyr would be a third-rate galleon by the rules here.]</t>
  </si>
  <si>
    <t> 73 berths (7 squads, 2 sergeants and a lieutenant) </t>
  </si>
  <si>
    <t>Royal Assault</t>
  </si>
  <si>
    <t>RAS</t>
  </si>
  <si>
    <t>Lieutenant, 2 sergeants, 7 squads</t>
  </si>
  <si>
    <t>Lieutenant, 1 sergeant, 3 squads</t>
  </si>
  <si>
    <t>Lieutenant, 2 sergeants, 6 squads</t>
  </si>
  <si>
    <t>[Dr250,p.47: the large war galleon would be close to a fourth-rate galleon by these rules.]</t>
  </si>
  <si>
    <t>[PoFS,p.80 refers to "...the late Renaissance galleons of Cormyr and Sembia.]
[PoFS,p.85: "Galleons are most frequently used in Cormyr, Sembia, and Impiltur. However, they are not common even there." If galleons are not common then they must be only a minority of the ships. Since in real life galleons are the latest and most advanced of the ship types mentioned in FR sourcebooks, that implies the galleon is a recent development in shipbuilding. This, in turn, implies that Cormyr Sembia and Impiltur have the most advanced shipbuilding technology.]
[VGtC,p.16: The largest ship based in Suzail is the Crown of Cormyr, a floating palace used by the Royal Family, while the largest warship is Dragon. Both of these are well-equipped with ballistae and firepot-hurlers. I don't specify the numbers of weapons on the ship because the only FR rule mechanics for the fitting out of ships are in PoFS and I'm not at all happy with those rules; ships in that book seem to be woefully underweaponed.]
[Dr250,p.47: the war galleon, as a standard galleon, would be a fifth-rate galleon.]</t>
  </si>
  <si>
    <r>
      <t>[EdG1: Ed Greenwood gives some detail of the fast galleon </t>
    </r>
    <r>
      <rPr>
        <sz val="12"/>
        <color rgb="FFFFFFFF"/>
        <rFont val="Arial"/>
        <family val="2"/>
        <charset val="204"/>
      </rPr>
      <t>Filfaeril</t>
    </r>
    <r>
      <rPr>
        <i/>
        <sz val="12"/>
        <color rgb="FFFFFFFF"/>
        <rFont val="Arial"/>
        <family val="2"/>
        <charset val="204"/>
      </rPr>
      <t> here.]</t>
    </r>
  </si>
  <si>
    <t>Length</t>
  </si>
  <si>
    <t>Beam</t>
  </si>
  <si>
    <t>Draft</t>
  </si>
  <si>
    <t>[VGtC,p.35 mentions the recognizability of the metal rams of the two caravels in Marsember.]
[PoFS,p.82: "The caravel is used by the nations of Cormyr, Sembia, and Impiltur extensively, and is somewhat less common in Turmish and Chondath. It normally has two masts and square sails; no oars are used. The normal crew is from 30 to 40 men."]</t>
  </si>
  <si>
    <t>The Imperial Navy has in the past couple of decades sailed a small fast ship it calls a coastal runner, but is known in some other lands as a xebec. These coastal runners are newer and more advanced ships than the older caravels, and are gradually replacing the caravels over time. The coastal runner is a lateen-rigged ship, which makes it maneuverable and capable of sailing in more unfavorable winds than a square-rigged ship. It is built narrow for speed — indeed, it is one of the fastest sailing ships on the seas — and has a shallow draft enabling it to travel in shallow waters, yet it is sufficiently seaworthy for blue-water travel as long as the seas aren't too rough. The coastal runner is 90 feet long, 24 feet in beam, has a 2 foot draft, and is sailed by a crew of 50. The crew breakdown of a typical Imperial Navy coastal runner is given in Table 3-9.</t>
  </si>
  <si>
    <t xml:space="preserve">The cog is too slow and relatively unmaneuverable to serve as an effective warship, but the Imperial Navy has need of supply ships and the cog serves adequately in this capacity. The Imperial Navy currently operates two rather old-fashioned clinker-built cogs as supply ships. There are no plans to replace these with more modern ships, as these normally serve the supply needs of the fleet. On those occasions where a greater supply capacity is needed, the Imperial Navy will charter additional ships for the duration of the need. These naval supply cogs are the most cramped and uncomfortable ships in the Navy to serve on, for they are considerably overmanned in comparison to merchant cogs. Merchant cogs usually sail with only a sailing crew and depend on port longshoremen to load and unload the ship, but the Imperial Navy requires its cogs to carry enough sailors both to handle loading and unloading for those situations where supplies must be disembarked without benefit of a port and to fight in defense of the ship if attacked. Imperial Navy cogs will never be seen alone at sea, as they are always escorted by warships to their destinations. Cogs vary widely in specific design, but the two in the service of the Imperial Navy are both of a class. The Imperial navy cogs are somewhat larger than the average merchant cog at 90 feet long, 25 feet in beam, and drawing a draft of 5 feet. </t>
  </si>
  <si>
    <t>[VGtC,p.35 details the particularly sad shape of the Ansiber's Wrath.]</t>
  </si>
  <si>
    <t>The Training Squadron in Marsember sails four obsolete carracks as training vessels. These ships are similar in size and general configuration to the carracks that serve as fighting ships, but they are older and in decrepit shape. One, the Ansiber's Wrath, is old enough to be clinker-built rather than carvel-built. These ships operate a reduced crew of 100 to make room for the recruits they train. The crew breakdown of the Imperial Navy training ship, not including recruits, is given in Table 3-11.</t>
  </si>
  <si>
    <r>
      <t>[SoFS,p.15: "All of Cormyr's official naval vessels are named for the monarchy's rulers. Some are given fanciful like </t>
    </r>
    <r>
      <rPr>
        <sz val="12"/>
        <rFont val="Arial"/>
        <family val="2"/>
        <charset val="204"/>
      </rPr>
      <t>Valashar's Bane</t>
    </r>
    <r>
      <rPr>
        <i/>
        <sz val="12"/>
        <rFont val="Arial"/>
        <family val="2"/>
        <charset val="204"/>
      </rPr>
      <t> while others sport actual names such as </t>
    </r>
    <r>
      <rPr>
        <sz val="12"/>
        <rFont val="Arial"/>
        <family val="2"/>
        <charset val="204"/>
      </rPr>
      <t>Queen Besmra</t>
    </r>
    <r>
      <rPr>
        <i/>
        <sz val="12"/>
        <rFont val="Arial"/>
        <family val="2"/>
        <charset val="204"/>
      </rPr>
      <t>." VGtC.16 gives names that seem to break this pattern, though, with the coastal runners </t>
    </r>
    <r>
      <rPr>
        <sz val="12"/>
        <rFont val="Arial"/>
        <family val="2"/>
        <charset val="204"/>
      </rPr>
      <t>Blade of Espar</t>
    </r>
    <r>
      <rPr>
        <i/>
        <sz val="12"/>
        <rFont val="Arial"/>
        <family val="2"/>
        <charset val="204"/>
      </rPr>
      <t> and </t>
    </r>
    <r>
      <rPr>
        <sz val="12"/>
        <rFont val="Arial"/>
        <family val="2"/>
        <charset val="204"/>
      </rPr>
      <t>Lance of Wheloon</t>
    </r>
    <r>
      <rPr>
        <i/>
        <sz val="12"/>
        <rFont val="Arial"/>
        <family val="2"/>
        <charset val="204"/>
      </rPr>
      <t> on p.16 and the war caravel </t>
    </r>
    <r>
      <rPr>
        <sz val="12"/>
        <rFont val="Arial"/>
        <family val="2"/>
        <charset val="204"/>
      </rPr>
      <t>Thomdor's Fist</t>
    </r>
    <r>
      <rPr>
        <i/>
        <sz val="12"/>
        <rFont val="Arial"/>
        <family val="2"/>
        <charset val="204"/>
      </rPr>
      <t> on p.35 seems unlikely to refer to a past king. In EdG1, however, Ed Greenwood clarified that SoFS "got (as usual) edited to say something different from what they originally meant. From Sea of Fallen Stars: "All of Cormyr's official naval vessels are named for the monarchy's rulers" originally read: "All of Cormyr's official naval vessels are now named for the monarchy's rulers" and SHOULD actually read: "All official Cormyrean naval vessels 'set forth' (commissioned) in the rule of Azoun IV have been named for past rulers of the Forest Kingdom, with one exception: the ship named for his queen, </t>
    </r>
    <r>
      <rPr>
        <sz val="12"/>
        <rFont val="Arial"/>
        <family val="2"/>
        <charset val="204"/>
      </rPr>
      <t>Filfaeril</t>
    </r>
    <r>
      <rPr>
        <i/>
        <sz val="12"/>
        <rFont val="Arial"/>
        <family val="2"/>
        <charset val="204"/>
      </rPr>
      <t>.""]</t>
    </r>
  </si>
  <si>
    <t>[EdG1 states these further naming limitations.]</t>
  </si>
  <si>
    <r>
      <t>[SoFS,p.19 speaks of the first </t>
    </r>
    <r>
      <rPr>
        <sz val="7.5"/>
        <rFont val="Arial"/>
        <family val="2"/>
        <charset val="204"/>
      </rPr>
      <t>Valashar's Bane</t>
    </r>
    <r>
      <rPr>
        <i/>
        <sz val="7.5"/>
        <rFont val="Arial"/>
        <family val="2"/>
        <charset val="204"/>
      </rPr>
      <t> and its loss.]</t>
    </r>
  </si>
  <si>
    <t>[Crus,p.100 states that the carracks of the expeditionary fleet are "spectacularly rigged". SoFS,p.16 has three relevant clauses: (1) "Cormyr objects to any who use purple sails, as they use it themselves and most folk assume that ships with purple sails are Cormyr's ships. (Some pirates count on that to disguise their vessels).", (2) "Most ships' hulls are painted in dull colors. Black, however, is reserved for official vessels owned by heads of state. (Such ships are often sent ahead of the actual vessel upon which a ruler sails, to attract the attentions of both pirates and assassins).", and (3) "Cormyr's official "Blue Dragons" navy paints the gunnels, mainmast, and the bowsprit a bright blue so pirates and blackguards know that the eye of Cormyr is on them."]</t>
  </si>
  <si>
    <t>[SoFS,p.16, discusses the flags flown by Imperial Navy ships.]</t>
  </si>
  <si>
    <t>[Crus,pp.101,109,110,111 mention that two-masted cogs were also part of the fleet sailing for Thesk, which are most likely just serving as troop transports rather than warships since cogs are even older technology than caravels. P.112 also mentions coasters as being part of the fleet.]</t>
  </si>
  <si>
    <t>[SoFS,p.16: "Ships can signal other ships with their flags. Cormyr's ship flags all have the Purple Dragon facing away from the mast, the opposite side of the flag holding the captain's (or highest-ranking officer's) personal mark. To turn the flag around and have the dragon face the mast signals that the ship wishes to come alongside and talk. Most ships' flags have a symbol on one side that, when reversed, sends a similar message to passing ships. Multiple flags on the main mast and from the stern of the ship communicate numerous things, though most powers wish to keep such codes secret so their enemies cannot decipher their meaning. Cormyr and Thay, most of all, use an elaborate system of no less than four flags beneath their main colors to signal other ships."]</t>
  </si>
  <si>
    <t>[Both GTR and C9410,p.55 state that the Imperial Navy has 25 ships, with 14 based in Suzail and 12 based in Marsember. These add up to 26, not 25. This error slipped by two different sets of authors and editors into by two different books. I resolve this discrepancy by keeping the Crown of Cormyr out of the squadrons and reserved for the King's use.]</t>
  </si>
  <si>
    <t>[PoFS,p.36: "Cormyr's Royal Navy (boasting thirty caravels and over 5,500 men)..." This cite is of highly dubious reliability for a few reasons. One, it's been explicitly stated elsewhere (including other cites in this same source) that Cormyr operates galleons and carracks, which are larger and more capable than caravels. Two, if the technology exists to build larger and more capable ships like galleons it would be absurd for the Navy to sail nothing better than caravels. Three, even if the Imperial Navy was made up of 30 caravels, that doesn't correspond with 5,500 men. This many men on 30 ships would average out to 183 men per ship, and caravels are nowhere nearly large enough to support such a crew. The manpower totals (backed up elsewhere by cites of 2,500 in Suzail and 2,200 in Marsember) plainly and simply mandate that the ships of the Navy have to have a significant number of larger ships. Four, in EdG1 Ed Greenwood specifically gives a list of the names and types of most of the ships in the Imperial Navy and only three of them are caravels. For these reasons the PoFS cite must be disregarded.]</t>
  </si>
  <si>
    <t>Royal Admiral</t>
  </si>
  <si>
    <t>[GTR,p.53 and C9410,p.13 both state there is a 12-ship detachment in Marsember, which I interpret to refer to just the capital ships.]</t>
  </si>
  <si>
    <t>[VGtC,p.34 says that the Imperial Navy detachment of 12 major ships in Marsember are manned by "in excess of 2,200 trained sea warriors."]</t>
  </si>
  <si>
    <t>[C9410,p.49: Ayesunder Truesilver heads the largest part of the Imperial Navy. Hmmm... elsewhere in this same book (not to mention other sources) it states that Marsember has only 12 ships while Suzail has 14. Largest part? Since several other canon cites contradict this and no others support this, disregard it as literally stated. I pay some homage to it by letting him (and Marsember) have more of the new galleons than Suzail has.]</t>
  </si>
  <si>
    <t>[C9410,p.58: Ayesunder Trusilver is generally regarded as the head of the Cormyrean Navy. See notes on him in the description of the Marsember Purple Dragon garrison but in review there is no such thing "generally regarded head", as the commander of any major branch of the military will be specifically appointed by the government rather than having command by default or general acclimation, and this means that Ayesunder is a Blue Dragon officer.]</t>
  </si>
  <si>
    <t>[According to the C9410,p.58, "Ayesunder Truesilver is the commander of these forces and is generally regarded as the head of the Cormyrean Navy." This is contradicted by another source (PoFS,p.34&amp;36) and doesn't seem consistent with other facts. One would think that the overall commander of the fleet would be at the largest naval base, where the largest numbers of ships are, or where the military high command is, and that would be Suzail. There are more ships in Suzail, and even if Marsember's Starwater Keep is physically a bit bigger than the facilities of the Citadel of the Purple Dragon in Suzail, to use a real life analogy the commander of the British Royal Navy is in London, not Portsmouth. Still, all sources other than PoFS indicated he is the commander of the Imperial Navy so that's what I'm sticking with.]</t>
  </si>
  <si>
    <t>[PoFS,p.36: Since the most recent pirate incursions, Marsember has established some harbor chains, but like much in Marsember these are in poor repair. Unfortunately, while Starwater Keep has several ballistae and catapults, the topography of the city makes these virtually useless for defense of the outer harbor islands." Also, "The most recent significant pirate raid was on the city of Marsember in 1344 DR."]</t>
  </si>
  <si>
    <t>[VGtC,p.35: "Most of the regular ships of the line stationed here are small, fast coast-boats, though two large and well-armed war caravels, the 'Sea Snake' and 'Thomdor's Fist' also call Marsember home. The visitor can easily recognize these two by the long, wicked metal rams low on their bows." There is some good information in this quote, but Volo's statement referring to small coastboats as "ships of the line" is not accurate. Indeed, when the first copies of the Guide were available in Suzail and Marsember, midshipmen had giggling fits and senior officers reacted in ways varying from laughter to consternation. One galleon captain was rumored to have remarked "Next time Volothamp Geddarm is in town, we'll keelhaul him first on a coastal runner then on my galleon! That'll teach him what 'ship of the line' means!" Also, coastal runners are actually larger than caravels; caravels can simply appear larger to the untutored eye due to their fore and aft castles which coastal runners do not have.]</t>
  </si>
  <si>
    <t>[VGtC,p.83: The Cormyrean Navy is in the process of establishing a base in Dawngleam for use against pirates operating in the Neck.]</t>
  </si>
  <si>
    <t>[EdG3: "So the 'real' Imperial vessels usually operate in the Neck and westwards, trying to make it a 'no go' zone for pirates and smugglers. Outside of these waters, they're most likely to be met with off the Sembian coast, escorting important ships. Regular resupply runs are made to Prespur..."]</t>
  </si>
  <si>
    <t>[SoFS,p.15 states that fishing in territorial waters without paying the authorities is illegal and that this is actually enforced in Cormyr and Sembia.]</t>
  </si>
  <si>
    <t>[Numerous cites support the idea of a winter freeze:
C9410,p.12: "However, the sewage has the positive effect of inhibiting ice from forming during winter, keeping the city's commerce lines open." This refers to the canals of Marsember, and implies if not for the filth in the canals they would freeze in winter.
VGtC,p.37: The following refers to the canals of Marsember: "Their stench is incredible during hot, dry summers, and the heat of unseen things rotting in the depths keeps their steaming waters clear of ice even in the coldest winters."
VGtC,p.39 "The Breaking is a wild feast held to celebrate the arrival of the first foreign ship into port after the ice breaks up..."
SoFS,p.8: "After the spring storms each year, many ships from Cormyr, Sembia, and other ports make mad dashes east toward Thesk and Aglarond, for fortunes can be made by those who arrive in port first."
PoFS,p.49: "Unfortunately, for nearly half the year the Neck (the narrow portion of the mouth of the Lake of Dragons) is frozen, preventing any ship traffic from entering or leaving Teziir."]</t>
  </si>
  <si>
    <t>Hard to Wound (Su): Blue Dragon Marines have a reputation of being able to take wounds and pain and keep fighting, but the most experienced veteran Marine become so tough that it's harder to actually seriously wound him.</t>
  </si>
  <si>
    <t>Toughness (Ex): Blue Dragon Marines are tougher than normal and harder to incapacitate.</t>
  </si>
  <si>
    <t>[GTR,p.43 &amp; C9410,p.55: The palace guard numbers some 150 trained elite warriors.]</t>
  </si>
  <si>
    <t>The Military Forces of Cormyr Version 1.2, By Jerry Davis</t>
  </si>
  <si>
    <t>Grand Tour of the Realms booklet, Ed Greenwood &amp; Jeff Grubb from the 2nd Ed. Forgotten Realms Campaign Setting boxed set. (TSR 1085) ©1993 TSR, Inc.</t>
  </si>
  <si>
    <t>MFC</t>
  </si>
  <si>
    <t>GTR</t>
  </si>
  <si>
    <t>Beyond the High Road, Troy Denning first paperback printing, ©1999 TSR, Inc.</t>
  </si>
  <si>
    <t>Death of the Dragon, Ed Greenwood &amp; Troy Denning first hardcover printing, ©2000 Wizards of the Coast, Inc.</t>
  </si>
  <si>
    <t>After the Dragon, article in Dragon Annual 5 (2000) by Ed Greenwood, pp.58-68</t>
  </si>
  <si>
    <t>Forgotten Realms Campaign Setting 3rd Edition Ed Greenwood, Sean K. Reynolds, Skip Williams, Rob Heinsoo (WTC 11836) ©2001 Wizards of the Coast, Inc.</t>
  </si>
  <si>
    <t>2nd Ed. Cormyr accessory, Eric Haddock (TSR 9410) ©1994 TSR, Inc.</t>
  </si>
  <si>
    <t>Volo's Guide to Cormyr, Ed Greenwood (TSR 9486) ©1995 TSR, Inc.</t>
  </si>
  <si>
    <t>Horde Campaign campaign accessory (TSR 9324) ©1991 TSR, Inc.</t>
  </si>
  <si>
    <t>Haunted Halls of Eveningstar, FRQ1 adventure, Ed Greenwood (TSR 9354) ©1992 TSR, Inc.</t>
  </si>
  <si>
    <t>Four From Cormyr, John Terra (TSR 9531) ©1997 TSR, Inc.</t>
  </si>
  <si>
    <t>Pirates of the Fallen Stars, FOR3 accessory, Curtis Scott (TSR 9346) ©1992 TSR, Inc.</t>
  </si>
  <si>
    <t>Army of East</t>
  </si>
  <si>
    <t>Army of West</t>
  </si>
  <si>
    <t>Army of Heartlands</t>
  </si>
  <si>
    <t>Army</t>
  </si>
  <si>
    <t>HQ</t>
  </si>
  <si>
    <t>New Tilverton Keep</t>
  </si>
  <si>
    <t>Regimental Headquarters of 2nd light cavalry regiment</t>
  </si>
  <si>
    <t>1 squad of infantry</t>
  </si>
  <si>
    <t>Minor garrisons or detachments supported out of the Suzail Garrison</t>
  </si>
  <si>
    <t>Calantar's Bridge waypost</t>
  </si>
  <si>
    <t>Minor garrisons or detachments supported out of the Arabel Garrison</t>
  </si>
  <si>
    <t>Redspring</t>
  </si>
  <si>
    <t>Goblin Mountain Outpost</t>
  </si>
  <si>
    <t>Masoner's Bridge waypost</t>
  </si>
  <si>
    <t>East Way waypost</t>
  </si>
  <si>
    <t xml:space="preserve"> light infantry battalion</t>
  </si>
  <si>
    <t>1 company of infantry</t>
  </si>
  <si>
    <t>usually 1 squad of infantry</t>
  </si>
  <si>
    <t xml:space="preserve"> usually 1 company of infantry</t>
  </si>
  <si>
    <t>usually 1 company of infantry</t>
  </si>
  <si>
    <t>halfway between Arabel and Masoner's Bridge</t>
  </si>
  <si>
    <t>1 squad from Masoner's Bridge Company led by the swordcaptain</t>
  </si>
  <si>
    <t>1 squad from Masoner's Bridge Company led by the swordmajor</t>
  </si>
  <si>
    <t>1 squad of light infantry</t>
  </si>
  <si>
    <t>1 squad of infantry from the kadrath at Hultail</t>
  </si>
  <si>
    <t>1 kadrath of infantry less one squad at Juniril</t>
  </si>
  <si>
    <t xml:space="preserve">Royal Corps of Monster Hunters, commanded by Oversword </t>
  </si>
  <si>
    <t>Castle Irlingstar</t>
  </si>
  <si>
    <t>Irlingstar</t>
  </si>
  <si>
    <t>Main bases of Purple Dragons</t>
  </si>
  <si>
    <t>Warden the Northern Marches</t>
  </si>
  <si>
    <t>which patrols all areas east of Arabel, including the Hullack and Tilverton Pass</t>
  </si>
  <si>
    <t>which patrols all ar­eas north of the Stormhorn mountains including the Goblin Marches and the Stonelands</t>
  </si>
  <si>
    <t xml:space="preserve"> Warvred Emmarask</t>
  </si>
  <si>
    <t>The nation’s navy, the Blue Dragons, uses the same ranks as the army does, although most sailors are telswords, and swordcaptains are not often present on board  ships. The Blue Dragons use a blue dragon device on their tabards, which are seldom worn except in port.</t>
  </si>
  <si>
    <t>The Purple Dragons wear a basic uniform composed 
of a white tabard emblazoned with the purple dragon 
device of Cormyr. On the left shoulder is embroi-
dered a shield-shaped badge depicting the soldier’s 
rank, which is sewn and outlined so that it is clearly 
visible and recognizable from a short distance. Other 
markers—such as a company badge, or representa-
tions of honors received by a soldier—appear on the 
left breast, above the edge of the shield device.  Nobles who are serving with the Purple Dragons 
(with or without formal rank) have war helms spe-
cially constructed to represent their crown of noble 
title, so they are easily recognized in the chaos of 
the battlefield.</t>
  </si>
  <si>
    <t>Highknight</t>
  </si>
  <si>
    <t>A highknight of Cormyr is a recently created rank of service to the Crown. Trained in Court etiquette and realm law as well as in the use of weapons, highknights are regularly mind-read by War Wizards to guarantee their continued loyalty, as well as to guard against magical influences or impostors posing as real knights. Highknights usually draw difficult duties, such as investigating suspected traitors among the ranks of superior Purple Dragon officers or the nobility, or guarding royalty or unpopular visiting envoys. In Cormyr, highknights speak with royal authority, and they can always gain audience to any royal or Court personage (though they'll face penalties for frivolous use of this privilege). Most highknights are fighters, but Filfaeril and Vangerdahast (joint creators of this rank) desire the office to be open to bards, rangers, and other persons difficult to fit into the normal Court hierarchy. Rowen Cormaeril, for example, has been accorded the rank of highknight, as has his brother Beliard, bladebrother to Alusair and bastard son of Azoun IV. Both would otherwise share exile with the rest of their family. Highknights can be encountered anywhere in the Dragonreach and Dragon Coast, but they are most likely to be found in Cormyr proper.</t>
  </si>
  <si>
    <t>command full brigades of troops, and are either of noble birth or invested with a title of full nobility before being assigned such a weighty task. A constal can issue and strip commissions of lower officers, and can overturn the decisions of lesser officers.</t>
  </si>
  <si>
    <t>Lord Commander</t>
  </si>
  <si>
    <t>a lord commander is the commander of a major fortress or garrison. A Lord Commander is always a serving Purple Dragon officer, and is almost always a general officer although if the force is small enough the position may be appointed to a constal. The position is usually an annual appointment by the king, although the king can (and in some cases does) re-appoint the same person each year. If the officer appointed as lord commander is not already of noble birth, then his social status is the same as that of a town's local lord for the duration of his appointment. Lord Commanders also have heralds as assistants, just as town local lords do. Examples of lord commanders are the commanders of the High Horn and Castle Crag fortresses.</t>
  </si>
  <si>
    <t>Military Specialty</t>
  </si>
  <si>
    <t>Battlepriests</t>
  </si>
  <si>
    <t>Royal Scouts</t>
  </si>
  <si>
    <t>King's Messengers</t>
  </si>
  <si>
    <t>The very best of the Royal Scouts are assigned to a special unit composed entirely of Royal Scouts called the King's Messengers</t>
  </si>
  <si>
    <t>Royal Scouts are another special kind of Purple Dragon. The Royal Scouts are an elite force of Purple Dragons who have demonstrated skill at stealthy movement and survival. Royal scouts serve a variety of functions. Many Royal Scouts are fully integrated into the unit structure and serve with all units of any size, and often serve as point men or flankers to units as they move so that the unit commander knows what is about him and can avoid ambushes, or in larger units serve as messengers to relay orders to subordinate units and return replies to the unit commander. They are also deployed individually or in small groups on special missions of their own, in which case they are used as messengers and spies. In the latter role, they can be found anywhere in the Dragonreach and along the Dragon coast.</t>
  </si>
  <si>
    <t>Solatha Boldtree</t>
  </si>
  <si>
    <t>Solatha Boldtree, Countess of Dhedluk
Daughter of a traveling merchant known only as Boldtree (he shared his given name with no one, not even his daughter), Solatha is a stern-faced woman whose appearance has not improved with age. She looks less like a countess than a broad-shouldered tavernkeeper, though her green eyes shine with a kindness most miss on first glance.
If not for a fateful night in 1437, Solatha would be of no importance to the history of Cormyr. While leading a military expedition to the Vast Swamp, Foril's older brother Prince Emvar came across Sol- atha and her father's camp. The dashing prince and the merchant's daughter enjoyed one another's com¬pany before the Purple Dragons struck out again. It was not until months later, long after Emvar was slain in ambush, that Solatha realized she was carrying a royal child.
When her son Erzoured was born, Solatha brought him to the royal palace. There, after repeated confir¬mation through spell and prayer, the boy's paternity was confirmed. Azoun V invested Solatha as Count¬ess of Dhedluk, after her birthplace.
Solatha still lives at court, but her relations with her son have become strained. Erzoured's secretive dealings have led his mother to believe that he will bring shame both to her and to his father's name.</t>
  </si>
  <si>
    <t>Erzoured Obarskyr</t>
  </si>
  <si>
    <t>Lord Erzoured Obarskyr,
Baron Boldtree
The son of the late Prince Emvar, Erzoured spent his early life in the royal palace, raised near his cousin Irvel but titled “lord” rather than “prince.” Despite the confirmation of his birth, Erzoured was not officially recognized as Emvar's son until 1450 DR—after Foril had ascended the throne and ensured his own legacy.
Despite his luxurious upbringing, Erzoured is resentful of House Obarskyr. He styles himself Baron Boldtree to dissociate himself from the king,</t>
  </si>
  <si>
    <t>Baerovus</t>
  </si>
  <si>
    <t>Prince Baerovus
Only twenty-five years of age, Baerovus Azoun Obar- skyr is the son of Crown Prince Irvel and Princess Ospra, and is second in the line of succession. A slim, meek young man, Baerovus hides his features behind his long hair whenever he is not making a public appearance with the royal family. Baerovus enjoys his large stable of light horses (the Calimite is by far his favorite breed), and he is known to care for wounded animals he finds during royal hunts. The prince has no love for magic or for the battlefield. He is nearly useless with any blade longer than a hunting knife, though his skill with a bow is said to exceed that of anyone else in the royal family.
Baerovus does not relish the idea of ruling Cormyr. Though he will not abdicate if the crown falls to him, he secretly hopes that his father lives a long, healthy life, or that his or his sister's children become Irvel's heir, just as the fifth Azoun succeeded the fourth.</t>
  </si>
  <si>
    <t>Ossani Eveningspire</t>
  </si>
  <si>
    <t>Ossani Eveningspire, Sage Royal
Few would guess that the quiet, dark-haired woman of forty who serves as the Sage Royal is the great-grand¬daughter of Laspeera Naerinth. Although she possesses none of her ancestor's beauty or presence—and little of her magical talent—Ossani Eveningspire is a bril¬liant thinker with an incisive wit and a sharp tongue. Perhaps more than even the Royal Magician, Lady Eve¬ningspire understands the importance of magic to the history of Cormyr, and the sacrifices that the realm's magical defenders have made for the kingdom.
The Sage Royal does her best to avoid matters of politics, leaving those to her sisters Aceeta Naerinth, Earilde Inthre, and Icaura Thralos. (Each sister chose a different family name from among those they inher¬ited.) An exception to this rule is made for rumors regarding magic treasures of great age and unknown power, which prompt Ossani's undivided interest and attention.</t>
  </si>
  <si>
    <t xml:space="preserve">Battlepriests are the clerics that serve right beside the regular soldiers, using their divine magic in combat support and to heal the wounded. Unlike the War Wizards who are a completely separate organization, the battlepriests are fully integrated into the Purple Dragons and are assigned among the various units. Battlepriests share the same quarters and rations as the soldiers, have ranks and draw the same pay; they are every bit as much Purple Dragons as the soldiers themselves. As a courtesy to their status as holy men and women, battlepriests are never given the rank of blade. They are always at least First Swords and are often officers, although they are not in the chain of command nor are they given command of units.
Cormyr's War Wizards might be more famous and respected, but the Forest Kingdom's battlepriests have always been an integral part of the Purple Dragons. Their magic kept the Purple Dragons moving quickly during the Crusade of 1360 DR and during the recent war against the goblin and orc hordes of Nalavara the Red's army.
Most battlepriests of Cormyr are clerics of Helm, Lathander, Selûne, Tempus, Torm, Tymora, or Tyr, although a few multiclassed paladins have also joined the order. The Steel Regent, Princess Alusair, a follower of Torm, is known to consider several Torm-worshiping battlepriests close friends.
Cormyr's battlepriests are fully integrated into the Purple Dragons, sharing rank and quarters with their battle-ready companions, unlike the War Wizards who retain a special status. Consequently, battlepriests are well appreciated by their Purple Dragon comrades, and the War Wizards are always on watch to ensure their unique position with the Crown is never threatened by emerging battlepriests, who they sometimes and quietly deride as spellbeggars. The battlepriests constantly work to bolster their companions with rallying cries to war, healing magics, and the benefits of their wisdom, all the while praying for the peace Cormyr so dearly needs to recover.
</t>
  </si>
  <si>
    <t>Purple Dragons Equivalent</t>
  </si>
  <si>
    <t>Warship</t>
  </si>
  <si>
    <t>Capital ships</t>
  </si>
  <si>
    <t>Royal</t>
  </si>
  <si>
    <t>Axe of Crags</t>
  </si>
  <si>
    <t>New Tilverton's Anger</t>
  </si>
  <si>
    <t>Maskard's Caltrop</t>
  </si>
  <si>
    <t>Rhigaerd's Gauntlet</t>
  </si>
  <si>
    <t>Suzail Fleet</t>
  </si>
  <si>
    <t>Marsember Fleet</t>
  </si>
  <si>
    <t>Dawngleam Rapid Response Fleet</t>
  </si>
  <si>
    <t>Palaggar Fleet</t>
  </si>
  <si>
    <t>Armaments</t>
  </si>
  <si>
    <t>Blue Dragons Garrison</t>
  </si>
  <si>
    <t>War Wizards in Navy</t>
  </si>
  <si>
    <t>War Wizards in Army</t>
  </si>
  <si>
    <t>kadrath of medium infantry</t>
  </si>
  <si>
    <t>Siege Weapons Battery</t>
  </si>
  <si>
    <t>Headquarters</t>
  </si>
  <si>
    <t>King's Cavalry Regiment</t>
  </si>
  <si>
    <t>Queen's Cavalry Regiment</t>
  </si>
  <si>
    <t>[VGtC,p.184: an outpost in the heart of Gnoll Pass.]</t>
  </si>
  <si>
    <t>Citadel</t>
  </si>
  <si>
    <t>[VGtC,p.184: a tiny Purple Dragon garrison in tiny Hillmarch Keep, and at least one war wizard.]</t>
  </si>
  <si>
    <t>[VGtC,p.184: an outpost halfway between Halfhap and Tilverton.]</t>
  </si>
  <si>
    <t>Halfhap Garrison
part of the Army of the East under Baron Thomdor
1 light cavalry squadron (under the Rgt. HQ at Tilverton)
1 squadron of the 2nd Mounted Airborne Regiment
1 light infantry regiment
1 archer battery
Minor garrisons or detachments supported out of the Skull Crag garrison
Mootpost: one squad of light infantry</t>
  </si>
  <si>
    <t xml:space="preserve">1 squad of infantry
</t>
  </si>
  <si>
    <t xml:space="preserve">1 company of light infantry currently commanded by Swordcaptain Flaergan Hondh (LG hm Ftr5). One would normally expect the company of men garrisoning Eveningstar to come from a closer major garrison like Arabel, but King Azoun IV has decreed that this garrison be provisioned from Suzail due to the frequent royal visits and the friendship he has for the local lady Tessaril Winter.
</t>
  </si>
  <si>
    <t>Eagle Peak Garrison
1 squadron of light cavalry (under Rgt. HQ at Skull Crag)
1 battalion of light infantry (under Rgt. HQ at High Horn)
1 archer battery</t>
  </si>
  <si>
    <t>Suzail Garrison
commanded by BattlemasterQueen's Cavalry Regiment (medium)
Regimental Headquarters and 1 squadron of the 1st Mounted Airborne Regiment
1st Suzail Infantry Regiment (heavy)
1 light cavalry regiment
1 medium infantry regiment
3 light infantry regiments
3 archer batteries
King's Messengers (~ 45-48 men), not included in 4,420 total
Minor garrisons or detachments supported out of the Suzail Garrison:
Waymoot: 1 kadrath of infantry
[VGtC,p.179 mentions that the Waymoot garrison has a hundred-strong force of Purple Dragons, even though C9410 says there are only militia here.]
Jester's Green: 1 troop of cavalry is stationed here and rotated periodically but there are almost always additional Purple Dragons passing through.
[VGtC,p.159: Jester's Green contains permanent Purple Dragon barracks, and it stands to reason that a permanent barracks would be permanently occupied. There is a once-a-tenday horse auction, so it would make sense for at least some of the garrison to be cavalry.]
Calantar's Bridge waypost: 1 squad of infantry.
Eveningstar: 1 company of light infantry currently commanded by Swordcaptain Flaergan Hondh (LG hm Ftr5). One would normally expect the company of men garrisoning Eveningstar to come from a closer major garrison like Arabel, but King Azoun IV has decreed that this garrison be provisioned from Suzail due to the frequent royal visits and the friendship he has for the local lord Tessaril Winter.
[C9410 claims there is no Purple Dragon detachment in Eveningstar, but VGtC mentions them on several occasions: p.143 refers to "Tessaril and her Purple Dragons," and the key to the map on p.144 mentions both a barracks for the 9-man local detachment and a barracks for visiting forces. HHEv,p.8 also refers to "nin</t>
  </si>
  <si>
    <t>Founded after war with Cult of the Dragon</t>
  </si>
  <si>
    <t>Fire Knives</t>
  </si>
  <si>
    <t>Originally a band of assassins based in Cormyr, the Fire Knives were driven from that land in 1341 DR after their ties to the assassination of a local lord were revealed. The current group Consists mostly of exiled nobles of Cormyr's house Bleth and Cormaeril, who rebuilt the organization after adventurers broke its power in 1357 DR. Now they scheme to assassinate those Cormyrians who oppose their return, reserving their special hatred for House Obarskyr.
The Fire Knives are based in Westgate, existing there with the permission of the Night Masks (the assassins' guild that runs the city). The guild's new headquarters is under Castle Cormaeril in Westgate. Bitter about their exile, the former nobles of the Fire Knives have a strict hierarchy under the Grandfather of Assassins. Lord Tagreth Cormaeril (LE male human Ftr3/Rog7/Asn7) tolerates no dissent among the ranks of his followers. Agents of the guild exist in all of the major cities in Cormyr and many of the smaller towns, with a few scattered among Sembia, the Dales, and Chessenta. Since Cormyr is unaware of the rebirth of the guild and has its own problems, the Fire Knives have been able to act unopposed, placing assassins close to targets who only await a command from the Grandfather.
Because most of the Fire Knives were born to the nobility, they are schooled in diplomacy, subtle language, and high society. Most of have acquired some skill at disguise. Forced to flee Cormyr with what they could carry, many have heirloom magic items and jewelry, some of which they were forced to pawn in the months before the guild was formed. Fire Knives tend to use giant wasp poison on their weapons when performing an assassination, but don't shy from poisoning their target's food and drink when possible.
Recently Lord Tagreth has been urging his followers to dissociate themselves from the Night Masks, sensing trouble on the horizon as the vampire leader of the Masks exerts his influence more force fully upon the Knives. Tagreth has purchased a large mansion and a scroll with teleportation circle, which he plans to use to evacuate his followers should the Masks turn against them.
The Fire Knives are dangerous due to their ability to blend in with elite society and their fixation on the destruction of Cormyr's house Obarskyr. They are willing to accept other assassinations at very low rates just for the opportunity to hone their skills. This eagerness makes them popular with those who would otherwise be unable to afford such services.</t>
  </si>
  <si>
    <t>Red Raven Mercenary Company</t>
  </si>
  <si>
    <t>Based in Arabel, the Red Ravens are by far the largest chartered adventuring band in Cormyr, with membership exceeding one hundred. Led by Rayanna the Rose (LN female human fighter 16), the group has for almost a decade been under contract to the crown of Cormyr to scour the Stonelands of evil creatures, and can triple its membership for short durations given the right mission and sufficient funds from an employer. The Red Ravens are primarily fighters or multiclassed fighters with levels in barbarian, ranger, or rogue. They include a small number of sorcerers and clerics, but wizards, paladins, bards, monks, and druids are scarce.</t>
  </si>
  <si>
    <t>Barbarians, Mir</t>
  </si>
  <si>
    <t>These horsemen in the Tunlands around the Marsh of Tun fight both the forces of Darkhold and the Purple Dragons of Cormyr for control of the surrounding territory. The Mir have a secret base on the northern edge of the Marsh of Tun, where their women and children are secluded. The Mir are hunters and scavengers, living off the land and stealing from Zhent caravans that travel the northern trade routes. They seldom trust outsiders since the time a group of Zhentarim spies infiltrated their tribe and killed many of their women. Those who are accepted into the tribe are expected to give a blood oath of loyalty to the tralmir (tribal leader) and defend the lands of the Mir to the death.</t>
  </si>
  <si>
    <t>Alliance of Freesailors</t>
  </si>
  <si>
    <t>The Company of the Errant Gauntlet</t>
  </si>
  <si>
    <t>Harbold’s Hellraisers</t>
  </si>
  <si>
    <t>The Company of the Crimson Manticore</t>
  </si>
  <si>
    <t>Friends of the Ghost Knight</t>
  </si>
  <si>
    <t>The Maidenseekers of Purdrim</t>
  </si>
  <si>
    <t>Cellarer</t>
  </si>
  <si>
    <t>Clerk of the Shield</t>
  </si>
  <si>
    <t>Clerk of Vigilance</t>
  </si>
  <si>
    <t>Court Alchemist</t>
  </si>
  <si>
    <t>Court Sage</t>
  </si>
  <si>
    <t>Court Wizard</t>
  </si>
  <si>
    <t>Crown Herald</t>
  </si>
  <si>
    <t>Dragonfang Lord Investigator</t>
  </si>
  <si>
    <t>Gentleman Usher</t>
  </si>
  <si>
    <t>High Chatelaine</t>
  </si>
  <si>
    <t>Lady of Graces</t>
  </si>
  <si>
    <t>Mage Royal</t>
  </si>
  <si>
    <t>Master of Revels</t>
  </si>
  <si>
    <t>Royal Cook of the Low Kitchens</t>
  </si>
  <si>
    <t>Royal High Scribe of the Realm</t>
  </si>
  <si>
    <t>Palace Steward</t>
  </si>
  <si>
    <t>Royal Sage Most Learned</t>
  </si>
  <si>
    <t>Scepter of Justice</t>
  </si>
  <si>
    <t>Steward of the Regalia</t>
  </si>
  <si>
    <t>Underclerk of Protocol</t>
  </si>
  <si>
    <t>Undercook</t>
  </si>
  <si>
    <t>Understeward</t>
  </si>
  <si>
    <t>The Lalya Maurshanta</t>
  </si>
  <si>
    <t>Seven Suns Trading Coster</t>
  </si>
  <si>
    <t xml:space="preserve">
A coalition of merchants held by seven partners, the Seven Suns operated throughout the Western Heartlands and Sembia, with regional bases in Baldur’s Gate, Suzail, Everlund, Almraiven, Calaunt, Ormpetarr, Sheirtalar, and Milvarune. </t>
  </si>
  <si>
    <t>Thousandheads Trading Coster</t>
  </si>
  <si>
    <t>The Thousandheads Trading Coster connects the 
cities of Waterdeep to Hillsfar, passing through 
Scornubel, Berdusk, Iriabor, Priapurl, Arabel, and 
Escambia. Thousands of caravans run along this 
route, with hired adventurers and mercenaries 
guarding each one. It is based out of the Bhaer-
kantos stronghold near Riatvin.</t>
  </si>
  <si>
    <t>Queen Filfaeril’s Blades</t>
  </si>
  <si>
    <t>Brewers and Cheesemakers Guild</t>
  </si>
  <si>
    <t>made up of brewers, spirit blenders and importers, and chee­semakers</t>
  </si>
  <si>
    <t>Roofers, Thatchers, and Glaziers GuilD</t>
  </si>
  <si>
    <t>made up of roofers, slate masons, shingle cutters, thatch­ers, glaziers, sandglass makers, and glass stainers T</t>
  </si>
  <si>
    <t>Freesails</t>
  </si>
  <si>
    <t>While the Alliance of Freesails has been dissolved, Cormyr still recruits privateers, known as freesails, to hunt pirates and help defend Cormyrean mer­chant vessels from attack. Freesails must be char­tered, which costs 1,000 gp and there is an annual renewal fee of 300 gp. Freesails are also expected to turn over the Crown's portion of any loot they ac­quire, amounting to fifty percent of the total value.
Those who would wear weapons in Cormyr, in­cluding chartered adventurers and mercenaries, are required by law to wear peacestrings about their sword hilts, preventing them from being unsheathed. Peacestrings are brightly colored and tasseled cords, and the proper tying of peacestrings is considered to be something of an art among Cormyrean nobles and adventurers alike. A proper knot is one that appears extremely complex, but can be undone with a single tug to free the weapon. The Purple Dragons regularly keep an eye out for those bearing weapons that are not peace-bonded, and stop such individuals to inform them of the local “custom”. Those who refuse or who persistently violate the custom are subject to imprisonment and having their weapons seized.</t>
  </si>
  <si>
    <t>Guild of Carpenters and Joiners</t>
  </si>
  <si>
    <t>• : controls wood cutting, curing, staining, furniture making, fitted carpentry, and joinery</t>
  </si>
  <si>
    <t>YEAR</t>
  </si>
  <si>
    <t>MONTH</t>
  </si>
  <si>
    <t>CLACK</t>
  </si>
  <si>
    <t>Hammer (January)</t>
  </si>
  <si>
    <t xml:space="preserve">	• Word has spread from distant High Horn that a second mountainside has collapsed in the vicinity or Tyrluk, revealing the honeycombed interior of a (presumably) abandoned dwarven mine. That two mountain faces have fallen down within a six month period has left the commander of High Horn little choice but to dispatch men into the harsh winter weather to warn villages and hamlets that lay on or near mountain slopes of the potential danger. Several adventuring companies wintering in Tyrluk have departed with the intent to be the first to explore this new ruin, while another company made for nearby Sagekeep to learn which other mountains might house abandoned dwarven settlements.
	• A curious effect of the many chapbooks sold in Arabel has left residents of the Caravan city to wonder who or what is working magic on readables: about one in three of the simple written works sold at market stalls within the city that is read cover to cover emanates warmth for several hours after--a few hastily read chapbooks being enough to warm a room. Rumors claim such books continue to radiate heat upwards of four or five readings.
Arabel is experiencing heavier than usual snowfall. Already great mounds of snow are piled high near each of the city gates, and the residents of Arabel are being forced to move snow about with whatever tools are at hand. Crown mages are casting spells to clear the main roads and the Purple Dragons have formed work gangs to clear snow, but the snowfall continues unabated.</t>
  </si>
  <si>
    <t xml:space="preserve">	• Essard, longtime factor and representative of the reclusive Arabellan alchemist Mordgrandgur, has issued a wintertime call for chartered adventuring companies. Notices have been posted throughout Arabel. Interested parties are advised to purchase fresh horses or other magical means of transportation, as rumors are circulating that the alchemist is in dire need of rare moss and other specimens found only in the caverns beneath Plungepool, due east of far away Espar.
	• On the orders of the commander of High Horn and over the protestations of the local lord, purple dragons garrisoned for the winter in Tyrluk have departed to begin patrolling the nearby mountain valleys and trails for any sign of the imminent collapse of mountainsides.</t>
  </si>
  <si>
    <t>Alturiak (February)</t>
  </si>
  <si>
    <t>Ches (March)</t>
  </si>
  <si>
    <t>• News has reached Eveningstar of a brewing conflict in Tyrluk: The purported theft of a dwarven-made hammer of pure gold from the rooms of an adventuring company staying at the Read Bear’s Delight (a hastily built inn and rooming house located in Tyrluk and established in the heart of winter last year) has set the residents of that establishment against their fellows living across the way at the just as hastily built Serpent Triumphant. “Only malcontents, thieves and two-faced scoundrels stay at the Serpent!” This according to Baerstus “Red Bear” Sulphander, owner and sole proprietor of the Read Bear’s Delight. These accusation show no sign of effecting Tamthrice, owner and sole proprietor of the Serpent, or his guests: “What need has anyone for a mere hammer of gold, when our capable guests already possess a matched set of golden gauntlets, a golden helm and boots?”</t>
  </si>
  <si>
    <t>CURRENT TIME</t>
  </si>
  <si>
    <t>CKP</t>
  </si>
  <si>
    <t>CANDLEKEEP</t>
  </si>
  <si>
    <t>LINKS</t>
  </si>
  <si>
    <t>AETHAN GUIDE TO SEAFARING</t>
  </si>
  <si>
    <t>PALANT GUIDE TO COMBAT</t>
  </si>
  <si>
    <t>Cormyr: a Novel, Ed Greenwood &amp; Jeff Grubb first paperback printing, ©1996,1998 TSR, Inc.</t>
  </si>
  <si>
    <t>Stormlight, Ed Greenwood first paperback printing, ©1996 TSR, Inc.</t>
  </si>
  <si>
    <t>Sea of Fallen Stars, FR Campaign Expansion, Steven E. Schend (TSR 11393) ©1999 TSR, Inc.</t>
  </si>
  <si>
    <t>ABBR</t>
  </si>
  <si>
    <t>LINK</t>
  </si>
  <si>
    <r>
      <t xml:space="preserve">Crusade, Empires Trilogy Book 3, James Lowder </t>
    </r>
    <r>
      <rPr>
        <b/>
        <sz val="11"/>
        <color theme="1"/>
        <rFont val="Lato"/>
        <family val="2"/>
        <charset val="204"/>
        <scheme val="minor"/>
      </rPr>
      <t>first paperback printing, ©1991 TSR, Inc.</t>
    </r>
  </si>
  <si>
    <t>Prince of Lies, Avatar Series Book IV, James Lowder first paperback printing, ©1993 TSR, Inc., ©2003, WotC, Inc.</t>
  </si>
  <si>
    <t>[VGtC,p.188: While there is no mention of an actual garrison or keep, there are local Purple Dragons.]</t>
  </si>
  <si>
    <t>Castle Aris</t>
  </si>
  <si>
    <t>Minor garrisons or detachments supported out of the Eagle Peak garrison</t>
  </si>
  <si>
    <t>fort</t>
  </si>
  <si>
    <t xml:space="preserve"> [VGtC,p.184: an outpost halfway between Halfhap and Tilverton.]</t>
  </si>
  <si>
    <t>outpost</t>
  </si>
  <si>
    <t>Noktil</t>
  </si>
  <si>
    <t>1st Suzailan</t>
  </si>
  <si>
    <t>1st Arabellan</t>
  </si>
  <si>
    <t>decisive, blunt, loyal</t>
  </si>
  <si>
    <t xml:space="preserve">The current Lord Magister of Suzail distinguished 
himself as a paladin and Purple Dragon during the 
war with Sembia, and has served as the Lord Magis-
ter since his retirement. He is stalwart and loyal to 
the crown, and is an efficient and decisive leader. </t>
  </si>
  <si>
    <t>driven, focused, diligent</t>
  </si>
  <si>
    <t>charming, intelligent, ambitious</t>
  </si>
  <si>
    <t>The senior member of House Hawklin frequently hires adventurers to patrol the borders of Cormyr and engage in acts of espionage within Sembia. He is always in the market for rare artifacts and information.</t>
  </si>
  <si>
    <t>Lavartes is a handsome and rugged young scion 
of House Dauntinghorn who oversees the family’s 
dealings with adventuring companies and freesails. 
He will gladly pay bounties for wanted pirates, and 
keeps well informed on the movements of pirates 
throughout the Dragonmere and beyond.</t>
  </si>
  <si>
    <t xml:space="preserve">A human courtier from an Arabellen merchant family, Lady Eleanor Thond is an intelligent and ambitious woman with an eye for detail and a silver tongue. She compliments Lord Morahan well, providing a subtle touch that the gruff military man lacks. Lady Eleanor was once a bard and has a soft spot for dashing young men. While she enjoys the prestige of her current position, she secretly dreams of marrying into a noble house. </t>
  </si>
  <si>
    <t>adventurous, cunning, brash</t>
  </si>
  <si>
    <t xml:space="preserve"> wise, nostalgic, forgetful</t>
  </si>
  <si>
    <t>An older Arabellen priestess of Tymora, Luckmaster Olane is widely travelled and well respected among the people of Suzail, particularly the nobility and merchants of the city. She has a soft spot for ad-ventures, and is rumored to have been a bit of an adventurer herself in her younger years.</t>
  </si>
  <si>
    <t>wise, caring, calculating</t>
  </si>
  <si>
    <t xml:space="preserve">The leader of the Oghmanyte Church in Suzail and distant relative to the Emmarask family, High Namer Wyndel Sedranis offers fair prices to adventurers for any unique tomes that they uncover. </t>
  </si>
  <si>
    <t>Just north of Moonever stands the ruins of what 
was once a fortified castle built by the Marendil 
noble family. After their exile, the small fortress 
was reduced to only three towers surrounded 
by rubble. One of the surviving towers, now 
known as the Moontower, has been claimed by 
the War Wizards for use as a waystop shelter 
and is home to a handful of War Wizards and a 
few Purple Dragons who assist in the maintain-
ing of the tower as well as serving as guards.
The other two towers were leased for a time 
to Moonever merchants before being aban-
doned and left to ruin. Only one of those towers 
survives today, and has been restored for use 
as a private retreat for the Ridinghound family. 
Rumors of a subterranean complex beneath the 
old fortress has led the Ridinghounds to begin 
excavating the surrounding land, though as of 
yet they have found nothing of note.</t>
  </si>
  <si>
    <t>small hamlet</t>
  </si>
  <si>
    <t>small caravan stop</t>
  </si>
  <si>
    <t>1200|3005</t>
  </si>
  <si>
    <t>Arvel Kraligh</t>
  </si>
  <si>
    <t xml:space="preserve">scheming, ambitious, cunning </t>
  </si>
  <si>
    <t xml:space="preserve">wealth and riches </t>
  </si>
  <si>
    <t>The local lord of Arabel and second son of the for-
mer lord, Arvel is a scheming drunkard and not well 
liked by the people of Arabel. He is, however, quite 
cunning and has prevented any rivals from rising 
to challenge him. Unlike former lords of Arabel, 
Arvel has a combative relationship with the local 
adventuring companies, seeing them as an unlawful 
menace that needs to be reigned in. Whether he 
can succeed when no one else in the city shares this 
opinion has yet to be seen.</t>
  </si>
  <si>
    <t>Sven Vaylan</t>
  </si>
  <si>
    <t>cheerful, adventurous, brave</t>
  </si>
  <si>
    <t>Ophira Santedul</t>
  </si>
  <si>
    <t xml:space="preserve"> whimsical, inquisitive, observant</t>
  </si>
  <si>
    <t>The current local lord of Juniril is the eldest daughter of old Lord Santedul, a young adult who spent her youth studying to be a mage. She fought in the war against Sembia, and after the death of her father was recalled to Juniril to serve as the local lord. She chafes at the responsibility and dislikes being cooped up in the small fishtown, but regularly shipments of books by the wagonload to help her pass the time</t>
  </si>
  <si>
    <t>Highcastle</t>
  </si>
  <si>
    <t>Pegasus Archery Company</t>
  </si>
  <si>
    <t>mercenary militia of highcastle</t>
  </si>
  <si>
    <t>Winterhaven</t>
  </si>
  <si>
    <t>lazy, dull, spoiled</t>
  </si>
  <si>
    <t>humble, alert, confident</t>
  </si>
  <si>
    <t>Sister Linora manages the town’s temple along with 
her acolyte, Gevarn. She is humble, quiet, and soft 
spoken, but is constantly on the lookout for any 
signs of the return of the Sharran cult.</t>
  </si>
  <si>
    <t>Thair is the town’s dwarven blacksmith and also 
took over the sundries shop shortly after the retire-
ment of its previous owner. He is quick to anger and 
has a long memory for those who have wronged 
him, but cuts a fair deal and doesn’t believe in 
taking advantage of those who are in need. Being 
the patriarch of the only dwarven family in Win-
terhaven, Thair is always happy to meet another 
dwarf, particularly young dwarven men who might 
be suitable matches for his young adult daughters 
(both of whom are accomplished blacksmiths in 
their own right and neither of whom have the least 
bit of interest in being married off to some scruffy 
adventurers).</t>
  </si>
  <si>
    <t>gruff, short tempered, professional</t>
  </si>
  <si>
    <t>Oris Grenfeld</t>
  </si>
  <si>
    <t>wise, tactical, brave</t>
  </si>
  <si>
    <t>found a city that will allow Cormyr to begin taming and settling the Stonelands</t>
  </si>
  <si>
    <t>Oris is a master of tactics and one of the two knights who, along with a small group of adventurers, drove the Crimson Wolf bandits out of their camp in the name of the crown.</t>
  </si>
  <si>
    <t>brash, hotheaded, strong</t>
  </si>
  <si>
    <t>bring honor to herself and rise to the ranks of true nobility</t>
  </si>
  <si>
    <t>Cora is a skilled and ferocious warrior who leads the city guard of Redwolf. She assisted Oris in clear-ing the bandit camp and they have since become engaged. She is hoping that their hard work establishing the town of Redwolf will allow her to become true nobility as she rightly deserves.</t>
  </si>
  <si>
    <t>private, stoic, focused</t>
  </si>
  <si>
    <t>One of Cormyr’s few mining magnates, Thorland 
owns at least six rich iron and silver mines in west-
ernmost Cormyr. His blazon, a gold anvil split by a 
three-zag gold lightning bolt, on a pale blue field, 
commemorates the defeat of a dwarven clan, cen-
turies ago, that helped one of his ancestors retain 
one of the family’s first mines. The Thorlands are 
reclusive, having a great distaste for Suzail and for 
politic</t>
  </si>
  <si>
    <t>Dragonmere</t>
  </si>
  <si>
    <t>Stonelands</t>
  </si>
  <si>
    <t>Stormhorns</t>
  </si>
  <si>
    <t>Thunder Peaks</t>
  </si>
  <si>
    <t>Hullack Forest</t>
  </si>
  <si>
    <t>Wyvernwater</t>
  </si>
  <si>
    <t>Vast Swamp</t>
  </si>
  <si>
    <t>King's Forest</t>
  </si>
  <si>
    <t>Farsea Swamps and Tunlands</t>
  </si>
  <si>
    <t>Lightning Steppes and Horse Prairie</t>
  </si>
  <si>
    <t>Armorers Guild</t>
  </si>
  <si>
    <t xml:space="preserve"> controls armor- and weap-on-making, as well as the crafting of any tem-pered steel items</t>
  </si>
  <si>
    <t>Guild of Coachlars, Carriers, Waymen, and Locksters</t>
  </si>
  <si>
    <t xml:space="preserve"> controls wagon makers, wagon owners,locksmiths, coach drovers, carters, and draymen,as well as warehouses</t>
  </si>
  <si>
    <t>Truebreeds Guild</t>
  </si>
  <si>
    <t xml:space="preserve"> controls breeding, training,and trade in horses, oxen, sheep, cattle, and dogs</t>
  </si>
  <si>
    <t>Seafarers Guild</t>
  </si>
  <si>
    <t xml:space="preserve"> includes sailors, captains, shipowners, sail-makers, navigators, mapmakers,rope-makers, shipwrights, and ship repairers</t>
  </si>
  <si>
    <t>Vintners and Falconers Guild</t>
  </si>
  <si>
    <t xml:space="preserve"> controls falcon-ry, raptor breeding and trading, wine making,vineyard owning and tending, and the sale anddistribution of wine</t>
  </si>
  <si>
    <t xml:space="preserve"> made up ofbrewers, spirit blenders and importers, and chee-semakers</t>
  </si>
  <si>
    <t>Roofers, Thatchers, and Glaziers Guild</t>
  </si>
  <si>
    <t xml:space="preserve"> made upof roofers, slate masons, shingle cutters, thatch-ers, glaziers, sandglass makers, and glass stainers</t>
  </si>
  <si>
    <t>Tanners and Leatherers Guild</t>
  </si>
  <si>
    <t xml:space="preserve"> composed of tan-ners, dyers, corvisers, cobblers, harness makers,battle leatherers, trimmers, weatherdarrs, andleatherwork repairers and alterers</t>
  </si>
  <si>
    <t>Guild of Weavers and Coopers</t>
  </si>
  <si>
    <t xml:space="preserve"> made up ofcoopers, weavers, textile dyers, garment cutters,embroiderers, clothiers, and drapers</t>
  </si>
  <si>
    <t>Guild of Naturalists</t>
  </si>
  <si>
    <t xml:space="preserve"> controls medicinal, edible,lubricant, dye-source, and craft-worthy uses forplants and animal matter</t>
  </si>
  <si>
    <t>[VGtC,p.185 states a Purple Dragon garrison has been installed in its own tiny keep.]</t>
  </si>
  <si>
    <t>Redspring: usually a squad of infantry</t>
  </si>
  <si>
    <t xml:space="preserve">Skull Crag Garrison
part of the Army of the West
Regimental Headquarters and 1 squadron of light cavalry
1 squadron of the 1st Mounted Airborne Regiment
1 light infantry regiment
1 archer battery
Minor garrisons or detachments supported out of the Skull Crag garrison
Greatgaunt: one infantry kadrath and one cavalry troop under command of the senior lionar of the two C.O.'s of those units. The Greatgaunt detachment frequently patrols as far as the Bridge of Fallen Men, and consideration is being given to continually stationing 1 squad at the bridge on a tenday rotation.
</t>
  </si>
  <si>
    <t>[VGtC,p.210: an unspecified number of Purple Dragons garrison this town.]</t>
  </si>
  <si>
    <t>[VGtC,p.186: a Purple Dragon guardpost is located in a little walled compound with a small keep just east of the ruins, and one of the two farms is rumored to actually house a war wizard with a bodyguard of poorly disguised purple dragons.]</t>
  </si>
  <si>
    <t>Anvilstone</t>
  </si>
  <si>
    <t>Arcantur</t>
  </si>
  <si>
    <t>Bloodbright</t>
  </si>
  <si>
    <t>Haelwing</t>
  </si>
  <si>
    <t>Loroun</t>
  </si>
  <si>
    <t>Bracebolt</t>
  </si>
  <si>
    <t>EXILED</t>
  </si>
  <si>
    <t>🕐</t>
  </si>
  <si>
    <t>🕑  </t>
  </si>
  <si>
    <t>🕒</t>
  </si>
  <si>
    <t>🕓</t>
  </si>
  <si>
    <t>🕔 </t>
  </si>
  <si>
    <t>🕕</t>
  </si>
  <si>
    <t>🕖</t>
  </si>
  <si>
    <t>🕗</t>
  </si>
  <si>
    <t>🕘  </t>
  </si>
  <si>
    <t>🕙 </t>
  </si>
  <si>
    <t>🕚</t>
  </si>
  <si>
    <t>🕛 </t>
  </si>
  <si>
    <t>SYMBOL</t>
  </si>
  <si>
    <t>DAY</t>
  </si>
  <si>
    <t>REGION</t>
  </si>
  <si>
    <t>Marpenoth </t>
  </si>
  <si>
    <t>Eleint</t>
  </si>
  <si>
    <t>Nightal</t>
  </si>
  <si>
    <t xml:space="preserve">King Foril Obarskyr dies in his sleep. </t>
  </si>
  <si>
    <t>(BA III pg.252)</t>
  </si>
  <si>
    <t xml:space="preserve">The Sakkors Enclave crashes into the ruins of Ordulin. The Netherese princes Brennus Tanthul and Rivalen Tanthul, Shar's Nightseer, are killed by the falling city. </t>
  </si>
  <si>
    <t>(S:TG pg 319)</t>
  </si>
  <si>
    <t xml:space="preserve">The shores of Cormyr are still flooded because of the Great Rain </t>
  </si>
  <si>
    <t>(S:TH pg 180)</t>
  </si>
  <si>
    <t xml:space="preserve">Rumors that Myth Drannor and the Dales have fallen reach Suzail, but not everyone believes in them. </t>
  </si>
  <si>
    <t>(S:TH pg.178)</t>
  </si>
  <si>
    <t>Shade Enclave: The city of Shade itself is moved against Myth Drannor.</t>
  </si>
  <si>
    <t xml:space="preserve"> (S:TH pg.312)</t>
  </si>
  <si>
    <t xml:space="preserve">Vangerdhast is returned to human form by Mystra </t>
  </si>
  <si>
    <t>(S:TH pg.358)</t>
  </si>
  <si>
    <t xml:space="preserve">Abeir and Toril are apart again. The Sundering has ended. </t>
  </si>
  <si>
    <t>(S:TH pg.355)</t>
  </si>
  <si>
    <t>Throughout much of Faerun, the winter of 1487 and 1488 lasted longer than any on record. The solstices and equinoxes had somehow drifted. Later seasons followed suit, with each starting and ending later than expected.</t>
  </si>
  <si>
    <t xml:space="preserve"> (SCAG pg.18)</t>
  </si>
  <si>
    <t>(E:S pg.27)   (E:S pg.56-63).</t>
  </si>
  <si>
    <r>
      <t>The Dragon Rampant Club is burned to the ground after a wild spell duel between Manshoon and Shaaan the Serpent Queen. They fought over the mind of Lord Sardasper Halaunt who came to Suzail, offering to sell the legendary Lost Spell of the god Azuth.</t>
    </r>
    <r>
      <rPr>
        <sz val="11"/>
        <color rgb="FF00B0F0"/>
        <rFont val="Lato"/>
        <family val="2"/>
        <charset val="204"/>
        <scheme val="minor"/>
      </rPr>
      <t xml:space="preserve"> Lord Halaunt is left a drooling idiot</t>
    </r>
    <r>
      <rPr>
        <sz val="11"/>
        <color theme="1"/>
        <rFont val="Lato"/>
        <family val="2"/>
        <charset val="204"/>
        <scheme val="minor"/>
      </rPr>
      <t xml:space="preserve"> and is returned to his home by his servants. Drawn by rumors, that the legendary Lost Spell of the late god Azuth has been found several archmages meet at '</t>
    </r>
    <r>
      <rPr>
        <sz val="11"/>
        <color rgb="FF00B0F0"/>
        <rFont val="Lato"/>
        <family val="2"/>
        <charset val="204"/>
        <scheme val="minor"/>
      </rPr>
      <t>Oldspires</t>
    </r>
    <r>
      <rPr>
        <sz val="11"/>
        <color theme="1"/>
        <rFont val="Lato"/>
        <family val="2"/>
        <charset val="204"/>
        <scheme val="minor"/>
      </rPr>
      <t xml:space="preserve">', the home of </t>
    </r>
    <r>
      <rPr>
        <sz val="11"/>
        <color rgb="FF00B0F0"/>
        <rFont val="Lato"/>
        <family val="2"/>
        <charset val="204"/>
        <scheme val="minor"/>
      </rPr>
      <t>Lord Sardasper Halaunt</t>
    </r>
    <r>
      <rPr>
        <sz val="11"/>
        <color theme="1"/>
        <rFont val="Lato"/>
        <family val="2"/>
        <charset val="204"/>
        <scheme val="minor"/>
      </rPr>
      <t xml:space="preserve">. The manor is curtained by a Spellstorm and the wizards find that they can't leave and that their magic is diminished by the storm. The archmages assembled are </t>
    </r>
    <r>
      <rPr>
        <sz val="11"/>
        <color theme="9" tint="-0.499984740745262"/>
        <rFont val="Lato"/>
        <family val="2"/>
        <charset val="204"/>
        <scheme val="minor"/>
      </rPr>
      <t>Elminster of Shadowdale,</t>
    </r>
    <r>
      <rPr>
        <sz val="11"/>
        <color theme="1"/>
        <rFont val="Lato"/>
        <family val="2"/>
        <charset val="204"/>
        <scheme val="minor"/>
      </rPr>
      <t xml:space="preserve"> </t>
    </r>
    <r>
      <rPr>
        <sz val="11"/>
        <color theme="9" tint="-0.499984740745262"/>
        <rFont val="Lato"/>
        <family val="2"/>
        <charset val="204"/>
        <scheme val="minor"/>
      </rPr>
      <t>Manshoon (once of the Zhentarim), Malchor Harpel (once of Longsaddle and still of the returned Twilight Tower), Tabra</t>
    </r>
    <r>
      <rPr>
        <sz val="11"/>
        <color theme="1"/>
        <rFont val="Lato"/>
        <family val="2"/>
        <charset val="204"/>
        <scheme val="minor"/>
      </rPr>
      <t xml:space="preserve">, </t>
    </r>
    <r>
      <rPr>
        <sz val="11"/>
        <color rgb="FFFF0000"/>
        <rFont val="Lato"/>
        <family val="2"/>
        <charset val="204"/>
        <scheme val="minor"/>
      </rPr>
      <t>Maraunth Torr</t>
    </r>
    <r>
      <rPr>
        <sz val="11"/>
        <color theme="1"/>
        <rFont val="Lato"/>
        <family val="2"/>
        <charset val="204"/>
        <scheme val="minor"/>
      </rPr>
      <t>,</t>
    </r>
    <r>
      <rPr>
        <sz val="11"/>
        <color rgb="FFFF0000"/>
        <rFont val="Lato"/>
        <family val="2"/>
        <charset val="204"/>
        <scheme val="minor"/>
      </rPr>
      <t xml:space="preserve"> Skouloun and Yusendre</t>
    </r>
    <r>
      <rPr>
        <sz val="11"/>
        <color theme="1"/>
        <rFont val="Lato"/>
        <family val="2"/>
        <charset val="204"/>
        <scheme val="minor"/>
      </rPr>
      <t xml:space="preserve"> (two surviving Elders of Nimbral),</t>
    </r>
    <r>
      <rPr>
        <sz val="11"/>
        <color rgb="FFFF0000"/>
        <rFont val="Lato"/>
        <family val="2"/>
        <charset val="204"/>
        <scheme val="minor"/>
      </rPr>
      <t xml:space="preserve"> Runemaster Calathlarra of the Twisted Rune, Shaaan the Serpent Queen, Alastra Hathwinter of the Harpers</t>
    </r>
    <r>
      <rPr>
        <sz val="11"/>
        <color theme="1"/>
        <rFont val="Lato"/>
        <family val="2"/>
        <charset val="204"/>
        <scheme val="minor"/>
      </rPr>
      <t>,</t>
    </r>
    <r>
      <rPr>
        <sz val="11"/>
        <color rgb="FFFFFF00"/>
        <rFont val="Lato"/>
        <family val="2"/>
        <charset val="204"/>
        <scheme val="minor"/>
      </rPr>
      <t xml:space="preserve"> Laragunt of Threskel and an unnamed Red Wizard. </t>
    </r>
    <r>
      <rPr>
        <sz val="11"/>
        <color theme="1"/>
        <rFont val="Lato"/>
        <family val="2"/>
        <charset val="204"/>
        <scheme val="minor"/>
      </rPr>
      <t xml:space="preserve">The later two, spooked by their loss of magical power flee back into the Spellstorm and are turned </t>
    </r>
    <r>
      <rPr>
        <sz val="11"/>
        <color rgb="FFFFFF00"/>
        <rFont val="Lato"/>
        <family val="2"/>
        <charset val="204"/>
        <scheme val="minor"/>
      </rPr>
      <t>insane</t>
    </r>
    <r>
      <rPr>
        <sz val="11"/>
        <color theme="1"/>
        <rFont val="Lato"/>
        <family val="2"/>
        <charset val="204"/>
        <scheme val="minor"/>
      </rPr>
      <t xml:space="preserve"> by it. The 'negotiations' for the ownership of the Lost Spell that take place inside 'Oldspires'</t>
    </r>
    <r>
      <rPr>
        <sz val="11"/>
        <color rgb="FFFF0000"/>
        <rFont val="Lato"/>
        <family val="2"/>
        <charset val="204"/>
        <scheme val="minor"/>
      </rPr>
      <t xml:space="preserve"> claim the live</t>
    </r>
    <r>
      <rPr>
        <sz val="11"/>
        <color theme="1"/>
        <rFont val="Lato"/>
        <family val="2"/>
        <charset val="204"/>
        <scheme val="minor"/>
      </rPr>
      <t>s of archmages Maraunth Torr, Skouloun and Yusendre of Nimbral, Runemaster Calathlarra, Shaaan the Serpent Queen and Alastra Hathwinter.</t>
    </r>
  </si>
  <si>
    <t>Sembia dissolves into a collection of city-states.</t>
  </si>
  <si>
    <t xml:space="preserve">Tabra, a female archmage and last apprentice of the netherese arcanist Ioulaum, who had been captured, tortured and disfigured by Telamont Tantul, is freed from stasis by the death of the High Prince. In revenge she sets out to destroy surviving Shadovar arcanists. </t>
  </si>
  <si>
    <t>(E:S pg.45)</t>
  </si>
  <si>
    <t>(FtR:TDaCF)</t>
  </si>
  <si>
    <t xml:space="preserve">Shade Enclave crashes onto Myth Drannor. Elminster ensures the death of High Prince Telamont Tanthul as the Shade Enclave crashes onto Myth Drannor. Elminster himself is saved by Mystra, who gained full control over the Weave again, stopping Shar from turning it into a new Shadowweave. </t>
  </si>
  <si>
    <t>(S:TH pg350-352)</t>
  </si>
  <si>
    <t xml:space="preserve">The Srinshee sacrifices herself to wrest the magical energies from Larloch and High Prince Tanthul and strengthens the Weave with the power of the city's mythal and the wards of Candlekeep. </t>
  </si>
  <si>
    <t>(S:TH pg.348-349)</t>
  </si>
  <si>
    <t>Cormyr: Shadowwalkers from the Hall of Shadows reinforce the Shadowvar army besieging Suzail. Suzails walls are briefly breached by the shades. Although the shadow warriors kill many not one of them is able to open the gates before being slain.</t>
  </si>
  <si>
    <t xml:space="preserve"> (BA III pg 447)</t>
  </si>
  <si>
    <t xml:space="preserve">Cormyr: Shadowwalkers from the Hall of Shadows reinforce the Shadowvar army besieging Suzail. Suzails walls are briefly breached by the shades. Although the shadow warriors kill many not one of them is able to open the gates before being slain. </t>
  </si>
  <si>
    <t>(BA III pg 447)</t>
  </si>
  <si>
    <t>War wizards close the portal within the Forgotten Keep, cutting of Netheril's supplies in the region, breaking the siege of Arabel.</t>
  </si>
  <si>
    <t>(BA III pg 448)</t>
  </si>
  <si>
    <t>At dawn the Army of the Western Marches rides down from Arabel, crushing what remains of Netheril's army at the walls of Suzail. Not a single soldier of the shadovar is spared. The siege of Suzail ends. It is expected that Marsember can now be quickly liberated between two cormyrean armies.</t>
  </si>
  <si>
    <t xml:space="preserve"> (BA III pg 448)</t>
  </si>
  <si>
    <t>Prince Vattick Tanthul of Netheril is killed by Dove Falconhand</t>
  </si>
  <si>
    <t xml:space="preserve"> (S:TH pg)</t>
  </si>
  <si>
    <t xml:space="preserve">Dove Falconhand succumbs to her injuries after she called the baelnorns of Myth Drannors' tombs to defend the city. </t>
  </si>
  <si>
    <t>(S:TH pg316, 321,323,325)</t>
  </si>
  <si>
    <t xml:space="preserve">The Srinshee appears to defend Myth Drannor. </t>
  </si>
  <si>
    <t>(S:TH pg 246, 326-327)</t>
  </si>
  <si>
    <t>Prince Mattick Thantul, witnessing the power of the Srinshee, flees the fight of Myth Drannor</t>
  </si>
  <si>
    <t xml:space="preserve"> (S:TH pg.328)</t>
  </si>
  <si>
    <t>As the baelnorn of Myth Drannor fight the mercenary army, the dead of Myth Drannor begin to sing.</t>
  </si>
  <si>
    <t>(S:TH pg 325, 329)</t>
  </si>
  <si>
    <t xml:space="preserve">Larloch shatters the minds of many of shade's finest arcanists, among them Prince Aglarel. </t>
  </si>
  <si>
    <t>(S:TH pg. 336-338)</t>
  </si>
  <si>
    <t xml:space="preserve">The Shrinshee orders the baelnorn to protect the 'Tree of Souls'. They form a magical shield around the tree, that even shields the tree from the later impact of the Shade Enclave. </t>
  </si>
  <si>
    <t xml:space="preserve">The last remaining defenders of the City of Song, among them Coronal Ilsevele Miritar and her consort Flar Starbrow, were rescued by the Srinshee and transported to Semberholme. The living elves temporarily abandon Myth Drannor. </t>
  </si>
  <si>
    <t>(FtR:TDaCF)  (S:TH pg.352)</t>
  </si>
  <si>
    <t xml:space="preserve">Only few Shadovar survive the fall of their city, among them the sisters Manarlume and Lelavdra Tanthul and the arcanist Gwelt who later form a secret society, collecting surviving Thulthantans within the 'Court of the Three', which is located within the least damaged ruins of the former Citadel of the Raven. They also plan to retake surving netherese cities. </t>
  </si>
  <si>
    <t xml:space="preserve">(FtR:TDaCF) (S:TH pg. 353) </t>
  </si>
  <si>
    <t>Terrible monsters appear within the lines of the netherese mercenaries.</t>
  </si>
  <si>
    <t>(S:TH pg.280&gt;)</t>
  </si>
  <si>
    <t xml:space="preserve">Larloch attacks the baelnorns and magics of Myth Drannor. </t>
  </si>
  <si>
    <t>(S:TH pg.)</t>
  </si>
  <si>
    <t xml:space="preserve"> War wizards close the portal within the Forgotten Keep, cutting of Netheril's supplies in the region, breaking the siege of Arabel.</t>
  </si>
  <si>
    <t xml:space="preserve">Shadowwalkers from the Hall of Shadows reinforce the Shadowvar army besieging Suzail. Suzails walls are briefly breached by the shades. Although the shadow warriors kill many not one of them is able to open the gates before being slain. </t>
  </si>
  <si>
    <t xml:space="preserve">The god Helm returns to the Realms due to the faith of his Chosen Kleef Kenric.Prince Yder Tanthul is slain in battle against Helm's Chosen Kleef Kenric. Lady Arietta Seasilver, Chosen of Siamorphe and her fellow Chosen convince the primodial Grumbar to remain in the Realms and block Shar's attempt to bring the Shadowfell into the Realms via the Underchasm. Joelle Emmeline, chosen of Sune sacrifices herself to seal the pact with Grumbar. The Underchasm is filled with earth in the process. Lady Seasilver, now Grand Duchess of Marsember and Kleef Kenric return home to Marsember. </t>
  </si>
  <si>
    <t>(S:TS pg.279)  (S:TS pg.264-266) (S:TS pg.295)</t>
  </si>
  <si>
    <t xml:space="preserve">The shadow fiends of Wheloon escape their prison and march on Marsember. </t>
  </si>
  <si>
    <t>(S:TS pg.6)</t>
  </si>
  <si>
    <t>The city of Marsember is sacked by the Shadovar. Grand Duke Farninger Seasilver wants to flee to Elversult but is slain by Prince Yder Tanthul of Netheril.</t>
  </si>
  <si>
    <t>(S:TS 1&gt;, 62)</t>
  </si>
  <si>
    <t>(S:TS pg.155)</t>
  </si>
  <si>
    <t xml:space="preserve">The river Arrabar is in slow flood as the Sea of Fallen Stars seeps back into the Vilhon Reach, only slowed by a line of earthmotes the goddess Chauntea had dropped across the valley, allowing her faithful time to bring in the harvest. </t>
  </si>
  <si>
    <t xml:space="preserve">: After months the 'Great Rain' comes to an end. The waters of the Sea of Fallen Stars have swollen so greatly, that it's shores now resemble something akin to the shoreline from before the Spellplague again. </t>
  </si>
  <si>
    <t>(S:TR pg 323/ S:TH pg. 180)</t>
  </si>
  <si>
    <t>The Turmish fleet battles an pirate armada under the command of Umberlee's Chosen, the undead pirate Evendure. The pirates are beaten and Evendur is apparently killed by the turmish pirate captain Anton Marivaldi.</t>
  </si>
  <si>
    <t>(S:TR pg.321)</t>
  </si>
  <si>
    <t xml:space="preserve">The Chosen of Lathander Stedd Whitehorn heals the mental deterioration of the Emerald Enclave's elven leader Lady Cindermoon, now Shadowmoon, longtime Chosen of Silvanus.  Due to the Great Rain the holy island of Ilighôn is reborn and Turmish's capital Alaghôn becomes a port again. </t>
  </si>
  <si>
    <t>(S:TR pg. 263-264) (S:TR pg.254).</t>
  </si>
  <si>
    <t>Although the shroud over Sembia remains, cracks begin to show in its gloom.</t>
  </si>
  <si>
    <t xml:space="preserve"> (S:TG pg 323)</t>
  </si>
  <si>
    <t xml:space="preserve">The god Mask returns into the Realms through his Chosen Riven. Shar's Cycle of Night is broken and the Ordulin-Maelstrom is closed. </t>
  </si>
  <si>
    <t>(S:TG pg 316)</t>
  </si>
  <si>
    <t xml:space="preserve">The sanctuary 'Abby of the Sword' within the Valley of the Rose is destroyed by minions of Mephistopheles, although only the Oracle Elden Corrinthal alone is killed, as he sent the remaining brothers away to Arabel. </t>
  </si>
  <si>
    <t>(S:TG 140/244)</t>
  </si>
  <si>
    <t xml:space="preserve">The Dales have already endured months of attacks by sembian forces. </t>
  </si>
  <si>
    <t>(S:TG pg 125)</t>
  </si>
  <si>
    <t xml:space="preserve">Sembian forces block the road between Daerlun and Cormyr and are massed all along the borders of the Dalelands </t>
  </si>
  <si>
    <t>(S:TG pg 46/55)</t>
  </si>
  <si>
    <t>Sembian villages suffer as in addition to the hardships of the ever gloomy, monster-infested sembian plainlands, ever more mercenaries are called upon by Sembia for it's war.</t>
  </si>
  <si>
    <t>(S:TG pg 62)</t>
  </si>
  <si>
    <t xml:space="preserve">As the Spellplague ends, the post-Weeping spells stop to function and the old ways of magic return. Spellscars start to lose their powers. </t>
  </si>
  <si>
    <t>('Summer started', S:TC pg.260)</t>
  </si>
  <si>
    <t>RIME OF THE FROSTMAIDEN</t>
  </si>
  <si>
    <t>TYRANNY OF DRAGONS HODQ</t>
  </si>
  <si>
    <t>TYRANNY OF DRAGONS ROT</t>
  </si>
  <si>
    <t>OOTA</t>
  </si>
  <si>
    <t>POTA</t>
  </si>
  <si>
    <t>LOST TALES OF MYTH DRANNOR</t>
  </si>
  <si>
    <t>THAY CONQUER MULMASTER, RED WAR</t>
  </si>
  <si>
    <t>ALLIANCE BEGUN COUNTER ATTACK ON THAY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</si>
</sst>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164" formatCode="\+#"/>
    <numFmt numFmtId="165" formatCode="\+#;0;\-#"/>
    <numFmt numFmtId="166" formatCode="\+0;\-0;0"/>
    <numFmt numFmtId="167" formatCode=";;;"/>
    <numFmt numFmtId="168" formatCode="\¤\ #,##0.00"/>
    <numFmt numFmtId="169" formatCode="0.0"/>
    <numFmt numFmtId="170" formatCode="General;;"/>
    <numFmt numFmtId="171" formatCode="_(* #,##0.00_);_(* \(#,##0.00\);_(* &quot;-&quot;??_);_(@_)"/>
    <numFmt numFmtId="172" formatCode="0.00000"/>
    <numFmt numFmtId="173" formatCode="0.000"/>
    <numFmt numFmtId="174" formatCode="#,##0.000"/>
    <numFmt numFmtId="175" formatCode="_(* #,##0.000_);_(* \(#,##0.000\);_(* &quot;-&quot;???_);_(@_)"/>
    <numFmt numFmtId="176" formatCode="#,##0.000_);\(#,##0.000\)"/>
    <numFmt numFmtId="177" formatCode="0.0000"/>
    <numFmt numFmtId="178" formatCode="??????&quot; gp&quot;"/>
    <numFmt numFmtId="179" formatCode="\+#;\-#;\+0"/>
    <numFmt numFmtId="180" formatCode="m\-d"/>
  </numFmts>
  <fonts count="279">
    <font>
      <sz val="11"/>
      <color theme="1"/>
      <name val="Lato"/>
      <family val="2"/>
      <charset val="204"/>
      <scheme val="minor"/>
    </font>
    <font>
      <sz val="11"/>
      <color theme="1"/>
      <name val="Segoe UI"/>
      <family val="2"/>
      <charset val="204"/>
    </font>
    <font>
      <sz val="11"/>
      <color theme="1"/>
      <name val="Segoe UI"/>
      <family val="2"/>
      <charset val="204"/>
    </font>
    <font>
      <sz val="11"/>
      <color theme="1"/>
      <name val="Segoe UI"/>
      <family val="2"/>
      <charset val="204"/>
    </font>
    <font>
      <u/>
      <sz val="11"/>
      <color theme="10"/>
      <name val="Lato"/>
      <family val="2"/>
      <charset val="204"/>
      <scheme val="minor"/>
    </font>
    <font>
      <sz val="13.5"/>
      <color rgb="FF000000"/>
      <name val="Segoe UI"/>
      <family val="2"/>
      <charset val="204"/>
    </font>
    <font>
      <b/>
      <sz val="8"/>
      <name val="Arial"/>
      <family val="2"/>
    </font>
    <font>
      <sz val="10"/>
      <name val="Arial"/>
      <family val="2"/>
      <charset val="204"/>
    </font>
    <font>
      <sz val="8"/>
      <name val="Arial"/>
      <family val="2"/>
    </font>
    <font>
      <sz val="8"/>
      <name val="Courier New"/>
      <family val="3"/>
    </font>
    <font>
      <sz val="8"/>
      <name val="Arial"/>
      <family val="2"/>
      <charset val="204"/>
    </font>
    <font>
      <sz val="8"/>
      <color indexed="10"/>
      <name val="Arial"/>
      <family val="2"/>
    </font>
    <font>
      <sz val="11"/>
      <color rgb="FFFFFF00"/>
      <name val="Lato"/>
      <family val="2"/>
      <charset val="204"/>
      <scheme val="minor"/>
    </font>
    <font>
      <sz val="9"/>
      <color indexed="81"/>
      <name val="Tahoma"/>
      <family val="2"/>
      <charset val="204"/>
    </font>
    <font>
      <b/>
      <sz val="9"/>
      <color indexed="81"/>
      <name val="Tahoma"/>
      <family val="2"/>
      <charset val="204"/>
    </font>
    <font>
      <sz val="8"/>
      <color rgb="FF000000"/>
      <name val="Arial"/>
      <family val="2"/>
      <charset val="204"/>
    </font>
    <font>
      <sz val="8"/>
      <color rgb="FFFF0000"/>
      <name val="Arial"/>
      <family val="2"/>
      <charset val="204"/>
    </font>
    <font>
      <sz val="11"/>
      <color theme="1"/>
      <name val="Lato"/>
      <family val="2"/>
      <charset val="204"/>
      <scheme val="minor"/>
    </font>
    <font>
      <b/>
      <sz val="11"/>
      <color theme="3"/>
      <name val="Segoe UI"/>
      <family val="2"/>
      <charset val="204"/>
    </font>
    <font>
      <b/>
      <sz val="11"/>
      <color rgb="FF3F3F3F"/>
      <name val="Segoe UI"/>
      <family val="2"/>
      <charset val="204"/>
    </font>
    <font>
      <b/>
      <sz val="11"/>
      <color rgb="FFFA7D00"/>
      <name val="Segoe UI"/>
      <family val="2"/>
      <charset val="204"/>
    </font>
    <font>
      <b/>
      <sz val="11"/>
      <color theme="1"/>
      <name val="Segoe UI"/>
      <family val="2"/>
      <charset val="204"/>
    </font>
    <font>
      <b/>
      <sz val="11"/>
      <color theme="0"/>
      <name val="Lato"/>
      <family val="2"/>
      <charset val="204"/>
      <scheme val="minor"/>
    </font>
    <font>
      <sz val="11"/>
      <color rgb="FF000000"/>
      <name val="Arial Unicode MS"/>
      <family val="2"/>
      <charset val="204"/>
    </font>
    <font>
      <sz val="12"/>
      <color rgb="FF000000"/>
      <name val="Arial Unicode MS"/>
      <family val="2"/>
      <charset val="204"/>
    </font>
    <font>
      <sz val="11"/>
      <color theme="1"/>
      <name val="Lato"/>
      <family val="2"/>
      <scheme val="minor"/>
    </font>
    <font>
      <b/>
      <sz val="11"/>
      <color theme="1"/>
      <name val="Lato"/>
      <family val="1"/>
      <scheme val="minor"/>
    </font>
    <font>
      <sz val="10"/>
      <name val="Lato"/>
      <family val="2"/>
      <scheme val="minor"/>
    </font>
    <font>
      <sz val="9"/>
      <name val="Lato"/>
      <family val="2"/>
      <scheme val="minor"/>
    </font>
    <font>
      <sz val="10"/>
      <color theme="0"/>
      <name val="Lato"/>
      <family val="2"/>
      <scheme val="minor"/>
    </font>
    <font>
      <sz val="8"/>
      <name val="Lato"/>
      <family val="2"/>
      <scheme val="minor"/>
    </font>
    <font>
      <sz val="12"/>
      <color indexed="81"/>
      <name val="Tahoma"/>
      <family val="2"/>
    </font>
    <font>
      <b/>
      <u/>
      <sz val="10"/>
      <name val="Lato"/>
      <family val="2"/>
      <scheme val="minor"/>
    </font>
    <font>
      <sz val="10"/>
      <color rgb="FFFFFFFF"/>
      <name val="Lato"/>
      <family val="2"/>
      <scheme val="minor"/>
    </font>
    <font>
      <b/>
      <sz val="10"/>
      <name val="Lato"/>
      <family val="2"/>
      <scheme val="minor"/>
    </font>
    <font>
      <u/>
      <sz val="11"/>
      <color theme="10"/>
      <name val="Lato"/>
      <family val="2"/>
      <scheme val="minor"/>
    </font>
    <font>
      <sz val="11"/>
      <color rgb="FFFFFF00"/>
      <name val="Lato"/>
      <family val="2"/>
      <scheme val="minor"/>
    </font>
    <font>
      <b/>
      <sz val="11"/>
      <color theme="1"/>
      <name val="Lato"/>
      <family val="2"/>
      <charset val="204"/>
      <scheme val="minor"/>
    </font>
    <font>
      <b/>
      <sz val="11"/>
      <color theme="3" tint="0.79998168889431442"/>
      <name val="Lato"/>
      <family val="2"/>
      <charset val="204"/>
      <scheme val="minor"/>
    </font>
    <font>
      <sz val="11"/>
      <color rgb="FFC00000"/>
      <name val="Lato"/>
      <family val="2"/>
      <charset val="204"/>
      <scheme val="minor"/>
    </font>
    <font>
      <sz val="11"/>
      <color theme="6" tint="0.79998168889431442"/>
      <name val="Lato"/>
      <family val="2"/>
      <scheme val="minor"/>
    </font>
    <font>
      <b/>
      <sz val="11"/>
      <color theme="6" tint="0.79998168889431442"/>
      <name val="Lato"/>
      <family val="2"/>
      <charset val="204"/>
      <scheme val="minor"/>
    </font>
    <font>
      <i/>
      <sz val="11"/>
      <color theme="1"/>
      <name val="Lato"/>
      <family val="2"/>
      <charset val="204"/>
      <scheme val="minor"/>
    </font>
    <font>
      <sz val="11"/>
      <color theme="6" tint="0.79998168889431442"/>
      <name val="Lato"/>
      <family val="2"/>
      <charset val="204"/>
      <scheme val="minor"/>
    </font>
    <font>
      <sz val="11"/>
      <color theme="6" tint="0.79998168889431442"/>
      <name val="rpg-awesome"/>
    </font>
    <font>
      <sz val="11"/>
      <color theme="6" tint="0.79998168889431442"/>
      <name val="Webdings"/>
      <family val="1"/>
      <charset val="2"/>
    </font>
    <font>
      <sz val="11"/>
      <color theme="6" tint="0.79998168889431442"/>
      <name val="Wingdings"/>
      <charset val="2"/>
    </font>
    <font>
      <sz val="11"/>
      <color theme="6" tint="0.79998168889431442"/>
      <name val="Calibri"/>
      <family val="2"/>
    </font>
    <font>
      <b/>
      <sz val="11"/>
      <color theme="6" tint="0.79998168889431442"/>
      <name val="Segoe UI"/>
      <family val="2"/>
      <charset val="204"/>
    </font>
    <font>
      <sz val="8"/>
      <color theme="1"/>
      <name val="Lato"/>
      <family val="2"/>
      <scheme val="minor"/>
    </font>
    <font>
      <sz val="8"/>
      <color indexed="81"/>
      <name val="Tahoma"/>
      <family val="2"/>
    </font>
    <font>
      <b/>
      <sz val="8"/>
      <color indexed="81"/>
      <name val="Tahoma"/>
      <family val="2"/>
    </font>
    <font>
      <sz val="11"/>
      <color indexed="81"/>
      <name val="Tahoma"/>
      <family val="2"/>
    </font>
    <font>
      <b/>
      <sz val="11"/>
      <color rgb="FFFFFF00"/>
      <name val="Lato"/>
      <family val="2"/>
      <charset val="204"/>
      <scheme val="minor"/>
    </font>
    <font>
      <sz val="8"/>
      <color theme="6" tint="0.79998168889431442"/>
      <name val="Lato"/>
      <family val="2"/>
      <scheme val="minor"/>
    </font>
    <font>
      <sz val="9.5"/>
      <color rgb="FF000000"/>
      <name val="Arial"/>
      <family val="2"/>
      <charset val="204"/>
    </font>
    <font>
      <sz val="9.9"/>
      <color rgb="FF000000"/>
      <name val="Arial"/>
      <family val="2"/>
      <charset val="204"/>
    </font>
    <font>
      <b/>
      <sz val="11"/>
      <color theme="9" tint="-0.249977111117893"/>
      <name val="Lato"/>
      <family val="2"/>
      <charset val="204"/>
      <scheme val="minor"/>
    </font>
    <font>
      <sz val="10"/>
      <name val="Arial"/>
      <family val="2"/>
    </font>
    <font>
      <sz val="10"/>
      <name val="Nodesto Caps Condensed"/>
    </font>
    <font>
      <sz val="11"/>
      <color rgb="FF3F3F76"/>
      <name val="Lato"/>
      <family val="2"/>
      <scheme val="minor"/>
    </font>
    <font>
      <sz val="14"/>
      <name val="Arial"/>
      <family val="2"/>
      <charset val="204"/>
    </font>
    <font>
      <b/>
      <sz val="14"/>
      <name val="Nodesto Caps Condensed"/>
    </font>
    <font>
      <sz val="14"/>
      <name val="Nodesto Caps Condensed"/>
    </font>
    <font>
      <sz val="14"/>
      <color rgb="FF3F3F76"/>
      <name val="Nodesto Caps Condensed"/>
    </font>
    <font>
      <i/>
      <sz val="14"/>
      <name val="Nodesto Caps Condensed"/>
    </font>
    <font>
      <i/>
      <sz val="14"/>
      <color rgb="FF3F3F76"/>
      <name val="Nodesto Caps Condensed"/>
    </font>
    <font>
      <b/>
      <sz val="14"/>
      <color rgb="FFFFFF00"/>
      <name val="Nodesto Caps Condensed"/>
    </font>
    <font>
      <b/>
      <sz val="14"/>
      <color rgb="FFFA7D00"/>
      <name val="Nodesto Caps Condensed"/>
    </font>
    <font>
      <sz val="14"/>
      <color theme="1"/>
      <name val="Nodesto Caps Condensed"/>
    </font>
    <font>
      <sz val="12"/>
      <name val="MrsEavesRoman"/>
    </font>
    <font>
      <i/>
      <sz val="14"/>
      <color rgb="FFFFFF00"/>
      <name val="Nodesto Caps Condensed"/>
    </font>
    <font>
      <sz val="11"/>
      <color indexed="81"/>
      <name val="MrsEavesRoman"/>
    </font>
    <font>
      <b/>
      <sz val="22"/>
      <color indexed="81"/>
      <name val="Nodesto Caps Condensed"/>
    </font>
    <font>
      <sz val="14"/>
      <name val="MrsEavesRoman"/>
    </font>
    <font>
      <b/>
      <sz val="24"/>
      <color rgb="FFFFFF00"/>
      <name val="Nodesto Caps Condensed"/>
    </font>
    <font>
      <b/>
      <sz val="18"/>
      <color rgb="FFFFFF00"/>
      <name val="Nodesto Caps Condensed"/>
    </font>
    <font>
      <sz val="22"/>
      <color indexed="81"/>
      <name val="Nodesto Caps Condensed"/>
    </font>
    <font>
      <sz val="24"/>
      <color rgb="FFFFFF00"/>
      <name val="Nodesto Caps Condensed"/>
    </font>
    <font>
      <sz val="16"/>
      <color rgb="FFFFFF00"/>
      <name val="Nodesto Caps Condensed"/>
    </font>
    <font>
      <sz val="11"/>
      <color rgb="FFFF0000"/>
      <name val="Lato"/>
      <family val="2"/>
      <charset val="204"/>
      <scheme val="minor"/>
    </font>
    <font>
      <sz val="11"/>
      <color rgb="FF7030A0"/>
      <name val="Lato"/>
      <family val="2"/>
      <charset val="204"/>
      <scheme val="minor"/>
    </font>
    <font>
      <sz val="20"/>
      <color rgb="FFFFFF00"/>
      <name val="Nodesto Caps Condensed"/>
    </font>
    <font>
      <sz val="10"/>
      <color rgb="FF000000"/>
      <name val="Arial"/>
      <family val="2"/>
      <charset val="204"/>
    </font>
    <font>
      <sz val="11"/>
      <color rgb="FF000000"/>
      <name val="Calibri"/>
      <family val="2"/>
      <charset val="204"/>
    </font>
    <font>
      <b/>
      <sz val="11"/>
      <color rgb="FF000000"/>
      <name val="Calibri"/>
      <family val="2"/>
      <charset val="204"/>
    </font>
    <font>
      <b/>
      <sz val="10"/>
      <color rgb="FF000000"/>
      <name val="Arial"/>
      <family val="2"/>
      <charset val="204"/>
    </font>
    <font>
      <sz val="11"/>
      <color rgb="FF000000"/>
      <name val="Inconsolata"/>
    </font>
    <font>
      <sz val="12"/>
      <name val="Eras Medium ITC"/>
      <family val="2"/>
    </font>
    <font>
      <sz val="12"/>
      <color rgb="FF000000"/>
      <name val="Eras Medium ITC"/>
      <family val="2"/>
    </font>
    <font>
      <sz val="11"/>
      <name val="Times New Roman"/>
      <family val="1"/>
      <charset val="204"/>
    </font>
    <font>
      <sz val="11"/>
      <color rgb="FF000000"/>
      <name val="Times New Roman"/>
      <family val="1"/>
      <charset val="204"/>
    </font>
    <font>
      <sz val="12"/>
      <color rgb="FF000000"/>
      <name val="Times New Roman"/>
      <family val="1"/>
      <charset val="204"/>
    </font>
    <font>
      <b/>
      <sz val="12"/>
      <color rgb="FF000000"/>
      <name val="Times New Roman"/>
      <family val="1"/>
      <charset val="204"/>
    </font>
    <font>
      <b/>
      <u/>
      <sz val="11"/>
      <color rgb="FF000000"/>
      <name val="Times New Roman"/>
      <family val="1"/>
      <charset val="204"/>
    </font>
    <font>
      <b/>
      <u/>
      <sz val="11"/>
      <color rgb="FFFFFFFF"/>
      <name val="Times New Roman"/>
      <family val="1"/>
      <charset val="204"/>
    </font>
    <font>
      <b/>
      <sz val="12"/>
      <color rgb="FFFFFFFF"/>
      <name val="Times New Roman"/>
      <family val="1"/>
      <charset val="204"/>
    </font>
    <font>
      <sz val="10"/>
      <color rgb="FFFFFFFF"/>
      <name val="Arial"/>
      <family val="2"/>
      <charset val="204"/>
    </font>
    <font>
      <b/>
      <sz val="10"/>
      <color rgb="FFFFFFFF"/>
      <name val="Eras Medium ITC"/>
      <family val="2"/>
    </font>
    <font>
      <b/>
      <sz val="10"/>
      <color rgb="FFFFFFFF"/>
      <name val="Arial"/>
      <family val="2"/>
      <charset val="204"/>
    </font>
    <font>
      <sz val="12"/>
      <color rgb="FFFFFFFF"/>
      <name val="Eras Medium ITC"/>
      <family val="2"/>
    </font>
    <font>
      <b/>
      <u/>
      <sz val="10"/>
      <color rgb="FF000000"/>
      <name val="Eras Medium ITC"/>
      <family val="2"/>
    </font>
    <font>
      <b/>
      <u/>
      <sz val="10"/>
      <color rgb="FFFFFFFF"/>
      <name val="Eras Medium ITC"/>
      <family val="2"/>
    </font>
    <font>
      <sz val="9"/>
      <color rgb="FF000000"/>
      <name val="Times New Roman"/>
      <family val="1"/>
      <charset val="204"/>
    </font>
    <font>
      <b/>
      <sz val="12"/>
      <color rgb="FF000000"/>
      <name val="Arial"/>
      <family val="2"/>
      <charset val="204"/>
    </font>
    <font>
      <b/>
      <sz val="12"/>
      <color rgb="FFFFFFFF"/>
      <name val="Arial"/>
      <family val="2"/>
      <charset val="204"/>
    </font>
    <font>
      <sz val="12"/>
      <color rgb="FF000000"/>
      <name val="Arial"/>
      <family val="2"/>
      <charset val="204"/>
    </font>
    <font>
      <b/>
      <sz val="12"/>
      <name val="Arial"/>
      <family val="2"/>
      <charset val="204"/>
    </font>
    <font>
      <sz val="10"/>
      <color rgb="FF000000"/>
      <name val="Times New Roman"/>
      <family val="1"/>
      <charset val="204"/>
    </font>
    <font>
      <b/>
      <sz val="10"/>
      <name val="Arial"/>
      <family val="2"/>
      <charset val="204"/>
    </font>
    <font>
      <sz val="12"/>
      <name val="Arial"/>
      <family val="2"/>
      <charset val="204"/>
    </font>
    <font>
      <b/>
      <sz val="11"/>
      <color rgb="FF000000"/>
      <name val="Arial"/>
      <family val="2"/>
      <charset val="204"/>
    </font>
    <font>
      <b/>
      <sz val="12"/>
      <color rgb="FFFFFFFF"/>
      <name val="Eras Medium ITC"/>
      <family val="2"/>
    </font>
    <font>
      <sz val="10"/>
      <color rgb="FF000000"/>
      <name val="Eras Medium ITC"/>
      <family val="2"/>
    </font>
    <font>
      <b/>
      <sz val="10"/>
      <color rgb="FF000000"/>
      <name val="Eras Medium ITC"/>
      <family val="2"/>
    </font>
    <font>
      <b/>
      <sz val="10"/>
      <name val="Eras Medium ITC"/>
      <family val="2"/>
    </font>
    <font>
      <b/>
      <sz val="12"/>
      <color rgb="FF000000"/>
      <name val="Eras Medium ITC"/>
      <family val="2"/>
    </font>
    <font>
      <b/>
      <sz val="11"/>
      <color rgb="FFFFFFFF"/>
      <name val="Eras Medium ITC"/>
      <family val="2"/>
    </font>
    <font>
      <b/>
      <sz val="11"/>
      <color rgb="FF000000"/>
      <name val="Eras Medium ITC"/>
      <family val="2"/>
    </font>
    <font>
      <sz val="10"/>
      <name val="Times New Roman"/>
      <family val="1"/>
      <charset val="204"/>
    </font>
    <font>
      <sz val="9"/>
      <color rgb="FF000000"/>
      <name val="Eras Medium ITC"/>
      <family val="2"/>
    </font>
    <font>
      <b/>
      <sz val="8"/>
      <color rgb="FF000000"/>
      <name val="Eras Medium ITC"/>
      <family val="2"/>
    </font>
    <font>
      <b/>
      <sz val="8"/>
      <color rgb="FF000000"/>
      <name val="Calibri"/>
      <family val="2"/>
      <charset val="204"/>
    </font>
    <font>
      <sz val="11"/>
      <name val="Eras Medium ITC"/>
      <family val="2"/>
    </font>
    <font>
      <b/>
      <sz val="11"/>
      <name val="Eras Medium ITC"/>
      <family val="2"/>
    </font>
    <font>
      <sz val="11"/>
      <color rgb="FF000000"/>
      <name val="Eras Medium ITC"/>
      <family val="2"/>
    </font>
    <font>
      <b/>
      <sz val="14"/>
      <color rgb="FF000000"/>
      <name val="Eras Medium ITC"/>
      <family val="2"/>
    </font>
    <font>
      <sz val="24"/>
      <color rgb="FF000000"/>
      <name val="Eras Medium ITC"/>
      <family val="2"/>
    </font>
    <font>
      <b/>
      <sz val="10"/>
      <name val="Times New Roman"/>
      <family val="1"/>
      <charset val="204"/>
    </font>
    <font>
      <sz val="8"/>
      <color rgb="FF000000"/>
      <name val="Times"/>
    </font>
    <font>
      <b/>
      <sz val="9"/>
      <name val="Times New Roman"/>
      <family val="1"/>
      <charset val="204"/>
    </font>
    <font>
      <b/>
      <sz val="14"/>
      <color rgb="FFFFFFFF"/>
      <name val="Arial"/>
      <family val="2"/>
      <charset val="204"/>
    </font>
    <font>
      <sz val="8"/>
      <name val="Times"/>
    </font>
    <font>
      <b/>
      <sz val="11"/>
      <color rgb="FFFFFFFF"/>
      <name val="Arial"/>
      <family val="2"/>
      <charset val="204"/>
    </font>
    <font>
      <b/>
      <sz val="10"/>
      <color rgb="FF1F497D"/>
      <name val="Eras Medium ITC"/>
      <family val="2"/>
    </font>
    <font>
      <b/>
      <sz val="24"/>
      <color rgb="FF1F497D"/>
      <name val="Eras Medium ITC"/>
      <family val="2"/>
    </font>
    <font>
      <b/>
      <sz val="24"/>
      <color rgb="FF000000"/>
      <name val="Arial"/>
      <family val="2"/>
      <charset val="204"/>
    </font>
    <font>
      <b/>
      <sz val="11"/>
      <name val="Arial"/>
      <family val="2"/>
      <charset val="204"/>
    </font>
    <font>
      <b/>
      <sz val="20"/>
      <color rgb="FF000000"/>
      <name val="Eras Medium ITC"/>
      <family val="2"/>
    </font>
    <font>
      <sz val="14"/>
      <color rgb="FF000000"/>
      <name val="Eras Medium ITC"/>
      <family val="2"/>
    </font>
    <font>
      <sz val="12"/>
      <color rgb="FF1F497D"/>
      <name val="Eras Medium ITC"/>
      <family val="2"/>
    </font>
    <font>
      <b/>
      <sz val="12"/>
      <name val="Eras Medium ITC"/>
      <family val="2"/>
    </font>
    <font>
      <b/>
      <sz val="12"/>
      <color rgb="FFEEECE1"/>
      <name val="Arial"/>
      <family val="2"/>
      <charset val="204"/>
    </font>
    <font>
      <b/>
      <u/>
      <sz val="18"/>
      <color rgb="FFFFFF00"/>
      <name val="Eras Medium ITC"/>
      <family val="2"/>
    </font>
    <font>
      <sz val="11"/>
      <color theme="1"/>
      <name val="Arial"/>
      <family val="2"/>
      <charset val="204"/>
    </font>
    <font>
      <sz val="11"/>
      <color theme="1"/>
      <name val="Calibri"/>
      <family val="2"/>
      <charset val="204"/>
    </font>
    <font>
      <sz val="10"/>
      <color rgb="FF000000"/>
      <name val="Trebuchet MS"/>
      <family val="2"/>
      <charset val="204"/>
    </font>
    <font>
      <vertAlign val="superscript"/>
      <sz val="10"/>
      <color rgb="FF000000"/>
      <name val="Trebuchet MS"/>
      <family val="2"/>
      <charset val="204"/>
    </font>
    <font>
      <b/>
      <sz val="11"/>
      <color rgb="FF9C5700"/>
      <name val="Calibri"/>
      <family val="2"/>
      <charset val="204"/>
    </font>
    <font>
      <b/>
      <sz val="11"/>
      <color theme="1"/>
      <name val="Calibri"/>
      <family val="2"/>
      <charset val="204"/>
    </font>
    <font>
      <b/>
      <sz val="11"/>
      <color rgb="FF006100"/>
      <name val="Calibri"/>
      <family val="2"/>
      <charset val="204"/>
    </font>
    <font>
      <b/>
      <sz val="11"/>
      <color rgb="FF3F3F3F"/>
      <name val="Calibri"/>
      <family val="2"/>
      <charset val="204"/>
    </font>
    <font>
      <b/>
      <sz val="11"/>
      <color rgb="FF3F3F76"/>
      <name val="Calibri"/>
      <family val="2"/>
      <charset val="204"/>
    </font>
    <font>
      <b/>
      <i/>
      <sz val="11"/>
      <color theme="1"/>
      <name val="Calibri"/>
      <family val="2"/>
      <charset val="204"/>
    </font>
    <font>
      <sz val="11"/>
      <name val="Arial"/>
      <family val="2"/>
      <charset val="204"/>
    </font>
    <font>
      <b/>
      <sz val="11"/>
      <color rgb="FFFA7D00"/>
      <name val="Calibri"/>
      <family val="2"/>
      <charset val="204"/>
    </font>
    <font>
      <b/>
      <sz val="8"/>
      <color theme="1"/>
      <name val="Lato"/>
      <family val="2"/>
      <scheme val="minor"/>
    </font>
    <font>
      <i/>
      <sz val="8"/>
      <color theme="1"/>
      <name val="Lato"/>
      <family val="2"/>
      <scheme val="minor"/>
    </font>
    <font>
      <strike/>
      <sz val="8"/>
      <color theme="1"/>
      <name val="Lato"/>
      <family val="2"/>
      <scheme val="minor"/>
    </font>
    <font>
      <i/>
      <strike/>
      <sz val="8"/>
      <color theme="1"/>
      <name val="Lato"/>
      <family val="2"/>
      <scheme val="minor"/>
    </font>
    <font>
      <b/>
      <sz val="12"/>
      <color theme="1"/>
      <name val="Lato"/>
      <family val="2"/>
      <scheme val="minor"/>
    </font>
    <font>
      <b/>
      <sz val="10"/>
      <color theme="1"/>
      <name val="Lato"/>
      <family val="2"/>
      <scheme val="minor"/>
    </font>
    <font>
      <sz val="10"/>
      <color theme="1"/>
      <name val="Lato"/>
      <family val="2"/>
      <scheme val="minor"/>
    </font>
    <font>
      <b/>
      <sz val="11"/>
      <color theme="1"/>
      <name val="Lato"/>
      <family val="2"/>
      <scheme val="minor"/>
    </font>
    <font>
      <sz val="6"/>
      <color theme="1"/>
      <name val="Lato"/>
      <family val="2"/>
      <scheme val="minor"/>
    </font>
    <font>
      <sz val="9"/>
      <color theme="1"/>
      <name val="Lato"/>
      <family val="2"/>
      <scheme val="minor"/>
    </font>
    <font>
      <sz val="9"/>
      <color indexed="81"/>
      <name val="Tahoma"/>
      <family val="2"/>
    </font>
    <font>
      <b/>
      <sz val="9"/>
      <color indexed="81"/>
      <name val="Tahoma"/>
      <family val="2"/>
    </font>
    <font>
      <sz val="12"/>
      <color theme="1"/>
      <name val="Lato"/>
      <family val="2"/>
      <scheme val="minor"/>
    </font>
    <font>
      <u/>
      <sz val="11"/>
      <color theme="10"/>
      <name val="Calibri"/>
      <family val="2"/>
    </font>
    <font>
      <u/>
      <sz val="12"/>
      <color theme="10"/>
      <name val="Calibri"/>
      <family val="2"/>
    </font>
    <font>
      <sz val="18"/>
      <color theme="1"/>
      <name val="Lato"/>
      <family val="2"/>
      <scheme val="minor"/>
    </font>
    <font>
      <sz val="8"/>
      <color indexed="8"/>
      <name val="Lato"/>
      <family val="2"/>
      <scheme val="minor"/>
    </font>
    <font>
      <i/>
      <sz val="11"/>
      <color theme="1"/>
      <name val="Lato"/>
      <family val="2"/>
      <scheme val="minor"/>
    </font>
    <font>
      <sz val="11"/>
      <name val="Lato"/>
      <family val="2"/>
      <scheme val="minor"/>
    </font>
    <font>
      <b/>
      <sz val="8"/>
      <name val="Lato"/>
      <family val="2"/>
      <scheme val="minor"/>
    </font>
    <font>
      <b/>
      <sz val="9"/>
      <color theme="1"/>
      <name val="Lato"/>
      <family val="2"/>
      <scheme val="minor"/>
    </font>
    <font>
      <b/>
      <u/>
      <sz val="9"/>
      <color theme="1"/>
      <name val="Lato"/>
      <family val="2"/>
      <scheme val="minor"/>
    </font>
    <font>
      <b/>
      <sz val="9"/>
      <color indexed="8"/>
      <name val="Lato"/>
      <family val="2"/>
      <scheme val="minor"/>
    </font>
    <font>
      <sz val="9"/>
      <color indexed="8"/>
      <name val="Lato"/>
      <family val="2"/>
      <scheme val="minor"/>
    </font>
    <font>
      <b/>
      <u/>
      <sz val="9"/>
      <name val="Lato"/>
      <family val="2"/>
      <scheme val="minor"/>
    </font>
    <font>
      <b/>
      <u/>
      <sz val="9"/>
      <color indexed="8"/>
      <name val="Lato"/>
      <family val="2"/>
      <scheme val="minor"/>
    </font>
    <font>
      <b/>
      <u/>
      <sz val="8"/>
      <color theme="1"/>
      <name val="Lato"/>
      <family val="2"/>
      <scheme val="minor"/>
    </font>
    <font>
      <b/>
      <i/>
      <sz val="8"/>
      <color theme="1"/>
      <name val="Lato"/>
      <family val="2"/>
      <scheme val="minor"/>
    </font>
    <font>
      <b/>
      <sz val="10"/>
      <color theme="0"/>
      <name val="Lato"/>
      <family val="2"/>
      <scheme val="minor"/>
    </font>
    <font>
      <sz val="10"/>
      <color theme="1" tint="4.9989318521683403E-2"/>
      <name val="Lato"/>
      <family val="2"/>
      <scheme val="minor"/>
    </font>
    <font>
      <sz val="9"/>
      <color theme="1" tint="4.9989318521683403E-2"/>
      <name val="Lato"/>
      <family val="2"/>
      <scheme val="minor"/>
    </font>
    <font>
      <sz val="9"/>
      <color theme="0"/>
      <name val="Lato"/>
      <family val="2"/>
      <scheme val="minor"/>
    </font>
    <font>
      <b/>
      <sz val="11"/>
      <color theme="0"/>
      <name val="Lato"/>
      <family val="2"/>
      <scheme val="minor"/>
    </font>
    <font>
      <b/>
      <sz val="16"/>
      <color theme="1" tint="4.9989318521683403E-2"/>
      <name val="Lato"/>
      <family val="2"/>
      <scheme val="minor"/>
    </font>
    <font>
      <b/>
      <sz val="11"/>
      <color theme="1" tint="4.9989318521683403E-2"/>
      <name val="Lato"/>
      <family val="2"/>
      <scheme val="minor"/>
    </font>
    <font>
      <b/>
      <sz val="10"/>
      <color theme="1" tint="4.9989318521683403E-2"/>
      <name val="Lato"/>
      <family val="2"/>
      <scheme val="minor"/>
    </font>
    <font>
      <sz val="8"/>
      <color theme="1" tint="4.9989318521683403E-2"/>
      <name val="Lato"/>
      <family val="2"/>
      <scheme val="minor"/>
    </font>
    <font>
      <b/>
      <sz val="8"/>
      <color theme="0"/>
      <name val="Lato"/>
      <family val="2"/>
      <scheme val="minor"/>
    </font>
    <font>
      <sz val="11"/>
      <color theme="0"/>
      <name val="Lato"/>
      <family val="2"/>
      <scheme val="minor"/>
    </font>
    <font>
      <sz val="10"/>
      <name val="Segoe UI Symbol"/>
      <family val="2"/>
    </font>
    <font>
      <b/>
      <sz val="9"/>
      <color theme="0"/>
      <name val="Lato"/>
      <family val="2"/>
      <scheme val="minor"/>
    </font>
    <font>
      <sz val="12"/>
      <color theme="1" tint="4.9989318521683403E-2"/>
      <name val="Lato"/>
      <family val="2"/>
      <scheme val="minor"/>
    </font>
    <font>
      <sz val="9"/>
      <name val="Source Serif Pro"/>
      <family val="1"/>
      <charset val="204"/>
    </font>
    <font>
      <sz val="9"/>
      <name val="Alegreya Sans"/>
      <charset val="204"/>
    </font>
    <font>
      <sz val="9"/>
      <color rgb="FF999999"/>
      <name val="Alegreya Sans"/>
      <charset val="204"/>
    </font>
    <font>
      <u/>
      <sz val="10"/>
      <color rgb="FF0000FF"/>
      <name val="Arial"/>
      <family val="2"/>
      <charset val="204"/>
    </font>
    <font>
      <sz val="7"/>
      <name val="Source Serif Pro"/>
      <family val="1"/>
      <charset val="204"/>
    </font>
    <font>
      <sz val="18"/>
      <color rgb="FF980000"/>
      <name val="Cormorant SC"/>
      <charset val="204"/>
    </font>
    <font>
      <sz val="9"/>
      <color rgb="FF000000"/>
      <name val="Alegreya Sans"/>
      <charset val="204"/>
    </font>
    <font>
      <sz val="9"/>
      <color rgb="FF000000"/>
      <name val="Source Serif Pro"/>
      <family val="1"/>
      <charset val="204"/>
    </font>
    <font>
      <b/>
      <sz val="9"/>
      <name val="Cormorant SC"/>
      <charset val="204"/>
    </font>
    <font>
      <sz val="9"/>
      <name val="Alegreya"/>
      <charset val="204"/>
    </font>
    <font>
      <b/>
      <sz val="10"/>
      <name val="Cormorant SC"/>
      <charset val="204"/>
    </font>
    <font>
      <sz val="18"/>
      <name val="Cormorant SC"/>
      <charset val="204"/>
    </font>
    <font>
      <sz val="9"/>
      <name val="Alegreya Sans SC"/>
      <charset val="204"/>
    </font>
    <font>
      <sz val="6"/>
      <color rgb="FFFFFFFF"/>
      <name val="Alegreya Sans"/>
      <charset val="204"/>
    </font>
    <font>
      <sz val="9"/>
      <color rgb="FF999999"/>
      <name val="Source Serif Pro"/>
      <family val="1"/>
      <charset val="204"/>
    </font>
    <font>
      <sz val="10"/>
      <color rgb="FF999999"/>
      <name val="Alegreya Sans"/>
      <charset val="204"/>
    </font>
    <font>
      <sz val="9"/>
      <color rgb="FFB7B7B7"/>
      <name val="Source Serif Pro"/>
      <family val="1"/>
      <charset val="204"/>
    </font>
    <font>
      <sz val="7"/>
      <color rgb="FF999999"/>
      <name val="Source Serif Pro"/>
      <family val="1"/>
      <charset val="204"/>
    </font>
    <font>
      <sz val="18"/>
      <color rgb="FF999999"/>
      <name val="Cormorant SC"/>
      <charset val="204"/>
    </font>
    <font>
      <sz val="18"/>
      <color rgb="FF666666"/>
      <name val="Cormorant SC"/>
      <charset val="204"/>
    </font>
    <font>
      <b/>
      <sz val="10"/>
      <color rgb="FF000000"/>
      <name val="Georgia"/>
      <family val="1"/>
      <charset val="204"/>
    </font>
    <font>
      <sz val="11"/>
      <color rgb="FF000000"/>
      <name val="Arial"/>
      <family val="2"/>
      <charset val="204"/>
    </font>
    <font>
      <sz val="14"/>
      <color theme="0"/>
      <name val="Nodesto Cyrillic"/>
      <charset val="204"/>
    </font>
    <font>
      <sz val="14"/>
      <color theme="0"/>
      <name val="Lato"/>
      <family val="2"/>
      <scheme val="minor"/>
    </font>
    <font>
      <u/>
      <sz val="16"/>
      <color rgb="FFFFFF00"/>
      <name val="MrsEavesRoman"/>
    </font>
    <font>
      <i/>
      <sz val="11"/>
      <color theme="1"/>
      <name val="Segoe UI"/>
      <family val="2"/>
      <charset val="204"/>
    </font>
    <font>
      <i/>
      <vertAlign val="superscript"/>
      <sz val="11"/>
      <color rgb="FF000000"/>
      <name val="Arial"/>
      <family val="2"/>
      <charset val="204"/>
    </font>
    <font>
      <i/>
      <sz val="11"/>
      <color rgb="FF000000"/>
      <name val="Arial"/>
      <family val="2"/>
      <charset val="204"/>
    </font>
    <font>
      <vertAlign val="superscript"/>
      <sz val="11"/>
      <color rgb="FF000000"/>
      <name val="Arial"/>
      <family val="2"/>
      <charset val="204"/>
    </font>
    <font>
      <b/>
      <sz val="10"/>
      <color rgb="FFFFFF00"/>
      <name val="Arial"/>
      <family val="2"/>
      <charset val="204"/>
    </font>
    <font>
      <sz val="10"/>
      <color rgb="FFFFFF00"/>
      <name val="Arial"/>
      <family val="2"/>
      <charset val="204"/>
    </font>
    <font>
      <b/>
      <sz val="9"/>
      <color rgb="FFFFFF00"/>
      <name val="Arial"/>
      <family val="2"/>
      <charset val="204"/>
    </font>
    <font>
      <b/>
      <sz val="8"/>
      <color theme="1"/>
      <name val="Nodesto Caps Condensed"/>
    </font>
    <font>
      <b/>
      <sz val="12"/>
      <color rgb="FF3F3F76"/>
      <name val="Nodesto Caps Condensed"/>
    </font>
    <font>
      <sz val="11"/>
      <color theme="0"/>
      <name val="Lato"/>
      <family val="2"/>
      <charset val="204"/>
      <scheme val="minor"/>
    </font>
    <font>
      <sz val="8"/>
      <name val="Lato"/>
      <family val="2"/>
      <charset val="204"/>
      <scheme val="minor"/>
    </font>
    <font>
      <sz val="16"/>
      <color rgb="FFFFFF00"/>
      <name val="Modesto Cyrillic"/>
    </font>
    <font>
      <sz val="18"/>
      <color rgb="FFFFFF00"/>
      <name val="Cormorant SC"/>
      <charset val="204"/>
    </font>
    <font>
      <sz val="12"/>
      <color indexed="81"/>
      <name val="MrsEavesRoman"/>
    </font>
    <font>
      <b/>
      <sz val="12"/>
      <color rgb="FF000000"/>
      <name val="Verdana"/>
      <family val="2"/>
      <charset val="204"/>
    </font>
    <font>
      <sz val="12"/>
      <color rgb="FF000000"/>
      <name val="Verdana"/>
      <family val="2"/>
      <charset val="204"/>
    </font>
    <font>
      <sz val="9"/>
      <color indexed="81"/>
      <name val="MrsEavesRoman"/>
    </font>
    <font>
      <b/>
      <sz val="14"/>
      <color rgb="FFFFFF00"/>
      <name val="Nodesto Cyrillic"/>
      <charset val="204"/>
    </font>
    <font>
      <i/>
      <sz val="8"/>
      <color theme="1"/>
      <name val="Arial"/>
      <family val="2"/>
      <charset val="204"/>
    </font>
    <font>
      <b/>
      <i/>
      <sz val="11"/>
      <color theme="1"/>
      <name val="Lato"/>
      <family val="2"/>
      <charset val="204"/>
      <scheme val="minor"/>
    </font>
    <font>
      <sz val="18"/>
      <color rgb="FFFF0000"/>
      <name val="Lato"/>
      <family val="2"/>
      <charset val="204"/>
      <scheme val="minor"/>
    </font>
    <font>
      <b/>
      <sz val="9.75"/>
      <color theme="1"/>
      <name val="Arial"/>
      <family val="2"/>
      <charset val="204"/>
    </font>
    <font>
      <b/>
      <sz val="7.8"/>
      <color theme="1"/>
      <name val="Arial"/>
      <family val="2"/>
      <charset val="204"/>
    </font>
    <font>
      <sz val="9.75"/>
      <color theme="1"/>
      <name val="Arial"/>
      <family val="2"/>
      <charset val="204"/>
    </font>
    <font>
      <sz val="7.8"/>
      <color theme="1"/>
      <name val="Arial"/>
      <family val="2"/>
      <charset val="204"/>
    </font>
    <font>
      <sz val="9.75"/>
      <color rgb="FF333333"/>
      <name val="Arial"/>
      <family val="2"/>
      <charset val="204"/>
    </font>
    <font>
      <b/>
      <sz val="15"/>
      <color theme="3"/>
      <name val="Segoe UI"/>
      <family val="2"/>
      <charset val="204"/>
    </font>
    <font>
      <i/>
      <sz val="10"/>
      <color rgb="FF000000"/>
      <name val="Arial"/>
      <family val="2"/>
      <charset val="204"/>
    </font>
    <font>
      <sz val="11"/>
      <color theme="0"/>
      <name val="Arial"/>
      <family val="2"/>
      <charset val="204"/>
    </font>
    <font>
      <b/>
      <sz val="11"/>
      <color theme="0"/>
      <name val="Arial"/>
      <family val="2"/>
      <charset val="204"/>
    </font>
    <font>
      <sz val="10"/>
      <color theme="1"/>
      <name val="Scaly Sans"/>
    </font>
    <font>
      <b/>
      <sz val="10.5"/>
      <color theme="1"/>
      <name val="Lato"/>
      <family val="2"/>
      <charset val="204"/>
      <scheme val="minor"/>
    </font>
    <font>
      <sz val="10.5"/>
      <color theme="1"/>
      <name val="Lato"/>
      <family val="2"/>
      <charset val="204"/>
      <scheme val="minor"/>
    </font>
    <font>
      <sz val="11"/>
      <color rgb="FF3F3F76"/>
      <name val="Segoe UI"/>
      <family val="2"/>
      <charset val="204"/>
    </font>
    <font>
      <sz val="10"/>
      <color theme="1"/>
      <name val="Cambria"/>
      <family val="1"/>
      <charset val="204"/>
    </font>
    <font>
      <sz val="10"/>
      <color rgb="FF404040"/>
      <name val="Arial"/>
      <family val="2"/>
      <charset val="204"/>
    </font>
    <font>
      <b/>
      <sz val="10"/>
      <color rgb="FFFFFFFF"/>
      <name val="Calibri"/>
      <family val="2"/>
      <charset val="204"/>
    </font>
    <font>
      <b/>
      <sz val="10"/>
      <color rgb="FFFFFFFF"/>
      <name val="Scaly Sans"/>
    </font>
    <font>
      <b/>
      <sz val="11"/>
      <color indexed="81"/>
      <name val="Tahoma"/>
      <family val="2"/>
    </font>
    <font>
      <b/>
      <sz val="13"/>
      <color theme="3"/>
      <name val="Segoe UI"/>
      <family val="2"/>
      <charset val="204"/>
    </font>
    <font>
      <sz val="11"/>
      <color rgb="FF979797"/>
      <name val="Arial"/>
      <family val="2"/>
      <charset val="204"/>
    </font>
    <font>
      <sz val="11"/>
      <color theme="0"/>
      <name val="Modesto Text Bold "/>
    </font>
    <font>
      <i/>
      <sz val="12"/>
      <color rgb="FFFFFFFF"/>
      <name val="Arial"/>
      <family val="2"/>
      <charset val="204"/>
    </font>
    <font>
      <sz val="12"/>
      <color rgb="FFFFFFFF"/>
      <name val="Arial"/>
      <family val="2"/>
      <charset val="204"/>
    </font>
    <font>
      <i/>
      <sz val="12"/>
      <name val="Arial"/>
      <family val="2"/>
      <charset val="204"/>
    </font>
    <font>
      <i/>
      <sz val="7.5"/>
      <name val="Arial"/>
      <family val="2"/>
      <charset val="204"/>
    </font>
    <font>
      <sz val="7.5"/>
      <name val="Arial"/>
      <family val="2"/>
      <charset val="204"/>
    </font>
    <font>
      <i/>
      <sz val="12"/>
      <color rgb="FFFF0000"/>
      <name val="Arial"/>
      <family val="2"/>
      <charset val="204"/>
    </font>
    <font>
      <sz val="11"/>
      <color theme="1"/>
      <name val="FontAwesome"/>
    </font>
    <font>
      <b/>
      <sz val="10"/>
      <color rgb="FF000000"/>
      <name val="Verdana"/>
      <family val="2"/>
      <charset val="204"/>
    </font>
    <font>
      <sz val="12"/>
      <color rgb="FF3D3464"/>
      <name val="Arial Unicode MS"/>
      <family val="2"/>
      <charset val="204"/>
    </font>
    <font>
      <sz val="11"/>
      <color rgb="FF000000"/>
      <name val="Verdana"/>
      <family val="2"/>
      <charset val="204"/>
    </font>
    <font>
      <b/>
      <sz val="11"/>
      <color rgb="FF000000"/>
      <name val="Verdana"/>
      <family val="2"/>
      <charset val="204"/>
    </font>
    <font>
      <sz val="11"/>
      <color theme="9" tint="-0.499984740745262"/>
      <name val="Lato"/>
      <family val="2"/>
      <charset val="204"/>
      <scheme val="minor"/>
    </font>
    <font>
      <sz val="11"/>
      <color rgb="FF00B0F0"/>
      <name val="Lato"/>
      <family val="2"/>
      <charset val="204"/>
      <scheme val="minor"/>
    </font>
    <font>
      <b/>
      <sz val="12"/>
      <color theme="1"/>
      <name val="Lato"/>
      <family val="2"/>
      <charset val="204"/>
      <scheme val="minor"/>
    </font>
  </fonts>
  <fills count="110">
    <fill>
      <patternFill patternType="none"/>
    </fill>
    <fill>
      <patternFill patternType="gray125"/>
    </fill>
    <fill>
      <patternFill patternType="solid">
        <fgColor indexed="22"/>
        <bgColor indexed="64"/>
      </patternFill>
    </fill>
    <fill>
      <patternFill patternType="solid">
        <fgColor rgb="FF002060"/>
        <bgColor indexed="64"/>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rgb="FFFFFF00"/>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3" tint="0.749992370372631"/>
        <bgColor indexed="64"/>
      </patternFill>
    </fill>
    <fill>
      <patternFill patternType="solid">
        <fgColor theme="4" tint="0.59999389629810485"/>
        <bgColor indexed="64"/>
      </patternFill>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theme="9" tint="0.39994506668294322"/>
        <bgColor indexed="64"/>
      </patternFill>
    </fill>
    <fill>
      <patternFill patternType="solid">
        <fgColor theme="1" tint="0.14999847407452621"/>
        <bgColor indexed="64"/>
      </patternFill>
    </fill>
    <fill>
      <patternFill patternType="solid">
        <fgColor theme="1" tint="4.9989318521683403E-2"/>
        <bgColor indexed="64"/>
      </patternFill>
    </fill>
    <fill>
      <patternFill patternType="solid">
        <fgColor rgb="FF001236"/>
        <bgColor indexed="64"/>
      </patternFill>
    </fill>
    <fill>
      <patternFill patternType="solid">
        <fgColor theme="8"/>
        <bgColor theme="8"/>
      </patternFill>
    </fill>
    <fill>
      <patternFill patternType="solid">
        <fgColor theme="7" tint="0.79998168889431442"/>
        <bgColor indexed="64"/>
      </patternFill>
    </fill>
    <fill>
      <patternFill patternType="solid">
        <fgColor rgb="FF00B0F0"/>
        <bgColor indexed="64"/>
      </patternFill>
    </fill>
    <fill>
      <patternFill patternType="solid">
        <fgColor rgb="FFC6EFCE"/>
        <bgColor rgb="FFC6EFCE"/>
      </patternFill>
    </fill>
    <fill>
      <patternFill patternType="solid">
        <fgColor rgb="FFFFFFFF"/>
        <bgColor rgb="FFFFFFFF"/>
      </patternFill>
    </fill>
    <fill>
      <patternFill patternType="solid">
        <fgColor rgb="FFFDE9D9"/>
        <bgColor rgb="FFFDE9D9"/>
      </patternFill>
    </fill>
    <fill>
      <patternFill patternType="solid">
        <fgColor rgb="FFF2F2F2"/>
        <bgColor rgb="FFF2F2F2"/>
      </patternFill>
    </fill>
    <fill>
      <patternFill patternType="solid">
        <fgColor rgb="FFEFEFEF"/>
        <bgColor rgb="FFEFEFEF"/>
      </patternFill>
    </fill>
    <fill>
      <patternFill patternType="solid">
        <fgColor rgb="FFD9D9D9"/>
        <bgColor rgb="FFD9D9D9"/>
      </patternFill>
    </fill>
    <fill>
      <patternFill patternType="solid">
        <fgColor rgb="FF17365D"/>
        <bgColor rgb="FF17365D"/>
      </patternFill>
    </fill>
    <fill>
      <patternFill patternType="solid">
        <fgColor rgb="FF7F7F7F"/>
        <bgColor rgb="FF7F7F7F"/>
      </patternFill>
    </fill>
    <fill>
      <patternFill patternType="solid">
        <fgColor rgb="FFBFBFBF"/>
        <bgColor rgb="FFBFBFBF"/>
      </patternFill>
    </fill>
    <fill>
      <patternFill patternType="solid">
        <fgColor rgb="FF000000"/>
        <bgColor rgb="FF000000"/>
      </patternFill>
    </fill>
    <fill>
      <patternFill patternType="solid">
        <fgColor rgb="FFD8D8D8"/>
        <bgColor rgb="FFD8D8D8"/>
      </patternFill>
    </fill>
    <fill>
      <patternFill patternType="solid">
        <fgColor rgb="FFA5A5A5"/>
        <bgColor rgb="FFA5A5A5"/>
      </patternFill>
    </fill>
    <fill>
      <patternFill patternType="solid">
        <fgColor rgb="FFFFCC99"/>
        <bgColor rgb="FFFFCC99"/>
      </patternFill>
    </fill>
    <fill>
      <patternFill patternType="solid">
        <fgColor rgb="FF244061"/>
        <bgColor rgb="FF244061"/>
      </patternFill>
    </fill>
    <fill>
      <patternFill patternType="solid">
        <fgColor rgb="FF999999"/>
        <bgColor rgb="FF999999"/>
      </patternFill>
    </fill>
    <fill>
      <patternFill patternType="solid">
        <fgColor rgb="FFCCCCCC"/>
        <bgColor rgb="FFCCCCCC"/>
      </patternFill>
    </fill>
    <fill>
      <patternFill patternType="solid">
        <fgColor rgb="FF3F3F3F"/>
        <bgColor rgb="FF3F3F3F"/>
      </patternFill>
    </fill>
    <fill>
      <patternFill patternType="solid">
        <fgColor rgb="FF434343"/>
        <bgColor rgb="FF434343"/>
      </patternFill>
    </fill>
    <fill>
      <patternFill patternType="solid">
        <fgColor rgb="FF595959"/>
        <bgColor rgb="FF595959"/>
      </patternFill>
    </fill>
    <fill>
      <patternFill patternType="solid">
        <fgColor rgb="FFFF0000"/>
        <bgColor rgb="FFFF0000"/>
      </patternFill>
    </fill>
    <fill>
      <patternFill patternType="solid">
        <fgColor rgb="FFFFEB9C"/>
        <bgColor rgb="FFFFEB9C"/>
      </patternFill>
    </fill>
    <fill>
      <patternFill patternType="solid">
        <fgColor theme="2" tint="-0.249977111117893"/>
        <bgColor indexed="64"/>
      </patternFill>
    </fill>
    <fill>
      <patternFill patternType="solid">
        <fgColor rgb="FFC4D79B"/>
        <bgColor indexed="64"/>
      </patternFill>
    </fill>
    <fill>
      <patternFill patternType="solid">
        <fgColor rgb="FFCCFFCC"/>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theme="3" tint="0.39997558519241921"/>
        <bgColor indexed="64"/>
      </patternFill>
    </fill>
    <fill>
      <patternFill patternType="solid">
        <fgColor rgb="FF808000"/>
        <bgColor indexed="64"/>
      </patternFill>
    </fill>
    <fill>
      <patternFill patternType="solid">
        <fgColor theme="2" tint="-0.499984740745262"/>
        <bgColor indexed="64"/>
      </patternFill>
    </fill>
    <fill>
      <patternFill patternType="solid">
        <fgColor theme="6" tint="0.3999450666829432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3" tint="0.59996337778862885"/>
        <bgColor indexed="64"/>
      </patternFill>
    </fill>
    <fill>
      <patternFill patternType="solid">
        <fgColor theme="0"/>
        <bgColor indexed="64"/>
      </patternFill>
    </fill>
    <fill>
      <patternFill patternType="solid">
        <fgColor theme="2" tint="-0.749992370372631"/>
        <bgColor indexed="64"/>
      </patternFill>
    </fill>
    <fill>
      <patternFill patternType="solid">
        <fgColor theme="0" tint="-0.34998626667073579"/>
        <bgColor indexed="64"/>
      </patternFill>
    </fill>
    <fill>
      <patternFill patternType="solid">
        <fgColor theme="9" tint="-0.249977111117893"/>
        <bgColor indexed="64"/>
      </patternFill>
    </fill>
    <fill>
      <patternFill patternType="solid">
        <fgColor theme="9" tint="-0.24994659260841701"/>
        <bgColor indexed="64"/>
      </patternFill>
    </fill>
    <fill>
      <patternFill patternType="solid">
        <fgColor rgb="FFFFFF1D"/>
        <bgColor indexed="64"/>
      </patternFill>
    </fill>
    <fill>
      <patternFill patternType="solid">
        <fgColor theme="7" tint="0.59999389629810485"/>
        <bgColor indexed="64"/>
      </patternFill>
    </fill>
    <fill>
      <patternFill patternType="solid">
        <fgColor theme="7" tint="0.59996337778862885"/>
        <bgColor indexed="64"/>
      </patternFill>
    </fill>
    <fill>
      <patternFill patternType="solid">
        <fgColor theme="6" tint="0.59996337778862885"/>
        <bgColor indexed="64"/>
      </patternFill>
    </fill>
    <fill>
      <patternFill patternType="solid">
        <fgColor theme="4" tint="0.39994506668294322"/>
        <bgColor indexed="64"/>
      </patternFill>
    </fill>
    <fill>
      <patternFill patternType="solid">
        <fgColor theme="0" tint="-9.9978637043366805E-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5"/>
        <bgColor indexed="64"/>
      </patternFill>
    </fill>
    <fill>
      <patternFill patternType="solid">
        <fgColor theme="4" tint="0.59996337778862885"/>
        <bgColor indexed="64"/>
      </patternFill>
    </fill>
    <fill>
      <patternFill patternType="solid">
        <fgColor theme="8" tint="0.59996337778862885"/>
        <bgColor indexed="64"/>
      </patternFill>
    </fill>
    <fill>
      <patternFill patternType="solid">
        <fgColor theme="9" tint="0.59999389629810485"/>
        <bgColor indexed="64"/>
      </patternFill>
    </fill>
    <fill>
      <patternFill patternType="solid">
        <fgColor rgb="FFFFFDAF"/>
        <bgColor indexed="64"/>
      </patternFill>
    </fill>
    <fill>
      <patternFill patternType="solid">
        <fgColor theme="0" tint="-0.149967955565050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theme="0" tint="-0.24994659260841701"/>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rgb="FFC00000"/>
        <bgColor indexed="64"/>
      </patternFill>
    </fill>
    <fill>
      <patternFill patternType="solid">
        <fgColor rgb="FFF3F3F3"/>
        <bgColor rgb="FFF3F3F3"/>
      </patternFill>
    </fill>
    <fill>
      <patternFill patternType="solid">
        <fgColor rgb="FF7030A0"/>
        <bgColor indexed="64"/>
      </patternFill>
    </fill>
    <fill>
      <patternFill patternType="solid">
        <fgColor rgb="FF7030A0"/>
        <bgColor auto="1"/>
      </patternFill>
    </fill>
    <fill>
      <patternFill patternType="solid">
        <fgColor rgb="FF002060"/>
        <bgColor auto="1"/>
      </patternFill>
    </fill>
    <fill>
      <patternFill patternType="solid">
        <fgColor rgb="FFD2D3D5"/>
        <bgColor indexed="64"/>
      </patternFill>
    </fill>
    <fill>
      <patternFill patternType="solid">
        <fgColor rgb="FFFFFFFF"/>
        <bgColor indexed="64"/>
      </patternFill>
    </fill>
    <fill>
      <patternFill patternType="solid">
        <fgColor rgb="FF002060"/>
        <bgColor rgb="FFFFFFFF"/>
      </patternFill>
    </fill>
    <fill>
      <patternFill patternType="solid">
        <fgColor rgb="FF002060"/>
        <bgColor theme="4"/>
      </patternFill>
    </fill>
    <fill>
      <patternFill patternType="solid">
        <fgColor theme="8" tint="0.59999389629810485"/>
        <bgColor indexed="64"/>
      </patternFill>
    </fill>
    <fill>
      <patternFill patternType="solid">
        <fgColor rgb="FFFFFFCC"/>
        <bgColor indexed="64"/>
      </patternFill>
    </fill>
    <fill>
      <patternFill patternType="solid">
        <fgColor theme="5"/>
        <bgColor theme="5"/>
      </patternFill>
    </fill>
    <fill>
      <patternFill patternType="solid">
        <fgColor theme="4" tint="-0.249977111117893"/>
        <bgColor indexed="64"/>
      </patternFill>
    </fill>
    <fill>
      <patternFill patternType="solid">
        <fgColor theme="2" tint="-9.9978637043366805E-2"/>
        <bgColor indexed="64"/>
      </patternFill>
    </fill>
    <fill>
      <patternFill patternType="solid">
        <fgColor rgb="FFEEEEEE"/>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rgb="FF000000"/>
        <bgColor indexed="64"/>
      </patternFill>
    </fill>
    <fill>
      <patternFill patternType="solid">
        <fgColor theme="0" tint="-0.499984740745262"/>
        <bgColor indexed="64"/>
      </patternFill>
    </fill>
    <fill>
      <patternFill patternType="solid">
        <fgColor theme="4"/>
        <bgColor theme="4"/>
      </patternFill>
    </fill>
    <fill>
      <patternFill patternType="solid">
        <fgColor theme="8" tint="-0.499984740745262"/>
        <bgColor indexed="64"/>
      </patternFill>
    </fill>
    <fill>
      <patternFill patternType="solid">
        <fgColor theme="9"/>
        <bgColor theme="9"/>
      </patternFill>
    </fill>
  </fills>
  <borders count="468">
    <border>
      <left/>
      <right/>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ck">
        <color indexed="64"/>
      </right>
      <top/>
      <bottom/>
      <diagonal/>
    </border>
    <border>
      <left/>
      <right style="thick">
        <color indexed="64"/>
      </right>
      <top/>
      <bottom style="thick">
        <color indexed="64"/>
      </bottom>
      <diagonal/>
    </border>
    <border>
      <left/>
      <right/>
      <top style="thick">
        <color indexed="64"/>
      </top>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bottom/>
      <diagonal/>
    </border>
    <border>
      <left style="thick">
        <color indexed="64"/>
      </left>
      <right/>
      <top/>
      <bottom style="thick">
        <color indexed="64"/>
      </bottom>
      <diagonal/>
    </border>
    <border>
      <left style="double">
        <color auto="1"/>
      </left>
      <right/>
      <top/>
      <bottom/>
      <diagonal/>
    </border>
    <border>
      <left/>
      <right/>
      <top style="double">
        <color auto="1"/>
      </top>
      <bottom/>
      <diagonal/>
    </border>
    <border>
      <left style="thin">
        <color auto="1"/>
      </left>
      <right style="thin">
        <color auto="1"/>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thin">
        <color theme="9"/>
      </left>
      <right style="thin">
        <color theme="9"/>
      </right>
      <top style="thin">
        <color theme="9"/>
      </top>
      <bottom style="medium">
        <color theme="9"/>
      </bottom>
      <diagonal/>
    </border>
    <border>
      <left style="thin">
        <color rgb="FFB2B2B2"/>
      </left>
      <right/>
      <top/>
      <bottom/>
      <diagonal/>
    </border>
    <border>
      <left/>
      <right/>
      <top style="thin">
        <color theme="9"/>
      </top>
      <bottom style="thin">
        <color theme="9"/>
      </bottom>
      <diagonal/>
    </border>
    <border>
      <left style="thin">
        <color rgb="FF7F7F7F"/>
      </left>
      <right/>
      <top/>
      <bottom/>
      <diagonal/>
    </border>
    <border>
      <left style="thin">
        <color rgb="FF3F3F3F"/>
      </left>
      <right style="thin">
        <color rgb="FF3F3F3F"/>
      </right>
      <top style="thin">
        <color rgb="FF3F3F3F"/>
      </top>
      <bottom/>
      <diagonal/>
    </border>
    <border>
      <left style="thin">
        <color rgb="FF3F3F3F"/>
      </left>
      <right style="thin">
        <color rgb="FF3F3F3F"/>
      </right>
      <top style="thin">
        <color rgb="FF3F3F3F"/>
      </top>
      <bottom style="thin">
        <color theme="8"/>
      </bottom>
      <diagonal/>
    </border>
    <border>
      <left/>
      <right style="medium">
        <color rgb="FF000000"/>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style="medium">
        <color rgb="FF000000"/>
      </left>
      <right/>
      <top/>
      <bottom style="medium">
        <color rgb="FF000000"/>
      </bottom>
      <diagonal/>
    </border>
    <border>
      <left/>
      <right style="medium">
        <color rgb="FF000000"/>
      </right>
      <top/>
      <bottom/>
      <diagonal/>
    </border>
    <border>
      <left/>
      <right style="thin">
        <color rgb="FF000000"/>
      </right>
      <top/>
      <bottom/>
      <diagonal/>
    </border>
    <border>
      <left style="thin">
        <color rgb="FF000000"/>
      </left>
      <right/>
      <top/>
      <bottom/>
      <diagonal/>
    </border>
    <border>
      <left style="medium">
        <color rgb="FF000000"/>
      </left>
      <right/>
      <top/>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right/>
      <top style="medium">
        <color rgb="FF000000"/>
      </top>
      <bottom style="thin">
        <color rgb="FF000000"/>
      </bottom>
      <diagonal/>
    </border>
    <border>
      <left style="medium">
        <color rgb="FF000000"/>
      </left>
      <right/>
      <top style="medium">
        <color rgb="FF000000"/>
      </top>
      <bottom style="medium">
        <color rgb="FF000000"/>
      </bottom>
      <diagonal/>
    </border>
    <border>
      <left/>
      <right style="medium">
        <color rgb="FF000000"/>
      </right>
      <top style="thin">
        <color rgb="FF000000"/>
      </top>
      <bottom style="medium">
        <color rgb="FF000000"/>
      </bottom>
      <diagonal/>
    </border>
    <border>
      <left/>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rgb="FF000000"/>
      </left>
      <right/>
      <top style="thin">
        <color rgb="FF000000"/>
      </top>
      <bottom style="medium">
        <color rgb="FF000000"/>
      </bottom>
      <diagonal/>
    </border>
    <border>
      <left/>
      <right style="medium">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diagonal/>
    </border>
    <border>
      <left/>
      <right/>
      <top style="thin">
        <color rgb="FF000000"/>
      </top>
      <bottom/>
      <diagonal/>
    </border>
    <border>
      <left style="medium">
        <color rgb="FF000000"/>
      </left>
      <right/>
      <top style="thin">
        <color rgb="FF000000"/>
      </top>
      <bottom/>
      <diagonal/>
    </border>
    <border>
      <left/>
      <right style="medium">
        <color rgb="FF000000"/>
      </right>
      <top/>
      <bottom style="thin">
        <color rgb="FF000000"/>
      </bottom>
      <diagonal/>
    </border>
    <border>
      <left/>
      <right/>
      <top/>
      <bottom style="thin">
        <color rgb="FF000000"/>
      </bottom>
      <diagonal/>
    </border>
    <border>
      <left style="medium">
        <color rgb="FF000000"/>
      </left>
      <right/>
      <top/>
      <bottom style="thin">
        <color rgb="FF000000"/>
      </bottom>
      <diagonal/>
    </border>
    <border>
      <left/>
      <right style="medium">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diagonal/>
    </border>
    <border>
      <left/>
      <right/>
      <top style="medium">
        <color rgb="FF000000"/>
      </top>
      <bottom/>
      <diagonal/>
    </border>
    <border>
      <left style="medium">
        <color rgb="FF000000"/>
      </left>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FFFFFF"/>
      </left>
      <right/>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FFFFFF"/>
      </left>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bottom style="thin">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bottom style="medium">
        <color rgb="FFA3A3A3"/>
      </bottom>
      <diagonal/>
    </border>
    <border>
      <left style="medium">
        <color rgb="FFA3A3A3"/>
      </left>
      <right style="medium">
        <color rgb="FFA3A3A3"/>
      </right>
      <top style="medium">
        <color rgb="FFA3A3A3"/>
      </top>
      <bottom/>
      <diagonal/>
    </border>
    <border>
      <left style="thin">
        <color rgb="FF000000"/>
      </left>
      <right style="thin">
        <color rgb="FF000000"/>
      </right>
      <top style="thin">
        <color rgb="FF000000"/>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style="double">
        <color auto="1"/>
      </left>
      <right/>
      <top style="medium">
        <color auto="1"/>
      </top>
      <bottom style="thin">
        <color auto="1"/>
      </bottom>
      <diagonal/>
    </border>
    <border>
      <left/>
      <right/>
      <top style="medium">
        <color auto="1"/>
      </top>
      <bottom style="thin">
        <color auto="1"/>
      </bottom>
      <diagonal/>
    </border>
    <border>
      <left/>
      <right style="double">
        <color auto="1"/>
      </right>
      <top style="medium">
        <color auto="1"/>
      </top>
      <bottom style="thin">
        <color auto="1"/>
      </bottom>
      <diagonal/>
    </border>
    <border>
      <left style="double">
        <color auto="1"/>
      </left>
      <right/>
      <top style="medium">
        <color auto="1"/>
      </top>
      <bottom/>
      <diagonal/>
    </border>
    <border>
      <left/>
      <right style="double">
        <color auto="1"/>
      </right>
      <top style="medium">
        <color auto="1"/>
      </top>
      <bottom/>
      <diagonal/>
    </border>
    <border>
      <left/>
      <right/>
      <top style="medium">
        <color auto="1"/>
      </top>
      <bottom style="hair">
        <color auto="1"/>
      </bottom>
      <diagonal/>
    </border>
    <border>
      <left/>
      <right style="medium">
        <color auto="1"/>
      </right>
      <top style="medium">
        <color auto="1"/>
      </top>
      <bottom style="hair">
        <color auto="1"/>
      </bottom>
      <diagonal/>
    </border>
    <border>
      <left/>
      <right style="medium">
        <color auto="1"/>
      </right>
      <top/>
      <bottom/>
      <diagonal/>
    </border>
    <border>
      <left style="double">
        <color auto="1"/>
      </left>
      <right style="thin">
        <color auto="1"/>
      </right>
      <top/>
      <bottom/>
      <diagonal/>
    </border>
    <border>
      <left/>
      <right style="double">
        <color auto="1"/>
      </right>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hair">
        <color auto="1"/>
      </top>
      <bottom/>
      <diagonal/>
    </border>
    <border>
      <left style="thin">
        <color auto="1"/>
      </left>
      <right style="thin">
        <color auto="1"/>
      </right>
      <top style="hair">
        <color auto="1"/>
      </top>
      <bottom/>
      <diagonal/>
    </border>
    <border>
      <left style="thin">
        <color auto="1"/>
      </left>
      <right/>
      <top style="hair">
        <color auto="1"/>
      </top>
      <bottom/>
      <diagonal/>
    </border>
    <border>
      <left/>
      <right style="thin">
        <color auto="1"/>
      </right>
      <top style="hair">
        <color auto="1"/>
      </top>
      <bottom/>
      <diagonal/>
    </border>
    <border>
      <left style="thin">
        <color auto="1"/>
      </left>
      <right style="medium">
        <color auto="1"/>
      </right>
      <top style="hair">
        <color auto="1"/>
      </top>
      <bottom/>
      <diagonal/>
    </border>
    <border>
      <left style="medium">
        <color auto="1"/>
      </left>
      <right/>
      <top/>
      <bottom style="thin">
        <color indexed="64"/>
      </bottom>
      <diagonal/>
    </border>
    <border>
      <left/>
      <right style="medium">
        <color auto="1"/>
      </right>
      <top/>
      <bottom style="thin">
        <color indexed="64"/>
      </bottom>
      <diagonal/>
    </border>
    <border>
      <left style="medium">
        <color auto="1"/>
      </left>
      <right/>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double">
        <color auto="1"/>
      </right>
      <top/>
      <bottom style="medium">
        <color auto="1"/>
      </bottom>
      <diagonal/>
    </border>
    <border>
      <left style="double">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double">
        <color auto="1"/>
      </right>
      <top style="thin">
        <color auto="1"/>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style="hair">
        <color auto="1"/>
      </bottom>
      <diagonal/>
    </border>
    <border>
      <left style="double">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medium">
        <color auto="1"/>
      </top>
      <bottom style="hair">
        <color auto="1"/>
      </bottom>
      <diagonal/>
    </border>
    <border>
      <left/>
      <right style="thin">
        <color auto="1"/>
      </right>
      <top style="medium">
        <color auto="1"/>
      </top>
      <bottom style="hair">
        <color auto="1"/>
      </bottom>
      <diagonal/>
    </border>
    <border>
      <left style="thin">
        <color auto="1"/>
      </left>
      <right/>
      <top style="medium">
        <color auto="1"/>
      </top>
      <bottom style="hair">
        <color auto="1"/>
      </bottom>
      <diagonal/>
    </border>
    <border>
      <left style="thin">
        <color auto="1"/>
      </left>
      <right style="thin">
        <color auto="1"/>
      </right>
      <top/>
      <bottom style="hair">
        <color auto="1"/>
      </bottom>
      <diagonal/>
    </border>
    <border>
      <left style="medium">
        <color auto="1"/>
      </left>
      <right/>
      <top style="hair">
        <color auto="1"/>
      </top>
      <bottom style="hair">
        <color auto="1"/>
      </bottom>
      <diagonal/>
    </border>
    <border>
      <left style="double">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medium">
        <color auto="1"/>
      </left>
      <right style="thin">
        <color auto="1"/>
      </right>
      <top style="thin">
        <color auto="1"/>
      </top>
      <bottom style="thin">
        <color auto="1"/>
      </bottom>
      <diagonal/>
    </border>
    <border>
      <left style="thin">
        <color auto="1"/>
      </left>
      <right style="double">
        <color auto="1"/>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hair">
        <color auto="1"/>
      </bottom>
      <diagonal/>
    </border>
    <border>
      <left style="medium">
        <color auto="1"/>
      </left>
      <right/>
      <top style="hair">
        <color auto="1"/>
      </top>
      <bottom/>
      <diagonal/>
    </border>
    <border>
      <left style="medium">
        <color auto="1"/>
      </left>
      <right style="thin">
        <color auto="1"/>
      </right>
      <top style="thin">
        <color auto="1"/>
      </top>
      <bottom/>
      <diagonal/>
    </border>
    <border>
      <left style="thin">
        <color auto="1"/>
      </left>
      <right style="double">
        <color auto="1"/>
      </right>
      <top style="thin">
        <color auto="1"/>
      </top>
      <bottom/>
      <diagonal/>
    </border>
    <border>
      <left style="thin">
        <color auto="1"/>
      </left>
      <right style="double">
        <color auto="1"/>
      </right>
      <top style="hair">
        <color auto="1"/>
      </top>
      <bottom/>
      <diagonal/>
    </border>
    <border>
      <left style="medium">
        <color auto="1"/>
      </left>
      <right/>
      <top style="hair">
        <color auto="1"/>
      </top>
      <bottom style="medium">
        <color auto="1"/>
      </bottom>
      <diagonal/>
    </border>
    <border>
      <left style="double">
        <color auto="1"/>
      </left>
      <right style="thin">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thin">
        <color auto="1"/>
      </right>
      <top style="hair">
        <color auto="1"/>
      </top>
      <bottom style="medium">
        <color auto="1"/>
      </bottom>
      <diagonal/>
    </border>
    <border>
      <left style="thin">
        <color auto="1"/>
      </left>
      <right style="double">
        <color auto="1"/>
      </right>
      <top style="hair">
        <color auto="1"/>
      </top>
      <bottom style="medium">
        <color auto="1"/>
      </bottom>
      <diagonal/>
    </border>
    <border>
      <left/>
      <right style="thin">
        <color auto="1"/>
      </right>
      <top style="hair">
        <color auto="1"/>
      </top>
      <bottom style="medium">
        <color auto="1"/>
      </bottom>
      <diagonal/>
    </border>
    <border>
      <left style="thin">
        <color auto="1"/>
      </left>
      <right/>
      <top style="hair">
        <color auto="1"/>
      </top>
      <bottom style="medium">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diagonal/>
    </border>
    <border>
      <left style="double">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medium">
        <color indexed="64"/>
      </right>
      <top style="thin">
        <color auto="1"/>
      </top>
      <bottom style="thin">
        <color auto="1"/>
      </bottom>
      <diagonal/>
    </border>
    <border>
      <left style="medium">
        <color auto="1"/>
      </left>
      <right style="thin">
        <color auto="1"/>
      </right>
      <top/>
      <bottom style="medium">
        <color auto="1"/>
      </bottom>
      <diagonal/>
    </border>
    <border>
      <left style="double">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medium">
        <color auto="1"/>
      </right>
      <top style="medium">
        <color auto="1"/>
      </top>
      <bottom style="hair">
        <color auto="1"/>
      </bottom>
      <diagonal/>
    </border>
    <border>
      <left/>
      <right style="medium">
        <color auto="1"/>
      </right>
      <top/>
      <bottom style="medium">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diagonal/>
    </border>
    <border>
      <left style="double">
        <color auto="1"/>
      </left>
      <right style="medium">
        <color auto="1"/>
      </right>
      <top style="medium">
        <color auto="1"/>
      </top>
      <bottom style="hair">
        <color auto="1"/>
      </bottom>
      <diagonal/>
    </border>
    <border>
      <left style="medium">
        <color auto="1"/>
      </left>
      <right style="medium">
        <color auto="1"/>
      </right>
      <top style="hair">
        <color auto="1"/>
      </top>
      <bottom style="hair">
        <color auto="1"/>
      </bottom>
      <diagonal/>
    </border>
    <border>
      <left style="medium">
        <color auto="1"/>
      </left>
      <right style="thin">
        <color auto="1"/>
      </right>
      <top style="hair">
        <color auto="1"/>
      </top>
      <bottom style="hair">
        <color auto="1"/>
      </bottom>
      <diagonal/>
    </border>
    <border>
      <left style="double">
        <color auto="1"/>
      </left>
      <right style="medium">
        <color auto="1"/>
      </right>
      <top style="hair">
        <color auto="1"/>
      </top>
      <bottom style="hair">
        <color auto="1"/>
      </bottom>
      <diagonal/>
    </border>
    <border>
      <left style="medium">
        <color auto="1"/>
      </left>
      <right style="thin">
        <color auto="1"/>
      </right>
      <top style="hair">
        <color auto="1"/>
      </top>
      <bottom/>
      <diagonal/>
    </border>
    <border>
      <left style="double">
        <color auto="1"/>
      </left>
      <right style="medium">
        <color auto="1"/>
      </right>
      <top style="hair">
        <color auto="1"/>
      </top>
      <bottom/>
      <diagonal/>
    </border>
    <border>
      <left style="medium">
        <color auto="1"/>
      </left>
      <right style="thin">
        <color auto="1"/>
      </right>
      <top/>
      <bottom style="hair">
        <color auto="1"/>
      </bottom>
      <diagonal/>
    </border>
    <border>
      <left style="thin">
        <color auto="1"/>
      </left>
      <right/>
      <top/>
      <bottom style="hair">
        <color auto="1"/>
      </bottom>
      <diagonal/>
    </border>
    <border>
      <left style="double">
        <color auto="1"/>
      </left>
      <right style="medium">
        <color auto="1"/>
      </right>
      <top/>
      <bottom style="hair">
        <color auto="1"/>
      </bottom>
      <diagonal/>
    </border>
    <border>
      <left style="double">
        <color auto="1"/>
      </left>
      <right style="medium">
        <color auto="1"/>
      </right>
      <top style="hair">
        <color auto="1"/>
      </top>
      <bottom style="medium">
        <color auto="1"/>
      </bottom>
      <diagonal/>
    </border>
    <border>
      <left/>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style="hair">
        <color auto="1"/>
      </bottom>
      <diagonal/>
    </border>
    <border>
      <left style="medium">
        <color auto="1"/>
      </left>
      <right style="medium">
        <color auto="1"/>
      </right>
      <top style="hair">
        <color auto="1"/>
      </top>
      <bottom style="medium">
        <color auto="1"/>
      </bottom>
      <diagonal/>
    </border>
    <border>
      <left style="medium">
        <color auto="1"/>
      </left>
      <right style="thin">
        <color auto="1"/>
      </right>
      <top style="hair">
        <color auto="1"/>
      </top>
      <bottom style="thin">
        <color auto="1"/>
      </bottom>
      <diagonal/>
    </border>
    <border>
      <left style="thin">
        <color auto="1"/>
      </left>
      <right style="thin">
        <color auto="1"/>
      </right>
      <top style="hair">
        <color auto="1"/>
      </top>
      <bottom style="thin">
        <color auto="1"/>
      </bottom>
      <diagonal/>
    </border>
    <border>
      <left/>
      <right style="thin">
        <color auto="1"/>
      </right>
      <top style="hair">
        <color auto="1"/>
      </top>
      <bottom style="thin">
        <color auto="1"/>
      </bottom>
      <diagonal/>
    </border>
    <border>
      <left/>
      <right/>
      <top style="hair">
        <color auto="1"/>
      </top>
      <bottom style="thin">
        <color auto="1"/>
      </bottom>
      <diagonal/>
    </border>
    <border>
      <left style="thin">
        <color auto="1"/>
      </left>
      <right style="medium">
        <color auto="1"/>
      </right>
      <top style="hair">
        <color auto="1"/>
      </top>
      <bottom style="thin">
        <color auto="1"/>
      </bottom>
      <diagonal/>
    </border>
    <border>
      <left/>
      <right style="thin">
        <color auto="1"/>
      </right>
      <top/>
      <bottom style="hair">
        <color auto="1"/>
      </bottom>
      <diagonal/>
    </border>
    <border>
      <left/>
      <right style="medium">
        <color auto="1"/>
      </right>
      <top style="hair">
        <color auto="1"/>
      </top>
      <bottom style="hair">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bottom/>
      <diagonal/>
    </border>
    <border>
      <left style="thin">
        <color auto="1"/>
      </left>
      <right style="medium">
        <color auto="1"/>
      </right>
      <top/>
      <bottom/>
      <diagonal/>
    </border>
    <border>
      <left/>
      <right style="medium">
        <color auto="1"/>
      </right>
      <top/>
      <bottom style="hair">
        <color auto="1"/>
      </bottom>
      <diagonal/>
    </border>
    <border>
      <left/>
      <right style="medium">
        <color auto="1"/>
      </right>
      <top style="hair">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bottom style="hair">
        <color auto="1"/>
      </bottom>
      <diagonal/>
    </border>
    <border>
      <left/>
      <right/>
      <top/>
      <bottom style="hair">
        <color auto="1"/>
      </bottom>
      <diagonal/>
    </border>
    <border>
      <left/>
      <right style="medium">
        <color auto="1"/>
      </right>
      <top/>
      <bottom style="dotted">
        <color auto="1"/>
      </bottom>
      <diagonal/>
    </border>
    <border>
      <left/>
      <right style="medium">
        <color auto="1"/>
      </right>
      <top style="dotted">
        <color auto="1"/>
      </top>
      <bottom style="dotted">
        <color auto="1"/>
      </bottom>
      <diagonal/>
    </border>
    <border>
      <left style="medium">
        <color auto="1"/>
      </left>
      <right style="medium">
        <color auto="1"/>
      </right>
      <top style="hair">
        <color auto="1"/>
      </top>
      <bottom/>
      <diagonal/>
    </border>
    <border>
      <left/>
      <right style="thin">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dotted">
        <color auto="1"/>
      </bottom>
      <diagonal/>
    </border>
    <border>
      <left style="medium">
        <color indexed="64"/>
      </left>
      <right/>
      <top style="medium">
        <color indexed="64"/>
      </top>
      <bottom style="dotted">
        <color auto="1"/>
      </bottom>
      <diagonal/>
    </border>
    <border>
      <left style="medium">
        <color auto="1"/>
      </left>
      <right/>
      <top/>
      <bottom style="hair">
        <color auto="1"/>
      </bottom>
      <diagonal/>
    </border>
    <border>
      <left style="medium">
        <color auto="1"/>
      </left>
      <right/>
      <top/>
      <bottom style="dotted">
        <color auto="1"/>
      </bottom>
      <diagonal/>
    </border>
    <border>
      <left style="medium">
        <color auto="1"/>
      </left>
      <right style="medium">
        <color auto="1"/>
      </right>
      <top style="dotted">
        <color auto="1"/>
      </top>
      <bottom style="hair">
        <color auto="1"/>
      </bottom>
      <diagonal/>
    </border>
    <border>
      <left style="medium">
        <color auto="1"/>
      </left>
      <right/>
      <top style="dotted">
        <color auto="1"/>
      </top>
      <bottom style="hair">
        <color auto="1"/>
      </bottom>
      <diagonal/>
    </border>
    <border>
      <left style="medium">
        <color auto="1"/>
      </left>
      <right style="medium">
        <color auto="1"/>
      </right>
      <top style="thin">
        <color auto="1"/>
      </top>
      <bottom style="thin">
        <color auto="1"/>
      </bottom>
      <diagonal/>
    </border>
    <border>
      <left style="thin">
        <color auto="1"/>
      </left>
      <right style="thin">
        <color auto="1"/>
      </right>
      <top/>
      <bottom style="dotted">
        <color auto="1"/>
      </bottom>
      <diagonal/>
    </border>
    <border>
      <left style="thin">
        <color auto="1"/>
      </left>
      <right style="medium">
        <color auto="1"/>
      </right>
      <top/>
      <bottom style="dotted">
        <color auto="1"/>
      </bottom>
      <diagonal/>
    </border>
    <border>
      <left style="thin">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medium">
        <color auto="1"/>
      </right>
      <top style="dotted">
        <color auto="1"/>
      </top>
      <bottom style="dotted">
        <color auto="1"/>
      </bottom>
      <diagonal/>
    </border>
    <border>
      <left style="medium">
        <color auto="1"/>
      </left>
      <right/>
      <top style="dotted">
        <color auto="1"/>
      </top>
      <bottom style="dotted">
        <color auto="1"/>
      </bottom>
      <diagonal/>
    </border>
    <border>
      <left style="medium">
        <color auto="1"/>
      </left>
      <right style="medium">
        <color auto="1"/>
      </right>
      <top style="dotted">
        <color auto="1"/>
      </top>
      <bottom style="medium">
        <color auto="1"/>
      </bottom>
      <diagonal/>
    </border>
    <border>
      <left style="medium">
        <color auto="1"/>
      </left>
      <right/>
      <top style="dotted">
        <color auto="1"/>
      </top>
      <bottom style="medium">
        <color auto="1"/>
      </bottom>
      <diagonal/>
    </border>
    <border>
      <left style="thin">
        <color auto="1"/>
      </left>
      <right style="medium">
        <color auto="1"/>
      </right>
      <top style="thin">
        <color auto="1"/>
      </top>
      <bottom/>
      <diagonal/>
    </border>
    <border>
      <left/>
      <right/>
      <top/>
      <bottom style="dotted">
        <color auto="1"/>
      </bottom>
      <diagonal/>
    </border>
    <border>
      <left style="medium">
        <color auto="1"/>
      </left>
      <right style="medium">
        <color auto="1"/>
      </right>
      <top/>
      <bottom style="medium">
        <color auto="1"/>
      </bottom>
      <diagonal/>
    </border>
    <border>
      <left style="medium">
        <color auto="1"/>
      </left>
      <right/>
      <top style="thin">
        <color auto="1"/>
      </top>
      <bottom/>
      <diagonal/>
    </border>
    <border>
      <left style="thin">
        <color auto="1"/>
      </left>
      <right/>
      <top style="thin">
        <color auto="1"/>
      </top>
      <bottom style="medium">
        <color auto="1"/>
      </bottom>
      <diagonal/>
    </border>
    <border>
      <left/>
      <right/>
      <top style="hair">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style="medium">
        <color auto="1"/>
      </right>
      <top style="dashed">
        <color auto="1"/>
      </top>
      <bottom style="medium">
        <color auto="1"/>
      </bottom>
      <diagonal/>
    </border>
    <border>
      <left style="medium">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medium">
        <color auto="1"/>
      </left>
      <right/>
      <top style="medium">
        <color auto="1"/>
      </top>
      <bottom style="thin">
        <color auto="1"/>
      </bottom>
      <diagonal/>
    </border>
    <border>
      <left style="medium">
        <color auto="1"/>
      </left>
      <right style="medium">
        <color auto="1"/>
      </right>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medium">
        <color auto="1"/>
      </right>
      <top style="dashed">
        <color auto="1"/>
      </top>
      <bottom style="hair">
        <color auto="1"/>
      </bottom>
      <diagonal/>
    </border>
    <border>
      <left style="medium">
        <color auto="1"/>
      </left>
      <right style="medium">
        <color auto="1"/>
      </right>
      <top style="dotted">
        <color auto="1"/>
      </top>
      <bottom style="dashed">
        <color auto="1"/>
      </bottom>
      <diagonal/>
    </border>
    <border>
      <left style="medium">
        <color auto="1"/>
      </left>
      <right style="medium">
        <color auto="1"/>
      </right>
      <top style="dashed">
        <color auto="1"/>
      </top>
      <bottom style="dotted">
        <color auto="1"/>
      </bottom>
      <diagonal/>
    </border>
    <border>
      <left style="medium">
        <color auto="1"/>
      </left>
      <right style="double">
        <color auto="1"/>
      </right>
      <top style="medium">
        <color auto="1"/>
      </top>
      <bottom style="hair">
        <color auto="1"/>
      </bottom>
      <diagonal/>
    </border>
    <border>
      <left style="double">
        <color auto="1"/>
      </left>
      <right/>
      <top style="medium">
        <color auto="1"/>
      </top>
      <bottom style="hair">
        <color auto="1"/>
      </bottom>
      <diagonal/>
    </border>
    <border>
      <left style="double">
        <color auto="1"/>
      </left>
      <right/>
      <top style="hair">
        <color auto="1"/>
      </top>
      <bottom style="hair">
        <color auto="1"/>
      </bottom>
      <diagonal/>
    </border>
    <border>
      <left style="medium">
        <color auto="1"/>
      </left>
      <right style="double">
        <color auto="1"/>
      </right>
      <top style="hair">
        <color auto="1"/>
      </top>
      <bottom style="hair">
        <color auto="1"/>
      </bottom>
      <diagonal/>
    </border>
    <border>
      <left/>
      <right/>
      <top style="hair">
        <color auto="1"/>
      </top>
      <bottom style="hair">
        <color auto="1"/>
      </bottom>
      <diagonal/>
    </border>
    <border>
      <left style="thin">
        <color auto="1"/>
      </left>
      <right style="medium">
        <color auto="1"/>
      </right>
      <top style="thin">
        <color auto="1"/>
      </top>
      <bottom style="hair">
        <color auto="1"/>
      </bottom>
      <diagonal/>
    </border>
    <border>
      <left style="double">
        <color auto="1"/>
      </left>
      <right style="thin">
        <color auto="1"/>
      </right>
      <top style="hair">
        <color auto="1"/>
      </top>
      <bottom style="thin">
        <color auto="1"/>
      </bottom>
      <diagonal/>
    </border>
    <border>
      <left style="medium">
        <color auto="1"/>
      </left>
      <right style="double">
        <color auto="1"/>
      </right>
      <top style="hair">
        <color auto="1"/>
      </top>
      <bottom style="medium">
        <color auto="1"/>
      </bottom>
      <diagonal/>
    </border>
    <border>
      <left style="double">
        <color auto="1"/>
      </left>
      <right/>
      <top style="hair">
        <color auto="1"/>
      </top>
      <bottom style="medium">
        <color auto="1"/>
      </bottom>
      <diagonal/>
    </border>
    <border>
      <left style="medium">
        <color auto="1"/>
      </left>
      <right style="double">
        <color auto="1"/>
      </right>
      <top/>
      <bottom style="medium">
        <color auto="1"/>
      </bottom>
      <diagonal/>
    </border>
    <border>
      <left style="double">
        <color auto="1"/>
      </left>
      <right/>
      <top/>
      <bottom style="medium">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right style="medium">
        <color auto="1"/>
      </right>
      <top style="thin">
        <color auto="1"/>
      </top>
      <bottom style="medium">
        <color auto="1"/>
      </bottom>
      <diagonal/>
    </border>
    <border>
      <left/>
      <right style="medium">
        <color auto="1"/>
      </right>
      <top style="hair">
        <color auto="1"/>
      </top>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hair">
        <color auto="1"/>
      </left>
      <right style="medium">
        <color auto="1"/>
      </right>
      <top/>
      <bottom style="hair">
        <color auto="1"/>
      </bottom>
      <diagonal/>
    </border>
    <border>
      <left style="thick">
        <color auto="1"/>
      </left>
      <right style="thin">
        <color auto="1"/>
      </right>
      <top style="thick">
        <color auto="1"/>
      </top>
      <bottom style="hair">
        <color auto="1"/>
      </bottom>
      <diagonal/>
    </border>
    <border>
      <left style="thin">
        <color auto="1"/>
      </left>
      <right style="thin">
        <color auto="1"/>
      </right>
      <top style="thick">
        <color auto="1"/>
      </top>
      <bottom style="hair">
        <color auto="1"/>
      </bottom>
      <diagonal/>
    </border>
    <border>
      <left style="thin">
        <color auto="1"/>
      </left>
      <right/>
      <top style="thick">
        <color auto="1"/>
      </top>
      <bottom style="hair">
        <color auto="1"/>
      </bottom>
      <diagonal/>
    </border>
    <border>
      <left style="thin">
        <color auto="1"/>
      </left>
      <right style="thick">
        <color auto="1"/>
      </right>
      <top style="thick">
        <color auto="1"/>
      </top>
      <bottom style="hair">
        <color auto="1"/>
      </bottom>
      <diagonal/>
    </border>
    <border>
      <left style="thick">
        <color auto="1"/>
      </left>
      <right/>
      <top/>
      <bottom style="medium">
        <color auto="1"/>
      </bottom>
      <diagonal/>
    </border>
    <border>
      <left/>
      <right style="thick">
        <color auto="1"/>
      </right>
      <top/>
      <bottom style="medium">
        <color auto="1"/>
      </bottom>
      <diagonal/>
    </border>
    <border>
      <left style="thick">
        <color auto="1"/>
      </left>
      <right style="thin">
        <color auto="1"/>
      </right>
      <top style="hair">
        <color auto="1"/>
      </top>
      <bottom style="medium">
        <color auto="1"/>
      </bottom>
      <diagonal/>
    </border>
    <border>
      <left style="thin">
        <color auto="1"/>
      </left>
      <right style="thick">
        <color auto="1"/>
      </right>
      <top style="hair">
        <color auto="1"/>
      </top>
      <bottom style="medium">
        <color auto="1"/>
      </bottom>
      <diagonal/>
    </border>
    <border>
      <left style="thick">
        <color auto="1"/>
      </left>
      <right style="thin">
        <color auto="1"/>
      </right>
      <top style="hair">
        <color auto="1"/>
      </top>
      <bottom/>
      <diagonal/>
    </border>
    <border>
      <left style="medium">
        <color auto="1"/>
      </left>
      <right style="thick">
        <color auto="1"/>
      </right>
      <top style="medium">
        <color auto="1"/>
      </top>
      <bottom/>
      <diagonal/>
    </border>
    <border>
      <left style="thick">
        <color auto="1"/>
      </left>
      <right style="medium">
        <color auto="1"/>
      </right>
      <top style="medium">
        <color auto="1"/>
      </top>
      <bottom style="hair">
        <color auto="1"/>
      </bottom>
      <diagonal/>
    </border>
    <border>
      <left style="medium">
        <color auto="1"/>
      </left>
      <right style="thick">
        <color auto="1"/>
      </right>
      <top style="medium">
        <color auto="1"/>
      </top>
      <bottom style="hair">
        <color auto="1"/>
      </bottom>
      <diagonal/>
    </border>
    <border>
      <left style="medium">
        <color auto="1"/>
      </left>
      <right style="thick">
        <color auto="1"/>
      </right>
      <top/>
      <bottom style="medium">
        <color auto="1"/>
      </bottom>
      <diagonal/>
    </border>
    <border>
      <left style="thick">
        <color auto="1"/>
      </left>
      <right style="thin">
        <color auto="1"/>
      </right>
      <top/>
      <bottom style="medium">
        <color auto="1"/>
      </bottom>
      <diagonal/>
    </border>
    <border>
      <left style="thick">
        <color auto="1"/>
      </left>
      <right style="medium">
        <color auto="1"/>
      </right>
      <top style="hair">
        <color auto="1"/>
      </top>
      <bottom style="medium">
        <color auto="1"/>
      </bottom>
      <diagonal/>
    </border>
    <border>
      <left style="medium">
        <color auto="1"/>
      </left>
      <right style="thick">
        <color auto="1"/>
      </right>
      <top style="hair">
        <color auto="1"/>
      </top>
      <bottom style="medium">
        <color auto="1"/>
      </bottom>
      <diagonal/>
    </border>
    <border>
      <left style="thick">
        <color auto="1"/>
      </left>
      <right/>
      <top style="medium">
        <color auto="1"/>
      </top>
      <bottom style="hair">
        <color auto="1"/>
      </bottom>
      <diagonal/>
    </border>
    <border>
      <left style="thin">
        <color auto="1"/>
      </left>
      <right style="thick">
        <color auto="1"/>
      </right>
      <top style="medium">
        <color auto="1"/>
      </top>
      <bottom style="hair">
        <color auto="1"/>
      </bottom>
      <diagonal/>
    </border>
    <border>
      <left style="thick">
        <color auto="1"/>
      </left>
      <right style="thin">
        <color auto="1"/>
      </right>
      <top style="medium">
        <color auto="1"/>
      </top>
      <bottom style="hair">
        <color auto="1"/>
      </bottom>
      <diagonal/>
    </border>
    <border>
      <left style="thick">
        <color auto="1"/>
      </left>
      <right style="thin">
        <color auto="1"/>
      </right>
      <top/>
      <bottom style="hair">
        <color auto="1"/>
      </bottom>
      <diagonal/>
    </border>
    <border>
      <left style="thick">
        <color auto="1"/>
      </left>
      <right/>
      <top style="hair">
        <color auto="1"/>
      </top>
      <bottom style="hair">
        <color auto="1"/>
      </bottom>
      <diagonal/>
    </border>
    <border>
      <left style="thin">
        <color auto="1"/>
      </left>
      <right style="thick">
        <color auto="1"/>
      </right>
      <top style="hair">
        <color auto="1"/>
      </top>
      <bottom style="hair">
        <color auto="1"/>
      </bottom>
      <diagonal/>
    </border>
    <border>
      <left style="thick">
        <color auto="1"/>
      </left>
      <right style="thin">
        <color auto="1"/>
      </right>
      <top style="hair">
        <color auto="1"/>
      </top>
      <bottom style="hair">
        <color auto="1"/>
      </bottom>
      <diagonal/>
    </border>
    <border>
      <left style="thin">
        <color auto="1"/>
      </left>
      <right style="thick">
        <color auto="1"/>
      </right>
      <top style="hair">
        <color auto="1"/>
      </top>
      <bottom/>
      <diagonal/>
    </border>
    <border>
      <left style="thin">
        <color auto="1"/>
      </left>
      <right style="thin">
        <color auto="1"/>
      </right>
      <top style="hair">
        <color auto="1"/>
      </top>
      <bottom style="thick">
        <color auto="1"/>
      </bottom>
      <diagonal/>
    </border>
    <border>
      <left style="thin">
        <color auto="1"/>
      </left>
      <right style="thick">
        <color auto="1"/>
      </right>
      <top style="hair">
        <color auto="1"/>
      </top>
      <bottom style="thick">
        <color auto="1"/>
      </bottom>
      <diagonal/>
    </border>
    <border>
      <left style="thick">
        <color auto="1"/>
      </left>
      <right style="thin">
        <color auto="1"/>
      </right>
      <top style="hair">
        <color auto="1"/>
      </top>
      <bottom style="thick">
        <color auto="1"/>
      </bottom>
      <diagonal/>
    </border>
    <border>
      <left style="thin">
        <color auto="1"/>
      </left>
      <right/>
      <top style="hair">
        <color auto="1"/>
      </top>
      <bottom style="thick">
        <color auto="1"/>
      </bottom>
      <diagonal/>
    </border>
    <border>
      <left style="thin">
        <color auto="1"/>
      </left>
      <right style="thick">
        <color auto="1"/>
      </right>
      <top/>
      <bottom/>
      <diagonal/>
    </border>
    <border>
      <left style="thick">
        <color auto="1"/>
      </left>
      <right style="medium">
        <color auto="1"/>
      </right>
      <top style="medium">
        <color auto="1"/>
      </top>
      <bottom/>
      <diagonal/>
    </border>
    <border>
      <left/>
      <right style="thick">
        <color auto="1"/>
      </right>
      <top style="medium">
        <color auto="1"/>
      </top>
      <bottom/>
      <diagonal/>
    </border>
    <border>
      <left style="thick">
        <color auto="1"/>
      </left>
      <right style="medium">
        <color auto="1"/>
      </right>
      <top/>
      <bottom/>
      <diagonal/>
    </border>
    <border>
      <left style="thick">
        <color auto="1"/>
      </left>
      <right style="thin">
        <color auto="1"/>
      </right>
      <top/>
      <bottom/>
      <diagonal/>
    </border>
    <border>
      <left style="thin">
        <color auto="1"/>
      </left>
      <right style="thick">
        <color auto="1"/>
      </right>
      <top style="medium">
        <color auto="1"/>
      </top>
      <bottom/>
      <diagonal/>
    </border>
    <border>
      <left style="thin">
        <color auto="1"/>
      </left>
      <right style="thick">
        <color auto="1"/>
      </right>
      <top/>
      <bottom style="medium">
        <color auto="1"/>
      </bottom>
      <diagonal/>
    </border>
    <border>
      <left style="thick">
        <color auto="1"/>
      </left>
      <right style="medium">
        <color auto="1"/>
      </right>
      <top/>
      <bottom style="medium">
        <color auto="1"/>
      </bottom>
      <diagonal/>
    </border>
    <border>
      <left style="medium">
        <color auto="1"/>
      </left>
      <right style="thick">
        <color auto="1"/>
      </right>
      <top/>
      <bottom/>
      <diagonal/>
    </border>
    <border>
      <left/>
      <right style="thick">
        <color auto="1"/>
      </right>
      <top style="medium">
        <color auto="1"/>
      </top>
      <bottom style="hair">
        <color auto="1"/>
      </bottom>
      <diagonal/>
    </border>
    <border>
      <left style="thick">
        <color auto="1"/>
      </left>
      <right style="thin">
        <color auto="1"/>
      </right>
      <top style="medium">
        <color auto="1"/>
      </top>
      <bottom/>
      <diagonal/>
    </border>
    <border>
      <left style="thick">
        <color auto="1"/>
      </left>
      <right style="thin">
        <color auto="1"/>
      </right>
      <top style="hair">
        <color auto="1"/>
      </top>
      <bottom style="thin">
        <color auto="1"/>
      </bottom>
      <diagonal/>
    </border>
    <border>
      <left/>
      <right style="thick">
        <color auto="1"/>
      </right>
      <top style="hair">
        <color auto="1"/>
      </top>
      <bottom style="hair">
        <color auto="1"/>
      </bottom>
      <diagonal/>
    </border>
    <border>
      <left style="medium">
        <color auto="1"/>
      </left>
      <right style="thick">
        <color auto="1"/>
      </right>
      <top style="hair">
        <color auto="1"/>
      </top>
      <bottom style="hair">
        <color auto="1"/>
      </bottom>
      <diagonal/>
    </border>
    <border>
      <left style="thick">
        <color auto="1"/>
      </left>
      <right/>
      <top style="hair">
        <color auto="1"/>
      </top>
      <bottom/>
      <diagonal/>
    </border>
    <border>
      <left/>
      <right style="thick">
        <color auto="1"/>
      </right>
      <top style="hair">
        <color auto="1"/>
      </top>
      <bottom/>
      <diagonal/>
    </border>
    <border>
      <left style="thin">
        <color auto="1"/>
      </left>
      <right style="thin">
        <color auto="1"/>
      </right>
      <top/>
      <bottom style="thick">
        <color auto="1"/>
      </bottom>
      <diagonal/>
    </border>
    <border>
      <left/>
      <right style="thin">
        <color auto="1"/>
      </right>
      <top style="hair">
        <color auto="1"/>
      </top>
      <bottom style="thick">
        <color auto="1"/>
      </bottom>
      <diagonal/>
    </border>
    <border>
      <left style="thick">
        <color auto="1"/>
      </left>
      <right/>
      <top style="hair">
        <color auto="1"/>
      </top>
      <bottom style="thick">
        <color auto="1"/>
      </bottom>
      <diagonal/>
    </border>
    <border>
      <left style="thin">
        <color auto="1"/>
      </left>
      <right/>
      <top/>
      <bottom style="thick">
        <color auto="1"/>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style="hair">
        <color auto="1"/>
      </left>
      <right style="thin">
        <color auto="1"/>
      </right>
      <top style="hair">
        <color auto="1"/>
      </top>
      <bottom style="thick">
        <color auto="1"/>
      </bottom>
      <diagonal/>
    </border>
    <border>
      <left/>
      <right/>
      <top style="hair">
        <color auto="1"/>
      </top>
      <bottom style="thick">
        <color auto="1"/>
      </bottom>
      <diagonal/>
    </border>
    <border>
      <left style="thick">
        <color auto="1"/>
      </left>
      <right style="thick">
        <color auto="1"/>
      </right>
      <top style="medium">
        <color auto="1"/>
      </top>
      <bottom/>
      <diagonal/>
    </border>
    <border>
      <left style="thick">
        <color auto="1"/>
      </left>
      <right style="thick">
        <color auto="1"/>
      </right>
      <top/>
      <bottom style="medium">
        <color auto="1"/>
      </bottom>
      <diagonal/>
    </border>
    <border>
      <left style="medium">
        <color auto="1"/>
      </left>
      <right/>
      <top style="hair">
        <color auto="1"/>
      </top>
      <bottom style="thick">
        <color auto="1"/>
      </bottom>
      <diagonal/>
    </border>
    <border>
      <left style="thick">
        <color auto="1"/>
      </left>
      <right/>
      <top style="medium">
        <color auto="1"/>
      </top>
      <bottom/>
      <diagonal/>
    </border>
    <border>
      <left style="medium">
        <color auto="1"/>
      </left>
      <right style="thin">
        <color auto="1"/>
      </right>
      <top style="thin">
        <color auto="1"/>
      </top>
      <bottom style="hair">
        <color auto="1"/>
      </bottom>
      <diagonal/>
    </border>
    <border>
      <left style="thin">
        <color auto="1"/>
      </left>
      <right style="thin">
        <color auto="1"/>
      </right>
      <top style="thin">
        <color auto="1"/>
      </top>
      <bottom style="hair">
        <color auto="1"/>
      </bottom>
      <diagonal/>
    </border>
    <border>
      <left style="medium">
        <color auto="1"/>
      </left>
      <right style="medium">
        <color auto="1"/>
      </right>
      <top style="thin">
        <color auto="1"/>
      </top>
      <bottom/>
      <diagonal/>
    </border>
    <border>
      <left style="medium">
        <color auto="1"/>
      </left>
      <right/>
      <top style="thin">
        <color auto="1"/>
      </top>
      <bottom style="hair">
        <color auto="1"/>
      </bottom>
      <diagonal/>
    </border>
    <border>
      <left style="medium">
        <color auto="1"/>
      </left>
      <right/>
      <top style="medium">
        <color auto="1"/>
      </top>
      <bottom style="double">
        <color auto="1"/>
      </bottom>
      <diagonal/>
    </border>
    <border>
      <left/>
      <right/>
      <top style="medium">
        <color auto="1"/>
      </top>
      <bottom style="double">
        <color auto="1"/>
      </bottom>
      <diagonal/>
    </border>
    <border>
      <left/>
      <right style="medium">
        <color auto="1"/>
      </right>
      <top style="medium">
        <color auto="1"/>
      </top>
      <bottom style="double">
        <color auto="1"/>
      </bottom>
      <diagonal/>
    </border>
    <border>
      <left style="medium">
        <color auto="1"/>
      </left>
      <right/>
      <top style="double">
        <color auto="1"/>
      </top>
      <bottom/>
      <diagonal/>
    </border>
    <border>
      <left/>
      <right style="medium">
        <color auto="1"/>
      </right>
      <top style="double">
        <color auto="1"/>
      </top>
      <bottom/>
      <diagonal/>
    </border>
    <border>
      <left style="medium">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medium">
        <color auto="1"/>
      </right>
      <top style="double">
        <color auto="1"/>
      </top>
      <bottom style="thin">
        <color auto="1"/>
      </bottom>
      <diagonal/>
    </border>
    <border>
      <left style="medium">
        <color auto="1"/>
      </left>
      <right style="thin">
        <color auto="1"/>
      </right>
      <top style="medium">
        <color auto="1"/>
      </top>
      <bottom style="double">
        <color auto="1"/>
      </bottom>
      <diagonal/>
    </border>
    <border>
      <left style="thin">
        <color auto="1"/>
      </left>
      <right style="thin">
        <color auto="1"/>
      </right>
      <top style="medium">
        <color auto="1"/>
      </top>
      <bottom style="double">
        <color auto="1"/>
      </bottom>
      <diagonal/>
    </border>
    <border>
      <left style="thin">
        <color auto="1"/>
      </left>
      <right style="medium">
        <color auto="1"/>
      </right>
      <top style="medium">
        <color auto="1"/>
      </top>
      <bottom style="double">
        <color auto="1"/>
      </bottom>
      <diagonal/>
    </border>
    <border>
      <left style="medium">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medium">
        <color auto="1"/>
      </right>
      <top style="double">
        <color auto="1"/>
      </top>
      <bottom style="hair">
        <color auto="1"/>
      </bottom>
      <diagonal/>
    </border>
    <border>
      <left style="medium">
        <color auto="1"/>
      </left>
      <right style="thin">
        <color auto="1"/>
      </right>
      <top style="hair">
        <color auto="1"/>
      </top>
      <bottom style="double">
        <color auto="1"/>
      </bottom>
      <diagonal/>
    </border>
    <border>
      <left style="thin">
        <color auto="1"/>
      </left>
      <right style="thin">
        <color auto="1"/>
      </right>
      <top style="hair">
        <color auto="1"/>
      </top>
      <bottom style="double">
        <color auto="1"/>
      </bottom>
      <diagonal/>
    </border>
    <border>
      <left/>
      <right/>
      <top style="double">
        <color auto="1"/>
      </top>
      <bottom style="hair">
        <color auto="1"/>
      </bottom>
      <diagonal/>
    </border>
    <border>
      <left/>
      <right style="medium">
        <color indexed="64"/>
      </right>
      <top style="double">
        <color auto="1"/>
      </top>
      <bottom style="hair">
        <color auto="1"/>
      </bottom>
      <diagonal/>
    </border>
    <border>
      <left style="thin">
        <color auto="1"/>
      </left>
      <right/>
      <top style="medium">
        <color auto="1"/>
      </top>
      <bottom style="double">
        <color auto="1"/>
      </bottom>
      <diagonal/>
    </border>
    <border>
      <left style="thin">
        <color auto="1"/>
      </left>
      <right/>
      <top style="double">
        <color auto="1"/>
      </top>
      <bottom style="hair">
        <color auto="1"/>
      </bottom>
      <diagonal/>
    </border>
    <border>
      <left/>
      <right/>
      <top/>
      <bottom style="double">
        <color auto="1"/>
      </bottom>
      <diagonal/>
    </border>
    <border diagonalDown="1">
      <left style="thin">
        <color auto="1"/>
      </left>
      <right style="thin">
        <color auto="1"/>
      </right>
      <top style="hair">
        <color auto="1"/>
      </top>
      <bottom style="hair">
        <color auto="1"/>
      </bottom>
      <diagonal style="thin">
        <color auto="1"/>
      </diagonal>
    </border>
    <border diagonalDown="1">
      <left style="thin">
        <color auto="1"/>
      </left>
      <right style="thin">
        <color auto="1"/>
      </right>
      <top style="hair">
        <color auto="1"/>
      </top>
      <bottom style="medium">
        <color auto="1"/>
      </bottom>
      <diagonal style="thin">
        <color auto="1"/>
      </diagonal>
    </border>
    <border>
      <left style="hair">
        <color auto="1"/>
      </left>
      <right style="medium">
        <color indexed="64"/>
      </right>
      <top/>
      <bottom style="medium">
        <color indexed="64"/>
      </bottom>
      <diagonal/>
    </border>
    <border>
      <left style="double">
        <color auto="1"/>
      </left>
      <right/>
      <top/>
      <bottom style="hair">
        <color auto="1"/>
      </bottom>
      <diagonal/>
    </border>
    <border>
      <left style="medium">
        <color auto="1"/>
      </left>
      <right style="medium">
        <color auto="1"/>
      </right>
      <top style="medium">
        <color auto="1"/>
      </top>
      <bottom style="thick">
        <color auto="1"/>
      </bottom>
      <diagonal/>
    </border>
    <border>
      <left style="medium">
        <color auto="1"/>
      </left>
      <right/>
      <top style="medium">
        <color auto="1"/>
      </top>
      <bottom style="thick">
        <color auto="1"/>
      </bottom>
      <diagonal/>
    </border>
    <border>
      <left style="medium">
        <color auto="1"/>
      </left>
      <right style="medium">
        <color auto="1"/>
      </right>
      <top/>
      <bottom style="dashed">
        <color auto="1"/>
      </bottom>
      <diagonal/>
    </border>
    <border>
      <left style="medium">
        <color auto="1"/>
      </left>
      <right/>
      <top style="thick">
        <color auto="1"/>
      </top>
      <bottom style="dashed">
        <color auto="1"/>
      </bottom>
      <diagonal/>
    </border>
    <border>
      <left style="medium">
        <color auto="1"/>
      </left>
      <right/>
      <top style="dashed">
        <color auto="1"/>
      </top>
      <bottom style="dashed">
        <color auto="1"/>
      </bottom>
      <diagonal/>
    </border>
    <border>
      <left style="medium">
        <color auto="1"/>
      </left>
      <right/>
      <top style="dashed">
        <color auto="1"/>
      </top>
      <bottom/>
      <diagonal/>
    </border>
    <border>
      <left style="thick">
        <color auto="1"/>
      </left>
      <right style="thick">
        <color auto="1"/>
      </right>
      <top style="thick">
        <color auto="1"/>
      </top>
      <bottom style="thin">
        <color auto="1"/>
      </bottom>
      <diagonal/>
    </border>
    <border>
      <left style="thick">
        <color auto="1"/>
      </left>
      <right style="medium">
        <color auto="1"/>
      </right>
      <top style="dashed">
        <color auto="1"/>
      </top>
      <bottom/>
      <diagonal/>
    </border>
    <border>
      <left style="medium">
        <color auto="1"/>
      </left>
      <right style="medium">
        <color auto="1"/>
      </right>
      <top style="dashed">
        <color auto="1"/>
      </top>
      <bottom/>
      <diagonal/>
    </border>
    <border>
      <left style="medium">
        <color auto="1"/>
      </left>
      <right/>
      <top style="dashed">
        <color auto="1"/>
      </top>
      <bottom style="medium">
        <color auto="1"/>
      </bottom>
      <diagonal/>
    </border>
    <border>
      <left style="thick">
        <color auto="1"/>
      </left>
      <right style="medium">
        <color indexed="64"/>
      </right>
      <top style="thick">
        <color auto="1"/>
      </top>
      <bottom style="thick">
        <color auto="1"/>
      </bottom>
      <diagonal/>
    </border>
    <border>
      <left style="thick">
        <color auto="1"/>
      </left>
      <right style="thick">
        <color auto="1"/>
      </right>
      <top style="thin">
        <color auto="1"/>
      </top>
      <bottom style="thin">
        <color auto="1"/>
      </bottom>
      <diagonal/>
    </border>
    <border>
      <left style="thick">
        <color auto="1"/>
      </left>
      <right/>
      <top style="medium">
        <color auto="1"/>
      </top>
      <bottom style="medium">
        <color auto="1"/>
      </bottom>
      <diagonal/>
    </border>
    <border>
      <left style="thick">
        <color auto="1"/>
      </left>
      <right style="thick">
        <color auto="1"/>
      </right>
      <top style="thin">
        <color auto="1"/>
      </top>
      <bottom style="thick">
        <color auto="1"/>
      </bottom>
      <diagonal/>
    </border>
    <border>
      <left style="medium">
        <color auto="1"/>
      </left>
      <right style="thin">
        <color auto="1"/>
      </right>
      <top/>
      <bottom style="dashed">
        <color auto="1"/>
      </bottom>
      <diagonal/>
    </border>
    <border>
      <left/>
      <right style="medium">
        <color auto="1"/>
      </right>
      <top/>
      <bottom style="dashed">
        <color auto="1"/>
      </bottom>
      <diagonal/>
    </border>
    <border>
      <left style="medium">
        <color auto="1"/>
      </left>
      <right style="thin">
        <color auto="1"/>
      </right>
      <top style="dashed">
        <color auto="1"/>
      </top>
      <bottom style="dashed">
        <color auto="1"/>
      </bottom>
      <diagonal/>
    </border>
    <border>
      <left/>
      <right style="medium">
        <color auto="1"/>
      </right>
      <top style="dashed">
        <color auto="1"/>
      </top>
      <bottom style="dashed">
        <color auto="1"/>
      </bottom>
      <diagonal/>
    </border>
    <border>
      <left style="medium">
        <color auto="1"/>
      </left>
      <right style="thin">
        <color auto="1"/>
      </right>
      <top style="dashed">
        <color auto="1"/>
      </top>
      <bottom style="medium">
        <color auto="1"/>
      </bottom>
      <diagonal/>
    </border>
    <border>
      <left/>
      <right style="medium">
        <color auto="1"/>
      </right>
      <top style="dashed">
        <color auto="1"/>
      </top>
      <bottom style="medium">
        <color auto="1"/>
      </bottom>
      <diagonal/>
    </border>
    <border>
      <left style="thin">
        <color theme="0"/>
      </left>
      <right/>
      <top style="thin">
        <color auto="1"/>
      </top>
      <bottom/>
      <diagonal/>
    </border>
    <border>
      <left/>
      <right style="thin">
        <color theme="0"/>
      </right>
      <top style="thin">
        <color auto="1"/>
      </top>
      <bottom/>
      <diagonal/>
    </border>
    <border>
      <left style="thin">
        <color theme="0"/>
      </left>
      <right/>
      <top/>
      <bottom style="thin">
        <color auto="1"/>
      </bottom>
      <diagonal/>
    </border>
    <border>
      <left/>
      <right style="thin">
        <color theme="0"/>
      </right>
      <top/>
      <bottom style="thin">
        <color auto="1"/>
      </bottom>
      <diagonal/>
    </border>
    <border>
      <left/>
      <right style="medium">
        <color auto="1"/>
      </right>
      <top style="thin">
        <color auto="1"/>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auto="1"/>
      </left>
      <right/>
      <top style="thin">
        <color theme="3" tint="0.79998168889431442"/>
      </top>
      <bottom/>
      <diagonal/>
    </border>
    <border>
      <left/>
      <right/>
      <top style="thin">
        <color theme="3" tint="0.79998168889431442"/>
      </top>
      <bottom/>
      <diagonal/>
    </border>
    <border>
      <left/>
      <right style="thin">
        <color auto="1"/>
      </right>
      <top style="thin">
        <color theme="3" tint="0.79998168889431442"/>
      </top>
      <bottom/>
      <diagonal/>
    </border>
    <border>
      <left style="thick">
        <color rgb="FFFFFFFF"/>
      </left>
      <right style="double">
        <color rgb="FFB7B7B7"/>
      </right>
      <top style="thick">
        <color rgb="FFFFFFFF"/>
      </top>
      <bottom style="double">
        <color rgb="FFB7B7B7"/>
      </bottom>
      <diagonal/>
    </border>
    <border>
      <left style="thick">
        <color rgb="FFFFFFFF"/>
      </left>
      <right style="thick">
        <color rgb="FFFFFFFF"/>
      </right>
      <top style="thick">
        <color rgb="FFFFFFFF"/>
      </top>
      <bottom style="double">
        <color rgb="FFB7B7B7"/>
      </bottom>
      <diagonal/>
    </border>
    <border>
      <left style="double">
        <color rgb="FFB7B7B7"/>
      </left>
      <right style="thick">
        <color rgb="FFFFFFFF"/>
      </right>
      <top style="thick">
        <color rgb="FFFFFFFF"/>
      </top>
      <bottom style="double">
        <color rgb="FFB7B7B7"/>
      </bottom>
      <diagonal/>
    </border>
    <border>
      <left/>
      <right style="double">
        <color rgb="FFB7B7B7"/>
      </right>
      <top/>
      <bottom/>
      <diagonal/>
    </border>
    <border>
      <left/>
      <right style="thick">
        <color rgb="FFFFFFFF"/>
      </right>
      <top style="thick">
        <color rgb="FFFFFFFF"/>
      </top>
      <bottom style="thick">
        <color rgb="FFFFFFFF"/>
      </bottom>
      <diagonal/>
    </border>
    <border>
      <left/>
      <right/>
      <top style="thick">
        <color rgb="FFFFFFFF"/>
      </top>
      <bottom style="thick">
        <color rgb="FFFFFFFF"/>
      </bottom>
      <diagonal/>
    </border>
    <border>
      <left style="thick">
        <color rgb="FFFFFFFF"/>
      </left>
      <right/>
      <top style="thick">
        <color rgb="FFFFFFFF"/>
      </top>
      <bottom style="thick">
        <color rgb="FFFFFFFF"/>
      </bottom>
      <diagonal/>
    </border>
    <border>
      <left style="double">
        <color rgb="FFB7B7B7"/>
      </left>
      <right style="thick">
        <color rgb="FFFFFFFF"/>
      </right>
      <top style="thick">
        <color rgb="FFFFFFFF"/>
      </top>
      <bottom style="thick">
        <color rgb="FFFFFFFF"/>
      </bottom>
      <diagonal/>
    </border>
    <border>
      <left/>
      <right/>
      <top/>
      <bottom style="double">
        <color rgb="FFB7B7B7"/>
      </bottom>
      <diagonal/>
    </border>
    <border>
      <left style="thick">
        <color rgb="FFFFFFFF"/>
      </left>
      <right style="double">
        <color rgb="FFB7B7B7"/>
      </right>
      <top style="thick">
        <color rgb="FFFFFFFF"/>
      </top>
      <bottom style="thick">
        <color rgb="FFFFFFFF"/>
      </bottom>
      <diagonal/>
    </border>
    <border>
      <left style="thick">
        <color rgb="FFFFFFFF"/>
      </left>
      <right style="thick">
        <color rgb="FFFFFFFF"/>
      </right>
      <top style="thick">
        <color rgb="FFFFFFFF"/>
      </top>
      <bottom style="thick">
        <color rgb="FFFFFFFF"/>
      </bottom>
      <diagonal/>
    </border>
    <border>
      <left/>
      <right style="thick">
        <color rgb="FFFFFFFF"/>
      </right>
      <top/>
      <bottom style="thick">
        <color rgb="FFFFFFFF"/>
      </bottom>
      <diagonal/>
    </border>
    <border>
      <left/>
      <right/>
      <top/>
      <bottom style="thick">
        <color rgb="FFFFFFFF"/>
      </bottom>
      <diagonal/>
    </border>
    <border>
      <left style="thick">
        <color rgb="FFFFFFFF"/>
      </left>
      <right/>
      <top/>
      <bottom style="thick">
        <color rgb="FFFFFFFF"/>
      </bottom>
      <diagonal/>
    </border>
    <border>
      <left style="thick">
        <color rgb="FFFFFFFF"/>
      </left>
      <right style="double">
        <color rgb="FFB7B7B7"/>
      </right>
      <top style="double">
        <color rgb="FFB7B7B7"/>
      </top>
      <bottom style="thick">
        <color rgb="FFFFFFFF"/>
      </bottom>
      <diagonal/>
    </border>
    <border>
      <left style="thick">
        <color rgb="FFFFFFFF"/>
      </left>
      <right style="thick">
        <color rgb="FFFFFFFF"/>
      </right>
      <top style="double">
        <color rgb="FFB7B7B7"/>
      </top>
      <bottom style="thick">
        <color rgb="FFFFFFFF"/>
      </bottom>
      <diagonal/>
    </border>
    <border>
      <left/>
      <right style="thick">
        <color rgb="FFFFFFFF"/>
      </right>
      <top style="double">
        <color rgb="FFB7B7B7"/>
      </top>
      <bottom/>
      <diagonal/>
    </border>
    <border>
      <left/>
      <right/>
      <top style="double">
        <color rgb="FFB7B7B7"/>
      </top>
      <bottom/>
      <diagonal/>
    </border>
    <border>
      <left style="thick">
        <color rgb="FFFFFFFF"/>
      </left>
      <right/>
      <top style="double">
        <color rgb="FFB7B7B7"/>
      </top>
      <bottom/>
      <diagonal/>
    </border>
    <border>
      <left style="double">
        <color rgb="FFB7B7B7"/>
      </left>
      <right style="thick">
        <color rgb="FFFFFFFF"/>
      </right>
      <top style="double">
        <color rgb="FFB7B7B7"/>
      </top>
      <bottom style="thick">
        <color rgb="FFFFFFFF"/>
      </bottom>
      <diagonal/>
    </border>
    <border>
      <left/>
      <right style="thick">
        <color rgb="FFFFFFFF"/>
      </right>
      <top/>
      <bottom style="double">
        <color rgb="FFB7B7B7"/>
      </bottom>
      <diagonal/>
    </border>
    <border>
      <left style="thick">
        <color rgb="FFFFFFFF"/>
      </left>
      <right/>
      <top/>
      <bottom style="double">
        <color rgb="FFB7B7B7"/>
      </bottom>
      <diagonal/>
    </border>
    <border>
      <left/>
      <right style="thick">
        <color rgb="FFFFFFFF"/>
      </right>
      <top style="thin">
        <color rgb="FF999999"/>
      </top>
      <bottom style="thin">
        <color rgb="FF999999"/>
      </bottom>
      <diagonal/>
    </border>
    <border>
      <left/>
      <right/>
      <top style="thin">
        <color rgb="FF999999"/>
      </top>
      <bottom style="thin">
        <color rgb="FF999999"/>
      </bottom>
      <diagonal/>
    </border>
    <border>
      <left/>
      <right style="thick">
        <color rgb="FFFFFFFF"/>
      </right>
      <top/>
      <bottom style="thin">
        <color rgb="FF999999"/>
      </bottom>
      <diagonal/>
    </border>
    <border>
      <left/>
      <right/>
      <top/>
      <bottom style="thin">
        <color rgb="FF999999"/>
      </bottom>
      <diagonal/>
    </border>
    <border>
      <left/>
      <right style="thick">
        <color rgb="FFFFFFFF"/>
      </right>
      <top style="thick">
        <color rgb="FFFFFFFF"/>
      </top>
      <bottom/>
      <diagonal/>
    </border>
    <border>
      <left/>
      <right/>
      <top style="thick">
        <color rgb="FFFFFFFF"/>
      </top>
      <bottom/>
      <diagonal/>
    </border>
    <border>
      <left style="thick">
        <color rgb="FFFFFFFF"/>
      </left>
      <right/>
      <top style="thick">
        <color rgb="FFFFFFFF"/>
      </top>
      <bottom/>
      <diagonal/>
    </border>
    <border>
      <left style="thick">
        <color rgb="FFFFFFFF"/>
      </left>
      <right/>
      <top style="thin">
        <color rgb="FF999999"/>
      </top>
      <bottom style="thin">
        <color rgb="FF999999"/>
      </bottom>
      <diagonal/>
    </border>
    <border>
      <left/>
      <right style="thick">
        <color rgb="FFFFFFFF"/>
      </right>
      <top style="thick">
        <color rgb="FFFFFFFF"/>
      </top>
      <bottom style="thin">
        <color rgb="FF999999"/>
      </bottom>
      <diagonal/>
    </border>
    <border>
      <left style="thick">
        <color rgb="FFFFFFFF"/>
      </left>
      <right/>
      <top style="thick">
        <color rgb="FFFFFFFF"/>
      </top>
      <bottom style="thin">
        <color rgb="FF999999"/>
      </bottom>
      <diagonal/>
    </border>
    <border>
      <left/>
      <right style="thick">
        <color rgb="FFFFFFFF"/>
      </right>
      <top style="double">
        <color rgb="FFB7B7B7"/>
      </top>
      <bottom style="thick">
        <color rgb="FFFFFFFF"/>
      </bottom>
      <diagonal/>
    </border>
    <border>
      <left/>
      <right/>
      <top style="double">
        <color rgb="FFB7B7B7"/>
      </top>
      <bottom style="thick">
        <color rgb="FFFFFFFF"/>
      </bottom>
      <diagonal/>
    </border>
    <border>
      <left style="thick">
        <color rgb="FFFFFFFF"/>
      </left>
      <right/>
      <top style="double">
        <color rgb="FFB7B7B7"/>
      </top>
      <bottom style="thick">
        <color rgb="FFFFFFFF"/>
      </bottom>
      <diagonal/>
    </border>
    <border>
      <left/>
      <right style="thick">
        <color rgb="FFFFFFFF"/>
      </right>
      <top style="thick">
        <color rgb="FFFFFFFF"/>
      </top>
      <bottom style="double">
        <color rgb="FFB7B7B7"/>
      </bottom>
      <diagonal/>
    </border>
    <border>
      <left/>
      <right/>
      <top style="thick">
        <color rgb="FFFFFFFF"/>
      </top>
      <bottom style="double">
        <color rgb="FFB7B7B7"/>
      </bottom>
      <diagonal/>
    </border>
    <border>
      <left style="thick">
        <color rgb="FFFFFFFF"/>
      </left>
      <right/>
      <top style="thick">
        <color rgb="FFFFFFFF"/>
      </top>
      <bottom style="double">
        <color rgb="FFB7B7B7"/>
      </bottom>
      <diagonal/>
    </border>
    <border>
      <left style="double">
        <color rgb="FFB7B7B7"/>
      </left>
      <right/>
      <top style="thick">
        <color rgb="FFFFFFFF"/>
      </top>
      <bottom style="thick">
        <color rgb="FFFFFFFF"/>
      </bottom>
      <diagonal/>
    </border>
    <border>
      <left style="double">
        <color rgb="FFB7B7B7"/>
      </left>
      <right style="double">
        <color rgb="FFB7B7B7"/>
      </right>
      <top/>
      <bottom style="double">
        <color rgb="FFB7B7B7"/>
      </bottom>
      <diagonal/>
    </border>
    <border>
      <left style="double">
        <color rgb="FFB7B7B7"/>
      </left>
      <right style="double">
        <color rgb="FFB7B7B7"/>
      </right>
      <top/>
      <bottom/>
      <diagonal/>
    </border>
    <border>
      <left style="double">
        <color rgb="FFB7B7B7"/>
      </left>
      <right style="double">
        <color rgb="FFB7B7B7"/>
      </right>
      <top style="double">
        <color rgb="FFB7B7B7"/>
      </top>
      <bottom/>
      <diagonal/>
    </border>
    <border>
      <left style="thin">
        <color rgb="FF9CC2E5"/>
      </left>
      <right/>
      <top style="thin">
        <color rgb="FF9CC2E5"/>
      </top>
      <bottom/>
      <diagonal/>
    </border>
    <border>
      <left/>
      <right/>
      <top style="thin">
        <color rgb="FF9CC2E5"/>
      </top>
      <bottom/>
      <diagonal/>
    </border>
    <border>
      <left style="medium">
        <color rgb="FFA3A3A3"/>
      </left>
      <right/>
      <top style="medium">
        <color rgb="FFA3A3A3"/>
      </top>
      <bottom/>
      <diagonal/>
    </border>
    <border>
      <left/>
      <right style="medium">
        <color rgb="FFA3A3A3"/>
      </right>
      <top style="medium">
        <color rgb="FFA3A3A3"/>
      </top>
      <bottom/>
      <diagonal/>
    </border>
    <border>
      <left style="medium">
        <color rgb="FFA3A3A3"/>
      </left>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bottom style="medium">
        <color rgb="FFA3A3A3"/>
      </bottom>
      <diagonal/>
    </border>
    <border>
      <left/>
      <right style="medium">
        <color rgb="FFA3A3A3"/>
      </right>
      <top/>
      <bottom style="medium">
        <color rgb="FFA3A3A3"/>
      </bottom>
      <diagonal/>
    </border>
    <border>
      <left style="double">
        <color rgb="FFC00000"/>
      </left>
      <right style="double">
        <color rgb="FFC00000"/>
      </right>
      <top style="double">
        <color rgb="FFC00000"/>
      </top>
      <bottom style="double">
        <color rgb="FFC00000"/>
      </bottom>
      <diagonal/>
    </border>
    <border>
      <left style="double">
        <color rgb="FFC00000"/>
      </left>
      <right/>
      <top/>
      <bottom/>
      <diagonal/>
    </border>
    <border>
      <left style="double">
        <color rgb="FFC00000"/>
      </left>
      <right/>
      <top style="double">
        <color rgb="FFC00000"/>
      </top>
      <bottom style="double">
        <color rgb="FFC00000"/>
      </bottom>
      <diagonal/>
    </border>
    <border>
      <left/>
      <right/>
      <top style="double">
        <color rgb="FFC00000"/>
      </top>
      <bottom style="double">
        <color rgb="FFC00000"/>
      </bottom>
      <diagonal/>
    </border>
    <border>
      <left/>
      <right style="double">
        <color rgb="FFC00000"/>
      </right>
      <top style="double">
        <color rgb="FFC00000"/>
      </top>
      <bottom style="double">
        <color rgb="FFC00000"/>
      </bottom>
      <diagonal/>
    </border>
    <border>
      <left/>
      <right style="thin">
        <color theme="0"/>
      </right>
      <top/>
      <bottom style="thick">
        <color theme="0"/>
      </bottom>
      <diagonal/>
    </border>
    <border>
      <left/>
      <right/>
      <top/>
      <bottom style="thick">
        <color theme="4"/>
      </bottom>
      <diagonal/>
    </border>
    <border>
      <left style="medium">
        <color rgb="FFA3A3A3"/>
      </left>
      <right/>
      <top/>
      <bottom/>
      <diagonal/>
    </border>
    <border>
      <left/>
      <right style="medium">
        <color rgb="FFA3A3A3"/>
      </right>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medium">
        <color rgb="FFA3A3A3"/>
      </left>
      <right style="medium">
        <color rgb="FFA3A3A3"/>
      </right>
      <top/>
      <bottom/>
      <diagonal/>
    </border>
    <border>
      <left/>
      <right/>
      <top/>
      <bottom style="thick">
        <color theme="4" tint="0.499984740745262"/>
      </bottom>
      <diagonal/>
    </border>
    <border>
      <left style="thin">
        <color theme="4"/>
      </left>
      <right/>
      <top style="thin">
        <color theme="4"/>
      </top>
      <bottom style="thin">
        <color theme="4"/>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right>
      <top style="thin">
        <color theme="4"/>
      </top>
      <bottom style="thin">
        <color theme="4"/>
      </bottom>
      <diagonal/>
    </border>
    <border>
      <left/>
      <right/>
      <top style="thin">
        <color theme="4"/>
      </top>
      <bottom/>
      <diagonal/>
    </border>
  </borders>
  <cellStyleXfs count="28">
    <xf numFmtId="0" fontId="0" fillId="0" borderId="0"/>
    <xf numFmtId="0" fontId="4" fillId="0" borderId="0" applyNumberFormat="0" applyFill="0" applyBorder="0" applyAlignment="0" applyProtection="0"/>
    <xf numFmtId="0" fontId="7" fillId="0" borderId="0"/>
    <xf numFmtId="0" fontId="18" fillId="0" borderId="1" applyNumberFormat="0" applyFill="0" applyAlignment="0" applyProtection="0"/>
    <xf numFmtId="0" fontId="231" fillId="21" borderId="446" applyNumberFormat="0" applyProtection="0">
      <alignment horizontal="center" vertical="center"/>
    </xf>
    <xf numFmtId="0" fontId="19" fillId="5" borderId="3" applyNumberFormat="0" applyAlignment="0" applyProtection="0"/>
    <xf numFmtId="0" fontId="20" fillId="5" borderId="2" applyNumberFormat="0" applyAlignment="0" applyProtection="0"/>
    <xf numFmtId="0" fontId="17" fillId="6" borderId="4" applyNumberFormat="0" applyFont="0" applyAlignment="0" applyProtection="0"/>
    <xf numFmtId="0" fontId="21" fillId="0" borderId="5" applyNumberFormat="0" applyFill="0" applyAlignment="0" applyProtection="0"/>
    <xf numFmtId="0" fontId="3" fillId="7" borderId="0" applyNumberFormat="0" applyBorder="0" applyAlignment="0" applyProtection="0"/>
    <xf numFmtId="0" fontId="25" fillId="0" borderId="0"/>
    <xf numFmtId="0" fontId="35" fillId="0" borderId="0" applyNumberFormat="0" applyFill="0" applyBorder="0" applyAlignment="0" applyProtection="0"/>
    <xf numFmtId="0" fontId="58" fillId="0" borderId="0"/>
    <xf numFmtId="0" fontId="60" fillId="4" borderId="2" applyNumberFormat="0" applyAlignment="0" applyProtection="0"/>
    <xf numFmtId="0" fontId="83" fillId="0" borderId="0"/>
    <xf numFmtId="0" fontId="144" fillId="0" borderId="0"/>
    <xf numFmtId="171" fontId="25" fillId="0" borderId="0" applyFont="0" applyFill="0" applyBorder="0" applyAlignment="0" applyProtection="0"/>
    <xf numFmtId="0" fontId="169" fillId="0" borderId="0" applyNumberFormat="0" applyFill="0" applyBorder="0" applyAlignment="0" applyProtection="0">
      <alignment vertical="top"/>
      <protection locked="0"/>
    </xf>
    <xf numFmtId="0" fontId="58" fillId="0" borderId="0"/>
    <xf numFmtId="9" fontId="25" fillId="0" borderId="0" applyFont="0" applyFill="0" applyBorder="0" applyAlignment="0" applyProtection="0"/>
    <xf numFmtId="0" fontId="17" fillId="0" borderId="0"/>
    <xf numFmtId="0" fontId="2" fillId="0" borderId="0"/>
    <xf numFmtId="0" fontId="4" fillId="0" borderId="0" applyNumberFormat="0" applyFill="0" applyBorder="0" applyAlignment="0" applyProtection="0"/>
    <xf numFmtId="0" fontId="1" fillId="0" borderId="0"/>
    <xf numFmtId="0" fontId="249" fillId="0" borderId="452" applyNumberFormat="0" applyFill="0" applyAlignment="0" applyProtection="0"/>
    <xf numFmtId="0" fontId="4" fillId="0" borderId="0" applyNumberFormat="0" applyFill="0" applyBorder="0" applyAlignment="0" applyProtection="0"/>
    <xf numFmtId="0" fontId="256" fillId="4" borderId="2" applyNumberFormat="0" applyAlignment="0" applyProtection="0"/>
    <xf numFmtId="0" fontId="262" fillId="0" borderId="459" applyNumberFormat="0" applyFill="0" applyAlignment="0" applyProtection="0"/>
  </cellStyleXfs>
  <cellXfs count="3988">
    <xf numFmtId="0" fontId="0" fillId="0" borderId="0" xfId="0"/>
    <xf numFmtId="0" fontId="0" fillId="0" borderId="0" xfId="0"/>
    <xf numFmtId="0" fontId="0" fillId="0" borderId="0" xfId="0" applyAlignment="1"/>
    <xf numFmtId="0" fontId="4" fillId="0" borderId="0" xfId="1"/>
    <xf numFmtId="0" fontId="7" fillId="0" borderId="0" xfId="2"/>
    <xf numFmtId="0" fontId="6" fillId="2" borderId="0" xfId="2" applyFont="1" applyFill="1" applyAlignment="1">
      <alignment horizontal="center"/>
    </xf>
    <xf numFmtId="0" fontId="8" fillId="0" borderId="0" xfId="2" applyFont="1" applyAlignment="1">
      <alignment horizontal="left"/>
    </xf>
    <xf numFmtId="0" fontId="6" fillId="2" borderId="0" xfId="2" applyFont="1" applyFill="1" applyAlignment="1">
      <alignment horizontal="left"/>
    </xf>
    <xf numFmtId="0" fontId="8" fillId="2" borderId="0" xfId="2" applyFont="1" applyFill="1"/>
    <xf numFmtId="3" fontId="8" fillId="2" borderId="0" xfId="2" applyNumberFormat="1" applyFont="1" applyFill="1" applyAlignment="1">
      <alignment horizontal="center"/>
    </xf>
    <xf numFmtId="0" fontId="8" fillId="2" borderId="0" xfId="2" applyFont="1" applyFill="1" applyAlignment="1">
      <alignment horizontal="center"/>
    </xf>
    <xf numFmtId="0" fontId="8" fillId="0" borderId="0" xfId="2" applyFont="1" applyAlignment="1">
      <alignment horizontal="center"/>
    </xf>
    <xf numFmtId="0" fontId="8" fillId="0" borderId="0" xfId="2" applyFont="1"/>
    <xf numFmtId="0" fontId="6" fillId="0" borderId="0" xfId="2" applyFont="1" applyAlignment="1">
      <alignment horizontal="center"/>
    </xf>
    <xf numFmtId="0" fontId="8" fillId="0" borderId="0" xfId="2" applyFont="1" applyAlignment="1">
      <alignment wrapText="1"/>
    </xf>
    <xf numFmtId="0" fontId="9" fillId="2" borderId="0" xfId="2" applyFont="1" applyFill="1"/>
    <xf numFmtId="0" fontId="9" fillId="0" borderId="0" xfId="2" applyFont="1"/>
    <xf numFmtId="0" fontId="8" fillId="2" borderId="0" xfId="2" applyFont="1" applyFill="1" applyAlignment="1">
      <alignment horizontal="left"/>
    </xf>
    <xf numFmtId="0" fontId="6" fillId="0" borderId="0" xfId="2" applyFont="1" applyAlignment="1">
      <alignment horizontal="left"/>
    </xf>
    <xf numFmtId="0" fontId="10" fillId="0" borderId="0" xfId="2" applyFont="1"/>
    <xf numFmtId="0" fontId="10" fillId="0" borderId="0" xfId="2" applyFont="1" applyAlignment="1">
      <alignment wrapText="1"/>
    </xf>
    <xf numFmtId="0" fontId="9" fillId="2" borderId="0" xfId="2" applyFont="1" applyFill="1" applyAlignment="1">
      <alignment horizontal="left"/>
    </xf>
    <xf numFmtId="3" fontId="8" fillId="0" borderId="0" xfId="2" applyNumberFormat="1" applyFont="1" applyAlignment="1">
      <alignment horizontal="center"/>
    </xf>
    <xf numFmtId="0" fontId="8" fillId="0" borderId="0" xfId="2" applyFont="1" applyAlignment="1">
      <alignment horizontal="left" wrapText="1"/>
    </xf>
    <xf numFmtId="16" fontId="0" fillId="0" borderId="0" xfId="0" applyNumberFormat="1"/>
    <xf numFmtId="17" fontId="0" fillId="0" borderId="0" xfId="0" applyNumberFormat="1"/>
    <xf numFmtId="0" fontId="15" fillId="0" borderId="0" xfId="0" applyFont="1" applyAlignment="1">
      <alignment horizontal="left" vertical="center" readingOrder="1"/>
    </xf>
    <xf numFmtId="0" fontId="16" fillId="0" borderId="0" xfId="0" applyFont="1" applyAlignment="1">
      <alignment horizontal="left" vertical="center" readingOrder="1"/>
    </xf>
    <xf numFmtId="0" fontId="0" fillId="0" borderId="0" xfId="0" applyAlignment="1">
      <alignment vertical="center"/>
    </xf>
    <xf numFmtId="0" fontId="23" fillId="0" borderId="0" xfId="0" applyFont="1" applyAlignment="1">
      <alignment vertical="center"/>
    </xf>
    <xf numFmtId="0" fontId="24" fillId="0" borderId="0" xfId="0" applyFont="1" applyAlignment="1">
      <alignment vertical="center"/>
    </xf>
    <xf numFmtId="0" fontId="24" fillId="8" borderId="0" xfId="0" applyFont="1" applyFill="1" applyAlignment="1">
      <alignment vertical="center"/>
    </xf>
    <xf numFmtId="0" fontId="25" fillId="0" borderId="0" xfId="10"/>
    <xf numFmtId="0" fontId="25" fillId="9" borderId="0" xfId="10" applyFill="1"/>
    <xf numFmtId="0" fontId="25" fillId="10" borderId="0" xfId="10" applyFill="1"/>
    <xf numFmtId="0" fontId="25" fillId="11" borderId="0" xfId="10" applyFill="1"/>
    <xf numFmtId="0" fontId="25" fillId="12" borderId="0" xfId="10" applyFill="1"/>
    <xf numFmtId="0" fontId="27" fillId="0" borderId="0" xfId="10" applyFont="1" applyAlignment="1">
      <alignment horizontal="center"/>
    </xf>
    <xf numFmtId="0" fontId="27" fillId="13" borderId="0" xfId="10" applyFont="1" applyFill="1" applyAlignment="1">
      <alignment horizontal="center"/>
    </xf>
    <xf numFmtId="0" fontId="28" fillId="14" borderId="0" xfId="10" applyFont="1" applyFill="1" applyAlignment="1">
      <alignment horizontal="center" vertical="center"/>
    </xf>
    <xf numFmtId="0" fontId="27" fillId="0" borderId="6" xfId="10" applyFont="1" applyBorder="1" applyAlignment="1">
      <alignment horizontal="center"/>
    </xf>
    <xf numFmtId="0" fontId="29" fillId="0" borderId="0" xfId="10" applyFont="1" applyAlignment="1">
      <alignment horizontal="center"/>
    </xf>
    <xf numFmtId="0" fontId="30" fillId="14" borderId="0" xfId="10" applyFont="1" applyFill="1" applyAlignment="1">
      <alignment horizontal="center" vertical="center"/>
    </xf>
    <xf numFmtId="0" fontId="27" fillId="0" borderId="7" xfId="10" applyFont="1" applyBorder="1" applyAlignment="1">
      <alignment horizontal="center"/>
    </xf>
    <xf numFmtId="0" fontId="27" fillId="0" borderId="8" xfId="10" applyFont="1" applyBorder="1" applyAlignment="1">
      <alignment horizontal="center"/>
    </xf>
    <xf numFmtId="0" fontId="27" fillId="0" borderId="9" xfId="10" applyFont="1" applyBorder="1" applyAlignment="1">
      <alignment horizontal="center"/>
    </xf>
    <xf numFmtId="0" fontId="27" fillId="0" borderId="10" xfId="10" applyFont="1" applyBorder="1" applyAlignment="1">
      <alignment horizontal="center"/>
    </xf>
    <xf numFmtId="0" fontId="27" fillId="0" borderId="11" xfId="10" applyFont="1" applyBorder="1" applyAlignment="1">
      <alignment horizontal="center"/>
    </xf>
    <xf numFmtId="0" fontId="27" fillId="0" borderId="12" xfId="10" applyFont="1" applyBorder="1" applyAlignment="1">
      <alignment horizontal="center"/>
    </xf>
    <xf numFmtId="0" fontId="27" fillId="0" borderId="0" xfId="10" applyFont="1" applyAlignment="1">
      <alignment horizontal="left"/>
    </xf>
    <xf numFmtId="0" fontId="32" fillId="0" borderId="0" xfId="10" applyFont="1" applyAlignment="1">
      <alignment horizontal="left"/>
    </xf>
    <xf numFmtId="0" fontId="33" fillId="0" borderId="0" xfId="10" applyFont="1" applyAlignment="1">
      <alignment horizontal="center"/>
    </xf>
    <xf numFmtId="0" fontId="34" fillId="8" borderId="0" xfId="10" applyFont="1" applyFill="1" applyAlignment="1">
      <alignment horizontal="center"/>
    </xf>
    <xf numFmtId="0" fontId="27" fillId="0" borderId="13" xfId="10" applyFont="1" applyBorder="1" applyAlignment="1">
      <alignment horizontal="center"/>
    </xf>
    <xf numFmtId="0" fontId="27" fillId="0" borderId="14" xfId="10" applyFont="1" applyBorder="1" applyAlignment="1">
      <alignment horizontal="center"/>
    </xf>
    <xf numFmtId="0" fontId="27" fillId="0" borderId="0" xfId="10" quotePrefix="1" applyFont="1" applyAlignment="1">
      <alignment horizontal="center"/>
    </xf>
    <xf numFmtId="0" fontId="27" fillId="0" borderId="15" xfId="10" applyFont="1" applyBorder="1" applyAlignment="1">
      <alignment horizontal="center"/>
    </xf>
    <xf numFmtId="0" fontId="27" fillId="0" borderId="0" xfId="10" applyFont="1" applyAlignment="1">
      <alignment horizontal="left" vertical="center"/>
    </xf>
    <xf numFmtId="0" fontId="35" fillId="0" borderId="0" xfId="11" applyAlignment="1">
      <alignment horizontal="left" vertical="center"/>
    </xf>
    <xf numFmtId="0" fontId="27" fillId="8" borderId="0" xfId="10" applyFont="1" applyFill="1" applyAlignment="1">
      <alignment horizontal="center"/>
    </xf>
    <xf numFmtId="0" fontId="36" fillId="3" borderId="0" xfId="10" applyFont="1" applyFill="1"/>
    <xf numFmtId="0" fontId="38" fillId="13" borderId="0" xfId="10" applyFont="1" applyFill="1" applyAlignment="1">
      <alignment horizontal="center" vertical="center"/>
    </xf>
    <xf numFmtId="0" fontId="39" fillId="15" borderId="0" xfId="10" applyFont="1" applyFill="1" applyAlignment="1">
      <alignment horizontal="center"/>
    </xf>
    <xf numFmtId="164" fontId="37" fillId="11" borderId="0" xfId="10" applyNumberFormat="1" applyFont="1" applyFill="1" applyAlignment="1">
      <alignment horizontal="center" vertical="center"/>
    </xf>
    <xf numFmtId="165" fontId="37" fillId="11" borderId="0" xfId="10" applyNumberFormat="1" applyFont="1" applyFill="1" applyAlignment="1">
      <alignment horizontal="center" vertical="center"/>
    </xf>
    <xf numFmtId="0" fontId="41" fillId="3" borderId="0" xfId="10" applyFont="1" applyFill="1" applyAlignment="1">
      <alignment horizontal="right"/>
    </xf>
    <xf numFmtId="0" fontId="42" fillId="11" borderId="0" xfId="10" applyFont="1" applyFill="1"/>
    <xf numFmtId="0" fontId="42" fillId="10" borderId="0" xfId="10" applyFont="1" applyFill="1" applyAlignment="1">
      <alignment horizontal="right"/>
    </xf>
    <xf numFmtId="0" fontId="43" fillId="3" borderId="0" xfId="0" applyFont="1" applyFill="1" applyAlignment="1">
      <alignment horizontal="center" vertical="center"/>
    </xf>
    <xf numFmtId="0" fontId="25" fillId="10" borderId="0" xfId="10" applyFill="1" applyAlignment="1">
      <alignment horizontal="right"/>
    </xf>
    <xf numFmtId="0" fontId="25" fillId="11" borderId="0" xfId="10" applyFill="1" applyAlignment="1">
      <alignment horizontal="right"/>
    </xf>
    <xf numFmtId="0" fontId="231" fillId="21" borderId="446" xfId="4" applyAlignment="1">
      <alignment horizontal="center" vertical="center"/>
    </xf>
    <xf numFmtId="0" fontId="25" fillId="6" borderId="4" xfId="7" applyFont="1"/>
    <xf numFmtId="0" fontId="48" fillId="3" borderId="1" xfId="3" applyFont="1" applyFill="1"/>
    <xf numFmtId="0" fontId="25" fillId="17" borderId="0" xfId="10" applyFill="1" applyAlignment="1">
      <alignment horizontal="left" vertical="top"/>
    </xf>
    <xf numFmtId="0" fontId="25" fillId="0" borderId="0" xfId="10" applyAlignment="1">
      <alignment horizontal="left" vertical="top"/>
    </xf>
    <xf numFmtId="0" fontId="49" fillId="0" borderId="0" xfId="10" applyFont="1" applyAlignment="1">
      <alignment horizontal="center" vertical="center" shrinkToFit="1"/>
    </xf>
    <xf numFmtId="0" fontId="25" fillId="0" borderId="18" xfId="10" applyBorder="1" applyAlignment="1">
      <alignment horizontal="left" vertical="top"/>
    </xf>
    <xf numFmtId="0" fontId="25" fillId="0" borderId="17" xfId="10" applyBorder="1" applyAlignment="1">
      <alignment horizontal="left" vertical="top"/>
    </xf>
    <xf numFmtId="0" fontId="25" fillId="0" borderId="19" xfId="10" applyBorder="1" applyAlignment="1">
      <alignment horizontal="left" vertical="top"/>
    </xf>
    <xf numFmtId="0" fontId="25" fillId="0" borderId="16" xfId="10" applyBorder="1" applyAlignment="1">
      <alignment horizontal="left" vertical="top"/>
    </xf>
    <xf numFmtId="0" fontId="25" fillId="0" borderId="20" xfId="10" applyBorder="1" applyAlignment="1">
      <alignment horizontal="left" vertical="top"/>
    </xf>
    <xf numFmtId="0" fontId="42" fillId="11" borderId="0" xfId="10" applyFont="1" applyFill="1" applyAlignment="1">
      <alignment horizontal="right"/>
    </xf>
    <xf numFmtId="0" fontId="19" fillId="5" borderId="3" xfId="5"/>
    <xf numFmtId="0" fontId="54" fillId="0" borderId="0" xfId="10" applyFont="1" applyAlignment="1">
      <alignment horizontal="center" vertical="center" shrinkToFit="1"/>
    </xf>
    <xf numFmtId="0" fontId="43" fillId="3" borderId="0" xfId="0" applyFont="1" applyFill="1" applyAlignment="1">
      <alignment horizontal="right"/>
    </xf>
    <xf numFmtId="0" fontId="43" fillId="3" borderId="0" xfId="0" applyFont="1" applyFill="1" applyAlignment="1">
      <alignment horizontal="left"/>
    </xf>
    <xf numFmtId="0" fontId="0" fillId="0" borderId="0" xfId="0" applyAlignment="1">
      <alignment horizontal="center" vertical="center"/>
    </xf>
    <xf numFmtId="0" fontId="56" fillId="0" borderId="0" xfId="0" applyFont="1" applyAlignment="1">
      <alignment horizontal="left" vertical="center" indent="1"/>
    </xf>
    <xf numFmtId="0" fontId="56" fillId="0" borderId="0" xfId="0" applyFont="1" applyAlignment="1">
      <alignment horizontal="left" vertical="center" indent="2"/>
    </xf>
    <xf numFmtId="0" fontId="0" fillId="0" borderId="0" xfId="0" applyAlignment="1">
      <alignment horizontal="right"/>
    </xf>
    <xf numFmtId="0" fontId="55" fillId="0" borderId="0" xfId="0" applyFont="1" applyAlignment="1">
      <alignment horizontal="left" vertical="center" indent="1"/>
    </xf>
    <xf numFmtId="0" fontId="57" fillId="0" borderId="33" xfId="0" applyFont="1" applyBorder="1"/>
    <xf numFmtId="0" fontId="37" fillId="0" borderId="31" xfId="0" applyFont="1" applyBorder="1" applyAlignment="1">
      <alignment horizontal="center" vertical="center"/>
    </xf>
    <xf numFmtId="0" fontId="22" fillId="20" borderId="31" xfId="0" applyFont="1" applyFill="1" applyBorder="1" applyAlignment="1">
      <alignment horizontal="center" vertical="center"/>
    </xf>
    <xf numFmtId="0" fontId="59" fillId="0" borderId="0" xfId="12" applyFont="1"/>
    <xf numFmtId="0" fontId="61" fillId="0" borderId="0" xfId="12" applyFont="1"/>
    <xf numFmtId="0" fontId="63" fillId="0" borderId="25" xfId="12" applyFont="1" applyBorder="1" applyAlignment="1">
      <alignment horizontal="right"/>
    </xf>
    <xf numFmtId="0" fontId="64" fillId="4" borderId="2" xfId="13" applyFont="1" applyAlignment="1" applyProtection="1">
      <alignment horizontal="right"/>
      <protection locked="0"/>
    </xf>
    <xf numFmtId="0" fontId="63" fillId="0" borderId="25" xfId="12" applyFont="1" applyBorder="1"/>
    <xf numFmtId="0" fontId="63" fillId="0" borderId="0" xfId="12" applyFont="1"/>
    <xf numFmtId="0" fontId="63" fillId="0" borderId="0" xfId="12" applyFont="1" applyAlignment="1">
      <alignment horizontal="right"/>
    </xf>
    <xf numFmtId="0" fontId="64" fillId="4" borderId="25" xfId="13" applyFont="1" applyBorder="1" applyAlignment="1" applyProtection="1">
      <alignment horizontal="right"/>
      <protection locked="0"/>
    </xf>
    <xf numFmtId="0" fontId="63" fillId="0" borderId="25" xfId="12" applyFont="1" applyBorder="1" applyProtection="1">
      <protection locked="0"/>
    </xf>
    <xf numFmtId="1" fontId="63" fillId="0" borderId="0" xfId="12" applyNumberFormat="1" applyFont="1"/>
    <xf numFmtId="1" fontId="61" fillId="0" borderId="0" xfId="12" applyNumberFormat="1" applyFont="1"/>
    <xf numFmtId="0" fontId="67" fillId="3" borderId="25" xfId="12" applyFont="1" applyFill="1" applyBorder="1" applyAlignment="1">
      <alignment horizontal="right"/>
    </xf>
    <xf numFmtId="0" fontId="67" fillId="3" borderId="25" xfId="12" applyFont="1" applyFill="1" applyBorder="1"/>
    <xf numFmtId="2" fontId="68" fillId="5" borderId="2" xfId="6" applyNumberFormat="1" applyFont="1"/>
    <xf numFmtId="9" fontId="68" fillId="5" borderId="2" xfId="6" applyNumberFormat="1" applyFont="1"/>
    <xf numFmtId="2" fontId="68" fillId="5" borderId="2" xfId="6" applyNumberFormat="1" applyFont="1" applyAlignment="1">
      <alignment horizontal="right"/>
    </xf>
    <xf numFmtId="0" fontId="60" fillId="4" borderId="2" xfId="13" applyProtection="1">
      <protection locked="0"/>
    </xf>
    <xf numFmtId="0" fontId="63" fillId="0" borderId="0" xfId="12" applyFont="1" applyAlignment="1" applyProtection="1">
      <alignment horizontal="center" vertical="center"/>
      <protection locked="0"/>
    </xf>
    <xf numFmtId="1" fontId="63" fillId="0" borderId="0" xfId="12" applyNumberFormat="1" applyFont="1" applyAlignment="1" applyProtection="1">
      <alignment horizontal="center" vertical="center"/>
      <protection locked="0"/>
    </xf>
    <xf numFmtId="0" fontId="70" fillId="0" borderId="0" xfId="12" applyFont="1" applyProtection="1">
      <protection locked="0"/>
    </xf>
    <xf numFmtId="1" fontId="70" fillId="0" borderId="0" xfId="12" applyNumberFormat="1" applyFont="1" applyProtection="1">
      <protection locked="0"/>
    </xf>
    <xf numFmtId="2" fontId="70" fillId="0" borderId="0" xfId="12" applyNumberFormat="1" applyFont="1" applyProtection="1">
      <protection locked="0"/>
    </xf>
    <xf numFmtId="1" fontId="70" fillId="0" borderId="0" xfId="12" applyNumberFormat="1" applyFont="1" applyAlignment="1" applyProtection="1">
      <alignment horizontal="right"/>
      <protection locked="0"/>
    </xf>
    <xf numFmtId="0" fontId="71" fillId="3" borderId="25" xfId="12" applyFont="1" applyFill="1" applyBorder="1" applyAlignment="1">
      <alignment horizontal="center"/>
    </xf>
    <xf numFmtId="0" fontId="69" fillId="7" borderId="21" xfId="9" applyFont="1" applyBorder="1" applyAlignment="1">
      <alignment horizontal="right"/>
    </xf>
    <xf numFmtId="0" fontId="63" fillId="6" borderId="4" xfId="7" applyFont="1"/>
    <xf numFmtId="1" fontId="63" fillId="0" borderId="0" xfId="12" applyNumberFormat="1" applyFont="1" applyAlignment="1">
      <alignment horizontal="right"/>
    </xf>
    <xf numFmtId="0" fontId="61" fillId="0" borderId="0" xfId="12" applyFont="1" applyAlignment="1">
      <alignment horizontal="right"/>
    </xf>
    <xf numFmtId="1" fontId="61" fillId="0" borderId="0" xfId="12" applyNumberFormat="1" applyFont="1" applyAlignment="1">
      <alignment horizontal="right"/>
    </xf>
    <xf numFmtId="2" fontId="74" fillId="0" borderId="0" xfId="12" applyNumberFormat="1" applyFont="1"/>
    <xf numFmtId="0" fontId="74" fillId="0" borderId="0" xfId="12" applyFont="1"/>
    <xf numFmtId="1" fontId="74" fillId="0" borderId="0" xfId="12" applyNumberFormat="1" applyFont="1" applyAlignment="1">
      <alignment horizontal="right"/>
    </xf>
    <xf numFmtId="3" fontId="74" fillId="0" borderId="0" xfId="12" applyNumberFormat="1" applyFont="1"/>
    <xf numFmtId="12" fontId="74" fillId="0" borderId="0" xfId="12" applyNumberFormat="1" applyFont="1"/>
    <xf numFmtId="0" fontId="76" fillId="3" borderId="21" xfId="10" applyFont="1" applyFill="1" applyBorder="1" applyAlignment="1">
      <alignment horizontal="center" vertical="center"/>
    </xf>
    <xf numFmtId="0" fontId="76" fillId="3" borderId="26" xfId="10" applyFont="1" applyFill="1" applyBorder="1" applyAlignment="1">
      <alignment horizontal="center" vertical="center"/>
    </xf>
    <xf numFmtId="0" fontId="76" fillId="3" borderId="27" xfId="10" applyFont="1" applyFill="1" applyBorder="1" applyAlignment="1">
      <alignment horizontal="center" vertical="center"/>
    </xf>
    <xf numFmtId="0" fontId="36" fillId="3" borderId="0" xfId="10" applyFont="1" applyFill="1" applyAlignment="1"/>
    <xf numFmtId="0" fontId="42" fillId="10" borderId="0" xfId="10" applyFont="1" applyFill="1" applyAlignment="1">
      <alignment horizontal="right" wrapText="1"/>
    </xf>
    <xf numFmtId="0" fontId="42" fillId="11" borderId="0" xfId="10" applyFont="1" applyFill="1" applyAlignment="1">
      <alignment horizontal="right" wrapText="1"/>
    </xf>
    <xf numFmtId="0" fontId="0" fillId="0" borderId="0" xfId="0" applyBorder="1"/>
    <xf numFmtId="0" fontId="19" fillId="5" borderId="35" xfId="5" applyBorder="1"/>
    <xf numFmtId="0" fontId="19" fillId="5" borderId="36" xfId="5" applyFont="1" applyFill="1" applyBorder="1"/>
    <xf numFmtId="0" fontId="19" fillId="5" borderId="35" xfId="5" applyFont="1" applyFill="1" applyBorder="1"/>
    <xf numFmtId="0" fontId="56" fillId="6" borderId="32" xfId="7" applyFont="1" applyBorder="1" applyAlignment="1">
      <alignment vertical="center"/>
    </xf>
    <xf numFmtId="0" fontId="56" fillId="6" borderId="0" xfId="7" applyFont="1" applyBorder="1" applyAlignment="1">
      <alignment vertical="center"/>
    </xf>
    <xf numFmtId="0" fontId="80" fillId="0" borderId="0" xfId="0" applyFont="1"/>
    <xf numFmtId="0" fontId="81" fillId="0" borderId="0" xfId="0" applyFont="1"/>
    <xf numFmtId="0" fontId="80" fillId="3" borderId="0" xfId="0" applyFont="1" applyFill="1"/>
    <xf numFmtId="0" fontId="0" fillId="22" borderId="0" xfId="0" applyFill="1"/>
    <xf numFmtId="0" fontId="82" fillId="3" borderId="0" xfId="0" applyFont="1" applyFill="1" applyAlignment="1">
      <alignment horizontal="center" vertical="center"/>
    </xf>
    <xf numFmtId="0" fontId="12" fillId="3" borderId="0" xfId="0" applyFont="1" applyFill="1" applyAlignment="1">
      <alignment horizontal="center" vertical="center"/>
    </xf>
    <xf numFmtId="0" fontId="83" fillId="0" borderId="0" xfId="14"/>
    <xf numFmtId="0" fontId="84" fillId="0" borderId="0" xfId="14" applyFont="1" applyAlignment="1">
      <alignment horizontal="center"/>
    </xf>
    <xf numFmtId="49" fontId="7" fillId="0" borderId="0" xfId="14" applyNumberFormat="1" applyFont="1"/>
    <xf numFmtId="0" fontId="7" fillId="0" borderId="0" xfId="14" applyFont="1"/>
    <xf numFmtId="0" fontId="83" fillId="0" borderId="0" xfId="14"/>
    <xf numFmtId="0" fontId="7" fillId="0" borderId="0" xfId="14" applyFont="1"/>
    <xf numFmtId="0" fontId="83" fillId="0" borderId="0" xfId="14" applyAlignment="1">
      <alignment horizontal="center"/>
    </xf>
    <xf numFmtId="0" fontId="86" fillId="0" borderId="0" xfId="14" applyFont="1" applyAlignment="1">
      <alignment horizontal="center"/>
    </xf>
    <xf numFmtId="3" fontId="84" fillId="0" borderId="0" xfId="14" applyNumberFormat="1" applyFont="1" applyAlignment="1">
      <alignment horizontal="center"/>
    </xf>
    <xf numFmtId="4" fontId="84" fillId="0" borderId="0" xfId="14" applyNumberFormat="1" applyFont="1" applyAlignment="1">
      <alignment horizontal="center"/>
    </xf>
    <xf numFmtId="4" fontId="85" fillId="0" borderId="0" xfId="14" applyNumberFormat="1" applyFont="1" applyAlignment="1">
      <alignment horizontal="center"/>
    </xf>
    <xf numFmtId="0" fontId="87" fillId="24" borderId="0" xfId="14" applyFont="1" applyFill="1" applyAlignment="1">
      <alignment horizontal="center"/>
    </xf>
    <xf numFmtId="0" fontId="83" fillId="24" borderId="0" xfId="14" applyFill="1" applyAlignment="1">
      <alignment horizontal="center"/>
    </xf>
    <xf numFmtId="0" fontId="83" fillId="0" borderId="0" xfId="14" applyAlignment="1">
      <alignment horizontal="center" wrapText="1"/>
    </xf>
    <xf numFmtId="0" fontId="88" fillId="0" borderId="0" xfId="14" applyFont="1" applyAlignment="1">
      <alignment vertical="center"/>
    </xf>
    <xf numFmtId="0" fontId="89" fillId="0" borderId="0" xfId="14" applyFont="1" applyAlignment="1">
      <alignment vertical="center"/>
    </xf>
    <xf numFmtId="0" fontId="88" fillId="0" borderId="0" xfId="14" applyFont="1" applyAlignment="1">
      <alignment horizontal="left" vertical="center"/>
    </xf>
    <xf numFmtId="0" fontId="89" fillId="0" borderId="0" xfId="14" applyFont="1" applyAlignment="1">
      <alignment vertical="top" wrapText="1"/>
    </xf>
    <xf numFmtId="0" fontId="97" fillId="0" borderId="0" xfId="14" applyFont="1"/>
    <xf numFmtId="0" fontId="100" fillId="0" borderId="0" xfId="14" applyFont="1" applyAlignment="1">
      <alignment vertical="top" wrapText="1"/>
    </xf>
    <xf numFmtId="0" fontId="101" fillId="0" borderId="0" xfId="14" applyFont="1" applyAlignment="1">
      <alignment horizontal="left" vertical="center"/>
    </xf>
    <xf numFmtId="0" fontId="92" fillId="0" borderId="0" xfId="14" applyFont="1" applyAlignment="1">
      <alignment vertical="center"/>
    </xf>
    <xf numFmtId="0" fontId="106" fillId="0" borderId="0" xfId="14" applyFont="1" applyAlignment="1">
      <alignment vertical="center"/>
    </xf>
    <xf numFmtId="49" fontId="83" fillId="0" borderId="0" xfId="14" applyNumberFormat="1" applyAlignment="1">
      <alignment horizontal="left" vertical="center" shrinkToFit="1"/>
    </xf>
    <xf numFmtId="49" fontId="83" fillId="0" borderId="45" xfId="14" applyNumberFormat="1" applyBorder="1" applyAlignment="1">
      <alignment horizontal="left" vertical="center" shrinkToFit="1"/>
    </xf>
    <xf numFmtId="49" fontId="83" fillId="0" borderId="0" xfId="14" applyNumberFormat="1" applyAlignment="1">
      <alignment horizontal="left" vertical="center" wrapText="1"/>
    </xf>
    <xf numFmtId="49" fontId="83" fillId="0" borderId="45" xfId="14" applyNumberFormat="1" applyBorder="1" applyAlignment="1">
      <alignment horizontal="left" vertical="center" wrapText="1"/>
    </xf>
    <xf numFmtId="49" fontId="83" fillId="0" borderId="76" xfId="14" applyNumberFormat="1" applyBorder="1" applyAlignment="1">
      <alignment horizontal="left" vertical="center" wrapText="1"/>
    </xf>
    <xf numFmtId="0" fontId="83" fillId="0" borderId="0" xfId="14" applyAlignment="1">
      <alignment horizontal="left" vertical="center" shrinkToFit="1"/>
    </xf>
    <xf numFmtId="0" fontId="83" fillId="0" borderId="76" xfId="14" applyBorder="1" applyAlignment="1">
      <alignment horizontal="left" vertical="center" shrinkToFit="1"/>
    </xf>
    <xf numFmtId="0" fontId="89" fillId="24" borderId="73" xfId="14" applyFont="1" applyFill="1" applyBorder="1" applyAlignment="1">
      <alignment vertical="center"/>
    </xf>
    <xf numFmtId="0" fontId="112" fillId="24" borderId="0" xfId="14" applyFont="1" applyFill="1" applyAlignment="1">
      <alignment horizontal="center" vertical="center" textRotation="90"/>
    </xf>
    <xf numFmtId="0" fontId="89" fillId="29" borderId="37" xfId="14" applyFont="1" applyFill="1" applyBorder="1" applyAlignment="1">
      <alignment vertical="center"/>
    </xf>
    <xf numFmtId="0" fontId="89" fillId="29" borderId="38" xfId="14" applyFont="1" applyFill="1" applyBorder="1" applyAlignment="1">
      <alignment vertical="center"/>
    </xf>
    <xf numFmtId="0" fontId="89" fillId="29" borderId="41" xfId="14" applyFont="1" applyFill="1" applyBorder="1" applyAlignment="1">
      <alignment vertical="center"/>
    </xf>
    <xf numFmtId="0" fontId="89" fillId="29" borderId="42" xfId="14" applyFont="1" applyFill="1" applyBorder="1" applyAlignment="1">
      <alignment vertical="center"/>
    </xf>
    <xf numFmtId="0" fontId="89" fillId="29" borderId="0" xfId="14" applyFont="1" applyFill="1" applyAlignment="1">
      <alignment vertical="center"/>
    </xf>
    <xf numFmtId="0" fontId="89" fillId="29" borderId="45" xfId="14" applyFont="1" applyFill="1" applyBorder="1" applyAlignment="1">
      <alignment vertical="center"/>
    </xf>
    <xf numFmtId="0" fontId="89" fillId="29" borderId="72" xfId="14" applyFont="1" applyFill="1" applyBorder="1" applyAlignment="1">
      <alignment vertical="center"/>
    </xf>
    <xf numFmtId="0" fontId="89" fillId="29" borderId="73" xfId="14" applyFont="1" applyFill="1" applyBorder="1" applyAlignment="1">
      <alignment vertical="center"/>
    </xf>
    <xf numFmtId="0" fontId="89" fillId="29" borderId="74" xfId="14" applyFont="1" applyFill="1" applyBorder="1" applyAlignment="1">
      <alignment vertical="center"/>
    </xf>
    <xf numFmtId="0" fontId="89" fillId="0" borderId="52" xfId="14" applyFont="1" applyBorder="1" applyAlignment="1">
      <alignment vertical="center"/>
    </xf>
    <xf numFmtId="0" fontId="89" fillId="0" borderId="53" xfId="14" applyFont="1" applyBorder="1" applyAlignment="1">
      <alignment vertical="center"/>
    </xf>
    <xf numFmtId="0" fontId="89" fillId="0" borderId="54" xfId="14" applyFont="1" applyBorder="1" applyAlignment="1">
      <alignment vertical="center"/>
    </xf>
    <xf numFmtId="0" fontId="89" fillId="0" borderId="57" xfId="14" applyFont="1" applyBorder="1" applyAlignment="1">
      <alignment vertical="center"/>
    </xf>
    <xf numFmtId="0" fontId="89" fillId="0" borderId="58" xfId="14" applyFont="1" applyBorder="1" applyAlignment="1">
      <alignment vertical="center"/>
    </xf>
    <xf numFmtId="0" fontId="89" fillId="0" borderId="59" xfId="14" applyFont="1" applyBorder="1" applyAlignment="1">
      <alignment vertical="center"/>
    </xf>
    <xf numFmtId="0" fontId="89" fillId="0" borderId="65" xfId="14" applyFont="1" applyBorder="1" applyAlignment="1">
      <alignment vertical="center"/>
    </xf>
    <xf numFmtId="0" fontId="89" fillId="0" borderId="66" xfId="14" applyFont="1" applyBorder="1" applyAlignment="1">
      <alignment vertical="center"/>
    </xf>
    <xf numFmtId="0" fontId="89" fillId="0" borderId="50" xfId="14" applyFont="1" applyBorder="1" applyAlignment="1">
      <alignment vertical="center"/>
    </xf>
    <xf numFmtId="0" fontId="89" fillId="0" borderId="78" xfId="14" applyFont="1" applyBorder="1" applyAlignment="1">
      <alignment vertical="center"/>
    </xf>
    <xf numFmtId="49" fontId="89" fillId="0" borderId="0" xfId="14" applyNumberFormat="1" applyFont="1" applyAlignment="1">
      <alignment horizontal="left" vertical="center"/>
    </xf>
    <xf numFmtId="0" fontId="89" fillId="0" borderId="0" xfId="14" applyFont="1" applyAlignment="1">
      <alignment horizontal="center" vertical="center"/>
    </xf>
    <xf numFmtId="0" fontId="84" fillId="0" borderId="0" xfId="14" applyFont="1" applyAlignment="1">
      <alignment horizontal="center" vertical="center"/>
    </xf>
    <xf numFmtId="49" fontId="89" fillId="0" borderId="0" xfId="14" applyNumberFormat="1" applyFont="1" applyAlignment="1">
      <alignment horizontal="center" vertical="center"/>
    </xf>
    <xf numFmtId="166" fontId="89" fillId="0" borderId="0" xfId="14" applyNumberFormat="1" applyFont="1" applyAlignment="1">
      <alignment horizontal="center" vertical="center"/>
    </xf>
    <xf numFmtId="49" fontId="84" fillId="0" borderId="0" xfId="14" applyNumberFormat="1" applyFont="1" applyAlignment="1">
      <alignment vertical="center"/>
    </xf>
    <xf numFmtId="49" fontId="89" fillId="24" borderId="0" xfId="14" applyNumberFormat="1" applyFont="1" applyFill="1" applyAlignment="1">
      <alignment horizontal="left" vertical="center"/>
    </xf>
    <xf numFmtId="0" fontId="92" fillId="0" borderId="53" xfId="14" applyFont="1" applyBorder="1" applyAlignment="1">
      <alignment horizontal="center" vertical="top"/>
    </xf>
    <xf numFmtId="0" fontId="92" fillId="0" borderId="40" xfId="14" applyFont="1" applyBorder="1" applyAlignment="1">
      <alignment horizontal="right" vertical="top"/>
    </xf>
    <xf numFmtId="49" fontId="92" fillId="0" borderId="81" xfId="14" applyNumberFormat="1" applyFont="1" applyBorder="1" applyAlignment="1">
      <alignment horizontal="left" vertical="top"/>
    </xf>
    <xf numFmtId="49" fontId="92" fillId="0" borderId="82" xfId="14" applyNumberFormat="1" applyFont="1" applyBorder="1" applyAlignment="1">
      <alignment horizontal="left" vertical="top"/>
    </xf>
    <xf numFmtId="0" fontId="120" fillId="0" borderId="0" xfId="14" applyFont="1" applyAlignment="1">
      <alignment vertical="center"/>
    </xf>
    <xf numFmtId="0" fontId="92" fillId="0" borderId="58" xfId="14" applyFont="1" applyBorder="1" applyAlignment="1">
      <alignment horizontal="center" vertical="top"/>
    </xf>
    <xf numFmtId="0" fontId="92" fillId="0" borderId="78" xfId="14" applyFont="1" applyBorder="1" applyAlignment="1">
      <alignment horizontal="right" vertical="top"/>
    </xf>
    <xf numFmtId="49" fontId="92" fillId="0" borderId="84" xfId="14" applyNumberFormat="1" applyFont="1" applyBorder="1" applyAlignment="1">
      <alignment horizontal="left" vertical="top"/>
    </xf>
    <xf numFmtId="49" fontId="92" fillId="0" borderId="85" xfId="14" applyNumberFormat="1" applyFont="1" applyBorder="1" applyAlignment="1">
      <alignment horizontal="left" vertical="top"/>
    </xf>
    <xf numFmtId="0" fontId="92" fillId="0" borderId="66" xfId="14" applyFont="1" applyBorder="1" applyAlignment="1">
      <alignment horizontal="center" vertical="top"/>
    </xf>
    <xf numFmtId="49" fontId="92" fillId="0" borderId="86" xfId="14" applyNumberFormat="1" applyFont="1" applyBorder="1" applyAlignment="1">
      <alignment horizontal="left" vertical="top"/>
    </xf>
    <xf numFmtId="49" fontId="92" fillId="0" borderId="87" xfId="14" applyNumberFormat="1" applyFont="1" applyBorder="1" applyAlignment="1">
      <alignment horizontal="left" vertical="top"/>
    </xf>
    <xf numFmtId="0" fontId="88" fillId="0" borderId="0" xfId="14" applyFont="1" applyAlignment="1">
      <alignment vertical="center" wrapText="1"/>
    </xf>
    <xf numFmtId="0" fontId="120" fillId="0" borderId="0" xfId="14" applyFont="1" applyAlignment="1">
      <alignment vertical="center" wrapText="1"/>
    </xf>
    <xf numFmtId="0" fontId="89" fillId="0" borderId="0" xfId="14" applyFont="1" applyAlignment="1">
      <alignment vertical="center" wrapText="1"/>
    </xf>
    <xf numFmtId="0" fontId="116" fillId="24" borderId="0" xfId="14" applyFont="1" applyFill="1" applyAlignment="1">
      <alignment horizontal="left" vertical="center" wrapText="1"/>
    </xf>
    <xf numFmtId="166" fontId="120" fillId="0" borderId="0" xfId="14" applyNumberFormat="1" applyFont="1" applyAlignment="1">
      <alignment vertical="center" wrapText="1"/>
    </xf>
    <xf numFmtId="0" fontId="89" fillId="0" borderId="0" xfId="14" applyFont="1" applyAlignment="1">
      <alignment horizontal="left" vertical="center" shrinkToFit="1"/>
    </xf>
    <xf numFmtId="49" fontId="116" fillId="0" borderId="0" xfId="14" applyNumberFormat="1" applyFont="1" applyAlignment="1">
      <alignment horizontal="center" vertical="center"/>
    </xf>
    <xf numFmtId="0" fontId="122" fillId="0" borderId="0" xfId="14" applyFont="1" applyAlignment="1">
      <alignment horizontal="left" vertical="center"/>
    </xf>
    <xf numFmtId="0" fontId="121" fillId="0" borderId="0" xfId="14" applyFont="1" applyAlignment="1">
      <alignment horizontal="left" vertical="center"/>
    </xf>
    <xf numFmtId="0" fontId="89" fillId="24" borderId="37" xfId="14" applyFont="1" applyFill="1" applyBorder="1" applyAlignment="1">
      <alignment vertical="center"/>
    </xf>
    <xf numFmtId="0" fontId="89" fillId="24" borderId="38" xfId="14" applyFont="1" applyFill="1" applyBorder="1" applyAlignment="1">
      <alignment vertical="center"/>
    </xf>
    <xf numFmtId="0" fontId="100" fillId="24" borderId="38" xfId="14" applyFont="1" applyFill="1" applyBorder="1" applyAlignment="1">
      <alignment vertical="center"/>
    </xf>
    <xf numFmtId="167" fontId="89" fillId="0" borderId="42" xfId="14" applyNumberFormat="1" applyFont="1" applyBorder="1" applyAlignment="1">
      <alignment horizontal="center" vertical="center"/>
    </xf>
    <xf numFmtId="167" fontId="89" fillId="0" borderId="45" xfId="14" applyNumberFormat="1" applyFont="1" applyBorder="1" applyAlignment="1">
      <alignment horizontal="center" vertical="center"/>
    </xf>
    <xf numFmtId="0" fontId="130" fillId="35" borderId="51" xfId="14" applyFont="1" applyFill="1" applyBorder="1" applyAlignment="1">
      <alignment horizontal="right" vertical="center" textRotation="90"/>
    </xf>
    <xf numFmtId="0" fontId="128" fillId="35" borderId="51" xfId="14" applyFont="1" applyFill="1" applyBorder="1" applyAlignment="1">
      <alignment horizontal="right" vertical="center" textRotation="90"/>
    </xf>
    <xf numFmtId="0" fontId="7" fillId="24" borderId="37" xfId="14" applyFont="1" applyFill="1" applyBorder="1"/>
    <xf numFmtId="0" fontId="7" fillId="24" borderId="38" xfId="14" applyFont="1" applyFill="1" applyBorder="1"/>
    <xf numFmtId="0" fontId="7" fillId="29" borderId="38" xfId="14" applyFont="1" applyFill="1" applyBorder="1"/>
    <xf numFmtId="0" fontId="7" fillId="29" borderId="41" xfId="14" applyFont="1" applyFill="1" applyBorder="1"/>
    <xf numFmtId="0" fontId="7" fillId="24" borderId="42" xfId="14" applyFont="1" applyFill="1" applyBorder="1"/>
    <xf numFmtId="0" fontId="7" fillId="24" borderId="0" xfId="14" applyFont="1" applyFill="1"/>
    <xf numFmtId="0" fontId="7" fillId="29" borderId="0" xfId="14" applyFont="1" applyFill="1"/>
    <xf numFmtId="0" fontId="7" fillId="29" borderId="45" xfId="14" applyFont="1" applyFill="1" applyBorder="1"/>
    <xf numFmtId="0" fontId="89" fillId="0" borderId="37" xfId="14" applyFont="1" applyBorder="1" applyAlignment="1">
      <alignment vertical="center"/>
    </xf>
    <xf numFmtId="0" fontId="89" fillId="0" borderId="38" xfId="14" applyFont="1" applyBorder="1" applyAlignment="1">
      <alignment vertical="center"/>
    </xf>
    <xf numFmtId="0" fontId="89" fillId="0" borderId="41" xfId="14" applyFont="1" applyBorder="1" applyAlignment="1">
      <alignment vertical="center"/>
    </xf>
    <xf numFmtId="0" fontId="7" fillId="24" borderId="72" xfId="14" applyFont="1" applyFill="1" applyBorder="1"/>
    <xf numFmtId="0" fontId="7" fillId="24" borderId="73" xfId="14" applyFont="1" applyFill="1" applyBorder="1"/>
    <xf numFmtId="0" fontId="7" fillId="29" borderId="73" xfId="14" applyFont="1" applyFill="1" applyBorder="1"/>
    <xf numFmtId="0" fontId="7" fillId="29" borderId="74" xfId="14" applyFont="1" applyFill="1" applyBorder="1"/>
    <xf numFmtId="0" fontId="89" fillId="0" borderId="42" xfId="14" applyFont="1" applyBorder="1" applyAlignment="1">
      <alignment vertical="center"/>
    </xf>
    <xf numFmtId="0" fontId="89" fillId="0" borderId="45" xfId="14" applyFont="1" applyBorder="1" applyAlignment="1">
      <alignment vertical="center"/>
    </xf>
    <xf numFmtId="0" fontId="116" fillId="0" borderId="0" xfId="14" applyFont="1" applyAlignment="1">
      <alignment horizontal="center" vertical="center"/>
    </xf>
    <xf numFmtId="0" fontId="89" fillId="24" borderId="42" xfId="14" applyFont="1" applyFill="1" applyBorder="1" applyAlignment="1">
      <alignment vertical="center"/>
    </xf>
    <xf numFmtId="0" fontId="89" fillId="24" borderId="0" xfId="14" applyFont="1" applyFill="1" applyAlignment="1">
      <alignment vertical="center"/>
    </xf>
    <xf numFmtId="166" fontId="89" fillId="0" borderId="0" xfId="14" applyNumberFormat="1" applyFont="1" applyAlignment="1">
      <alignment vertical="center" shrinkToFit="1"/>
    </xf>
    <xf numFmtId="166" fontId="89" fillId="0" borderId="0" xfId="14" applyNumberFormat="1" applyFont="1" applyAlignment="1">
      <alignment vertical="center"/>
    </xf>
    <xf numFmtId="0" fontId="89" fillId="0" borderId="0" xfId="14" applyFont="1" applyAlignment="1">
      <alignment vertical="center" shrinkToFit="1"/>
    </xf>
    <xf numFmtId="0" fontId="85" fillId="0" borderId="0" xfId="14" applyFont="1" applyAlignment="1">
      <alignment vertical="center"/>
    </xf>
    <xf numFmtId="0" fontId="126" fillId="0" borderId="0" xfId="14" applyFont="1" applyAlignment="1">
      <alignment horizontal="center" vertical="center"/>
    </xf>
    <xf numFmtId="3" fontId="89" fillId="0" borderId="0" xfId="14" applyNumberFormat="1" applyFont="1" applyAlignment="1">
      <alignment horizontal="center" vertical="center"/>
    </xf>
    <xf numFmtId="0" fontId="89" fillId="0" borderId="0" xfId="14" applyFont="1" applyAlignment="1">
      <alignment horizontal="left" vertical="center"/>
    </xf>
    <xf numFmtId="0" fontId="84" fillId="0" borderId="0" xfId="14" applyFont="1" applyAlignment="1">
      <alignment vertical="center"/>
    </xf>
    <xf numFmtId="0" fontId="126" fillId="0" borderId="0" xfId="14" applyFont="1" applyAlignment="1">
      <alignment horizontal="left" vertical="center"/>
    </xf>
    <xf numFmtId="49" fontId="89" fillId="0" borderId="76" xfId="14" applyNumberFormat="1" applyFont="1" applyBorder="1" applyAlignment="1">
      <alignment vertical="center" wrapText="1"/>
    </xf>
    <xf numFmtId="0" fontId="139" fillId="0" borderId="0" xfId="14" applyFont="1" applyAlignment="1">
      <alignment horizontal="center" vertical="center" shrinkToFit="1"/>
    </xf>
    <xf numFmtId="0" fontId="7" fillId="0" borderId="0" xfId="14" applyFont="1"/>
    <xf numFmtId="0" fontId="83" fillId="0" borderId="0" xfId="14"/>
    <xf numFmtId="0" fontId="144" fillId="0" borderId="0" xfId="15"/>
    <xf numFmtId="0" fontId="145" fillId="0" borderId="0" xfId="15" applyFont="1"/>
    <xf numFmtId="1" fontId="145" fillId="0" borderId="0" xfId="15" applyNumberFormat="1" applyFont="1"/>
    <xf numFmtId="169" fontId="145" fillId="0" borderId="0" xfId="15" applyNumberFormat="1" applyFont="1"/>
    <xf numFmtId="2" fontId="145" fillId="0" borderId="0" xfId="15" applyNumberFormat="1" applyFont="1"/>
    <xf numFmtId="0" fontId="49" fillId="0" borderId="0" xfId="10" applyFont="1" applyAlignment="1">
      <alignment horizontal="center"/>
    </xf>
    <xf numFmtId="0" fontId="49" fillId="0" borderId="0" xfId="10" applyFont="1"/>
    <xf numFmtId="0" fontId="49" fillId="0" borderId="0" xfId="10" applyFont="1" applyAlignment="1">
      <alignment horizontal="left"/>
    </xf>
    <xf numFmtId="0" fontId="49" fillId="44" borderId="0" xfId="10" applyFont="1" applyFill="1"/>
    <xf numFmtId="0" fontId="156" fillId="10" borderId="98" xfId="10" applyFont="1" applyFill="1" applyBorder="1" applyAlignment="1">
      <alignment horizontal="centerContinuous"/>
    </xf>
    <xf numFmtId="0" fontId="156" fillId="10" borderId="99" xfId="10" applyFont="1" applyFill="1" applyBorder="1" applyAlignment="1">
      <alignment horizontal="centerContinuous"/>
    </xf>
    <xf numFmtId="0" fontId="156" fillId="10" borderId="99" xfId="10" applyFont="1" applyFill="1" applyBorder="1"/>
    <xf numFmtId="0" fontId="156" fillId="10" borderId="100" xfId="10" applyFont="1" applyFill="1" applyBorder="1"/>
    <xf numFmtId="0" fontId="156" fillId="45" borderId="101" xfId="10" applyFont="1" applyFill="1" applyBorder="1" applyAlignment="1">
      <alignment horizontal="center"/>
    </xf>
    <xf numFmtId="0" fontId="156" fillId="45" borderId="102" xfId="10" applyFont="1" applyFill="1" applyBorder="1" applyAlignment="1">
      <alignment horizontal="center"/>
    </xf>
    <xf numFmtId="0" fontId="156" fillId="0" borderId="102" xfId="10" applyFont="1" applyBorder="1" applyAlignment="1">
      <alignment horizontal="center"/>
    </xf>
    <xf numFmtId="0" fontId="156" fillId="0" borderId="0" xfId="10" applyFont="1" applyAlignment="1">
      <alignment horizontal="center"/>
    </xf>
    <xf numFmtId="0" fontId="156" fillId="44" borderId="0" xfId="10" applyFont="1" applyFill="1" applyAlignment="1">
      <alignment horizontal="center"/>
    </xf>
    <xf numFmtId="0" fontId="49" fillId="10" borderId="103" xfId="10" applyFont="1" applyFill="1" applyBorder="1" applyAlignment="1">
      <alignment horizontal="center"/>
    </xf>
    <xf numFmtId="0" fontId="49" fillId="10" borderId="104" xfId="10" applyFont="1" applyFill="1" applyBorder="1" applyAlignment="1">
      <alignment horizontal="centerContinuous"/>
    </xf>
    <xf numFmtId="0" fontId="49" fillId="10" borderId="105" xfId="10" applyFont="1" applyFill="1" applyBorder="1" applyAlignment="1">
      <alignment horizontal="centerContinuous"/>
    </xf>
    <xf numFmtId="0" fontId="49" fillId="10" borderId="106" xfId="10" applyFont="1" applyFill="1" applyBorder="1" applyAlignment="1">
      <alignment horizontal="centerContinuous"/>
    </xf>
    <xf numFmtId="0" fontId="49" fillId="10" borderId="107" xfId="10" applyFont="1" applyFill="1" applyBorder="1" applyAlignment="1">
      <alignment horizontal="centerContinuous"/>
    </xf>
    <xf numFmtId="0" fontId="49" fillId="10" borderId="29" xfId="10" applyFont="1" applyFill="1" applyBorder="1" applyAlignment="1">
      <alignment horizontal="centerContinuous"/>
    </xf>
    <xf numFmtId="0" fontId="49" fillId="10" borderId="108" xfId="10" applyFont="1" applyFill="1" applyBorder="1" applyAlignment="1">
      <alignment horizontal="centerContinuous"/>
    </xf>
    <xf numFmtId="0" fontId="49" fillId="10" borderId="108" xfId="10" applyFont="1" applyFill="1" applyBorder="1" applyAlignment="1">
      <alignment horizontal="center"/>
    </xf>
    <xf numFmtId="0" fontId="49" fillId="10" borderId="0" xfId="10" applyFont="1" applyFill="1" applyAlignment="1">
      <alignment horizontal="centerContinuous"/>
    </xf>
    <xf numFmtId="0" fontId="49" fillId="10" borderId="109" xfId="10" applyFont="1" applyFill="1" applyBorder="1" applyAlignment="1">
      <alignment horizontal="center"/>
    </xf>
    <xf numFmtId="0" fontId="49" fillId="10" borderId="110" xfId="10" applyFont="1" applyFill="1" applyBorder="1" applyAlignment="1">
      <alignment horizontal="center"/>
    </xf>
    <xf numFmtId="0" fontId="49" fillId="45" borderId="103" xfId="10" applyFont="1" applyFill="1" applyBorder="1"/>
    <xf numFmtId="0" fontId="156" fillId="45" borderId="103" xfId="10" applyFont="1" applyFill="1" applyBorder="1"/>
    <xf numFmtId="0" fontId="156" fillId="45" borderId="111" xfId="10" applyFont="1" applyFill="1" applyBorder="1"/>
    <xf numFmtId="0" fontId="49" fillId="10" borderId="112" xfId="10" applyFont="1" applyFill="1" applyBorder="1"/>
    <xf numFmtId="1" fontId="49" fillId="46" borderId="114" xfId="10" applyNumberFormat="1" applyFont="1" applyFill="1" applyBorder="1" applyAlignment="1">
      <alignment horizontal="center"/>
    </xf>
    <xf numFmtId="1" fontId="49" fillId="46" borderId="25" xfId="10" applyNumberFormat="1" applyFont="1" applyFill="1" applyBorder="1" applyAlignment="1">
      <alignment horizontal="center"/>
    </xf>
    <xf numFmtId="1" fontId="49" fillId="46" borderId="115" xfId="10" applyNumberFormat="1" applyFont="1" applyFill="1" applyBorder="1" applyAlignment="1">
      <alignment horizontal="center"/>
    </xf>
    <xf numFmtId="1" fontId="49" fillId="10" borderId="116" xfId="10" applyNumberFormat="1" applyFont="1" applyFill="1" applyBorder="1" applyAlignment="1">
      <alignment horizontal="centerContinuous"/>
    </xf>
    <xf numFmtId="1" fontId="49" fillId="10" borderId="117" xfId="10" applyNumberFormat="1" applyFont="1" applyFill="1" applyBorder="1" applyAlignment="1">
      <alignment horizontal="centerContinuous"/>
    </xf>
    <xf numFmtId="1" fontId="49" fillId="10" borderId="117" xfId="10" applyNumberFormat="1" applyFont="1" applyFill="1" applyBorder="1" applyAlignment="1">
      <alignment horizontal="center"/>
    </xf>
    <xf numFmtId="1" fontId="49" fillId="10" borderId="118" xfId="10" applyNumberFormat="1" applyFont="1" applyFill="1" applyBorder="1" applyAlignment="1">
      <alignment horizontal="center"/>
    </xf>
    <xf numFmtId="1" fontId="49" fillId="10" borderId="116" xfId="10" applyNumberFormat="1" applyFont="1" applyFill="1" applyBorder="1" applyAlignment="1">
      <alignment horizontal="center"/>
    </xf>
    <xf numFmtId="0" fontId="49" fillId="10" borderId="119" xfId="10" applyFont="1" applyFill="1" applyBorder="1" applyAlignment="1">
      <alignment horizontal="center"/>
    </xf>
    <xf numFmtId="0" fontId="49" fillId="10" borderId="117" xfId="10" applyFont="1" applyFill="1" applyBorder="1" applyAlignment="1">
      <alignment horizontal="center"/>
    </xf>
    <xf numFmtId="0" fontId="49" fillId="10" borderId="120" xfId="10" applyFont="1" applyFill="1" applyBorder="1" applyAlignment="1">
      <alignment horizontal="center"/>
    </xf>
    <xf numFmtId="0" fontId="157" fillId="0" borderId="0" xfId="10" applyFont="1"/>
    <xf numFmtId="0" fontId="49" fillId="10" borderId="123" xfId="10" applyFont="1" applyFill="1" applyBorder="1" applyAlignment="1">
      <alignment horizontal="center"/>
    </xf>
    <xf numFmtId="0" fontId="49" fillId="46" borderId="124" xfId="10" applyFont="1" applyFill="1" applyBorder="1" applyAlignment="1">
      <alignment horizontal="center"/>
    </xf>
    <xf numFmtId="0" fontId="49" fillId="10" borderId="125" xfId="10" applyFont="1" applyFill="1" applyBorder="1"/>
    <xf numFmtId="0" fontId="49" fillId="10" borderId="126" xfId="10" applyFont="1" applyFill="1" applyBorder="1"/>
    <xf numFmtId="0" fontId="49" fillId="10" borderId="127" xfId="10" applyFont="1" applyFill="1" applyBorder="1" applyAlignment="1">
      <alignment horizontal="center"/>
    </xf>
    <xf numFmtId="0" fontId="49" fillId="10" borderId="128" xfId="10" applyFont="1" applyFill="1" applyBorder="1" applyAlignment="1">
      <alignment horizontal="center"/>
    </xf>
    <xf numFmtId="0" fontId="49" fillId="10" borderId="129" xfId="10" applyFont="1" applyFill="1" applyBorder="1" applyAlignment="1">
      <alignment horizontal="center"/>
    </xf>
    <xf numFmtId="0" fontId="49" fillId="10" borderId="124" xfId="10" applyFont="1" applyFill="1" applyBorder="1" applyAlignment="1">
      <alignment horizontal="center"/>
    </xf>
    <xf numFmtId="0" fontId="49" fillId="10" borderId="125" xfId="10" applyFont="1" applyFill="1" applyBorder="1" applyAlignment="1">
      <alignment horizontal="center"/>
    </xf>
    <xf numFmtId="0" fontId="49" fillId="10" borderId="130" xfId="10" applyFont="1" applyFill="1" applyBorder="1" applyAlignment="1">
      <alignment horizontal="center"/>
    </xf>
    <xf numFmtId="0" fontId="49" fillId="10" borderId="131" xfId="10" applyFont="1" applyFill="1" applyBorder="1" applyAlignment="1">
      <alignment horizontal="center"/>
    </xf>
    <xf numFmtId="0" fontId="49" fillId="10" borderId="132" xfId="10" applyFont="1" applyFill="1" applyBorder="1" applyAlignment="1">
      <alignment horizontal="center"/>
    </xf>
    <xf numFmtId="0" fontId="49" fillId="45" borderId="98" xfId="10" applyFont="1" applyFill="1" applyBorder="1" applyAlignment="1">
      <alignment horizontal="center" vertical="center"/>
    </xf>
    <xf numFmtId="0" fontId="156" fillId="45" borderId="133" xfId="10" applyFont="1" applyFill="1" applyBorder="1" applyAlignment="1">
      <alignment horizontal="center"/>
    </xf>
    <xf numFmtId="0" fontId="156" fillId="45" borderId="134" xfId="10" applyFont="1" applyFill="1" applyBorder="1" applyAlignment="1">
      <alignment horizontal="center"/>
    </xf>
    <xf numFmtId="0" fontId="49" fillId="47" borderId="135" xfId="10" applyFont="1" applyFill="1" applyBorder="1" applyAlignment="1">
      <alignment horizontal="center"/>
    </xf>
    <xf numFmtId="0" fontId="49" fillId="47" borderId="136" xfId="10" applyFont="1" applyFill="1" applyBorder="1"/>
    <xf numFmtId="0" fontId="49" fillId="46" borderId="137" xfId="10" applyFont="1" applyFill="1" applyBorder="1"/>
    <xf numFmtId="0" fontId="49" fillId="47" borderId="137" xfId="10" applyFont="1" applyFill="1" applyBorder="1" applyAlignment="1">
      <alignment horizontal="center"/>
    </xf>
    <xf numFmtId="0" fontId="49" fillId="47" borderId="137" xfId="10" applyFont="1" applyFill="1" applyBorder="1"/>
    <xf numFmtId="0" fontId="158" fillId="47" borderId="138" xfId="10" applyFont="1" applyFill="1" applyBorder="1"/>
    <xf numFmtId="1" fontId="49" fillId="8" borderId="139" xfId="10" applyNumberFormat="1" applyFont="1" applyFill="1" applyBorder="1" applyAlignment="1">
      <alignment horizontal="center"/>
    </xf>
    <xf numFmtId="1" fontId="49" fillId="48" borderId="140" xfId="10" applyNumberFormat="1" applyFont="1" applyFill="1" applyBorder="1" applyAlignment="1">
      <alignment horizontal="center"/>
    </xf>
    <xf numFmtId="1" fontId="49" fillId="14" borderId="140" xfId="10" applyNumberFormat="1" applyFont="1" applyFill="1" applyBorder="1" applyAlignment="1">
      <alignment horizontal="center"/>
    </xf>
    <xf numFmtId="1" fontId="49" fillId="22" borderId="140" xfId="10" applyNumberFormat="1" applyFont="1" applyFill="1" applyBorder="1" applyAlignment="1">
      <alignment horizontal="center"/>
    </xf>
    <xf numFmtId="1" fontId="49" fillId="49" borderId="140" xfId="10" applyNumberFormat="1" applyFont="1" applyFill="1" applyBorder="1" applyAlignment="1">
      <alignment horizontal="center"/>
    </xf>
    <xf numFmtId="1" fontId="49" fillId="50" borderId="141" xfId="10" applyNumberFormat="1" applyFont="1" applyFill="1" applyBorder="1" applyAlignment="1">
      <alignment horizontal="center"/>
    </xf>
    <xf numFmtId="1" fontId="49" fillId="46" borderId="136" xfId="10" applyNumberFormat="1" applyFont="1" applyFill="1" applyBorder="1" applyAlignment="1">
      <alignment horizontal="center"/>
    </xf>
    <xf numFmtId="1" fontId="49" fillId="46" borderId="137" xfId="10" applyNumberFormat="1" applyFont="1" applyFill="1" applyBorder="1" applyAlignment="1">
      <alignment horizontal="center"/>
    </xf>
    <xf numFmtId="1" fontId="49" fillId="47" borderId="137" xfId="10" applyNumberFormat="1" applyFont="1" applyFill="1" applyBorder="1" applyAlignment="1">
      <alignment horizontal="center"/>
    </xf>
    <xf numFmtId="1" fontId="49" fillId="46" borderId="142" xfId="10" applyNumberFormat="1" applyFont="1" applyFill="1" applyBorder="1" applyAlignment="1">
      <alignment horizontal="center"/>
    </xf>
    <xf numFmtId="1" fontId="49" fillId="15" borderId="136" xfId="10" applyNumberFormat="1" applyFont="1" applyFill="1" applyBorder="1" applyAlignment="1">
      <alignment horizontal="center"/>
    </xf>
    <xf numFmtId="0" fontId="49" fillId="47" borderId="143" xfId="10" applyFont="1" applyFill="1" applyBorder="1" applyAlignment="1">
      <alignment horizontal="left"/>
    </xf>
    <xf numFmtId="0" fontId="49" fillId="46" borderId="137" xfId="10" applyFont="1" applyFill="1" applyBorder="1" applyAlignment="1">
      <alignment horizontal="left"/>
    </xf>
    <xf numFmtId="0" fontId="49" fillId="47" borderId="144" xfId="10" applyFont="1" applyFill="1" applyBorder="1" applyAlignment="1">
      <alignment horizontal="left"/>
    </xf>
    <xf numFmtId="0" fontId="49" fillId="47" borderId="144" xfId="10" applyFont="1" applyFill="1" applyBorder="1" applyAlignment="1">
      <alignment horizontal="center" vertical="center"/>
    </xf>
    <xf numFmtId="0" fontId="49" fillId="47" borderId="145" xfId="10" applyFont="1" applyFill="1" applyBorder="1" applyAlignment="1">
      <alignment horizontal="center"/>
    </xf>
    <xf numFmtId="0" fontId="49" fillId="8" borderId="136" xfId="10" applyFont="1" applyFill="1" applyBorder="1"/>
    <xf numFmtId="0" fontId="49" fillId="47" borderId="146" xfId="10" applyFont="1" applyFill="1" applyBorder="1" applyAlignment="1">
      <alignment horizontal="center"/>
    </xf>
    <xf numFmtId="0" fontId="49" fillId="47" borderId="147" xfId="10" applyFont="1" applyFill="1" applyBorder="1"/>
    <xf numFmtId="0" fontId="49" fillId="46" borderId="148" xfId="10" applyFont="1" applyFill="1" applyBorder="1"/>
    <xf numFmtId="0" fontId="49" fillId="47" borderId="148" xfId="10" applyFont="1" applyFill="1" applyBorder="1" applyAlignment="1">
      <alignment horizontal="center"/>
    </xf>
    <xf numFmtId="0" fontId="157" fillId="14" borderId="148" xfId="10" applyFont="1" applyFill="1" applyBorder="1"/>
    <xf numFmtId="0" fontId="49" fillId="47" borderId="148" xfId="10" applyFont="1" applyFill="1" applyBorder="1"/>
    <xf numFmtId="0" fontId="49" fillId="47" borderId="149" xfId="10" applyFont="1" applyFill="1" applyBorder="1"/>
    <xf numFmtId="1" fontId="49" fillId="49" borderId="150" xfId="10" applyNumberFormat="1" applyFont="1" applyFill="1" applyBorder="1" applyAlignment="1">
      <alignment horizontal="center"/>
    </xf>
    <xf numFmtId="1" fontId="49" fillId="8" borderId="25" xfId="10" applyNumberFormat="1" applyFont="1" applyFill="1" applyBorder="1" applyAlignment="1">
      <alignment horizontal="center"/>
    </xf>
    <xf numFmtId="1" fontId="49" fillId="14" borderId="25" xfId="10" applyNumberFormat="1" applyFont="1" applyFill="1" applyBorder="1" applyAlignment="1">
      <alignment horizontal="center"/>
    </xf>
    <xf numFmtId="1" fontId="49" fillId="22" borderId="25" xfId="10" applyNumberFormat="1" applyFont="1" applyFill="1" applyBorder="1" applyAlignment="1">
      <alignment horizontal="center"/>
    </xf>
    <xf numFmtId="1" fontId="49" fillId="50" borderId="25" xfId="10" applyNumberFormat="1" applyFont="1" applyFill="1" applyBorder="1" applyAlignment="1">
      <alignment horizontal="center"/>
    </xf>
    <xf numFmtId="1" fontId="49" fillId="48" borderId="115" xfId="10" applyNumberFormat="1" applyFont="1" applyFill="1" applyBorder="1" applyAlignment="1">
      <alignment horizontal="center"/>
    </xf>
    <xf numFmtId="1" fontId="49" fillId="46" borderId="147" xfId="10" applyNumberFormat="1" applyFont="1" applyFill="1" applyBorder="1" applyAlignment="1">
      <alignment horizontal="center"/>
    </xf>
    <xf numFmtId="1" fontId="49" fillId="46" borderId="148" xfId="10" applyNumberFormat="1" applyFont="1" applyFill="1" applyBorder="1" applyAlignment="1">
      <alignment horizontal="center"/>
    </xf>
    <xf numFmtId="1" fontId="49" fillId="47" borderId="148" xfId="10" applyNumberFormat="1" applyFont="1" applyFill="1" applyBorder="1" applyAlignment="1">
      <alignment horizontal="center"/>
    </xf>
    <xf numFmtId="1" fontId="49" fillId="46" borderId="151" xfId="10" applyNumberFormat="1" applyFont="1" applyFill="1" applyBorder="1" applyAlignment="1">
      <alignment horizontal="center"/>
    </xf>
    <xf numFmtId="1" fontId="49" fillId="15" borderId="147" xfId="10" applyNumberFormat="1" applyFont="1" applyFill="1" applyBorder="1" applyAlignment="1">
      <alignment horizontal="center"/>
    </xf>
    <xf numFmtId="0" fontId="49" fillId="47" borderId="152" xfId="10" applyFont="1" applyFill="1" applyBorder="1" applyAlignment="1">
      <alignment horizontal="left"/>
    </xf>
    <xf numFmtId="0" fontId="49" fillId="46" borderId="148" xfId="10" applyFont="1" applyFill="1" applyBorder="1" applyAlignment="1">
      <alignment horizontal="left"/>
    </xf>
    <xf numFmtId="0" fontId="49" fillId="47" borderId="153" xfId="10" applyFont="1" applyFill="1" applyBorder="1" applyAlignment="1">
      <alignment horizontal="left"/>
    </xf>
    <xf numFmtId="0" fontId="49" fillId="47" borderId="153" xfId="10" applyFont="1" applyFill="1" applyBorder="1" applyAlignment="1">
      <alignment horizontal="center" vertical="center"/>
    </xf>
    <xf numFmtId="0" fontId="49" fillId="8" borderId="147" xfId="10" applyFont="1" applyFill="1" applyBorder="1"/>
    <xf numFmtId="0" fontId="158" fillId="47" borderId="149" xfId="10" applyFont="1" applyFill="1" applyBorder="1"/>
    <xf numFmtId="1" fontId="49" fillId="50" borderId="150" xfId="10" applyNumberFormat="1" applyFont="1" applyFill="1" applyBorder="1" applyAlignment="1">
      <alignment horizontal="center"/>
    </xf>
    <xf numFmtId="1" fontId="49" fillId="49" borderId="25" xfId="10" applyNumberFormat="1" applyFont="1" applyFill="1" applyBorder="1" applyAlignment="1">
      <alignment horizontal="center"/>
    </xf>
    <xf numFmtId="1" fontId="49" fillId="22" borderId="150" xfId="10" applyNumberFormat="1" applyFont="1" applyFill="1" applyBorder="1" applyAlignment="1">
      <alignment horizontal="center"/>
    </xf>
    <xf numFmtId="0" fontId="159" fillId="47" borderId="149" xfId="10" applyFont="1" applyFill="1" applyBorder="1"/>
    <xf numFmtId="1" fontId="49" fillId="48" borderId="25" xfId="10" applyNumberFormat="1" applyFont="1" applyFill="1" applyBorder="1" applyAlignment="1">
      <alignment horizontal="center"/>
    </xf>
    <xf numFmtId="1" fontId="49" fillId="50" borderId="115" xfId="10" applyNumberFormat="1" applyFont="1" applyFill="1" applyBorder="1" applyAlignment="1">
      <alignment horizontal="center"/>
    </xf>
    <xf numFmtId="1" fontId="49" fillId="48" borderId="150" xfId="10" applyNumberFormat="1" applyFont="1" applyFill="1" applyBorder="1" applyAlignment="1">
      <alignment horizontal="center"/>
    </xf>
    <xf numFmtId="1" fontId="49" fillId="49" borderId="115" xfId="10" applyNumberFormat="1" applyFont="1" applyFill="1" applyBorder="1" applyAlignment="1">
      <alignment horizontal="center"/>
    </xf>
    <xf numFmtId="0" fontId="49" fillId="46" borderId="147" xfId="10" applyFont="1" applyFill="1" applyBorder="1" applyAlignment="1">
      <alignment horizontal="center"/>
    </xf>
    <xf numFmtId="0" fontId="49" fillId="46" borderId="148" xfId="10" applyFont="1" applyFill="1" applyBorder="1" applyAlignment="1">
      <alignment horizontal="center"/>
    </xf>
    <xf numFmtId="0" fontId="157" fillId="51" borderId="148" xfId="10" applyFont="1" applyFill="1" applyBorder="1"/>
    <xf numFmtId="1" fontId="49" fillId="14" borderId="115" xfId="10" applyNumberFormat="1" applyFont="1" applyFill="1" applyBorder="1" applyAlignment="1">
      <alignment horizontal="center"/>
    </xf>
    <xf numFmtId="0" fontId="49" fillId="47" borderId="154" xfId="10" applyFont="1" applyFill="1" applyBorder="1" applyAlignment="1">
      <alignment horizontal="center"/>
    </xf>
    <xf numFmtId="0" fontId="49" fillId="47" borderId="116" xfId="10" applyFont="1" applyFill="1" applyBorder="1"/>
    <xf numFmtId="0" fontId="49" fillId="46" borderId="117" xfId="10" applyFont="1" applyFill="1" applyBorder="1"/>
    <xf numFmtId="0" fontId="49" fillId="47" borderId="117" xfId="10" applyFont="1" applyFill="1" applyBorder="1" applyAlignment="1">
      <alignment horizontal="center"/>
    </xf>
    <xf numFmtId="0" fontId="49" fillId="47" borderId="117" xfId="10" applyFont="1" applyFill="1" applyBorder="1"/>
    <xf numFmtId="0" fontId="158" fillId="47" borderId="120" xfId="10" applyFont="1" applyFill="1" applyBorder="1"/>
    <xf numFmtId="1" fontId="49" fillId="22" borderId="155" xfId="10" applyNumberFormat="1" applyFont="1" applyFill="1" applyBorder="1" applyAlignment="1">
      <alignment horizontal="center"/>
    </xf>
    <xf numFmtId="1" fontId="49" fillId="8" borderId="92" xfId="10" applyNumberFormat="1" applyFont="1" applyFill="1" applyBorder="1" applyAlignment="1">
      <alignment horizontal="center"/>
    </xf>
    <xf numFmtId="1" fontId="49" fillId="14" borderId="92" xfId="10" applyNumberFormat="1" applyFont="1" applyFill="1" applyBorder="1" applyAlignment="1">
      <alignment horizontal="center"/>
    </xf>
    <xf numFmtId="1" fontId="49" fillId="48" borderId="92" xfId="10" applyNumberFormat="1" applyFont="1" applyFill="1" applyBorder="1" applyAlignment="1">
      <alignment horizontal="center"/>
    </xf>
    <xf numFmtId="1" fontId="49" fillId="50" borderId="92" xfId="10" applyNumberFormat="1" applyFont="1" applyFill="1" applyBorder="1" applyAlignment="1">
      <alignment horizontal="center"/>
    </xf>
    <xf numFmtId="1" fontId="49" fillId="49" borderId="156" xfId="10" applyNumberFormat="1" applyFont="1" applyFill="1" applyBorder="1" applyAlignment="1">
      <alignment horizontal="center"/>
    </xf>
    <xf numFmtId="0" fontId="49" fillId="46" borderId="116" xfId="10" applyFont="1" applyFill="1" applyBorder="1" applyAlignment="1">
      <alignment horizontal="center"/>
    </xf>
    <xf numFmtId="0" fontId="49" fillId="46" borderId="117" xfId="10" applyFont="1" applyFill="1" applyBorder="1" applyAlignment="1">
      <alignment horizontal="center"/>
    </xf>
    <xf numFmtId="1" fontId="49" fillId="46" borderId="157" xfId="10" applyNumberFormat="1" applyFont="1" applyFill="1" applyBorder="1" applyAlignment="1">
      <alignment horizontal="center"/>
    </xf>
    <xf numFmtId="1" fontId="49" fillId="15" borderId="116" xfId="10" applyNumberFormat="1" applyFont="1" applyFill="1" applyBorder="1" applyAlignment="1">
      <alignment horizontal="center"/>
    </xf>
    <xf numFmtId="0" fontId="49" fillId="47" borderId="119" xfId="10" applyFont="1" applyFill="1" applyBorder="1" applyAlignment="1">
      <alignment horizontal="left"/>
    </xf>
    <xf numFmtId="0" fontId="49" fillId="46" borderId="117" xfId="10" applyFont="1" applyFill="1" applyBorder="1" applyAlignment="1">
      <alignment horizontal="left"/>
    </xf>
    <xf numFmtId="0" fontId="49" fillId="47" borderId="118" xfId="10" applyFont="1" applyFill="1" applyBorder="1" applyAlignment="1">
      <alignment horizontal="left"/>
    </xf>
    <xf numFmtId="0" fontId="49" fillId="47" borderId="118" xfId="10" applyFont="1" applyFill="1" applyBorder="1" applyAlignment="1">
      <alignment horizontal="center" vertical="center"/>
    </xf>
    <xf numFmtId="0" fontId="49" fillId="8" borderId="116" xfId="10" applyFont="1" applyFill="1" applyBorder="1"/>
    <xf numFmtId="0" fontId="49" fillId="47" borderId="158" xfId="10" applyFont="1" applyFill="1" applyBorder="1" applyAlignment="1">
      <alignment horizontal="center"/>
    </xf>
    <xf numFmtId="0" fontId="49" fillId="47" borderId="159" xfId="10" applyFont="1" applyFill="1" applyBorder="1"/>
    <xf numFmtId="0" fontId="49" fillId="46" borderId="160" xfId="10" applyFont="1" applyFill="1" applyBorder="1"/>
    <xf numFmtId="0" fontId="49" fillId="47" borderId="160" xfId="10" applyFont="1" applyFill="1" applyBorder="1" applyAlignment="1">
      <alignment horizontal="center"/>
    </xf>
    <xf numFmtId="0" fontId="49" fillId="47" borderId="160" xfId="10" applyFont="1" applyFill="1" applyBorder="1"/>
    <xf numFmtId="0" fontId="49" fillId="47" borderId="161" xfId="10" applyFont="1" applyFill="1" applyBorder="1"/>
    <xf numFmtId="1" fontId="49" fillId="48" borderId="162" xfId="10" applyNumberFormat="1" applyFont="1" applyFill="1" applyBorder="1" applyAlignment="1">
      <alignment horizontal="center"/>
    </xf>
    <xf numFmtId="1" fontId="49" fillId="14" borderId="160" xfId="10" applyNumberFormat="1" applyFont="1" applyFill="1" applyBorder="1" applyAlignment="1">
      <alignment horizontal="center"/>
    </xf>
    <xf numFmtId="1" fontId="49" fillId="8" borderId="160" xfId="10" applyNumberFormat="1" applyFont="1" applyFill="1" applyBorder="1" applyAlignment="1">
      <alignment horizontal="center"/>
    </xf>
    <xf numFmtId="1" fontId="49" fillId="49" borderId="160" xfId="10" applyNumberFormat="1" applyFont="1" applyFill="1" applyBorder="1" applyAlignment="1">
      <alignment horizontal="center"/>
    </xf>
    <xf numFmtId="1" fontId="49" fillId="50" borderId="160" xfId="10" applyNumberFormat="1" applyFont="1" applyFill="1" applyBorder="1" applyAlignment="1">
      <alignment horizontal="center"/>
    </xf>
    <xf numFmtId="1" fontId="49" fillId="22" borderId="163" xfId="10" applyNumberFormat="1" applyFont="1" applyFill="1" applyBorder="1" applyAlignment="1">
      <alignment horizontal="center"/>
    </xf>
    <xf numFmtId="0" fontId="49" fillId="46" borderId="159" xfId="10" applyFont="1" applyFill="1" applyBorder="1" applyAlignment="1">
      <alignment horizontal="center"/>
    </xf>
    <xf numFmtId="0" fontId="49" fillId="46" borderId="160" xfId="10" applyFont="1" applyFill="1" applyBorder="1" applyAlignment="1">
      <alignment horizontal="center"/>
    </xf>
    <xf numFmtId="1" fontId="49" fillId="46" borderId="163" xfId="10" applyNumberFormat="1" applyFont="1" applyFill="1" applyBorder="1" applyAlignment="1">
      <alignment horizontal="center"/>
    </xf>
    <xf numFmtId="1" fontId="49" fillId="15" borderId="159" xfId="10" applyNumberFormat="1" applyFont="1" applyFill="1" applyBorder="1" applyAlignment="1">
      <alignment horizontal="center"/>
    </xf>
    <xf numFmtId="0" fontId="49" fillId="47" borderId="164" xfId="10" applyFont="1" applyFill="1" applyBorder="1" applyAlignment="1">
      <alignment horizontal="left"/>
    </xf>
    <xf numFmtId="0" fontId="49" fillId="46" borderId="160" xfId="10" applyFont="1" applyFill="1" applyBorder="1" applyAlignment="1">
      <alignment horizontal="left"/>
    </xf>
    <xf numFmtId="0" fontId="49" fillId="47" borderId="165" xfId="10" applyFont="1" applyFill="1" applyBorder="1" applyAlignment="1">
      <alignment horizontal="left"/>
    </xf>
    <xf numFmtId="0" fontId="49" fillId="47" borderId="165" xfId="10" applyFont="1" applyFill="1" applyBorder="1" applyAlignment="1">
      <alignment horizontal="center" vertical="center"/>
    </xf>
    <xf numFmtId="0" fontId="49" fillId="8" borderId="159" xfId="10" applyFont="1" applyFill="1" applyBorder="1"/>
    <xf numFmtId="0" fontId="49" fillId="44" borderId="0" xfId="10" applyFont="1" applyFill="1" applyAlignment="1">
      <alignment horizontal="center"/>
    </xf>
    <xf numFmtId="0" fontId="156" fillId="52" borderId="98" xfId="10" applyFont="1" applyFill="1" applyBorder="1" applyAlignment="1">
      <alignment horizontal="left"/>
    </xf>
    <xf numFmtId="0" fontId="156" fillId="52" borderId="100" xfId="10" applyFont="1" applyFill="1" applyBorder="1"/>
    <xf numFmtId="0" fontId="156" fillId="52" borderId="29" xfId="10" applyFont="1" applyFill="1" applyBorder="1"/>
    <xf numFmtId="0" fontId="156" fillId="52" borderId="98" xfId="10" applyFont="1" applyFill="1" applyBorder="1"/>
    <xf numFmtId="0" fontId="156" fillId="52" borderId="99" xfId="10" applyFont="1" applyFill="1" applyBorder="1"/>
    <xf numFmtId="0" fontId="156" fillId="52" borderId="100" xfId="10" applyFont="1" applyFill="1" applyBorder="1" applyAlignment="1">
      <alignment horizontal="center"/>
    </xf>
    <xf numFmtId="0" fontId="49" fillId="0" borderId="101" xfId="10" applyFont="1" applyBorder="1" applyAlignment="1">
      <alignment horizontal="left"/>
    </xf>
    <xf numFmtId="0" fontId="156" fillId="53" borderId="140" xfId="10" applyFont="1" applyFill="1" applyBorder="1" applyAlignment="1">
      <alignment horizontal="left"/>
    </xf>
    <xf numFmtId="0" fontId="156" fillId="53" borderId="140" xfId="10" applyFont="1" applyFill="1" applyBorder="1"/>
    <xf numFmtId="0" fontId="156" fillId="53" borderId="166" xfId="10" applyFont="1" applyFill="1" applyBorder="1"/>
    <xf numFmtId="0" fontId="49" fillId="10" borderId="98" xfId="10" applyFont="1" applyFill="1" applyBorder="1" applyAlignment="1">
      <alignment horizontal="center"/>
    </xf>
    <xf numFmtId="0" fontId="49" fillId="46" borderId="98" xfId="10" applyFont="1" applyFill="1" applyBorder="1" applyAlignment="1">
      <alignment horizontal="centerContinuous"/>
    </xf>
    <xf numFmtId="0" fontId="49" fillId="46" borderId="99" xfId="10" applyFont="1" applyFill="1" applyBorder="1" applyAlignment="1">
      <alignment horizontal="centerContinuous"/>
    </xf>
    <xf numFmtId="0" fontId="49" fillId="46" borderId="100" xfId="10" applyFont="1" applyFill="1" applyBorder="1" applyAlignment="1">
      <alignment horizontal="centerContinuous"/>
    </xf>
    <xf numFmtId="0" fontId="49" fillId="10" borderId="137" xfId="10" applyFont="1" applyFill="1" applyBorder="1" applyAlignment="1">
      <alignment horizontal="center"/>
    </xf>
    <xf numFmtId="0" fontId="49" fillId="10" borderId="144" xfId="10" applyFont="1" applyFill="1" applyBorder="1" applyAlignment="1">
      <alignment horizontal="center"/>
    </xf>
    <xf numFmtId="0" fontId="49" fillId="54" borderId="168" xfId="10" applyFont="1" applyFill="1" applyBorder="1"/>
    <xf numFmtId="0" fontId="49" fillId="10" borderId="169" xfId="10" applyFont="1" applyFill="1" applyBorder="1" applyAlignment="1">
      <alignment horizontal="left"/>
    </xf>
    <xf numFmtId="0" fontId="49" fillId="55" borderId="100" xfId="10" applyFont="1" applyFill="1" applyBorder="1" applyAlignment="1">
      <alignment horizontal="center"/>
    </xf>
    <xf numFmtId="0" fontId="49" fillId="0" borderId="29" xfId="10" applyFont="1" applyBorder="1"/>
    <xf numFmtId="0" fontId="156" fillId="10" borderId="170" xfId="10" applyFont="1" applyFill="1" applyBorder="1" applyAlignment="1">
      <alignment horizontal="center"/>
    </xf>
    <xf numFmtId="0" fontId="156" fillId="10" borderId="171" xfId="10" applyFont="1" applyFill="1" applyBorder="1" applyAlignment="1">
      <alignment horizontal="center"/>
    </xf>
    <xf numFmtId="0" fontId="49" fillId="0" borderId="103" xfId="10" applyFont="1" applyBorder="1" applyAlignment="1">
      <alignment horizontal="left"/>
    </xf>
    <xf numFmtId="0" fontId="49" fillId="0" borderId="25" xfId="10" applyFont="1" applyBorder="1"/>
    <xf numFmtId="0" fontId="49" fillId="0" borderId="172" xfId="10" applyFont="1" applyBorder="1"/>
    <xf numFmtId="0" fontId="49" fillId="44" borderId="169" xfId="10" applyFont="1" applyFill="1" applyBorder="1"/>
    <xf numFmtId="0" fontId="49" fillId="54" borderId="174" xfId="10" applyFont="1" applyFill="1" applyBorder="1"/>
    <xf numFmtId="0" fontId="49" fillId="10" borderId="175" xfId="10" applyFont="1" applyFill="1" applyBorder="1" applyAlignment="1">
      <alignment horizontal="center"/>
    </xf>
    <xf numFmtId="0" fontId="49" fillId="55" borderId="176" xfId="10" applyFont="1" applyFill="1" applyBorder="1" applyAlignment="1">
      <alignment horizontal="center"/>
    </xf>
    <xf numFmtId="0" fontId="49" fillId="10" borderId="135" xfId="10" applyFont="1" applyFill="1" applyBorder="1" applyAlignment="1">
      <alignment horizontal="center"/>
    </xf>
    <xf numFmtId="0" fontId="49" fillId="46" borderId="177" xfId="10" applyFont="1" applyFill="1" applyBorder="1" applyAlignment="1">
      <alignment horizontal="center"/>
    </xf>
    <xf numFmtId="0" fontId="49" fillId="10" borderId="175" xfId="10" applyFont="1" applyFill="1" applyBorder="1" applyAlignment="1">
      <alignment horizontal="right"/>
    </xf>
    <xf numFmtId="49" fontId="49" fillId="0" borderId="25" xfId="10" applyNumberFormat="1" applyFont="1" applyBorder="1" applyAlignment="1">
      <alignment horizontal="left"/>
    </xf>
    <xf numFmtId="0" fontId="49" fillId="0" borderId="0" xfId="10" applyFont="1" applyAlignment="1">
      <alignment horizontal="left" vertical="center"/>
    </xf>
    <xf numFmtId="0" fontId="49" fillId="54" borderId="123" xfId="10" applyFont="1" applyFill="1" applyBorder="1"/>
    <xf numFmtId="0" fontId="49" fillId="54" borderId="178" xfId="10" applyFont="1" applyFill="1" applyBorder="1"/>
    <xf numFmtId="0" fontId="49" fillId="54" borderId="0" xfId="10" applyFont="1" applyFill="1"/>
    <xf numFmtId="0" fontId="49" fillId="10" borderId="179" xfId="10" applyFont="1" applyFill="1" applyBorder="1" applyAlignment="1">
      <alignment horizontal="center"/>
    </xf>
    <xf numFmtId="0" fontId="49" fillId="46" borderId="180" xfId="10" applyFont="1" applyFill="1" applyBorder="1" applyAlignment="1">
      <alignment horizontal="center"/>
    </xf>
    <xf numFmtId="0" fontId="49" fillId="46" borderId="137" xfId="10" applyFont="1" applyFill="1" applyBorder="1" applyAlignment="1">
      <alignment horizontal="center"/>
    </xf>
    <xf numFmtId="0" fontId="49" fillId="46" borderId="142" xfId="10" applyFont="1" applyFill="1" applyBorder="1" applyAlignment="1">
      <alignment horizontal="center"/>
    </xf>
    <xf numFmtId="0" fontId="49" fillId="46" borderId="181" xfId="10" applyFont="1" applyFill="1" applyBorder="1" applyAlignment="1">
      <alignment horizontal="center"/>
    </xf>
    <xf numFmtId="0" fontId="49" fillId="10" borderId="150" xfId="10" applyFont="1" applyFill="1" applyBorder="1" applyAlignment="1">
      <alignment horizontal="center"/>
    </xf>
    <xf numFmtId="0" fontId="49" fillId="55" borderId="172" xfId="10" applyFont="1" applyFill="1" applyBorder="1" applyAlignment="1">
      <alignment horizontal="center"/>
    </xf>
    <xf numFmtId="0" fontId="49" fillId="10" borderId="146" xfId="10" applyFont="1" applyFill="1" applyBorder="1" applyAlignment="1">
      <alignment horizontal="center"/>
    </xf>
    <xf numFmtId="0" fontId="49" fillId="46" borderId="182" xfId="10" applyFont="1" applyFill="1" applyBorder="1" applyAlignment="1">
      <alignment horizontal="center"/>
    </xf>
    <xf numFmtId="0" fontId="49" fillId="10" borderId="150" xfId="10" applyFont="1" applyFill="1" applyBorder="1" applyAlignment="1">
      <alignment horizontal="right"/>
    </xf>
    <xf numFmtId="0" fontId="49" fillId="57" borderId="0" xfId="10" applyFont="1" applyFill="1"/>
    <xf numFmtId="0" fontId="49" fillId="49" borderId="0" xfId="10" applyFont="1" applyFill="1"/>
    <xf numFmtId="0" fontId="49" fillId="10" borderId="183" xfId="10" applyFont="1" applyFill="1" applyBorder="1" applyAlignment="1">
      <alignment horizontal="center"/>
    </xf>
    <xf numFmtId="0" fontId="49" fillId="46" borderId="151" xfId="10" applyFont="1" applyFill="1" applyBorder="1" applyAlignment="1">
      <alignment horizontal="center"/>
    </xf>
    <xf numFmtId="0" fontId="49" fillId="46" borderId="184" xfId="10" applyFont="1" applyFill="1" applyBorder="1" applyAlignment="1">
      <alignment horizontal="center"/>
    </xf>
    <xf numFmtId="0" fontId="49" fillId="14" borderId="0" xfId="10" applyFont="1" applyFill="1"/>
    <xf numFmtId="0" fontId="49" fillId="8" borderId="0" xfId="10" applyFont="1" applyFill="1"/>
    <xf numFmtId="0" fontId="49" fillId="48" borderId="0" xfId="10" applyFont="1" applyFill="1"/>
    <xf numFmtId="0" fontId="49" fillId="10" borderId="185" xfId="10" applyFont="1" applyFill="1" applyBorder="1" applyAlignment="1">
      <alignment horizontal="center"/>
    </xf>
    <xf numFmtId="0" fontId="49" fillId="46" borderId="186" xfId="10" applyFont="1" applyFill="1" applyBorder="1" applyAlignment="1">
      <alignment horizontal="center"/>
    </xf>
    <xf numFmtId="0" fontId="49" fillId="50" borderId="0" xfId="10" applyFont="1" applyFill="1"/>
    <xf numFmtId="0" fontId="49" fillId="22" borderId="0" xfId="10" applyFont="1" applyFill="1"/>
    <xf numFmtId="0" fontId="49" fillId="10" borderId="187" xfId="10" applyFont="1" applyFill="1" applyBorder="1" applyAlignment="1">
      <alignment horizontal="center"/>
    </xf>
    <xf numFmtId="0" fontId="49" fillId="46" borderId="145" xfId="10" applyFont="1" applyFill="1" applyBorder="1" applyAlignment="1">
      <alignment horizontal="center"/>
    </xf>
    <xf numFmtId="0" fontId="49" fillId="15" borderId="145" xfId="10" applyFont="1" applyFill="1" applyBorder="1" applyAlignment="1">
      <alignment horizontal="center"/>
    </xf>
    <xf numFmtId="0" fontId="49" fillId="15" borderId="188" xfId="10" applyFont="1" applyFill="1" applyBorder="1" applyAlignment="1">
      <alignment horizontal="center"/>
    </xf>
    <xf numFmtId="0" fontId="49" fillId="46" borderId="189" xfId="10" applyFont="1" applyFill="1" applyBorder="1" applyAlignment="1">
      <alignment horizontal="center"/>
    </xf>
    <xf numFmtId="0" fontId="49" fillId="10" borderId="162" xfId="10" applyFont="1" applyFill="1" applyBorder="1" applyAlignment="1">
      <alignment horizontal="center"/>
    </xf>
    <xf numFmtId="0" fontId="49" fillId="15" borderId="160" xfId="10" applyFont="1" applyFill="1" applyBorder="1" applyAlignment="1">
      <alignment horizontal="center"/>
    </xf>
    <xf numFmtId="0" fontId="49" fillId="15" borderId="165" xfId="10" applyFont="1" applyFill="1" applyBorder="1" applyAlignment="1">
      <alignment horizontal="center"/>
    </xf>
    <xf numFmtId="0" fontId="49" fillId="46" borderId="190" xfId="10" applyFont="1" applyFill="1" applyBorder="1" applyAlignment="1">
      <alignment horizontal="center"/>
    </xf>
    <xf numFmtId="1" fontId="49" fillId="0" borderId="0" xfId="10" applyNumberFormat="1" applyFont="1"/>
    <xf numFmtId="170" fontId="49" fillId="58" borderId="0" xfId="10" applyNumberFormat="1" applyFont="1" applyFill="1" applyAlignment="1">
      <alignment horizontal="left"/>
    </xf>
    <xf numFmtId="0" fontId="49" fillId="58" borderId="0" xfId="10" applyFont="1" applyFill="1" applyAlignment="1">
      <alignment horizontal="left"/>
    </xf>
    <xf numFmtId="170" fontId="49" fillId="0" borderId="25" xfId="10" applyNumberFormat="1" applyFont="1" applyBorder="1" applyAlignment="1">
      <alignment horizontal="left"/>
    </xf>
    <xf numFmtId="170" fontId="49" fillId="0" borderId="172" xfId="10" applyNumberFormat="1" applyFont="1" applyBorder="1" applyAlignment="1">
      <alignment horizontal="left"/>
    </xf>
    <xf numFmtId="0" fontId="49" fillId="10" borderId="167" xfId="10" applyFont="1" applyFill="1" applyBorder="1" applyAlignment="1">
      <alignment horizontal="center"/>
    </xf>
    <xf numFmtId="0" fontId="49" fillId="10" borderId="170" xfId="10" applyFont="1" applyFill="1" applyBorder="1" applyAlignment="1">
      <alignment horizontal="center"/>
    </xf>
    <xf numFmtId="0" fontId="49" fillId="47" borderId="193" xfId="10" applyFont="1" applyFill="1" applyBorder="1" applyAlignment="1">
      <alignment horizontal="center"/>
    </xf>
    <xf numFmtId="0" fontId="49" fillId="46" borderId="161" xfId="10" applyFont="1" applyFill="1" applyBorder="1" applyAlignment="1">
      <alignment horizontal="center"/>
    </xf>
    <xf numFmtId="170" fontId="30" fillId="46" borderId="137" xfId="10" applyNumberFormat="1" applyFont="1" applyFill="1" applyBorder="1" applyAlignment="1">
      <alignment horizontal="left"/>
    </xf>
    <xf numFmtId="170" fontId="30" fillId="46" borderId="138" xfId="10" applyNumberFormat="1" applyFont="1" applyFill="1" applyBorder="1" applyAlignment="1">
      <alignment horizontal="left"/>
    </xf>
    <xf numFmtId="170" fontId="49" fillId="46" borderId="148" xfId="10" applyNumberFormat="1" applyFont="1" applyFill="1" applyBorder="1" applyAlignment="1">
      <alignment horizontal="left"/>
    </xf>
    <xf numFmtId="170" fontId="49" fillId="46" borderId="152" xfId="10" applyNumberFormat="1" applyFont="1" applyFill="1" applyBorder="1" applyAlignment="1">
      <alignment horizontal="left"/>
    </xf>
    <xf numFmtId="170" fontId="49" fillId="46" borderId="149" xfId="10" applyNumberFormat="1" applyFont="1" applyFill="1" applyBorder="1" applyAlignment="1">
      <alignment horizontal="left"/>
    </xf>
    <xf numFmtId="0" fontId="49" fillId="10" borderId="133" xfId="10" applyFont="1" applyFill="1" applyBorder="1" applyAlignment="1">
      <alignment horizontal="center"/>
    </xf>
    <xf numFmtId="0" fontId="49" fillId="55" borderId="134" xfId="10" applyFont="1" applyFill="1" applyBorder="1" applyAlignment="1">
      <alignment horizontal="center"/>
    </xf>
    <xf numFmtId="0" fontId="49" fillId="10" borderId="158" xfId="10" applyFont="1" applyFill="1" applyBorder="1" applyAlignment="1">
      <alignment horizontal="center"/>
    </xf>
    <xf numFmtId="0" fontId="49" fillId="46" borderId="194" xfId="10" applyFont="1" applyFill="1" applyBorder="1" applyAlignment="1">
      <alignment horizontal="center"/>
    </xf>
    <xf numFmtId="0" fontId="49" fillId="10" borderId="133" xfId="10" applyFont="1" applyFill="1" applyBorder="1" applyAlignment="1">
      <alignment horizontal="right"/>
    </xf>
    <xf numFmtId="49" fontId="49" fillId="0" borderId="128" xfId="10" applyNumberFormat="1" applyFont="1" applyBorder="1" applyAlignment="1">
      <alignment horizontal="left"/>
    </xf>
    <xf numFmtId="170" fontId="49" fillId="0" borderId="128" xfId="10" applyNumberFormat="1" applyFont="1" applyBorder="1" applyAlignment="1">
      <alignment horizontal="left"/>
    </xf>
    <xf numFmtId="170" fontId="49" fillId="0" borderId="134" xfId="10" applyNumberFormat="1" applyFont="1" applyBorder="1" applyAlignment="1">
      <alignment horizontal="left"/>
    </xf>
    <xf numFmtId="0" fontId="49" fillId="58" borderId="123" xfId="10" applyFont="1" applyFill="1" applyBorder="1" applyAlignment="1">
      <alignment horizontal="center"/>
    </xf>
    <xf numFmtId="0" fontId="49" fillId="58" borderId="191" xfId="10" applyFont="1" applyFill="1" applyBorder="1" applyAlignment="1">
      <alignment horizontal="center"/>
    </xf>
    <xf numFmtId="0" fontId="49" fillId="0" borderId="191" xfId="10" applyFont="1" applyBorder="1"/>
    <xf numFmtId="170" fontId="49" fillId="0" borderId="0" xfId="10" applyNumberFormat="1" applyFont="1" applyAlignment="1">
      <alignment horizontal="left"/>
    </xf>
    <xf numFmtId="49" fontId="49" fillId="0" borderId="0" xfId="10" applyNumberFormat="1" applyFont="1" applyAlignment="1">
      <alignment horizontal="left"/>
    </xf>
    <xf numFmtId="0" fontId="49" fillId="10" borderId="195" xfId="10" applyFont="1" applyFill="1" applyBorder="1" applyAlignment="1">
      <alignment horizontal="center"/>
    </xf>
    <xf numFmtId="170" fontId="49" fillId="46" borderId="196" xfId="10" applyNumberFormat="1" applyFont="1" applyFill="1" applyBorder="1" applyAlignment="1">
      <alignment horizontal="left"/>
    </xf>
    <xf numFmtId="0" fontId="49" fillId="46" borderId="196" xfId="10" applyFont="1" applyFill="1" applyBorder="1" applyAlignment="1">
      <alignment horizontal="left"/>
    </xf>
    <xf numFmtId="170" fontId="49" fillId="46" borderId="197" xfId="10" applyNumberFormat="1" applyFont="1" applyFill="1" applyBorder="1" applyAlignment="1">
      <alignment horizontal="left"/>
    </xf>
    <xf numFmtId="0" fontId="49" fillId="46" borderId="198" xfId="10" applyFont="1" applyFill="1" applyBorder="1" applyAlignment="1">
      <alignment horizontal="left"/>
    </xf>
    <xf numFmtId="170" fontId="49" fillId="46" borderId="199" xfId="10" applyNumberFormat="1" applyFont="1" applyFill="1" applyBorder="1" applyAlignment="1">
      <alignment horizontal="left"/>
    </xf>
    <xf numFmtId="170" fontId="49" fillId="46" borderId="145" xfId="10" applyNumberFormat="1" applyFont="1" applyFill="1" applyBorder="1" applyAlignment="1">
      <alignment horizontal="left"/>
    </xf>
    <xf numFmtId="0" fontId="49" fillId="46" borderId="145" xfId="10" applyFont="1" applyFill="1" applyBorder="1" applyAlignment="1">
      <alignment horizontal="left"/>
    </xf>
    <xf numFmtId="170" fontId="49" fillId="46" borderId="200" xfId="10" applyNumberFormat="1" applyFont="1" applyFill="1" applyBorder="1" applyAlignment="1">
      <alignment horizontal="left"/>
    </xf>
    <xf numFmtId="170" fontId="49" fillId="46" borderId="193" xfId="10" applyNumberFormat="1" applyFont="1" applyFill="1" applyBorder="1" applyAlignment="1">
      <alignment horizontal="left"/>
    </xf>
    <xf numFmtId="0" fontId="49" fillId="46" borderId="148" xfId="10" quotePrefix="1" applyFont="1" applyFill="1" applyBorder="1" applyAlignment="1">
      <alignment horizontal="left"/>
    </xf>
    <xf numFmtId="0" fontId="49" fillId="46" borderId="145" xfId="10" quotePrefix="1" applyFont="1" applyFill="1" applyBorder="1" applyAlignment="1">
      <alignment horizontal="left"/>
    </xf>
    <xf numFmtId="170" fontId="49" fillId="46" borderId="193" xfId="10" quotePrefix="1" applyNumberFormat="1" applyFont="1" applyFill="1" applyBorder="1" applyAlignment="1">
      <alignment horizontal="left"/>
    </xf>
    <xf numFmtId="0" fontId="49" fillId="46" borderId="149" xfId="10" applyFont="1" applyFill="1" applyBorder="1" applyAlignment="1">
      <alignment horizontal="left"/>
    </xf>
    <xf numFmtId="170" fontId="49" fillId="46" borderId="149" xfId="10" quotePrefix="1" applyNumberFormat="1" applyFont="1" applyFill="1" applyBorder="1" applyAlignment="1">
      <alignment horizontal="left"/>
    </xf>
    <xf numFmtId="170" fontId="49" fillId="46" borderId="201" xfId="10" applyNumberFormat="1" applyFont="1" applyFill="1" applyBorder="1" applyAlignment="1">
      <alignment horizontal="left"/>
    </xf>
    <xf numFmtId="170" fontId="49" fillId="46" borderId="160" xfId="10" applyNumberFormat="1" applyFont="1" applyFill="1" applyBorder="1" applyAlignment="1">
      <alignment horizontal="left"/>
    </xf>
    <xf numFmtId="170" fontId="49" fillId="46" borderId="164" xfId="10" applyNumberFormat="1" applyFont="1" applyFill="1" applyBorder="1" applyAlignment="1">
      <alignment horizontal="left"/>
    </xf>
    <xf numFmtId="0" fontId="49" fillId="46" borderId="161" xfId="10" applyFont="1" applyFill="1" applyBorder="1" applyAlignment="1">
      <alignment horizontal="left"/>
    </xf>
    <xf numFmtId="170" fontId="49" fillId="46" borderId="161" xfId="10" applyNumberFormat="1" applyFont="1" applyFill="1" applyBorder="1" applyAlignment="1">
      <alignment horizontal="left"/>
    </xf>
    <xf numFmtId="0" fontId="49" fillId="0" borderId="0" xfId="10" applyFont="1" applyAlignment="1">
      <alignment horizontal="center" vertical="center"/>
    </xf>
    <xf numFmtId="0" fontId="156" fillId="10" borderId="123" xfId="10" applyFont="1" applyFill="1" applyBorder="1" applyAlignment="1">
      <alignment horizontal="center" vertical="center"/>
    </xf>
    <xf numFmtId="0" fontId="49" fillId="10" borderId="148" xfId="10" applyFont="1" applyFill="1" applyBorder="1" applyAlignment="1">
      <alignment horizontal="center" vertical="center"/>
    </xf>
    <xf numFmtId="0" fontId="49" fillId="10" borderId="144" xfId="10" applyFont="1" applyFill="1" applyBorder="1" applyAlignment="1">
      <alignment horizontal="center" vertical="center"/>
    </xf>
    <xf numFmtId="0" fontId="49" fillId="10" borderId="138" xfId="10" applyFont="1" applyFill="1" applyBorder="1" applyAlignment="1">
      <alignment horizontal="center" vertical="center"/>
    </xf>
    <xf numFmtId="0" fontId="49" fillId="10" borderId="110" xfId="10" applyFont="1" applyFill="1" applyBorder="1" applyAlignment="1">
      <alignment horizontal="center" vertical="center"/>
    </xf>
    <xf numFmtId="0" fontId="49" fillId="10" borderId="170" xfId="10" applyFont="1" applyFill="1" applyBorder="1" applyAlignment="1">
      <alignment horizontal="left"/>
    </xf>
    <xf numFmtId="0" fontId="49" fillId="46" borderId="202" xfId="10" applyFont="1" applyFill="1" applyBorder="1" applyAlignment="1">
      <alignment horizontal="left"/>
    </xf>
    <xf numFmtId="0" fontId="49" fillId="46" borderId="203" xfId="10" applyFont="1" applyFill="1" applyBorder="1" applyAlignment="1">
      <alignment horizontal="left"/>
    </xf>
    <xf numFmtId="0" fontId="49" fillId="46" borderId="171" xfId="10" applyFont="1" applyFill="1" applyBorder="1" applyAlignment="1">
      <alignment horizontal="left"/>
    </xf>
    <xf numFmtId="0" fontId="49" fillId="46" borderId="100" xfId="10" applyFont="1" applyFill="1" applyBorder="1" applyAlignment="1">
      <alignment horizontal="left"/>
    </xf>
    <xf numFmtId="0" fontId="49" fillId="44" borderId="0" xfId="10" applyFont="1" applyFill="1" applyAlignment="1">
      <alignment horizontal="left"/>
    </xf>
    <xf numFmtId="0" fontId="49" fillId="10" borderId="204" xfId="10" applyFont="1" applyFill="1" applyBorder="1" applyAlignment="1">
      <alignment horizontal="center"/>
    </xf>
    <xf numFmtId="0" fontId="49" fillId="10" borderId="15" xfId="10" applyFont="1" applyFill="1" applyBorder="1"/>
    <xf numFmtId="0" fontId="49" fillId="10" borderId="20" xfId="10" applyFont="1" applyFill="1" applyBorder="1"/>
    <xf numFmtId="0" fontId="49" fillId="10" borderId="205" xfId="10" applyFont="1" applyFill="1" applyBorder="1"/>
    <xf numFmtId="0" fontId="49" fillId="10" borderId="111" xfId="10" applyFont="1" applyFill="1" applyBorder="1"/>
    <xf numFmtId="0" fontId="49" fillId="10" borderId="170" xfId="10" applyFont="1" applyFill="1" applyBorder="1"/>
    <xf numFmtId="0" fontId="49" fillId="10" borderId="202" xfId="10" applyFont="1" applyFill="1" applyBorder="1"/>
    <xf numFmtId="0" fontId="49" fillId="10" borderId="171" xfId="10" applyFont="1" applyFill="1" applyBorder="1"/>
    <xf numFmtId="0" fontId="49" fillId="47" borderId="125" xfId="10" applyFont="1" applyFill="1" applyBorder="1" applyAlignment="1">
      <alignment horizontal="center"/>
    </xf>
    <xf numFmtId="0" fontId="49" fillId="47" borderId="130" xfId="10" applyFont="1" applyFill="1" applyBorder="1" applyAlignment="1">
      <alignment horizontal="center"/>
    </xf>
    <xf numFmtId="0" fontId="49" fillId="47" borderId="132" xfId="10" applyFont="1" applyFill="1" applyBorder="1" applyAlignment="1">
      <alignment horizontal="center"/>
    </xf>
    <xf numFmtId="0" fontId="49" fillId="47" borderId="178" xfId="10" applyFont="1" applyFill="1" applyBorder="1" applyAlignment="1">
      <alignment horizontal="center"/>
    </xf>
    <xf numFmtId="0" fontId="49" fillId="10" borderId="173" xfId="10" applyFont="1" applyFill="1" applyBorder="1" applyAlignment="1">
      <alignment horizontal="center"/>
    </xf>
    <xf numFmtId="0" fontId="49" fillId="46" borderId="125" xfId="10" applyFont="1" applyFill="1" applyBorder="1" applyAlignment="1">
      <alignment horizontal="center"/>
    </xf>
    <xf numFmtId="0" fontId="49" fillId="46" borderId="130" xfId="10" applyFont="1" applyFill="1" applyBorder="1" applyAlignment="1">
      <alignment horizontal="center"/>
    </xf>
    <xf numFmtId="0" fontId="49" fillId="46" borderId="132" xfId="10" applyFont="1" applyFill="1" applyBorder="1" applyAlignment="1">
      <alignment horizontal="center"/>
    </xf>
    <xf numFmtId="0" fontId="49" fillId="46" borderId="178" xfId="10" applyFont="1" applyFill="1" applyBorder="1" applyAlignment="1">
      <alignment horizontal="center"/>
    </xf>
    <xf numFmtId="0" fontId="49" fillId="47" borderId="187" xfId="10" applyFont="1" applyFill="1" applyBorder="1" applyAlignment="1">
      <alignment horizontal="center"/>
    </xf>
    <xf numFmtId="0" fontId="49" fillId="47" borderId="145" xfId="10" applyFont="1" applyFill="1" applyBorder="1"/>
    <xf numFmtId="0" fontId="49" fillId="47" borderId="188" xfId="10" applyFont="1" applyFill="1" applyBorder="1"/>
    <xf numFmtId="0" fontId="49" fillId="46" borderId="145" xfId="10" applyFont="1" applyFill="1" applyBorder="1"/>
    <xf numFmtId="0" fontId="49" fillId="47" borderId="193" xfId="10" applyFont="1" applyFill="1" applyBorder="1"/>
    <xf numFmtId="0" fontId="49" fillId="47" borderId="206" xfId="10" applyFont="1" applyFill="1" applyBorder="1"/>
    <xf numFmtId="0" fontId="49" fillId="47" borderId="183" xfId="10" applyFont="1" applyFill="1" applyBorder="1" applyAlignment="1">
      <alignment horizontal="center"/>
    </xf>
    <xf numFmtId="0" fontId="49" fillId="47" borderId="153" xfId="10" applyFont="1" applyFill="1" applyBorder="1"/>
    <xf numFmtId="0" fontId="49" fillId="47" borderId="201" xfId="10" applyFont="1" applyFill="1" applyBorder="1"/>
    <xf numFmtId="0" fontId="49" fillId="12" borderId="153" xfId="10" applyFont="1" applyFill="1" applyBorder="1"/>
    <xf numFmtId="0" fontId="49" fillId="12" borderId="148" xfId="10" applyFont="1" applyFill="1" applyBorder="1"/>
    <xf numFmtId="0" fontId="49" fillId="47" borderId="162" xfId="10" applyFont="1" applyFill="1" applyBorder="1" applyAlignment="1">
      <alignment horizontal="center"/>
    </xf>
    <xf numFmtId="0" fontId="49" fillId="12" borderId="160" xfId="10" applyFont="1" applyFill="1" applyBorder="1"/>
    <xf numFmtId="0" fontId="49" fillId="47" borderId="165" xfId="10" applyFont="1" applyFill="1" applyBorder="1"/>
    <xf numFmtId="0" fontId="49" fillId="47" borderId="207" xfId="10" applyFont="1" applyFill="1" applyBorder="1"/>
    <xf numFmtId="0" fontId="49" fillId="47" borderId="179" xfId="10" applyFont="1" applyFill="1" applyBorder="1" applyAlignment="1">
      <alignment horizontal="center"/>
    </xf>
    <xf numFmtId="0" fontId="49" fillId="47" borderId="144" xfId="10" applyFont="1" applyFill="1" applyBorder="1"/>
    <xf numFmtId="0" fontId="49" fillId="47" borderId="138" xfId="10" applyFont="1" applyFill="1" applyBorder="1"/>
    <xf numFmtId="0" fontId="49" fillId="47" borderId="110" xfId="10" applyFont="1" applyFill="1" applyBorder="1"/>
    <xf numFmtId="0" fontId="49" fillId="58" borderId="0" xfId="10" applyFont="1" applyFill="1" applyAlignment="1">
      <alignment horizontal="center"/>
    </xf>
    <xf numFmtId="0" fontId="49" fillId="58" borderId="0" xfId="10" applyFont="1" applyFill="1"/>
    <xf numFmtId="0" fontId="49" fillId="53" borderId="169" xfId="10" applyFont="1" applyFill="1" applyBorder="1" applyAlignment="1">
      <alignment horizontal="centerContinuous"/>
    </xf>
    <xf numFmtId="0" fontId="49" fillId="0" borderId="0" xfId="10" applyFont="1" applyAlignment="1">
      <alignment horizontal="centerContinuous"/>
    </xf>
    <xf numFmtId="0" fontId="49" fillId="46" borderId="144" xfId="10" applyFont="1" applyFill="1" applyBorder="1" applyAlignment="1">
      <alignment horizontal="left"/>
    </xf>
    <xf numFmtId="0" fontId="49" fillId="46" borderId="208" xfId="10" applyFont="1" applyFill="1" applyBorder="1" applyAlignment="1">
      <alignment horizontal="center" vertical="center"/>
    </xf>
    <xf numFmtId="0" fontId="49" fillId="0" borderId="103" xfId="10" applyFont="1" applyBorder="1" applyAlignment="1">
      <alignment horizontal="center" vertical="center"/>
    </xf>
    <xf numFmtId="0" fontId="49" fillId="10" borderId="148" xfId="10" applyFont="1" applyFill="1" applyBorder="1"/>
    <xf numFmtId="0" fontId="49" fillId="10" borderId="153" xfId="10" applyFont="1" applyFill="1" applyBorder="1"/>
    <xf numFmtId="0" fontId="49" fillId="10" borderId="206" xfId="10" applyFont="1" applyFill="1" applyBorder="1" applyAlignment="1">
      <alignment horizontal="left" vertical="center"/>
    </xf>
    <xf numFmtId="0" fontId="49" fillId="10" borderId="209" xfId="10" applyFont="1" applyFill="1" applyBorder="1"/>
    <xf numFmtId="0" fontId="49" fillId="0" borderId="103" xfId="10" applyFont="1" applyBorder="1"/>
    <xf numFmtId="0" fontId="49" fillId="10" borderId="210" xfId="10" applyFont="1" applyFill="1" applyBorder="1" applyAlignment="1">
      <alignment horizontal="left" vertical="center"/>
    </xf>
    <xf numFmtId="0" fontId="49" fillId="47" borderId="153" xfId="10" applyFont="1" applyFill="1" applyBorder="1" applyAlignment="1">
      <alignment horizontal="center"/>
    </xf>
    <xf numFmtId="0" fontId="49" fillId="47" borderId="182" xfId="10" applyFont="1" applyFill="1" applyBorder="1" applyAlignment="1">
      <alignment horizontal="center"/>
    </xf>
    <xf numFmtId="0" fontId="49" fillId="0" borderId="103" xfId="10" applyFont="1" applyBorder="1" applyAlignment="1">
      <alignment horizontal="center"/>
    </xf>
    <xf numFmtId="0" fontId="49" fillId="46" borderId="165" xfId="10" applyFont="1" applyFill="1" applyBorder="1" applyAlignment="1">
      <alignment horizontal="center"/>
    </xf>
    <xf numFmtId="0" fontId="49" fillId="46" borderId="207" xfId="10" applyFont="1" applyFill="1" applyBorder="1" applyAlignment="1">
      <alignment horizontal="center"/>
    </xf>
    <xf numFmtId="0" fontId="49" fillId="0" borderId="123" xfId="10" applyFont="1" applyBorder="1" applyAlignment="1">
      <alignment horizontal="center"/>
    </xf>
    <xf numFmtId="0" fontId="49" fillId="47" borderId="211" xfId="10" applyFont="1" applyFill="1" applyBorder="1" applyAlignment="1">
      <alignment horizontal="left" vertical="center"/>
    </xf>
    <xf numFmtId="0" fontId="49" fillId="46" borderId="209" xfId="10" applyFont="1" applyFill="1" applyBorder="1"/>
    <xf numFmtId="0" fontId="49" fillId="47" borderId="177" xfId="10" applyFont="1" applyFill="1" applyBorder="1"/>
    <xf numFmtId="0" fontId="49" fillId="47" borderId="212" xfId="10" applyFont="1" applyFill="1" applyBorder="1" applyAlignment="1">
      <alignment horizontal="left" vertical="center"/>
    </xf>
    <xf numFmtId="0" fontId="49" fillId="47" borderId="182" xfId="10" applyFont="1" applyFill="1" applyBorder="1"/>
    <xf numFmtId="0" fontId="49" fillId="47" borderId="152" xfId="10" applyFont="1" applyFill="1" applyBorder="1"/>
    <xf numFmtId="0" fontId="49" fillId="47" borderId="194" xfId="10" applyFont="1" applyFill="1" applyBorder="1"/>
    <xf numFmtId="0" fontId="49" fillId="47" borderId="209" xfId="10" applyFont="1" applyFill="1" applyBorder="1"/>
    <xf numFmtId="0" fontId="49" fillId="47" borderId="213" xfId="10" applyFont="1" applyFill="1" applyBorder="1"/>
    <xf numFmtId="0" fontId="49" fillId="47" borderId="164" xfId="10" applyFont="1" applyFill="1" applyBorder="1"/>
    <xf numFmtId="0" fontId="49" fillId="59" borderId="99" xfId="10" applyFont="1" applyFill="1" applyBorder="1"/>
    <xf numFmtId="0" fontId="49" fillId="59" borderId="100" xfId="10" applyFont="1" applyFill="1" applyBorder="1"/>
    <xf numFmtId="0" fontId="49" fillId="59" borderId="99" xfId="10" applyFont="1" applyFill="1" applyBorder="1" applyAlignment="1">
      <alignment horizontal="center"/>
    </xf>
    <xf numFmtId="0" fontId="49" fillId="10" borderId="25" xfId="10" applyFont="1" applyFill="1" applyBorder="1"/>
    <xf numFmtId="0" fontId="49" fillId="45" borderId="202" xfId="10" applyFont="1" applyFill="1" applyBorder="1" applyAlignment="1">
      <alignment horizontal="center" vertical="center"/>
    </xf>
    <xf numFmtId="0" fontId="49" fillId="45" borderId="171" xfId="10" applyFont="1" applyFill="1" applyBorder="1" applyAlignment="1">
      <alignment horizontal="center" vertical="center"/>
    </xf>
    <xf numFmtId="0" fontId="49" fillId="54" borderId="187" xfId="10" applyFont="1" applyFill="1" applyBorder="1" applyAlignment="1">
      <alignment horizontal="center" vertical="center"/>
    </xf>
    <xf numFmtId="0" fontId="49" fillId="45" borderId="193" xfId="10" applyFont="1" applyFill="1" applyBorder="1"/>
    <xf numFmtId="0" fontId="49" fillId="46" borderId="200" xfId="10" applyFont="1" applyFill="1" applyBorder="1"/>
    <xf numFmtId="0" fontId="49" fillId="46" borderId="193" xfId="10" applyFont="1" applyFill="1" applyBorder="1"/>
    <xf numFmtId="0" fontId="49" fillId="54" borderId="183" xfId="10" applyFont="1" applyFill="1" applyBorder="1" applyAlignment="1">
      <alignment horizontal="center" vertical="center"/>
    </xf>
    <xf numFmtId="0" fontId="49" fillId="45" borderId="149" xfId="10" applyFont="1" applyFill="1" applyBorder="1"/>
    <xf numFmtId="0" fontId="49" fillId="46" borderId="152" xfId="10" applyFont="1" applyFill="1" applyBorder="1"/>
    <xf numFmtId="0" fontId="49" fillId="46" borderId="149" xfId="10" applyFont="1" applyFill="1" applyBorder="1"/>
    <xf numFmtId="0" fontId="49" fillId="54" borderId="162" xfId="10" applyFont="1" applyFill="1" applyBorder="1" applyAlignment="1">
      <alignment horizontal="center" vertical="center"/>
    </xf>
    <xf numFmtId="0" fontId="49" fillId="45" borderId="161" xfId="10" applyFont="1" applyFill="1" applyBorder="1"/>
    <xf numFmtId="0" fontId="49" fillId="49" borderId="164" xfId="10" applyFont="1" applyFill="1" applyBorder="1"/>
    <xf numFmtId="0" fontId="49" fillId="46" borderId="161" xfId="10" applyFont="1" applyFill="1" applyBorder="1"/>
    <xf numFmtId="0" fontId="49" fillId="59" borderId="98" xfId="10" applyFont="1" applyFill="1" applyBorder="1"/>
    <xf numFmtId="0" fontId="49" fillId="8" borderId="169" xfId="10" applyFont="1" applyFill="1" applyBorder="1" applyAlignment="1">
      <alignment horizontal="center"/>
    </xf>
    <xf numFmtId="0" fontId="49" fillId="8" borderId="215" xfId="10" applyFont="1" applyFill="1" applyBorder="1" applyAlignment="1">
      <alignment horizontal="center"/>
    </xf>
    <xf numFmtId="0" fontId="49" fillId="45" borderId="203" xfId="10" applyFont="1" applyFill="1" applyBorder="1" applyAlignment="1">
      <alignment horizontal="center" vertical="center"/>
    </xf>
    <xf numFmtId="0" fontId="49" fillId="10" borderId="25" xfId="10" applyFont="1" applyFill="1" applyBorder="1" applyAlignment="1">
      <alignment horizontal="center"/>
    </xf>
    <xf numFmtId="0" fontId="49" fillId="10" borderId="177" xfId="10" applyFont="1" applyFill="1" applyBorder="1" applyAlignment="1">
      <alignment horizontal="center"/>
    </xf>
    <xf numFmtId="0" fontId="49" fillId="46" borderId="216" xfId="10" applyFont="1" applyFill="1" applyBorder="1" applyAlignment="1">
      <alignment horizontal="left"/>
    </xf>
    <xf numFmtId="0" fontId="49" fillId="46" borderId="217" xfId="10" applyFont="1" applyFill="1" applyBorder="1" applyAlignment="1">
      <alignment horizontal="left"/>
    </xf>
    <xf numFmtId="0" fontId="49" fillId="10" borderId="218" xfId="10" applyFont="1" applyFill="1" applyBorder="1" applyAlignment="1">
      <alignment horizontal="center"/>
    </xf>
    <xf numFmtId="0" fontId="49" fillId="46" borderId="219" xfId="10" applyFont="1" applyFill="1" applyBorder="1" applyAlignment="1">
      <alignment horizontal="left"/>
    </xf>
    <xf numFmtId="0" fontId="49" fillId="46" borderId="220" xfId="10" applyFont="1" applyFill="1" applyBorder="1" applyAlignment="1">
      <alignment horizontal="left"/>
    </xf>
    <xf numFmtId="0" fontId="49" fillId="46" borderId="221" xfId="10" applyFont="1" applyFill="1" applyBorder="1" applyAlignment="1">
      <alignment horizontal="left"/>
    </xf>
    <xf numFmtId="0" fontId="49" fillId="46" borderId="194" xfId="10" applyFont="1" applyFill="1" applyBorder="1" applyAlignment="1">
      <alignment horizontal="left"/>
    </xf>
    <xf numFmtId="0" fontId="49" fillId="46" borderId="158" xfId="10" applyFont="1" applyFill="1" applyBorder="1" applyAlignment="1">
      <alignment horizontal="left"/>
    </xf>
    <xf numFmtId="0" fontId="49" fillId="8" borderId="98" xfId="10" applyFont="1" applyFill="1" applyBorder="1" applyAlignment="1">
      <alignment horizontal="center"/>
    </xf>
    <xf numFmtId="0" fontId="49" fillId="45" borderId="222" xfId="10" applyFont="1" applyFill="1" applyBorder="1" applyAlignment="1">
      <alignment horizontal="center"/>
    </xf>
    <xf numFmtId="0" fontId="49" fillId="10" borderId="98" xfId="10" applyFont="1" applyFill="1" applyBorder="1" applyAlignment="1">
      <alignment horizontal="left" vertical="center"/>
    </xf>
    <xf numFmtId="0" fontId="49" fillId="45" borderId="222" xfId="10" applyFont="1" applyFill="1" applyBorder="1"/>
    <xf numFmtId="0" fontId="49" fillId="47" borderId="223" xfId="10" applyFont="1" applyFill="1" applyBorder="1" applyAlignment="1">
      <alignment horizontal="center"/>
    </xf>
    <xf numFmtId="0" fontId="49" fillId="47" borderId="224" xfId="10" applyFont="1" applyFill="1" applyBorder="1" applyAlignment="1">
      <alignment horizontal="center"/>
    </xf>
    <xf numFmtId="0" fontId="49" fillId="46" borderId="146" xfId="10" applyFont="1" applyFill="1" applyBorder="1" applyAlignment="1">
      <alignment horizontal="left"/>
    </xf>
    <xf numFmtId="0" fontId="49" fillId="0" borderId="222" xfId="10" applyFont="1" applyBorder="1"/>
    <xf numFmtId="0" fontId="49" fillId="47" borderId="225" xfId="10" applyFont="1" applyFill="1" applyBorder="1" applyAlignment="1">
      <alignment horizontal="center"/>
    </xf>
    <xf numFmtId="0" fontId="49" fillId="47" borderId="226" xfId="10" applyFont="1" applyFill="1" applyBorder="1" applyAlignment="1">
      <alignment horizontal="center"/>
    </xf>
    <xf numFmtId="0" fontId="49" fillId="47" borderId="227" xfId="10" applyFont="1" applyFill="1" applyBorder="1" applyAlignment="1">
      <alignment horizontal="center"/>
    </xf>
    <xf numFmtId="0" fontId="49" fillId="47" borderId="228" xfId="10" applyFont="1" applyFill="1" applyBorder="1" applyAlignment="1">
      <alignment horizontal="center"/>
    </xf>
    <xf numFmtId="0" fontId="49" fillId="0" borderId="229" xfId="10" applyFont="1" applyBorder="1"/>
    <xf numFmtId="0" fontId="49" fillId="45" borderId="25" xfId="10" applyFont="1" applyFill="1" applyBorder="1" applyAlignment="1">
      <alignment horizontal="center"/>
    </xf>
    <xf numFmtId="0" fontId="49" fillId="45" borderId="98" xfId="10" applyFont="1" applyFill="1" applyBorder="1" applyAlignment="1">
      <alignment horizontal="left" vertical="center"/>
    </xf>
    <xf numFmtId="0" fontId="49" fillId="46" borderId="216" xfId="10" applyFont="1" applyFill="1" applyBorder="1" applyAlignment="1">
      <alignment horizontal="center"/>
    </xf>
    <xf numFmtId="0" fontId="49" fillId="46" borderId="219" xfId="10" applyFont="1" applyFill="1" applyBorder="1" applyAlignment="1">
      <alignment horizontal="center"/>
    </xf>
    <xf numFmtId="0" fontId="49" fillId="46" borderId="230" xfId="10" applyFont="1" applyFill="1" applyBorder="1" applyAlignment="1">
      <alignment horizontal="center"/>
    </xf>
    <xf numFmtId="0" fontId="49" fillId="46" borderId="231" xfId="10" applyFont="1" applyFill="1" applyBorder="1" applyAlignment="1">
      <alignment horizontal="center"/>
    </xf>
    <xf numFmtId="0" fontId="49" fillId="46" borderId="231" xfId="10" applyFont="1" applyFill="1" applyBorder="1" applyAlignment="1">
      <alignment horizontal="left"/>
    </xf>
    <xf numFmtId="0" fontId="49" fillId="46" borderId="232" xfId="10" applyFont="1" applyFill="1" applyBorder="1" applyAlignment="1">
      <alignment horizontal="center"/>
    </xf>
    <xf numFmtId="0" fontId="49" fillId="46" borderId="233" xfId="10" applyFont="1" applyFill="1" applyBorder="1" applyAlignment="1">
      <alignment horizontal="center"/>
    </xf>
    <xf numFmtId="0" fontId="49" fillId="46" borderId="233" xfId="10" applyFont="1" applyFill="1" applyBorder="1" applyAlignment="1">
      <alignment horizontal="left"/>
    </xf>
    <xf numFmtId="0" fontId="156" fillId="0" borderId="0" xfId="10" applyFont="1" applyAlignment="1">
      <alignment horizontal="centerContinuous"/>
    </xf>
    <xf numFmtId="0" fontId="49" fillId="45" borderId="169" xfId="10" applyFont="1" applyFill="1" applyBorder="1" applyAlignment="1">
      <alignment horizontal="center" vertical="center"/>
    </xf>
    <xf numFmtId="0" fontId="49" fillId="45" borderId="101" xfId="10" applyFont="1" applyFill="1" applyBorder="1" applyAlignment="1">
      <alignment horizontal="center" vertical="center"/>
    </xf>
    <xf numFmtId="0" fontId="49" fillId="45" borderId="155" xfId="10" applyFont="1" applyFill="1" applyBorder="1" applyAlignment="1">
      <alignment horizontal="center"/>
    </xf>
    <xf numFmtId="0" fontId="49" fillId="45" borderId="234" xfId="10" applyFont="1" applyFill="1" applyBorder="1" applyAlignment="1">
      <alignment horizontal="center"/>
    </xf>
    <xf numFmtId="0" fontId="49" fillId="45" borderId="98" xfId="10" applyFont="1" applyFill="1" applyBorder="1" applyAlignment="1">
      <alignment horizontal="center"/>
    </xf>
    <xf numFmtId="0" fontId="49" fillId="45" borderId="170" xfId="10" applyFont="1" applyFill="1" applyBorder="1" applyAlignment="1">
      <alignment horizontal="center"/>
    </xf>
    <xf numFmtId="0" fontId="49" fillId="45" borderId="171" xfId="10" applyFont="1" applyFill="1" applyBorder="1" applyAlignment="1">
      <alignment horizontal="center"/>
    </xf>
    <xf numFmtId="0" fontId="49" fillId="46" borderId="235" xfId="10" applyFont="1" applyFill="1" applyBorder="1" applyAlignment="1">
      <alignment horizontal="center"/>
    </xf>
    <xf numFmtId="0" fontId="49" fillId="46" borderId="218" xfId="10" applyFont="1" applyFill="1" applyBorder="1" applyAlignment="1">
      <alignment horizontal="left"/>
    </xf>
    <xf numFmtId="0" fontId="49" fillId="0" borderId="175" xfId="10" applyFont="1" applyBorder="1" applyAlignment="1">
      <alignment horizontal="center"/>
    </xf>
    <xf numFmtId="0" fontId="49" fillId="0" borderId="176" xfId="10" applyFont="1" applyBorder="1"/>
    <xf numFmtId="0" fontId="49" fillId="0" borderId="150" xfId="10" applyFont="1" applyBorder="1" applyAlignment="1">
      <alignment horizontal="center"/>
    </xf>
    <xf numFmtId="0" fontId="49" fillId="0" borderId="133" xfId="10" applyFont="1" applyBorder="1" applyAlignment="1">
      <alignment horizontal="center"/>
    </xf>
    <xf numFmtId="0" fontId="49" fillId="0" borderId="134" xfId="10" applyFont="1" applyBorder="1"/>
    <xf numFmtId="0" fontId="49" fillId="45" borderId="139" xfId="10" applyFont="1" applyFill="1" applyBorder="1" applyAlignment="1">
      <alignment horizontal="center"/>
    </xf>
    <xf numFmtId="0" fontId="49" fillId="45" borderId="166" xfId="10" applyFont="1" applyFill="1" applyBorder="1" applyAlignment="1">
      <alignment horizontal="center"/>
    </xf>
    <xf numFmtId="0" fontId="49" fillId="45" borderId="169" xfId="10" applyFont="1" applyFill="1" applyBorder="1" applyAlignment="1">
      <alignment horizontal="left" vertical="center"/>
    </xf>
    <xf numFmtId="0" fontId="49" fillId="45" borderId="133" xfId="10" applyFont="1" applyFill="1" applyBorder="1" applyAlignment="1">
      <alignment horizontal="center"/>
    </xf>
    <xf numFmtId="0" fontId="49" fillId="45" borderId="134" xfId="10" applyFont="1" applyFill="1" applyBorder="1" applyAlignment="1">
      <alignment horizontal="center"/>
    </xf>
    <xf numFmtId="0" fontId="49" fillId="46" borderId="182" xfId="10" applyFont="1" applyFill="1" applyBorder="1" applyAlignment="1">
      <alignment horizontal="left"/>
    </xf>
    <xf numFmtId="0" fontId="49" fillId="0" borderId="93" xfId="10" applyFont="1" applyBorder="1"/>
    <xf numFmtId="0" fontId="156" fillId="10" borderId="169" xfId="10" applyFont="1" applyFill="1" applyBorder="1" applyAlignment="1">
      <alignment horizontal="centerContinuous"/>
    </xf>
    <xf numFmtId="0" fontId="49" fillId="45" borderId="203" xfId="10" applyFont="1" applyFill="1" applyBorder="1" applyAlignment="1">
      <alignment horizontal="left" vertical="center"/>
    </xf>
    <xf numFmtId="0" fontId="49" fillId="47" borderId="216" xfId="10" applyFont="1" applyFill="1" applyBorder="1" applyAlignment="1">
      <alignment horizontal="left"/>
    </xf>
    <xf numFmtId="0" fontId="49" fillId="47" borderId="177" xfId="10" applyFont="1" applyFill="1" applyBorder="1" applyAlignment="1">
      <alignment horizontal="left"/>
    </xf>
    <xf numFmtId="0" fontId="49" fillId="46" borderId="153" xfId="10" applyFont="1" applyFill="1" applyBorder="1" applyAlignment="1">
      <alignment horizontal="left"/>
    </xf>
    <xf numFmtId="0" fontId="49" fillId="47" borderId="230" xfId="10" applyFont="1" applyFill="1" applyBorder="1" applyAlignment="1">
      <alignment horizontal="left"/>
    </xf>
    <xf numFmtId="0" fontId="49" fillId="47" borderId="232" xfId="10" applyFont="1" applyFill="1" applyBorder="1" applyAlignment="1">
      <alignment horizontal="left"/>
    </xf>
    <xf numFmtId="0" fontId="49" fillId="46" borderId="165" xfId="10" applyFont="1" applyFill="1" applyBorder="1" applyAlignment="1">
      <alignment horizontal="left"/>
    </xf>
    <xf numFmtId="0" fontId="49" fillId="0" borderId="29" xfId="10" applyFont="1" applyBorder="1" applyAlignment="1">
      <alignment horizontal="center"/>
    </xf>
    <xf numFmtId="0" fontId="156" fillId="0" borderId="29" xfId="10" applyFont="1" applyBorder="1" applyAlignment="1">
      <alignment horizontal="centerContinuous"/>
    </xf>
    <xf numFmtId="0" fontId="156" fillId="44" borderId="0" xfId="10" applyFont="1" applyFill="1"/>
    <xf numFmtId="0" fontId="156" fillId="0" borderId="0" xfId="10" applyFont="1" applyAlignment="1">
      <alignment horizontal="left"/>
    </xf>
    <xf numFmtId="0" fontId="49" fillId="44" borderId="99" xfId="10" applyFont="1" applyFill="1" applyBorder="1"/>
    <xf numFmtId="0" fontId="49" fillId="44" borderId="100" xfId="10" applyFont="1" applyFill="1" applyBorder="1"/>
    <xf numFmtId="0" fontId="49" fillId="0" borderId="111" xfId="10" applyFont="1" applyBorder="1"/>
    <xf numFmtId="0" fontId="49" fillId="45" borderId="0" xfId="10" applyFont="1" applyFill="1" applyAlignment="1">
      <alignment horizontal="center"/>
    </xf>
    <xf numFmtId="0" fontId="49" fillId="47" borderId="219" xfId="10" applyFont="1" applyFill="1" applyBorder="1" applyAlignment="1">
      <alignment horizontal="left"/>
    </xf>
    <xf numFmtId="0" fontId="49" fillId="47" borderId="224" xfId="10" applyFont="1" applyFill="1" applyBorder="1" applyAlignment="1">
      <alignment horizontal="left"/>
    </xf>
    <xf numFmtId="0" fontId="49" fillId="47" borderId="231" xfId="10" applyFont="1" applyFill="1" applyBorder="1" applyAlignment="1">
      <alignment horizontal="left"/>
    </xf>
    <xf numFmtId="0" fontId="49" fillId="47" borderId="226" xfId="10" applyFont="1" applyFill="1" applyBorder="1" applyAlignment="1">
      <alignment horizontal="left"/>
    </xf>
    <xf numFmtId="0" fontId="49" fillId="47" borderId="233" xfId="10" applyFont="1" applyFill="1" applyBorder="1" applyAlignment="1">
      <alignment horizontal="left"/>
    </xf>
    <xf numFmtId="0" fontId="49" fillId="47" borderId="228" xfId="10" applyFont="1" applyFill="1" applyBorder="1" applyAlignment="1">
      <alignment horizontal="left"/>
    </xf>
    <xf numFmtId="0" fontId="49" fillId="10" borderId="169" xfId="10" applyFont="1" applyFill="1" applyBorder="1" applyAlignment="1">
      <alignment horizontal="center"/>
    </xf>
    <xf numFmtId="0" fontId="156" fillId="45" borderId="169" xfId="10" applyFont="1" applyFill="1" applyBorder="1" applyAlignment="1">
      <alignment horizontal="left"/>
    </xf>
    <xf numFmtId="0" fontId="49" fillId="45" borderId="102" xfId="10" applyFont="1" applyFill="1" applyBorder="1"/>
    <xf numFmtId="0" fontId="49" fillId="47" borderId="219" xfId="10" applyFont="1" applyFill="1" applyBorder="1" applyAlignment="1">
      <alignment horizontal="center"/>
    </xf>
    <xf numFmtId="0" fontId="49" fillId="46" borderId="172" xfId="10" applyFont="1" applyFill="1" applyBorder="1"/>
    <xf numFmtId="0" fontId="49" fillId="10" borderId="182" xfId="10" applyFont="1" applyFill="1" applyBorder="1" applyAlignment="1">
      <alignment horizontal="center"/>
    </xf>
    <xf numFmtId="0" fontId="49" fillId="10" borderId="213" xfId="10" applyFont="1" applyFill="1" applyBorder="1" applyAlignment="1">
      <alignment horizontal="center"/>
    </xf>
    <xf numFmtId="0" fontId="49" fillId="47" borderId="103" xfId="10" applyFont="1" applyFill="1" applyBorder="1" applyAlignment="1">
      <alignment horizontal="center"/>
    </xf>
    <xf numFmtId="0" fontId="49" fillId="45" borderId="237" xfId="10" applyFont="1" applyFill="1" applyBorder="1"/>
    <xf numFmtId="0" fontId="49" fillId="46" borderId="21" xfId="10" applyFont="1" applyFill="1" applyBorder="1" applyAlignment="1">
      <alignment horizontal="center" vertical="center"/>
    </xf>
    <xf numFmtId="0" fontId="49" fillId="47" borderId="208" xfId="10" applyFont="1" applyFill="1" applyBorder="1" applyAlignment="1">
      <alignment horizontal="center" vertical="center"/>
    </xf>
    <xf numFmtId="0" fontId="49" fillId="47" borderId="222" xfId="10" applyFont="1" applyFill="1" applyBorder="1" applyAlignment="1">
      <alignment horizontal="center" vertical="center"/>
    </xf>
    <xf numFmtId="0" fontId="49" fillId="45" borderId="123" xfId="10" applyFont="1" applyFill="1" applyBorder="1"/>
    <xf numFmtId="0" fontId="49" fillId="46" borderId="238" xfId="10" applyFont="1" applyFill="1" applyBorder="1" applyAlignment="1">
      <alignment horizontal="center" vertical="center"/>
    </xf>
    <xf numFmtId="0" fontId="49" fillId="47" borderId="229" xfId="10" applyFont="1" applyFill="1" applyBorder="1" applyAlignment="1">
      <alignment horizontal="center" vertical="center"/>
    </xf>
    <xf numFmtId="0" fontId="49" fillId="0" borderId="178" xfId="10" applyFont="1" applyBorder="1"/>
    <xf numFmtId="0" fontId="49" fillId="44" borderId="98" xfId="10" applyFont="1" applyFill="1" applyBorder="1"/>
    <xf numFmtId="0" fontId="49" fillId="8" borderId="236" xfId="10" applyFont="1" applyFill="1" applyBorder="1"/>
    <xf numFmtId="0" fontId="49" fillId="10" borderId="139" xfId="10" applyFont="1" applyFill="1" applyBorder="1" applyAlignment="1">
      <alignment horizontal="center"/>
    </xf>
    <xf numFmtId="0" fontId="49" fillId="10" borderId="140" xfId="10" applyFont="1" applyFill="1" applyBorder="1" applyAlignment="1">
      <alignment horizontal="center"/>
    </xf>
    <xf numFmtId="0" fontId="49" fillId="10" borderId="166" xfId="10" applyFont="1" applyFill="1" applyBorder="1" applyAlignment="1">
      <alignment horizontal="center"/>
    </xf>
    <xf numFmtId="0" fontId="49" fillId="10" borderId="134" xfId="10" applyFont="1" applyFill="1" applyBorder="1" applyAlignment="1">
      <alignment horizontal="center"/>
    </xf>
    <xf numFmtId="0" fontId="49" fillId="46" borderId="138" xfId="10" applyFont="1" applyFill="1" applyBorder="1" applyAlignment="1">
      <alignment horizontal="left"/>
    </xf>
    <xf numFmtId="0" fontId="49" fillId="8" borderId="169" xfId="10" applyFont="1" applyFill="1" applyBorder="1"/>
    <xf numFmtId="0" fontId="49" fillId="8" borderId="93" xfId="10" applyFont="1" applyFill="1" applyBorder="1"/>
    <xf numFmtId="0" fontId="49" fillId="0" borderId="25" xfId="10" applyFont="1" applyBorder="1" applyAlignment="1">
      <alignment horizontal="center"/>
    </xf>
    <xf numFmtId="0" fontId="49" fillId="46" borderId="120" xfId="10" applyFont="1" applyFill="1" applyBorder="1" applyAlignment="1">
      <alignment horizontal="left"/>
    </xf>
    <xf numFmtId="0" fontId="49" fillId="46" borderId="25" xfId="10" applyFont="1" applyFill="1" applyBorder="1" applyAlignment="1">
      <alignment horizontal="left"/>
    </xf>
    <xf numFmtId="0" fontId="49" fillId="46" borderId="239" xfId="10" applyFont="1" applyFill="1" applyBorder="1" applyAlignment="1">
      <alignment horizontal="left"/>
    </xf>
    <xf numFmtId="0" fontId="49" fillId="10" borderId="202" xfId="10" applyFont="1" applyFill="1" applyBorder="1" applyAlignment="1">
      <alignment horizontal="center" shrinkToFit="1"/>
    </xf>
    <xf numFmtId="0" fontId="49" fillId="10" borderId="202" xfId="10" applyFont="1" applyFill="1" applyBorder="1" applyAlignment="1">
      <alignment horizontal="center"/>
    </xf>
    <xf numFmtId="0" fontId="156" fillId="10" borderId="169" xfId="10" applyFont="1" applyFill="1" applyBorder="1" applyAlignment="1">
      <alignment horizontal="left"/>
    </xf>
    <xf numFmtId="0" fontId="156" fillId="61" borderId="177" xfId="10" applyFont="1" applyFill="1" applyBorder="1" applyAlignment="1">
      <alignment horizontal="left"/>
    </xf>
    <xf numFmtId="171" fontId="49" fillId="46" borderId="177" xfId="16" applyFont="1" applyFill="1" applyBorder="1" applyAlignment="1">
      <alignment horizontal="center" shrinkToFit="1"/>
    </xf>
    <xf numFmtId="0" fontId="49" fillId="47" borderId="216" xfId="10" applyFont="1" applyFill="1" applyBorder="1" applyAlignment="1">
      <alignment horizontal="center"/>
    </xf>
    <xf numFmtId="0" fontId="156" fillId="46" borderId="177" xfId="10" applyFont="1" applyFill="1" applyBorder="1" applyAlignment="1">
      <alignment horizontal="left"/>
    </xf>
    <xf numFmtId="0" fontId="156" fillId="61" borderId="182" xfId="10" applyFont="1" applyFill="1" applyBorder="1" applyAlignment="1">
      <alignment horizontal="left"/>
    </xf>
    <xf numFmtId="171" fontId="49" fillId="46" borderId="182" xfId="16" applyFont="1" applyFill="1" applyBorder="1" applyAlignment="1">
      <alignment horizontal="center" shrinkToFit="1"/>
    </xf>
    <xf numFmtId="0" fontId="156" fillId="46" borderId="182" xfId="10" applyFont="1" applyFill="1" applyBorder="1" applyAlignment="1">
      <alignment horizontal="left"/>
    </xf>
    <xf numFmtId="0" fontId="49" fillId="0" borderId="111" xfId="10" applyFont="1" applyBorder="1" applyAlignment="1">
      <alignment horizontal="center"/>
    </xf>
    <xf numFmtId="0" fontId="156" fillId="61" borderId="194" xfId="10" applyFont="1" applyFill="1" applyBorder="1" applyAlignment="1">
      <alignment horizontal="left"/>
    </xf>
    <xf numFmtId="0" fontId="49" fillId="46" borderId="101" xfId="10" applyFont="1" applyFill="1" applyBorder="1"/>
    <xf numFmtId="0" fontId="49" fillId="46" borderId="103" xfId="10" applyFont="1" applyFill="1" applyBorder="1"/>
    <xf numFmtId="0" fontId="49" fillId="10" borderId="194" xfId="10" applyFont="1" applyFill="1" applyBorder="1" applyAlignment="1">
      <alignment horizontal="center"/>
    </xf>
    <xf numFmtId="0" fontId="49" fillId="46" borderId="123" xfId="10" applyFont="1" applyFill="1" applyBorder="1"/>
    <xf numFmtId="171" fontId="49" fillId="46" borderId="194" xfId="16" applyFont="1" applyFill="1" applyBorder="1" applyAlignment="1">
      <alignment horizontal="center" shrinkToFit="1"/>
    </xf>
    <xf numFmtId="0" fontId="49" fillId="47" borderId="232" xfId="10" applyFont="1" applyFill="1" applyBorder="1" applyAlignment="1">
      <alignment horizontal="center"/>
    </xf>
    <xf numFmtId="0" fontId="156" fillId="46" borderId="194" xfId="10" applyFont="1" applyFill="1" applyBorder="1" applyAlignment="1">
      <alignment horizontal="left"/>
    </xf>
    <xf numFmtId="0" fontId="49" fillId="56" borderId="98" xfId="10" applyFont="1" applyFill="1" applyBorder="1"/>
    <xf numFmtId="0" fontId="49" fillId="56" borderId="99" xfId="10" applyFont="1" applyFill="1" applyBorder="1"/>
    <xf numFmtId="0" fontId="49" fillId="56" borderId="100" xfId="10" applyFont="1" applyFill="1" applyBorder="1"/>
    <xf numFmtId="0" fontId="49" fillId="8" borderId="123" xfId="10" applyFont="1" applyFill="1" applyBorder="1" applyAlignment="1">
      <alignment horizontal="center"/>
    </xf>
    <xf numFmtId="0" fontId="49" fillId="8" borderId="236" xfId="10" applyFont="1" applyFill="1" applyBorder="1" applyAlignment="1">
      <alignment horizontal="center"/>
    </xf>
    <xf numFmtId="0" fontId="49" fillId="10" borderId="172" xfId="10" applyFont="1" applyFill="1" applyBorder="1" applyAlignment="1">
      <alignment horizontal="center"/>
    </xf>
    <xf numFmtId="0" fontId="49" fillId="45" borderId="202" xfId="10" applyFont="1" applyFill="1" applyBorder="1" applyAlignment="1">
      <alignment horizontal="left" vertical="center"/>
    </xf>
    <xf numFmtId="0" fontId="49" fillId="45" borderId="171" xfId="10" applyFont="1" applyFill="1" applyBorder="1" applyAlignment="1">
      <alignment horizontal="left" vertical="center"/>
    </xf>
    <xf numFmtId="0" fontId="49" fillId="45" borderId="203" xfId="10" applyFont="1" applyFill="1" applyBorder="1" applyAlignment="1">
      <alignment horizontal="right" vertical="center"/>
    </xf>
    <xf numFmtId="0" fontId="49" fillId="0" borderId="150" xfId="10" applyFont="1" applyBorder="1"/>
    <xf numFmtId="0" fontId="49" fillId="0" borderId="133" xfId="10" applyFont="1" applyBorder="1"/>
    <xf numFmtId="0" fontId="49" fillId="0" borderId="101" xfId="10" applyFont="1" applyBorder="1"/>
    <xf numFmtId="0" fontId="49" fillId="0" borderId="102" xfId="10" applyFont="1" applyBorder="1"/>
    <xf numFmtId="0" fontId="156" fillId="45" borderId="241" xfId="10" applyFont="1" applyFill="1" applyBorder="1" applyAlignment="1">
      <alignment horizontal="center"/>
    </xf>
    <xf numFmtId="171" fontId="49" fillId="46" borderId="177" xfId="16" applyFont="1" applyFill="1" applyBorder="1" applyAlignment="1">
      <alignment horizontal="center" vertical="center" shrinkToFit="1"/>
    </xf>
    <xf numFmtId="0" fontId="49" fillId="45" borderId="242" xfId="10" applyFont="1" applyFill="1" applyBorder="1" applyAlignment="1">
      <alignment horizontal="center"/>
    </xf>
    <xf numFmtId="0" fontId="156" fillId="10" borderId="169" xfId="10" applyFont="1" applyFill="1" applyBorder="1" applyAlignment="1">
      <alignment horizontal="center"/>
    </xf>
    <xf numFmtId="0" fontId="156" fillId="10" borderId="100" xfId="10" applyFont="1" applyFill="1" applyBorder="1" applyAlignment="1">
      <alignment horizontal="center"/>
    </xf>
    <xf numFmtId="0" fontId="156" fillId="10" borderId="169" xfId="10" applyFont="1" applyFill="1" applyBorder="1" applyAlignment="1">
      <alignment horizontal="center" wrapText="1" shrinkToFit="1"/>
    </xf>
    <xf numFmtId="0" fontId="156" fillId="10" borderId="169" xfId="10" applyFont="1" applyFill="1" applyBorder="1" applyAlignment="1">
      <alignment horizontal="center" wrapText="1"/>
    </xf>
    <xf numFmtId="171" fontId="49" fillId="46" borderId="182" xfId="16" applyFont="1" applyFill="1" applyBorder="1" applyAlignment="1">
      <alignment horizontal="center" vertical="center" shrinkToFit="1"/>
    </xf>
    <xf numFmtId="0" fontId="156" fillId="45" borderId="182" xfId="10" applyFont="1" applyFill="1" applyBorder="1" applyAlignment="1">
      <alignment horizontal="left"/>
    </xf>
    <xf numFmtId="0" fontId="49" fillId="45" borderId="182" xfId="10" applyFont="1" applyFill="1" applyBorder="1" applyAlignment="1">
      <alignment horizontal="center"/>
    </xf>
    <xf numFmtId="171" fontId="49" fillId="46" borderId="241" xfId="16" applyFont="1" applyFill="1" applyBorder="1" applyAlignment="1">
      <alignment horizontal="center" shrinkToFit="1"/>
    </xf>
    <xf numFmtId="0" fontId="49" fillId="45" borderId="241" xfId="10" applyFont="1" applyFill="1" applyBorder="1"/>
    <xf numFmtId="0" fontId="49" fillId="46" borderId="241" xfId="10" applyFont="1" applyFill="1" applyBorder="1" applyAlignment="1">
      <alignment horizontal="center" vertical="center"/>
    </xf>
    <xf numFmtId="1" fontId="49" fillId="61" borderId="241" xfId="10" applyNumberFormat="1" applyFont="1" applyFill="1" applyBorder="1" applyAlignment="1">
      <alignment horizontal="center" vertical="center"/>
    </xf>
    <xf numFmtId="171" fontId="49" fillId="46" borderId="242" xfId="16" applyFont="1" applyFill="1" applyBorder="1" applyAlignment="1">
      <alignment horizontal="center" shrinkToFit="1"/>
    </xf>
    <xf numFmtId="0" fontId="49" fillId="45" borderId="242" xfId="10" applyFont="1" applyFill="1" applyBorder="1"/>
    <xf numFmtId="0" fontId="49" fillId="46" borderId="242" xfId="10" applyFont="1" applyFill="1" applyBorder="1" applyAlignment="1">
      <alignment horizontal="center" vertical="center"/>
    </xf>
    <xf numFmtId="0" fontId="49" fillId="45" borderId="209" xfId="10" applyFont="1" applyFill="1" applyBorder="1" applyAlignment="1">
      <alignment horizontal="center"/>
    </xf>
    <xf numFmtId="0" fontId="49" fillId="45" borderId="194" xfId="10" applyFont="1" applyFill="1" applyBorder="1" applyAlignment="1">
      <alignment horizontal="center"/>
    </xf>
    <xf numFmtId="0" fontId="49" fillId="60" borderId="0" xfId="10" applyFont="1" applyFill="1"/>
    <xf numFmtId="0" fontId="49" fillId="60" borderId="240" xfId="10" applyFont="1" applyFill="1" applyBorder="1" applyAlignment="1">
      <alignment vertical="top" wrapText="1"/>
    </xf>
    <xf numFmtId="0" fontId="25" fillId="0" borderId="240" xfId="10" applyBorder="1" applyAlignment="1">
      <alignment vertical="top" wrapText="1"/>
    </xf>
    <xf numFmtId="171" fontId="49" fillId="46" borderId="194" xfId="16" applyFont="1" applyFill="1" applyBorder="1" applyAlignment="1">
      <alignment horizontal="center" vertical="center" shrinkToFit="1"/>
    </xf>
    <xf numFmtId="0" fontId="49" fillId="46" borderId="232" xfId="10" applyFont="1" applyFill="1" applyBorder="1" applyAlignment="1">
      <alignment horizontal="left"/>
    </xf>
    <xf numFmtId="0" fontId="49" fillId="45" borderId="243" xfId="10" applyFont="1" applyFill="1" applyBorder="1" applyAlignment="1">
      <alignment horizontal="center"/>
    </xf>
    <xf numFmtId="0" fontId="49" fillId="60" borderId="191" xfId="10" applyFont="1" applyFill="1" applyBorder="1"/>
    <xf numFmtId="171" fontId="49" fillId="46" borderId="243" xfId="16" applyFont="1" applyFill="1" applyBorder="1" applyAlignment="1">
      <alignment horizontal="center" shrinkToFit="1"/>
    </xf>
    <xf numFmtId="0" fontId="49" fillId="45" borderId="243" xfId="10" applyFont="1" applyFill="1" applyBorder="1"/>
    <xf numFmtId="0" fontId="156" fillId="0" borderId="103" xfId="10" applyFont="1" applyBorder="1"/>
    <xf numFmtId="0" fontId="49" fillId="46" borderId="243" xfId="10" applyFont="1" applyFill="1" applyBorder="1" applyAlignment="1">
      <alignment horizontal="center" vertical="center"/>
    </xf>
    <xf numFmtId="0" fontId="49" fillId="44" borderId="98" xfId="10" applyFont="1" applyFill="1" applyBorder="1" applyAlignment="1">
      <alignment horizontal="center"/>
    </xf>
    <xf numFmtId="0" fontId="49" fillId="10" borderId="99" xfId="10" applyFont="1" applyFill="1" applyBorder="1"/>
    <xf numFmtId="0" fontId="49" fillId="10" borderId="100" xfId="10" applyFont="1" applyFill="1" applyBorder="1"/>
    <xf numFmtId="0" fontId="49" fillId="10" borderId="133" xfId="10" applyFont="1" applyFill="1" applyBorder="1"/>
    <xf numFmtId="0" fontId="49" fillId="0" borderId="19" xfId="10" applyFont="1" applyBorder="1"/>
    <xf numFmtId="0" fontId="49" fillId="0" borderId="21" xfId="10" applyFont="1" applyBorder="1"/>
    <xf numFmtId="0" fontId="49" fillId="47" borderId="230" xfId="10" applyFont="1" applyFill="1" applyBorder="1" applyAlignment="1">
      <alignment horizontal="center"/>
    </xf>
    <xf numFmtId="0" fontId="49" fillId="46" borderId="169" xfId="10" applyFont="1" applyFill="1" applyBorder="1" applyAlignment="1">
      <alignment horizontal="center" vertical="center"/>
    </xf>
    <xf numFmtId="0" fontId="49" fillId="46" borderId="177" xfId="10" applyFont="1" applyFill="1" applyBorder="1" applyAlignment="1">
      <alignment horizontal="center" vertical="center"/>
    </xf>
    <xf numFmtId="0" fontId="49" fillId="12" borderId="244" xfId="10" applyFont="1" applyFill="1" applyBorder="1" applyAlignment="1">
      <alignment horizontal="center" vertical="center"/>
    </xf>
    <xf numFmtId="0" fontId="49" fillId="12" borderId="245" xfId="10" applyFont="1" applyFill="1" applyBorder="1" applyAlignment="1">
      <alignment horizontal="center" vertical="center"/>
    </xf>
    <xf numFmtId="0" fontId="49" fillId="46" borderId="182" xfId="10" applyFont="1" applyFill="1" applyBorder="1" applyAlignment="1">
      <alignment horizontal="center" vertical="center"/>
    </xf>
    <xf numFmtId="0" fontId="49" fillId="12" borderId="246" xfId="10" applyFont="1" applyFill="1" applyBorder="1" applyAlignment="1">
      <alignment horizontal="center" vertical="center"/>
    </xf>
    <xf numFmtId="0" fontId="49" fillId="12" borderId="247" xfId="10" applyFont="1" applyFill="1" applyBorder="1" applyAlignment="1">
      <alignment horizontal="center" vertical="center"/>
    </xf>
    <xf numFmtId="0" fontId="49" fillId="46" borderId="123" xfId="10" applyFont="1" applyFill="1" applyBorder="1" applyAlignment="1">
      <alignment horizontal="center"/>
    </xf>
    <xf numFmtId="0" fontId="49" fillId="46" borderId="194" xfId="10" applyFont="1" applyFill="1" applyBorder="1"/>
    <xf numFmtId="0" fontId="156" fillId="0" borderId="111" xfId="10" applyFont="1" applyBorder="1" applyAlignment="1">
      <alignment horizontal="left"/>
    </xf>
    <xf numFmtId="0" fontId="49" fillId="12" borderId="248" xfId="10" applyFont="1" applyFill="1" applyBorder="1" applyAlignment="1">
      <alignment horizontal="center" vertical="center"/>
    </xf>
    <xf numFmtId="0" fontId="49" fillId="12" borderId="249" xfId="10" applyFont="1" applyFill="1" applyBorder="1" applyAlignment="1">
      <alignment horizontal="center" vertical="center"/>
    </xf>
    <xf numFmtId="0" fontId="49" fillId="46" borderId="194" xfId="10" applyFont="1" applyFill="1" applyBorder="1" applyAlignment="1">
      <alignment horizontal="center" vertical="center"/>
    </xf>
    <xf numFmtId="0" fontId="156" fillId="0" borderId="111" xfId="10" applyFont="1" applyBorder="1" applyAlignment="1">
      <alignment horizontal="center"/>
    </xf>
    <xf numFmtId="0" fontId="49" fillId="46" borderId="215" xfId="10" applyFont="1" applyFill="1" applyBorder="1"/>
    <xf numFmtId="0" fontId="49" fillId="45" borderId="179" xfId="10" applyFont="1" applyFill="1" applyBorder="1" applyAlignment="1">
      <alignment horizontal="center" vertical="center"/>
    </xf>
    <xf numFmtId="0" fontId="49" fillId="46" borderId="240" xfId="10" applyFont="1" applyFill="1" applyBorder="1"/>
    <xf numFmtId="0" fontId="49" fillId="45" borderId="183" xfId="10" applyFont="1" applyFill="1" applyBorder="1" applyAlignment="1">
      <alignment horizontal="center" vertical="center"/>
    </xf>
    <xf numFmtId="0" fontId="49" fillId="0" borderId="100" xfId="10" applyFont="1" applyBorder="1" applyAlignment="1">
      <alignment horizontal="center"/>
    </xf>
    <xf numFmtId="0" fontId="49" fillId="10" borderId="209" xfId="10" applyFont="1" applyFill="1" applyBorder="1" applyAlignment="1">
      <alignment horizontal="center"/>
    </xf>
    <xf numFmtId="0" fontId="49" fillId="0" borderId="111" xfId="10" applyFont="1" applyBorder="1" applyAlignment="1">
      <alignment horizontal="left"/>
    </xf>
    <xf numFmtId="0" fontId="49" fillId="47" borderId="148" xfId="10" applyFont="1" applyFill="1" applyBorder="1" applyAlignment="1">
      <alignment vertical="center" wrapText="1"/>
    </xf>
    <xf numFmtId="0" fontId="49" fillId="47" borderId="149" xfId="10" applyFont="1" applyFill="1" applyBorder="1" applyAlignment="1">
      <alignment vertical="center" wrapText="1"/>
    </xf>
    <xf numFmtId="0" fontId="49" fillId="46" borderId="236" xfId="10" applyFont="1" applyFill="1" applyBorder="1" applyAlignment="1">
      <alignment horizontal="center"/>
    </xf>
    <xf numFmtId="0" fontId="49" fillId="0" borderId="100" xfId="10" applyFont="1" applyBorder="1"/>
    <xf numFmtId="0" fontId="49" fillId="46" borderId="177" xfId="10" applyFont="1" applyFill="1" applyBorder="1"/>
    <xf numFmtId="0" fontId="49" fillId="46" borderId="182" xfId="10" applyFont="1" applyFill="1" applyBorder="1"/>
    <xf numFmtId="0" fontId="49" fillId="46" borderId="213" xfId="10" applyFont="1" applyFill="1" applyBorder="1" applyAlignment="1">
      <alignment horizontal="center"/>
    </xf>
    <xf numFmtId="0" fontId="49" fillId="46" borderId="236" xfId="10" applyFont="1" applyFill="1" applyBorder="1"/>
    <xf numFmtId="0" fontId="49" fillId="45" borderId="162" xfId="10" applyFont="1" applyFill="1" applyBorder="1" applyAlignment="1">
      <alignment horizontal="center" vertical="center"/>
    </xf>
    <xf numFmtId="0" fontId="49" fillId="47" borderId="160" xfId="10" applyFont="1" applyFill="1" applyBorder="1" applyAlignment="1">
      <alignment vertical="center" wrapText="1"/>
    </xf>
    <xf numFmtId="0" fontId="49" fillId="47" borderId="161" xfId="10" applyFont="1" applyFill="1" applyBorder="1" applyAlignment="1">
      <alignment vertical="center" wrapText="1"/>
    </xf>
    <xf numFmtId="170" fontId="164" fillId="49" borderId="0" xfId="10" applyNumberFormat="1" applyFont="1" applyFill="1" applyAlignment="1">
      <alignment horizontal="left"/>
    </xf>
    <xf numFmtId="0" fontId="156" fillId="45" borderId="203" xfId="10" applyFont="1" applyFill="1" applyBorder="1" applyAlignment="1">
      <alignment horizontal="left" vertical="center"/>
    </xf>
    <xf numFmtId="0" fontId="156" fillId="10" borderId="25" xfId="10" applyFont="1" applyFill="1" applyBorder="1"/>
    <xf numFmtId="170" fontId="49" fillId="49" borderId="0" xfId="10" applyNumberFormat="1" applyFont="1" applyFill="1" applyAlignment="1">
      <alignment horizontal="left"/>
    </xf>
    <xf numFmtId="0" fontId="156" fillId="8" borderId="169" xfId="10" applyFont="1" applyFill="1" applyBorder="1" applyAlignment="1">
      <alignment horizontal="centerContinuous"/>
    </xf>
    <xf numFmtId="0" fontId="156" fillId="8" borderId="215" xfId="10" applyFont="1" applyFill="1" applyBorder="1" applyAlignment="1">
      <alignment horizontal="center"/>
    </xf>
    <xf numFmtId="0" fontId="156" fillId="45" borderId="169" xfId="10" applyFont="1" applyFill="1" applyBorder="1" applyAlignment="1">
      <alignment horizontal="centerContinuous"/>
    </xf>
    <xf numFmtId="0" fontId="156" fillId="45" borderId="98" xfId="10" applyFont="1" applyFill="1" applyBorder="1" applyAlignment="1">
      <alignment horizontal="centerContinuous"/>
    </xf>
    <xf numFmtId="0" fontId="156" fillId="10" borderId="208" xfId="10" applyFont="1" applyFill="1" applyBorder="1" applyAlignment="1">
      <alignment horizontal="center"/>
    </xf>
    <xf numFmtId="0" fontId="49" fillId="45" borderId="169" xfId="10" applyFont="1" applyFill="1" applyBorder="1" applyAlignment="1">
      <alignment horizontal="center"/>
    </xf>
    <xf numFmtId="0" fontId="49" fillId="45" borderId="101" xfId="10" applyFont="1" applyFill="1" applyBorder="1" applyAlignment="1">
      <alignment horizontal="center"/>
    </xf>
    <xf numFmtId="0" fontId="49" fillId="10" borderId="229" xfId="10" applyFont="1" applyFill="1" applyBorder="1" applyAlignment="1">
      <alignment horizontal="center"/>
    </xf>
    <xf numFmtId="0" fontId="165" fillId="8" borderId="250" xfId="10" applyFont="1" applyFill="1" applyBorder="1" applyAlignment="1">
      <alignment horizontal="left"/>
    </xf>
    <xf numFmtId="0" fontId="49" fillId="0" borderId="251" xfId="10" applyFont="1" applyBorder="1"/>
    <xf numFmtId="0" fontId="49" fillId="47" borderId="220" xfId="10" applyFont="1" applyFill="1" applyBorder="1" applyAlignment="1">
      <alignment horizontal="left"/>
    </xf>
    <xf numFmtId="0" fontId="49" fillId="47" borderId="221" xfId="10" applyFont="1" applyFill="1" applyBorder="1" applyAlignment="1">
      <alignment horizontal="left"/>
    </xf>
    <xf numFmtId="0" fontId="165" fillId="8" borderId="252" xfId="10" applyFont="1" applyFill="1" applyBorder="1" applyAlignment="1">
      <alignment horizontal="left"/>
    </xf>
    <xf numFmtId="0" fontId="49" fillId="47" borderId="194" xfId="10" applyFont="1" applyFill="1" applyBorder="1" applyAlignment="1">
      <alignment horizontal="left"/>
    </xf>
    <xf numFmtId="0" fontId="49" fillId="47" borderId="158" xfId="10" applyFont="1" applyFill="1" applyBorder="1" applyAlignment="1">
      <alignment horizontal="left"/>
    </xf>
    <xf numFmtId="0" fontId="165" fillId="8" borderId="253" xfId="10" applyFont="1" applyFill="1" applyBorder="1" applyAlignment="1">
      <alignment horizontal="left"/>
    </xf>
    <xf numFmtId="0" fontId="49" fillId="55" borderId="0" xfId="10" applyFont="1" applyFill="1"/>
    <xf numFmtId="0" fontId="25" fillId="45" borderId="101" xfId="10" applyFill="1" applyBorder="1" applyAlignment="1">
      <alignment horizontal="center" vertical="center"/>
    </xf>
    <xf numFmtId="0" fontId="25" fillId="0" borderId="29" xfId="10" applyBorder="1" applyAlignment="1">
      <alignment horizontal="center" vertical="center"/>
    </xf>
    <xf numFmtId="0" fontId="25" fillId="0" borderId="102" xfId="10" applyBorder="1" applyAlignment="1">
      <alignment horizontal="center" vertical="center"/>
    </xf>
    <xf numFmtId="0" fontId="25" fillId="0" borderId="123" xfId="10" applyBorder="1" applyAlignment="1">
      <alignment horizontal="center" vertical="center"/>
    </xf>
    <xf numFmtId="0" fontId="25" fillId="0" borderId="191" xfId="10" applyBorder="1" applyAlignment="1">
      <alignment horizontal="center" vertical="center"/>
    </xf>
    <xf numFmtId="0" fontId="25" fillId="0" borderId="178" xfId="10" applyBorder="1" applyAlignment="1">
      <alignment horizontal="center" vertical="center"/>
    </xf>
    <xf numFmtId="0" fontId="162" fillId="47" borderId="179" xfId="10" applyFont="1" applyFill="1" applyBorder="1" applyAlignment="1">
      <alignment horizontal="left" vertical="center"/>
    </xf>
    <xf numFmtId="0" fontId="49" fillId="47" borderId="138" xfId="10" applyFont="1" applyFill="1" applyBorder="1" applyAlignment="1">
      <alignment horizontal="center"/>
    </xf>
    <xf numFmtId="0" fontId="162" fillId="47" borderId="135" xfId="10" applyFont="1" applyFill="1" applyBorder="1" applyAlignment="1">
      <alignment horizontal="left" vertical="center"/>
    </xf>
    <xf numFmtId="0" fontId="49" fillId="47" borderId="110" xfId="10" applyFont="1" applyFill="1" applyBorder="1" applyAlignment="1">
      <alignment horizontal="center"/>
    </xf>
    <xf numFmtId="0" fontId="49" fillId="62" borderId="135" xfId="10" applyFont="1" applyFill="1" applyBorder="1"/>
    <xf numFmtId="0" fontId="49" fillId="62" borderId="110" xfId="10" applyFont="1" applyFill="1" applyBorder="1"/>
    <xf numFmtId="0" fontId="162" fillId="47" borderId="183" xfId="10" applyFont="1" applyFill="1" applyBorder="1" applyAlignment="1">
      <alignment horizontal="left" vertical="center"/>
    </xf>
    <xf numFmtId="0" fontId="49" fillId="47" borderId="149" xfId="10" applyFont="1" applyFill="1" applyBorder="1" applyAlignment="1">
      <alignment horizontal="center"/>
    </xf>
    <xf numFmtId="0" fontId="162" fillId="47" borderId="146" xfId="10" applyFont="1" applyFill="1" applyBorder="1" applyAlignment="1">
      <alignment horizontal="left" vertical="center"/>
    </xf>
    <xf numFmtId="0" fontId="49" fillId="62" borderId="158" xfId="10" applyFont="1" applyFill="1" applyBorder="1"/>
    <xf numFmtId="0" fontId="49" fillId="62" borderId="207" xfId="10" applyFont="1" applyFill="1" applyBorder="1"/>
    <xf numFmtId="0" fontId="49" fillId="47" borderId="220" xfId="10" applyFont="1" applyFill="1" applyBorder="1" applyAlignment="1">
      <alignment horizontal="center"/>
    </xf>
    <xf numFmtId="0" fontId="49" fillId="47" borderId="201" xfId="10" applyFont="1" applyFill="1" applyBorder="1" applyAlignment="1">
      <alignment horizontal="left"/>
    </xf>
    <xf numFmtId="0" fontId="49" fillId="47" borderId="177" xfId="10" applyFont="1" applyFill="1" applyBorder="1" applyAlignment="1">
      <alignment horizontal="center"/>
    </xf>
    <xf numFmtId="0" fontId="49" fillId="47" borderId="213" xfId="10" applyFont="1" applyFill="1" applyBorder="1" applyAlignment="1">
      <alignment horizontal="center"/>
    </xf>
    <xf numFmtId="0" fontId="49" fillId="47" borderId="182" xfId="10" applyFont="1" applyFill="1" applyBorder="1" applyAlignment="1">
      <alignment horizontal="center" vertical="center"/>
    </xf>
    <xf numFmtId="0" fontId="49" fillId="47" borderId="194" xfId="10" applyFont="1" applyFill="1" applyBorder="1" applyAlignment="1">
      <alignment horizontal="center" vertical="center"/>
    </xf>
    <xf numFmtId="0" fontId="162" fillId="47" borderId="162" xfId="10" applyFont="1" applyFill="1" applyBorder="1" applyAlignment="1">
      <alignment horizontal="left" vertical="center"/>
    </xf>
    <xf numFmtId="0" fontId="49" fillId="47" borderId="161" xfId="10" applyFont="1" applyFill="1" applyBorder="1" applyAlignment="1">
      <alignment horizontal="center"/>
    </xf>
    <xf numFmtId="0" fontId="162" fillId="47" borderId="158" xfId="10" applyFont="1" applyFill="1" applyBorder="1" applyAlignment="1">
      <alignment horizontal="left" vertical="center"/>
    </xf>
    <xf numFmtId="0" fontId="49" fillId="46" borderId="137" xfId="10" applyFont="1" applyFill="1" applyBorder="1" applyAlignment="1">
      <alignment horizontal="center" vertical="center"/>
    </xf>
    <xf numFmtId="0" fontId="49" fillId="61" borderId="138" xfId="10" applyFont="1" applyFill="1" applyBorder="1"/>
    <xf numFmtId="0" fontId="49" fillId="46" borderId="138" xfId="10" applyFont="1" applyFill="1" applyBorder="1"/>
    <xf numFmtId="0" fontId="49" fillId="46" borderId="179" xfId="10" applyFont="1" applyFill="1" applyBorder="1"/>
    <xf numFmtId="0" fontId="49" fillId="46" borderId="138" xfId="10" applyFont="1" applyFill="1" applyBorder="1" applyAlignment="1">
      <alignment horizontal="center" vertical="center"/>
    </xf>
    <xf numFmtId="0" fontId="49" fillId="46" borderId="148" xfId="10" applyFont="1" applyFill="1" applyBorder="1" applyAlignment="1">
      <alignment horizontal="center" vertical="center"/>
    </xf>
    <xf numFmtId="0" fontId="49" fillId="61" borderId="149" xfId="10" applyFont="1" applyFill="1" applyBorder="1"/>
    <xf numFmtId="0" fontId="49" fillId="46" borderId="183" xfId="10" applyFont="1" applyFill="1" applyBorder="1"/>
    <xf numFmtId="0" fontId="49" fillId="46" borderId="149" xfId="10" applyFont="1" applyFill="1" applyBorder="1" applyAlignment="1">
      <alignment horizontal="center" vertical="center"/>
    </xf>
    <xf numFmtId="0" fontId="49" fillId="46" borderId="160" xfId="10" applyFont="1" applyFill="1" applyBorder="1" applyAlignment="1">
      <alignment horizontal="center" vertical="center"/>
    </xf>
    <xf numFmtId="0" fontId="49" fillId="46" borderId="162" xfId="10" applyFont="1" applyFill="1" applyBorder="1"/>
    <xf numFmtId="0" fontId="49" fillId="46" borderId="161" xfId="10" applyFont="1" applyFill="1" applyBorder="1" applyAlignment="1">
      <alignment horizontal="center" vertical="center"/>
    </xf>
    <xf numFmtId="0" fontId="49" fillId="47" borderId="160" xfId="10" applyFont="1" applyFill="1" applyBorder="1" applyAlignment="1">
      <alignment horizontal="center" vertical="center"/>
    </xf>
    <xf numFmtId="0" fontId="49" fillId="47" borderId="148" xfId="10" applyFont="1" applyFill="1" applyBorder="1" applyAlignment="1">
      <alignment horizontal="center" vertical="center"/>
    </xf>
    <xf numFmtId="0" fontId="49" fillId="46" borderId="241" xfId="10" applyFont="1" applyFill="1" applyBorder="1" applyAlignment="1">
      <alignment horizontal="left"/>
    </xf>
    <xf numFmtId="0" fontId="49" fillId="46" borderId="242" xfId="10" applyFont="1" applyFill="1" applyBorder="1" applyAlignment="1">
      <alignment horizontal="left"/>
    </xf>
    <xf numFmtId="0" fontId="49" fillId="46" borderId="241" xfId="10" applyFont="1" applyFill="1" applyBorder="1"/>
    <xf numFmtId="0" fontId="49" fillId="46" borderId="242" xfId="10" applyFont="1" applyFill="1" applyBorder="1"/>
    <xf numFmtId="0" fontId="49" fillId="46" borderId="254" xfId="10" applyFont="1" applyFill="1" applyBorder="1" applyAlignment="1">
      <alignment horizontal="left"/>
    </xf>
    <xf numFmtId="0" fontId="49" fillId="60" borderId="103" xfId="10" applyFont="1" applyFill="1" applyBorder="1"/>
    <xf numFmtId="0" fontId="49" fillId="60" borderId="111" xfId="10" applyFont="1" applyFill="1" applyBorder="1"/>
    <xf numFmtId="0" fontId="49" fillId="10" borderId="240" xfId="10" applyFont="1" applyFill="1" applyBorder="1" applyAlignment="1">
      <alignment horizontal="center"/>
    </xf>
    <xf numFmtId="0" fontId="25" fillId="0" borderId="0" xfId="10" applyAlignment="1">
      <alignment horizontal="center" vertical="center"/>
    </xf>
    <xf numFmtId="0" fontId="49" fillId="63" borderId="111" xfId="10" applyFont="1" applyFill="1" applyBorder="1"/>
    <xf numFmtId="0" fontId="49" fillId="47" borderId="255" xfId="10" applyFont="1" applyFill="1" applyBorder="1" applyAlignment="1">
      <alignment horizontal="center"/>
    </xf>
    <xf numFmtId="0" fontId="49" fillId="47" borderId="242" xfId="10" applyFont="1" applyFill="1" applyBorder="1" applyAlignment="1">
      <alignment horizontal="center"/>
    </xf>
    <xf numFmtId="0" fontId="49" fillId="60" borderId="121" xfId="10" applyFont="1" applyFill="1" applyBorder="1"/>
    <xf numFmtId="0" fontId="49" fillId="60" borderId="122" xfId="10" applyFont="1" applyFill="1" applyBorder="1"/>
    <xf numFmtId="0" fontId="49" fillId="47" borderId="256" xfId="10" applyFont="1" applyFill="1" applyBorder="1" applyAlignment="1">
      <alignment horizontal="center"/>
    </xf>
    <xf numFmtId="0" fontId="49" fillId="60" borderId="123" xfId="10" applyFont="1" applyFill="1" applyBorder="1"/>
    <xf numFmtId="0" fontId="49" fillId="60" borderId="178" xfId="10" applyFont="1" applyFill="1" applyBorder="1"/>
    <xf numFmtId="0" fontId="49" fillId="47" borderId="236" xfId="10" applyFont="1" applyFill="1" applyBorder="1" applyAlignment="1">
      <alignment horizontal="center"/>
    </xf>
    <xf numFmtId="1" fontId="49" fillId="0" borderId="0" xfId="10" applyNumberFormat="1" applyFont="1" applyAlignment="1">
      <alignment horizontal="center"/>
    </xf>
    <xf numFmtId="0" fontId="156" fillId="51" borderId="98" xfId="10" applyFont="1" applyFill="1" applyBorder="1" applyAlignment="1">
      <alignment horizontal="left"/>
    </xf>
    <xf numFmtId="0" fontId="49" fillId="51" borderId="99" xfId="10" applyFont="1" applyFill="1" applyBorder="1" applyAlignment="1">
      <alignment horizontal="left"/>
    </xf>
    <xf numFmtId="0" fontId="49" fillId="51" borderId="99" xfId="10" applyFont="1" applyFill="1" applyBorder="1"/>
    <xf numFmtId="0" fontId="49" fillId="51" borderId="100" xfId="10" applyFont="1" applyFill="1" applyBorder="1"/>
    <xf numFmtId="0" fontId="156" fillId="0" borderId="0" xfId="10" applyFont="1"/>
    <xf numFmtId="0" fontId="156" fillId="10" borderId="29" xfId="10" applyFont="1" applyFill="1" applyBorder="1" applyAlignment="1">
      <alignment horizontal="centerContinuous"/>
    </xf>
    <xf numFmtId="1" fontId="156" fillId="10" borderId="99" xfId="10" applyNumberFormat="1" applyFont="1" applyFill="1" applyBorder="1" applyAlignment="1">
      <alignment horizontal="centerContinuous"/>
    </xf>
    <xf numFmtId="0" fontId="156" fillId="10" borderId="100" xfId="10" applyFont="1" applyFill="1" applyBorder="1" applyAlignment="1">
      <alignment horizontal="centerContinuous"/>
    </xf>
    <xf numFmtId="0" fontId="156" fillId="45" borderId="170" xfId="10" applyFont="1" applyFill="1" applyBorder="1" applyAlignment="1">
      <alignment horizontal="center"/>
    </xf>
    <xf numFmtId="0" fontId="156" fillId="45" borderId="202" xfId="10" applyFont="1" applyFill="1" applyBorder="1" applyAlignment="1">
      <alignment horizontal="left"/>
    </xf>
    <xf numFmtId="0" fontId="156" fillId="45" borderId="171" xfId="10" applyFont="1" applyFill="1" applyBorder="1" applyAlignment="1">
      <alignment horizontal="left"/>
    </xf>
    <xf numFmtId="0" fontId="25" fillId="0" borderId="0" xfId="10" applyAlignment="1">
      <alignment horizontal="left" vertical="center" indent="1"/>
    </xf>
    <xf numFmtId="2" fontId="49" fillId="0" borderId="0" xfId="10" applyNumberFormat="1" applyFont="1" applyAlignment="1">
      <alignment horizontal="center"/>
    </xf>
    <xf numFmtId="2" fontId="49" fillId="46" borderId="257" xfId="10" applyNumberFormat="1" applyFont="1" applyFill="1" applyBorder="1" applyAlignment="1">
      <alignment horizontal="center"/>
    </xf>
    <xf numFmtId="0" fontId="30" fillId="47" borderId="258" xfId="10" applyFont="1" applyFill="1" applyBorder="1" applyAlignment="1">
      <alignment horizontal="left"/>
    </xf>
    <xf numFmtId="0" fontId="30" fillId="46" borderId="138" xfId="10" applyFont="1" applyFill="1" applyBorder="1" applyAlignment="1">
      <alignment horizontal="center" vertical="center"/>
    </xf>
    <xf numFmtId="0" fontId="49" fillId="47" borderId="257" xfId="10" applyFont="1" applyFill="1" applyBorder="1" applyAlignment="1">
      <alignment horizontal="center"/>
    </xf>
    <xf numFmtId="0" fontId="30" fillId="46" borderId="136" xfId="10" applyFont="1" applyFill="1" applyBorder="1" applyAlignment="1">
      <alignment horizontal="left"/>
    </xf>
    <xf numFmtId="0" fontId="49" fillId="64" borderId="138" xfId="10" applyFont="1" applyFill="1" applyBorder="1"/>
    <xf numFmtId="0" fontId="49" fillId="46" borderId="179" xfId="10" applyFont="1" applyFill="1" applyBorder="1" applyAlignment="1">
      <alignment horizontal="center" vertical="center"/>
    </xf>
    <xf numFmtId="0" fontId="49" fillId="47" borderId="143" xfId="10" applyFont="1" applyFill="1" applyBorder="1" applyAlignment="1">
      <alignment horizontal="center"/>
    </xf>
    <xf numFmtId="0" fontId="30" fillId="46" borderId="258" xfId="10" applyFont="1" applyFill="1" applyBorder="1" applyAlignment="1">
      <alignment horizontal="left"/>
    </xf>
    <xf numFmtId="0" fontId="49" fillId="64" borderId="192" xfId="10" applyFont="1" applyFill="1" applyBorder="1" applyAlignment="1">
      <alignment horizontal="left"/>
    </xf>
    <xf numFmtId="0" fontId="30" fillId="46" borderId="177" xfId="10" applyFont="1" applyFill="1" applyBorder="1" applyAlignment="1">
      <alignment horizontal="center" vertical="center"/>
    </xf>
    <xf numFmtId="0" fontId="49" fillId="46" borderId="179" xfId="10" applyFont="1" applyFill="1" applyBorder="1" applyAlignment="1">
      <alignment horizontal="center"/>
    </xf>
    <xf numFmtId="0" fontId="49" fillId="47" borderId="109" xfId="10" applyFont="1" applyFill="1" applyBorder="1" applyAlignment="1">
      <alignment horizontal="center"/>
    </xf>
    <xf numFmtId="0" fontId="49" fillId="47" borderId="210" xfId="10" applyFont="1" applyFill="1" applyBorder="1" applyAlignment="1">
      <alignment horizontal="center"/>
    </xf>
    <xf numFmtId="0" fontId="30" fillId="46" borderId="259" xfId="10" applyFont="1" applyFill="1" applyBorder="1" applyAlignment="1">
      <alignment horizontal="left"/>
    </xf>
    <xf numFmtId="0" fontId="49" fillId="46" borderId="136" xfId="10" applyFont="1" applyFill="1" applyBorder="1" applyAlignment="1">
      <alignment horizontal="left"/>
    </xf>
    <xf numFmtId="0" fontId="49" fillId="64" borderId="138" xfId="10" applyFont="1" applyFill="1" applyBorder="1" applyAlignment="1">
      <alignment horizontal="left"/>
    </xf>
    <xf numFmtId="0" fontId="30" fillId="64" borderId="138" xfId="10" applyFont="1" applyFill="1" applyBorder="1" applyAlignment="1">
      <alignment horizontal="left"/>
    </xf>
    <xf numFmtId="0" fontId="49" fillId="64" borderId="192" xfId="10" applyFont="1" applyFill="1" applyBorder="1"/>
    <xf numFmtId="1" fontId="49" fillId="0" borderId="0" xfId="10" applyNumberFormat="1" applyFont="1" applyAlignment="1">
      <alignment horizontal="center" shrinkToFit="1"/>
    </xf>
    <xf numFmtId="0" fontId="30" fillId="45" borderId="208" xfId="10" applyFont="1" applyFill="1" applyBorder="1"/>
    <xf numFmtId="0" fontId="49" fillId="57" borderId="143" xfId="10" applyFont="1" applyFill="1" applyBorder="1" applyAlignment="1">
      <alignment horizontal="center" vertical="center"/>
    </xf>
    <xf numFmtId="0" fontId="49" fillId="57" borderId="137" xfId="10" applyFont="1" applyFill="1" applyBorder="1" applyAlignment="1">
      <alignment horizontal="center" vertical="center"/>
    </xf>
    <xf numFmtId="0" fontId="49" fillId="57" borderId="137" xfId="10" applyFont="1" applyFill="1" applyBorder="1" applyAlignment="1">
      <alignment horizontal="left" vertical="center"/>
    </xf>
    <xf numFmtId="0" fontId="49" fillId="57" borderId="137" xfId="10" applyFont="1" applyFill="1" applyBorder="1" applyAlignment="1">
      <alignment horizontal="center"/>
    </xf>
    <xf numFmtId="0" fontId="49" fillId="57" borderId="138" xfId="10" applyFont="1" applyFill="1" applyBorder="1" applyAlignment="1">
      <alignment horizontal="left"/>
    </xf>
    <xf numFmtId="2" fontId="49" fillId="46" borderId="260" xfId="10" applyNumberFormat="1" applyFont="1" applyFill="1" applyBorder="1" applyAlignment="1">
      <alignment horizontal="center"/>
    </xf>
    <xf numFmtId="0" fontId="30" fillId="47" borderId="259" xfId="10" applyFont="1" applyFill="1" applyBorder="1" applyAlignment="1">
      <alignment horizontal="left"/>
    </xf>
    <xf numFmtId="0" fontId="30" fillId="46" borderId="149" xfId="10" applyFont="1" applyFill="1" applyBorder="1" applyAlignment="1">
      <alignment horizontal="center" vertical="center"/>
    </xf>
    <xf numFmtId="0" fontId="49" fillId="47" borderId="260" xfId="10" applyFont="1" applyFill="1" applyBorder="1" applyAlignment="1">
      <alignment horizontal="center"/>
    </xf>
    <xf numFmtId="0" fontId="30" fillId="46" borderId="147" xfId="10" applyFont="1" applyFill="1" applyBorder="1" applyAlignment="1">
      <alignment horizontal="left"/>
    </xf>
    <xf numFmtId="0" fontId="49" fillId="64" borderId="149" xfId="10" applyFont="1" applyFill="1" applyBorder="1"/>
    <xf numFmtId="0" fontId="49" fillId="46" borderId="183" xfId="10" applyFont="1" applyFill="1" applyBorder="1" applyAlignment="1">
      <alignment horizontal="center" vertical="center"/>
    </xf>
    <xf numFmtId="0" fontId="49" fillId="47" borderId="152" xfId="10" applyFont="1" applyFill="1" applyBorder="1" applyAlignment="1">
      <alignment horizontal="center"/>
    </xf>
    <xf numFmtId="0" fontId="49" fillId="64" borderId="199" xfId="10" applyFont="1" applyFill="1" applyBorder="1" applyAlignment="1">
      <alignment horizontal="left"/>
    </xf>
    <xf numFmtId="0" fontId="30" fillId="46" borderId="182" xfId="10" applyFont="1" applyFill="1" applyBorder="1" applyAlignment="1">
      <alignment horizontal="center" vertical="center"/>
    </xf>
    <xf numFmtId="0" fontId="49" fillId="65" borderId="149" xfId="10" applyFont="1" applyFill="1" applyBorder="1" applyAlignment="1">
      <alignment horizontal="left"/>
    </xf>
    <xf numFmtId="0" fontId="49" fillId="46" borderId="183" xfId="10" applyFont="1" applyFill="1" applyBorder="1" applyAlignment="1">
      <alignment horizontal="center"/>
    </xf>
    <xf numFmtId="0" fontId="49" fillId="64" borderId="120" xfId="10" applyFont="1" applyFill="1" applyBorder="1" applyAlignment="1">
      <alignment horizontal="left"/>
    </xf>
    <xf numFmtId="0" fontId="49" fillId="64" borderId="149" xfId="10" applyFont="1" applyFill="1" applyBorder="1" applyAlignment="1">
      <alignment horizontal="left"/>
    </xf>
    <xf numFmtId="0" fontId="49" fillId="47" borderId="261" xfId="10" applyFont="1" applyFill="1" applyBorder="1" applyAlignment="1">
      <alignment horizontal="center"/>
    </xf>
    <xf numFmtId="0" fontId="49" fillId="46" borderId="147" xfId="10" applyFont="1" applyFill="1" applyBorder="1" applyAlignment="1">
      <alignment horizontal="left"/>
    </xf>
    <xf numFmtId="0" fontId="30" fillId="64" borderId="149" xfId="10" applyFont="1" applyFill="1" applyBorder="1" applyAlignment="1">
      <alignment horizontal="left"/>
    </xf>
    <xf numFmtId="0" fontId="49" fillId="64" borderId="120" xfId="10" applyFont="1" applyFill="1" applyBorder="1"/>
    <xf numFmtId="0" fontId="30" fillId="45" borderId="222" xfId="10" applyFont="1" applyFill="1" applyBorder="1"/>
    <xf numFmtId="0" fontId="49" fillId="57" borderId="152" xfId="10" applyFont="1" applyFill="1" applyBorder="1" applyAlignment="1">
      <alignment horizontal="center" vertical="center"/>
    </xf>
    <xf numFmtId="0" fontId="49" fillId="57" borderId="148" xfId="10" applyFont="1" applyFill="1" applyBorder="1" applyAlignment="1">
      <alignment horizontal="center" vertical="center"/>
    </xf>
    <xf numFmtId="0" fontId="49" fillId="57" borderId="148" xfId="10" applyFont="1" applyFill="1" applyBorder="1" applyAlignment="1">
      <alignment horizontal="left" vertical="center"/>
    </xf>
    <xf numFmtId="0" fontId="49" fillId="57" borderId="148" xfId="10" applyFont="1" applyFill="1" applyBorder="1" applyAlignment="1">
      <alignment horizontal="center"/>
    </xf>
    <xf numFmtId="0" fontId="49" fillId="57" borderId="149" xfId="10" applyFont="1" applyFill="1" applyBorder="1" applyAlignment="1">
      <alignment horizontal="left"/>
    </xf>
    <xf numFmtId="0" fontId="49" fillId="16" borderId="149" xfId="10" applyFont="1" applyFill="1" applyBorder="1"/>
    <xf numFmtId="0" fontId="49" fillId="16" borderId="262" xfId="10" applyFont="1" applyFill="1" applyBorder="1" applyAlignment="1">
      <alignment horizontal="left"/>
    </xf>
    <xf numFmtId="0" fontId="49" fillId="16" borderId="149" xfId="10" applyFont="1" applyFill="1" applyBorder="1" applyAlignment="1">
      <alignment horizontal="left"/>
    </xf>
    <xf numFmtId="0" fontId="49" fillId="8" borderId="148" xfId="10" applyFont="1" applyFill="1" applyBorder="1" applyAlignment="1">
      <alignment horizontal="center" vertical="center"/>
    </xf>
    <xf numFmtId="0" fontId="49" fillId="8" borderId="148" xfId="10" applyFont="1" applyFill="1" applyBorder="1" applyAlignment="1">
      <alignment horizontal="left" vertical="center"/>
    </xf>
    <xf numFmtId="0" fontId="30" fillId="64" borderId="120" xfId="10" applyFont="1" applyFill="1" applyBorder="1" applyAlignment="1">
      <alignment horizontal="left"/>
    </xf>
    <xf numFmtId="0" fontId="49" fillId="46" borderId="148" xfId="10" applyFont="1" applyFill="1" applyBorder="1" applyAlignment="1">
      <alignment horizontal="left" vertical="center"/>
    </xf>
    <xf numFmtId="0" fontId="49" fillId="46" borderId="195" xfId="10" applyFont="1" applyFill="1" applyBorder="1" applyAlignment="1">
      <alignment horizontal="center" vertical="center"/>
    </xf>
    <xf numFmtId="0" fontId="49" fillId="47" borderId="197" xfId="10" applyFont="1" applyFill="1" applyBorder="1" applyAlignment="1">
      <alignment horizontal="center"/>
    </xf>
    <xf numFmtId="0" fontId="49" fillId="16" borderId="199" xfId="10" applyFont="1" applyFill="1" applyBorder="1" applyAlignment="1">
      <alignment horizontal="left"/>
    </xf>
    <xf numFmtId="0" fontId="30" fillId="16" borderId="149" xfId="10" applyFont="1" applyFill="1" applyBorder="1" applyAlignment="1">
      <alignment horizontal="left"/>
    </xf>
    <xf numFmtId="0" fontId="49" fillId="57" borderId="148" xfId="10" applyFont="1" applyFill="1" applyBorder="1" applyAlignment="1">
      <alignment vertical="center"/>
    </xf>
    <xf numFmtId="0" fontId="49" fillId="57" borderId="148" xfId="10" applyFont="1" applyFill="1" applyBorder="1"/>
    <xf numFmtId="0" fontId="49" fillId="57" borderId="149" xfId="10" applyFont="1" applyFill="1" applyBorder="1"/>
    <xf numFmtId="0" fontId="49" fillId="9" borderId="0" xfId="10" applyFont="1" applyFill="1"/>
    <xf numFmtId="0" fontId="30" fillId="46" borderId="263" xfId="10" applyFont="1" applyFill="1" applyBorder="1" applyAlignment="1">
      <alignment horizontal="left"/>
    </xf>
    <xf numFmtId="0" fontId="49" fillId="45" borderId="150" xfId="10" applyFont="1" applyFill="1" applyBorder="1" applyAlignment="1">
      <alignment horizontal="center" vertical="center"/>
    </xf>
    <xf numFmtId="2" fontId="49" fillId="15" borderId="24" xfId="10" applyNumberFormat="1" applyFont="1" applyFill="1" applyBorder="1" applyAlignment="1">
      <alignment horizontal="center"/>
    </xf>
    <xf numFmtId="0" fontId="49" fillId="15" borderId="24" xfId="10" applyFont="1" applyFill="1" applyBorder="1" applyAlignment="1">
      <alignment horizontal="left"/>
    </xf>
    <xf numFmtId="0" fontId="49" fillId="15" borderId="111" xfId="10" applyFont="1" applyFill="1" applyBorder="1" applyAlignment="1">
      <alignment horizontal="left"/>
    </xf>
    <xf numFmtId="0" fontId="49" fillId="46" borderId="195" xfId="10" applyFont="1" applyFill="1" applyBorder="1" applyAlignment="1">
      <alignment horizontal="center"/>
    </xf>
    <xf numFmtId="0" fontId="49" fillId="15" borderId="24" xfId="10" applyFont="1" applyFill="1" applyBorder="1" applyAlignment="1">
      <alignment horizontal="center"/>
    </xf>
    <xf numFmtId="0" fontId="49" fillId="15" borderId="0" xfId="10" applyFont="1" applyFill="1" applyAlignment="1">
      <alignment horizontal="left"/>
    </xf>
    <xf numFmtId="0" fontId="49" fillId="15" borderId="237" xfId="10" applyFont="1" applyFill="1" applyBorder="1"/>
    <xf numFmtId="2" fontId="49" fillId="15" borderId="0" xfId="10" applyNumberFormat="1" applyFont="1" applyFill="1" applyAlignment="1">
      <alignment horizontal="center"/>
    </xf>
    <xf numFmtId="0" fontId="49" fillId="15" borderId="0" xfId="10" applyFont="1" applyFill="1" applyAlignment="1">
      <alignment horizontal="center"/>
    </xf>
    <xf numFmtId="0" fontId="49" fillId="16" borderId="199" xfId="10" applyFont="1" applyFill="1" applyBorder="1"/>
    <xf numFmtId="0" fontId="49" fillId="47" borderId="196" xfId="10" applyFont="1" applyFill="1" applyBorder="1" applyAlignment="1">
      <alignment horizontal="center"/>
    </xf>
    <xf numFmtId="0" fontId="49" fillId="45" borderId="229" xfId="10" applyFont="1" applyFill="1" applyBorder="1"/>
    <xf numFmtId="0" fontId="49" fillId="57" borderId="164" xfId="10" applyFont="1" applyFill="1" applyBorder="1" applyAlignment="1">
      <alignment horizontal="center" vertical="center"/>
    </xf>
    <xf numFmtId="0" fontId="49" fillId="57" borderId="160" xfId="10" applyFont="1" applyFill="1" applyBorder="1" applyAlignment="1">
      <alignment horizontal="center" vertical="center"/>
    </xf>
    <xf numFmtId="0" fontId="49" fillId="57" borderId="160" xfId="10" applyFont="1" applyFill="1" applyBorder="1" applyAlignment="1">
      <alignment horizontal="left" vertical="center"/>
    </xf>
    <xf numFmtId="0" fontId="49" fillId="57" borderId="160" xfId="10" applyFont="1" applyFill="1" applyBorder="1" applyAlignment="1">
      <alignment horizontal="center"/>
    </xf>
    <xf numFmtId="0" fontId="49" fillId="57" borderId="161" xfId="10" applyFont="1" applyFill="1" applyBorder="1" applyAlignment="1">
      <alignment horizontal="left"/>
    </xf>
    <xf numFmtId="0" fontId="49" fillId="15" borderId="103" xfId="10" applyFont="1" applyFill="1" applyBorder="1" applyAlignment="1">
      <alignment horizontal="left"/>
    </xf>
    <xf numFmtId="0" fontId="49" fillId="15" borderId="103" xfId="10" applyFont="1" applyFill="1" applyBorder="1"/>
    <xf numFmtId="0" fontId="49" fillId="15" borderId="103" xfId="10" applyFont="1" applyFill="1" applyBorder="1" applyAlignment="1">
      <alignment horizontal="center"/>
    </xf>
    <xf numFmtId="0" fontId="49" fillId="47" borderId="198" xfId="10" applyFont="1" applyFill="1" applyBorder="1" applyAlignment="1">
      <alignment horizontal="center"/>
    </xf>
    <xf numFmtId="0" fontId="49" fillId="46" borderId="263" xfId="10" applyFont="1" applyFill="1" applyBorder="1" applyAlignment="1">
      <alignment horizontal="left"/>
    </xf>
    <xf numFmtId="0" fontId="49" fillId="15" borderId="0" xfId="10" applyFont="1" applyFill="1"/>
    <xf numFmtId="0" fontId="49" fillId="15" borderId="111" xfId="10" applyFont="1" applyFill="1" applyBorder="1"/>
    <xf numFmtId="0" fontId="30" fillId="16" borderId="199" xfId="10" applyFont="1" applyFill="1" applyBorder="1" applyAlignment="1">
      <alignment horizontal="left"/>
    </xf>
    <xf numFmtId="0" fontId="30" fillId="58" borderId="0" xfId="10" applyFont="1" applyFill="1" applyAlignment="1">
      <alignment horizontal="center"/>
    </xf>
    <xf numFmtId="0" fontId="49" fillId="0" borderId="0" xfId="10" applyFont="1" applyAlignment="1">
      <alignment horizontal="center" shrinkToFit="1"/>
    </xf>
    <xf numFmtId="2" fontId="49" fillId="46" borderId="264" xfId="10" applyNumberFormat="1" applyFont="1" applyFill="1" applyBorder="1" applyAlignment="1">
      <alignment horizontal="center"/>
    </xf>
    <xf numFmtId="0" fontId="30" fillId="47" borderId="265" xfId="10" applyFont="1" applyFill="1" applyBorder="1" applyAlignment="1">
      <alignment horizontal="left"/>
    </xf>
    <xf numFmtId="0" fontId="30" fillId="46" borderId="161" xfId="10" applyFont="1" applyFill="1" applyBorder="1" applyAlignment="1">
      <alignment horizontal="center" vertical="center"/>
    </xf>
    <xf numFmtId="0" fontId="49" fillId="47" borderId="264" xfId="10" applyFont="1" applyFill="1" applyBorder="1" applyAlignment="1">
      <alignment horizontal="center"/>
    </xf>
    <xf numFmtId="0" fontId="30" fillId="46" borderId="159" xfId="10" applyFont="1" applyFill="1" applyBorder="1" applyAlignment="1">
      <alignment horizontal="left"/>
    </xf>
    <xf numFmtId="0" fontId="49" fillId="16" borderId="161" xfId="10" applyFont="1" applyFill="1" applyBorder="1"/>
    <xf numFmtId="0" fontId="49" fillId="15" borderId="123" xfId="10" applyFont="1" applyFill="1" applyBorder="1" applyAlignment="1">
      <alignment horizontal="left"/>
    </xf>
    <xf numFmtId="0" fontId="49" fillId="15" borderId="191" xfId="10" applyFont="1" applyFill="1" applyBorder="1" applyAlignment="1">
      <alignment horizontal="center"/>
    </xf>
    <xf numFmtId="0" fontId="49" fillId="15" borderId="191" xfId="10" applyFont="1" applyFill="1" applyBorder="1" applyAlignment="1">
      <alignment horizontal="left"/>
    </xf>
    <xf numFmtId="0" fontId="49" fillId="15" borderId="178" xfId="10" applyFont="1" applyFill="1" applyBorder="1" applyAlignment="1">
      <alignment horizontal="left"/>
    </xf>
    <xf numFmtId="0" fontId="30" fillId="46" borderId="194" xfId="10" applyFont="1" applyFill="1" applyBorder="1" applyAlignment="1">
      <alignment horizontal="center" vertical="center"/>
    </xf>
    <xf numFmtId="0" fontId="49" fillId="15" borderId="123" xfId="10" applyFont="1" applyFill="1" applyBorder="1"/>
    <xf numFmtId="2" fontId="49" fillId="15" borderId="191" xfId="10" applyNumberFormat="1" applyFont="1" applyFill="1" applyBorder="1" applyAlignment="1">
      <alignment horizontal="center"/>
    </xf>
    <xf numFmtId="0" fontId="49" fillId="15" borderId="123" xfId="10" applyFont="1" applyFill="1" applyBorder="1" applyAlignment="1">
      <alignment horizontal="center"/>
    </xf>
    <xf numFmtId="0" fontId="49" fillId="15" borderId="191" xfId="10" applyFont="1" applyFill="1" applyBorder="1"/>
    <xf numFmtId="0" fontId="49" fillId="15" borderId="178" xfId="10" applyFont="1" applyFill="1" applyBorder="1"/>
    <xf numFmtId="0" fontId="49" fillId="0" borderId="0" xfId="10" applyFont="1" applyAlignment="1">
      <alignment horizontal="left" shrinkToFit="1"/>
    </xf>
    <xf numFmtId="0" fontId="49" fillId="10" borderId="175" xfId="10" applyFont="1" applyFill="1" applyBorder="1" applyAlignment="1">
      <alignment horizontal="center" shrinkToFit="1"/>
    </xf>
    <xf numFmtId="1" fontId="49" fillId="10" borderId="266" xfId="10" applyNumberFormat="1" applyFont="1" applyFill="1" applyBorder="1" applyAlignment="1">
      <alignment horizontal="center" shrinkToFit="1"/>
    </xf>
    <xf numFmtId="0" fontId="49" fillId="10" borderId="267" xfId="10" applyFont="1" applyFill="1" applyBorder="1" applyAlignment="1">
      <alignment horizontal="left" shrinkToFit="1"/>
    </xf>
    <xf numFmtId="0" fontId="49" fillId="10" borderId="173" xfId="10" applyFont="1" applyFill="1" applyBorder="1" applyAlignment="1">
      <alignment horizontal="center" shrinkToFit="1"/>
    </xf>
    <xf numFmtId="0" fontId="49" fillId="10" borderId="125" xfId="10" applyFont="1" applyFill="1" applyBorder="1" applyAlignment="1">
      <alignment horizontal="left" shrinkToFit="1"/>
    </xf>
    <xf numFmtId="0" fontId="49" fillId="10" borderId="132" xfId="10" applyFont="1" applyFill="1" applyBorder="1" applyAlignment="1">
      <alignment horizontal="left" shrinkToFit="1"/>
    </xf>
    <xf numFmtId="0" fontId="49" fillId="10" borderId="173" xfId="10" applyFont="1" applyFill="1" applyBorder="1" applyAlignment="1">
      <alignment horizontal="left" shrinkToFit="1"/>
    </xf>
    <xf numFmtId="0" fontId="49" fillId="10" borderId="178" xfId="10" applyFont="1" applyFill="1" applyBorder="1" applyAlignment="1">
      <alignment horizontal="left" shrinkToFit="1"/>
    </xf>
    <xf numFmtId="0" fontId="49" fillId="45" borderId="175" xfId="10" applyFont="1" applyFill="1" applyBorder="1" applyAlignment="1">
      <alignment horizontal="center" vertical="center"/>
    </xf>
    <xf numFmtId="0" fontId="49" fillId="10" borderId="123" xfId="10" applyFont="1" applyFill="1" applyBorder="1" applyAlignment="1">
      <alignment horizontal="left" shrinkToFit="1"/>
    </xf>
    <xf numFmtId="0" fontId="49" fillId="10" borderId="132" xfId="10" applyFont="1" applyFill="1" applyBorder="1" applyAlignment="1">
      <alignment shrinkToFit="1"/>
    </xf>
    <xf numFmtId="0" fontId="49" fillId="10" borderId="131" xfId="10" applyFont="1" applyFill="1" applyBorder="1" applyAlignment="1">
      <alignment horizontal="left" shrinkToFit="1"/>
    </xf>
    <xf numFmtId="2" fontId="49" fillId="10" borderId="125" xfId="10" applyNumberFormat="1" applyFont="1" applyFill="1" applyBorder="1" applyAlignment="1">
      <alignment horizontal="center" shrinkToFit="1"/>
    </xf>
    <xf numFmtId="2" fontId="49" fillId="10" borderId="132" xfId="10" applyNumberFormat="1" applyFont="1" applyFill="1" applyBorder="1" applyAlignment="1">
      <alignment horizontal="center" shrinkToFit="1"/>
    </xf>
    <xf numFmtId="2" fontId="49" fillId="10" borderId="125" xfId="10" applyNumberFormat="1" applyFont="1" applyFill="1" applyBorder="1" applyAlignment="1">
      <alignment horizontal="left" shrinkToFit="1"/>
    </xf>
    <xf numFmtId="2" fontId="49" fillId="10" borderId="132" xfId="10" applyNumberFormat="1" applyFont="1" applyFill="1" applyBorder="1" applyAlignment="1">
      <alignment horizontal="left" shrinkToFit="1"/>
    </xf>
    <xf numFmtId="0" fontId="49" fillId="10" borderId="191" xfId="10" applyFont="1" applyFill="1" applyBorder="1" applyAlignment="1">
      <alignment horizontal="center" shrinkToFit="1"/>
    </xf>
    <xf numFmtId="0" fontId="49" fillId="10" borderId="191" xfId="10" applyFont="1" applyFill="1" applyBorder="1" applyAlignment="1">
      <alignment horizontal="left" shrinkToFit="1"/>
    </xf>
    <xf numFmtId="0" fontId="49" fillId="0" borderId="0" xfId="10" applyFont="1" applyAlignment="1">
      <alignment shrinkToFit="1"/>
    </xf>
    <xf numFmtId="0" fontId="49" fillId="64" borderId="134" xfId="10" applyFont="1" applyFill="1" applyBorder="1" applyAlignment="1">
      <alignment horizontal="left"/>
    </xf>
    <xf numFmtId="0" fontId="49" fillId="8" borderId="0" xfId="10" applyFont="1" applyFill="1" applyAlignment="1">
      <alignment horizontal="left"/>
    </xf>
    <xf numFmtId="0" fontId="49" fillId="8" borderId="0" xfId="10" applyFont="1" applyFill="1" applyAlignment="1">
      <alignment horizontal="center"/>
    </xf>
    <xf numFmtId="0" fontId="161" fillId="45" borderId="98" xfId="10" applyFont="1" applyFill="1" applyBorder="1" applyAlignment="1">
      <alignment horizontal="centerContinuous" vertical="center"/>
    </xf>
    <xf numFmtId="0" fontId="161" fillId="45" borderId="99" xfId="10" applyFont="1" applyFill="1" applyBorder="1" applyAlignment="1">
      <alignment horizontal="centerContinuous" vertical="center"/>
    </xf>
    <xf numFmtId="0" fontId="25" fillId="54" borderId="100" xfId="10" applyFill="1" applyBorder="1" applyAlignment="1">
      <alignment horizontal="center" vertical="center"/>
    </xf>
    <xf numFmtId="0" fontId="161" fillId="0" borderId="0" xfId="10" applyFont="1" applyAlignment="1">
      <alignment horizontal="centerContinuous" vertical="center"/>
    </xf>
    <xf numFmtId="0" fontId="156" fillId="10" borderId="139" xfId="10" applyFont="1" applyFill="1" applyBorder="1"/>
    <xf numFmtId="0" fontId="156" fillId="10" borderId="166" xfId="10" applyFont="1" applyFill="1" applyBorder="1" applyAlignment="1">
      <alignment horizontal="center"/>
    </xf>
    <xf numFmtId="0" fontId="49" fillId="10" borderId="100" xfId="10" applyFont="1" applyFill="1" applyBorder="1" applyAlignment="1">
      <alignment horizontal="center"/>
    </xf>
    <xf numFmtId="0" fontId="49" fillId="10" borderId="171" xfId="10" applyFont="1" applyFill="1" applyBorder="1" applyAlignment="1">
      <alignment horizontal="center"/>
    </xf>
    <xf numFmtId="0" fontId="156" fillId="0" borderId="0" xfId="10" applyFont="1" applyAlignment="1">
      <alignment horizontal="center" shrinkToFit="1"/>
    </xf>
    <xf numFmtId="0" fontId="156" fillId="10" borderId="98" xfId="10" applyFont="1" applyFill="1" applyBorder="1" applyAlignment="1">
      <alignment horizontal="centerContinuous" vertical="center"/>
    </xf>
    <xf numFmtId="0" fontId="25" fillId="45" borderId="99" xfId="10" applyFill="1" applyBorder="1" applyAlignment="1">
      <alignment horizontal="centerContinuous" vertical="center"/>
    </xf>
    <xf numFmtId="0" fontId="156" fillId="10" borderId="99" xfId="10" applyFont="1" applyFill="1" applyBorder="1" applyAlignment="1">
      <alignment horizontal="centerContinuous" vertical="center"/>
    </xf>
    <xf numFmtId="0" fontId="156" fillId="54" borderId="98" xfId="10" applyFont="1" applyFill="1" applyBorder="1" applyAlignment="1">
      <alignment horizontal="centerContinuous" vertical="center"/>
    </xf>
    <xf numFmtId="0" fontId="25" fillId="54" borderId="99" xfId="10" applyFill="1" applyBorder="1" applyAlignment="1">
      <alignment horizontal="centerContinuous" vertical="center"/>
    </xf>
    <xf numFmtId="0" fontId="25" fillId="54" borderId="100" xfId="10" applyFill="1" applyBorder="1" applyAlignment="1">
      <alignment horizontal="centerContinuous" vertical="center"/>
    </xf>
    <xf numFmtId="0" fontId="156" fillId="45" borderId="98" xfId="10" applyFont="1" applyFill="1" applyBorder="1" applyAlignment="1">
      <alignment horizontal="centerContinuous" vertical="center"/>
    </xf>
    <xf numFmtId="0" fontId="25" fillId="45" borderId="100" xfId="10" applyFill="1" applyBorder="1" applyAlignment="1">
      <alignment horizontal="centerContinuous" vertical="center"/>
    </xf>
    <xf numFmtId="0" fontId="30" fillId="10" borderId="133" xfId="10" applyFont="1" applyFill="1" applyBorder="1" applyAlignment="1">
      <alignment horizontal="right"/>
    </xf>
    <xf numFmtId="0" fontId="30" fillId="10" borderId="128" xfId="10" applyFont="1" applyFill="1" applyBorder="1" applyAlignment="1">
      <alignment horizontal="center"/>
    </xf>
    <xf numFmtId="0" fontId="49" fillId="10" borderId="238" xfId="10" applyFont="1" applyFill="1" applyBorder="1" applyAlignment="1">
      <alignment horizontal="center"/>
    </xf>
    <xf numFmtId="0" fontId="156" fillId="10" borderId="269" xfId="10" applyFont="1" applyFill="1" applyBorder="1" applyAlignment="1">
      <alignment horizontal="center" shrinkToFit="1"/>
    </xf>
    <xf numFmtId="0" fontId="156" fillId="10" borderId="202" xfId="10" applyFont="1" applyFill="1" applyBorder="1" applyAlignment="1">
      <alignment horizontal="center" shrinkToFit="1"/>
    </xf>
    <xf numFmtId="0" fontId="156" fillId="10" borderId="171" xfId="10" applyFont="1" applyFill="1" applyBorder="1" applyAlignment="1">
      <alignment horizontal="center" shrinkToFit="1"/>
    </xf>
    <xf numFmtId="0" fontId="156" fillId="10" borderId="170" xfId="10" applyFont="1" applyFill="1" applyBorder="1" applyAlignment="1">
      <alignment horizontal="center" shrinkToFit="1"/>
    </xf>
    <xf numFmtId="0" fontId="156" fillId="10" borderId="100" xfId="10" applyFont="1" applyFill="1" applyBorder="1" applyAlignment="1">
      <alignment horizontal="center" shrinkToFit="1"/>
    </xf>
    <xf numFmtId="0" fontId="49" fillId="66" borderId="170" xfId="10" applyFont="1" applyFill="1" applyBorder="1" applyAlignment="1">
      <alignment horizontal="center" vertical="center"/>
    </xf>
    <xf numFmtId="0" fontId="49" fillId="0" borderId="208" xfId="10" applyFont="1" applyBorder="1"/>
    <xf numFmtId="0" fontId="30" fillId="47" borderId="200" xfId="10" applyFont="1" applyFill="1" applyBorder="1" applyAlignment="1">
      <alignment horizontal="right"/>
    </xf>
    <xf numFmtId="1" fontId="30" fillId="46" borderId="145" xfId="10" applyNumberFormat="1" applyFont="1" applyFill="1" applyBorder="1" applyAlignment="1">
      <alignment horizontal="center"/>
    </xf>
    <xf numFmtId="0" fontId="30" fillId="46" borderId="145" xfId="10" applyFont="1" applyFill="1" applyBorder="1" applyAlignment="1">
      <alignment horizontal="center"/>
    </xf>
    <xf numFmtId="0" fontId="49" fillId="15" borderId="93" xfId="10" applyFont="1" applyFill="1" applyBorder="1" applyAlignment="1">
      <alignment horizontal="center"/>
    </xf>
    <xf numFmtId="1" fontId="49" fillId="61" borderId="188" xfId="10" applyNumberFormat="1" applyFont="1" applyFill="1" applyBorder="1" applyAlignment="1">
      <alignment horizontal="center"/>
    </xf>
    <xf numFmtId="0" fontId="49" fillId="10" borderId="176" xfId="10" applyFont="1" applyFill="1" applyBorder="1" applyAlignment="1">
      <alignment horizontal="center"/>
    </xf>
    <xf numFmtId="0" fontId="49" fillId="10" borderId="27" xfId="10" applyFont="1" applyFill="1" applyBorder="1" applyAlignment="1">
      <alignment horizontal="center"/>
    </xf>
    <xf numFmtId="0" fontId="49" fillId="10" borderId="93" xfId="10" applyFont="1" applyFill="1" applyBorder="1" applyAlignment="1">
      <alignment horizontal="center"/>
    </xf>
    <xf numFmtId="0" fontId="49" fillId="10" borderId="19" xfId="10" applyFont="1" applyFill="1" applyBorder="1" applyAlignment="1">
      <alignment horizontal="center"/>
    </xf>
    <xf numFmtId="0" fontId="49" fillId="10" borderId="122" xfId="10" applyFont="1" applyFill="1" applyBorder="1" applyAlignment="1">
      <alignment horizontal="center"/>
    </xf>
    <xf numFmtId="0" fontId="49" fillId="10" borderId="251" xfId="10" applyFont="1" applyFill="1" applyBorder="1" applyAlignment="1">
      <alignment horizontal="center"/>
    </xf>
    <xf numFmtId="0" fontId="49" fillId="10" borderId="170" xfId="10" applyFont="1" applyFill="1" applyBorder="1" applyAlignment="1">
      <alignment horizontal="center" shrinkToFit="1"/>
    </xf>
    <xf numFmtId="0" fontId="49" fillId="10" borderId="203" xfId="10" applyFont="1" applyFill="1" applyBorder="1" applyAlignment="1">
      <alignment horizontal="center" shrinkToFit="1"/>
    </xf>
    <xf numFmtId="0" fontId="49" fillId="10" borderId="214" xfId="10" applyFont="1" applyFill="1" applyBorder="1" applyAlignment="1">
      <alignment horizontal="center" shrinkToFit="1"/>
    </xf>
    <xf numFmtId="0" fontId="49" fillId="10" borderId="171" xfId="10" applyFont="1" applyFill="1" applyBorder="1" applyAlignment="1">
      <alignment horizontal="center" shrinkToFit="1"/>
    </xf>
    <xf numFmtId="0" fontId="30" fillId="47" borderId="152" xfId="10" applyFont="1" applyFill="1" applyBorder="1" applyAlignment="1">
      <alignment horizontal="right"/>
    </xf>
    <xf numFmtId="1" fontId="30" fillId="46" borderId="148" xfId="10" applyNumberFormat="1" applyFont="1" applyFill="1" applyBorder="1" applyAlignment="1">
      <alignment horizontal="center"/>
    </xf>
    <xf numFmtId="0" fontId="30" fillId="46" borderId="148" xfId="10" applyFont="1" applyFill="1" applyBorder="1" applyAlignment="1">
      <alignment horizontal="center"/>
    </xf>
    <xf numFmtId="0" fontId="49" fillId="15" borderId="25" xfId="10" applyFont="1" applyFill="1" applyBorder="1" applyAlignment="1">
      <alignment horizontal="center"/>
    </xf>
    <xf numFmtId="0" fontId="49" fillId="15" borderId="148" xfId="10" applyFont="1" applyFill="1" applyBorder="1" applyAlignment="1">
      <alignment horizontal="center"/>
    </xf>
    <xf numFmtId="0" fontId="49" fillId="10" borderId="270" xfId="10" applyFont="1" applyFill="1" applyBorder="1" applyAlignment="1">
      <alignment horizontal="center" vertical="center"/>
    </xf>
    <xf numFmtId="0" fontId="49" fillId="10" borderId="128" xfId="10" applyFont="1" applyFill="1" applyBorder="1" applyAlignment="1">
      <alignment horizontal="center" vertical="center"/>
    </xf>
    <xf numFmtId="0" fontId="49" fillId="10" borderId="238" xfId="10" applyFont="1" applyFill="1" applyBorder="1" applyAlignment="1">
      <alignment horizontal="center" vertical="center"/>
    </xf>
    <xf numFmtId="0" fontId="49" fillId="10" borderId="271" xfId="10" applyFont="1" applyFill="1" applyBorder="1" applyAlignment="1">
      <alignment horizontal="center" vertical="center"/>
    </xf>
    <xf numFmtId="0" fontId="49" fillId="10" borderId="229" xfId="10" applyFont="1" applyFill="1" applyBorder="1" applyAlignment="1">
      <alignment horizontal="center" vertical="center"/>
    </xf>
    <xf numFmtId="0" fontId="49" fillId="10" borderId="134" xfId="10" applyFont="1" applyFill="1" applyBorder="1" applyAlignment="1">
      <alignment horizontal="center" vertical="center"/>
    </xf>
    <xf numFmtId="0" fontId="49" fillId="47" borderId="183" xfId="10" applyFont="1" applyFill="1" applyBorder="1" applyAlignment="1">
      <alignment horizontal="center" vertical="center"/>
    </xf>
    <xf numFmtId="0" fontId="49" fillId="47" borderId="152" xfId="10" applyFont="1" applyFill="1" applyBorder="1" applyAlignment="1">
      <alignment horizontal="center" vertical="center"/>
    </xf>
    <xf numFmtId="0" fontId="49" fillId="47" borderId="149" xfId="10" applyFont="1" applyFill="1" applyBorder="1" applyAlignment="1">
      <alignment horizontal="center" vertical="center"/>
    </xf>
    <xf numFmtId="0" fontId="49" fillId="67" borderId="179" xfId="10" applyFont="1" applyFill="1" applyBorder="1" applyAlignment="1">
      <alignment horizontal="center" vertical="center"/>
    </xf>
    <xf numFmtId="0" fontId="49" fillId="67" borderId="137" xfId="10" applyFont="1" applyFill="1" applyBorder="1" applyAlignment="1">
      <alignment horizontal="center" vertical="center"/>
    </xf>
    <xf numFmtId="0" fontId="49" fillId="67" borderId="110" xfId="10" applyFont="1" applyFill="1" applyBorder="1" applyAlignment="1">
      <alignment horizontal="center" vertical="center"/>
    </xf>
    <xf numFmtId="0" fontId="49" fillId="47" borderId="180" xfId="10" applyFont="1" applyFill="1" applyBorder="1" applyAlignment="1">
      <alignment horizontal="center"/>
    </xf>
    <xf numFmtId="0" fontId="49" fillId="10" borderId="201" xfId="10" applyFont="1" applyFill="1" applyBorder="1" applyAlignment="1">
      <alignment horizontal="center" vertical="center"/>
    </xf>
    <xf numFmtId="0" fontId="49" fillId="67" borderId="183" xfId="10" applyFont="1" applyFill="1" applyBorder="1" applyAlignment="1">
      <alignment horizontal="center" vertical="center"/>
    </xf>
    <xf numFmtId="0" fontId="49" fillId="67" borderId="148" xfId="10" applyFont="1" applyFill="1" applyBorder="1" applyAlignment="1">
      <alignment horizontal="center" vertical="center"/>
    </xf>
    <xf numFmtId="0" fontId="49" fillId="67" borderId="201" xfId="10" applyFont="1" applyFill="1" applyBorder="1" applyAlignment="1">
      <alignment horizontal="center" vertical="center"/>
    </xf>
    <xf numFmtId="0" fontId="49" fillId="68" borderId="183" xfId="10" applyFont="1" applyFill="1" applyBorder="1" applyAlignment="1">
      <alignment horizontal="center"/>
    </xf>
    <xf numFmtId="0" fontId="49" fillId="68" borderId="148" xfId="10" applyFont="1" applyFill="1" applyBorder="1" applyAlignment="1">
      <alignment horizontal="center" vertical="center"/>
    </xf>
    <xf numFmtId="0" fontId="49" fillId="68" borderId="148" xfId="10" applyFont="1" applyFill="1" applyBorder="1" applyAlignment="1">
      <alignment horizontal="center"/>
    </xf>
    <xf numFmtId="0" fontId="49" fillId="68" borderId="149" xfId="10" applyFont="1" applyFill="1" applyBorder="1" applyAlignment="1">
      <alignment horizontal="center" vertical="center"/>
    </xf>
    <xf numFmtId="0" fontId="49" fillId="47" borderId="187" xfId="10" applyFont="1" applyFill="1" applyBorder="1" applyAlignment="1">
      <alignment horizontal="center" vertical="center"/>
    </xf>
    <xf numFmtId="0" fontId="49" fillId="47" borderId="145" xfId="10" applyFont="1" applyFill="1" applyBorder="1" applyAlignment="1">
      <alignment horizontal="center" vertical="center"/>
    </xf>
    <xf numFmtId="0" fontId="49" fillId="47" borderId="188" xfId="10" applyFont="1" applyFill="1" applyBorder="1" applyAlignment="1">
      <alignment horizontal="center" vertical="center"/>
    </xf>
    <xf numFmtId="0" fontId="49" fillId="47" borderId="200" xfId="10" applyFont="1" applyFill="1" applyBorder="1" applyAlignment="1">
      <alignment horizontal="center" vertical="center"/>
    </xf>
    <xf numFmtId="0" fontId="49" fillId="47" borderId="193" xfId="10" applyFont="1" applyFill="1" applyBorder="1" applyAlignment="1">
      <alignment horizontal="center" vertical="center"/>
    </xf>
    <xf numFmtId="0" fontId="49" fillId="68" borderId="183" xfId="10" applyFont="1" applyFill="1" applyBorder="1" applyAlignment="1">
      <alignment horizontal="center" vertical="center"/>
    </xf>
    <xf numFmtId="0" fontId="49" fillId="68" borderId="201" xfId="10" applyFont="1" applyFill="1" applyBorder="1" applyAlignment="1">
      <alignment horizontal="center" vertical="center"/>
    </xf>
    <xf numFmtId="0" fontId="49" fillId="10" borderId="272" xfId="10" applyFont="1" applyFill="1" applyBorder="1" applyAlignment="1">
      <alignment horizontal="center" vertical="center"/>
    </xf>
    <xf numFmtId="0" fontId="49" fillId="68" borderId="185" xfId="10" applyFont="1" applyFill="1" applyBorder="1" applyAlignment="1">
      <alignment horizontal="center"/>
    </xf>
    <xf numFmtId="0" fontId="49" fillId="68" borderId="117" xfId="10" applyFont="1" applyFill="1" applyBorder="1" applyAlignment="1">
      <alignment horizontal="center" vertical="center"/>
    </xf>
    <xf numFmtId="0" fontId="49" fillId="68" borderId="117" xfId="10" applyFont="1" applyFill="1" applyBorder="1" applyAlignment="1">
      <alignment horizontal="center"/>
    </xf>
    <xf numFmtId="0" fontId="49" fillId="68" borderId="120" xfId="10" applyFont="1" applyFill="1" applyBorder="1" applyAlignment="1">
      <alignment horizontal="center" vertical="center"/>
    </xf>
    <xf numFmtId="0" fontId="49" fillId="68" borderId="185" xfId="10" applyFont="1" applyFill="1" applyBorder="1" applyAlignment="1">
      <alignment horizontal="center" vertical="center"/>
    </xf>
    <xf numFmtId="0" fontId="49" fillId="68" borderId="272" xfId="10" applyFont="1" applyFill="1" applyBorder="1" applyAlignment="1">
      <alignment horizontal="center" vertical="center"/>
    </xf>
    <xf numFmtId="0" fontId="49" fillId="10" borderId="207" xfId="10" applyFont="1" applyFill="1" applyBorder="1" applyAlignment="1">
      <alignment horizontal="center" vertical="center"/>
    </xf>
    <xf numFmtId="0" fontId="49" fillId="68" borderId="162" xfId="10" applyFont="1" applyFill="1" applyBorder="1" applyAlignment="1">
      <alignment horizontal="center" vertical="center"/>
    </xf>
    <xf numFmtId="0" fontId="49" fillId="68" borderId="160" xfId="10" applyFont="1" applyFill="1" applyBorder="1" applyAlignment="1">
      <alignment horizontal="center" vertical="center"/>
    </xf>
    <xf numFmtId="0" fontId="49" fillId="68" borderId="207" xfId="10" applyFont="1" applyFill="1" applyBorder="1" applyAlignment="1">
      <alignment horizontal="center" vertical="center"/>
    </xf>
    <xf numFmtId="0" fontId="49" fillId="68" borderId="162" xfId="10" applyFont="1" applyFill="1" applyBorder="1" applyAlignment="1">
      <alignment horizontal="center"/>
    </xf>
    <xf numFmtId="0" fontId="49" fillId="68" borderId="160" xfId="10" applyFont="1" applyFill="1" applyBorder="1" applyAlignment="1">
      <alignment horizontal="center"/>
    </xf>
    <xf numFmtId="0" fontId="49" fillId="68" borderId="161" xfId="10" applyFont="1" applyFill="1" applyBorder="1" applyAlignment="1">
      <alignment horizontal="center" vertical="center"/>
    </xf>
    <xf numFmtId="0" fontId="25" fillId="0" borderId="103" xfId="10" applyBorder="1" applyAlignment="1">
      <alignment horizontal="center" vertical="center"/>
    </xf>
    <xf numFmtId="0" fontId="162" fillId="45" borderId="98" xfId="10" applyFont="1" applyFill="1" applyBorder="1" applyAlignment="1">
      <alignment horizontal="centerContinuous" vertical="center"/>
    </xf>
    <xf numFmtId="0" fontId="49" fillId="45" borderId="99" xfId="10" applyFont="1" applyFill="1" applyBorder="1" applyAlignment="1">
      <alignment horizontal="centerContinuous" vertical="center"/>
    </xf>
    <xf numFmtId="0" fontId="49" fillId="45" borderId="100" xfId="10" applyFont="1" applyFill="1" applyBorder="1" applyAlignment="1">
      <alignment horizontal="centerContinuous" vertical="center"/>
    </xf>
    <xf numFmtId="0" fontId="49" fillId="10" borderId="214" xfId="10" applyFont="1" applyFill="1" applyBorder="1" applyAlignment="1">
      <alignment horizontal="center"/>
    </xf>
    <xf numFmtId="0" fontId="49" fillId="10" borderId="203" xfId="10" applyFont="1" applyFill="1" applyBorder="1" applyAlignment="1">
      <alignment horizontal="center"/>
    </xf>
    <xf numFmtId="0" fontId="49" fillId="45" borderId="137" xfId="10" applyFont="1" applyFill="1" applyBorder="1" applyAlignment="1">
      <alignment horizontal="center" vertical="center"/>
    </xf>
    <xf numFmtId="0" fontId="49" fillId="46" borderId="135" xfId="10" applyFont="1" applyFill="1" applyBorder="1" applyAlignment="1">
      <alignment horizontal="centerContinuous" vertical="center"/>
    </xf>
    <xf numFmtId="0" fontId="49" fillId="46" borderId="110" xfId="10" applyFont="1" applyFill="1" applyBorder="1" applyAlignment="1">
      <alignment horizontal="centerContinuous" vertical="center"/>
    </xf>
    <xf numFmtId="0" fontId="156" fillId="10" borderId="98" xfId="10" applyFont="1" applyFill="1" applyBorder="1" applyAlignment="1">
      <alignment horizontal="center" shrinkToFit="1"/>
    </xf>
    <xf numFmtId="0" fontId="156" fillId="0" borderId="103" xfId="10" applyFont="1" applyBorder="1" applyAlignment="1">
      <alignment horizontal="center" shrinkToFit="1"/>
    </xf>
    <xf numFmtId="0" fontId="49" fillId="45" borderId="148" xfId="10" applyFont="1" applyFill="1" applyBorder="1" applyAlignment="1">
      <alignment horizontal="center" vertical="center"/>
    </xf>
    <xf numFmtId="0" fontId="49" fillId="48" borderId="30" xfId="10" applyFont="1" applyFill="1" applyBorder="1" applyAlignment="1">
      <alignment horizontal="left"/>
    </xf>
    <xf numFmtId="0" fontId="49" fillId="10" borderId="98" xfId="10" applyFont="1" applyFill="1" applyBorder="1" applyAlignment="1">
      <alignment horizontal="center" vertical="center"/>
    </xf>
    <xf numFmtId="0" fontId="49" fillId="0" borderId="169" xfId="10" applyFont="1" applyBorder="1" applyAlignment="1">
      <alignment horizontal="center" vertical="center"/>
    </xf>
    <xf numFmtId="0" fontId="30" fillId="47" borderId="183" xfId="10" applyFont="1" applyFill="1" applyBorder="1" applyAlignment="1">
      <alignment horizontal="center"/>
    </xf>
    <xf numFmtId="0" fontId="30" fillId="47" borderId="164" xfId="10" applyFont="1" applyFill="1" applyBorder="1" applyAlignment="1">
      <alignment horizontal="right"/>
    </xf>
    <xf numFmtId="1" fontId="30" fillId="46" borderId="160" xfId="10" applyNumberFormat="1" applyFont="1" applyFill="1" applyBorder="1" applyAlignment="1">
      <alignment horizontal="center"/>
    </xf>
    <xf numFmtId="0" fontId="30" fillId="46" borderId="160" xfId="10" applyFont="1" applyFill="1" applyBorder="1" applyAlignment="1">
      <alignment horizontal="center"/>
    </xf>
    <xf numFmtId="0" fontId="49" fillId="15" borderId="128" xfId="10" applyFont="1" applyFill="1" applyBorder="1" applyAlignment="1">
      <alignment horizontal="center"/>
    </xf>
    <xf numFmtId="0" fontId="49" fillId="67" borderId="143" xfId="10" applyFont="1" applyFill="1" applyBorder="1" applyAlignment="1">
      <alignment horizontal="center" vertical="center"/>
    </xf>
    <xf numFmtId="0" fontId="49" fillId="69" borderId="188" xfId="10" applyFont="1" applyFill="1" applyBorder="1" applyAlignment="1">
      <alignment horizontal="center" vertical="center"/>
    </xf>
    <xf numFmtId="0" fontId="49" fillId="10" borderId="182" xfId="10" applyFont="1" applyFill="1" applyBorder="1" applyAlignment="1">
      <alignment horizontal="center" vertical="center"/>
    </xf>
    <xf numFmtId="0" fontId="49" fillId="69" borderId="153" xfId="10" applyFont="1" applyFill="1" applyBorder="1" applyAlignment="1">
      <alignment horizontal="center" vertical="center"/>
    </xf>
    <xf numFmtId="0" fontId="49" fillId="0" borderId="191" xfId="10" applyFont="1" applyBorder="1" applyAlignment="1">
      <alignment horizontal="center"/>
    </xf>
    <xf numFmtId="0" fontId="49" fillId="69" borderId="148" xfId="10" applyFont="1" applyFill="1" applyBorder="1" applyAlignment="1">
      <alignment horizontal="center" vertical="center"/>
    </xf>
    <xf numFmtId="0" fontId="30" fillId="10" borderId="171" xfId="10" applyFont="1" applyFill="1" applyBorder="1" applyAlignment="1">
      <alignment horizontal="right"/>
    </xf>
    <xf numFmtId="0" fontId="49" fillId="70" borderId="98" xfId="10" applyFont="1" applyFill="1" applyBorder="1" applyAlignment="1">
      <alignment horizontal="center"/>
    </xf>
    <xf numFmtId="0" fontId="49" fillId="70" borderId="99" xfId="10" applyFont="1" applyFill="1" applyBorder="1" applyAlignment="1">
      <alignment horizontal="center"/>
    </xf>
    <xf numFmtId="0" fontId="49" fillId="70" borderId="100" xfId="10" applyFont="1" applyFill="1" applyBorder="1" applyAlignment="1">
      <alignment horizontal="center"/>
    </xf>
    <xf numFmtId="0" fontId="49" fillId="68" borderId="153" xfId="10" applyFont="1" applyFill="1" applyBorder="1" applyAlignment="1">
      <alignment horizontal="center" vertical="center"/>
    </xf>
    <xf numFmtId="0" fontId="49" fillId="10" borderId="171" xfId="10" applyFont="1" applyFill="1" applyBorder="1" applyAlignment="1">
      <alignment horizontal="right"/>
    </xf>
    <xf numFmtId="0" fontId="49" fillId="70" borderId="99" xfId="10" applyFont="1" applyFill="1" applyBorder="1" applyAlignment="1">
      <alignment horizontal="left"/>
    </xf>
    <xf numFmtId="0" fontId="49" fillId="8" borderId="170" xfId="10" applyFont="1" applyFill="1" applyBorder="1" applyAlignment="1">
      <alignment horizontal="center"/>
    </xf>
    <xf numFmtId="0" fontId="30" fillId="8" borderId="171" xfId="10" applyFont="1" applyFill="1" applyBorder="1" applyAlignment="1">
      <alignment horizontal="right"/>
    </xf>
    <xf numFmtId="0" fontId="49" fillId="8" borderId="99" xfId="10" applyFont="1" applyFill="1" applyBorder="1" applyAlignment="1">
      <alignment horizontal="center"/>
    </xf>
    <xf numFmtId="0" fontId="49" fillId="8" borderId="99" xfId="10" applyFont="1" applyFill="1" applyBorder="1" applyAlignment="1">
      <alignment horizontal="left"/>
    </xf>
    <xf numFmtId="0" fontId="49" fillId="10" borderId="213" xfId="10" applyFont="1" applyFill="1" applyBorder="1" applyAlignment="1">
      <alignment horizontal="center" vertical="center"/>
    </xf>
    <xf numFmtId="0" fontId="49" fillId="70" borderId="99" xfId="10" applyFont="1" applyFill="1" applyBorder="1"/>
    <xf numFmtId="0" fontId="49" fillId="68" borderId="118" xfId="10" applyFont="1" applyFill="1" applyBorder="1" applyAlignment="1">
      <alignment horizontal="center" vertical="center"/>
    </xf>
    <xf numFmtId="0" fontId="49" fillId="47" borderId="162" xfId="10" applyFont="1" applyFill="1" applyBorder="1" applyAlignment="1">
      <alignment horizontal="center" vertical="center"/>
    </xf>
    <xf numFmtId="0" fontId="49" fillId="47" borderId="164" xfId="10" applyFont="1" applyFill="1" applyBorder="1" applyAlignment="1">
      <alignment horizontal="center" vertical="center"/>
    </xf>
    <xf numFmtId="0" fontId="49" fillId="47" borderId="161" xfId="10" applyFont="1" applyFill="1" applyBorder="1" applyAlignment="1">
      <alignment horizontal="center" vertical="center"/>
    </xf>
    <xf numFmtId="0" fontId="49" fillId="10" borderId="194" xfId="10" applyFont="1" applyFill="1" applyBorder="1" applyAlignment="1">
      <alignment horizontal="center" vertical="center"/>
    </xf>
    <xf numFmtId="0" fontId="49" fillId="68" borderId="165" xfId="10" applyFont="1" applyFill="1" applyBorder="1" applyAlignment="1">
      <alignment horizontal="center" vertical="center"/>
    </xf>
    <xf numFmtId="0" fontId="49" fillId="12" borderId="149" xfId="10" applyFont="1" applyFill="1" applyBorder="1"/>
    <xf numFmtId="0" fontId="49" fillId="12" borderId="187" xfId="10" applyFont="1" applyFill="1" applyBorder="1" applyAlignment="1">
      <alignment horizontal="center" vertical="center"/>
    </xf>
    <xf numFmtId="0" fontId="49" fillId="12" borderId="145" xfId="10" applyFont="1" applyFill="1" applyBorder="1" applyAlignment="1">
      <alignment horizontal="center" vertical="center"/>
    </xf>
    <xf numFmtId="0" fontId="49" fillId="12" borderId="188" xfId="10" applyFont="1" applyFill="1" applyBorder="1" applyAlignment="1">
      <alignment horizontal="center" vertical="center"/>
    </xf>
    <xf numFmtId="0" fontId="49" fillId="12" borderId="200" xfId="10" applyFont="1" applyFill="1" applyBorder="1" applyAlignment="1">
      <alignment horizontal="center" vertical="center"/>
    </xf>
    <xf numFmtId="0" fontId="49" fillId="12" borderId="193" xfId="10" applyFont="1" applyFill="1" applyBorder="1" applyAlignment="1">
      <alignment horizontal="center" vertical="center"/>
    </xf>
    <xf numFmtId="0" fontId="49" fillId="46" borderId="162" xfId="10" applyFont="1" applyFill="1" applyBorder="1" applyAlignment="1">
      <alignment horizontal="center"/>
    </xf>
    <xf numFmtId="0" fontId="49" fillId="45" borderId="160" xfId="10" applyFont="1" applyFill="1" applyBorder="1" applyAlignment="1">
      <alignment horizontal="center" vertical="center"/>
    </xf>
    <xf numFmtId="0" fontId="49" fillId="12" borderId="193" xfId="10" applyFont="1" applyFill="1" applyBorder="1"/>
    <xf numFmtId="0" fontId="49" fillId="71" borderId="0" xfId="10" applyFont="1" applyFill="1" applyAlignment="1">
      <alignment horizontal="center"/>
    </xf>
    <xf numFmtId="0" fontId="165" fillId="54" borderId="98" xfId="10" applyFont="1" applyFill="1" applyBorder="1" applyAlignment="1">
      <alignment horizontal="centerContinuous" vertical="center"/>
    </xf>
    <xf numFmtId="0" fontId="165" fillId="54" borderId="99" xfId="10" applyFont="1" applyFill="1" applyBorder="1" applyAlignment="1">
      <alignment horizontal="centerContinuous" vertical="center"/>
    </xf>
    <xf numFmtId="0" fontId="165" fillId="54" borderId="100" xfId="10" applyFont="1" applyFill="1" applyBorder="1" applyAlignment="1">
      <alignment horizontal="centerContinuous" vertical="center"/>
    </xf>
    <xf numFmtId="0" fontId="49" fillId="71" borderId="0" xfId="10" applyFont="1" applyFill="1" applyAlignment="1">
      <alignment horizontal="center" vertical="center"/>
    </xf>
    <xf numFmtId="0" fontId="162" fillId="0" borderId="103" xfId="10" applyFont="1" applyBorder="1" applyAlignment="1">
      <alignment horizontal="center" vertical="center"/>
    </xf>
    <xf numFmtId="0" fontId="162" fillId="0" borderId="0" xfId="10" applyFont="1" applyAlignment="1">
      <alignment horizontal="center" vertical="center"/>
    </xf>
    <xf numFmtId="0" fontId="49" fillId="54" borderId="250" xfId="10" applyFont="1" applyFill="1" applyBorder="1" applyAlignment="1">
      <alignment horizontal="centerContinuous" vertical="center"/>
    </xf>
    <xf numFmtId="0" fontId="49" fillId="45" borderId="273" xfId="10" applyFont="1" applyFill="1" applyBorder="1" applyAlignment="1">
      <alignment horizontal="centerContinuous" vertical="center"/>
    </xf>
    <xf numFmtId="0" fontId="49" fillId="54" borderId="179" xfId="10" applyFont="1" applyFill="1" applyBorder="1" applyAlignment="1">
      <alignment horizontal="left" vertical="center"/>
    </xf>
    <xf numFmtId="0" fontId="49" fillId="45" borderId="110" xfId="10" applyFont="1" applyFill="1" applyBorder="1" applyAlignment="1">
      <alignment horizontal="center" vertical="center"/>
    </xf>
    <xf numFmtId="0" fontId="49" fillId="12" borderId="161" xfId="10" applyFont="1" applyFill="1" applyBorder="1"/>
    <xf numFmtId="0" fontId="49" fillId="12" borderId="162" xfId="10" applyFont="1" applyFill="1" applyBorder="1" applyAlignment="1">
      <alignment horizontal="center" vertical="center"/>
    </xf>
    <xf numFmtId="0" fontId="49" fillId="12" borderId="160" xfId="10" applyFont="1" applyFill="1" applyBorder="1" applyAlignment="1">
      <alignment horizontal="center" vertical="center"/>
    </xf>
    <xf numFmtId="0" fontId="49" fillId="12" borderId="165" xfId="10" applyFont="1" applyFill="1" applyBorder="1" applyAlignment="1">
      <alignment horizontal="center" vertical="center"/>
    </xf>
    <xf numFmtId="0" fontId="49" fillId="12" borderId="164" xfId="10" applyFont="1" applyFill="1" applyBorder="1" applyAlignment="1">
      <alignment horizontal="center" vertical="center"/>
    </xf>
    <xf numFmtId="0" fontId="49" fillId="12" borderId="161" xfId="10" applyFont="1" applyFill="1" applyBorder="1" applyAlignment="1">
      <alignment horizontal="center" vertical="center"/>
    </xf>
    <xf numFmtId="0" fontId="49" fillId="54" borderId="252" xfId="10" applyFont="1" applyFill="1" applyBorder="1" applyAlignment="1">
      <alignment horizontal="centerContinuous" vertical="center"/>
    </xf>
    <xf numFmtId="0" fontId="49" fillId="45" borderId="274" xfId="10" applyFont="1" applyFill="1" applyBorder="1" applyAlignment="1">
      <alignment horizontal="centerContinuous" vertical="center"/>
    </xf>
    <xf numFmtId="0" fontId="49" fillId="54" borderId="183" xfId="10" applyFont="1" applyFill="1" applyBorder="1" applyAlignment="1">
      <alignment horizontal="left" vertical="center"/>
    </xf>
    <xf numFmtId="0" fontId="49" fillId="45" borderId="201" xfId="10" applyFont="1" applyFill="1" applyBorder="1" applyAlignment="1">
      <alignment horizontal="center" vertical="center"/>
    </xf>
    <xf numFmtId="0" fontId="49" fillId="54" borderId="150" xfId="10" applyFont="1" applyFill="1" applyBorder="1" applyAlignment="1">
      <alignment horizontal="left" vertical="center"/>
    </xf>
    <xf numFmtId="0" fontId="49" fillId="45" borderId="274" xfId="10" applyFont="1" applyFill="1" applyBorder="1" applyAlignment="1">
      <alignment horizontal="center" vertical="center"/>
    </xf>
    <xf numFmtId="0" fontId="49" fillId="54" borderId="146" xfId="10" applyFont="1" applyFill="1" applyBorder="1" applyAlignment="1">
      <alignment horizontal="left" vertical="center"/>
    </xf>
    <xf numFmtId="0" fontId="49" fillId="45" borderId="201" xfId="10" applyFont="1" applyFill="1" applyBorder="1" applyAlignment="1">
      <alignment horizontal="centerContinuous" vertical="center"/>
    </xf>
    <xf numFmtId="1" fontId="49" fillId="54" borderId="169" xfId="10" applyNumberFormat="1" applyFont="1" applyFill="1" applyBorder="1" applyAlignment="1">
      <alignment horizontal="center" vertical="center"/>
    </xf>
    <xf numFmtId="0" fontId="49" fillId="54" borderId="169" xfId="10" applyFont="1" applyFill="1" applyBorder="1" applyAlignment="1">
      <alignment horizontal="center" vertical="center"/>
    </xf>
    <xf numFmtId="0" fontId="25" fillId="54" borderId="99" xfId="10" applyFill="1" applyBorder="1" applyAlignment="1">
      <alignment horizontal="center" vertical="center"/>
    </xf>
    <xf numFmtId="0" fontId="49" fillId="47" borderId="146" xfId="10" applyFont="1" applyFill="1" applyBorder="1" applyAlignment="1">
      <alignment horizontal="center" vertical="center"/>
    </xf>
    <xf numFmtId="0" fontId="49" fillId="47" borderId="137" xfId="10" applyFont="1" applyFill="1" applyBorder="1" applyAlignment="1">
      <alignment horizontal="center" vertical="center"/>
    </xf>
    <xf numFmtId="0" fontId="49" fillId="47" borderId="179" xfId="10" applyFont="1" applyFill="1" applyBorder="1" applyAlignment="1">
      <alignment horizontal="center" vertical="center"/>
    </xf>
    <xf numFmtId="0" fontId="49" fillId="47" borderId="138" xfId="10" applyFont="1" applyFill="1" applyBorder="1" applyAlignment="1">
      <alignment horizontal="center" vertical="center"/>
    </xf>
    <xf numFmtId="0" fontId="49" fillId="47" borderId="143" xfId="10" applyFont="1" applyFill="1" applyBorder="1" applyAlignment="1">
      <alignment horizontal="center" vertical="center"/>
    </xf>
    <xf numFmtId="0" fontId="49" fillId="54" borderId="253" xfId="10" applyFont="1" applyFill="1" applyBorder="1" applyAlignment="1">
      <alignment horizontal="centerContinuous" vertical="center"/>
    </xf>
    <xf numFmtId="0" fontId="49" fillId="45" borderId="271" xfId="10" applyFont="1" applyFill="1" applyBorder="1" applyAlignment="1">
      <alignment horizontal="centerContinuous" vertical="center"/>
    </xf>
    <xf numFmtId="0" fontId="49" fillId="46" borderId="162" xfId="10" applyFont="1" applyFill="1" applyBorder="1" applyAlignment="1">
      <alignment horizontal="center" vertical="center"/>
    </xf>
    <xf numFmtId="0" fontId="49" fillId="72" borderId="149" xfId="10" applyFont="1" applyFill="1" applyBorder="1"/>
    <xf numFmtId="0" fontId="49" fillId="72" borderId="146" xfId="10" applyFont="1" applyFill="1" applyBorder="1" applyAlignment="1">
      <alignment horizontal="center" vertical="center"/>
    </xf>
    <xf numFmtId="0" fontId="49" fillId="72" borderId="148" xfId="10" applyFont="1" applyFill="1" applyBorder="1" applyAlignment="1">
      <alignment horizontal="center" vertical="center"/>
    </xf>
    <xf numFmtId="0" fontId="49" fillId="72" borderId="153" xfId="10" applyFont="1" applyFill="1" applyBorder="1" applyAlignment="1">
      <alignment horizontal="center" vertical="center"/>
    </xf>
    <xf numFmtId="0" fontId="49" fillId="72" borderId="183" xfId="10" applyFont="1" applyFill="1" applyBorder="1" applyAlignment="1">
      <alignment horizontal="center" vertical="center"/>
    </xf>
    <xf numFmtId="0" fontId="49" fillId="72" borderId="149" xfId="10" applyFont="1" applyFill="1" applyBorder="1" applyAlignment="1">
      <alignment horizontal="center" vertical="center"/>
    </xf>
    <xf numFmtId="0" fontId="49" fillId="72" borderId="152" xfId="10" applyFont="1" applyFill="1" applyBorder="1" applyAlignment="1">
      <alignment horizontal="center" vertical="center"/>
    </xf>
    <xf numFmtId="0" fontId="49" fillId="55" borderId="101" xfId="10" applyFont="1" applyFill="1" applyBorder="1" applyAlignment="1">
      <alignment horizontal="left"/>
    </xf>
    <xf numFmtId="0" fontId="49" fillId="55" borderId="29" xfId="10" applyFont="1" applyFill="1" applyBorder="1" applyAlignment="1">
      <alignment horizontal="center"/>
    </xf>
    <xf numFmtId="0" fontId="49" fillId="55" borderId="102" xfId="10" applyFont="1" applyFill="1" applyBorder="1" applyAlignment="1">
      <alignment horizontal="center"/>
    </xf>
    <xf numFmtId="0" fontId="49" fillId="0" borderId="123" xfId="10" applyFont="1" applyBorder="1"/>
    <xf numFmtId="0" fontId="49" fillId="0" borderId="191" xfId="10" applyFont="1" applyBorder="1" applyAlignment="1">
      <alignment horizontal="center" shrinkToFit="1"/>
    </xf>
    <xf numFmtId="0" fontId="49" fillId="54" borderId="158" xfId="10" applyFont="1" applyFill="1" applyBorder="1" applyAlignment="1">
      <alignment horizontal="left" vertical="center"/>
    </xf>
    <xf numFmtId="0" fontId="49" fillId="45" borderId="207" xfId="10" applyFont="1" applyFill="1" applyBorder="1" applyAlignment="1">
      <alignment horizontal="centerContinuous" vertical="center"/>
    </xf>
    <xf numFmtId="0" fontId="49" fillId="47" borderId="201" xfId="10" applyFont="1" applyFill="1" applyBorder="1" applyAlignment="1">
      <alignment horizontal="center" vertical="center"/>
    </xf>
    <xf numFmtId="0" fontId="156" fillId="0" borderId="103" xfId="10" applyFont="1" applyBorder="1" applyAlignment="1">
      <alignment horizontal="left"/>
    </xf>
    <xf numFmtId="0" fontId="49" fillId="0" borderId="102" xfId="10" applyFont="1" applyBorder="1" applyAlignment="1">
      <alignment horizontal="center"/>
    </xf>
    <xf numFmtId="0" fontId="49" fillId="0" borderId="0" xfId="10" applyFont="1" applyAlignment="1">
      <alignment horizontal="centerContinuous" vertical="center"/>
    </xf>
    <xf numFmtId="0" fontId="49" fillId="72" borderId="187" xfId="10" applyFont="1" applyFill="1" applyBorder="1" applyAlignment="1">
      <alignment horizontal="center" vertical="center"/>
    </xf>
    <xf numFmtId="0" fontId="49" fillId="72" borderId="145" xfId="10" applyFont="1" applyFill="1" applyBorder="1" applyAlignment="1">
      <alignment horizontal="center" vertical="center"/>
    </xf>
    <xf numFmtId="0" fontId="49" fillId="72" borderId="193" xfId="10" applyFont="1" applyFill="1" applyBorder="1" applyAlignment="1">
      <alignment horizontal="center" vertical="center"/>
    </xf>
    <xf numFmtId="0" fontId="49" fillId="72" borderId="200" xfId="10" applyFont="1" applyFill="1" applyBorder="1" applyAlignment="1">
      <alignment horizontal="center" vertical="center"/>
    </xf>
    <xf numFmtId="0" fontId="49" fillId="72" borderId="188" xfId="10" applyFont="1" applyFill="1" applyBorder="1" applyAlignment="1">
      <alignment horizontal="center" vertical="center"/>
    </xf>
    <xf numFmtId="0" fontId="49" fillId="73" borderId="25" xfId="10" applyFont="1" applyFill="1" applyBorder="1" applyAlignment="1">
      <alignment horizontal="center" vertical="center"/>
    </xf>
    <xf numFmtId="0" fontId="49" fillId="73" borderId="172" xfId="10" applyFont="1" applyFill="1" applyBorder="1" applyAlignment="1">
      <alignment horizontal="center" vertical="center"/>
    </xf>
    <xf numFmtId="0" fontId="49" fillId="0" borderId="172" xfId="10" applyFont="1" applyBorder="1" applyAlignment="1">
      <alignment horizontal="center"/>
    </xf>
    <xf numFmtId="1" fontId="49" fillId="72" borderId="15" xfId="10" applyNumberFormat="1" applyFont="1" applyFill="1" applyBorder="1" applyAlignment="1">
      <alignment horizontal="center" vertical="center"/>
    </xf>
    <xf numFmtId="0" fontId="25" fillId="72" borderId="93" xfId="10" applyFill="1" applyBorder="1" applyAlignment="1">
      <alignment horizontal="center" vertical="center"/>
    </xf>
    <xf numFmtId="0" fontId="49" fillId="72" borderId="201" xfId="10" applyFont="1" applyFill="1" applyBorder="1" applyAlignment="1">
      <alignment horizontal="center" vertical="center"/>
    </xf>
    <xf numFmtId="1" fontId="49" fillId="72" borderId="92" xfId="10" applyNumberFormat="1" applyFont="1" applyFill="1" applyBorder="1" applyAlignment="1">
      <alignment horizontal="center" vertical="center"/>
    </xf>
    <xf numFmtId="0" fontId="49" fillId="67" borderId="146" xfId="10" applyFont="1" applyFill="1" applyBorder="1" applyAlignment="1">
      <alignment horizontal="center" vertical="center"/>
    </xf>
    <xf numFmtId="0" fontId="49" fillId="67" borderId="153" xfId="10" applyFont="1" applyFill="1" applyBorder="1" applyAlignment="1">
      <alignment horizontal="center" vertical="center"/>
    </xf>
    <xf numFmtId="0" fontId="49" fillId="67" borderId="149" xfId="10" applyFont="1" applyFill="1" applyBorder="1" applyAlignment="1">
      <alignment horizontal="center" vertical="center"/>
    </xf>
    <xf numFmtId="0" fontId="49" fillId="67" borderId="152" xfId="10" applyFont="1" applyFill="1" applyBorder="1" applyAlignment="1">
      <alignment horizontal="center" vertical="center"/>
    </xf>
    <xf numFmtId="0" fontId="49" fillId="8" borderId="111" xfId="10" applyFont="1" applyFill="1" applyBorder="1"/>
    <xf numFmtId="0" fontId="49" fillId="72" borderId="161" xfId="10" applyFont="1" applyFill="1" applyBorder="1"/>
    <xf numFmtId="0" fontId="49" fillId="72" borderId="158" xfId="10" applyFont="1" applyFill="1" applyBorder="1" applyAlignment="1">
      <alignment horizontal="center" vertical="center"/>
    </xf>
    <xf numFmtId="0" fontId="49" fillId="72" borderId="160" xfId="10" applyFont="1" applyFill="1" applyBorder="1" applyAlignment="1">
      <alignment horizontal="center" vertical="center"/>
    </xf>
    <xf numFmtId="0" fontId="49" fillId="72" borderId="165" xfId="10" applyFont="1" applyFill="1" applyBorder="1" applyAlignment="1">
      <alignment horizontal="center" vertical="center"/>
    </xf>
    <xf numFmtId="0" fontId="49" fillId="72" borderId="162" xfId="10" applyFont="1" applyFill="1" applyBorder="1" applyAlignment="1">
      <alignment horizontal="center" vertical="center"/>
    </xf>
    <xf numFmtId="0" fontId="49" fillId="72" borderId="161" xfId="10" applyFont="1" applyFill="1" applyBorder="1" applyAlignment="1">
      <alignment horizontal="center" vertical="center"/>
    </xf>
    <xf numFmtId="0" fontId="49" fillId="72" borderId="164" xfId="10" applyFont="1" applyFill="1" applyBorder="1" applyAlignment="1">
      <alignment horizontal="center" vertical="center"/>
    </xf>
    <xf numFmtId="0" fontId="49" fillId="0" borderId="178" xfId="10" applyFont="1" applyBorder="1" applyAlignment="1">
      <alignment horizontal="center"/>
    </xf>
    <xf numFmtId="0" fontId="25" fillId="0" borderId="111" xfId="10" applyBorder="1" applyAlignment="1">
      <alignment horizontal="center" vertical="center"/>
    </xf>
    <xf numFmtId="0" fontId="49" fillId="10" borderId="240" xfId="10" applyFont="1" applyFill="1" applyBorder="1" applyAlignment="1">
      <alignment horizontal="center" vertical="center"/>
    </xf>
    <xf numFmtId="0" fontId="49" fillId="45" borderId="177" xfId="10" applyFont="1" applyFill="1" applyBorder="1" applyAlignment="1">
      <alignment horizontal="center" vertical="center"/>
    </xf>
    <xf numFmtId="170" fontId="49" fillId="46" borderId="177" xfId="10" applyNumberFormat="1" applyFont="1" applyFill="1" applyBorder="1" applyAlignment="1">
      <alignment horizontal="center" vertical="center"/>
    </xf>
    <xf numFmtId="0" fontId="49" fillId="45" borderId="182" xfId="10" applyFont="1" applyFill="1" applyBorder="1" applyAlignment="1">
      <alignment horizontal="center" vertical="center"/>
    </xf>
    <xf numFmtId="170" fontId="49" fillId="46" borderId="182" xfId="10" applyNumberFormat="1" applyFont="1" applyFill="1" applyBorder="1" applyAlignment="1">
      <alignment horizontal="center" vertical="center"/>
    </xf>
    <xf numFmtId="0" fontId="49" fillId="61" borderId="149" xfId="10" applyFont="1" applyFill="1" applyBorder="1" applyAlignment="1">
      <alignment horizontal="center" vertical="center"/>
    </xf>
    <xf numFmtId="0" fontId="49" fillId="45" borderId="194" xfId="10" applyFont="1" applyFill="1" applyBorder="1" applyAlignment="1">
      <alignment horizontal="center" vertical="center"/>
    </xf>
    <xf numFmtId="170" fontId="49" fillId="46" borderId="194" xfId="10" applyNumberFormat="1" applyFont="1" applyFill="1" applyBorder="1" applyAlignment="1">
      <alignment horizontal="center" vertical="center"/>
    </xf>
    <xf numFmtId="172" fontId="49" fillId="0" borderId="0" xfId="10" applyNumberFormat="1" applyFont="1" applyAlignment="1">
      <alignment horizontal="center"/>
    </xf>
    <xf numFmtId="0" fontId="160" fillId="0" borderId="0" xfId="10" applyFont="1" applyAlignment="1">
      <alignment horizontal="centerContinuous"/>
    </xf>
    <xf numFmtId="0" fontId="168" fillId="0" borderId="215" xfId="10" applyFont="1" applyBorder="1" applyAlignment="1">
      <alignment horizontal="center" vertical="center"/>
    </xf>
    <xf numFmtId="0" fontId="168" fillId="0" borderId="0" xfId="10" applyFont="1" applyAlignment="1">
      <alignment horizontal="center"/>
    </xf>
    <xf numFmtId="0" fontId="170" fillId="0" borderId="0" xfId="17" applyFont="1" applyFill="1" applyBorder="1" applyAlignment="1" applyProtection="1">
      <alignment horizontal="left"/>
    </xf>
    <xf numFmtId="172" fontId="168" fillId="0" borderId="0" xfId="10" applyNumberFormat="1" applyFont="1" applyAlignment="1">
      <alignment horizontal="center"/>
    </xf>
    <xf numFmtId="0" fontId="162" fillId="46" borderId="179" xfId="10" applyFont="1" applyFill="1" applyBorder="1" applyAlignment="1">
      <alignment horizontal="center"/>
    </xf>
    <xf numFmtId="0" fontId="162" fillId="47" borderId="138" xfId="10" applyFont="1" applyFill="1" applyBorder="1"/>
    <xf numFmtId="0" fontId="168" fillId="0" borderId="0" xfId="10" applyFont="1"/>
    <xf numFmtId="0" fontId="162" fillId="46" borderId="183" xfId="10" applyFont="1" applyFill="1" applyBorder="1" applyAlignment="1">
      <alignment horizontal="center"/>
    </xf>
    <xf numFmtId="0" fontId="162" fillId="47" borderId="149" xfId="10" applyFont="1" applyFill="1" applyBorder="1"/>
    <xf numFmtId="0" fontId="162" fillId="46" borderId="162" xfId="10" applyFont="1" applyFill="1" applyBorder="1" applyAlignment="1">
      <alignment horizontal="center"/>
    </xf>
    <xf numFmtId="0" fontId="162" fillId="47" borderId="161" xfId="10" applyFont="1" applyFill="1" applyBorder="1"/>
    <xf numFmtId="0" fontId="162" fillId="0" borderId="0" xfId="10" applyFont="1" applyAlignment="1">
      <alignment horizontal="centerContinuous"/>
    </xf>
    <xf numFmtId="0" fontId="49" fillId="10" borderId="284" xfId="10" applyFont="1" applyFill="1" applyBorder="1" applyAlignment="1">
      <alignment horizontal="center"/>
    </xf>
    <xf numFmtId="0" fontId="49" fillId="10" borderId="286" xfId="10" applyFont="1" applyFill="1" applyBorder="1" applyAlignment="1">
      <alignment horizontal="center"/>
    </xf>
    <xf numFmtId="0" fontId="49" fillId="46" borderId="280" xfId="10" applyFont="1" applyFill="1" applyBorder="1" applyAlignment="1">
      <alignment horizontal="center"/>
    </xf>
    <xf numFmtId="0" fontId="49" fillId="10" borderId="236" xfId="10" applyFont="1" applyFill="1" applyBorder="1" applyAlignment="1">
      <alignment horizontal="center" vertical="center"/>
    </xf>
    <xf numFmtId="0" fontId="49" fillId="46" borderId="289" xfId="10" applyFont="1" applyFill="1" applyBorder="1" applyAlignment="1">
      <alignment horizontal="center"/>
    </xf>
    <xf numFmtId="0" fontId="49" fillId="46" borderId="290" xfId="10" applyFont="1" applyFill="1" applyBorder="1" applyAlignment="1">
      <alignment horizontal="center"/>
    </xf>
    <xf numFmtId="0" fontId="49" fillId="47" borderId="292" xfId="10" applyFont="1" applyFill="1" applyBorder="1" applyAlignment="1">
      <alignment horizontal="center"/>
    </xf>
    <xf numFmtId="171" fontId="49" fillId="46" borderId="137" xfId="16" applyFont="1" applyFill="1" applyBorder="1" applyAlignment="1">
      <alignment horizontal="center" shrinkToFit="1"/>
    </xf>
    <xf numFmtId="0" fontId="49" fillId="47" borderId="137" xfId="10" applyFont="1" applyFill="1" applyBorder="1" applyAlignment="1">
      <alignment horizontal="left"/>
    </xf>
    <xf numFmtId="0" fontId="49" fillId="46" borderId="293" xfId="10" applyFont="1" applyFill="1" applyBorder="1" applyAlignment="1">
      <alignment horizontal="left"/>
    </xf>
    <xf numFmtId="0" fontId="49" fillId="47" borderId="294" xfId="10" applyFont="1" applyFill="1" applyBorder="1" applyAlignment="1">
      <alignment horizontal="center"/>
    </xf>
    <xf numFmtId="0" fontId="49" fillId="47" borderId="295" xfId="10" applyFont="1" applyFill="1" applyBorder="1" applyAlignment="1">
      <alignment horizontal="center"/>
    </xf>
    <xf numFmtId="171" fontId="49" fillId="46" borderId="145" xfId="16" applyFont="1" applyFill="1" applyBorder="1" applyAlignment="1">
      <alignment horizontal="center" shrinkToFit="1"/>
    </xf>
    <xf numFmtId="0" fontId="49" fillId="47" borderId="145" xfId="10" applyFont="1" applyFill="1" applyBorder="1" applyAlignment="1">
      <alignment horizontal="left"/>
    </xf>
    <xf numFmtId="0" fontId="49" fillId="46" borderId="188" xfId="10" applyFont="1" applyFill="1" applyBorder="1" applyAlignment="1">
      <alignment horizontal="left"/>
    </xf>
    <xf numFmtId="171" fontId="49" fillId="0" borderId="0" xfId="16" applyFont="1" applyFill="1" applyBorder="1" applyAlignment="1">
      <alignment horizontal="center" shrinkToFit="1"/>
    </xf>
    <xf numFmtId="0" fontId="49" fillId="47" borderId="296" xfId="10" applyFont="1" applyFill="1" applyBorder="1" applyAlignment="1">
      <alignment horizontal="center"/>
    </xf>
    <xf numFmtId="171" fontId="49" fillId="46" borderId="148" xfId="16" applyFont="1" applyFill="1" applyBorder="1" applyAlignment="1">
      <alignment horizontal="center" shrinkToFit="1"/>
    </xf>
    <xf numFmtId="0" fontId="49" fillId="47" borderId="148" xfId="10" applyFont="1" applyFill="1" applyBorder="1" applyAlignment="1">
      <alignment horizontal="left"/>
    </xf>
    <xf numFmtId="0" fontId="49" fillId="46" borderId="297" xfId="10" applyFont="1" applyFill="1" applyBorder="1" applyAlignment="1">
      <alignment horizontal="left"/>
    </xf>
    <xf numFmtId="0" fontId="49" fillId="47" borderId="298" xfId="10" applyFont="1" applyFill="1" applyBorder="1" applyAlignment="1">
      <alignment horizontal="center"/>
    </xf>
    <xf numFmtId="0" fontId="49" fillId="65" borderId="148" xfId="10" applyFont="1" applyFill="1" applyBorder="1" applyAlignment="1">
      <alignment horizontal="left"/>
    </xf>
    <xf numFmtId="0" fontId="49" fillId="47" borderId="117" xfId="10" applyFont="1" applyFill="1" applyBorder="1" applyAlignment="1">
      <alignment horizontal="left"/>
    </xf>
    <xf numFmtId="171" fontId="49" fillId="46" borderId="117" xfId="16" applyFont="1" applyFill="1" applyBorder="1" applyAlignment="1">
      <alignment horizontal="center" shrinkToFit="1"/>
    </xf>
    <xf numFmtId="0" fontId="49" fillId="46" borderId="299" xfId="10" applyFont="1" applyFill="1" applyBorder="1" applyAlignment="1">
      <alignment horizontal="left"/>
    </xf>
    <xf numFmtId="0" fontId="49" fillId="47" borderId="284" xfId="10" applyFont="1" applyFill="1" applyBorder="1" applyAlignment="1">
      <alignment horizontal="center"/>
    </xf>
    <xf numFmtId="0" fontId="49" fillId="46" borderId="118" xfId="10" applyFont="1" applyFill="1" applyBorder="1" applyAlignment="1">
      <alignment horizontal="left"/>
    </xf>
    <xf numFmtId="0" fontId="49" fillId="47" borderId="300" xfId="10" applyFont="1" applyFill="1" applyBorder="1" applyAlignment="1">
      <alignment horizontal="center"/>
    </xf>
    <xf numFmtId="0" fontId="49" fillId="46" borderId="300" xfId="10" applyFont="1" applyFill="1" applyBorder="1" applyAlignment="1">
      <alignment horizontal="center"/>
    </xf>
    <xf numFmtId="171" fontId="49" fillId="46" borderId="301" xfId="16" applyFont="1" applyFill="1" applyBorder="1" applyAlignment="1">
      <alignment horizontal="center" shrinkToFit="1"/>
    </xf>
    <xf numFmtId="0" fontId="49" fillId="47" borderId="302" xfId="10" applyFont="1" applyFill="1" applyBorder="1" applyAlignment="1">
      <alignment horizontal="center"/>
    </xf>
    <xf numFmtId="171" fontId="49" fillId="46" borderId="300" xfId="16" applyFont="1" applyFill="1" applyBorder="1" applyAlignment="1">
      <alignment horizontal="center" shrinkToFit="1"/>
    </xf>
    <xf numFmtId="0" fontId="49" fillId="47" borderId="300" xfId="10" applyFont="1" applyFill="1" applyBorder="1" applyAlignment="1">
      <alignment horizontal="left"/>
    </xf>
    <xf numFmtId="0" fontId="49" fillId="46" borderId="303" xfId="10" applyFont="1" applyFill="1" applyBorder="1" applyAlignment="1">
      <alignment horizontal="left"/>
    </xf>
    <xf numFmtId="0" fontId="49" fillId="46" borderId="301" xfId="10" applyFont="1" applyFill="1" applyBorder="1" applyAlignment="1">
      <alignment horizontal="left"/>
    </xf>
    <xf numFmtId="0" fontId="49" fillId="0" borderId="8" xfId="10" applyFont="1" applyBorder="1" applyAlignment="1">
      <alignment horizontal="center"/>
    </xf>
    <xf numFmtId="0" fontId="169" fillId="0" borderId="0" xfId="17" applyFill="1" applyBorder="1" applyAlignment="1" applyProtection="1">
      <alignment horizontal="center"/>
    </xf>
    <xf numFmtId="0" fontId="49" fillId="10" borderId="11" xfId="10" applyFont="1" applyFill="1" applyBorder="1" applyAlignment="1">
      <alignment horizontal="center"/>
    </xf>
    <xf numFmtId="0" fontId="49" fillId="10" borderId="308" xfId="10" applyFont="1" applyFill="1" applyBorder="1" applyAlignment="1">
      <alignment horizontal="center"/>
    </xf>
    <xf numFmtId="0" fontId="49" fillId="10" borderId="16" xfId="10" applyFont="1" applyFill="1" applyBorder="1" applyAlignment="1">
      <alignment horizontal="center"/>
    </xf>
    <xf numFmtId="0" fontId="49" fillId="46" borderId="131" xfId="10" applyFont="1" applyFill="1" applyBorder="1" applyAlignment="1">
      <alignment horizontal="center"/>
    </xf>
    <xf numFmtId="0" fontId="25" fillId="52" borderId="202" xfId="10" applyFill="1" applyBorder="1" applyAlignment="1">
      <alignment horizontal="center" vertical="center"/>
    </xf>
    <xf numFmtId="173" fontId="49" fillId="46" borderId="137" xfId="10" applyNumberFormat="1" applyFont="1" applyFill="1" applyBorder="1" applyAlignment="1">
      <alignment horizontal="center"/>
    </xf>
    <xf numFmtId="0" fontId="49" fillId="51" borderId="297" xfId="10" applyFont="1" applyFill="1" applyBorder="1" applyAlignment="1">
      <alignment horizontal="left"/>
    </xf>
    <xf numFmtId="0" fontId="49" fillId="47" borderId="294" xfId="10" applyFont="1" applyFill="1" applyBorder="1" applyAlignment="1">
      <alignment horizontal="left"/>
    </xf>
    <xf numFmtId="0" fontId="49" fillId="69" borderId="137" xfId="10" applyFont="1" applyFill="1" applyBorder="1" applyAlignment="1">
      <alignment horizontal="left"/>
    </xf>
    <xf numFmtId="0" fontId="25" fillId="52" borderId="98" xfId="10" applyFill="1" applyBorder="1" applyAlignment="1">
      <alignment horizontal="center" vertical="center"/>
    </xf>
    <xf numFmtId="0" fontId="49" fillId="0" borderId="101" xfId="10" applyFont="1" applyBorder="1" applyAlignment="1">
      <alignment horizontal="center"/>
    </xf>
    <xf numFmtId="0" fontId="49" fillId="51" borderId="313" xfId="10" applyFont="1" applyFill="1" applyBorder="1" applyAlignment="1">
      <alignment horizontal="left"/>
    </xf>
    <xf numFmtId="0" fontId="49" fillId="47" borderId="314" xfId="10" applyFont="1" applyFill="1" applyBorder="1" applyAlignment="1">
      <alignment horizontal="left" vertical="center"/>
    </xf>
    <xf numFmtId="0" fontId="49" fillId="0" borderId="30" xfId="10" applyFont="1" applyBorder="1" applyAlignment="1">
      <alignment horizontal="center"/>
    </xf>
    <xf numFmtId="0" fontId="49" fillId="51" borderId="309" xfId="10" applyFont="1" applyFill="1" applyBorder="1" applyAlignment="1">
      <alignment horizontal="left"/>
    </xf>
    <xf numFmtId="0" fontId="49" fillId="47" borderId="294" xfId="10" applyFont="1" applyFill="1" applyBorder="1" applyAlignment="1">
      <alignment horizontal="left" vertical="center"/>
    </xf>
    <xf numFmtId="0" fontId="49" fillId="47" borderId="314" xfId="10" applyFont="1" applyFill="1" applyBorder="1" applyAlignment="1">
      <alignment vertical="center"/>
    </xf>
    <xf numFmtId="0" fontId="49" fillId="51" borderId="306" xfId="10" applyFont="1" applyFill="1" applyBorder="1" applyAlignment="1">
      <alignment horizontal="left"/>
    </xf>
    <xf numFmtId="0" fontId="49" fillId="46" borderId="294" xfId="10" applyFont="1" applyFill="1" applyBorder="1" applyAlignment="1">
      <alignment horizontal="center"/>
    </xf>
    <xf numFmtId="0" fontId="49" fillId="51" borderId="144" xfId="10" applyFont="1" applyFill="1" applyBorder="1" applyAlignment="1">
      <alignment horizontal="left"/>
    </xf>
    <xf numFmtId="173" fontId="49" fillId="46" borderId="148" xfId="10" applyNumberFormat="1" applyFont="1" applyFill="1" applyBorder="1" applyAlignment="1">
      <alignment horizontal="center"/>
    </xf>
    <xf numFmtId="0" fontId="49" fillId="46" borderId="143" xfId="10" applyFont="1" applyFill="1" applyBorder="1" applyAlignment="1">
      <alignment horizontal="center"/>
    </xf>
    <xf numFmtId="0" fontId="49" fillId="51" borderId="293" xfId="10" applyFont="1" applyFill="1" applyBorder="1" applyAlignment="1">
      <alignment horizontal="left"/>
    </xf>
    <xf numFmtId="174" fontId="49" fillId="46" borderId="148" xfId="10" applyNumberFormat="1" applyFont="1" applyFill="1" applyBorder="1" applyAlignment="1">
      <alignment horizontal="center"/>
    </xf>
    <xf numFmtId="0" fontId="49" fillId="47" borderId="193" xfId="10" applyFont="1" applyFill="1" applyBorder="1" applyAlignment="1">
      <alignment horizontal="left"/>
    </xf>
    <xf numFmtId="0" fontId="49" fillId="46" borderId="180" xfId="10" applyFont="1" applyFill="1" applyBorder="1" applyAlignment="1">
      <alignment horizontal="left"/>
    </xf>
    <xf numFmtId="0" fontId="49" fillId="47" borderId="315" xfId="10" applyFont="1" applyFill="1" applyBorder="1" applyAlignment="1">
      <alignment horizontal="left"/>
    </xf>
    <xf numFmtId="0" fontId="49" fillId="69" borderId="148" xfId="10" applyFont="1" applyFill="1" applyBorder="1" applyAlignment="1">
      <alignment horizontal="left"/>
    </xf>
    <xf numFmtId="0" fontId="25" fillId="46" borderId="0" xfId="10" applyFill="1" applyAlignment="1">
      <alignment horizontal="center" vertical="center"/>
    </xf>
    <xf numFmtId="0" fontId="49" fillId="51" borderId="6" xfId="10" applyFont="1" applyFill="1" applyBorder="1" applyAlignment="1">
      <alignment horizontal="left"/>
    </xf>
    <xf numFmtId="0" fontId="49" fillId="47" borderId="298" xfId="10" applyFont="1" applyFill="1" applyBorder="1" applyAlignment="1">
      <alignment horizontal="left" vertical="center"/>
    </xf>
    <xf numFmtId="0" fontId="49" fillId="51" borderId="316" xfId="10" applyFont="1" applyFill="1" applyBorder="1" applyAlignment="1">
      <alignment horizontal="left"/>
    </xf>
    <xf numFmtId="0" fontId="49" fillId="0" borderId="130" xfId="10" applyFont="1" applyBorder="1" applyAlignment="1">
      <alignment horizontal="center"/>
    </xf>
    <xf numFmtId="0" fontId="49" fillId="51" borderId="299" xfId="10" applyFont="1" applyFill="1" applyBorder="1" applyAlignment="1">
      <alignment horizontal="left"/>
    </xf>
    <xf numFmtId="0" fontId="49" fillId="46" borderId="30" xfId="10" applyFont="1" applyFill="1" applyBorder="1" applyAlignment="1">
      <alignment horizontal="left"/>
    </xf>
    <xf numFmtId="0" fontId="49" fillId="47" borderId="298" xfId="10" applyFont="1" applyFill="1" applyBorder="1" applyAlignment="1">
      <alignment vertical="center"/>
    </xf>
    <xf numFmtId="0" fontId="49" fillId="51" borderId="317" xfId="10" applyFont="1" applyFill="1" applyBorder="1" applyAlignment="1">
      <alignment horizontal="left"/>
    </xf>
    <xf numFmtId="0" fontId="49" fillId="46" borderId="298" xfId="10" applyFont="1" applyFill="1" applyBorder="1" applyAlignment="1">
      <alignment horizontal="center"/>
    </xf>
    <xf numFmtId="0" fontId="49" fillId="51" borderId="153" xfId="10" applyFont="1" applyFill="1" applyBorder="1" applyAlignment="1">
      <alignment horizontal="left"/>
    </xf>
    <xf numFmtId="0" fontId="49" fillId="46" borderId="152" xfId="10" applyFont="1" applyFill="1" applyBorder="1" applyAlignment="1">
      <alignment horizontal="center"/>
    </xf>
    <xf numFmtId="0" fontId="49" fillId="47" borderId="149" xfId="10" applyFont="1" applyFill="1" applyBorder="1" applyAlignment="1">
      <alignment horizontal="left"/>
    </xf>
    <xf numFmtId="0" fontId="49" fillId="46" borderId="15" xfId="10" applyFont="1" applyFill="1" applyBorder="1" applyAlignment="1">
      <alignment horizontal="left"/>
    </xf>
    <xf numFmtId="0" fontId="49" fillId="46" borderId="295" xfId="10" applyFont="1" applyFill="1" applyBorder="1" applyAlignment="1">
      <alignment horizontal="left"/>
    </xf>
    <xf numFmtId="0" fontId="49" fillId="46" borderId="298" xfId="10" applyFont="1" applyFill="1" applyBorder="1" applyAlignment="1">
      <alignment horizontal="left" vertical="center"/>
    </xf>
    <xf numFmtId="175" fontId="49" fillId="46" borderId="137" xfId="16" applyNumberFormat="1" applyFont="1" applyFill="1" applyBorder="1" applyAlignment="1">
      <alignment horizontal="center" shrinkToFit="1"/>
    </xf>
    <xf numFmtId="0" fontId="49" fillId="46" borderId="20" xfId="10" applyFont="1" applyFill="1" applyBorder="1" applyAlignment="1">
      <alignment horizontal="left"/>
    </xf>
    <xf numFmtId="0" fontId="49" fillId="46" borderId="145" xfId="10" applyFont="1" applyFill="1" applyBorder="1" applyAlignment="1">
      <alignment horizontal="center" vertical="center"/>
    </xf>
    <xf numFmtId="173" fontId="49" fillId="46" borderId="145" xfId="10" applyNumberFormat="1" applyFont="1" applyFill="1" applyBorder="1" applyAlignment="1">
      <alignment horizontal="center"/>
    </xf>
    <xf numFmtId="0" fontId="49" fillId="46" borderId="298" xfId="10" applyFont="1" applyFill="1" applyBorder="1" applyAlignment="1">
      <alignment horizontal="left"/>
    </xf>
    <xf numFmtId="175" fontId="49" fillId="46" borderId="148" xfId="16" applyNumberFormat="1" applyFont="1" applyFill="1" applyBorder="1" applyAlignment="1">
      <alignment horizontal="center" shrinkToFit="1"/>
    </xf>
    <xf numFmtId="0" fontId="49" fillId="47" borderId="160" xfId="10" applyFont="1" applyFill="1" applyBorder="1" applyAlignment="1">
      <alignment horizontal="left"/>
    </xf>
    <xf numFmtId="0" fontId="49" fillId="47" borderId="161" xfId="10" applyFont="1" applyFill="1" applyBorder="1" applyAlignment="1">
      <alignment horizontal="left"/>
    </xf>
    <xf numFmtId="0" fontId="25" fillId="58" borderId="0" xfId="10" applyFill="1" applyAlignment="1">
      <alignment horizontal="center" vertical="center"/>
    </xf>
    <xf numFmtId="0" fontId="49" fillId="58" borderId="0" xfId="10" applyFont="1" applyFill="1" applyAlignment="1">
      <alignment horizontal="center" vertical="center"/>
    </xf>
    <xf numFmtId="0" fontId="49" fillId="69" borderId="117" xfId="10" applyFont="1" applyFill="1" applyBorder="1" applyAlignment="1">
      <alignment horizontal="left"/>
    </xf>
    <xf numFmtId="0" fontId="49" fillId="46" borderId="0" xfId="10" applyFont="1" applyFill="1" applyAlignment="1">
      <alignment horizontal="left"/>
    </xf>
    <xf numFmtId="0" fontId="49" fillId="46" borderId="298" xfId="10" applyFont="1" applyFill="1" applyBorder="1" applyAlignment="1">
      <alignment horizontal="center" vertical="center"/>
    </xf>
    <xf numFmtId="0" fontId="49" fillId="47" borderId="318" xfId="10" applyFont="1" applyFill="1" applyBorder="1" applyAlignment="1">
      <alignment horizontal="center"/>
    </xf>
    <xf numFmtId="0" fontId="49" fillId="46" borderId="284" xfId="10" applyFont="1" applyFill="1" applyBorder="1" applyAlignment="1">
      <alignment horizontal="center"/>
    </xf>
    <xf numFmtId="173" fontId="49" fillId="46" borderId="117" xfId="10" applyNumberFormat="1" applyFont="1" applyFill="1" applyBorder="1" applyAlignment="1">
      <alignment horizontal="center"/>
    </xf>
    <xf numFmtId="0" fontId="49" fillId="51" borderId="319" xfId="10" applyFont="1" applyFill="1" applyBorder="1" applyAlignment="1">
      <alignment horizontal="left"/>
    </xf>
    <xf numFmtId="0" fontId="49" fillId="46" borderId="284" xfId="10" applyFont="1" applyFill="1" applyBorder="1" applyAlignment="1">
      <alignment horizontal="center" vertical="center"/>
    </xf>
    <xf numFmtId="0" fontId="49" fillId="46" borderId="119" xfId="10" applyFont="1" applyFill="1" applyBorder="1" applyAlignment="1">
      <alignment horizontal="center"/>
    </xf>
    <xf numFmtId="175" fontId="49" fillId="46" borderId="117" xfId="16" applyNumberFormat="1" applyFont="1" applyFill="1" applyBorder="1" applyAlignment="1">
      <alignment horizontal="center" shrinkToFit="1"/>
    </xf>
    <xf numFmtId="0" fontId="49" fillId="46" borderId="117" xfId="10" applyFont="1" applyFill="1" applyBorder="1" applyAlignment="1">
      <alignment horizontal="center" vertical="center"/>
    </xf>
    <xf numFmtId="0" fontId="49" fillId="46" borderId="320" xfId="10" applyFont="1" applyFill="1" applyBorder="1" applyAlignment="1">
      <alignment horizontal="left"/>
    </xf>
    <xf numFmtId="173" fontId="49" fillId="46" borderId="300" xfId="10" applyNumberFormat="1" applyFont="1" applyFill="1" applyBorder="1" applyAlignment="1">
      <alignment horizontal="center"/>
    </xf>
    <xf numFmtId="0" fontId="49" fillId="46" borderId="300" xfId="10" applyFont="1" applyFill="1" applyBorder="1" applyAlignment="1">
      <alignment horizontal="left"/>
    </xf>
    <xf numFmtId="0" fontId="49" fillId="51" borderId="303" xfId="10" applyFont="1" applyFill="1" applyBorder="1" applyAlignment="1">
      <alignment horizontal="left"/>
    </xf>
    <xf numFmtId="0" fontId="49" fillId="46" borderId="302" xfId="10" applyFont="1" applyFill="1" applyBorder="1" applyAlignment="1">
      <alignment horizontal="center"/>
    </xf>
    <xf numFmtId="0" fontId="49" fillId="46" borderId="302" xfId="10" applyFont="1" applyFill="1" applyBorder="1" applyAlignment="1">
      <alignment horizontal="center" vertical="center"/>
    </xf>
    <xf numFmtId="175" fontId="49" fillId="46" borderId="300" xfId="16" applyNumberFormat="1" applyFont="1" applyFill="1" applyBorder="1" applyAlignment="1">
      <alignment horizontal="center" shrinkToFit="1"/>
    </xf>
    <xf numFmtId="0" fontId="49" fillId="51" borderId="301" xfId="10" applyFont="1" applyFill="1" applyBorder="1" applyAlignment="1">
      <alignment horizontal="left"/>
    </xf>
    <xf numFmtId="0" fontId="49" fillId="46" borderId="300" xfId="10" applyFont="1" applyFill="1" applyBorder="1" applyAlignment="1">
      <alignment horizontal="center" vertical="center"/>
    </xf>
    <xf numFmtId="0" fontId="49" fillId="46" borderId="302" xfId="10" applyFont="1" applyFill="1" applyBorder="1" applyAlignment="1">
      <alignment horizontal="left"/>
    </xf>
    <xf numFmtId="0" fontId="49" fillId="46" borderId="320" xfId="10" applyFont="1" applyFill="1" applyBorder="1" applyAlignment="1">
      <alignment horizontal="center" vertical="center"/>
    </xf>
    <xf numFmtId="173" fontId="49" fillId="46" borderId="320" xfId="10" applyNumberFormat="1" applyFont="1" applyFill="1" applyBorder="1" applyAlignment="1">
      <alignment horizontal="center"/>
    </xf>
    <xf numFmtId="0" fontId="49" fillId="46" borderId="321" xfId="10" applyFont="1" applyFill="1" applyBorder="1" applyAlignment="1">
      <alignment horizontal="center"/>
    </xf>
    <xf numFmtId="174" fontId="49" fillId="46" borderId="300" xfId="10" applyNumberFormat="1" applyFont="1" applyFill="1" applyBorder="1" applyAlignment="1">
      <alignment horizontal="center"/>
    </xf>
    <xf numFmtId="0" fontId="49" fillId="10" borderId="305" xfId="10" applyFont="1" applyFill="1" applyBorder="1" applyAlignment="1">
      <alignment horizontal="center"/>
    </xf>
    <xf numFmtId="0" fontId="49" fillId="46" borderId="311" xfId="10" applyFont="1" applyFill="1" applyBorder="1" applyAlignment="1">
      <alignment horizontal="center"/>
    </xf>
    <xf numFmtId="0" fontId="49" fillId="64" borderId="137" xfId="10" applyFont="1" applyFill="1" applyBorder="1" applyAlignment="1">
      <alignment horizontal="left"/>
    </xf>
    <xf numFmtId="0" fontId="25" fillId="52" borderId="99" xfId="10" applyFill="1" applyBorder="1" applyAlignment="1">
      <alignment horizontal="center" vertical="center"/>
    </xf>
    <xf numFmtId="176" fontId="49" fillId="46" borderId="137" xfId="16" applyNumberFormat="1" applyFont="1" applyFill="1" applyBorder="1" applyAlignment="1">
      <alignment horizontal="center" vertical="center" shrinkToFit="1"/>
    </xf>
    <xf numFmtId="0" fontId="49" fillId="46" borderId="314" xfId="10" applyFont="1" applyFill="1" applyBorder="1" applyAlignment="1">
      <alignment horizontal="center"/>
    </xf>
    <xf numFmtId="0" fontId="49" fillId="47" borderId="314" xfId="10" applyFont="1" applyFill="1" applyBorder="1" applyAlignment="1">
      <alignment horizontal="center"/>
    </xf>
    <xf numFmtId="0" fontId="49" fillId="46" borderId="137" xfId="10" applyFont="1" applyFill="1" applyBorder="1" applyAlignment="1">
      <alignment vertical="top"/>
    </xf>
    <xf numFmtId="0" fontId="49" fillId="51" borderId="293" xfId="10" applyFont="1" applyFill="1" applyBorder="1" applyAlignment="1">
      <alignment vertical="center"/>
    </xf>
    <xf numFmtId="0" fontId="49" fillId="47" borderId="137" xfId="10" applyFont="1" applyFill="1" applyBorder="1" applyAlignment="1">
      <alignment vertical="center" wrapText="1"/>
    </xf>
    <xf numFmtId="173" fontId="49" fillId="46" borderId="137" xfId="10" applyNumberFormat="1" applyFont="1" applyFill="1" applyBorder="1" applyAlignment="1">
      <alignment horizontal="center" vertical="center"/>
    </xf>
    <xf numFmtId="0" fontId="49" fillId="51" borderId="30" xfId="10" applyFont="1" applyFill="1" applyBorder="1" applyAlignment="1">
      <alignment horizontal="left"/>
    </xf>
    <xf numFmtId="173" fontId="49" fillId="46" borderId="137" xfId="10" applyNumberFormat="1" applyFont="1" applyFill="1" applyBorder="1" applyAlignment="1">
      <alignment horizontal="center" vertical="top"/>
    </xf>
    <xf numFmtId="0" fontId="49" fillId="46" borderId="137" xfId="10" applyFont="1" applyFill="1" applyBorder="1" applyAlignment="1">
      <alignment horizontal="left" vertical="center"/>
    </xf>
    <xf numFmtId="0" fontId="49" fillId="51" borderId="309" xfId="10" applyFont="1" applyFill="1" applyBorder="1" applyAlignment="1">
      <alignment horizontal="left" vertical="center"/>
    </xf>
    <xf numFmtId="0" fontId="49" fillId="46" borderId="295" xfId="10" applyFont="1" applyFill="1" applyBorder="1" applyAlignment="1">
      <alignment horizontal="center"/>
    </xf>
    <xf numFmtId="0" fontId="49" fillId="64" borderId="148" xfId="10" applyFont="1" applyFill="1" applyBorder="1" applyAlignment="1">
      <alignment horizontal="left"/>
    </xf>
    <xf numFmtId="0" fontId="49" fillId="51" borderId="188" xfId="10" applyFont="1" applyFill="1" applyBorder="1" applyAlignment="1">
      <alignment horizontal="left"/>
    </xf>
    <xf numFmtId="0" fontId="49" fillId="46" borderId="15" xfId="10" applyFont="1" applyFill="1" applyBorder="1" applyAlignment="1">
      <alignment horizontal="center"/>
    </xf>
    <xf numFmtId="176" fontId="49" fillId="46" borderId="148" xfId="16" applyNumberFormat="1" applyFont="1" applyFill="1" applyBorder="1" applyAlignment="1">
      <alignment horizontal="center" vertical="center" shrinkToFit="1"/>
    </xf>
    <xf numFmtId="0" fontId="25" fillId="46" borderId="15" xfId="10" applyFill="1" applyBorder="1" applyAlignment="1">
      <alignment horizontal="center" vertical="center"/>
    </xf>
    <xf numFmtId="0" fontId="49" fillId="46" borderId="148" xfId="10" applyFont="1" applyFill="1" applyBorder="1" applyAlignment="1">
      <alignment vertical="top"/>
    </xf>
    <xf numFmtId="0" fontId="49" fillId="51" borderId="297" xfId="10" applyFont="1" applyFill="1" applyBorder="1" applyAlignment="1">
      <alignment vertical="center"/>
    </xf>
    <xf numFmtId="173" fontId="49" fillId="46" borderId="148" xfId="10" applyNumberFormat="1" applyFont="1" applyFill="1" applyBorder="1" applyAlignment="1">
      <alignment horizontal="center" vertical="center"/>
    </xf>
    <xf numFmtId="173" fontId="49" fillId="46" borderId="148" xfId="10" applyNumberFormat="1" applyFont="1" applyFill="1" applyBorder="1" applyAlignment="1">
      <alignment horizontal="center" vertical="top"/>
    </xf>
    <xf numFmtId="0" fontId="49" fillId="51" borderId="297" xfId="10" applyFont="1" applyFill="1" applyBorder="1" applyAlignment="1">
      <alignment horizontal="left" vertical="center"/>
    </xf>
    <xf numFmtId="171" fontId="49" fillId="47" borderId="148" xfId="16" applyFont="1" applyFill="1" applyBorder="1" applyAlignment="1">
      <alignment horizontal="center" vertical="center"/>
    </xf>
    <xf numFmtId="171" fontId="49" fillId="47" borderId="160" xfId="16" applyFont="1" applyFill="1" applyBorder="1" applyAlignment="1">
      <alignment horizontal="center" vertical="center"/>
    </xf>
    <xf numFmtId="0" fontId="49" fillId="46" borderId="15" xfId="10" applyFont="1" applyFill="1" applyBorder="1" applyAlignment="1">
      <alignment horizontal="left" wrapText="1" shrinkToFit="1"/>
    </xf>
    <xf numFmtId="0" fontId="49" fillId="0" borderId="0" xfId="10" applyFont="1" applyAlignment="1">
      <alignment horizontal="left" wrapText="1" shrinkToFit="1"/>
    </xf>
    <xf numFmtId="176" fontId="49" fillId="46" borderId="117" xfId="16" applyNumberFormat="1" applyFont="1" applyFill="1" applyBorder="1" applyAlignment="1">
      <alignment horizontal="center" vertical="center" shrinkToFit="1"/>
    </xf>
    <xf numFmtId="173" fontId="49" fillId="46" borderId="117" xfId="10" applyNumberFormat="1" applyFont="1" applyFill="1" applyBorder="1" applyAlignment="1">
      <alignment horizontal="center" vertical="center"/>
    </xf>
    <xf numFmtId="0" fontId="49" fillId="46" borderId="117" xfId="10" applyFont="1" applyFill="1" applyBorder="1" applyAlignment="1">
      <alignment vertical="top"/>
    </xf>
    <xf numFmtId="0" fontId="49" fillId="51" borderId="299" xfId="10" applyFont="1" applyFill="1" applyBorder="1" applyAlignment="1">
      <alignment vertical="center"/>
    </xf>
    <xf numFmtId="173" fontId="49" fillId="46" borderId="117" xfId="10" applyNumberFormat="1" applyFont="1" applyFill="1" applyBorder="1" applyAlignment="1">
      <alignment horizontal="center" vertical="top"/>
    </xf>
    <xf numFmtId="0" fontId="49" fillId="46" borderId="117" xfId="10" applyFont="1" applyFill="1" applyBorder="1" applyAlignment="1">
      <alignment horizontal="left" vertical="center"/>
    </xf>
    <xf numFmtId="0" fontId="49" fillId="51" borderId="299" xfId="10" applyFont="1" applyFill="1" applyBorder="1" applyAlignment="1">
      <alignment horizontal="left" vertical="center"/>
    </xf>
    <xf numFmtId="0" fontId="49" fillId="51" borderId="118" xfId="10" applyFont="1" applyFill="1" applyBorder="1" applyAlignment="1">
      <alignment horizontal="left"/>
    </xf>
    <xf numFmtId="0" fontId="49" fillId="47" borderId="322" xfId="10" applyFont="1" applyFill="1" applyBorder="1" applyAlignment="1">
      <alignment horizontal="center"/>
    </xf>
    <xf numFmtId="0" fontId="49" fillId="46" borderId="320" xfId="10" applyFont="1" applyFill="1" applyBorder="1" applyAlignment="1">
      <alignment horizontal="center"/>
    </xf>
    <xf numFmtId="0" fontId="49" fillId="46" borderId="323" xfId="10" applyFont="1" applyFill="1" applyBorder="1" applyAlignment="1">
      <alignment horizontal="left"/>
    </xf>
    <xf numFmtId="176" fontId="49" fillId="46" borderId="300" xfId="16" applyNumberFormat="1" applyFont="1" applyFill="1" applyBorder="1" applyAlignment="1">
      <alignment horizontal="center" vertical="center" shrinkToFit="1"/>
    </xf>
    <xf numFmtId="0" fontId="49" fillId="64" borderId="300" xfId="10" applyFont="1" applyFill="1" applyBorder="1" applyAlignment="1">
      <alignment horizontal="left"/>
    </xf>
    <xf numFmtId="0" fontId="49" fillId="46" borderId="300" xfId="10" applyFont="1" applyFill="1" applyBorder="1" applyAlignment="1">
      <alignment vertical="top"/>
    </xf>
    <xf numFmtId="0" fontId="49" fillId="51" borderId="301" xfId="10" applyFont="1" applyFill="1" applyBorder="1" applyAlignment="1">
      <alignment vertical="center"/>
    </xf>
    <xf numFmtId="173" fontId="49" fillId="46" borderId="300" xfId="10" applyNumberFormat="1" applyFont="1" applyFill="1" applyBorder="1" applyAlignment="1">
      <alignment horizontal="center" vertical="center"/>
    </xf>
    <xf numFmtId="173" fontId="49" fillId="46" borderId="300" xfId="10" applyNumberFormat="1" applyFont="1" applyFill="1" applyBorder="1" applyAlignment="1">
      <alignment horizontal="center" vertical="top"/>
    </xf>
    <xf numFmtId="0" fontId="49" fillId="46" borderId="300" xfId="10" applyFont="1" applyFill="1" applyBorder="1" applyAlignment="1">
      <alignment horizontal="left" vertical="center"/>
    </xf>
    <xf numFmtId="0" fontId="49" fillId="51" borderId="301" xfId="10" applyFont="1" applyFill="1" applyBorder="1" applyAlignment="1">
      <alignment horizontal="left" vertical="center"/>
    </xf>
    <xf numFmtId="176" fontId="49" fillId="46" borderId="148" xfId="16" applyNumberFormat="1" applyFont="1" applyFill="1" applyBorder="1" applyAlignment="1">
      <alignment horizontal="center" shrinkToFit="1"/>
    </xf>
    <xf numFmtId="176" fontId="49" fillId="46" borderId="137" xfId="16" applyNumberFormat="1" applyFont="1" applyFill="1" applyBorder="1" applyAlignment="1">
      <alignment horizontal="center" shrinkToFit="1"/>
    </xf>
    <xf numFmtId="0" fontId="49" fillId="46" borderId="148" xfId="16" applyNumberFormat="1" applyFont="1" applyFill="1" applyBorder="1" applyAlignment="1">
      <alignment horizontal="center" shrinkToFit="1"/>
    </xf>
    <xf numFmtId="171" fontId="49" fillId="0" borderId="0" xfId="16" applyFont="1" applyFill="1" applyBorder="1" applyAlignment="1">
      <alignment horizontal="center" vertical="center"/>
    </xf>
    <xf numFmtId="176" fontId="49" fillId="46" borderId="300" xfId="16" applyNumberFormat="1" applyFont="1" applyFill="1" applyBorder="1" applyAlignment="1">
      <alignment horizontal="center" shrinkToFit="1"/>
    </xf>
    <xf numFmtId="0" fontId="49" fillId="46" borderId="300" xfId="16" applyNumberFormat="1" applyFont="1" applyFill="1" applyBorder="1" applyAlignment="1">
      <alignment horizontal="center" shrinkToFit="1"/>
    </xf>
    <xf numFmtId="0" fontId="49" fillId="0" borderId="0" xfId="16" applyNumberFormat="1" applyFont="1" applyFill="1" applyBorder="1" applyAlignment="1">
      <alignment horizontal="center" vertical="center"/>
    </xf>
    <xf numFmtId="0" fontId="49" fillId="45" borderId="170" xfId="10" applyFont="1" applyFill="1" applyBorder="1" applyAlignment="1">
      <alignment horizontal="center" vertical="center"/>
    </xf>
    <xf numFmtId="0" fontId="49" fillId="47" borderId="179" xfId="10" applyFont="1" applyFill="1" applyBorder="1" applyAlignment="1">
      <alignment horizontal="left"/>
    </xf>
    <xf numFmtId="0" fontId="25" fillId="52" borderId="169" xfId="10" applyFill="1" applyBorder="1" applyAlignment="1">
      <alignment horizontal="center" vertical="center"/>
    </xf>
    <xf numFmtId="173" fontId="49" fillId="46" borderId="153" xfId="10" applyNumberFormat="1" applyFont="1" applyFill="1" applyBorder="1" applyAlignment="1">
      <alignment horizontal="center" vertical="center"/>
    </xf>
    <xf numFmtId="0" fontId="49" fillId="47" borderId="180" xfId="10" applyFont="1" applyFill="1" applyBorder="1" applyAlignment="1">
      <alignment horizontal="left"/>
    </xf>
    <xf numFmtId="0" fontId="49" fillId="47" borderId="183" xfId="10" applyFont="1" applyFill="1" applyBorder="1" applyAlignment="1">
      <alignment horizontal="left"/>
    </xf>
    <xf numFmtId="0" fontId="49" fillId="47" borderId="298" xfId="10" applyFont="1" applyFill="1" applyBorder="1" applyAlignment="1">
      <alignment horizontal="left"/>
    </xf>
    <xf numFmtId="173" fontId="49" fillId="46" borderId="118" xfId="10" applyNumberFormat="1" applyFont="1" applyFill="1" applyBorder="1" applyAlignment="1">
      <alignment horizontal="center" vertical="center"/>
    </xf>
    <xf numFmtId="0" fontId="49" fillId="46" borderId="15" xfId="10" applyFont="1" applyFill="1" applyBorder="1" applyAlignment="1">
      <alignment horizontal="center" vertical="center"/>
    </xf>
    <xf numFmtId="0" fontId="49" fillId="46" borderId="323" xfId="10" applyFont="1" applyFill="1" applyBorder="1" applyAlignment="1">
      <alignment horizontal="center"/>
    </xf>
    <xf numFmtId="0" fontId="49" fillId="46" borderId="327" xfId="10" applyFont="1" applyFill="1" applyBorder="1" applyAlignment="1">
      <alignment horizontal="center" vertical="center"/>
    </xf>
    <xf numFmtId="171" fontId="49" fillId="46" borderId="328" xfId="16" applyFont="1" applyFill="1" applyBorder="1" applyAlignment="1">
      <alignment horizontal="center" shrinkToFit="1"/>
    </xf>
    <xf numFmtId="0" fontId="49" fillId="0" borderId="8" xfId="10" applyFont="1" applyBorder="1" applyAlignment="1">
      <alignment horizontal="left"/>
    </xf>
    <xf numFmtId="0" fontId="49" fillId="47" borderId="162" xfId="10" applyFont="1" applyFill="1" applyBorder="1" applyAlignment="1">
      <alignment horizontal="left"/>
    </xf>
    <xf numFmtId="0" fontId="49" fillId="47" borderId="187" xfId="10" applyFont="1" applyFill="1" applyBorder="1" applyAlignment="1">
      <alignment horizontal="left"/>
    </xf>
    <xf numFmtId="173" fontId="49" fillId="46" borderId="145" xfId="10" applyNumberFormat="1" applyFont="1" applyFill="1" applyBorder="1" applyAlignment="1">
      <alignment horizontal="center" vertical="center"/>
    </xf>
    <xf numFmtId="0" fontId="49" fillId="46" borderId="30" xfId="10" applyFont="1" applyFill="1" applyBorder="1" applyAlignment="1">
      <alignment horizontal="center"/>
    </xf>
    <xf numFmtId="0" fontId="49" fillId="46" borderId="20" xfId="10" applyFont="1" applyFill="1" applyBorder="1" applyAlignment="1">
      <alignment horizontal="center"/>
    </xf>
    <xf numFmtId="0" fontId="49" fillId="51" borderId="293" xfId="10" applyFont="1" applyFill="1" applyBorder="1" applyAlignment="1">
      <alignment horizontal="center"/>
    </xf>
    <xf numFmtId="0" fontId="49" fillId="47" borderId="261" xfId="10" applyFont="1" applyFill="1" applyBorder="1" applyAlignment="1">
      <alignment horizontal="left"/>
    </xf>
    <xf numFmtId="0" fontId="49" fillId="51" borderId="297" xfId="10" applyFont="1" applyFill="1" applyBorder="1" applyAlignment="1">
      <alignment horizontal="center"/>
    </xf>
    <xf numFmtId="0" fontId="49" fillId="0" borderId="0" xfId="10" applyFont="1" applyAlignment="1">
      <alignment horizontal="center" wrapText="1" shrinkToFit="1"/>
    </xf>
    <xf numFmtId="0" fontId="49" fillId="46" borderId="261" xfId="10" applyFont="1" applyFill="1" applyBorder="1" applyAlignment="1">
      <alignment horizontal="left"/>
    </xf>
    <xf numFmtId="0" fontId="49" fillId="46" borderId="261" xfId="10" applyFont="1" applyFill="1" applyBorder="1" applyAlignment="1">
      <alignment horizontal="center"/>
    </xf>
    <xf numFmtId="171" fontId="49" fillId="51" borderId="297" xfId="16" applyFont="1" applyFill="1" applyBorder="1" applyAlignment="1">
      <alignment horizontal="center" shrinkToFit="1"/>
    </xf>
    <xf numFmtId="0" fontId="49" fillId="47" borderId="331" xfId="10" applyFont="1" applyFill="1" applyBorder="1" applyAlignment="1">
      <alignment horizontal="center"/>
    </xf>
    <xf numFmtId="0" fontId="49" fillId="46" borderId="118" xfId="10" applyFont="1" applyFill="1" applyBorder="1" applyAlignment="1">
      <alignment horizontal="center"/>
    </xf>
    <xf numFmtId="171" fontId="49" fillId="51" borderId="301" xfId="16" applyFont="1" applyFill="1" applyBorder="1" applyAlignment="1">
      <alignment horizontal="center" shrinkToFit="1"/>
    </xf>
    <xf numFmtId="171" fontId="49" fillId="0" borderId="8" xfId="16" applyFont="1" applyFill="1" applyBorder="1" applyAlignment="1">
      <alignment horizontal="center" shrinkToFit="1"/>
    </xf>
    <xf numFmtId="0" fontId="49" fillId="0" borderId="103" xfId="10" applyFont="1" applyBorder="1" applyAlignment="1">
      <alignment horizontal="left" vertical="center"/>
    </xf>
    <xf numFmtId="0" fontId="25" fillId="0" borderId="0" xfId="10" applyAlignment="1">
      <alignment horizontal="left" vertical="center"/>
    </xf>
    <xf numFmtId="0" fontId="25" fillId="0" borderId="103" xfId="10" applyBorder="1" applyAlignment="1">
      <alignment horizontal="left" vertical="center"/>
    </xf>
    <xf numFmtId="0" fontId="165" fillId="45" borderId="250" xfId="10" applyFont="1" applyFill="1" applyBorder="1" applyAlignment="1">
      <alignment horizontal="center" vertical="center"/>
    </xf>
    <xf numFmtId="0" fontId="165" fillId="45" borderId="140" xfId="10" applyFont="1" applyFill="1" applyBorder="1" applyAlignment="1">
      <alignment horizontal="center" vertical="center"/>
    </xf>
    <xf numFmtId="0" fontId="165" fillId="45" borderId="269" xfId="10" applyFont="1" applyFill="1" applyBorder="1" applyAlignment="1">
      <alignment horizontal="center" vertical="center"/>
    </xf>
    <xf numFmtId="0" fontId="165" fillId="45" borderId="29" xfId="10" applyFont="1" applyFill="1" applyBorder="1" applyAlignment="1">
      <alignment horizontal="center" vertical="center"/>
    </xf>
    <xf numFmtId="0" fontId="165" fillId="45" borderId="166" xfId="10" applyFont="1" applyFill="1" applyBorder="1" applyAlignment="1">
      <alignment horizontal="center" vertical="center"/>
    </xf>
    <xf numFmtId="0" fontId="49" fillId="45" borderId="138" xfId="10" applyFont="1" applyFill="1" applyBorder="1" applyAlignment="1">
      <alignment horizontal="center" vertical="center"/>
    </xf>
    <xf numFmtId="0" fontId="49" fillId="46" borderId="296" xfId="10" applyFont="1" applyFill="1" applyBorder="1" applyAlignment="1">
      <alignment horizontal="center" vertical="center"/>
    </xf>
    <xf numFmtId="0" fontId="49" fillId="46" borderId="294" xfId="10" applyFont="1" applyFill="1" applyBorder="1" applyAlignment="1">
      <alignment horizontal="center" vertical="center"/>
    </xf>
    <xf numFmtId="0" fontId="49" fillId="46" borderId="152" xfId="10" applyFont="1" applyFill="1" applyBorder="1" applyAlignment="1">
      <alignment horizontal="left"/>
    </xf>
    <xf numFmtId="0" fontId="49" fillId="51" borderId="153" xfId="10" applyFont="1" applyFill="1" applyBorder="1" applyAlignment="1">
      <alignment horizontal="left" vertical="center"/>
    </xf>
    <xf numFmtId="0" fontId="49" fillId="46" borderId="137" xfId="10" applyFont="1" applyFill="1" applyBorder="1" applyAlignment="1">
      <alignment horizontal="left" vertical="top"/>
    </xf>
    <xf numFmtId="0" fontId="49" fillId="46" borderId="333" xfId="10" applyFont="1" applyFill="1" applyBorder="1" applyAlignment="1">
      <alignment horizontal="center" vertical="center"/>
    </xf>
    <xf numFmtId="177" fontId="49" fillId="46" borderId="334" xfId="10" applyNumberFormat="1" applyFont="1" applyFill="1" applyBorder="1" applyAlignment="1">
      <alignment horizontal="center" vertical="center"/>
    </xf>
    <xf numFmtId="0" fontId="49" fillId="46" borderId="334" xfId="10" applyFont="1" applyFill="1" applyBorder="1" applyAlignment="1">
      <alignment horizontal="center" vertical="center"/>
    </xf>
    <xf numFmtId="0" fontId="49" fillId="46" borderId="334" xfId="10" applyFont="1" applyFill="1" applyBorder="1" applyAlignment="1">
      <alignment vertical="center" wrapText="1"/>
    </xf>
    <xf numFmtId="0" fontId="49" fillId="69" borderId="262" xfId="10" applyFont="1" applyFill="1" applyBorder="1" applyAlignment="1">
      <alignment vertical="center" wrapText="1"/>
    </xf>
    <xf numFmtId="0" fontId="49" fillId="0" borderId="179" xfId="10" applyFont="1" applyBorder="1" applyAlignment="1">
      <alignment horizontal="center" vertical="center"/>
    </xf>
    <xf numFmtId="0" fontId="49" fillId="69" borderId="110" xfId="10" applyFont="1" applyFill="1" applyBorder="1"/>
    <xf numFmtId="0" fontId="49" fillId="45" borderId="149" xfId="10" applyFont="1" applyFill="1" applyBorder="1" applyAlignment="1">
      <alignment horizontal="center" vertical="center"/>
    </xf>
    <xf numFmtId="0" fontId="49" fillId="46" borderId="148" xfId="10" applyFont="1" applyFill="1" applyBorder="1" applyAlignment="1">
      <alignment horizontal="left" vertical="top"/>
    </xf>
    <xf numFmtId="177" fontId="49" fillId="46" borderId="148" xfId="10" applyNumberFormat="1" applyFont="1" applyFill="1" applyBorder="1" applyAlignment="1">
      <alignment horizontal="center" vertical="center"/>
    </xf>
    <xf numFmtId="0" fontId="49" fillId="46" borderId="148" xfId="10" applyFont="1" applyFill="1" applyBorder="1" applyAlignment="1">
      <alignment vertical="center" wrapText="1"/>
    </xf>
    <xf numFmtId="0" fontId="49" fillId="69" borderId="149" xfId="10" applyFont="1" applyFill="1" applyBorder="1" applyAlignment="1">
      <alignment vertical="center" wrapText="1"/>
    </xf>
    <xf numFmtId="0" fontId="49" fillId="0" borderId="183" xfId="10" applyFont="1" applyBorder="1" applyAlignment="1">
      <alignment horizontal="center" vertical="center"/>
    </xf>
    <xf numFmtId="0" fontId="49" fillId="69" borderId="201" xfId="10" applyFont="1" applyFill="1" applyBorder="1"/>
    <xf numFmtId="0" fontId="49" fillId="69" borderId="152" xfId="10" applyFont="1" applyFill="1" applyBorder="1" applyAlignment="1">
      <alignment horizontal="left"/>
    </xf>
    <xf numFmtId="0" fontId="49" fillId="69" borderId="149" xfId="10" applyFont="1" applyFill="1" applyBorder="1" applyAlignment="1">
      <alignment horizontal="left"/>
    </xf>
    <xf numFmtId="171" fontId="49" fillId="69" borderId="153" xfId="10" applyNumberFormat="1" applyFont="1" applyFill="1" applyBorder="1" applyAlignment="1">
      <alignment horizontal="left"/>
    </xf>
    <xf numFmtId="0" fontId="49" fillId="69" borderId="153" xfId="10" applyFont="1" applyFill="1" applyBorder="1" applyAlignment="1">
      <alignment horizontal="left"/>
    </xf>
    <xf numFmtId="0" fontId="49" fillId="0" borderId="162" xfId="10" applyFont="1" applyBorder="1" applyAlignment="1">
      <alignment horizontal="center" vertical="center"/>
    </xf>
    <xf numFmtId="0" fontId="49" fillId="69" borderId="207" xfId="10" applyFont="1" applyFill="1" applyBorder="1"/>
    <xf numFmtId="0" fontId="49" fillId="46" borderId="322" xfId="10" applyFont="1" applyFill="1" applyBorder="1" applyAlignment="1">
      <alignment horizontal="center" vertical="center"/>
    </xf>
    <xf numFmtId="171" fontId="49" fillId="46" borderId="300" xfId="10" applyNumberFormat="1" applyFont="1" applyFill="1" applyBorder="1" applyAlignment="1">
      <alignment horizontal="left"/>
    </xf>
    <xf numFmtId="0" fontId="49" fillId="46" borderId="282" xfId="10" applyFont="1" applyFill="1" applyBorder="1" applyAlignment="1">
      <alignment horizontal="center" vertical="center"/>
    </xf>
    <xf numFmtId="171" fontId="49" fillId="69" borderId="165" xfId="10" applyNumberFormat="1" applyFont="1" applyFill="1" applyBorder="1" applyAlignment="1">
      <alignment horizontal="left"/>
    </xf>
    <xf numFmtId="0" fontId="49" fillId="51" borderId="283" xfId="10" applyFont="1" applyFill="1" applyBorder="1" applyAlignment="1">
      <alignment horizontal="left" vertical="center"/>
    </xf>
    <xf numFmtId="0" fontId="49" fillId="46" borderId="164" xfId="10" applyFont="1" applyFill="1" applyBorder="1" applyAlignment="1">
      <alignment horizontal="left"/>
    </xf>
    <xf numFmtId="0" fontId="49" fillId="46" borderId="160" xfId="10" applyFont="1" applyFill="1" applyBorder="1" applyAlignment="1">
      <alignment horizontal="left" vertical="top"/>
    </xf>
    <xf numFmtId="0" fontId="49" fillId="51" borderId="283" xfId="10" applyFont="1" applyFill="1" applyBorder="1" applyAlignment="1">
      <alignment horizontal="left"/>
    </xf>
    <xf numFmtId="0" fontId="49" fillId="46" borderId="110" xfId="10" applyFont="1" applyFill="1" applyBorder="1" applyAlignment="1">
      <alignment horizontal="left"/>
    </xf>
    <xf numFmtId="0" fontId="49" fillId="46" borderId="201" xfId="10" applyFont="1" applyFill="1" applyBorder="1" applyAlignment="1">
      <alignment horizontal="left"/>
    </xf>
    <xf numFmtId="0" fontId="49" fillId="45" borderId="161" xfId="10" applyFont="1" applyFill="1" applyBorder="1" applyAlignment="1">
      <alignment horizontal="center" vertical="center"/>
    </xf>
    <xf numFmtId="0" fontId="49" fillId="51" borderId="293" xfId="10" applyFont="1" applyFill="1" applyBorder="1" applyAlignment="1">
      <alignment horizontal="left" vertical="center"/>
    </xf>
    <xf numFmtId="177" fontId="49" fillId="46" borderId="160" xfId="10" applyNumberFormat="1" applyFont="1" applyFill="1" applyBorder="1" applyAlignment="1">
      <alignment horizontal="center" vertical="center"/>
    </xf>
    <xf numFmtId="0" fontId="49" fillId="46" borderId="160" xfId="10" applyFont="1" applyFill="1" applyBorder="1" applyAlignment="1">
      <alignment vertical="center" wrapText="1"/>
    </xf>
    <xf numFmtId="0" fontId="49" fillId="69" borderId="161" xfId="10" applyFont="1" applyFill="1" applyBorder="1" applyAlignment="1">
      <alignment vertical="center" wrapText="1"/>
    </xf>
    <xf numFmtId="171" fontId="49" fillId="69" borderId="149" xfId="10" applyNumberFormat="1" applyFont="1" applyFill="1" applyBorder="1" applyAlignment="1">
      <alignment horizontal="left"/>
    </xf>
    <xf numFmtId="0" fontId="25" fillId="0" borderId="208" xfId="10" applyBorder="1" applyAlignment="1">
      <alignment horizontal="center" vertical="center"/>
    </xf>
    <xf numFmtId="0" fontId="25" fillId="0" borderId="229" xfId="10" applyBorder="1" applyAlignment="1">
      <alignment horizontal="center" vertical="center"/>
    </xf>
    <xf numFmtId="0" fontId="49" fillId="0" borderId="0" xfId="10" applyFont="1" applyAlignment="1">
      <alignment horizontal="right" indent="1"/>
    </xf>
    <xf numFmtId="0" fontId="49" fillId="46" borderId="255" xfId="10" applyFont="1" applyFill="1" applyBorder="1" applyAlignment="1">
      <alignment horizontal="center"/>
    </xf>
    <xf numFmtId="0" fontId="49" fillId="69" borderId="201" xfId="10" applyFont="1" applyFill="1" applyBorder="1" applyAlignment="1">
      <alignment horizontal="left"/>
    </xf>
    <xf numFmtId="0" fontId="49" fillId="46" borderId="242" xfId="10" applyFont="1" applyFill="1" applyBorder="1" applyAlignment="1">
      <alignment horizontal="center"/>
    </xf>
    <xf numFmtId="0" fontId="49" fillId="46" borderId="138" xfId="10" applyFont="1" applyFill="1" applyBorder="1" applyAlignment="1">
      <alignment horizontal="left" vertical="top"/>
    </xf>
    <xf numFmtId="0" fontId="49" fillId="46" borderId="149" xfId="10" applyFont="1" applyFill="1" applyBorder="1" applyAlignment="1">
      <alignment horizontal="left" vertical="top"/>
    </xf>
    <xf numFmtId="0" fontId="49" fillId="46" borderId="256" xfId="10" applyFont="1" applyFill="1" applyBorder="1" applyAlignment="1">
      <alignment horizontal="center"/>
    </xf>
    <xf numFmtId="0" fontId="49" fillId="46" borderId="161" xfId="10" applyFont="1" applyFill="1" applyBorder="1" applyAlignment="1">
      <alignment horizontal="left" vertical="top"/>
    </xf>
    <xf numFmtId="0" fontId="156" fillId="10" borderId="169" xfId="10" applyFont="1" applyFill="1" applyBorder="1" applyAlignment="1">
      <alignment horizontal="center" vertical="center"/>
    </xf>
    <xf numFmtId="0" fontId="156" fillId="10" borderId="250" xfId="10" applyFont="1" applyFill="1" applyBorder="1" applyAlignment="1">
      <alignment horizontal="centerContinuous"/>
    </xf>
    <xf numFmtId="0" fontId="156" fillId="10" borderId="273" xfId="10" applyFont="1" applyFill="1" applyBorder="1" applyAlignment="1">
      <alignment horizontal="centerContinuous"/>
    </xf>
    <xf numFmtId="0" fontId="156" fillId="46" borderId="208" xfId="10" applyFont="1" applyFill="1" applyBorder="1" applyAlignment="1">
      <alignment horizontal="center" vertical="center"/>
    </xf>
    <xf numFmtId="0" fontId="156" fillId="45" borderId="208" xfId="10" applyFont="1" applyFill="1" applyBorder="1"/>
    <xf numFmtId="0" fontId="30" fillId="46" borderId="133" xfId="10" applyFont="1" applyFill="1" applyBorder="1" applyAlignment="1">
      <alignment horizontal="center"/>
    </xf>
    <xf numFmtId="0" fontId="156" fillId="8" borderId="134" xfId="10" applyFont="1" applyFill="1" applyBorder="1"/>
    <xf numFmtId="0" fontId="30" fillId="46" borderId="173" xfId="10" applyFont="1" applyFill="1" applyBorder="1" applyAlignment="1">
      <alignment horizontal="center" vertical="center"/>
    </xf>
    <xf numFmtId="0" fontId="156" fillId="62" borderId="132" xfId="10" applyFont="1" applyFill="1" applyBorder="1" applyAlignment="1">
      <alignment vertical="center"/>
    </xf>
    <xf numFmtId="0" fontId="156" fillId="62" borderId="132" xfId="10" applyFont="1" applyFill="1" applyBorder="1" applyAlignment="1">
      <alignment horizontal="center" vertical="center"/>
    </xf>
    <xf numFmtId="0" fontId="49" fillId="62" borderId="177" xfId="10" applyFont="1" applyFill="1" applyBorder="1" applyAlignment="1">
      <alignment horizontal="center" vertical="center"/>
    </xf>
    <xf numFmtId="0" fontId="49" fillId="46" borderId="229" xfId="10" applyFont="1" applyFill="1" applyBorder="1" applyAlignment="1">
      <alignment horizontal="center" vertical="center"/>
    </xf>
    <xf numFmtId="12" fontId="49" fillId="67" borderId="137" xfId="10" applyNumberFormat="1" applyFont="1" applyFill="1" applyBorder="1" applyAlignment="1">
      <alignment horizontal="center" vertical="center"/>
    </xf>
    <xf numFmtId="0" fontId="49" fillId="67" borderId="180" xfId="10" applyFont="1" applyFill="1" applyBorder="1" applyAlignment="1">
      <alignment horizontal="center" vertical="center"/>
    </xf>
    <xf numFmtId="0" fontId="49" fillId="67" borderId="138" xfId="10" applyFont="1" applyFill="1" applyBorder="1" applyAlignment="1">
      <alignment horizontal="center" vertical="center"/>
    </xf>
    <xf numFmtId="12" fontId="49" fillId="67" borderId="148" xfId="10" applyNumberFormat="1" applyFont="1" applyFill="1" applyBorder="1" applyAlignment="1">
      <alignment horizontal="center" vertical="center"/>
    </xf>
    <xf numFmtId="12" fontId="49" fillId="67" borderId="145" xfId="10" applyNumberFormat="1" applyFont="1" applyFill="1" applyBorder="1" applyAlignment="1">
      <alignment horizontal="center" vertical="center"/>
    </xf>
    <xf numFmtId="0" fontId="49" fillId="67" borderId="145" xfId="10" applyFont="1" applyFill="1" applyBorder="1" applyAlignment="1">
      <alignment horizontal="center" vertical="center"/>
    </xf>
    <xf numFmtId="12" fontId="49" fillId="67" borderId="117" xfId="10" applyNumberFormat="1" applyFont="1" applyFill="1" applyBorder="1" applyAlignment="1">
      <alignment horizontal="center" vertical="center"/>
    </xf>
    <xf numFmtId="0" fontId="49" fillId="67" borderId="117" xfId="10" applyFont="1" applyFill="1" applyBorder="1" applyAlignment="1">
      <alignment horizontal="center" vertical="center"/>
    </xf>
    <xf numFmtId="49" fontId="49" fillId="67" borderId="148" xfId="10" applyNumberFormat="1" applyFont="1" applyFill="1" applyBorder="1" applyAlignment="1">
      <alignment horizontal="center" vertical="center"/>
    </xf>
    <xf numFmtId="0" fontId="49" fillId="47" borderId="185" xfId="10" applyFont="1" applyFill="1" applyBorder="1" applyAlignment="1">
      <alignment horizontal="center"/>
    </xf>
    <xf numFmtId="0" fontId="49" fillId="67" borderId="120" xfId="10" applyFont="1" applyFill="1" applyBorder="1" applyAlignment="1">
      <alignment horizontal="center" vertical="center"/>
    </xf>
    <xf numFmtId="0" fontId="49" fillId="72" borderId="179" xfId="10" applyFont="1" applyFill="1" applyBorder="1" applyAlignment="1">
      <alignment horizontal="center"/>
    </xf>
    <xf numFmtId="0" fontId="49" fillId="72" borderId="137" xfId="10" applyFont="1" applyFill="1" applyBorder="1"/>
    <xf numFmtId="12" fontId="49" fillId="72" borderId="137" xfId="10" applyNumberFormat="1" applyFont="1" applyFill="1" applyBorder="1" applyAlignment="1">
      <alignment horizontal="center" vertical="center"/>
    </xf>
    <xf numFmtId="0" fontId="49" fillId="72" borderId="137" xfId="10" applyFont="1" applyFill="1" applyBorder="1" applyAlignment="1">
      <alignment horizontal="center" vertical="center"/>
    </xf>
    <xf numFmtId="0" fontId="49" fillId="72" borderId="138" xfId="10" applyFont="1" applyFill="1" applyBorder="1" applyAlignment="1">
      <alignment horizontal="center" vertical="center"/>
    </xf>
    <xf numFmtId="0" fontId="49" fillId="72" borderId="183" xfId="10" applyFont="1" applyFill="1" applyBorder="1" applyAlignment="1">
      <alignment horizontal="center"/>
    </xf>
    <xf numFmtId="0" fontId="49" fillId="72" borderId="148" xfId="10" applyFont="1" applyFill="1" applyBorder="1"/>
    <xf numFmtId="12" fontId="49" fillId="72" borderId="148" xfId="10" applyNumberFormat="1" applyFont="1" applyFill="1" applyBorder="1" applyAlignment="1">
      <alignment horizontal="center" vertical="center"/>
    </xf>
    <xf numFmtId="49" fontId="49" fillId="72" borderId="148" xfId="10" applyNumberFormat="1" applyFont="1" applyFill="1" applyBorder="1" applyAlignment="1">
      <alignment horizontal="center" vertical="center"/>
    </xf>
    <xf numFmtId="0" fontId="49" fillId="72" borderId="162" xfId="10" applyFont="1" applyFill="1" applyBorder="1" applyAlignment="1">
      <alignment horizontal="center"/>
    </xf>
    <xf numFmtId="0" fontId="49" fillId="72" borderId="160" xfId="10" applyFont="1" applyFill="1" applyBorder="1"/>
    <xf numFmtId="12" fontId="49" fillId="72" borderId="160" xfId="10" applyNumberFormat="1" applyFont="1" applyFill="1" applyBorder="1" applyAlignment="1">
      <alignment horizontal="center" vertical="center"/>
    </xf>
    <xf numFmtId="0" fontId="49" fillId="10" borderId="208" xfId="10" applyFont="1" applyFill="1" applyBorder="1" applyAlignment="1">
      <alignment horizontal="center" vertical="center"/>
    </xf>
    <xf numFmtId="0" fontId="30" fillId="10" borderId="229" xfId="10" applyFont="1" applyFill="1" applyBorder="1" applyAlignment="1">
      <alignment horizontal="center" vertical="center"/>
    </xf>
    <xf numFmtId="0" fontId="49" fillId="45" borderId="139" xfId="10" applyFont="1" applyFill="1" applyBorder="1"/>
    <xf numFmtId="0" fontId="49" fillId="69" borderId="150" xfId="10" applyFont="1" applyFill="1" applyBorder="1"/>
    <xf numFmtId="0" fontId="49" fillId="69" borderId="133" xfId="10" applyFont="1" applyFill="1" applyBorder="1"/>
    <xf numFmtId="0" fontId="49" fillId="10" borderId="98" xfId="10" applyFont="1" applyFill="1" applyBorder="1"/>
    <xf numFmtId="0" fontId="49" fillId="46" borderId="202" xfId="10" applyFont="1" applyFill="1" applyBorder="1" applyAlignment="1">
      <alignment horizontal="center"/>
    </xf>
    <xf numFmtId="0" fontId="156" fillId="10" borderId="139" xfId="10" applyFont="1" applyFill="1" applyBorder="1" applyAlignment="1">
      <alignment horizontal="center"/>
    </xf>
    <xf numFmtId="0" fontId="156" fillId="10" borderId="337" xfId="10" applyFont="1" applyFill="1" applyBorder="1" applyAlignment="1">
      <alignment horizontal="centerContinuous"/>
    </xf>
    <xf numFmtId="0" fontId="49" fillId="10" borderId="338" xfId="10" applyFont="1" applyFill="1" applyBorder="1" applyAlignment="1">
      <alignment horizontal="centerContinuous"/>
    </xf>
    <xf numFmtId="0" fontId="49" fillId="10" borderId="339" xfId="10" applyFont="1" applyFill="1" applyBorder="1" applyAlignment="1">
      <alignment horizontal="centerContinuous"/>
    </xf>
    <xf numFmtId="0" fontId="156" fillId="10" borderId="340" xfId="10" applyFont="1" applyFill="1" applyBorder="1" applyAlignment="1">
      <alignment horizontal="centerContinuous"/>
    </xf>
    <xf numFmtId="0" fontId="49" fillId="10" borderId="14" xfId="10" applyFont="1" applyFill="1" applyBorder="1" applyAlignment="1">
      <alignment horizontal="centerContinuous"/>
    </xf>
    <xf numFmtId="0" fontId="49" fillId="10" borderId="341" xfId="10" applyFont="1" applyFill="1" applyBorder="1" applyAlignment="1">
      <alignment horizontal="centerContinuous"/>
    </xf>
    <xf numFmtId="0" fontId="49" fillId="54" borderId="99" xfId="10" applyFont="1" applyFill="1" applyBorder="1" applyAlignment="1">
      <alignment horizontal="centerContinuous"/>
    </xf>
    <xf numFmtId="0" fontId="49" fillId="54" borderId="99" xfId="10" applyFont="1" applyFill="1" applyBorder="1"/>
    <xf numFmtId="0" fontId="49" fillId="54" borderId="100" xfId="10" applyFont="1" applyFill="1" applyBorder="1"/>
    <xf numFmtId="0" fontId="30" fillId="10" borderId="148" xfId="10" applyFont="1" applyFill="1" applyBorder="1"/>
    <xf numFmtId="0" fontId="49" fillId="10" borderId="148" xfId="10" applyFont="1" applyFill="1" applyBorder="1" applyAlignment="1">
      <alignment horizontal="center"/>
    </xf>
    <xf numFmtId="0" fontId="49" fillId="10" borderId="149" xfId="10" applyFont="1" applyFill="1" applyBorder="1" applyAlignment="1">
      <alignment horizontal="center"/>
    </xf>
    <xf numFmtId="0" fontId="49" fillId="10" borderId="138" xfId="10" applyFont="1" applyFill="1" applyBorder="1" applyAlignment="1">
      <alignment horizontal="center"/>
    </xf>
    <xf numFmtId="0" fontId="49" fillId="10" borderId="196" xfId="10" applyFont="1" applyFill="1" applyBorder="1" applyAlignment="1">
      <alignment horizontal="center"/>
    </xf>
    <xf numFmtId="0" fontId="49" fillId="10" borderId="199" xfId="10" applyFont="1" applyFill="1" applyBorder="1" applyAlignment="1">
      <alignment horizontal="center"/>
    </xf>
    <xf numFmtId="0" fontId="49" fillId="47" borderId="333" xfId="10" applyFont="1" applyFill="1" applyBorder="1" applyAlignment="1">
      <alignment horizontal="center"/>
    </xf>
    <xf numFmtId="0" fontId="172" fillId="47" borderId="334" xfId="10" applyFont="1" applyFill="1" applyBorder="1"/>
    <xf numFmtId="39" fontId="30" fillId="47" borderId="334" xfId="16" applyNumberFormat="1" applyFont="1" applyFill="1" applyBorder="1" applyAlignment="1" applyProtection="1">
      <alignment horizontal="right" indent="1"/>
    </xf>
    <xf numFmtId="169" fontId="30" fillId="47" borderId="334" xfId="16" applyNumberFormat="1" applyFont="1" applyFill="1" applyBorder="1" applyAlignment="1" applyProtection="1">
      <alignment horizontal="right" indent="2"/>
    </xf>
    <xf numFmtId="0" fontId="30" fillId="47" borderId="262" xfId="10" applyFont="1" applyFill="1" applyBorder="1" applyAlignment="1">
      <alignment horizontal="center"/>
    </xf>
    <xf numFmtId="0" fontId="30" fillId="47" borderId="148" xfId="10" applyFont="1" applyFill="1" applyBorder="1"/>
    <xf numFmtId="39" fontId="30" fillId="47" borderId="148" xfId="16" applyNumberFormat="1" applyFont="1" applyFill="1" applyBorder="1" applyAlignment="1" applyProtection="1">
      <alignment horizontal="right" indent="1"/>
    </xf>
    <xf numFmtId="169" fontId="30" fillId="47" borderId="148" xfId="16" applyNumberFormat="1" applyFont="1" applyFill="1" applyBorder="1" applyAlignment="1" applyProtection="1">
      <alignment horizontal="right" indent="2"/>
    </xf>
    <xf numFmtId="0" fontId="30" fillId="47" borderId="149" xfId="10" applyFont="1" applyFill="1" applyBorder="1" applyAlignment="1">
      <alignment horizontal="center"/>
    </xf>
    <xf numFmtId="0" fontId="49" fillId="46" borderId="137" xfId="10" applyFont="1" applyFill="1" applyBorder="1" applyAlignment="1">
      <alignment vertical="center"/>
    </xf>
    <xf numFmtId="0" fontId="49" fillId="46" borderId="138" xfId="10" applyFont="1" applyFill="1" applyBorder="1" applyAlignment="1">
      <alignment vertical="center"/>
    </xf>
    <xf numFmtId="0" fontId="49" fillId="46" borderId="148" xfId="10" applyFont="1" applyFill="1" applyBorder="1" applyAlignment="1">
      <alignment vertical="center"/>
    </xf>
    <xf numFmtId="0" fontId="49" fillId="46" borderId="149" xfId="10" applyFont="1" applyFill="1" applyBorder="1" applyAlignment="1">
      <alignment vertical="center"/>
    </xf>
    <xf numFmtId="0" fontId="49" fillId="47" borderId="119" xfId="10" applyFont="1" applyFill="1" applyBorder="1" applyAlignment="1">
      <alignment horizontal="center"/>
    </xf>
    <xf numFmtId="0" fontId="49" fillId="46" borderId="117" xfId="10" applyFont="1" applyFill="1" applyBorder="1" applyAlignment="1">
      <alignment vertical="center"/>
    </xf>
    <xf numFmtId="0" fontId="49" fillId="46" borderId="120" xfId="10" applyFont="1" applyFill="1" applyBorder="1" applyAlignment="1">
      <alignment vertical="center"/>
    </xf>
    <xf numFmtId="0" fontId="49" fillId="47" borderId="164" xfId="10" applyFont="1" applyFill="1" applyBorder="1" applyAlignment="1">
      <alignment horizontal="center"/>
    </xf>
    <xf numFmtId="0" fontId="49" fillId="46" borderId="160" xfId="10" applyFont="1" applyFill="1" applyBorder="1" applyAlignment="1">
      <alignment vertical="center"/>
    </xf>
    <xf numFmtId="0" fontId="49" fillId="46" borderId="161" xfId="10" applyFont="1" applyFill="1" applyBorder="1" applyAlignment="1">
      <alignment vertical="center"/>
    </xf>
    <xf numFmtId="0" fontId="49" fillId="10" borderId="99" xfId="10" applyFont="1" applyFill="1" applyBorder="1" applyAlignment="1">
      <alignment horizontal="centerContinuous"/>
    </xf>
    <xf numFmtId="0" fontId="49" fillId="10" borderId="100" xfId="10" applyFont="1" applyFill="1" applyBorder="1" applyAlignment="1">
      <alignment horizontal="centerContinuous"/>
    </xf>
    <xf numFmtId="0" fontId="49" fillId="46" borderId="149" xfId="10" applyFont="1" applyFill="1" applyBorder="1" applyAlignment="1">
      <alignment horizontal="center"/>
    </xf>
    <xf numFmtId="169" fontId="30" fillId="47" borderId="148" xfId="10" applyNumberFormat="1" applyFont="1" applyFill="1" applyBorder="1" applyAlignment="1">
      <alignment horizontal="right" indent="2"/>
    </xf>
    <xf numFmtId="0" fontId="49" fillId="47" borderId="137" xfId="10" applyFont="1" applyFill="1" applyBorder="1" applyAlignment="1">
      <alignment vertical="center"/>
    </xf>
    <xf numFmtId="0" fontId="49" fillId="47" borderId="138" xfId="10" applyFont="1" applyFill="1" applyBorder="1" applyAlignment="1">
      <alignment vertical="center"/>
    </xf>
    <xf numFmtId="0" fontId="49" fillId="47" borderId="148" xfId="10" applyFont="1" applyFill="1" applyBorder="1" applyAlignment="1">
      <alignment vertical="center"/>
    </xf>
    <xf numFmtId="0" fontId="156" fillId="10" borderId="98" xfId="10" applyFont="1" applyFill="1" applyBorder="1" applyAlignment="1">
      <alignment horizontal="center"/>
    </xf>
    <xf numFmtId="0" fontId="156" fillId="10" borderId="100" xfId="10" applyFont="1" applyFill="1" applyBorder="1" applyAlignment="1">
      <alignment horizontal="left"/>
    </xf>
    <xf numFmtId="0" fontId="156" fillId="10" borderId="123" xfId="10" applyFont="1" applyFill="1" applyBorder="1" applyAlignment="1">
      <alignment horizontal="center"/>
    </xf>
    <xf numFmtId="0" fontId="49" fillId="8" borderId="178" xfId="10" applyFont="1" applyFill="1" applyBorder="1" applyAlignment="1">
      <alignment horizontal="left"/>
    </xf>
    <xf numFmtId="0" fontId="49" fillId="47" borderId="117" xfId="10" applyFont="1" applyFill="1" applyBorder="1" applyAlignment="1">
      <alignment vertical="center"/>
    </xf>
    <xf numFmtId="0" fontId="49" fillId="47" borderId="153" xfId="10" applyFont="1" applyFill="1" applyBorder="1" applyAlignment="1">
      <alignment vertical="center"/>
    </xf>
    <xf numFmtId="0" fontId="49" fillId="47" borderId="177" xfId="10" applyFont="1" applyFill="1" applyBorder="1" applyAlignment="1">
      <alignment vertical="center"/>
    </xf>
    <xf numFmtId="0" fontId="49" fillId="47" borderId="152" xfId="10" applyFont="1" applyFill="1" applyBorder="1" applyAlignment="1">
      <alignment vertical="center"/>
    </xf>
    <xf numFmtId="0" fontId="49" fillId="47" borderId="182" xfId="10" applyFont="1" applyFill="1" applyBorder="1" applyAlignment="1">
      <alignment vertical="center"/>
    </xf>
    <xf numFmtId="0" fontId="25" fillId="0" borderId="0" xfId="10" applyAlignment="1">
      <alignment vertical="center"/>
    </xf>
    <xf numFmtId="0" fontId="49" fillId="47" borderId="165" xfId="10" applyFont="1" applyFill="1" applyBorder="1" applyAlignment="1">
      <alignment vertical="center"/>
    </xf>
    <xf numFmtId="0" fontId="49" fillId="47" borderId="194" xfId="10" applyFont="1" applyFill="1" applyBorder="1" applyAlignment="1">
      <alignment vertical="center"/>
    </xf>
    <xf numFmtId="0" fontId="49" fillId="47" borderId="164" xfId="10" applyFont="1" applyFill="1" applyBorder="1" applyAlignment="1">
      <alignment vertical="center"/>
    </xf>
    <xf numFmtId="0" fontId="49" fillId="47" borderId="160" xfId="10" applyFont="1" applyFill="1" applyBorder="1" applyAlignment="1">
      <alignment vertical="center"/>
    </xf>
    <xf numFmtId="0" fontId="49" fillId="47" borderId="145" xfId="10" applyFont="1" applyFill="1" applyBorder="1" applyAlignment="1">
      <alignment vertical="center"/>
    </xf>
    <xf numFmtId="0" fontId="173" fillId="0" borderId="0" xfId="10" applyFont="1" applyAlignment="1">
      <alignment vertical="center"/>
    </xf>
    <xf numFmtId="0" fontId="30" fillId="47" borderId="117" xfId="10" applyFont="1" applyFill="1" applyBorder="1"/>
    <xf numFmtId="39" fontId="30" fillId="47" borderId="117" xfId="16" applyNumberFormat="1" applyFont="1" applyFill="1" applyBorder="1" applyAlignment="1" applyProtection="1">
      <alignment horizontal="right" indent="1"/>
    </xf>
    <xf numFmtId="169" fontId="30" fillId="47" borderId="117" xfId="10" applyNumberFormat="1" applyFont="1" applyFill="1" applyBorder="1" applyAlignment="1">
      <alignment horizontal="right" indent="2"/>
    </xf>
    <xf numFmtId="0" fontId="30" fillId="47" borderId="120" xfId="10" applyFont="1" applyFill="1" applyBorder="1" applyAlignment="1">
      <alignment horizontal="center"/>
    </xf>
    <xf numFmtId="0" fontId="49" fillId="47" borderId="110" xfId="10" applyFont="1" applyFill="1" applyBorder="1" applyAlignment="1">
      <alignment vertical="center"/>
    </xf>
    <xf numFmtId="0" fontId="28" fillId="47" borderId="162" xfId="10" applyFont="1" applyFill="1" applyBorder="1" applyAlignment="1">
      <alignment horizontal="center"/>
    </xf>
    <xf numFmtId="0" fontId="174" fillId="47" borderId="160" xfId="10" applyFont="1" applyFill="1" applyBorder="1"/>
    <xf numFmtId="39" fontId="174" fillId="47" borderId="160" xfId="16" applyNumberFormat="1" applyFont="1" applyFill="1" applyBorder="1" applyAlignment="1">
      <alignment horizontal="right" indent="1"/>
    </xf>
    <xf numFmtId="169" fontId="174" fillId="47" borderId="160" xfId="10" applyNumberFormat="1" applyFont="1" applyFill="1" applyBorder="1" applyAlignment="1">
      <alignment horizontal="right" indent="2"/>
    </xf>
    <xf numFmtId="0" fontId="25" fillId="47" borderId="161" xfId="10" applyFill="1" applyBorder="1"/>
    <xf numFmtId="0" fontId="49" fillId="47" borderId="182" xfId="10" applyFont="1" applyFill="1" applyBorder="1" applyAlignment="1">
      <alignment vertical="center" wrapText="1"/>
    </xf>
    <xf numFmtId="0" fontId="49" fillId="46" borderId="171" xfId="10" applyFont="1" applyFill="1" applyBorder="1" applyAlignment="1">
      <alignment horizontal="center"/>
    </xf>
    <xf numFmtId="0" fontId="49" fillId="0" borderId="0" xfId="10" applyFont="1" applyAlignment="1">
      <alignment vertical="center"/>
    </xf>
    <xf numFmtId="0" fontId="156" fillId="10" borderId="337" xfId="10" applyFont="1" applyFill="1" applyBorder="1" applyAlignment="1">
      <alignment horizontal="centerContinuous" vertical="center"/>
    </xf>
    <xf numFmtId="0" fontId="49" fillId="10" borderId="338" xfId="10" applyFont="1" applyFill="1" applyBorder="1" applyAlignment="1">
      <alignment horizontal="centerContinuous" vertical="center"/>
    </xf>
    <xf numFmtId="0" fontId="49" fillId="10" borderId="339" xfId="10" applyFont="1" applyFill="1" applyBorder="1" applyAlignment="1">
      <alignment horizontal="centerContinuous" vertical="center"/>
    </xf>
    <xf numFmtId="0" fontId="156" fillId="10" borderId="101" xfId="10" applyFont="1" applyFill="1" applyBorder="1" applyAlignment="1">
      <alignment horizontal="centerContinuous" vertical="center"/>
    </xf>
    <xf numFmtId="0" fontId="49" fillId="10" borderId="29" xfId="10" applyFont="1" applyFill="1" applyBorder="1" applyAlignment="1">
      <alignment horizontal="centerContinuous" vertical="center"/>
    </xf>
    <xf numFmtId="0" fontId="49" fillId="10" borderId="102" xfId="10" applyFont="1" applyFill="1" applyBorder="1" applyAlignment="1">
      <alignment horizontal="centerContinuous" vertical="center"/>
    </xf>
    <xf numFmtId="0" fontId="49" fillId="10" borderId="342" xfId="10" applyFont="1" applyFill="1" applyBorder="1" applyAlignment="1">
      <alignment horizontal="center" vertical="center"/>
    </xf>
    <xf numFmtId="0" fontId="30" fillId="10" borderId="343" xfId="10" applyFont="1" applyFill="1" applyBorder="1" applyAlignment="1">
      <alignment vertical="center"/>
    </xf>
    <xf numFmtId="0" fontId="49" fillId="10" borderId="343" xfId="10" applyFont="1" applyFill="1" applyBorder="1" applyAlignment="1">
      <alignment horizontal="center" vertical="center"/>
    </xf>
    <xf numFmtId="0" fontId="49" fillId="10" borderId="343" xfId="10" applyFont="1" applyFill="1" applyBorder="1" applyAlignment="1">
      <alignment vertical="center"/>
    </xf>
    <xf numFmtId="0" fontId="49" fillId="10" borderId="344" xfId="10" applyFont="1" applyFill="1" applyBorder="1" applyAlignment="1">
      <alignment vertical="center"/>
    </xf>
    <xf numFmtId="0" fontId="49" fillId="10" borderId="345" xfId="10" applyFont="1" applyFill="1" applyBorder="1" applyAlignment="1">
      <alignment horizontal="center" vertical="center"/>
    </xf>
    <xf numFmtId="0" fontId="172" fillId="10" borderId="346" xfId="10" applyFont="1" applyFill="1" applyBorder="1" applyAlignment="1">
      <alignment vertical="center"/>
    </xf>
    <xf numFmtId="0" fontId="30" fillId="10" borderId="346" xfId="10" applyFont="1" applyFill="1" applyBorder="1" applyAlignment="1">
      <alignment horizontal="center" vertical="center"/>
    </xf>
    <xf numFmtId="0" fontId="30" fillId="10" borderId="346" xfId="10" applyFont="1" applyFill="1" applyBorder="1" applyAlignment="1">
      <alignment vertical="center"/>
    </xf>
    <xf numFmtId="0" fontId="49" fillId="10" borderId="346" xfId="10" applyFont="1" applyFill="1" applyBorder="1" applyAlignment="1">
      <alignment horizontal="center" vertical="center"/>
    </xf>
    <xf numFmtId="0" fontId="49" fillId="10" borderId="347" xfId="10" applyFont="1" applyFill="1" applyBorder="1" applyAlignment="1">
      <alignment horizontal="center" vertical="center"/>
    </xf>
    <xf numFmtId="0" fontId="49" fillId="47" borderId="333" xfId="10" applyFont="1" applyFill="1" applyBorder="1" applyAlignment="1">
      <alignment horizontal="center" vertical="center"/>
    </xf>
    <xf numFmtId="0" fontId="172" fillId="47" borderId="334" xfId="10" applyFont="1" applyFill="1" applyBorder="1" applyAlignment="1">
      <alignment vertical="center"/>
    </xf>
    <xf numFmtId="0" fontId="30" fillId="47" borderId="334" xfId="10" applyFont="1" applyFill="1" applyBorder="1" applyAlignment="1">
      <alignment horizontal="center" vertical="center"/>
    </xf>
    <xf numFmtId="0" fontId="49" fillId="47" borderId="334" xfId="10" applyFont="1" applyFill="1" applyBorder="1" applyAlignment="1">
      <alignment horizontal="center" vertical="center"/>
    </xf>
    <xf numFmtId="0" fontId="30" fillId="47" borderId="334" xfId="10" applyFont="1" applyFill="1" applyBorder="1" applyAlignment="1">
      <alignment vertical="center"/>
    </xf>
    <xf numFmtId="0" fontId="49" fillId="46" borderId="262" xfId="10" applyFont="1" applyFill="1" applyBorder="1" applyAlignment="1">
      <alignment vertical="center"/>
    </xf>
    <xf numFmtId="0" fontId="49" fillId="69" borderId="348" xfId="10" applyFont="1" applyFill="1" applyBorder="1" applyAlignment="1">
      <alignment horizontal="center" vertical="center"/>
    </xf>
    <xf numFmtId="0" fontId="172" fillId="69" borderId="349" xfId="10" applyFont="1" applyFill="1" applyBorder="1" applyAlignment="1">
      <alignment vertical="center"/>
    </xf>
    <xf numFmtId="0" fontId="49" fillId="69" borderId="349" xfId="10" applyFont="1" applyFill="1" applyBorder="1" applyAlignment="1">
      <alignment horizontal="center" vertical="center"/>
    </xf>
    <xf numFmtId="0" fontId="49" fillId="69" borderId="349" xfId="10" applyFont="1" applyFill="1" applyBorder="1" applyAlignment="1">
      <alignment vertical="center"/>
    </xf>
    <xf numFmtId="0" fontId="49" fillId="10" borderId="349" xfId="10" applyFont="1" applyFill="1" applyBorder="1" applyAlignment="1">
      <alignment horizontal="center" vertical="center"/>
    </xf>
    <xf numFmtId="0" fontId="49" fillId="10" borderId="350" xfId="10" applyFont="1" applyFill="1" applyBorder="1" applyAlignment="1">
      <alignment horizontal="center" vertical="center"/>
    </xf>
    <xf numFmtId="0" fontId="30" fillId="47" borderId="148" xfId="10" applyFont="1" applyFill="1" applyBorder="1" applyAlignment="1">
      <alignment vertical="center"/>
    </xf>
    <xf numFmtId="0" fontId="30" fillId="47" borderId="148" xfId="10" applyFont="1" applyFill="1" applyBorder="1" applyAlignment="1">
      <alignment horizontal="center" vertical="center"/>
    </xf>
    <xf numFmtId="0" fontId="172" fillId="47" borderId="148" xfId="10" applyFont="1" applyFill="1" applyBorder="1" applyAlignment="1">
      <alignment vertical="center"/>
    </xf>
    <xf numFmtId="0" fontId="49" fillId="47" borderId="185" xfId="10" applyFont="1" applyFill="1" applyBorder="1" applyAlignment="1">
      <alignment horizontal="center" vertical="center"/>
    </xf>
    <xf numFmtId="0" fontId="172" fillId="47" borderId="117" xfId="10" applyFont="1" applyFill="1" applyBorder="1" applyAlignment="1">
      <alignment vertical="center"/>
    </xf>
    <xf numFmtId="0" fontId="30" fillId="47" borderId="117" xfId="10" applyFont="1" applyFill="1" applyBorder="1" applyAlignment="1">
      <alignment horizontal="center" vertical="center"/>
    </xf>
    <xf numFmtId="0" fontId="30" fillId="47" borderId="117" xfId="10" applyFont="1" applyFill="1" applyBorder="1" applyAlignment="1">
      <alignment vertical="center"/>
    </xf>
    <xf numFmtId="0" fontId="49" fillId="46" borderId="120" xfId="10" applyFont="1" applyFill="1" applyBorder="1" applyAlignment="1">
      <alignment horizontal="center" vertical="center"/>
    </xf>
    <xf numFmtId="0" fontId="49" fillId="10" borderId="348" xfId="10" applyFont="1" applyFill="1" applyBorder="1" applyAlignment="1">
      <alignment horizontal="center" vertical="center"/>
    </xf>
    <xf numFmtId="0" fontId="172" fillId="10" borderId="349" xfId="10" applyFont="1" applyFill="1" applyBorder="1" applyAlignment="1">
      <alignment vertical="center"/>
    </xf>
    <xf numFmtId="0" fontId="49" fillId="10" borderId="349" xfId="10" applyFont="1" applyFill="1" applyBorder="1" applyAlignment="1">
      <alignment vertical="center"/>
    </xf>
    <xf numFmtId="0" fontId="49" fillId="47" borderId="351" xfId="10" applyFont="1" applyFill="1" applyBorder="1" applyAlignment="1">
      <alignment horizontal="center" vertical="center"/>
    </xf>
    <xf numFmtId="0" fontId="30" fillId="47" borderId="352" xfId="10" applyFont="1" applyFill="1" applyBorder="1" applyAlignment="1">
      <alignment vertical="center"/>
    </xf>
    <xf numFmtId="0" fontId="30" fillId="47" borderId="352" xfId="10" applyFont="1" applyFill="1" applyBorder="1" applyAlignment="1">
      <alignment horizontal="center" vertical="center"/>
    </xf>
    <xf numFmtId="0" fontId="49" fillId="47" borderId="352" xfId="10" applyFont="1" applyFill="1" applyBorder="1" applyAlignment="1">
      <alignment horizontal="center" vertical="center"/>
    </xf>
    <xf numFmtId="1" fontId="30" fillId="47" borderId="148" xfId="10" applyNumberFormat="1" applyFont="1" applyFill="1" applyBorder="1" applyAlignment="1">
      <alignment horizontal="center" vertical="center"/>
    </xf>
    <xf numFmtId="0" fontId="49" fillId="47" borderId="204" xfId="10" applyFont="1" applyFill="1" applyBorder="1" applyAlignment="1">
      <alignment horizontal="center" vertical="center"/>
    </xf>
    <xf numFmtId="0" fontId="172" fillId="47" borderId="15" xfId="10" applyFont="1" applyFill="1" applyBorder="1" applyAlignment="1">
      <alignment vertical="center"/>
    </xf>
    <xf numFmtId="0" fontId="30" fillId="47" borderId="15" xfId="10" applyFont="1" applyFill="1" applyBorder="1" applyAlignment="1">
      <alignment horizontal="center" vertical="center"/>
    </xf>
    <xf numFmtId="0" fontId="30" fillId="47" borderId="0" xfId="10" applyFont="1" applyFill="1" applyAlignment="1">
      <alignment vertical="center"/>
    </xf>
    <xf numFmtId="0" fontId="30" fillId="47" borderId="0" xfId="10" applyFont="1" applyFill="1" applyAlignment="1">
      <alignment horizontal="center" vertical="center"/>
    </xf>
    <xf numFmtId="0" fontId="49" fillId="46" borderId="0" xfId="10" applyFont="1" applyFill="1" applyAlignment="1">
      <alignment horizontal="center" vertical="center"/>
    </xf>
    <xf numFmtId="0" fontId="49" fillId="46" borderId="111" xfId="10" applyFont="1" applyFill="1" applyBorder="1" applyAlignment="1">
      <alignment horizontal="center" vertical="center"/>
    </xf>
    <xf numFmtId="0" fontId="49" fillId="10" borderId="353" xfId="10" applyFont="1" applyFill="1" applyBorder="1" applyAlignment="1">
      <alignment vertical="center"/>
    </xf>
    <xf numFmtId="0" fontId="49" fillId="10" borderId="353" xfId="10" applyFont="1" applyFill="1" applyBorder="1" applyAlignment="1">
      <alignment horizontal="center" vertical="center"/>
    </xf>
    <xf numFmtId="0" fontId="49" fillId="10" borderId="354" xfId="10" applyFont="1" applyFill="1" applyBorder="1" applyAlignment="1">
      <alignment horizontal="center" vertical="center"/>
    </xf>
    <xf numFmtId="0" fontId="172" fillId="47" borderId="160" xfId="10" applyFont="1" applyFill="1" applyBorder="1" applyAlignment="1">
      <alignment vertical="center"/>
    </xf>
    <xf numFmtId="0" fontId="30" fillId="47" borderId="160" xfId="10" applyFont="1" applyFill="1" applyBorder="1" applyAlignment="1">
      <alignment horizontal="center" vertical="center"/>
    </xf>
    <xf numFmtId="0" fontId="30" fillId="47" borderId="160" xfId="10" applyFont="1" applyFill="1" applyBorder="1" applyAlignment="1">
      <alignment vertical="center"/>
    </xf>
    <xf numFmtId="0" fontId="49" fillId="10" borderId="101" xfId="10" applyFont="1" applyFill="1" applyBorder="1" applyAlignment="1">
      <alignment horizontal="center" vertical="center"/>
    </xf>
    <xf numFmtId="0" fontId="49" fillId="10" borderId="29" xfId="10" applyFont="1" applyFill="1" applyBorder="1" applyAlignment="1">
      <alignment vertical="center"/>
    </xf>
    <xf numFmtId="0" fontId="49" fillId="10" borderId="29" xfId="10" applyFont="1" applyFill="1" applyBorder="1" applyAlignment="1">
      <alignment horizontal="center" vertical="center"/>
    </xf>
    <xf numFmtId="0" fontId="49" fillId="10" borderId="102" xfId="10" applyFont="1" applyFill="1" applyBorder="1" applyAlignment="1">
      <alignment horizontal="center" vertical="center"/>
    </xf>
    <xf numFmtId="0" fontId="49" fillId="10" borderId="123" xfId="10" applyFont="1" applyFill="1" applyBorder="1" applyAlignment="1">
      <alignment horizontal="center" vertical="center"/>
    </xf>
    <xf numFmtId="0" fontId="49" fillId="69" borderId="98" xfId="10" applyFont="1" applyFill="1" applyBorder="1" applyAlignment="1">
      <alignment horizontal="center" vertical="center"/>
    </xf>
    <xf numFmtId="0" fontId="49" fillId="69" borderId="99" xfId="10" applyFont="1" applyFill="1" applyBorder="1" applyAlignment="1">
      <alignment horizontal="left" vertical="center"/>
    </xf>
    <xf numFmtId="0" fontId="49" fillId="69" borderId="100" xfId="10" applyFont="1" applyFill="1" applyBorder="1" applyAlignment="1">
      <alignment vertical="center"/>
    </xf>
    <xf numFmtId="0" fontId="49" fillId="10" borderId="191" xfId="10" applyFont="1" applyFill="1" applyBorder="1" applyAlignment="1">
      <alignment vertical="center"/>
    </xf>
    <xf numFmtId="0" fontId="49" fillId="46" borderId="128" xfId="10" applyFont="1" applyFill="1" applyBorder="1" applyAlignment="1">
      <alignment vertical="center"/>
    </xf>
    <xf numFmtId="0" fontId="49" fillId="10" borderId="191" xfId="10" applyFont="1" applyFill="1" applyBorder="1" applyAlignment="1">
      <alignment horizontal="right" vertical="center"/>
    </xf>
    <xf numFmtId="0" fontId="49" fillId="46" borderId="134" xfId="10" applyFont="1" applyFill="1" applyBorder="1" applyAlignment="1">
      <alignment horizontal="center" vertical="center"/>
    </xf>
    <xf numFmtId="0" fontId="49" fillId="0" borderId="169" xfId="10" applyFont="1" applyBorder="1" applyAlignment="1">
      <alignment horizontal="left" vertical="center"/>
    </xf>
    <xf numFmtId="0" fontId="49" fillId="46" borderId="355" xfId="10" applyFont="1" applyFill="1" applyBorder="1" applyAlignment="1">
      <alignment vertical="center"/>
    </xf>
    <xf numFmtId="0" fontId="49" fillId="46" borderId="339" xfId="10" applyFont="1" applyFill="1" applyBorder="1" applyAlignment="1">
      <alignment vertical="center"/>
    </xf>
    <xf numFmtId="0" fontId="49" fillId="62" borderId="0" xfId="10" applyFont="1" applyFill="1" applyAlignment="1">
      <alignment vertical="center"/>
    </xf>
    <xf numFmtId="0" fontId="49" fillId="46" borderId="111" xfId="10" applyFont="1" applyFill="1" applyBorder="1" applyAlignment="1">
      <alignment vertical="center"/>
    </xf>
    <xf numFmtId="0" fontId="49" fillId="47" borderId="188" xfId="10" applyFont="1" applyFill="1" applyBorder="1" applyAlignment="1">
      <alignment vertical="center"/>
    </xf>
    <xf numFmtId="0" fontId="49" fillId="47" borderId="206" xfId="10" applyFont="1" applyFill="1" applyBorder="1" applyAlignment="1">
      <alignment vertical="center"/>
    </xf>
    <xf numFmtId="0" fontId="49" fillId="47" borderId="348" xfId="10" applyFont="1" applyFill="1" applyBorder="1" applyAlignment="1">
      <alignment horizontal="center" vertical="center"/>
    </xf>
    <xf numFmtId="0" fontId="49" fillId="47" borderId="356" xfId="10" applyFont="1" applyFill="1" applyBorder="1" applyAlignment="1">
      <alignment vertical="center"/>
    </xf>
    <xf numFmtId="0" fontId="49" fillId="47" borderId="354" xfId="10" applyFont="1" applyFill="1" applyBorder="1" applyAlignment="1">
      <alignment vertical="center"/>
    </xf>
    <xf numFmtId="0" fontId="49" fillId="47" borderId="201" xfId="10" applyFont="1" applyFill="1" applyBorder="1" applyAlignment="1">
      <alignment vertical="center"/>
    </xf>
    <xf numFmtId="0" fontId="49" fillId="47" borderId="207" xfId="10" applyFont="1" applyFill="1" applyBorder="1" applyAlignment="1">
      <alignment vertical="center"/>
    </xf>
    <xf numFmtId="0" fontId="49" fillId="10" borderId="99" xfId="10" applyFont="1" applyFill="1" applyBorder="1" applyAlignment="1">
      <alignment horizontal="centerContinuous" vertical="center"/>
    </xf>
    <xf numFmtId="0" fontId="49" fillId="10" borderId="100" xfId="10" applyFont="1" applyFill="1" applyBorder="1" applyAlignment="1">
      <alignment horizontal="centerContinuous" vertical="center"/>
    </xf>
    <xf numFmtId="0" fontId="49" fillId="10" borderId="103" xfId="10" applyFont="1" applyFill="1" applyBorder="1" applyAlignment="1">
      <alignment horizontal="center" vertical="center"/>
    </xf>
    <xf numFmtId="0" fontId="49" fillId="46" borderId="355" xfId="10" applyFont="1" applyFill="1" applyBorder="1" applyAlignment="1">
      <alignment horizontal="left" vertical="center"/>
    </xf>
    <xf numFmtId="0" fontId="49" fillId="47" borderId="207" xfId="10" applyFont="1" applyFill="1" applyBorder="1" applyAlignment="1">
      <alignment horizontal="center" vertical="center"/>
    </xf>
    <xf numFmtId="0" fontId="30" fillId="0" borderId="0" xfId="18" applyFont="1" applyAlignment="1">
      <alignment horizontal="center"/>
    </xf>
    <xf numFmtId="0" fontId="30" fillId="0" borderId="0" xfId="18" applyFont="1"/>
    <xf numFmtId="0" fontId="156" fillId="54" borderId="98" xfId="10" applyFont="1" applyFill="1" applyBorder="1" applyAlignment="1">
      <alignment horizontal="centerContinuous"/>
    </xf>
    <xf numFmtId="0" fontId="156" fillId="54" borderId="99" xfId="10" applyFont="1" applyFill="1" applyBorder="1" applyAlignment="1">
      <alignment horizontal="centerContinuous"/>
    </xf>
    <xf numFmtId="0" fontId="49" fillId="54" borderId="102" xfId="10" applyFont="1" applyFill="1" applyBorder="1" applyAlignment="1">
      <alignment horizontal="centerContinuous"/>
    </xf>
    <xf numFmtId="0" fontId="30" fillId="10" borderId="98" xfId="18" applyFont="1" applyFill="1" applyBorder="1" applyAlignment="1">
      <alignment horizontal="center"/>
    </xf>
    <xf numFmtId="0" fontId="30" fillId="10" borderId="99" xfId="18" applyFont="1" applyFill="1" applyBorder="1"/>
    <xf numFmtId="0" fontId="30" fillId="10" borderId="99" xfId="18" applyFont="1" applyFill="1" applyBorder="1" applyAlignment="1">
      <alignment horizontal="center"/>
    </xf>
    <xf numFmtId="0" fontId="30" fillId="10" borderId="29" xfId="18" applyFont="1" applyFill="1" applyBorder="1"/>
    <xf numFmtId="0" fontId="30" fillId="10" borderId="29" xfId="18" applyFont="1" applyFill="1" applyBorder="1" applyAlignment="1">
      <alignment horizontal="center"/>
    </xf>
    <xf numFmtId="0" fontId="30" fillId="10" borderId="102" xfId="18" applyFont="1" applyFill="1" applyBorder="1"/>
    <xf numFmtId="0" fontId="175" fillId="0" borderId="0" xfId="18" applyFont="1" applyAlignment="1">
      <alignment horizontal="center"/>
    </xf>
    <xf numFmtId="0" fontId="49" fillId="10" borderId="179" xfId="10" applyFont="1" applyFill="1" applyBorder="1" applyAlignment="1">
      <alignment horizontal="right"/>
    </xf>
    <xf numFmtId="0" fontId="30" fillId="46" borderId="137" xfId="10" applyFont="1" applyFill="1" applyBorder="1" applyAlignment="1">
      <alignment horizontal="center"/>
    </xf>
    <xf numFmtId="0" fontId="30" fillId="10" borderId="192" xfId="10" applyFont="1" applyFill="1" applyBorder="1" applyAlignment="1">
      <alignment horizontal="center"/>
    </xf>
    <xf numFmtId="0" fontId="49" fillId="10" borderId="101" xfId="10" applyFont="1" applyFill="1" applyBorder="1" applyAlignment="1">
      <alignment horizontal="center"/>
    </xf>
    <xf numFmtId="0" fontId="49" fillId="46" borderId="102" xfId="10" applyFont="1" applyFill="1" applyBorder="1"/>
    <xf numFmtId="0" fontId="49" fillId="46" borderId="345" xfId="10" applyFont="1" applyFill="1" applyBorder="1" applyAlignment="1">
      <alignment horizontal="center"/>
    </xf>
    <xf numFmtId="0" fontId="49" fillId="46" borderId="357" xfId="10" applyFont="1" applyFill="1" applyBorder="1" applyAlignment="1">
      <alignment horizontal="left"/>
    </xf>
    <xf numFmtId="178" fontId="49" fillId="46" borderId="347" xfId="10" applyNumberFormat="1" applyFont="1" applyFill="1" applyBorder="1" applyAlignment="1">
      <alignment horizontal="center"/>
    </xf>
    <xf numFmtId="0" fontId="30" fillId="10" borderId="173" xfId="18" applyFont="1" applyFill="1" applyBorder="1" applyAlignment="1">
      <alignment horizontal="center"/>
    </xf>
    <xf numFmtId="0" fontId="175" fillId="10" borderId="125" xfId="18" applyFont="1" applyFill="1" applyBorder="1" applyAlignment="1">
      <alignment horizontal="center"/>
    </xf>
    <xf numFmtId="0" fontId="175" fillId="54" borderId="125" xfId="18" applyFont="1" applyFill="1" applyBorder="1" applyAlignment="1">
      <alignment horizontal="center"/>
    </xf>
    <xf numFmtId="0" fontId="175" fillId="54" borderId="202" xfId="18" applyFont="1" applyFill="1" applyBorder="1" applyAlignment="1">
      <alignment horizontal="center"/>
    </xf>
    <xf numFmtId="0" fontId="30" fillId="10" borderId="202" xfId="18" applyFont="1" applyFill="1" applyBorder="1" applyAlignment="1">
      <alignment horizontal="center"/>
    </xf>
    <xf numFmtId="0" fontId="175" fillId="10" borderId="202" xfId="18" applyFont="1" applyFill="1" applyBorder="1" applyAlignment="1">
      <alignment horizontal="center"/>
    </xf>
    <xf numFmtId="0" fontId="175" fillId="10" borderId="171" xfId="18" applyFont="1" applyFill="1" applyBorder="1" applyAlignment="1">
      <alignment horizontal="center"/>
    </xf>
    <xf numFmtId="0" fontId="49" fillId="10" borderId="183" xfId="10" applyFont="1" applyFill="1" applyBorder="1" applyAlignment="1">
      <alignment horizontal="right"/>
    </xf>
    <xf numFmtId="0" fontId="30" fillId="10" borderId="205" xfId="10" applyFont="1" applyFill="1" applyBorder="1" applyAlignment="1">
      <alignment horizontal="center"/>
    </xf>
    <xf numFmtId="0" fontId="49" fillId="47" borderId="348" xfId="10" applyFont="1" applyFill="1" applyBorder="1" applyAlignment="1">
      <alignment horizontal="center"/>
    </xf>
    <xf numFmtId="0" fontId="49" fillId="47" borderId="350" xfId="10" applyFont="1" applyFill="1" applyBorder="1" applyAlignment="1">
      <alignment vertical="center"/>
    </xf>
    <xf numFmtId="0" fontId="49" fillId="8" borderId="349" xfId="10" applyFont="1" applyFill="1" applyBorder="1" applyAlignment="1">
      <alignment horizontal="left" vertical="center"/>
    </xf>
    <xf numFmtId="178" fontId="49" fillId="8" borderId="350" xfId="10" applyNumberFormat="1" applyFont="1" applyFill="1" applyBorder="1" applyAlignment="1">
      <alignment horizontal="center"/>
    </xf>
    <xf numFmtId="0" fontId="30" fillId="67" borderId="179" xfId="18" applyFont="1" applyFill="1" applyBorder="1" applyAlignment="1">
      <alignment horizontal="center"/>
    </xf>
    <xf numFmtId="0" fontId="30" fillId="67" borderId="137" xfId="18" applyFont="1" applyFill="1" applyBorder="1"/>
    <xf numFmtId="1" fontId="30" fillId="67" borderId="137" xfId="18" applyNumberFormat="1" applyFont="1" applyFill="1" applyBorder="1" applyAlignment="1">
      <alignment horizontal="center"/>
    </xf>
    <xf numFmtId="0" fontId="30" fillId="67" borderId="137" xfId="18" applyFont="1" applyFill="1" applyBorder="1" applyAlignment="1">
      <alignment horizontal="center"/>
    </xf>
    <xf numFmtId="0" fontId="30" fillId="67" borderId="144" xfId="18" applyFont="1" applyFill="1" applyBorder="1"/>
    <xf numFmtId="178" fontId="30" fillId="67" borderId="137" xfId="18" applyNumberFormat="1" applyFont="1" applyFill="1" applyBorder="1"/>
    <xf numFmtId="178" fontId="30" fillId="67" borderId="138" xfId="18" applyNumberFormat="1" applyFont="1" applyFill="1" applyBorder="1"/>
    <xf numFmtId="0" fontId="49" fillId="10" borderId="204" xfId="10" applyFont="1" applyFill="1" applyBorder="1" applyAlignment="1">
      <alignment horizontal="right"/>
    </xf>
    <xf numFmtId="0" fontId="30" fillId="46" borderId="15" xfId="10" applyFont="1" applyFill="1" applyBorder="1" applyAlignment="1">
      <alignment horizontal="center"/>
    </xf>
    <xf numFmtId="0" fontId="49" fillId="47" borderId="149" xfId="10" applyFont="1" applyFill="1" applyBorder="1" applyAlignment="1">
      <alignment vertical="center"/>
    </xf>
    <xf numFmtId="178" fontId="49" fillId="8" borderId="149" xfId="10" applyNumberFormat="1" applyFont="1" applyFill="1" applyBorder="1" applyAlignment="1">
      <alignment horizontal="center"/>
    </xf>
    <xf numFmtId="0" fontId="30" fillId="67" borderId="183" xfId="18" applyFont="1" applyFill="1" applyBorder="1" applyAlignment="1">
      <alignment horizontal="center"/>
    </xf>
    <xf numFmtId="0" fontId="30" fillId="67" borderId="148" xfId="18" applyFont="1" applyFill="1" applyBorder="1"/>
    <xf numFmtId="1" fontId="30" fillId="67" borderId="148" xfId="18" applyNumberFormat="1" applyFont="1" applyFill="1" applyBorder="1" applyAlignment="1">
      <alignment horizontal="center"/>
    </xf>
    <xf numFmtId="0" fontId="30" fillId="67" borderId="148" xfId="18" applyFont="1" applyFill="1" applyBorder="1" applyAlignment="1">
      <alignment horizontal="center"/>
    </xf>
    <xf numFmtId="0" fontId="30" fillId="67" borderId="153" xfId="18" applyFont="1" applyFill="1" applyBorder="1"/>
    <xf numFmtId="178" fontId="30" fillId="67" borderId="148" xfId="18" applyNumberFormat="1" applyFont="1" applyFill="1" applyBorder="1"/>
    <xf numFmtId="178" fontId="30" fillId="67" borderId="149" xfId="18" applyNumberFormat="1" applyFont="1" applyFill="1" applyBorder="1"/>
    <xf numFmtId="0" fontId="30" fillId="10" borderId="196" xfId="10" applyFont="1" applyFill="1" applyBorder="1" applyAlignment="1">
      <alignment horizontal="center"/>
    </xf>
    <xf numFmtId="0" fontId="30" fillId="10" borderId="199" xfId="10" applyFont="1" applyFill="1" applyBorder="1" applyAlignment="1">
      <alignment horizontal="center"/>
    </xf>
    <xf numFmtId="0" fontId="49" fillId="47" borderId="187" xfId="10" applyFont="1" applyFill="1" applyBorder="1"/>
    <xf numFmtId="1" fontId="49" fillId="61" borderId="145" xfId="10" applyNumberFormat="1" applyFont="1" applyFill="1" applyBorder="1" applyAlignment="1">
      <alignment horizontal="center"/>
    </xf>
    <xf numFmtId="10" fontId="49" fillId="75" borderId="193" xfId="19" applyNumberFormat="1" applyFont="1" applyFill="1" applyBorder="1" applyAlignment="1">
      <alignment horizontal="center"/>
    </xf>
    <xf numFmtId="0" fontId="49" fillId="47" borderId="183" xfId="10" applyFont="1" applyFill="1" applyBorder="1"/>
    <xf numFmtId="1" fontId="49" fillId="61" borderId="148" xfId="10" applyNumberFormat="1" applyFont="1" applyFill="1" applyBorder="1" applyAlignment="1">
      <alignment horizontal="center"/>
    </xf>
    <xf numFmtId="10" fontId="49" fillId="75" borderId="149" xfId="19" applyNumberFormat="1" applyFont="1" applyFill="1" applyBorder="1" applyAlignment="1">
      <alignment horizontal="center"/>
    </xf>
    <xf numFmtId="1" fontId="49" fillId="46" borderId="358" xfId="10" applyNumberFormat="1" applyFont="1" applyFill="1" applyBorder="1" applyAlignment="1">
      <alignment horizontal="center"/>
    </xf>
    <xf numFmtId="0" fontId="49" fillId="47" borderId="162" xfId="10" applyFont="1" applyFill="1" applyBorder="1"/>
    <xf numFmtId="1" fontId="49" fillId="46" borderId="359" xfId="10" applyNumberFormat="1" applyFont="1" applyFill="1" applyBorder="1" applyAlignment="1">
      <alignment horizontal="center"/>
    </xf>
    <xf numFmtId="10" fontId="49" fillId="75" borderId="161" xfId="19" applyNumberFormat="1" applyFont="1" applyFill="1" applyBorder="1" applyAlignment="1">
      <alignment horizontal="center"/>
    </xf>
    <xf numFmtId="0" fontId="49" fillId="15" borderId="98" xfId="10" applyFont="1" applyFill="1" applyBorder="1"/>
    <xf numFmtId="10" fontId="49" fillId="46" borderId="100" xfId="19" applyNumberFormat="1" applyFont="1" applyFill="1" applyBorder="1" applyAlignment="1">
      <alignment horizontal="center"/>
    </xf>
    <xf numFmtId="0" fontId="49" fillId="47" borderId="179" xfId="10" applyFont="1" applyFill="1" applyBorder="1"/>
    <xf numFmtId="2" fontId="49" fillId="8" borderId="137" xfId="10" applyNumberFormat="1" applyFont="1" applyFill="1" applyBorder="1" applyAlignment="1">
      <alignment horizontal="center"/>
    </xf>
    <xf numFmtId="0" fontId="49" fillId="15" borderId="138" xfId="10" applyFont="1" applyFill="1" applyBorder="1"/>
    <xf numFmtId="2" fontId="49" fillId="46" borderId="359" xfId="10" applyNumberFormat="1" applyFont="1" applyFill="1" applyBorder="1" applyAlignment="1">
      <alignment horizontal="center"/>
    </xf>
    <xf numFmtId="0" fontId="49" fillId="76" borderId="101" xfId="10" applyFont="1" applyFill="1" applyBorder="1"/>
    <xf numFmtId="0" fontId="49" fillId="76" borderId="29" xfId="10" applyFont="1" applyFill="1" applyBorder="1"/>
    <xf numFmtId="0" fontId="49" fillId="76" borderId="102" xfId="10" applyFont="1" applyFill="1" applyBorder="1"/>
    <xf numFmtId="1" fontId="49" fillId="8" borderId="137" xfId="10" applyNumberFormat="1" applyFont="1" applyFill="1" applyBorder="1" applyAlignment="1">
      <alignment horizontal="center"/>
    </xf>
    <xf numFmtId="0" fontId="49" fillId="47" borderId="98" xfId="10" applyFont="1" applyFill="1" applyBorder="1"/>
    <xf numFmtId="0" fontId="49" fillId="48" borderId="99" xfId="10" applyFont="1" applyFill="1" applyBorder="1"/>
    <xf numFmtId="0" fontId="49" fillId="48" borderId="100" xfId="10" applyFont="1" applyFill="1" applyBorder="1"/>
    <xf numFmtId="0" fontId="30" fillId="67" borderId="149" xfId="18" applyFont="1" applyFill="1" applyBorder="1"/>
    <xf numFmtId="0" fontId="156" fillId="10" borderId="179" xfId="10" applyFont="1" applyFill="1" applyBorder="1" applyAlignment="1">
      <alignment horizontal="centerContinuous"/>
    </xf>
    <xf numFmtId="0" fontId="156" fillId="10" borderId="245" xfId="10" applyFont="1" applyFill="1" applyBorder="1" applyAlignment="1">
      <alignment horizontal="center"/>
    </xf>
    <xf numFmtId="0" fontId="49" fillId="45" borderId="215" xfId="10" applyFont="1" applyFill="1" applyBorder="1"/>
    <xf numFmtId="0" fontId="156" fillId="10" borderId="170" xfId="10" applyFont="1" applyFill="1" applyBorder="1" applyAlignment="1">
      <alignment horizontal="centerContinuous"/>
    </xf>
    <xf numFmtId="0" fontId="49" fillId="10" borderId="360" xfId="10" applyFont="1" applyFill="1" applyBorder="1" applyAlignment="1">
      <alignment horizontal="center" vertical="center"/>
    </xf>
    <xf numFmtId="0" fontId="49" fillId="45" borderId="240" xfId="10" applyFont="1" applyFill="1" applyBorder="1"/>
    <xf numFmtId="0" fontId="49" fillId="47" borderId="218" xfId="10" applyFont="1" applyFill="1" applyBorder="1" applyAlignment="1">
      <alignment horizontal="center"/>
    </xf>
    <xf numFmtId="0" fontId="49" fillId="47" borderId="361" xfId="10" applyFont="1" applyFill="1" applyBorder="1"/>
    <xf numFmtId="178" fontId="49" fillId="46" borderId="275" xfId="10" applyNumberFormat="1" applyFont="1" applyFill="1" applyBorder="1" applyAlignment="1">
      <alignment horizontal="center"/>
    </xf>
    <xf numFmtId="178" fontId="49" fillId="46" borderId="209" xfId="10" applyNumberFormat="1" applyFont="1" applyFill="1" applyBorder="1" applyAlignment="1">
      <alignment horizontal="center"/>
    </xf>
    <xf numFmtId="0" fontId="49" fillId="47" borderId="259" xfId="10" applyFont="1" applyFill="1" applyBorder="1"/>
    <xf numFmtId="178" fontId="49" fillId="46" borderId="247" xfId="10" applyNumberFormat="1" applyFont="1" applyFill="1" applyBorder="1" applyAlignment="1">
      <alignment horizontal="center"/>
    </xf>
    <xf numFmtId="178" fontId="49" fillId="46" borderId="182" xfId="10" applyNumberFormat="1" applyFont="1" applyFill="1" applyBorder="1" applyAlignment="1">
      <alignment horizontal="center"/>
    </xf>
    <xf numFmtId="0" fontId="49" fillId="47" borderId="265" xfId="10" applyFont="1" applyFill="1" applyBorder="1"/>
    <xf numFmtId="178" fontId="49" fillId="46" borderId="249" xfId="10" applyNumberFormat="1" applyFont="1" applyFill="1" applyBorder="1" applyAlignment="1">
      <alignment horizontal="center"/>
    </xf>
    <xf numFmtId="178" fontId="49" fillId="46" borderId="194" xfId="10" applyNumberFormat="1" applyFont="1" applyFill="1" applyBorder="1" applyAlignment="1">
      <alignment horizontal="center"/>
    </xf>
    <xf numFmtId="0" fontId="156" fillId="10" borderId="167" xfId="10" applyFont="1" applyFill="1" applyBorder="1" applyAlignment="1">
      <alignment horizontal="centerContinuous"/>
    </xf>
    <xf numFmtId="0" fontId="49" fillId="10" borderId="180" xfId="10" applyFont="1" applyFill="1" applyBorder="1"/>
    <xf numFmtId="0" fontId="49" fillId="10" borderId="180" xfId="10" applyFont="1" applyFill="1" applyBorder="1" applyAlignment="1">
      <alignment horizontal="center"/>
    </xf>
    <xf numFmtId="0" fontId="49" fillId="10" borderId="192" xfId="10" applyFont="1" applyFill="1" applyBorder="1"/>
    <xf numFmtId="0" fontId="49" fillId="47" borderId="109" xfId="10" applyFont="1" applyFill="1" applyBorder="1" applyAlignment="1">
      <alignment horizontal="right" indent="1"/>
    </xf>
    <xf numFmtId="178" fontId="49" fillId="46" borderId="137" xfId="10" applyNumberFormat="1" applyFont="1" applyFill="1" applyBorder="1" applyAlignment="1">
      <alignment horizontal="center"/>
    </xf>
    <xf numFmtId="178" fontId="49" fillId="8" borderId="137" xfId="10" applyNumberFormat="1" applyFont="1" applyFill="1" applyBorder="1" applyAlignment="1">
      <alignment horizontal="center"/>
    </xf>
    <xf numFmtId="178" fontId="49" fillId="46" borderId="138" xfId="10" applyNumberFormat="1" applyFont="1" applyFill="1" applyBorder="1" applyAlignment="1">
      <alignment horizontal="center"/>
    </xf>
    <xf numFmtId="0" fontId="49" fillId="47" borderId="210" xfId="10" applyFont="1" applyFill="1" applyBorder="1" applyAlignment="1">
      <alignment horizontal="right" indent="1"/>
    </xf>
    <xf numFmtId="178" fontId="49" fillId="46" borderId="148" xfId="10" applyNumberFormat="1" applyFont="1" applyFill="1" applyBorder="1" applyAlignment="1">
      <alignment horizontal="center"/>
    </xf>
    <xf numFmtId="178" fontId="49" fillId="8" borderId="148" xfId="10" applyNumberFormat="1" applyFont="1" applyFill="1" applyBorder="1" applyAlignment="1">
      <alignment horizontal="center"/>
    </xf>
    <xf numFmtId="178" fontId="49" fillId="46" borderId="149" xfId="10" applyNumberFormat="1" applyFont="1" applyFill="1" applyBorder="1" applyAlignment="1">
      <alignment horizontal="center"/>
    </xf>
    <xf numFmtId="178" fontId="49" fillId="46" borderId="145" xfId="10" applyNumberFormat="1" applyFont="1" applyFill="1" applyBorder="1" applyAlignment="1">
      <alignment horizontal="center"/>
    </xf>
    <xf numFmtId="0" fontId="49" fillId="47" borderId="261" xfId="10" applyFont="1" applyFill="1" applyBorder="1" applyAlignment="1">
      <alignment horizontal="right" indent="1"/>
    </xf>
    <xf numFmtId="178" fontId="49" fillId="46" borderId="117" xfId="10" applyNumberFormat="1" applyFont="1" applyFill="1" applyBorder="1" applyAlignment="1">
      <alignment horizontal="center"/>
    </xf>
    <xf numFmtId="0" fontId="30" fillId="67" borderId="185" xfId="18" applyFont="1" applyFill="1" applyBorder="1" applyAlignment="1">
      <alignment horizontal="center"/>
    </xf>
    <xf numFmtId="0" fontId="30" fillId="67" borderId="117" xfId="18" applyFont="1" applyFill="1" applyBorder="1"/>
    <xf numFmtId="0" fontId="30" fillId="67" borderId="117" xfId="18" applyFont="1" applyFill="1" applyBorder="1" applyAlignment="1">
      <alignment horizontal="center"/>
    </xf>
    <xf numFmtId="0" fontId="30" fillId="67" borderId="118" xfId="18" applyFont="1" applyFill="1" applyBorder="1"/>
    <xf numFmtId="0" fontId="30" fillId="67" borderId="120" xfId="18" applyFont="1" applyFill="1" applyBorder="1"/>
    <xf numFmtId="0" fontId="30" fillId="67" borderId="162" xfId="18" applyFont="1" applyFill="1" applyBorder="1" applyAlignment="1">
      <alignment horizontal="center"/>
    </xf>
    <xf numFmtId="0" fontId="30" fillId="67" borderId="160" xfId="18" applyFont="1" applyFill="1" applyBorder="1"/>
    <xf numFmtId="0" fontId="30" fillId="67" borderId="160" xfId="18" applyFont="1" applyFill="1" applyBorder="1" applyAlignment="1">
      <alignment horizontal="center"/>
    </xf>
    <xf numFmtId="0" fontId="30" fillId="67" borderId="161" xfId="18" applyFont="1" applyFill="1" applyBorder="1"/>
    <xf numFmtId="0" fontId="49" fillId="47" borderId="239" xfId="10" applyFont="1" applyFill="1" applyBorder="1" applyAlignment="1">
      <alignment horizontal="right" indent="1"/>
    </xf>
    <xf numFmtId="178" fontId="49" fillId="46" borderId="160" xfId="10" applyNumberFormat="1" applyFont="1" applyFill="1" applyBorder="1" applyAlignment="1">
      <alignment horizontal="center"/>
    </xf>
    <xf numFmtId="178" fontId="49" fillId="8" borderId="160" xfId="10" applyNumberFormat="1" applyFont="1" applyFill="1" applyBorder="1" applyAlignment="1">
      <alignment horizontal="center"/>
    </xf>
    <xf numFmtId="178" fontId="49" fillId="46" borderId="161" xfId="10" applyNumberFormat="1" applyFont="1" applyFill="1" applyBorder="1" applyAlignment="1">
      <alignment horizontal="center"/>
    </xf>
    <xf numFmtId="0" fontId="49" fillId="47" borderId="161" xfId="10" applyFont="1" applyFill="1" applyBorder="1" applyAlignment="1">
      <alignment vertical="center"/>
    </xf>
    <xf numFmtId="0" fontId="49" fillId="8" borderId="160" xfId="10" applyFont="1" applyFill="1" applyBorder="1" applyAlignment="1">
      <alignment horizontal="left" vertical="center"/>
    </xf>
    <xf numFmtId="178" fontId="49" fillId="8" borderId="161" xfId="10" applyNumberFormat="1" applyFont="1" applyFill="1" applyBorder="1" applyAlignment="1">
      <alignment horizontal="center"/>
    </xf>
    <xf numFmtId="0" fontId="49" fillId="46" borderId="169" xfId="10" applyFont="1" applyFill="1" applyBorder="1" applyAlignment="1">
      <alignment horizontal="center"/>
    </xf>
    <xf numFmtId="0" fontId="49" fillId="46" borderId="273" xfId="10" applyFont="1" applyFill="1" applyBorder="1" applyAlignment="1">
      <alignment horizontal="center"/>
    </xf>
    <xf numFmtId="1" fontId="49" fillId="72" borderId="103" xfId="10" applyNumberFormat="1" applyFont="1" applyFill="1" applyBorder="1" applyAlignment="1">
      <alignment horizontal="center" vertical="center"/>
    </xf>
    <xf numFmtId="0" fontId="49" fillId="72" borderId="103" xfId="10" applyFont="1" applyFill="1" applyBorder="1" applyAlignment="1">
      <alignment horizontal="center" vertical="center"/>
    </xf>
    <xf numFmtId="1" fontId="49" fillId="72" borderId="215" xfId="10" applyNumberFormat="1" applyFont="1" applyFill="1" applyBorder="1" applyAlignment="1">
      <alignment horizontal="center" vertical="center"/>
    </xf>
    <xf numFmtId="0" fontId="49" fillId="72" borderId="15" xfId="10" applyFont="1" applyFill="1" applyBorder="1" applyAlignment="1">
      <alignment horizontal="center" vertical="center"/>
    </xf>
    <xf numFmtId="0" fontId="49" fillId="54" borderId="222" xfId="10" applyFont="1" applyFill="1" applyBorder="1"/>
    <xf numFmtId="0" fontId="49" fillId="46" borderId="271" xfId="10" applyFont="1" applyFill="1" applyBorder="1" applyAlignment="1">
      <alignment horizontal="center"/>
    </xf>
    <xf numFmtId="0" fontId="49" fillId="62" borderId="0" xfId="10" applyFont="1" applyFill="1" applyAlignment="1">
      <alignment horizontal="center" vertical="center"/>
    </xf>
    <xf numFmtId="0" fontId="49" fillId="62" borderId="111" xfId="10" applyFont="1" applyFill="1" applyBorder="1" applyAlignment="1">
      <alignment horizontal="center" vertical="center"/>
    </xf>
    <xf numFmtId="0" fontId="49" fillId="54" borderId="229" xfId="10" applyFont="1" applyFill="1" applyBorder="1"/>
    <xf numFmtId="0" fontId="49" fillId="62" borderId="191" xfId="10" applyFont="1" applyFill="1" applyBorder="1" applyAlignment="1">
      <alignment horizontal="center" vertical="center"/>
    </xf>
    <xf numFmtId="0" fontId="49" fillId="62" borderId="178" xfId="10" applyFont="1" applyFill="1" applyBorder="1" applyAlignment="1">
      <alignment horizontal="center" vertical="center"/>
    </xf>
    <xf numFmtId="0" fontId="49" fillId="62" borderId="102" xfId="10" applyFont="1" applyFill="1" applyBorder="1" applyAlignment="1">
      <alignment horizontal="center" vertical="center"/>
    </xf>
    <xf numFmtId="0" fontId="49" fillId="54" borderId="335" xfId="10" applyFont="1" applyFill="1" applyBorder="1"/>
    <xf numFmtId="0" fontId="49" fillId="0" borderId="29" xfId="10" applyFont="1" applyBorder="1" applyAlignment="1">
      <alignment horizontal="center" vertical="center"/>
    </xf>
    <xf numFmtId="0" fontId="49" fillId="62" borderId="100" xfId="10" applyFont="1" applyFill="1" applyBorder="1" applyAlignment="1">
      <alignment horizontal="center" vertical="center"/>
    </xf>
    <xf numFmtId="0" fontId="49" fillId="72" borderId="22" xfId="10" applyFont="1" applyFill="1" applyBorder="1" applyAlignment="1">
      <alignment horizontal="center" vertical="center"/>
    </xf>
    <xf numFmtId="0" fontId="49" fillId="72" borderId="92" xfId="10" applyFont="1" applyFill="1" applyBorder="1"/>
    <xf numFmtId="0" fontId="49" fillId="72" borderId="20" xfId="10" applyFont="1" applyFill="1" applyBorder="1" applyAlignment="1">
      <alignment horizontal="center" vertical="center"/>
    </xf>
    <xf numFmtId="0" fontId="49" fillId="72" borderId="15" xfId="10" applyFont="1" applyFill="1" applyBorder="1" applyAlignment="1">
      <alignment vertical="center"/>
    </xf>
    <xf numFmtId="0" fontId="49" fillId="72" borderId="15" xfId="10" applyFont="1" applyFill="1" applyBorder="1"/>
    <xf numFmtId="0" fontId="49" fillId="72" borderId="19" xfId="10" applyFont="1" applyFill="1" applyBorder="1" applyAlignment="1">
      <alignment horizontal="center" vertical="center"/>
    </xf>
    <xf numFmtId="0" fontId="49" fillId="72" borderId="93" xfId="10" applyFont="1" applyFill="1" applyBorder="1" applyAlignment="1">
      <alignment vertical="center"/>
    </xf>
    <xf numFmtId="0" fontId="49" fillId="0" borderId="24" xfId="10" applyFont="1" applyBorder="1" applyAlignment="1">
      <alignment horizontal="center" vertical="center"/>
    </xf>
    <xf numFmtId="0" fontId="49" fillId="0" borderId="24" xfId="10" applyFont="1" applyBorder="1" applyAlignment="1">
      <alignment vertical="center"/>
    </xf>
    <xf numFmtId="0" fontId="162" fillId="0" borderId="20" xfId="10" applyFont="1" applyBorder="1" applyAlignment="1">
      <alignment horizontal="center" vertical="center"/>
    </xf>
    <xf numFmtId="0" fontId="49" fillId="0" borderId="20" xfId="10" applyFont="1" applyBorder="1" applyAlignment="1">
      <alignment vertical="center"/>
    </xf>
    <xf numFmtId="0" fontId="49" fillId="0" borderId="20" xfId="10" applyFont="1" applyBorder="1"/>
    <xf numFmtId="0" fontId="49" fillId="0" borderId="24" xfId="10" applyFont="1" applyBorder="1"/>
    <xf numFmtId="0" fontId="49" fillId="72" borderId="93" xfId="10" applyFont="1" applyFill="1" applyBorder="1"/>
    <xf numFmtId="0" fontId="25" fillId="72" borderId="0" xfId="10" applyFill="1" applyAlignment="1">
      <alignment horizontal="left" vertical="center"/>
    </xf>
    <xf numFmtId="0" fontId="49" fillId="72" borderId="93" xfId="10" applyFont="1" applyFill="1" applyBorder="1" applyAlignment="1">
      <alignment horizontal="center" vertical="center"/>
    </xf>
    <xf numFmtId="0" fontId="49" fillId="72" borderId="25" xfId="10" applyFont="1" applyFill="1" applyBorder="1"/>
    <xf numFmtId="0" fontId="165" fillId="49" borderId="0" xfId="10" applyFont="1" applyFill="1"/>
    <xf numFmtId="0" fontId="165" fillId="0" borderId="0" xfId="10" applyFont="1"/>
    <xf numFmtId="0" fontId="165" fillId="0" borderId="0" xfId="10" applyFont="1" applyAlignment="1">
      <alignment horizontal="left"/>
    </xf>
    <xf numFmtId="0" fontId="165" fillId="8" borderId="139" xfId="10" applyFont="1" applyFill="1" applyBorder="1" applyAlignment="1">
      <alignment horizontal="left"/>
    </xf>
    <xf numFmtId="0" fontId="165" fillId="0" borderId="140" xfId="10" applyFont="1" applyBorder="1" applyAlignment="1">
      <alignment horizontal="left"/>
    </xf>
    <xf numFmtId="0" fontId="165" fillId="0" borderId="166" xfId="10" applyFont="1" applyBorder="1" applyAlignment="1">
      <alignment horizontal="left"/>
    </xf>
    <xf numFmtId="0" fontId="176" fillId="0" borderId="150" xfId="10" applyFont="1" applyBorder="1" applyAlignment="1">
      <alignment horizontal="left"/>
    </xf>
    <xf numFmtId="0" fontId="165" fillId="0" borderId="25" xfId="10" applyFont="1" applyBorder="1" applyAlignment="1">
      <alignment horizontal="left"/>
    </xf>
    <xf numFmtId="0" fontId="165" fillId="49" borderId="25" xfId="10" applyFont="1" applyFill="1" applyBorder="1" applyAlignment="1">
      <alignment horizontal="left"/>
    </xf>
    <xf numFmtId="0" fontId="165" fillId="49" borderId="172" xfId="10" applyFont="1" applyFill="1" applyBorder="1" applyAlignment="1">
      <alignment horizontal="left"/>
    </xf>
    <xf numFmtId="0" fontId="165" fillId="0" borderId="25" xfId="10" applyFont="1" applyBorder="1"/>
    <xf numFmtId="0" fontId="177" fillId="0" borderId="25" xfId="10" applyFont="1" applyBorder="1"/>
    <xf numFmtId="0" fontId="28" fillId="0" borderId="25" xfId="10" applyFont="1" applyBorder="1"/>
    <xf numFmtId="0" fontId="165" fillId="0" borderId="172" xfId="10" applyFont="1" applyBorder="1" applyAlignment="1">
      <alignment horizontal="left"/>
    </xf>
    <xf numFmtId="0" fontId="165" fillId="0" borderId="25" xfId="10" applyFont="1" applyBorder="1" applyAlignment="1">
      <alignment horizontal="left" vertical="center"/>
    </xf>
    <xf numFmtId="0" fontId="28" fillId="0" borderId="25" xfId="10" applyFont="1" applyBorder="1" applyAlignment="1">
      <alignment horizontal="left" vertical="center"/>
    </xf>
    <xf numFmtId="0" fontId="176" fillId="0" borderId="133" xfId="10" applyFont="1" applyBorder="1" applyAlignment="1">
      <alignment horizontal="left"/>
    </xf>
    <xf numFmtId="0" fontId="165" fillId="0" borderId="128" xfId="10" applyFont="1" applyBorder="1" applyAlignment="1">
      <alignment horizontal="left"/>
    </xf>
    <xf numFmtId="0" fontId="165" fillId="0" borderId="134" xfId="10" applyFont="1" applyBorder="1" applyAlignment="1">
      <alignment horizontal="left"/>
    </xf>
    <xf numFmtId="0" fontId="177" fillId="47" borderId="123" xfId="10" applyFont="1" applyFill="1" applyBorder="1" applyAlignment="1">
      <alignment horizontal="left"/>
    </xf>
    <xf numFmtId="0" fontId="165" fillId="47" borderId="191" xfId="10" applyFont="1" applyFill="1" applyBorder="1" applyAlignment="1">
      <alignment horizontal="left"/>
    </xf>
    <xf numFmtId="0" fontId="165" fillId="14" borderId="191" xfId="10" applyFont="1" applyFill="1" applyBorder="1" applyAlignment="1">
      <alignment horizontal="left"/>
    </xf>
    <xf numFmtId="0" fontId="165" fillId="14" borderId="178" xfId="10" applyFont="1" applyFill="1" applyBorder="1" applyAlignment="1">
      <alignment horizontal="left"/>
    </xf>
    <xf numFmtId="0" fontId="177" fillId="0" borderId="139" xfId="10" applyFont="1" applyBorder="1" applyAlignment="1">
      <alignment horizontal="center" vertical="center"/>
    </xf>
    <xf numFmtId="0" fontId="177" fillId="0" borderId="140" xfId="10" applyFont="1" applyBorder="1" applyAlignment="1">
      <alignment horizontal="left"/>
    </xf>
    <xf numFmtId="0" fontId="177" fillId="0" borderId="166" xfId="10" applyFont="1" applyBorder="1" applyAlignment="1">
      <alignment horizontal="left"/>
    </xf>
    <xf numFmtId="0" fontId="165" fillId="0" borderId="150" xfId="10" applyFont="1" applyBorder="1" applyAlignment="1">
      <alignment horizontal="center" vertical="center"/>
    </xf>
    <xf numFmtId="0" fontId="179" fillId="0" borderId="25" xfId="10" applyFont="1" applyBorder="1" applyAlignment="1">
      <alignment horizontal="left" vertical="center"/>
    </xf>
    <xf numFmtId="0" fontId="177" fillId="0" borderId="25" xfId="10" applyFont="1" applyBorder="1" applyAlignment="1">
      <alignment horizontal="center"/>
    </xf>
    <xf numFmtId="49" fontId="180" fillId="0" borderId="25" xfId="10" applyNumberFormat="1" applyFont="1" applyBorder="1" applyAlignment="1">
      <alignment horizontal="center" vertical="center"/>
    </xf>
    <xf numFmtId="49" fontId="180" fillId="0" borderId="25" xfId="10" applyNumberFormat="1" applyFont="1" applyBorder="1" applyAlignment="1">
      <alignment horizontal="center"/>
    </xf>
    <xf numFmtId="49" fontId="177" fillId="0" borderId="0" xfId="10" applyNumberFormat="1" applyFont="1" applyAlignment="1">
      <alignment horizontal="center"/>
    </xf>
    <xf numFmtId="0" fontId="177" fillId="0" borderId="0" xfId="10" applyFont="1"/>
    <xf numFmtId="1" fontId="165" fillId="0" borderId="25" xfId="10" applyNumberFormat="1" applyFont="1" applyBorder="1" applyAlignment="1">
      <alignment horizontal="center" vertical="center"/>
    </xf>
    <xf numFmtId="49" fontId="28" fillId="0" borderId="25" xfId="10" applyNumberFormat="1" applyFont="1" applyBorder="1"/>
    <xf numFmtId="49" fontId="165" fillId="0" borderId="0" xfId="10" applyNumberFormat="1" applyFont="1"/>
    <xf numFmtId="0" fontId="165" fillId="0" borderId="133" xfId="10" applyFont="1" applyBorder="1" applyAlignment="1">
      <alignment horizontal="center" vertical="center"/>
    </xf>
    <xf numFmtId="1" fontId="28" fillId="0" borderId="25" xfId="10" applyNumberFormat="1" applyFont="1" applyBorder="1" applyAlignment="1">
      <alignment horizontal="center" vertical="center"/>
    </xf>
    <xf numFmtId="1" fontId="179" fillId="0" borderId="25" xfId="10" applyNumberFormat="1" applyFont="1" applyBorder="1" applyAlignment="1">
      <alignment horizontal="center" vertical="center"/>
    </xf>
    <xf numFmtId="0" fontId="177" fillId="0" borderId="0" xfId="10" applyFont="1" applyAlignment="1">
      <alignment horizontal="left"/>
    </xf>
    <xf numFmtId="0" fontId="165" fillId="58" borderId="0" xfId="10" applyFont="1" applyFill="1"/>
    <xf numFmtId="0" fontId="165" fillId="58" borderId="0" xfId="10" applyFont="1" applyFill="1" applyAlignment="1">
      <alignment horizontal="left"/>
    </xf>
    <xf numFmtId="0" fontId="177" fillId="58" borderId="0" xfId="10" applyFont="1" applyFill="1"/>
    <xf numFmtId="0" fontId="165" fillId="58" borderId="0" xfId="10" applyFont="1" applyFill="1" applyAlignment="1">
      <alignment horizontal="center"/>
    </xf>
    <xf numFmtId="0" fontId="49" fillId="10" borderId="101" xfId="10" applyFont="1" applyFill="1" applyBorder="1"/>
    <xf numFmtId="0" fontId="49" fillId="10" borderId="102" xfId="10" applyFont="1" applyFill="1" applyBorder="1"/>
    <xf numFmtId="0" fontId="156" fillId="10" borderId="169" xfId="10" applyFont="1" applyFill="1" applyBorder="1" applyAlignment="1">
      <alignment horizontal="centerContinuous" vertical="center"/>
    </xf>
    <xf numFmtId="0" fontId="156" fillId="10" borderId="100" xfId="10" applyFont="1" applyFill="1" applyBorder="1" applyAlignment="1">
      <alignment horizontal="centerContinuous" vertical="center"/>
    </xf>
    <xf numFmtId="0" fontId="49" fillId="10" borderId="123" xfId="10" applyFont="1" applyFill="1" applyBorder="1"/>
    <xf numFmtId="0" fontId="49" fillId="10" borderId="178" xfId="10" applyFont="1" applyFill="1" applyBorder="1"/>
    <xf numFmtId="0" fontId="49" fillId="77" borderId="214" xfId="10" applyFont="1" applyFill="1" applyBorder="1" applyAlignment="1">
      <alignment horizontal="center"/>
    </xf>
    <xf numFmtId="0" fontId="156" fillId="10" borderId="203" xfId="10" applyFont="1" applyFill="1" applyBorder="1" applyAlignment="1">
      <alignment horizontal="center"/>
    </xf>
    <xf numFmtId="0" fontId="49" fillId="78" borderId="100" xfId="10" applyFont="1" applyFill="1" applyBorder="1" applyAlignment="1">
      <alignment horizontal="center"/>
    </xf>
    <xf numFmtId="0" fontId="49" fillId="10" borderId="192" xfId="10" applyFont="1" applyFill="1" applyBorder="1" applyAlignment="1">
      <alignment horizontal="center"/>
    </xf>
    <xf numFmtId="0" fontId="49" fillId="10" borderId="28" xfId="10" applyFont="1" applyFill="1" applyBorder="1" applyAlignment="1">
      <alignment horizontal="center"/>
    </xf>
    <xf numFmtId="0" fontId="49" fillId="10" borderId="30" xfId="10" applyFont="1" applyFill="1" applyBorder="1" applyAlignment="1">
      <alignment horizontal="center"/>
    </xf>
    <xf numFmtId="0" fontId="30" fillId="47" borderId="187" xfId="10" applyFont="1" applyFill="1" applyBorder="1" applyAlignment="1">
      <alignment horizontal="right"/>
    </xf>
    <xf numFmtId="0" fontId="49" fillId="0" borderId="251" xfId="10" applyFont="1" applyBorder="1" applyAlignment="1">
      <alignment horizontal="center"/>
    </xf>
    <xf numFmtId="0" fontId="49" fillId="10" borderId="0" xfId="10" applyFont="1" applyFill="1"/>
    <xf numFmtId="0" fontId="49" fillId="61" borderId="173" xfId="10" applyFont="1" applyFill="1" applyBorder="1" applyAlignment="1">
      <alignment horizontal="center"/>
    </xf>
    <xf numFmtId="0" fontId="49" fillId="78" borderId="132" xfId="10" applyFont="1" applyFill="1" applyBorder="1" applyAlignment="1">
      <alignment horizontal="center"/>
    </xf>
    <xf numFmtId="0" fontId="49" fillId="61" borderId="173" xfId="10" applyFont="1" applyFill="1" applyBorder="1"/>
    <xf numFmtId="0" fontId="49" fillId="61" borderId="132" xfId="10" applyFont="1" applyFill="1" applyBorder="1"/>
    <xf numFmtId="0" fontId="49" fillId="61" borderId="131" xfId="10" applyFont="1" applyFill="1" applyBorder="1"/>
    <xf numFmtId="0" fontId="49" fillId="8" borderId="125" xfId="10" applyFont="1" applyFill="1" applyBorder="1"/>
    <xf numFmtId="0" fontId="49" fillId="46" borderId="125" xfId="10" applyFont="1" applyFill="1" applyBorder="1"/>
    <xf numFmtId="0" fontId="49" fillId="61" borderId="130" xfId="10" applyFont="1" applyFill="1" applyBorder="1"/>
    <xf numFmtId="0" fontId="156" fillId="46" borderId="169" xfId="10" applyFont="1" applyFill="1" applyBorder="1"/>
    <xf numFmtId="0" fontId="49" fillId="46" borderId="178" xfId="10" applyFont="1" applyFill="1" applyBorder="1"/>
    <xf numFmtId="0" fontId="30" fillId="47" borderId="183" xfId="10" applyFont="1" applyFill="1" applyBorder="1" applyAlignment="1">
      <alignment horizontal="right"/>
    </xf>
    <xf numFmtId="0" fontId="49" fillId="0" borderId="222" xfId="10" applyFont="1" applyBorder="1" applyAlignment="1">
      <alignment horizontal="center"/>
    </xf>
    <xf numFmtId="0" fontId="49" fillId="47" borderId="143" xfId="10" applyFont="1" applyFill="1" applyBorder="1"/>
    <xf numFmtId="0" fontId="49" fillId="46" borderId="144" xfId="10" applyFont="1" applyFill="1" applyBorder="1"/>
    <xf numFmtId="0" fontId="30" fillId="47" borderId="185" xfId="10" applyFont="1" applyFill="1" applyBorder="1" applyAlignment="1">
      <alignment horizontal="right"/>
    </xf>
    <xf numFmtId="0" fontId="49" fillId="0" borderId="335" xfId="10" applyFont="1" applyBorder="1" applyAlignment="1">
      <alignment horizontal="center"/>
    </xf>
    <xf numFmtId="0" fontId="30" fillId="47" borderId="153" xfId="10" applyFont="1" applyFill="1" applyBorder="1" applyAlignment="1">
      <alignment horizontal="center" vertical="center"/>
    </xf>
    <xf numFmtId="0" fontId="49" fillId="46" borderId="153" xfId="10" applyFont="1" applyFill="1" applyBorder="1"/>
    <xf numFmtId="0" fontId="30" fillId="47" borderId="169" xfId="10" applyFont="1" applyFill="1" applyBorder="1" applyAlignment="1">
      <alignment horizontal="right"/>
    </xf>
    <xf numFmtId="0" fontId="49" fillId="0" borderId="169" xfId="10" applyFont="1" applyBorder="1" applyAlignment="1">
      <alignment horizontal="center"/>
    </xf>
    <xf numFmtId="0" fontId="49" fillId="69" borderId="148" xfId="10" applyFont="1" applyFill="1" applyBorder="1"/>
    <xf numFmtId="0" fontId="30" fillId="71" borderId="183" xfId="10" applyFont="1" applyFill="1" applyBorder="1" applyAlignment="1">
      <alignment horizontal="right"/>
    </xf>
    <xf numFmtId="0" fontId="49" fillId="71" borderId="222" xfId="10" applyFont="1" applyFill="1" applyBorder="1" applyAlignment="1">
      <alignment horizontal="center"/>
    </xf>
    <xf numFmtId="0" fontId="49" fillId="46" borderId="165" xfId="10" applyFont="1" applyFill="1" applyBorder="1"/>
    <xf numFmtId="0" fontId="49" fillId="8" borderId="150" xfId="10" applyFont="1" applyFill="1" applyBorder="1"/>
    <xf numFmtId="0" fontId="49" fillId="69" borderId="93" xfId="10" applyFont="1" applyFill="1" applyBorder="1" applyAlignment="1">
      <alignment horizontal="center"/>
    </xf>
    <xf numFmtId="0" fontId="49" fillId="69" borderId="93" xfId="10" applyFont="1" applyFill="1" applyBorder="1"/>
    <xf numFmtId="0" fontId="49" fillId="69" borderId="93" xfId="10" applyFont="1" applyFill="1" applyBorder="1" applyAlignment="1">
      <alignment horizontal="center" vertical="center"/>
    </xf>
    <xf numFmtId="0" fontId="49" fillId="69" borderId="19" xfId="10" applyFont="1" applyFill="1" applyBorder="1" applyAlignment="1">
      <alignment horizontal="center" vertical="center"/>
    </xf>
    <xf numFmtId="0" fontId="49" fillId="69" borderId="175" xfId="10" applyFont="1" applyFill="1" applyBorder="1"/>
    <xf numFmtId="0" fontId="49" fillId="69" borderId="176" xfId="10" applyFont="1" applyFill="1" applyBorder="1"/>
    <xf numFmtId="0" fontId="49" fillId="69" borderId="18" xfId="10" applyFont="1" applyFill="1" applyBorder="1"/>
    <xf numFmtId="0" fontId="49" fillId="46" borderId="93" xfId="10" applyFont="1" applyFill="1" applyBorder="1"/>
    <xf numFmtId="0" fontId="49" fillId="69" borderId="25" xfId="10" applyFont="1" applyFill="1" applyBorder="1" applyAlignment="1">
      <alignment horizontal="center"/>
    </xf>
    <xf numFmtId="0" fontId="49" fillId="69" borderId="25" xfId="10" applyFont="1" applyFill="1" applyBorder="1"/>
    <xf numFmtId="0" fontId="49" fillId="69" borderId="25" xfId="10" applyFont="1" applyFill="1" applyBorder="1" applyAlignment="1">
      <alignment horizontal="center" vertical="center"/>
    </xf>
    <xf numFmtId="0" fontId="49" fillId="69" borderId="21" xfId="10" applyFont="1" applyFill="1" applyBorder="1" applyAlignment="1">
      <alignment horizontal="center" vertical="center"/>
    </xf>
    <xf numFmtId="0" fontId="49" fillId="69" borderId="172" xfId="10" applyFont="1" applyFill="1" applyBorder="1"/>
    <xf numFmtId="0" fontId="49" fillId="69" borderId="27" xfId="10" applyFont="1" applyFill="1" applyBorder="1"/>
    <xf numFmtId="0" fontId="49" fillId="46" borderId="25" xfId="10" applyFont="1" applyFill="1" applyBorder="1"/>
    <xf numFmtId="0" fontId="49" fillId="78" borderId="21" xfId="10" applyFont="1" applyFill="1" applyBorder="1" applyAlignment="1">
      <alignment horizontal="center" vertical="center"/>
    </xf>
    <xf numFmtId="0" fontId="49" fillId="14" borderId="172" xfId="10" applyFont="1" applyFill="1" applyBorder="1"/>
    <xf numFmtId="0" fontId="30" fillId="47" borderId="162" xfId="10" applyFont="1" applyFill="1" applyBorder="1" applyAlignment="1">
      <alignment horizontal="right"/>
    </xf>
    <xf numFmtId="0" fontId="49" fillId="0" borderId="229" xfId="10" applyFont="1" applyBorder="1" applyAlignment="1">
      <alignment horizontal="center"/>
    </xf>
    <xf numFmtId="0" fontId="49" fillId="14" borderId="27" xfId="10" applyFont="1" applyFill="1" applyBorder="1"/>
    <xf numFmtId="0" fontId="49" fillId="8" borderId="222" xfId="10" applyFont="1" applyFill="1" applyBorder="1"/>
    <xf numFmtId="0" fontId="49" fillId="69" borderId="172" xfId="10" applyFont="1" applyFill="1" applyBorder="1" applyAlignment="1">
      <alignment horizontal="center"/>
    </xf>
    <xf numFmtId="0" fontId="49" fillId="47" borderId="25" xfId="10" applyFont="1" applyFill="1" applyBorder="1" applyAlignment="1">
      <alignment horizontal="center"/>
    </xf>
    <xf numFmtId="0" fontId="49" fillId="47" borderId="25" xfId="10" applyFont="1" applyFill="1" applyBorder="1"/>
    <xf numFmtId="0" fontId="49" fillId="47" borderId="25" xfId="10" applyFont="1" applyFill="1" applyBorder="1" applyAlignment="1">
      <alignment horizontal="center" vertical="center"/>
    </xf>
    <xf numFmtId="0" fontId="49" fillId="47" borderId="21" xfId="10" applyFont="1" applyFill="1" applyBorder="1" applyAlignment="1">
      <alignment horizontal="center" vertical="center"/>
    </xf>
    <xf numFmtId="0" fontId="49" fillId="47" borderId="150" xfId="10" applyFont="1" applyFill="1" applyBorder="1"/>
    <xf numFmtId="0" fontId="49" fillId="47" borderId="172" xfId="10" applyFont="1" applyFill="1" applyBorder="1"/>
    <xf numFmtId="0" fontId="49" fillId="47" borderId="27" xfId="10" applyFont="1" applyFill="1" applyBorder="1"/>
    <xf numFmtId="0" fontId="49" fillId="47" borderId="0" xfId="10" applyFont="1" applyFill="1"/>
    <xf numFmtId="0" fontId="49" fillId="47" borderId="133" xfId="10" applyFont="1" applyFill="1" applyBorder="1"/>
    <xf numFmtId="0" fontId="49" fillId="47" borderId="134" xfId="10" applyFont="1" applyFill="1" applyBorder="1"/>
    <xf numFmtId="0" fontId="49" fillId="47" borderId="0" xfId="10" applyFont="1" applyFill="1" applyAlignment="1">
      <alignment horizontal="center"/>
    </xf>
    <xf numFmtId="0" fontId="49" fillId="47" borderId="0" xfId="10" applyFont="1" applyFill="1" applyAlignment="1">
      <alignment horizontal="center" vertical="center"/>
    </xf>
    <xf numFmtId="0" fontId="49" fillId="46" borderId="0" xfId="10" applyFont="1" applyFill="1"/>
    <xf numFmtId="0" fontId="49" fillId="47" borderId="191" xfId="10" applyFont="1" applyFill="1" applyBorder="1" applyAlignment="1">
      <alignment horizontal="center"/>
    </xf>
    <xf numFmtId="0" fontId="49" fillId="47" borderId="191" xfId="10" applyFont="1" applyFill="1" applyBorder="1"/>
    <xf numFmtId="0" fontId="49" fillId="47" borderId="191" xfId="10" applyFont="1" applyFill="1" applyBorder="1" applyAlignment="1">
      <alignment horizontal="center" vertical="center"/>
    </xf>
    <xf numFmtId="0" fontId="49" fillId="46" borderId="191" xfId="10" applyFont="1" applyFill="1" applyBorder="1"/>
    <xf numFmtId="0" fontId="175" fillId="45" borderId="98" xfId="10" applyFont="1" applyFill="1" applyBorder="1" applyAlignment="1">
      <alignment horizontal="centerContinuous" vertical="center"/>
    </xf>
    <xf numFmtId="0" fontId="49" fillId="10" borderId="29" xfId="10" applyFont="1" applyFill="1" applyBorder="1"/>
    <xf numFmtId="0" fontId="49" fillId="10" borderId="29" xfId="10" applyFont="1" applyFill="1" applyBorder="1" applyAlignment="1">
      <alignment horizontal="center"/>
    </xf>
    <xf numFmtId="0" fontId="49" fillId="61" borderId="29" xfId="10" applyFont="1" applyFill="1" applyBorder="1"/>
    <xf numFmtId="0" fontId="25" fillId="61" borderId="29" xfId="10" applyFill="1" applyBorder="1"/>
    <xf numFmtId="0" fontId="49" fillId="46" borderId="103" xfId="10" applyFont="1" applyFill="1" applyBorder="1" applyAlignment="1">
      <alignment horizontal="center"/>
    </xf>
    <xf numFmtId="0" fontId="49" fillId="10" borderId="0" xfId="10" applyFont="1" applyFill="1" applyAlignment="1">
      <alignment horizontal="right"/>
    </xf>
    <xf numFmtId="0" fontId="49" fillId="46" borderId="0" xfId="10" applyFont="1" applyFill="1" applyAlignment="1">
      <alignment horizontal="center"/>
    </xf>
    <xf numFmtId="0" fontId="49" fillId="61" borderId="261" xfId="10" applyFont="1" applyFill="1" applyBorder="1"/>
    <xf numFmtId="0" fontId="25" fillId="61" borderId="261" xfId="10" applyFill="1" applyBorder="1"/>
    <xf numFmtId="0" fontId="49" fillId="10" borderId="153" xfId="10" applyFont="1" applyFill="1" applyBorder="1" applyAlignment="1">
      <alignment horizontal="center"/>
    </xf>
    <xf numFmtId="0" fontId="156" fillId="10" borderId="101" xfId="10" applyFont="1" applyFill="1" applyBorder="1" applyAlignment="1">
      <alignment horizontal="centerContinuous"/>
    </xf>
    <xf numFmtId="0" fontId="156" fillId="10" borderId="29" xfId="10" applyFont="1" applyFill="1" applyBorder="1" applyAlignment="1">
      <alignment horizontal="center"/>
    </xf>
    <xf numFmtId="0" fontId="156" fillId="10" borderId="99" xfId="10" applyFont="1" applyFill="1" applyBorder="1" applyAlignment="1">
      <alignment horizontal="center"/>
    </xf>
    <xf numFmtId="0" fontId="156" fillId="10" borderId="102" xfId="10" applyFont="1" applyFill="1" applyBorder="1" applyAlignment="1">
      <alignment horizontal="center"/>
    </xf>
    <xf numFmtId="0" fontId="49" fillId="46" borderId="191" xfId="10" applyFont="1" applyFill="1" applyBorder="1" applyAlignment="1">
      <alignment horizontal="center"/>
    </xf>
    <xf numFmtId="0" fontId="49" fillId="10" borderId="191" xfId="10" applyFont="1" applyFill="1" applyBorder="1" applyAlignment="1">
      <alignment horizontal="center"/>
    </xf>
    <xf numFmtId="0" fontId="49" fillId="61" borderId="191" xfId="10" applyFont="1" applyFill="1" applyBorder="1"/>
    <xf numFmtId="0" fontId="25" fillId="61" borderId="191" xfId="10" applyFill="1" applyBorder="1"/>
    <xf numFmtId="0" fontId="49" fillId="47" borderId="203" xfId="10" applyFont="1" applyFill="1" applyBorder="1" applyAlignment="1">
      <alignment horizontal="center"/>
    </xf>
    <xf numFmtId="0" fontId="49" fillId="47" borderId="202" xfId="10" applyFont="1" applyFill="1" applyBorder="1" applyAlignment="1">
      <alignment horizontal="center"/>
    </xf>
    <xf numFmtId="0" fontId="49" fillId="47" borderId="171" xfId="10" applyFont="1" applyFill="1" applyBorder="1" applyAlignment="1">
      <alignment horizontal="center"/>
    </xf>
    <xf numFmtId="0" fontId="49" fillId="67" borderId="187" xfId="10" applyFont="1" applyFill="1" applyBorder="1" applyAlignment="1">
      <alignment horizontal="center"/>
    </xf>
    <xf numFmtId="0" fontId="49" fillId="67" borderId="188" xfId="10" applyFont="1" applyFill="1" applyBorder="1"/>
    <xf numFmtId="0" fontId="49" fillId="67" borderId="145" xfId="10" applyFont="1" applyFill="1" applyBorder="1"/>
    <xf numFmtId="0" fontId="49" fillId="67" borderId="193" xfId="10" applyFont="1" applyFill="1" applyBorder="1"/>
    <xf numFmtId="0" fontId="49" fillId="67" borderId="183" xfId="10" applyFont="1" applyFill="1" applyBorder="1" applyAlignment="1">
      <alignment horizontal="center"/>
    </xf>
    <xf numFmtId="0" fontId="49" fillId="67" borderId="153" xfId="10" applyFont="1" applyFill="1" applyBorder="1"/>
    <xf numFmtId="0" fontId="49" fillId="67" borderId="148" xfId="10" applyFont="1" applyFill="1" applyBorder="1"/>
    <xf numFmtId="0" fontId="49" fillId="67" borderId="149" xfId="10" applyFont="1" applyFill="1" applyBorder="1"/>
    <xf numFmtId="0" fontId="49" fillId="67" borderId="162" xfId="10" applyFont="1" applyFill="1" applyBorder="1" applyAlignment="1">
      <alignment horizontal="center"/>
    </xf>
    <xf numFmtId="0" fontId="49" fillId="67" borderId="165" xfId="10" applyFont="1" applyFill="1" applyBorder="1"/>
    <xf numFmtId="0" fontId="49" fillId="67" borderId="160" xfId="10" applyFont="1" applyFill="1" applyBorder="1"/>
    <xf numFmtId="0" fontId="49" fillId="67" borderId="161" xfId="10" applyFont="1" applyFill="1" applyBorder="1"/>
    <xf numFmtId="0" fontId="49" fillId="10" borderId="103" xfId="10" applyFont="1" applyFill="1" applyBorder="1"/>
    <xf numFmtId="0" fontId="49" fillId="10" borderId="0" xfId="10" applyFont="1" applyFill="1" applyAlignment="1">
      <alignment horizontal="center"/>
    </xf>
    <xf numFmtId="0" fontId="49" fillId="67" borderId="179" xfId="10" applyFont="1" applyFill="1" applyBorder="1" applyAlignment="1">
      <alignment horizontal="center"/>
    </xf>
    <xf numFmtId="0" fontId="49" fillId="67" borderId="144" xfId="10" applyFont="1" applyFill="1" applyBorder="1"/>
    <xf numFmtId="0" fontId="49" fillId="67" borderId="137" xfId="10" applyFont="1" applyFill="1" applyBorder="1"/>
    <xf numFmtId="0" fontId="49" fillId="67" borderId="138" xfId="10" applyFont="1" applyFill="1" applyBorder="1"/>
    <xf numFmtId="0" fontId="49" fillId="47" borderId="169" xfId="10" applyFont="1" applyFill="1" applyBorder="1" applyAlignment="1">
      <alignment horizontal="center"/>
    </xf>
    <xf numFmtId="0" fontId="49" fillId="77" borderId="0" xfId="10" applyFont="1" applyFill="1"/>
    <xf numFmtId="0" fontId="49" fillId="77" borderId="0" xfId="10" applyFont="1" applyFill="1" applyAlignment="1">
      <alignment horizontal="center"/>
    </xf>
    <xf numFmtId="0" fontId="156" fillId="10" borderId="98" xfId="10" applyFont="1" applyFill="1" applyBorder="1" applyAlignment="1">
      <alignment horizontal="left"/>
    </xf>
    <xf numFmtId="0" fontId="49" fillId="8" borderId="148" xfId="10" applyFont="1" applyFill="1" applyBorder="1"/>
    <xf numFmtId="0" fontId="49" fillId="8" borderId="149" xfId="10" applyFont="1" applyFill="1" applyBorder="1"/>
    <xf numFmtId="0" fontId="49" fillId="45" borderId="101" xfId="10" applyFont="1" applyFill="1" applyBorder="1"/>
    <xf numFmtId="0" fontId="49" fillId="45" borderId="29" xfId="10" applyFont="1" applyFill="1" applyBorder="1"/>
    <xf numFmtId="0" fontId="49" fillId="0" borderId="0" xfId="10" quotePrefix="1" applyFont="1"/>
    <xf numFmtId="0" fontId="49" fillId="45" borderId="140" xfId="10" applyFont="1" applyFill="1" applyBorder="1"/>
    <xf numFmtId="0" fontId="49" fillId="45" borderId="166" xfId="10" applyFont="1" applyFill="1" applyBorder="1"/>
    <xf numFmtId="0" fontId="49" fillId="69" borderId="128" xfId="10" applyFont="1" applyFill="1" applyBorder="1"/>
    <xf numFmtId="0" fontId="49" fillId="69" borderId="134" xfId="10" applyFont="1" applyFill="1" applyBorder="1"/>
    <xf numFmtId="0" fontId="49" fillId="59" borderId="0" xfId="10" applyFont="1" applyFill="1" applyAlignment="1">
      <alignment horizontal="center" vertical="center"/>
    </xf>
    <xf numFmtId="0" fontId="49" fillId="10" borderId="137" xfId="10" applyFont="1" applyFill="1" applyBorder="1" applyAlignment="1">
      <alignment horizontal="centerContinuous"/>
    </xf>
    <xf numFmtId="0" fontId="49" fillId="10" borderId="138" xfId="10" applyFont="1" applyFill="1" applyBorder="1" applyAlignment="1">
      <alignment horizontal="centerContinuous"/>
    </xf>
    <xf numFmtId="0" fontId="49" fillId="10" borderId="250" xfId="10" applyFont="1" applyFill="1" applyBorder="1" applyAlignment="1">
      <alignment horizontal="right" indent="1"/>
    </xf>
    <xf numFmtId="0" fontId="49" fillId="10" borderId="269" xfId="10" applyFont="1" applyFill="1" applyBorder="1" applyAlignment="1">
      <alignment horizontal="center"/>
    </xf>
    <xf numFmtId="0" fontId="49" fillId="47" borderId="179" xfId="10" applyFont="1" applyFill="1" applyBorder="1" applyAlignment="1">
      <alignment horizontal="right" vertical="center" indent="1"/>
    </xf>
    <xf numFmtId="1" fontId="49" fillId="46" borderId="138" xfId="10" applyNumberFormat="1" applyFont="1" applyFill="1" applyBorder="1" applyAlignment="1">
      <alignment horizontal="center" vertical="center"/>
    </xf>
    <xf numFmtId="0" fontId="49" fillId="61" borderId="138" xfId="10" applyFont="1" applyFill="1" applyBorder="1" applyAlignment="1">
      <alignment horizontal="center"/>
    </xf>
    <xf numFmtId="0" fontId="49" fillId="46" borderId="138" xfId="10" applyFont="1" applyFill="1" applyBorder="1" applyAlignment="1">
      <alignment horizontal="center"/>
    </xf>
    <xf numFmtId="0" fontId="49" fillId="47" borderId="336" xfId="10" applyFont="1" applyFill="1" applyBorder="1" applyAlignment="1">
      <alignment horizontal="right" indent="1"/>
    </xf>
    <xf numFmtId="0" fontId="49" fillId="15" borderId="334" xfId="10" applyFont="1" applyFill="1" applyBorder="1" applyAlignment="1">
      <alignment horizontal="center"/>
    </xf>
    <xf numFmtId="0" fontId="49" fillId="61" borderId="262" xfId="10" applyFont="1" applyFill="1" applyBorder="1" applyAlignment="1">
      <alignment horizontal="center"/>
    </xf>
    <xf numFmtId="0" fontId="49" fillId="47" borderId="183" xfId="10" applyFont="1" applyFill="1" applyBorder="1" applyAlignment="1">
      <alignment horizontal="right" indent="1"/>
    </xf>
    <xf numFmtId="0" fontId="49" fillId="47" borderId="146" xfId="10" applyFont="1" applyFill="1" applyBorder="1" applyAlignment="1">
      <alignment horizontal="right" indent="1"/>
    </xf>
    <xf numFmtId="0" fontId="49" fillId="61" borderId="149" xfId="10" applyFont="1" applyFill="1" applyBorder="1" applyAlignment="1">
      <alignment horizontal="center"/>
    </xf>
    <xf numFmtId="1" fontId="49" fillId="46" borderId="149" xfId="10" applyNumberFormat="1" applyFont="1" applyFill="1" applyBorder="1" applyAlignment="1">
      <alignment horizontal="center"/>
    </xf>
    <xf numFmtId="0" fontId="49" fillId="0" borderId="0" xfId="10" applyFont="1" applyAlignment="1">
      <alignment horizontal="right" vertical="center"/>
    </xf>
    <xf numFmtId="0" fontId="49" fillId="46" borderId="120" xfId="10" applyFont="1" applyFill="1" applyBorder="1" applyAlignment="1">
      <alignment horizontal="center"/>
    </xf>
    <xf numFmtId="0" fontId="49" fillId="0" borderId="0" xfId="10" applyFont="1" applyAlignment="1">
      <alignment horizontal="right"/>
    </xf>
    <xf numFmtId="0" fontId="49" fillId="8" borderId="149" xfId="10" applyFont="1" applyFill="1" applyBorder="1" applyAlignment="1">
      <alignment horizontal="center"/>
    </xf>
    <xf numFmtId="0" fontId="49" fillId="10" borderId="135" xfId="10" applyFont="1" applyFill="1" applyBorder="1"/>
    <xf numFmtId="0" fontId="49" fillId="47" borderId="162" xfId="10" applyFont="1" applyFill="1" applyBorder="1" applyAlignment="1">
      <alignment horizontal="right" indent="1"/>
    </xf>
    <xf numFmtId="0" fontId="49" fillId="61" borderId="120" xfId="10" applyFont="1" applyFill="1" applyBorder="1" applyAlignment="1">
      <alignment horizontal="center"/>
    </xf>
    <xf numFmtId="0" fontId="49" fillId="10" borderId="146" xfId="10" applyFont="1" applyFill="1" applyBorder="1"/>
    <xf numFmtId="0" fontId="49" fillId="59" borderId="0" xfId="10" applyFont="1" applyFill="1"/>
    <xf numFmtId="0" fontId="49" fillId="61" borderId="171" xfId="10" applyFont="1" applyFill="1" applyBorder="1" applyAlignment="1">
      <alignment horizontal="center"/>
    </xf>
    <xf numFmtId="0" fontId="49" fillId="54" borderId="100" xfId="10" applyFont="1" applyFill="1" applyBorder="1" applyAlignment="1">
      <alignment horizontal="centerContinuous"/>
    </xf>
    <xf numFmtId="0" fontId="49" fillId="46" borderId="169" xfId="10" applyFont="1" applyFill="1" applyBorder="1"/>
    <xf numFmtId="0" fontId="49" fillId="47" borderId="179" xfId="10" applyFont="1" applyFill="1" applyBorder="1" applyAlignment="1">
      <alignment horizontal="right" indent="1"/>
    </xf>
    <xf numFmtId="1" fontId="49" fillId="61" borderId="138" xfId="10" applyNumberFormat="1" applyFont="1" applyFill="1" applyBorder="1" applyAlignment="1">
      <alignment horizontal="center"/>
    </xf>
    <xf numFmtId="0" fontId="49" fillId="15" borderId="148" xfId="10" applyFont="1" applyFill="1" applyBorder="1"/>
    <xf numFmtId="1" fontId="49" fillId="46" borderId="161" xfId="10" applyNumberFormat="1" applyFont="1" applyFill="1" applyBorder="1" applyAlignment="1">
      <alignment horizontal="center"/>
    </xf>
    <xf numFmtId="0" fontId="49" fillId="10" borderId="158" xfId="10" applyFont="1" applyFill="1" applyBorder="1"/>
    <xf numFmtId="0" fontId="49" fillId="47" borderId="146" xfId="10" applyFont="1" applyFill="1" applyBorder="1" applyAlignment="1">
      <alignment horizontal="right" vertical="center" indent="1"/>
    </xf>
    <xf numFmtId="0" fontId="49" fillId="47" borderId="154" xfId="10" applyFont="1" applyFill="1" applyBorder="1" applyAlignment="1">
      <alignment horizontal="right" vertical="center" indent="1"/>
    </xf>
    <xf numFmtId="0" fontId="156" fillId="45" borderId="166" xfId="10" applyFont="1" applyFill="1" applyBorder="1"/>
    <xf numFmtId="0" fontId="49" fillId="47" borderId="185" xfId="10" applyFont="1" applyFill="1" applyBorder="1" applyAlignment="1">
      <alignment horizontal="right" indent="1"/>
    </xf>
    <xf numFmtId="0" fontId="49" fillId="15" borderId="117" xfId="10" applyFont="1" applyFill="1" applyBorder="1"/>
    <xf numFmtId="0" fontId="49" fillId="68" borderId="120" xfId="10" applyFont="1" applyFill="1" applyBorder="1" applyAlignment="1">
      <alignment horizontal="center"/>
    </xf>
    <xf numFmtId="0" fontId="49" fillId="47" borderId="179" xfId="10" applyFont="1" applyFill="1" applyBorder="1" applyAlignment="1">
      <alignment horizontal="right" vertical="center"/>
    </xf>
    <xf numFmtId="0" fontId="49" fillId="62" borderId="144" xfId="10" applyFont="1" applyFill="1" applyBorder="1" applyAlignment="1">
      <alignment horizontal="center" vertical="center"/>
    </xf>
    <xf numFmtId="0" fontId="49" fillId="46" borderId="172" xfId="10" applyFont="1" applyFill="1" applyBorder="1" applyAlignment="1">
      <alignment horizontal="center" vertical="center"/>
    </xf>
    <xf numFmtId="0" fontId="49" fillId="47" borderId="143" xfId="10" applyFont="1" applyFill="1" applyBorder="1" applyAlignment="1">
      <alignment horizontal="right" vertical="center"/>
    </xf>
    <xf numFmtId="0" fontId="49" fillId="62" borderId="138" xfId="10" applyFont="1" applyFill="1" applyBorder="1" applyAlignment="1">
      <alignment horizontal="center" vertical="center"/>
    </xf>
    <xf numFmtId="0" fontId="49" fillId="47" borderId="185" xfId="10" applyFont="1" applyFill="1" applyBorder="1" applyAlignment="1">
      <alignment horizontal="right"/>
    </xf>
    <xf numFmtId="0" fontId="49" fillId="47" borderId="183" xfId="10" applyFont="1" applyFill="1" applyBorder="1" applyAlignment="1">
      <alignment horizontal="right" vertical="center"/>
    </xf>
    <xf numFmtId="0" fontId="49" fillId="62" borderId="153" xfId="10" applyFont="1" applyFill="1" applyBorder="1" applyAlignment="1">
      <alignment horizontal="center" vertical="center"/>
    </xf>
    <xf numFmtId="0" fontId="49" fillId="47" borderId="152" xfId="10" applyFont="1" applyFill="1" applyBorder="1" applyAlignment="1">
      <alignment horizontal="right" vertical="center"/>
    </xf>
    <xf numFmtId="0" fontId="49" fillId="62" borderId="149" xfId="10" applyFont="1" applyFill="1" applyBorder="1" applyAlignment="1">
      <alignment horizontal="center" vertical="center"/>
    </xf>
    <xf numFmtId="0" fontId="49" fillId="47" borderId="162" xfId="10" applyFont="1" applyFill="1" applyBorder="1" applyAlignment="1">
      <alignment horizontal="right"/>
    </xf>
    <xf numFmtId="0" fontId="49" fillId="15" borderId="160" xfId="10" applyFont="1" applyFill="1" applyBorder="1" applyAlignment="1">
      <alignment horizontal="center" vertical="center"/>
    </xf>
    <xf numFmtId="0" fontId="49" fillId="61" borderId="137" xfId="10" applyFont="1" applyFill="1" applyBorder="1" applyAlignment="1">
      <alignment horizontal="center"/>
    </xf>
    <xf numFmtId="0" fontId="49" fillId="15" borderId="138" xfId="10" applyFont="1" applyFill="1" applyBorder="1" applyAlignment="1">
      <alignment horizontal="center"/>
    </xf>
    <xf numFmtId="0" fontId="49" fillId="46" borderId="192" xfId="10" applyFont="1" applyFill="1" applyBorder="1" applyAlignment="1">
      <alignment horizontal="left"/>
    </xf>
    <xf numFmtId="0" fontId="49" fillId="47" borderId="162" xfId="10" applyFont="1" applyFill="1" applyBorder="1" applyAlignment="1">
      <alignment horizontal="right" vertical="center"/>
    </xf>
    <xf numFmtId="0" fontId="49" fillId="62" borderId="165" xfId="10" applyFont="1" applyFill="1" applyBorder="1" applyAlignment="1">
      <alignment horizontal="center" vertical="center"/>
    </xf>
    <xf numFmtId="0" fontId="49" fillId="61" borderId="160" xfId="10" applyFont="1" applyFill="1" applyBorder="1" applyAlignment="1">
      <alignment horizontal="center"/>
    </xf>
    <xf numFmtId="1" fontId="49" fillId="47" borderId="161" xfId="10" applyNumberFormat="1" applyFont="1" applyFill="1" applyBorder="1" applyAlignment="1">
      <alignment horizontal="center"/>
    </xf>
    <xf numFmtId="0" fontId="49" fillId="47" borderId="123" xfId="10" applyFont="1" applyFill="1" applyBorder="1"/>
    <xf numFmtId="1" fontId="49" fillId="61" borderId="132" xfId="10" applyNumberFormat="1" applyFont="1" applyFill="1" applyBorder="1" applyAlignment="1">
      <alignment horizontal="center"/>
    </xf>
    <xf numFmtId="0" fontId="49" fillId="10" borderId="170" xfId="10" applyFont="1" applyFill="1" applyBorder="1" applyAlignment="1">
      <alignment horizontal="right" indent="1"/>
    </xf>
    <xf numFmtId="1" fontId="49" fillId="61" borderId="202" xfId="10" applyNumberFormat="1" applyFont="1" applyFill="1" applyBorder="1" applyAlignment="1">
      <alignment horizontal="center"/>
    </xf>
    <xf numFmtId="0" fontId="49" fillId="55" borderId="101" xfId="10" applyFont="1" applyFill="1" applyBorder="1"/>
    <xf numFmtId="0" fontId="49" fillId="55" borderId="102" xfId="10" applyFont="1" applyFill="1" applyBorder="1"/>
    <xf numFmtId="0" fontId="49" fillId="62" borderId="161" xfId="10" applyFont="1" applyFill="1" applyBorder="1" applyAlignment="1">
      <alignment horizontal="center" vertical="center"/>
    </xf>
    <xf numFmtId="0" fontId="49" fillId="44" borderId="123" xfId="10" applyFont="1" applyFill="1" applyBorder="1"/>
    <xf numFmtId="0" fontId="49" fillId="44" borderId="178" xfId="10" applyFont="1" applyFill="1" applyBorder="1"/>
    <xf numFmtId="0" fontId="49" fillId="47" borderId="179" xfId="10" applyFont="1" applyFill="1" applyBorder="1" applyAlignment="1">
      <alignment horizontal="right"/>
    </xf>
    <xf numFmtId="0" fontId="49" fillId="47" borderId="183" xfId="10" applyFont="1" applyFill="1" applyBorder="1" applyAlignment="1">
      <alignment horizontal="right"/>
    </xf>
    <xf numFmtId="0" fontId="49" fillId="61" borderId="149" xfId="10" applyFont="1" applyFill="1" applyBorder="1" applyAlignment="1">
      <alignment horizontal="left"/>
    </xf>
    <xf numFmtId="0" fontId="156" fillId="45" borderId="98" xfId="10" applyFont="1" applyFill="1" applyBorder="1"/>
    <xf numFmtId="0" fontId="49" fillId="45" borderId="99" xfId="10" applyFont="1" applyFill="1" applyBorder="1"/>
    <xf numFmtId="0" fontId="49" fillId="45" borderId="100" xfId="10" applyFont="1" applyFill="1" applyBorder="1"/>
    <xf numFmtId="0" fontId="49" fillId="15" borderId="160" xfId="10" applyFont="1" applyFill="1" applyBorder="1"/>
    <xf numFmtId="0" fontId="49" fillId="61" borderId="161" xfId="10" applyFont="1" applyFill="1" applyBorder="1" applyAlignment="1">
      <alignment horizontal="left"/>
    </xf>
    <xf numFmtId="0" fontId="49" fillId="47" borderId="187" xfId="10" applyFont="1" applyFill="1" applyBorder="1" applyAlignment="1">
      <alignment horizontal="right" indent="1"/>
    </xf>
    <xf numFmtId="1" fontId="49" fillId="54" borderId="193" xfId="10" applyNumberFormat="1" applyFont="1" applyFill="1" applyBorder="1" applyAlignment="1">
      <alignment horizontal="center"/>
    </xf>
    <xf numFmtId="0" fontId="49" fillId="61" borderId="153" xfId="10" applyFont="1" applyFill="1" applyBorder="1" applyAlignment="1">
      <alignment horizontal="left" vertical="center"/>
    </xf>
    <xf numFmtId="0" fontId="25" fillId="61" borderId="201" xfId="10" applyFill="1" applyBorder="1"/>
    <xf numFmtId="1" fontId="49" fillId="54" borderId="171" xfId="10" applyNumberFormat="1" applyFont="1" applyFill="1" applyBorder="1" applyAlignment="1">
      <alignment horizontal="center"/>
    </xf>
    <xf numFmtId="1" fontId="49" fillId="46" borderId="193" xfId="10" applyNumberFormat="1" applyFont="1" applyFill="1" applyBorder="1" applyAlignment="1">
      <alignment horizontal="center"/>
    </xf>
    <xf numFmtId="1" fontId="49" fillId="46" borderId="177" xfId="10" applyNumberFormat="1" applyFont="1" applyFill="1" applyBorder="1" applyAlignment="1">
      <alignment horizontal="center"/>
    </xf>
    <xf numFmtId="1" fontId="49" fillId="46" borderId="182" xfId="10" applyNumberFormat="1" applyFont="1" applyFill="1" applyBorder="1" applyAlignment="1">
      <alignment horizontal="center"/>
    </xf>
    <xf numFmtId="0" fontId="49" fillId="61" borderId="153" xfId="10" applyFont="1" applyFill="1" applyBorder="1" applyAlignment="1">
      <alignment horizontal="left"/>
    </xf>
    <xf numFmtId="0" fontId="49" fillId="15" borderId="148" xfId="10" applyFont="1" applyFill="1" applyBorder="1" applyAlignment="1">
      <alignment horizontal="left"/>
    </xf>
    <xf numFmtId="0" fontId="49" fillId="61" borderId="165" xfId="10" applyFont="1" applyFill="1" applyBorder="1" applyAlignment="1">
      <alignment horizontal="left"/>
    </xf>
    <xf numFmtId="0" fontId="25" fillId="61" borderId="207" xfId="10" applyFill="1" applyBorder="1"/>
    <xf numFmtId="0" fontId="49" fillId="61" borderId="148" xfId="10" applyFont="1" applyFill="1" applyBorder="1" applyAlignment="1">
      <alignment horizontal="center"/>
    </xf>
    <xf numFmtId="0" fontId="49" fillId="15" borderId="149" xfId="10" applyFont="1" applyFill="1" applyBorder="1"/>
    <xf numFmtId="0" fontId="49" fillId="15" borderId="149" xfId="10" applyFont="1" applyFill="1" applyBorder="1" applyAlignment="1">
      <alignment horizontal="center" vertical="center"/>
    </xf>
    <xf numFmtId="0" fontId="49" fillId="15" borderId="160" xfId="10" applyFont="1" applyFill="1" applyBorder="1" applyAlignment="1">
      <alignment horizontal="left"/>
    </xf>
    <xf numFmtId="0" fontId="49" fillId="61" borderId="161" xfId="10" applyFont="1" applyFill="1" applyBorder="1"/>
    <xf numFmtId="0" fontId="49" fillId="66" borderId="144" xfId="10" applyFont="1" applyFill="1" applyBorder="1" applyAlignment="1">
      <alignment horizontal="center"/>
    </xf>
    <xf numFmtId="0" fontId="49" fillId="15" borderId="138" xfId="10" applyFont="1" applyFill="1" applyBorder="1" applyAlignment="1">
      <alignment horizontal="center" vertical="center"/>
    </xf>
    <xf numFmtId="0" fontId="49" fillId="66" borderId="153" xfId="10" applyFont="1" applyFill="1" applyBorder="1" applyAlignment="1">
      <alignment horizontal="center"/>
    </xf>
    <xf numFmtId="0" fontId="156" fillId="47" borderId="183" xfId="10" applyFont="1" applyFill="1" applyBorder="1" applyAlignment="1">
      <alignment horizontal="right"/>
    </xf>
    <xf numFmtId="1" fontId="49" fillId="62" borderId="149" xfId="10" applyNumberFormat="1" applyFont="1" applyFill="1" applyBorder="1" applyAlignment="1">
      <alignment horizontal="center" vertical="center"/>
    </xf>
    <xf numFmtId="0" fontId="49" fillId="62" borderId="118" xfId="10" applyFont="1" applyFill="1" applyBorder="1" applyAlignment="1">
      <alignment horizontal="center" vertical="center"/>
    </xf>
    <xf numFmtId="0" fontId="49" fillId="0" borderId="120" xfId="10" applyFont="1" applyBorder="1" applyAlignment="1">
      <alignment horizontal="center" vertical="center"/>
    </xf>
    <xf numFmtId="0" fontId="49" fillId="47" borderId="187" xfId="10" applyFont="1" applyFill="1" applyBorder="1" applyAlignment="1">
      <alignment horizontal="right"/>
    </xf>
    <xf numFmtId="0" fontId="49" fillId="0" borderId="193" xfId="10" applyFont="1" applyBorder="1" applyAlignment="1">
      <alignment horizontal="center" vertical="center"/>
    </xf>
    <xf numFmtId="1" fontId="49" fillId="46" borderId="132" xfId="10" applyNumberFormat="1" applyFont="1" applyFill="1" applyBorder="1" applyAlignment="1">
      <alignment horizontal="center"/>
    </xf>
    <xf numFmtId="1" fontId="49" fillId="46" borderId="194" xfId="10" applyNumberFormat="1" applyFont="1" applyFill="1" applyBorder="1" applyAlignment="1">
      <alignment horizontal="center"/>
    </xf>
    <xf numFmtId="0" fontId="49" fillId="62" borderId="153" xfId="10" applyFont="1" applyFill="1" applyBorder="1" applyAlignment="1">
      <alignment horizontal="center" vertical="center" wrapText="1"/>
    </xf>
    <xf numFmtId="0" fontId="161" fillId="67" borderId="169" xfId="10" applyFont="1" applyFill="1" applyBorder="1" applyAlignment="1">
      <alignment horizontal="center" vertical="center"/>
    </xf>
    <xf numFmtId="0" fontId="49" fillId="67" borderId="169" xfId="10" applyFont="1" applyFill="1" applyBorder="1"/>
    <xf numFmtId="1" fontId="161" fillId="67" borderId="169" xfId="10" applyNumberFormat="1" applyFont="1" applyFill="1" applyBorder="1"/>
    <xf numFmtId="0" fontId="49" fillId="0" borderId="120" xfId="10" applyFont="1" applyBorder="1"/>
    <xf numFmtId="0" fontId="49" fillId="0" borderId="193" xfId="10" applyFont="1" applyBorder="1"/>
    <xf numFmtId="0" fontId="49" fillId="62" borderId="188" xfId="10" applyFont="1" applyFill="1" applyBorder="1" applyAlignment="1">
      <alignment horizontal="center" vertical="center"/>
    </xf>
    <xf numFmtId="1" fontId="49" fillId="61" borderId="149" xfId="10" applyNumberFormat="1" applyFont="1" applyFill="1" applyBorder="1" applyAlignment="1">
      <alignment horizontal="center" vertical="center"/>
    </xf>
    <xf numFmtId="0" fontId="49" fillId="0" borderId="205" xfId="10" applyFont="1" applyBorder="1"/>
    <xf numFmtId="0" fontId="49" fillId="62" borderId="160" xfId="10" applyFont="1" applyFill="1" applyBorder="1" applyAlignment="1">
      <alignment horizontal="center" vertical="center"/>
    </xf>
    <xf numFmtId="0" fontId="49" fillId="0" borderId="132" xfId="10" applyFont="1" applyBorder="1"/>
    <xf numFmtId="0" fontId="156" fillId="10" borderId="98" xfId="10" applyFont="1" applyFill="1" applyBorder="1"/>
    <xf numFmtId="0" fontId="49" fillId="61" borderId="138" xfId="10" applyFont="1" applyFill="1" applyBorder="1" applyAlignment="1">
      <alignment horizontal="center" vertical="center"/>
    </xf>
    <xf numFmtId="0" fontId="49" fillId="66" borderId="165" xfId="10" applyFont="1" applyFill="1" applyBorder="1" applyAlignment="1">
      <alignment horizontal="center"/>
    </xf>
    <xf numFmtId="0" fontId="49" fillId="15" borderId="161" xfId="10" applyFont="1" applyFill="1" applyBorder="1" applyAlignment="1">
      <alignment horizontal="center" vertical="center"/>
    </xf>
    <xf numFmtId="0" fontId="49" fillId="10" borderId="170" xfId="10" applyFont="1" applyFill="1" applyBorder="1" applyAlignment="1">
      <alignment vertical="center"/>
    </xf>
    <xf numFmtId="170" fontId="49" fillId="62" borderId="148" xfId="10" applyNumberFormat="1" applyFont="1" applyFill="1" applyBorder="1" applyAlignment="1">
      <alignment horizontal="center" vertical="center"/>
    </xf>
    <xf numFmtId="170" fontId="49" fillId="62" borderId="160" xfId="10" applyNumberFormat="1" applyFont="1" applyFill="1" applyBorder="1" applyAlignment="1">
      <alignment horizontal="center" vertical="center"/>
    </xf>
    <xf numFmtId="0" fontId="49" fillId="51" borderId="101" xfId="10" applyFont="1" applyFill="1" applyBorder="1"/>
    <xf numFmtId="0" fontId="49" fillId="51" borderId="29" xfId="10" applyFont="1" applyFill="1" applyBorder="1"/>
    <xf numFmtId="0" fontId="182" fillId="44" borderId="140" xfId="10" applyFont="1" applyFill="1" applyBorder="1"/>
    <xf numFmtId="0" fontId="182" fillId="44" borderId="166" xfId="10" applyFont="1" applyFill="1" applyBorder="1"/>
    <xf numFmtId="0" fontId="49" fillId="79" borderId="150" xfId="10" applyFont="1" applyFill="1" applyBorder="1"/>
    <xf numFmtId="0" fontId="49" fillId="79" borderId="25" xfId="10" applyFont="1" applyFill="1" applyBorder="1"/>
    <xf numFmtId="0" fontId="49" fillId="79" borderId="21" xfId="10" applyFont="1" applyFill="1" applyBorder="1"/>
    <xf numFmtId="0" fontId="49" fillId="46" borderId="21" xfId="10" applyFont="1" applyFill="1" applyBorder="1"/>
    <xf numFmtId="0" fontId="25" fillId="46" borderId="27" xfId="10" applyFill="1" applyBorder="1"/>
    <xf numFmtId="0" fontId="49" fillId="15" borderId="149" xfId="10" applyFont="1" applyFill="1" applyBorder="1" applyAlignment="1">
      <alignment horizontal="left"/>
    </xf>
    <xf numFmtId="0" fontId="49" fillId="15" borderId="161" xfId="10" applyFont="1" applyFill="1" applyBorder="1" applyAlignment="1">
      <alignment horizontal="left"/>
    </xf>
    <xf numFmtId="0" fontId="49" fillId="44" borderId="103" xfId="10" applyFont="1" applyFill="1" applyBorder="1"/>
    <xf numFmtId="0" fontId="25" fillId="0" borderId="20" xfId="10" applyBorder="1" applyAlignment="1">
      <alignment horizontal="left" vertical="top" wrapText="1"/>
    </xf>
    <xf numFmtId="0" fontId="25" fillId="0" borderId="0" xfId="10" applyAlignment="1">
      <alignment horizontal="left" vertical="top" wrapText="1"/>
    </xf>
    <xf numFmtId="0" fontId="25" fillId="0" borderId="16" xfId="10" applyBorder="1" applyAlignment="1">
      <alignment horizontal="left" vertical="top" wrapText="1"/>
    </xf>
    <xf numFmtId="0" fontId="49" fillId="44" borderId="21" xfId="10" applyFont="1" applyFill="1" applyBorder="1"/>
    <xf numFmtId="0" fontId="49" fillId="44" borderId="26" xfId="10" applyFont="1" applyFill="1" applyBorder="1"/>
    <xf numFmtId="0" fontId="49" fillId="44" borderId="27" xfId="10" applyFont="1" applyFill="1" applyBorder="1"/>
    <xf numFmtId="0" fontId="183" fillId="8" borderId="101" xfId="10" applyFont="1" applyFill="1" applyBorder="1"/>
    <xf numFmtId="0" fontId="49" fillId="8" borderId="29" xfId="10" applyFont="1" applyFill="1" applyBorder="1"/>
    <xf numFmtId="0" fontId="49" fillId="8" borderId="102" xfId="10" applyFont="1" applyFill="1" applyBorder="1"/>
    <xf numFmtId="0" fontId="49" fillId="8" borderId="103" xfId="10" applyFont="1" applyFill="1" applyBorder="1"/>
    <xf numFmtId="0" fontId="156" fillId="8" borderId="150" xfId="10" applyFont="1" applyFill="1" applyBorder="1"/>
    <xf numFmtId="0" fontId="49" fillId="8" borderId="25" xfId="10" applyFont="1" applyFill="1" applyBorder="1"/>
    <xf numFmtId="0" fontId="156" fillId="8" borderId="98" xfId="10" applyFont="1" applyFill="1" applyBorder="1" applyAlignment="1">
      <alignment horizontal="left"/>
    </xf>
    <xf numFmtId="0" fontId="156" fillId="8" borderId="99" xfId="10" applyFont="1" applyFill="1" applyBorder="1" applyAlignment="1">
      <alignment horizontal="left"/>
    </xf>
    <xf numFmtId="0" fontId="156" fillId="8" borderId="100" xfId="10" applyFont="1" applyFill="1" applyBorder="1" applyAlignment="1">
      <alignment horizontal="left"/>
    </xf>
    <xf numFmtId="0" fontId="49" fillId="8" borderId="133" xfId="10" applyFont="1" applyFill="1" applyBorder="1"/>
    <xf numFmtId="0" fontId="49" fillId="8" borderId="128" xfId="10" applyFont="1" applyFill="1" applyBorder="1"/>
    <xf numFmtId="0" fontId="49" fillId="8" borderId="191" xfId="10" applyFont="1" applyFill="1" applyBorder="1"/>
    <xf numFmtId="0" fontId="49" fillId="8" borderId="123" xfId="10" applyFont="1" applyFill="1" applyBorder="1"/>
    <xf numFmtId="0" fontId="49" fillId="8" borderId="178" xfId="10" applyFont="1" applyFill="1" applyBorder="1"/>
    <xf numFmtId="0" fontId="156" fillId="45" borderId="362" xfId="10" applyFont="1" applyFill="1" applyBorder="1" applyAlignment="1">
      <alignment horizontal="center"/>
    </xf>
    <xf numFmtId="0" fontId="156" fillId="45" borderId="363" xfId="10" applyFont="1" applyFill="1" applyBorder="1" applyAlignment="1">
      <alignment horizontal="center"/>
    </xf>
    <xf numFmtId="0" fontId="175" fillId="45" borderId="362" xfId="10" applyFont="1" applyFill="1" applyBorder="1" applyAlignment="1">
      <alignment horizontal="center"/>
    </xf>
    <xf numFmtId="0" fontId="30" fillId="45" borderId="169" xfId="10" applyFont="1" applyFill="1" applyBorder="1" applyAlignment="1">
      <alignment horizontal="center"/>
    </xf>
    <xf numFmtId="0" fontId="49" fillId="46" borderId="364" xfId="10" applyFont="1" applyFill="1" applyBorder="1" applyAlignment="1">
      <alignment horizontal="center" vertical="center"/>
    </xf>
    <xf numFmtId="16" fontId="49" fillId="45" borderId="242" xfId="10" applyNumberFormat="1" applyFont="1" applyFill="1" applyBorder="1"/>
    <xf numFmtId="0" fontId="49" fillId="75" borderId="365" xfId="10" applyFont="1" applyFill="1" applyBorder="1" applyAlignment="1">
      <alignment horizontal="center" vertical="center"/>
    </xf>
    <xf numFmtId="0" fontId="49" fillId="45" borderId="364" xfId="10" applyFont="1" applyFill="1" applyBorder="1" applyAlignment="1">
      <alignment horizontal="center"/>
    </xf>
    <xf numFmtId="0" fontId="49" fillId="46" borderId="364" xfId="10" applyFont="1" applyFill="1" applyBorder="1" applyAlignment="1">
      <alignment horizontal="center"/>
    </xf>
    <xf numFmtId="0" fontId="30" fillId="46" borderId="364" xfId="10" applyFont="1" applyFill="1" applyBorder="1" applyAlignment="1">
      <alignment horizontal="center"/>
    </xf>
    <xf numFmtId="0" fontId="30" fillId="46" borderId="169" xfId="10" applyFont="1" applyFill="1" applyBorder="1" applyAlignment="1">
      <alignment horizontal="center"/>
    </xf>
    <xf numFmtId="0" fontId="49" fillId="0" borderId="242" xfId="10" applyFont="1" applyBorder="1" applyAlignment="1">
      <alignment horizontal="center"/>
    </xf>
    <xf numFmtId="0" fontId="49" fillId="45" borderId="366" xfId="10" applyFont="1" applyFill="1" applyBorder="1" applyAlignment="1">
      <alignment horizontal="center" vertical="center"/>
    </xf>
    <xf numFmtId="0" fontId="30" fillId="46" borderId="242" xfId="10" applyFont="1" applyFill="1" applyBorder="1" applyAlignment="1">
      <alignment horizontal="center"/>
    </xf>
    <xf numFmtId="0" fontId="49" fillId="75" borderId="367" xfId="10" applyFont="1" applyFill="1" applyBorder="1" applyAlignment="1">
      <alignment horizontal="center" vertical="center"/>
    </xf>
    <xf numFmtId="0" fontId="49" fillId="46" borderId="215" xfId="10" applyFont="1" applyFill="1" applyBorder="1" applyAlignment="1">
      <alignment horizontal="center"/>
    </xf>
    <xf numFmtId="0" fontId="49" fillId="46" borderId="243" xfId="10" applyFont="1" applyFill="1" applyBorder="1" applyAlignment="1">
      <alignment horizontal="center"/>
    </xf>
    <xf numFmtId="0" fontId="49" fillId="0" borderId="366" xfId="10" applyFont="1" applyBorder="1" applyAlignment="1">
      <alignment horizontal="center"/>
    </xf>
    <xf numFmtId="0" fontId="156" fillId="45" borderId="368" xfId="10" applyFont="1" applyFill="1" applyBorder="1" applyAlignment="1">
      <alignment horizontal="center"/>
    </xf>
    <xf numFmtId="0" fontId="49" fillId="45" borderId="369" xfId="10" applyFont="1" applyFill="1" applyBorder="1" applyAlignment="1">
      <alignment horizontal="center"/>
    </xf>
    <xf numFmtId="0" fontId="49" fillId="46" borderId="370" xfId="10" applyFont="1" applyFill="1" applyBorder="1" applyAlignment="1">
      <alignment horizontal="center"/>
    </xf>
    <xf numFmtId="0" fontId="30" fillId="46" borderId="371" xfId="10" applyFont="1" applyFill="1" applyBorder="1" applyAlignment="1">
      <alignment horizontal="center"/>
    </xf>
    <xf numFmtId="0" fontId="30" fillId="46" borderId="372" xfId="10" applyFont="1" applyFill="1" applyBorder="1" applyAlignment="1">
      <alignment horizontal="center"/>
    </xf>
    <xf numFmtId="0" fontId="49" fillId="46" borderId="373" xfId="10" applyFont="1" applyFill="1" applyBorder="1" applyAlignment="1">
      <alignment horizontal="center" vertical="center"/>
    </xf>
    <xf numFmtId="0" fontId="49" fillId="45" borderId="374" xfId="10" applyFont="1" applyFill="1" applyBorder="1" applyAlignment="1">
      <alignment horizontal="right"/>
    </xf>
    <xf numFmtId="0" fontId="30" fillId="0" borderId="111" xfId="10" applyFont="1" applyBorder="1"/>
    <xf numFmtId="0" fontId="49" fillId="46" borderId="375" xfId="10" applyFont="1" applyFill="1" applyBorder="1" applyAlignment="1">
      <alignment horizontal="center" vertical="center"/>
    </xf>
    <xf numFmtId="0" fontId="49" fillId="45" borderId="100" xfId="10" applyFont="1" applyFill="1" applyBorder="1" applyAlignment="1">
      <alignment horizontal="center" vertical="center"/>
    </xf>
    <xf numFmtId="1" fontId="49" fillId="46" borderId="376" xfId="10" applyNumberFormat="1" applyFont="1" applyFill="1" applyBorder="1" applyAlignment="1">
      <alignment horizontal="center"/>
    </xf>
    <xf numFmtId="0" fontId="49" fillId="45" borderId="377" xfId="10" applyFont="1" applyFill="1" applyBorder="1" applyAlignment="1">
      <alignment horizontal="center"/>
    </xf>
    <xf numFmtId="1" fontId="49" fillId="46" borderId="378" xfId="10" applyNumberFormat="1" applyFont="1" applyFill="1" applyBorder="1" applyAlignment="1">
      <alignment horizontal="center"/>
    </xf>
    <xf numFmtId="0" fontId="49" fillId="45" borderId="379" xfId="10" applyFont="1" applyFill="1" applyBorder="1" applyAlignment="1">
      <alignment horizontal="center"/>
    </xf>
    <xf numFmtId="1" fontId="49" fillId="46" borderId="380" xfId="10" applyNumberFormat="1" applyFont="1" applyFill="1" applyBorder="1" applyAlignment="1">
      <alignment horizontal="center"/>
    </xf>
    <xf numFmtId="0" fontId="49" fillId="45" borderId="381" xfId="10" applyFont="1" applyFill="1" applyBorder="1" applyAlignment="1">
      <alignment horizontal="center"/>
    </xf>
    <xf numFmtId="0" fontId="156" fillId="0" borderId="103" xfId="10" applyFont="1" applyBorder="1" applyAlignment="1">
      <alignment horizontal="left" vertical="center"/>
    </xf>
    <xf numFmtId="0" fontId="49" fillId="0" borderId="243" xfId="10" applyFont="1" applyBorder="1" applyAlignment="1">
      <alignment horizontal="center"/>
    </xf>
    <xf numFmtId="0" fontId="49" fillId="59" borderId="0" xfId="10" applyFont="1" applyFill="1" applyAlignment="1">
      <alignment horizontal="center"/>
    </xf>
    <xf numFmtId="0" fontId="162" fillId="58" borderId="0" xfId="10" applyFont="1" applyFill="1"/>
    <xf numFmtId="0" fontId="162" fillId="0" borderId="101" xfId="10" applyFont="1" applyBorder="1"/>
    <xf numFmtId="0" fontId="162" fillId="0" borderId="29" xfId="10" applyFont="1" applyBorder="1"/>
    <xf numFmtId="0" fontId="162" fillId="0" borderId="102" xfId="10" applyFont="1" applyBorder="1"/>
    <xf numFmtId="0" fontId="162" fillId="0" borderId="103" xfId="10" applyFont="1" applyBorder="1"/>
    <xf numFmtId="0" fontId="162" fillId="0" borderId="0" xfId="10" applyFont="1"/>
    <xf numFmtId="0" fontId="29" fillId="58" borderId="0" xfId="10" applyFont="1" applyFill="1" applyAlignment="1">
      <alignment horizontal="center" vertical="center"/>
    </xf>
    <xf numFmtId="0" fontId="162" fillId="0" borderId="111" xfId="10" applyFont="1" applyBorder="1"/>
    <xf numFmtId="0" fontId="163" fillId="58" borderId="0" xfId="10" applyFont="1" applyFill="1" applyAlignment="1">
      <alignment horizontal="center" vertical="center"/>
    </xf>
    <xf numFmtId="0" fontId="184" fillId="58" borderId="0" xfId="10" applyFont="1" applyFill="1" applyAlignment="1">
      <alignment horizontal="center" vertical="center"/>
    </xf>
    <xf numFmtId="0" fontId="163" fillId="0" borderId="0" xfId="10" applyFont="1" applyAlignment="1">
      <alignment horizontal="center" vertical="center"/>
    </xf>
    <xf numFmtId="0" fontId="184" fillId="0" borderId="0" xfId="10" applyFont="1" applyAlignment="1">
      <alignment horizontal="center" vertical="center"/>
    </xf>
    <xf numFmtId="0" fontId="185" fillId="58" borderId="0" xfId="10" applyFont="1" applyFill="1" applyAlignment="1">
      <alignment horizontal="center" vertical="center"/>
    </xf>
    <xf numFmtId="0" fontId="185" fillId="0" borderId="0" xfId="10" applyFont="1" applyAlignment="1">
      <alignment horizontal="center" vertical="center"/>
    </xf>
    <xf numFmtId="0" fontId="27" fillId="0" borderId="0" xfId="10" applyFont="1" applyAlignment="1">
      <alignment horizontal="center" vertical="center"/>
    </xf>
    <xf numFmtId="0" fontId="187" fillId="0" borderId="0" xfId="10" applyFont="1" applyAlignment="1">
      <alignment horizontal="center" vertical="center"/>
    </xf>
    <xf numFmtId="0" fontId="165" fillId="0" borderId="0" xfId="10" applyFont="1" applyAlignment="1">
      <alignment vertical="top"/>
    </xf>
    <xf numFmtId="0" fontId="186" fillId="58" borderId="0" xfId="10" applyFont="1" applyFill="1" applyAlignment="1">
      <alignment horizontal="center" vertical="center"/>
    </xf>
    <xf numFmtId="0" fontId="162" fillId="83" borderId="0" xfId="10" applyFont="1" applyFill="1"/>
    <xf numFmtId="0" fontId="27" fillId="83" borderId="0" xfId="10" applyFont="1" applyFill="1" applyAlignment="1">
      <alignment horizontal="center" vertical="center"/>
    </xf>
    <xf numFmtId="0" fontId="165" fillId="58" borderId="0" xfId="10" applyFont="1" applyFill="1" applyAlignment="1">
      <alignment vertical="top"/>
    </xf>
    <xf numFmtId="0" fontId="162" fillId="0" borderId="20" xfId="10" applyFont="1" applyBorder="1" applyAlignment="1">
      <alignment wrapText="1"/>
    </xf>
    <xf numFmtId="1" fontId="184" fillId="0" borderId="0" xfId="10" applyNumberFormat="1" applyFont="1" applyAlignment="1">
      <alignment horizontal="center" vertical="center"/>
    </xf>
    <xf numFmtId="0" fontId="192" fillId="0" borderId="0" xfId="10" applyFont="1" applyAlignment="1">
      <alignment horizontal="center" vertical="center"/>
    </xf>
    <xf numFmtId="0" fontId="189" fillId="0" borderId="0" xfId="10" applyFont="1" applyAlignment="1">
      <alignment horizontal="center" vertical="center"/>
    </xf>
    <xf numFmtId="0" fontId="25" fillId="58" borderId="0" xfId="10" applyFill="1" applyAlignment="1">
      <alignment horizontal="left" vertical="center"/>
    </xf>
    <xf numFmtId="0" fontId="161" fillId="0" borderId="0" xfId="10" applyFont="1"/>
    <xf numFmtId="0" fontId="161" fillId="58" borderId="0" xfId="10" applyFont="1" applyFill="1" applyAlignment="1">
      <alignment horizontal="center" vertical="center"/>
    </xf>
    <xf numFmtId="179" fontId="185" fillId="58" borderId="0" xfId="10" applyNumberFormat="1" applyFont="1" applyFill="1" applyAlignment="1">
      <alignment horizontal="center" vertical="center"/>
    </xf>
    <xf numFmtId="0" fontId="162" fillId="0" borderId="103" xfId="10" applyFont="1" applyBorder="1" applyAlignment="1">
      <alignment horizontal="center"/>
    </xf>
    <xf numFmtId="0" fontId="162" fillId="0" borderId="0" xfId="10" applyFont="1" applyAlignment="1">
      <alignment horizontal="center"/>
    </xf>
    <xf numFmtId="0" fontId="162" fillId="0" borderId="111" xfId="10" applyFont="1" applyBorder="1" applyAlignment="1">
      <alignment horizontal="center"/>
    </xf>
    <xf numFmtId="0" fontId="184" fillId="0" borderId="0" xfId="10" applyFont="1" applyAlignment="1">
      <alignment horizontal="center" vertical="center" wrapText="1"/>
    </xf>
    <xf numFmtId="0" fontId="185" fillId="0" borderId="0" xfId="10" applyFont="1" applyAlignment="1">
      <alignment horizontal="left" vertical="center"/>
    </xf>
    <xf numFmtId="0" fontId="29" fillId="0" borderId="0" xfId="10" applyFont="1" applyAlignment="1">
      <alignment horizontal="center" vertical="center"/>
    </xf>
    <xf numFmtId="0" fontId="185" fillId="15" borderId="16" xfId="10" applyFont="1" applyFill="1" applyBorder="1" applyAlignment="1">
      <alignment vertical="center" wrapText="1"/>
    </xf>
    <xf numFmtId="0" fontId="185" fillId="15" borderId="18" xfId="10" applyFont="1" applyFill="1" applyBorder="1" applyAlignment="1">
      <alignment vertical="center" wrapText="1"/>
    </xf>
    <xf numFmtId="0" fontId="25" fillId="0" borderId="24" xfId="10" applyBorder="1" applyAlignment="1">
      <alignment horizontal="center" vertical="center"/>
    </xf>
    <xf numFmtId="0" fontId="165" fillId="0" borderId="0" xfId="10" applyFont="1" applyAlignment="1">
      <alignment horizontal="left" vertical="center"/>
    </xf>
    <xf numFmtId="0" fontId="165" fillId="15" borderId="101" xfId="10" applyFont="1" applyFill="1" applyBorder="1" applyAlignment="1">
      <alignment horizontal="left" vertical="center"/>
    </xf>
    <xf numFmtId="0" fontId="165" fillId="15" borderId="29" xfId="10" applyFont="1" applyFill="1" applyBorder="1" applyAlignment="1">
      <alignment horizontal="left" vertical="center"/>
    </xf>
    <xf numFmtId="0" fontId="49" fillId="15" borderId="29" xfId="10" applyFont="1" applyFill="1" applyBorder="1" applyAlignment="1">
      <alignment horizontal="center" vertical="center"/>
    </xf>
    <xf numFmtId="0" fontId="49" fillId="15" borderId="102" xfId="10" applyFont="1" applyFill="1" applyBorder="1" applyAlignment="1">
      <alignment horizontal="center" vertical="center"/>
    </xf>
    <xf numFmtId="0" fontId="165" fillId="15" borderId="103" xfId="10" applyFont="1" applyFill="1" applyBorder="1" applyAlignment="1">
      <alignment horizontal="left" vertical="center"/>
    </xf>
    <xf numFmtId="0" fontId="165" fillId="15" borderId="0" xfId="10" applyFont="1" applyFill="1" applyAlignment="1">
      <alignment horizontal="left" vertical="center"/>
    </xf>
    <xf numFmtId="0" fontId="49" fillId="15" borderId="0" xfId="10" applyFont="1" applyFill="1" applyAlignment="1">
      <alignment horizontal="center" vertical="center"/>
    </xf>
    <xf numFmtId="0" fontId="49" fillId="15" borderId="111" xfId="10" applyFont="1" applyFill="1" applyBorder="1" applyAlignment="1">
      <alignment horizontal="center" vertical="center"/>
    </xf>
    <xf numFmtId="0" fontId="185" fillId="0" borderId="17" xfId="10" applyFont="1" applyBorder="1" applyAlignment="1">
      <alignment horizontal="left" vertical="center"/>
    </xf>
    <xf numFmtId="0" fontId="194" fillId="0" borderId="0" xfId="10" applyFont="1" applyAlignment="1">
      <alignment horizontal="center" vertical="center"/>
    </xf>
    <xf numFmtId="0" fontId="162" fillId="0" borderId="0" xfId="10" applyFont="1" applyAlignment="1">
      <alignment horizontal="center" vertical="center" wrapText="1" shrinkToFit="1"/>
    </xf>
    <xf numFmtId="0" fontId="162" fillId="0" borderId="191" xfId="10" applyFont="1" applyBorder="1" applyAlignment="1">
      <alignment horizontal="center" vertical="center"/>
    </xf>
    <xf numFmtId="0" fontId="165" fillId="15" borderId="123" xfId="10" applyFont="1" applyFill="1" applyBorder="1" applyAlignment="1">
      <alignment horizontal="left" vertical="center"/>
    </xf>
    <xf numFmtId="0" fontId="165" fillId="15" borderId="191" xfId="10" applyFont="1" applyFill="1" applyBorder="1" applyAlignment="1">
      <alignment horizontal="left" vertical="center"/>
    </xf>
    <xf numFmtId="0" fontId="49" fillId="15" borderId="191" xfId="10" applyFont="1" applyFill="1" applyBorder="1" applyAlignment="1">
      <alignment horizontal="center" vertical="center"/>
    </xf>
    <xf numFmtId="0" fontId="49" fillId="15" borderId="178" xfId="10" applyFont="1" applyFill="1" applyBorder="1" applyAlignment="1">
      <alignment horizontal="center" vertical="center"/>
    </xf>
    <xf numFmtId="0" fontId="162" fillId="0" borderId="123" xfId="10" applyFont="1" applyBorder="1"/>
    <xf numFmtId="0" fontId="162" fillId="0" borderId="191" xfId="10" applyFont="1" applyBorder="1"/>
    <xf numFmtId="0" fontId="162" fillId="0" borderId="178" xfId="10" applyFont="1" applyBorder="1"/>
    <xf numFmtId="0" fontId="162" fillId="15" borderId="0" xfId="10" applyFont="1" applyFill="1"/>
    <xf numFmtId="0" fontId="156" fillId="0" borderId="103" xfId="10" applyFont="1" applyBorder="1" applyAlignment="1">
      <alignment horizontal="center"/>
    </xf>
    <xf numFmtId="0" fontId="156" fillId="10" borderId="150" xfId="10" applyFont="1" applyFill="1" applyBorder="1" applyAlignment="1">
      <alignment horizontal="center"/>
    </xf>
    <xf numFmtId="0" fontId="49" fillId="10" borderId="172" xfId="10" applyFont="1" applyFill="1" applyBorder="1" applyAlignment="1">
      <alignment horizontal="centerContinuous"/>
    </xf>
    <xf numFmtId="0" fontId="156" fillId="10" borderId="133" xfId="10" applyFont="1" applyFill="1" applyBorder="1" applyAlignment="1">
      <alignment horizontal="center"/>
    </xf>
    <xf numFmtId="0" fontId="49" fillId="10" borderId="134" xfId="10" applyFont="1" applyFill="1" applyBorder="1" applyAlignment="1">
      <alignment horizontal="centerContinuous"/>
    </xf>
    <xf numFmtId="0" fontId="25" fillId="72" borderId="170" xfId="10" applyFill="1" applyBorder="1" applyAlignment="1">
      <alignment horizontal="center" vertical="center"/>
    </xf>
    <xf numFmtId="0" fontId="25" fillId="72" borderId="202" xfId="10" applyFill="1" applyBorder="1" applyAlignment="1">
      <alignment horizontal="center" vertical="center"/>
    </xf>
    <xf numFmtId="0" fontId="25" fillId="72" borderId="171" xfId="10" applyFill="1" applyBorder="1" applyAlignment="1">
      <alignment horizontal="center" vertical="center"/>
    </xf>
    <xf numFmtId="0" fontId="198" fillId="0" borderId="0" xfId="14" applyFont="1"/>
    <xf numFmtId="0" fontId="198" fillId="0" borderId="396" xfId="14" applyFont="1" applyBorder="1"/>
    <xf numFmtId="0" fontId="198" fillId="0" borderId="397" xfId="14" applyFont="1" applyBorder="1"/>
    <xf numFmtId="0" fontId="198" fillId="0" borderId="398" xfId="14" applyFont="1" applyBorder="1"/>
    <xf numFmtId="0" fontId="7" fillId="0" borderId="399" xfId="14" applyFont="1" applyBorder="1"/>
    <xf numFmtId="0" fontId="198" fillId="0" borderId="403" xfId="14" applyFont="1" applyBorder="1"/>
    <xf numFmtId="0" fontId="7" fillId="0" borderId="404" xfId="14" applyFont="1" applyBorder="1"/>
    <xf numFmtId="0" fontId="199" fillId="0" borderId="0" xfId="14" applyFont="1"/>
    <xf numFmtId="0" fontId="201" fillId="0" borderId="0" xfId="14" applyFont="1"/>
    <xf numFmtId="0" fontId="198" fillId="0" borderId="405" xfId="14" applyFont="1" applyBorder="1"/>
    <xf numFmtId="0" fontId="7" fillId="0" borderId="406" xfId="14" applyFont="1" applyBorder="1"/>
    <xf numFmtId="0" fontId="198" fillId="0" borderId="410" xfId="14" applyFont="1" applyBorder="1"/>
    <xf numFmtId="0" fontId="198" fillId="0" borderId="411" xfId="14" applyFont="1" applyBorder="1"/>
    <xf numFmtId="0" fontId="7" fillId="0" borderId="411" xfId="14" applyFont="1" applyBorder="1"/>
    <xf numFmtId="0" fontId="203" fillId="0" borderId="411" xfId="14" applyFont="1" applyBorder="1"/>
    <xf numFmtId="0" fontId="198" fillId="0" borderId="415" xfId="14" applyFont="1" applyBorder="1"/>
    <xf numFmtId="0" fontId="203" fillId="0" borderId="0" xfId="14" applyFont="1"/>
    <xf numFmtId="0" fontId="203" fillId="0" borderId="416" xfId="14" applyFont="1" applyBorder="1"/>
    <xf numFmtId="0" fontId="7" fillId="0" borderId="417" xfId="14" applyFont="1" applyBorder="1"/>
    <xf numFmtId="0" fontId="7" fillId="0" borderId="397" xfId="14" applyFont="1" applyBorder="1"/>
    <xf numFmtId="0" fontId="203" fillId="0" borderId="405" xfId="14" applyFont="1" applyBorder="1"/>
    <xf numFmtId="0" fontId="198" fillId="0" borderId="406" xfId="14" applyFont="1" applyBorder="1"/>
    <xf numFmtId="0" fontId="203" fillId="0" borderId="406" xfId="14" applyFont="1" applyBorder="1"/>
    <xf numFmtId="0" fontId="205" fillId="0" borderId="0" xfId="14" applyFont="1"/>
    <xf numFmtId="0" fontId="7" fillId="0" borderId="407" xfId="14" applyFont="1" applyBorder="1"/>
    <xf numFmtId="0" fontId="206" fillId="0" borderId="406" xfId="14" applyFont="1" applyBorder="1"/>
    <xf numFmtId="0" fontId="205" fillId="0" borderId="406" xfId="14" applyFont="1" applyBorder="1"/>
    <xf numFmtId="0" fontId="202" fillId="0" borderId="0" xfId="14" applyFont="1"/>
    <xf numFmtId="0" fontId="208" fillId="0" borderId="0" xfId="14" applyFont="1"/>
    <xf numFmtId="0" fontId="209" fillId="0" borderId="0" xfId="14" applyFont="1"/>
    <xf numFmtId="0" fontId="211" fillId="0" borderId="410" xfId="14" applyFont="1" applyBorder="1"/>
    <xf numFmtId="0" fontId="7" fillId="0" borderId="398" xfId="14" applyFont="1" applyBorder="1"/>
    <xf numFmtId="0" fontId="199" fillId="24" borderId="0" xfId="14" applyFont="1" applyFill="1"/>
    <xf numFmtId="0" fontId="199" fillId="89" borderId="406" xfId="14" applyFont="1" applyFill="1" applyBorder="1" applyAlignment="1">
      <alignment horizontal="center"/>
    </xf>
    <xf numFmtId="0" fontId="213" fillId="89" borderId="406" xfId="14" applyFont="1" applyFill="1" applyBorder="1" applyAlignment="1">
      <alignment horizontal="center"/>
    </xf>
    <xf numFmtId="0" fontId="199" fillId="0" borderId="406" xfId="14" applyFont="1" applyBorder="1"/>
    <xf numFmtId="0" fontId="212" fillId="0" borderId="406" xfId="14" applyFont="1" applyBorder="1"/>
    <xf numFmtId="0" fontId="7" fillId="0" borderId="403" xfId="14" applyFont="1" applyBorder="1"/>
    <xf numFmtId="0" fontId="214" fillId="0" borderId="406" xfId="14" applyFont="1" applyBorder="1"/>
    <xf numFmtId="0" fontId="200" fillId="0" borderId="406" xfId="14" applyFont="1" applyBorder="1"/>
    <xf numFmtId="0" fontId="215" fillId="0" borderId="400" xfId="14" applyFont="1" applyBorder="1"/>
    <xf numFmtId="0" fontId="215" fillId="0" borderId="402" xfId="14" applyFont="1" applyBorder="1"/>
    <xf numFmtId="0" fontId="217" fillId="0" borderId="406" xfId="14" applyFont="1" applyBorder="1"/>
    <xf numFmtId="0" fontId="7" fillId="0" borderId="435" xfId="14" applyFont="1" applyBorder="1"/>
    <xf numFmtId="0" fontId="7" fillId="0" borderId="436" xfId="14" applyFont="1" applyBorder="1"/>
    <xf numFmtId="0" fontId="202" fillId="0" borderId="406" xfId="14" applyFont="1" applyBorder="1"/>
    <xf numFmtId="0" fontId="109" fillId="0" borderId="437" xfId="14" applyFont="1" applyBorder="1"/>
    <xf numFmtId="0" fontId="199" fillId="0" borderId="411" xfId="14" applyFont="1" applyBorder="1"/>
    <xf numFmtId="0" fontId="202" fillId="0" borderId="430" xfId="14" applyFont="1" applyBorder="1"/>
    <xf numFmtId="0" fontId="145" fillId="26" borderId="0" xfId="15" applyFont="1" applyFill="1" applyAlignment="1">
      <alignment horizontal="left" vertical="top"/>
    </xf>
    <xf numFmtId="0" fontId="145" fillId="0" borderId="0" xfId="15" applyFont="1" applyAlignment="1">
      <alignment horizontal="left" vertical="top"/>
    </xf>
    <xf numFmtId="180" fontId="7" fillId="0" borderId="0" xfId="0" applyNumberFormat="1" applyFont="1" applyAlignment="1">
      <alignment horizontal="center"/>
    </xf>
    <xf numFmtId="0" fontId="0" fillId="21" borderId="0" xfId="0" applyFill="1" applyAlignment="1"/>
    <xf numFmtId="0" fontId="0" fillId="79" borderId="0" xfId="0" applyFill="1" applyAlignment="1"/>
    <xf numFmtId="0" fontId="0" fillId="82" borderId="0" xfId="0" applyFill="1" applyAlignment="1"/>
    <xf numFmtId="0" fontId="220" fillId="90" borderId="0" xfId="0" applyFont="1" applyFill="1" applyAlignment="1">
      <alignment horizontal="right"/>
    </xf>
    <xf numFmtId="0" fontId="17" fillId="0" borderId="0" xfId="20"/>
    <xf numFmtId="0" fontId="2" fillId="0" borderId="0" xfId="21"/>
    <xf numFmtId="0" fontId="2" fillId="49" borderId="0" xfId="21" applyFill="1"/>
    <xf numFmtId="0" fontId="223" fillId="8" borderId="0" xfId="21" applyFont="1" applyFill="1"/>
    <xf numFmtId="0" fontId="2" fillId="0" borderId="0" xfId="21" quotePrefix="1"/>
    <xf numFmtId="0" fontId="17" fillId="0" borderId="440" xfId="20" applyBorder="1" applyAlignment="1">
      <alignment vertical="center"/>
    </xf>
    <xf numFmtId="0" fontId="17" fillId="0" borderId="96" xfId="20" applyBorder="1" applyAlignment="1">
      <alignment vertical="center"/>
    </xf>
    <xf numFmtId="0" fontId="37" fillId="0" borderId="441" xfId="20" applyFont="1" applyBorder="1" applyAlignment="1">
      <alignment vertical="center"/>
    </xf>
    <xf numFmtId="0" fontId="17" fillId="0" borderId="442" xfId="20" applyBorder="1" applyAlignment="1">
      <alignment vertical="center"/>
    </xf>
    <xf numFmtId="0" fontId="17" fillId="0" borderId="94" xfId="20" applyBorder="1" applyAlignment="1">
      <alignment vertical="center"/>
    </xf>
    <xf numFmtId="0" fontId="37" fillId="0" borderId="443" xfId="20" applyFont="1" applyBorder="1" applyAlignment="1">
      <alignment vertical="center"/>
    </xf>
    <xf numFmtId="0" fontId="4" fillId="0" borderId="0" xfId="22"/>
    <xf numFmtId="0" fontId="37" fillId="0" borderId="444" xfId="20" applyFont="1" applyBorder="1" applyAlignment="1">
      <alignment vertical="center"/>
    </xf>
    <xf numFmtId="0" fontId="37" fillId="0" borderId="95" xfId="20" applyFont="1" applyBorder="1" applyAlignment="1">
      <alignment vertical="center"/>
    </xf>
    <xf numFmtId="0" fontId="37" fillId="0" borderId="445" xfId="20" applyFont="1" applyBorder="1" applyAlignment="1">
      <alignment vertical="center"/>
    </xf>
    <xf numFmtId="0" fontId="219" fillId="93" borderId="94" xfId="21" applyFont="1" applyFill="1" applyBorder="1" applyAlignment="1">
      <alignment vertical="center"/>
    </xf>
    <xf numFmtId="0" fontId="219" fillId="94" borderId="94" xfId="21" applyFont="1" applyFill="1" applyBorder="1" applyAlignment="1">
      <alignment vertical="center"/>
    </xf>
    <xf numFmtId="17" fontId="219" fillId="93" borderId="94" xfId="21" applyNumberFormat="1" applyFont="1" applyFill="1" applyBorder="1" applyAlignment="1">
      <alignment vertical="center"/>
    </xf>
    <xf numFmtId="0" fontId="219" fillId="94" borderId="95" xfId="21" applyFont="1" applyFill="1" applyBorder="1" applyAlignment="1">
      <alignment vertical="center"/>
    </xf>
    <xf numFmtId="16" fontId="219" fillId="94" borderId="95" xfId="21" applyNumberFormat="1" applyFont="1" applyFill="1" applyBorder="1" applyAlignment="1">
      <alignment vertical="center"/>
    </xf>
    <xf numFmtId="0" fontId="219" fillId="0" borderId="0" xfId="21" applyFont="1" applyAlignment="1">
      <alignment vertical="center"/>
    </xf>
    <xf numFmtId="17" fontId="219" fillId="94" borderId="95" xfId="21" applyNumberFormat="1" applyFont="1" applyFill="1" applyBorder="1" applyAlignment="1">
      <alignment vertical="center"/>
    </xf>
    <xf numFmtId="0" fontId="111" fillId="94" borderId="96" xfId="21" applyFont="1" applyFill="1" applyBorder="1" applyAlignment="1">
      <alignment vertical="center"/>
    </xf>
    <xf numFmtId="0" fontId="111" fillId="0" borderId="0" xfId="21" applyFont="1" applyAlignment="1">
      <alignment vertical="center"/>
    </xf>
    <xf numFmtId="16" fontId="17" fillId="0" borderId="0" xfId="20" applyNumberFormat="1"/>
    <xf numFmtId="0" fontId="228" fillId="3" borderId="0" xfId="14" applyFont="1" applyFill="1" applyAlignment="1">
      <alignment horizontal="center" wrapText="1"/>
    </xf>
    <xf numFmtId="0" fontId="227" fillId="3" borderId="0" xfId="14" applyFont="1" applyFill="1" applyAlignment="1">
      <alignment horizontal="center"/>
    </xf>
    <xf numFmtId="0" fontId="229" fillId="95" borderId="0" xfId="14" applyFont="1" applyFill="1" applyAlignment="1">
      <alignment horizontal="center" wrapText="1"/>
    </xf>
    <xf numFmtId="0" fontId="7" fillId="0" borderId="0" xfId="14" applyFont="1" applyBorder="1"/>
    <xf numFmtId="0" fontId="109" fillId="0" borderId="0" xfId="14" applyFont="1" applyBorder="1"/>
    <xf numFmtId="0" fontId="201" fillId="0" borderId="0" xfId="14" applyFont="1" applyBorder="1"/>
    <xf numFmtId="2" fontId="151" fillId="26" borderId="97" xfId="15" applyNumberFormat="1" applyFont="1" applyFill="1" applyBorder="1" applyAlignment="1">
      <alignment horizontal="center" vertical="center"/>
    </xf>
    <xf numFmtId="0" fontId="151" fillId="31" borderId="90" xfId="15" applyFont="1" applyFill="1" applyBorder="1" applyAlignment="1">
      <alignment horizontal="center"/>
    </xf>
    <xf numFmtId="0" fontId="28" fillId="0" borderId="21" xfId="10" applyFont="1" applyBorder="1"/>
    <xf numFmtId="0" fontId="165" fillId="0" borderId="21" xfId="10" applyFont="1" applyBorder="1"/>
    <xf numFmtId="0" fontId="179" fillId="0" borderId="21" xfId="10" applyFont="1" applyBorder="1"/>
    <xf numFmtId="0" fontId="165" fillId="0" borderId="92" xfId="10" applyFont="1" applyBorder="1"/>
    <xf numFmtId="0" fontId="28" fillId="0" borderId="92" xfId="10" applyFont="1" applyBorder="1" applyAlignment="1">
      <alignment horizontal="left" vertical="center"/>
    </xf>
    <xf numFmtId="0" fontId="28" fillId="0" borderId="22" xfId="10" applyFont="1" applyBorder="1"/>
    <xf numFmtId="0" fontId="165" fillId="0" borderId="27" xfId="10" applyFont="1" applyBorder="1"/>
    <xf numFmtId="0" fontId="165" fillId="0" borderId="18" xfId="10" applyFont="1" applyBorder="1"/>
    <xf numFmtId="0" fontId="177" fillId="0" borderId="93" xfId="10" applyFont="1" applyBorder="1"/>
    <xf numFmtId="0" fontId="177" fillId="0" borderId="19" xfId="10" applyFont="1" applyBorder="1"/>
    <xf numFmtId="0" fontId="165" fillId="0" borderId="23" xfId="10" applyFont="1" applyBorder="1"/>
    <xf numFmtId="0" fontId="165" fillId="0" borderId="22" xfId="10" applyFont="1" applyBorder="1"/>
    <xf numFmtId="0" fontId="230" fillId="46" borderId="123" xfId="10" applyFont="1" applyFill="1" applyBorder="1" applyAlignment="1">
      <alignment horizontal="right"/>
    </xf>
    <xf numFmtId="0" fontId="42" fillId="11" borderId="0" xfId="10" applyFont="1" applyFill="1" applyAlignment="1">
      <alignment wrapText="1"/>
    </xf>
    <xf numFmtId="0" fontId="19" fillId="5" borderId="3" xfId="5" applyAlignment="1">
      <alignment horizontal="center" vertical="center" wrapText="1"/>
    </xf>
    <xf numFmtId="0" fontId="74" fillId="0" borderId="0" xfId="12" applyFont="1" applyProtection="1"/>
    <xf numFmtId="2" fontId="74" fillId="0" borderId="0" xfId="12" applyNumberFormat="1" applyFont="1" applyProtection="1"/>
    <xf numFmtId="1" fontId="74" fillId="0" borderId="0" xfId="12" applyNumberFormat="1" applyFont="1" applyAlignment="1" applyProtection="1">
      <alignment horizontal="right"/>
    </xf>
    <xf numFmtId="0" fontId="37" fillId="0" borderId="0" xfId="0" applyFont="1"/>
    <xf numFmtId="0" fontId="0" fillId="0" borderId="0" xfId="0" applyAlignment="1">
      <alignment wrapText="1"/>
    </xf>
    <xf numFmtId="0" fontId="240" fillId="3" borderId="0" xfId="0" applyFont="1" applyFill="1" applyAlignment="1">
      <alignment horizontal="center" vertical="center"/>
    </xf>
    <xf numFmtId="0" fontId="12" fillId="3" borderId="0" xfId="0" applyFont="1" applyFill="1" applyAlignment="1">
      <alignment horizontal="left"/>
    </xf>
    <xf numFmtId="0" fontId="42" fillId="60" borderId="0" xfId="0" applyFont="1" applyFill="1" applyAlignment="1">
      <alignment horizontal="right"/>
    </xf>
    <xf numFmtId="0" fontId="241" fillId="60" borderId="0" xfId="2" applyFont="1" applyFill="1" applyAlignment="1">
      <alignment horizontal="right"/>
    </xf>
    <xf numFmtId="0" fontId="242" fillId="60" borderId="0" xfId="0" applyFont="1" applyFill="1" applyAlignment="1">
      <alignment horizontal="right"/>
    </xf>
    <xf numFmtId="0" fontId="243" fillId="101" borderId="0" xfId="0" applyFont="1" applyFill="1" applyAlignment="1">
      <alignment horizontal="center" vertical="center"/>
    </xf>
    <xf numFmtId="0" fontId="20" fillId="5" borderId="2" xfId="6"/>
    <xf numFmtId="0" fontId="240" fillId="3" borderId="451" xfId="0" applyFont="1" applyFill="1" applyBorder="1" applyAlignment="1">
      <alignment horizontal="center" vertical="center"/>
    </xf>
    <xf numFmtId="0" fontId="244" fillId="0" borderId="445" xfId="23" applyFont="1" applyBorder="1" applyAlignment="1">
      <alignment vertical="center"/>
    </xf>
    <xf numFmtId="0" fontId="244" fillId="0" borderId="95" xfId="23" applyFont="1" applyBorder="1" applyAlignment="1">
      <alignment vertical="center"/>
    </xf>
    <xf numFmtId="0" fontId="244" fillId="0" borderId="444" xfId="23" applyFont="1" applyBorder="1" applyAlignment="1">
      <alignment vertical="center"/>
    </xf>
    <xf numFmtId="0" fontId="1" fillId="0" borderId="0" xfId="23"/>
    <xf numFmtId="0" fontId="245" fillId="0" borderId="445" xfId="23" applyFont="1" applyBorder="1" applyAlignment="1">
      <alignment vertical="center"/>
    </xf>
    <xf numFmtId="0" fontId="245" fillId="0" borderId="95" xfId="23" applyFont="1" applyBorder="1" applyAlignment="1">
      <alignment vertical="center"/>
    </xf>
    <xf numFmtId="0" fontId="245" fillId="0" borderId="444" xfId="23" applyFont="1" applyBorder="1" applyAlignment="1">
      <alignment vertical="center"/>
    </xf>
    <xf numFmtId="0" fontId="246" fillId="0" borderId="443" xfId="23" applyFont="1" applyBorder="1" applyAlignment="1">
      <alignment vertical="center"/>
    </xf>
    <xf numFmtId="0" fontId="246" fillId="0" borderId="94" xfId="23" applyFont="1" applyBorder="1" applyAlignment="1">
      <alignment vertical="center"/>
    </xf>
    <xf numFmtId="0" fontId="246" fillId="0" borderId="94" xfId="23" applyFont="1" applyBorder="1" applyAlignment="1">
      <alignment horizontal="right" vertical="center"/>
    </xf>
    <xf numFmtId="0" fontId="246" fillId="0" borderId="442" xfId="23" applyFont="1" applyBorder="1" applyAlignment="1">
      <alignment vertical="center"/>
    </xf>
    <xf numFmtId="0" fontId="245" fillId="0" borderId="443" xfId="23" applyFont="1" applyBorder="1" applyAlignment="1">
      <alignment vertical="center"/>
    </xf>
    <xf numFmtId="0" fontId="247" fillId="0" borderId="94" xfId="23" applyFont="1" applyBorder="1" applyAlignment="1">
      <alignment vertical="center"/>
    </xf>
    <xf numFmtId="0" fontId="247" fillId="0" borderId="94" xfId="23" applyFont="1" applyBorder="1" applyAlignment="1">
      <alignment horizontal="right" vertical="center"/>
    </xf>
    <xf numFmtId="0" fontId="145" fillId="0" borderId="94" xfId="23" applyFont="1" applyBorder="1" applyAlignment="1">
      <alignment vertical="center"/>
    </xf>
    <xf numFmtId="0" fontId="247" fillId="0" borderId="442" xfId="23" applyFont="1" applyBorder="1" applyAlignment="1">
      <alignment vertical="center"/>
    </xf>
    <xf numFmtId="0" fontId="145" fillId="0" borderId="442" xfId="23" applyFont="1" applyBorder="1" applyAlignment="1">
      <alignment vertical="center"/>
    </xf>
    <xf numFmtId="0" fontId="248" fillId="102" borderId="441" xfId="23" applyFont="1" applyFill="1" applyBorder="1" applyAlignment="1">
      <alignment vertical="center"/>
    </xf>
    <xf numFmtId="0" fontId="248" fillId="102" borderId="96" xfId="23" applyFont="1" applyFill="1" applyBorder="1" applyAlignment="1">
      <alignment vertical="center"/>
    </xf>
    <xf numFmtId="0" fontId="145" fillId="102" borderId="96" xfId="23" applyFont="1" applyFill="1" applyBorder="1" applyAlignment="1">
      <alignment vertical="center"/>
    </xf>
    <xf numFmtId="0" fontId="145" fillId="0" borderId="440" xfId="23" applyFont="1" applyBorder="1" applyAlignment="1">
      <alignment vertical="center"/>
    </xf>
    <xf numFmtId="0" fontId="245" fillId="0" borderId="441" xfId="23" applyFont="1" applyBorder="1" applyAlignment="1">
      <alignment vertical="center"/>
    </xf>
    <xf numFmtId="0" fontId="247" fillId="0" borderId="96" xfId="23" applyFont="1" applyBorder="1" applyAlignment="1">
      <alignment vertical="center"/>
    </xf>
    <xf numFmtId="0" fontId="247" fillId="0" borderId="96" xfId="23" applyFont="1" applyBorder="1" applyAlignment="1">
      <alignment horizontal="right" vertical="center"/>
    </xf>
    <xf numFmtId="0" fontId="247" fillId="0" borderId="440" xfId="23" applyFont="1" applyBorder="1" applyAlignment="1">
      <alignment vertical="center"/>
    </xf>
    <xf numFmtId="0" fontId="218" fillId="0" borderId="0" xfId="15" applyFont="1" applyAlignment="1">
      <alignment horizontal="center" vertical="center"/>
    </xf>
    <xf numFmtId="0" fontId="218" fillId="27" borderId="0" xfId="15" applyFont="1" applyFill="1" applyAlignment="1">
      <alignment horizontal="center" vertical="center"/>
    </xf>
    <xf numFmtId="0" fontId="22" fillId="103" borderId="456" xfId="0" applyFont="1" applyFill="1" applyBorder="1"/>
    <xf numFmtId="0" fontId="22" fillId="103" borderId="457" xfId="0" applyFont="1" applyFill="1" applyBorder="1"/>
    <xf numFmtId="0" fontId="0" fillId="0" borderId="19" xfId="0" applyBorder="1"/>
    <xf numFmtId="0" fontId="0" fillId="0" borderId="17" xfId="0" applyBorder="1"/>
    <xf numFmtId="0" fontId="0" fillId="0" borderId="18" xfId="0" applyBorder="1"/>
    <xf numFmtId="0" fontId="0" fillId="0" borderId="22" xfId="0" applyBorder="1"/>
    <xf numFmtId="0" fontId="0" fillId="0" borderId="23" xfId="0" applyBorder="1"/>
    <xf numFmtId="0" fontId="250" fillId="0" borderId="0" xfId="0" applyFont="1"/>
    <xf numFmtId="9" fontId="0" fillId="0" borderId="0" xfId="0" applyNumberFormat="1"/>
    <xf numFmtId="0" fontId="0" fillId="0" borderId="0" xfId="0" quotePrefix="1"/>
    <xf numFmtId="0" fontId="251" fillId="0" borderId="454" xfId="0" applyFont="1" applyBorder="1" applyAlignment="1">
      <alignment vertical="center" wrapText="1"/>
    </xf>
    <xf numFmtId="0" fontId="252" fillId="0" borderId="458" xfId="0" applyFont="1" applyBorder="1" applyAlignment="1">
      <alignment vertical="center" wrapText="1"/>
    </xf>
    <xf numFmtId="0" fontId="252" fillId="0" borderId="453" xfId="0" applyFont="1" applyBorder="1" applyAlignment="1">
      <alignment vertical="center" wrapText="1"/>
    </xf>
    <xf numFmtId="0" fontId="154" fillId="0" borderId="445" xfId="0" applyFont="1" applyBorder="1" applyAlignment="1">
      <alignment vertical="center" wrapText="1"/>
    </xf>
    <xf numFmtId="9" fontId="154" fillId="0" borderId="95" xfId="0" applyNumberFormat="1" applyFont="1" applyBorder="1" applyAlignment="1">
      <alignment vertical="center" wrapText="1"/>
    </xf>
    <xf numFmtId="0" fontId="137" fillId="0" borderId="444" xfId="0" applyFont="1" applyBorder="1" applyAlignment="1">
      <alignment vertical="center" wrapText="1"/>
    </xf>
    <xf numFmtId="0" fontId="154" fillId="0" borderId="443" xfId="0" applyFont="1" applyBorder="1" applyAlignment="1">
      <alignment vertical="center" wrapText="1"/>
    </xf>
    <xf numFmtId="9" fontId="154" fillId="0" borderId="94" xfId="0" applyNumberFormat="1" applyFont="1" applyBorder="1" applyAlignment="1">
      <alignment vertical="center" wrapText="1"/>
    </xf>
    <xf numFmtId="9" fontId="154" fillId="0" borderId="442" xfId="0" applyNumberFormat="1" applyFont="1" applyBorder="1" applyAlignment="1">
      <alignment vertical="center" wrapText="1"/>
    </xf>
    <xf numFmtId="0" fontId="232" fillId="0" borderId="0" xfId="0" applyFont="1" applyAlignment="1">
      <alignment horizontal="left" vertical="top"/>
    </xf>
    <xf numFmtId="0" fontId="0" fillId="0" borderId="0" xfId="0" applyAlignment="1">
      <alignment horizontal="left" vertical="top"/>
    </xf>
    <xf numFmtId="0" fontId="154" fillId="0" borderId="441" xfId="0" applyFont="1" applyBorder="1" applyAlignment="1">
      <alignment vertical="center" wrapText="1"/>
    </xf>
    <xf numFmtId="9" fontId="154" fillId="0" borderId="96" xfId="0" applyNumberFormat="1" applyFont="1" applyBorder="1" applyAlignment="1">
      <alignment vertical="center" wrapText="1"/>
    </xf>
    <xf numFmtId="9" fontId="154" fillId="0" borderId="440" xfId="0" applyNumberFormat="1" applyFont="1" applyBorder="1" applyAlignment="1">
      <alignment vertical="center" wrapText="1"/>
    </xf>
    <xf numFmtId="9" fontId="0" fillId="0" borderId="0" xfId="0" applyNumberFormat="1" applyAlignment="1">
      <alignment vertical="center"/>
    </xf>
    <xf numFmtId="0" fontId="219" fillId="0" borderId="94" xfId="0" applyFont="1" applyBorder="1" applyAlignment="1">
      <alignment vertical="center"/>
    </xf>
    <xf numFmtId="0" fontId="0" fillId="0" borderId="457" xfId="0" applyBorder="1"/>
    <xf numFmtId="0" fontId="219" fillId="0" borderId="0" xfId="0" applyFont="1" applyAlignment="1">
      <alignment vertical="center"/>
    </xf>
    <xf numFmtId="0" fontId="219" fillId="104" borderId="94" xfId="0" applyFont="1" applyFill="1" applyBorder="1" applyAlignment="1">
      <alignment vertical="center"/>
    </xf>
    <xf numFmtId="0" fontId="0" fillId="0" borderId="18" xfId="0" applyBorder="1" applyAlignment="1">
      <alignment horizontal="center" vertical="center"/>
    </xf>
    <xf numFmtId="0" fontId="0" fillId="0" borderId="93" xfId="0" applyBorder="1" applyAlignment="1">
      <alignment horizontal="center" vertical="center"/>
    </xf>
    <xf numFmtId="0" fontId="0" fillId="0" borderId="19" xfId="0" applyBorder="1" applyAlignment="1">
      <alignment vertical="center"/>
    </xf>
    <xf numFmtId="0" fontId="0" fillId="0" borderId="93" xfId="0" applyBorder="1" applyAlignment="1">
      <alignment horizontal="center" vertical="center" wrapText="1"/>
    </xf>
    <xf numFmtId="0" fontId="0" fillId="0" borderId="17" xfId="0" applyBorder="1" applyAlignment="1">
      <alignment horizontal="center" vertical="center"/>
    </xf>
    <xf numFmtId="0" fontId="0" fillId="0" borderId="27" xfId="0" applyBorder="1"/>
    <xf numFmtId="0" fontId="0" fillId="0" borderId="25" xfId="0" applyBorder="1"/>
    <xf numFmtId="0" fontId="4" fillId="0" borderId="0" xfId="25"/>
    <xf numFmtId="0" fontId="0" fillId="0" borderId="21" xfId="0" applyBorder="1"/>
    <xf numFmtId="0" fontId="0" fillId="48" borderId="0" xfId="0" applyFill="1"/>
    <xf numFmtId="0" fontId="253" fillId="0" borderId="0" xfId="0" applyFont="1" applyAlignment="1">
      <alignment vertical="center"/>
    </xf>
    <xf numFmtId="0" fontId="253" fillId="0" borderId="178" xfId="0" applyFont="1" applyBorder="1" applyAlignment="1">
      <alignment vertical="center"/>
    </xf>
    <xf numFmtId="0" fontId="253" fillId="0" borderId="191" xfId="0" applyFont="1" applyBorder="1" applyAlignment="1">
      <alignment vertical="center"/>
    </xf>
    <xf numFmtId="9" fontId="253" fillId="0" borderId="191" xfId="0" applyNumberFormat="1" applyFont="1" applyBorder="1" applyAlignment="1">
      <alignment vertical="center"/>
    </xf>
    <xf numFmtId="0" fontId="4" fillId="0" borderId="21" xfId="25" applyBorder="1"/>
    <xf numFmtId="0" fontId="4" fillId="0" borderId="0" xfId="25" applyBorder="1"/>
    <xf numFmtId="0" fontId="253" fillId="0" borderId="111" xfId="0" applyFont="1" applyBorder="1" applyAlignment="1">
      <alignment vertical="center"/>
    </xf>
    <xf numFmtId="9" fontId="253" fillId="0" borderId="0" xfId="0" applyNumberFormat="1" applyFont="1" applyAlignment="1">
      <alignment vertical="center"/>
    </xf>
    <xf numFmtId="0" fontId="0" fillId="0" borderId="92" xfId="0" applyBorder="1"/>
    <xf numFmtId="0" fontId="4" fillId="0" borderId="22" xfId="25" applyBorder="1"/>
    <xf numFmtId="0" fontId="0" fillId="0" borderId="15" xfId="0" applyBorder="1"/>
    <xf numFmtId="0" fontId="253" fillId="0" borderId="236" xfId="0" applyFont="1" applyBorder="1" applyAlignment="1">
      <alignment vertical="center"/>
    </xf>
    <xf numFmtId="0" fontId="0" fillId="8" borderId="0" xfId="0" applyFill="1"/>
    <xf numFmtId="49" fontId="0" fillId="0" borderId="0" xfId="0" applyNumberFormat="1"/>
    <xf numFmtId="0" fontId="249" fillId="0" borderId="452" xfId="24"/>
    <xf numFmtId="0" fontId="0" fillId="0" borderId="0" xfId="0" applyAlignment="1">
      <alignment horizontal="left" vertical="center"/>
    </xf>
    <xf numFmtId="0" fontId="0" fillId="0" borderId="93" xfId="0" applyBorder="1"/>
    <xf numFmtId="9" fontId="0" fillId="0" borderId="25" xfId="0" applyNumberFormat="1" applyBorder="1"/>
    <xf numFmtId="9" fontId="0" fillId="0" borderId="92" xfId="0" applyNumberFormat="1" applyBorder="1"/>
    <xf numFmtId="0" fontId="0" fillId="104" borderId="457" xfId="0" applyFill="1" applyBorder="1"/>
    <xf numFmtId="0" fontId="254" fillId="0" borderId="0" xfId="0" applyFont="1" applyAlignment="1">
      <alignment vertical="center"/>
    </xf>
    <xf numFmtId="0" fontId="256" fillId="4" borderId="2" xfId="26" applyAlignment="1">
      <alignment horizontal="right"/>
    </xf>
    <xf numFmtId="0" fontId="256" fillId="4" borderId="2" xfId="26"/>
    <xf numFmtId="0" fontId="256" fillId="4" borderId="2" xfId="26" quotePrefix="1"/>
    <xf numFmtId="0" fontId="257" fillId="0" borderId="0" xfId="0" applyFont="1" applyAlignment="1">
      <alignment horizontal="justify" vertical="center"/>
    </xf>
    <xf numFmtId="0" fontId="249" fillId="0" borderId="0" xfId="24" applyBorder="1"/>
    <xf numFmtId="0" fontId="256" fillId="4" borderId="25" xfId="26" applyBorder="1"/>
    <xf numFmtId="0" fontId="0" fillId="104" borderId="455" xfId="0" applyFill="1" applyBorder="1"/>
    <xf numFmtId="0" fontId="0" fillId="0" borderId="455" xfId="0" applyBorder="1"/>
    <xf numFmtId="0" fontId="0" fillId="104" borderId="387" xfId="0" applyFill="1" applyBorder="1"/>
    <xf numFmtId="9" fontId="256" fillId="4" borderId="2" xfId="26" applyNumberFormat="1"/>
    <xf numFmtId="0" fontId="258" fillId="0" borderId="0" xfId="0" applyFont="1"/>
    <xf numFmtId="0" fontId="0" fillId="104" borderId="0" xfId="0" applyFill="1"/>
    <xf numFmtId="0" fontId="174" fillId="0" borderId="0" xfId="0" applyFont="1" applyAlignment="1">
      <alignment horizontal="center"/>
    </xf>
    <xf numFmtId="0" fontId="22" fillId="103" borderId="390" xfId="0" applyFont="1" applyFill="1" applyBorder="1"/>
    <xf numFmtId="0" fontId="22" fillId="103" borderId="392" xfId="0" applyFont="1" applyFill="1" applyBorder="1"/>
    <xf numFmtId="0" fontId="259" fillId="105" borderId="51" xfId="0" applyFont="1" applyFill="1" applyBorder="1" applyAlignment="1">
      <alignment vertical="center" wrapText="1"/>
    </xf>
    <xf numFmtId="0" fontId="259" fillId="105" borderId="46" xfId="0" applyFont="1" applyFill="1" applyBorder="1" applyAlignment="1">
      <alignment vertical="center" wrapText="1"/>
    </xf>
    <xf numFmtId="0" fontId="256" fillId="4" borderId="2" xfId="26" applyAlignment="1">
      <alignment vertical="center" wrapText="1"/>
    </xf>
    <xf numFmtId="0" fontId="249" fillId="0" borderId="452" xfId="24" applyAlignment="1">
      <alignment vertical="center"/>
    </xf>
    <xf numFmtId="0" fontId="25" fillId="106" borderId="0" xfId="10" applyFill="1"/>
    <xf numFmtId="0" fontId="12" fillId="3" borderId="0" xfId="0" applyFont="1" applyFill="1" applyAlignment="1">
      <alignment horizontal="right"/>
    </xf>
    <xf numFmtId="0" fontId="0" fillId="0" borderId="460" xfId="0" applyFont="1" applyBorder="1"/>
    <xf numFmtId="0" fontId="145" fillId="0" borderId="0" xfId="0" applyFont="1"/>
    <xf numFmtId="0" fontId="262" fillId="0" borderId="459" xfId="27"/>
    <xf numFmtId="0" fontId="22" fillId="107" borderId="461" xfId="0" applyFont="1" applyFill="1" applyBorder="1"/>
    <xf numFmtId="0" fontId="22" fillId="107" borderId="462" xfId="0" applyFont="1" applyFill="1" applyBorder="1"/>
    <xf numFmtId="0" fontId="22" fillId="107" borderId="463" xfId="0" applyFont="1" applyFill="1" applyBorder="1"/>
    <xf numFmtId="0" fontId="145" fillId="0" borderId="94" xfId="0" applyFont="1" applyBorder="1" applyAlignment="1">
      <alignment vertical="center"/>
    </xf>
    <xf numFmtId="0" fontId="145" fillId="0" borderId="0" xfId="0" applyFont="1" applyAlignment="1">
      <alignment vertical="center"/>
    </xf>
    <xf numFmtId="0" fontId="80" fillId="0" borderId="0" xfId="0" applyFont="1" applyAlignment="1"/>
    <xf numFmtId="0" fontId="249" fillId="0" borderId="452" xfId="24" applyAlignment="1"/>
    <xf numFmtId="0" fontId="237" fillId="0" borderId="0" xfId="0" applyFont="1" applyAlignment="1"/>
    <xf numFmtId="0" fontId="238" fillId="0" borderId="0" xfId="0" applyFont="1" applyAlignment="1"/>
    <xf numFmtId="0" fontId="232" fillId="99" borderId="0" xfId="0" applyFont="1" applyFill="1" applyAlignment="1"/>
    <xf numFmtId="0" fontId="79" fillId="3" borderId="446" xfId="4" applyFont="1" applyFill="1" applyAlignment="1">
      <alignment horizontal="center" vertical="center"/>
    </xf>
    <xf numFmtId="0" fontId="7" fillId="0" borderId="0" xfId="0" applyFont="1" applyAlignment="1"/>
    <xf numFmtId="9" fontId="7" fillId="0" borderId="0" xfId="0" applyNumberFormat="1" applyFont="1" applyAlignment="1"/>
    <xf numFmtId="0" fontId="7" fillId="0" borderId="0" xfId="0" applyFont="1" applyAlignment="1">
      <alignment horizontal="center"/>
    </xf>
    <xf numFmtId="0" fontId="149" fillId="0" borderId="79" xfId="15" applyFont="1" applyBorder="1" applyAlignment="1"/>
    <xf numFmtId="0" fontId="153" fillId="0" borderId="84" xfId="15" applyFont="1" applyBorder="1" applyAlignment="1"/>
    <xf numFmtId="0" fontId="153" fillId="0" borderId="59" xfId="15" applyFont="1" applyBorder="1" applyAlignment="1"/>
    <xf numFmtId="0" fontId="144" fillId="0" borderId="0" xfId="15" applyAlignment="1"/>
    <xf numFmtId="0" fontId="152" fillId="35" borderId="84" xfId="15" applyFont="1" applyFill="1" applyBorder="1" applyAlignment="1"/>
    <xf numFmtId="1" fontId="155" fillId="26" borderId="84" xfId="15" applyNumberFormat="1" applyFont="1" applyFill="1" applyBorder="1" applyAlignment="1"/>
    <xf numFmtId="1" fontId="151" fillId="26" borderId="84" xfId="15" applyNumberFormat="1" applyFont="1" applyFill="1" applyBorder="1" applyAlignment="1"/>
    <xf numFmtId="1" fontId="151" fillId="26" borderId="59" xfId="15" applyNumberFormat="1" applyFont="1" applyFill="1" applyBorder="1" applyAlignment="1"/>
    <xf numFmtId="0" fontId="151" fillId="26" borderId="84" xfId="15" applyFont="1" applyFill="1" applyBorder="1" applyAlignment="1"/>
    <xf numFmtId="0" fontId="151" fillId="26" borderId="59" xfId="15" applyFont="1" applyFill="1" applyBorder="1" applyAlignment="1"/>
    <xf numFmtId="0" fontId="19" fillId="5" borderId="3" xfId="5" applyAlignment="1"/>
    <xf numFmtId="0" fontId="154" fillId="0" borderId="63" xfId="15" applyFont="1" applyBorder="1" applyAlignment="1"/>
    <xf numFmtId="0" fontId="154" fillId="0" borderId="86" xfId="15" applyFont="1" applyBorder="1" applyAlignment="1"/>
    <xf numFmtId="0" fontId="154" fillId="0" borderId="78" xfId="15" applyFont="1" applyBorder="1" applyAlignment="1"/>
    <xf numFmtId="0" fontId="154" fillId="0" borderId="66" xfId="15" applyFont="1" applyBorder="1" applyAlignment="1"/>
    <xf numFmtId="0" fontId="153" fillId="0" borderId="97" xfId="15" applyFont="1" applyBorder="1" applyAlignment="1"/>
    <xf numFmtId="0" fontId="152" fillId="35" borderId="97" xfId="15" applyFont="1" applyFill="1" applyBorder="1" applyAlignment="1"/>
    <xf numFmtId="2" fontId="151" fillId="26" borderId="97" xfId="15" applyNumberFormat="1" applyFont="1" applyFill="1" applyBorder="1" applyAlignment="1"/>
    <xf numFmtId="169" fontId="151" fillId="26" borderId="97" xfId="15" applyNumberFormat="1" applyFont="1" applyFill="1" applyBorder="1" applyAlignment="1"/>
    <xf numFmtId="169" fontId="151" fillId="26" borderId="90" xfId="15" applyNumberFormat="1" applyFont="1" applyFill="1" applyBorder="1" applyAlignment="1"/>
    <xf numFmtId="0" fontId="145" fillId="97" borderId="0" xfId="15" applyFont="1" applyFill="1" applyAlignment="1"/>
    <xf numFmtId="0" fontId="145" fillId="97" borderId="0" xfId="15" applyFont="1" applyFill="1" applyAlignment="1">
      <alignment horizontal="left" vertical="top"/>
    </xf>
    <xf numFmtId="2" fontId="145" fillId="0" borderId="0" xfId="15" applyNumberFormat="1" applyFont="1" applyAlignment="1"/>
    <xf numFmtId="0" fontId="150" fillId="23" borderId="0" xfId="15" applyFont="1" applyFill="1" applyAlignment="1"/>
    <xf numFmtId="0" fontId="148" fillId="43" borderId="78" xfId="15" applyFont="1" applyFill="1" applyBorder="1" applyAlignment="1"/>
    <xf numFmtId="0" fontId="149" fillId="0" borderId="60" xfId="15" applyFont="1" applyBorder="1" applyAlignment="1"/>
    <xf numFmtId="0" fontId="148" fillId="43" borderId="59" xfId="15" applyFont="1" applyFill="1" applyBorder="1" applyAlignment="1"/>
    <xf numFmtId="1" fontId="148" fillId="43" borderId="59" xfId="15" applyNumberFormat="1" applyFont="1" applyFill="1" applyBorder="1" applyAlignment="1"/>
    <xf numFmtId="0" fontId="149" fillId="0" borderId="91" xfId="15" applyFont="1" applyBorder="1" applyAlignment="1"/>
    <xf numFmtId="1" fontId="148" fillId="43" borderId="90" xfId="15" applyNumberFormat="1" applyFont="1" applyFill="1" applyBorder="1" applyAlignment="1"/>
    <xf numFmtId="0" fontId="145" fillId="0" borderId="0" xfId="15" applyFont="1" applyAlignment="1"/>
    <xf numFmtId="0" fontId="0" fillId="0" borderId="464" xfId="0" applyFont="1" applyBorder="1"/>
    <xf numFmtId="0" fontId="0" fillId="0" borderId="465" xfId="0" applyFont="1" applyBorder="1"/>
    <xf numFmtId="0" fontId="78" fillId="3" borderId="0" xfId="0" applyFont="1" applyFill="1" applyAlignment="1">
      <alignment vertical="center"/>
    </xf>
    <xf numFmtId="0" fontId="264" fillId="88" borderId="0" xfId="0" applyFont="1" applyFill="1" applyAlignment="1">
      <alignment horizontal="center" vertical="center"/>
    </xf>
    <xf numFmtId="0" fontId="0" fillId="0" borderId="466" xfId="0" applyFont="1" applyBorder="1"/>
    <xf numFmtId="0" fontId="0" fillId="0" borderId="0" xfId="0" applyAlignment="1">
      <alignment horizontal="left"/>
    </xf>
    <xf numFmtId="0" fontId="0" fillId="0" borderId="25" xfId="0" applyFont="1" applyBorder="1"/>
    <xf numFmtId="0" fontId="18" fillId="0" borderId="25" xfId="3" applyBorder="1"/>
    <xf numFmtId="0" fontId="262" fillId="0" borderId="25" xfId="27" applyBorder="1"/>
    <xf numFmtId="0" fontId="249" fillId="0" borderId="25" xfId="24" applyBorder="1"/>
    <xf numFmtId="0" fontId="18" fillId="0" borderId="1" xfId="3" applyAlignment="1">
      <alignment vertical="center"/>
    </xf>
    <xf numFmtId="0" fontId="7" fillId="0" borderId="0" xfId="14" applyFont="1" applyFill="1"/>
    <xf numFmtId="0" fontId="7" fillId="0" borderId="0" xfId="14" applyFont="1" applyAlignment="1">
      <alignment wrapText="1"/>
    </xf>
    <xf numFmtId="0" fontId="21" fillId="0" borderId="5" xfId="8"/>
    <xf numFmtId="0" fontId="232" fillId="108" borderId="25" xfId="0" applyFont="1" applyFill="1" applyBorder="1"/>
    <xf numFmtId="0" fontId="232" fillId="90" borderId="25" xfId="0" applyFont="1" applyFill="1" applyBorder="1"/>
    <xf numFmtId="0" fontId="42" fillId="60" borderId="0" xfId="0" applyFont="1" applyFill="1" applyAlignment="1">
      <alignment horizontal="left"/>
    </xf>
    <xf numFmtId="0" fontId="0" fillId="0" borderId="0" xfId="0" applyFont="1" applyFill="1" applyBorder="1"/>
    <xf numFmtId="0" fontId="270" fillId="0" borderId="0" xfId="0" applyFont="1"/>
    <xf numFmtId="0" fontId="24" fillId="0" borderId="0" xfId="0" applyFont="1"/>
    <xf numFmtId="0" fontId="271" fillId="0" borderId="0" xfId="0" applyFont="1"/>
    <xf numFmtId="0" fontId="7" fillId="0" borderId="0" xfId="14" applyFont="1" applyAlignment="1"/>
    <xf numFmtId="0" fontId="145" fillId="0" borderId="0" xfId="0" applyFont="1" applyAlignment="1"/>
    <xf numFmtId="0" fontId="7" fillId="0" borderId="0" xfId="14" applyFont="1"/>
    <xf numFmtId="0" fontId="0" fillId="0" borderId="467" xfId="0" applyFont="1" applyBorder="1"/>
    <xf numFmtId="0" fontId="0" fillId="0" borderId="15" xfId="0" applyFill="1" applyBorder="1"/>
    <xf numFmtId="0" fontId="21" fillId="0" borderId="5" xfId="8" applyFill="1"/>
    <xf numFmtId="0" fontId="21" fillId="0" borderId="5" xfId="8" quotePrefix="1" applyFill="1"/>
    <xf numFmtId="0" fontId="272" fillId="0" borderId="0" xfId="0" applyFont="1"/>
    <xf numFmtId="0" fontId="273" fillId="0" borderId="0" xfId="0" applyFont="1"/>
    <xf numFmtId="0" fontId="275" fillId="0" borderId="0" xfId="0" applyFont="1"/>
    <xf numFmtId="0" fontId="274" fillId="0" borderId="0" xfId="0" applyFont="1"/>
    <xf numFmtId="0" fontId="232" fillId="109" borderId="0" xfId="0" applyFont="1" applyFill="1"/>
    <xf numFmtId="0" fontId="37" fillId="0" borderId="0" xfId="0" applyFont="1" applyAlignment="1"/>
    <xf numFmtId="0" fontId="242" fillId="60" borderId="0" xfId="0" applyFont="1" applyFill="1" applyAlignment="1">
      <alignment horizontal="left"/>
    </xf>
    <xf numFmtId="0" fontId="0" fillId="0" borderId="0" xfId="0" applyNumberFormat="1" applyAlignment="1"/>
    <xf numFmtId="0" fontId="0" fillId="0" borderId="0" xfId="0" applyFont="1" applyAlignment="1"/>
    <xf numFmtId="0" fontId="145" fillId="0" borderId="0" xfId="0" applyFont="1" applyBorder="1" applyAlignment="1">
      <alignment vertical="center"/>
    </xf>
    <xf numFmtId="0" fontId="42" fillId="60" borderId="0" xfId="0" applyFont="1" applyFill="1" applyAlignment="1">
      <alignment horizontal="right" wrapText="1"/>
    </xf>
    <xf numFmtId="0" fontId="232" fillId="3" borderId="0" xfId="0" applyFont="1" applyFill="1" applyAlignment="1">
      <alignment horizontal="center"/>
    </xf>
    <xf numFmtId="0" fontId="0" fillId="0" borderId="29" xfId="0" applyBorder="1" applyAlignment="1">
      <alignment horizontal="center"/>
    </xf>
    <xf numFmtId="0" fontId="231" fillId="21" borderId="446" xfId="4">
      <alignment horizontal="center" vertical="center"/>
    </xf>
    <xf numFmtId="1" fontId="199" fillId="89" borderId="402" xfId="14" applyNumberFormat="1" applyFont="1" applyFill="1" applyBorder="1"/>
    <xf numFmtId="0" fontId="7" fillId="0" borderId="400" xfId="14" applyFont="1" applyBorder="1"/>
    <xf numFmtId="0" fontId="199" fillId="89" borderId="402" xfId="14" applyFont="1" applyFill="1" applyBorder="1"/>
    <xf numFmtId="0" fontId="7" fillId="0" borderId="401" xfId="14" applyFont="1" applyBorder="1"/>
    <xf numFmtId="0" fontId="200" fillId="89" borderId="402" xfId="14" applyFont="1" applyFill="1" applyBorder="1"/>
    <xf numFmtId="49" fontId="199" fillId="89" borderId="402" xfId="14" applyNumberFormat="1" applyFont="1" applyFill="1" applyBorder="1" applyAlignment="1">
      <alignment horizontal="right"/>
    </xf>
    <xf numFmtId="0" fontId="202" fillId="0" borderId="402" xfId="14" applyFont="1" applyBorder="1"/>
    <xf numFmtId="0" fontId="205" fillId="0" borderId="427" xfId="14" applyFont="1" applyBorder="1"/>
    <xf numFmtId="0" fontId="7" fillId="0" borderId="426" xfId="14" applyFont="1" applyBorder="1"/>
    <xf numFmtId="0" fontId="205" fillId="0" borderId="425" xfId="14" applyFont="1" applyBorder="1"/>
    <xf numFmtId="0" fontId="7" fillId="0" borderId="418" xfId="14" applyFont="1" applyBorder="1"/>
    <xf numFmtId="0" fontId="203" fillId="0" borderId="414" xfId="14" applyFont="1" applyBorder="1"/>
    <xf numFmtId="0" fontId="7" fillId="0" borderId="413" xfId="14" applyFont="1" applyBorder="1"/>
    <xf numFmtId="0" fontId="7" fillId="0" borderId="412" xfId="14" applyFont="1" applyBorder="1"/>
    <xf numFmtId="0" fontId="7" fillId="0" borderId="409" xfId="14" applyFont="1" applyBorder="1"/>
    <xf numFmtId="0" fontId="7" fillId="0" borderId="408" xfId="14" applyFont="1" applyBorder="1"/>
    <xf numFmtId="0" fontId="7" fillId="0" borderId="407" xfId="14" applyFont="1" applyBorder="1"/>
    <xf numFmtId="0" fontId="202" fillId="0" borderId="430" xfId="14" applyFont="1" applyBorder="1" applyAlignment="1">
      <alignment horizontal="right"/>
    </xf>
    <xf numFmtId="0" fontId="7" fillId="0" borderId="429" xfId="14" applyFont="1" applyBorder="1"/>
    <xf numFmtId="0" fontId="199" fillId="0" borderId="0" xfId="14" applyFont="1"/>
    <xf numFmtId="0" fontId="83" fillId="0" borderId="0" xfId="14"/>
    <xf numFmtId="0" fontId="198" fillId="0" borderId="0" xfId="14" applyFont="1"/>
    <xf numFmtId="0" fontId="202" fillId="0" borderId="0" xfId="14" applyFont="1"/>
    <xf numFmtId="0" fontId="202" fillId="0" borderId="402" xfId="14" applyFont="1" applyBorder="1" applyAlignment="1">
      <alignment horizontal="right"/>
    </xf>
    <xf numFmtId="0" fontId="212" fillId="0" borderId="424" xfId="14" applyFont="1" applyBorder="1" applyAlignment="1">
      <alignment vertical="top" wrapText="1"/>
    </xf>
    <xf numFmtId="0" fontId="7" fillId="0" borderId="423" xfId="14" applyFont="1" applyBorder="1"/>
    <xf numFmtId="0" fontId="7" fillId="0" borderId="422" xfId="14" applyFont="1" applyBorder="1"/>
    <xf numFmtId="0" fontId="7" fillId="0" borderId="417" xfId="14" applyFont="1" applyBorder="1"/>
    <xf numFmtId="0" fontId="7" fillId="0" borderId="404" xfId="14" applyFont="1" applyBorder="1"/>
    <xf numFmtId="0" fontId="7" fillId="0" borderId="416" xfId="14" applyFont="1" applyBorder="1"/>
    <xf numFmtId="10" fontId="210" fillId="0" borderId="402" xfId="14" applyNumberFormat="1" applyFont="1" applyBorder="1" applyAlignment="1">
      <alignment horizontal="right"/>
    </xf>
    <xf numFmtId="0" fontId="212" fillId="0" borderId="402" xfId="14" applyFont="1" applyBorder="1"/>
    <xf numFmtId="0" fontId="198" fillId="0" borderId="402" xfId="14" applyFont="1" applyBorder="1"/>
    <xf numFmtId="0" fontId="198" fillId="0" borderId="421" xfId="14" applyFont="1" applyBorder="1"/>
    <xf numFmtId="0" fontId="7" fillId="0" borderId="421" xfId="14" applyFont="1" applyBorder="1"/>
    <xf numFmtId="0" fontId="7" fillId="0" borderId="420" xfId="14" applyFont="1" applyBorder="1"/>
    <xf numFmtId="0" fontId="198" fillId="0" borderId="419" xfId="14" applyFont="1" applyBorder="1"/>
    <xf numFmtId="0" fontId="7" fillId="0" borderId="419" xfId="14" applyFont="1" applyBorder="1"/>
    <xf numFmtId="0" fontId="204" fillId="89" borderId="401" xfId="14" applyFont="1" applyFill="1" applyBorder="1"/>
    <xf numFmtId="0" fontId="198" fillId="0" borderId="424" xfId="14" applyFont="1" applyBorder="1"/>
    <xf numFmtId="0" fontId="204" fillId="0" borderId="402" xfId="14" applyFont="1" applyBorder="1"/>
    <xf numFmtId="0" fontId="204" fillId="0" borderId="402" xfId="14" applyFont="1" applyBorder="1" applyAlignment="1">
      <alignment horizontal="right" wrapText="1"/>
    </xf>
    <xf numFmtId="0" fontId="203" fillId="0" borderId="424" xfId="14" applyFont="1" applyBorder="1"/>
    <xf numFmtId="0" fontId="206" fillId="0" borderId="402" xfId="14" applyFont="1" applyBorder="1" applyAlignment="1">
      <alignment horizontal="left"/>
    </xf>
    <xf numFmtId="0" fontId="199" fillId="0" borderId="402" xfId="14" applyFont="1" applyBorder="1" applyAlignment="1">
      <alignment horizontal="right"/>
    </xf>
    <xf numFmtId="0" fontId="199" fillId="0" borderId="402" xfId="14" applyFont="1" applyBorder="1"/>
    <xf numFmtId="0" fontId="203" fillId="0" borderId="413" xfId="14" applyFont="1" applyBorder="1"/>
    <xf numFmtId="0" fontId="203" fillId="0" borderId="412" xfId="14" applyFont="1" applyBorder="1"/>
    <xf numFmtId="0" fontId="203" fillId="0" borderId="409" xfId="14" applyFont="1" applyBorder="1"/>
    <xf numFmtId="0" fontId="203" fillId="0" borderId="408" xfId="14" applyFont="1" applyBorder="1"/>
    <xf numFmtId="0" fontId="203" fillId="0" borderId="407" xfId="14" applyFont="1" applyBorder="1"/>
    <xf numFmtId="0" fontId="212" fillId="0" borderId="434" xfId="14" applyFont="1" applyBorder="1" applyAlignment="1">
      <alignment horizontal="right"/>
    </xf>
    <xf numFmtId="4" fontId="207" fillId="0" borderId="402" xfId="14" applyNumberFormat="1" applyFont="1" applyBorder="1"/>
    <xf numFmtId="0" fontId="216" fillId="0" borderId="424" xfId="14" applyFont="1" applyBorder="1"/>
    <xf numFmtId="0" fontId="215" fillId="0" borderId="401" xfId="14" applyFont="1" applyBorder="1" applyAlignment="1">
      <alignment horizontal="right"/>
    </xf>
    <xf numFmtId="0" fontId="235" fillId="3" borderId="414" xfId="14" applyFont="1" applyFill="1" applyBorder="1" applyAlignment="1">
      <alignment horizontal="center" vertical="center"/>
    </xf>
    <xf numFmtId="0" fontId="235" fillId="3" borderId="413" xfId="14" applyFont="1" applyFill="1" applyBorder="1" applyAlignment="1">
      <alignment horizontal="center" vertical="center"/>
    </xf>
    <xf numFmtId="0" fontId="235" fillId="3" borderId="412" xfId="14" applyFont="1" applyFill="1" applyBorder="1" applyAlignment="1">
      <alignment horizontal="center" vertical="center"/>
    </xf>
    <xf numFmtId="0" fontId="235" fillId="3" borderId="409" xfId="14" applyFont="1" applyFill="1" applyBorder="1" applyAlignment="1">
      <alignment horizontal="center" vertical="center"/>
    </xf>
    <xf numFmtId="0" fontId="235" fillId="3" borderId="408" xfId="14" applyFont="1" applyFill="1" applyBorder="1" applyAlignment="1">
      <alignment horizontal="center" vertical="center"/>
    </xf>
    <xf numFmtId="0" fontId="235" fillId="3" borderId="407" xfId="14" applyFont="1" applyFill="1" applyBorder="1" applyAlignment="1">
      <alignment horizontal="center" vertical="center"/>
    </xf>
    <xf numFmtId="0" fontId="228" fillId="3" borderId="413" xfId="14" applyFont="1" applyFill="1" applyBorder="1" applyAlignment="1">
      <alignment horizontal="center" vertical="center"/>
    </xf>
    <xf numFmtId="0" fontId="228" fillId="3" borderId="412" xfId="14" applyFont="1" applyFill="1" applyBorder="1" applyAlignment="1">
      <alignment horizontal="center" vertical="center"/>
    </xf>
    <xf numFmtId="0" fontId="228" fillId="3" borderId="409" xfId="14" applyFont="1" applyFill="1" applyBorder="1" applyAlignment="1">
      <alignment horizontal="center" vertical="center"/>
    </xf>
    <xf numFmtId="0" fontId="228" fillId="3" borderId="408" xfId="14" applyFont="1" applyFill="1" applyBorder="1" applyAlignment="1">
      <alignment horizontal="center" vertical="center"/>
    </xf>
    <xf numFmtId="0" fontId="228" fillId="3" borderId="407" xfId="14" applyFont="1" applyFill="1" applyBorder="1" applyAlignment="1">
      <alignment horizontal="center" vertical="center"/>
    </xf>
    <xf numFmtId="0" fontId="202" fillId="0" borderId="433" xfId="14" applyFont="1" applyBorder="1" applyAlignment="1">
      <alignment horizontal="right"/>
    </xf>
    <xf numFmtId="0" fontId="7" fillId="0" borderId="432" xfId="14" applyFont="1" applyBorder="1"/>
    <xf numFmtId="0" fontId="7" fillId="0" borderId="431" xfId="14" applyFont="1" applyBorder="1"/>
    <xf numFmtId="0" fontId="210" fillId="0" borderId="430" xfId="14" applyFont="1" applyBorder="1" applyAlignment="1">
      <alignment horizontal="right"/>
    </xf>
    <xf numFmtId="0" fontId="7" fillId="0" borderId="428" xfId="14" applyFont="1" applyBorder="1"/>
    <xf numFmtId="0" fontId="25" fillId="82" borderId="22" xfId="10" applyFill="1" applyBorder="1" applyAlignment="1">
      <alignment vertical="center" shrinkToFit="1"/>
    </xf>
    <xf numFmtId="0" fontId="25" fillId="0" borderId="24" xfId="10" applyBorder="1" applyAlignment="1">
      <alignment vertical="center" shrinkToFit="1"/>
    </xf>
    <xf numFmtId="0" fontId="25" fillId="0" borderId="24" xfId="10" applyBorder="1" applyAlignment="1">
      <alignment vertical="center"/>
    </xf>
    <xf numFmtId="0" fontId="25" fillId="0" borderId="23" xfId="10" applyBorder="1" applyAlignment="1">
      <alignment vertical="center"/>
    </xf>
    <xf numFmtId="0" fontId="25" fillId="0" borderId="19" xfId="10" applyBorder="1" applyAlignment="1">
      <alignment vertical="center" shrinkToFit="1"/>
    </xf>
    <xf numFmtId="0" fontId="25" fillId="0" borderId="17" xfId="10" applyBorder="1" applyAlignment="1">
      <alignment vertical="center" shrinkToFit="1"/>
    </xf>
    <xf numFmtId="0" fontId="25" fillId="0" borderId="17" xfId="10" applyBorder="1" applyAlignment="1">
      <alignment vertical="center"/>
    </xf>
    <xf numFmtId="0" fontId="25" fillId="0" borderId="18" xfId="10" applyBorder="1" applyAlignment="1">
      <alignment vertical="center"/>
    </xf>
    <xf numFmtId="0" fontId="184" fillId="18" borderId="0" xfId="10" applyFont="1" applyFill="1" applyAlignment="1">
      <alignment horizontal="center" vertical="center" wrapText="1"/>
    </xf>
    <xf numFmtId="0" fontId="25" fillId="0" borderId="0" xfId="10" applyAlignment="1">
      <alignment horizontal="center" vertical="center" wrapText="1"/>
    </xf>
    <xf numFmtId="0" fontId="25" fillId="0" borderId="17" xfId="10" applyBorder="1" applyAlignment="1">
      <alignment horizontal="center" vertical="center" wrapText="1"/>
    </xf>
    <xf numFmtId="0" fontId="188" fillId="86" borderId="22" xfId="10" applyFont="1" applyFill="1" applyBorder="1" applyAlignment="1">
      <alignment horizontal="center" vertical="center" shrinkToFit="1"/>
    </xf>
    <xf numFmtId="0" fontId="163" fillId="0" borderId="24" xfId="10" applyFont="1" applyBorder="1" applyAlignment="1">
      <alignment horizontal="center" vertical="center" shrinkToFit="1"/>
    </xf>
    <xf numFmtId="0" fontId="25" fillId="0" borderId="24" xfId="10" applyBorder="1" applyAlignment="1">
      <alignment horizontal="center" vertical="center" shrinkToFit="1"/>
    </xf>
    <xf numFmtId="0" fontId="25" fillId="0" borderId="23" xfId="10" applyBorder="1" applyAlignment="1">
      <alignment horizontal="center" vertical="center" shrinkToFit="1"/>
    </xf>
    <xf numFmtId="0" fontId="163" fillId="0" borderId="19" xfId="10" applyFont="1" applyBorder="1" applyAlignment="1">
      <alignment horizontal="center" vertical="center" shrinkToFit="1"/>
    </xf>
    <xf numFmtId="0" fontId="163" fillId="0" borderId="17" xfId="10" applyFont="1" applyBorder="1" applyAlignment="1">
      <alignment horizontal="center" vertical="center" shrinkToFit="1"/>
    </xf>
    <xf numFmtId="0" fontId="25" fillId="0" borderId="17" xfId="10" applyBorder="1" applyAlignment="1">
      <alignment horizontal="center" vertical="center" shrinkToFit="1"/>
    </xf>
    <xf numFmtId="0" fontId="25" fillId="0" borderId="18" xfId="10" applyBorder="1" applyAlignment="1">
      <alignment horizontal="center" vertical="center" shrinkToFit="1"/>
    </xf>
    <xf numFmtId="0" fontId="29" fillId="87" borderId="103" xfId="10" applyFont="1" applyFill="1" applyBorder="1" applyAlignment="1">
      <alignment horizontal="center" vertical="center"/>
    </xf>
    <xf numFmtId="0" fontId="162" fillId="0" borderId="0" xfId="10" applyFont="1"/>
    <xf numFmtId="0" fontId="162" fillId="0" borderId="16" xfId="10" applyFont="1" applyBorder="1"/>
    <xf numFmtId="0" fontId="162" fillId="0" borderId="103" xfId="10" applyFont="1" applyBorder="1"/>
    <xf numFmtId="0" fontId="29" fillId="87" borderId="20" xfId="10" applyFont="1" applyFill="1" applyBorder="1" applyAlignment="1">
      <alignment horizontal="center" vertical="center"/>
    </xf>
    <xf numFmtId="0" fontId="162" fillId="0" borderId="111" xfId="10" applyFont="1" applyBorder="1"/>
    <xf numFmtId="0" fontId="162" fillId="0" borderId="20" xfId="10" applyFont="1" applyBorder="1"/>
    <xf numFmtId="0" fontId="28" fillId="70" borderId="22" xfId="10" applyFont="1" applyFill="1" applyBorder="1" applyAlignment="1">
      <alignment horizontal="left" vertical="top" wrapText="1" shrinkToFit="1"/>
    </xf>
    <xf numFmtId="0" fontId="25" fillId="0" borderId="24" xfId="10" applyBorder="1" applyAlignment="1">
      <alignment horizontal="left" vertical="top" wrapText="1" shrinkToFit="1"/>
    </xf>
    <xf numFmtId="0" fontId="25" fillId="0" borderId="23" xfId="10" applyBorder="1" applyAlignment="1">
      <alignment horizontal="left" vertical="top" wrapText="1" shrinkToFit="1"/>
    </xf>
    <xf numFmtId="0" fontId="25" fillId="0" borderId="20" xfId="10" applyBorder="1" applyAlignment="1">
      <alignment horizontal="left" vertical="top" wrapText="1" shrinkToFit="1"/>
    </xf>
    <xf numFmtId="0" fontId="25" fillId="0" borderId="0" xfId="10" applyAlignment="1">
      <alignment horizontal="left" vertical="top" wrapText="1" shrinkToFit="1"/>
    </xf>
    <xf numFmtId="0" fontId="25" fillId="0" borderId="16" xfId="10" applyBorder="1" applyAlignment="1">
      <alignment horizontal="left" vertical="top" wrapText="1" shrinkToFit="1"/>
    </xf>
    <xf numFmtId="0" fontId="25" fillId="0" borderId="19" xfId="10" applyBorder="1" applyAlignment="1">
      <alignment horizontal="left" vertical="top" wrapText="1" shrinkToFit="1"/>
    </xf>
    <xf numFmtId="0" fontId="25" fillId="0" borderId="17" xfId="10" applyBorder="1" applyAlignment="1">
      <alignment horizontal="left" vertical="top" wrapText="1" shrinkToFit="1"/>
    </xf>
    <xf numFmtId="0" fontId="25" fillId="0" borderId="18" xfId="10" applyBorder="1" applyAlignment="1">
      <alignment horizontal="left" vertical="top" wrapText="1" shrinkToFit="1"/>
    </xf>
    <xf numFmtId="0" fontId="29" fillId="13" borderId="22" xfId="10" applyFont="1" applyFill="1" applyBorder="1" applyAlignment="1">
      <alignment horizontal="center" vertical="center"/>
    </xf>
    <xf numFmtId="0" fontId="25" fillId="0" borderId="24" xfId="10" applyBorder="1" applyAlignment="1">
      <alignment horizontal="center" vertical="center"/>
    </xf>
    <xf numFmtId="0" fontId="25" fillId="0" borderId="23" xfId="10" applyBorder="1" applyAlignment="1">
      <alignment horizontal="center" vertical="center"/>
    </xf>
    <xf numFmtId="0" fontId="25" fillId="0" borderId="20" xfId="10" applyBorder="1" applyAlignment="1">
      <alignment horizontal="center" vertical="center"/>
    </xf>
    <xf numFmtId="0" fontId="25" fillId="0" borderId="0" xfId="10" applyAlignment="1">
      <alignment horizontal="center" vertical="center"/>
    </xf>
    <xf numFmtId="0" fontId="25" fillId="0" borderId="16" xfId="10" applyBorder="1" applyAlignment="1">
      <alignment horizontal="center" vertical="center"/>
    </xf>
    <xf numFmtId="0" fontId="25" fillId="0" borderId="19" xfId="10" applyBorder="1" applyAlignment="1">
      <alignment horizontal="center" vertical="center"/>
    </xf>
    <xf numFmtId="0" fontId="25" fillId="0" borderId="17" xfId="10" applyBorder="1" applyAlignment="1">
      <alignment horizontal="center" vertical="center"/>
    </xf>
    <xf numFmtId="0" fontId="25" fillId="0" borderId="18" xfId="10" applyBorder="1" applyAlignment="1">
      <alignment horizontal="center" vertical="center"/>
    </xf>
    <xf numFmtId="0" fontId="185" fillId="15" borderId="22" xfId="10" applyFont="1" applyFill="1" applyBorder="1" applyAlignment="1">
      <alignment horizontal="left" vertical="center" wrapText="1" indent="1"/>
    </xf>
    <xf numFmtId="0" fontId="25" fillId="0" borderId="24" xfId="10" applyBorder="1" applyAlignment="1">
      <alignment horizontal="left" vertical="center" wrapText="1" indent="1"/>
    </xf>
    <xf numFmtId="0" fontId="25" fillId="0" borderId="23" xfId="10" applyBorder="1" applyAlignment="1">
      <alignment horizontal="left" vertical="center" wrapText="1" indent="1"/>
    </xf>
    <xf numFmtId="0" fontId="25" fillId="0" borderId="20" xfId="10" applyBorder="1" applyAlignment="1">
      <alignment horizontal="left" vertical="center" wrapText="1" indent="1"/>
    </xf>
    <xf numFmtId="0" fontId="25" fillId="0" borderId="0" xfId="10" applyAlignment="1">
      <alignment horizontal="left" vertical="center" wrapText="1" indent="1"/>
    </xf>
    <xf numFmtId="0" fontId="25" fillId="0" borderId="16" xfId="10" applyBorder="1" applyAlignment="1">
      <alignment horizontal="left" vertical="center" wrapText="1" indent="1"/>
    </xf>
    <xf numFmtId="0" fontId="25" fillId="0" borderId="19" xfId="10" applyBorder="1" applyAlignment="1">
      <alignment horizontal="left" vertical="center" wrapText="1" indent="1"/>
    </xf>
    <xf numFmtId="0" fontId="25" fillId="0" borderId="17" xfId="10" applyBorder="1" applyAlignment="1">
      <alignment horizontal="left" vertical="center" wrapText="1" indent="1"/>
    </xf>
    <xf numFmtId="0" fontId="25" fillId="0" borderId="18" xfId="10" applyBorder="1" applyAlignment="1">
      <alignment horizontal="left" vertical="center" wrapText="1" indent="1"/>
    </xf>
    <xf numFmtId="3" fontId="185" fillId="74" borderId="103" xfId="10" applyNumberFormat="1" applyFont="1" applyFill="1" applyBorder="1" applyAlignment="1">
      <alignment horizontal="center" vertical="center"/>
    </xf>
    <xf numFmtId="0" fontId="162" fillId="0" borderId="0" xfId="10" applyFont="1" applyAlignment="1">
      <alignment horizontal="center" vertical="center"/>
    </xf>
    <xf numFmtId="0" fontId="162" fillId="0" borderId="16" xfId="10" applyFont="1" applyBorder="1" applyAlignment="1">
      <alignment horizontal="center" vertical="center"/>
    </xf>
    <xf numFmtId="0" fontId="162" fillId="0" borderId="103" xfId="10" applyFont="1" applyBorder="1" applyAlignment="1">
      <alignment horizontal="center" vertical="center"/>
    </xf>
    <xf numFmtId="3" fontId="185" fillId="74" borderId="20" xfId="10" applyNumberFormat="1" applyFont="1" applyFill="1" applyBorder="1" applyAlignment="1">
      <alignment horizontal="center" vertical="center"/>
    </xf>
    <xf numFmtId="0" fontId="162" fillId="0" borderId="111" xfId="10" applyFont="1" applyBorder="1" applyAlignment="1">
      <alignment horizontal="center" vertical="center"/>
    </xf>
    <xf numFmtId="0" fontId="162" fillId="0" borderId="20" xfId="10" applyFont="1" applyBorder="1" applyAlignment="1">
      <alignment horizontal="center" vertical="center"/>
    </xf>
    <xf numFmtId="0" fontId="185" fillId="15" borderId="22" xfId="10" applyFont="1" applyFill="1" applyBorder="1" applyAlignment="1">
      <alignment horizontal="left" vertical="center" indent="1"/>
    </xf>
    <xf numFmtId="0" fontId="25" fillId="0" borderId="24" xfId="10" applyBorder="1" applyAlignment="1">
      <alignment horizontal="left" vertical="center" indent="1"/>
    </xf>
    <xf numFmtId="0" fontId="25" fillId="0" borderId="23" xfId="10" applyBorder="1" applyAlignment="1">
      <alignment horizontal="left" vertical="center" indent="1"/>
    </xf>
    <xf numFmtId="0" fontId="25" fillId="0" borderId="20" xfId="10" applyBorder="1" applyAlignment="1">
      <alignment horizontal="left" vertical="center" indent="1"/>
    </xf>
    <xf numFmtId="0" fontId="25" fillId="0" borderId="0" xfId="10" applyAlignment="1">
      <alignment horizontal="left" vertical="center" indent="1"/>
    </xf>
    <xf numFmtId="0" fontId="25" fillId="0" borderId="16" xfId="10" applyBorder="1" applyAlignment="1">
      <alignment horizontal="left" vertical="center" indent="1"/>
    </xf>
    <xf numFmtId="0" fontId="25" fillId="0" borderId="19" xfId="10" applyBorder="1" applyAlignment="1">
      <alignment horizontal="left" vertical="center" indent="1"/>
    </xf>
    <xf numFmtId="0" fontId="25" fillId="0" borderId="17" xfId="10" applyBorder="1" applyAlignment="1">
      <alignment horizontal="left" vertical="center" indent="1"/>
    </xf>
    <xf numFmtId="0" fontId="25" fillId="0" borderId="18" xfId="10" applyBorder="1" applyAlignment="1">
      <alignment horizontal="left" vertical="center" indent="1"/>
    </xf>
    <xf numFmtId="0" fontId="29" fillId="13" borderId="20" xfId="10" applyFont="1" applyFill="1" applyBorder="1" applyAlignment="1">
      <alignment horizontal="center" vertical="center"/>
    </xf>
    <xf numFmtId="0" fontId="162" fillId="74" borderId="103" xfId="10" applyFont="1" applyFill="1" applyBorder="1" applyAlignment="1">
      <alignment horizontal="center" vertical="center" wrapText="1" shrinkToFit="1"/>
    </xf>
    <xf numFmtId="0" fontId="162" fillId="0" borderId="0" xfId="10" applyFont="1" applyAlignment="1">
      <alignment wrapText="1"/>
    </xf>
    <xf numFmtId="0" fontId="162" fillId="0" borderId="16" xfId="10" applyFont="1" applyBorder="1" applyAlignment="1">
      <alignment wrapText="1"/>
    </xf>
    <xf numFmtId="0" fontId="162" fillId="0" borderId="103" xfId="10" applyFont="1" applyBorder="1" applyAlignment="1">
      <alignment wrapText="1"/>
    </xf>
    <xf numFmtId="0" fontId="162" fillId="0" borderId="123" xfId="10" applyFont="1" applyBorder="1" applyAlignment="1">
      <alignment wrapText="1"/>
    </xf>
    <xf numFmtId="0" fontId="162" fillId="0" borderId="191" xfId="10" applyFont="1" applyBorder="1" applyAlignment="1">
      <alignment wrapText="1"/>
    </xf>
    <xf numFmtId="0" fontId="162" fillId="0" borderId="131" xfId="10" applyFont="1" applyBorder="1" applyAlignment="1">
      <alignment wrapText="1"/>
    </xf>
    <xf numFmtId="1" fontId="162" fillId="74" borderId="22" xfId="10" applyNumberFormat="1" applyFont="1" applyFill="1" applyBorder="1" applyAlignment="1">
      <alignment horizontal="center" vertical="center" wrapText="1" shrinkToFit="1"/>
    </xf>
    <xf numFmtId="0" fontId="162" fillId="74" borderId="24" xfId="10" applyFont="1" applyFill="1" applyBorder="1" applyAlignment="1">
      <alignment horizontal="center" vertical="center"/>
    </xf>
    <xf numFmtId="0" fontId="162" fillId="74" borderId="386" xfId="10" applyFont="1" applyFill="1" applyBorder="1" applyAlignment="1">
      <alignment horizontal="center" vertical="center"/>
    </xf>
    <xf numFmtId="0" fontId="162" fillId="74" borderId="20" xfId="10" applyFont="1" applyFill="1" applyBorder="1" applyAlignment="1">
      <alignment horizontal="center" vertical="center"/>
    </xf>
    <xf numFmtId="0" fontId="162" fillId="74" borderId="0" xfId="10" applyFont="1" applyFill="1" applyAlignment="1">
      <alignment horizontal="center" vertical="center"/>
    </xf>
    <xf numFmtId="0" fontId="162" fillId="74" borderId="111" xfId="10" applyFont="1" applyFill="1" applyBorder="1" applyAlignment="1">
      <alignment horizontal="center" vertical="center"/>
    </xf>
    <xf numFmtId="0" fontId="162" fillId="74" borderId="130" xfId="10" applyFont="1" applyFill="1" applyBorder="1" applyAlignment="1">
      <alignment horizontal="center" vertical="center"/>
    </xf>
    <xf numFmtId="0" fontId="162" fillId="74" borderId="191" xfId="10" applyFont="1" applyFill="1" applyBorder="1" applyAlignment="1">
      <alignment horizontal="center" vertical="center"/>
    </xf>
    <xf numFmtId="0" fontId="162" fillId="74" borderId="178" xfId="10" applyFont="1" applyFill="1" applyBorder="1" applyAlignment="1">
      <alignment horizontal="center" vertical="center"/>
    </xf>
    <xf numFmtId="0" fontId="184" fillId="18" borderId="24" xfId="10" applyFont="1" applyFill="1" applyBorder="1" applyAlignment="1">
      <alignment horizontal="center" vertical="center" wrapText="1"/>
    </xf>
    <xf numFmtId="0" fontId="25" fillId="0" borderId="24" xfId="10" applyBorder="1" applyAlignment="1">
      <alignment horizontal="center" vertical="center" wrapText="1"/>
    </xf>
    <xf numFmtId="0" fontId="28" fillId="70" borderId="22" xfId="10" applyFont="1" applyFill="1" applyBorder="1" applyAlignment="1">
      <alignment horizontal="left" vertical="top" wrapText="1"/>
    </xf>
    <xf numFmtId="0" fontId="25" fillId="0" borderId="24" xfId="10" applyBorder="1" applyAlignment="1">
      <alignment horizontal="left" vertical="top" wrapText="1"/>
    </xf>
    <xf numFmtId="0" fontId="25" fillId="0" borderId="23" xfId="10" applyBorder="1" applyAlignment="1">
      <alignment horizontal="left" vertical="top" wrapText="1"/>
    </xf>
    <xf numFmtId="0" fontId="25" fillId="0" borderId="20" xfId="10" applyBorder="1" applyAlignment="1">
      <alignment horizontal="left" vertical="top" wrapText="1"/>
    </xf>
    <xf numFmtId="0" fontId="25" fillId="0" borderId="0" xfId="10" applyAlignment="1">
      <alignment horizontal="left" vertical="top" wrapText="1"/>
    </xf>
    <xf numFmtId="0" fontId="25" fillId="0" borderId="16" xfId="10" applyBorder="1" applyAlignment="1">
      <alignment horizontal="left" vertical="top" wrapText="1"/>
    </xf>
    <xf numFmtId="0" fontId="25" fillId="0" borderId="19" xfId="10" applyBorder="1" applyAlignment="1">
      <alignment horizontal="left" vertical="top" wrapText="1"/>
    </xf>
    <xf numFmtId="0" fontId="25" fillId="0" borderId="17" xfId="10" applyBorder="1" applyAlignment="1">
      <alignment horizontal="left" vertical="top" wrapText="1"/>
    </xf>
    <xf numFmtId="0" fontId="25" fillId="0" borderId="18" xfId="10" applyBorder="1" applyAlignment="1">
      <alignment horizontal="left" vertical="top" wrapText="1"/>
    </xf>
    <xf numFmtId="0" fontId="162" fillId="0" borderId="19" xfId="10" applyFont="1" applyBorder="1" applyAlignment="1">
      <alignment horizontal="center" vertical="center"/>
    </xf>
    <xf numFmtId="0" fontId="162" fillId="0" borderId="17" xfId="10" applyFont="1" applyBorder="1" applyAlignment="1">
      <alignment horizontal="center" vertical="center"/>
    </xf>
    <xf numFmtId="0" fontId="162" fillId="0" borderId="122" xfId="10" applyFont="1" applyBorder="1" applyAlignment="1">
      <alignment horizontal="center" vertical="center"/>
    </xf>
    <xf numFmtId="0" fontId="188" fillId="18" borderId="0" xfId="10" applyFont="1" applyFill="1" applyAlignment="1">
      <alignment horizontal="center" vertical="center" wrapText="1"/>
    </xf>
    <xf numFmtId="0" fontId="25" fillId="0" borderId="0" xfId="10" applyAlignment="1">
      <alignment wrapText="1"/>
    </xf>
    <xf numFmtId="0" fontId="25" fillId="0" borderId="17" xfId="10" applyBorder="1" applyAlignment="1">
      <alignment wrapText="1"/>
    </xf>
    <xf numFmtId="0" fontId="184" fillId="18" borderId="101" xfId="10" applyFont="1" applyFill="1" applyBorder="1" applyAlignment="1">
      <alignment horizontal="center" vertical="center"/>
    </xf>
    <xf numFmtId="0" fontId="25" fillId="0" borderId="29" xfId="10" applyBorder="1" applyAlignment="1">
      <alignment horizontal="center" vertical="center"/>
    </xf>
    <xf numFmtId="0" fontId="25" fillId="0" borderId="102" xfId="10" applyBorder="1" applyAlignment="1">
      <alignment horizontal="center" vertical="center"/>
    </xf>
    <xf numFmtId="0" fontId="25" fillId="0" borderId="103" xfId="10" applyBorder="1" applyAlignment="1">
      <alignment horizontal="center" vertical="center"/>
    </xf>
    <xf numFmtId="0" fontId="25" fillId="0" borderId="111" xfId="10" applyBorder="1" applyAlignment="1">
      <alignment horizontal="center" vertical="center"/>
    </xf>
    <xf numFmtId="0" fontId="25" fillId="0" borderId="24" xfId="10" applyBorder="1" applyAlignment="1">
      <alignment shrinkToFit="1"/>
    </xf>
    <xf numFmtId="0" fontId="25" fillId="0" borderId="23" xfId="10" applyBorder="1" applyAlignment="1">
      <alignment shrinkToFit="1"/>
    </xf>
    <xf numFmtId="0" fontId="25" fillId="0" borderId="17" xfId="10" applyBorder="1" applyAlignment="1">
      <alignment shrinkToFit="1"/>
    </xf>
    <xf numFmtId="0" fontId="25" fillId="0" borderId="18" xfId="10" applyBorder="1" applyAlignment="1">
      <alignment shrinkToFit="1"/>
    </xf>
    <xf numFmtId="0" fontId="29" fillId="87" borderId="101" xfId="10" applyFont="1" applyFill="1" applyBorder="1" applyAlignment="1">
      <alignment horizontal="center" vertical="center"/>
    </xf>
    <xf numFmtId="0" fontId="25" fillId="0" borderId="28" xfId="10" applyBorder="1" applyAlignment="1">
      <alignment horizontal="center" vertical="center"/>
    </xf>
    <xf numFmtId="0" fontId="29" fillId="87" borderId="30" xfId="10" applyFont="1" applyFill="1" applyBorder="1" applyAlignment="1">
      <alignment horizontal="center" vertical="center"/>
    </xf>
    <xf numFmtId="0" fontId="25" fillId="82" borderId="22" xfId="10" applyFill="1" applyBorder="1" applyAlignment="1">
      <alignment vertical="center" wrapText="1" shrinkToFit="1"/>
    </xf>
    <xf numFmtId="0" fontId="25" fillId="0" borderId="24" xfId="10" applyBorder="1" applyAlignment="1">
      <alignment vertical="center" wrapText="1" shrinkToFit="1"/>
    </xf>
    <xf numFmtId="0" fontId="25" fillId="0" borderId="24" xfId="10" applyBorder="1" applyAlignment="1">
      <alignment vertical="center" wrapText="1"/>
    </xf>
    <xf numFmtId="0" fontId="25" fillId="0" borderId="23" xfId="10" applyBorder="1" applyAlignment="1">
      <alignment vertical="center" wrapText="1"/>
    </xf>
    <xf numFmtId="0" fontId="25" fillId="0" borderId="19" xfId="10" applyBorder="1" applyAlignment="1">
      <alignment vertical="center" wrapText="1" shrinkToFit="1"/>
    </xf>
    <xf numFmtId="0" fontId="25" fillId="0" borderId="17" xfId="10" applyBorder="1" applyAlignment="1">
      <alignment vertical="center" wrapText="1" shrinkToFit="1"/>
    </xf>
    <xf numFmtId="0" fontId="25" fillId="0" borderId="17" xfId="10" applyBorder="1" applyAlignment="1">
      <alignment vertical="center" wrapText="1"/>
    </xf>
    <xf numFmtId="0" fontId="25" fillId="0" borderId="18" xfId="10" applyBorder="1" applyAlignment="1">
      <alignment vertical="center" wrapText="1"/>
    </xf>
    <xf numFmtId="0" fontId="28" fillId="70" borderId="22" xfId="10" applyFont="1" applyFill="1" applyBorder="1" applyAlignment="1">
      <alignment horizontal="center" vertical="center" wrapText="1"/>
    </xf>
    <xf numFmtId="0" fontId="25" fillId="0" borderId="23" xfId="10" applyBorder="1" applyAlignment="1">
      <alignment horizontal="center" vertical="center" wrapText="1"/>
    </xf>
    <xf numFmtId="0" fontId="25" fillId="0" borderId="20" xfId="10" applyBorder="1" applyAlignment="1">
      <alignment horizontal="center" vertical="center" wrapText="1"/>
    </xf>
    <xf numFmtId="0" fontId="25" fillId="0" borderId="16" xfId="10" applyBorder="1" applyAlignment="1">
      <alignment horizontal="center" vertical="center" wrapText="1"/>
    </xf>
    <xf numFmtId="0" fontId="25" fillId="0" borderId="19" xfId="10" applyBorder="1" applyAlignment="1">
      <alignment horizontal="center" vertical="center" wrapText="1"/>
    </xf>
    <xf numFmtId="0" fontId="25" fillId="0" borderId="18" xfId="10" applyBorder="1" applyAlignment="1">
      <alignment horizontal="center" vertical="center" wrapText="1"/>
    </xf>
    <xf numFmtId="0" fontId="184" fillId="18" borderId="0" xfId="10" applyFont="1" applyFill="1" applyAlignment="1">
      <alignment horizontal="center" vertical="center"/>
    </xf>
    <xf numFmtId="0" fontId="165" fillId="70" borderId="20" xfId="10" applyFont="1" applyFill="1" applyBorder="1" applyAlignment="1">
      <alignment vertical="top" wrapText="1"/>
    </xf>
    <xf numFmtId="0" fontId="25" fillId="0" borderId="0" xfId="10" applyAlignment="1">
      <alignment vertical="top" wrapText="1"/>
    </xf>
    <xf numFmtId="0" fontId="25" fillId="0" borderId="16" xfId="10" applyBorder="1" applyAlignment="1">
      <alignment vertical="top" wrapText="1"/>
    </xf>
    <xf numFmtId="0" fontId="25" fillId="0" borderId="20" xfId="10" applyBorder="1" applyAlignment="1">
      <alignment vertical="top" wrapText="1"/>
    </xf>
    <xf numFmtId="0" fontId="25" fillId="0" borderId="19" xfId="10" applyBorder="1" applyAlignment="1">
      <alignment vertical="top" wrapText="1"/>
    </xf>
    <xf numFmtId="0" fontId="25" fillId="0" borderId="17" xfId="10" applyBorder="1" applyAlignment="1">
      <alignment vertical="top" wrapText="1"/>
    </xf>
    <xf numFmtId="0" fontId="25" fillId="0" borderId="18" xfId="10" applyBorder="1" applyAlignment="1">
      <alignment vertical="top" wrapText="1"/>
    </xf>
    <xf numFmtId="0" fontId="28" fillId="70" borderId="20" xfId="10" applyFont="1" applyFill="1" applyBorder="1" applyAlignment="1">
      <alignment horizontal="center" vertical="center"/>
    </xf>
    <xf numFmtId="1" fontId="197" fillId="56" borderId="22" xfId="10" applyNumberFormat="1" applyFont="1" applyFill="1" applyBorder="1" applyAlignment="1">
      <alignment horizontal="center" vertical="center"/>
    </xf>
    <xf numFmtId="0" fontId="165" fillId="70" borderId="22" xfId="10" applyFont="1" applyFill="1" applyBorder="1" applyAlignment="1">
      <alignment vertical="top" wrapText="1"/>
    </xf>
    <xf numFmtId="0" fontId="25" fillId="0" borderId="24" xfId="10" applyBorder="1" applyAlignment="1">
      <alignment vertical="top" wrapText="1"/>
    </xf>
    <xf numFmtId="0" fontId="25" fillId="0" borderId="23" xfId="10" applyBorder="1" applyAlignment="1">
      <alignment vertical="top" wrapText="1"/>
    </xf>
    <xf numFmtId="1" fontId="184" fillId="13" borderId="22" xfId="10" applyNumberFormat="1" applyFont="1" applyFill="1" applyBorder="1" applyAlignment="1">
      <alignment horizontal="center" vertical="center"/>
    </xf>
    <xf numFmtId="179" fontId="27" fillId="56" borderId="22" xfId="10" applyNumberFormat="1" applyFont="1" applyFill="1" applyBorder="1" applyAlignment="1">
      <alignment horizontal="center" vertical="center"/>
    </xf>
    <xf numFmtId="179" fontId="27" fillId="56" borderId="24" xfId="10" applyNumberFormat="1" applyFont="1" applyFill="1" applyBorder="1" applyAlignment="1">
      <alignment horizontal="center" vertical="center"/>
    </xf>
    <xf numFmtId="179" fontId="27" fillId="56" borderId="23" xfId="10" applyNumberFormat="1" applyFont="1" applyFill="1" applyBorder="1" applyAlignment="1">
      <alignment horizontal="center" vertical="center"/>
    </xf>
    <xf numFmtId="179" fontId="27" fillId="56" borderId="19" xfId="10" applyNumberFormat="1" applyFont="1" applyFill="1" applyBorder="1" applyAlignment="1">
      <alignment horizontal="center" vertical="center"/>
    </xf>
    <xf numFmtId="179" fontId="27" fillId="56" borderId="17" xfId="10" applyNumberFormat="1" applyFont="1" applyFill="1" applyBorder="1" applyAlignment="1">
      <alignment horizontal="center" vertical="center"/>
    </xf>
    <xf numFmtId="179" fontId="27" fillId="56" borderId="18" xfId="10" applyNumberFormat="1" applyFont="1" applyFill="1" applyBorder="1" applyAlignment="1">
      <alignment horizontal="center" vertical="center"/>
    </xf>
    <xf numFmtId="0" fontId="185" fillId="56" borderId="24" xfId="10" applyFont="1" applyFill="1" applyBorder="1" applyAlignment="1">
      <alignment vertical="center"/>
    </xf>
    <xf numFmtId="0" fontId="185" fillId="56" borderId="23" xfId="10" applyFont="1" applyFill="1" applyBorder="1" applyAlignment="1">
      <alignment vertical="center"/>
    </xf>
    <xf numFmtId="0" fontId="185" fillId="56" borderId="17" xfId="10" applyFont="1" applyFill="1" applyBorder="1" applyAlignment="1">
      <alignment vertical="center"/>
    </xf>
    <xf numFmtId="0" fontId="185" fillId="56" borderId="18" xfId="10" applyFont="1" applyFill="1" applyBorder="1" applyAlignment="1">
      <alignment vertical="center"/>
    </xf>
    <xf numFmtId="0" fontId="165" fillId="70" borderId="22" xfId="10" applyFont="1" applyFill="1" applyBorder="1" applyAlignment="1">
      <alignment horizontal="left" vertical="top" wrapText="1"/>
    </xf>
    <xf numFmtId="0" fontId="162" fillId="76" borderId="22" xfId="10" applyFont="1" applyFill="1" applyBorder="1" applyAlignment="1">
      <alignment horizontal="left" vertical="center" wrapText="1" indent="1"/>
    </xf>
    <xf numFmtId="0" fontId="186" fillId="70" borderId="22" xfId="10" applyFont="1" applyFill="1" applyBorder="1" applyAlignment="1">
      <alignment horizontal="center" vertical="center"/>
    </xf>
    <xf numFmtId="0" fontId="165" fillId="70" borderId="24" xfId="10" applyFont="1" applyFill="1" applyBorder="1"/>
    <xf numFmtId="0" fontId="165" fillId="70" borderId="23" xfId="10" applyFont="1" applyFill="1" applyBorder="1"/>
    <xf numFmtId="0" fontId="165" fillId="70" borderId="20" xfId="10" applyFont="1" applyFill="1" applyBorder="1"/>
    <xf numFmtId="0" fontId="165" fillId="70" borderId="0" xfId="10" applyFont="1" applyFill="1"/>
    <xf numFmtId="0" fontId="165" fillId="70" borderId="16" xfId="10" applyFont="1" applyFill="1" applyBorder="1"/>
    <xf numFmtId="0" fontId="165" fillId="70" borderId="19" xfId="10" applyFont="1" applyFill="1" applyBorder="1"/>
    <xf numFmtId="0" fontId="165" fillId="70" borderId="17" xfId="10" applyFont="1" applyFill="1" applyBorder="1"/>
    <xf numFmtId="0" fontId="165" fillId="70" borderId="18" xfId="10" applyFont="1" applyFill="1" applyBorder="1"/>
    <xf numFmtId="0" fontId="29" fillId="13" borderId="24" xfId="10" applyFont="1" applyFill="1" applyBorder="1" applyAlignment="1">
      <alignment horizontal="center" vertical="center"/>
    </xf>
    <xf numFmtId="0" fontId="29" fillId="13" borderId="23" xfId="10" applyFont="1" applyFill="1" applyBorder="1" applyAlignment="1">
      <alignment horizontal="center" vertical="center"/>
    </xf>
    <xf numFmtId="0" fontId="29" fillId="13" borderId="0" xfId="10" applyFont="1" applyFill="1" applyAlignment="1">
      <alignment horizontal="center" vertical="center"/>
    </xf>
    <xf numFmtId="0" fontId="29" fillId="13" borderId="16" xfId="10" applyFont="1" applyFill="1" applyBorder="1" applyAlignment="1">
      <alignment horizontal="center" vertical="center"/>
    </xf>
    <xf numFmtId="0" fontId="29" fillId="13" borderId="19" xfId="10" applyFont="1" applyFill="1" applyBorder="1" applyAlignment="1">
      <alignment horizontal="center" vertical="center"/>
    </xf>
    <xf numFmtId="0" fontId="29" fillId="13" borderId="17" xfId="10" applyFont="1" applyFill="1" applyBorder="1" applyAlignment="1">
      <alignment horizontal="center" vertical="center"/>
    </xf>
    <xf numFmtId="0" fontId="29" fillId="13" borderId="18" xfId="10" applyFont="1" applyFill="1" applyBorder="1" applyAlignment="1">
      <alignment horizontal="center" vertical="center"/>
    </xf>
    <xf numFmtId="0" fontId="196" fillId="18" borderId="0" xfId="10" applyFont="1" applyFill="1" applyAlignment="1">
      <alignment horizontal="center" vertical="center" wrapText="1"/>
    </xf>
    <xf numFmtId="1" fontId="184" fillId="13" borderId="101" xfId="10" applyNumberFormat="1" applyFont="1" applyFill="1" applyBorder="1" applyAlignment="1">
      <alignment horizontal="center" vertical="center"/>
    </xf>
    <xf numFmtId="0" fontId="25" fillId="0" borderId="123" xfId="10" applyBorder="1" applyAlignment="1">
      <alignment horizontal="center" vertical="center"/>
    </xf>
    <xf numFmtId="0" fontId="25" fillId="0" borderId="191" xfId="10" applyBorder="1" applyAlignment="1">
      <alignment horizontal="center" vertical="center"/>
    </xf>
    <xf numFmtId="0" fontId="25" fillId="0" borderId="178" xfId="10" applyBorder="1" applyAlignment="1">
      <alignment horizontal="center" vertical="center"/>
    </xf>
    <xf numFmtId="0" fontId="162" fillId="15" borderId="30" xfId="10" applyFont="1" applyFill="1" applyBorder="1" applyAlignment="1">
      <alignment horizontal="left" vertical="top" wrapText="1"/>
    </xf>
    <xf numFmtId="0" fontId="25" fillId="15" borderId="29" xfId="10" applyFill="1" applyBorder="1" applyAlignment="1">
      <alignment horizontal="left" vertical="top" wrapText="1"/>
    </xf>
    <xf numFmtId="0" fontId="25" fillId="0" borderId="29" xfId="10" applyBorder="1" applyAlignment="1">
      <alignment horizontal="left" vertical="top" wrapText="1"/>
    </xf>
    <xf numFmtId="0" fontId="25" fillId="0" borderId="28" xfId="10" applyBorder="1" applyAlignment="1">
      <alignment horizontal="left" vertical="top" wrapText="1"/>
    </xf>
    <xf numFmtId="0" fontId="25" fillId="15" borderId="20" xfId="10" applyFill="1" applyBorder="1" applyAlignment="1">
      <alignment horizontal="left" vertical="top" wrapText="1"/>
    </xf>
    <xf numFmtId="0" fontId="25" fillId="15" borderId="0" xfId="10" applyFill="1" applyAlignment="1">
      <alignment horizontal="left" vertical="top" wrapText="1"/>
    </xf>
    <xf numFmtId="0" fontId="28" fillId="70" borderId="30" xfId="10" applyFont="1" applyFill="1" applyBorder="1" applyAlignment="1">
      <alignment horizontal="center" vertical="center" wrapText="1"/>
    </xf>
    <xf numFmtId="0" fontId="25" fillId="0" borderId="29" xfId="10" applyBorder="1" applyAlignment="1">
      <alignment horizontal="center" vertical="center" wrapText="1"/>
    </xf>
    <xf numFmtId="0" fontId="25" fillId="0" borderId="28" xfId="10" applyBorder="1" applyAlignment="1">
      <alignment horizontal="center" vertical="center" wrapText="1"/>
    </xf>
    <xf numFmtId="0" fontId="25" fillId="70" borderId="22" xfId="10" applyFill="1" applyBorder="1" applyAlignment="1">
      <alignment horizontal="center" vertical="center"/>
    </xf>
    <xf numFmtId="0" fontId="185" fillId="56" borderId="22" xfId="10" applyFont="1" applyFill="1" applyBorder="1" applyAlignment="1">
      <alignment vertical="center"/>
    </xf>
    <xf numFmtId="0" fontId="25" fillId="0" borderId="19" xfId="10" applyBorder="1" applyAlignment="1">
      <alignment vertical="center"/>
    </xf>
    <xf numFmtId="179" fontId="185" fillId="75" borderId="25" xfId="10" applyNumberFormat="1" applyFont="1" applyFill="1" applyBorder="1" applyAlignment="1">
      <alignment horizontal="center" vertical="center"/>
    </xf>
    <xf numFmtId="0" fontId="162" fillId="76" borderId="22" xfId="10" applyFont="1" applyFill="1" applyBorder="1" applyAlignment="1">
      <alignment horizontal="left" vertical="center" indent="1"/>
    </xf>
    <xf numFmtId="1" fontId="189" fillId="75" borderId="22" xfId="10" applyNumberFormat="1" applyFont="1" applyFill="1" applyBorder="1" applyAlignment="1">
      <alignment horizontal="center" vertical="center"/>
    </xf>
    <xf numFmtId="0" fontId="25" fillId="0" borderId="24" xfId="10" applyBorder="1" applyAlignment="1">
      <alignment wrapText="1"/>
    </xf>
    <xf numFmtId="0" fontId="25" fillId="0" borderId="23" xfId="10" applyBorder="1" applyAlignment="1">
      <alignment wrapText="1"/>
    </xf>
    <xf numFmtId="0" fontId="25" fillId="0" borderId="20" xfId="10" applyBorder="1" applyAlignment="1">
      <alignment wrapText="1"/>
    </xf>
    <xf numFmtId="0" fontId="25" fillId="0" borderId="16" xfId="10" applyBorder="1" applyAlignment="1">
      <alignment wrapText="1"/>
    </xf>
    <xf numFmtId="0" fontId="25" fillId="0" borderId="19" xfId="10" applyBorder="1" applyAlignment="1">
      <alignment wrapText="1"/>
    </xf>
    <xf numFmtId="0" fontId="25" fillId="0" borderId="18" xfId="10" applyBorder="1" applyAlignment="1">
      <alignment wrapText="1"/>
    </xf>
    <xf numFmtId="179" fontId="25" fillId="0" borderId="24" xfId="10" applyNumberFormat="1" applyBorder="1" applyAlignment="1">
      <alignment horizontal="center" vertical="center"/>
    </xf>
    <xf numFmtId="179" fontId="25" fillId="0" borderId="23" xfId="10" applyNumberFormat="1" applyBorder="1" applyAlignment="1">
      <alignment horizontal="center" vertical="center"/>
    </xf>
    <xf numFmtId="179" fontId="25" fillId="0" borderId="19" xfId="10" applyNumberFormat="1" applyBorder="1" applyAlignment="1">
      <alignment horizontal="center" vertical="center"/>
    </xf>
    <xf numFmtId="179" fontId="25" fillId="0" borderId="17" xfId="10" applyNumberFormat="1" applyBorder="1" applyAlignment="1">
      <alignment horizontal="center" vertical="center"/>
    </xf>
    <xf numFmtId="179" fontId="25" fillId="0" borderId="18" xfId="10" applyNumberFormat="1" applyBorder="1" applyAlignment="1">
      <alignment horizontal="center" vertical="center"/>
    </xf>
    <xf numFmtId="0" fontId="161" fillId="0" borderId="0" xfId="10" applyFont="1"/>
    <xf numFmtId="0" fontId="29" fillId="13" borderId="393" xfId="10" applyFont="1" applyFill="1" applyBorder="1" applyAlignment="1">
      <alignment horizontal="center" vertical="center"/>
    </xf>
    <xf numFmtId="0" fontId="25" fillId="0" borderId="394" xfId="10" applyBorder="1" applyAlignment="1">
      <alignment horizontal="center" vertical="center"/>
    </xf>
    <xf numFmtId="0" fontId="25" fillId="0" borderId="395" xfId="10" applyBorder="1" applyAlignment="1">
      <alignment horizontal="center" vertical="center"/>
    </xf>
    <xf numFmtId="0" fontId="185" fillId="15" borderId="20" xfId="10" applyFont="1" applyFill="1" applyBorder="1" applyAlignment="1">
      <alignment horizontal="left" vertical="center" indent="1"/>
    </xf>
    <xf numFmtId="0" fontId="184" fillId="13" borderId="0" xfId="10" applyFont="1" applyFill="1" applyAlignment="1">
      <alignment horizontal="center" vertical="center"/>
    </xf>
    <xf numFmtId="0" fontId="188" fillId="13" borderId="0" xfId="10" applyFont="1" applyFill="1" applyAlignment="1">
      <alignment horizontal="center"/>
    </xf>
    <xf numFmtId="0" fontId="163" fillId="0" borderId="0" xfId="10" applyFont="1"/>
    <xf numFmtId="0" fontId="163" fillId="0" borderId="16" xfId="10" applyFont="1" applyBorder="1"/>
    <xf numFmtId="0" fontId="29" fillId="13" borderId="387" xfId="10" applyFont="1" applyFill="1" applyBorder="1" applyAlignment="1">
      <alignment horizontal="center" vertical="center"/>
    </xf>
    <xf numFmtId="0" fontId="194" fillId="13" borderId="388" xfId="10" applyFont="1" applyFill="1" applyBorder="1" applyAlignment="1">
      <alignment horizontal="center" vertical="center"/>
    </xf>
    <xf numFmtId="0" fontId="194" fillId="13" borderId="389" xfId="10" applyFont="1" applyFill="1" applyBorder="1" applyAlignment="1">
      <alignment horizontal="center" vertical="center"/>
    </xf>
    <xf numFmtId="0" fontId="194" fillId="13" borderId="390" xfId="10" applyFont="1" applyFill="1" applyBorder="1" applyAlignment="1">
      <alignment horizontal="center" vertical="center"/>
    </xf>
    <xf numFmtId="0" fontId="194" fillId="13" borderId="391" xfId="10" applyFont="1" applyFill="1" applyBorder="1" applyAlignment="1">
      <alignment horizontal="center" vertical="center"/>
    </xf>
    <xf numFmtId="0" fontId="194" fillId="13" borderId="392" xfId="10" applyFont="1" applyFill="1" applyBorder="1" applyAlignment="1">
      <alignment horizontal="center" vertical="center"/>
    </xf>
    <xf numFmtId="0" fontId="162" fillId="0" borderId="387" xfId="10" applyFont="1" applyBorder="1" applyAlignment="1">
      <alignment horizontal="left" vertical="center" shrinkToFit="1"/>
    </xf>
    <xf numFmtId="0" fontId="25" fillId="0" borderId="388" xfId="10" applyBorder="1" applyAlignment="1">
      <alignment horizontal="left" vertical="center" shrinkToFit="1"/>
    </xf>
    <xf numFmtId="0" fontId="25" fillId="0" borderId="389" xfId="10" applyBorder="1" applyAlignment="1">
      <alignment horizontal="left" vertical="center" shrinkToFit="1"/>
    </xf>
    <xf numFmtId="0" fontId="25" fillId="0" borderId="390" xfId="10" applyBorder="1" applyAlignment="1">
      <alignment horizontal="left" vertical="center" shrinkToFit="1"/>
    </xf>
    <xf numFmtId="0" fontId="25" fillId="0" borderId="391" xfId="10" applyBorder="1" applyAlignment="1">
      <alignment horizontal="left" vertical="center" shrinkToFit="1"/>
    </xf>
    <xf numFmtId="0" fontId="25" fillId="0" borderId="392" xfId="10" applyBorder="1" applyAlignment="1">
      <alignment horizontal="left" vertical="center" shrinkToFit="1"/>
    </xf>
    <xf numFmtId="179" fontId="185" fillId="75" borderId="22" xfId="10" applyNumberFormat="1" applyFont="1" applyFill="1" applyBorder="1" applyAlignment="1">
      <alignment horizontal="center" vertical="center"/>
    </xf>
    <xf numFmtId="0" fontId="195" fillId="64" borderId="20" xfId="10" applyFont="1" applyFill="1" applyBorder="1" applyAlignment="1">
      <alignment horizontal="center" shrinkToFit="1"/>
    </xf>
    <xf numFmtId="0" fontId="25" fillId="0" borderId="0" xfId="10" applyAlignment="1">
      <alignment horizontal="center" shrinkToFit="1"/>
    </xf>
    <xf numFmtId="0" fontId="25" fillId="0" borderId="16" xfId="10" applyBorder="1" applyAlignment="1">
      <alignment horizontal="center" shrinkToFit="1"/>
    </xf>
    <xf numFmtId="0" fontId="25" fillId="0" borderId="19" xfId="10" applyBorder="1" applyAlignment="1">
      <alignment horizontal="center" shrinkToFit="1"/>
    </xf>
    <xf numFmtId="0" fontId="25" fillId="0" borderId="17" xfId="10" applyBorder="1" applyAlignment="1">
      <alignment horizontal="center" shrinkToFit="1"/>
    </xf>
    <xf numFmtId="0" fontId="25" fillId="0" borderId="18" xfId="10" applyBorder="1" applyAlignment="1">
      <alignment horizontal="center" shrinkToFit="1"/>
    </xf>
    <xf numFmtId="0" fontId="162" fillId="70" borderId="22" xfId="10" applyFont="1" applyFill="1" applyBorder="1" applyAlignment="1">
      <alignment horizontal="center" vertical="center"/>
    </xf>
    <xf numFmtId="0" fontId="165" fillId="0" borderId="21" xfId="10" applyFont="1" applyBorder="1" applyAlignment="1">
      <alignment horizontal="left" vertical="center" shrinkToFit="1"/>
    </xf>
    <xf numFmtId="0" fontId="165" fillId="0" borderId="26" xfId="10" applyFont="1" applyBorder="1" applyAlignment="1">
      <alignment horizontal="left" vertical="center" shrinkToFit="1"/>
    </xf>
    <xf numFmtId="0" fontId="165" fillId="0" borderId="27" xfId="10" applyFont="1" applyBorder="1" applyAlignment="1">
      <alignment horizontal="left" vertical="center" shrinkToFit="1"/>
    </xf>
    <xf numFmtId="0" fontId="49" fillId="70" borderId="22" xfId="10" applyFont="1" applyFill="1" applyBorder="1" applyAlignment="1">
      <alignment horizontal="center" vertical="center"/>
    </xf>
    <xf numFmtId="0" fontId="156" fillId="85" borderId="22" xfId="10" applyFont="1" applyFill="1" applyBorder="1" applyAlignment="1">
      <alignment horizontal="center" vertical="center"/>
    </xf>
    <xf numFmtId="0" fontId="161" fillId="85" borderId="22" xfId="10" applyFont="1" applyFill="1" applyBorder="1" applyAlignment="1">
      <alignment horizontal="center" vertical="center" shrinkToFit="1"/>
    </xf>
    <xf numFmtId="0" fontId="25" fillId="0" borderId="19" xfId="10" applyBorder="1" applyAlignment="1">
      <alignment horizontal="center" vertical="center" shrinkToFit="1"/>
    </xf>
    <xf numFmtId="0" fontId="184" fillId="18" borderId="22" xfId="10" applyFont="1" applyFill="1" applyBorder="1" applyAlignment="1">
      <alignment horizontal="center" vertical="center"/>
    </xf>
    <xf numFmtId="0" fontId="25" fillId="0" borderId="24" xfId="10" applyBorder="1" applyAlignment="1">
      <alignment horizontal="center"/>
    </xf>
    <xf numFmtId="0" fontId="25" fillId="0" borderId="23" xfId="10" applyBorder="1" applyAlignment="1">
      <alignment horizontal="center"/>
    </xf>
    <xf numFmtId="0" fontId="25" fillId="0" borderId="20" xfId="10" applyBorder="1" applyAlignment="1">
      <alignment horizontal="center"/>
    </xf>
    <xf numFmtId="0" fontId="25" fillId="0" borderId="0" xfId="10" applyAlignment="1">
      <alignment horizontal="center"/>
    </xf>
    <xf numFmtId="0" fontId="25" fillId="0" borderId="16" xfId="10" applyBorder="1" applyAlignment="1">
      <alignment horizontal="center"/>
    </xf>
    <xf numFmtId="1" fontId="162" fillId="70" borderId="22" xfId="10" applyNumberFormat="1" applyFont="1" applyFill="1" applyBorder="1" applyAlignment="1">
      <alignment horizontal="center" vertical="center"/>
    </xf>
    <xf numFmtId="0" fontId="25" fillId="13" borderId="0" xfId="10" applyFill="1" applyAlignment="1">
      <alignment horizontal="center" vertical="center"/>
    </xf>
    <xf numFmtId="179" fontId="185" fillId="15" borderId="20" xfId="10" applyNumberFormat="1" applyFont="1" applyFill="1" applyBorder="1" applyAlignment="1">
      <alignment horizontal="center" vertical="center" wrapText="1"/>
    </xf>
    <xf numFmtId="0" fontId="162" fillId="0" borderId="0" xfId="10" applyFont="1" applyAlignment="1">
      <alignment horizontal="center" vertical="center" wrapText="1"/>
    </xf>
    <xf numFmtId="0" fontId="25" fillId="0" borderId="16" xfId="10" applyBorder="1"/>
    <xf numFmtId="0" fontId="162" fillId="0" borderId="20" xfId="10" applyFont="1" applyBorder="1" applyAlignment="1">
      <alignment horizontal="center" vertical="center" wrapText="1"/>
    </xf>
    <xf numFmtId="0" fontId="162" fillId="0" borderId="19" xfId="10" applyFont="1" applyBorder="1" applyAlignment="1">
      <alignment horizontal="center" vertical="center" wrapText="1"/>
    </xf>
    <xf numFmtId="0" fontId="162" fillId="0" borderId="17" xfId="10" applyFont="1" applyBorder="1" applyAlignment="1">
      <alignment horizontal="center" vertical="center" wrapText="1"/>
    </xf>
    <xf numFmtId="0" fontId="25" fillId="0" borderId="18" xfId="10" applyBorder="1"/>
    <xf numFmtId="179" fontId="185" fillId="15" borderId="30" xfId="10" applyNumberFormat="1" applyFont="1" applyFill="1" applyBorder="1" applyAlignment="1">
      <alignment horizontal="center" vertical="center" wrapText="1"/>
    </xf>
    <xf numFmtId="0" fontId="162" fillId="0" borderId="29" xfId="10" applyFont="1" applyBorder="1" applyAlignment="1">
      <alignment horizontal="center" vertical="center" wrapText="1"/>
    </xf>
    <xf numFmtId="0" fontId="162" fillId="0" borderId="28" xfId="10" applyFont="1" applyBorder="1" applyAlignment="1">
      <alignment horizontal="center" vertical="center" wrapText="1"/>
    </xf>
    <xf numFmtId="0" fontId="162" fillId="0" borderId="16" xfId="10" applyFont="1" applyBorder="1" applyAlignment="1">
      <alignment horizontal="center" vertical="center" wrapText="1"/>
    </xf>
    <xf numFmtId="0" fontId="162" fillId="0" borderId="18" xfId="10" applyFont="1" applyBorder="1" applyAlignment="1">
      <alignment horizontal="center" vertical="center" wrapText="1"/>
    </xf>
    <xf numFmtId="0" fontId="185" fillId="15" borderId="103" xfId="10" applyFont="1" applyFill="1" applyBorder="1" applyAlignment="1">
      <alignment horizontal="center" vertical="center" wrapText="1"/>
    </xf>
    <xf numFmtId="0" fontId="185" fillId="15" borderId="0" xfId="10" applyFont="1" applyFill="1" applyAlignment="1">
      <alignment horizontal="center" vertical="center" wrapText="1"/>
    </xf>
    <xf numFmtId="0" fontId="185" fillId="15" borderId="111" xfId="10" applyFont="1" applyFill="1" applyBorder="1" applyAlignment="1">
      <alignment horizontal="center" vertical="center" wrapText="1"/>
    </xf>
    <xf numFmtId="0" fontId="185" fillId="15" borderId="123" xfId="10" applyFont="1" applyFill="1" applyBorder="1" applyAlignment="1">
      <alignment horizontal="center" vertical="center" wrapText="1"/>
    </xf>
    <xf numFmtId="0" fontId="185" fillId="15" borderId="191" xfId="10" applyFont="1" applyFill="1" applyBorder="1" applyAlignment="1">
      <alignment horizontal="center" vertical="center" wrapText="1"/>
    </xf>
    <xf numFmtId="0" fontId="185" fillId="15" borderId="178" xfId="10" applyFont="1" applyFill="1" applyBorder="1" applyAlignment="1">
      <alignment horizontal="center" vertical="center" wrapText="1"/>
    </xf>
    <xf numFmtId="0" fontId="195" fillId="64" borderId="103" xfId="10" applyFont="1" applyFill="1" applyBorder="1" applyAlignment="1">
      <alignment horizontal="center" shrinkToFit="1"/>
    </xf>
    <xf numFmtId="0" fontId="25" fillId="0" borderId="111" xfId="10" applyBorder="1" applyAlignment="1">
      <alignment horizontal="center" shrinkToFit="1"/>
    </xf>
    <xf numFmtId="0" fontId="25" fillId="0" borderId="123" xfId="10" applyBorder="1" applyAlignment="1">
      <alignment horizontal="center" shrinkToFit="1"/>
    </xf>
    <xf numFmtId="0" fontId="25" fillId="0" borderId="191" xfId="10" applyBorder="1" applyAlignment="1">
      <alignment horizontal="center" shrinkToFit="1"/>
    </xf>
    <xf numFmtId="0" fontId="25" fillId="0" borderId="178" xfId="10" applyBorder="1" applyAlignment="1">
      <alignment horizontal="center" shrinkToFit="1"/>
    </xf>
    <xf numFmtId="0" fontId="184" fillId="13" borderId="22" xfId="10" applyFont="1" applyFill="1" applyBorder="1" applyAlignment="1">
      <alignment horizontal="center" vertical="center"/>
    </xf>
    <xf numFmtId="0" fontId="194" fillId="13" borderId="24" xfId="10" applyFont="1" applyFill="1" applyBorder="1"/>
    <xf numFmtId="0" fontId="194" fillId="13" borderId="23" xfId="10" applyFont="1" applyFill="1" applyBorder="1"/>
    <xf numFmtId="0" fontId="194" fillId="13" borderId="19" xfId="10" applyFont="1" applyFill="1" applyBorder="1"/>
    <xf numFmtId="0" fontId="194" fillId="13" borderId="17" xfId="10" applyFont="1" applyFill="1" applyBorder="1"/>
    <xf numFmtId="0" fontId="194" fillId="13" borderId="18" xfId="10" applyFont="1" applyFill="1" applyBorder="1"/>
    <xf numFmtId="0" fontId="161" fillId="0" borderId="24" xfId="10" applyFont="1" applyBorder="1" applyAlignment="1">
      <alignment horizontal="center" vertical="center"/>
    </xf>
    <xf numFmtId="0" fontId="25" fillId="0" borderId="23" xfId="10" applyBorder="1"/>
    <xf numFmtId="0" fontId="161" fillId="0" borderId="20" xfId="10" applyFont="1" applyBorder="1" applyAlignment="1">
      <alignment horizontal="center" vertical="center"/>
    </xf>
    <xf numFmtId="0" fontId="161" fillId="0" borderId="0" xfId="10" applyFont="1" applyAlignment="1">
      <alignment horizontal="center" vertical="center"/>
    </xf>
    <xf numFmtId="0" fontId="161" fillId="0" borderId="23" xfId="10" applyFont="1" applyBorder="1" applyAlignment="1">
      <alignment horizontal="center" vertical="center"/>
    </xf>
    <xf numFmtId="0" fontId="161" fillId="0" borderId="16" xfId="10" applyFont="1" applyBorder="1" applyAlignment="1">
      <alignment horizontal="center" vertical="center"/>
    </xf>
    <xf numFmtId="0" fontId="184" fillId="18" borderId="29" xfId="10" applyFont="1" applyFill="1" applyBorder="1" applyAlignment="1">
      <alignment horizontal="center" vertical="center"/>
    </xf>
    <xf numFmtId="0" fontId="184" fillId="18" borderId="102" xfId="10" applyFont="1" applyFill="1" applyBorder="1" applyAlignment="1">
      <alignment horizontal="center" vertical="center"/>
    </xf>
    <xf numFmtId="0" fontId="184" fillId="18" borderId="103" xfId="10" applyFont="1" applyFill="1" applyBorder="1" applyAlignment="1">
      <alignment horizontal="center" vertical="center"/>
    </xf>
    <xf numFmtId="0" fontId="184" fillId="18" borderId="111" xfId="10" applyFont="1" applyFill="1" applyBorder="1" applyAlignment="1">
      <alignment horizontal="center" vertical="center"/>
    </xf>
    <xf numFmtId="0" fontId="25" fillId="0" borderId="121" xfId="10" applyBorder="1" applyAlignment="1">
      <alignment horizontal="center" shrinkToFit="1"/>
    </xf>
    <xf numFmtId="0" fontId="25" fillId="0" borderId="122" xfId="10" applyBorder="1" applyAlignment="1">
      <alignment horizontal="center" shrinkToFit="1"/>
    </xf>
    <xf numFmtId="0" fontId="162" fillId="15" borderId="22" xfId="10" applyFont="1" applyFill="1" applyBorder="1" applyAlignment="1">
      <alignment horizontal="center" vertical="center"/>
    </xf>
    <xf numFmtId="0" fontId="25" fillId="15" borderId="24" xfId="10" applyFill="1" applyBorder="1"/>
    <xf numFmtId="0" fontId="25" fillId="15" borderId="23" xfId="10" applyFill="1" applyBorder="1"/>
    <xf numFmtId="0" fontId="25" fillId="15" borderId="20" xfId="10" applyFill="1" applyBorder="1"/>
    <xf numFmtId="0" fontId="25" fillId="15" borderId="0" xfId="10" applyFill="1"/>
    <xf numFmtId="0" fontId="25" fillId="15" borderId="16" xfId="10" applyFill="1" applyBorder="1"/>
    <xf numFmtId="0" fontId="25" fillId="15" borderId="19" xfId="10" applyFill="1" applyBorder="1"/>
    <xf numFmtId="0" fontId="25" fillId="15" borderId="17" xfId="10" applyFill="1" applyBorder="1"/>
    <xf numFmtId="0" fontId="25" fillId="15" borderId="18" xfId="10" applyFill="1" applyBorder="1"/>
    <xf numFmtId="0" fontId="184" fillId="13" borderId="237" xfId="10" applyFont="1" applyFill="1" applyBorder="1" applyAlignment="1">
      <alignment horizontal="center" vertical="center"/>
    </xf>
    <xf numFmtId="0" fontId="184" fillId="13" borderId="24" xfId="10" applyFont="1" applyFill="1" applyBorder="1" applyAlignment="1">
      <alignment horizontal="center" vertical="center"/>
    </xf>
    <xf numFmtId="0" fontId="184" fillId="13" borderId="386" xfId="10" applyFont="1" applyFill="1" applyBorder="1" applyAlignment="1">
      <alignment horizontal="center" vertical="center"/>
    </xf>
    <xf numFmtId="0" fontId="184" fillId="13" borderId="103" xfId="10" applyFont="1" applyFill="1" applyBorder="1" applyAlignment="1">
      <alignment horizontal="center" vertical="center"/>
    </xf>
    <xf numFmtId="0" fontId="184" fillId="13" borderId="111" xfId="10" applyFont="1" applyFill="1" applyBorder="1" applyAlignment="1">
      <alignment horizontal="center" vertical="center"/>
    </xf>
    <xf numFmtId="0" fontId="193" fillId="18" borderId="0" xfId="10" applyFont="1" applyFill="1" applyAlignment="1">
      <alignment horizontal="center" vertical="center"/>
    </xf>
    <xf numFmtId="0" fontId="49" fillId="0" borderId="0" xfId="10" applyFont="1" applyAlignment="1">
      <alignment horizontal="center" vertical="center"/>
    </xf>
    <xf numFmtId="0" fontId="49" fillId="0" borderId="17" xfId="10" applyFont="1" applyBorder="1" applyAlignment="1">
      <alignment horizontal="center" vertical="center"/>
    </xf>
    <xf numFmtId="0" fontId="27" fillId="76" borderId="25" xfId="10" applyFont="1" applyFill="1" applyBorder="1" applyAlignment="1">
      <alignment horizontal="left" wrapText="1"/>
    </xf>
    <xf numFmtId="0" fontId="25" fillId="0" borderId="25" xfId="10" applyBorder="1" applyAlignment="1">
      <alignment horizontal="left" wrapText="1"/>
    </xf>
    <xf numFmtId="0" fontId="25" fillId="0" borderId="25" xfId="10" applyBorder="1"/>
    <xf numFmtId="0" fontId="27" fillId="15" borderId="22" xfId="10" applyFont="1" applyFill="1" applyBorder="1" applyAlignment="1">
      <alignment horizontal="left" wrapText="1"/>
    </xf>
    <xf numFmtId="0" fontId="25" fillId="0" borderId="24" xfId="10" applyBorder="1" applyAlignment="1">
      <alignment horizontal="left" wrapText="1"/>
    </xf>
    <xf numFmtId="0" fontId="25" fillId="0" borderId="23" xfId="10" applyBorder="1" applyAlignment="1">
      <alignment horizontal="left" wrapText="1"/>
    </xf>
    <xf numFmtId="0" fontId="25" fillId="0" borderId="19" xfId="10" applyBorder="1" applyAlignment="1">
      <alignment horizontal="left" wrapText="1"/>
    </xf>
    <xf numFmtId="0" fontId="25" fillId="0" borderId="17" xfId="10" applyBorder="1" applyAlignment="1">
      <alignment horizontal="left" wrapText="1"/>
    </xf>
    <xf numFmtId="0" fontId="25" fillId="0" borderId="18" xfId="10" applyBorder="1" applyAlignment="1">
      <alignment horizontal="left" wrapText="1"/>
    </xf>
    <xf numFmtId="0" fontId="188" fillId="13" borderId="101" xfId="10" applyFont="1" applyFill="1" applyBorder="1" applyAlignment="1">
      <alignment horizontal="center" vertical="center"/>
    </xf>
    <xf numFmtId="0" fontId="163" fillId="0" borderId="29" xfId="10" applyFont="1" applyBorder="1" applyAlignment="1">
      <alignment horizontal="center"/>
    </xf>
    <xf numFmtId="0" fontId="163" fillId="0" borderId="102" xfId="10" applyFont="1" applyBorder="1" applyAlignment="1">
      <alignment horizontal="center"/>
    </xf>
    <xf numFmtId="0" fontId="163" fillId="0" borderId="103" xfId="10" applyFont="1" applyBorder="1" applyAlignment="1">
      <alignment horizontal="center"/>
    </xf>
    <xf numFmtId="0" fontId="163" fillId="0" borderId="0" xfId="10" applyFont="1" applyAlignment="1">
      <alignment horizontal="center"/>
    </xf>
    <xf numFmtId="0" fontId="163" fillId="0" borderId="111" xfId="10" applyFont="1" applyBorder="1" applyAlignment="1">
      <alignment horizontal="center"/>
    </xf>
    <xf numFmtId="0" fontId="184" fillId="13" borderId="101" xfId="10" applyFont="1" applyFill="1" applyBorder="1" applyAlignment="1">
      <alignment horizontal="center" vertical="center"/>
    </xf>
    <xf numFmtId="0" fontId="184" fillId="13" borderId="29" xfId="10" applyFont="1" applyFill="1" applyBorder="1" applyAlignment="1">
      <alignment horizontal="center" vertical="center"/>
    </xf>
    <xf numFmtId="0" fontId="184" fillId="13" borderId="102" xfId="10" applyFont="1" applyFill="1" applyBorder="1" applyAlignment="1">
      <alignment horizontal="center" vertical="center"/>
    </xf>
    <xf numFmtId="0" fontId="27" fillId="76" borderId="22" xfId="10" applyFont="1" applyFill="1" applyBorder="1" applyAlignment="1">
      <alignment horizontal="left" wrapText="1"/>
    </xf>
    <xf numFmtId="0" fontId="188" fillId="13" borderId="22" xfId="10" applyFont="1" applyFill="1" applyBorder="1" applyAlignment="1">
      <alignment horizontal="center" vertical="center"/>
    </xf>
    <xf numFmtId="0" fontId="163" fillId="13" borderId="24" xfId="10" applyFont="1" applyFill="1" applyBorder="1" applyAlignment="1">
      <alignment horizontal="center" vertical="center"/>
    </xf>
    <xf numFmtId="0" fontId="163" fillId="13" borderId="23" xfId="10" applyFont="1" applyFill="1" applyBorder="1" applyAlignment="1">
      <alignment horizontal="center" vertical="center"/>
    </xf>
    <xf numFmtId="0" fontId="163" fillId="13" borderId="20" xfId="10" applyFont="1" applyFill="1" applyBorder="1" applyAlignment="1">
      <alignment horizontal="center" vertical="center"/>
    </xf>
    <xf numFmtId="0" fontId="163" fillId="13" borderId="0" xfId="10" applyFont="1" applyFill="1" applyAlignment="1">
      <alignment horizontal="center" vertical="center"/>
    </xf>
    <xf numFmtId="0" fontId="163" fillId="13" borderId="16" xfId="10" applyFont="1" applyFill="1" applyBorder="1" applyAlignment="1">
      <alignment horizontal="center" vertical="center"/>
    </xf>
    <xf numFmtId="0" fontId="162" fillId="76" borderId="22" xfId="10" applyFont="1" applyFill="1" applyBorder="1" applyAlignment="1">
      <alignment horizontal="left" vertical="top" wrapText="1"/>
    </xf>
    <xf numFmtId="0" fontId="194" fillId="0" borderId="0" xfId="10" applyFont="1" applyAlignment="1">
      <alignment horizontal="center" vertical="center"/>
    </xf>
    <xf numFmtId="0" fontId="194" fillId="0" borderId="17" xfId="10" applyFont="1" applyBorder="1" applyAlignment="1">
      <alignment horizontal="center" vertical="center"/>
    </xf>
    <xf numFmtId="0" fontId="185" fillId="56" borderId="22" xfId="10" applyFont="1" applyFill="1" applyBorder="1" applyAlignment="1">
      <alignment vertical="center" shrinkToFit="1"/>
    </xf>
    <xf numFmtId="0" fontId="25" fillId="0" borderId="23" xfId="10" applyBorder="1" applyAlignment="1">
      <alignment vertical="center" shrinkToFit="1"/>
    </xf>
    <xf numFmtId="0" fontId="25" fillId="0" borderId="18" xfId="10" applyBorder="1" applyAlignment="1">
      <alignment vertical="center" shrinkToFit="1"/>
    </xf>
    <xf numFmtId="0" fontId="25" fillId="64" borderId="20" xfId="10" applyFill="1" applyBorder="1" applyAlignment="1">
      <alignment horizontal="center" vertical="center"/>
    </xf>
    <xf numFmtId="0" fontId="25" fillId="0" borderId="0" xfId="10"/>
    <xf numFmtId="0" fontId="25" fillId="0" borderId="20" xfId="10" applyBorder="1"/>
    <xf numFmtId="0" fontId="25" fillId="0" borderId="19" xfId="10" applyBorder="1"/>
    <xf numFmtId="0" fontId="25" fillId="0" borderId="17" xfId="10" applyBorder="1"/>
    <xf numFmtId="0" fontId="184" fillId="13" borderId="20" xfId="10" applyFont="1" applyFill="1" applyBorder="1" applyAlignment="1">
      <alignment horizontal="center" vertical="center"/>
    </xf>
    <xf numFmtId="0" fontId="25" fillId="13" borderId="20" xfId="10" applyFill="1" applyBorder="1" applyAlignment="1">
      <alignment horizontal="center" vertical="center"/>
    </xf>
    <xf numFmtId="0" fontId="185" fillId="65" borderId="22" xfId="10" applyFont="1" applyFill="1" applyBorder="1" applyAlignment="1">
      <alignment horizontal="center" vertical="center"/>
    </xf>
    <xf numFmtId="1" fontId="189" fillId="64" borderId="22" xfId="10" applyNumberFormat="1" applyFont="1" applyFill="1" applyBorder="1" applyAlignment="1">
      <alignment horizontal="center" vertical="center"/>
    </xf>
    <xf numFmtId="0" fontId="25" fillId="0" borderId="25" xfId="10" applyBorder="1" applyAlignment="1">
      <alignment wrapText="1"/>
    </xf>
    <xf numFmtId="0" fontId="162" fillId="76" borderId="22" xfId="10" applyFont="1" applyFill="1" applyBorder="1" applyAlignment="1">
      <alignment horizontal="center" vertical="center" wrapText="1"/>
    </xf>
    <xf numFmtId="0" fontId="185" fillId="15" borderId="20" xfId="10" applyFont="1" applyFill="1" applyBorder="1" applyAlignment="1">
      <alignment horizontal="center" vertical="center" wrapText="1"/>
    </xf>
    <xf numFmtId="179" fontId="185" fillId="82" borderId="21" xfId="10" applyNumberFormat="1" applyFont="1" applyFill="1" applyBorder="1" applyAlignment="1">
      <alignment horizontal="center" vertical="center"/>
    </xf>
    <xf numFmtId="179" fontId="185" fillId="82" borderId="26" xfId="10" applyNumberFormat="1" applyFont="1" applyFill="1" applyBorder="1" applyAlignment="1">
      <alignment horizontal="center" vertical="center"/>
    </xf>
    <xf numFmtId="179" fontId="185" fillId="82" borderId="27" xfId="10" applyNumberFormat="1" applyFont="1" applyFill="1" applyBorder="1" applyAlignment="1">
      <alignment horizontal="center" vertical="center"/>
    </xf>
    <xf numFmtId="0" fontId="185" fillId="82" borderId="24" xfId="10" applyFont="1" applyFill="1" applyBorder="1" applyAlignment="1">
      <alignment vertical="center"/>
    </xf>
    <xf numFmtId="0" fontId="185" fillId="82" borderId="23" xfId="10" applyFont="1" applyFill="1" applyBorder="1" applyAlignment="1">
      <alignment vertical="center"/>
    </xf>
    <xf numFmtId="0" fontId="185" fillId="82" borderId="17" xfId="10" applyFont="1" applyFill="1" applyBorder="1" applyAlignment="1">
      <alignment vertical="center"/>
    </xf>
    <xf numFmtId="0" fontId="185" fillId="82" borderId="18" xfId="10" applyFont="1" applyFill="1" applyBorder="1" applyAlignment="1">
      <alignment vertical="center"/>
    </xf>
    <xf numFmtId="0" fontId="25" fillId="0" borderId="26" xfId="10" applyBorder="1" applyAlignment="1">
      <alignment horizontal="center" vertical="center"/>
    </xf>
    <xf numFmtId="0" fontId="25" fillId="0" borderId="27" xfId="10" applyBorder="1" applyAlignment="1">
      <alignment horizontal="center" vertical="center"/>
    </xf>
    <xf numFmtId="0" fontId="25" fillId="0" borderId="21" xfId="10" applyBorder="1" applyAlignment="1">
      <alignment horizontal="center" vertical="center"/>
    </xf>
    <xf numFmtId="0" fontId="25" fillId="0" borderId="24" xfId="10" applyBorder="1"/>
    <xf numFmtId="12" fontId="162" fillId="70" borderId="22" xfId="10" applyNumberFormat="1" applyFont="1" applyFill="1" applyBorder="1" applyAlignment="1">
      <alignment horizontal="center" vertical="center"/>
    </xf>
    <xf numFmtId="0" fontId="162" fillId="70" borderId="22" xfId="10" applyFont="1" applyFill="1" applyBorder="1" applyAlignment="1">
      <alignment horizontal="center" vertical="center" shrinkToFit="1"/>
    </xf>
    <xf numFmtId="0" fontId="162" fillId="70" borderId="15" xfId="10" applyFont="1" applyFill="1" applyBorder="1" applyAlignment="1">
      <alignment horizontal="center" vertical="center"/>
    </xf>
    <xf numFmtId="0" fontId="162" fillId="70" borderId="93" xfId="10" applyFont="1" applyFill="1" applyBorder="1" applyAlignment="1">
      <alignment horizontal="center" vertical="center"/>
    </xf>
    <xf numFmtId="0" fontId="27" fillId="82" borderId="22" xfId="10" applyFont="1" applyFill="1" applyBorder="1" applyAlignment="1">
      <alignment horizontal="left" vertical="center" wrapText="1"/>
    </xf>
    <xf numFmtId="0" fontId="25" fillId="0" borderId="24" xfId="10" applyBorder="1" applyAlignment="1">
      <alignment horizontal="left" vertical="center" wrapText="1"/>
    </xf>
    <xf numFmtId="0" fontId="25" fillId="0" borderId="23" xfId="10" applyBorder="1" applyAlignment="1">
      <alignment horizontal="left" vertical="center" wrapText="1"/>
    </xf>
    <xf numFmtId="0" fontId="25" fillId="0" borderId="19" xfId="10" applyBorder="1" applyAlignment="1">
      <alignment horizontal="left" vertical="center" wrapText="1"/>
    </xf>
    <xf numFmtId="0" fontId="25" fillId="0" borderId="17" xfId="10" applyBorder="1" applyAlignment="1">
      <alignment horizontal="left" vertical="center" wrapText="1"/>
    </xf>
    <xf numFmtId="0" fontId="25" fillId="0" borderId="18" xfId="10" applyBorder="1" applyAlignment="1">
      <alignment horizontal="left" vertical="center" wrapText="1"/>
    </xf>
    <xf numFmtId="179" fontId="185" fillId="70" borderId="15" xfId="10" applyNumberFormat="1" applyFont="1" applyFill="1" applyBorder="1" applyAlignment="1">
      <alignment horizontal="center" vertical="center"/>
    </xf>
    <xf numFmtId="0" fontId="161" fillId="85" borderId="22" xfId="10" applyFont="1" applyFill="1" applyBorder="1" applyAlignment="1">
      <alignment horizontal="center" vertical="center"/>
    </xf>
    <xf numFmtId="0" fontId="161" fillId="85" borderId="92" xfId="10" applyFont="1" applyFill="1" applyBorder="1" applyAlignment="1">
      <alignment horizontal="center" vertical="center"/>
    </xf>
    <xf numFmtId="0" fontId="162" fillId="0" borderId="92" xfId="10" applyFont="1" applyBorder="1" applyAlignment="1">
      <alignment horizontal="center" vertical="center"/>
    </xf>
    <xf numFmtId="0" fontId="162" fillId="0" borderId="93" xfId="10" applyFont="1" applyBorder="1" applyAlignment="1">
      <alignment horizontal="center" vertical="center"/>
    </xf>
    <xf numFmtId="0" fontId="25" fillId="13" borderId="24" xfId="10" applyFill="1" applyBorder="1" applyAlignment="1">
      <alignment horizontal="center" vertical="center"/>
    </xf>
    <xf numFmtId="0" fontId="25" fillId="13" borderId="23" xfId="10" applyFill="1" applyBorder="1" applyAlignment="1">
      <alignment horizontal="center" vertical="center"/>
    </xf>
    <xf numFmtId="0" fontId="25" fillId="13" borderId="16" xfId="10" applyFill="1" applyBorder="1" applyAlignment="1">
      <alignment horizontal="center" vertical="center"/>
    </xf>
    <xf numFmtId="179" fontId="191" fillId="85" borderId="92" xfId="10" applyNumberFormat="1" applyFont="1" applyFill="1" applyBorder="1" applyAlignment="1">
      <alignment horizontal="center" vertical="center"/>
    </xf>
    <xf numFmtId="0" fontId="161" fillId="85" borderId="93" xfId="10" applyFont="1" applyFill="1" applyBorder="1" applyAlignment="1">
      <alignment horizontal="center" vertical="center"/>
    </xf>
    <xf numFmtId="12" fontId="161" fillId="85" borderId="22" xfId="10" applyNumberFormat="1" applyFont="1" applyFill="1" applyBorder="1" applyAlignment="1">
      <alignment horizontal="center" vertical="center"/>
    </xf>
    <xf numFmtId="0" fontId="184" fillId="84" borderId="22" xfId="10" applyFont="1" applyFill="1" applyBorder="1" applyAlignment="1">
      <alignment horizontal="center" vertical="center"/>
    </xf>
    <xf numFmtId="0" fontId="190" fillId="82" borderId="20" xfId="10" applyFont="1" applyFill="1" applyBorder="1" applyAlignment="1">
      <alignment horizontal="center" vertical="center"/>
    </xf>
    <xf numFmtId="179" fontId="185" fillId="82" borderId="20" xfId="10" applyNumberFormat="1" applyFont="1" applyFill="1" applyBorder="1" applyAlignment="1">
      <alignment horizontal="center" vertical="center"/>
    </xf>
    <xf numFmtId="0" fontId="185" fillId="82" borderId="20" xfId="10" applyFont="1" applyFill="1" applyBorder="1" applyAlignment="1">
      <alignment horizontal="center" vertical="center"/>
    </xf>
    <xf numFmtId="0" fontId="162" fillId="70" borderId="20" xfId="10" applyFont="1" applyFill="1" applyBorder="1" applyAlignment="1">
      <alignment horizontal="center" vertical="center"/>
    </xf>
    <xf numFmtId="0" fontId="27" fillId="70" borderId="20" xfId="10" applyFont="1" applyFill="1" applyBorder="1" applyAlignment="1">
      <alignment horizontal="center" vertical="center"/>
    </xf>
    <xf numFmtId="179" fontId="185" fillId="56" borderId="22" xfId="10" applyNumberFormat="1" applyFont="1" applyFill="1" applyBorder="1" applyAlignment="1">
      <alignment horizontal="center" vertical="center"/>
    </xf>
    <xf numFmtId="179" fontId="185" fillId="56" borderId="24" xfId="10" applyNumberFormat="1" applyFont="1" applyFill="1" applyBorder="1" applyAlignment="1">
      <alignment horizontal="center" vertical="center"/>
    </xf>
    <xf numFmtId="179" fontId="185" fillId="56" borderId="23" xfId="10" applyNumberFormat="1" applyFont="1" applyFill="1" applyBorder="1" applyAlignment="1">
      <alignment horizontal="center" vertical="center"/>
    </xf>
    <xf numFmtId="179" fontId="185" fillId="56" borderId="19" xfId="10" applyNumberFormat="1" applyFont="1" applyFill="1" applyBorder="1" applyAlignment="1">
      <alignment horizontal="center" vertical="center"/>
    </xf>
    <xf numFmtId="179" fontId="185" fillId="56" borderId="17" xfId="10" applyNumberFormat="1" applyFont="1" applyFill="1" applyBorder="1" applyAlignment="1">
      <alignment horizontal="center" vertical="center"/>
    </xf>
    <xf numFmtId="179" fontId="185" fillId="56" borderId="18" xfId="10" applyNumberFormat="1" applyFont="1" applyFill="1" applyBorder="1" applyAlignment="1">
      <alignment horizontal="center" vertical="center"/>
    </xf>
    <xf numFmtId="0" fontId="184" fillId="18" borderId="20" xfId="10" applyFont="1" applyFill="1" applyBorder="1" applyAlignment="1">
      <alignment horizontal="center" vertical="center" shrinkToFit="1"/>
    </xf>
    <xf numFmtId="0" fontId="184" fillId="18" borderId="0" xfId="10" applyFont="1" applyFill="1" applyAlignment="1">
      <alignment horizontal="center" vertical="center" shrinkToFit="1"/>
    </xf>
    <xf numFmtId="0" fontId="188" fillId="18" borderId="22" xfId="10" applyFont="1" applyFill="1" applyBorder="1" applyAlignment="1">
      <alignment horizontal="center" vertical="center"/>
    </xf>
    <xf numFmtId="0" fontId="184" fillId="18" borderId="382" xfId="10" applyFont="1" applyFill="1" applyBorder="1" applyAlignment="1">
      <alignment horizontal="center" vertical="center"/>
    </xf>
    <xf numFmtId="0" fontId="25" fillId="0" borderId="383" xfId="10" applyBorder="1" applyAlignment="1">
      <alignment horizontal="center" vertical="center"/>
    </xf>
    <xf numFmtId="0" fontId="25" fillId="0" borderId="384" xfId="10" applyBorder="1" applyAlignment="1">
      <alignment horizontal="center" vertical="center"/>
    </xf>
    <xf numFmtId="0" fontId="25" fillId="0" borderId="385" xfId="10" applyBorder="1" applyAlignment="1">
      <alignment horizontal="center" vertical="center"/>
    </xf>
    <xf numFmtId="0" fontId="184" fillId="18" borderId="24" xfId="10" applyFont="1" applyFill="1" applyBorder="1" applyAlignment="1">
      <alignment horizontal="center" vertical="center"/>
    </xf>
    <xf numFmtId="0" fontId="184" fillId="13" borderId="25" xfId="10" applyFont="1" applyFill="1" applyBorder="1" applyAlignment="1">
      <alignment horizontal="center" vertical="center"/>
    </xf>
    <xf numFmtId="0" fontId="25" fillId="0" borderId="25" xfId="10" applyBorder="1" applyAlignment="1">
      <alignment vertical="center"/>
    </xf>
    <xf numFmtId="0" fontId="185" fillId="70" borderId="22" xfId="10" applyFont="1" applyFill="1" applyBorder="1" applyAlignment="1">
      <alignment horizontal="center" vertical="center"/>
    </xf>
    <xf numFmtId="0" fontId="186" fillId="70" borderId="22" xfId="10" applyFont="1" applyFill="1" applyBorder="1" applyAlignment="1">
      <alignment horizontal="center" vertical="center" wrapText="1"/>
    </xf>
    <xf numFmtId="0" fontId="185" fillId="70" borderId="25" xfId="10" applyFont="1" applyFill="1" applyBorder="1" applyAlignment="1">
      <alignment horizontal="center" vertical="center" wrapText="1"/>
    </xf>
    <xf numFmtId="0" fontId="25" fillId="0" borderId="25" xfId="10" applyBorder="1" applyAlignment="1">
      <alignment horizontal="center" vertical="center" wrapText="1"/>
    </xf>
    <xf numFmtId="0" fontId="185" fillId="70" borderId="22" xfId="10" applyFont="1" applyFill="1" applyBorder="1" applyAlignment="1">
      <alignment horizontal="center" vertical="center" wrapText="1"/>
    </xf>
    <xf numFmtId="0" fontId="162" fillId="81" borderId="20" xfId="10" applyFont="1" applyFill="1" applyBorder="1" applyAlignment="1">
      <alignment horizontal="center" vertical="center" wrapText="1"/>
    </xf>
    <xf numFmtId="0" fontId="25" fillId="81" borderId="0" xfId="10" applyFill="1" applyAlignment="1">
      <alignment horizontal="center" vertical="center" wrapText="1"/>
    </xf>
    <xf numFmtId="0" fontId="25" fillId="81" borderId="16" xfId="10" applyFill="1" applyBorder="1" applyAlignment="1">
      <alignment horizontal="center" vertical="center" wrapText="1"/>
    </xf>
    <xf numFmtId="0" fontId="25" fillId="81" borderId="20" xfId="10" applyFill="1" applyBorder="1" applyAlignment="1">
      <alignment horizontal="center" vertical="center" wrapText="1"/>
    </xf>
    <xf numFmtId="0" fontId="25" fillId="81" borderId="19" xfId="10" applyFill="1" applyBorder="1" applyAlignment="1">
      <alignment horizontal="center" vertical="center" wrapText="1"/>
    </xf>
    <xf numFmtId="0" fontId="25" fillId="81" borderId="17" xfId="10" applyFill="1" applyBorder="1" applyAlignment="1">
      <alignment horizontal="center" vertical="center" wrapText="1"/>
    </xf>
    <xf numFmtId="0" fontId="25" fillId="81" borderId="18" xfId="10" applyFill="1" applyBorder="1" applyAlignment="1">
      <alignment horizontal="center" vertical="center" wrapText="1"/>
    </xf>
    <xf numFmtId="0" fontId="186" fillId="81" borderId="22" xfId="10" applyFont="1" applyFill="1" applyBorder="1" applyAlignment="1">
      <alignment horizontal="center" vertical="center" wrapText="1"/>
    </xf>
    <xf numFmtId="0" fontId="25" fillId="81" borderId="24" xfId="10" applyFill="1" applyBorder="1" applyAlignment="1">
      <alignment horizontal="center" vertical="center" wrapText="1"/>
    </xf>
    <xf numFmtId="0" fontId="25" fillId="81" borderId="23" xfId="10" applyFill="1" applyBorder="1" applyAlignment="1">
      <alignment horizontal="center" vertical="center" wrapText="1"/>
    </xf>
    <xf numFmtId="0" fontId="162" fillId="15" borderId="25" xfId="10" applyFont="1" applyFill="1" applyBorder="1" applyAlignment="1">
      <alignment horizontal="left" vertical="top" wrapText="1"/>
    </xf>
    <xf numFmtId="0" fontId="25" fillId="0" borderId="25" xfId="10" applyBorder="1" applyAlignment="1">
      <alignment horizontal="left" vertical="top" wrapText="1"/>
    </xf>
    <xf numFmtId="0" fontId="184" fillId="18" borderId="20" xfId="10" applyFont="1" applyFill="1" applyBorder="1" applyAlignment="1">
      <alignment horizontal="center" vertical="center"/>
    </xf>
    <xf numFmtId="0" fontId="163" fillId="0" borderId="24" xfId="10" applyFont="1" applyBorder="1" applyAlignment="1">
      <alignment horizontal="center" vertical="center"/>
    </xf>
    <xf numFmtId="0" fontId="163" fillId="0" borderId="23" xfId="10" applyFont="1" applyBorder="1" applyAlignment="1">
      <alignment horizontal="center" vertical="center"/>
    </xf>
    <xf numFmtId="0" fontId="163" fillId="0" borderId="19" xfId="10" applyFont="1" applyBorder="1" applyAlignment="1">
      <alignment horizontal="center" vertical="center"/>
    </xf>
    <xf numFmtId="0" fontId="163" fillId="0" borderId="17" xfId="10" applyFont="1" applyBorder="1" applyAlignment="1">
      <alignment horizontal="center" vertical="center"/>
    </xf>
    <xf numFmtId="0" fontId="163" fillId="0" borderId="18" xfId="10" applyFont="1" applyBorder="1" applyAlignment="1">
      <alignment horizontal="center" vertical="center"/>
    </xf>
    <xf numFmtId="0" fontId="184" fillId="18" borderId="22" xfId="10" applyFont="1" applyFill="1" applyBorder="1" applyAlignment="1">
      <alignment horizontal="center" vertical="center" wrapText="1"/>
    </xf>
    <xf numFmtId="0" fontId="163" fillId="0" borderId="24" xfId="10" applyFont="1" applyBorder="1" applyAlignment="1">
      <alignment horizontal="center" vertical="center" wrapText="1"/>
    </xf>
    <xf numFmtId="0" fontId="163" fillId="0" borderId="23" xfId="10" applyFont="1" applyBorder="1" applyAlignment="1">
      <alignment horizontal="center" vertical="center" wrapText="1"/>
    </xf>
    <xf numFmtId="0" fontId="163" fillId="0" borderId="19" xfId="10" applyFont="1" applyBorder="1" applyAlignment="1">
      <alignment horizontal="center" vertical="center" wrapText="1"/>
    </xf>
    <xf numFmtId="0" fontId="163" fillId="0" borderId="17" xfId="10" applyFont="1" applyBorder="1" applyAlignment="1">
      <alignment horizontal="center" vertical="center" wrapText="1"/>
    </xf>
    <xf numFmtId="0" fontId="163" fillId="0" borderId="18" xfId="10" applyFont="1" applyBorder="1" applyAlignment="1">
      <alignment horizontal="center" vertical="center" wrapText="1"/>
    </xf>
    <xf numFmtId="1" fontId="184" fillId="13" borderId="24" xfId="10" applyNumberFormat="1" applyFont="1" applyFill="1" applyBorder="1" applyAlignment="1">
      <alignment horizontal="center" vertical="center"/>
    </xf>
    <xf numFmtId="1" fontId="184" fillId="13" borderId="23" xfId="10" applyNumberFormat="1" applyFont="1" applyFill="1" applyBorder="1" applyAlignment="1">
      <alignment horizontal="center" vertical="center"/>
    </xf>
    <xf numFmtId="1" fontId="184" fillId="13" borderId="20" xfId="10" applyNumberFormat="1" applyFont="1" applyFill="1" applyBorder="1" applyAlignment="1">
      <alignment horizontal="center" vertical="center"/>
    </xf>
    <xf numFmtId="1" fontId="184" fillId="13" borderId="0" xfId="10" applyNumberFormat="1" applyFont="1" applyFill="1" applyAlignment="1">
      <alignment horizontal="center" vertical="center"/>
    </xf>
    <xf numFmtId="1" fontId="184" fillId="13" borderId="16" xfId="10" applyNumberFormat="1" applyFont="1" applyFill="1" applyBorder="1" applyAlignment="1">
      <alignment horizontal="center" vertical="center"/>
    </xf>
    <xf numFmtId="0" fontId="184" fillId="18" borderId="25" xfId="10" applyFont="1" applyFill="1" applyBorder="1" applyAlignment="1">
      <alignment horizontal="center" vertical="center"/>
    </xf>
    <xf numFmtId="0" fontId="161" fillId="0" borderId="25" xfId="10" applyFont="1" applyBorder="1" applyAlignment="1">
      <alignment horizontal="center" vertical="center"/>
    </xf>
    <xf numFmtId="0" fontId="25" fillId="0" borderId="25" xfId="10" applyBorder="1" applyAlignment="1">
      <alignment horizontal="center" vertical="center"/>
    </xf>
    <xf numFmtId="0" fontId="185" fillId="70" borderId="25" xfId="10" applyFont="1" applyFill="1" applyBorder="1" applyAlignment="1">
      <alignment horizontal="center" vertical="center" wrapText="1" shrinkToFit="1"/>
    </xf>
    <xf numFmtId="179" fontId="185" fillId="15" borderId="25" xfId="10" applyNumberFormat="1" applyFont="1" applyFill="1" applyBorder="1" applyAlignment="1">
      <alignment horizontal="center" vertical="center" wrapText="1"/>
    </xf>
    <xf numFmtId="0" fontId="162" fillId="0" borderId="25" xfId="10" applyFont="1" applyBorder="1" applyAlignment="1">
      <alignment horizontal="center" vertical="center" wrapText="1"/>
    </xf>
    <xf numFmtId="0" fontId="185" fillId="81" borderId="22" xfId="10" applyFont="1" applyFill="1" applyBorder="1" applyAlignment="1">
      <alignment horizontal="center" vertical="center" wrapText="1"/>
    </xf>
    <xf numFmtId="0" fontId="163" fillId="0" borderId="25" xfId="10" applyFont="1" applyBorder="1" applyAlignment="1">
      <alignment horizontal="center" vertical="center"/>
    </xf>
    <xf numFmtId="0" fontId="25" fillId="54" borderId="98" xfId="10" applyFill="1" applyBorder="1" applyAlignment="1">
      <alignment horizontal="center" vertical="center"/>
    </xf>
    <xf numFmtId="0" fontId="25" fillId="54" borderId="99" xfId="10" applyFill="1" applyBorder="1" applyAlignment="1">
      <alignment horizontal="center" vertical="center"/>
    </xf>
    <xf numFmtId="0" fontId="25" fillId="54" borderId="100" xfId="10" applyFill="1" applyBorder="1" applyAlignment="1">
      <alignment horizontal="center" vertical="center"/>
    </xf>
    <xf numFmtId="0" fontId="25" fillId="45" borderId="22" xfId="10" applyFill="1" applyBorder="1" applyAlignment="1">
      <alignment horizontal="left" vertical="top"/>
    </xf>
    <xf numFmtId="0" fontId="25" fillId="45" borderId="24" xfId="10" applyFill="1" applyBorder="1" applyAlignment="1">
      <alignment horizontal="left" vertical="top"/>
    </xf>
    <xf numFmtId="0" fontId="25" fillId="45" borderId="23" xfId="10" applyFill="1" applyBorder="1" applyAlignment="1">
      <alignment horizontal="left" vertical="top"/>
    </xf>
    <xf numFmtId="0" fontId="49" fillId="10" borderId="215" xfId="10" applyFont="1" applyFill="1" applyBorder="1" applyAlignment="1">
      <alignment vertical="center" wrapText="1"/>
    </xf>
    <xf numFmtId="0" fontId="49" fillId="10" borderId="236" xfId="10" applyFont="1" applyFill="1" applyBorder="1" applyAlignment="1">
      <alignment vertical="center" wrapText="1"/>
    </xf>
    <xf numFmtId="0" fontId="25" fillId="75" borderId="22" xfId="10" applyFill="1" applyBorder="1" applyAlignment="1">
      <alignment horizontal="left" vertical="top" wrapText="1"/>
    </xf>
    <xf numFmtId="0" fontId="25" fillId="75" borderId="24" xfId="10" applyFill="1" applyBorder="1" applyAlignment="1">
      <alignment wrapText="1"/>
    </xf>
    <xf numFmtId="0" fontId="25" fillId="75" borderId="23" xfId="10" applyFill="1" applyBorder="1" applyAlignment="1">
      <alignment wrapText="1"/>
    </xf>
    <xf numFmtId="0" fontId="25" fillId="75" borderId="20" xfId="10" applyFill="1" applyBorder="1" applyAlignment="1">
      <alignment wrapText="1"/>
    </xf>
    <xf numFmtId="0" fontId="25" fillId="75" borderId="0" xfId="10" applyFill="1" applyAlignment="1">
      <alignment wrapText="1"/>
    </xf>
    <xf numFmtId="0" fontId="25" fillId="75" borderId="16" xfId="10" applyFill="1" applyBorder="1" applyAlignment="1">
      <alignment wrapText="1"/>
    </xf>
    <xf numFmtId="0" fontId="25" fillId="75" borderId="19" xfId="10" applyFill="1" applyBorder="1" applyAlignment="1">
      <alignment wrapText="1"/>
    </xf>
    <xf numFmtId="0" fontId="25" fillId="75" borderId="17" xfId="10" applyFill="1" applyBorder="1" applyAlignment="1">
      <alignment wrapText="1"/>
    </xf>
    <xf numFmtId="0" fontId="25" fillId="75" borderId="18" xfId="10" applyFill="1" applyBorder="1" applyAlignment="1">
      <alignment wrapText="1"/>
    </xf>
    <xf numFmtId="0" fontId="49" fillId="80" borderId="22" xfId="10" applyFont="1" applyFill="1" applyBorder="1" applyAlignment="1">
      <alignment horizontal="left" vertical="top" wrapText="1"/>
    </xf>
    <xf numFmtId="0" fontId="156" fillId="45" borderId="362" xfId="10" applyFont="1" applyFill="1" applyBorder="1" applyAlignment="1">
      <alignment horizontal="center"/>
    </xf>
    <xf numFmtId="0" fontId="49" fillId="46" borderId="101" xfId="10" applyFont="1" applyFill="1" applyBorder="1" applyAlignment="1">
      <alignment horizontal="left" vertical="top" wrapText="1"/>
    </xf>
    <xf numFmtId="0" fontId="25" fillId="46" borderId="29" xfId="10" applyFill="1" applyBorder="1" applyAlignment="1">
      <alignment horizontal="left" vertical="top" wrapText="1"/>
    </xf>
    <xf numFmtId="0" fontId="25" fillId="46" borderId="102" xfId="10" applyFill="1" applyBorder="1" applyAlignment="1">
      <alignment horizontal="left" vertical="top" wrapText="1"/>
    </xf>
    <xf numFmtId="0" fontId="25" fillId="46" borderId="103" xfId="10" applyFill="1" applyBorder="1" applyAlignment="1">
      <alignment horizontal="left" vertical="top" wrapText="1"/>
    </xf>
    <xf numFmtId="0" fontId="25" fillId="46" borderId="0" xfId="10" applyFill="1" applyAlignment="1">
      <alignment horizontal="left" vertical="top" wrapText="1"/>
    </xf>
    <xf numFmtId="0" fontId="25" fillId="46" borderId="111" xfId="10" applyFill="1" applyBorder="1" applyAlignment="1">
      <alignment horizontal="left" vertical="top" wrapText="1"/>
    </xf>
    <xf numFmtId="0" fontId="25" fillId="46" borderId="123" xfId="10" applyFill="1" applyBorder="1" applyAlignment="1">
      <alignment horizontal="left" vertical="top" wrapText="1"/>
    </xf>
    <xf numFmtId="0" fontId="25" fillId="46" borderId="191" xfId="10" applyFill="1" applyBorder="1" applyAlignment="1">
      <alignment horizontal="left" vertical="top" wrapText="1"/>
    </xf>
    <xf numFmtId="0" fontId="25" fillId="46" borderId="178" xfId="10" applyFill="1" applyBorder="1" applyAlignment="1">
      <alignment horizontal="left" vertical="top" wrapText="1"/>
    </xf>
    <xf numFmtId="0" fontId="49" fillId="61" borderId="153" xfId="10" applyFont="1" applyFill="1" applyBorder="1" applyAlignment="1">
      <alignment horizontal="left"/>
    </xf>
    <xf numFmtId="0" fontId="25" fillId="0" borderId="201" xfId="10" applyBorder="1"/>
    <xf numFmtId="0" fontId="49" fillId="61" borderId="165" xfId="10" applyFont="1" applyFill="1" applyBorder="1" applyAlignment="1">
      <alignment horizontal="left"/>
    </xf>
    <xf numFmtId="0" fontId="25" fillId="0" borderId="207" xfId="10" applyBorder="1"/>
    <xf numFmtId="0" fontId="231" fillId="21" borderId="446" xfId="4" applyAlignment="1">
      <alignment horizontal="center" vertical="center"/>
    </xf>
    <xf numFmtId="0" fontId="49" fillId="54" borderId="240" xfId="10" applyFont="1" applyFill="1" applyBorder="1" applyAlignment="1">
      <alignment horizontal="center" vertical="center"/>
    </xf>
    <xf numFmtId="0" fontId="25" fillId="54" borderId="236" xfId="10" applyFill="1" applyBorder="1" applyAlignment="1">
      <alignment horizontal="center" vertical="center"/>
    </xf>
    <xf numFmtId="0" fontId="49" fillId="54" borderId="215" xfId="10" applyFont="1" applyFill="1" applyBorder="1" applyAlignment="1">
      <alignment horizontal="center" vertical="center" wrapText="1"/>
    </xf>
    <xf numFmtId="0" fontId="25" fillId="54" borderId="236" xfId="10" applyFill="1" applyBorder="1" applyAlignment="1">
      <alignment horizontal="center" vertical="center" wrapText="1"/>
    </xf>
    <xf numFmtId="0" fontId="156" fillId="10" borderId="98" xfId="10" applyFont="1" applyFill="1" applyBorder="1" applyAlignment="1">
      <alignment horizontal="center"/>
    </xf>
    <xf numFmtId="0" fontId="25" fillId="0" borderId="99" xfId="10" applyBorder="1" applyAlignment="1">
      <alignment horizontal="center"/>
    </xf>
    <xf numFmtId="0" fontId="25" fillId="0" borderId="100" xfId="10" applyBorder="1" applyAlignment="1">
      <alignment horizontal="center"/>
    </xf>
    <xf numFmtId="0" fontId="49" fillId="46" borderId="103" xfId="10" applyFont="1" applyFill="1" applyBorder="1" applyAlignment="1">
      <alignment horizontal="left" vertical="top" wrapText="1"/>
    </xf>
    <xf numFmtId="0" fontId="156" fillId="10" borderId="98" xfId="10" applyFont="1" applyFill="1" applyBorder="1" applyAlignment="1">
      <alignment horizontal="center" vertical="center"/>
    </xf>
    <xf numFmtId="0" fontId="156" fillId="10" borderId="99" xfId="10" applyFont="1" applyFill="1" applyBorder="1" applyAlignment="1">
      <alignment horizontal="center" vertical="center"/>
    </xf>
    <xf numFmtId="0" fontId="156" fillId="10" borderId="100" xfId="10" applyFont="1" applyFill="1" applyBorder="1" applyAlignment="1">
      <alignment horizontal="center" vertical="center"/>
    </xf>
    <xf numFmtId="0" fontId="49" fillId="47" borderId="146" xfId="10" applyFont="1" applyFill="1" applyBorder="1" applyAlignment="1">
      <alignment horizontal="right" indent="1"/>
    </xf>
    <xf numFmtId="0" fontId="25" fillId="0" borderId="152" xfId="10" applyBorder="1" applyAlignment="1">
      <alignment horizontal="right" indent="1"/>
    </xf>
    <xf numFmtId="0" fontId="49" fillId="61" borderId="144" xfId="10" applyFont="1" applyFill="1" applyBorder="1" applyAlignment="1">
      <alignment horizontal="left"/>
    </xf>
    <xf numFmtId="0" fontId="25" fillId="0" borderId="110" xfId="10" applyBorder="1"/>
    <xf numFmtId="0" fontId="49" fillId="47" borderId="158" xfId="10" applyFont="1" applyFill="1" applyBorder="1" applyAlignment="1">
      <alignment horizontal="right" indent="1"/>
    </xf>
    <xf numFmtId="0" fontId="25" fillId="0" borderId="164" xfId="10" applyBorder="1" applyAlignment="1">
      <alignment horizontal="right" indent="1"/>
    </xf>
    <xf numFmtId="0" fontId="49" fillId="47" borderId="98" xfId="10" applyFont="1" applyFill="1" applyBorder="1" applyAlignment="1">
      <alignment horizontal="right" indent="1"/>
    </xf>
    <xf numFmtId="0" fontId="25" fillId="0" borderId="214" xfId="10" applyBorder="1" applyAlignment="1">
      <alignment horizontal="right" indent="1"/>
    </xf>
    <xf numFmtId="0" fontId="25" fillId="0" borderId="99" xfId="10" applyBorder="1" applyAlignment="1">
      <alignment horizontal="right" indent="1"/>
    </xf>
    <xf numFmtId="0" fontId="231" fillId="21" borderId="447" xfId="4" applyBorder="1" applyAlignment="1">
      <alignment horizontal="center" vertical="center"/>
    </xf>
    <xf numFmtId="0" fontId="231" fillId="21" borderId="0" xfId="4" applyBorder="1" applyAlignment="1">
      <alignment horizontal="center" vertical="center"/>
    </xf>
    <xf numFmtId="0" fontId="231" fillId="21" borderId="111" xfId="4" applyBorder="1" applyAlignment="1">
      <alignment horizontal="center" vertical="center"/>
    </xf>
    <xf numFmtId="0" fontId="156" fillId="0" borderId="0" xfId="10" applyFont="1" applyAlignment="1">
      <alignment horizontal="center" vertical="center"/>
    </xf>
    <xf numFmtId="0" fontId="163" fillId="0" borderId="0" xfId="10" applyFont="1" applyAlignment="1">
      <alignment horizontal="center" vertical="center"/>
    </xf>
    <xf numFmtId="0" fontId="49" fillId="47" borderId="135" xfId="10" applyFont="1" applyFill="1" applyBorder="1" applyAlignment="1">
      <alignment horizontal="right" indent="1"/>
    </xf>
    <xf numFmtId="0" fontId="25" fillId="0" borderId="143" xfId="10" applyBorder="1" applyAlignment="1">
      <alignment horizontal="right" indent="1"/>
    </xf>
    <xf numFmtId="0" fontId="49" fillId="10" borderId="30" xfId="10" applyFont="1" applyFill="1" applyBorder="1" applyAlignment="1">
      <alignment horizontal="center"/>
    </xf>
    <xf numFmtId="0" fontId="25" fillId="0" borderId="28" xfId="10" applyBorder="1" applyAlignment="1">
      <alignment horizontal="center"/>
    </xf>
    <xf numFmtId="0" fontId="49" fillId="46" borderId="191" xfId="10" applyFont="1" applyFill="1" applyBorder="1" applyAlignment="1">
      <alignment horizontal="center" vertical="center"/>
    </xf>
    <xf numFmtId="0" fontId="162" fillId="54" borderId="21" xfId="10" applyFont="1" applyFill="1" applyBorder="1" applyAlignment="1">
      <alignment horizontal="center" vertical="center"/>
    </xf>
    <xf numFmtId="0" fontId="25" fillId="54" borderId="27" xfId="10" applyFill="1" applyBorder="1" applyAlignment="1">
      <alignment horizontal="center" vertical="center"/>
    </xf>
    <xf numFmtId="0" fontId="163" fillId="54" borderId="98" xfId="10" applyFont="1" applyFill="1" applyBorder="1" applyAlignment="1">
      <alignment horizontal="center" vertical="center"/>
    </xf>
    <xf numFmtId="0" fontId="163" fillId="54" borderId="99" xfId="10" applyFont="1" applyFill="1" applyBorder="1" applyAlignment="1">
      <alignment horizontal="center" vertical="center"/>
    </xf>
    <xf numFmtId="0" fontId="163" fillId="54" borderId="100" xfId="10" applyFont="1" applyFill="1" applyBorder="1" applyAlignment="1">
      <alignment horizontal="center" vertical="center"/>
    </xf>
    <xf numFmtId="0" fontId="49" fillId="54" borderId="98" xfId="10" applyFont="1" applyFill="1" applyBorder="1" applyAlignment="1">
      <alignment horizontal="center" vertical="center"/>
    </xf>
    <xf numFmtId="0" fontId="25" fillId="0" borderId="99" xfId="10" applyBorder="1" applyAlignment="1">
      <alignment horizontal="center" vertical="center"/>
    </xf>
    <xf numFmtId="0" fontId="25" fillId="0" borderId="100" xfId="10" applyBorder="1" applyAlignment="1">
      <alignment horizontal="center" vertical="center"/>
    </xf>
    <xf numFmtId="0" fontId="49" fillId="54" borderId="99" xfId="10" applyFont="1" applyFill="1" applyBorder="1" applyAlignment="1">
      <alignment horizontal="center" vertical="center"/>
    </xf>
    <xf numFmtId="0" fontId="49" fillId="54" borderId="100" xfId="10" applyFont="1" applyFill="1" applyBorder="1" applyAlignment="1">
      <alignment horizontal="center" vertical="center"/>
    </xf>
    <xf numFmtId="0" fontId="49" fillId="0" borderId="0" xfId="10" applyFont="1" applyAlignment="1">
      <alignment vertical="center"/>
    </xf>
    <xf numFmtId="0" fontId="25" fillId="0" borderId="0" xfId="10" applyAlignment="1">
      <alignment vertical="center"/>
    </xf>
    <xf numFmtId="0" fontId="157" fillId="0" borderId="0" xfId="10" applyFont="1" applyAlignment="1">
      <alignment horizontal="left" vertical="center"/>
    </xf>
    <xf numFmtId="0" fontId="173" fillId="0" borderId="0" xfId="10" applyFont="1" applyAlignment="1">
      <alignment horizontal="left" vertical="center"/>
    </xf>
    <xf numFmtId="0" fontId="162" fillId="54" borderId="215" xfId="10" applyFont="1" applyFill="1" applyBorder="1" applyAlignment="1">
      <alignment horizontal="center" vertical="center" wrapText="1"/>
    </xf>
    <xf numFmtId="0" fontId="162" fillId="0" borderId="240" xfId="10" applyFont="1" applyBorder="1" applyAlignment="1">
      <alignment horizontal="center" vertical="center" wrapText="1"/>
    </xf>
    <xf numFmtId="0" fontId="25" fillId="0" borderId="240" xfId="10" applyBorder="1" applyAlignment="1">
      <alignment horizontal="center" vertical="center" wrapText="1"/>
    </xf>
    <xf numFmtId="0" fontId="25" fillId="0" borderId="236" xfId="10" applyBorder="1" applyAlignment="1">
      <alignment horizontal="center" vertical="center" wrapText="1"/>
    </xf>
    <xf numFmtId="0" fontId="49" fillId="72" borderId="148" xfId="10" applyFont="1" applyFill="1" applyBorder="1" applyAlignment="1">
      <alignment horizontal="center" vertical="center"/>
    </xf>
    <xf numFmtId="0" fontId="25" fillId="72" borderId="148" xfId="10" applyFill="1" applyBorder="1" applyAlignment="1">
      <alignment horizontal="center" vertical="center"/>
    </xf>
    <xf numFmtId="0" fontId="49" fillId="72" borderId="160" xfId="10" applyFont="1" applyFill="1" applyBorder="1" applyAlignment="1">
      <alignment horizontal="center" vertical="center"/>
    </xf>
    <xf numFmtId="0" fontId="25" fillId="72" borderId="160" xfId="10" applyFill="1" applyBorder="1" applyAlignment="1">
      <alignment horizontal="center" vertical="center"/>
    </xf>
    <xf numFmtId="0" fontId="160" fillId="54" borderId="101" xfId="10" applyFont="1" applyFill="1" applyBorder="1" applyAlignment="1">
      <alignment horizontal="center" vertical="center"/>
    </xf>
    <xf numFmtId="0" fontId="49" fillId="72" borderId="137" xfId="10" applyFont="1" applyFill="1" applyBorder="1" applyAlignment="1">
      <alignment horizontal="center" vertical="center"/>
    </xf>
    <xf numFmtId="0" fontId="25" fillId="72" borderId="137" xfId="10" applyFill="1" applyBorder="1" applyAlignment="1">
      <alignment horizontal="center" vertical="center"/>
    </xf>
    <xf numFmtId="0" fontId="49" fillId="67" borderId="148" xfId="10" applyFont="1" applyFill="1" applyBorder="1" applyAlignment="1">
      <alignment horizontal="center" vertical="center"/>
    </xf>
    <xf numFmtId="0" fontId="25" fillId="67" borderId="148" xfId="10" applyFill="1" applyBorder="1" applyAlignment="1">
      <alignment horizontal="center" vertical="center"/>
    </xf>
    <xf numFmtId="0" fontId="49" fillId="67" borderId="117" xfId="10" applyFont="1" applyFill="1" applyBorder="1" applyAlignment="1">
      <alignment horizontal="center" vertical="center"/>
    </xf>
    <xf numFmtId="0" fontId="25" fillId="67" borderId="117" xfId="10" applyFill="1" applyBorder="1" applyAlignment="1">
      <alignment horizontal="center" vertical="center"/>
    </xf>
    <xf numFmtId="0" fontId="49" fillId="67" borderId="137" xfId="10" applyFont="1" applyFill="1" applyBorder="1" applyAlignment="1">
      <alignment horizontal="center" vertical="center"/>
    </xf>
    <xf numFmtId="0" fontId="25" fillId="67" borderId="137" xfId="10" applyFill="1" applyBorder="1" applyAlignment="1">
      <alignment horizontal="center" vertical="center"/>
    </xf>
    <xf numFmtId="0" fontId="30" fillId="62" borderId="98" xfId="10" applyFont="1" applyFill="1" applyBorder="1" applyAlignment="1">
      <alignment horizontal="center" vertical="center"/>
    </xf>
    <xf numFmtId="0" fontId="30" fillId="62" borderId="99" xfId="10" applyFont="1" applyFill="1" applyBorder="1" applyAlignment="1">
      <alignment horizontal="center" vertical="center"/>
    </xf>
    <xf numFmtId="0" fontId="30" fillId="62" borderId="100" xfId="10" applyFont="1" applyFill="1" applyBorder="1" applyAlignment="1">
      <alignment horizontal="center" vertical="center"/>
    </xf>
    <xf numFmtId="0" fontId="161" fillId="54" borderId="98" xfId="10" applyFont="1" applyFill="1" applyBorder="1" applyAlignment="1">
      <alignment horizontal="center" vertical="center"/>
    </xf>
    <xf numFmtId="0" fontId="161" fillId="54" borderId="99" xfId="10" applyFont="1" applyFill="1" applyBorder="1" applyAlignment="1">
      <alignment horizontal="center" vertical="center"/>
    </xf>
    <xf numFmtId="0" fontId="161" fillId="54" borderId="100" xfId="10" applyFont="1" applyFill="1" applyBorder="1" applyAlignment="1">
      <alignment horizontal="center" vertical="center"/>
    </xf>
    <xf numFmtId="0" fontId="49" fillId="45" borderId="98" xfId="10" applyFont="1" applyFill="1" applyBorder="1" applyAlignment="1">
      <alignment horizontal="center" vertical="center"/>
    </xf>
    <xf numFmtId="0" fontId="156" fillId="10" borderId="98" xfId="10" applyFont="1" applyFill="1" applyBorder="1" applyAlignment="1">
      <alignment horizontal="center" vertical="center" wrapText="1"/>
    </xf>
    <xf numFmtId="0" fontId="25" fillId="0" borderId="99" xfId="10" applyBorder="1" applyAlignment="1">
      <alignment horizontal="center" vertical="center" wrapText="1"/>
    </xf>
    <xf numFmtId="0" fontId="25" fillId="0" borderId="100" xfId="10" applyBorder="1" applyAlignment="1">
      <alignment horizontal="center" vertical="center" wrapText="1"/>
    </xf>
    <xf numFmtId="0" fontId="171" fillId="45" borderId="177" xfId="10" applyFont="1" applyFill="1" applyBorder="1" applyAlignment="1">
      <alignment horizontal="center" vertical="center"/>
    </xf>
    <xf numFmtId="0" fontId="171" fillId="0" borderId="182" xfId="10" applyFont="1" applyBorder="1" applyAlignment="1">
      <alignment horizontal="center" vertical="center"/>
    </xf>
    <xf numFmtId="0" fontId="171" fillId="0" borderId="194" xfId="10" applyFont="1" applyBorder="1" applyAlignment="1">
      <alignment horizontal="center" vertical="center"/>
    </xf>
    <xf numFmtId="0" fontId="169" fillId="0" borderId="0" xfId="17" applyFill="1" applyBorder="1" applyAlignment="1" applyProtection="1">
      <alignment horizontal="left" vertical="center"/>
    </xf>
    <xf numFmtId="0" fontId="25" fillId="0" borderId="0" xfId="10" applyAlignment="1">
      <alignment horizontal="left" vertical="center"/>
    </xf>
    <xf numFmtId="0" fontId="49" fillId="10" borderId="305" xfId="10" applyFont="1" applyFill="1" applyBorder="1" applyAlignment="1">
      <alignment horizontal="center" vertical="center" wrapText="1"/>
    </xf>
    <xf numFmtId="0" fontId="25" fillId="0" borderId="311" xfId="10" applyBorder="1" applyAlignment="1">
      <alignment horizontal="center" vertical="center" wrapText="1"/>
    </xf>
    <xf numFmtId="0" fontId="49" fillId="10" borderId="167" xfId="10" applyFont="1" applyFill="1" applyBorder="1" applyAlignment="1">
      <alignment horizontal="center" vertical="center" wrapText="1"/>
    </xf>
    <xf numFmtId="0" fontId="49" fillId="10" borderId="173" xfId="10" applyFont="1" applyFill="1" applyBorder="1" applyAlignment="1">
      <alignment horizontal="center" vertical="center" wrapText="1"/>
    </xf>
    <xf numFmtId="0" fontId="49" fillId="10" borderId="309" xfId="10" applyFont="1" applyFill="1" applyBorder="1" applyAlignment="1">
      <alignment horizontal="center" vertical="center" wrapText="1"/>
    </xf>
    <xf numFmtId="0" fontId="25" fillId="0" borderId="310" xfId="10" applyBorder="1" applyAlignment="1">
      <alignment horizontal="center" vertical="center" wrapText="1"/>
    </xf>
    <xf numFmtId="0" fontId="162" fillId="45" borderId="101" xfId="10" applyFont="1" applyFill="1" applyBorder="1" applyAlignment="1">
      <alignment horizontal="center" vertical="center"/>
    </xf>
    <xf numFmtId="0" fontId="171" fillId="45" borderId="215" xfId="10" applyFont="1" applyFill="1" applyBorder="1" applyAlignment="1">
      <alignment horizontal="center" vertical="center"/>
    </xf>
    <xf numFmtId="0" fontId="171" fillId="45" borderId="240" xfId="10" applyFont="1" applyFill="1" applyBorder="1" applyAlignment="1">
      <alignment horizontal="center" vertical="center"/>
    </xf>
    <xf numFmtId="0" fontId="25" fillId="0" borderId="236" xfId="10" applyBorder="1" applyAlignment="1">
      <alignment horizontal="center" vertical="center"/>
    </xf>
    <xf numFmtId="0" fontId="49" fillId="69" borderId="146" xfId="10" applyFont="1" applyFill="1" applyBorder="1" applyAlignment="1">
      <alignment vertical="center"/>
    </xf>
    <xf numFmtId="0" fontId="25" fillId="0" borderId="261" xfId="10" applyBorder="1" applyAlignment="1">
      <alignment vertical="center"/>
    </xf>
    <xf numFmtId="0" fontId="49" fillId="69" borderId="158" xfId="10" applyFont="1" applyFill="1" applyBorder="1" applyAlignment="1">
      <alignment vertical="center"/>
    </xf>
    <xf numFmtId="0" fontId="25" fillId="0" borderId="239" xfId="10" applyBorder="1" applyAlignment="1">
      <alignment vertical="center"/>
    </xf>
    <xf numFmtId="0" fontId="49" fillId="8" borderId="101" xfId="10" applyFont="1" applyFill="1" applyBorder="1" applyAlignment="1">
      <alignment horizontal="center" vertical="center" wrapText="1"/>
    </xf>
    <xf numFmtId="0" fontId="25" fillId="8" borderId="29" xfId="10" applyFill="1" applyBorder="1" applyAlignment="1">
      <alignment horizontal="center" vertical="center" wrapText="1"/>
    </xf>
    <xf numFmtId="0" fontId="25" fillId="8" borderId="102" xfId="10" applyFill="1" applyBorder="1" applyAlignment="1">
      <alignment horizontal="center" vertical="center" wrapText="1"/>
    </xf>
    <xf numFmtId="0" fontId="25" fillId="8" borderId="123" xfId="10" applyFill="1" applyBorder="1" applyAlignment="1">
      <alignment horizontal="center" vertical="center" wrapText="1"/>
    </xf>
    <xf numFmtId="0" fontId="25" fillId="8" borderId="191" xfId="10" applyFill="1" applyBorder="1" applyAlignment="1">
      <alignment horizontal="center" vertical="center" wrapText="1"/>
    </xf>
    <xf numFmtId="0" fontId="25" fillId="8" borderId="178" xfId="10" applyFill="1" applyBorder="1" applyAlignment="1">
      <alignment horizontal="center" vertical="center" wrapText="1"/>
    </xf>
    <xf numFmtId="0" fontId="25" fillId="10" borderId="10" xfId="10" applyFill="1" applyBorder="1" applyAlignment="1">
      <alignment horizontal="center" vertical="center"/>
    </xf>
    <xf numFmtId="0" fontId="25" fillId="0" borderId="8" xfId="10" applyBorder="1" applyAlignment="1">
      <alignment horizontal="center" vertical="center"/>
    </xf>
    <xf numFmtId="0" fontId="25" fillId="0" borderId="9" xfId="10" applyBorder="1" applyAlignment="1">
      <alignment horizontal="center" vertical="center"/>
    </xf>
    <xf numFmtId="0" fontId="25" fillId="0" borderId="280" xfId="10" applyBorder="1" applyAlignment="1">
      <alignment horizontal="center" vertical="center"/>
    </xf>
    <xf numFmtId="0" fontId="25" fillId="0" borderId="281" xfId="10" applyBorder="1" applyAlignment="1">
      <alignment horizontal="center" vertical="center"/>
    </xf>
    <xf numFmtId="0" fontId="49" fillId="10" borderId="167" xfId="10" applyFont="1" applyFill="1" applyBorder="1" applyAlignment="1">
      <alignment horizontal="center" vertical="center"/>
    </xf>
    <xf numFmtId="0" fontId="49" fillId="10" borderId="173" xfId="10" applyFont="1" applyFill="1" applyBorder="1" applyAlignment="1">
      <alignment horizontal="center" vertical="center"/>
    </xf>
    <xf numFmtId="0" fontId="25" fillId="45" borderId="99" xfId="10" applyFill="1" applyBorder="1" applyAlignment="1">
      <alignment horizontal="center" vertical="center"/>
    </xf>
    <xf numFmtId="0" fontId="171" fillId="45" borderId="236" xfId="10" applyFont="1" applyFill="1" applyBorder="1" applyAlignment="1">
      <alignment horizontal="center" vertical="center"/>
    </xf>
    <xf numFmtId="0" fontId="49" fillId="69" borderId="135" xfId="10" applyFont="1" applyFill="1" applyBorder="1" applyAlignment="1">
      <alignment vertical="center"/>
    </xf>
    <xf numFmtId="0" fontId="25" fillId="0" borderId="109" xfId="10" applyBorder="1" applyAlignment="1">
      <alignment vertical="center"/>
    </xf>
    <xf numFmtId="0" fontId="25" fillId="45" borderId="101" xfId="10" applyFill="1" applyBorder="1" applyAlignment="1">
      <alignment horizontal="center" vertical="center"/>
    </xf>
    <xf numFmtId="0" fontId="49" fillId="10" borderId="329" xfId="10" applyFont="1" applyFill="1" applyBorder="1" applyAlignment="1">
      <alignment horizontal="center" vertical="center" wrapText="1"/>
    </xf>
    <xf numFmtId="0" fontId="25" fillId="0" borderId="330" xfId="10" applyBorder="1" applyAlignment="1">
      <alignment horizontal="center" vertical="center" wrapText="1"/>
    </xf>
    <xf numFmtId="0" fontId="25" fillId="10" borderId="332" xfId="10" applyFill="1" applyBorder="1" applyAlignment="1">
      <alignment horizontal="center" vertical="center"/>
    </xf>
    <xf numFmtId="0" fontId="25" fillId="0" borderId="306" xfId="10" applyBorder="1" applyAlignment="1">
      <alignment horizontal="center" vertical="center"/>
    </xf>
    <xf numFmtId="0" fontId="25" fillId="10" borderId="29" xfId="10" applyFill="1" applyBorder="1" applyAlignment="1">
      <alignment horizontal="center" vertical="center"/>
    </xf>
    <xf numFmtId="0" fontId="25" fillId="10" borderId="306" xfId="10" applyFill="1" applyBorder="1" applyAlignment="1">
      <alignment horizontal="center" vertical="center"/>
    </xf>
    <xf numFmtId="0" fontId="25" fillId="10" borderId="280" xfId="10" applyFill="1" applyBorder="1" applyAlignment="1">
      <alignment horizontal="center" vertical="center"/>
    </xf>
    <xf numFmtId="0" fontId="25" fillId="10" borderId="191" xfId="10" applyFill="1" applyBorder="1" applyAlignment="1">
      <alignment horizontal="center" vertical="center"/>
    </xf>
    <xf numFmtId="0" fontId="25" fillId="10" borderId="281" xfId="10" applyFill="1" applyBorder="1" applyAlignment="1">
      <alignment horizontal="center" vertical="center"/>
    </xf>
    <xf numFmtId="0" fontId="49" fillId="10" borderId="28" xfId="10" applyFont="1" applyFill="1" applyBorder="1" applyAlignment="1">
      <alignment horizontal="center" vertical="center" wrapText="1"/>
    </xf>
    <xf numFmtId="0" fontId="25" fillId="0" borderId="131" xfId="10" applyBorder="1" applyAlignment="1">
      <alignment horizontal="center" vertical="center" wrapText="1"/>
    </xf>
    <xf numFmtId="0" fontId="49" fillId="0" borderId="0" xfId="10" applyFont="1" applyAlignment="1">
      <alignment horizontal="center" vertical="center" wrapText="1"/>
    </xf>
    <xf numFmtId="0" fontId="49" fillId="10" borderId="309" xfId="10" applyFont="1" applyFill="1" applyBorder="1" applyAlignment="1">
      <alignment horizontal="center" vertical="center"/>
    </xf>
    <xf numFmtId="0" fontId="25" fillId="0" borderId="310" xfId="10" applyBorder="1" applyAlignment="1">
      <alignment horizontal="center" vertical="center"/>
    </xf>
    <xf numFmtId="0" fontId="49" fillId="10" borderId="0" xfId="10" applyFont="1" applyFill="1" applyAlignment="1">
      <alignment horizontal="center" vertical="center"/>
    </xf>
    <xf numFmtId="0" fontId="49" fillId="10" borderId="240" xfId="10" applyFont="1" applyFill="1" applyBorder="1" applyAlignment="1">
      <alignment horizontal="center" vertical="center"/>
    </xf>
    <xf numFmtId="0" fontId="49" fillId="10" borderId="215" xfId="10" applyFont="1" applyFill="1" applyBorder="1" applyAlignment="1">
      <alignment horizontal="center" vertical="center"/>
    </xf>
    <xf numFmtId="0" fontId="49" fillId="10" borderId="236" xfId="10" applyFont="1" applyFill="1" applyBorder="1" applyAlignment="1">
      <alignment horizontal="center" vertical="center"/>
    </xf>
    <xf numFmtId="0" fontId="49" fillId="10" borderId="204" xfId="10" applyFont="1" applyFill="1" applyBorder="1" applyAlignment="1">
      <alignment horizontal="center" vertical="center"/>
    </xf>
    <xf numFmtId="0" fontId="25" fillId="0" borderId="173" xfId="10" applyBorder="1" applyAlignment="1">
      <alignment horizontal="center" vertical="center"/>
    </xf>
    <xf numFmtId="0" fontId="49" fillId="10" borderId="192" xfId="10" applyFont="1" applyFill="1" applyBorder="1" applyAlignment="1">
      <alignment horizontal="center" vertical="center"/>
    </xf>
    <xf numFmtId="0" fontId="25" fillId="0" borderId="132" xfId="10" applyBorder="1" applyAlignment="1">
      <alignment horizontal="center" vertical="center"/>
    </xf>
    <xf numFmtId="0" fontId="49" fillId="10" borderId="180" xfId="10" applyFont="1" applyFill="1" applyBorder="1" applyAlignment="1">
      <alignment horizontal="center" vertical="center"/>
    </xf>
    <xf numFmtId="0" fontId="49" fillId="10" borderId="125" xfId="10" applyFont="1" applyFill="1" applyBorder="1" applyAlignment="1">
      <alignment horizontal="center" vertical="center"/>
    </xf>
    <xf numFmtId="0" fontId="49" fillId="10" borderId="15" xfId="10" applyFont="1" applyFill="1" applyBorder="1" applyAlignment="1">
      <alignment horizontal="center" vertical="center"/>
    </xf>
    <xf numFmtId="0" fontId="25" fillId="0" borderId="125" xfId="10" applyBorder="1" applyAlignment="1">
      <alignment horizontal="center" vertical="center"/>
    </xf>
    <xf numFmtId="0" fontId="25" fillId="10" borderId="324" xfId="10" applyFill="1" applyBorder="1" applyAlignment="1">
      <alignment horizontal="center" vertical="center"/>
    </xf>
    <xf numFmtId="0" fontId="25" fillId="0" borderId="325" xfId="10" applyBorder="1" applyAlignment="1">
      <alignment horizontal="center" vertical="center"/>
    </xf>
    <xf numFmtId="0" fontId="25" fillId="0" borderId="326" xfId="10" applyBorder="1" applyAlignment="1">
      <alignment horizontal="center" vertical="center"/>
    </xf>
    <xf numFmtId="0" fontId="25" fillId="0" borderId="289" xfId="10" applyBorder="1" applyAlignment="1">
      <alignment horizontal="center" vertical="center"/>
    </xf>
    <xf numFmtId="0" fontId="49" fillId="10" borderId="240" xfId="10" applyFont="1" applyFill="1" applyBorder="1" applyAlignment="1">
      <alignment horizontal="center" vertical="center" wrapText="1"/>
    </xf>
    <xf numFmtId="0" fontId="49" fillId="10" borderId="102" xfId="10" applyFont="1" applyFill="1" applyBorder="1" applyAlignment="1">
      <alignment horizontal="center" vertical="center"/>
    </xf>
    <xf numFmtId="0" fontId="49" fillId="10" borderId="111" xfId="10" applyFont="1" applyFill="1" applyBorder="1" applyAlignment="1">
      <alignment horizontal="center" vertical="center"/>
    </xf>
    <xf numFmtId="0" fontId="25" fillId="0" borderId="240" xfId="10" applyBorder="1" applyAlignment="1">
      <alignment horizontal="center" vertical="center"/>
    </xf>
    <xf numFmtId="0" fontId="49" fillId="10" borderId="285" xfId="10" applyFont="1" applyFill="1" applyBorder="1" applyAlignment="1">
      <alignment horizontal="center" vertical="center"/>
    </xf>
    <xf numFmtId="0" fontId="25" fillId="0" borderId="288" xfId="10" applyBorder="1" applyAlignment="1">
      <alignment horizontal="center" vertical="center"/>
    </xf>
    <xf numFmtId="0" fontId="49" fillId="45" borderId="167" xfId="10" applyFont="1" applyFill="1" applyBorder="1" applyAlignment="1">
      <alignment horizontal="center" vertical="center"/>
    </xf>
    <xf numFmtId="0" fontId="169" fillId="0" borderId="8" xfId="17" applyFill="1" applyBorder="1" applyAlignment="1" applyProtection="1">
      <alignment horizontal="left" vertical="center"/>
    </xf>
    <xf numFmtId="0" fontId="25" fillId="0" borderId="205" xfId="10" applyBorder="1" applyAlignment="1">
      <alignment horizontal="center" vertical="center"/>
    </xf>
    <xf numFmtId="0" fontId="49" fillId="10" borderId="29" xfId="10" applyFont="1" applyFill="1" applyBorder="1" applyAlignment="1">
      <alignment horizontal="center" vertical="center"/>
    </xf>
    <xf numFmtId="0" fontId="49" fillId="10" borderId="310" xfId="10" applyFont="1" applyFill="1" applyBorder="1" applyAlignment="1">
      <alignment horizontal="center" vertical="center"/>
    </xf>
    <xf numFmtId="0" fontId="49" fillId="10" borderId="311" xfId="10" applyFont="1" applyFill="1" applyBorder="1" applyAlignment="1">
      <alignment horizontal="center" vertical="center" wrapText="1"/>
    </xf>
    <xf numFmtId="0" fontId="169" fillId="0" borderId="0" xfId="17" applyFill="1" applyBorder="1" applyAlignment="1" applyProtection="1">
      <alignment vertical="center"/>
    </xf>
    <xf numFmtId="0" fontId="169" fillId="0" borderId="0" xfId="17" applyBorder="1" applyAlignment="1" applyProtection="1">
      <alignment vertical="center"/>
    </xf>
    <xf numFmtId="0" fontId="49" fillId="10" borderId="6" xfId="10" applyFont="1" applyFill="1" applyBorder="1" applyAlignment="1">
      <alignment horizontal="center" vertical="center"/>
    </xf>
    <xf numFmtId="0" fontId="49" fillId="10" borderId="16" xfId="10" applyFont="1" applyFill="1" applyBorder="1" applyAlignment="1">
      <alignment horizontal="center" vertical="center"/>
    </xf>
    <xf numFmtId="0" fontId="25" fillId="0" borderId="131" xfId="10" applyBorder="1" applyAlignment="1">
      <alignment horizontal="center" vertical="center"/>
    </xf>
    <xf numFmtId="0" fontId="49" fillId="10" borderId="307" xfId="10" applyFont="1" applyFill="1" applyBorder="1" applyAlignment="1">
      <alignment horizontal="center" vertical="center"/>
    </xf>
    <xf numFmtId="0" fontId="25" fillId="0" borderId="311" xfId="10" applyBorder="1" applyAlignment="1">
      <alignment horizontal="center" vertical="center"/>
    </xf>
    <xf numFmtId="0" fontId="25" fillId="0" borderId="312" xfId="10" applyBorder="1" applyAlignment="1">
      <alignment horizontal="center" vertical="center"/>
    </xf>
    <xf numFmtId="0" fontId="49" fillId="10" borderId="305" xfId="10" applyFont="1" applyFill="1" applyBorder="1" applyAlignment="1">
      <alignment horizontal="center" vertical="center"/>
    </xf>
    <xf numFmtId="0" fontId="25" fillId="0" borderId="307" xfId="10" applyBorder="1" applyAlignment="1">
      <alignment horizontal="center" vertical="center"/>
    </xf>
    <xf numFmtId="0" fontId="49" fillId="10" borderId="205" xfId="10" applyFont="1" applyFill="1" applyBorder="1" applyAlignment="1">
      <alignment horizontal="center" vertical="center"/>
    </xf>
    <xf numFmtId="0" fontId="25" fillId="10" borderId="8" xfId="10" applyFill="1" applyBorder="1" applyAlignment="1">
      <alignment horizontal="center" vertical="center"/>
    </xf>
    <xf numFmtId="0" fontId="49" fillId="10" borderId="306" xfId="10" applyFont="1" applyFill="1" applyBorder="1" applyAlignment="1">
      <alignment horizontal="center" vertical="center"/>
    </xf>
    <xf numFmtId="0" fontId="49" fillId="10" borderId="304" xfId="10" applyFont="1" applyFill="1" applyBorder="1" applyAlignment="1">
      <alignment horizontal="center" vertical="center"/>
    </xf>
    <xf numFmtId="0" fontId="49" fillId="10" borderId="28" xfId="10" applyFont="1" applyFill="1" applyBorder="1" applyAlignment="1">
      <alignment horizontal="center" vertical="center"/>
    </xf>
    <xf numFmtId="0" fontId="169" fillId="0" borderId="8" xfId="17" applyFill="1" applyBorder="1" applyAlignment="1" applyProtection="1">
      <alignment vertical="center"/>
    </xf>
    <xf numFmtId="0" fontId="169" fillId="0" borderId="8" xfId="17" applyBorder="1" applyAlignment="1" applyProtection="1">
      <alignment vertical="center"/>
    </xf>
    <xf numFmtId="0" fontId="49" fillId="10" borderId="287" xfId="10" applyFont="1" applyFill="1" applyBorder="1" applyAlignment="1">
      <alignment horizontal="center" vertical="center" wrapText="1"/>
    </xf>
    <xf numFmtId="0" fontId="25" fillId="0" borderId="291" xfId="10" applyBorder="1" applyAlignment="1">
      <alignment horizontal="center" vertical="center" wrapText="1"/>
    </xf>
    <xf numFmtId="0" fontId="49" fillId="10" borderId="177" xfId="10" applyFont="1" applyFill="1" applyBorder="1" applyAlignment="1">
      <alignment horizontal="center" vertical="center"/>
    </xf>
    <xf numFmtId="0" fontId="49" fillId="10" borderId="194" xfId="10" applyFont="1" applyFill="1" applyBorder="1" applyAlignment="1">
      <alignment horizontal="center" vertical="center"/>
    </xf>
    <xf numFmtId="0" fontId="49" fillId="10" borderId="135" xfId="10" applyFont="1" applyFill="1" applyBorder="1" applyAlignment="1">
      <alignment horizontal="center" vertical="center" wrapText="1"/>
    </xf>
    <xf numFmtId="0" fontId="25" fillId="0" borderId="158" xfId="10" applyBorder="1" applyAlignment="1">
      <alignment horizontal="center" vertical="center" wrapText="1"/>
    </xf>
    <xf numFmtId="0" fontId="25" fillId="10" borderId="276" xfId="10" applyFill="1" applyBorder="1" applyAlignment="1">
      <alignment horizontal="center" vertical="center"/>
    </xf>
    <xf numFmtId="0" fontId="25" fillId="0" borderId="277" xfId="10" applyBorder="1" applyAlignment="1">
      <alignment horizontal="center" vertical="center"/>
    </xf>
    <xf numFmtId="0" fontId="25" fillId="0" borderId="279" xfId="10" applyBorder="1" applyAlignment="1">
      <alignment horizontal="center" vertical="center"/>
    </xf>
    <xf numFmtId="0" fontId="25" fillId="0" borderId="282" xfId="10" applyBorder="1" applyAlignment="1">
      <alignment horizontal="center" vertical="center"/>
    </xf>
    <xf numFmtId="0" fontId="25" fillId="0" borderId="160" xfId="10" applyBorder="1" applyAlignment="1">
      <alignment horizontal="center" vertical="center"/>
    </xf>
    <xf numFmtId="0" fontId="25" fillId="0" borderId="283" xfId="10" applyBorder="1" applyAlignment="1">
      <alignment horizontal="center" vertical="center"/>
    </xf>
    <xf numFmtId="0" fontId="25" fillId="0" borderId="278" xfId="10" applyBorder="1" applyAlignment="1">
      <alignment horizontal="center" vertical="center"/>
    </xf>
    <xf numFmtId="0" fontId="25" fillId="0" borderId="165" xfId="10" applyBorder="1" applyAlignment="1">
      <alignment horizontal="center" vertical="center"/>
    </xf>
    <xf numFmtId="0" fontId="49" fillId="10" borderId="285" xfId="10" applyFont="1" applyFill="1" applyBorder="1" applyAlignment="1">
      <alignment horizontal="center" vertical="center" wrapText="1"/>
    </xf>
    <xf numFmtId="0" fontId="49" fillId="10" borderId="288" xfId="10" applyFont="1" applyFill="1" applyBorder="1" applyAlignment="1">
      <alignment horizontal="center" vertical="center" wrapText="1"/>
    </xf>
    <xf numFmtId="0" fontId="49" fillId="10" borderId="101" xfId="10" applyFont="1" applyFill="1" applyBorder="1" applyAlignment="1">
      <alignment horizontal="center" vertical="center" wrapText="1"/>
    </xf>
    <xf numFmtId="0" fontId="49" fillId="10" borderId="123" xfId="10" applyFont="1" applyFill="1" applyBorder="1" applyAlignment="1">
      <alignment horizontal="center" vertical="center" wrapText="1"/>
    </xf>
    <xf numFmtId="0" fontId="25" fillId="0" borderId="123" xfId="10" applyBorder="1" applyAlignment="1">
      <alignment horizontal="center" vertical="center" wrapText="1"/>
    </xf>
    <xf numFmtId="0" fontId="169" fillId="74" borderId="103" xfId="17" applyFill="1" applyBorder="1" applyAlignment="1" applyProtection="1">
      <alignment vertical="center"/>
    </xf>
    <xf numFmtId="0" fontId="169" fillId="0" borderId="111" xfId="17" applyBorder="1" applyAlignment="1" applyProtection="1">
      <alignment vertical="center"/>
    </xf>
    <xf numFmtId="0" fontId="169" fillId="74" borderId="123" xfId="17" applyFill="1" applyBorder="1" applyAlignment="1" applyProtection="1">
      <alignment vertical="center"/>
    </xf>
    <xf numFmtId="0" fontId="169" fillId="0" borderId="191" xfId="17" applyBorder="1" applyAlignment="1" applyProtection="1">
      <alignment vertical="center"/>
    </xf>
    <xf numFmtId="0" fontId="169" fillId="0" borderId="178" xfId="17" applyBorder="1" applyAlignment="1" applyProtection="1">
      <alignment vertical="center"/>
    </xf>
    <xf numFmtId="0" fontId="160" fillId="10" borderId="98" xfId="10" applyFont="1" applyFill="1" applyBorder="1" applyAlignment="1">
      <alignment vertical="center"/>
    </xf>
    <xf numFmtId="0" fontId="25" fillId="0" borderId="99" xfId="10" applyBorder="1" applyAlignment="1">
      <alignment vertical="center"/>
    </xf>
    <xf numFmtId="0" fontId="25" fillId="0" borderId="100" xfId="10" applyBorder="1" applyAlignment="1">
      <alignment vertical="center"/>
    </xf>
    <xf numFmtId="0" fontId="169" fillId="74" borderId="101" xfId="17" applyFill="1" applyBorder="1" applyAlignment="1" applyProtection="1">
      <alignment vertical="center"/>
    </xf>
    <xf numFmtId="0" fontId="169" fillId="0" borderId="29" xfId="17" applyBorder="1" applyAlignment="1" applyProtection="1">
      <alignment vertical="center"/>
    </xf>
    <xf numFmtId="0" fontId="169" fillId="0" borderId="102" xfId="17" applyBorder="1" applyAlignment="1" applyProtection="1">
      <alignment vertical="center"/>
    </xf>
    <xf numFmtId="0" fontId="168" fillId="65" borderId="101" xfId="10" applyFont="1" applyFill="1" applyBorder="1" applyAlignment="1">
      <alignment horizontal="center" vertical="center"/>
    </xf>
    <xf numFmtId="0" fontId="25" fillId="65" borderId="29" xfId="10" applyFill="1" applyBorder="1" applyAlignment="1">
      <alignment horizontal="center" vertical="center"/>
    </xf>
    <xf numFmtId="0" fontId="25" fillId="65" borderId="102" xfId="10" applyFill="1" applyBorder="1" applyAlignment="1">
      <alignment horizontal="center" vertical="center"/>
    </xf>
    <xf numFmtId="0" fontId="25" fillId="65" borderId="123" xfId="10" applyFill="1" applyBorder="1" applyAlignment="1">
      <alignment horizontal="center" vertical="center"/>
    </xf>
    <xf numFmtId="0" fontId="25" fillId="65" borderId="191" xfId="10" applyFill="1" applyBorder="1" applyAlignment="1">
      <alignment horizontal="center" vertical="center"/>
    </xf>
    <xf numFmtId="0" fontId="25" fillId="65" borderId="178" xfId="10" applyFill="1" applyBorder="1" applyAlignment="1">
      <alignment horizontal="center" vertical="center"/>
    </xf>
    <xf numFmtId="0" fontId="49" fillId="54" borderId="237" xfId="10" applyFont="1" applyFill="1" applyBorder="1" applyAlignment="1">
      <alignment horizontal="center" vertical="center" wrapText="1"/>
    </xf>
    <xf numFmtId="0" fontId="25" fillId="54" borderId="23" xfId="10" applyFill="1" applyBorder="1" applyAlignment="1">
      <alignment horizontal="center" vertical="center" wrapText="1"/>
    </xf>
    <xf numFmtId="0" fontId="25" fillId="54" borderId="121" xfId="10" applyFill="1" applyBorder="1" applyAlignment="1">
      <alignment horizontal="center" vertical="center" wrapText="1"/>
    </xf>
    <xf numFmtId="0" fontId="25" fillId="54" borderId="18" xfId="10" applyFill="1" applyBorder="1" applyAlignment="1">
      <alignment horizontal="center" vertical="center" wrapText="1"/>
    </xf>
    <xf numFmtId="0" fontId="49" fillId="0" borderId="22" xfId="10" applyFont="1" applyBorder="1" applyAlignment="1">
      <alignment horizontal="center" vertical="center"/>
    </xf>
    <xf numFmtId="0" fontId="49" fillId="0" borderId="24" xfId="10" applyFont="1" applyBorder="1" applyAlignment="1">
      <alignment horizontal="center" vertical="center"/>
    </xf>
    <xf numFmtId="0" fontId="49" fillId="0" borderId="21" xfId="10" applyFont="1" applyBorder="1" applyAlignment="1">
      <alignment horizontal="center" vertical="center"/>
    </xf>
    <xf numFmtId="0" fontId="49" fillId="54" borderId="21" xfId="10" applyFont="1" applyFill="1" applyBorder="1" applyAlignment="1">
      <alignment horizontal="center" vertical="center"/>
    </xf>
    <xf numFmtId="0" fontId="49" fillId="54" borderId="237" xfId="10" applyFont="1" applyFill="1" applyBorder="1" applyAlignment="1">
      <alignment horizontal="center" vertical="center"/>
    </xf>
    <xf numFmtId="0" fontId="25" fillId="54" borderId="23" xfId="10" applyFill="1" applyBorder="1" applyAlignment="1">
      <alignment horizontal="center" vertical="center"/>
    </xf>
    <xf numFmtId="0" fontId="25" fillId="54" borderId="121" xfId="10" applyFill="1" applyBorder="1" applyAlignment="1">
      <alignment horizontal="center" vertical="center"/>
    </xf>
    <xf numFmtId="0" fontId="25" fillId="54" borderId="18" xfId="10" applyFill="1" applyBorder="1" applyAlignment="1">
      <alignment horizontal="center" vertical="center"/>
    </xf>
    <xf numFmtId="0" fontId="49" fillId="0" borderId="20" xfId="10" applyFont="1" applyBorder="1" applyAlignment="1">
      <alignment horizontal="center" vertical="center"/>
    </xf>
    <xf numFmtId="0" fontId="49" fillId="0" borderId="19" xfId="10" applyFont="1" applyBorder="1" applyAlignment="1">
      <alignment horizontal="center" vertical="center"/>
    </xf>
    <xf numFmtId="0" fontId="25" fillId="45" borderId="100" xfId="10" applyFill="1" applyBorder="1" applyAlignment="1">
      <alignment horizontal="center" vertical="center"/>
    </xf>
    <xf numFmtId="0" fontId="49" fillId="54" borderId="19" xfId="10" applyFont="1" applyFill="1" applyBorder="1" applyAlignment="1">
      <alignment horizontal="center" vertical="center"/>
    </xf>
    <xf numFmtId="0" fontId="49" fillId="54" borderId="19" xfId="10" applyFont="1" applyFill="1" applyBorder="1" applyAlignment="1">
      <alignment horizontal="center" vertical="center" shrinkToFit="1"/>
    </xf>
    <xf numFmtId="0" fontId="49" fillId="54" borderId="268" xfId="10" applyFont="1" applyFill="1" applyBorder="1" applyAlignment="1">
      <alignment horizontal="center" vertical="center" shrinkToFit="1"/>
    </xf>
    <xf numFmtId="0" fontId="25" fillId="0" borderId="269" xfId="10" applyBorder="1" applyAlignment="1">
      <alignment horizontal="center" vertical="center" shrinkToFit="1"/>
    </xf>
    <xf numFmtId="0" fontId="25" fillId="0" borderId="273" xfId="10" applyBorder="1" applyAlignment="1">
      <alignment horizontal="center" vertical="center" shrinkToFit="1"/>
    </xf>
    <xf numFmtId="0" fontId="49" fillId="46" borderId="92" xfId="10" applyFont="1" applyFill="1" applyBorder="1" applyAlignment="1">
      <alignment horizontal="center" vertical="center"/>
    </xf>
    <xf numFmtId="0" fontId="25" fillId="46" borderId="93" xfId="10" applyFill="1" applyBorder="1" applyAlignment="1">
      <alignment horizontal="center" vertical="center"/>
    </xf>
    <xf numFmtId="0" fontId="49" fillId="46" borderId="22" xfId="10" applyFont="1" applyFill="1" applyBorder="1" applyAlignment="1">
      <alignment horizontal="center" vertical="center"/>
    </xf>
    <xf numFmtId="0" fontId="25" fillId="46" borderId="23" xfId="10" applyFill="1" applyBorder="1" applyAlignment="1">
      <alignment horizontal="center" vertical="center"/>
    </xf>
    <xf numFmtId="0" fontId="25" fillId="46" borderId="19" xfId="10" applyFill="1" applyBorder="1" applyAlignment="1">
      <alignment horizontal="center" vertical="center"/>
    </xf>
    <xf numFmtId="0" fontId="25" fillId="46" borderId="18" xfId="10" applyFill="1" applyBorder="1" applyAlignment="1">
      <alignment horizontal="center" vertical="center"/>
    </xf>
    <xf numFmtId="0" fontId="162" fillId="8" borderId="101" xfId="10" applyFont="1" applyFill="1" applyBorder="1" applyAlignment="1">
      <alignment horizontal="center" vertical="center" wrapText="1"/>
    </xf>
    <xf numFmtId="0" fontId="162" fillId="8" borderId="102" xfId="10" applyFont="1" applyFill="1" applyBorder="1" applyAlignment="1">
      <alignment horizontal="center" vertical="center" wrapText="1"/>
    </xf>
    <xf numFmtId="0" fontId="162" fillId="8" borderId="103" xfId="10" applyFont="1" applyFill="1" applyBorder="1" applyAlignment="1">
      <alignment horizontal="center" vertical="center" wrapText="1"/>
    </xf>
    <xf numFmtId="0" fontId="162" fillId="8" borderId="111" xfId="10" applyFont="1" applyFill="1" applyBorder="1" applyAlignment="1">
      <alignment horizontal="center" vertical="center" wrapText="1"/>
    </xf>
    <xf numFmtId="0" fontId="162" fillId="8" borderId="123" xfId="10" applyFont="1" applyFill="1" applyBorder="1" applyAlignment="1">
      <alignment horizontal="center" vertical="center" wrapText="1"/>
    </xf>
    <xf numFmtId="0" fontId="162" fillId="8" borderId="178" xfId="10" applyFont="1" applyFill="1" applyBorder="1" applyAlignment="1">
      <alignment horizontal="center" vertical="center" wrapText="1"/>
    </xf>
    <xf numFmtId="0" fontId="156" fillId="10" borderId="268" xfId="10" applyFont="1" applyFill="1" applyBorder="1" applyAlignment="1">
      <alignment horizontal="center"/>
    </xf>
    <xf numFmtId="0" fontId="25" fillId="0" borderId="105" xfId="10" applyBorder="1" applyAlignment="1">
      <alignment horizontal="center"/>
    </xf>
    <xf numFmtId="0" fontId="156" fillId="10" borderId="215" xfId="10" applyFont="1" applyFill="1" applyBorder="1" applyAlignment="1">
      <alignment horizontal="center" vertical="center" wrapText="1" shrinkToFit="1"/>
    </xf>
    <xf numFmtId="0" fontId="156" fillId="10" borderId="102" xfId="10" applyFont="1" applyFill="1" applyBorder="1" applyAlignment="1">
      <alignment horizontal="center" vertical="center"/>
    </xf>
    <xf numFmtId="0" fontId="162" fillId="54" borderId="99" xfId="10" applyFont="1" applyFill="1" applyBorder="1" applyAlignment="1">
      <alignment horizontal="center" vertical="center"/>
    </xf>
    <xf numFmtId="0" fontId="162" fillId="45" borderId="92" xfId="10" applyFont="1" applyFill="1" applyBorder="1" applyAlignment="1">
      <alignment horizontal="center" vertical="center"/>
    </xf>
    <xf numFmtId="0" fontId="162" fillId="45" borderId="93" xfId="10" applyFont="1" applyFill="1" applyBorder="1" applyAlignment="1">
      <alignment horizontal="center" vertical="center"/>
    </xf>
    <xf numFmtId="0" fontId="162" fillId="45" borderId="22" xfId="10" applyFont="1" applyFill="1" applyBorder="1" applyAlignment="1">
      <alignment horizontal="center" vertical="center"/>
    </xf>
    <xf numFmtId="0" fontId="162" fillId="45" borderId="19" xfId="10" applyFont="1" applyFill="1" applyBorder="1" applyAlignment="1">
      <alignment horizontal="center" vertical="center"/>
    </xf>
    <xf numFmtId="0" fontId="49" fillId="10" borderId="98" xfId="10" applyFont="1" applyFill="1" applyBorder="1" applyAlignment="1">
      <alignment horizontal="center" shrinkToFit="1"/>
    </xf>
    <xf numFmtId="0" fontId="25" fillId="0" borderId="214" xfId="10" applyBorder="1" applyAlignment="1">
      <alignment horizontal="center" shrinkToFit="1"/>
    </xf>
    <xf numFmtId="2" fontId="49" fillId="10" borderId="98" xfId="10" applyNumberFormat="1" applyFont="1" applyFill="1" applyBorder="1" applyAlignment="1">
      <alignment horizontal="center" shrinkToFit="1"/>
    </xf>
    <xf numFmtId="0" fontId="25" fillId="0" borderId="100" xfId="10" applyBorder="1" applyAlignment="1">
      <alignment horizontal="center" shrinkToFit="1"/>
    </xf>
    <xf numFmtId="0" fontId="162" fillId="54" borderId="98" xfId="10" applyFont="1" applyFill="1" applyBorder="1" applyAlignment="1">
      <alignment horizontal="center" vertical="center"/>
    </xf>
    <xf numFmtId="0" fontId="49" fillId="10" borderId="98" xfId="10" applyFont="1" applyFill="1" applyBorder="1"/>
    <xf numFmtId="0" fontId="25" fillId="0" borderId="100" xfId="10" applyBorder="1"/>
    <xf numFmtId="0" fontId="49" fillId="10" borderId="98" xfId="10" applyFont="1" applyFill="1" applyBorder="1" applyAlignment="1">
      <alignment horizontal="center"/>
    </xf>
    <xf numFmtId="0" fontId="25" fillId="0" borderId="214" xfId="10" applyBorder="1" applyAlignment="1">
      <alignment horizontal="center"/>
    </xf>
    <xf numFmtId="0" fontId="25" fillId="54" borderId="240" xfId="10" applyFill="1" applyBorder="1" applyAlignment="1">
      <alignment horizontal="center" vertical="center" wrapText="1"/>
    </xf>
    <xf numFmtId="0" fontId="156" fillId="45" borderId="98" xfId="10" applyFont="1" applyFill="1" applyBorder="1" applyAlignment="1">
      <alignment horizontal="center" vertical="center"/>
    </xf>
    <xf numFmtId="0" fontId="49" fillId="63" borderId="240" xfId="10" applyFont="1" applyFill="1" applyBorder="1" applyAlignment="1">
      <alignment horizontal="center" vertical="top" wrapText="1"/>
    </xf>
    <xf numFmtId="0" fontId="25" fillId="63" borderId="240" xfId="10" applyFill="1" applyBorder="1" applyAlignment="1">
      <alignment horizontal="center" vertical="top" wrapText="1"/>
    </xf>
    <xf numFmtId="0" fontId="49" fillId="54" borderId="215" xfId="10" applyFont="1" applyFill="1" applyBorder="1" applyAlignment="1">
      <alignment horizontal="center" vertical="center"/>
    </xf>
    <xf numFmtId="0" fontId="25" fillId="54" borderId="240" xfId="10" applyFill="1" applyBorder="1" applyAlignment="1">
      <alignment horizontal="center" vertical="center"/>
    </xf>
    <xf numFmtId="0" fontId="49" fillId="10" borderId="98" xfId="10" applyFont="1" applyFill="1" applyBorder="1" applyAlignment="1">
      <alignment horizontal="center" vertical="center"/>
    </xf>
    <xf numFmtId="0" fontId="49" fillId="10" borderId="100" xfId="10" applyFont="1" applyFill="1" applyBorder="1" applyAlignment="1">
      <alignment horizontal="center" vertical="center"/>
    </xf>
    <xf numFmtId="0" fontId="25" fillId="54" borderId="101" xfId="10" applyFill="1" applyBorder="1" applyAlignment="1">
      <alignment horizontal="center" vertical="center"/>
    </xf>
    <xf numFmtId="0" fontId="25" fillId="54" borderId="215" xfId="10" applyFill="1" applyBorder="1" applyAlignment="1">
      <alignment horizontal="center" vertical="center" wrapText="1" shrinkToFit="1"/>
    </xf>
    <xf numFmtId="0" fontId="25" fillId="54" borderId="236" xfId="10" applyFill="1" applyBorder="1" applyAlignment="1">
      <alignment horizontal="center" vertical="center" wrapText="1" shrinkToFit="1"/>
    </xf>
    <xf numFmtId="0" fontId="163" fillId="45" borderId="167" xfId="10" applyFont="1" applyFill="1" applyBorder="1" applyAlignment="1">
      <alignment horizontal="center" vertical="center"/>
    </xf>
    <xf numFmtId="0" fontId="163" fillId="0" borderId="180" xfId="10" applyFont="1" applyBorder="1" applyAlignment="1">
      <alignment horizontal="center" vertical="center"/>
    </xf>
    <xf numFmtId="0" fontId="163" fillId="0" borderId="192" xfId="10" applyFont="1" applyBorder="1" applyAlignment="1">
      <alignment horizontal="center" vertical="center"/>
    </xf>
    <xf numFmtId="0" fontId="163" fillId="0" borderId="173" xfId="10" applyFont="1" applyBorder="1" applyAlignment="1">
      <alignment horizontal="center" vertical="center"/>
    </xf>
    <xf numFmtId="0" fontId="163" fillId="0" borderId="125" xfId="10" applyFont="1" applyBorder="1" applyAlignment="1">
      <alignment horizontal="center" vertical="center"/>
    </xf>
    <xf numFmtId="0" fontId="163" fillId="0" borderId="132" xfId="10" applyFont="1" applyBorder="1" applyAlignment="1">
      <alignment horizontal="center" vertical="center"/>
    </xf>
    <xf numFmtId="0" fontId="161" fillId="45" borderId="98" xfId="10" applyFont="1" applyFill="1" applyBorder="1" applyAlignment="1">
      <alignment horizontal="center" vertical="center"/>
    </xf>
    <xf numFmtId="0" fontId="161" fillId="0" borderId="99" xfId="10" applyFont="1" applyBorder="1" applyAlignment="1">
      <alignment horizontal="center" vertical="center"/>
    </xf>
    <xf numFmtId="0" fontId="161" fillId="0" borderId="100" xfId="10" applyFont="1" applyBorder="1" applyAlignment="1">
      <alignment horizontal="center" vertical="center"/>
    </xf>
    <xf numFmtId="0" fontId="163" fillId="45" borderId="101" xfId="10" applyFont="1" applyFill="1" applyBorder="1" applyAlignment="1">
      <alignment horizontal="center" vertical="center"/>
    </xf>
    <xf numFmtId="0" fontId="163" fillId="0" borderId="29" xfId="10" applyFont="1" applyBorder="1" applyAlignment="1">
      <alignment horizontal="center" vertical="center"/>
    </xf>
    <xf numFmtId="0" fontId="163" fillId="0" borderId="102" xfId="10" applyFont="1" applyBorder="1" applyAlignment="1">
      <alignment horizontal="center" vertical="center"/>
    </xf>
    <xf numFmtId="0" fontId="163" fillId="0" borderId="123" xfId="10" applyFont="1" applyBorder="1" applyAlignment="1">
      <alignment horizontal="center" vertical="center"/>
    </xf>
    <xf numFmtId="0" fontId="163" fillId="0" borderId="191" xfId="10" applyFont="1" applyBorder="1" applyAlignment="1">
      <alignment horizontal="center" vertical="center"/>
    </xf>
    <xf numFmtId="0" fontId="163" fillId="0" borderId="178" xfId="10" applyFont="1" applyBorder="1" applyAlignment="1">
      <alignment horizontal="center" vertical="center"/>
    </xf>
    <xf numFmtId="0" fontId="25" fillId="54" borderId="29" xfId="10" applyFill="1" applyBorder="1" applyAlignment="1">
      <alignment horizontal="center" vertical="center"/>
    </xf>
    <xf numFmtId="0" fontId="25" fillId="54" borderId="102" xfId="10" applyFill="1" applyBorder="1" applyAlignment="1">
      <alignment horizontal="center" vertical="center"/>
    </xf>
    <xf numFmtId="0" fontId="25" fillId="54" borderId="123" xfId="10" applyFill="1" applyBorder="1" applyAlignment="1">
      <alignment horizontal="center" vertical="center"/>
    </xf>
    <xf numFmtId="0" fontId="25" fillId="54" borderId="191" xfId="10" applyFill="1" applyBorder="1" applyAlignment="1">
      <alignment horizontal="center" vertical="center"/>
    </xf>
    <xf numFmtId="0" fontId="25" fillId="54" borderId="178" xfId="10" applyFill="1" applyBorder="1" applyAlignment="1">
      <alignment horizontal="center" vertical="center"/>
    </xf>
    <xf numFmtId="0" fontId="49" fillId="60" borderId="215" xfId="10" applyFont="1" applyFill="1" applyBorder="1" applyAlignment="1">
      <alignment horizontal="center" vertical="center" wrapText="1"/>
    </xf>
    <xf numFmtId="0" fontId="163" fillId="45" borderId="99" xfId="10" applyFont="1" applyFill="1" applyBorder="1" applyAlignment="1">
      <alignment horizontal="center" vertical="center"/>
    </xf>
    <xf numFmtId="0" fontId="163" fillId="45" borderId="100" xfId="10" applyFont="1" applyFill="1" applyBorder="1" applyAlignment="1">
      <alignment horizontal="center" vertical="center"/>
    </xf>
    <xf numFmtId="0" fontId="49" fillId="45" borderId="215" xfId="10" applyFont="1" applyFill="1" applyBorder="1" applyAlignment="1">
      <alignment horizontal="center" vertical="center"/>
    </xf>
    <xf numFmtId="0" fontId="49" fillId="45" borderId="236" xfId="10" applyFont="1" applyFill="1" applyBorder="1" applyAlignment="1">
      <alignment horizontal="center" vertical="center"/>
    </xf>
    <xf numFmtId="0" fontId="49" fillId="54" borderId="167" xfId="10" applyFont="1" applyFill="1" applyBorder="1" applyAlignment="1">
      <alignment horizontal="center" vertical="center"/>
    </xf>
    <xf numFmtId="0" fontId="49" fillId="56" borderId="99" xfId="10" applyFont="1" applyFill="1" applyBorder="1" applyAlignment="1">
      <alignment horizontal="center"/>
    </xf>
    <xf numFmtId="0" fontId="49" fillId="45" borderId="180" xfId="10" applyFont="1" applyFill="1" applyBorder="1" applyAlignment="1">
      <alignment horizontal="center" vertical="center" wrapText="1"/>
    </xf>
    <xf numFmtId="0" fontId="25" fillId="45" borderId="125" xfId="10" applyFill="1" applyBorder="1" applyAlignment="1">
      <alignment horizontal="center" vertical="center" wrapText="1"/>
    </xf>
    <xf numFmtId="0" fontId="49" fillId="45" borderId="123" xfId="10" applyFont="1" applyFill="1" applyBorder="1" applyAlignment="1">
      <alignment horizontal="center" vertical="center"/>
    </xf>
    <xf numFmtId="0" fontId="25" fillId="0" borderId="214" xfId="10" applyBorder="1" applyAlignment="1">
      <alignment horizontal="center" vertical="center"/>
    </xf>
    <xf numFmtId="0" fontId="160" fillId="53" borderId="101" xfId="10" applyFont="1" applyFill="1" applyBorder="1" applyAlignment="1">
      <alignment horizontal="center" vertical="center"/>
    </xf>
    <xf numFmtId="0" fontId="160" fillId="53" borderId="29" xfId="10" applyFont="1" applyFill="1" applyBorder="1" applyAlignment="1">
      <alignment horizontal="center" vertical="center"/>
    </xf>
    <xf numFmtId="0" fontId="160" fillId="53" borderId="102" xfId="10" applyFont="1" applyFill="1" applyBorder="1" applyAlignment="1">
      <alignment horizontal="center" vertical="center"/>
    </xf>
    <xf numFmtId="0" fontId="160" fillId="53" borderId="123" xfId="10" applyFont="1" applyFill="1" applyBorder="1" applyAlignment="1">
      <alignment horizontal="center" vertical="center"/>
    </xf>
    <xf numFmtId="0" fontId="160" fillId="53" borderId="191" xfId="10" applyFont="1" applyFill="1" applyBorder="1" applyAlignment="1">
      <alignment horizontal="center" vertical="center"/>
    </xf>
    <xf numFmtId="0" fontId="160" fillId="53" borderId="178" xfId="10" applyFont="1" applyFill="1" applyBorder="1" applyAlignment="1">
      <alignment horizontal="center" vertical="center"/>
    </xf>
    <xf numFmtId="0" fontId="163" fillId="45" borderId="29" xfId="10" applyFont="1" applyFill="1" applyBorder="1" applyAlignment="1">
      <alignment horizontal="center" vertical="center"/>
    </xf>
    <xf numFmtId="0" fontId="163" fillId="45" borderId="102" xfId="10" applyFont="1" applyFill="1" applyBorder="1" applyAlignment="1">
      <alignment horizontal="center" vertical="center"/>
    </xf>
    <xf numFmtId="0" fontId="163" fillId="45" borderId="123" xfId="10" applyFont="1" applyFill="1" applyBorder="1" applyAlignment="1">
      <alignment horizontal="center" vertical="center"/>
    </xf>
    <xf numFmtId="0" fontId="163" fillId="45" borderId="191" xfId="10" applyFont="1" applyFill="1" applyBorder="1" applyAlignment="1">
      <alignment horizontal="center" vertical="center"/>
    </xf>
    <xf numFmtId="0" fontId="163" fillId="45" borderId="178" xfId="10" applyFont="1" applyFill="1" applyBorder="1" applyAlignment="1">
      <alignment horizontal="center" vertical="center"/>
    </xf>
    <xf numFmtId="0" fontId="156" fillId="53" borderId="98" xfId="10" applyFont="1" applyFill="1" applyBorder="1" applyAlignment="1">
      <alignment horizontal="center" vertical="center"/>
    </xf>
    <xf numFmtId="0" fontId="25" fillId="53" borderId="99" xfId="10" applyFill="1" applyBorder="1" applyAlignment="1">
      <alignment horizontal="center" vertical="center"/>
    </xf>
    <xf numFmtId="0" fontId="25" fillId="53" borderId="100" xfId="10" applyFill="1" applyBorder="1" applyAlignment="1">
      <alignment horizontal="center" vertical="center"/>
    </xf>
    <xf numFmtId="0" fontId="161" fillId="53" borderId="98" xfId="10" applyFont="1" applyFill="1" applyBorder="1" applyAlignment="1">
      <alignment horizontal="center" vertical="center"/>
    </xf>
    <xf numFmtId="0" fontId="162" fillId="53" borderId="99" xfId="10" applyFont="1" applyFill="1" applyBorder="1" applyAlignment="1">
      <alignment horizontal="center" vertical="center"/>
    </xf>
    <xf numFmtId="0" fontId="162" fillId="53" borderId="100" xfId="10" applyFont="1" applyFill="1" applyBorder="1" applyAlignment="1">
      <alignment horizontal="center" vertical="center"/>
    </xf>
    <xf numFmtId="0" fontId="162" fillId="47" borderId="180" xfId="10" applyFont="1" applyFill="1" applyBorder="1" applyAlignment="1">
      <alignment horizontal="center" vertical="center" wrapText="1"/>
    </xf>
    <xf numFmtId="0" fontId="162" fillId="0" borderId="15" xfId="10" applyFont="1" applyBorder="1" applyAlignment="1">
      <alignment horizontal="center" vertical="center" wrapText="1"/>
    </xf>
    <xf numFmtId="0" fontId="162" fillId="0" borderId="125" xfId="10" applyFont="1" applyBorder="1" applyAlignment="1">
      <alignment horizontal="center" vertical="center" wrapText="1"/>
    </xf>
    <xf numFmtId="0" fontId="156" fillId="53" borderId="99" xfId="10" applyFont="1" applyFill="1" applyBorder="1" applyAlignment="1">
      <alignment horizontal="center" vertical="center"/>
    </xf>
    <xf numFmtId="0" fontId="49" fillId="45" borderId="192" xfId="10" applyFont="1" applyFill="1" applyBorder="1" applyAlignment="1">
      <alignment horizontal="center" vertical="center" wrapText="1"/>
    </xf>
    <xf numFmtId="0" fontId="25" fillId="45" borderId="132" xfId="10" applyFill="1" applyBorder="1" applyAlignment="1">
      <alignment horizontal="center" vertical="center" wrapText="1"/>
    </xf>
    <xf numFmtId="170" fontId="49" fillId="15" borderId="103" xfId="10" applyNumberFormat="1" applyFont="1" applyFill="1" applyBorder="1" applyAlignment="1">
      <alignment horizontal="center" vertical="center" wrapText="1"/>
    </xf>
    <xf numFmtId="0" fontId="25" fillId="15" borderId="103" xfId="10" applyFill="1" applyBorder="1" applyAlignment="1">
      <alignment horizontal="center" vertical="center" wrapText="1"/>
    </xf>
    <xf numFmtId="0" fontId="49" fillId="45" borderId="180" xfId="10" applyFont="1" applyFill="1" applyBorder="1" applyAlignment="1">
      <alignment horizontal="center" vertical="center"/>
    </xf>
    <xf numFmtId="0" fontId="25" fillId="45" borderId="125" xfId="10" applyFill="1" applyBorder="1" applyAlignment="1">
      <alignment horizontal="center" vertical="center"/>
    </xf>
    <xf numFmtId="0" fontId="49" fillId="10" borderId="92" xfId="10" applyFont="1" applyFill="1" applyBorder="1" applyAlignment="1">
      <alignment horizontal="center" vertical="center"/>
    </xf>
    <xf numFmtId="0" fontId="49" fillId="10" borderId="19" xfId="10" applyFont="1" applyFill="1" applyBorder="1" applyAlignment="1">
      <alignment horizontal="center" vertical="center"/>
    </xf>
    <xf numFmtId="0" fontId="25" fillId="0" borderId="113" xfId="10" applyBorder="1" applyAlignment="1">
      <alignment horizontal="center" vertical="center"/>
    </xf>
    <xf numFmtId="0" fontId="156" fillId="45" borderId="121" xfId="10" applyFont="1" applyFill="1" applyBorder="1" applyAlignment="1">
      <alignment horizontal="center"/>
    </xf>
    <xf numFmtId="0" fontId="25" fillId="0" borderId="122" xfId="10" applyBorder="1" applyAlignment="1">
      <alignment horizontal="center"/>
    </xf>
    <xf numFmtId="0" fontId="92" fillId="0" borderId="78" xfId="14" applyFont="1" applyBorder="1" applyAlignment="1">
      <alignment horizontal="center" vertical="top"/>
    </xf>
    <xf numFmtId="0" fontId="7" fillId="0" borderId="66" xfId="14" applyFont="1" applyBorder="1"/>
    <xf numFmtId="49" fontId="92" fillId="0" borderId="59" xfId="14" applyNumberFormat="1" applyFont="1" applyBorder="1" applyAlignment="1">
      <alignment horizontal="center" vertical="top" wrapText="1"/>
    </xf>
    <xf numFmtId="0" fontId="7" fillId="0" borderId="58" xfId="14" applyFont="1" applyBorder="1"/>
    <xf numFmtId="0" fontId="7" fillId="0" borderId="60" xfId="14" applyFont="1" applyBorder="1"/>
    <xf numFmtId="0" fontId="92" fillId="0" borderId="59" xfId="14" applyFont="1" applyBorder="1" applyAlignment="1">
      <alignment horizontal="center" vertical="center"/>
    </xf>
    <xf numFmtId="0" fontId="7" fillId="0" borderId="57" xfId="14" applyFont="1" applyBorder="1"/>
    <xf numFmtId="49" fontId="92" fillId="0" borderId="54" xfId="14" applyNumberFormat="1" applyFont="1" applyBorder="1" applyAlignment="1">
      <alignment horizontal="center" vertical="top" wrapText="1"/>
    </xf>
    <xf numFmtId="0" fontId="7" fillId="0" borderId="53" xfId="14" applyFont="1" applyBorder="1"/>
    <xf numFmtId="0" fontId="7" fillId="0" borderId="55" xfId="14" applyFont="1" applyBorder="1"/>
    <xf numFmtId="49" fontId="92" fillId="0" borderId="61" xfId="14" applyNumberFormat="1" applyFont="1" applyBorder="1" applyAlignment="1">
      <alignment horizontal="left" vertical="center" shrinkToFit="1"/>
    </xf>
    <xf numFmtId="0" fontId="89" fillId="0" borderId="74" xfId="14" applyFont="1" applyBorder="1" applyAlignment="1">
      <alignment horizontal="center" vertical="center"/>
    </xf>
    <xf numFmtId="0" fontId="7" fillId="0" borderId="73" xfId="14" applyFont="1" applyBorder="1"/>
    <xf numFmtId="0" fontId="7" fillId="0" borderId="72" xfId="14" applyFont="1" applyBorder="1"/>
    <xf numFmtId="0" fontId="7" fillId="0" borderId="41" xfId="14" applyFont="1" applyBorder="1"/>
    <xf numFmtId="0" fontId="7" fillId="0" borderId="38" xfId="14" applyFont="1" applyBorder="1"/>
    <xf numFmtId="0" fontId="7" fillId="0" borderId="37" xfId="14" applyFont="1" applyBorder="1"/>
    <xf numFmtId="0" fontId="116" fillId="31" borderId="51" xfId="14" applyFont="1" applyFill="1" applyBorder="1" applyAlignment="1">
      <alignment horizontal="center" vertical="center"/>
    </xf>
    <xf numFmtId="0" fontId="7" fillId="0" borderId="47" xfId="14" applyFont="1" applyBorder="1"/>
    <xf numFmtId="0" fontId="7" fillId="0" borderId="46" xfId="14" applyFont="1" applyBorder="1"/>
    <xf numFmtId="0" fontId="116" fillId="0" borderId="74" xfId="14" applyFont="1" applyBorder="1" applyAlignment="1">
      <alignment horizontal="center" vertical="center"/>
    </xf>
    <xf numFmtId="0" fontId="109" fillId="35" borderId="74" xfId="14" applyFont="1" applyFill="1" applyBorder="1" applyAlignment="1">
      <alignment horizontal="center" vertical="center" wrapText="1"/>
    </xf>
    <xf numFmtId="0" fontId="113" fillId="0" borderId="49" xfId="14" applyFont="1" applyBorder="1" applyAlignment="1">
      <alignment horizontal="center" vertical="center" shrinkToFit="1"/>
    </xf>
    <xf numFmtId="0" fontId="7" fillId="0" borderId="48" xfId="14" applyFont="1" applyBorder="1"/>
    <xf numFmtId="166" fontId="113" fillId="0" borderId="50" xfId="14" applyNumberFormat="1" applyFont="1" applyBorder="1" applyAlignment="1">
      <alignment horizontal="center" vertical="center" shrinkToFit="1"/>
    </xf>
    <xf numFmtId="0" fontId="7" fillId="0" borderId="70" xfId="14" applyFont="1" applyBorder="1"/>
    <xf numFmtId="0" fontId="114" fillId="33" borderId="49" xfId="14" applyFont="1" applyFill="1" applyBorder="1" applyAlignment="1">
      <alignment horizontal="center" vertical="center"/>
    </xf>
    <xf numFmtId="0" fontId="118" fillId="28" borderId="74" xfId="14" applyFont="1" applyFill="1" applyBorder="1" applyAlignment="1">
      <alignment horizontal="center" vertical="center" wrapText="1"/>
    </xf>
    <xf numFmtId="0" fontId="104" fillId="33" borderId="51" xfId="14" applyFont="1" applyFill="1" applyBorder="1" applyAlignment="1">
      <alignment horizontal="center" vertical="center"/>
    </xf>
    <xf numFmtId="0" fontId="104" fillId="33" borderId="49" xfId="14" applyFont="1" applyFill="1" applyBorder="1" applyAlignment="1">
      <alignment horizontal="left" vertical="center"/>
    </xf>
    <xf numFmtId="0" fontId="89" fillId="0" borderId="44" xfId="14" applyFont="1" applyBorder="1" applyAlignment="1">
      <alignment horizontal="center" vertical="center"/>
    </xf>
    <xf numFmtId="0" fontId="7" fillId="0" borderId="43" xfId="14" applyFont="1" applyBorder="1"/>
    <xf numFmtId="0" fontId="7" fillId="0" borderId="78" xfId="14" applyFont="1" applyBorder="1"/>
    <xf numFmtId="0" fontId="7" fillId="0" borderId="79" xfId="14" applyFont="1" applyBorder="1"/>
    <xf numFmtId="0" fontId="113" fillId="0" borderId="50" xfId="14" applyFont="1" applyBorder="1" applyAlignment="1">
      <alignment horizontal="center" vertical="center" shrinkToFit="1"/>
    </xf>
    <xf numFmtId="0" fontId="7" fillId="0" borderId="50" xfId="14" applyFont="1" applyBorder="1"/>
    <xf numFmtId="49" fontId="83" fillId="0" borderId="64" xfId="14" applyNumberFormat="1" applyBorder="1" applyAlignment="1">
      <alignment horizontal="left" vertical="center" wrapText="1"/>
    </xf>
    <xf numFmtId="0" fontId="7" fillId="0" borderId="63" xfId="14" applyFont="1" applyBorder="1"/>
    <xf numFmtId="0" fontId="7" fillId="0" borderId="62" xfId="14" applyFont="1" applyBorder="1"/>
    <xf numFmtId="0" fontId="7" fillId="0" borderId="45" xfId="14" applyFont="1" applyBorder="1"/>
    <xf numFmtId="0" fontId="7" fillId="0" borderId="42" xfId="14" applyFont="1" applyBorder="1"/>
    <xf numFmtId="0" fontId="7" fillId="0" borderId="67" xfId="14" applyFont="1" applyBorder="1"/>
    <xf numFmtId="0" fontId="7" fillId="0" borderId="65" xfId="14" applyFont="1" applyBorder="1"/>
    <xf numFmtId="49" fontId="92" fillId="0" borderId="59" xfId="14" applyNumberFormat="1" applyFont="1" applyBorder="1" applyAlignment="1">
      <alignment horizontal="left" vertical="top" wrapText="1"/>
    </xf>
    <xf numFmtId="49" fontId="92" fillId="0" borderId="54" xfId="14" applyNumberFormat="1" applyFont="1" applyBorder="1" applyAlignment="1">
      <alignment horizontal="left" vertical="top" wrapText="1"/>
    </xf>
    <xf numFmtId="0" fontId="7" fillId="0" borderId="52" xfId="14" applyFont="1" applyBorder="1"/>
    <xf numFmtId="166" fontId="126" fillId="0" borderId="74" xfId="14" applyNumberFormat="1" applyFont="1" applyBorder="1" applyAlignment="1">
      <alignment horizontal="center" vertical="center"/>
    </xf>
    <xf numFmtId="0" fontId="105" fillId="29" borderId="73" xfId="14" applyFont="1" applyFill="1" applyBorder="1" applyAlignment="1">
      <alignment horizontal="center" vertical="center"/>
    </xf>
    <xf numFmtId="166" fontId="125" fillId="0" borderId="53" xfId="14" applyNumberFormat="1" applyFont="1" applyBorder="1" applyAlignment="1">
      <alignment horizontal="center" vertical="center"/>
    </xf>
    <xf numFmtId="0" fontId="114" fillId="34" borderId="49" xfId="14" applyFont="1" applyFill="1" applyBorder="1" applyAlignment="1">
      <alignment horizontal="center" vertical="center"/>
    </xf>
    <xf numFmtId="0" fontId="116" fillId="33" borderId="51" xfId="14" applyFont="1" applyFill="1" applyBorder="1" applyAlignment="1">
      <alignment horizontal="center" vertical="center"/>
    </xf>
    <xf numFmtId="166" fontId="116" fillId="0" borderId="56" xfId="14" applyNumberFormat="1" applyFont="1" applyBorder="1" applyAlignment="1">
      <alignment horizontal="center" vertical="center"/>
    </xf>
    <xf numFmtId="0" fontId="89" fillId="0" borderId="71" xfId="14" applyFont="1" applyBorder="1" applyAlignment="1">
      <alignment horizontal="center" vertical="center"/>
    </xf>
    <xf numFmtId="0" fontId="83" fillId="34" borderId="51" xfId="14" applyFill="1" applyBorder="1" applyAlignment="1">
      <alignment horizontal="center" vertical="center"/>
    </xf>
    <xf numFmtId="0" fontId="83" fillId="31" borderId="51" xfId="14" applyFill="1" applyBorder="1" applyAlignment="1">
      <alignment horizontal="center" vertical="center"/>
    </xf>
    <xf numFmtId="0" fontId="117" fillId="32" borderId="74" xfId="14" applyFont="1" applyFill="1" applyBorder="1" applyAlignment="1">
      <alignment horizontal="center" vertical="center" wrapText="1"/>
    </xf>
    <xf numFmtId="0" fontId="116" fillId="31" borderId="47" xfId="14" applyFont="1" applyFill="1" applyBorder="1" applyAlignment="1">
      <alignment horizontal="center" vertical="center"/>
    </xf>
    <xf numFmtId="0" fontId="92" fillId="0" borderId="40" xfId="14" applyFont="1" applyBorder="1" applyAlignment="1">
      <alignment horizontal="center" vertical="top"/>
    </xf>
    <xf numFmtId="49" fontId="92" fillId="0" borderId="78" xfId="14" applyNumberFormat="1" applyFont="1" applyBorder="1" applyAlignment="1">
      <alignment horizontal="left" vertical="top" wrapText="1"/>
    </xf>
    <xf numFmtId="0" fontId="89" fillId="0" borderId="59" xfId="14" applyFont="1" applyBorder="1" applyAlignment="1">
      <alignment horizontal="center" vertical="center"/>
    </xf>
    <xf numFmtId="0" fontId="92" fillId="0" borderId="69" xfId="14" applyFont="1" applyBorder="1" applyAlignment="1">
      <alignment horizontal="center" vertical="center"/>
    </xf>
    <xf numFmtId="0" fontId="104" fillId="31" borderId="49" xfId="14" applyFont="1" applyFill="1" applyBorder="1" applyAlignment="1">
      <alignment horizontal="center" vertical="center"/>
    </xf>
    <xf numFmtId="0" fontId="7" fillId="0" borderId="68" xfId="14" applyFont="1" applyBorder="1"/>
    <xf numFmtId="0" fontId="104" fillId="30" borderId="49" xfId="14" applyFont="1" applyFill="1" applyBorder="1" applyAlignment="1">
      <alignment horizontal="center" vertical="center"/>
    </xf>
    <xf numFmtId="166" fontId="119" fillId="0" borderId="59" xfId="14" applyNumberFormat="1" applyFont="1" applyBorder="1" applyAlignment="1">
      <alignment horizontal="center" vertical="top"/>
    </xf>
    <xf numFmtId="0" fontId="111" fillId="34" borderId="51" xfId="14" applyFont="1" applyFill="1" applyBorder="1" applyAlignment="1">
      <alignment horizontal="center" vertical="center"/>
    </xf>
    <xf numFmtId="49" fontId="83" fillId="0" borderId="45" xfId="14" applyNumberFormat="1" applyBorder="1" applyAlignment="1">
      <alignment horizontal="left" vertical="center" wrapText="1"/>
    </xf>
    <xf numFmtId="49" fontId="89" fillId="0" borderId="61" xfId="14" applyNumberFormat="1" applyFont="1" applyBorder="1" applyAlignment="1">
      <alignment horizontal="left" vertical="center" shrinkToFit="1"/>
    </xf>
    <xf numFmtId="49" fontId="89" fillId="0" borderId="56" xfId="14" applyNumberFormat="1" applyFont="1" applyBorder="1" applyAlignment="1">
      <alignment horizontal="left" vertical="center" shrinkToFit="1"/>
    </xf>
    <xf numFmtId="0" fontId="89" fillId="0" borderId="69" xfId="14" applyFont="1" applyBorder="1" applyAlignment="1">
      <alignment horizontal="center" vertical="center"/>
    </xf>
    <xf numFmtId="166" fontId="116" fillId="0" borderId="54" xfId="14" applyNumberFormat="1" applyFont="1" applyBorder="1" applyAlignment="1">
      <alignment horizontal="center" vertical="center"/>
    </xf>
    <xf numFmtId="0" fontId="123" fillId="0" borderId="38" xfId="14" applyFont="1" applyBorder="1" applyAlignment="1">
      <alignment horizontal="center"/>
    </xf>
    <xf numFmtId="0" fontId="124" fillId="28" borderId="41" xfId="14" applyFont="1" applyFill="1" applyBorder="1" applyAlignment="1">
      <alignment horizontal="center"/>
    </xf>
    <xf numFmtId="0" fontId="116" fillId="34" borderId="88" xfId="14" applyFont="1" applyFill="1" applyBorder="1" applyAlignment="1">
      <alignment horizontal="center" vertical="center" wrapText="1"/>
    </xf>
    <xf numFmtId="0" fontId="7" fillId="0" borderId="40" xfId="14" applyFont="1" applyBorder="1"/>
    <xf numFmtId="0" fontId="116" fillId="33" borderId="88" xfId="14" applyFont="1" applyFill="1" applyBorder="1" applyAlignment="1">
      <alignment horizontal="center" vertical="center" wrapText="1"/>
    </xf>
    <xf numFmtId="49" fontId="113" fillId="0" borderId="49" xfId="14" applyNumberFormat="1" applyFont="1" applyBorder="1" applyAlignment="1">
      <alignment horizontal="center" vertical="center" shrinkToFit="1"/>
    </xf>
    <xf numFmtId="0" fontId="89" fillId="0" borderId="0" xfId="14" applyFont="1" applyAlignment="1">
      <alignment horizontal="center" vertical="center"/>
    </xf>
    <xf numFmtId="0" fontId="114" fillId="33" borderId="74" xfId="14" applyFont="1" applyFill="1" applyBorder="1" applyAlignment="1">
      <alignment horizontal="center" vertical="center"/>
    </xf>
    <xf numFmtId="0" fontId="89" fillId="29" borderId="74" xfId="14" applyFont="1" applyFill="1" applyBorder="1" applyAlignment="1">
      <alignment vertical="center"/>
    </xf>
    <xf numFmtId="0" fontId="92" fillId="0" borderId="74" xfId="14" applyFont="1" applyBorder="1" applyAlignment="1">
      <alignment horizontal="center" vertical="center" shrinkToFit="1"/>
    </xf>
    <xf numFmtId="49" fontId="108" fillId="0" borderId="51" xfId="14" applyNumberFormat="1" applyFont="1" applyBorder="1" applyAlignment="1">
      <alignment horizontal="center" vertical="center"/>
    </xf>
    <xf numFmtId="0" fontId="105" fillId="32" borderId="51" xfId="14" applyFont="1" applyFill="1" applyBorder="1" applyAlignment="1">
      <alignment horizontal="center" vertical="center"/>
    </xf>
    <xf numFmtId="49" fontId="103" fillId="0" borderId="64" xfId="14" applyNumberFormat="1" applyFont="1" applyBorder="1" applyAlignment="1">
      <alignment horizontal="left" vertical="top" wrapText="1"/>
    </xf>
    <xf numFmtId="49" fontId="103" fillId="0" borderId="74" xfId="14" applyNumberFormat="1" applyFont="1" applyBorder="1" applyAlignment="1">
      <alignment horizontal="left" vertical="top" wrapText="1"/>
    </xf>
    <xf numFmtId="0" fontId="105" fillId="29" borderId="51" xfId="14" applyFont="1" applyFill="1" applyBorder="1" applyAlignment="1">
      <alignment horizontal="center" vertical="center"/>
    </xf>
    <xf numFmtId="0" fontId="105" fillId="29" borderId="77" xfId="14" applyFont="1" applyFill="1" applyBorder="1" applyAlignment="1">
      <alignment horizontal="center" vertical="center" textRotation="90"/>
    </xf>
    <xf numFmtId="0" fontId="7" fillId="0" borderId="76" xfId="14" applyFont="1" applyBorder="1"/>
    <xf numFmtId="0" fontId="7" fillId="0" borderId="75" xfId="14" applyFont="1" applyBorder="1"/>
    <xf numFmtId="49" fontId="83" fillId="0" borderId="74" xfId="14" applyNumberFormat="1" applyBorder="1" applyAlignment="1">
      <alignment horizontal="left" vertical="center" shrinkToFit="1"/>
    </xf>
    <xf numFmtId="49" fontId="89" fillId="0" borderId="67" xfId="14" applyNumberFormat="1" applyFont="1" applyBorder="1" applyAlignment="1">
      <alignment horizontal="left" vertical="center" shrinkToFit="1"/>
    </xf>
    <xf numFmtId="0" fontId="89" fillId="0" borderId="54" xfId="14" applyFont="1" applyBorder="1" applyAlignment="1">
      <alignment horizontal="center" vertical="center"/>
    </xf>
    <xf numFmtId="0" fontId="124" fillId="28" borderId="51" xfId="14" applyFont="1" applyFill="1" applyBorder="1" applyAlignment="1">
      <alignment horizontal="center"/>
    </xf>
    <xf numFmtId="166" fontId="119" fillId="0" borderId="78" xfId="14" applyNumberFormat="1" applyFont="1" applyBorder="1" applyAlignment="1">
      <alignment horizontal="center" vertical="top"/>
    </xf>
    <xf numFmtId="49" fontId="92" fillId="0" borderId="38" xfId="14" applyNumberFormat="1" applyFont="1" applyBorder="1" applyAlignment="1">
      <alignment horizontal="center" vertical="top" shrinkToFit="1"/>
    </xf>
    <xf numFmtId="0" fontId="113" fillId="0" borderId="53" xfId="14" applyFont="1" applyBorder="1" applyAlignment="1">
      <alignment horizontal="center" vertical="center" shrinkToFit="1"/>
    </xf>
    <xf numFmtId="0" fontId="92" fillId="0" borderId="80" xfId="14" applyFont="1" applyBorder="1" applyAlignment="1">
      <alignment horizontal="left" vertical="top"/>
    </xf>
    <xf numFmtId="0" fontId="92" fillId="0" borderId="83" xfId="14" applyFont="1" applyBorder="1" applyAlignment="1">
      <alignment horizontal="left" vertical="top"/>
    </xf>
    <xf numFmtId="166" fontId="89" fillId="0" borderId="66" xfId="14" applyNumberFormat="1" applyFont="1" applyBorder="1" applyAlignment="1">
      <alignment horizontal="center" vertical="center"/>
    </xf>
    <xf numFmtId="0" fontId="124" fillId="38" borderId="51" xfId="14" applyFont="1" applyFill="1" applyBorder="1" applyAlignment="1">
      <alignment horizontal="center"/>
    </xf>
    <xf numFmtId="0" fontId="89" fillId="0" borderId="45" xfId="14" applyFont="1" applyBorder="1" applyAlignment="1">
      <alignment horizontal="center" vertical="center"/>
    </xf>
    <xf numFmtId="0" fontId="105" fillId="29" borderId="71" xfId="14" applyFont="1" applyFill="1" applyBorder="1" applyAlignment="1">
      <alignment horizontal="center"/>
    </xf>
    <xf numFmtId="0" fontId="116" fillId="33" borderId="88" xfId="14" applyFont="1" applyFill="1" applyBorder="1" applyAlignment="1">
      <alignment horizontal="left" vertical="center" wrapText="1"/>
    </xf>
    <xf numFmtId="0" fontId="114" fillId="34" borderId="74" xfId="14" applyFont="1" applyFill="1" applyBorder="1" applyAlignment="1">
      <alignment horizontal="center" vertical="center"/>
    </xf>
    <xf numFmtId="166" fontId="113" fillId="0" borderId="53" xfId="14" applyNumberFormat="1" applyFont="1" applyBorder="1" applyAlignment="1">
      <alignment horizontal="center" vertical="center" shrinkToFit="1"/>
    </xf>
    <xf numFmtId="166" fontId="89" fillId="0" borderId="47" xfId="14" applyNumberFormat="1" applyFont="1" applyBorder="1" applyAlignment="1">
      <alignment horizontal="center" vertical="center"/>
    </xf>
    <xf numFmtId="0" fontId="89" fillId="0" borderId="44" xfId="14" applyFont="1" applyBorder="1" applyAlignment="1">
      <alignment horizontal="center" vertical="center" shrinkToFit="1"/>
    </xf>
    <xf numFmtId="0" fontId="7" fillId="0" borderId="39" xfId="14" applyFont="1" applyBorder="1"/>
    <xf numFmtId="0" fontId="104" fillId="34" borderId="49" xfId="14" applyFont="1" applyFill="1" applyBorder="1" applyAlignment="1">
      <alignment horizontal="center" vertical="center"/>
    </xf>
    <xf numFmtId="0" fontId="105" fillId="29" borderId="51" xfId="14" applyFont="1" applyFill="1" applyBorder="1" applyAlignment="1">
      <alignment horizontal="center" vertical="center" shrinkToFit="1"/>
    </xf>
    <xf numFmtId="0" fontId="111" fillId="33" borderId="49" xfId="14" applyFont="1" applyFill="1" applyBorder="1" applyAlignment="1">
      <alignment horizontal="center" vertical="center"/>
    </xf>
    <xf numFmtId="0" fontId="104" fillId="34" borderId="47" xfId="14" applyFont="1" applyFill="1" applyBorder="1" applyAlignment="1">
      <alignment horizontal="center" vertical="center"/>
    </xf>
    <xf numFmtId="0" fontId="125" fillId="0" borderId="44" xfId="14" applyFont="1" applyBorder="1" applyAlignment="1">
      <alignment horizontal="center" vertical="center" shrinkToFit="1"/>
    </xf>
    <xf numFmtId="0" fontId="113" fillId="0" borderId="49" xfId="14" applyFont="1" applyBorder="1" applyAlignment="1">
      <alignment horizontal="left" vertical="center" shrinkToFit="1"/>
    </xf>
    <xf numFmtId="166" fontId="125" fillId="0" borderId="0" xfId="14" applyNumberFormat="1" applyFont="1" applyAlignment="1">
      <alignment horizontal="center" vertical="center"/>
    </xf>
    <xf numFmtId="166" fontId="123" fillId="0" borderId="49" xfId="14" applyNumberFormat="1" applyFont="1" applyBorder="1" applyAlignment="1">
      <alignment horizontal="center" vertical="center" shrinkToFit="1"/>
    </xf>
    <xf numFmtId="166" fontId="137" fillId="31" borderId="51" xfId="14" applyNumberFormat="1" applyFont="1" applyFill="1" applyBorder="1" applyAlignment="1">
      <alignment horizontal="right" vertical="center" shrinkToFit="1"/>
    </xf>
    <xf numFmtId="0" fontId="109" fillId="34" borderId="51" xfId="14" applyFont="1" applyFill="1" applyBorder="1" applyAlignment="1">
      <alignment horizontal="center" vertical="center"/>
    </xf>
    <xf numFmtId="0" fontId="135" fillId="0" borderId="74" xfId="14" applyFont="1" applyBorder="1" applyAlignment="1">
      <alignment horizontal="center" vertical="center"/>
    </xf>
    <xf numFmtId="0" fontId="134" fillId="0" borderId="51" xfId="14" applyFont="1" applyBorder="1" applyAlignment="1">
      <alignment horizontal="center" vertical="center" shrinkToFit="1"/>
    </xf>
    <xf numFmtId="0" fontId="116" fillId="31" borderId="49" xfId="14" applyFont="1" applyFill="1" applyBorder="1" applyAlignment="1">
      <alignment horizontal="center" vertical="center"/>
    </xf>
    <xf numFmtId="0" fontId="116" fillId="34" borderId="49" xfId="14" applyFont="1" applyFill="1" applyBorder="1" applyAlignment="1">
      <alignment horizontal="center" vertical="center"/>
    </xf>
    <xf numFmtId="166" fontId="125" fillId="0" borderId="40" xfId="14" applyNumberFormat="1" applyFont="1" applyBorder="1" applyAlignment="1">
      <alignment horizontal="center" vertical="center" shrinkToFit="1"/>
    </xf>
    <xf numFmtId="0" fontId="111" fillId="33" borderId="38" xfId="14" applyFont="1" applyFill="1" applyBorder="1" applyAlignment="1">
      <alignment horizontal="right" vertical="center"/>
    </xf>
    <xf numFmtId="0" fontId="125" fillId="0" borderId="40" xfId="14" applyFont="1" applyBorder="1" applyAlignment="1">
      <alignment horizontal="center" vertical="center" shrinkToFit="1"/>
    </xf>
    <xf numFmtId="0" fontId="107" fillId="34" borderId="51" xfId="14" applyFont="1" applyFill="1" applyBorder="1" applyAlignment="1">
      <alignment horizontal="center" vertical="center" shrinkToFit="1"/>
    </xf>
    <xf numFmtId="0" fontId="114" fillId="0" borderId="45" xfId="14" applyFont="1" applyBorder="1" applyAlignment="1">
      <alignment horizontal="center" vertical="center"/>
    </xf>
    <xf numFmtId="0" fontId="114" fillId="0" borderId="74" xfId="14" applyFont="1" applyBorder="1" applyAlignment="1">
      <alignment horizontal="center" vertical="center"/>
    </xf>
    <xf numFmtId="0" fontId="111" fillId="33" borderId="40" xfId="14" applyFont="1" applyFill="1" applyBorder="1" applyAlignment="1">
      <alignment horizontal="right" vertical="center" shrinkToFit="1"/>
    </xf>
    <xf numFmtId="0" fontId="107" fillId="31" borderId="88" xfId="14" applyFont="1" applyFill="1" applyBorder="1" applyAlignment="1">
      <alignment horizontal="center" vertical="center" wrapText="1"/>
    </xf>
    <xf numFmtId="0" fontId="7" fillId="0" borderId="89" xfId="14" applyFont="1" applyBorder="1"/>
    <xf numFmtId="0" fontId="116" fillId="37" borderId="88" xfId="14" applyFont="1" applyFill="1" applyBorder="1" applyAlignment="1">
      <alignment horizontal="center" vertical="center" wrapText="1"/>
    </xf>
    <xf numFmtId="0" fontId="99" fillId="39" borderId="51" xfId="14" applyFont="1" applyFill="1" applyBorder="1" applyAlignment="1">
      <alignment horizontal="right" vertical="center" shrinkToFit="1"/>
    </xf>
    <xf numFmtId="1" fontId="138" fillId="0" borderId="45" xfId="14" applyNumberFormat="1" applyFont="1" applyBorder="1" applyAlignment="1">
      <alignment horizontal="center" vertical="center"/>
    </xf>
    <xf numFmtId="0" fontId="136" fillId="0" borderId="74" xfId="14" applyFont="1" applyBorder="1" applyAlignment="1">
      <alignment horizontal="center" vertical="center"/>
    </xf>
    <xf numFmtId="0" fontId="133" fillId="29" borderId="51" xfId="14" applyFont="1" applyFill="1" applyBorder="1" applyAlignment="1">
      <alignment horizontal="center" vertical="center"/>
    </xf>
    <xf numFmtId="0" fontId="105" fillId="29" borderId="51" xfId="14" applyFont="1" applyFill="1" applyBorder="1" applyAlignment="1">
      <alignment horizontal="left" vertical="center" shrinkToFit="1"/>
    </xf>
    <xf numFmtId="168" fontId="116" fillId="35" borderId="74" xfId="14" applyNumberFormat="1" applyFont="1" applyFill="1" applyBorder="1" applyAlignment="1">
      <alignment horizontal="center" vertical="center" shrinkToFit="1"/>
    </xf>
    <xf numFmtId="49" fontId="83" fillId="0" borderId="41" xfId="14" applyNumberFormat="1" applyBorder="1" applyAlignment="1">
      <alignment horizontal="left" vertical="center" shrinkToFit="1"/>
    </xf>
    <xf numFmtId="49" fontId="83" fillId="0" borderId="71" xfId="14" applyNumberFormat="1" applyBorder="1" applyAlignment="1">
      <alignment horizontal="left" vertical="center" shrinkToFit="1"/>
    </xf>
    <xf numFmtId="0" fontId="114" fillId="31" borderId="50" xfId="14" applyFont="1" applyFill="1" applyBorder="1" applyAlignment="1">
      <alignment horizontal="center" vertical="center"/>
    </xf>
    <xf numFmtId="0" fontId="91" fillId="27" borderId="44" xfId="14" applyFont="1" applyFill="1" applyBorder="1" applyAlignment="1">
      <alignment horizontal="center" vertical="top" wrapText="1"/>
    </xf>
    <xf numFmtId="0" fontId="7" fillId="27" borderId="43" xfId="14" applyFont="1" applyFill="1" applyBorder="1"/>
    <xf numFmtId="0" fontId="91" fillId="28" borderId="44" xfId="14" applyFont="1" applyFill="1" applyBorder="1" applyAlignment="1">
      <alignment horizontal="center" vertical="top" wrapText="1"/>
    </xf>
    <xf numFmtId="0" fontId="7" fillId="28" borderId="43" xfId="14" applyFont="1" applyFill="1" applyBorder="1"/>
    <xf numFmtId="49" fontId="92" fillId="0" borderId="66" xfId="14" applyNumberFormat="1" applyFont="1" applyBorder="1" applyAlignment="1">
      <alignment horizontal="center" vertical="top" shrinkToFit="1"/>
    </xf>
    <xf numFmtId="49" fontId="113" fillId="0" borderId="71" xfId="14" applyNumberFormat="1" applyFont="1" applyBorder="1" applyAlignment="1">
      <alignment horizontal="center" vertical="center" shrinkToFit="1"/>
    </xf>
    <xf numFmtId="49" fontId="113" fillId="0" borderId="56" xfId="14" applyNumberFormat="1" applyFont="1" applyBorder="1" applyAlignment="1">
      <alignment horizontal="center" vertical="center" shrinkToFit="1"/>
    </xf>
    <xf numFmtId="0" fontId="113" fillId="0" borderId="71" xfId="14" applyFont="1" applyBorder="1" applyAlignment="1">
      <alignment horizontal="left" vertical="center" shrinkToFit="1"/>
    </xf>
    <xf numFmtId="0" fontId="113" fillId="0" borderId="56" xfId="14" applyFont="1" applyBorder="1" applyAlignment="1">
      <alignment horizontal="left" vertical="center" shrinkToFit="1"/>
    </xf>
    <xf numFmtId="0" fontId="91" fillId="28" borderId="0" xfId="14" applyFont="1" applyFill="1" applyAlignment="1">
      <alignment horizontal="center" vertical="top" wrapText="1"/>
    </xf>
    <xf numFmtId="0" fontId="92" fillId="0" borderId="54" xfId="14" applyFont="1" applyBorder="1" applyAlignment="1">
      <alignment horizontal="center" vertical="center"/>
    </xf>
    <xf numFmtId="0" fontId="98" fillId="29" borderId="49" xfId="14" applyFont="1" applyFill="1" applyBorder="1" applyAlignment="1">
      <alignment horizontal="center" vertical="top" wrapText="1"/>
    </xf>
    <xf numFmtId="0" fontId="7" fillId="29" borderId="47" xfId="14" applyFont="1" applyFill="1" applyBorder="1"/>
    <xf numFmtId="0" fontId="7" fillId="29" borderId="48" xfId="14" applyFont="1" applyFill="1" applyBorder="1"/>
    <xf numFmtId="49" fontId="92" fillId="0" borderId="56" xfId="14" applyNumberFormat="1" applyFont="1" applyBorder="1" applyAlignment="1">
      <alignment horizontal="left" vertical="center" shrinkToFit="1"/>
    </xf>
    <xf numFmtId="0" fontId="101" fillId="0" borderId="0" xfId="14" applyFont="1" applyAlignment="1">
      <alignment horizontal="center" vertical="center"/>
    </xf>
    <xf numFmtId="0" fontId="105" fillId="32" borderId="51" xfId="14" applyFont="1" applyFill="1" applyBorder="1" applyAlignment="1">
      <alignment horizontal="left" vertical="center"/>
    </xf>
    <xf numFmtId="49" fontId="92" fillId="0" borderId="71" xfId="14" applyNumberFormat="1" applyFont="1" applyBorder="1" applyAlignment="1">
      <alignment horizontal="left" vertical="center" shrinkToFit="1"/>
    </xf>
    <xf numFmtId="0" fontId="92" fillId="28" borderId="45" xfId="14" applyFont="1" applyFill="1" applyBorder="1" applyAlignment="1">
      <alignment vertical="center"/>
    </xf>
    <xf numFmtId="0" fontId="92" fillId="27" borderId="45" xfId="14" applyFont="1" applyFill="1" applyBorder="1" applyAlignment="1">
      <alignment vertical="center"/>
    </xf>
    <xf numFmtId="0" fontId="91" fillId="28" borderId="44" xfId="14" applyFont="1" applyFill="1" applyBorder="1" applyAlignment="1">
      <alignment vertical="center"/>
    </xf>
    <xf numFmtId="0" fontId="89" fillId="0" borderId="0" xfId="14" applyFont="1" applyAlignment="1">
      <alignment vertical="center"/>
    </xf>
    <xf numFmtId="0" fontId="92" fillId="27" borderId="41" xfId="14" applyFont="1" applyFill="1" applyBorder="1" applyAlignment="1">
      <alignment vertical="center"/>
    </xf>
    <xf numFmtId="0" fontId="7" fillId="27" borderId="38" xfId="14" applyFont="1" applyFill="1" applyBorder="1"/>
    <xf numFmtId="0" fontId="7" fillId="27" borderId="39" xfId="14" applyFont="1" applyFill="1" applyBorder="1"/>
    <xf numFmtId="0" fontId="91" fillId="27" borderId="40" xfId="14" applyFont="1" applyFill="1" applyBorder="1" applyAlignment="1">
      <alignment vertical="center"/>
    </xf>
    <xf numFmtId="0" fontId="91" fillId="27" borderId="44" xfId="14" applyFont="1" applyFill="1" applyBorder="1" applyAlignment="1">
      <alignment vertical="center"/>
    </xf>
    <xf numFmtId="49" fontId="93" fillId="27" borderId="45" xfId="14" applyNumberFormat="1" applyFont="1" applyFill="1" applyBorder="1" applyAlignment="1">
      <alignment horizontal="left" vertical="center" shrinkToFit="1"/>
    </xf>
    <xf numFmtId="49" fontId="93" fillId="28" borderId="45" xfId="14" applyNumberFormat="1" applyFont="1" applyFill="1" applyBorder="1" applyAlignment="1">
      <alignment horizontal="left" vertical="center" shrinkToFit="1"/>
    </xf>
    <xf numFmtId="0" fontId="91" fillId="28" borderId="44" xfId="14" applyFont="1" applyFill="1" applyBorder="1" applyAlignment="1">
      <alignment horizontal="center" vertical="center" shrinkToFit="1"/>
    </xf>
    <xf numFmtId="0" fontId="91" fillId="27" borderId="44" xfId="14" applyFont="1" applyFill="1" applyBorder="1" applyAlignment="1">
      <alignment horizontal="center" vertical="center" shrinkToFit="1"/>
    </xf>
    <xf numFmtId="0" fontId="91" fillId="28" borderId="0" xfId="14" applyFont="1" applyFill="1" applyAlignment="1">
      <alignment horizontal="center" vertical="center" shrinkToFit="1"/>
    </xf>
    <xf numFmtId="0" fontId="91" fillId="27" borderId="0" xfId="14" applyFont="1" applyFill="1" applyAlignment="1">
      <alignment horizontal="center" vertical="top" wrapText="1"/>
    </xf>
    <xf numFmtId="0" fontId="91" fillId="28" borderId="0" xfId="14" applyFont="1" applyFill="1" applyAlignment="1">
      <alignment vertical="center"/>
    </xf>
    <xf numFmtId="49" fontId="91" fillId="27" borderId="0" xfId="14" applyNumberFormat="1" applyFont="1" applyFill="1" applyAlignment="1">
      <alignment horizontal="left" vertical="center" shrinkToFit="1"/>
    </xf>
    <xf numFmtId="0" fontId="7" fillId="27" borderId="42" xfId="14" applyFont="1" applyFill="1" applyBorder="1"/>
    <xf numFmtId="0" fontId="101" fillId="0" borderId="0" xfId="14" applyFont="1" applyAlignment="1">
      <alignment horizontal="left" vertical="center"/>
    </xf>
    <xf numFmtId="49" fontId="91" fillId="28" borderId="0" xfId="14" applyNumberFormat="1" applyFont="1" applyFill="1" applyAlignment="1">
      <alignment horizontal="left" vertical="center" shrinkToFit="1"/>
    </xf>
    <xf numFmtId="0" fontId="7" fillId="28" borderId="42" xfId="14" applyFont="1" applyFill="1" applyBorder="1"/>
    <xf numFmtId="49" fontId="91" fillId="28" borderId="0" xfId="14" applyNumberFormat="1" applyFont="1" applyFill="1" applyAlignment="1">
      <alignment horizontal="left" vertical="top" wrapText="1"/>
    </xf>
    <xf numFmtId="0" fontId="91" fillId="27" borderId="0" xfId="14" applyFont="1" applyFill="1" applyAlignment="1">
      <alignment horizontal="center" vertical="center" shrinkToFit="1"/>
    </xf>
    <xf numFmtId="0" fontId="88" fillId="0" borderId="0" xfId="14" applyFont="1" applyAlignment="1">
      <alignment horizontal="left" vertical="center"/>
    </xf>
    <xf numFmtId="0" fontId="91" fillId="27" borderId="0" xfId="14" applyFont="1" applyFill="1" applyAlignment="1">
      <alignment vertical="center"/>
    </xf>
    <xf numFmtId="0" fontId="90" fillId="27" borderId="0" xfId="14" applyFont="1" applyFill="1" applyAlignment="1">
      <alignment horizontal="left" vertical="center"/>
    </xf>
    <xf numFmtId="0" fontId="90" fillId="28" borderId="0" xfId="14" applyFont="1" applyFill="1" applyAlignment="1">
      <alignment horizontal="left" vertical="center"/>
    </xf>
    <xf numFmtId="0" fontId="91" fillId="27" borderId="38" xfId="14" applyFont="1" applyFill="1" applyBorder="1" applyAlignment="1">
      <alignment vertical="center"/>
    </xf>
    <xf numFmtId="0" fontId="90" fillId="27" borderId="38" xfId="14" applyFont="1" applyFill="1" applyBorder="1" applyAlignment="1">
      <alignment horizontal="left" vertical="center"/>
    </xf>
    <xf numFmtId="0" fontId="7" fillId="27" borderId="37" xfId="14" applyFont="1" applyFill="1" applyBorder="1"/>
    <xf numFmtId="49" fontId="89" fillId="0" borderId="74" xfId="14" applyNumberFormat="1" applyFont="1" applyBorder="1" applyAlignment="1">
      <alignment horizontal="left" vertical="center" shrinkToFit="1"/>
    </xf>
    <xf numFmtId="0" fontId="143" fillId="42" borderId="0" xfId="14" applyFont="1" applyFill="1" applyAlignment="1">
      <alignment horizontal="center" vertical="center"/>
    </xf>
    <xf numFmtId="49" fontId="88" fillId="24" borderId="74" xfId="14" applyNumberFormat="1" applyFont="1" applyFill="1" applyBorder="1" applyAlignment="1">
      <alignment horizontal="center" vertical="center" shrinkToFit="1"/>
    </xf>
    <xf numFmtId="0" fontId="105" fillId="29" borderId="74" xfId="14" applyFont="1" applyFill="1" applyBorder="1" applyAlignment="1">
      <alignment horizontal="right" vertical="center"/>
    </xf>
    <xf numFmtId="0" fontId="142" fillId="32" borderId="74" xfId="14" applyFont="1" applyFill="1" applyBorder="1" applyAlignment="1">
      <alignment horizontal="right" vertical="center"/>
    </xf>
    <xf numFmtId="0" fontId="105" fillId="29" borderId="73" xfId="14" applyFont="1" applyFill="1" applyBorder="1" applyAlignment="1">
      <alignment horizontal="right" vertical="center"/>
    </xf>
    <xf numFmtId="0" fontId="7" fillId="0" borderId="0" xfId="14" applyFont="1"/>
    <xf numFmtId="0" fontId="133" fillId="32" borderId="51" xfId="14" applyFont="1" applyFill="1" applyBorder="1" applyAlignment="1">
      <alignment horizontal="center" vertical="center" shrinkToFit="1"/>
    </xf>
    <xf numFmtId="49" fontId="105" fillId="40" borderId="51" xfId="14" applyNumberFormat="1" applyFont="1" applyFill="1" applyBorder="1" applyAlignment="1">
      <alignment horizontal="center" vertical="center" shrinkToFit="1"/>
    </xf>
    <xf numFmtId="49" fontId="93" fillId="0" borderId="45" xfId="14" applyNumberFormat="1" applyFont="1" applyBorder="1" applyAlignment="1">
      <alignment horizontal="center" vertical="center" shrinkToFit="1"/>
    </xf>
    <xf numFmtId="0" fontId="127" fillId="0" borderId="74" xfId="14" applyFont="1" applyBorder="1" applyAlignment="1">
      <alignment horizontal="center" vertical="center"/>
    </xf>
    <xf numFmtId="0" fontId="107" fillId="34" borderId="47" xfId="14" applyFont="1" applyFill="1" applyBorder="1" applyAlignment="1">
      <alignment horizontal="center" vertical="center"/>
    </xf>
    <xf numFmtId="49" fontId="116" fillId="0" borderId="56" xfId="14" applyNumberFormat="1" applyFont="1" applyBorder="1" applyAlignment="1">
      <alignment horizontal="center" vertical="center"/>
    </xf>
    <xf numFmtId="0" fontId="111" fillId="34" borderId="49" xfId="14" applyFont="1" applyFill="1" applyBorder="1" applyAlignment="1">
      <alignment horizontal="center" vertical="center" shrinkToFit="1"/>
    </xf>
    <xf numFmtId="0" fontId="107" fillId="35" borderId="51" xfId="14" applyFont="1" applyFill="1" applyBorder="1" applyAlignment="1">
      <alignment horizontal="center" vertical="center"/>
    </xf>
    <xf numFmtId="49" fontId="89" fillId="0" borderId="73" xfId="14" applyNumberFormat="1" applyFont="1" applyBorder="1" applyAlignment="1">
      <alignment vertical="center" wrapText="1"/>
    </xf>
    <xf numFmtId="49" fontId="89" fillId="0" borderId="74" xfId="14" applyNumberFormat="1" applyFont="1" applyBorder="1" applyAlignment="1">
      <alignment vertical="center" wrapText="1"/>
    </xf>
    <xf numFmtId="0" fontId="98" fillId="32" borderId="73" xfId="14" applyFont="1" applyFill="1" applyBorder="1" applyAlignment="1">
      <alignment horizontal="right" vertical="center" wrapText="1"/>
    </xf>
    <xf numFmtId="0" fontId="105" fillId="32" borderId="71" xfId="14" applyFont="1" applyFill="1" applyBorder="1" applyAlignment="1">
      <alignment horizontal="center" vertical="center"/>
    </xf>
    <xf numFmtId="0" fontId="111" fillId="34" borderId="49" xfId="14" applyFont="1" applyFill="1" applyBorder="1" applyAlignment="1">
      <alignment horizontal="center" vertical="center" wrapText="1"/>
    </xf>
    <xf numFmtId="0" fontId="111" fillId="33" borderId="49" xfId="14" applyFont="1" applyFill="1" applyBorder="1" applyAlignment="1">
      <alignment horizontal="center" vertical="center" shrinkToFit="1"/>
    </xf>
    <xf numFmtId="49" fontId="116" fillId="0" borderId="61" xfId="14" applyNumberFormat="1" applyFont="1" applyBorder="1" applyAlignment="1">
      <alignment horizontal="center" vertical="center"/>
    </xf>
    <xf numFmtId="0" fontId="142" fillId="29" borderId="74" xfId="14" applyFont="1" applyFill="1" applyBorder="1" applyAlignment="1">
      <alignment horizontal="right" vertical="center"/>
    </xf>
    <xf numFmtId="49" fontId="116" fillId="0" borderId="67" xfId="14" applyNumberFormat="1" applyFont="1" applyBorder="1" applyAlignment="1">
      <alignment horizontal="center" vertical="center"/>
    </xf>
    <xf numFmtId="0" fontId="105" fillId="36" borderId="51" xfId="14" applyFont="1" applyFill="1" applyBorder="1" applyAlignment="1">
      <alignment horizontal="center" vertical="center"/>
    </xf>
    <xf numFmtId="49" fontId="89" fillId="0" borderId="58" xfId="14" applyNumberFormat="1" applyFont="1" applyBorder="1" applyAlignment="1">
      <alignment horizontal="center" vertical="center"/>
    </xf>
    <xf numFmtId="3" fontId="89" fillId="0" borderId="51" xfId="14" applyNumberFormat="1" applyFont="1" applyBorder="1" applyAlignment="1">
      <alignment horizontal="center" vertical="center"/>
    </xf>
    <xf numFmtId="0" fontId="105" fillId="41" borderId="51" xfId="14" applyFont="1" applyFill="1" applyBorder="1" applyAlignment="1">
      <alignment horizontal="left" vertical="center"/>
    </xf>
    <xf numFmtId="166" fontId="89" fillId="0" borderId="38" xfId="14" applyNumberFormat="1" applyFont="1" applyBorder="1" applyAlignment="1">
      <alignment horizontal="center" vertical="center"/>
    </xf>
    <xf numFmtId="0" fontId="89" fillId="0" borderId="73" xfId="14" applyFont="1" applyBorder="1" applyAlignment="1">
      <alignment horizontal="center" vertical="center" shrinkToFit="1"/>
    </xf>
    <xf numFmtId="0" fontId="89" fillId="0" borderId="66" xfId="14" applyFont="1" applyBorder="1" applyAlignment="1">
      <alignment horizontal="left" vertical="center"/>
    </xf>
    <xf numFmtId="49" fontId="89" fillId="0" borderId="74" xfId="14" applyNumberFormat="1" applyFont="1" applyBorder="1" applyAlignment="1">
      <alignment horizontal="center" vertical="center" shrinkToFit="1"/>
    </xf>
    <xf numFmtId="49" fontId="139" fillId="0" borderId="74" xfId="14" applyNumberFormat="1" applyFont="1" applyBorder="1" applyAlignment="1">
      <alignment horizontal="center" vertical="center" shrinkToFit="1"/>
    </xf>
    <xf numFmtId="0" fontId="89" fillId="0" borderId="38" xfId="14" applyFont="1" applyBorder="1" applyAlignment="1">
      <alignment horizontal="left" vertical="center"/>
    </xf>
    <xf numFmtId="49" fontId="89" fillId="0" borderId="59" xfId="14" applyNumberFormat="1" applyFont="1" applyBorder="1" applyAlignment="1">
      <alignment horizontal="left" vertical="center"/>
    </xf>
    <xf numFmtId="0" fontId="104" fillId="34" borderId="61" xfId="14" applyFont="1" applyFill="1" applyBorder="1" applyAlignment="1">
      <alignment horizontal="right" vertical="center"/>
    </xf>
    <xf numFmtId="0" fontId="107" fillId="31" borderId="51" xfId="14" applyFont="1" applyFill="1" applyBorder="1" applyAlignment="1">
      <alignment horizontal="center" vertical="center"/>
    </xf>
    <xf numFmtId="166" fontId="139" fillId="0" borderId="51" xfId="14" applyNumberFormat="1" applyFont="1" applyBorder="1" applyAlignment="1">
      <alignment horizontal="center" vertical="center"/>
    </xf>
    <xf numFmtId="0" fontId="125" fillId="0" borderId="49" xfId="14" applyFont="1" applyBorder="1" applyAlignment="1">
      <alignment horizontal="center" vertical="center"/>
    </xf>
    <xf numFmtId="49" fontId="120" fillId="0" borderId="74" xfId="14" applyNumberFormat="1" applyFont="1" applyBorder="1" applyAlignment="1">
      <alignment horizontal="center" vertical="center" wrapText="1"/>
    </xf>
    <xf numFmtId="0" fontId="133" fillId="32" borderId="40" xfId="14" applyFont="1" applyFill="1" applyBorder="1" applyAlignment="1">
      <alignment horizontal="right" vertical="center" shrinkToFit="1"/>
    </xf>
    <xf numFmtId="0" fontId="133" fillId="32" borderId="41" xfId="14" applyFont="1" applyFill="1" applyBorder="1" applyAlignment="1">
      <alignment horizontal="right" vertical="center" shrinkToFit="1"/>
    </xf>
    <xf numFmtId="0" fontId="89" fillId="0" borderId="88" xfId="14" applyFont="1" applyBorder="1" applyAlignment="1">
      <alignment horizontal="center" vertical="center" shrinkToFit="1"/>
    </xf>
    <xf numFmtId="0" fontId="132" fillId="0" borderId="51" xfId="14" applyFont="1" applyBorder="1" applyAlignment="1">
      <alignment vertical="center"/>
    </xf>
    <xf numFmtId="0" fontId="128" fillId="35" borderId="45" xfId="14" applyFont="1" applyFill="1" applyBorder="1" applyAlignment="1">
      <alignment horizontal="center" vertical="center" textRotation="90"/>
    </xf>
    <xf numFmtId="0" fontId="89" fillId="0" borderId="67" xfId="14" applyFont="1" applyBorder="1" applyAlignment="1">
      <alignment horizontal="center" vertical="center"/>
    </xf>
    <xf numFmtId="0" fontId="100" fillId="35" borderId="77" xfId="14" applyFont="1" applyFill="1" applyBorder="1" applyAlignment="1">
      <alignment vertical="center"/>
    </xf>
    <xf numFmtId="4" fontId="114" fillId="35" borderId="73" xfId="14" applyNumberFormat="1" applyFont="1" applyFill="1" applyBorder="1" applyAlignment="1">
      <alignment horizontal="center" vertical="center" shrinkToFit="1"/>
    </xf>
    <xf numFmtId="4" fontId="114" fillId="35" borderId="38" xfId="14" applyNumberFormat="1" applyFont="1" applyFill="1" applyBorder="1" applyAlignment="1">
      <alignment horizontal="center" vertical="center" shrinkToFit="1"/>
    </xf>
    <xf numFmtId="0" fontId="89" fillId="0" borderId="78" xfId="14" applyFont="1" applyBorder="1" applyAlignment="1">
      <alignment horizontal="center" vertical="center"/>
    </xf>
    <xf numFmtId="166" fontId="89" fillId="0" borderId="50" xfId="14" applyNumberFormat="1" applyFont="1" applyBorder="1" applyAlignment="1">
      <alignment horizontal="center" vertical="center"/>
    </xf>
    <xf numFmtId="0" fontId="131" fillId="29" borderId="51" xfId="14" applyFont="1" applyFill="1" applyBorder="1" applyAlignment="1">
      <alignment horizontal="center" vertical="center" shrinkToFit="1"/>
    </xf>
    <xf numFmtId="166" fontId="127" fillId="0" borderId="74" xfId="14" applyNumberFormat="1" applyFont="1" applyBorder="1" applyAlignment="1">
      <alignment horizontal="center" vertical="center"/>
    </xf>
    <xf numFmtId="0" fontId="84" fillId="0" borderId="72" xfId="14" applyFont="1" applyBorder="1" applyAlignment="1">
      <alignment horizontal="center" vertical="center"/>
    </xf>
    <xf numFmtId="0" fontId="114" fillId="35" borderId="51" xfId="14" applyFont="1" applyFill="1" applyBorder="1" applyAlignment="1">
      <alignment horizontal="center" vertical="center"/>
    </xf>
    <xf numFmtId="0" fontId="104" fillId="31" borderId="67" xfId="14" applyFont="1" applyFill="1" applyBorder="1" applyAlignment="1">
      <alignment horizontal="right" vertical="center"/>
    </xf>
    <xf numFmtId="0" fontId="116" fillId="0" borderId="69" xfId="14" applyFont="1" applyBorder="1" applyAlignment="1">
      <alignment horizontal="center" vertical="center"/>
    </xf>
    <xf numFmtId="0" fontId="116" fillId="0" borderId="49" xfId="14" applyFont="1" applyBorder="1" applyAlignment="1">
      <alignment horizontal="center" vertical="center" shrinkToFit="1"/>
    </xf>
    <xf numFmtId="0" fontId="140" fillId="0" borderId="54" xfId="14" applyFont="1" applyBorder="1" applyAlignment="1">
      <alignment horizontal="center" vertical="center"/>
    </xf>
    <xf numFmtId="49" fontId="89" fillId="0" borderId="90" xfId="14" applyNumberFormat="1" applyFont="1" applyBorder="1" applyAlignment="1">
      <alignment horizontal="center" vertical="center"/>
    </xf>
    <xf numFmtId="0" fontId="118" fillId="34" borderId="51" xfId="14" applyFont="1" applyFill="1" applyBorder="1" applyAlignment="1">
      <alignment horizontal="center" vertical="center"/>
    </xf>
    <xf numFmtId="0" fontId="89" fillId="0" borderId="49" xfId="14" applyFont="1" applyBorder="1" applyAlignment="1">
      <alignment horizontal="center" vertical="center"/>
    </xf>
    <xf numFmtId="0" fontId="116" fillId="34" borderId="56" xfId="14" applyFont="1" applyFill="1" applyBorder="1" applyAlignment="1">
      <alignment horizontal="right" vertical="center" wrapText="1"/>
    </xf>
    <xf numFmtId="0" fontId="116" fillId="31" borderId="64" xfId="14" applyFont="1" applyFill="1" applyBorder="1" applyAlignment="1">
      <alignment horizontal="right" vertical="center" wrapText="1"/>
    </xf>
    <xf numFmtId="0" fontId="7" fillId="0" borderId="91" xfId="14" applyFont="1" applyBorder="1"/>
    <xf numFmtId="0" fontId="118" fillId="33" borderId="51" xfId="14" applyFont="1" applyFill="1" applyBorder="1" applyAlignment="1">
      <alignment horizontal="center" vertical="center"/>
    </xf>
    <xf numFmtId="0" fontId="116" fillId="34" borderId="64" xfId="14" applyFont="1" applyFill="1" applyBorder="1" applyAlignment="1">
      <alignment horizontal="center" vertical="center"/>
    </xf>
    <xf numFmtId="49" fontId="92" fillId="0" borderId="54" xfId="14" applyNumberFormat="1" applyFont="1" applyBorder="1" applyAlignment="1">
      <alignment horizontal="left" vertical="center" wrapText="1"/>
    </xf>
    <xf numFmtId="49" fontId="92" fillId="0" borderId="90" xfId="14" applyNumberFormat="1" applyFont="1" applyBorder="1" applyAlignment="1">
      <alignment horizontal="left" vertical="center" wrapText="1"/>
    </xf>
    <xf numFmtId="49" fontId="89" fillId="0" borderId="78" xfId="14" applyNumberFormat="1" applyFont="1" applyBorder="1" applyAlignment="1">
      <alignment horizontal="left" vertical="center"/>
    </xf>
    <xf numFmtId="0" fontId="121" fillId="31" borderId="51" xfId="14" applyFont="1" applyFill="1" applyBorder="1" applyAlignment="1">
      <alignment horizontal="left" vertical="center"/>
    </xf>
    <xf numFmtId="0" fontId="89" fillId="0" borderId="50" xfId="14" applyFont="1" applyBorder="1" applyAlignment="1">
      <alignment horizontal="left" vertical="center"/>
    </xf>
    <xf numFmtId="0" fontId="89" fillId="0" borderId="41" xfId="14" applyFont="1" applyBorder="1" applyAlignment="1">
      <alignment horizontal="center" vertical="center"/>
    </xf>
    <xf numFmtId="0" fontId="89" fillId="0" borderId="47" xfId="14" applyFont="1" applyBorder="1" applyAlignment="1">
      <alignment horizontal="left" vertical="center"/>
    </xf>
    <xf numFmtId="0" fontId="116" fillId="0" borderId="44" xfId="14" applyFont="1" applyBorder="1" applyAlignment="1">
      <alignment horizontal="center" vertical="center" shrinkToFit="1"/>
    </xf>
    <xf numFmtId="0" fontId="114" fillId="33" borderId="49" xfId="14" applyFont="1" applyFill="1" applyBorder="1" applyAlignment="1">
      <alignment horizontal="center" vertical="center" shrinkToFit="1"/>
    </xf>
    <xf numFmtId="49" fontId="89" fillId="0" borderId="50" xfId="14" applyNumberFormat="1" applyFont="1" applyBorder="1" applyAlignment="1">
      <alignment horizontal="center" vertical="center" shrinkToFit="1"/>
    </xf>
    <xf numFmtId="49" fontId="89" fillId="0" borderId="53" xfId="14" applyNumberFormat="1" applyFont="1" applyBorder="1" applyAlignment="1">
      <alignment horizontal="center" vertical="center" shrinkToFit="1"/>
    </xf>
    <xf numFmtId="166" fontId="116" fillId="37" borderId="88" xfId="14" applyNumberFormat="1" applyFont="1" applyFill="1" applyBorder="1" applyAlignment="1">
      <alignment horizontal="center" vertical="center" wrapText="1"/>
    </xf>
    <xf numFmtId="0" fontId="104" fillId="35" borderId="51" xfId="14" applyFont="1" applyFill="1" applyBorder="1" applyAlignment="1">
      <alignment horizontal="center" vertical="center"/>
    </xf>
    <xf numFmtId="166" fontId="92" fillId="0" borderId="54" xfId="14" applyNumberFormat="1" applyFont="1" applyBorder="1" applyAlignment="1">
      <alignment horizontal="center" vertical="top"/>
    </xf>
    <xf numFmtId="166" fontId="92" fillId="0" borderId="59" xfId="14" applyNumberFormat="1" applyFont="1" applyBorder="1" applyAlignment="1">
      <alignment horizontal="center" vertical="top"/>
    </xf>
    <xf numFmtId="166" fontId="92" fillId="0" borderId="78" xfId="14" applyNumberFormat="1" applyFont="1" applyBorder="1" applyAlignment="1">
      <alignment horizontal="center" vertical="top"/>
    </xf>
    <xf numFmtId="49" fontId="89" fillId="0" borderId="44" xfId="14" applyNumberFormat="1" applyFont="1" applyBorder="1" applyAlignment="1">
      <alignment horizontal="center" vertical="center"/>
    </xf>
    <xf numFmtId="0" fontId="129" fillId="0" borderId="51" xfId="14" applyFont="1" applyBorder="1" applyAlignment="1">
      <alignment vertical="center"/>
    </xf>
    <xf numFmtId="0" fontId="105" fillId="32" borderId="74" xfId="14" applyFont="1" applyFill="1" applyBorder="1" applyAlignment="1">
      <alignment horizontal="center" vertical="center"/>
    </xf>
    <xf numFmtId="0" fontId="116" fillId="24" borderId="51" xfId="14" applyFont="1" applyFill="1" applyBorder="1" applyAlignment="1">
      <alignment horizontal="center" vertical="center"/>
    </xf>
    <xf numFmtId="0" fontId="20" fillId="5" borderId="2" xfId="6" applyAlignment="1">
      <alignment horizontal="center" vertical="center"/>
    </xf>
    <xf numFmtId="0" fontId="20" fillId="5" borderId="2" xfId="6"/>
    <xf numFmtId="0" fontId="112" fillId="32" borderId="74" xfId="14" applyFont="1" applyFill="1" applyBorder="1" applyAlignment="1">
      <alignment horizontal="right" vertical="center" wrapText="1"/>
    </xf>
    <xf numFmtId="0" fontId="141" fillId="34" borderId="51" xfId="14" applyFont="1" applyFill="1" applyBorder="1" applyAlignment="1">
      <alignment horizontal="center" vertical="center"/>
    </xf>
    <xf numFmtId="0" fontId="141" fillId="33" borderId="51" xfId="14" applyFont="1" applyFill="1" applyBorder="1" applyAlignment="1">
      <alignment horizontal="center" vertical="center"/>
    </xf>
    <xf numFmtId="0" fontId="140" fillId="0" borderId="56" xfId="14" applyFont="1" applyBorder="1" applyAlignment="1">
      <alignment horizontal="center" vertical="center"/>
    </xf>
    <xf numFmtId="0" fontId="116" fillId="0" borderId="71" xfId="14" applyFont="1" applyBorder="1" applyAlignment="1">
      <alignment horizontal="center" vertical="center"/>
    </xf>
    <xf numFmtId="49" fontId="89" fillId="0" borderId="66" xfId="14" applyNumberFormat="1" applyFont="1" applyBorder="1" applyAlignment="1">
      <alignment horizontal="center" vertical="center"/>
    </xf>
    <xf numFmtId="49" fontId="89" fillId="0" borderId="53" xfId="14" applyNumberFormat="1" applyFont="1" applyBorder="1" applyAlignment="1">
      <alignment horizontal="center" vertical="center"/>
    </xf>
    <xf numFmtId="0" fontId="105" fillId="36" borderId="49" xfId="14" applyFont="1" applyFill="1" applyBorder="1" applyAlignment="1">
      <alignment horizontal="center" vertical="center"/>
    </xf>
    <xf numFmtId="166" fontId="119" fillId="0" borderId="54" xfId="14" applyNumberFormat="1" applyFont="1" applyBorder="1" applyAlignment="1">
      <alignment horizontal="center" vertical="top"/>
    </xf>
    <xf numFmtId="0" fontId="94" fillId="27" borderId="44" xfId="14" applyFont="1" applyFill="1" applyBorder="1" applyAlignment="1">
      <alignment horizontal="center" vertical="center"/>
    </xf>
    <xf numFmtId="49" fontId="91" fillId="27" borderId="0" xfId="14" applyNumberFormat="1" applyFont="1" applyFill="1" applyAlignment="1">
      <alignment horizontal="left" vertical="top" wrapText="1"/>
    </xf>
    <xf numFmtId="0" fontId="94" fillId="27" borderId="0" xfId="14" applyFont="1" applyFill="1" applyAlignment="1">
      <alignment horizontal="left" vertical="center"/>
    </xf>
    <xf numFmtId="0" fontId="94" fillId="27" borderId="0" xfId="14" applyFont="1" applyFill="1" applyAlignment="1">
      <alignment horizontal="center" vertical="center"/>
    </xf>
    <xf numFmtId="0" fontId="91" fillId="28" borderId="0" xfId="14" applyFont="1" applyFill="1" applyAlignment="1">
      <alignment horizontal="left" vertical="top" wrapText="1"/>
    </xf>
    <xf numFmtId="0" fontId="93" fillId="28" borderId="45" xfId="14" applyFont="1" applyFill="1" applyBorder="1" applyAlignment="1">
      <alignment horizontal="left" vertical="top" wrapText="1"/>
    </xf>
    <xf numFmtId="0" fontId="98" fillId="29" borderId="51" xfId="14" applyFont="1" applyFill="1" applyBorder="1" applyAlignment="1">
      <alignment horizontal="left" vertical="top" wrapText="1"/>
    </xf>
    <xf numFmtId="0" fontId="98" fillId="29" borderId="49" xfId="14" applyFont="1" applyFill="1" applyBorder="1" applyAlignment="1">
      <alignment horizontal="left" vertical="top" wrapText="1"/>
    </xf>
    <xf numFmtId="0" fontId="98" fillId="0" borderId="0" xfId="14" applyFont="1" applyAlignment="1">
      <alignment horizontal="center" vertical="center"/>
    </xf>
    <xf numFmtId="0" fontId="98" fillId="29" borderId="47" xfId="14" applyFont="1" applyFill="1" applyBorder="1" applyAlignment="1">
      <alignment horizontal="center" vertical="top" wrapText="1"/>
    </xf>
    <xf numFmtId="0" fontId="93" fillId="27" borderId="45" xfId="14" applyFont="1" applyFill="1" applyBorder="1" applyAlignment="1">
      <alignment horizontal="left" vertical="top" wrapText="1"/>
    </xf>
    <xf numFmtId="49" fontId="98" fillId="29" borderId="47" xfId="14" applyNumberFormat="1" applyFont="1" applyFill="1" applyBorder="1" applyAlignment="1">
      <alignment horizontal="center" vertical="top" wrapText="1"/>
    </xf>
    <xf numFmtId="0" fontId="7" fillId="29" borderId="46" xfId="14" applyFont="1" applyFill="1" applyBorder="1"/>
    <xf numFmtId="49" fontId="103" fillId="24" borderId="45" xfId="14" applyNumberFormat="1" applyFont="1" applyFill="1" applyBorder="1" applyAlignment="1">
      <alignment horizontal="left" vertical="top" wrapText="1"/>
    </xf>
    <xf numFmtId="0" fontId="107" fillId="33" borderId="47" xfId="14" applyFont="1" applyFill="1" applyBorder="1" applyAlignment="1">
      <alignment horizontal="right" vertical="center"/>
    </xf>
    <xf numFmtId="49" fontId="83" fillId="0" borderId="61" xfId="14" applyNumberFormat="1" applyBorder="1" applyAlignment="1">
      <alignment horizontal="left" vertical="center" shrinkToFit="1"/>
    </xf>
    <xf numFmtId="0" fontId="102" fillId="0" borderId="0" xfId="14" applyFont="1" applyAlignment="1">
      <alignment horizontal="center" vertical="center"/>
    </xf>
    <xf numFmtId="49" fontId="93" fillId="0" borderId="61" xfId="14" applyNumberFormat="1" applyFont="1" applyBorder="1" applyAlignment="1">
      <alignment horizontal="left" vertical="top" wrapText="1"/>
    </xf>
    <xf numFmtId="0" fontId="99" fillId="29" borderId="50" xfId="14" applyFont="1" applyFill="1" applyBorder="1" applyAlignment="1">
      <alignment horizontal="center" vertical="center"/>
    </xf>
    <xf numFmtId="0" fontId="7" fillId="29" borderId="50" xfId="14" applyFont="1" applyFill="1" applyBorder="1"/>
    <xf numFmtId="0" fontId="107" fillId="34" borderId="74" xfId="14" applyFont="1" applyFill="1" applyBorder="1" applyAlignment="1">
      <alignment horizontal="right" vertical="center"/>
    </xf>
    <xf numFmtId="0" fontId="107" fillId="33" borderId="51" xfId="14" applyFont="1" applyFill="1" applyBorder="1" applyAlignment="1">
      <alignment horizontal="right" vertical="center"/>
    </xf>
    <xf numFmtId="0" fontId="115" fillId="33" borderId="74" xfId="14" applyFont="1" applyFill="1" applyBorder="1" applyAlignment="1">
      <alignment horizontal="center" vertical="center"/>
    </xf>
    <xf numFmtId="0" fontId="92" fillId="0" borderId="59" xfId="14" applyFont="1" applyBorder="1" applyAlignment="1">
      <alignment horizontal="center" vertical="top" wrapText="1"/>
    </xf>
    <xf numFmtId="0" fontId="107" fillId="34" borderId="47" xfId="14" applyFont="1" applyFill="1" applyBorder="1" applyAlignment="1">
      <alignment horizontal="center" vertical="center" shrinkToFit="1"/>
    </xf>
    <xf numFmtId="0" fontId="107" fillId="34" borderId="47" xfId="14" applyFont="1" applyFill="1" applyBorder="1" applyAlignment="1">
      <alignment horizontal="right" vertical="center"/>
    </xf>
    <xf numFmtId="0" fontId="107" fillId="33" borderId="74" xfId="14" applyFont="1" applyFill="1" applyBorder="1" applyAlignment="1">
      <alignment horizontal="right" vertical="center"/>
    </xf>
    <xf numFmtId="0" fontId="109" fillId="28" borderId="74" xfId="14" applyFont="1" applyFill="1" applyBorder="1" applyAlignment="1">
      <alignment horizontal="center" vertical="center" shrinkToFit="1"/>
    </xf>
    <xf numFmtId="49" fontId="106" fillId="0" borderId="61" xfId="14" applyNumberFormat="1" applyFont="1" applyBorder="1" applyAlignment="1">
      <alignment horizontal="center" vertical="center" shrinkToFit="1"/>
    </xf>
    <xf numFmtId="49" fontId="110" fillId="0" borderId="71" xfId="14" applyNumberFormat="1" applyFont="1" applyBorder="1" applyAlignment="1">
      <alignment horizontal="center" vertical="center" shrinkToFit="1"/>
    </xf>
    <xf numFmtId="0" fontId="106" fillId="0" borderId="61" xfId="14" applyFont="1" applyBorder="1" applyAlignment="1">
      <alignment horizontal="center" vertical="center" shrinkToFit="1"/>
    </xf>
    <xf numFmtId="0" fontId="106" fillId="0" borderId="64" xfId="14" applyFont="1" applyBorder="1" applyAlignment="1">
      <alignment horizontal="center" vertical="center" shrinkToFit="1"/>
    </xf>
    <xf numFmtId="49" fontId="106" fillId="0" borderId="56" xfId="14" applyNumberFormat="1" applyFont="1" applyBorder="1" applyAlignment="1">
      <alignment horizontal="center" vertical="center" shrinkToFit="1"/>
    </xf>
    <xf numFmtId="0" fontId="92" fillId="0" borderId="78" xfId="14" applyFont="1" applyBorder="1" applyAlignment="1">
      <alignment horizontal="center" vertical="top" wrapText="1"/>
    </xf>
    <xf numFmtId="0" fontId="86" fillId="28" borderId="41" xfId="14" applyFont="1" applyFill="1" applyBorder="1" applyAlignment="1">
      <alignment horizontal="center" vertical="center" shrinkToFit="1"/>
    </xf>
    <xf numFmtId="166" fontId="113" fillId="0" borderId="49" xfId="14" applyNumberFormat="1" applyFont="1" applyBorder="1" applyAlignment="1">
      <alignment horizontal="center" vertical="center" shrinkToFit="1"/>
    </xf>
    <xf numFmtId="0" fontId="93" fillId="27" borderId="45" xfId="14" applyFont="1" applyFill="1" applyBorder="1" applyAlignment="1">
      <alignment horizontal="left" vertical="center" shrinkToFit="1"/>
    </xf>
    <xf numFmtId="0" fontId="96" fillId="27" borderId="45" xfId="14" applyFont="1" applyFill="1" applyBorder="1" applyAlignment="1">
      <alignment horizontal="center" vertical="center"/>
    </xf>
    <xf numFmtId="0" fontId="92" fillId="0" borderId="54" xfId="14" applyFont="1" applyBorder="1" applyAlignment="1">
      <alignment horizontal="center" vertical="top" wrapText="1"/>
    </xf>
    <xf numFmtId="0" fontId="107" fillId="34" borderId="74" xfId="14" applyFont="1" applyFill="1" applyBorder="1" applyAlignment="1">
      <alignment horizontal="right" vertical="center" wrapText="1"/>
    </xf>
    <xf numFmtId="0" fontId="95" fillId="27" borderId="44" xfId="14" applyFont="1" applyFill="1" applyBorder="1" applyAlignment="1">
      <alignment horizontal="center" vertical="center"/>
    </xf>
    <xf numFmtId="0" fontId="93" fillId="28" borderId="45" xfId="14" applyFont="1" applyFill="1" applyBorder="1" applyAlignment="1">
      <alignment horizontal="left" vertical="center" shrinkToFit="1"/>
    </xf>
    <xf numFmtId="0" fontId="121" fillId="0" borderId="0" xfId="14" applyFont="1" applyAlignment="1">
      <alignment vertical="center" textRotation="255" wrapText="1"/>
    </xf>
    <xf numFmtId="49" fontId="93" fillId="0" borderId="56" xfId="14" applyNumberFormat="1" applyFont="1" applyBorder="1" applyAlignment="1">
      <alignment horizontal="left" vertical="top" wrapText="1"/>
    </xf>
    <xf numFmtId="49" fontId="113" fillId="0" borderId="53" xfId="14" applyNumberFormat="1" applyFont="1" applyBorder="1" applyAlignment="1">
      <alignment horizontal="center" vertical="center" shrinkToFit="1"/>
    </xf>
    <xf numFmtId="49" fontId="92" fillId="0" borderId="59" xfId="14" applyNumberFormat="1" applyFont="1" applyBorder="1" applyAlignment="1">
      <alignment horizontal="left" vertical="top"/>
    </xf>
    <xf numFmtId="0" fontId="112" fillId="29" borderId="72" xfId="14" applyFont="1" applyFill="1" applyBorder="1" applyAlignment="1">
      <alignment horizontal="center" vertical="center" textRotation="90" shrinkToFit="1"/>
    </xf>
    <xf numFmtId="0" fontId="112" fillId="29" borderId="77" xfId="14" applyFont="1" applyFill="1" applyBorder="1" applyAlignment="1">
      <alignment horizontal="center" vertical="center" textRotation="90" shrinkToFit="1"/>
    </xf>
    <xf numFmtId="49" fontId="93" fillId="0" borderId="67" xfId="14" applyNumberFormat="1" applyFont="1" applyBorder="1" applyAlignment="1">
      <alignment horizontal="left" vertical="top" wrapText="1"/>
    </xf>
    <xf numFmtId="49" fontId="89" fillId="0" borderId="66" xfId="14" applyNumberFormat="1" applyFont="1" applyBorder="1" applyAlignment="1">
      <alignment horizontal="left" vertical="center"/>
    </xf>
    <xf numFmtId="0" fontId="116" fillId="31" borderId="88" xfId="14" applyFont="1" applyFill="1" applyBorder="1" applyAlignment="1">
      <alignment horizontal="center" vertical="center" wrapText="1"/>
    </xf>
    <xf numFmtId="0" fontId="114" fillId="34" borderId="49" xfId="14" applyFont="1" applyFill="1" applyBorder="1" applyAlignment="1">
      <alignment horizontal="center" vertical="center" shrinkToFit="1"/>
    </xf>
    <xf numFmtId="0" fontId="104" fillId="34" borderId="51" xfId="14" applyFont="1" applyFill="1" applyBorder="1" applyAlignment="1">
      <alignment horizontal="center" vertical="center"/>
    </xf>
    <xf numFmtId="49" fontId="116" fillId="0" borderId="0" xfId="14" applyNumberFormat="1" applyFont="1" applyAlignment="1">
      <alignment horizontal="center" vertical="center" shrinkToFit="1"/>
    </xf>
    <xf numFmtId="0" fontId="98" fillId="32" borderId="51" xfId="14" applyFont="1" applyFill="1" applyBorder="1" applyAlignment="1">
      <alignment horizontal="center" vertical="center" shrinkToFit="1"/>
    </xf>
    <xf numFmtId="0" fontId="98" fillId="29" borderId="73" xfId="14" applyFont="1" applyFill="1" applyBorder="1" applyAlignment="1">
      <alignment horizontal="center" vertical="center" textRotation="90" wrapText="1"/>
    </xf>
    <xf numFmtId="0" fontId="89" fillId="0" borderId="40" xfId="14" applyFont="1" applyBorder="1" applyAlignment="1">
      <alignment horizontal="center" vertical="center"/>
    </xf>
    <xf numFmtId="0" fontId="112" fillId="29" borderId="74" xfId="14" applyFont="1" applyFill="1" applyBorder="1" applyAlignment="1">
      <alignment horizontal="center" vertical="center" wrapText="1"/>
    </xf>
    <xf numFmtId="0" fontId="112" fillId="29" borderId="73" xfId="14" applyFont="1" applyFill="1" applyBorder="1" applyAlignment="1">
      <alignment horizontal="center" vertical="center" textRotation="90" shrinkToFit="1"/>
    </xf>
    <xf numFmtId="49" fontId="89" fillId="0" borderId="61" xfId="14" applyNumberFormat="1" applyFont="1" applyBorder="1" applyAlignment="1">
      <alignment horizontal="left" vertical="center"/>
    </xf>
    <xf numFmtId="0" fontId="117" fillId="29" borderId="73" xfId="14" applyFont="1" applyFill="1" applyBorder="1" applyAlignment="1">
      <alignment horizontal="center" vertical="center" wrapText="1"/>
    </xf>
    <xf numFmtId="0" fontId="116" fillId="0" borderId="47" xfId="14" applyFont="1" applyBorder="1" applyAlignment="1">
      <alignment horizontal="center" vertical="center"/>
    </xf>
    <xf numFmtId="0" fontId="104" fillId="31" borderId="51" xfId="14" applyFont="1" applyFill="1" applyBorder="1" applyAlignment="1">
      <alignment horizontal="center" vertical="center"/>
    </xf>
    <xf numFmtId="49" fontId="105" fillId="29" borderId="51" xfId="14" applyNumberFormat="1" applyFont="1" applyFill="1" applyBorder="1" applyAlignment="1">
      <alignment horizontal="left" vertical="center"/>
    </xf>
    <xf numFmtId="49" fontId="89" fillId="0" borderId="67" xfId="14" applyNumberFormat="1" applyFont="1" applyBorder="1" applyAlignment="1">
      <alignment horizontal="left" vertical="center"/>
    </xf>
    <xf numFmtId="0" fontId="117" fillId="29" borderId="74" xfId="14" applyFont="1" applyFill="1" applyBorder="1" applyAlignment="1">
      <alignment horizontal="center" vertical="center" wrapText="1"/>
    </xf>
    <xf numFmtId="0" fontId="112" fillId="36" borderId="77" xfId="14" applyFont="1" applyFill="1" applyBorder="1" applyAlignment="1">
      <alignment horizontal="center" vertical="center" textRotation="90"/>
    </xf>
    <xf numFmtId="49" fontId="113" fillId="0" borderId="50" xfId="14" applyNumberFormat="1" applyFont="1" applyBorder="1" applyAlignment="1">
      <alignment horizontal="center" vertical="center" shrinkToFit="1"/>
    </xf>
    <xf numFmtId="0" fontId="117" fillId="29" borderId="74" xfId="14" applyFont="1" applyFill="1" applyBorder="1" applyAlignment="1">
      <alignment horizontal="center" vertical="center" textRotation="90" wrapText="1"/>
    </xf>
    <xf numFmtId="0" fontId="117" fillId="29" borderId="73" xfId="14" applyFont="1" applyFill="1" applyBorder="1" applyAlignment="1">
      <alignment horizontal="center" vertical="center" textRotation="90" wrapText="1"/>
    </xf>
    <xf numFmtId="49" fontId="89" fillId="0" borderId="56" xfId="14" applyNumberFormat="1" applyFont="1" applyBorder="1" applyAlignment="1">
      <alignment horizontal="left" vertical="center"/>
    </xf>
    <xf numFmtId="1" fontId="126" fillId="0" borderId="74" xfId="14" applyNumberFormat="1" applyFont="1" applyBorder="1" applyAlignment="1">
      <alignment horizontal="center" vertical="center"/>
    </xf>
    <xf numFmtId="49" fontId="92" fillId="0" borderId="78" xfId="14" applyNumberFormat="1" applyFont="1" applyBorder="1" applyAlignment="1">
      <alignment horizontal="left" vertical="top"/>
    </xf>
    <xf numFmtId="49" fontId="92" fillId="0" borderId="54" xfId="14" applyNumberFormat="1" applyFont="1" applyBorder="1" applyAlignment="1">
      <alignment horizontal="left" vertical="top"/>
    </xf>
    <xf numFmtId="0" fontId="69" fillId="7" borderId="21" xfId="9" applyFont="1" applyBorder="1" applyAlignment="1">
      <alignment horizontal="right"/>
    </xf>
    <xf numFmtId="0" fontId="69" fillId="7" borderId="27" xfId="9" applyFont="1" applyBorder="1" applyAlignment="1">
      <alignment horizontal="right"/>
    </xf>
    <xf numFmtId="0" fontId="67" fillId="3" borderId="25" xfId="12" applyFont="1" applyFill="1" applyBorder="1" applyAlignment="1">
      <alignment horizontal="center"/>
    </xf>
    <xf numFmtId="0" fontId="75" fillId="3" borderId="0" xfId="12" applyFont="1" applyFill="1" applyAlignment="1">
      <alignment horizontal="left"/>
    </xf>
    <xf numFmtId="0" fontId="65" fillId="6" borderId="4" xfId="7" applyFont="1" applyAlignment="1">
      <alignment horizontal="left" vertical="center" wrapText="1"/>
    </xf>
    <xf numFmtId="0" fontId="65" fillId="6" borderId="4" xfId="7" applyFont="1" applyAlignment="1">
      <alignment horizontal="left"/>
    </xf>
    <xf numFmtId="0" fontId="67" fillId="3" borderId="21" xfId="12" applyFont="1" applyFill="1" applyBorder="1" applyAlignment="1">
      <alignment horizontal="left"/>
    </xf>
    <xf numFmtId="0" fontId="67" fillId="3" borderId="26" xfId="12" applyFont="1" applyFill="1" applyBorder="1" applyAlignment="1">
      <alignment horizontal="left"/>
    </xf>
    <xf numFmtId="0" fontId="67" fillId="3" borderId="27" xfId="12" applyFont="1" applyFill="1" applyBorder="1" applyAlignment="1">
      <alignment horizontal="left"/>
    </xf>
    <xf numFmtId="0" fontId="67" fillId="3" borderId="25" xfId="12" applyFont="1" applyFill="1" applyBorder="1" applyAlignment="1">
      <alignment horizontal="left"/>
    </xf>
    <xf numFmtId="0" fontId="62" fillId="0" borderId="21" xfId="12" applyFont="1" applyBorder="1" applyAlignment="1">
      <alignment horizontal="center"/>
    </xf>
    <xf numFmtId="0" fontId="62" fillId="0" borderId="26" xfId="12" applyFont="1" applyBorder="1" applyAlignment="1">
      <alignment horizontal="center"/>
    </xf>
    <xf numFmtId="0" fontId="62" fillId="0" borderId="27" xfId="12" applyFont="1" applyBorder="1" applyAlignment="1">
      <alignment horizontal="center"/>
    </xf>
    <xf numFmtId="0" fontId="66" fillId="4" borderId="34" xfId="13" applyFont="1" applyBorder="1" applyAlignment="1">
      <alignment horizontal="center" wrapText="1"/>
    </xf>
    <xf numFmtId="0" fontId="66" fillId="4" borderId="0" xfId="13" applyFont="1" applyBorder="1" applyAlignment="1">
      <alignment horizontal="center" wrapText="1"/>
    </xf>
    <xf numFmtId="0" fontId="65" fillId="0" borderId="22" xfId="12" applyFont="1" applyBorder="1" applyAlignment="1">
      <alignment horizontal="center" vertical="center" wrapText="1"/>
    </xf>
    <xf numFmtId="0" fontId="65" fillId="0" borderId="24" xfId="12" applyFont="1" applyBorder="1" applyAlignment="1">
      <alignment horizontal="center" vertical="center" wrapText="1"/>
    </xf>
    <xf numFmtId="0" fontId="65" fillId="0" borderId="23" xfId="12" applyFont="1" applyBorder="1" applyAlignment="1">
      <alignment horizontal="center" vertical="center" wrapText="1"/>
    </xf>
    <xf numFmtId="0" fontId="65" fillId="0" borderId="19" xfId="12" applyFont="1" applyBorder="1" applyAlignment="1">
      <alignment horizontal="center" vertical="center" wrapText="1"/>
    </xf>
    <xf numFmtId="0" fontId="65" fillId="0" borderId="17" xfId="12" applyFont="1" applyBorder="1" applyAlignment="1">
      <alignment horizontal="center" vertical="center" wrapText="1"/>
    </xf>
    <xf numFmtId="0" fontId="65" fillId="0" borderId="18" xfId="12" applyFont="1" applyBorder="1" applyAlignment="1">
      <alignment horizontal="center" vertical="center" wrapText="1"/>
    </xf>
    <xf numFmtId="0" fontId="75" fillId="3" borderId="0" xfId="12" applyFont="1" applyFill="1" applyAlignment="1">
      <alignment horizontal="center"/>
    </xf>
    <xf numFmtId="0" fontId="65" fillId="0" borderId="21" xfId="12" applyFont="1" applyBorder="1" applyAlignment="1">
      <alignment horizontal="left"/>
    </xf>
    <xf numFmtId="0" fontId="65" fillId="0" borderId="26" xfId="12" applyFont="1" applyBorder="1" applyAlignment="1">
      <alignment horizontal="left"/>
    </xf>
    <xf numFmtId="0" fontId="65" fillId="0" borderId="27" xfId="12" applyFont="1" applyBorder="1" applyAlignment="1">
      <alignment horizontal="left"/>
    </xf>
    <xf numFmtId="0" fontId="25" fillId="21" borderId="0" xfId="7" applyFont="1" applyFill="1" applyBorder="1" applyAlignment="1">
      <alignment horizontal="left" wrapText="1"/>
    </xf>
    <xf numFmtId="0" fontId="25" fillId="21" borderId="17" xfId="7" applyFont="1" applyFill="1" applyBorder="1" applyAlignment="1">
      <alignment horizontal="left" wrapText="1"/>
    </xf>
    <xf numFmtId="0" fontId="78" fillId="3" borderId="0" xfId="1" applyFont="1" applyFill="1" applyBorder="1" applyAlignment="1">
      <alignment horizontal="center"/>
    </xf>
    <xf numFmtId="0" fontId="48" fillId="3" borderId="5" xfId="8" applyFont="1" applyFill="1" applyAlignment="1">
      <alignment horizontal="center"/>
    </xf>
    <xf numFmtId="0" fontId="78" fillId="3" borderId="0" xfId="0" applyFont="1" applyFill="1" applyAlignment="1">
      <alignment horizontal="center" vertical="center"/>
    </xf>
    <xf numFmtId="0" fontId="25" fillId="6" borderId="4" xfId="7" applyFont="1" applyAlignment="1">
      <alignment horizontal="center"/>
    </xf>
    <xf numFmtId="0" fontId="53" fillId="19" borderId="0" xfId="10" applyFont="1" applyFill="1" applyAlignment="1">
      <alignment horizontal="center"/>
    </xf>
    <xf numFmtId="0" fontId="48" fillId="100" borderId="5" xfId="8" applyFont="1" applyFill="1" applyAlignment="1">
      <alignment horizontal="center"/>
    </xf>
    <xf numFmtId="0" fontId="6" fillId="2" borderId="0" xfId="2" applyFont="1" applyFill="1" applyAlignment="1">
      <alignment horizontal="center"/>
    </xf>
    <xf numFmtId="0" fontId="218" fillId="0" borderId="0" xfId="15" applyFont="1" applyAlignment="1">
      <alignment horizontal="center" vertical="center"/>
    </xf>
    <xf numFmtId="0" fontId="144" fillId="0" borderId="0" xfId="15" applyAlignment="1"/>
    <xf numFmtId="0" fontId="84" fillId="0" borderId="0" xfId="15" applyFont="1" applyAlignment="1">
      <alignment horizontal="left" vertical="top"/>
    </xf>
    <xf numFmtId="0" fontId="218" fillId="24" borderId="0" xfId="15" applyFont="1" applyFill="1" applyAlignment="1">
      <alignment horizontal="center" vertical="center"/>
    </xf>
    <xf numFmtId="0" fontId="154" fillId="0" borderId="0" xfId="15" applyFont="1" applyAlignment="1"/>
    <xf numFmtId="0" fontId="145" fillId="0" borderId="0" xfId="15" applyFont="1" applyAlignment="1">
      <alignment horizontal="left" vertical="top"/>
    </xf>
    <xf numFmtId="0" fontId="218" fillId="27" borderId="0" xfId="15" applyFont="1" applyFill="1" applyAlignment="1">
      <alignment horizontal="center" vertical="center"/>
    </xf>
    <xf numFmtId="0" fontId="145" fillId="26" borderId="0" xfId="15" applyFont="1" applyFill="1" applyAlignment="1">
      <alignment horizontal="left" vertical="top"/>
    </xf>
    <xf numFmtId="0" fontId="79" fillId="3" borderId="448" xfId="4" applyFont="1" applyFill="1" applyBorder="1" applyAlignment="1">
      <alignment horizontal="center" vertical="center"/>
    </xf>
    <xf numFmtId="0" fontId="79" fillId="3" borderId="449" xfId="4" applyFont="1" applyFill="1" applyBorder="1" applyAlignment="1">
      <alignment horizontal="center" vertical="center"/>
    </xf>
    <xf numFmtId="0" fontId="79" fillId="3" borderId="450" xfId="4" applyFont="1" applyFill="1" applyBorder="1" applyAlignment="1">
      <alignment horizontal="center" vertical="center"/>
    </xf>
    <xf numFmtId="0" fontId="234" fillId="96" borderId="438" xfId="15" applyFont="1" applyFill="1" applyBorder="1" applyAlignment="1">
      <alignment horizontal="center"/>
    </xf>
    <xf numFmtId="0" fontId="234" fillId="3" borderId="439" xfId="15" applyFont="1" applyFill="1" applyBorder="1" applyAlignment="1"/>
    <xf numFmtId="0" fontId="12" fillId="3" borderId="0" xfId="0" applyFont="1" applyFill="1" applyAlignment="1">
      <alignment horizontal="center"/>
    </xf>
    <xf numFmtId="0" fontId="86" fillId="0" borderId="0" xfId="14" applyFont="1" applyAlignment="1">
      <alignment horizontal="center"/>
    </xf>
    <xf numFmtId="4" fontId="85" fillId="25" borderId="0" xfId="14" applyNumberFormat="1" applyFont="1" applyFill="1" applyAlignment="1">
      <alignment horizontal="center"/>
    </xf>
    <xf numFmtId="0" fontId="85" fillId="25" borderId="0" xfId="14" applyFont="1" applyFill="1" applyAlignment="1">
      <alignment horizontal="center"/>
    </xf>
    <xf numFmtId="0" fontId="227" fillId="3" borderId="0" xfId="14" applyFont="1" applyFill="1" applyAlignment="1">
      <alignment horizontal="center" wrapText="1"/>
    </xf>
    <xf numFmtId="0" fontId="228" fillId="3" borderId="0" xfId="14" applyFont="1" applyFill="1"/>
    <xf numFmtId="0" fontId="221" fillId="91" borderId="20" xfId="10" applyFont="1" applyFill="1" applyBorder="1" applyAlignment="1">
      <alignment horizontal="center" vertical="center"/>
    </xf>
    <xf numFmtId="0" fontId="221" fillId="91" borderId="0" xfId="10" applyFont="1" applyFill="1" applyBorder="1" applyAlignment="1">
      <alignment horizontal="center" vertical="center"/>
    </xf>
    <xf numFmtId="0" fontId="82" fillId="3" borderId="0" xfId="10" applyFont="1" applyFill="1" applyBorder="1" applyAlignment="1">
      <alignment horizontal="center" vertical="top"/>
    </xf>
    <xf numFmtId="0" fontId="222" fillId="92" borderId="17" xfId="1" applyFont="1" applyFill="1" applyBorder="1" applyAlignment="1">
      <alignment horizontal="center" vertical="center"/>
    </xf>
    <xf numFmtId="0" fontId="0" fillId="98" borderId="0" xfId="0" applyFill="1" applyAlignment="1">
      <alignment horizontal="center"/>
    </xf>
    <xf numFmtId="0" fontId="4" fillId="92" borderId="17" xfId="1" applyFill="1" applyBorder="1" applyAlignment="1">
      <alignment horizontal="center" vertical="center"/>
    </xf>
    <xf numFmtId="0" fontId="53" fillId="3" borderId="456" xfId="0" applyFont="1" applyFill="1" applyBorder="1" applyAlignment="1">
      <alignment horizontal="center" vertical="center"/>
    </xf>
    <xf numFmtId="0" fontId="145" fillId="8" borderId="0" xfId="0" applyFont="1" applyFill="1" applyAlignment="1">
      <alignment vertical="center"/>
    </xf>
    <xf numFmtId="0" fontId="145" fillId="8" borderId="0" xfId="0" applyFont="1" applyFill="1"/>
    <xf numFmtId="0" fontId="278" fillId="0" borderId="0" xfId="0" applyFont="1" applyAlignment="1"/>
    <xf numFmtId="0" fontId="0" fillId="0" borderId="0" xfId="0" applyFill="1" applyAlignment="1"/>
    <xf numFmtId="0" fontId="25" fillId="106" borderId="0" xfId="10" applyFill="1" applyAlignment="1">
      <alignment horizontal="left" vertical="center"/>
    </xf>
    <xf numFmtId="0" fontId="25" fillId="106" borderId="0" xfId="10" applyFill="1" applyAlignment="1">
      <alignment horizontal="left"/>
    </xf>
  </cellXfs>
  <cellStyles count="28">
    <cellStyle name="20% – колірна тема 1" xfId="9" builtinId="30"/>
    <cellStyle name="Hyperlink" xfId="25" xr:uid="{8F3544F3-4D18-4ACD-9B3D-4D60C7DF87A9}"/>
    <cellStyle name="Normal 4" xfId="18" xr:uid="{9DF2F207-621D-4003-A36C-04E26035C238}"/>
    <cellStyle name="Ввід" xfId="4" builtinId="20" customBuiltin="1"/>
    <cellStyle name="Ввід 2" xfId="13" xr:uid="{C86F2E4D-1F6F-4763-94AA-0777F4E08760}"/>
    <cellStyle name="Ввід 3" xfId="26" xr:uid="{1BF4807A-F92D-4EC1-AC6D-9FA7638398E8}"/>
    <cellStyle name="Відсотковий 2" xfId="19" xr:uid="{18D04FE7-C1A8-47B8-86D9-49A23FC32A45}"/>
    <cellStyle name="Гіперпосилання" xfId="1" builtinId="8"/>
    <cellStyle name="Гіперпосилання 2" xfId="11" xr:uid="{0422B761-4770-4AFB-A148-DD75F8BD7128}"/>
    <cellStyle name="Гіперпосилання 2 2" xfId="22" xr:uid="{9956E4E8-E979-4EC1-8CC6-BBAE7AB9F355}"/>
    <cellStyle name="Гіперпосилання 3" xfId="17" xr:uid="{574F3BCD-5710-4C3C-8D21-47ABA661B892}"/>
    <cellStyle name="Заголовок 1" xfId="24" builtinId="16"/>
    <cellStyle name="Заголовок 2" xfId="27" builtinId="17"/>
    <cellStyle name="Заголовок 3" xfId="3" builtinId="18"/>
    <cellStyle name="Звичайний" xfId="0" builtinId="0"/>
    <cellStyle name="Звичайний 2" xfId="2" xr:uid="{785BC8B7-A9D4-44CD-B984-AE03F65B2E7B}"/>
    <cellStyle name="Звичайний 2 2" xfId="20" xr:uid="{AF50F256-18EE-40AC-940F-EC1D147011ED}"/>
    <cellStyle name="Звичайний 3" xfId="10" xr:uid="{557EEA65-24B1-4C25-A06F-F9EC8E87BEA6}"/>
    <cellStyle name="Звичайний 4" xfId="12" xr:uid="{A7CDD3D7-C984-4BB6-9C65-AC420A0B0FE6}"/>
    <cellStyle name="Звичайний 5" xfId="14" xr:uid="{E1A68CF1-3BF0-486B-BB2F-B5E47BC861C1}"/>
    <cellStyle name="Звичайний 6" xfId="15" xr:uid="{1E1C8BF9-C4CC-46C7-9BF3-7375C5D08089}"/>
    <cellStyle name="Звичайний 7" xfId="21" xr:uid="{A37A258B-BF0A-494A-A404-0C0C478BB41A}"/>
    <cellStyle name="Звичайний 8" xfId="23" xr:uid="{662F3B3B-6620-4784-AE18-56528A58023F}"/>
    <cellStyle name="Обчислення" xfId="6" builtinId="22"/>
    <cellStyle name="Підсумок" xfId="8" builtinId="25"/>
    <cellStyle name="Примітка" xfId="7" builtinId="10"/>
    <cellStyle name="Результат" xfId="5" builtinId="21"/>
    <cellStyle name="Фінансовий 2" xfId="16" xr:uid="{306E107B-1267-4691-B7AC-10C40046CC7B}"/>
  </cellStyles>
  <dxfs count="896">
    <dxf>
      <fill>
        <gradientFill type="path" left="0.5" right="0.5" top="0.5" bottom="0.5">
          <stop position="0">
            <color theme="0"/>
          </stop>
          <stop position="1">
            <color theme="3"/>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3"/>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3"/>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patternFill patternType="solid">
          <fgColor rgb="FFB7E1CD"/>
          <bgColor rgb="FFB7E1CD"/>
        </patternFill>
      </fill>
    </dxf>
    <dxf>
      <font>
        <color theme="6" tint="-0.24994659260841701"/>
      </font>
      <fill>
        <patternFill patternType="gray0625">
          <bgColor theme="6"/>
        </patternFill>
      </fill>
    </dxf>
    <dxf>
      <font>
        <color theme="4" tint="0.39994506668294322"/>
      </font>
      <fill>
        <patternFill patternType="lightHorizontal">
          <bgColor theme="8"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6" tint="-0.24994659260841701"/>
      </font>
      <fill>
        <patternFill patternType="gray0625">
          <bgColor theme="6"/>
        </patternFill>
      </fill>
    </dxf>
    <dxf>
      <font>
        <color theme="0" tint="-4.9989318521683403E-2"/>
      </font>
      <fill>
        <patternFill patternType="lightGrid">
          <bgColor theme="7" tint="0.39994506668294322"/>
        </patternFill>
      </fill>
    </dxf>
    <dxf>
      <font>
        <color theme="4" tint="0.39994506668294322"/>
      </font>
      <fill>
        <patternFill patternType="lightHorizontal">
          <bgColor theme="8" tint="0.39994506668294322"/>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border>
        <left style="thin">
          <color auto="1"/>
        </left>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left style="thin">
          <color auto="1"/>
        </left>
        <top style="thin">
          <color auto="1"/>
        </top>
        <bottom style="thin">
          <color auto="1"/>
        </bottom>
        <vertical/>
        <horizontal/>
      </border>
    </dxf>
    <dxf>
      <border>
        <left style="thin">
          <color auto="1"/>
        </left>
        <right style="thin">
          <color auto="1"/>
        </right>
        <bottom style="thin">
          <color auto="1"/>
        </bottom>
        <vertical/>
        <horizontal/>
      </border>
    </dxf>
    <dxf>
      <border>
        <left style="thin">
          <color auto="1"/>
        </left>
        <right style="thin">
          <color auto="1"/>
        </right>
        <top style="thin">
          <color auto="1"/>
        </top>
        <vertical/>
        <horizontal/>
      </border>
    </dxf>
    <dxf>
      <border>
        <top style="thin">
          <color auto="1"/>
        </top>
        <bottom style="thin">
          <color auto="1"/>
        </bottom>
        <vertical/>
        <horizontal/>
      </border>
    </dxf>
    <dxf>
      <border>
        <left style="thin">
          <color auto="1"/>
        </left>
        <right style="thin">
          <color auto="1"/>
        </right>
        <vertical/>
        <horizontal/>
      </border>
    </dxf>
    <dxf>
      <border>
        <left style="thin">
          <color auto="1"/>
        </left>
        <top style="thin">
          <color auto="1"/>
        </top>
        <vertical/>
        <horizontal/>
      </border>
    </dxf>
    <dxf>
      <border>
        <left style="thin">
          <color auto="1"/>
        </left>
        <bottom style="thin">
          <color auto="1"/>
        </bottom>
        <vertical/>
        <horizontal/>
      </border>
    </dxf>
    <dxf>
      <border>
        <left style="thin">
          <color auto="1"/>
        </left>
        <vertical/>
        <horizontal/>
      </border>
    </dxf>
    <dxf>
      <border>
        <top style="thin">
          <color auto="1"/>
        </top>
        <vertical/>
        <horizontal/>
      </border>
    </dxf>
    <dxf>
      <border>
        <right style="thin">
          <color auto="1"/>
        </right>
        <top style="thin">
          <color auto="1"/>
        </top>
        <vertical/>
        <horizontal/>
      </border>
    </dxf>
    <dxf>
      <border>
        <bottom style="thin">
          <color auto="1"/>
        </bottom>
        <vertical/>
        <horizontal/>
      </border>
    </dxf>
    <dxf>
      <border>
        <right style="thin">
          <color auto="1"/>
        </right>
        <top/>
        <bottom style="thin">
          <color auto="1"/>
        </bottom>
        <vertical/>
        <horizontal/>
      </border>
    </dxf>
    <dxf>
      <border>
        <right style="thin">
          <color auto="1"/>
        </right>
        <vertical/>
        <horizontal/>
      </border>
    </dxf>
    <dxf>
      <fill>
        <patternFill patternType="lightUp">
          <fgColor auto="1"/>
          <bgColor auto="1"/>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6" tint="-0.24994659260841701"/>
      </font>
      <fill>
        <patternFill patternType="gray0625">
          <bgColor theme="6"/>
        </patternFill>
      </fill>
    </dxf>
    <dxf>
      <font>
        <color theme="0" tint="-4.9989318521683403E-2"/>
      </font>
      <fill>
        <patternFill patternType="lightGrid">
          <bgColor theme="7" tint="0.39994506668294322"/>
        </patternFill>
      </fill>
    </dxf>
    <dxf>
      <font>
        <color theme="4" tint="0.39994506668294322"/>
      </font>
      <fill>
        <patternFill patternType="lightHorizontal">
          <bgColor theme="8"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ont>
        <color theme="0" tint="-4.9989318521683403E-2"/>
      </font>
      <fill>
        <patternFill patternType="lightVertical">
          <bgColor theme="9" tint="-0.24994659260841701"/>
        </patternFill>
      </fill>
    </dxf>
    <dxf>
      <font>
        <color theme="6" tint="-0.24994659260841701"/>
      </font>
      <fill>
        <patternFill patternType="gray0625">
          <bgColor theme="6"/>
        </patternFill>
      </fill>
    </dxf>
    <dxf>
      <font>
        <color theme="0" tint="-4.9989318521683403E-2"/>
      </font>
      <fill>
        <patternFill patternType="lightGrid">
          <bgColor theme="7" tint="0.39994506668294322"/>
        </patternFill>
      </fill>
    </dxf>
    <dxf>
      <font>
        <color theme="4" tint="0.39994506668294322"/>
      </font>
      <fill>
        <patternFill patternType="lightHorizontal">
          <bgColor theme="8"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0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0000"/>
          </stop>
        </gradientFill>
      </fill>
      <border>
        <left style="thin">
          <color auto="1"/>
        </left>
        <right style="thin">
          <color auto="1"/>
        </right>
        <top style="thin">
          <color auto="1"/>
        </top>
        <bottom style="thin">
          <color auto="1"/>
        </bottom>
        <vertical/>
        <horizontal/>
      </border>
    </dxf>
    <dxf>
      <font>
        <b/>
      </font>
      <fill>
        <patternFill patternType="solid">
          <fgColor rgb="FFC00000"/>
          <bgColor rgb="FFC00000"/>
        </patternFill>
      </fill>
    </dxf>
    <dxf>
      <font>
        <b/>
      </font>
      <fill>
        <patternFill patternType="solid">
          <fgColor rgb="FFC00000"/>
          <bgColor rgb="FFC00000"/>
        </patternFill>
      </fill>
    </dxf>
    <dxf>
      <font>
        <b/>
      </font>
      <fill>
        <patternFill patternType="solid">
          <fgColor rgb="FFC00000"/>
          <bgColor rgb="FFC00000"/>
        </patternFill>
      </fill>
    </dxf>
    <dxf>
      <font>
        <b/>
      </font>
      <fill>
        <patternFill patternType="solid">
          <fgColor rgb="FFC00000"/>
          <bgColor rgb="FFC00000"/>
        </patternFill>
      </fill>
    </dxf>
    <dxf>
      <font>
        <b/>
      </font>
      <fill>
        <patternFill patternType="solid">
          <fgColor rgb="FFC00000"/>
          <bgColor rgb="FFC00000"/>
        </patternFill>
      </fill>
    </dxf>
    <dxf>
      <font>
        <b/>
      </font>
      <fill>
        <patternFill patternType="solid">
          <fgColor rgb="FFC00000"/>
          <bgColor rgb="FFC00000"/>
        </patternFill>
      </fill>
    </dxf>
    <dxf>
      <font>
        <b/>
        <color rgb="FF111111"/>
      </font>
      <fill>
        <patternFill patternType="solid">
          <fgColor rgb="FFC00000"/>
          <bgColor rgb="FFC00000"/>
        </patternFill>
      </fill>
    </dxf>
    <dxf>
      <font>
        <b/>
      </font>
      <fill>
        <patternFill patternType="solid">
          <fgColor rgb="FFC00000"/>
          <bgColor rgb="FFC00000"/>
        </patternFill>
      </fill>
    </dxf>
    <dxf>
      <font>
        <color rgb="FF9C0006"/>
      </font>
      <fill>
        <patternFill patternType="solid">
          <fgColor rgb="FFFFC7CE"/>
          <bgColor rgb="FFFFC7CE"/>
        </patternFill>
      </fill>
    </dxf>
    <dxf>
      <font>
        <b/>
      </font>
      <fill>
        <patternFill patternType="solid">
          <fgColor rgb="FFC00000"/>
          <bgColor rgb="FFC00000"/>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FFFFFF"/>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FF0000"/>
      </font>
      <fill>
        <patternFill patternType="solid">
          <fgColor rgb="FF7F7F7F"/>
          <bgColor rgb="FF7F7F7F"/>
        </patternFill>
      </fill>
    </dxf>
    <dxf>
      <font>
        <color rgb="FFC00000"/>
      </font>
      <fill>
        <patternFill patternType="solid">
          <fgColor rgb="FFFBD4B4"/>
          <bgColor rgb="FFFBD4B4"/>
        </patternFill>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b/>
        <color rgb="FF1F497D"/>
      </font>
      <fill>
        <patternFill patternType="none"/>
      </fill>
    </dxf>
    <dxf>
      <font>
        <b/>
        <color rgb="FFFF0000"/>
      </font>
      <fill>
        <patternFill patternType="solid">
          <fgColor rgb="FFA5A5A5"/>
          <bgColor rgb="FFA5A5A5"/>
        </patternFill>
      </fill>
    </dxf>
    <dxf>
      <font>
        <b/>
        <color rgb="FFFF0000"/>
      </font>
      <fill>
        <patternFill patternType="solid">
          <fgColor rgb="FFA5A5A5"/>
          <bgColor rgb="FFA5A5A5"/>
        </patternFill>
      </fill>
    </dxf>
    <dxf>
      <font>
        <color rgb="FF17365D"/>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FFFFFF"/>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FF0000"/>
      </font>
      <fill>
        <patternFill patternType="solid">
          <fgColor rgb="FF7F7F7F"/>
          <bgColor rgb="FF7F7F7F"/>
        </patternFill>
      </fill>
    </dxf>
    <dxf>
      <font>
        <color rgb="FFFF0000"/>
      </font>
      <fill>
        <patternFill patternType="solid">
          <fgColor rgb="FF7F7F7F"/>
          <bgColor rgb="FF7F7F7F"/>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ont>
        <b/>
        <color rgb="FF3C78D8"/>
      </font>
      <fill>
        <patternFill patternType="none"/>
      </fill>
    </dxf>
    <dxf>
      <font>
        <color rgb="FF3C78D8"/>
      </font>
      <fill>
        <patternFill patternType="none"/>
      </fill>
    </dxf>
    <dxf>
      <font>
        <b/>
        <color rgb="FF3C78D8"/>
      </font>
      <fill>
        <patternFill patternType="none"/>
      </fill>
    </dxf>
    <dxf>
      <font>
        <b/>
        <color rgb="FF3C78D8"/>
      </font>
      <fill>
        <patternFill patternType="none"/>
      </fill>
    </dxf>
    <dxf>
      <font>
        <b/>
        <color rgb="FFC53929"/>
      </font>
      <fill>
        <patternFill patternType="none"/>
      </fill>
    </dxf>
    <dxf>
      <font>
        <b/>
        <color rgb="FFC53929"/>
      </font>
      <fill>
        <patternFill patternType="none"/>
      </fill>
    </dxf>
    <dxf>
      <font>
        <b/>
        <color rgb="FFC53929"/>
      </font>
      <fill>
        <patternFill patternType="none"/>
      </fill>
    </dxf>
    <dxf>
      <font>
        <b/>
        <color rgb="FFC53929"/>
      </font>
      <fill>
        <patternFill patternType="none"/>
      </fill>
    </dxf>
    <dxf>
      <font>
        <b/>
        <color rgb="FF3C78D8"/>
      </font>
      <fill>
        <patternFill patternType="none"/>
      </fill>
    </dxf>
    <dxf>
      <font>
        <b/>
        <color rgb="FFCC0000"/>
      </font>
      <fill>
        <patternFill patternType="none"/>
      </fill>
    </dxf>
    <dxf>
      <font>
        <b/>
        <color rgb="FF674EA7"/>
      </font>
      <fill>
        <patternFill patternType="none"/>
      </fill>
    </dxf>
    <dxf>
      <font>
        <b/>
        <color rgb="FF3C78D8"/>
      </font>
      <fill>
        <patternFill patternType="none"/>
      </fill>
    </dxf>
    <dxf>
      <font>
        <b/>
        <color rgb="FFCC0000"/>
      </font>
      <fill>
        <patternFill patternType="none"/>
      </fill>
    </dxf>
    <dxf>
      <font>
        <b/>
        <color rgb="FF674EA7"/>
      </font>
      <fill>
        <patternFill patternType="none"/>
      </fill>
    </dxf>
    <dxf>
      <font>
        <b/>
        <color rgb="FF3C78D8"/>
      </font>
      <fill>
        <patternFill patternType="none"/>
      </fill>
    </dxf>
    <dxf>
      <font>
        <b/>
        <color rgb="FFCC0000"/>
      </font>
      <fill>
        <patternFill patternType="none"/>
      </fill>
    </dxf>
    <dxf>
      <font>
        <b/>
        <color rgb="FF674EA7"/>
      </font>
      <fill>
        <patternFill patternType="none"/>
      </fill>
    </dxf>
    <dxf>
      <font>
        <b/>
        <color rgb="FF3C78D8"/>
      </font>
      <fill>
        <patternFill patternType="none"/>
      </fill>
    </dxf>
    <dxf>
      <font>
        <b/>
        <color rgb="FFCC0000"/>
      </font>
      <fill>
        <patternFill patternType="none"/>
      </fill>
    </dxf>
    <dxf>
      <font>
        <b/>
        <color rgb="FF674EA7"/>
      </font>
      <fill>
        <patternFill patternType="none"/>
      </fill>
    </dxf>
    <dxf>
      <font>
        <b/>
        <color rgb="FFCC0000"/>
      </font>
      <fill>
        <patternFill patternType="none"/>
      </fill>
    </dxf>
    <dxf>
      <font>
        <b/>
        <color rgb="FFCC0000"/>
      </font>
      <fill>
        <patternFill patternType="none"/>
      </fill>
    </dxf>
    <dxf>
      <font>
        <color rgb="FFCCCCCC"/>
      </font>
      <fill>
        <patternFill patternType="none"/>
      </fill>
    </dxf>
    <dxf>
      <font>
        <b/>
        <strike val="0"/>
        <outline val="0"/>
        <shadow val="0"/>
        <u val="none"/>
        <vertAlign val="baseline"/>
        <sz val="12"/>
      </font>
      <alignment horizontal="general" vertical="bottom" textRotation="0" wrapText="0" indent="0" justifyLastLine="0" shrinkToFit="0" readingOrder="0"/>
    </dxf>
    <dxf>
      <font>
        <b/>
        <i val="0"/>
        <strike val="0"/>
        <condense val="0"/>
        <extend val="0"/>
        <outline val="0"/>
        <shadow val="0"/>
        <u val="none"/>
        <vertAlign val="baseline"/>
        <sz val="12"/>
        <color rgb="FF000000"/>
        <name val="Verdana"/>
        <family val="2"/>
        <charset val="204"/>
        <scheme val="none"/>
      </font>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none"/>
      </font>
    </dxf>
    <dxf>
      <font>
        <b val="0"/>
        <i val="0"/>
        <strike val="0"/>
        <condense val="0"/>
        <extend val="0"/>
        <outline val="0"/>
        <shadow val="0"/>
        <u val="none"/>
        <vertAlign val="baseline"/>
        <sz val="11"/>
        <color theme="1"/>
        <name val="Calibri"/>
        <family val="2"/>
        <charset val="204"/>
        <scheme val="none"/>
      </font>
    </dxf>
    <dxf>
      <font>
        <b val="0"/>
        <i val="0"/>
        <strike val="0"/>
        <condense val="0"/>
        <extend val="0"/>
        <outline val="0"/>
        <shadow val="0"/>
        <u val="none"/>
        <vertAlign val="baseline"/>
        <sz val="11"/>
        <color theme="1"/>
        <name val="Calibri"/>
        <family val="2"/>
        <charset val="204"/>
        <scheme val="none"/>
      </font>
    </dxf>
    <dxf>
      <font>
        <b val="0"/>
        <i val="0"/>
        <strike val="0"/>
        <condense val="0"/>
        <extend val="0"/>
        <outline val="0"/>
        <shadow val="0"/>
        <u val="none"/>
        <vertAlign val="baseline"/>
        <sz val="11"/>
        <color theme="1"/>
        <name val="Calibri"/>
        <family val="2"/>
        <charset val="204"/>
        <scheme val="none"/>
      </font>
    </dxf>
    <dxf>
      <font>
        <b val="0"/>
        <i val="0"/>
        <strike val="0"/>
        <condense val="0"/>
        <extend val="0"/>
        <outline val="0"/>
        <shadow val="0"/>
        <u val="none"/>
        <vertAlign val="baseline"/>
        <sz val="11"/>
        <color theme="1"/>
        <name val="Calibri"/>
        <family val="2"/>
        <charset val="204"/>
        <scheme val="none"/>
      </font>
    </dxf>
    <dxf>
      <font>
        <b val="0"/>
        <i val="0"/>
        <strike val="0"/>
        <condense val="0"/>
        <extend val="0"/>
        <outline val="0"/>
        <shadow val="0"/>
        <u val="none"/>
        <vertAlign val="baseline"/>
        <sz val="11"/>
        <color theme="1"/>
        <name val="Calibri"/>
        <family val="2"/>
        <charset val="204"/>
        <scheme val="none"/>
      </font>
    </dxf>
    <dxf>
      <font>
        <b/>
        <i val="0"/>
        <strike val="0"/>
        <condense val="0"/>
        <extend val="0"/>
        <outline val="0"/>
        <shadow val="0"/>
        <u val="none"/>
        <vertAlign val="baseline"/>
        <sz val="11"/>
        <color rgb="FF3F3F3F"/>
        <name val="Segoe UI"/>
        <family val="2"/>
        <charset val="204"/>
        <scheme val="none"/>
      </font>
      <fill>
        <patternFill patternType="solid">
          <fgColor indexed="64"/>
          <bgColor rgb="FFF2F2F2"/>
        </patternFill>
      </fill>
      <border diagonalUp="0" diagonalDown="0" outline="0">
        <left style="thin">
          <color rgb="FF3F3F3F"/>
        </left>
        <right style="thin">
          <color rgb="FF3F3F3F"/>
        </right>
        <top style="thin">
          <color rgb="FF3F3F3F"/>
        </top>
        <bottom/>
      </border>
    </dxf>
    <dxf>
      <border diagonalUp="0" diagonalDown="0" outline="0">
        <left/>
        <right/>
        <top/>
        <bottom/>
      </border>
    </dxf>
    <dxf>
      <border diagonalUp="0" diagonalDown="0" outline="0">
        <left style="thin">
          <color rgb="FF3F3F3F"/>
        </left>
        <right style="thin">
          <color rgb="FF3F3F3F"/>
        </right>
        <top style="thin">
          <color rgb="FF3F3F3F"/>
        </top>
        <bottom/>
      </border>
    </dxf>
    <dxf>
      <border diagonalUp="0" diagonalDown="0" outline="0">
        <left/>
        <right/>
        <top/>
        <bottom/>
      </border>
    </dxf>
    <dxf>
      <font>
        <b val="0"/>
        <i val="0"/>
        <strike val="0"/>
        <condense val="0"/>
        <extend val="0"/>
        <outline val="0"/>
        <shadow val="0"/>
        <u val="none"/>
        <vertAlign val="baseline"/>
        <sz val="9.9"/>
        <color rgb="FF000000"/>
        <name val="Arial"/>
        <family val="2"/>
        <charset val="204"/>
        <scheme val="none"/>
      </font>
      <alignment horizontal="left" vertical="center" textRotation="0" wrapText="0" indent="2" justifyLastLine="0" shrinkToFit="0" readingOrder="0"/>
    </dxf>
    <dxf>
      <font>
        <b val="0"/>
        <i val="0"/>
        <strike val="0"/>
        <condense val="0"/>
        <extend val="0"/>
        <outline val="0"/>
        <shadow val="0"/>
        <u val="none"/>
        <vertAlign val="baseline"/>
        <sz val="9"/>
        <color theme="1"/>
        <name val="Lato"/>
        <family val="2"/>
        <scheme val="minor"/>
      </font>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9"/>
        <color theme="1"/>
        <name val="Lato"/>
        <family val="2"/>
        <scheme val="minor"/>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9"/>
        <color theme="1"/>
        <name val="Lato"/>
        <family val="2"/>
        <scheme val="minor"/>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9"/>
        <color theme="1"/>
        <name val="Lato"/>
        <family val="2"/>
        <scheme val="minor"/>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9"/>
        <color theme="1"/>
        <name val="Lato"/>
        <family val="2"/>
        <scheme val="minor"/>
      </font>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9"/>
        <color theme="1"/>
        <name val="Lato"/>
        <family val="2"/>
        <scheme val="minor"/>
      </font>
    </dxf>
    <dxf>
      <border outline="0">
        <bottom style="thin">
          <color auto="1"/>
        </bottom>
      </border>
    </dxf>
    <dxf>
      <font>
        <b/>
        <i val="0"/>
        <strike val="0"/>
        <condense val="0"/>
        <extend val="0"/>
        <outline val="0"/>
        <shadow val="0"/>
        <u/>
        <vertAlign val="baseline"/>
        <sz val="9"/>
        <color theme="1"/>
        <name val="Lato"/>
        <family val="2"/>
        <scheme val="minor"/>
      </font>
      <border diagonalUp="0" diagonalDown="0" outline="0">
        <left style="thin">
          <color auto="1"/>
        </left>
        <right style="thin">
          <color auto="1"/>
        </right>
        <top/>
        <bottom/>
      </border>
    </dxf>
    <dxf>
      <font>
        <b val="0"/>
        <i val="0"/>
        <strike val="0"/>
        <condense val="0"/>
        <extend val="0"/>
        <outline val="0"/>
        <shadow val="0"/>
        <u val="none"/>
        <vertAlign val="baseline"/>
        <sz val="9"/>
        <color auto="1"/>
        <name val="Lato"/>
        <family val="2"/>
        <scheme val="minor"/>
      </font>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9"/>
        <color auto="1"/>
        <name val="Lato"/>
        <family val="2"/>
        <scheme val="minor"/>
      </font>
      <alignment horizontal="left"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9"/>
        <color theme="1"/>
        <name val="Lato"/>
        <family val="2"/>
        <scheme val="minor"/>
      </font>
      <border diagonalUp="0" diagonalDown="0">
        <left style="thin">
          <color auto="1"/>
        </left>
        <right style="thin">
          <color auto="1"/>
        </right>
        <top style="thin">
          <color auto="1"/>
        </top>
        <bottom style="thin">
          <color auto="1"/>
        </bottom>
        <vertical/>
        <horizontal/>
      </border>
    </dxf>
    <dxf>
      <border outline="0">
        <right style="thin">
          <color auto="1"/>
        </right>
        <bottom style="thin">
          <color auto="1"/>
        </bottom>
      </border>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ertAlign val="baseline"/>
        <sz val="10"/>
        <color rgb="FF0000FF"/>
        <name val="Arial"/>
        <family val="2"/>
        <charset val="204"/>
        <scheme val="none"/>
      </font>
    </dxf>
    <dxf>
      <font>
        <b val="0"/>
        <i val="0"/>
        <strike val="0"/>
        <condense val="0"/>
        <extend val="0"/>
        <outline val="0"/>
        <shadow val="0"/>
        <u val="none"/>
        <vertAlign val="baseline"/>
        <sz val="10"/>
        <color auto="1"/>
        <name val="Arial"/>
        <family val="2"/>
        <charset val="204"/>
        <scheme val="none"/>
      </font>
    </dxf>
    <dxf>
      <border outline="0">
        <left style="double">
          <color rgb="FFB7B7B7"/>
        </left>
        <right style="double">
          <color rgb="FFB7B7B7"/>
        </right>
        <top style="double">
          <color rgb="FFB7B7B7"/>
        </top>
        <bottom style="double">
          <color rgb="FFB7B7B7"/>
        </bottom>
      </border>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0"/>
        <color auto="1"/>
        <name val="Arial"/>
        <family val="2"/>
        <charset val="204"/>
        <scheme val="none"/>
      </font>
    </dxf>
    <dxf>
      <border outline="0">
        <left style="double">
          <color rgb="FFB7B7B7"/>
        </left>
        <right style="double">
          <color rgb="FFB7B7B7"/>
        </right>
        <top style="double">
          <color rgb="FFB7B7B7"/>
        </top>
        <bottom style="double">
          <color rgb="FFB7B7B7"/>
        </bottom>
      </border>
    </dxf>
    <dxf>
      <font>
        <b val="0"/>
        <i val="0"/>
        <strike val="0"/>
        <condense val="0"/>
        <extend val="0"/>
        <outline val="0"/>
        <shadow val="0"/>
        <u val="none"/>
        <vertAlign val="baseline"/>
        <sz val="10"/>
        <color auto="1"/>
        <name val="Arial"/>
        <family val="2"/>
        <charset val="204"/>
        <scheme val="none"/>
      </font>
    </dxf>
    <dxf>
      <font>
        <b val="0"/>
        <i val="0"/>
        <strike val="0"/>
        <condense val="0"/>
        <extend val="0"/>
        <outline val="0"/>
        <shadow val="0"/>
        <u val="none"/>
        <vertAlign val="baseline"/>
        <sz val="11"/>
        <color rgb="FF000000"/>
        <name val="Calibri"/>
        <family val="2"/>
        <charset val="204"/>
        <scheme val="none"/>
      </font>
      <numFmt numFmtId="4" formatCode="#,##0.0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charset val="204"/>
        <scheme val="none"/>
      </font>
      <numFmt numFmtId="4" formatCode="#,##0.0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charset val="204"/>
        <scheme val="none"/>
      </font>
      <alignment horizontal="center" vertical="bottom" textRotation="0" wrapText="0" indent="0" justifyLastLine="0" shrinkToFit="0" readingOrder="0"/>
    </dxf>
    <dxf>
      <font>
        <b/>
        <i val="0"/>
        <strike val="0"/>
        <condense val="0"/>
        <extend val="0"/>
        <outline val="0"/>
        <shadow val="0"/>
        <u val="none"/>
        <vertAlign val="baseline"/>
        <sz val="11"/>
        <color rgb="FF000000"/>
        <name val="Calibri"/>
        <family val="2"/>
        <charset val="204"/>
        <scheme val="none"/>
      </font>
      <numFmt numFmtId="4" formatCode="#,##0.00"/>
      <alignment horizontal="center" vertical="bottom"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fill>
        <patternFill patternType="solid">
          <fgColor indexed="64"/>
          <bgColor rgb="FFFFFF00"/>
        </patternFill>
      </fill>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fill>
        <patternFill patternType="solid">
          <fgColor indexed="64"/>
          <bgColor rgb="FFFFFF00"/>
        </patternFill>
      </fill>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fill>
        <patternFill patternType="solid">
          <fgColor indexed="64"/>
          <bgColor rgb="FFFFFF00"/>
        </patternFill>
      </fill>
      <alignment horizontal="general" vertical="center" textRotation="0" wrapText="0"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Lato"/>
        <family val="2"/>
        <charset val="204"/>
        <scheme val="minor"/>
      </font>
      <fill>
        <patternFill patternType="solid">
          <fgColor theme="4"/>
          <bgColor theme="4"/>
        </patternFill>
      </fill>
    </dxf>
    <dxf>
      <font>
        <b val="0"/>
        <i val="0"/>
        <strike val="0"/>
        <condense val="0"/>
        <extend val="0"/>
        <outline val="0"/>
        <shadow val="0"/>
        <u val="none"/>
        <vertAlign val="baseline"/>
        <sz val="11"/>
        <color theme="1"/>
        <name val="Calibri"/>
        <family val="2"/>
        <charset val="204"/>
        <scheme val="none"/>
      </font>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Lato"/>
        <family val="2"/>
        <charset val="204"/>
        <scheme val="minor"/>
      </font>
      <fill>
        <patternFill patternType="solid">
          <fgColor theme="4"/>
          <bgColor theme="4"/>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Lato"/>
        <family val="2"/>
        <charset val="204"/>
        <scheme val="minor"/>
      </font>
      <fill>
        <patternFill patternType="solid">
          <fgColor theme="4"/>
          <bgColor theme="4"/>
        </patternFill>
      </fill>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Lato"/>
        <family val="2"/>
        <charset val="204"/>
        <scheme val="minor"/>
      </font>
      <fill>
        <patternFill patternType="solid">
          <fgColor theme="4"/>
          <bgColor theme="4"/>
        </patternFill>
      </fill>
    </dxf>
    <dxf>
      <font>
        <b val="0"/>
        <i val="0"/>
        <strike val="0"/>
        <condense val="0"/>
        <extend val="0"/>
        <outline val="0"/>
        <shadow val="0"/>
        <u val="none"/>
        <vertAlign val="baseline"/>
        <sz val="11"/>
        <color theme="1"/>
        <name val="Calibri"/>
        <family val="2"/>
        <charset val="204"/>
        <scheme val="none"/>
      </font>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Lato"/>
        <family val="2"/>
        <charset val="204"/>
        <scheme val="minor"/>
      </font>
      <fill>
        <patternFill patternType="solid">
          <fgColor theme="4"/>
          <bgColor theme="4"/>
        </patternFill>
      </fill>
    </dxf>
    <dxf>
      <alignment horizontal="left"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font>
        <strike val="0"/>
        <outline val="0"/>
        <shadow val="0"/>
        <u val="none"/>
        <vertAlign val="baseline"/>
        <color rgb="FFFFFF00"/>
      </font>
      <fill>
        <patternFill patternType="solid">
          <fgColor indexed="64"/>
          <bgColor rgb="FF002060"/>
        </patternFill>
      </fill>
      <alignment horizontal="center" vertical="center"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strike val="0"/>
        <outline val="0"/>
        <shadow val="0"/>
        <u val="none"/>
        <vertAlign val="baseline"/>
        <sz val="11"/>
        <color theme="0"/>
        <name val="Modesto Text Bold "/>
        <scheme val="none"/>
      </font>
      <fill>
        <patternFill patternType="solid">
          <fgColor indexed="64"/>
          <bgColor rgb="FFC00000"/>
        </patternFill>
      </fill>
      <alignment horizontal="center" vertical="center"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i val="0"/>
        <strike val="0"/>
        <condense val="0"/>
        <extend val="0"/>
        <outline val="0"/>
        <shadow val="0"/>
        <u val="none"/>
        <vertAlign val="baseline"/>
        <sz val="11"/>
        <color rgb="FF3F3F76"/>
        <name val="Calibri"/>
        <family val="2"/>
        <charset val="204"/>
        <scheme val="none"/>
      </font>
      <fill>
        <patternFill patternType="solid">
          <fgColor rgb="FFFFCC99"/>
          <bgColor rgb="FFFFCC99"/>
        </patternFill>
      </fill>
      <alignment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strike val="0"/>
        <condense val="0"/>
        <extend val="0"/>
        <outline val="0"/>
        <shadow val="0"/>
        <u val="none"/>
        <vertAlign val="baseline"/>
        <sz val="11"/>
        <color theme="1"/>
        <name val="Calibri"/>
        <family val="2"/>
        <charset val="204"/>
        <scheme val="none"/>
      </font>
      <alignment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right style="thin">
          <color rgb="FF000000"/>
        </right>
        <bottom style="thin">
          <color rgb="FF000000"/>
        </bottom>
      </border>
    </dxf>
    <dxf>
      <alignment textRotation="0" wrapText="0" indent="0" justifyLastLine="0" shrinkToFit="0" readingOrder="0"/>
    </dxf>
    <dxf>
      <font>
        <b/>
        <i/>
        <strike val="0"/>
        <condense val="0"/>
        <extend val="0"/>
        <outline val="0"/>
        <shadow val="0"/>
        <u val="none"/>
        <vertAlign val="baseline"/>
        <sz val="11"/>
        <color theme="1"/>
        <name val="Calibri"/>
        <family val="2"/>
        <charset val="204"/>
        <scheme val="none"/>
      </font>
      <alignment textRotation="0" wrapText="0" indent="0" justifyLastLine="0" shrinkToFit="0" readingOrder="0"/>
      <border diagonalUp="0" diagonalDown="0" outline="0">
        <left style="thin">
          <color rgb="FF000000"/>
        </left>
        <right style="thin">
          <color rgb="FF000000"/>
        </right>
        <top/>
        <bottom/>
      </border>
    </dxf>
    <dxf>
      <alignment textRotation="0" wrapText="0" indent="0" justifyLastLine="0" shrinkToFit="0" readingOrder="0"/>
    </dxf>
    <dxf>
      <font>
        <b/>
        <i val="0"/>
        <strike val="0"/>
        <condense val="0"/>
        <extend val="0"/>
        <outline val="0"/>
        <shadow val="0"/>
        <u val="none"/>
        <vertAlign val="baseline"/>
        <sz val="11"/>
        <color theme="1"/>
        <name val="Calibri"/>
        <family val="2"/>
        <charset val="204"/>
        <scheme val="none"/>
      </font>
      <alignment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left style="thin">
          <color rgb="FF000000"/>
        </left>
        <right style="thin">
          <color rgb="FF000000"/>
        </right>
        <top style="thin">
          <color rgb="FF000000"/>
        </top>
        <bottom style="thin">
          <color rgb="FF000000"/>
        </bottom>
      </border>
    </dxf>
    <dxf>
      <alignment textRotation="0" wrapText="0" indent="0" justifyLastLine="0" shrinkToFit="0" readingOrder="0"/>
    </dxf>
    <dxf>
      <border outline="0">
        <bottom style="thin">
          <color rgb="FF000000"/>
        </bottom>
      </border>
    </dxf>
    <dxf>
      <alignment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3" formatCode="0%"/>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general"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strike val="0"/>
        <condense val="0"/>
        <extend val="0"/>
        <outline val="0"/>
        <shadow val="0"/>
        <u val="none"/>
        <vertAlign val="baseline"/>
        <sz val="11"/>
        <color theme="1"/>
        <name val="Lato"/>
        <family val="2"/>
        <charset val="204"/>
        <scheme val="minor"/>
      </font>
      <fill>
        <patternFill patternType="solid">
          <fgColor indexed="64"/>
          <bgColor theme="0" tint="-0.34998626667073579"/>
        </patternFill>
      </fill>
      <alignment horizontal="right" vertical="bottom" textRotation="0" wrapText="0" indent="0" justifyLastLine="0" shrinkToFit="0" readingOrder="0"/>
    </dxf>
    <dxf>
      <font>
        <i/>
        <strike val="0"/>
        <outline val="0"/>
        <shadow val="0"/>
        <u val="none"/>
        <vertAlign val="baseline"/>
        <color theme="1"/>
        <charset val="204"/>
      </font>
      <fill>
        <patternFill>
          <fgColor indexed="64"/>
          <bgColor theme="0" tint="-0.34998626667073579"/>
        </patternFill>
      </fill>
      <alignment horizontal="right" vertical="bottom" textRotation="0" wrapText="0" indent="0" justifyLastLine="0" shrinkToFit="0" readingOrder="0"/>
    </dxf>
    <dxf>
      <font>
        <b val="0"/>
        <i/>
        <strike val="0"/>
        <condense val="0"/>
        <extend val="0"/>
        <outline val="0"/>
        <shadow val="0"/>
        <u val="none"/>
        <vertAlign val="baseline"/>
        <sz val="11"/>
        <color theme="1"/>
        <name val="Lato"/>
        <family val="2"/>
        <charset val="204"/>
        <scheme val="minor"/>
      </font>
      <fill>
        <patternFill patternType="solid">
          <fgColor indexed="64"/>
          <bgColor theme="0" tint="-0.34998626667073579"/>
        </patternFill>
      </fill>
      <alignment horizontal="right" vertical="bottom" textRotation="0" wrapText="0" indent="0" justifyLastLine="0" shrinkToFit="0" readingOrder="0"/>
    </dxf>
    <dxf>
      <font>
        <i/>
        <strike val="0"/>
        <outline val="0"/>
        <shadow val="0"/>
        <u val="none"/>
        <vertAlign val="baseline"/>
        <color theme="1"/>
        <charset val="204"/>
      </font>
      <fill>
        <patternFill>
          <fgColor indexed="64"/>
          <bgColor theme="0" tint="-0.34998626667073579"/>
        </patternFill>
      </fill>
      <alignment horizontal="right"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strike val="0"/>
        <outline val="0"/>
        <shadow val="0"/>
        <u val="none"/>
        <vertAlign val="baseline"/>
        <sz val="14"/>
        <color rgb="FFFFFF00"/>
        <name val="Nodesto Cyrillic"/>
        <charset val="204"/>
        <scheme val="none"/>
      </font>
      <fill>
        <patternFill patternType="solid">
          <fgColor indexed="64"/>
          <bgColor rgb="FF002060"/>
        </patternFill>
      </fill>
      <alignment horizontal="center" vertical="center" textRotation="0" wrapText="0" indent="0" justifyLastLine="0" shrinkToFit="0" readingOrder="0"/>
    </dxf>
    <dxf>
      <font>
        <strike val="0"/>
        <outline val="0"/>
        <shadow val="0"/>
        <u val="none"/>
        <vertAlign val="baseline"/>
        <sz val="11"/>
        <color theme="6" tint="0.79998168889431442"/>
      </font>
      <fill>
        <patternFill patternType="solid">
          <fgColor indexed="64"/>
          <bgColor rgb="FF002060"/>
        </patternFill>
      </fill>
      <alignment horizontal="center" vertical="center" textRotation="0" wrapText="0" indent="0" justifyLastLine="0" shrinkToFit="0" readingOrder="0"/>
    </dxf>
    <dxf>
      <font>
        <strike val="0"/>
        <outline val="0"/>
        <shadow val="0"/>
        <u val="none"/>
        <vertAlign val="baseline"/>
        <sz val="12"/>
        <color auto="1"/>
        <name val="MrsEavesRoman"/>
        <scheme val="none"/>
      </font>
      <numFmt numFmtId="2" formatCode="0.0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1" formatCode="0"/>
      <alignment horizontal="right" vertical="bottom" textRotation="0" wrapText="0" indent="0" justifyLastLine="0" shrinkToFit="0" readingOrder="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1" formatCode="0"/>
      <alignment horizontal="right" vertical="bottom" textRotation="0" wrapText="0" indent="0" justifyLastLine="0" shrinkToFit="0" readingOrder="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1" formatCode="0"/>
      <alignment horizontal="right" vertical="bottom" textRotation="0" wrapText="0" indent="0" justifyLastLine="0" shrinkToFit="0" readingOrder="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2" formatCode="0.00"/>
      <protection locked="0" hidden="0"/>
    </dxf>
    <dxf>
      <font>
        <strike val="0"/>
        <outline val="0"/>
        <shadow val="0"/>
        <u val="none"/>
        <vertAlign val="baseline"/>
        <sz val="12"/>
        <color auto="1"/>
        <name val="MrsEavesRoman"/>
        <scheme val="none"/>
      </font>
      <numFmt numFmtId="1" formatCode="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4"/>
        <color auto="1"/>
        <name val="Nodesto Caps Condensed"/>
        <scheme val="none"/>
      </font>
      <alignment horizontal="center" vertical="center" textRotation="0" wrapText="0" indent="0" justifyLastLine="0" shrinkToFit="0" readingOrder="0"/>
      <protection locked="0" hidden="0"/>
    </dxf>
    <dxf>
      <font>
        <strike val="0"/>
        <outline val="0"/>
        <shadow val="0"/>
        <u val="none"/>
        <vertAlign val="baseline"/>
        <sz val="14"/>
        <color auto="1"/>
        <name val="MrsEavesRoman"/>
        <scheme val="none"/>
      </font>
      <numFmt numFmtId="2" formatCode="0.0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1" formatCode="0"/>
      <alignment horizontal="right" vertical="bottom" textRotation="0" wrapText="0" indent="0" justifyLastLine="0" shrinkToFit="0" readingOrder="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1" formatCode="0"/>
      <alignment horizontal="right" vertical="bottom" textRotation="0" wrapText="0" indent="0" justifyLastLine="0" shrinkToFit="0" readingOrder="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1" formatCode="0"/>
      <alignment horizontal="right" vertical="bottom" textRotation="0" wrapText="0" indent="0" justifyLastLine="0" shrinkToFit="0" readingOrder="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2" formatCode="0.0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Nodesto Caps Condensed"/>
        <charset val="204"/>
        <scheme val="none"/>
      </font>
      <protection locked="1" hidden="0"/>
    </dxf>
    <dxf>
      <font>
        <b val="0"/>
        <i val="0"/>
        <strike val="0"/>
        <condense val="0"/>
        <extend val="0"/>
        <outline val="0"/>
        <shadow val="0"/>
        <u val="none"/>
        <vertAlign val="baseline"/>
        <sz val="8"/>
        <color theme="1"/>
        <name val="Lato"/>
        <scheme val="minor"/>
      </font>
      <numFmt numFmtId="0" formatCode="General"/>
      <fill>
        <patternFill patternType="solid">
          <fgColor indexed="64"/>
          <bgColor theme="4" tint="0.39997558519241921"/>
        </patternFill>
      </fill>
      <alignment horizontal="left" vertical="bottom" textRotation="0" wrapText="0" indent="0" justifyLastLine="0" shrinkToFit="0" readingOrder="0"/>
      <border diagonalUp="0" diagonalDown="0">
        <left style="thin">
          <color auto="1"/>
        </left>
        <right style="thin">
          <color auto="1"/>
        </right>
        <top style="hair">
          <color auto="1"/>
        </top>
        <bottom style="hair">
          <color auto="1"/>
        </bottom>
        <vertical/>
        <horizontal/>
      </border>
    </dxf>
    <dxf>
      <border outline="0">
        <top style="medium">
          <color auto="1"/>
        </top>
        <bottom style="hair">
          <color auto="1"/>
        </bottom>
      </border>
    </dxf>
    <dxf>
      <font>
        <b val="0"/>
        <i val="0"/>
        <strike val="0"/>
        <condense val="0"/>
        <extend val="0"/>
        <outline val="0"/>
        <shadow val="0"/>
        <u val="none"/>
        <vertAlign val="baseline"/>
        <sz val="8"/>
        <color theme="1"/>
        <name val="Lato"/>
        <scheme val="minor"/>
      </font>
      <fill>
        <patternFill patternType="solid">
          <fgColor indexed="64"/>
          <bgColor theme="4" tint="0.3999755851924192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Lato"/>
        <scheme val="minor"/>
      </font>
      <fill>
        <patternFill patternType="solid">
          <fgColor indexed="64"/>
          <bgColor theme="6" tint="0.39997558519241921"/>
        </patternFill>
      </fill>
      <alignment horizontal="center" vertical="center" textRotation="0" wrapText="0" indent="0" justifyLastLine="0" shrinkToFit="0" readingOrder="0"/>
    </dxf>
    <dxf>
      <numFmt numFmtId="0" formatCode="General"/>
    </dxf>
    <dxf>
      <alignment horizontal="general" vertical="center" textRotation="0" wrapText="0" indent="0" justifyLastLine="0" shrinkToFit="0" readingOrder="0"/>
      <border diagonalUp="0" diagonalDown="0">
        <left style="medium">
          <color rgb="FFA3A3A3"/>
        </left>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i val="0"/>
        <strike val="0"/>
        <condense val="0"/>
        <extend val="0"/>
        <outline val="0"/>
        <shadow val="0"/>
        <u val="none"/>
        <vertAlign val="baseline"/>
        <sz val="11"/>
        <color theme="1"/>
        <name val="Lato"/>
        <family val="2"/>
        <charset val="204"/>
        <scheme val="minor"/>
      </font>
      <alignment horizontal="general" vertical="center" textRotation="0" wrapText="0" indent="0" justifyLastLine="0" shrinkToFit="0" readingOrder="0"/>
      <border diagonalUp="0" diagonalDown="0">
        <left/>
        <right style="medium">
          <color rgb="FFA3A3A3"/>
        </right>
        <top style="medium">
          <color rgb="FFA3A3A3"/>
        </top>
        <bottom style="medium">
          <color rgb="FFA3A3A3"/>
        </bottom>
        <vertical/>
        <horizontal/>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border outline="0">
        <bottom style="medium">
          <color rgb="FFA3A3A3"/>
        </bottom>
      </border>
    </dxf>
    <dxf>
      <font>
        <b/>
        <i val="0"/>
        <strike val="0"/>
        <condense val="0"/>
        <extend val="0"/>
        <outline val="0"/>
        <shadow val="0"/>
        <u val="none"/>
        <vertAlign val="baseline"/>
        <sz val="11"/>
        <color theme="1"/>
        <name val="Lato"/>
        <family val="2"/>
        <charset val="204"/>
        <scheme val="minor"/>
      </font>
      <alignment horizontal="general" vertical="center" textRotation="0" wrapText="0" indent="0" justifyLastLine="0" shrinkToFit="0" readingOrder="0"/>
      <border diagonalUp="0" diagonalDown="0" outline="0">
        <left style="medium">
          <color rgb="FFA3A3A3"/>
        </left>
        <right style="medium">
          <color rgb="FFA3A3A3"/>
        </right>
        <top/>
        <bottom/>
      </border>
    </dxf>
    <dxf>
      <alignment horizontal="general" vertical="center" textRotation="0" wrapText="0" indent="0" justifyLastLine="0" shrinkToFit="0" readingOrder="0"/>
      <border diagonalUp="0" diagonalDown="0">
        <left style="medium">
          <color rgb="FFA3A3A3"/>
        </left>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i val="0"/>
        <strike val="0"/>
        <condense val="0"/>
        <extend val="0"/>
        <outline val="0"/>
        <shadow val="0"/>
        <u val="none"/>
        <vertAlign val="baseline"/>
        <sz val="11"/>
        <color theme="1"/>
        <name val="Lato"/>
        <family val="2"/>
        <charset val="204"/>
        <scheme val="minor"/>
      </font>
      <alignment horizontal="general" vertical="center" textRotation="0" wrapText="0" indent="0" justifyLastLine="0" shrinkToFit="0" readingOrder="0"/>
      <border diagonalUp="0" diagonalDown="0">
        <left/>
        <right style="medium">
          <color rgb="FFA3A3A3"/>
        </right>
        <top style="medium">
          <color rgb="FFA3A3A3"/>
        </top>
        <bottom style="medium">
          <color rgb="FFA3A3A3"/>
        </bottom>
        <vertical/>
        <horizontal/>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alignment horizontal="general" vertical="center" textRotation="0" wrapText="0" indent="0" justifyLastLine="0" shrinkToFit="0" readingOrder="0"/>
    </dxf>
    <dxf>
      <border outline="0">
        <bottom style="medium">
          <color rgb="FFA3A3A3"/>
        </bottom>
      </border>
    </dxf>
    <dxf>
      <font>
        <b/>
        <i val="0"/>
        <strike val="0"/>
        <condense val="0"/>
        <extend val="0"/>
        <outline val="0"/>
        <shadow val="0"/>
        <u val="none"/>
        <vertAlign val="baseline"/>
        <sz val="11"/>
        <color theme="1"/>
        <name val="Lato"/>
        <family val="2"/>
        <charset val="204"/>
        <scheme val="minor"/>
      </font>
      <alignment horizontal="general" vertical="center" textRotation="0" wrapText="0"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right"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right"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A3A3A3"/>
        </right>
        <top style="medium">
          <color rgb="FFA3A3A3"/>
        </top>
        <bottom style="medium">
          <color rgb="FFA3A3A3"/>
        </bottom>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dxf>
    <dxf>
      <border outline="0">
        <bottom style="medium">
          <color rgb="FFA3A3A3"/>
        </bottom>
      </border>
    </dxf>
    <dxf>
      <font>
        <b/>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style="medium">
          <color rgb="FFA3A3A3"/>
        </left>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right"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right style="medium">
          <color rgb="FFA3A3A3"/>
        </right>
        <top style="medium">
          <color rgb="FFA3A3A3"/>
        </top>
        <bottom style="medium">
          <color rgb="FFA3A3A3"/>
        </bottom>
        <vertical/>
        <horizontal/>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dxf>
    <dxf>
      <border outline="0">
        <bottom style="medium">
          <color rgb="FFA3A3A3"/>
        </bottom>
      </border>
    </dxf>
    <dxf>
      <font>
        <b/>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outline="0">
        <left style="medium">
          <color rgb="FFA3A3A3"/>
        </left>
        <right style="medium">
          <color rgb="FFA3A3A3"/>
        </right>
        <top/>
        <bottom/>
      </border>
    </dxf>
    <dxf>
      <numFmt numFmtId="0" formatCode="General"/>
    </dxf>
    <dxf>
      <numFmt numFmtId="0" formatCode="General"/>
    </dxf>
    <dxf>
      <numFmt numFmtId="0" formatCode="General"/>
    </dxf>
    <dxf>
      <numFmt numFmtId="0" formatCode="General"/>
    </dxf>
    <dxf>
      <numFmt numFmtId="13" formatCode="0%"/>
    </dxf>
    <dxf>
      <font>
        <b val="0"/>
        <i/>
        <strike val="0"/>
        <condense val="0"/>
        <extend val="0"/>
        <outline val="0"/>
        <shadow val="0"/>
        <u val="none"/>
        <vertAlign val="baseline"/>
        <sz val="10"/>
        <color rgb="FF000000"/>
        <name val="Arial"/>
        <family val="2"/>
        <charset val="204"/>
        <scheme val="none"/>
      </font>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numFmt numFmtId="0" formatCode="General"/>
    </dxf>
    <dxf>
      <numFmt numFmtId="0" formatCode="General"/>
    </dxf>
    <dxf>
      <numFmt numFmtId="0" formatCode="General"/>
    </dxf>
    <dxf>
      <numFmt numFmtId="0" formatCode="General"/>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font>
        <b val="0"/>
        <i val="0"/>
        <strike val="0"/>
        <condense val="0"/>
        <extend val="0"/>
        <outline val="0"/>
        <shadow val="0"/>
        <u val="none"/>
        <vertAlign val="baseline"/>
        <sz val="11"/>
        <color rgb="FF000000"/>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11"/>
        <color rgb="FF000000"/>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11"/>
        <color rgb="FF000000"/>
        <name val="Arial"/>
        <family val="2"/>
        <charset val="204"/>
        <scheme val="none"/>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textRotation="0" wrapText="0" indent="0" justifyLastLine="0" shrinkToFit="0" readingOrder="0"/>
    </dxf>
    <dxf>
      <font>
        <strike val="0"/>
        <outline val="0"/>
        <shadow val="0"/>
        <u val="none"/>
        <vertAlign val="baseline"/>
        <sz val="11"/>
        <color auto="1"/>
        <name val="Arial"/>
        <family val="2"/>
        <charset val="204"/>
        <scheme val="none"/>
      </font>
      <fill>
        <patternFill patternType="none">
          <fgColor indexed="64"/>
          <bgColor auto="1"/>
        </patternFill>
      </fill>
    </dxf>
    <dxf>
      <font>
        <strike val="0"/>
        <outline val="0"/>
        <shadow val="0"/>
        <u val="none"/>
        <vertAlign val="baseline"/>
        <sz val="11"/>
        <color auto="1"/>
        <name val="Arial"/>
        <family val="2"/>
        <charset val="204"/>
        <scheme val="none"/>
      </font>
      <fill>
        <patternFill patternType="none">
          <fgColor indexed="64"/>
          <bgColor auto="1"/>
        </patternFill>
      </fill>
    </dxf>
    <dxf>
      <font>
        <strike val="0"/>
        <outline val="0"/>
        <shadow val="0"/>
        <u val="none"/>
        <vertAlign val="baseline"/>
        <sz val="11"/>
        <color auto="1"/>
        <name val="Arial"/>
        <family val="2"/>
        <charset val="204"/>
        <scheme val="none"/>
      </font>
      <fill>
        <patternFill patternType="none">
          <fgColor indexed="64"/>
          <bgColor auto="1"/>
        </patternFill>
      </fill>
    </dxf>
    <dxf>
      <font>
        <strike val="0"/>
        <outline val="0"/>
        <shadow val="0"/>
        <u val="none"/>
        <vertAlign val="baseline"/>
        <sz val="11"/>
        <color auto="1"/>
        <name val="Arial"/>
        <family val="2"/>
        <charset val="204"/>
        <scheme val="none"/>
      </font>
      <fill>
        <patternFill patternType="none">
          <fgColor indexed="64"/>
          <bgColor auto="1"/>
        </patternFill>
      </fill>
    </dxf>
    <dxf>
      <border outline="0">
        <left style="medium">
          <color rgb="FFA3A3A3"/>
        </left>
        <right style="medium">
          <color rgb="FFA3A3A3"/>
        </right>
        <top style="medium">
          <color rgb="FFA3A3A3"/>
        </top>
        <bottom style="medium">
          <color rgb="FFA3A3A3"/>
        </bottom>
      </border>
    </dxf>
    <dxf>
      <font>
        <strike val="0"/>
        <outline val="0"/>
        <shadow val="0"/>
        <u val="none"/>
        <vertAlign val="baseline"/>
        <sz val="11"/>
        <color auto="1"/>
        <name val="Arial"/>
        <family val="2"/>
        <charset val="204"/>
        <scheme val="none"/>
      </font>
      <fill>
        <patternFill patternType="none">
          <fgColor indexed="64"/>
          <bgColor auto="1"/>
        </patternFill>
      </fill>
    </dxf>
    <dxf>
      <font>
        <b/>
        <i val="0"/>
        <strike val="0"/>
        <condense val="0"/>
        <extend val="0"/>
        <outline val="0"/>
        <shadow val="0"/>
        <u val="none"/>
        <vertAlign val="baseline"/>
        <sz val="11"/>
        <color theme="0"/>
        <name val="Arial"/>
        <family val="2"/>
        <charset val="204"/>
        <scheme val="none"/>
      </font>
      <fill>
        <patternFill patternType="none">
          <fgColor indexed="64"/>
          <bgColor auto="1"/>
        </patternFill>
      </fill>
      <alignment horizontal="general" vertical="center" textRotation="0" wrapText="1" indent="0" justifyLastLine="0" shrinkToFit="0" readingOrder="0"/>
      <border diagonalUp="0" diagonalDown="0" outline="0">
        <left style="medium">
          <color rgb="FFA3A3A3"/>
        </left>
        <right style="medium">
          <color rgb="FFA3A3A3"/>
        </right>
        <top/>
        <bottom/>
      </border>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numFmt numFmtId="13" formatCode="0%"/>
    </dxf>
    <dxf>
      <font>
        <b val="0"/>
        <i val="0"/>
        <strike val="0"/>
        <condense val="0"/>
        <extend val="0"/>
        <outline val="0"/>
        <shadow val="0"/>
        <u val="none"/>
        <vertAlign val="baseline"/>
        <sz val="10"/>
        <color theme="1"/>
        <name val="Scaly Sans"/>
        <scheme val="none"/>
      </font>
      <numFmt numFmtId="0" formatCode="General"/>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1"/>
        <name val="Scaly Sans"/>
        <scheme val="none"/>
      </font>
      <numFmt numFmtId="0" formatCode="General"/>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1"/>
        <name val="Scaly Sans"/>
        <scheme val="none"/>
      </font>
      <numFmt numFmtId="0" formatCode="General"/>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1"/>
        <name val="Scaly Sans"/>
        <scheme val="none"/>
      </font>
      <numFmt numFmtId="0" formatCode="General"/>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1"/>
        <name val="Scaly Sans"/>
        <scheme val="none"/>
      </font>
      <numFmt numFmtId="13" formatCode="0%"/>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alignment textRotation="0" wrapText="0" indent="0" justifyLastLine="0" shrinkToFit="0" readingOrder="0"/>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top style="medium">
          <color indexed="64"/>
        </top>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1"/>
        <name val="Scaly Sans"/>
        <scheme val="none"/>
      </font>
      <numFmt numFmtId="0" formatCode="General"/>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right style="medium">
          <color indexed="64"/>
        </right>
        <top/>
        <bottom style="medium">
          <color indexed="64"/>
        </bottom>
      </border>
    </dxf>
    <dxf>
      <border outline="0">
        <left style="medium">
          <color indexed="64"/>
        </left>
        <right style="medium">
          <color indexed="64"/>
        </right>
        <top style="medium">
          <color indexed="64"/>
        </top>
        <bottom style="medium">
          <color indexed="64"/>
        </bottom>
      </border>
    </dxf>
    <dxf>
      <alignment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theme="1"/>
        <name val="Scaly Sans"/>
        <scheme val="none"/>
      </font>
      <alignment horizontal="general"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theme="1"/>
        <name val="Scaly Sans"/>
        <scheme val="none"/>
      </font>
      <numFmt numFmtId="0" formatCode="General"/>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Scaly Sans"/>
        <scheme val="none"/>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10"/>
        <color theme="1"/>
        <name val="Scaly Sans"/>
        <scheme val="none"/>
      </font>
      <fill>
        <patternFill patternType="none">
          <fgColor indexed="64"/>
          <bgColor auto="1"/>
        </patternFill>
      </fill>
      <alignment horizontal="general" vertical="center" textRotation="0" wrapText="0" indent="0" justifyLastLine="0" shrinkToFit="0" readingOrder="0"/>
    </dxf>
    <dxf>
      <numFmt numFmtId="0" formatCode="General"/>
      <fill>
        <patternFill patternType="solid">
          <fgColor indexed="64"/>
          <bgColor rgb="FF92D050"/>
        </patternFill>
      </fill>
    </dxf>
    <dxf>
      <numFmt numFmtId="0" formatCode="General"/>
      <border diagonalUp="0" diagonalDown="0" outline="0">
        <left style="thin">
          <color indexed="64"/>
        </left>
        <right/>
        <top style="thin">
          <color indexed="64"/>
        </top>
        <bottom style="thin">
          <color indexed="64"/>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0" formatCode="General"/>
      <fill>
        <patternFill patternType="solid">
          <fgColor indexed="64"/>
          <bgColor rgb="FF92D050"/>
        </patternFill>
      </fill>
    </dxf>
    <dxf>
      <numFmt numFmtId="0" formatCode="General"/>
      <fill>
        <patternFill patternType="solid">
          <fgColor indexed="64"/>
          <bgColor rgb="FF92D050"/>
        </patternFill>
      </fill>
    </dxf>
    <dxf>
      <numFmt numFmtId="0" formatCode="General"/>
      <border diagonalUp="0" diagonalDown="0" outline="0">
        <left style="thin">
          <color indexed="64"/>
        </left>
        <right/>
        <top style="thin">
          <color indexed="64"/>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bottom/>
        <vertical/>
        <horizontal/>
      </border>
    </dxf>
    <dxf>
      <border diagonalUp="0" diagonalDown="0">
        <left style="thin">
          <color indexed="64"/>
        </left>
        <right style="thin">
          <color indexed="64"/>
        </right>
        <top/>
        <bottom/>
        <vertical/>
        <horizontal/>
      </border>
    </dxf>
    <dxf>
      <border diagonalUp="0" diagonalDown="0">
        <left style="thin">
          <color indexed="64"/>
        </left>
        <right style="thin">
          <color indexed="64"/>
        </right>
        <top style="thin">
          <color indexed="64"/>
        </top>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border outline="0">
        <top style="thin">
          <color theme="1"/>
        </top>
      </border>
    </dxf>
    <dxf>
      <border outline="0">
        <bottom style="thin">
          <color theme="1"/>
        </bottom>
      </border>
    </dxf>
    <dxf>
      <font>
        <b/>
        <i val="0"/>
        <strike val="0"/>
        <condense val="0"/>
        <extend val="0"/>
        <outline val="0"/>
        <shadow val="0"/>
        <u val="none"/>
        <vertAlign val="baseline"/>
        <sz val="11"/>
        <color theme="0"/>
        <name val="Lato"/>
        <family val="2"/>
        <charset val="204"/>
        <scheme val="minor"/>
      </font>
      <fill>
        <patternFill patternType="solid">
          <fgColor theme="1"/>
          <bgColor theme="1"/>
        </patternFill>
      </fill>
    </dxf>
    <dxf>
      <numFmt numFmtId="13" formatCode="0%"/>
    </dxf>
    <dxf>
      <font>
        <b val="0"/>
        <i val="0"/>
        <strike val="0"/>
        <condense val="0"/>
        <extend val="0"/>
        <outline val="0"/>
        <shadow val="0"/>
        <u val="none"/>
        <vertAlign val="baseline"/>
        <sz val="11"/>
        <color theme="1"/>
        <name val="Lato"/>
        <family val="2"/>
        <charset val="204"/>
        <scheme val="minor"/>
      </font>
      <fill>
        <patternFill patternType="solid">
          <fgColor theme="0" tint="-0.14999847407452621"/>
          <bgColor theme="0" tint="-0.14999847407452621"/>
        </patternFill>
      </fill>
      <border diagonalUp="0" diagonalDown="0">
        <left style="thin">
          <color theme="1"/>
        </left>
        <right/>
        <top style="thin">
          <color theme="1"/>
        </top>
        <bottom style="thin">
          <color theme="1"/>
        </bottom>
        <vertical/>
        <horizontal/>
      </border>
    </dxf>
    <dxf>
      <border outline="0">
        <bottom style="thin">
          <color theme="1"/>
        </bottom>
      </border>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3" formatCode="0%"/>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bottom/>
      </border>
    </dxf>
    <dxf>
      <numFmt numFmtId="13" formatCode="0%"/>
    </dxf>
    <dxf>
      <numFmt numFmtId="13" formatCode="0%"/>
    </dxf>
    <dxf>
      <numFmt numFmtId="13" formatCode="0%"/>
    </dxf>
    <dxf>
      <numFmt numFmtId="13" formatCode="0%"/>
    </dxf>
    <dxf>
      <numFmt numFmtId="13" formatCode="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EBEFF1"/>
          <bgColor rgb="FFEBEFF1"/>
        </patternFill>
      </fill>
    </dxf>
    <dxf>
      <fill>
        <patternFill patternType="solid">
          <fgColor rgb="FFFFFFFF"/>
          <bgColor rgb="FFFFFFFF"/>
        </patternFill>
      </fill>
    </dxf>
    <dxf>
      <fill>
        <patternFill patternType="solid">
          <fgColor rgb="FF38761D"/>
          <bgColor rgb="FF38761D"/>
        </patternFill>
      </fill>
    </dxf>
  </dxfs>
  <tableStyles count="7" defaultTableStyle="TableStyleMedium2" defaultPivotStyle="PivotStyleLight16">
    <tableStyle name="Equipment Packs-style" pivot="0" count="3" xr9:uid="{769F18B2-FECD-4431-966C-1FB326E552D4}">
      <tableStyleElement type="headerRow" dxfId="895"/>
      <tableStyleElement type="firstRowStripe" dxfId="894"/>
      <tableStyleElement type="secondRowStripe" dxfId="893"/>
    </tableStyle>
    <tableStyle name="Travel Tables-style" pivot="0" count="3" xr9:uid="{4E25F275-F37D-4EDA-807C-E16FBBD5B943}">
      <tableStyleElement type="headerRow" dxfId="892"/>
      <tableStyleElement type="firstRowStripe" dxfId="891"/>
      <tableStyleElement type="secondRowStripe" dxfId="890"/>
    </tableStyle>
    <tableStyle name="Travel Tables-style 2" pivot="0" count="3" xr9:uid="{DFA5B0A4-4E05-4905-B59F-D53383B34406}">
      <tableStyleElement type="headerRow" dxfId="889"/>
      <tableStyleElement type="firstRowStripe" dxfId="888"/>
      <tableStyleElement type="secondRowStripe" dxfId="887"/>
    </tableStyle>
    <tableStyle name="Travel Tables-style 3" pivot="0" count="3" xr9:uid="{07A67BC1-4FD5-4E8D-BF68-104835A05BC9}">
      <tableStyleElement type="headerRow" dxfId="886"/>
      <tableStyleElement type="firstRowStripe" dxfId="885"/>
      <tableStyleElement type="secondRowStripe" dxfId="884"/>
    </tableStyle>
    <tableStyle name="Travel Tables-style 4" pivot="0" count="3" xr9:uid="{43BA8072-E5F9-4DCE-BDDD-C4651ECF15AE}">
      <tableStyleElement type="headerRow" dxfId="883"/>
      <tableStyleElement type="firstRowStripe" dxfId="882"/>
      <tableStyleElement type="secondRowStripe" dxfId="881"/>
    </tableStyle>
    <tableStyle name="Weather Generator-style" pivot="0" count="2" xr9:uid="{CE02005B-6393-4E1A-93F5-A58FD981FAC7}">
      <tableStyleElement type="firstRowStripe" dxfId="880"/>
      <tableStyleElement type="secondRowStripe" dxfId="879"/>
    </tableStyle>
    <tableStyle name="Weather Generator-style 2" pivot="0" count="3" xr9:uid="{16B9EDB2-02CE-47F2-9344-D52F33A8012C}">
      <tableStyleElement type="headerRow" dxfId="878"/>
      <tableStyleElement type="firstRowStripe" dxfId="877"/>
      <tableStyleElement type="secondRowStripe" dxfId="876"/>
    </tableStyle>
  </tableStyles>
  <colors>
    <mruColors>
      <color rgb="FFFFFFCC"/>
      <color rgb="FF1D1DEB"/>
      <color rgb="FF00123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4.xml"/><Relationship Id="rId58"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B99EA99-0958-4287-AE3D-CD17CA94E5AD}"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ru-RU"/>
        </a:p>
      </dgm:t>
    </dgm:pt>
    <dgm:pt modelId="{09BB34B2-1A63-41ED-A3AD-2FE28F8A2D40}">
      <dgm:prSet phldrT="[Текст]"/>
      <dgm:spPr>
        <a:solidFill>
          <a:schemeClr val="bg1">
            <a:lumMod val="95000"/>
          </a:schemeClr>
        </a:solidFill>
        <a:ln w="28575">
          <a:prstDash val="sysDash"/>
        </a:ln>
      </dgm:spPr>
      <dgm:t>
        <a:bodyPr anchor="ctr"/>
        <a:lstStyle/>
        <a:p>
          <a:pPr algn="ctr"/>
          <a:r>
            <a:rPr lang="en-US">
              <a:solidFill>
                <a:schemeClr val="tx1"/>
              </a:solidFill>
            </a:rPr>
            <a:t>Regiment</a:t>
          </a:r>
          <a:endParaRPr lang="ru-RU">
            <a:solidFill>
              <a:schemeClr val="tx1"/>
            </a:solidFill>
          </a:endParaRPr>
        </a:p>
      </dgm:t>
    </dgm:pt>
    <dgm:pt modelId="{A6427182-EB76-4D35-AA9D-7175909C2C61}" type="parTrans" cxnId="{BCD98831-EFD8-48C4-BF0E-4D4557D10986}">
      <dgm:prSet/>
      <dgm:spPr/>
      <dgm:t>
        <a:bodyPr/>
        <a:lstStyle/>
        <a:p>
          <a:endParaRPr lang="ru-RU"/>
        </a:p>
      </dgm:t>
    </dgm:pt>
    <dgm:pt modelId="{41BDF1E0-54ED-4CCE-A443-8CE934F294EE}" type="sibTrans" cxnId="{BCD98831-EFD8-48C4-BF0E-4D4557D10986}">
      <dgm:prSet/>
      <dgm:spPr/>
      <dgm:t>
        <a:bodyPr/>
        <a:lstStyle/>
        <a:p>
          <a:endParaRPr lang="ru-RU"/>
        </a:p>
      </dgm:t>
    </dgm:pt>
    <dgm:pt modelId="{415D33F4-E960-4FCD-968F-A71D3E04E4F7}">
      <dgm:prSet phldrT="[Текст]"/>
      <dgm:spPr>
        <a:solidFill>
          <a:schemeClr val="bg1">
            <a:lumMod val="95000"/>
          </a:schemeClr>
        </a:solidFill>
        <a:ln w="28575">
          <a:prstDash val="sysDash"/>
        </a:ln>
      </dgm:spPr>
      <dgm:t>
        <a:bodyPr anchor="ctr"/>
        <a:lstStyle/>
        <a:p>
          <a:pPr algn="ctr"/>
          <a:r>
            <a:rPr lang="en-US">
              <a:solidFill>
                <a:schemeClr val="tx1"/>
              </a:solidFill>
            </a:rPr>
            <a:t>Battalion</a:t>
          </a:r>
          <a:endParaRPr lang="ru-RU">
            <a:solidFill>
              <a:schemeClr val="tx1"/>
            </a:solidFill>
          </a:endParaRPr>
        </a:p>
      </dgm:t>
    </dgm:pt>
    <dgm:pt modelId="{4EC22B40-B19C-443E-86BC-544D91E47055}" type="parTrans" cxnId="{CB8DF49C-6B9A-4C91-AD34-E7C5B00E6980}">
      <dgm:prSet/>
      <dgm:spPr/>
      <dgm:t>
        <a:bodyPr/>
        <a:lstStyle/>
        <a:p>
          <a:endParaRPr lang="ru-RU"/>
        </a:p>
      </dgm:t>
    </dgm:pt>
    <dgm:pt modelId="{04B4F80F-A18C-4A40-8A49-36960C784904}" type="sibTrans" cxnId="{CB8DF49C-6B9A-4C91-AD34-E7C5B00E6980}">
      <dgm:prSet/>
      <dgm:spPr/>
      <dgm:t>
        <a:bodyPr/>
        <a:lstStyle/>
        <a:p>
          <a:endParaRPr lang="ru-RU"/>
        </a:p>
      </dgm:t>
    </dgm:pt>
    <dgm:pt modelId="{332C6210-1BC2-45A9-8B13-CA1D9A9605FE}">
      <dgm:prSet phldrT="[Текст]"/>
      <dgm:spPr>
        <a:solidFill>
          <a:schemeClr val="bg1">
            <a:lumMod val="95000"/>
          </a:schemeClr>
        </a:solidFill>
        <a:ln w="28575">
          <a:prstDash val="sysDash"/>
        </a:ln>
      </dgm:spPr>
      <dgm:t>
        <a:bodyPr anchor="ctr"/>
        <a:lstStyle/>
        <a:p>
          <a:pPr algn="ctr"/>
          <a:r>
            <a:rPr lang="en-US">
              <a:solidFill>
                <a:schemeClr val="tx1"/>
              </a:solidFill>
            </a:rPr>
            <a:t>Battalion</a:t>
          </a:r>
          <a:endParaRPr lang="ru-RU">
            <a:solidFill>
              <a:schemeClr val="tx1"/>
            </a:solidFill>
          </a:endParaRPr>
        </a:p>
      </dgm:t>
    </dgm:pt>
    <dgm:pt modelId="{F3B63C8D-5F82-49C0-B1E0-9B978AAA016B}" type="parTrans" cxnId="{EF0B65ED-A6A7-401C-8AA3-39F62510E2CD}">
      <dgm:prSet/>
      <dgm:spPr/>
      <dgm:t>
        <a:bodyPr/>
        <a:lstStyle/>
        <a:p>
          <a:endParaRPr lang="ru-RU"/>
        </a:p>
      </dgm:t>
    </dgm:pt>
    <dgm:pt modelId="{D020746E-F091-4273-BFFE-665CAF040EAC}" type="sibTrans" cxnId="{EF0B65ED-A6A7-401C-8AA3-39F62510E2CD}">
      <dgm:prSet/>
      <dgm:spPr/>
      <dgm:t>
        <a:bodyPr/>
        <a:lstStyle/>
        <a:p>
          <a:endParaRPr lang="ru-RU"/>
        </a:p>
      </dgm:t>
    </dgm:pt>
    <dgm:pt modelId="{6A6E4B31-3C2F-49A0-A059-77C9741F17C9}">
      <dgm:prSet/>
      <dgm:spPr/>
      <dgm:t>
        <a:bodyPr/>
        <a:lstStyle/>
        <a:p>
          <a:r>
            <a:rPr lang="en-US"/>
            <a:t>Kadrath</a:t>
          </a:r>
          <a:endParaRPr lang="ru-RU"/>
        </a:p>
      </dgm:t>
    </dgm:pt>
    <dgm:pt modelId="{B63D8BC9-C7A0-487F-B503-CAE301B8A55A}" type="parTrans" cxnId="{22BE45AA-7787-4046-82B9-FB381F79E63D}">
      <dgm:prSet/>
      <dgm:spPr/>
      <dgm:t>
        <a:bodyPr/>
        <a:lstStyle/>
        <a:p>
          <a:endParaRPr lang="ru-RU"/>
        </a:p>
      </dgm:t>
    </dgm:pt>
    <dgm:pt modelId="{46258266-A4CF-4926-9CFF-B760F4C86C1B}" type="sibTrans" cxnId="{22BE45AA-7787-4046-82B9-FB381F79E63D}">
      <dgm:prSet/>
      <dgm:spPr/>
      <dgm:t>
        <a:bodyPr/>
        <a:lstStyle/>
        <a:p>
          <a:endParaRPr lang="ru-RU"/>
        </a:p>
      </dgm:t>
    </dgm:pt>
    <dgm:pt modelId="{AD53D6AE-C3E5-4D08-9A9C-756D21089556}">
      <dgm:prSet/>
      <dgm:spPr/>
      <dgm:t>
        <a:bodyPr/>
        <a:lstStyle/>
        <a:p>
          <a:r>
            <a:rPr lang="en-US"/>
            <a:t>Kadrath</a:t>
          </a:r>
          <a:endParaRPr lang="ru-RU"/>
        </a:p>
      </dgm:t>
    </dgm:pt>
    <dgm:pt modelId="{24648BAA-EFDC-4FA3-979D-9A5F571938EA}" type="parTrans" cxnId="{87175ED2-7B25-431E-8D88-0460E19F32F2}">
      <dgm:prSet/>
      <dgm:spPr/>
      <dgm:t>
        <a:bodyPr/>
        <a:lstStyle/>
        <a:p>
          <a:endParaRPr lang="ru-RU"/>
        </a:p>
      </dgm:t>
    </dgm:pt>
    <dgm:pt modelId="{69BA2A89-F3E0-4C23-8BF8-B98E7FF601AB}" type="sibTrans" cxnId="{87175ED2-7B25-431E-8D88-0460E19F32F2}">
      <dgm:prSet/>
      <dgm:spPr/>
      <dgm:t>
        <a:bodyPr/>
        <a:lstStyle/>
        <a:p>
          <a:endParaRPr lang="ru-RU"/>
        </a:p>
      </dgm:t>
    </dgm:pt>
    <dgm:pt modelId="{B6F7E06D-24E3-48BD-B79C-80AC404BA19E}">
      <dgm:prSet/>
      <dgm:spPr/>
      <dgm:t>
        <a:bodyPr/>
        <a:lstStyle/>
        <a:p>
          <a:r>
            <a:rPr lang="en-US"/>
            <a:t>Kadrath</a:t>
          </a:r>
          <a:endParaRPr lang="ru-RU"/>
        </a:p>
      </dgm:t>
    </dgm:pt>
    <dgm:pt modelId="{23B9DBBF-F78C-4587-9EA3-D8D5210EE74B}" type="parTrans" cxnId="{6CC73864-30B3-4D68-8A46-131BA718CF5C}">
      <dgm:prSet/>
      <dgm:spPr/>
      <dgm:t>
        <a:bodyPr/>
        <a:lstStyle/>
        <a:p>
          <a:endParaRPr lang="ru-RU"/>
        </a:p>
      </dgm:t>
    </dgm:pt>
    <dgm:pt modelId="{E7B1398C-12CB-48A8-B346-E3D45DA92A5A}" type="sibTrans" cxnId="{6CC73864-30B3-4D68-8A46-131BA718CF5C}">
      <dgm:prSet/>
      <dgm:spPr/>
      <dgm:t>
        <a:bodyPr/>
        <a:lstStyle/>
        <a:p>
          <a:endParaRPr lang="ru-RU"/>
        </a:p>
      </dgm:t>
    </dgm:pt>
    <dgm:pt modelId="{BE9A3B68-7D1F-4514-B608-7520AD729F5F}">
      <dgm:prSet/>
      <dgm:spPr/>
      <dgm:t>
        <a:bodyPr/>
        <a:lstStyle/>
        <a:p>
          <a:r>
            <a:rPr lang="en-US"/>
            <a:t>Kadrath</a:t>
          </a:r>
          <a:endParaRPr lang="ru-RU"/>
        </a:p>
      </dgm:t>
    </dgm:pt>
    <dgm:pt modelId="{A0D9AA86-F679-4DCB-A451-9EC15ED8B8E7}" type="parTrans" cxnId="{FE0E6FB3-AF16-4C62-9DFD-52D070DEA4D0}">
      <dgm:prSet/>
      <dgm:spPr/>
      <dgm:t>
        <a:bodyPr/>
        <a:lstStyle/>
        <a:p>
          <a:endParaRPr lang="ru-RU"/>
        </a:p>
      </dgm:t>
    </dgm:pt>
    <dgm:pt modelId="{B136DEFC-1BC6-4D8B-BCE0-FB7015627F48}" type="sibTrans" cxnId="{FE0E6FB3-AF16-4C62-9DFD-52D070DEA4D0}">
      <dgm:prSet/>
      <dgm:spPr/>
      <dgm:t>
        <a:bodyPr/>
        <a:lstStyle/>
        <a:p>
          <a:endParaRPr lang="ru-RU"/>
        </a:p>
      </dgm:t>
    </dgm:pt>
    <dgm:pt modelId="{5EAB8F2A-4E5A-473C-B442-34B4821616DC}">
      <dgm:prSet/>
      <dgm:spPr/>
      <dgm:t>
        <a:bodyPr/>
        <a:lstStyle/>
        <a:p>
          <a:r>
            <a:rPr lang="en-US"/>
            <a:t>Kadrath</a:t>
          </a:r>
          <a:endParaRPr lang="ru-RU"/>
        </a:p>
      </dgm:t>
    </dgm:pt>
    <dgm:pt modelId="{5A792F40-076F-4943-A722-9F10B2889D85}" type="parTrans" cxnId="{8BACE176-661A-40C7-AF6A-4C40B9400775}">
      <dgm:prSet/>
      <dgm:spPr/>
      <dgm:t>
        <a:bodyPr/>
        <a:lstStyle/>
        <a:p>
          <a:endParaRPr lang="ru-RU"/>
        </a:p>
      </dgm:t>
    </dgm:pt>
    <dgm:pt modelId="{CC015F9E-F242-4F18-8FDF-5663DD49313F}" type="sibTrans" cxnId="{8BACE176-661A-40C7-AF6A-4C40B9400775}">
      <dgm:prSet/>
      <dgm:spPr/>
      <dgm:t>
        <a:bodyPr/>
        <a:lstStyle/>
        <a:p>
          <a:endParaRPr lang="ru-RU"/>
        </a:p>
      </dgm:t>
    </dgm:pt>
    <dgm:pt modelId="{FDBB829B-3C88-42ED-829D-77463A4D1420}">
      <dgm:prSet/>
      <dgm:spPr/>
      <dgm:t>
        <a:bodyPr/>
        <a:lstStyle/>
        <a:p>
          <a:r>
            <a:rPr lang="en-US"/>
            <a:t>Kadrath</a:t>
          </a:r>
          <a:endParaRPr lang="ru-RU"/>
        </a:p>
      </dgm:t>
    </dgm:pt>
    <dgm:pt modelId="{0D92D3DC-9509-4BD3-B5BD-77435F04C873}" type="parTrans" cxnId="{1F0B9C46-9FA2-49D0-824B-86EF9569D919}">
      <dgm:prSet/>
      <dgm:spPr/>
      <dgm:t>
        <a:bodyPr/>
        <a:lstStyle/>
        <a:p>
          <a:endParaRPr lang="ru-RU"/>
        </a:p>
      </dgm:t>
    </dgm:pt>
    <dgm:pt modelId="{35B0980D-8E21-4A74-871D-E0ACFBB1111C}" type="sibTrans" cxnId="{1F0B9C46-9FA2-49D0-824B-86EF9569D919}">
      <dgm:prSet/>
      <dgm:spPr/>
      <dgm:t>
        <a:bodyPr/>
        <a:lstStyle/>
        <a:p>
          <a:endParaRPr lang="ru-RU"/>
        </a:p>
      </dgm:t>
    </dgm:pt>
    <dgm:pt modelId="{D0D8ECDA-ABF2-43D1-825B-BA6E5B911F4B}">
      <dgm:prSet/>
      <dgm:spPr/>
      <dgm:t>
        <a:bodyPr/>
        <a:lstStyle/>
        <a:p>
          <a:r>
            <a:rPr lang="en-US"/>
            <a:t>Company</a:t>
          </a:r>
          <a:endParaRPr lang="ru-RU"/>
        </a:p>
      </dgm:t>
    </dgm:pt>
    <dgm:pt modelId="{B2B78C19-7EB7-42C6-867B-90EA3A396E46}" type="parTrans" cxnId="{289319DE-EB22-40F1-977C-056A7AFF34EF}">
      <dgm:prSet/>
      <dgm:spPr/>
      <dgm:t>
        <a:bodyPr/>
        <a:lstStyle/>
        <a:p>
          <a:endParaRPr lang="ru-RU"/>
        </a:p>
      </dgm:t>
    </dgm:pt>
    <dgm:pt modelId="{50E40054-0804-477B-A973-BAB7E4D8B786}" type="sibTrans" cxnId="{289319DE-EB22-40F1-977C-056A7AFF34EF}">
      <dgm:prSet/>
      <dgm:spPr/>
      <dgm:t>
        <a:bodyPr/>
        <a:lstStyle/>
        <a:p>
          <a:endParaRPr lang="ru-RU"/>
        </a:p>
      </dgm:t>
    </dgm:pt>
    <dgm:pt modelId="{2183ED47-9AEE-41A7-9BC1-29C6F61179ED}">
      <dgm:prSet/>
      <dgm:spPr/>
      <dgm:t>
        <a:bodyPr/>
        <a:lstStyle/>
        <a:p>
          <a:r>
            <a:rPr lang="en-US"/>
            <a:t>Company</a:t>
          </a:r>
          <a:endParaRPr lang="ru-RU"/>
        </a:p>
      </dgm:t>
    </dgm:pt>
    <dgm:pt modelId="{06E61BDB-412D-47E6-BAD6-00E81918586C}" type="parTrans" cxnId="{FD859250-3BF1-4D70-AA7B-23A9571E75E8}">
      <dgm:prSet/>
      <dgm:spPr/>
      <dgm:t>
        <a:bodyPr/>
        <a:lstStyle/>
        <a:p>
          <a:endParaRPr lang="ru-RU"/>
        </a:p>
      </dgm:t>
    </dgm:pt>
    <dgm:pt modelId="{4748D579-8168-48AD-878E-5D63A3B4A917}" type="sibTrans" cxnId="{FD859250-3BF1-4D70-AA7B-23A9571E75E8}">
      <dgm:prSet/>
      <dgm:spPr/>
      <dgm:t>
        <a:bodyPr/>
        <a:lstStyle/>
        <a:p>
          <a:endParaRPr lang="ru-RU"/>
        </a:p>
      </dgm:t>
    </dgm:pt>
    <dgm:pt modelId="{3C80B9FD-7761-47AE-935E-E4B9121435C6}">
      <dgm:prSet/>
      <dgm:spPr/>
      <dgm:t>
        <a:bodyPr/>
        <a:lstStyle/>
        <a:p>
          <a:r>
            <a:rPr lang="en-US"/>
            <a:t>Company</a:t>
          </a:r>
          <a:endParaRPr lang="ru-RU"/>
        </a:p>
      </dgm:t>
    </dgm:pt>
    <dgm:pt modelId="{8C808F71-9DC8-465B-8427-B5EF8EB791A6}" type="parTrans" cxnId="{E3B18D31-25C9-421B-A333-ACDB845F44D2}">
      <dgm:prSet/>
      <dgm:spPr/>
      <dgm:t>
        <a:bodyPr/>
        <a:lstStyle/>
        <a:p>
          <a:endParaRPr lang="ru-RU"/>
        </a:p>
      </dgm:t>
    </dgm:pt>
    <dgm:pt modelId="{2A296C34-3759-4793-8E0E-D20B49EE0B9C}" type="sibTrans" cxnId="{E3B18D31-25C9-421B-A333-ACDB845F44D2}">
      <dgm:prSet/>
      <dgm:spPr/>
      <dgm:t>
        <a:bodyPr/>
        <a:lstStyle/>
        <a:p>
          <a:endParaRPr lang="ru-RU"/>
        </a:p>
      </dgm:t>
    </dgm:pt>
    <dgm:pt modelId="{18BD874B-DE1A-4C9D-8098-25D9928B3632}">
      <dgm:prSet/>
      <dgm:spPr/>
      <dgm:t>
        <a:bodyPr/>
        <a:lstStyle/>
        <a:p>
          <a:r>
            <a:rPr lang="en-US"/>
            <a:t>Squad</a:t>
          </a:r>
          <a:endParaRPr lang="ru-RU"/>
        </a:p>
      </dgm:t>
    </dgm:pt>
    <dgm:pt modelId="{B1ECB6DF-6BD4-4597-AA17-3FD22DFB01F1}" type="parTrans" cxnId="{70CE6F3B-E6BF-4B34-9FDE-61012692EF34}">
      <dgm:prSet/>
      <dgm:spPr/>
      <dgm:t>
        <a:bodyPr/>
        <a:lstStyle/>
        <a:p>
          <a:endParaRPr lang="ru-RU"/>
        </a:p>
      </dgm:t>
    </dgm:pt>
    <dgm:pt modelId="{4CF96724-5567-44E9-B316-5D9219DE66E5}" type="sibTrans" cxnId="{70CE6F3B-E6BF-4B34-9FDE-61012692EF34}">
      <dgm:prSet/>
      <dgm:spPr/>
      <dgm:t>
        <a:bodyPr/>
        <a:lstStyle/>
        <a:p>
          <a:endParaRPr lang="ru-RU"/>
        </a:p>
      </dgm:t>
    </dgm:pt>
    <dgm:pt modelId="{F184CD34-7D5B-4ED9-980C-198ECD34029F}">
      <dgm:prSet/>
      <dgm:spPr/>
      <dgm:t>
        <a:bodyPr/>
        <a:lstStyle/>
        <a:p>
          <a:r>
            <a:rPr lang="en-US"/>
            <a:t>Squad</a:t>
          </a:r>
          <a:endParaRPr lang="ru-RU"/>
        </a:p>
      </dgm:t>
    </dgm:pt>
    <dgm:pt modelId="{3E185927-8B35-42DD-9140-5C9D5A512985}" type="parTrans" cxnId="{EC565033-E954-426E-A46D-E4DB759BD9D0}">
      <dgm:prSet/>
      <dgm:spPr/>
      <dgm:t>
        <a:bodyPr/>
        <a:lstStyle/>
        <a:p>
          <a:endParaRPr lang="ru-RU"/>
        </a:p>
      </dgm:t>
    </dgm:pt>
    <dgm:pt modelId="{8A3AB1B1-9C79-4816-92A5-0724FF6A5F17}" type="sibTrans" cxnId="{EC565033-E954-426E-A46D-E4DB759BD9D0}">
      <dgm:prSet/>
      <dgm:spPr/>
      <dgm:t>
        <a:bodyPr/>
        <a:lstStyle/>
        <a:p>
          <a:endParaRPr lang="ru-RU"/>
        </a:p>
      </dgm:t>
    </dgm:pt>
    <dgm:pt modelId="{19DCDF77-ACD1-411A-A904-8A2424148B61}">
      <dgm:prSet/>
      <dgm:spPr/>
      <dgm:t>
        <a:bodyPr/>
        <a:lstStyle/>
        <a:p>
          <a:r>
            <a:rPr lang="en-US"/>
            <a:t>Squad</a:t>
          </a:r>
          <a:endParaRPr lang="ru-RU"/>
        </a:p>
      </dgm:t>
    </dgm:pt>
    <dgm:pt modelId="{6A2345A9-7B3B-418D-988F-B92FBF0B9DB3}" type="parTrans" cxnId="{80E218C5-C4B5-4419-AB16-9865DAE1FB91}">
      <dgm:prSet/>
      <dgm:spPr/>
      <dgm:t>
        <a:bodyPr/>
        <a:lstStyle/>
        <a:p>
          <a:endParaRPr lang="ru-RU"/>
        </a:p>
      </dgm:t>
    </dgm:pt>
    <dgm:pt modelId="{22A0DBB4-1798-47F0-940D-6475B82D4972}" type="sibTrans" cxnId="{80E218C5-C4B5-4419-AB16-9865DAE1FB91}">
      <dgm:prSet/>
      <dgm:spPr/>
      <dgm:t>
        <a:bodyPr/>
        <a:lstStyle/>
        <a:p>
          <a:endParaRPr lang="ru-RU"/>
        </a:p>
      </dgm:t>
    </dgm:pt>
    <dgm:pt modelId="{535511F9-DE66-4487-B733-8C218D642449}">
      <dgm:prSet/>
      <dgm:spPr/>
      <dgm:t>
        <a:bodyPr/>
        <a:lstStyle/>
        <a:p>
          <a:r>
            <a:rPr lang="en-US"/>
            <a:t>Company</a:t>
          </a:r>
          <a:endParaRPr lang="ru-RU"/>
        </a:p>
      </dgm:t>
    </dgm:pt>
    <dgm:pt modelId="{6497CD3F-3D5D-4E7E-A361-E3D998A2BB75}" type="parTrans" cxnId="{C00BEEE2-1E24-4FF7-9206-732CF9F74F60}">
      <dgm:prSet/>
      <dgm:spPr/>
      <dgm:t>
        <a:bodyPr/>
        <a:lstStyle/>
        <a:p>
          <a:endParaRPr lang="ru-RU"/>
        </a:p>
      </dgm:t>
    </dgm:pt>
    <dgm:pt modelId="{F0C2BFFB-2B07-42FA-875A-11EACF5688AE}" type="sibTrans" cxnId="{C00BEEE2-1E24-4FF7-9206-732CF9F74F60}">
      <dgm:prSet/>
      <dgm:spPr/>
      <dgm:t>
        <a:bodyPr/>
        <a:lstStyle/>
        <a:p>
          <a:endParaRPr lang="ru-RU"/>
        </a:p>
      </dgm:t>
    </dgm:pt>
    <dgm:pt modelId="{C9F2CB53-DEEE-476F-9B5C-8EED4B363EF2}">
      <dgm:prSet/>
      <dgm:spPr/>
      <dgm:t>
        <a:bodyPr/>
        <a:lstStyle/>
        <a:p>
          <a:r>
            <a:rPr lang="en-US"/>
            <a:t>Company</a:t>
          </a:r>
          <a:endParaRPr lang="ru-RU"/>
        </a:p>
      </dgm:t>
    </dgm:pt>
    <dgm:pt modelId="{2847292B-01CF-403F-A958-85CB8EC6E80D}" type="parTrans" cxnId="{D7C53EF3-FD18-4834-B0BE-1FDFA2D3D81B}">
      <dgm:prSet/>
      <dgm:spPr/>
      <dgm:t>
        <a:bodyPr/>
        <a:lstStyle/>
        <a:p>
          <a:endParaRPr lang="ru-RU"/>
        </a:p>
      </dgm:t>
    </dgm:pt>
    <dgm:pt modelId="{73DE7769-2892-469C-973A-027C30ECF644}" type="sibTrans" cxnId="{D7C53EF3-FD18-4834-B0BE-1FDFA2D3D81B}">
      <dgm:prSet/>
      <dgm:spPr/>
      <dgm:t>
        <a:bodyPr/>
        <a:lstStyle/>
        <a:p>
          <a:endParaRPr lang="ru-RU"/>
        </a:p>
      </dgm:t>
    </dgm:pt>
    <dgm:pt modelId="{0645715D-9A69-4A1E-AF3D-7AA12FEA7F9C}">
      <dgm:prSet/>
      <dgm:spPr/>
      <dgm:t>
        <a:bodyPr/>
        <a:lstStyle/>
        <a:p>
          <a:r>
            <a:rPr lang="en-US"/>
            <a:t>Company</a:t>
          </a:r>
          <a:endParaRPr lang="ru-RU"/>
        </a:p>
      </dgm:t>
    </dgm:pt>
    <dgm:pt modelId="{3BF91958-BADA-423E-A9BA-3466124306D5}" type="parTrans" cxnId="{80305EEE-23F0-448F-9641-1B39170EAE6F}">
      <dgm:prSet/>
      <dgm:spPr/>
      <dgm:t>
        <a:bodyPr/>
        <a:lstStyle/>
        <a:p>
          <a:endParaRPr lang="ru-RU"/>
        </a:p>
      </dgm:t>
    </dgm:pt>
    <dgm:pt modelId="{E57DBD8E-4958-4AF3-8403-CBA77E661D83}" type="sibTrans" cxnId="{80305EEE-23F0-448F-9641-1B39170EAE6F}">
      <dgm:prSet/>
      <dgm:spPr/>
      <dgm:t>
        <a:bodyPr/>
        <a:lstStyle/>
        <a:p>
          <a:endParaRPr lang="ru-RU"/>
        </a:p>
      </dgm:t>
    </dgm:pt>
    <dgm:pt modelId="{A4E39F4B-783D-4437-A94E-CA42A01A2C68}">
      <dgm:prSet/>
      <dgm:spPr/>
      <dgm:t>
        <a:bodyPr/>
        <a:lstStyle/>
        <a:p>
          <a:r>
            <a:rPr lang="en-US"/>
            <a:t>Company</a:t>
          </a:r>
          <a:endParaRPr lang="ru-RU"/>
        </a:p>
      </dgm:t>
    </dgm:pt>
    <dgm:pt modelId="{F41BA381-825A-4B44-A6DB-0BC51DC53A31}" type="parTrans" cxnId="{11131AE4-F2F2-4453-B34C-A358F71D8632}">
      <dgm:prSet/>
      <dgm:spPr/>
      <dgm:t>
        <a:bodyPr/>
        <a:lstStyle/>
        <a:p>
          <a:endParaRPr lang="ru-RU"/>
        </a:p>
      </dgm:t>
    </dgm:pt>
    <dgm:pt modelId="{4520E981-F46D-4088-AC00-AD6529221ED6}" type="sibTrans" cxnId="{11131AE4-F2F2-4453-B34C-A358F71D8632}">
      <dgm:prSet/>
      <dgm:spPr/>
      <dgm:t>
        <a:bodyPr/>
        <a:lstStyle/>
        <a:p>
          <a:endParaRPr lang="ru-RU"/>
        </a:p>
      </dgm:t>
    </dgm:pt>
    <dgm:pt modelId="{5B7C7653-1C9C-40A2-A78C-AD2E4F7B1035}">
      <dgm:prSet/>
      <dgm:spPr/>
      <dgm:t>
        <a:bodyPr/>
        <a:lstStyle/>
        <a:p>
          <a:r>
            <a:rPr lang="en-US"/>
            <a:t>Company</a:t>
          </a:r>
          <a:endParaRPr lang="ru-RU"/>
        </a:p>
      </dgm:t>
    </dgm:pt>
    <dgm:pt modelId="{4D510151-E469-47AF-A782-AA73B5EE106B}" type="parTrans" cxnId="{4796C163-5DF9-433A-AE98-9403AFC4DAA4}">
      <dgm:prSet/>
      <dgm:spPr/>
      <dgm:t>
        <a:bodyPr/>
        <a:lstStyle/>
        <a:p>
          <a:endParaRPr lang="ru-RU"/>
        </a:p>
      </dgm:t>
    </dgm:pt>
    <dgm:pt modelId="{AFD06EA1-7EA3-429D-B2AE-D5FB5F393B24}" type="sibTrans" cxnId="{4796C163-5DF9-433A-AE98-9403AFC4DAA4}">
      <dgm:prSet/>
      <dgm:spPr/>
      <dgm:t>
        <a:bodyPr/>
        <a:lstStyle/>
        <a:p>
          <a:endParaRPr lang="ru-RU"/>
        </a:p>
      </dgm:t>
    </dgm:pt>
    <dgm:pt modelId="{763353B0-3849-4740-8414-D72FFAA104ED}">
      <dgm:prSet/>
      <dgm:spPr/>
      <dgm:t>
        <a:bodyPr/>
        <a:lstStyle/>
        <a:p>
          <a:r>
            <a:rPr lang="en-US"/>
            <a:t>Company</a:t>
          </a:r>
          <a:endParaRPr lang="ru-RU"/>
        </a:p>
      </dgm:t>
    </dgm:pt>
    <dgm:pt modelId="{73B519EB-3D4F-4CBD-A90E-AA18489301C9}" type="parTrans" cxnId="{9418FF95-2976-471D-A398-4E43DAAB0FD2}">
      <dgm:prSet/>
      <dgm:spPr/>
      <dgm:t>
        <a:bodyPr/>
        <a:lstStyle/>
        <a:p>
          <a:endParaRPr lang="ru-RU"/>
        </a:p>
      </dgm:t>
    </dgm:pt>
    <dgm:pt modelId="{BF8D5F25-F58D-4ABD-86FE-7CFE5BC730C3}" type="sibTrans" cxnId="{9418FF95-2976-471D-A398-4E43DAAB0FD2}">
      <dgm:prSet/>
      <dgm:spPr/>
      <dgm:t>
        <a:bodyPr/>
        <a:lstStyle/>
        <a:p>
          <a:endParaRPr lang="ru-RU"/>
        </a:p>
      </dgm:t>
    </dgm:pt>
    <dgm:pt modelId="{3C15CB32-090C-488A-ABF4-0E73937418A7}">
      <dgm:prSet/>
      <dgm:spPr/>
      <dgm:t>
        <a:bodyPr/>
        <a:lstStyle/>
        <a:p>
          <a:r>
            <a:rPr lang="en-US"/>
            <a:t>Company</a:t>
          </a:r>
          <a:endParaRPr lang="ru-RU"/>
        </a:p>
      </dgm:t>
    </dgm:pt>
    <dgm:pt modelId="{761FC686-3A3F-4916-A5C4-17AE08A6D700}" type="parTrans" cxnId="{E9A9CA93-1D75-4C30-B431-3D5C7B74D57B}">
      <dgm:prSet/>
      <dgm:spPr/>
      <dgm:t>
        <a:bodyPr/>
        <a:lstStyle/>
        <a:p>
          <a:endParaRPr lang="ru-RU"/>
        </a:p>
      </dgm:t>
    </dgm:pt>
    <dgm:pt modelId="{44C8F266-E448-4A95-BD11-AB78D4B584A9}" type="sibTrans" cxnId="{E9A9CA93-1D75-4C30-B431-3D5C7B74D57B}">
      <dgm:prSet/>
      <dgm:spPr/>
      <dgm:t>
        <a:bodyPr/>
        <a:lstStyle/>
        <a:p>
          <a:endParaRPr lang="ru-RU"/>
        </a:p>
      </dgm:t>
    </dgm:pt>
    <dgm:pt modelId="{2456C976-B65F-4ADF-93AF-4B30292E9923}">
      <dgm:prSet/>
      <dgm:spPr/>
      <dgm:t>
        <a:bodyPr/>
        <a:lstStyle/>
        <a:p>
          <a:r>
            <a:rPr lang="en-US"/>
            <a:t>Company</a:t>
          </a:r>
          <a:endParaRPr lang="ru-RU"/>
        </a:p>
      </dgm:t>
    </dgm:pt>
    <dgm:pt modelId="{8A243D72-41E4-495D-816B-E4923E0CBD82}" type="parTrans" cxnId="{39284FCC-505A-425B-80A1-60B37AA809FF}">
      <dgm:prSet/>
      <dgm:spPr/>
      <dgm:t>
        <a:bodyPr/>
        <a:lstStyle/>
        <a:p>
          <a:endParaRPr lang="ru-RU"/>
        </a:p>
      </dgm:t>
    </dgm:pt>
    <dgm:pt modelId="{51803504-DC91-4963-918E-28E8E22FF528}" type="sibTrans" cxnId="{39284FCC-505A-425B-80A1-60B37AA809FF}">
      <dgm:prSet/>
      <dgm:spPr/>
      <dgm:t>
        <a:bodyPr/>
        <a:lstStyle/>
        <a:p>
          <a:endParaRPr lang="ru-RU"/>
        </a:p>
      </dgm:t>
    </dgm:pt>
    <dgm:pt modelId="{32B30FA1-2F37-4F48-8E62-A2986556420E}">
      <dgm:prSet/>
      <dgm:spPr/>
      <dgm:t>
        <a:bodyPr/>
        <a:lstStyle/>
        <a:p>
          <a:r>
            <a:rPr lang="en-US"/>
            <a:t>Company</a:t>
          </a:r>
          <a:endParaRPr lang="ru-RU"/>
        </a:p>
      </dgm:t>
    </dgm:pt>
    <dgm:pt modelId="{D6B9B643-9CC7-4D39-A4FA-D7282A5930BC}" type="parTrans" cxnId="{846258F2-988A-4BF5-A33A-59478EACCD6A}">
      <dgm:prSet/>
      <dgm:spPr/>
      <dgm:t>
        <a:bodyPr/>
        <a:lstStyle/>
        <a:p>
          <a:endParaRPr lang="ru-RU"/>
        </a:p>
      </dgm:t>
    </dgm:pt>
    <dgm:pt modelId="{3AA068AB-712A-4D46-89E2-5115F49F4EAD}" type="sibTrans" cxnId="{846258F2-988A-4BF5-A33A-59478EACCD6A}">
      <dgm:prSet/>
      <dgm:spPr/>
      <dgm:t>
        <a:bodyPr/>
        <a:lstStyle/>
        <a:p>
          <a:endParaRPr lang="ru-RU"/>
        </a:p>
      </dgm:t>
    </dgm:pt>
    <dgm:pt modelId="{3184C940-E49C-4712-8484-C16CBD62177E}">
      <dgm:prSet/>
      <dgm:spPr/>
      <dgm:t>
        <a:bodyPr/>
        <a:lstStyle/>
        <a:p>
          <a:r>
            <a:rPr lang="en-US"/>
            <a:t>Company</a:t>
          </a:r>
          <a:endParaRPr lang="ru-RU"/>
        </a:p>
      </dgm:t>
    </dgm:pt>
    <dgm:pt modelId="{ADF72A5A-A829-4667-8688-8906222F379E}" type="parTrans" cxnId="{994CBFAC-D8BD-445A-8E59-68125BB2F98C}">
      <dgm:prSet/>
      <dgm:spPr/>
      <dgm:t>
        <a:bodyPr/>
        <a:lstStyle/>
        <a:p>
          <a:endParaRPr lang="ru-RU"/>
        </a:p>
      </dgm:t>
    </dgm:pt>
    <dgm:pt modelId="{A67710DB-5E69-427B-A1B4-8A25F41BC0DA}" type="sibTrans" cxnId="{994CBFAC-D8BD-445A-8E59-68125BB2F98C}">
      <dgm:prSet/>
      <dgm:spPr/>
      <dgm:t>
        <a:bodyPr/>
        <a:lstStyle/>
        <a:p>
          <a:endParaRPr lang="ru-RU"/>
        </a:p>
      </dgm:t>
    </dgm:pt>
    <dgm:pt modelId="{8DCBD500-83EC-40FF-A68C-72CC8EF18A34}">
      <dgm:prSet/>
      <dgm:spPr/>
      <dgm:t>
        <a:bodyPr/>
        <a:lstStyle/>
        <a:p>
          <a:r>
            <a:rPr lang="en-US"/>
            <a:t>Company</a:t>
          </a:r>
          <a:endParaRPr lang="ru-RU"/>
        </a:p>
      </dgm:t>
    </dgm:pt>
    <dgm:pt modelId="{F99B25B4-17CA-4047-8406-B384D093695C}" type="parTrans" cxnId="{C46C065D-6FEC-44DF-9BD9-DDF0B265FAA7}">
      <dgm:prSet/>
      <dgm:spPr/>
      <dgm:t>
        <a:bodyPr/>
        <a:lstStyle/>
        <a:p>
          <a:endParaRPr lang="ru-RU"/>
        </a:p>
      </dgm:t>
    </dgm:pt>
    <dgm:pt modelId="{66E6C26A-C027-4CA9-BB74-E6A9F8729E02}" type="sibTrans" cxnId="{C46C065D-6FEC-44DF-9BD9-DDF0B265FAA7}">
      <dgm:prSet/>
      <dgm:spPr/>
      <dgm:t>
        <a:bodyPr/>
        <a:lstStyle/>
        <a:p>
          <a:endParaRPr lang="ru-RU"/>
        </a:p>
      </dgm:t>
    </dgm:pt>
    <dgm:pt modelId="{EB33C947-0DBE-40E5-89F1-05A0016ED4A7}">
      <dgm:prSet/>
      <dgm:spPr/>
      <dgm:t>
        <a:bodyPr/>
        <a:lstStyle/>
        <a:p>
          <a:r>
            <a:rPr lang="en-US"/>
            <a:t>Company</a:t>
          </a:r>
          <a:endParaRPr lang="ru-RU"/>
        </a:p>
      </dgm:t>
    </dgm:pt>
    <dgm:pt modelId="{5DCF7C3D-3851-47A8-8AD4-B557AC91A7AF}" type="parTrans" cxnId="{4B9F7809-3535-43A5-9040-6E9747A4A0A0}">
      <dgm:prSet/>
      <dgm:spPr/>
      <dgm:t>
        <a:bodyPr/>
        <a:lstStyle/>
        <a:p>
          <a:endParaRPr lang="ru-RU"/>
        </a:p>
      </dgm:t>
    </dgm:pt>
    <dgm:pt modelId="{FED5F6D0-97E6-4F18-B517-58F18DD9F418}" type="sibTrans" cxnId="{4B9F7809-3535-43A5-9040-6E9747A4A0A0}">
      <dgm:prSet/>
      <dgm:spPr/>
      <dgm:t>
        <a:bodyPr/>
        <a:lstStyle/>
        <a:p>
          <a:endParaRPr lang="ru-RU"/>
        </a:p>
      </dgm:t>
    </dgm:pt>
    <dgm:pt modelId="{EA6D052B-2ECF-48BC-9EC5-0878A1526A71}">
      <dgm:prSet/>
      <dgm:spPr/>
      <dgm:t>
        <a:bodyPr/>
        <a:lstStyle/>
        <a:p>
          <a:r>
            <a:rPr lang="en-US"/>
            <a:t>Company</a:t>
          </a:r>
          <a:endParaRPr lang="ru-RU"/>
        </a:p>
      </dgm:t>
    </dgm:pt>
    <dgm:pt modelId="{A3289BCD-5449-49FF-A1DB-84513AE724D3}" type="parTrans" cxnId="{EF582396-5436-414A-884E-6177749A7A89}">
      <dgm:prSet/>
      <dgm:spPr/>
      <dgm:t>
        <a:bodyPr/>
        <a:lstStyle/>
        <a:p>
          <a:endParaRPr lang="ru-RU"/>
        </a:p>
      </dgm:t>
    </dgm:pt>
    <dgm:pt modelId="{9B3B0537-C0DD-4B2F-B613-4ABC7F406DB0}" type="sibTrans" cxnId="{EF582396-5436-414A-884E-6177749A7A89}">
      <dgm:prSet/>
      <dgm:spPr/>
      <dgm:t>
        <a:bodyPr/>
        <a:lstStyle/>
        <a:p>
          <a:endParaRPr lang="ru-RU"/>
        </a:p>
      </dgm:t>
    </dgm:pt>
    <dgm:pt modelId="{9A3F9E56-13B7-4CB1-BF3A-29530BCA582F}">
      <dgm:prSet/>
      <dgm:spPr/>
      <dgm:t>
        <a:bodyPr/>
        <a:lstStyle/>
        <a:p>
          <a:r>
            <a:rPr lang="en-US"/>
            <a:t>Company</a:t>
          </a:r>
          <a:endParaRPr lang="ru-RU"/>
        </a:p>
      </dgm:t>
    </dgm:pt>
    <dgm:pt modelId="{06B15925-15ED-4685-96CA-C012AE2C5275}" type="parTrans" cxnId="{3D5480C3-1742-40BF-A814-725D23819270}">
      <dgm:prSet/>
      <dgm:spPr/>
      <dgm:t>
        <a:bodyPr/>
        <a:lstStyle/>
        <a:p>
          <a:endParaRPr lang="ru-RU"/>
        </a:p>
      </dgm:t>
    </dgm:pt>
    <dgm:pt modelId="{167BE09A-39B3-4F27-B6A8-87ADFD1E21E7}" type="sibTrans" cxnId="{3D5480C3-1742-40BF-A814-725D23819270}">
      <dgm:prSet/>
      <dgm:spPr/>
      <dgm:t>
        <a:bodyPr/>
        <a:lstStyle/>
        <a:p>
          <a:endParaRPr lang="ru-RU"/>
        </a:p>
      </dgm:t>
    </dgm:pt>
    <dgm:pt modelId="{F6D21C01-49C0-4CFF-BA53-E503CCAAED52}">
      <dgm:prSet/>
      <dgm:spPr/>
      <dgm:t>
        <a:bodyPr/>
        <a:lstStyle/>
        <a:p>
          <a:r>
            <a:rPr lang="en-US"/>
            <a:t>Company</a:t>
          </a:r>
          <a:endParaRPr lang="ru-RU"/>
        </a:p>
      </dgm:t>
    </dgm:pt>
    <dgm:pt modelId="{F0E7B386-17AB-42B3-8BD7-3A73730EE5B6}" type="parTrans" cxnId="{52706B62-4D2B-4A8D-BE23-EB6649FFACCF}">
      <dgm:prSet/>
      <dgm:spPr/>
      <dgm:t>
        <a:bodyPr/>
        <a:lstStyle/>
        <a:p>
          <a:endParaRPr lang="ru-RU"/>
        </a:p>
      </dgm:t>
    </dgm:pt>
    <dgm:pt modelId="{4D6337BD-36FA-41F2-97C4-1BD0F6D28C6F}" type="sibTrans" cxnId="{52706B62-4D2B-4A8D-BE23-EB6649FFACCF}">
      <dgm:prSet/>
      <dgm:spPr/>
      <dgm:t>
        <a:bodyPr/>
        <a:lstStyle/>
        <a:p>
          <a:endParaRPr lang="ru-RU"/>
        </a:p>
      </dgm:t>
    </dgm:pt>
    <dgm:pt modelId="{1B431C5F-0179-449F-94C2-BFF82B8B9ED3}">
      <dgm:prSet/>
      <dgm:spPr/>
      <dgm:t>
        <a:bodyPr/>
        <a:lstStyle/>
        <a:p>
          <a:r>
            <a:rPr lang="en-US"/>
            <a:t>Squad</a:t>
          </a:r>
          <a:endParaRPr lang="ru-RU"/>
        </a:p>
      </dgm:t>
    </dgm:pt>
    <dgm:pt modelId="{21D9D3F0-61FC-49BC-895B-45ECB7321A21}" type="parTrans" cxnId="{C784428F-9946-4D54-983A-D52A794A9ECD}">
      <dgm:prSet/>
      <dgm:spPr/>
      <dgm:t>
        <a:bodyPr/>
        <a:lstStyle/>
        <a:p>
          <a:endParaRPr lang="ru-RU"/>
        </a:p>
      </dgm:t>
    </dgm:pt>
    <dgm:pt modelId="{8C8B2841-EDF2-4918-AC87-A03586E3F70D}" type="sibTrans" cxnId="{C784428F-9946-4D54-983A-D52A794A9ECD}">
      <dgm:prSet/>
      <dgm:spPr/>
      <dgm:t>
        <a:bodyPr/>
        <a:lstStyle/>
        <a:p>
          <a:endParaRPr lang="ru-RU"/>
        </a:p>
      </dgm:t>
    </dgm:pt>
    <dgm:pt modelId="{0DD81D09-4A0F-4EA4-927F-12F3030BAC04}">
      <dgm:prSet/>
      <dgm:spPr/>
      <dgm:t>
        <a:bodyPr/>
        <a:lstStyle/>
        <a:p>
          <a:r>
            <a:rPr lang="en-US"/>
            <a:t>Squad</a:t>
          </a:r>
          <a:endParaRPr lang="ru-RU"/>
        </a:p>
      </dgm:t>
    </dgm:pt>
    <dgm:pt modelId="{27CEC32A-284E-4CF3-A0D4-7B44A99E9CC5}" type="parTrans" cxnId="{B5D0791D-D27B-48EB-BF37-A3931FE05E9F}">
      <dgm:prSet/>
      <dgm:spPr/>
      <dgm:t>
        <a:bodyPr/>
        <a:lstStyle/>
        <a:p>
          <a:endParaRPr lang="ru-RU"/>
        </a:p>
      </dgm:t>
    </dgm:pt>
    <dgm:pt modelId="{CD067AC6-19A4-4FFA-878A-0B845884483C}" type="sibTrans" cxnId="{B5D0791D-D27B-48EB-BF37-A3931FE05E9F}">
      <dgm:prSet/>
      <dgm:spPr/>
      <dgm:t>
        <a:bodyPr/>
        <a:lstStyle/>
        <a:p>
          <a:endParaRPr lang="ru-RU"/>
        </a:p>
      </dgm:t>
    </dgm:pt>
    <dgm:pt modelId="{FD5B224E-D798-452E-A917-66D5D44986FE}">
      <dgm:prSet/>
      <dgm:spPr/>
      <dgm:t>
        <a:bodyPr/>
        <a:lstStyle/>
        <a:p>
          <a:r>
            <a:rPr lang="en-US"/>
            <a:t>Squad</a:t>
          </a:r>
          <a:endParaRPr lang="ru-RU"/>
        </a:p>
      </dgm:t>
    </dgm:pt>
    <dgm:pt modelId="{8210D116-00F2-4C33-8812-EB25182E65F7}" type="parTrans" cxnId="{556AF124-401B-4B2E-912F-2F70404BC6BE}">
      <dgm:prSet/>
      <dgm:spPr/>
      <dgm:t>
        <a:bodyPr/>
        <a:lstStyle/>
        <a:p>
          <a:endParaRPr lang="ru-RU"/>
        </a:p>
      </dgm:t>
    </dgm:pt>
    <dgm:pt modelId="{0BBD0971-B854-4B51-A77C-2FC08036E220}" type="sibTrans" cxnId="{556AF124-401B-4B2E-912F-2F70404BC6BE}">
      <dgm:prSet/>
      <dgm:spPr/>
      <dgm:t>
        <a:bodyPr/>
        <a:lstStyle/>
        <a:p>
          <a:endParaRPr lang="ru-RU"/>
        </a:p>
      </dgm:t>
    </dgm:pt>
    <dgm:pt modelId="{64D0DBA4-168A-448D-A625-EE2282FE0F41}">
      <dgm:prSet/>
      <dgm:spPr/>
      <dgm:t>
        <a:bodyPr/>
        <a:lstStyle/>
        <a:p>
          <a:r>
            <a:rPr lang="en-US"/>
            <a:t>Squad</a:t>
          </a:r>
          <a:endParaRPr lang="ru-RU"/>
        </a:p>
      </dgm:t>
    </dgm:pt>
    <dgm:pt modelId="{D1F3DD8B-B2F1-435A-94B0-4B02A6EB7966}" type="parTrans" cxnId="{8F7E68C9-D499-4C69-8BEC-A0031381654F}">
      <dgm:prSet/>
      <dgm:spPr/>
      <dgm:t>
        <a:bodyPr/>
        <a:lstStyle/>
        <a:p>
          <a:endParaRPr lang="ru-RU"/>
        </a:p>
      </dgm:t>
    </dgm:pt>
    <dgm:pt modelId="{61C2C2C9-D5B0-4B39-821C-0DB5B84A4CEC}" type="sibTrans" cxnId="{8F7E68C9-D499-4C69-8BEC-A0031381654F}">
      <dgm:prSet/>
      <dgm:spPr/>
      <dgm:t>
        <a:bodyPr/>
        <a:lstStyle/>
        <a:p>
          <a:endParaRPr lang="ru-RU"/>
        </a:p>
      </dgm:t>
    </dgm:pt>
    <dgm:pt modelId="{45F6CA26-C1F4-4059-B737-7F7760919532}">
      <dgm:prSet/>
      <dgm:spPr/>
      <dgm:t>
        <a:bodyPr/>
        <a:lstStyle/>
        <a:p>
          <a:r>
            <a:rPr lang="en-US"/>
            <a:t>Squad</a:t>
          </a:r>
          <a:endParaRPr lang="ru-RU"/>
        </a:p>
      </dgm:t>
    </dgm:pt>
    <dgm:pt modelId="{114780B3-0782-4088-AC3B-8D5E1310FABF}" type="parTrans" cxnId="{7B12013D-6DCE-411A-BEFB-C3C63186D8E7}">
      <dgm:prSet/>
      <dgm:spPr/>
      <dgm:t>
        <a:bodyPr/>
        <a:lstStyle/>
        <a:p>
          <a:endParaRPr lang="ru-RU"/>
        </a:p>
      </dgm:t>
    </dgm:pt>
    <dgm:pt modelId="{F81BE987-6D09-4FA2-B4DB-F0DB7C90BE58}" type="sibTrans" cxnId="{7B12013D-6DCE-411A-BEFB-C3C63186D8E7}">
      <dgm:prSet/>
      <dgm:spPr/>
      <dgm:t>
        <a:bodyPr/>
        <a:lstStyle/>
        <a:p>
          <a:endParaRPr lang="ru-RU"/>
        </a:p>
      </dgm:t>
    </dgm:pt>
    <dgm:pt modelId="{FE638C8F-6D0A-4899-904B-4BD89EB54E42}">
      <dgm:prSet/>
      <dgm:spPr/>
      <dgm:t>
        <a:bodyPr/>
        <a:lstStyle/>
        <a:p>
          <a:r>
            <a:rPr lang="en-US"/>
            <a:t>Squad</a:t>
          </a:r>
          <a:endParaRPr lang="ru-RU"/>
        </a:p>
      </dgm:t>
    </dgm:pt>
    <dgm:pt modelId="{C5B3E315-784A-4F2E-8C90-C9B041263DE4}" type="parTrans" cxnId="{57D6513C-25EE-4B70-9BC4-6CC86E79E468}">
      <dgm:prSet/>
      <dgm:spPr/>
      <dgm:t>
        <a:bodyPr/>
        <a:lstStyle/>
        <a:p>
          <a:endParaRPr lang="ru-RU"/>
        </a:p>
      </dgm:t>
    </dgm:pt>
    <dgm:pt modelId="{7CCB435C-6EAA-4C2F-99A7-D158CDBF7A8E}" type="sibTrans" cxnId="{57D6513C-25EE-4B70-9BC4-6CC86E79E468}">
      <dgm:prSet/>
      <dgm:spPr/>
      <dgm:t>
        <a:bodyPr/>
        <a:lstStyle/>
        <a:p>
          <a:endParaRPr lang="ru-RU"/>
        </a:p>
      </dgm:t>
    </dgm:pt>
    <dgm:pt modelId="{ED23D0F1-3117-4BEA-A567-4A1759EC0EF0}">
      <dgm:prSet/>
      <dgm:spPr/>
      <dgm:t>
        <a:bodyPr/>
        <a:lstStyle/>
        <a:p>
          <a:r>
            <a:rPr lang="en-US"/>
            <a:t>Squad</a:t>
          </a:r>
          <a:endParaRPr lang="ru-RU"/>
        </a:p>
      </dgm:t>
    </dgm:pt>
    <dgm:pt modelId="{344D490D-B786-4306-B288-586109945069}" type="parTrans" cxnId="{04C98036-57AE-490C-8E21-2FC054287050}">
      <dgm:prSet/>
      <dgm:spPr/>
      <dgm:t>
        <a:bodyPr/>
        <a:lstStyle/>
        <a:p>
          <a:endParaRPr lang="ru-RU"/>
        </a:p>
      </dgm:t>
    </dgm:pt>
    <dgm:pt modelId="{CF73B737-2EDD-4291-A8B4-0070910CF423}" type="sibTrans" cxnId="{04C98036-57AE-490C-8E21-2FC054287050}">
      <dgm:prSet/>
      <dgm:spPr/>
      <dgm:t>
        <a:bodyPr/>
        <a:lstStyle/>
        <a:p>
          <a:endParaRPr lang="ru-RU"/>
        </a:p>
      </dgm:t>
    </dgm:pt>
    <dgm:pt modelId="{81835AC8-A71B-41A7-87A8-ED1805F985F6}">
      <dgm:prSet/>
      <dgm:spPr/>
      <dgm:t>
        <a:bodyPr/>
        <a:lstStyle/>
        <a:p>
          <a:r>
            <a:rPr lang="en-US"/>
            <a:t>Squad</a:t>
          </a:r>
          <a:endParaRPr lang="ru-RU"/>
        </a:p>
      </dgm:t>
    </dgm:pt>
    <dgm:pt modelId="{A1E66DA0-EBA1-468A-BE0B-707D04CE3F0B}" type="parTrans" cxnId="{6E067661-AE28-431D-BDF8-71668AE7D962}">
      <dgm:prSet/>
      <dgm:spPr/>
      <dgm:t>
        <a:bodyPr/>
        <a:lstStyle/>
        <a:p>
          <a:endParaRPr lang="ru-RU"/>
        </a:p>
      </dgm:t>
    </dgm:pt>
    <dgm:pt modelId="{3D0DF711-CF49-4C63-A649-C3443AEEAD52}" type="sibTrans" cxnId="{6E067661-AE28-431D-BDF8-71668AE7D962}">
      <dgm:prSet/>
      <dgm:spPr/>
      <dgm:t>
        <a:bodyPr/>
        <a:lstStyle/>
        <a:p>
          <a:endParaRPr lang="ru-RU"/>
        </a:p>
      </dgm:t>
    </dgm:pt>
    <dgm:pt modelId="{0096E6EC-86C7-4299-AA09-4DF5D1C9032C}">
      <dgm:prSet/>
      <dgm:spPr/>
      <dgm:t>
        <a:bodyPr/>
        <a:lstStyle/>
        <a:p>
          <a:r>
            <a:rPr lang="en-US"/>
            <a:t>Squad</a:t>
          </a:r>
          <a:endParaRPr lang="ru-RU"/>
        </a:p>
      </dgm:t>
    </dgm:pt>
    <dgm:pt modelId="{72D24AA6-8183-4E3E-9057-753E7D9F8B4F}" type="parTrans" cxnId="{63BFC74A-84AC-4E69-8CD9-779516B74157}">
      <dgm:prSet/>
      <dgm:spPr/>
      <dgm:t>
        <a:bodyPr/>
        <a:lstStyle/>
        <a:p>
          <a:endParaRPr lang="ru-RU"/>
        </a:p>
      </dgm:t>
    </dgm:pt>
    <dgm:pt modelId="{C8E8AC8C-2EF3-40CB-B2F4-7A9EE77EF63D}" type="sibTrans" cxnId="{63BFC74A-84AC-4E69-8CD9-779516B74157}">
      <dgm:prSet/>
      <dgm:spPr/>
      <dgm:t>
        <a:bodyPr/>
        <a:lstStyle/>
        <a:p>
          <a:endParaRPr lang="ru-RU"/>
        </a:p>
      </dgm:t>
    </dgm:pt>
    <dgm:pt modelId="{83E21AFF-A1F0-4959-AE2B-B079776A6FC2}">
      <dgm:prSet/>
      <dgm:spPr/>
      <dgm:t>
        <a:bodyPr/>
        <a:lstStyle/>
        <a:p>
          <a:r>
            <a:rPr lang="en-US"/>
            <a:t>Squad</a:t>
          </a:r>
          <a:endParaRPr lang="ru-RU"/>
        </a:p>
      </dgm:t>
    </dgm:pt>
    <dgm:pt modelId="{E95BCA44-F14B-4222-BBBD-48345F99471A}" type="parTrans" cxnId="{C3CC71B1-7401-46F8-9544-E96C412CBC85}">
      <dgm:prSet/>
      <dgm:spPr/>
      <dgm:t>
        <a:bodyPr/>
        <a:lstStyle/>
        <a:p>
          <a:endParaRPr lang="ru-RU"/>
        </a:p>
      </dgm:t>
    </dgm:pt>
    <dgm:pt modelId="{5BD93C64-0782-4FA4-808C-00D2BC213621}" type="sibTrans" cxnId="{C3CC71B1-7401-46F8-9544-E96C412CBC85}">
      <dgm:prSet/>
      <dgm:spPr/>
      <dgm:t>
        <a:bodyPr/>
        <a:lstStyle/>
        <a:p>
          <a:endParaRPr lang="ru-RU"/>
        </a:p>
      </dgm:t>
    </dgm:pt>
    <dgm:pt modelId="{C664FF72-A1D8-4D5F-A951-C64D35C71618}">
      <dgm:prSet/>
      <dgm:spPr/>
      <dgm:t>
        <a:bodyPr/>
        <a:lstStyle/>
        <a:p>
          <a:r>
            <a:rPr lang="en-US"/>
            <a:t>Squad</a:t>
          </a:r>
          <a:endParaRPr lang="ru-RU"/>
        </a:p>
      </dgm:t>
    </dgm:pt>
    <dgm:pt modelId="{0E8EEF20-419C-4577-81D9-52E73967FE20}" type="parTrans" cxnId="{56CB0CF9-E05B-42A8-8DB2-6557A695056E}">
      <dgm:prSet/>
      <dgm:spPr/>
      <dgm:t>
        <a:bodyPr/>
        <a:lstStyle/>
        <a:p>
          <a:endParaRPr lang="ru-RU"/>
        </a:p>
      </dgm:t>
    </dgm:pt>
    <dgm:pt modelId="{E0EDF24E-3C88-4482-B137-40B9215C04BE}" type="sibTrans" cxnId="{56CB0CF9-E05B-42A8-8DB2-6557A695056E}">
      <dgm:prSet/>
      <dgm:spPr/>
      <dgm:t>
        <a:bodyPr/>
        <a:lstStyle/>
        <a:p>
          <a:endParaRPr lang="ru-RU"/>
        </a:p>
      </dgm:t>
    </dgm:pt>
    <dgm:pt modelId="{B43A7DFB-A1BC-4E0B-B17C-885B461BFC5C}">
      <dgm:prSet/>
      <dgm:spPr/>
      <dgm:t>
        <a:bodyPr/>
        <a:lstStyle/>
        <a:p>
          <a:r>
            <a:rPr lang="en-US"/>
            <a:t>Squad</a:t>
          </a:r>
          <a:endParaRPr lang="ru-RU"/>
        </a:p>
      </dgm:t>
    </dgm:pt>
    <dgm:pt modelId="{F4471D0A-12C8-44C8-86DE-F2BE6803436E}" type="parTrans" cxnId="{876A4F1E-6AA8-4619-8932-2347C00F2537}">
      <dgm:prSet/>
      <dgm:spPr/>
      <dgm:t>
        <a:bodyPr/>
        <a:lstStyle/>
        <a:p>
          <a:endParaRPr lang="ru-RU"/>
        </a:p>
      </dgm:t>
    </dgm:pt>
    <dgm:pt modelId="{2129F5FB-FE8E-4A38-AE83-8BCE1E4AED26}" type="sibTrans" cxnId="{876A4F1E-6AA8-4619-8932-2347C00F2537}">
      <dgm:prSet/>
      <dgm:spPr/>
      <dgm:t>
        <a:bodyPr/>
        <a:lstStyle/>
        <a:p>
          <a:endParaRPr lang="ru-RU"/>
        </a:p>
      </dgm:t>
    </dgm:pt>
    <dgm:pt modelId="{C6E2F267-FABF-4B85-94C0-70EEFED92F94}">
      <dgm:prSet/>
      <dgm:spPr/>
      <dgm:t>
        <a:bodyPr/>
        <a:lstStyle/>
        <a:p>
          <a:r>
            <a:rPr lang="en-US"/>
            <a:t>Squad</a:t>
          </a:r>
          <a:endParaRPr lang="ru-RU"/>
        </a:p>
      </dgm:t>
    </dgm:pt>
    <dgm:pt modelId="{E03371A2-1DE0-4DF8-9C92-4378BEABF1EE}" type="parTrans" cxnId="{A1E1D069-8AA4-424D-B91F-0302B2288BA2}">
      <dgm:prSet/>
      <dgm:spPr/>
      <dgm:t>
        <a:bodyPr/>
        <a:lstStyle/>
        <a:p>
          <a:endParaRPr lang="ru-RU"/>
        </a:p>
      </dgm:t>
    </dgm:pt>
    <dgm:pt modelId="{0EAFDC6B-10D7-4453-B8B8-66A2347621AD}" type="sibTrans" cxnId="{A1E1D069-8AA4-424D-B91F-0302B2288BA2}">
      <dgm:prSet/>
      <dgm:spPr/>
      <dgm:t>
        <a:bodyPr/>
        <a:lstStyle/>
        <a:p>
          <a:endParaRPr lang="ru-RU"/>
        </a:p>
      </dgm:t>
    </dgm:pt>
    <dgm:pt modelId="{061B9782-C0EC-4C4F-BD8E-B5849919D515}">
      <dgm:prSet/>
      <dgm:spPr/>
      <dgm:t>
        <a:bodyPr/>
        <a:lstStyle/>
        <a:p>
          <a:r>
            <a:rPr lang="en-US"/>
            <a:t>Squad</a:t>
          </a:r>
          <a:endParaRPr lang="ru-RU"/>
        </a:p>
      </dgm:t>
    </dgm:pt>
    <dgm:pt modelId="{61A0FC2D-ACD1-4E6C-9E3E-DAB311093A95}" type="parTrans" cxnId="{1C2E2C7B-0A03-4CB9-B29A-805322D926C5}">
      <dgm:prSet/>
      <dgm:spPr/>
      <dgm:t>
        <a:bodyPr/>
        <a:lstStyle/>
        <a:p>
          <a:endParaRPr lang="ru-RU"/>
        </a:p>
      </dgm:t>
    </dgm:pt>
    <dgm:pt modelId="{32C8F5BD-5B29-404D-815B-142D832F74AE}" type="sibTrans" cxnId="{1C2E2C7B-0A03-4CB9-B29A-805322D926C5}">
      <dgm:prSet/>
      <dgm:spPr/>
      <dgm:t>
        <a:bodyPr/>
        <a:lstStyle/>
        <a:p>
          <a:endParaRPr lang="ru-RU"/>
        </a:p>
      </dgm:t>
    </dgm:pt>
    <dgm:pt modelId="{4D24D935-E32D-4D5F-8846-6A22BA92AF2A}">
      <dgm:prSet/>
      <dgm:spPr/>
      <dgm:t>
        <a:bodyPr/>
        <a:lstStyle/>
        <a:p>
          <a:r>
            <a:rPr lang="en-US"/>
            <a:t>Squad</a:t>
          </a:r>
          <a:endParaRPr lang="ru-RU"/>
        </a:p>
      </dgm:t>
    </dgm:pt>
    <dgm:pt modelId="{E9255337-556F-4043-BAA3-D69DE90F0755}" type="parTrans" cxnId="{0C6CE9C8-8B21-4C31-A48A-82A2A72381F7}">
      <dgm:prSet/>
      <dgm:spPr/>
      <dgm:t>
        <a:bodyPr/>
        <a:lstStyle/>
        <a:p>
          <a:endParaRPr lang="ru-RU"/>
        </a:p>
      </dgm:t>
    </dgm:pt>
    <dgm:pt modelId="{5B643B9E-C4B3-44EC-AAC7-80DC52B73F15}" type="sibTrans" cxnId="{0C6CE9C8-8B21-4C31-A48A-82A2A72381F7}">
      <dgm:prSet/>
      <dgm:spPr/>
      <dgm:t>
        <a:bodyPr/>
        <a:lstStyle/>
        <a:p>
          <a:endParaRPr lang="ru-RU"/>
        </a:p>
      </dgm:t>
    </dgm:pt>
    <dgm:pt modelId="{EA204522-3C4B-4829-B9F8-8DB420C3F2C6}">
      <dgm:prSet/>
      <dgm:spPr/>
      <dgm:t>
        <a:bodyPr/>
        <a:lstStyle/>
        <a:p>
          <a:r>
            <a:rPr lang="en-US"/>
            <a:t>Squad</a:t>
          </a:r>
          <a:endParaRPr lang="ru-RU"/>
        </a:p>
      </dgm:t>
    </dgm:pt>
    <dgm:pt modelId="{C130FB75-A2AC-4D7E-BF37-EBE80F70BC0A}" type="parTrans" cxnId="{44E4EBE3-218A-4914-9ED8-4D399CDC2CD5}">
      <dgm:prSet/>
      <dgm:spPr/>
      <dgm:t>
        <a:bodyPr/>
        <a:lstStyle/>
        <a:p>
          <a:endParaRPr lang="ru-RU"/>
        </a:p>
      </dgm:t>
    </dgm:pt>
    <dgm:pt modelId="{24336607-4022-4C99-BFF0-E38A9DCE588B}" type="sibTrans" cxnId="{44E4EBE3-218A-4914-9ED8-4D399CDC2CD5}">
      <dgm:prSet/>
      <dgm:spPr/>
      <dgm:t>
        <a:bodyPr/>
        <a:lstStyle/>
        <a:p>
          <a:endParaRPr lang="ru-RU"/>
        </a:p>
      </dgm:t>
    </dgm:pt>
    <dgm:pt modelId="{83A1D584-FC25-4DCC-B744-AC464D97F8B6}">
      <dgm:prSet/>
      <dgm:spPr/>
      <dgm:t>
        <a:bodyPr/>
        <a:lstStyle/>
        <a:p>
          <a:r>
            <a:rPr lang="en-US"/>
            <a:t>Squad</a:t>
          </a:r>
          <a:endParaRPr lang="ru-RU"/>
        </a:p>
      </dgm:t>
    </dgm:pt>
    <dgm:pt modelId="{7FDD71E7-B4E6-474A-BA9D-31FEA50A6CB3}" type="parTrans" cxnId="{CD381B7F-A773-481D-97C4-8C48C39CD8BB}">
      <dgm:prSet/>
      <dgm:spPr/>
      <dgm:t>
        <a:bodyPr/>
        <a:lstStyle/>
        <a:p>
          <a:endParaRPr lang="ru-RU"/>
        </a:p>
      </dgm:t>
    </dgm:pt>
    <dgm:pt modelId="{39206016-6A3A-41C3-9494-1186EC4BCA4A}" type="sibTrans" cxnId="{CD381B7F-A773-481D-97C4-8C48C39CD8BB}">
      <dgm:prSet/>
      <dgm:spPr/>
      <dgm:t>
        <a:bodyPr/>
        <a:lstStyle/>
        <a:p>
          <a:endParaRPr lang="ru-RU"/>
        </a:p>
      </dgm:t>
    </dgm:pt>
    <dgm:pt modelId="{28E76CA5-161D-409F-ABFB-50FAAFEC437E}">
      <dgm:prSet/>
      <dgm:spPr/>
      <dgm:t>
        <a:bodyPr/>
        <a:lstStyle/>
        <a:p>
          <a:r>
            <a:rPr lang="en-US"/>
            <a:t>Squad</a:t>
          </a:r>
          <a:endParaRPr lang="ru-RU"/>
        </a:p>
      </dgm:t>
    </dgm:pt>
    <dgm:pt modelId="{73E524F7-6844-459F-A353-1B778E503E52}" type="parTrans" cxnId="{2267E198-FC60-454D-9387-5390C562DE32}">
      <dgm:prSet/>
      <dgm:spPr/>
      <dgm:t>
        <a:bodyPr/>
        <a:lstStyle/>
        <a:p>
          <a:endParaRPr lang="ru-RU"/>
        </a:p>
      </dgm:t>
    </dgm:pt>
    <dgm:pt modelId="{DE6755FC-7F23-43EC-8CB5-89B27F417704}" type="sibTrans" cxnId="{2267E198-FC60-454D-9387-5390C562DE32}">
      <dgm:prSet/>
      <dgm:spPr/>
      <dgm:t>
        <a:bodyPr/>
        <a:lstStyle/>
        <a:p>
          <a:endParaRPr lang="ru-RU"/>
        </a:p>
      </dgm:t>
    </dgm:pt>
    <dgm:pt modelId="{2D223E41-FFCE-43EA-A912-97398AFB7417}">
      <dgm:prSet/>
      <dgm:spPr/>
      <dgm:t>
        <a:bodyPr/>
        <a:lstStyle/>
        <a:p>
          <a:r>
            <a:rPr lang="en-US"/>
            <a:t>Squad</a:t>
          </a:r>
          <a:endParaRPr lang="ru-RU"/>
        </a:p>
      </dgm:t>
    </dgm:pt>
    <dgm:pt modelId="{FF6F12EE-E863-49D9-B7C4-AEFDC6A73000}" type="parTrans" cxnId="{8B0DBA7A-9F07-414B-B3EA-B290CBB1EEA7}">
      <dgm:prSet/>
      <dgm:spPr/>
      <dgm:t>
        <a:bodyPr/>
        <a:lstStyle/>
        <a:p>
          <a:endParaRPr lang="ru-RU"/>
        </a:p>
      </dgm:t>
    </dgm:pt>
    <dgm:pt modelId="{DD687A22-8E47-496B-BFD6-58728267D4FD}" type="sibTrans" cxnId="{8B0DBA7A-9F07-414B-B3EA-B290CBB1EEA7}">
      <dgm:prSet/>
      <dgm:spPr/>
      <dgm:t>
        <a:bodyPr/>
        <a:lstStyle/>
        <a:p>
          <a:endParaRPr lang="ru-RU"/>
        </a:p>
      </dgm:t>
    </dgm:pt>
    <dgm:pt modelId="{D91B2883-740A-47A3-B18A-193CF254D5F9}">
      <dgm:prSet/>
      <dgm:spPr/>
      <dgm:t>
        <a:bodyPr/>
        <a:lstStyle/>
        <a:p>
          <a:r>
            <a:rPr lang="en-US"/>
            <a:t>Squad</a:t>
          </a:r>
          <a:endParaRPr lang="ru-RU"/>
        </a:p>
      </dgm:t>
    </dgm:pt>
    <dgm:pt modelId="{916E351F-35B3-4628-ABBD-A463A6588698}" type="parTrans" cxnId="{8E1EA9B1-BC8A-4231-BF47-A542CA38BFFD}">
      <dgm:prSet/>
      <dgm:spPr/>
      <dgm:t>
        <a:bodyPr/>
        <a:lstStyle/>
        <a:p>
          <a:endParaRPr lang="ru-RU"/>
        </a:p>
      </dgm:t>
    </dgm:pt>
    <dgm:pt modelId="{073F25B0-122F-4CAE-AA8C-F6DB136AA759}" type="sibTrans" cxnId="{8E1EA9B1-BC8A-4231-BF47-A542CA38BFFD}">
      <dgm:prSet/>
      <dgm:spPr/>
      <dgm:t>
        <a:bodyPr/>
        <a:lstStyle/>
        <a:p>
          <a:endParaRPr lang="ru-RU"/>
        </a:p>
      </dgm:t>
    </dgm:pt>
    <dgm:pt modelId="{C5972743-1B3B-417D-B430-7599F171CF53}">
      <dgm:prSet/>
      <dgm:spPr/>
      <dgm:t>
        <a:bodyPr/>
        <a:lstStyle/>
        <a:p>
          <a:r>
            <a:rPr lang="en-US"/>
            <a:t>Squad</a:t>
          </a:r>
          <a:endParaRPr lang="ru-RU"/>
        </a:p>
      </dgm:t>
    </dgm:pt>
    <dgm:pt modelId="{D3785CA9-3221-4C1B-ADF9-95875A9FAF88}" type="parTrans" cxnId="{A93FD87E-9300-4BF5-B293-0D57C5300B45}">
      <dgm:prSet/>
      <dgm:spPr/>
      <dgm:t>
        <a:bodyPr/>
        <a:lstStyle/>
        <a:p>
          <a:endParaRPr lang="ru-RU"/>
        </a:p>
      </dgm:t>
    </dgm:pt>
    <dgm:pt modelId="{921D5973-8FAA-4354-AA7E-B39D3DEB31D6}" type="sibTrans" cxnId="{A93FD87E-9300-4BF5-B293-0D57C5300B45}">
      <dgm:prSet/>
      <dgm:spPr/>
      <dgm:t>
        <a:bodyPr/>
        <a:lstStyle/>
        <a:p>
          <a:endParaRPr lang="ru-RU"/>
        </a:p>
      </dgm:t>
    </dgm:pt>
    <dgm:pt modelId="{26852B1F-B752-41F1-8DAF-BB9CB4E76980}">
      <dgm:prSet/>
      <dgm:spPr/>
      <dgm:t>
        <a:bodyPr/>
        <a:lstStyle/>
        <a:p>
          <a:r>
            <a:rPr lang="en-US"/>
            <a:t>Squad</a:t>
          </a:r>
          <a:endParaRPr lang="ru-RU"/>
        </a:p>
      </dgm:t>
    </dgm:pt>
    <dgm:pt modelId="{832918F0-8884-41CC-8609-5D84478FC809}" type="parTrans" cxnId="{54ED7108-3034-4099-9F49-B66D88DB291D}">
      <dgm:prSet/>
      <dgm:spPr/>
      <dgm:t>
        <a:bodyPr/>
        <a:lstStyle/>
        <a:p>
          <a:endParaRPr lang="ru-RU"/>
        </a:p>
      </dgm:t>
    </dgm:pt>
    <dgm:pt modelId="{D83B2DBC-FF41-4088-B785-3A80F0702C9E}" type="sibTrans" cxnId="{54ED7108-3034-4099-9F49-B66D88DB291D}">
      <dgm:prSet/>
      <dgm:spPr/>
      <dgm:t>
        <a:bodyPr/>
        <a:lstStyle/>
        <a:p>
          <a:endParaRPr lang="ru-RU"/>
        </a:p>
      </dgm:t>
    </dgm:pt>
    <dgm:pt modelId="{95A0E7B6-867A-4DC2-8FEE-24BE50E9D59C}">
      <dgm:prSet/>
      <dgm:spPr/>
      <dgm:t>
        <a:bodyPr/>
        <a:lstStyle/>
        <a:p>
          <a:r>
            <a:rPr lang="en-US"/>
            <a:t>Squad</a:t>
          </a:r>
          <a:endParaRPr lang="ru-RU"/>
        </a:p>
      </dgm:t>
    </dgm:pt>
    <dgm:pt modelId="{1E4995FC-44AE-4971-8EA7-E963F22A698C}" type="parTrans" cxnId="{D640E899-86B5-4D46-9C0C-1160057B5591}">
      <dgm:prSet/>
      <dgm:spPr/>
      <dgm:t>
        <a:bodyPr/>
        <a:lstStyle/>
        <a:p>
          <a:endParaRPr lang="ru-RU"/>
        </a:p>
      </dgm:t>
    </dgm:pt>
    <dgm:pt modelId="{31F36DDC-E46B-4615-B8CF-D482A44A6184}" type="sibTrans" cxnId="{D640E899-86B5-4D46-9C0C-1160057B5591}">
      <dgm:prSet/>
      <dgm:spPr/>
      <dgm:t>
        <a:bodyPr/>
        <a:lstStyle/>
        <a:p>
          <a:endParaRPr lang="ru-RU"/>
        </a:p>
      </dgm:t>
    </dgm:pt>
    <dgm:pt modelId="{26C19B71-85DD-4AFB-BDC8-A7FF4906A1C7}">
      <dgm:prSet/>
      <dgm:spPr/>
      <dgm:t>
        <a:bodyPr/>
        <a:lstStyle/>
        <a:p>
          <a:r>
            <a:rPr lang="en-US"/>
            <a:t>Squad</a:t>
          </a:r>
          <a:endParaRPr lang="ru-RU"/>
        </a:p>
      </dgm:t>
    </dgm:pt>
    <dgm:pt modelId="{46030C2D-D5C0-482E-8DF2-0E9B174DBA10}" type="parTrans" cxnId="{344E5DDC-C688-426D-95EA-C246FEA8C84C}">
      <dgm:prSet/>
      <dgm:spPr/>
      <dgm:t>
        <a:bodyPr/>
        <a:lstStyle/>
        <a:p>
          <a:endParaRPr lang="ru-RU"/>
        </a:p>
      </dgm:t>
    </dgm:pt>
    <dgm:pt modelId="{ABC95781-C650-4294-85B8-A48F7316D0BF}" type="sibTrans" cxnId="{344E5DDC-C688-426D-95EA-C246FEA8C84C}">
      <dgm:prSet/>
      <dgm:spPr/>
      <dgm:t>
        <a:bodyPr/>
        <a:lstStyle/>
        <a:p>
          <a:endParaRPr lang="ru-RU"/>
        </a:p>
      </dgm:t>
    </dgm:pt>
    <dgm:pt modelId="{1886A169-0015-471E-AF3C-4CE227759C54}">
      <dgm:prSet/>
      <dgm:spPr/>
      <dgm:t>
        <a:bodyPr/>
        <a:lstStyle/>
        <a:p>
          <a:r>
            <a:rPr lang="en-US"/>
            <a:t>Squad</a:t>
          </a:r>
          <a:endParaRPr lang="ru-RU"/>
        </a:p>
      </dgm:t>
    </dgm:pt>
    <dgm:pt modelId="{C1D5136E-42CC-47E7-8EED-8DC83460032C}" type="parTrans" cxnId="{C84F2956-6414-42CD-8FB9-E31B244270DE}">
      <dgm:prSet/>
      <dgm:spPr/>
      <dgm:t>
        <a:bodyPr/>
        <a:lstStyle/>
        <a:p>
          <a:endParaRPr lang="ru-RU"/>
        </a:p>
      </dgm:t>
    </dgm:pt>
    <dgm:pt modelId="{41CDD440-C42F-42F6-B08B-B0C06FCB0DA0}" type="sibTrans" cxnId="{C84F2956-6414-42CD-8FB9-E31B244270DE}">
      <dgm:prSet/>
      <dgm:spPr/>
      <dgm:t>
        <a:bodyPr/>
        <a:lstStyle/>
        <a:p>
          <a:endParaRPr lang="ru-RU"/>
        </a:p>
      </dgm:t>
    </dgm:pt>
    <dgm:pt modelId="{3372B237-4B1D-414E-88DE-2B7DABABE176}">
      <dgm:prSet/>
      <dgm:spPr/>
      <dgm:t>
        <a:bodyPr/>
        <a:lstStyle/>
        <a:p>
          <a:r>
            <a:rPr lang="en-US"/>
            <a:t>Squad</a:t>
          </a:r>
          <a:endParaRPr lang="ru-RU"/>
        </a:p>
      </dgm:t>
    </dgm:pt>
    <dgm:pt modelId="{26DBB1E2-21D1-459E-B313-E675E9B4FE81}" type="parTrans" cxnId="{F9A2292B-8700-4E2D-8631-3308182E85C5}">
      <dgm:prSet/>
      <dgm:spPr/>
      <dgm:t>
        <a:bodyPr/>
        <a:lstStyle/>
        <a:p>
          <a:endParaRPr lang="ru-RU"/>
        </a:p>
      </dgm:t>
    </dgm:pt>
    <dgm:pt modelId="{C62150C2-EF5A-4F9E-BEC5-82C133B70BF0}" type="sibTrans" cxnId="{F9A2292B-8700-4E2D-8631-3308182E85C5}">
      <dgm:prSet/>
      <dgm:spPr/>
      <dgm:t>
        <a:bodyPr/>
        <a:lstStyle/>
        <a:p>
          <a:endParaRPr lang="ru-RU"/>
        </a:p>
      </dgm:t>
    </dgm:pt>
    <dgm:pt modelId="{6FE40B6E-D192-4D04-A92F-FB02BC0A163C}">
      <dgm:prSet/>
      <dgm:spPr/>
      <dgm:t>
        <a:bodyPr/>
        <a:lstStyle/>
        <a:p>
          <a:r>
            <a:rPr lang="en-US"/>
            <a:t>Squad</a:t>
          </a:r>
          <a:endParaRPr lang="ru-RU"/>
        </a:p>
      </dgm:t>
    </dgm:pt>
    <dgm:pt modelId="{C8903DEE-936A-4676-83EC-4CD18DF5D8D9}" type="parTrans" cxnId="{4BEC5ADB-30CA-4CBF-9DF3-CE75C9DB479A}">
      <dgm:prSet/>
      <dgm:spPr/>
      <dgm:t>
        <a:bodyPr/>
        <a:lstStyle/>
        <a:p>
          <a:endParaRPr lang="ru-RU"/>
        </a:p>
      </dgm:t>
    </dgm:pt>
    <dgm:pt modelId="{A084D2D6-2807-4F94-9FA8-4DD980B00307}" type="sibTrans" cxnId="{4BEC5ADB-30CA-4CBF-9DF3-CE75C9DB479A}">
      <dgm:prSet/>
      <dgm:spPr/>
      <dgm:t>
        <a:bodyPr/>
        <a:lstStyle/>
        <a:p>
          <a:endParaRPr lang="ru-RU"/>
        </a:p>
      </dgm:t>
    </dgm:pt>
    <dgm:pt modelId="{BB80A568-80E7-49FA-A59F-E8BA7AB0CE7D}">
      <dgm:prSet/>
      <dgm:spPr/>
      <dgm:t>
        <a:bodyPr/>
        <a:lstStyle/>
        <a:p>
          <a:r>
            <a:rPr lang="en-US"/>
            <a:t>Squad</a:t>
          </a:r>
          <a:endParaRPr lang="ru-RU"/>
        </a:p>
      </dgm:t>
    </dgm:pt>
    <dgm:pt modelId="{DE03F2AF-B08C-41AB-ADBA-D64E2FB894CD}" type="parTrans" cxnId="{D9B63D51-0C63-407E-882B-B3CFE03246C3}">
      <dgm:prSet/>
      <dgm:spPr/>
      <dgm:t>
        <a:bodyPr/>
        <a:lstStyle/>
        <a:p>
          <a:endParaRPr lang="ru-RU"/>
        </a:p>
      </dgm:t>
    </dgm:pt>
    <dgm:pt modelId="{CC993977-89F4-4F56-B7C4-6AFDFAC5475B}" type="sibTrans" cxnId="{D9B63D51-0C63-407E-882B-B3CFE03246C3}">
      <dgm:prSet/>
      <dgm:spPr/>
      <dgm:t>
        <a:bodyPr/>
        <a:lstStyle/>
        <a:p>
          <a:endParaRPr lang="ru-RU"/>
        </a:p>
      </dgm:t>
    </dgm:pt>
    <dgm:pt modelId="{E886B430-4BC1-4137-A1C6-BF3A246DB76D}">
      <dgm:prSet/>
      <dgm:spPr/>
      <dgm:t>
        <a:bodyPr/>
        <a:lstStyle/>
        <a:p>
          <a:r>
            <a:rPr lang="en-US"/>
            <a:t>Squad</a:t>
          </a:r>
          <a:endParaRPr lang="ru-RU"/>
        </a:p>
      </dgm:t>
    </dgm:pt>
    <dgm:pt modelId="{44F5DE92-CDF4-464A-8C84-55785783EB86}" type="parTrans" cxnId="{6AD7FADF-9762-46F1-A48C-7E202D635B18}">
      <dgm:prSet/>
      <dgm:spPr/>
      <dgm:t>
        <a:bodyPr/>
        <a:lstStyle/>
        <a:p>
          <a:endParaRPr lang="ru-RU"/>
        </a:p>
      </dgm:t>
    </dgm:pt>
    <dgm:pt modelId="{B718FFE5-2560-4CD5-AD15-2FDC2B264BEE}" type="sibTrans" cxnId="{6AD7FADF-9762-46F1-A48C-7E202D635B18}">
      <dgm:prSet/>
      <dgm:spPr/>
      <dgm:t>
        <a:bodyPr/>
        <a:lstStyle/>
        <a:p>
          <a:endParaRPr lang="ru-RU"/>
        </a:p>
      </dgm:t>
    </dgm:pt>
    <dgm:pt modelId="{F8F8FC4E-3E0A-484D-AAD0-44FA8992E922}">
      <dgm:prSet/>
      <dgm:spPr/>
      <dgm:t>
        <a:bodyPr/>
        <a:lstStyle/>
        <a:p>
          <a:r>
            <a:rPr lang="en-US"/>
            <a:t>Squad</a:t>
          </a:r>
          <a:endParaRPr lang="ru-RU"/>
        </a:p>
      </dgm:t>
    </dgm:pt>
    <dgm:pt modelId="{7A8A1A3B-6D64-4EA4-A2C0-3BDB2521D6AF}" type="parTrans" cxnId="{3FC1F0DE-1728-4C50-A78F-5ED433F28D41}">
      <dgm:prSet/>
      <dgm:spPr/>
      <dgm:t>
        <a:bodyPr/>
        <a:lstStyle/>
        <a:p>
          <a:endParaRPr lang="ru-RU"/>
        </a:p>
      </dgm:t>
    </dgm:pt>
    <dgm:pt modelId="{8570C19B-2E3D-4E09-9BF6-134C5C299FEC}" type="sibTrans" cxnId="{3FC1F0DE-1728-4C50-A78F-5ED433F28D41}">
      <dgm:prSet/>
      <dgm:spPr/>
      <dgm:t>
        <a:bodyPr/>
        <a:lstStyle/>
        <a:p>
          <a:endParaRPr lang="ru-RU"/>
        </a:p>
      </dgm:t>
    </dgm:pt>
    <dgm:pt modelId="{E9FF7940-8C56-4DFB-90EB-C4DE93A88116}">
      <dgm:prSet/>
      <dgm:spPr/>
      <dgm:t>
        <a:bodyPr/>
        <a:lstStyle/>
        <a:p>
          <a:r>
            <a:rPr lang="en-US"/>
            <a:t>Squad</a:t>
          </a:r>
          <a:endParaRPr lang="ru-RU"/>
        </a:p>
      </dgm:t>
    </dgm:pt>
    <dgm:pt modelId="{9157FF50-3BB1-49DD-B1D4-C69B9963EBEA}" type="parTrans" cxnId="{3B3C6FE3-4125-4174-B9E2-659ED2DA464E}">
      <dgm:prSet/>
      <dgm:spPr/>
      <dgm:t>
        <a:bodyPr/>
        <a:lstStyle/>
        <a:p>
          <a:endParaRPr lang="ru-RU"/>
        </a:p>
      </dgm:t>
    </dgm:pt>
    <dgm:pt modelId="{3CABDE2E-7197-47C3-9D67-324E9D923C27}" type="sibTrans" cxnId="{3B3C6FE3-4125-4174-B9E2-659ED2DA464E}">
      <dgm:prSet/>
      <dgm:spPr/>
      <dgm:t>
        <a:bodyPr/>
        <a:lstStyle/>
        <a:p>
          <a:endParaRPr lang="ru-RU"/>
        </a:p>
      </dgm:t>
    </dgm:pt>
    <dgm:pt modelId="{47FA410A-5440-4FBB-8E46-817222FDBD3B}">
      <dgm:prSet/>
      <dgm:spPr/>
      <dgm:t>
        <a:bodyPr/>
        <a:lstStyle/>
        <a:p>
          <a:r>
            <a:rPr lang="en-US"/>
            <a:t>Squad</a:t>
          </a:r>
          <a:endParaRPr lang="ru-RU"/>
        </a:p>
      </dgm:t>
    </dgm:pt>
    <dgm:pt modelId="{878956E8-226B-4B89-90D5-7C64622C22AF}" type="parTrans" cxnId="{9896DDB7-1441-4D02-B85B-288C903D6E94}">
      <dgm:prSet/>
      <dgm:spPr/>
      <dgm:t>
        <a:bodyPr/>
        <a:lstStyle/>
        <a:p>
          <a:endParaRPr lang="ru-RU"/>
        </a:p>
      </dgm:t>
    </dgm:pt>
    <dgm:pt modelId="{05B23038-D00A-4B98-BE76-55A969691CAA}" type="sibTrans" cxnId="{9896DDB7-1441-4D02-B85B-288C903D6E94}">
      <dgm:prSet/>
      <dgm:spPr/>
      <dgm:t>
        <a:bodyPr/>
        <a:lstStyle/>
        <a:p>
          <a:endParaRPr lang="ru-RU"/>
        </a:p>
      </dgm:t>
    </dgm:pt>
    <dgm:pt modelId="{64B99DEA-ED0A-4C55-9EF4-B294C8EBECFB}">
      <dgm:prSet/>
      <dgm:spPr/>
      <dgm:t>
        <a:bodyPr/>
        <a:lstStyle/>
        <a:p>
          <a:r>
            <a:rPr lang="en-US"/>
            <a:t>Squad</a:t>
          </a:r>
          <a:endParaRPr lang="ru-RU"/>
        </a:p>
      </dgm:t>
    </dgm:pt>
    <dgm:pt modelId="{6702191A-84D5-4B4F-9951-A7C6129B1765}" type="parTrans" cxnId="{C7A050F7-BFBA-41BF-A143-919487881D68}">
      <dgm:prSet/>
      <dgm:spPr/>
      <dgm:t>
        <a:bodyPr/>
        <a:lstStyle/>
        <a:p>
          <a:endParaRPr lang="ru-RU"/>
        </a:p>
      </dgm:t>
    </dgm:pt>
    <dgm:pt modelId="{539055F1-2B60-46C4-852D-F6B518918D20}" type="sibTrans" cxnId="{C7A050F7-BFBA-41BF-A143-919487881D68}">
      <dgm:prSet/>
      <dgm:spPr/>
      <dgm:t>
        <a:bodyPr/>
        <a:lstStyle/>
        <a:p>
          <a:endParaRPr lang="ru-RU"/>
        </a:p>
      </dgm:t>
    </dgm:pt>
    <dgm:pt modelId="{6D8001AC-2396-47A1-B42B-5C5C0B810175}" type="pres">
      <dgm:prSet presAssocID="{CB99EA99-0958-4287-AE3D-CD17CA94E5AD}" presName="hierChild1" presStyleCnt="0">
        <dgm:presLayoutVars>
          <dgm:orgChart val="1"/>
          <dgm:chPref val="1"/>
          <dgm:dir/>
          <dgm:animOne val="branch"/>
          <dgm:animLvl val="lvl"/>
          <dgm:resizeHandles/>
        </dgm:presLayoutVars>
      </dgm:prSet>
      <dgm:spPr/>
    </dgm:pt>
    <dgm:pt modelId="{FE371900-C937-4CC1-9274-C1147E306F8B}" type="pres">
      <dgm:prSet presAssocID="{09BB34B2-1A63-41ED-A3AD-2FE28F8A2D40}" presName="hierRoot1" presStyleCnt="0">
        <dgm:presLayoutVars>
          <dgm:hierBranch val="init"/>
        </dgm:presLayoutVars>
      </dgm:prSet>
      <dgm:spPr/>
    </dgm:pt>
    <dgm:pt modelId="{48051AE3-7B5B-463C-9E09-2F39165F55E8}" type="pres">
      <dgm:prSet presAssocID="{09BB34B2-1A63-41ED-A3AD-2FE28F8A2D40}" presName="rootComposite1" presStyleCnt="0"/>
      <dgm:spPr/>
    </dgm:pt>
    <dgm:pt modelId="{2A950BF4-F26D-4ECC-BDE6-B0ED7CC0470F}" type="pres">
      <dgm:prSet presAssocID="{09BB34B2-1A63-41ED-A3AD-2FE28F8A2D40}" presName="rootText1" presStyleLbl="node0" presStyleIdx="0" presStyleCnt="1" custScaleX="173639">
        <dgm:presLayoutVars>
          <dgm:chPref val="3"/>
        </dgm:presLayoutVars>
      </dgm:prSet>
      <dgm:spPr>
        <a:prstGeom prst="plaque">
          <a:avLst/>
        </a:prstGeom>
      </dgm:spPr>
    </dgm:pt>
    <dgm:pt modelId="{4C386264-2F30-4AF2-8815-6C88B916BB31}" type="pres">
      <dgm:prSet presAssocID="{09BB34B2-1A63-41ED-A3AD-2FE28F8A2D40}" presName="rootConnector1" presStyleLbl="node1" presStyleIdx="0" presStyleCnt="0"/>
      <dgm:spPr/>
    </dgm:pt>
    <dgm:pt modelId="{27406B4F-52A1-4CD0-96C3-3A9EE3BEB8B9}" type="pres">
      <dgm:prSet presAssocID="{09BB34B2-1A63-41ED-A3AD-2FE28F8A2D40}" presName="hierChild2" presStyleCnt="0"/>
      <dgm:spPr/>
    </dgm:pt>
    <dgm:pt modelId="{2486668B-BE18-4087-A97C-1F0F30E96DF6}" type="pres">
      <dgm:prSet presAssocID="{4EC22B40-B19C-443E-86BC-544D91E47055}" presName="Name37" presStyleLbl="parChTrans1D2" presStyleIdx="0" presStyleCnt="2"/>
      <dgm:spPr/>
    </dgm:pt>
    <dgm:pt modelId="{CB9E1ADC-1162-4322-AD41-EAF1953E8C47}" type="pres">
      <dgm:prSet presAssocID="{415D33F4-E960-4FCD-968F-A71D3E04E4F7}" presName="hierRoot2" presStyleCnt="0">
        <dgm:presLayoutVars>
          <dgm:hierBranch/>
        </dgm:presLayoutVars>
      </dgm:prSet>
      <dgm:spPr/>
    </dgm:pt>
    <dgm:pt modelId="{D3996FC4-7DAC-446C-8040-179AA2B2CDDC}" type="pres">
      <dgm:prSet presAssocID="{415D33F4-E960-4FCD-968F-A71D3E04E4F7}" presName="rootComposite" presStyleCnt="0"/>
      <dgm:spPr/>
    </dgm:pt>
    <dgm:pt modelId="{6385DC8D-AC33-47C6-97FA-65C8D3111526}" type="pres">
      <dgm:prSet presAssocID="{415D33F4-E960-4FCD-968F-A71D3E04E4F7}" presName="rootText" presStyleLbl="node2" presStyleIdx="0" presStyleCnt="2" custScaleX="173639">
        <dgm:presLayoutVars>
          <dgm:chPref val="3"/>
        </dgm:presLayoutVars>
      </dgm:prSet>
      <dgm:spPr>
        <a:prstGeom prst="plaque">
          <a:avLst/>
        </a:prstGeom>
      </dgm:spPr>
    </dgm:pt>
    <dgm:pt modelId="{296F2729-5A80-421B-9290-59A463826B32}" type="pres">
      <dgm:prSet presAssocID="{415D33F4-E960-4FCD-968F-A71D3E04E4F7}" presName="rootConnector" presStyleLbl="node2" presStyleIdx="0" presStyleCnt="2"/>
      <dgm:spPr/>
    </dgm:pt>
    <dgm:pt modelId="{03D3D2FD-2564-40FC-AD3B-D3398CBAC621}" type="pres">
      <dgm:prSet presAssocID="{415D33F4-E960-4FCD-968F-A71D3E04E4F7}" presName="hierChild4" presStyleCnt="0"/>
      <dgm:spPr/>
    </dgm:pt>
    <dgm:pt modelId="{4B742695-7E94-43D4-ACEF-DFD48D01E945}" type="pres">
      <dgm:prSet presAssocID="{B63D8BC9-C7A0-487F-B503-CAE301B8A55A}" presName="Name35" presStyleLbl="parChTrans1D3" presStyleIdx="0" presStyleCnt="6"/>
      <dgm:spPr/>
    </dgm:pt>
    <dgm:pt modelId="{2B7BC53C-F9F3-4BCE-A721-27C74C925643}" type="pres">
      <dgm:prSet presAssocID="{6A6E4B31-3C2F-49A0-A059-77C9741F17C9}" presName="hierRoot2" presStyleCnt="0">
        <dgm:presLayoutVars>
          <dgm:hierBranch/>
        </dgm:presLayoutVars>
      </dgm:prSet>
      <dgm:spPr/>
    </dgm:pt>
    <dgm:pt modelId="{7E3B7F72-AC55-4803-BB28-4421EFC0FF25}" type="pres">
      <dgm:prSet presAssocID="{6A6E4B31-3C2F-49A0-A059-77C9741F17C9}" presName="rootComposite" presStyleCnt="0"/>
      <dgm:spPr/>
    </dgm:pt>
    <dgm:pt modelId="{D59D8B61-4ABA-42AD-AD1F-875772DF6FF0}" type="pres">
      <dgm:prSet presAssocID="{6A6E4B31-3C2F-49A0-A059-77C9741F17C9}" presName="rootText" presStyleLbl="node3" presStyleIdx="0" presStyleCnt="6">
        <dgm:presLayoutVars>
          <dgm:chPref val="3"/>
        </dgm:presLayoutVars>
      </dgm:prSet>
      <dgm:spPr/>
    </dgm:pt>
    <dgm:pt modelId="{987EBAE3-291E-4FFD-BF29-95FECE286B17}" type="pres">
      <dgm:prSet presAssocID="{6A6E4B31-3C2F-49A0-A059-77C9741F17C9}" presName="rootConnector" presStyleLbl="node3" presStyleIdx="0" presStyleCnt="6"/>
      <dgm:spPr/>
    </dgm:pt>
    <dgm:pt modelId="{8C0E0DB8-A831-4F4F-934B-BDCBD3E0706C}" type="pres">
      <dgm:prSet presAssocID="{6A6E4B31-3C2F-49A0-A059-77C9741F17C9}" presName="hierChild4" presStyleCnt="0"/>
      <dgm:spPr/>
    </dgm:pt>
    <dgm:pt modelId="{1764288C-9802-42B2-84AB-01FE30AAD382}" type="pres">
      <dgm:prSet presAssocID="{B2B78C19-7EB7-42C6-867B-90EA3A396E46}" presName="Name35" presStyleLbl="parChTrans1D4" presStyleIdx="0" presStyleCnt="54"/>
      <dgm:spPr/>
    </dgm:pt>
    <dgm:pt modelId="{57A3AD6C-D526-4AAE-8E0C-5C40F115A7E3}" type="pres">
      <dgm:prSet presAssocID="{D0D8ECDA-ABF2-43D1-825B-BA6E5B911F4B}" presName="hierRoot2" presStyleCnt="0">
        <dgm:presLayoutVars>
          <dgm:hierBranch val="r"/>
        </dgm:presLayoutVars>
      </dgm:prSet>
      <dgm:spPr/>
    </dgm:pt>
    <dgm:pt modelId="{0BE8803D-822A-41E5-B3BB-21298BAF0606}" type="pres">
      <dgm:prSet presAssocID="{D0D8ECDA-ABF2-43D1-825B-BA6E5B911F4B}" presName="rootComposite" presStyleCnt="0"/>
      <dgm:spPr/>
    </dgm:pt>
    <dgm:pt modelId="{28B9FB4C-145E-452C-ADBE-15322BA8F90E}" type="pres">
      <dgm:prSet presAssocID="{D0D8ECDA-ABF2-43D1-825B-BA6E5B911F4B}" presName="rootText" presStyleLbl="node4" presStyleIdx="0" presStyleCnt="54">
        <dgm:presLayoutVars>
          <dgm:chPref val="3"/>
        </dgm:presLayoutVars>
      </dgm:prSet>
      <dgm:spPr/>
    </dgm:pt>
    <dgm:pt modelId="{FA7F9612-47CB-4AB2-916E-ED7BBEC54E4D}" type="pres">
      <dgm:prSet presAssocID="{D0D8ECDA-ABF2-43D1-825B-BA6E5B911F4B}" presName="rootConnector" presStyleLbl="node4" presStyleIdx="0" presStyleCnt="54"/>
      <dgm:spPr/>
    </dgm:pt>
    <dgm:pt modelId="{140D6E6E-D730-4FEC-8E87-4716D1C83747}" type="pres">
      <dgm:prSet presAssocID="{D0D8ECDA-ABF2-43D1-825B-BA6E5B911F4B}" presName="hierChild4" presStyleCnt="0"/>
      <dgm:spPr/>
    </dgm:pt>
    <dgm:pt modelId="{D5E6885F-8288-4964-B52F-EBD76874702A}" type="pres">
      <dgm:prSet presAssocID="{B1ECB6DF-6BD4-4597-AA17-3FD22DFB01F1}" presName="Name50" presStyleLbl="parChTrans1D4" presStyleIdx="1" presStyleCnt="54"/>
      <dgm:spPr/>
    </dgm:pt>
    <dgm:pt modelId="{D6C78E6E-BD8F-4247-B5E5-5E01E0789D70}" type="pres">
      <dgm:prSet presAssocID="{18BD874B-DE1A-4C9D-8098-25D9928B3632}" presName="hierRoot2" presStyleCnt="0">
        <dgm:presLayoutVars>
          <dgm:hierBranch val="init"/>
        </dgm:presLayoutVars>
      </dgm:prSet>
      <dgm:spPr/>
    </dgm:pt>
    <dgm:pt modelId="{9AD4FFC4-D1A6-49B4-B166-F7759D43135C}" type="pres">
      <dgm:prSet presAssocID="{18BD874B-DE1A-4C9D-8098-25D9928B3632}" presName="rootComposite" presStyleCnt="0"/>
      <dgm:spPr/>
    </dgm:pt>
    <dgm:pt modelId="{B18B549D-5D45-4E25-8D45-FDAAFC9B0031}" type="pres">
      <dgm:prSet presAssocID="{18BD874B-DE1A-4C9D-8098-25D9928B3632}" presName="rootText" presStyleLbl="node4" presStyleIdx="1" presStyleCnt="54">
        <dgm:presLayoutVars>
          <dgm:chPref val="3"/>
        </dgm:presLayoutVars>
      </dgm:prSet>
      <dgm:spPr/>
    </dgm:pt>
    <dgm:pt modelId="{90B73D8E-1AAB-4B0F-97D5-02C481314EEA}" type="pres">
      <dgm:prSet presAssocID="{18BD874B-DE1A-4C9D-8098-25D9928B3632}" presName="rootConnector" presStyleLbl="node4" presStyleIdx="1" presStyleCnt="54"/>
      <dgm:spPr/>
    </dgm:pt>
    <dgm:pt modelId="{9A1DF0CA-B803-4ABF-8FD5-A9B4784DC793}" type="pres">
      <dgm:prSet presAssocID="{18BD874B-DE1A-4C9D-8098-25D9928B3632}" presName="hierChild4" presStyleCnt="0"/>
      <dgm:spPr/>
    </dgm:pt>
    <dgm:pt modelId="{228E9E73-2B87-49DD-A415-D18F4E8B0665}" type="pres">
      <dgm:prSet presAssocID="{18BD874B-DE1A-4C9D-8098-25D9928B3632}" presName="hierChild5" presStyleCnt="0"/>
      <dgm:spPr/>
    </dgm:pt>
    <dgm:pt modelId="{6C8B2E85-3219-4C8D-B062-03DBDC93516F}" type="pres">
      <dgm:prSet presAssocID="{3E185927-8B35-42DD-9140-5C9D5A512985}" presName="Name50" presStyleLbl="parChTrans1D4" presStyleIdx="2" presStyleCnt="54"/>
      <dgm:spPr/>
    </dgm:pt>
    <dgm:pt modelId="{ACEA4095-A7C9-4CE5-B99C-540FF2038CFD}" type="pres">
      <dgm:prSet presAssocID="{F184CD34-7D5B-4ED9-980C-198ECD34029F}" presName="hierRoot2" presStyleCnt="0">
        <dgm:presLayoutVars>
          <dgm:hierBranch val="init"/>
        </dgm:presLayoutVars>
      </dgm:prSet>
      <dgm:spPr/>
    </dgm:pt>
    <dgm:pt modelId="{79748789-73FD-40A7-BA2D-A1616FD98834}" type="pres">
      <dgm:prSet presAssocID="{F184CD34-7D5B-4ED9-980C-198ECD34029F}" presName="rootComposite" presStyleCnt="0"/>
      <dgm:spPr/>
    </dgm:pt>
    <dgm:pt modelId="{0166B910-E438-42AE-BE8A-41F7C27518A5}" type="pres">
      <dgm:prSet presAssocID="{F184CD34-7D5B-4ED9-980C-198ECD34029F}" presName="rootText" presStyleLbl="node4" presStyleIdx="2" presStyleCnt="54">
        <dgm:presLayoutVars>
          <dgm:chPref val="3"/>
        </dgm:presLayoutVars>
      </dgm:prSet>
      <dgm:spPr/>
    </dgm:pt>
    <dgm:pt modelId="{A615445D-D4FF-4E34-A6E6-E2871F9DB9BE}" type="pres">
      <dgm:prSet presAssocID="{F184CD34-7D5B-4ED9-980C-198ECD34029F}" presName="rootConnector" presStyleLbl="node4" presStyleIdx="2" presStyleCnt="54"/>
      <dgm:spPr/>
    </dgm:pt>
    <dgm:pt modelId="{DCDF93CA-EA59-412E-AF6F-7D0BC9F6D4BF}" type="pres">
      <dgm:prSet presAssocID="{F184CD34-7D5B-4ED9-980C-198ECD34029F}" presName="hierChild4" presStyleCnt="0"/>
      <dgm:spPr/>
    </dgm:pt>
    <dgm:pt modelId="{F9BAACCB-8735-4CA1-BB2A-B5D52ECA9A36}" type="pres">
      <dgm:prSet presAssocID="{F184CD34-7D5B-4ED9-980C-198ECD34029F}" presName="hierChild5" presStyleCnt="0"/>
      <dgm:spPr/>
    </dgm:pt>
    <dgm:pt modelId="{5B91265D-DDCB-48AF-BBCB-57D088EF7A96}" type="pres">
      <dgm:prSet presAssocID="{D0D8ECDA-ABF2-43D1-825B-BA6E5B911F4B}" presName="hierChild5" presStyleCnt="0"/>
      <dgm:spPr/>
    </dgm:pt>
    <dgm:pt modelId="{C0794CE5-6BEC-4F3E-B241-B160E670AB89}" type="pres">
      <dgm:prSet presAssocID="{06E61BDB-412D-47E6-BAD6-00E81918586C}" presName="Name35" presStyleLbl="parChTrans1D4" presStyleIdx="3" presStyleCnt="54"/>
      <dgm:spPr/>
    </dgm:pt>
    <dgm:pt modelId="{7012FE81-51B4-4EB5-BC92-F9271A569FBE}" type="pres">
      <dgm:prSet presAssocID="{2183ED47-9AEE-41A7-9BC1-29C6F61179ED}" presName="hierRoot2" presStyleCnt="0">
        <dgm:presLayoutVars>
          <dgm:hierBranch val="r"/>
        </dgm:presLayoutVars>
      </dgm:prSet>
      <dgm:spPr/>
    </dgm:pt>
    <dgm:pt modelId="{0ADE3193-A43D-4FDD-95D1-BC6F63C2AC74}" type="pres">
      <dgm:prSet presAssocID="{2183ED47-9AEE-41A7-9BC1-29C6F61179ED}" presName="rootComposite" presStyleCnt="0"/>
      <dgm:spPr/>
    </dgm:pt>
    <dgm:pt modelId="{3EA53D5B-FE9A-452D-BB9D-EA9B515017FB}" type="pres">
      <dgm:prSet presAssocID="{2183ED47-9AEE-41A7-9BC1-29C6F61179ED}" presName="rootText" presStyleLbl="node4" presStyleIdx="3" presStyleCnt="54">
        <dgm:presLayoutVars>
          <dgm:chPref val="3"/>
        </dgm:presLayoutVars>
      </dgm:prSet>
      <dgm:spPr/>
    </dgm:pt>
    <dgm:pt modelId="{1561D1FC-0CBC-4409-B64C-37FA9177E17D}" type="pres">
      <dgm:prSet presAssocID="{2183ED47-9AEE-41A7-9BC1-29C6F61179ED}" presName="rootConnector" presStyleLbl="node4" presStyleIdx="3" presStyleCnt="54"/>
      <dgm:spPr/>
    </dgm:pt>
    <dgm:pt modelId="{8A61607C-63A2-4428-A0C2-27E5A55A6B14}" type="pres">
      <dgm:prSet presAssocID="{2183ED47-9AEE-41A7-9BC1-29C6F61179ED}" presName="hierChild4" presStyleCnt="0"/>
      <dgm:spPr/>
    </dgm:pt>
    <dgm:pt modelId="{4F81555B-5D85-488A-82FE-20E63E752D1E}" type="pres">
      <dgm:prSet presAssocID="{6A2345A9-7B3B-418D-988F-B92FBF0B9DB3}" presName="Name50" presStyleLbl="parChTrans1D4" presStyleIdx="4" presStyleCnt="54"/>
      <dgm:spPr/>
    </dgm:pt>
    <dgm:pt modelId="{DBC2399B-3149-436E-BA76-6AF889DF57D0}" type="pres">
      <dgm:prSet presAssocID="{19DCDF77-ACD1-411A-A904-8A2424148B61}" presName="hierRoot2" presStyleCnt="0">
        <dgm:presLayoutVars>
          <dgm:hierBranch/>
        </dgm:presLayoutVars>
      </dgm:prSet>
      <dgm:spPr/>
    </dgm:pt>
    <dgm:pt modelId="{29D19406-8FA9-4B73-9FD7-2E8EC8EA1E33}" type="pres">
      <dgm:prSet presAssocID="{19DCDF77-ACD1-411A-A904-8A2424148B61}" presName="rootComposite" presStyleCnt="0"/>
      <dgm:spPr/>
    </dgm:pt>
    <dgm:pt modelId="{5141672C-2102-48DA-BDC9-4F7588F335B0}" type="pres">
      <dgm:prSet presAssocID="{19DCDF77-ACD1-411A-A904-8A2424148B61}" presName="rootText" presStyleLbl="node4" presStyleIdx="4" presStyleCnt="54">
        <dgm:presLayoutVars>
          <dgm:chPref val="3"/>
        </dgm:presLayoutVars>
      </dgm:prSet>
      <dgm:spPr/>
    </dgm:pt>
    <dgm:pt modelId="{52F5B83F-92FB-451A-A791-917AC0DD8B08}" type="pres">
      <dgm:prSet presAssocID="{19DCDF77-ACD1-411A-A904-8A2424148B61}" presName="rootConnector" presStyleLbl="node4" presStyleIdx="4" presStyleCnt="54"/>
      <dgm:spPr/>
    </dgm:pt>
    <dgm:pt modelId="{BE3BACEA-2749-4AE2-86F4-1C16E99844B8}" type="pres">
      <dgm:prSet presAssocID="{19DCDF77-ACD1-411A-A904-8A2424148B61}" presName="hierChild4" presStyleCnt="0"/>
      <dgm:spPr/>
    </dgm:pt>
    <dgm:pt modelId="{977FC335-7E05-4FFC-AEB7-92336D1B0F76}" type="pres">
      <dgm:prSet presAssocID="{19DCDF77-ACD1-411A-A904-8A2424148B61}" presName="hierChild5" presStyleCnt="0"/>
      <dgm:spPr/>
    </dgm:pt>
    <dgm:pt modelId="{C63E9CB0-C292-4827-92D9-66E6FE871279}" type="pres">
      <dgm:prSet presAssocID="{21D9D3F0-61FC-49BC-895B-45ECB7321A21}" presName="Name50" presStyleLbl="parChTrans1D4" presStyleIdx="5" presStyleCnt="54"/>
      <dgm:spPr/>
    </dgm:pt>
    <dgm:pt modelId="{8E2ED72F-72DC-426E-BE6B-F1233DDFD0C9}" type="pres">
      <dgm:prSet presAssocID="{1B431C5F-0179-449F-94C2-BFF82B8B9ED3}" presName="hierRoot2" presStyleCnt="0">
        <dgm:presLayoutVars>
          <dgm:hierBranch val="init"/>
        </dgm:presLayoutVars>
      </dgm:prSet>
      <dgm:spPr/>
    </dgm:pt>
    <dgm:pt modelId="{990DDFA7-63B5-4E1D-AB68-1E62B5709FDF}" type="pres">
      <dgm:prSet presAssocID="{1B431C5F-0179-449F-94C2-BFF82B8B9ED3}" presName="rootComposite" presStyleCnt="0"/>
      <dgm:spPr/>
    </dgm:pt>
    <dgm:pt modelId="{9FE2E507-BC55-4AFB-AB93-3A7D2D91D133}" type="pres">
      <dgm:prSet presAssocID="{1B431C5F-0179-449F-94C2-BFF82B8B9ED3}" presName="rootText" presStyleLbl="node4" presStyleIdx="5" presStyleCnt="54">
        <dgm:presLayoutVars>
          <dgm:chPref val="3"/>
        </dgm:presLayoutVars>
      </dgm:prSet>
      <dgm:spPr/>
    </dgm:pt>
    <dgm:pt modelId="{CDFB91D8-3866-4A06-A1EB-8281F4C9E920}" type="pres">
      <dgm:prSet presAssocID="{1B431C5F-0179-449F-94C2-BFF82B8B9ED3}" presName="rootConnector" presStyleLbl="node4" presStyleIdx="5" presStyleCnt="54"/>
      <dgm:spPr/>
    </dgm:pt>
    <dgm:pt modelId="{1FA5E8E2-7A74-46DF-8E40-EA10847102BC}" type="pres">
      <dgm:prSet presAssocID="{1B431C5F-0179-449F-94C2-BFF82B8B9ED3}" presName="hierChild4" presStyleCnt="0"/>
      <dgm:spPr/>
    </dgm:pt>
    <dgm:pt modelId="{8669CE95-13AF-4751-B5CE-E8214ACEADC4}" type="pres">
      <dgm:prSet presAssocID="{1B431C5F-0179-449F-94C2-BFF82B8B9ED3}" presName="hierChild5" presStyleCnt="0"/>
      <dgm:spPr/>
    </dgm:pt>
    <dgm:pt modelId="{5A2058D2-137F-40A4-B326-3D53C9302F3B}" type="pres">
      <dgm:prSet presAssocID="{2183ED47-9AEE-41A7-9BC1-29C6F61179ED}" presName="hierChild5" presStyleCnt="0"/>
      <dgm:spPr/>
    </dgm:pt>
    <dgm:pt modelId="{42888007-0A94-414C-A140-11A521152679}" type="pres">
      <dgm:prSet presAssocID="{8C808F71-9DC8-465B-8427-B5EF8EB791A6}" presName="Name35" presStyleLbl="parChTrans1D4" presStyleIdx="6" presStyleCnt="54"/>
      <dgm:spPr/>
    </dgm:pt>
    <dgm:pt modelId="{4E1F24BD-A6C2-488C-AB31-3AE68A8F9157}" type="pres">
      <dgm:prSet presAssocID="{3C80B9FD-7761-47AE-935E-E4B9121435C6}" presName="hierRoot2" presStyleCnt="0">
        <dgm:presLayoutVars>
          <dgm:hierBranch val="init"/>
        </dgm:presLayoutVars>
      </dgm:prSet>
      <dgm:spPr/>
    </dgm:pt>
    <dgm:pt modelId="{96DED3CB-7A4F-4D7A-87F1-B78460B684F2}" type="pres">
      <dgm:prSet presAssocID="{3C80B9FD-7761-47AE-935E-E4B9121435C6}" presName="rootComposite" presStyleCnt="0"/>
      <dgm:spPr/>
    </dgm:pt>
    <dgm:pt modelId="{B69008F6-AF9A-41DA-B220-782C86E1353F}" type="pres">
      <dgm:prSet presAssocID="{3C80B9FD-7761-47AE-935E-E4B9121435C6}" presName="rootText" presStyleLbl="node4" presStyleIdx="6" presStyleCnt="54">
        <dgm:presLayoutVars>
          <dgm:chPref val="3"/>
        </dgm:presLayoutVars>
      </dgm:prSet>
      <dgm:spPr/>
    </dgm:pt>
    <dgm:pt modelId="{CD292F8F-D8F4-4C40-A49A-B75D839A5E81}" type="pres">
      <dgm:prSet presAssocID="{3C80B9FD-7761-47AE-935E-E4B9121435C6}" presName="rootConnector" presStyleLbl="node4" presStyleIdx="6" presStyleCnt="54"/>
      <dgm:spPr/>
    </dgm:pt>
    <dgm:pt modelId="{26D48782-981C-4B3F-8DFB-3DD432732E80}" type="pres">
      <dgm:prSet presAssocID="{3C80B9FD-7761-47AE-935E-E4B9121435C6}" presName="hierChild4" presStyleCnt="0"/>
      <dgm:spPr/>
    </dgm:pt>
    <dgm:pt modelId="{CD4F1958-646C-47C9-93AA-81A91AB12F23}" type="pres">
      <dgm:prSet presAssocID="{27CEC32A-284E-4CF3-A0D4-7B44A99E9CC5}" presName="Name37" presStyleLbl="parChTrans1D4" presStyleIdx="7" presStyleCnt="54"/>
      <dgm:spPr/>
    </dgm:pt>
    <dgm:pt modelId="{4E634F57-874C-4DC2-A2F7-0D6B6F4C1D04}" type="pres">
      <dgm:prSet presAssocID="{0DD81D09-4A0F-4EA4-927F-12F3030BAC04}" presName="hierRoot2" presStyleCnt="0">
        <dgm:presLayoutVars>
          <dgm:hierBranch val="init"/>
        </dgm:presLayoutVars>
      </dgm:prSet>
      <dgm:spPr/>
    </dgm:pt>
    <dgm:pt modelId="{529FFDBC-ED6E-4E1C-9729-2D3D1F5BBB99}" type="pres">
      <dgm:prSet presAssocID="{0DD81D09-4A0F-4EA4-927F-12F3030BAC04}" presName="rootComposite" presStyleCnt="0"/>
      <dgm:spPr/>
    </dgm:pt>
    <dgm:pt modelId="{C8A5E1B2-6295-43AA-922D-185174C2B736}" type="pres">
      <dgm:prSet presAssocID="{0DD81D09-4A0F-4EA4-927F-12F3030BAC04}" presName="rootText" presStyleLbl="node4" presStyleIdx="7" presStyleCnt="54">
        <dgm:presLayoutVars>
          <dgm:chPref val="3"/>
        </dgm:presLayoutVars>
      </dgm:prSet>
      <dgm:spPr/>
    </dgm:pt>
    <dgm:pt modelId="{3AF5E76E-10D0-48BA-9B15-2BF613E97172}" type="pres">
      <dgm:prSet presAssocID="{0DD81D09-4A0F-4EA4-927F-12F3030BAC04}" presName="rootConnector" presStyleLbl="node4" presStyleIdx="7" presStyleCnt="54"/>
      <dgm:spPr/>
    </dgm:pt>
    <dgm:pt modelId="{3C5BF53F-E2DA-4307-923B-D37988F2B0EC}" type="pres">
      <dgm:prSet presAssocID="{0DD81D09-4A0F-4EA4-927F-12F3030BAC04}" presName="hierChild4" presStyleCnt="0"/>
      <dgm:spPr/>
    </dgm:pt>
    <dgm:pt modelId="{7C8A3912-E526-464B-AD05-0600F6476E06}" type="pres">
      <dgm:prSet presAssocID="{0DD81D09-4A0F-4EA4-927F-12F3030BAC04}" presName="hierChild5" presStyleCnt="0"/>
      <dgm:spPr/>
    </dgm:pt>
    <dgm:pt modelId="{86466A80-EBB0-426C-A408-4ADDC5383464}" type="pres">
      <dgm:prSet presAssocID="{8210D116-00F2-4C33-8812-EB25182E65F7}" presName="Name37" presStyleLbl="parChTrans1D4" presStyleIdx="8" presStyleCnt="54"/>
      <dgm:spPr/>
    </dgm:pt>
    <dgm:pt modelId="{71547A51-BE47-4148-A015-99F76D0DFD2C}" type="pres">
      <dgm:prSet presAssocID="{FD5B224E-D798-452E-A917-66D5D44986FE}" presName="hierRoot2" presStyleCnt="0">
        <dgm:presLayoutVars>
          <dgm:hierBranch val="init"/>
        </dgm:presLayoutVars>
      </dgm:prSet>
      <dgm:spPr/>
    </dgm:pt>
    <dgm:pt modelId="{F6F175AB-2EF5-4A6D-9360-9C74C6724AF7}" type="pres">
      <dgm:prSet presAssocID="{FD5B224E-D798-452E-A917-66D5D44986FE}" presName="rootComposite" presStyleCnt="0"/>
      <dgm:spPr/>
    </dgm:pt>
    <dgm:pt modelId="{CAE63F87-6FB2-4BCC-83D0-EBAE4CB28E7D}" type="pres">
      <dgm:prSet presAssocID="{FD5B224E-D798-452E-A917-66D5D44986FE}" presName="rootText" presStyleLbl="node4" presStyleIdx="8" presStyleCnt="54">
        <dgm:presLayoutVars>
          <dgm:chPref val="3"/>
        </dgm:presLayoutVars>
      </dgm:prSet>
      <dgm:spPr/>
    </dgm:pt>
    <dgm:pt modelId="{E91B44ED-88A2-49E9-BB13-D998312FCAAA}" type="pres">
      <dgm:prSet presAssocID="{FD5B224E-D798-452E-A917-66D5D44986FE}" presName="rootConnector" presStyleLbl="node4" presStyleIdx="8" presStyleCnt="54"/>
      <dgm:spPr/>
    </dgm:pt>
    <dgm:pt modelId="{87FC9284-9E42-40A0-AF48-0D086D05045B}" type="pres">
      <dgm:prSet presAssocID="{FD5B224E-D798-452E-A917-66D5D44986FE}" presName="hierChild4" presStyleCnt="0"/>
      <dgm:spPr/>
    </dgm:pt>
    <dgm:pt modelId="{80D1AFB9-6053-46B6-9DAD-4051F9984EA6}" type="pres">
      <dgm:prSet presAssocID="{FD5B224E-D798-452E-A917-66D5D44986FE}" presName="hierChild5" presStyleCnt="0"/>
      <dgm:spPr/>
    </dgm:pt>
    <dgm:pt modelId="{FC14CA82-6DE1-49AD-95B3-20260AAAFD76}" type="pres">
      <dgm:prSet presAssocID="{3C80B9FD-7761-47AE-935E-E4B9121435C6}" presName="hierChild5" presStyleCnt="0"/>
      <dgm:spPr/>
    </dgm:pt>
    <dgm:pt modelId="{E364F955-4CFC-48C5-ACFD-F315988E8CF8}" type="pres">
      <dgm:prSet presAssocID="{6A6E4B31-3C2F-49A0-A059-77C9741F17C9}" presName="hierChild5" presStyleCnt="0"/>
      <dgm:spPr/>
    </dgm:pt>
    <dgm:pt modelId="{EB4CC9B1-C29A-47C1-A1D9-3E4C261B5AA9}" type="pres">
      <dgm:prSet presAssocID="{24648BAA-EFDC-4FA3-979D-9A5F571938EA}" presName="Name35" presStyleLbl="parChTrans1D3" presStyleIdx="1" presStyleCnt="6"/>
      <dgm:spPr/>
    </dgm:pt>
    <dgm:pt modelId="{3128632F-5893-40CD-AC82-0E52D0079BD6}" type="pres">
      <dgm:prSet presAssocID="{AD53D6AE-C3E5-4D08-9A9C-756D21089556}" presName="hierRoot2" presStyleCnt="0">
        <dgm:presLayoutVars>
          <dgm:hierBranch val="init"/>
        </dgm:presLayoutVars>
      </dgm:prSet>
      <dgm:spPr/>
    </dgm:pt>
    <dgm:pt modelId="{28C55B80-88EC-4BF4-9D32-1E12D0587B2E}" type="pres">
      <dgm:prSet presAssocID="{AD53D6AE-C3E5-4D08-9A9C-756D21089556}" presName="rootComposite" presStyleCnt="0"/>
      <dgm:spPr/>
    </dgm:pt>
    <dgm:pt modelId="{E731C67F-C594-468E-9986-EF39F7730EEC}" type="pres">
      <dgm:prSet presAssocID="{AD53D6AE-C3E5-4D08-9A9C-756D21089556}" presName="rootText" presStyleLbl="node3" presStyleIdx="1" presStyleCnt="6">
        <dgm:presLayoutVars>
          <dgm:chPref val="3"/>
        </dgm:presLayoutVars>
      </dgm:prSet>
      <dgm:spPr/>
    </dgm:pt>
    <dgm:pt modelId="{31AE4E9D-CCB7-48F4-9E67-2D82E8A6315C}" type="pres">
      <dgm:prSet presAssocID="{AD53D6AE-C3E5-4D08-9A9C-756D21089556}" presName="rootConnector" presStyleLbl="node3" presStyleIdx="1" presStyleCnt="6"/>
      <dgm:spPr/>
    </dgm:pt>
    <dgm:pt modelId="{453F97E6-B91C-46B7-A834-0C63B3044059}" type="pres">
      <dgm:prSet presAssocID="{AD53D6AE-C3E5-4D08-9A9C-756D21089556}" presName="hierChild4" presStyleCnt="0"/>
      <dgm:spPr/>
    </dgm:pt>
    <dgm:pt modelId="{7591982C-FF01-4413-9F0B-34397A590457}" type="pres">
      <dgm:prSet presAssocID="{6497CD3F-3D5D-4E7E-A361-E3D998A2BB75}" presName="Name37" presStyleLbl="parChTrans1D4" presStyleIdx="9" presStyleCnt="54"/>
      <dgm:spPr/>
    </dgm:pt>
    <dgm:pt modelId="{86DFBADB-B784-460D-BC48-A5CA304EBAAC}" type="pres">
      <dgm:prSet presAssocID="{535511F9-DE66-4487-B733-8C218D642449}" presName="hierRoot2" presStyleCnt="0">
        <dgm:presLayoutVars>
          <dgm:hierBranch val="init"/>
        </dgm:presLayoutVars>
      </dgm:prSet>
      <dgm:spPr/>
    </dgm:pt>
    <dgm:pt modelId="{D00F971E-A36D-4D97-BDE1-1237B57FF2E3}" type="pres">
      <dgm:prSet presAssocID="{535511F9-DE66-4487-B733-8C218D642449}" presName="rootComposite" presStyleCnt="0"/>
      <dgm:spPr/>
    </dgm:pt>
    <dgm:pt modelId="{420528EF-CAD5-4926-A866-C472DCB35EDC}" type="pres">
      <dgm:prSet presAssocID="{535511F9-DE66-4487-B733-8C218D642449}" presName="rootText" presStyleLbl="node4" presStyleIdx="9" presStyleCnt="54">
        <dgm:presLayoutVars>
          <dgm:chPref val="3"/>
        </dgm:presLayoutVars>
      </dgm:prSet>
      <dgm:spPr/>
    </dgm:pt>
    <dgm:pt modelId="{C4CA847A-FF56-431D-BFE0-F16A66D231CD}" type="pres">
      <dgm:prSet presAssocID="{535511F9-DE66-4487-B733-8C218D642449}" presName="rootConnector" presStyleLbl="node4" presStyleIdx="9" presStyleCnt="54"/>
      <dgm:spPr/>
    </dgm:pt>
    <dgm:pt modelId="{C8562E8E-0438-44EA-B5A6-F3E950440FDC}" type="pres">
      <dgm:prSet presAssocID="{535511F9-DE66-4487-B733-8C218D642449}" presName="hierChild4" presStyleCnt="0"/>
      <dgm:spPr/>
    </dgm:pt>
    <dgm:pt modelId="{C73370E3-5DB4-4A6F-9ABA-4D8868B24640}" type="pres">
      <dgm:prSet presAssocID="{D1F3DD8B-B2F1-435A-94B0-4B02A6EB7966}" presName="Name37" presStyleLbl="parChTrans1D4" presStyleIdx="10" presStyleCnt="54"/>
      <dgm:spPr/>
    </dgm:pt>
    <dgm:pt modelId="{1820E2CB-1D8E-4B12-9C89-3F409A5984EA}" type="pres">
      <dgm:prSet presAssocID="{64D0DBA4-168A-448D-A625-EE2282FE0F41}" presName="hierRoot2" presStyleCnt="0">
        <dgm:presLayoutVars>
          <dgm:hierBranch val="init"/>
        </dgm:presLayoutVars>
      </dgm:prSet>
      <dgm:spPr/>
    </dgm:pt>
    <dgm:pt modelId="{249DFA67-8C8C-4E78-9BD7-46867E0D3F3E}" type="pres">
      <dgm:prSet presAssocID="{64D0DBA4-168A-448D-A625-EE2282FE0F41}" presName="rootComposite" presStyleCnt="0"/>
      <dgm:spPr/>
    </dgm:pt>
    <dgm:pt modelId="{27AF9AD5-56D7-427B-9FB1-204930088D3F}" type="pres">
      <dgm:prSet presAssocID="{64D0DBA4-168A-448D-A625-EE2282FE0F41}" presName="rootText" presStyleLbl="node4" presStyleIdx="10" presStyleCnt="54">
        <dgm:presLayoutVars>
          <dgm:chPref val="3"/>
        </dgm:presLayoutVars>
      </dgm:prSet>
      <dgm:spPr/>
    </dgm:pt>
    <dgm:pt modelId="{FBDAB035-FB64-4FC8-8B15-478C7FE536D9}" type="pres">
      <dgm:prSet presAssocID="{64D0DBA4-168A-448D-A625-EE2282FE0F41}" presName="rootConnector" presStyleLbl="node4" presStyleIdx="10" presStyleCnt="54"/>
      <dgm:spPr/>
    </dgm:pt>
    <dgm:pt modelId="{6B12747C-8F65-4BDA-9D07-2A9403BDD356}" type="pres">
      <dgm:prSet presAssocID="{64D0DBA4-168A-448D-A625-EE2282FE0F41}" presName="hierChild4" presStyleCnt="0"/>
      <dgm:spPr/>
    </dgm:pt>
    <dgm:pt modelId="{AAA6D523-D7DF-467A-A1E7-8F0E9B05D27F}" type="pres">
      <dgm:prSet presAssocID="{64D0DBA4-168A-448D-A625-EE2282FE0F41}" presName="hierChild5" presStyleCnt="0"/>
      <dgm:spPr/>
    </dgm:pt>
    <dgm:pt modelId="{76F114C9-E1A8-48C2-AB63-C1450CF809EC}" type="pres">
      <dgm:prSet presAssocID="{114780B3-0782-4088-AC3B-8D5E1310FABF}" presName="Name37" presStyleLbl="parChTrans1D4" presStyleIdx="11" presStyleCnt="54"/>
      <dgm:spPr/>
    </dgm:pt>
    <dgm:pt modelId="{59C832C8-0044-4EC8-979B-CE5216ED5361}" type="pres">
      <dgm:prSet presAssocID="{45F6CA26-C1F4-4059-B737-7F7760919532}" presName="hierRoot2" presStyleCnt="0">
        <dgm:presLayoutVars>
          <dgm:hierBranch val="init"/>
        </dgm:presLayoutVars>
      </dgm:prSet>
      <dgm:spPr/>
    </dgm:pt>
    <dgm:pt modelId="{62B7DA82-2142-4EC7-8D63-61324E86150D}" type="pres">
      <dgm:prSet presAssocID="{45F6CA26-C1F4-4059-B737-7F7760919532}" presName="rootComposite" presStyleCnt="0"/>
      <dgm:spPr/>
    </dgm:pt>
    <dgm:pt modelId="{BFAB83D1-1A9C-49D7-BE4C-7E167D3DFF4B}" type="pres">
      <dgm:prSet presAssocID="{45F6CA26-C1F4-4059-B737-7F7760919532}" presName="rootText" presStyleLbl="node4" presStyleIdx="11" presStyleCnt="54">
        <dgm:presLayoutVars>
          <dgm:chPref val="3"/>
        </dgm:presLayoutVars>
      </dgm:prSet>
      <dgm:spPr/>
    </dgm:pt>
    <dgm:pt modelId="{82B72EFF-9406-472E-A80E-A1451728C56D}" type="pres">
      <dgm:prSet presAssocID="{45F6CA26-C1F4-4059-B737-7F7760919532}" presName="rootConnector" presStyleLbl="node4" presStyleIdx="11" presStyleCnt="54"/>
      <dgm:spPr/>
    </dgm:pt>
    <dgm:pt modelId="{48BA636C-EA56-41B9-BC07-0BDA2D88B1B9}" type="pres">
      <dgm:prSet presAssocID="{45F6CA26-C1F4-4059-B737-7F7760919532}" presName="hierChild4" presStyleCnt="0"/>
      <dgm:spPr/>
    </dgm:pt>
    <dgm:pt modelId="{73DC6BC8-4D63-4F88-8F31-7FCFC85557B2}" type="pres">
      <dgm:prSet presAssocID="{45F6CA26-C1F4-4059-B737-7F7760919532}" presName="hierChild5" presStyleCnt="0"/>
      <dgm:spPr/>
    </dgm:pt>
    <dgm:pt modelId="{7FBBB966-00B2-403C-B8C7-30F7960CC8BD}" type="pres">
      <dgm:prSet presAssocID="{535511F9-DE66-4487-B733-8C218D642449}" presName="hierChild5" presStyleCnt="0"/>
      <dgm:spPr/>
    </dgm:pt>
    <dgm:pt modelId="{867D0202-22AE-418E-80EF-B0F9347B2824}" type="pres">
      <dgm:prSet presAssocID="{2847292B-01CF-403F-A958-85CB8EC6E80D}" presName="Name37" presStyleLbl="parChTrans1D4" presStyleIdx="12" presStyleCnt="54"/>
      <dgm:spPr/>
    </dgm:pt>
    <dgm:pt modelId="{5B60BDA0-DF64-41C7-B409-7B6B463FDAA9}" type="pres">
      <dgm:prSet presAssocID="{C9F2CB53-DEEE-476F-9B5C-8EED4B363EF2}" presName="hierRoot2" presStyleCnt="0">
        <dgm:presLayoutVars>
          <dgm:hierBranch val="init"/>
        </dgm:presLayoutVars>
      </dgm:prSet>
      <dgm:spPr/>
    </dgm:pt>
    <dgm:pt modelId="{44EC2EDA-033F-47AC-8F17-5387AF887844}" type="pres">
      <dgm:prSet presAssocID="{C9F2CB53-DEEE-476F-9B5C-8EED4B363EF2}" presName="rootComposite" presStyleCnt="0"/>
      <dgm:spPr/>
    </dgm:pt>
    <dgm:pt modelId="{460D4FC5-7430-47E1-B258-592A1E8F799F}" type="pres">
      <dgm:prSet presAssocID="{C9F2CB53-DEEE-476F-9B5C-8EED4B363EF2}" presName="rootText" presStyleLbl="node4" presStyleIdx="12" presStyleCnt="54">
        <dgm:presLayoutVars>
          <dgm:chPref val="3"/>
        </dgm:presLayoutVars>
      </dgm:prSet>
      <dgm:spPr/>
    </dgm:pt>
    <dgm:pt modelId="{974FB573-78CA-4CF1-9D79-85CB4E11C7A3}" type="pres">
      <dgm:prSet presAssocID="{C9F2CB53-DEEE-476F-9B5C-8EED4B363EF2}" presName="rootConnector" presStyleLbl="node4" presStyleIdx="12" presStyleCnt="54"/>
      <dgm:spPr/>
    </dgm:pt>
    <dgm:pt modelId="{9A4EF7C1-EC67-4F6C-BF7C-81BCEB06FD3D}" type="pres">
      <dgm:prSet presAssocID="{C9F2CB53-DEEE-476F-9B5C-8EED4B363EF2}" presName="hierChild4" presStyleCnt="0"/>
      <dgm:spPr/>
    </dgm:pt>
    <dgm:pt modelId="{0C97C4C4-FBCE-4720-A0EB-94120AB28960}" type="pres">
      <dgm:prSet presAssocID="{C5B3E315-784A-4F2E-8C90-C9B041263DE4}" presName="Name37" presStyleLbl="parChTrans1D4" presStyleIdx="13" presStyleCnt="54"/>
      <dgm:spPr/>
    </dgm:pt>
    <dgm:pt modelId="{7DDACC59-1B27-407B-89B5-EC547533C10D}" type="pres">
      <dgm:prSet presAssocID="{FE638C8F-6D0A-4899-904B-4BD89EB54E42}" presName="hierRoot2" presStyleCnt="0">
        <dgm:presLayoutVars>
          <dgm:hierBranch val="init"/>
        </dgm:presLayoutVars>
      </dgm:prSet>
      <dgm:spPr/>
    </dgm:pt>
    <dgm:pt modelId="{5723700D-9DE7-4858-87CE-B9941937B4E4}" type="pres">
      <dgm:prSet presAssocID="{FE638C8F-6D0A-4899-904B-4BD89EB54E42}" presName="rootComposite" presStyleCnt="0"/>
      <dgm:spPr/>
    </dgm:pt>
    <dgm:pt modelId="{AC3D2619-832D-4097-A9AC-C4428D646217}" type="pres">
      <dgm:prSet presAssocID="{FE638C8F-6D0A-4899-904B-4BD89EB54E42}" presName="rootText" presStyleLbl="node4" presStyleIdx="13" presStyleCnt="54">
        <dgm:presLayoutVars>
          <dgm:chPref val="3"/>
        </dgm:presLayoutVars>
      </dgm:prSet>
      <dgm:spPr/>
    </dgm:pt>
    <dgm:pt modelId="{812CB119-BA27-408D-87F9-E0D69033F8E1}" type="pres">
      <dgm:prSet presAssocID="{FE638C8F-6D0A-4899-904B-4BD89EB54E42}" presName="rootConnector" presStyleLbl="node4" presStyleIdx="13" presStyleCnt="54"/>
      <dgm:spPr/>
    </dgm:pt>
    <dgm:pt modelId="{F4796A62-27E9-48FD-9975-22D25ECDD544}" type="pres">
      <dgm:prSet presAssocID="{FE638C8F-6D0A-4899-904B-4BD89EB54E42}" presName="hierChild4" presStyleCnt="0"/>
      <dgm:spPr/>
    </dgm:pt>
    <dgm:pt modelId="{8D742261-8FB0-443E-85A4-36A1C33143D3}" type="pres">
      <dgm:prSet presAssocID="{FE638C8F-6D0A-4899-904B-4BD89EB54E42}" presName="hierChild5" presStyleCnt="0"/>
      <dgm:spPr/>
    </dgm:pt>
    <dgm:pt modelId="{2FBBA250-F9B7-4765-8560-EB8D9FB7D023}" type="pres">
      <dgm:prSet presAssocID="{344D490D-B786-4306-B288-586109945069}" presName="Name37" presStyleLbl="parChTrans1D4" presStyleIdx="14" presStyleCnt="54"/>
      <dgm:spPr/>
    </dgm:pt>
    <dgm:pt modelId="{FE87D0AB-3C6C-4C59-997D-0BA3FB8FA909}" type="pres">
      <dgm:prSet presAssocID="{ED23D0F1-3117-4BEA-A567-4A1759EC0EF0}" presName="hierRoot2" presStyleCnt="0">
        <dgm:presLayoutVars>
          <dgm:hierBranch val="init"/>
        </dgm:presLayoutVars>
      </dgm:prSet>
      <dgm:spPr/>
    </dgm:pt>
    <dgm:pt modelId="{4E464E0D-9B21-4B6E-95B0-6A01227FB51E}" type="pres">
      <dgm:prSet presAssocID="{ED23D0F1-3117-4BEA-A567-4A1759EC0EF0}" presName="rootComposite" presStyleCnt="0"/>
      <dgm:spPr/>
    </dgm:pt>
    <dgm:pt modelId="{121D9BAE-1845-4EC6-8471-A5FC827E216A}" type="pres">
      <dgm:prSet presAssocID="{ED23D0F1-3117-4BEA-A567-4A1759EC0EF0}" presName="rootText" presStyleLbl="node4" presStyleIdx="14" presStyleCnt="54">
        <dgm:presLayoutVars>
          <dgm:chPref val="3"/>
        </dgm:presLayoutVars>
      </dgm:prSet>
      <dgm:spPr/>
    </dgm:pt>
    <dgm:pt modelId="{E006125D-B964-4121-A66F-F98618120912}" type="pres">
      <dgm:prSet presAssocID="{ED23D0F1-3117-4BEA-A567-4A1759EC0EF0}" presName="rootConnector" presStyleLbl="node4" presStyleIdx="14" presStyleCnt="54"/>
      <dgm:spPr/>
    </dgm:pt>
    <dgm:pt modelId="{3FF334F3-04C1-41B2-A276-61FE16235672}" type="pres">
      <dgm:prSet presAssocID="{ED23D0F1-3117-4BEA-A567-4A1759EC0EF0}" presName="hierChild4" presStyleCnt="0"/>
      <dgm:spPr/>
    </dgm:pt>
    <dgm:pt modelId="{B3E0AF72-59BE-412F-8E42-37ABDDC4249F}" type="pres">
      <dgm:prSet presAssocID="{ED23D0F1-3117-4BEA-A567-4A1759EC0EF0}" presName="hierChild5" presStyleCnt="0"/>
      <dgm:spPr/>
    </dgm:pt>
    <dgm:pt modelId="{E6FC676E-F250-421D-AB6B-E304B315E2B2}" type="pres">
      <dgm:prSet presAssocID="{C9F2CB53-DEEE-476F-9B5C-8EED4B363EF2}" presName="hierChild5" presStyleCnt="0"/>
      <dgm:spPr/>
    </dgm:pt>
    <dgm:pt modelId="{827FFCDD-0AAC-40A5-888D-DAA9A17F3194}" type="pres">
      <dgm:prSet presAssocID="{3BF91958-BADA-423E-A9BA-3466124306D5}" presName="Name37" presStyleLbl="parChTrans1D4" presStyleIdx="15" presStyleCnt="54"/>
      <dgm:spPr/>
    </dgm:pt>
    <dgm:pt modelId="{A0DDB173-7A85-4DC5-A539-D85446BBB352}" type="pres">
      <dgm:prSet presAssocID="{0645715D-9A69-4A1E-AF3D-7AA12FEA7F9C}" presName="hierRoot2" presStyleCnt="0">
        <dgm:presLayoutVars>
          <dgm:hierBranch val="init"/>
        </dgm:presLayoutVars>
      </dgm:prSet>
      <dgm:spPr/>
    </dgm:pt>
    <dgm:pt modelId="{A2583ACF-8623-42BA-B27C-BB96C684A681}" type="pres">
      <dgm:prSet presAssocID="{0645715D-9A69-4A1E-AF3D-7AA12FEA7F9C}" presName="rootComposite" presStyleCnt="0"/>
      <dgm:spPr/>
    </dgm:pt>
    <dgm:pt modelId="{99D24377-E7F3-413D-852A-D662844386DA}" type="pres">
      <dgm:prSet presAssocID="{0645715D-9A69-4A1E-AF3D-7AA12FEA7F9C}" presName="rootText" presStyleLbl="node4" presStyleIdx="15" presStyleCnt="54">
        <dgm:presLayoutVars>
          <dgm:chPref val="3"/>
        </dgm:presLayoutVars>
      </dgm:prSet>
      <dgm:spPr/>
    </dgm:pt>
    <dgm:pt modelId="{04F109A1-FF5F-4381-A954-C6C206DDF756}" type="pres">
      <dgm:prSet presAssocID="{0645715D-9A69-4A1E-AF3D-7AA12FEA7F9C}" presName="rootConnector" presStyleLbl="node4" presStyleIdx="15" presStyleCnt="54"/>
      <dgm:spPr/>
    </dgm:pt>
    <dgm:pt modelId="{88F8406B-823E-4858-9FDC-0F8D76A1D411}" type="pres">
      <dgm:prSet presAssocID="{0645715D-9A69-4A1E-AF3D-7AA12FEA7F9C}" presName="hierChild4" presStyleCnt="0"/>
      <dgm:spPr/>
    </dgm:pt>
    <dgm:pt modelId="{10D5EF48-E3EC-4649-973B-BC20D3B4ED90}" type="pres">
      <dgm:prSet presAssocID="{A1E66DA0-EBA1-468A-BE0B-707D04CE3F0B}" presName="Name37" presStyleLbl="parChTrans1D4" presStyleIdx="16" presStyleCnt="54"/>
      <dgm:spPr/>
    </dgm:pt>
    <dgm:pt modelId="{6C825B29-D374-4822-9F82-CF9425F4AC67}" type="pres">
      <dgm:prSet presAssocID="{81835AC8-A71B-41A7-87A8-ED1805F985F6}" presName="hierRoot2" presStyleCnt="0">
        <dgm:presLayoutVars>
          <dgm:hierBranch val="init"/>
        </dgm:presLayoutVars>
      </dgm:prSet>
      <dgm:spPr/>
    </dgm:pt>
    <dgm:pt modelId="{0BF291DF-A099-40BF-A0EB-DDB78DE12EA2}" type="pres">
      <dgm:prSet presAssocID="{81835AC8-A71B-41A7-87A8-ED1805F985F6}" presName="rootComposite" presStyleCnt="0"/>
      <dgm:spPr/>
    </dgm:pt>
    <dgm:pt modelId="{6E267D5A-19DF-435B-8835-363A841A70CC}" type="pres">
      <dgm:prSet presAssocID="{81835AC8-A71B-41A7-87A8-ED1805F985F6}" presName="rootText" presStyleLbl="node4" presStyleIdx="16" presStyleCnt="54">
        <dgm:presLayoutVars>
          <dgm:chPref val="3"/>
        </dgm:presLayoutVars>
      </dgm:prSet>
      <dgm:spPr/>
    </dgm:pt>
    <dgm:pt modelId="{936571C3-F51D-4A2F-96D5-A28FBA4DEB76}" type="pres">
      <dgm:prSet presAssocID="{81835AC8-A71B-41A7-87A8-ED1805F985F6}" presName="rootConnector" presStyleLbl="node4" presStyleIdx="16" presStyleCnt="54"/>
      <dgm:spPr/>
    </dgm:pt>
    <dgm:pt modelId="{5D160B3D-95BF-4794-A567-EF6B2C8193D2}" type="pres">
      <dgm:prSet presAssocID="{81835AC8-A71B-41A7-87A8-ED1805F985F6}" presName="hierChild4" presStyleCnt="0"/>
      <dgm:spPr/>
    </dgm:pt>
    <dgm:pt modelId="{544E328B-A1FA-4077-80EB-500E35E240E3}" type="pres">
      <dgm:prSet presAssocID="{81835AC8-A71B-41A7-87A8-ED1805F985F6}" presName="hierChild5" presStyleCnt="0"/>
      <dgm:spPr/>
    </dgm:pt>
    <dgm:pt modelId="{DFA16796-F34B-4E74-8211-00E05B9DC25F}" type="pres">
      <dgm:prSet presAssocID="{72D24AA6-8183-4E3E-9057-753E7D9F8B4F}" presName="Name37" presStyleLbl="parChTrans1D4" presStyleIdx="17" presStyleCnt="54"/>
      <dgm:spPr/>
    </dgm:pt>
    <dgm:pt modelId="{1420321C-84FD-4EB9-AE96-E739DB9408D0}" type="pres">
      <dgm:prSet presAssocID="{0096E6EC-86C7-4299-AA09-4DF5D1C9032C}" presName="hierRoot2" presStyleCnt="0">
        <dgm:presLayoutVars>
          <dgm:hierBranch val="init"/>
        </dgm:presLayoutVars>
      </dgm:prSet>
      <dgm:spPr/>
    </dgm:pt>
    <dgm:pt modelId="{C26CC8F5-B630-4811-860C-BBAA8C9D8183}" type="pres">
      <dgm:prSet presAssocID="{0096E6EC-86C7-4299-AA09-4DF5D1C9032C}" presName="rootComposite" presStyleCnt="0"/>
      <dgm:spPr/>
    </dgm:pt>
    <dgm:pt modelId="{B9DA33F7-0329-44AA-A530-E3F34113CE62}" type="pres">
      <dgm:prSet presAssocID="{0096E6EC-86C7-4299-AA09-4DF5D1C9032C}" presName="rootText" presStyleLbl="node4" presStyleIdx="17" presStyleCnt="54">
        <dgm:presLayoutVars>
          <dgm:chPref val="3"/>
        </dgm:presLayoutVars>
      </dgm:prSet>
      <dgm:spPr/>
    </dgm:pt>
    <dgm:pt modelId="{A5C2A0F7-3CE6-4E1D-A024-04D124F006FA}" type="pres">
      <dgm:prSet presAssocID="{0096E6EC-86C7-4299-AA09-4DF5D1C9032C}" presName="rootConnector" presStyleLbl="node4" presStyleIdx="17" presStyleCnt="54"/>
      <dgm:spPr/>
    </dgm:pt>
    <dgm:pt modelId="{AAEC3AF7-85B8-487C-937E-CBD8CFA38097}" type="pres">
      <dgm:prSet presAssocID="{0096E6EC-86C7-4299-AA09-4DF5D1C9032C}" presName="hierChild4" presStyleCnt="0"/>
      <dgm:spPr/>
    </dgm:pt>
    <dgm:pt modelId="{50E91E62-5997-4074-BE77-1E8235D0E218}" type="pres">
      <dgm:prSet presAssocID="{0096E6EC-86C7-4299-AA09-4DF5D1C9032C}" presName="hierChild5" presStyleCnt="0"/>
      <dgm:spPr/>
    </dgm:pt>
    <dgm:pt modelId="{758A77BD-2441-48EF-8CC5-CC92BE330E0C}" type="pres">
      <dgm:prSet presAssocID="{0645715D-9A69-4A1E-AF3D-7AA12FEA7F9C}" presName="hierChild5" presStyleCnt="0"/>
      <dgm:spPr/>
    </dgm:pt>
    <dgm:pt modelId="{D93E1D77-0F76-46F9-991F-991219612B39}" type="pres">
      <dgm:prSet presAssocID="{AD53D6AE-C3E5-4D08-9A9C-756D21089556}" presName="hierChild5" presStyleCnt="0"/>
      <dgm:spPr/>
    </dgm:pt>
    <dgm:pt modelId="{01E66863-D757-4BD2-8840-ECD363DD22AC}" type="pres">
      <dgm:prSet presAssocID="{23B9DBBF-F78C-4587-9EA3-D8D5210EE74B}" presName="Name35" presStyleLbl="parChTrans1D3" presStyleIdx="2" presStyleCnt="6"/>
      <dgm:spPr/>
    </dgm:pt>
    <dgm:pt modelId="{91B8722D-6106-4CFB-AC9B-C9DBD1CC304A}" type="pres">
      <dgm:prSet presAssocID="{B6F7E06D-24E3-48BD-B79C-80AC404BA19E}" presName="hierRoot2" presStyleCnt="0">
        <dgm:presLayoutVars>
          <dgm:hierBranch val="init"/>
        </dgm:presLayoutVars>
      </dgm:prSet>
      <dgm:spPr/>
    </dgm:pt>
    <dgm:pt modelId="{92EA66AD-FC67-4F9F-84D8-ED3CDB2E8529}" type="pres">
      <dgm:prSet presAssocID="{B6F7E06D-24E3-48BD-B79C-80AC404BA19E}" presName="rootComposite" presStyleCnt="0"/>
      <dgm:spPr/>
    </dgm:pt>
    <dgm:pt modelId="{F57E82BD-BF45-4E41-B3C4-0BB2C83DBA86}" type="pres">
      <dgm:prSet presAssocID="{B6F7E06D-24E3-48BD-B79C-80AC404BA19E}" presName="rootText" presStyleLbl="node3" presStyleIdx="2" presStyleCnt="6">
        <dgm:presLayoutVars>
          <dgm:chPref val="3"/>
        </dgm:presLayoutVars>
      </dgm:prSet>
      <dgm:spPr/>
    </dgm:pt>
    <dgm:pt modelId="{B94D3497-E8D6-40A0-A290-FD7735CA6560}" type="pres">
      <dgm:prSet presAssocID="{B6F7E06D-24E3-48BD-B79C-80AC404BA19E}" presName="rootConnector" presStyleLbl="node3" presStyleIdx="2" presStyleCnt="6"/>
      <dgm:spPr/>
    </dgm:pt>
    <dgm:pt modelId="{28C23BE9-6E12-4EFD-94C2-E95C8783E7A0}" type="pres">
      <dgm:prSet presAssocID="{B6F7E06D-24E3-48BD-B79C-80AC404BA19E}" presName="hierChild4" presStyleCnt="0"/>
      <dgm:spPr/>
    </dgm:pt>
    <dgm:pt modelId="{D61B1870-383A-479F-8DEF-155630525509}" type="pres">
      <dgm:prSet presAssocID="{F41BA381-825A-4B44-A6DB-0BC51DC53A31}" presName="Name37" presStyleLbl="parChTrans1D4" presStyleIdx="18" presStyleCnt="54"/>
      <dgm:spPr/>
    </dgm:pt>
    <dgm:pt modelId="{58BC1DB4-D444-4A7D-8713-F0EA133FD0FF}" type="pres">
      <dgm:prSet presAssocID="{A4E39F4B-783D-4437-A94E-CA42A01A2C68}" presName="hierRoot2" presStyleCnt="0">
        <dgm:presLayoutVars>
          <dgm:hierBranch val="init"/>
        </dgm:presLayoutVars>
      </dgm:prSet>
      <dgm:spPr/>
    </dgm:pt>
    <dgm:pt modelId="{C990506C-4A15-42C9-BE82-F42B0240752B}" type="pres">
      <dgm:prSet presAssocID="{A4E39F4B-783D-4437-A94E-CA42A01A2C68}" presName="rootComposite" presStyleCnt="0"/>
      <dgm:spPr/>
    </dgm:pt>
    <dgm:pt modelId="{0801A367-3AB8-4D84-96EB-B108BECA4AB1}" type="pres">
      <dgm:prSet presAssocID="{A4E39F4B-783D-4437-A94E-CA42A01A2C68}" presName="rootText" presStyleLbl="node4" presStyleIdx="18" presStyleCnt="54">
        <dgm:presLayoutVars>
          <dgm:chPref val="3"/>
        </dgm:presLayoutVars>
      </dgm:prSet>
      <dgm:spPr/>
    </dgm:pt>
    <dgm:pt modelId="{765754BE-7541-4CA1-AFA5-1918464C72D9}" type="pres">
      <dgm:prSet presAssocID="{A4E39F4B-783D-4437-A94E-CA42A01A2C68}" presName="rootConnector" presStyleLbl="node4" presStyleIdx="18" presStyleCnt="54"/>
      <dgm:spPr/>
    </dgm:pt>
    <dgm:pt modelId="{55D2C411-8540-4AC3-909A-7B430D1AD788}" type="pres">
      <dgm:prSet presAssocID="{A4E39F4B-783D-4437-A94E-CA42A01A2C68}" presName="hierChild4" presStyleCnt="0"/>
      <dgm:spPr/>
    </dgm:pt>
    <dgm:pt modelId="{F64790F7-7FBB-4913-A0AF-CFAC30A3E2FE}" type="pres">
      <dgm:prSet presAssocID="{E95BCA44-F14B-4222-BBBD-48345F99471A}" presName="Name37" presStyleLbl="parChTrans1D4" presStyleIdx="19" presStyleCnt="54"/>
      <dgm:spPr/>
    </dgm:pt>
    <dgm:pt modelId="{C2D36BBD-44F6-4681-BED8-8CC477B9CC99}" type="pres">
      <dgm:prSet presAssocID="{83E21AFF-A1F0-4959-AE2B-B079776A6FC2}" presName="hierRoot2" presStyleCnt="0">
        <dgm:presLayoutVars>
          <dgm:hierBranch val="init"/>
        </dgm:presLayoutVars>
      </dgm:prSet>
      <dgm:spPr/>
    </dgm:pt>
    <dgm:pt modelId="{751F1440-CD33-4326-8085-7422019423DD}" type="pres">
      <dgm:prSet presAssocID="{83E21AFF-A1F0-4959-AE2B-B079776A6FC2}" presName="rootComposite" presStyleCnt="0"/>
      <dgm:spPr/>
    </dgm:pt>
    <dgm:pt modelId="{8BF81CF0-2638-4B91-8A77-C4F4E277B8A1}" type="pres">
      <dgm:prSet presAssocID="{83E21AFF-A1F0-4959-AE2B-B079776A6FC2}" presName="rootText" presStyleLbl="node4" presStyleIdx="19" presStyleCnt="54">
        <dgm:presLayoutVars>
          <dgm:chPref val="3"/>
        </dgm:presLayoutVars>
      </dgm:prSet>
      <dgm:spPr/>
    </dgm:pt>
    <dgm:pt modelId="{8382163B-BB10-4727-A843-CB856A9FBBC9}" type="pres">
      <dgm:prSet presAssocID="{83E21AFF-A1F0-4959-AE2B-B079776A6FC2}" presName="rootConnector" presStyleLbl="node4" presStyleIdx="19" presStyleCnt="54"/>
      <dgm:spPr/>
    </dgm:pt>
    <dgm:pt modelId="{2965C603-A7AC-4DEE-83EE-9285E71D95F8}" type="pres">
      <dgm:prSet presAssocID="{83E21AFF-A1F0-4959-AE2B-B079776A6FC2}" presName="hierChild4" presStyleCnt="0"/>
      <dgm:spPr/>
    </dgm:pt>
    <dgm:pt modelId="{2D74D692-76BB-4687-975A-8A0B2843D55C}" type="pres">
      <dgm:prSet presAssocID="{83E21AFF-A1F0-4959-AE2B-B079776A6FC2}" presName="hierChild5" presStyleCnt="0"/>
      <dgm:spPr/>
    </dgm:pt>
    <dgm:pt modelId="{8AA391DE-CE58-49EC-B415-B15568FC37E1}" type="pres">
      <dgm:prSet presAssocID="{0E8EEF20-419C-4577-81D9-52E73967FE20}" presName="Name37" presStyleLbl="parChTrans1D4" presStyleIdx="20" presStyleCnt="54"/>
      <dgm:spPr/>
    </dgm:pt>
    <dgm:pt modelId="{C9A557F1-7A90-4D16-A8D1-3B40F87ED7F6}" type="pres">
      <dgm:prSet presAssocID="{C664FF72-A1D8-4D5F-A951-C64D35C71618}" presName="hierRoot2" presStyleCnt="0">
        <dgm:presLayoutVars>
          <dgm:hierBranch val="init"/>
        </dgm:presLayoutVars>
      </dgm:prSet>
      <dgm:spPr/>
    </dgm:pt>
    <dgm:pt modelId="{3B55BDC1-5559-4690-A12C-08C692C5B81C}" type="pres">
      <dgm:prSet presAssocID="{C664FF72-A1D8-4D5F-A951-C64D35C71618}" presName="rootComposite" presStyleCnt="0"/>
      <dgm:spPr/>
    </dgm:pt>
    <dgm:pt modelId="{A51C311F-3893-4B9B-A4CF-F7CC2053C2B7}" type="pres">
      <dgm:prSet presAssocID="{C664FF72-A1D8-4D5F-A951-C64D35C71618}" presName="rootText" presStyleLbl="node4" presStyleIdx="20" presStyleCnt="54">
        <dgm:presLayoutVars>
          <dgm:chPref val="3"/>
        </dgm:presLayoutVars>
      </dgm:prSet>
      <dgm:spPr/>
    </dgm:pt>
    <dgm:pt modelId="{109312F9-7973-45C6-892E-E164FE4AD7F4}" type="pres">
      <dgm:prSet presAssocID="{C664FF72-A1D8-4D5F-A951-C64D35C71618}" presName="rootConnector" presStyleLbl="node4" presStyleIdx="20" presStyleCnt="54"/>
      <dgm:spPr/>
    </dgm:pt>
    <dgm:pt modelId="{80A8B5E8-F1DD-42B9-94F7-0440FE4B3AAD}" type="pres">
      <dgm:prSet presAssocID="{C664FF72-A1D8-4D5F-A951-C64D35C71618}" presName="hierChild4" presStyleCnt="0"/>
      <dgm:spPr/>
    </dgm:pt>
    <dgm:pt modelId="{2491E97D-F297-4EF2-A4E2-B783FA815499}" type="pres">
      <dgm:prSet presAssocID="{C664FF72-A1D8-4D5F-A951-C64D35C71618}" presName="hierChild5" presStyleCnt="0"/>
      <dgm:spPr/>
    </dgm:pt>
    <dgm:pt modelId="{E8A606C0-E1F0-4B27-89EA-7723245BF827}" type="pres">
      <dgm:prSet presAssocID="{A4E39F4B-783D-4437-A94E-CA42A01A2C68}" presName="hierChild5" presStyleCnt="0"/>
      <dgm:spPr/>
    </dgm:pt>
    <dgm:pt modelId="{8E274D07-D34D-49FB-A891-96163CC94766}" type="pres">
      <dgm:prSet presAssocID="{4D510151-E469-47AF-A782-AA73B5EE106B}" presName="Name37" presStyleLbl="parChTrans1D4" presStyleIdx="21" presStyleCnt="54"/>
      <dgm:spPr/>
    </dgm:pt>
    <dgm:pt modelId="{F02E864D-27C6-4183-99B6-1614C82AEF0C}" type="pres">
      <dgm:prSet presAssocID="{5B7C7653-1C9C-40A2-A78C-AD2E4F7B1035}" presName="hierRoot2" presStyleCnt="0">
        <dgm:presLayoutVars>
          <dgm:hierBranch val="init"/>
        </dgm:presLayoutVars>
      </dgm:prSet>
      <dgm:spPr/>
    </dgm:pt>
    <dgm:pt modelId="{17B96D99-C48F-4B9A-B9E5-44B658959ED0}" type="pres">
      <dgm:prSet presAssocID="{5B7C7653-1C9C-40A2-A78C-AD2E4F7B1035}" presName="rootComposite" presStyleCnt="0"/>
      <dgm:spPr/>
    </dgm:pt>
    <dgm:pt modelId="{739220A5-B424-4D00-BA09-DAE9C40B664F}" type="pres">
      <dgm:prSet presAssocID="{5B7C7653-1C9C-40A2-A78C-AD2E4F7B1035}" presName="rootText" presStyleLbl="node4" presStyleIdx="21" presStyleCnt="54">
        <dgm:presLayoutVars>
          <dgm:chPref val="3"/>
        </dgm:presLayoutVars>
      </dgm:prSet>
      <dgm:spPr/>
    </dgm:pt>
    <dgm:pt modelId="{36EE70AF-A651-44ED-8969-EDDB1F212D02}" type="pres">
      <dgm:prSet presAssocID="{5B7C7653-1C9C-40A2-A78C-AD2E4F7B1035}" presName="rootConnector" presStyleLbl="node4" presStyleIdx="21" presStyleCnt="54"/>
      <dgm:spPr/>
    </dgm:pt>
    <dgm:pt modelId="{98C30A58-DD9B-49BB-9776-31D0D5ED5460}" type="pres">
      <dgm:prSet presAssocID="{5B7C7653-1C9C-40A2-A78C-AD2E4F7B1035}" presName="hierChild4" presStyleCnt="0"/>
      <dgm:spPr/>
    </dgm:pt>
    <dgm:pt modelId="{B42EBC9D-232C-4BA0-B849-7864C971DC59}" type="pres">
      <dgm:prSet presAssocID="{F4471D0A-12C8-44C8-86DE-F2BE6803436E}" presName="Name37" presStyleLbl="parChTrans1D4" presStyleIdx="22" presStyleCnt="54"/>
      <dgm:spPr/>
    </dgm:pt>
    <dgm:pt modelId="{402A5DC7-E201-4707-8A01-AAE6CFFF383D}" type="pres">
      <dgm:prSet presAssocID="{B43A7DFB-A1BC-4E0B-B17C-885B461BFC5C}" presName="hierRoot2" presStyleCnt="0">
        <dgm:presLayoutVars>
          <dgm:hierBranch val="init"/>
        </dgm:presLayoutVars>
      </dgm:prSet>
      <dgm:spPr/>
    </dgm:pt>
    <dgm:pt modelId="{4D537798-CFD2-486D-AACF-E1955E1B9612}" type="pres">
      <dgm:prSet presAssocID="{B43A7DFB-A1BC-4E0B-B17C-885B461BFC5C}" presName="rootComposite" presStyleCnt="0"/>
      <dgm:spPr/>
    </dgm:pt>
    <dgm:pt modelId="{507F5E94-027A-49B0-82A4-D73F3AB26436}" type="pres">
      <dgm:prSet presAssocID="{B43A7DFB-A1BC-4E0B-B17C-885B461BFC5C}" presName="rootText" presStyleLbl="node4" presStyleIdx="22" presStyleCnt="54">
        <dgm:presLayoutVars>
          <dgm:chPref val="3"/>
        </dgm:presLayoutVars>
      </dgm:prSet>
      <dgm:spPr/>
    </dgm:pt>
    <dgm:pt modelId="{AA898D87-38E5-492C-B835-6FD9A8719D5E}" type="pres">
      <dgm:prSet presAssocID="{B43A7DFB-A1BC-4E0B-B17C-885B461BFC5C}" presName="rootConnector" presStyleLbl="node4" presStyleIdx="22" presStyleCnt="54"/>
      <dgm:spPr/>
    </dgm:pt>
    <dgm:pt modelId="{60CD7D4F-E924-4077-8B48-CB59594101E0}" type="pres">
      <dgm:prSet presAssocID="{B43A7DFB-A1BC-4E0B-B17C-885B461BFC5C}" presName="hierChild4" presStyleCnt="0"/>
      <dgm:spPr/>
    </dgm:pt>
    <dgm:pt modelId="{3B4FB39A-713B-4032-85B7-E9B30CCBB077}" type="pres">
      <dgm:prSet presAssocID="{B43A7DFB-A1BC-4E0B-B17C-885B461BFC5C}" presName="hierChild5" presStyleCnt="0"/>
      <dgm:spPr/>
    </dgm:pt>
    <dgm:pt modelId="{BE845C3F-821D-4BCD-AC0B-73973FCC564D}" type="pres">
      <dgm:prSet presAssocID="{E03371A2-1DE0-4DF8-9C92-4378BEABF1EE}" presName="Name37" presStyleLbl="parChTrans1D4" presStyleIdx="23" presStyleCnt="54"/>
      <dgm:spPr/>
    </dgm:pt>
    <dgm:pt modelId="{D64206BF-5EFD-46AA-A6BD-A3E04B0A74EA}" type="pres">
      <dgm:prSet presAssocID="{C6E2F267-FABF-4B85-94C0-70EEFED92F94}" presName="hierRoot2" presStyleCnt="0">
        <dgm:presLayoutVars>
          <dgm:hierBranch val="init"/>
        </dgm:presLayoutVars>
      </dgm:prSet>
      <dgm:spPr/>
    </dgm:pt>
    <dgm:pt modelId="{FD4BAC30-1424-4287-B235-5D2E88D27AF4}" type="pres">
      <dgm:prSet presAssocID="{C6E2F267-FABF-4B85-94C0-70EEFED92F94}" presName="rootComposite" presStyleCnt="0"/>
      <dgm:spPr/>
    </dgm:pt>
    <dgm:pt modelId="{DD8E6E22-BB23-4A36-8A30-39430B137B20}" type="pres">
      <dgm:prSet presAssocID="{C6E2F267-FABF-4B85-94C0-70EEFED92F94}" presName="rootText" presStyleLbl="node4" presStyleIdx="23" presStyleCnt="54">
        <dgm:presLayoutVars>
          <dgm:chPref val="3"/>
        </dgm:presLayoutVars>
      </dgm:prSet>
      <dgm:spPr/>
    </dgm:pt>
    <dgm:pt modelId="{F5C36DC2-D86B-46D8-A809-B0DFC59A6E15}" type="pres">
      <dgm:prSet presAssocID="{C6E2F267-FABF-4B85-94C0-70EEFED92F94}" presName="rootConnector" presStyleLbl="node4" presStyleIdx="23" presStyleCnt="54"/>
      <dgm:spPr/>
    </dgm:pt>
    <dgm:pt modelId="{0FD57C81-3E29-416D-A8E2-F6B3982D622D}" type="pres">
      <dgm:prSet presAssocID="{C6E2F267-FABF-4B85-94C0-70EEFED92F94}" presName="hierChild4" presStyleCnt="0"/>
      <dgm:spPr/>
    </dgm:pt>
    <dgm:pt modelId="{77DCF44B-CEB1-4C94-97FD-37118C6255A9}" type="pres">
      <dgm:prSet presAssocID="{C6E2F267-FABF-4B85-94C0-70EEFED92F94}" presName="hierChild5" presStyleCnt="0"/>
      <dgm:spPr/>
    </dgm:pt>
    <dgm:pt modelId="{4CD6F837-AF73-4C85-B098-748EB6075A48}" type="pres">
      <dgm:prSet presAssocID="{5B7C7653-1C9C-40A2-A78C-AD2E4F7B1035}" presName="hierChild5" presStyleCnt="0"/>
      <dgm:spPr/>
    </dgm:pt>
    <dgm:pt modelId="{4066CF4F-844F-4EBC-B7E8-E29033E44570}" type="pres">
      <dgm:prSet presAssocID="{73B519EB-3D4F-4CBD-A90E-AA18489301C9}" presName="Name37" presStyleLbl="parChTrans1D4" presStyleIdx="24" presStyleCnt="54"/>
      <dgm:spPr/>
    </dgm:pt>
    <dgm:pt modelId="{2C668AB7-4FB8-4372-ABE3-B407927E9463}" type="pres">
      <dgm:prSet presAssocID="{763353B0-3849-4740-8414-D72FFAA104ED}" presName="hierRoot2" presStyleCnt="0">
        <dgm:presLayoutVars>
          <dgm:hierBranch val="init"/>
        </dgm:presLayoutVars>
      </dgm:prSet>
      <dgm:spPr/>
    </dgm:pt>
    <dgm:pt modelId="{D06773C9-E7D3-4739-B498-B8A1A3676DA5}" type="pres">
      <dgm:prSet presAssocID="{763353B0-3849-4740-8414-D72FFAA104ED}" presName="rootComposite" presStyleCnt="0"/>
      <dgm:spPr/>
    </dgm:pt>
    <dgm:pt modelId="{E83F509D-9B6E-41BE-8207-C0F77484A97A}" type="pres">
      <dgm:prSet presAssocID="{763353B0-3849-4740-8414-D72FFAA104ED}" presName="rootText" presStyleLbl="node4" presStyleIdx="24" presStyleCnt="54">
        <dgm:presLayoutVars>
          <dgm:chPref val="3"/>
        </dgm:presLayoutVars>
      </dgm:prSet>
      <dgm:spPr/>
    </dgm:pt>
    <dgm:pt modelId="{AEBB8E3F-5394-460D-B0B8-4255BAADC75C}" type="pres">
      <dgm:prSet presAssocID="{763353B0-3849-4740-8414-D72FFAA104ED}" presName="rootConnector" presStyleLbl="node4" presStyleIdx="24" presStyleCnt="54"/>
      <dgm:spPr/>
    </dgm:pt>
    <dgm:pt modelId="{1CE866F1-5945-4F61-BED9-4238B07CA31D}" type="pres">
      <dgm:prSet presAssocID="{763353B0-3849-4740-8414-D72FFAA104ED}" presName="hierChild4" presStyleCnt="0"/>
      <dgm:spPr/>
    </dgm:pt>
    <dgm:pt modelId="{CF1D4EBB-230C-441E-8106-A065024816DA}" type="pres">
      <dgm:prSet presAssocID="{61A0FC2D-ACD1-4E6C-9E3E-DAB311093A95}" presName="Name37" presStyleLbl="parChTrans1D4" presStyleIdx="25" presStyleCnt="54"/>
      <dgm:spPr/>
    </dgm:pt>
    <dgm:pt modelId="{37286199-4A07-4453-86B5-65BD755E65C6}" type="pres">
      <dgm:prSet presAssocID="{061B9782-C0EC-4C4F-BD8E-B5849919D515}" presName="hierRoot2" presStyleCnt="0">
        <dgm:presLayoutVars>
          <dgm:hierBranch val="init"/>
        </dgm:presLayoutVars>
      </dgm:prSet>
      <dgm:spPr/>
    </dgm:pt>
    <dgm:pt modelId="{DBF54BA0-FE3F-4F3C-BAA9-0E3D843AFF1D}" type="pres">
      <dgm:prSet presAssocID="{061B9782-C0EC-4C4F-BD8E-B5849919D515}" presName="rootComposite" presStyleCnt="0"/>
      <dgm:spPr/>
    </dgm:pt>
    <dgm:pt modelId="{D3FA45D9-6FE9-41BC-950C-84BBA00CDC7B}" type="pres">
      <dgm:prSet presAssocID="{061B9782-C0EC-4C4F-BD8E-B5849919D515}" presName="rootText" presStyleLbl="node4" presStyleIdx="25" presStyleCnt="54">
        <dgm:presLayoutVars>
          <dgm:chPref val="3"/>
        </dgm:presLayoutVars>
      </dgm:prSet>
      <dgm:spPr/>
    </dgm:pt>
    <dgm:pt modelId="{CB20326E-BCA6-4DB8-AD5D-889091FA9359}" type="pres">
      <dgm:prSet presAssocID="{061B9782-C0EC-4C4F-BD8E-B5849919D515}" presName="rootConnector" presStyleLbl="node4" presStyleIdx="25" presStyleCnt="54"/>
      <dgm:spPr/>
    </dgm:pt>
    <dgm:pt modelId="{B9114BEA-57EB-43B7-B378-0FFA634B1907}" type="pres">
      <dgm:prSet presAssocID="{061B9782-C0EC-4C4F-BD8E-B5849919D515}" presName="hierChild4" presStyleCnt="0"/>
      <dgm:spPr/>
    </dgm:pt>
    <dgm:pt modelId="{467CA978-4267-46C3-99DE-418B3E9A4B66}" type="pres">
      <dgm:prSet presAssocID="{061B9782-C0EC-4C4F-BD8E-B5849919D515}" presName="hierChild5" presStyleCnt="0"/>
      <dgm:spPr/>
    </dgm:pt>
    <dgm:pt modelId="{2B25D5BE-28CE-4D47-A9DE-823CC32C546A}" type="pres">
      <dgm:prSet presAssocID="{E9255337-556F-4043-BAA3-D69DE90F0755}" presName="Name37" presStyleLbl="parChTrans1D4" presStyleIdx="26" presStyleCnt="54"/>
      <dgm:spPr/>
    </dgm:pt>
    <dgm:pt modelId="{556B5127-795F-4681-B190-3CEC0E29DE28}" type="pres">
      <dgm:prSet presAssocID="{4D24D935-E32D-4D5F-8846-6A22BA92AF2A}" presName="hierRoot2" presStyleCnt="0">
        <dgm:presLayoutVars>
          <dgm:hierBranch val="init"/>
        </dgm:presLayoutVars>
      </dgm:prSet>
      <dgm:spPr/>
    </dgm:pt>
    <dgm:pt modelId="{5AB7E208-7FF0-4D83-84D2-E92748057EA5}" type="pres">
      <dgm:prSet presAssocID="{4D24D935-E32D-4D5F-8846-6A22BA92AF2A}" presName="rootComposite" presStyleCnt="0"/>
      <dgm:spPr/>
    </dgm:pt>
    <dgm:pt modelId="{9FCDDB3B-B710-401F-92BF-9A89CFA4A2E5}" type="pres">
      <dgm:prSet presAssocID="{4D24D935-E32D-4D5F-8846-6A22BA92AF2A}" presName="rootText" presStyleLbl="node4" presStyleIdx="26" presStyleCnt="54">
        <dgm:presLayoutVars>
          <dgm:chPref val="3"/>
        </dgm:presLayoutVars>
      </dgm:prSet>
      <dgm:spPr/>
    </dgm:pt>
    <dgm:pt modelId="{2C5F6FE5-1C48-4C59-B08C-4F765A73A3AD}" type="pres">
      <dgm:prSet presAssocID="{4D24D935-E32D-4D5F-8846-6A22BA92AF2A}" presName="rootConnector" presStyleLbl="node4" presStyleIdx="26" presStyleCnt="54"/>
      <dgm:spPr/>
    </dgm:pt>
    <dgm:pt modelId="{CDE5A641-6CCA-4C33-A436-6267FECF8485}" type="pres">
      <dgm:prSet presAssocID="{4D24D935-E32D-4D5F-8846-6A22BA92AF2A}" presName="hierChild4" presStyleCnt="0"/>
      <dgm:spPr/>
    </dgm:pt>
    <dgm:pt modelId="{5607B1E2-0152-474F-960A-E8F233EE4833}" type="pres">
      <dgm:prSet presAssocID="{4D24D935-E32D-4D5F-8846-6A22BA92AF2A}" presName="hierChild5" presStyleCnt="0"/>
      <dgm:spPr/>
    </dgm:pt>
    <dgm:pt modelId="{D2AAFE4D-A5A5-4FCB-A7B9-80B8D757A818}" type="pres">
      <dgm:prSet presAssocID="{763353B0-3849-4740-8414-D72FFAA104ED}" presName="hierChild5" presStyleCnt="0"/>
      <dgm:spPr/>
    </dgm:pt>
    <dgm:pt modelId="{ED9317AF-AD35-4B20-96CA-482F3D6C5F19}" type="pres">
      <dgm:prSet presAssocID="{B6F7E06D-24E3-48BD-B79C-80AC404BA19E}" presName="hierChild5" presStyleCnt="0"/>
      <dgm:spPr/>
    </dgm:pt>
    <dgm:pt modelId="{B9AF7356-9EB6-4464-B86D-CF424828F38F}" type="pres">
      <dgm:prSet presAssocID="{415D33F4-E960-4FCD-968F-A71D3E04E4F7}" presName="hierChild5" presStyleCnt="0"/>
      <dgm:spPr/>
    </dgm:pt>
    <dgm:pt modelId="{FAD198CE-12B8-4979-9FFD-5FE6C8B5C40E}" type="pres">
      <dgm:prSet presAssocID="{F3B63C8D-5F82-49C0-B1E0-9B978AAA016B}" presName="Name37" presStyleLbl="parChTrans1D2" presStyleIdx="1" presStyleCnt="2"/>
      <dgm:spPr/>
    </dgm:pt>
    <dgm:pt modelId="{541CA571-E5B6-4443-B99D-5D094EF1B2DD}" type="pres">
      <dgm:prSet presAssocID="{332C6210-1BC2-45A9-8B13-CA1D9A9605FE}" presName="hierRoot2" presStyleCnt="0">
        <dgm:presLayoutVars>
          <dgm:hierBranch/>
        </dgm:presLayoutVars>
      </dgm:prSet>
      <dgm:spPr/>
    </dgm:pt>
    <dgm:pt modelId="{552A5768-BBE1-4FBA-A05A-4A0471E917CA}" type="pres">
      <dgm:prSet presAssocID="{332C6210-1BC2-45A9-8B13-CA1D9A9605FE}" presName="rootComposite" presStyleCnt="0"/>
      <dgm:spPr/>
    </dgm:pt>
    <dgm:pt modelId="{D15AF9EA-FA2D-439E-BE40-01D5F390E996}" type="pres">
      <dgm:prSet presAssocID="{332C6210-1BC2-45A9-8B13-CA1D9A9605FE}" presName="rootText" presStyleLbl="node2" presStyleIdx="1" presStyleCnt="2" custScaleX="173639">
        <dgm:presLayoutVars>
          <dgm:chPref val="3"/>
        </dgm:presLayoutVars>
      </dgm:prSet>
      <dgm:spPr>
        <a:prstGeom prst="plaque">
          <a:avLst/>
        </a:prstGeom>
      </dgm:spPr>
    </dgm:pt>
    <dgm:pt modelId="{C354C116-6401-4C48-BEA8-CEE33BB370E1}" type="pres">
      <dgm:prSet presAssocID="{332C6210-1BC2-45A9-8B13-CA1D9A9605FE}" presName="rootConnector" presStyleLbl="node2" presStyleIdx="1" presStyleCnt="2"/>
      <dgm:spPr/>
    </dgm:pt>
    <dgm:pt modelId="{B4C27640-0E68-44A1-9DFF-DF74F577AA66}" type="pres">
      <dgm:prSet presAssocID="{332C6210-1BC2-45A9-8B13-CA1D9A9605FE}" presName="hierChild4" presStyleCnt="0"/>
      <dgm:spPr/>
    </dgm:pt>
    <dgm:pt modelId="{BCDF6B24-7D47-4586-A838-60B649393660}" type="pres">
      <dgm:prSet presAssocID="{A0D9AA86-F679-4DCB-A451-9EC15ED8B8E7}" presName="Name35" presStyleLbl="parChTrans1D3" presStyleIdx="3" presStyleCnt="6"/>
      <dgm:spPr/>
    </dgm:pt>
    <dgm:pt modelId="{C49284FE-E5F3-473F-8C0F-2D278F2E59DE}" type="pres">
      <dgm:prSet presAssocID="{BE9A3B68-7D1F-4514-B608-7520AD729F5F}" presName="hierRoot2" presStyleCnt="0">
        <dgm:presLayoutVars>
          <dgm:hierBranch/>
        </dgm:presLayoutVars>
      </dgm:prSet>
      <dgm:spPr/>
    </dgm:pt>
    <dgm:pt modelId="{1FCB3E5C-018D-417D-93AB-E6AD46191BB0}" type="pres">
      <dgm:prSet presAssocID="{BE9A3B68-7D1F-4514-B608-7520AD729F5F}" presName="rootComposite" presStyleCnt="0"/>
      <dgm:spPr/>
    </dgm:pt>
    <dgm:pt modelId="{3D21CEB1-1732-422D-9DCB-A90226D8EF94}" type="pres">
      <dgm:prSet presAssocID="{BE9A3B68-7D1F-4514-B608-7520AD729F5F}" presName="rootText" presStyleLbl="node3" presStyleIdx="3" presStyleCnt="6">
        <dgm:presLayoutVars>
          <dgm:chPref val="3"/>
        </dgm:presLayoutVars>
      </dgm:prSet>
      <dgm:spPr/>
    </dgm:pt>
    <dgm:pt modelId="{9FFDE4FD-4C7E-48F6-918D-AD549715F1F9}" type="pres">
      <dgm:prSet presAssocID="{BE9A3B68-7D1F-4514-B608-7520AD729F5F}" presName="rootConnector" presStyleLbl="node3" presStyleIdx="3" presStyleCnt="6"/>
      <dgm:spPr/>
    </dgm:pt>
    <dgm:pt modelId="{170F34E3-4D83-4FBA-AC98-D11A89762CFF}" type="pres">
      <dgm:prSet presAssocID="{BE9A3B68-7D1F-4514-B608-7520AD729F5F}" presName="hierChild4" presStyleCnt="0"/>
      <dgm:spPr/>
    </dgm:pt>
    <dgm:pt modelId="{9E5328D8-3148-4938-BFB4-B4BAD36D06B8}" type="pres">
      <dgm:prSet presAssocID="{761FC686-3A3F-4916-A5C4-17AE08A6D700}" presName="Name35" presStyleLbl="parChTrans1D4" presStyleIdx="27" presStyleCnt="54"/>
      <dgm:spPr/>
    </dgm:pt>
    <dgm:pt modelId="{1453905E-37F3-4F4C-8D28-39A5EFF4D270}" type="pres">
      <dgm:prSet presAssocID="{3C15CB32-090C-488A-ABF4-0E73937418A7}" presName="hierRoot2" presStyleCnt="0">
        <dgm:presLayoutVars>
          <dgm:hierBranch val="init"/>
        </dgm:presLayoutVars>
      </dgm:prSet>
      <dgm:spPr/>
    </dgm:pt>
    <dgm:pt modelId="{2D489112-88A8-4D21-8A98-E6A240D0B8E2}" type="pres">
      <dgm:prSet presAssocID="{3C15CB32-090C-488A-ABF4-0E73937418A7}" presName="rootComposite" presStyleCnt="0"/>
      <dgm:spPr/>
    </dgm:pt>
    <dgm:pt modelId="{308EC26F-11CF-428E-BF5B-772AEFFA16FB}" type="pres">
      <dgm:prSet presAssocID="{3C15CB32-090C-488A-ABF4-0E73937418A7}" presName="rootText" presStyleLbl="node4" presStyleIdx="27" presStyleCnt="54">
        <dgm:presLayoutVars>
          <dgm:chPref val="3"/>
        </dgm:presLayoutVars>
      </dgm:prSet>
      <dgm:spPr/>
    </dgm:pt>
    <dgm:pt modelId="{D764F21C-70D7-4550-AA31-062E93897F42}" type="pres">
      <dgm:prSet presAssocID="{3C15CB32-090C-488A-ABF4-0E73937418A7}" presName="rootConnector" presStyleLbl="node4" presStyleIdx="27" presStyleCnt="54"/>
      <dgm:spPr/>
    </dgm:pt>
    <dgm:pt modelId="{EA35162C-E187-4AB6-A513-ADF4CEFAB703}" type="pres">
      <dgm:prSet presAssocID="{3C15CB32-090C-488A-ABF4-0E73937418A7}" presName="hierChild4" presStyleCnt="0"/>
      <dgm:spPr/>
    </dgm:pt>
    <dgm:pt modelId="{40675438-18A2-4112-9DFA-D9DFD8FA18EE}" type="pres">
      <dgm:prSet presAssocID="{C130FB75-A2AC-4D7E-BF37-EBE80F70BC0A}" presName="Name37" presStyleLbl="parChTrans1D4" presStyleIdx="28" presStyleCnt="54"/>
      <dgm:spPr/>
    </dgm:pt>
    <dgm:pt modelId="{6D81EA98-A248-49B2-AD38-F49C8FE48528}" type="pres">
      <dgm:prSet presAssocID="{EA204522-3C4B-4829-B9F8-8DB420C3F2C6}" presName="hierRoot2" presStyleCnt="0">
        <dgm:presLayoutVars>
          <dgm:hierBranch val="init"/>
        </dgm:presLayoutVars>
      </dgm:prSet>
      <dgm:spPr/>
    </dgm:pt>
    <dgm:pt modelId="{40B24C96-C1B1-4EC2-8B2D-B4988E54709F}" type="pres">
      <dgm:prSet presAssocID="{EA204522-3C4B-4829-B9F8-8DB420C3F2C6}" presName="rootComposite" presStyleCnt="0"/>
      <dgm:spPr/>
    </dgm:pt>
    <dgm:pt modelId="{BB6E03EC-8B49-43C2-8A54-0E2A53D921ED}" type="pres">
      <dgm:prSet presAssocID="{EA204522-3C4B-4829-B9F8-8DB420C3F2C6}" presName="rootText" presStyleLbl="node4" presStyleIdx="28" presStyleCnt="54">
        <dgm:presLayoutVars>
          <dgm:chPref val="3"/>
        </dgm:presLayoutVars>
      </dgm:prSet>
      <dgm:spPr/>
    </dgm:pt>
    <dgm:pt modelId="{8FAC2DE1-EEF1-42C4-AD30-0A482FB67F9E}" type="pres">
      <dgm:prSet presAssocID="{EA204522-3C4B-4829-B9F8-8DB420C3F2C6}" presName="rootConnector" presStyleLbl="node4" presStyleIdx="28" presStyleCnt="54"/>
      <dgm:spPr/>
    </dgm:pt>
    <dgm:pt modelId="{79685974-EE41-4C46-823A-472DEDE194D3}" type="pres">
      <dgm:prSet presAssocID="{EA204522-3C4B-4829-B9F8-8DB420C3F2C6}" presName="hierChild4" presStyleCnt="0"/>
      <dgm:spPr/>
    </dgm:pt>
    <dgm:pt modelId="{EF7A389E-700E-43A1-AA76-259D24082850}" type="pres">
      <dgm:prSet presAssocID="{EA204522-3C4B-4829-B9F8-8DB420C3F2C6}" presName="hierChild5" presStyleCnt="0"/>
      <dgm:spPr/>
    </dgm:pt>
    <dgm:pt modelId="{A224B29F-FC90-4069-A9CA-C93C70D4E8E3}" type="pres">
      <dgm:prSet presAssocID="{7FDD71E7-B4E6-474A-BA9D-31FEA50A6CB3}" presName="Name37" presStyleLbl="parChTrans1D4" presStyleIdx="29" presStyleCnt="54"/>
      <dgm:spPr/>
    </dgm:pt>
    <dgm:pt modelId="{A55A7604-13A3-4157-96D2-511E70A32639}" type="pres">
      <dgm:prSet presAssocID="{83A1D584-FC25-4DCC-B744-AC464D97F8B6}" presName="hierRoot2" presStyleCnt="0">
        <dgm:presLayoutVars>
          <dgm:hierBranch val="init"/>
        </dgm:presLayoutVars>
      </dgm:prSet>
      <dgm:spPr/>
    </dgm:pt>
    <dgm:pt modelId="{8BD03555-A0B9-44E2-8F74-7E219A8E8279}" type="pres">
      <dgm:prSet presAssocID="{83A1D584-FC25-4DCC-B744-AC464D97F8B6}" presName="rootComposite" presStyleCnt="0"/>
      <dgm:spPr/>
    </dgm:pt>
    <dgm:pt modelId="{E24A6C78-28D8-489C-AE6C-934693B270DB}" type="pres">
      <dgm:prSet presAssocID="{83A1D584-FC25-4DCC-B744-AC464D97F8B6}" presName="rootText" presStyleLbl="node4" presStyleIdx="29" presStyleCnt="54">
        <dgm:presLayoutVars>
          <dgm:chPref val="3"/>
        </dgm:presLayoutVars>
      </dgm:prSet>
      <dgm:spPr/>
    </dgm:pt>
    <dgm:pt modelId="{81430472-0107-4BCA-BCEC-C9D101E3B3D1}" type="pres">
      <dgm:prSet presAssocID="{83A1D584-FC25-4DCC-B744-AC464D97F8B6}" presName="rootConnector" presStyleLbl="node4" presStyleIdx="29" presStyleCnt="54"/>
      <dgm:spPr/>
    </dgm:pt>
    <dgm:pt modelId="{1E0A6AF6-6922-4C87-9235-9D32BB4AED0B}" type="pres">
      <dgm:prSet presAssocID="{83A1D584-FC25-4DCC-B744-AC464D97F8B6}" presName="hierChild4" presStyleCnt="0"/>
      <dgm:spPr/>
    </dgm:pt>
    <dgm:pt modelId="{6AC77A7D-A583-4743-BC77-788607C748B2}" type="pres">
      <dgm:prSet presAssocID="{83A1D584-FC25-4DCC-B744-AC464D97F8B6}" presName="hierChild5" presStyleCnt="0"/>
      <dgm:spPr/>
    </dgm:pt>
    <dgm:pt modelId="{58DD8701-08D1-4FA1-BCED-7A3DB5885AD4}" type="pres">
      <dgm:prSet presAssocID="{3C15CB32-090C-488A-ABF4-0E73937418A7}" presName="hierChild5" presStyleCnt="0"/>
      <dgm:spPr/>
    </dgm:pt>
    <dgm:pt modelId="{F8390402-37C2-4C25-8C44-48FF00832E48}" type="pres">
      <dgm:prSet presAssocID="{8A243D72-41E4-495D-816B-E4923E0CBD82}" presName="Name35" presStyleLbl="parChTrans1D4" presStyleIdx="30" presStyleCnt="54"/>
      <dgm:spPr/>
    </dgm:pt>
    <dgm:pt modelId="{7EA0BBDC-030D-4E67-81BE-9BF6302AD748}" type="pres">
      <dgm:prSet presAssocID="{2456C976-B65F-4ADF-93AF-4B30292E9923}" presName="hierRoot2" presStyleCnt="0">
        <dgm:presLayoutVars>
          <dgm:hierBranch val="init"/>
        </dgm:presLayoutVars>
      </dgm:prSet>
      <dgm:spPr/>
    </dgm:pt>
    <dgm:pt modelId="{C5DDC495-9A70-47AD-B3ED-E3725289A257}" type="pres">
      <dgm:prSet presAssocID="{2456C976-B65F-4ADF-93AF-4B30292E9923}" presName="rootComposite" presStyleCnt="0"/>
      <dgm:spPr/>
    </dgm:pt>
    <dgm:pt modelId="{109D2A52-8718-4DD3-992F-CAB816BB7AD5}" type="pres">
      <dgm:prSet presAssocID="{2456C976-B65F-4ADF-93AF-4B30292E9923}" presName="rootText" presStyleLbl="node4" presStyleIdx="30" presStyleCnt="54">
        <dgm:presLayoutVars>
          <dgm:chPref val="3"/>
        </dgm:presLayoutVars>
      </dgm:prSet>
      <dgm:spPr/>
    </dgm:pt>
    <dgm:pt modelId="{ED4AD7E4-3719-4CD6-833B-CC9A1DE68C67}" type="pres">
      <dgm:prSet presAssocID="{2456C976-B65F-4ADF-93AF-4B30292E9923}" presName="rootConnector" presStyleLbl="node4" presStyleIdx="30" presStyleCnt="54"/>
      <dgm:spPr/>
    </dgm:pt>
    <dgm:pt modelId="{E4D16B49-43D3-4E1A-BABF-9458A20EA94F}" type="pres">
      <dgm:prSet presAssocID="{2456C976-B65F-4ADF-93AF-4B30292E9923}" presName="hierChild4" presStyleCnt="0"/>
      <dgm:spPr/>
    </dgm:pt>
    <dgm:pt modelId="{44EE9CC5-B172-444F-9F03-8F49BAC52D14}" type="pres">
      <dgm:prSet presAssocID="{73E524F7-6844-459F-A353-1B778E503E52}" presName="Name37" presStyleLbl="parChTrans1D4" presStyleIdx="31" presStyleCnt="54"/>
      <dgm:spPr/>
    </dgm:pt>
    <dgm:pt modelId="{153ED236-4069-4436-8980-30BE290BAB57}" type="pres">
      <dgm:prSet presAssocID="{28E76CA5-161D-409F-ABFB-50FAAFEC437E}" presName="hierRoot2" presStyleCnt="0">
        <dgm:presLayoutVars>
          <dgm:hierBranch val="init"/>
        </dgm:presLayoutVars>
      </dgm:prSet>
      <dgm:spPr/>
    </dgm:pt>
    <dgm:pt modelId="{B081E0F0-E135-490E-9F20-E5485838C1DF}" type="pres">
      <dgm:prSet presAssocID="{28E76CA5-161D-409F-ABFB-50FAAFEC437E}" presName="rootComposite" presStyleCnt="0"/>
      <dgm:spPr/>
    </dgm:pt>
    <dgm:pt modelId="{228042B0-60C3-4691-B0BA-0EE923AD05EB}" type="pres">
      <dgm:prSet presAssocID="{28E76CA5-161D-409F-ABFB-50FAAFEC437E}" presName="rootText" presStyleLbl="node4" presStyleIdx="31" presStyleCnt="54">
        <dgm:presLayoutVars>
          <dgm:chPref val="3"/>
        </dgm:presLayoutVars>
      </dgm:prSet>
      <dgm:spPr/>
    </dgm:pt>
    <dgm:pt modelId="{4EEEE3DF-9D47-40E6-8191-C4011761B835}" type="pres">
      <dgm:prSet presAssocID="{28E76CA5-161D-409F-ABFB-50FAAFEC437E}" presName="rootConnector" presStyleLbl="node4" presStyleIdx="31" presStyleCnt="54"/>
      <dgm:spPr/>
    </dgm:pt>
    <dgm:pt modelId="{47205C53-C49F-4684-AC2E-48D7D3EAE323}" type="pres">
      <dgm:prSet presAssocID="{28E76CA5-161D-409F-ABFB-50FAAFEC437E}" presName="hierChild4" presStyleCnt="0"/>
      <dgm:spPr/>
    </dgm:pt>
    <dgm:pt modelId="{7AE4EFA3-E1F4-4E3E-9830-C19B20FF177E}" type="pres">
      <dgm:prSet presAssocID="{28E76CA5-161D-409F-ABFB-50FAAFEC437E}" presName="hierChild5" presStyleCnt="0"/>
      <dgm:spPr/>
    </dgm:pt>
    <dgm:pt modelId="{405E4950-777F-41C1-A1EF-5AB02A3646B3}" type="pres">
      <dgm:prSet presAssocID="{FF6F12EE-E863-49D9-B7C4-AEFDC6A73000}" presName="Name37" presStyleLbl="parChTrans1D4" presStyleIdx="32" presStyleCnt="54"/>
      <dgm:spPr/>
    </dgm:pt>
    <dgm:pt modelId="{75B60E46-293F-43C8-ACD8-023682B9DE3C}" type="pres">
      <dgm:prSet presAssocID="{2D223E41-FFCE-43EA-A912-97398AFB7417}" presName="hierRoot2" presStyleCnt="0">
        <dgm:presLayoutVars>
          <dgm:hierBranch val="init"/>
        </dgm:presLayoutVars>
      </dgm:prSet>
      <dgm:spPr/>
    </dgm:pt>
    <dgm:pt modelId="{F07B5D95-8AB7-4B3D-AEE6-7C2600CA595D}" type="pres">
      <dgm:prSet presAssocID="{2D223E41-FFCE-43EA-A912-97398AFB7417}" presName="rootComposite" presStyleCnt="0"/>
      <dgm:spPr/>
    </dgm:pt>
    <dgm:pt modelId="{4C05C56D-E193-410D-97AA-175DF4862606}" type="pres">
      <dgm:prSet presAssocID="{2D223E41-FFCE-43EA-A912-97398AFB7417}" presName="rootText" presStyleLbl="node4" presStyleIdx="32" presStyleCnt="54">
        <dgm:presLayoutVars>
          <dgm:chPref val="3"/>
        </dgm:presLayoutVars>
      </dgm:prSet>
      <dgm:spPr/>
    </dgm:pt>
    <dgm:pt modelId="{40D19D5E-C279-45C9-A910-8C46E85C550D}" type="pres">
      <dgm:prSet presAssocID="{2D223E41-FFCE-43EA-A912-97398AFB7417}" presName="rootConnector" presStyleLbl="node4" presStyleIdx="32" presStyleCnt="54"/>
      <dgm:spPr/>
    </dgm:pt>
    <dgm:pt modelId="{08CE944C-74ED-41AB-9D9E-F964CCEA614B}" type="pres">
      <dgm:prSet presAssocID="{2D223E41-FFCE-43EA-A912-97398AFB7417}" presName="hierChild4" presStyleCnt="0"/>
      <dgm:spPr/>
    </dgm:pt>
    <dgm:pt modelId="{71E63EEE-D714-43CE-826F-9A02E45DC7DC}" type="pres">
      <dgm:prSet presAssocID="{2D223E41-FFCE-43EA-A912-97398AFB7417}" presName="hierChild5" presStyleCnt="0"/>
      <dgm:spPr/>
    </dgm:pt>
    <dgm:pt modelId="{926CC977-A7D6-4B86-874E-6B70993DF11F}" type="pres">
      <dgm:prSet presAssocID="{2456C976-B65F-4ADF-93AF-4B30292E9923}" presName="hierChild5" presStyleCnt="0"/>
      <dgm:spPr/>
    </dgm:pt>
    <dgm:pt modelId="{5076F817-D235-4360-8C54-33BDEDE208AF}" type="pres">
      <dgm:prSet presAssocID="{D6B9B643-9CC7-4D39-A4FA-D7282A5930BC}" presName="Name35" presStyleLbl="parChTrans1D4" presStyleIdx="33" presStyleCnt="54"/>
      <dgm:spPr/>
    </dgm:pt>
    <dgm:pt modelId="{D071F4CD-6966-4146-B000-9ED4FBCC6361}" type="pres">
      <dgm:prSet presAssocID="{32B30FA1-2F37-4F48-8E62-A2986556420E}" presName="hierRoot2" presStyleCnt="0">
        <dgm:presLayoutVars>
          <dgm:hierBranch val="r"/>
        </dgm:presLayoutVars>
      </dgm:prSet>
      <dgm:spPr/>
    </dgm:pt>
    <dgm:pt modelId="{9B43345F-B064-4DDA-B170-DF67E2E45E41}" type="pres">
      <dgm:prSet presAssocID="{32B30FA1-2F37-4F48-8E62-A2986556420E}" presName="rootComposite" presStyleCnt="0"/>
      <dgm:spPr/>
    </dgm:pt>
    <dgm:pt modelId="{5F2F2BC0-1450-48BA-A5D8-E10400E46CD7}" type="pres">
      <dgm:prSet presAssocID="{32B30FA1-2F37-4F48-8E62-A2986556420E}" presName="rootText" presStyleLbl="node4" presStyleIdx="33" presStyleCnt="54">
        <dgm:presLayoutVars>
          <dgm:chPref val="3"/>
        </dgm:presLayoutVars>
      </dgm:prSet>
      <dgm:spPr/>
    </dgm:pt>
    <dgm:pt modelId="{AD72DAB3-6F34-46E1-BB4F-C9003A72D964}" type="pres">
      <dgm:prSet presAssocID="{32B30FA1-2F37-4F48-8E62-A2986556420E}" presName="rootConnector" presStyleLbl="node4" presStyleIdx="33" presStyleCnt="54"/>
      <dgm:spPr/>
    </dgm:pt>
    <dgm:pt modelId="{A28662A6-17AD-4944-8F11-CF5184333F85}" type="pres">
      <dgm:prSet presAssocID="{32B30FA1-2F37-4F48-8E62-A2986556420E}" presName="hierChild4" presStyleCnt="0"/>
      <dgm:spPr/>
    </dgm:pt>
    <dgm:pt modelId="{F49E8928-A9F3-46CB-B0D7-714882F2D834}" type="pres">
      <dgm:prSet presAssocID="{916E351F-35B3-4628-ABBD-A463A6588698}" presName="Name50" presStyleLbl="parChTrans1D4" presStyleIdx="34" presStyleCnt="54"/>
      <dgm:spPr/>
    </dgm:pt>
    <dgm:pt modelId="{503AE72B-3614-489F-A877-BA7B99C8DA74}" type="pres">
      <dgm:prSet presAssocID="{D91B2883-740A-47A3-B18A-193CF254D5F9}" presName="hierRoot2" presStyleCnt="0">
        <dgm:presLayoutVars>
          <dgm:hierBranch val="init"/>
        </dgm:presLayoutVars>
      </dgm:prSet>
      <dgm:spPr/>
    </dgm:pt>
    <dgm:pt modelId="{BA4391EE-9DBD-4FCE-B655-7C89993206A2}" type="pres">
      <dgm:prSet presAssocID="{D91B2883-740A-47A3-B18A-193CF254D5F9}" presName="rootComposite" presStyleCnt="0"/>
      <dgm:spPr/>
    </dgm:pt>
    <dgm:pt modelId="{4449885B-4833-4E35-BA13-423C07C7B30E}" type="pres">
      <dgm:prSet presAssocID="{D91B2883-740A-47A3-B18A-193CF254D5F9}" presName="rootText" presStyleLbl="node4" presStyleIdx="34" presStyleCnt="54">
        <dgm:presLayoutVars>
          <dgm:chPref val="3"/>
        </dgm:presLayoutVars>
      </dgm:prSet>
      <dgm:spPr/>
    </dgm:pt>
    <dgm:pt modelId="{FC51CE7F-2E67-44DB-8643-C4DB655D2D55}" type="pres">
      <dgm:prSet presAssocID="{D91B2883-740A-47A3-B18A-193CF254D5F9}" presName="rootConnector" presStyleLbl="node4" presStyleIdx="34" presStyleCnt="54"/>
      <dgm:spPr/>
    </dgm:pt>
    <dgm:pt modelId="{B477359A-0F60-4C61-B4A2-3881B563B91D}" type="pres">
      <dgm:prSet presAssocID="{D91B2883-740A-47A3-B18A-193CF254D5F9}" presName="hierChild4" presStyleCnt="0"/>
      <dgm:spPr/>
    </dgm:pt>
    <dgm:pt modelId="{3071090F-DB05-465D-BD56-800DC874BE8F}" type="pres">
      <dgm:prSet presAssocID="{D91B2883-740A-47A3-B18A-193CF254D5F9}" presName="hierChild5" presStyleCnt="0"/>
      <dgm:spPr/>
    </dgm:pt>
    <dgm:pt modelId="{D6CDD2AD-5637-4A4E-B19A-22161E8FF404}" type="pres">
      <dgm:prSet presAssocID="{D3785CA9-3221-4C1B-ADF9-95875A9FAF88}" presName="Name50" presStyleLbl="parChTrans1D4" presStyleIdx="35" presStyleCnt="54"/>
      <dgm:spPr/>
    </dgm:pt>
    <dgm:pt modelId="{7F32BC20-035A-4A2D-81DB-82A1EF64406C}" type="pres">
      <dgm:prSet presAssocID="{C5972743-1B3B-417D-B430-7599F171CF53}" presName="hierRoot2" presStyleCnt="0">
        <dgm:presLayoutVars>
          <dgm:hierBranch val="init"/>
        </dgm:presLayoutVars>
      </dgm:prSet>
      <dgm:spPr/>
    </dgm:pt>
    <dgm:pt modelId="{CFDB87BC-196F-4C29-AB85-BCC29DEB536C}" type="pres">
      <dgm:prSet presAssocID="{C5972743-1B3B-417D-B430-7599F171CF53}" presName="rootComposite" presStyleCnt="0"/>
      <dgm:spPr/>
    </dgm:pt>
    <dgm:pt modelId="{0A9BCA4B-F87A-4634-A762-6E29328F5902}" type="pres">
      <dgm:prSet presAssocID="{C5972743-1B3B-417D-B430-7599F171CF53}" presName="rootText" presStyleLbl="node4" presStyleIdx="35" presStyleCnt="54">
        <dgm:presLayoutVars>
          <dgm:chPref val="3"/>
        </dgm:presLayoutVars>
      </dgm:prSet>
      <dgm:spPr/>
    </dgm:pt>
    <dgm:pt modelId="{43E21FD7-D000-4519-B8A9-8F1BED5D3B67}" type="pres">
      <dgm:prSet presAssocID="{C5972743-1B3B-417D-B430-7599F171CF53}" presName="rootConnector" presStyleLbl="node4" presStyleIdx="35" presStyleCnt="54"/>
      <dgm:spPr/>
    </dgm:pt>
    <dgm:pt modelId="{67EA098D-AB75-4B22-B803-FC238FC32A14}" type="pres">
      <dgm:prSet presAssocID="{C5972743-1B3B-417D-B430-7599F171CF53}" presName="hierChild4" presStyleCnt="0"/>
      <dgm:spPr/>
    </dgm:pt>
    <dgm:pt modelId="{760C055A-BC30-496A-9274-26A595F12EDE}" type="pres">
      <dgm:prSet presAssocID="{C5972743-1B3B-417D-B430-7599F171CF53}" presName="hierChild5" presStyleCnt="0"/>
      <dgm:spPr/>
    </dgm:pt>
    <dgm:pt modelId="{C866E70D-B071-44C2-83CA-4D7A43963B48}" type="pres">
      <dgm:prSet presAssocID="{32B30FA1-2F37-4F48-8E62-A2986556420E}" presName="hierChild5" presStyleCnt="0"/>
      <dgm:spPr/>
    </dgm:pt>
    <dgm:pt modelId="{C55EAAFF-9F85-42A6-87A5-616064FE5AD5}" type="pres">
      <dgm:prSet presAssocID="{BE9A3B68-7D1F-4514-B608-7520AD729F5F}" presName="hierChild5" presStyleCnt="0"/>
      <dgm:spPr/>
    </dgm:pt>
    <dgm:pt modelId="{F17A0485-2831-407C-B216-49B42596F59A}" type="pres">
      <dgm:prSet presAssocID="{5A792F40-076F-4943-A722-9F10B2889D85}" presName="Name35" presStyleLbl="parChTrans1D3" presStyleIdx="4" presStyleCnt="6"/>
      <dgm:spPr/>
    </dgm:pt>
    <dgm:pt modelId="{4E0C2AEF-9D87-49F9-A3D8-B56562B68FB2}" type="pres">
      <dgm:prSet presAssocID="{5EAB8F2A-4E5A-473C-B442-34B4821616DC}" presName="hierRoot2" presStyleCnt="0">
        <dgm:presLayoutVars>
          <dgm:hierBranch val="init"/>
        </dgm:presLayoutVars>
      </dgm:prSet>
      <dgm:spPr/>
    </dgm:pt>
    <dgm:pt modelId="{D2A35D19-626E-4317-9410-DDCA736BC59A}" type="pres">
      <dgm:prSet presAssocID="{5EAB8F2A-4E5A-473C-B442-34B4821616DC}" presName="rootComposite" presStyleCnt="0"/>
      <dgm:spPr/>
    </dgm:pt>
    <dgm:pt modelId="{724A632F-9C04-4B49-8E58-3C6E122F58C1}" type="pres">
      <dgm:prSet presAssocID="{5EAB8F2A-4E5A-473C-B442-34B4821616DC}" presName="rootText" presStyleLbl="node3" presStyleIdx="4" presStyleCnt="6">
        <dgm:presLayoutVars>
          <dgm:chPref val="3"/>
        </dgm:presLayoutVars>
      </dgm:prSet>
      <dgm:spPr/>
    </dgm:pt>
    <dgm:pt modelId="{BF4CD235-9BC8-40E5-8CE9-1B7ED146D5B8}" type="pres">
      <dgm:prSet presAssocID="{5EAB8F2A-4E5A-473C-B442-34B4821616DC}" presName="rootConnector" presStyleLbl="node3" presStyleIdx="4" presStyleCnt="6"/>
      <dgm:spPr/>
    </dgm:pt>
    <dgm:pt modelId="{A61A8C4F-B521-4C84-880E-A82C0DBEEE9B}" type="pres">
      <dgm:prSet presAssocID="{5EAB8F2A-4E5A-473C-B442-34B4821616DC}" presName="hierChild4" presStyleCnt="0"/>
      <dgm:spPr/>
    </dgm:pt>
    <dgm:pt modelId="{2B193FED-FF2D-4595-AB78-D7F834EA5F7B}" type="pres">
      <dgm:prSet presAssocID="{ADF72A5A-A829-4667-8688-8906222F379E}" presName="Name37" presStyleLbl="parChTrans1D4" presStyleIdx="36" presStyleCnt="54"/>
      <dgm:spPr/>
    </dgm:pt>
    <dgm:pt modelId="{4D98D941-C254-40F2-87A6-11E0C84C86B4}" type="pres">
      <dgm:prSet presAssocID="{3184C940-E49C-4712-8484-C16CBD62177E}" presName="hierRoot2" presStyleCnt="0">
        <dgm:presLayoutVars>
          <dgm:hierBranch val="init"/>
        </dgm:presLayoutVars>
      </dgm:prSet>
      <dgm:spPr/>
    </dgm:pt>
    <dgm:pt modelId="{5D7EB069-7C5C-4FA0-824E-93047FE1684E}" type="pres">
      <dgm:prSet presAssocID="{3184C940-E49C-4712-8484-C16CBD62177E}" presName="rootComposite" presStyleCnt="0"/>
      <dgm:spPr/>
    </dgm:pt>
    <dgm:pt modelId="{536CCF77-E8A3-46CB-81D8-C92AADAD0AC3}" type="pres">
      <dgm:prSet presAssocID="{3184C940-E49C-4712-8484-C16CBD62177E}" presName="rootText" presStyleLbl="node4" presStyleIdx="36" presStyleCnt="54">
        <dgm:presLayoutVars>
          <dgm:chPref val="3"/>
        </dgm:presLayoutVars>
      </dgm:prSet>
      <dgm:spPr/>
    </dgm:pt>
    <dgm:pt modelId="{62A2696F-B8A4-419F-BEF4-EA685E72A938}" type="pres">
      <dgm:prSet presAssocID="{3184C940-E49C-4712-8484-C16CBD62177E}" presName="rootConnector" presStyleLbl="node4" presStyleIdx="36" presStyleCnt="54"/>
      <dgm:spPr/>
    </dgm:pt>
    <dgm:pt modelId="{784C290A-96E3-4360-9C47-CD28B8E53DBE}" type="pres">
      <dgm:prSet presAssocID="{3184C940-E49C-4712-8484-C16CBD62177E}" presName="hierChild4" presStyleCnt="0"/>
      <dgm:spPr/>
    </dgm:pt>
    <dgm:pt modelId="{9BF46F81-C199-4D8A-91CE-35A064B8A7D9}" type="pres">
      <dgm:prSet presAssocID="{832918F0-8884-41CC-8609-5D84478FC809}" presName="Name37" presStyleLbl="parChTrans1D4" presStyleIdx="37" presStyleCnt="54"/>
      <dgm:spPr/>
    </dgm:pt>
    <dgm:pt modelId="{29D81B29-E6AA-4868-A803-725FB8D27D0A}" type="pres">
      <dgm:prSet presAssocID="{26852B1F-B752-41F1-8DAF-BB9CB4E76980}" presName="hierRoot2" presStyleCnt="0">
        <dgm:presLayoutVars>
          <dgm:hierBranch val="init"/>
        </dgm:presLayoutVars>
      </dgm:prSet>
      <dgm:spPr/>
    </dgm:pt>
    <dgm:pt modelId="{EF551FF9-9848-4391-80C0-3432AA7F3948}" type="pres">
      <dgm:prSet presAssocID="{26852B1F-B752-41F1-8DAF-BB9CB4E76980}" presName="rootComposite" presStyleCnt="0"/>
      <dgm:spPr/>
    </dgm:pt>
    <dgm:pt modelId="{17AFA297-B6CD-4034-BE7B-D0B4274108C3}" type="pres">
      <dgm:prSet presAssocID="{26852B1F-B752-41F1-8DAF-BB9CB4E76980}" presName="rootText" presStyleLbl="node4" presStyleIdx="37" presStyleCnt="54">
        <dgm:presLayoutVars>
          <dgm:chPref val="3"/>
        </dgm:presLayoutVars>
      </dgm:prSet>
      <dgm:spPr/>
    </dgm:pt>
    <dgm:pt modelId="{5D5AF22E-B88E-4FD9-92B7-C8E984D5504E}" type="pres">
      <dgm:prSet presAssocID="{26852B1F-B752-41F1-8DAF-BB9CB4E76980}" presName="rootConnector" presStyleLbl="node4" presStyleIdx="37" presStyleCnt="54"/>
      <dgm:spPr/>
    </dgm:pt>
    <dgm:pt modelId="{1B639D4E-A7CF-4DF1-A953-D80F149CF959}" type="pres">
      <dgm:prSet presAssocID="{26852B1F-B752-41F1-8DAF-BB9CB4E76980}" presName="hierChild4" presStyleCnt="0"/>
      <dgm:spPr/>
    </dgm:pt>
    <dgm:pt modelId="{D1AEBDF9-8182-4D61-B2AF-45973F7BC707}" type="pres">
      <dgm:prSet presAssocID="{26852B1F-B752-41F1-8DAF-BB9CB4E76980}" presName="hierChild5" presStyleCnt="0"/>
      <dgm:spPr/>
    </dgm:pt>
    <dgm:pt modelId="{C4CBBD53-20B8-4C76-97AE-8083C8DD7DCE}" type="pres">
      <dgm:prSet presAssocID="{1E4995FC-44AE-4971-8EA7-E963F22A698C}" presName="Name37" presStyleLbl="parChTrans1D4" presStyleIdx="38" presStyleCnt="54"/>
      <dgm:spPr/>
    </dgm:pt>
    <dgm:pt modelId="{E1E4C6CB-BBEB-4A01-9535-C7475422355C}" type="pres">
      <dgm:prSet presAssocID="{95A0E7B6-867A-4DC2-8FEE-24BE50E9D59C}" presName="hierRoot2" presStyleCnt="0">
        <dgm:presLayoutVars>
          <dgm:hierBranch val="init"/>
        </dgm:presLayoutVars>
      </dgm:prSet>
      <dgm:spPr/>
    </dgm:pt>
    <dgm:pt modelId="{432D685E-F8EF-4FE8-BA45-C7175CDB671A}" type="pres">
      <dgm:prSet presAssocID="{95A0E7B6-867A-4DC2-8FEE-24BE50E9D59C}" presName="rootComposite" presStyleCnt="0"/>
      <dgm:spPr/>
    </dgm:pt>
    <dgm:pt modelId="{C4461497-94BC-4287-AD67-B89015F8E39F}" type="pres">
      <dgm:prSet presAssocID="{95A0E7B6-867A-4DC2-8FEE-24BE50E9D59C}" presName="rootText" presStyleLbl="node4" presStyleIdx="38" presStyleCnt="54">
        <dgm:presLayoutVars>
          <dgm:chPref val="3"/>
        </dgm:presLayoutVars>
      </dgm:prSet>
      <dgm:spPr/>
    </dgm:pt>
    <dgm:pt modelId="{60570BA5-FCFA-46D1-A486-12C3892156DA}" type="pres">
      <dgm:prSet presAssocID="{95A0E7B6-867A-4DC2-8FEE-24BE50E9D59C}" presName="rootConnector" presStyleLbl="node4" presStyleIdx="38" presStyleCnt="54"/>
      <dgm:spPr/>
    </dgm:pt>
    <dgm:pt modelId="{3C37D149-C7DF-44BA-962B-8633569E8D62}" type="pres">
      <dgm:prSet presAssocID="{95A0E7B6-867A-4DC2-8FEE-24BE50E9D59C}" presName="hierChild4" presStyleCnt="0"/>
      <dgm:spPr/>
    </dgm:pt>
    <dgm:pt modelId="{4819CD12-E07A-4BD3-927C-62188A89EF75}" type="pres">
      <dgm:prSet presAssocID="{95A0E7B6-867A-4DC2-8FEE-24BE50E9D59C}" presName="hierChild5" presStyleCnt="0"/>
      <dgm:spPr/>
    </dgm:pt>
    <dgm:pt modelId="{E6A7CEAC-661E-45D0-B429-FFBC37F02BAF}" type="pres">
      <dgm:prSet presAssocID="{3184C940-E49C-4712-8484-C16CBD62177E}" presName="hierChild5" presStyleCnt="0"/>
      <dgm:spPr/>
    </dgm:pt>
    <dgm:pt modelId="{E15909BB-791C-426C-AD8D-9BF06830448F}" type="pres">
      <dgm:prSet presAssocID="{F99B25B4-17CA-4047-8406-B384D093695C}" presName="Name37" presStyleLbl="parChTrans1D4" presStyleIdx="39" presStyleCnt="54"/>
      <dgm:spPr/>
    </dgm:pt>
    <dgm:pt modelId="{C723538F-83FC-4D91-AA06-B343E7C68AFF}" type="pres">
      <dgm:prSet presAssocID="{8DCBD500-83EC-40FF-A68C-72CC8EF18A34}" presName="hierRoot2" presStyleCnt="0">
        <dgm:presLayoutVars>
          <dgm:hierBranch val="init"/>
        </dgm:presLayoutVars>
      </dgm:prSet>
      <dgm:spPr/>
    </dgm:pt>
    <dgm:pt modelId="{48101835-D75C-4B2E-9876-6F9B41B35C37}" type="pres">
      <dgm:prSet presAssocID="{8DCBD500-83EC-40FF-A68C-72CC8EF18A34}" presName="rootComposite" presStyleCnt="0"/>
      <dgm:spPr/>
    </dgm:pt>
    <dgm:pt modelId="{DF99A980-A000-4BAE-A9D7-432879678797}" type="pres">
      <dgm:prSet presAssocID="{8DCBD500-83EC-40FF-A68C-72CC8EF18A34}" presName="rootText" presStyleLbl="node4" presStyleIdx="39" presStyleCnt="54">
        <dgm:presLayoutVars>
          <dgm:chPref val="3"/>
        </dgm:presLayoutVars>
      </dgm:prSet>
      <dgm:spPr/>
    </dgm:pt>
    <dgm:pt modelId="{7FB23BD0-EAA2-4A28-9CA6-6445E3271808}" type="pres">
      <dgm:prSet presAssocID="{8DCBD500-83EC-40FF-A68C-72CC8EF18A34}" presName="rootConnector" presStyleLbl="node4" presStyleIdx="39" presStyleCnt="54"/>
      <dgm:spPr/>
    </dgm:pt>
    <dgm:pt modelId="{25BD5A84-29C7-4507-81A6-3DF6BDFD25F8}" type="pres">
      <dgm:prSet presAssocID="{8DCBD500-83EC-40FF-A68C-72CC8EF18A34}" presName="hierChild4" presStyleCnt="0"/>
      <dgm:spPr/>
    </dgm:pt>
    <dgm:pt modelId="{9FA8B016-193F-4865-A12E-7AAED3154C4C}" type="pres">
      <dgm:prSet presAssocID="{46030C2D-D5C0-482E-8DF2-0E9B174DBA10}" presName="Name37" presStyleLbl="parChTrans1D4" presStyleIdx="40" presStyleCnt="54"/>
      <dgm:spPr/>
    </dgm:pt>
    <dgm:pt modelId="{33F7BB17-50C3-44B9-8266-19F083F4622E}" type="pres">
      <dgm:prSet presAssocID="{26C19B71-85DD-4AFB-BDC8-A7FF4906A1C7}" presName="hierRoot2" presStyleCnt="0">
        <dgm:presLayoutVars>
          <dgm:hierBranch val="init"/>
        </dgm:presLayoutVars>
      </dgm:prSet>
      <dgm:spPr/>
    </dgm:pt>
    <dgm:pt modelId="{AD084CA3-DE70-4801-9363-F115712C1A11}" type="pres">
      <dgm:prSet presAssocID="{26C19B71-85DD-4AFB-BDC8-A7FF4906A1C7}" presName="rootComposite" presStyleCnt="0"/>
      <dgm:spPr/>
    </dgm:pt>
    <dgm:pt modelId="{F5F39E34-B9B1-4354-9A59-2B47FA3FD5AD}" type="pres">
      <dgm:prSet presAssocID="{26C19B71-85DD-4AFB-BDC8-A7FF4906A1C7}" presName="rootText" presStyleLbl="node4" presStyleIdx="40" presStyleCnt="54">
        <dgm:presLayoutVars>
          <dgm:chPref val="3"/>
        </dgm:presLayoutVars>
      </dgm:prSet>
      <dgm:spPr/>
    </dgm:pt>
    <dgm:pt modelId="{865085F1-5518-450B-9EDD-14A249A7C25E}" type="pres">
      <dgm:prSet presAssocID="{26C19B71-85DD-4AFB-BDC8-A7FF4906A1C7}" presName="rootConnector" presStyleLbl="node4" presStyleIdx="40" presStyleCnt="54"/>
      <dgm:spPr/>
    </dgm:pt>
    <dgm:pt modelId="{DD3E4C08-B283-4662-BF8F-3536FF9D6FDB}" type="pres">
      <dgm:prSet presAssocID="{26C19B71-85DD-4AFB-BDC8-A7FF4906A1C7}" presName="hierChild4" presStyleCnt="0"/>
      <dgm:spPr/>
    </dgm:pt>
    <dgm:pt modelId="{C4750C3A-9870-432F-BE6A-6DD1983C6234}" type="pres">
      <dgm:prSet presAssocID="{26C19B71-85DD-4AFB-BDC8-A7FF4906A1C7}" presName="hierChild5" presStyleCnt="0"/>
      <dgm:spPr/>
    </dgm:pt>
    <dgm:pt modelId="{E223331C-61AA-4ED6-A2EF-CF2FBCEECC42}" type="pres">
      <dgm:prSet presAssocID="{C1D5136E-42CC-47E7-8EED-8DC83460032C}" presName="Name37" presStyleLbl="parChTrans1D4" presStyleIdx="41" presStyleCnt="54"/>
      <dgm:spPr/>
    </dgm:pt>
    <dgm:pt modelId="{70C0D089-C370-4C73-A33F-06108C9BB4A1}" type="pres">
      <dgm:prSet presAssocID="{1886A169-0015-471E-AF3C-4CE227759C54}" presName="hierRoot2" presStyleCnt="0">
        <dgm:presLayoutVars>
          <dgm:hierBranch val="init"/>
        </dgm:presLayoutVars>
      </dgm:prSet>
      <dgm:spPr/>
    </dgm:pt>
    <dgm:pt modelId="{EBDD8BC1-49DF-49E0-AD3A-EEB941E190A6}" type="pres">
      <dgm:prSet presAssocID="{1886A169-0015-471E-AF3C-4CE227759C54}" presName="rootComposite" presStyleCnt="0"/>
      <dgm:spPr/>
    </dgm:pt>
    <dgm:pt modelId="{E3270322-3D9F-4F83-A18D-EA86F27A6C07}" type="pres">
      <dgm:prSet presAssocID="{1886A169-0015-471E-AF3C-4CE227759C54}" presName="rootText" presStyleLbl="node4" presStyleIdx="41" presStyleCnt="54">
        <dgm:presLayoutVars>
          <dgm:chPref val="3"/>
        </dgm:presLayoutVars>
      </dgm:prSet>
      <dgm:spPr/>
    </dgm:pt>
    <dgm:pt modelId="{9CBF25A2-82CC-4D57-8A07-702B59C29C13}" type="pres">
      <dgm:prSet presAssocID="{1886A169-0015-471E-AF3C-4CE227759C54}" presName="rootConnector" presStyleLbl="node4" presStyleIdx="41" presStyleCnt="54"/>
      <dgm:spPr/>
    </dgm:pt>
    <dgm:pt modelId="{135C6067-22E8-413F-AC23-FDF867D54EF8}" type="pres">
      <dgm:prSet presAssocID="{1886A169-0015-471E-AF3C-4CE227759C54}" presName="hierChild4" presStyleCnt="0"/>
      <dgm:spPr/>
    </dgm:pt>
    <dgm:pt modelId="{78FF8AD5-8B27-431D-90C2-17D9280DF514}" type="pres">
      <dgm:prSet presAssocID="{1886A169-0015-471E-AF3C-4CE227759C54}" presName="hierChild5" presStyleCnt="0"/>
      <dgm:spPr/>
    </dgm:pt>
    <dgm:pt modelId="{98709B5B-988C-4AA3-A7E1-E9E3DFDF25ED}" type="pres">
      <dgm:prSet presAssocID="{8DCBD500-83EC-40FF-A68C-72CC8EF18A34}" presName="hierChild5" presStyleCnt="0"/>
      <dgm:spPr/>
    </dgm:pt>
    <dgm:pt modelId="{D6A46983-53AD-4A98-9D22-2EF842948286}" type="pres">
      <dgm:prSet presAssocID="{5DCF7C3D-3851-47A8-8AD4-B557AC91A7AF}" presName="Name37" presStyleLbl="parChTrans1D4" presStyleIdx="42" presStyleCnt="54"/>
      <dgm:spPr/>
    </dgm:pt>
    <dgm:pt modelId="{45D11A74-0A47-4D9E-B23F-EAFBABA5CE88}" type="pres">
      <dgm:prSet presAssocID="{EB33C947-0DBE-40E5-89F1-05A0016ED4A7}" presName="hierRoot2" presStyleCnt="0">
        <dgm:presLayoutVars>
          <dgm:hierBranch val="init"/>
        </dgm:presLayoutVars>
      </dgm:prSet>
      <dgm:spPr/>
    </dgm:pt>
    <dgm:pt modelId="{532F93BB-34FD-4AA3-B8D4-972C9A8EBA00}" type="pres">
      <dgm:prSet presAssocID="{EB33C947-0DBE-40E5-89F1-05A0016ED4A7}" presName="rootComposite" presStyleCnt="0"/>
      <dgm:spPr/>
    </dgm:pt>
    <dgm:pt modelId="{DBF52F38-4998-4B91-B8A9-F6F4FF08B57C}" type="pres">
      <dgm:prSet presAssocID="{EB33C947-0DBE-40E5-89F1-05A0016ED4A7}" presName="rootText" presStyleLbl="node4" presStyleIdx="42" presStyleCnt="54">
        <dgm:presLayoutVars>
          <dgm:chPref val="3"/>
        </dgm:presLayoutVars>
      </dgm:prSet>
      <dgm:spPr/>
    </dgm:pt>
    <dgm:pt modelId="{72F3203B-069E-41C7-9E3A-97F6F00775E5}" type="pres">
      <dgm:prSet presAssocID="{EB33C947-0DBE-40E5-89F1-05A0016ED4A7}" presName="rootConnector" presStyleLbl="node4" presStyleIdx="42" presStyleCnt="54"/>
      <dgm:spPr/>
    </dgm:pt>
    <dgm:pt modelId="{6479893C-2980-4C5A-BA13-5AB326EE2C41}" type="pres">
      <dgm:prSet presAssocID="{EB33C947-0DBE-40E5-89F1-05A0016ED4A7}" presName="hierChild4" presStyleCnt="0"/>
      <dgm:spPr/>
    </dgm:pt>
    <dgm:pt modelId="{1386C852-0131-4D27-AC84-8577E0286D67}" type="pres">
      <dgm:prSet presAssocID="{26DBB1E2-21D1-459E-B313-E675E9B4FE81}" presName="Name37" presStyleLbl="parChTrans1D4" presStyleIdx="43" presStyleCnt="54"/>
      <dgm:spPr/>
    </dgm:pt>
    <dgm:pt modelId="{DC026369-2A40-4A78-8FC2-CFDE2E402E07}" type="pres">
      <dgm:prSet presAssocID="{3372B237-4B1D-414E-88DE-2B7DABABE176}" presName="hierRoot2" presStyleCnt="0">
        <dgm:presLayoutVars>
          <dgm:hierBranch val="init"/>
        </dgm:presLayoutVars>
      </dgm:prSet>
      <dgm:spPr/>
    </dgm:pt>
    <dgm:pt modelId="{D090D0EE-6095-4D0A-9AC8-75B7953DA4AB}" type="pres">
      <dgm:prSet presAssocID="{3372B237-4B1D-414E-88DE-2B7DABABE176}" presName="rootComposite" presStyleCnt="0"/>
      <dgm:spPr/>
    </dgm:pt>
    <dgm:pt modelId="{6402DFBD-362E-418A-8911-539AF0D0D05D}" type="pres">
      <dgm:prSet presAssocID="{3372B237-4B1D-414E-88DE-2B7DABABE176}" presName="rootText" presStyleLbl="node4" presStyleIdx="43" presStyleCnt="54">
        <dgm:presLayoutVars>
          <dgm:chPref val="3"/>
        </dgm:presLayoutVars>
      </dgm:prSet>
      <dgm:spPr/>
    </dgm:pt>
    <dgm:pt modelId="{2D92777A-9A9E-4F14-B592-C1B93677D346}" type="pres">
      <dgm:prSet presAssocID="{3372B237-4B1D-414E-88DE-2B7DABABE176}" presName="rootConnector" presStyleLbl="node4" presStyleIdx="43" presStyleCnt="54"/>
      <dgm:spPr/>
    </dgm:pt>
    <dgm:pt modelId="{5767C234-90EC-4777-A760-6B2696FB01AA}" type="pres">
      <dgm:prSet presAssocID="{3372B237-4B1D-414E-88DE-2B7DABABE176}" presName="hierChild4" presStyleCnt="0"/>
      <dgm:spPr/>
    </dgm:pt>
    <dgm:pt modelId="{97A5DF00-9724-4E9B-8063-7721C1DD6785}" type="pres">
      <dgm:prSet presAssocID="{3372B237-4B1D-414E-88DE-2B7DABABE176}" presName="hierChild5" presStyleCnt="0"/>
      <dgm:spPr/>
    </dgm:pt>
    <dgm:pt modelId="{DC21B12F-238D-4F58-BC95-8D132D31114F}" type="pres">
      <dgm:prSet presAssocID="{C8903DEE-936A-4676-83EC-4CD18DF5D8D9}" presName="Name37" presStyleLbl="parChTrans1D4" presStyleIdx="44" presStyleCnt="54"/>
      <dgm:spPr/>
    </dgm:pt>
    <dgm:pt modelId="{4B498E29-6A3E-46ED-86B8-0B2BDD27B12C}" type="pres">
      <dgm:prSet presAssocID="{6FE40B6E-D192-4D04-A92F-FB02BC0A163C}" presName="hierRoot2" presStyleCnt="0">
        <dgm:presLayoutVars>
          <dgm:hierBranch val="init"/>
        </dgm:presLayoutVars>
      </dgm:prSet>
      <dgm:spPr/>
    </dgm:pt>
    <dgm:pt modelId="{A7EE6A13-A850-4E20-9473-FD4342654FEF}" type="pres">
      <dgm:prSet presAssocID="{6FE40B6E-D192-4D04-A92F-FB02BC0A163C}" presName="rootComposite" presStyleCnt="0"/>
      <dgm:spPr/>
    </dgm:pt>
    <dgm:pt modelId="{C147871B-96DF-4E48-8721-B37048427D48}" type="pres">
      <dgm:prSet presAssocID="{6FE40B6E-D192-4D04-A92F-FB02BC0A163C}" presName="rootText" presStyleLbl="node4" presStyleIdx="44" presStyleCnt="54">
        <dgm:presLayoutVars>
          <dgm:chPref val="3"/>
        </dgm:presLayoutVars>
      </dgm:prSet>
      <dgm:spPr/>
    </dgm:pt>
    <dgm:pt modelId="{94ED116F-77D7-4F04-91C2-39F4468C4484}" type="pres">
      <dgm:prSet presAssocID="{6FE40B6E-D192-4D04-A92F-FB02BC0A163C}" presName="rootConnector" presStyleLbl="node4" presStyleIdx="44" presStyleCnt="54"/>
      <dgm:spPr/>
    </dgm:pt>
    <dgm:pt modelId="{1C4D0CD2-B90C-494B-907D-DF6CBB3172BF}" type="pres">
      <dgm:prSet presAssocID="{6FE40B6E-D192-4D04-A92F-FB02BC0A163C}" presName="hierChild4" presStyleCnt="0"/>
      <dgm:spPr/>
    </dgm:pt>
    <dgm:pt modelId="{2DE3ED41-AB7F-4540-8A99-46E73CF77CDF}" type="pres">
      <dgm:prSet presAssocID="{6FE40B6E-D192-4D04-A92F-FB02BC0A163C}" presName="hierChild5" presStyleCnt="0"/>
      <dgm:spPr/>
    </dgm:pt>
    <dgm:pt modelId="{E1132B75-F131-4CF7-BEE3-0DE1E326BBC7}" type="pres">
      <dgm:prSet presAssocID="{EB33C947-0DBE-40E5-89F1-05A0016ED4A7}" presName="hierChild5" presStyleCnt="0"/>
      <dgm:spPr/>
    </dgm:pt>
    <dgm:pt modelId="{E9699B2B-1ED4-434D-B8B0-0B948F2133A2}" type="pres">
      <dgm:prSet presAssocID="{5EAB8F2A-4E5A-473C-B442-34B4821616DC}" presName="hierChild5" presStyleCnt="0"/>
      <dgm:spPr/>
    </dgm:pt>
    <dgm:pt modelId="{6106C85A-C057-4195-B90C-A20CE8907F10}" type="pres">
      <dgm:prSet presAssocID="{0D92D3DC-9509-4BD3-B5BD-77435F04C873}" presName="Name35" presStyleLbl="parChTrans1D3" presStyleIdx="5" presStyleCnt="6"/>
      <dgm:spPr/>
    </dgm:pt>
    <dgm:pt modelId="{C6676077-A074-4D64-B555-3494A4A7A9D9}" type="pres">
      <dgm:prSet presAssocID="{FDBB829B-3C88-42ED-829D-77463A4D1420}" presName="hierRoot2" presStyleCnt="0">
        <dgm:presLayoutVars>
          <dgm:hierBranch val="init"/>
        </dgm:presLayoutVars>
      </dgm:prSet>
      <dgm:spPr/>
    </dgm:pt>
    <dgm:pt modelId="{F1F07894-049F-43AF-A258-477E8ADE84D7}" type="pres">
      <dgm:prSet presAssocID="{FDBB829B-3C88-42ED-829D-77463A4D1420}" presName="rootComposite" presStyleCnt="0"/>
      <dgm:spPr/>
    </dgm:pt>
    <dgm:pt modelId="{1837E658-642F-43AA-B207-E77D6506A0BB}" type="pres">
      <dgm:prSet presAssocID="{FDBB829B-3C88-42ED-829D-77463A4D1420}" presName="rootText" presStyleLbl="node3" presStyleIdx="5" presStyleCnt="6">
        <dgm:presLayoutVars>
          <dgm:chPref val="3"/>
        </dgm:presLayoutVars>
      </dgm:prSet>
      <dgm:spPr/>
    </dgm:pt>
    <dgm:pt modelId="{67DAEDEC-DE18-4AB7-8097-B4A4C1C0BC4D}" type="pres">
      <dgm:prSet presAssocID="{FDBB829B-3C88-42ED-829D-77463A4D1420}" presName="rootConnector" presStyleLbl="node3" presStyleIdx="5" presStyleCnt="6"/>
      <dgm:spPr/>
    </dgm:pt>
    <dgm:pt modelId="{24349D24-15D7-4460-AFEE-919E8832155F}" type="pres">
      <dgm:prSet presAssocID="{FDBB829B-3C88-42ED-829D-77463A4D1420}" presName="hierChild4" presStyleCnt="0"/>
      <dgm:spPr/>
    </dgm:pt>
    <dgm:pt modelId="{F98C8F4E-B276-4E71-9197-ADCDF011346F}" type="pres">
      <dgm:prSet presAssocID="{A3289BCD-5449-49FF-A1DB-84513AE724D3}" presName="Name37" presStyleLbl="parChTrans1D4" presStyleIdx="45" presStyleCnt="54"/>
      <dgm:spPr/>
    </dgm:pt>
    <dgm:pt modelId="{6E77B2E6-94C9-4C28-BCDF-C77369AC1923}" type="pres">
      <dgm:prSet presAssocID="{EA6D052B-2ECF-48BC-9EC5-0878A1526A71}" presName="hierRoot2" presStyleCnt="0">
        <dgm:presLayoutVars>
          <dgm:hierBranch val="init"/>
        </dgm:presLayoutVars>
      </dgm:prSet>
      <dgm:spPr/>
    </dgm:pt>
    <dgm:pt modelId="{0E91C983-6569-4044-B100-B0D7A810B404}" type="pres">
      <dgm:prSet presAssocID="{EA6D052B-2ECF-48BC-9EC5-0878A1526A71}" presName="rootComposite" presStyleCnt="0"/>
      <dgm:spPr/>
    </dgm:pt>
    <dgm:pt modelId="{A9F81BD9-B6E6-4ACA-9625-7B65562C3C63}" type="pres">
      <dgm:prSet presAssocID="{EA6D052B-2ECF-48BC-9EC5-0878A1526A71}" presName="rootText" presStyleLbl="node4" presStyleIdx="45" presStyleCnt="54">
        <dgm:presLayoutVars>
          <dgm:chPref val="3"/>
        </dgm:presLayoutVars>
      </dgm:prSet>
      <dgm:spPr/>
    </dgm:pt>
    <dgm:pt modelId="{B8173261-19A9-4AEC-9EDF-FA10CA554E61}" type="pres">
      <dgm:prSet presAssocID="{EA6D052B-2ECF-48BC-9EC5-0878A1526A71}" presName="rootConnector" presStyleLbl="node4" presStyleIdx="45" presStyleCnt="54"/>
      <dgm:spPr/>
    </dgm:pt>
    <dgm:pt modelId="{3E21F5BD-3BD2-4CDB-A01C-962CBB30CF0A}" type="pres">
      <dgm:prSet presAssocID="{EA6D052B-2ECF-48BC-9EC5-0878A1526A71}" presName="hierChild4" presStyleCnt="0"/>
      <dgm:spPr/>
    </dgm:pt>
    <dgm:pt modelId="{EAF25F53-E817-48CE-B539-B0EBE835022D}" type="pres">
      <dgm:prSet presAssocID="{DE03F2AF-B08C-41AB-ADBA-D64E2FB894CD}" presName="Name37" presStyleLbl="parChTrans1D4" presStyleIdx="46" presStyleCnt="54"/>
      <dgm:spPr/>
    </dgm:pt>
    <dgm:pt modelId="{99F67C7D-AB9E-4EBE-96D7-321545B8BA84}" type="pres">
      <dgm:prSet presAssocID="{BB80A568-80E7-49FA-A59F-E8BA7AB0CE7D}" presName="hierRoot2" presStyleCnt="0">
        <dgm:presLayoutVars>
          <dgm:hierBranch val="init"/>
        </dgm:presLayoutVars>
      </dgm:prSet>
      <dgm:spPr/>
    </dgm:pt>
    <dgm:pt modelId="{29FE3505-F1E0-4B65-8054-B0CE749A7C67}" type="pres">
      <dgm:prSet presAssocID="{BB80A568-80E7-49FA-A59F-E8BA7AB0CE7D}" presName="rootComposite" presStyleCnt="0"/>
      <dgm:spPr/>
    </dgm:pt>
    <dgm:pt modelId="{92900BBA-5ABE-4FF9-BB49-137BDFCD4D72}" type="pres">
      <dgm:prSet presAssocID="{BB80A568-80E7-49FA-A59F-E8BA7AB0CE7D}" presName="rootText" presStyleLbl="node4" presStyleIdx="46" presStyleCnt="54">
        <dgm:presLayoutVars>
          <dgm:chPref val="3"/>
        </dgm:presLayoutVars>
      </dgm:prSet>
      <dgm:spPr/>
    </dgm:pt>
    <dgm:pt modelId="{031696CE-EFC3-4C94-AA2A-C83EE5FAE31F}" type="pres">
      <dgm:prSet presAssocID="{BB80A568-80E7-49FA-A59F-E8BA7AB0CE7D}" presName="rootConnector" presStyleLbl="node4" presStyleIdx="46" presStyleCnt="54"/>
      <dgm:spPr/>
    </dgm:pt>
    <dgm:pt modelId="{508954CF-4D58-4F68-8322-6EF68D6E4F42}" type="pres">
      <dgm:prSet presAssocID="{BB80A568-80E7-49FA-A59F-E8BA7AB0CE7D}" presName="hierChild4" presStyleCnt="0"/>
      <dgm:spPr/>
    </dgm:pt>
    <dgm:pt modelId="{DC23F3C6-EB9D-4E83-ADAE-FBD1A44DC279}" type="pres">
      <dgm:prSet presAssocID="{BB80A568-80E7-49FA-A59F-E8BA7AB0CE7D}" presName="hierChild5" presStyleCnt="0"/>
      <dgm:spPr/>
    </dgm:pt>
    <dgm:pt modelId="{DE79C2C6-1510-450A-B3C5-1DD66E6735B9}" type="pres">
      <dgm:prSet presAssocID="{44F5DE92-CDF4-464A-8C84-55785783EB86}" presName="Name37" presStyleLbl="parChTrans1D4" presStyleIdx="47" presStyleCnt="54"/>
      <dgm:spPr/>
    </dgm:pt>
    <dgm:pt modelId="{EACEDF84-95DD-495C-9E7D-FB91E67C2ACC}" type="pres">
      <dgm:prSet presAssocID="{E886B430-4BC1-4137-A1C6-BF3A246DB76D}" presName="hierRoot2" presStyleCnt="0">
        <dgm:presLayoutVars>
          <dgm:hierBranch val="init"/>
        </dgm:presLayoutVars>
      </dgm:prSet>
      <dgm:spPr/>
    </dgm:pt>
    <dgm:pt modelId="{8A566696-6977-4E9E-A16A-8CCFC63E6245}" type="pres">
      <dgm:prSet presAssocID="{E886B430-4BC1-4137-A1C6-BF3A246DB76D}" presName="rootComposite" presStyleCnt="0"/>
      <dgm:spPr/>
    </dgm:pt>
    <dgm:pt modelId="{C2E2B921-DBF1-4270-94B4-11EB0E6C3568}" type="pres">
      <dgm:prSet presAssocID="{E886B430-4BC1-4137-A1C6-BF3A246DB76D}" presName="rootText" presStyleLbl="node4" presStyleIdx="47" presStyleCnt="54">
        <dgm:presLayoutVars>
          <dgm:chPref val="3"/>
        </dgm:presLayoutVars>
      </dgm:prSet>
      <dgm:spPr/>
    </dgm:pt>
    <dgm:pt modelId="{033A4D43-BB86-4617-9A56-2F5458C0CC5F}" type="pres">
      <dgm:prSet presAssocID="{E886B430-4BC1-4137-A1C6-BF3A246DB76D}" presName="rootConnector" presStyleLbl="node4" presStyleIdx="47" presStyleCnt="54"/>
      <dgm:spPr/>
    </dgm:pt>
    <dgm:pt modelId="{5CED7097-6225-4799-92FE-BB08D254ACB1}" type="pres">
      <dgm:prSet presAssocID="{E886B430-4BC1-4137-A1C6-BF3A246DB76D}" presName="hierChild4" presStyleCnt="0"/>
      <dgm:spPr/>
    </dgm:pt>
    <dgm:pt modelId="{28C95AA9-4DAE-47B3-AD64-E3C296D02E52}" type="pres">
      <dgm:prSet presAssocID="{E886B430-4BC1-4137-A1C6-BF3A246DB76D}" presName="hierChild5" presStyleCnt="0"/>
      <dgm:spPr/>
    </dgm:pt>
    <dgm:pt modelId="{6E8EB44D-99F0-4AEA-9C3F-693F7AC1B901}" type="pres">
      <dgm:prSet presAssocID="{EA6D052B-2ECF-48BC-9EC5-0878A1526A71}" presName="hierChild5" presStyleCnt="0"/>
      <dgm:spPr/>
    </dgm:pt>
    <dgm:pt modelId="{C8734EF2-8F84-4F67-84C6-E67709381D99}" type="pres">
      <dgm:prSet presAssocID="{06B15925-15ED-4685-96CA-C012AE2C5275}" presName="Name37" presStyleLbl="parChTrans1D4" presStyleIdx="48" presStyleCnt="54"/>
      <dgm:spPr/>
    </dgm:pt>
    <dgm:pt modelId="{A8C78B21-7AFA-4DCC-B542-881CDB014F11}" type="pres">
      <dgm:prSet presAssocID="{9A3F9E56-13B7-4CB1-BF3A-29530BCA582F}" presName="hierRoot2" presStyleCnt="0">
        <dgm:presLayoutVars>
          <dgm:hierBranch val="init"/>
        </dgm:presLayoutVars>
      </dgm:prSet>
      <dgm:spPr/>
    </dgm:pt>
    <dgm:pt modelId="{48F942AE-0E22-4CB9-8221-1CE4DE269426}" type="pres">
      <dgm:prSet presAssocID="{9A3F9E56-13B7-4CB1-BF3A-29530BCA582F}" presName="rootComposite" presStyleCnt="0"/>
      <dgm:spPr/>
    </dgm:pt>
    <dgm:pt modelId="{A4F8B29E-90F9-48D1-98A0-BF9532000743}" type="pres">
      <dgm:prSet presAssocID="{9A3F9E56-13B7-4CB1-BF3A-29530BCA582F}" presName="rootText" presStyleLbl="node4" presStyleIdx="48" presStyleCnt="54">
        <dgm:presLayoutVars>
          <dgm:chPref val="3"/>
        </dgm:presLayoutVars>
      </dgm:prSet>
      <dgm:spPr/>
    </dgm:pt>
    <dgm:pt modelId="{9C981D33-982C-4F1D-A3FF-7AB55651FFA2}" type="pres">
      <dgm:prSet presAssocID="{9A3F9E56-13B7-4CB1-BF3A-29530BCA582F}" presName="rootConnector" presStyleLbl="node4" presStyleIdx="48" presStyleCnt="54"/>
      <dgm:spPr/>
    </dgm:pt>
    <dgm:pt modelId="{3F85C32C-2A11-4E0F-8370-A9E43732116C}" type="pres">
      <dgm:prSet presAssocID="{9A3F9E56-13B7-4CB1-BF3A-29530BCA582F}" presName="hierChild4" presStyleCnt="0"/>
      <dgm:spPr/>
    </dgm:pt>
    <dgm:pt modelId="{4FF355BD-A8F2-4FB1-AA9E-109646CCB100}" type="pres">
      <dgm:prSet presAssocID="{7A8A1A3B-6D64-4EA4-A2C0-3BDB2521D6AF}" presName="Name37" presStyleLbl="parChTrans1D4" presStyleIdx="49" presStyleCnt="54"/>
      <dgm:spPr/>
    </dgm:pt>
    <dgm:pt modelId="{D9905FBE-3131-4C67-B0E7-9CBC693B2FF9}" type="pres">
      <dgm:prSet presAssocID="{F8F8FC4E-3E0A-484D-AAD0-44FA8992E922}" presName="hierRoot2" presStyleCnt="0">
        <dgm:presLayoutVars>
          <dgm:hierBranch val="init"/>
        </dgm:presLayoutVars>
      </dgm:prSet>
      <dgm:spPr/>
    </dgm:pt>
    <dgm:pt modelId="{D4C30CFE-782C-4A6D-88AB-179405420E36}" type="pres">
      <dgm:prSet presAssocID="{F8F8FC4E-3E0A-484D-AAD0-44FA8992E922}" presName="rootComposite" presStyleCnt="0"/>
      <dgm:spPr/>
    </dgm:pt>
    <dgm:pt modelId="{707A546A-B844-4605-8B34-D1375D327F0A}" type="pres">
      <dgm:prSet presAssocID="{F8F8FC4E-3E0A-484D-AAD0-44FA8992E922}" presName="rootText" presStyleLbl="node4" presStyleIdx="49" presStyleCnt="54">
        <dgm:presLayoutVars>
          <dgm:chPref val="3"/>
        </dgm:presLayoutVars>
      </dgm:prSet>
      <dgm:spPr/>
    </dgm:pt>
    <dgm:pt modelId="{24C7551F-0107-4A7C-8383-18C1FF96D5E8}" type="pres">
      <dgm:prSet presAssocID="{F8F8FC4E-3E0A-484D-AAD0-44FA8992E922}" presName="rootConnector" presStyleLbl="node4" presStyleIdx="49" presStyleCnt="54"/>
      <dgm:spPr/>
    </dgm:pt>
    <dgm:pt modelId="{2965D660-0461-4D1F-A81B-F4007D603F82}" type="pres">
      <dgm:prSet presAssocID="{F8F8FC4E-3E0A-484D-AAD0-44FA8992E922}" presName="hierChild4" presStyleCnt="0"/>
      <dgm:spPr/>
    </dgm:pt>
    <dgm:pt modelId="{5EB374AD-7273-44A8-8B36-4889C63A4FDB}" type="pres">
      <dgm:prSet presAssocID="{F8F8FC4E-3E0A-484D-AAD0-44FA8992E922}" presName="hierChild5" presStyleCnt="0"/>
      <dgm:spPr/>
    </dgm:pt>
    <dgm:pt modelId="{9DECD1F5-F2C5-4266-929C-14D9FA04730C}" type="pres">
      <dgm:prSet presAssocID="{9157FF50-3BB1-49DD-B1D4-C69B9963EBEA}" presName="Name37" presStyleLbl="parChTrans1D4" presStyleIdx="50" presStyleCnt="54"/>
      <dgm:spPr/>
    </dgm:pt>
    <dgm:pt modelId="{C7B6A149-007F-4C56-AF22-562138CDB1EC}" type="pres">
      <dgm:prSet presAssocID="{E9FF7940-8C56-4DFB-90EB-C4DE93A88116}" presName="hierRoot2" presStyleCnt="0">
        <dgm:presLayoutVars>
          <dgm:hierBranch val="init"/>
        </dgm:presLayoutVars>
      </dgm:prSet>
      <dgm:spPr/>
    </dgm:pt>
    <dgm:pt modelId="{8059C3C5-2754-458B-A035-E31D2214A1EB}" type="pres">
      <dgm:prSet presAssocID="{E9FF7940-8C56-4DFB-90EB-C4DE93A88116}" presName="rootComposite" presStyleCnt="0"/>
      <dgm:spPr/>
    </dgm:pt>
    <dgm:pt modelId="{8C54CB1A-7C0F-4148-A2B0-0DDCB93F5B78}" type="pres">
      <dgm:prSet presAssocID="{E9FF7940-8C56-4DFB-90EB-C4DE93A88116}" presName="rootText" presStyleLbl="node4" presStyleIdx="50" presStyleCnt="54">
        <dgm:presLayoutVars>
          <dgm:chPref val="3"/>
        </dgm:presLayoutVars>
      </dgm:prSet>
      <dgm:spPr/>
    </dgm:pt>
    <dgm:pt modelId="{18CF166F-13EF-4CBD-99DD-C7E0F842C2BB}" type="pres">
      <dgm:prSet presAssocID="{E9FF7940-8C56-4DFB-90EB-C4DE93A88116}" presName="rootConnector" presStyleLbl="node4" presStyleIdx="50" presStyleCnt="54"/>
      <dgm:spPr/>
    </dgm:pt>
    <dgm:pt modelId="{77D7726D-95B2-4007-87AE-84ACE3F7C5DE}" type="pres">
      <dgm:prSet presAssocID="{E9FF7940-8C56-4DFB-90EB-C4DE93A88116}" presName="hierChild4" presStyleCnt="0"/>
      <dgm:spPr/>
    </dgm:pt>
    <dgm:pt modelId="{20438652-92F2-450E-99D6-79DAADA4C12C}" type="pres">
      <dgm:prSet presAssocID="{E9FF7940-8C56-4DFB-90EB-C4DE93A88116}" presName="hierChild5" presStyleCnt="0"/>
      <dgm:spPr/>
    </dgm:pt>
    <dgm:pt modelId="{16F0917C-2157-4A86-AC3D-F475AC55B871}" type="pres">
      <dgm:prSet presAssocID="{9A3F9E56-13B7-4CB1-BF3A-29530BCA582F}" presName="hierChild5" presStyleCnt="0"/>
      <dgm:spPr/>
    </dgm:pt>
    <dgm:pt modelId="{7E83EE48-3A7A-4AE3-82F1-9F3B3A5A88E2}" type="pres">
      <dgm:prSet presAssocID="{F0E7B386-17AB-42B3-8BD7-3A73730EE5B6}" presName="Name37" presStyleLbl="parChTrans1D4" presStyleIdx="51" presStyleCnt="54"/>
      <dgm:spPr/>
    </dgm:pt>
    <dgm:pt modelId="{C7E9751C-5C4A-403A-891D-B9B22A2E9DB6}" type="pres">
      <dgm:prSet presAssocID="{F6D21C01-49C0-4CFF-BA53-E503CCAAED52}" presName="hierRoot2" presStyleCnt="0">
        <dgm:presLayoutVars>
          <dgm:hierBranch val="init"/>
        </dgm:presLayoutVars>
      </dgm:prSet>
      <dgm:spPr/>
    </dgm:pt>
    <dgm:pt modelId="{204862B2-9F1D-40F7-BF8C-6C1297EA6606}" type="pres">
      <dgm:prSet presAssocID="{F6D21C01-49C0-4CFF-BA53-E503CCAAED52}" presName="rootComposite" presStyleCnt="0"/>
      <dgm:spPr/>
    </dgm:pt>
    <dgm:pt modelId="{5B5464A4-2AC2-462C-93C0-7CDF7B8CCCF6}" type="pres">
      <dgm:prSet presAssocID="{F6D21C01-49C0-4CFF-BA53-E503CCAAED52}" presName="rootText" presStyleLbl="node4" presStyleIdx="51" presStyleCnt="54">
        <dgm:presLayoutVars>
          <dgm:chPref val="3"/>
        </dgm:presLayoutVars>
      </dgm:prSet>
      <dgm:spPr/>
    </dgm:pt>
    <dgm:pt modelId="{0382E80D-8949-48C4-8266-923CA2BA19FB}" type="pres">
      <dgm:prSet presAssocID="{F6D21C01-49C0-4CFF-BA53-E503CCAAED52}" presName="rootConnector" presStyleLbl="node4" presStyleIdx="51" presStyleCnt="54"/>
      <dgm:spPr/>
    </dgm:pt>
    <dgm:pt modelId="{3FC6019A-5691-46C8-BFC9-554BA5430AED}" type="pres">
      <dgm:prSet presAssocID="{F6D21C01-49C0-4CFF-BA53-E503CCAAED52}" presName="hierChild4" presStyleCnt="0"/>
      <dgm:spPr/>
    </dgm:pt>
    <dgm:pt modelId="{5379223F-F19F-44F6-A72F-F182B9DA6DB8}" type="pres">
      <dgm:prSet presAssocID="{878956E8-226B-4B89-90D5-7C64622C22AF}" presName="Name37" presStyleLbl="parChTrans1D4" presStyleIdx="52" presStyleCnt="54"/>
      <dgm:spPr/>
    </dgm:pt>
    <dgm:pt modelId="{080253F4-A06D-4604-A4A3-2FE946FFC4E4}" type="pres">
      <dgm:prSet presAssocID="{47FA410A-5440-4FBB-8E46-817222FDBD3B}" presName="hierRoot2" presStyleCnt="0">
        <dgm:presLayoutVars>
          <dgm:hierBranch val="init"/>
        </dgm:presLayoutVars>
      </dgm:prSet>
      <dgm:spPr/>
    </dgm:pt>
    <dgm:pt modelId="{31576100-98C4-4B81-8799-5606B77753A3}" type="pres">
      <dgm:prSet presAssocID="{47FA410A-5440-4FBB-8E46-817222FDBD3B}" presName="rootComposite" presStyleCnt="0"/>
      <dgm:spPr/>
    </dgm:pt>
    <dgm:pt modelId="{9E75887E-9ADB-45B6-BDD2-39950D432A6E}" type="pres">
      <dgm:prSet presAssocID="{47FA410A-5440-4FBB-8E46-817222FDBD3B}" presName="rootText" presStyleLbl="node4" presStyleIdx="52" presStyleCnt="54">
        <dgm:presLayoutVars>
          <dgm:chPref val="3"/>
        </dgm:presLayoutVars>
      </dgm:prSet>
      <dgm:spPr/>
    </dgm:pt>
    <dgm:pt modelId="{D9B9FD1B-DEDE-44D9-8DC2-934D2B137288}" type="pres">
      <dgm:prSet presAssocID="{47FA410A-5440-4FBB-8E46-817222FDBD3B}" presName="rootConnector" presStyleLbl="node4" presStyleIdx="52" presStyleCnt="54"/>
      <dgm:spPr/>
    </dgm:pt>
    <dgm:pt modelId="{F1EDC154-2378-4177-B4E5-FEF2CC837C75}" type="pres">
      <dgm:prSet presAssocID="{47FA410A-5440-4FBB-8E46-817222FDBD3B}" presName="hierChild4" presStyleCnt="0"/>
      <dgm:spPr/>
    </dgm:pt>
    <dgm:pt modelId="{CC6B59B5-A271-4677-BCFC-943A1635A201}" type="pres">
      <dgm:prSet presAssocID="{47FA410A-5440-4FBB-8E46-817222FDBD3B}" presName="hierChild5" presStyleCnt="0"/>
      <dgm:spPr/>
    </dgm:pt>
    <dgm:pt modelId="{154E037B-52D8-42BA-9F28-032DAAF22C58}" type="pres">
      <dgm:prSet presAssocID="{6702191A-84D5-4B4F-9951-A7C6129B1765}" presName="Name37" presStyleLbl="parChTrans1D4" presStyleIdx="53" presStyleCnt="54"/>
      <dgm:spPr/>
    </dgm:pt>
    <dgm:pt modelId="{D9CFA777-9D5F-4A6A-BB23-849E65FA81C9}" type="pres">
      <dgm:prSet presAssocID="{64B99DEA-ED0A-4C55-9EF4-B294C8EBECFB}" presName="hierRoot2" presStyleCnt="0">
        <dgm:presLayoutVars>
          <dgm:hierBranch val="init"/>
        </dgm:presLayoutVars>
      </dgm:prSet>
      <dgm:spPr/>
    </dgm:pt>
    <dgm:pt modelId="{2AFEFAAB-2412-4116-833A-14561C62AAEE}" type="pres">
      <dgm:prSet presAssocID="{64B99DEA-ED0A-4C55-9EF4-B294C8EBECFB}" presName="rootComposite" presStyleCnt="0"/>
      <dgm:spPr/>
    </dgm:pt>
    <dgm:pt modelId="{0E6403D1-BFFC-4E30-BC32-69E214296962}" type="pres">
      <dgm:prSet presAssocID="{64B99DEA-ED0A-4C55-9EF4-B294C8EBECFB}" presName="rootText" presStyleLbl="node4" presStyleIdx="53" presStyleCnt="54">
        <dgm:presLayoutVars>
          <dgm:chPref val="3"/>
        </dgm:presLayoutVars>
      </dgm:prSet>
      <dgm:spPr/>
    </dgm:pt>
    <dgm:pt modelId="{25589F60-5E3A-442B-A994-82DE41FDE89E}" type="pres">
      <dgm:prSet presAssocID="{64B99DEA-ED0A-4C55-9EF4-B294C8EBECFB}" presName="rootConnector" presStyleLbl="node4" presStyleIdx="53" presStyleCnt="54"/>
      <dgm:spPr/>
    </dgm:pt>
    <dgm:pt modelId="{42CFB34E-C8FD-4DEA-84E4-71753E73D4FF}" type="pres">
      <dgm:prSet presAssocID="{64B99DEA-ED0A-4C55-9EF4-B294C8EBECFB}" presName="hierChild4" presStyleCnt="0"/>
      <dgm:spPr/>
    </dgm:pt>
    <dgm:pt modelId="{37C8CAE0-3937-4B41-B8BB-E1BDD9F6CF6B}" type="pres">
      <dgm:prSet presAssocID="{64B99DEA-ED0A-4C55-9EF4-B294C8EBECFB}" presName="hierChild5" presStyleCnt="0"/>
      <dgm:spPr/>
    </dgm:pt>
    <dgm:pt modelId="{5549C25C-DDC3-4192-A360-EF432AEEF93A}" type="pres">
      <dgm:prSet presAssocID="{F6D21C01-49C0-4CFF-BA53-E503CCAAED52}" presName="hierChild5" presStyleCnt="0"/>
      <dgm:spPr/>
    </dgm:pt>
    <dgm:pt modelId="{E32B926C-0F8B-4058-A9A0-49861BE5DC38}" type="pres">
      <dgm:prSet presAssocID="{FDBB829B-3C88-42ED-829D-77463A4D1420}" presName="hierChild5" presStyleCnt="0"/>
      <dgm:spPr/>
    </dgm:pt>
    <dgm:pt modelId="{C75A896F-8D2D-44C5-B9C8-10612650A8BC}" type="pres">
      <dgm:prSet presAssocID="{332C6210-1BC2-45A9-8B13-CA1D9A9605FE}" presName="hierChild5" presStyleCnt="0"/>
      <dgm:spPr/>
    </dgm:pt>
    <dgm:pt modelId="{456976CF-5E7F-4EA0-9C9C-C2922D26E5C8}" type="pres">
      <dgm:prSet presAssocID="{09BB34B2-1A63-41ED-A3AD-2FE28F8A2D40}" presName="hierChild3" presStyleCnt="0"/>
      <dgm:spPr/>
    </dgm:pt>
  </dgm:ptLst>
  <dgm:cxnLst>
    <dgm:cxn modelId="{6407E100-5B92-4396-942D-4D7876BF51EB}" type="presOf" srcId="{2183ED47-9AEE-41A7-9BC1-29C6F61179ED}" destId="{3EA53D5B-FE9A-452D-BB9D-EA9B515017FB}" srcOrd="0" destOrd="0" presId="urn:microsoft.com/office/officeart/2005/8/layout/orgChart1"/>
    <dgm:cxn modelId="{8E392102-627A-45F5-AAFD-7DCB9B3A64B1}" type="presOf" srcId="{878956E8-226B-4B89-90D5-7C64622C22AF}" destId="{5379223F-F19F-44F6-A72F-F182B9DA6DB8}" srcOrd="0" destOrd="0" presId="urn:microsoft.com/office/officeart/2005/8/layout/orgChart1"/>
    <dgm:cxn modelId="{E67E7502-8743-40C3-A5EB-E273587794D7}" type="presOf" srcId="{D3785CA9-3221-4C1B-ADF9-95875A9FAF88}" destId="{D6CDD2AD-5637-4A4E-B19A-22161E8FF404}" srcOrd="0" destOrd="0" presId="urn:microsoft.com/office/officeart/2005/8/layout/orgChart1"/>
    <dgm:cxn modelId="{F33F6F03-1B5E-4652-B07E-752CA7FE3E52}" type="presOf" srcId="{09BB34B2-1A63-41ED-A3AD-2FE28F8A2D40}" destId="{4C386264-2F30-4AF2-8815-6C88B916BB31}" srcOrd="1" destOrd="0" presId="urn:microsoft.com/office/officeart/2005/8/layout/orgChart1"/>
    <dgm:cxn modelId="{54ED7108-3034-4099-9F49-B66D88DB291D}" srcId="{3184C940-E49C-4712-8484-C16CBD62177E}" destId="{26852B1F-B752-41F1-8DAF-BB9CB4E76980}" srcOrd="0" destOrd="0" parTransId="{832918F0-8884-41CC-8609-5D84478FC809}" sibTransId="{D83B2DBC-FF41-4088-B785-3A80F0702C9E}"/>
    <dgm:cxn modelId="{4B9F7809-3535-43A5-9040-6E9747A4A0A0}" srcId="{5EAB8F2A-4E5A-473C-B442-34B4821616DC}" destId="{EB33C947-0DBE-40E5-89F1-05A0016ED4A7}" srcOrd="2" destOrd="0" parTransId="{5DCF7C3D-3851-47A8-8AD4-B557AC91A7AF}" sibTransId="{FED5F6D0-97E6-4F18-B517-58F18DD9F418}"/>
    <dgm:cxn modelId="{D9E0EF0B-D728-405B-B69D-5F321E78E532}" type="presOf" srcId="{C8903DEE-936A-4676-83EC-4CD18DF5D8D9}" destId="{DC21B12F-238D-4F58-BC95-8D132D31114F}" srcOrd="0" destOrd="0" presId="urn:microsoft.com/office/officeart/2005/8/layout/orgChart1"/>
    <dgm:cxn modelId="{ACB2030C-4820-4BFF-8349-E5C02697A925}" type="presOf" srcId="{9A3F9E56-13B7-4CB1-BF3A-29530BCA582F}" destId="{A4F8B29E-90F9-48D1-98A0-BF9532000743}" srcOrd="0" destOrd="0" presId="urn:microsoft.com/office/officeart/2005/8/layout/orgChart1"/>
    <dgm:cxn modelId="{CBD7210C-1C5A-4609-9E08-1FAA6DD69439}" type="presOf" srcId="{64D0DBA4-168A-448D-A625-EE2282FE0F41}" destId="{FBDAB035-FB64-4FC8-8B15-478C7FE536D9}" srcOrd="1" destOrd="0" presId="urn:microsoft.com/office/officeart/2005/8/layout/orgChart1"/>
    <dgm:cxn modelId="{CF26D10C-3B83-4A43-B3DB-6D8E13593F8A}" type="presOf" srcId="{E886B430-4BC1-4137-A1C6-BF3A246DB76D}" destId="{C2E2B921-DBF1-4270-94B4-11EB0E6C3568}" srcOrd="0" destOrd="0" presId="urn:microsoft.com/office/officeart/2005/8/layout/orgChart1"/>
    <dgm:cxn modelId="{15CAA30E-FDEA-4865-91CE-C6C0CB30DDC0}" type="presOf" srcId="{2456C976-B65F-4ADF-93AF-4B30292E9923}" destId="{109D2A52-8718-4DD3-992F-CAB816BB7AD5}" srcOrd="0" destOrd="0" presId="urn:microsoft.com/office/officeart/2005/8/layout/orgChart1"/>
    <dgm:cxn modelId="{5A779B0F-0031-4C4B-9501-0EEC26E1DD0F}" type="presOf" srcId="{A0D9AA86-F679-4DCB-A451-9EC15ED8B8E7}" destId="{BCDF6B24-7D47-4586-A838-60B649393660}" srcOrd="0" destOrd="0" presId="urn:microsoft.com/office/officeart/2005/8/layout/orgChart1"/>
    <dgm:cxn modelId="{9EF91711-B723-4FA9-82F3-E0A63378D80D}" type="presOf" srcId="{EB33C947-0DBE-40E5-89F1-05A0016ED4A7}" destId="{DBF52F38-4998-4B91-B8A9-F6F4FF08B57C}" srcOrd="0" destOrd="0" presId="urn:microsoft.com/office/officeart/2005/8/layout/orgChart1"/>
    <dgm:cxn modelId="{68FB4413-5681-40DE-B555-9701D8A77D8B}" type="presOf" srcId="{3BF91958-BADA-423E-A9BA-3466124306D5}" destId="{827FFCDD-0AAC-40A5-888D-DAA9A17F3194}" srcOrd="0" destOrd="0" presId="urn:microsoft.com/office/officeart/2005/8/layout/orgChart1"/>
    <dgm:cxn modelId="{C43AB415-F85B-4C0B-862D-2F06353AFA0B}" type="presOf" srcId="{23B9DBBF-F78C-4587-9EA3-D8D5210EE74B}" destId="{01E66863-D757-4BD2-8840-ECD363DD22AC}" srcOrd="0" destOrd="0" presId="urn:microsoft.com/office/officeart/2005/8/layout/orgChart1"/>
    <dgm:cxn modelId="{837BA817-0608-43F2-9BD9-2252F88A6A66}" type="presOf" srcId="{114780B3-0782-4088-AC3B-8D5E1310FABF}" destId="{76F114C9-E1A8-48C2-AB63-C1450CF809EC}" srcOrd="0" destOrd="0" presId="urn:microsoft.com/office/officeart/2005/8/layout/orgChart1"/>
    <dgm:cxn modelId="{A881CF18-6274-46B5-9686-9C5E62E44DDB}" type="presOf" srcId="{F6D21C01-49C0-4CFF-BA53-E503CCAAED52}" destId="{0382E80D-8949-48C4-8266-923CA2BA19FB}" srcOrd="1" destOrd="0" presId="urn:microsoft.com/office/officeart/2005/8/layout/orgChart1"/>
    <dgm:cxn modelId="{60AAFB18-B621-4412-AA8F-D71CF2162705}" type="presOf" srcId="{28E76CA5-161D-409F-ABFB-50FAAFEC437E}" destId="{228042B0-60C3-4691-B0BA-0EE923AD05EB}" srcOrd="0" destOrd="0" presId="urn:microsoft.com/office/officeart/2005/8/layout/orgChart1"/>
    <dgm:cxn modelId="{874E0019-434A-4633-92D8-AA28D0A4FAE6}" type="presOf" srcId="{0645715D-9A69-4A1E-AF3D-7AA12FEA7F9C}" destId="{04F109A1-FF5F-4381-A954-C6C206DDF756}" srcOrd="1" destOrd="0" presId="urn:microsoft.com/office/officeart/2005/8/layout/orgChart1"/>
    <dgm:cxn modelId="{F254F31A-6568-4F80-8F96-F3BFE324D95D}" type="presOf" srcId="{916E351F-35B3-4628-ABBD-A463A6588698}" destId="{F49E8928-A9F3-46CB-B0D7-714882F2D834}" srcOrd="0" destOrd="0" presId="urn:microsoft.com/office/officeart/2005/8/layout/orgChart1"/>
    <dgm:cxn modelId="{B60CB71B-5612-4E2E-B83F-F345F429FBAA}" type="presOf" srcId="{45F6CA26-C1F4-4059-B737-7F7760919532}" destId="{82B72EFF-9406-472E-A80E-A1451728C56D}" srcOrd="1" destOrd="0" presId="urn:microsoft.com/office/officeart/2005/8/layout/orgChart1"/>
    <dgm:cxn modelId="{0D561B1C-023C-45F2-A057-735EBB067833}" type="presOf" srcId="{8C808F71-9DC8-465B-8427-B5EF8EB791A6}" destId="{42888007-0A94-414C-A140-11A521152679}" srcOrd="0" destOrd="0" presId="urn:microsoft.com/office/officeart/2005/8/layout/orgChart1"/>
    <dgm:cxn modelId="{B5D0791D-D27B-48EB-BF37-A3931FE05E9F}" srcId="{3C80B9FD-7761-47AE-935E-E4B9121435C6}" destId="{0DD81D09-4A0F-4EA4-927F-12F3030BAC04}" srcOrd="0" destOrd="0" parTransId="{27CEC32A-284E-4CF3-A0D4-7B44A99E9CC5}" sibTransId="{CD067AC6-19A4-4FFA-878A-0B845884483C}"/>
    <dgm:cxn modelId="{A8595B1E-B787-4FAE-A930-54EACF506E29}" type="presOf" srcId="{763353B0-3849-4740-8414-D72FFAA104ED}" destId="{E83F509D-9B6E-41BE-8207-C0F77484A97A}" srcOrd="0" destOrd="0" presId="urn:microsoft.com/office/officeart/2005/8/layout/orgChart1"/>
    <dgm:cxn modelId="{876A4F1E-6AA8-4619-8932-2347C00F2537}" srcId="{5B7C7653-1C9C-40A2-A78C-AD2E4F7B1035}" destId="{B43A7DFB-A1BC-4E0B-B17C-885B461BFC5C}" srcOrd="0" destOrd="0" parTransId="{F4471D0A-12C8-44C8-86DE-F2BE6803436E}" sibTransId="{2129F5FB-FE8E-4A38-AE83-8BCE1E4AED26}"/>
    <dgm:cxn modelId="{36AF7B1E-8DFC-49EC-88DD-F6BF8ADDBA27}" type="presOf" srcId="{3C80B9FD-7761-47AE-935E-E4B9121435C6}" destId="{B69008F6-AF9A-41DA-B220-782C86E1353F}" srcOrd="0" destOrd="0" presId="urn:microsoft.com/office/officeart/2005/8/layout/orgChart1"/>
    <dgm:cxn modelId="{569E7E1E-C823-440E-B7D0-96A0B12EF2A5}" type="presOf" srcId="{E886B430-4BC1-4137-A1C6-BF3A246DB76D}" destId="{033A4D43-BB86-4617-9A56-2F5458C0CC5F}" srcOrd="1" destOrd="0" presId="urn:microsoft.com/office/officeart/2005/8/layout/orgChart1"/>
    <dgm:cxn modelId="{DB57CC1F-BEC3-4A3C-8FBA-2A55D5375986}" type="presOf" srcId="{6FE40B6E-D192-4D04-A92F-FB02BC0A163C}" destId="{94ED116F-77D7-4F04-91C2-39F4468C4484}" srcOrd="1" destOrd="0" presId="urn:microsoft.com/office/officeart/2005/8/layout/orgChart1"/>
    <dgm:cxn modelId="{96AE5C20-191C-4084-BABA-242950341195}" type="presOf" srcId="{344D490D-B786-4306-B288-586109945069}" destId="{2FBBA250-F9B7-4765-8560-EB8D9FB7D023}" srcOrd="0" destOrd="0" presId="urn:microsoft.com/office/officeart/2005/8/layout/orgChart1"/>
    <dgm:cxn modelId="{DF59C620-6AC5-4909-943B-49D874E3EFF7}" type="presOf" srcId="{B6F7E06D-24E3-48BD-B79C-80AC404BA19E}" destId="{F57E82BD-BF45-4E41-B3C4-0BB2C83DBA86}" srcOrd="0" destOrd="0" presId="urn:microsoft.com/office/officeart/2005/8/layout/orgChart1"/>
    <dgm:cxn modelId="{D6199622-3D38-4777-A49A-72A27A52F57A}" type="presOf" srcId="{E9FF7940-8C56-4DFB-90EB-C4DE93A88116}" destId="{18CF166F-13EF-4CBD-99DD-C7E0F842C2BB}" srcOrd="1" destOrd="0" presId="urn:microsoft.com/office/officeart/2005/8/layout/orgChart1"/>
    <dgm:cxn modelId="{34B5DB23-468C-4D12-9827-AB147C5FBCF2}" type="presOf" srcId="{0096E6EC-86C7-4299-AA09-4DF5D1C9032C}" destId="{A5C2A0F7-3CE6-4E1D-A024-04D124F006FA}" srcOrd="1" destOrd="0" presId="urn:microsoft.com/office/officeart/2005/8/layout/orgChart1"/>
    <dgm:cxn modelId="{2DDB3524-3B66-4A9D-A94C-C213E71797AB}" type="presOf" srcId="{EA204522-3C4B-4829-B9F8-8DB420C3F2C6}" destId="{8FAC2DE1-EEF1-42C4-AD30-0A482FB67F9E}" srcOrd="1" destOrd="0" presId="urn:microsoft.com/office/officeart/2005/8/layout/orgChart1"/>
    <dgm:cxn modelId="{556AF124-401B-4B2E-912F-2F70404BC6BE}" srcId="{3C80B9FD-7761-47AE-935E-E4B9121435C6}" destId="{FD5B224E-D798-452E-A917-66D5D44986FE}" srcOrd="1" destOrd="0" parTransId="{8210D116-00F2-4C33-8812-EB25182E65F7}" sibTransId="{0BBD0971-B854-4B51-A77C-2FC08036E220}"/>
    <dgm:cxn modelId="{7F471525-E5E6-4DD2-A12A-D28A056A968D}" type="presOf" srcId="{F99B25B4-17CA-4047-8406-B384D093695C}" destId="{E15909BB-791C-426C-AD8D-9BF06830448F}" srcOrd="0" destOrd="0" presId="urn:microsoft.com/office/officeart/2005/8/layout/orgChart1"/>
    <dgm:cxn modelId="{2D73AE25-F475-465B-8625-0E70E3583FB0}" type="presOf" srcId="{9A3F9E56-13B7-4CB1-BF3A-29530BCA582F}" destId="{9C981D33-982C-4F1D-A3FF-7AB55651FFA2}" srcOrd="1" destOrd="0" presId="urn:microsoft.com/office/officeart/2005/8/layout/orgChart1"/>
    <dgm:cxn modelId="{89331627-7EBB-4D93-BB83-C1E7095F7B70}" type="presOf" srcId="{FD5B224E-D798-452E-A917-66D5D44986FE}" destId="{E91B44ED-88A2-49E9-BB13-D998312FCAAA}" srcOrd="1" destOrd="0" presId="urn:microsoft.com/office/officeart/2005/8/layout/orgChart1"/>
    <dgm:cxn modelId="{8B99B92A-CF8C-49C6-B714-AE875F307A4E}" type="presOf" srcId="{BE9A3B68-7D1F-4514-B608-7520AD729F5F}" destId="{3D21CEB1-1732-422D-9DCB-A90226D8EF94}" srcOrd="0" destOrd="0" presId="urn:microsoft.com/office/officeart/2005/8/layout/orgChart1"/>
    <dgm:cxn modelId="{F9A2292B-8700-4E2D-8631-3308182E85C5}" srcId="{EB33C947-0DBE-40E5-89F1-05A0016ED4A7}" destId="{3372B237-4B1D-414E-88DE-2B7DABABE176}" srcOrd="0" destOrd="0" parTransId="{26DBB1E2-21D1-459E-B313-E675E9B4FE81}" sibTransId="{C62150C2-EF5A-4F9E-BEC5-82C133B70BF0}"/>
    <dgm:cxn modelId="{7EB9592B-3DAB-491A-BE8A-A987ED72AE3D}" type="presOf" srcId="{81835AC8-A71B-41A7-87A8-ED1805F985F6}" destId="{6E267D5A-19DF-435B-8835-363A841A70CC}" srcOrd="0" destOrd="0" presId="urn:microsoft.com/office/officeart/2005/8/layout/orgChart1"/>
    <dgm:cxn modelId="{C043BD2B-ACB1-4ECB-87C7-F9E415D1612B}" type="presOf" srcId="{19DCDF77-ACD1-411A-A904-8A2424148B61}" destId="{52F5B83F-92FB-451A-A791-917AC0DD8B08}" srcOrd="1" destOrd="0" presId="urn:microsoft.com/office/officeart/2005/8/layout/orgChart1"/>
    <dgm:cxn modelId="{C4A1BF2B-7FF2-4A99-84E7-26001593CCF5}" type="presOf" srcId="{5B7C7653-1C9C-40A2-A78C-AD2E4F7B1035}" destId="{36EE70AF-A651-44ED-8969-EDDB1F212D02}" srcOrd="1" destOrd="0" presId="urn:microsoft.com/office/officeart/2005/8/layout/orgChart1"/>
    <dgm:cxn modelId="{8174932C-FA7C-4445-A947-19E39A527B12}" type="presOf" srcId="{C664FF72-A1D8-4D5F-A951-C64D35C71618}" destId="{109312F9-7973-45C6-892E-E164FE4AD7F4}" srcOrd="1" destOrd="0" presId="urn:microsoft.com/office/officeart/2005/8/layout/orgChart1"/>
    <dgm:cxn modelId="{3B7B252E-37EE-442F-B3AD-24B1D42238EB}" type="presOf" srcId="{EB33C947-0DBE-40E5-89F1-05A0016ED4A7}" destId="{72F3203B-069E-41C7-9E3A-97F6F00775E5}" srcOrd="1" destOrd="0" presId="urn:microsoft.com/office/officeart/2005/8/layout/orgChart1"/>
    <dgm:cxn modelId="{BDE3BD2F-1057-4AFA-AE90-5DF9FC9AFF49}" type="presOf" srcId="{1886A169-0015-471E-AF3C-4CE227759C54}" destId="{E3270322-3D9F-4F83-A18D-EA86F27A6C07}" srcOrd="0" destOrd="0" presId="urn:microsoft.com/office/officeart/2005/8/layout/orgChart1"/>
    <dgm:cxn modelId="{FB4F3230-824C-414B-85D2-9125247B9337}" type="presOf" srcId="{C5972743-1B3B-417D-B430-7599F171CF53}" destId="{0A9BCA4B-F87A-4634-A762-6E29328F5902}" srcOrd="0" destOrd="0" presId="urn:microsoft.com/office/officeart/2005/8/layout/orgChart1"/>
    <dgm:cxn modelId="{BCD98831-EFD8-48C4-BF0E-4D4557D10986}" srcId="{CB99EA99-0958-4287-AE3D-CD17CA94E5AD}" destId="{09BB34B2-1A63-41ED-A3AD-2FE28F8A2D40}" srcOrd="0" destOrd="0" parTransId="{A6427182-EB76-4D35-AA9D-7175909C2C61}" sibTransId="{41BDF1E0-54ED-4CCE-A443-8CE934F294EE}"/>
    <dgm:cxn modelId="{E3B18D31-25C9-421B-A333-ACDB845F44D2}" srcId="{6A6E4B31-3C2F-49A0-A059-77C9741F17C9}" destId="{3C80B9FD-7761-47AE-935E-E4B9121435C6}" srcOrd="2" destOrd="0" parTransId="{8C808F71-9DC8-465B-8427-B5EF8EB791A6}" sibTransId="{2A296C34-3759-4793-8E0E-D20B49EE0B9C}"/>
    <dgm:cxn modelId="{36CD0F32-9620-40E3-8795-5A42FD4B2C11}" type="presOf" srcId="{C5B3E315-784A-4F2E-8C90-C9B041263DE4}" destId="{0C97C4C4-FBCE-4720-A0EB-94120AB28960}" srcOrd="0" destOrd="0" presId="urn:microsoft.com/office/officeart/2005/8/layout/orgChart1"/>
    <dgm:cxn modelId="{BDEB3D32-36DC-4BD9-89C6-8993D77063B7}" type="presOf" srcId="{F41BA381-825A-4B44-A6DB-0BC51DC53A31}" destId="{D61B1870-383A-479F-8DEF-155630525509}" srcOrd="0" destOrd="0" presId="urn:microsoft.com/office/officeart/2005/8/layout/orgChart1"/>
    <dgm:cxn modelId="{9F143F32-E1DD-4CA7-83D0-70AA36AE68BB}" type="presOf" srcId="{4EC22B40-B19C-443E-86BC-544D91E47055}" destId="{2486668B-BE18-4087-A97C-1F0F30E96DF6}" srcOrd="0" destOrd="0" presId="urn:microsoft.com/office/officeart/2005/8/layout/orgChart1"/>
    <dgm:cxn modelId="{90343833-1BE1-496C-831C-851919441A13}" type="presOf" srcId="{FF6F12EE-E863-49D9-B7C4-AEFDC6A73000}" destId="{405E4950-777F-41C1-A1EF-5AB02A3646B3}" srcOrd="0" destOrd="0" presId="urn:microsoft.com/office/officeart/2005/8/layout/orgChart1"/>
    <dgm:cxn modelId="{EC565033-E954-426E-A46D-E4DB759BD9D0}" srcId="{D0D8ECDA-ABF2-43D1-825B-BA6E5B911F4B}" destId="{F184CD34-7D5B-4ED9-980C-198ECD34029F}" srcOrd="1" destOrd="0" parTransId="{3E185927-8B35-42DD-9140-5C9D5A512985}" sibTransId="{8A3AB1B1-9C79-4816-92A5-0724FF6A5F17}"/>
    <dgm:cxn modelId="{14C8F734-EBB4-409C-97C2-0DA4AE3114EC}" type="presOf" srcId="{C9F2CB53-DEEE-476F-9B5C-8EED4B363EF2}" destId="{460D4FC5-7430-47E1-B258-592A1E8F799F}" srcOrd="0" destOrd="0" presId="urn:microsoft.com/office/officeart/2005/8/layout/orgChart1"/>
    <dgm:cxn modelId="{04C98036-57AE-490C-8E21-2FC054287050}" srcId="{C9F2CB53-DEEE-476F-9B5C-8EED4B363EF2}" destId="{ED23D0F1-3117-4BEA-A567-4A1759EC0EF0}" srcOrd="1" destOrd="0" parTransId="{344D490D-B786-4306-B288-586109945069}" sibTransId="{CF73B737-2EDD-4291-A8B4-0070910CF423}"/>
    <dgm:cxn modelId="{96759036-4245-42C8-AFAE-2BF62BC22FDA}" type="presOf" srcId="{332C6210-1BC2-45A9-8B13-CA1D9A9605FE}" destId="{D15AF9EA-FA2D-439E-BE40-01D5F390E996}" srcOrd="0" destOrd="0" presId="urn:microsoft.com/office/officeart/2005/8/layout/orgChart1"/>
    <dgm:cxn modelId="{537F3F38-595C-4E81-9656-284E55ED0FBC}" type="presOf" srcId="{47FA410A-5440-4FBB-8E46-817222FDBD3B}" destId="{9E75887E-9ADB-45B6-BDD2-39950D432A6E}" srcOrd="0" destOrd="0" presId="urn:microsoft.com/office/officeart/2005/8/layout/orgChart1"/>
    <dgm:cxn modelId="{0B2CF538-8769-4AF1-871F-CFF70DF760BA}" type="presOf" srcId="{C9F2CB53-DEEE-476F-9B5C-8EED4B363EF2}" destId="{974FB573-78CA-4CF1-9D79-85CB4E11C7A3}" srcOrd="1" destOrd="0" presId="urn:microsoft.com/office/officeart/2005/8/layout/orgChart1"/>
    <dgm:cxn modelId="{C01B773A-2957-4507-8948-147B55064C73}" type="presOf" srcId="{763353B0-3849-4740-8414-D72FFAA104ED}" destId="{AEBB8E3F-5394-460D-B0B8-4255BAADC75C}" srcOrd="1" destOrd="0" presId="urn:microsoft.com/office/officeart/2005/8/layout/orgChart1"/>
    <dgm:cxn modelId="{70CE6F3B-E6BF-4B34-9FDE-61012692EF34}" srcId="{D0D8ECDA-ABF2-43D1-825B-BA6E5B911F4B}" destId="{18BD874B-DE1A-4C9D-8098-25D9928B3632}" srcOrd="0" destOrd="0" parTransId="{B1ECB6DF-6BD4-4597-AA17-3FD22DFB01F1}" sibTransId="{4CF96724-5567-44E9-B316-5D9219DE66E5}"/>
    <dgm:cxn modelId="{8829593B-7CD2-4A0D-813A-A3B4E3493B0D}" type="presOf" srcId="{B1ECB6DF-6BD4-4597-AA17-3FD22DFB01F1}" destId="{D5E6885F-8288-4964-B52F-EBD76874702A}" srcOrd="0" destOrd="0" presId="urn:microsoft.com/office/officeart/2005/8/layout/orgChart1"/>
    <dgm:cxn modelId="{C83A333C-AED9-41D9-9EC9-0CF8B4E97C75}" type="presOf" srcId="{B63D8BC9-C7A0-487F-B503-CAE301B8A55A}" destId="{4B742695-7E94-43D4-ACEF-DFD48D01E945}" srcOrd="0" destOrd="0" presId="urn:microsoft.com/office/officeart/2005/8/layout/orgChart1"/>
    <dgm:cxn modelId="{57D6513C-25EE-4B70-9BC4-6CC86E79E468}" srcId="{C9F2CB53-DEEE-476F-9B5C-8EED4B363EF2}" destId="{FE638C8F-6D0A-4899-904B-4BD89EB54E42}" srcOrd="0" destOrd="0" parTransId="{C5B3E315-784A-4F2E-8C90-C9B041263DE4}" sibTransId="{7CCB435C-6EAA-4C2F-99A7-D158CDBF7A8E}"/>
    <dgm:cxn modelId="{7B12013D-6DCE-411A-BEFB-C3C63186D8E7}" srcId="{535511F9-DE66-4487-B733-8C218D642449}" destId="{45F6CA26-C1F4-4059-B737-7F7760919532}" srcOrd="1" destOrd="0" parTransId="{114780B3-0782-4088-AC3B-8D5E1310FABF}" sibTransId="{F81BE987-6D09-4FA2-B4DB-F0DB7C90BE58}"/>
    <dgm:cxn modelId="{FEE4CA40-46FB-4B28-BEFB-B14B74B9B997}" type="presOf" srcId="{761FC686-3A3F-4916-A5C4-17AE08A6D700}" destId="{9E5328D8-3148-4938-BFB4-B4BAD36D06B8}" srcOrd="0" destOrd="0" presId="urn:microsoft.com/office/officeart/2005/8/layout/orgChart1"/>
    <dgm:cxn modelId="{B8C55F5B-4045-40B8-8D82-3C6F50291386}" type="presOf" srcId="{8210D116-00F2-4C33-8812-EB25182E65F7}" destId="{86466A80-EBB0-426C-A408-4ADDC5383464}" srcOrd="0" destOrd="0" presId="urn:microsoft.com/office/officeart/2005/8/layout/orgChart1"/>
    <dgm:cxn modelId="{C46C065D-6FEC-44DF-9BD9-DDF0B265FAA7}" srcId="{5EAB8F2A-4E5A-473C-B442-34B4821616DC}" destId="{8DCBD500-83EC-40FF-A68C-72CC8EF18A34}" srcOrd="1" destOrd="0" parTransId="{F99B25B4-17CA-4047-8406-B384D093695C}" sibTransId="{66E6C26A-C027-4CA9-BB74-E6A9F8729E02}"/>
    <dgm:cxn modelId="{145ABB5E-CBB4-423D-91E3-ABB7B6727D4E}" type="presOf" srcId="{5EAB8F2A-4E5A-473C-B442-34B4821616DC}" destId="{724A632F-9C04-4B49-8E58-3C6E122F58C1}" srcOrd="0" destOrd="0" presId="urn:microsoft.com/office/officeart/2005/8/layout/orgChart1"/>
    <dgm:cxn modelId="{A47E6E60-8EE8-48AC-B86A-6B7E88DFF664}" type="presOf" srcId="{F6D21C01-49C0-4CFF-BA53-E503CCAAED52}" destId="{5B5464A4-2AC2-462C-93C0-7CDF7B8CCCF6}" srcOrd="0" destOrd="0" presId="urn:microsoft.com/office/officeart/2005/8/layout/orgChart1"/>
    <dgm:cxn modelId="{25E55161-1EE3-438F-87E3-A4519CF4DBB1}" type="presOf" srcId="{E9255337-556F-4043-BAA3-D69DE90F0755}" destId="{2B25D5BE-28CE-4D47-A9DE-823CC32C546A}" srcOrd="0" destOrd="0" presId="urn:microsoft.com/office/officeart/2005/8/layout/orgChart1"/>
    <dgm:cxn modelId="{6E067661-AE28-431D-BDF8-71668AE7D962}" srcId="{0645715D-9A69-4A1E-AF3D-7AA12FEA7F9C}" destId="{81835AC8-A71B-41A7-87A8-ED1805F985F6}" srcOrd="0" destOrd="0" parTransId="{A1E66DA0-EBA1-468A-BE0B-707D04CE3F0B}" sibTransId="{3D0DF711-CF49-4C63-A649-C3443AEEAD52}"/>
    <dgm:cxn modelId="{52706B62-4D2B-4A8D-BE23-EB6649FFACCF}" srcId="{FDBB829B-3C88-42ED-829D-77463A4D1420}" destId="{F6D21C01-49C0-4CFF-BA53-E503CCAAED52}" srcOrd="2" destOrd="0" parTransId="{F0E7B386-17AB-42B3-8BD7-3A73730EE5B6}" sibTransId="{4D6337BD-36FA-41F2-97C4-1BD0F6D28C6F}"/>
    <dgm:cxn modelId="{E6A1B763-1BD3-4C1C-8E63-92ABBBC2C163}" type="presOf" srcId="{F8F8FC4E-3E0A-484D-AAD0-44FA8992E922}" destId="{707A546A-B844-4605-8B34-D1375D327F0A}" srcOrd="0" destOrd="0" presId="urn:microsoft.com/office/officeart/2005/8/layout/orgChart1"/>
    <dgm:cxn modelId="{4796C163-5DF9-433A-AE98-9403AFC4DAA4}" srcId="{B6F7E06D-24E3-48BD-B79C-80AC404BA19E}" destId="{5B7C7653-1C9C-40A2-A78C-AD2E4F7B1035}" srcOrd="1" destOrd="0" parTransId="{4D510151-E469-47AF-A782-AA73B5EE106B}" sibTransId="{AFD06EA1-7EA3-429D-B2AE-D5FB5F393B24}"/>
    <dgm:cxn modelId="{82031B44-27D3-4D85-A905-D6A35767190B}" type="presOf" srcId="{8A243D72-41E4-495D-816B-E4923E0CBD82}" destId="{F8390402-37C2-4C25-8C44-48FF00832E48}" srcOrd="0" destOrd="0" presId="urn:microsoft.com/office/officeart/2005/8/layout/orgChart1"/>
    <dgm:cxn modelId="{6CC73864-30B3-4D68-8A46-131BA718CF5C}" srcId="{415D33F4-E960-4FCD-968F-A71D3E04E4F7}" destId="{B6F7E06D-24E3-48BD-B79C-80AC404BA19E}" srcOrd="2" destOrd="0" parTransId="{23B9DBBF-F78C-4587-9EA3-D8D5210EE74B}" sibTransId="{E7B1398C-12CB-48A8-B346-E3D45DA92A5A}"/>
    <dgm:cxn modelId="{959D4664-C294-4EAC-833F-2660260A34A6}" type="presOf" srcId="{0DD81D09-4A0F-4EA4-927F-12F3030BAC04}" destId="{3AF5E76E-10D0-48BA-9B15-2BF613E97172}" srcOrd="1" destOrd="0" presId="urn:microsoft.com/office/officeart/2005/8/layout/orgChart1"/>
    <dgm:cxn modelId="{C552F644-70B3-4083-BA93-63FE428E5AD7}" type="presOf" srcId="{E9FF7940-8C56-4DFB-90EB-C4DE93A88116}" destId="{8C54CB1A-7C0F-4148-A2B0-0DDCB93F5B78}" srcOrd="0" destOrd="0" presId="urn:microsoft.com/office/officeart/2005/8/layout/orgChart1"/>
    <dgm:cxn modelId="{EEB6D245-09ED-404E-BEB5-DEC5E20A625B}" type="presOf" srcId="{F4471D0A-12C8-44C8-86DE-F2BE6803436E}" destId="{B42EBC9D-232C-4BA0-B849-7864C971DC59}" srcOrd="0" destOrd="0" presId="urn:microsoft.com/office/officeart/2005/8/layout/orgChart1"/>
    <dgm:cxn modelId="{6C9A6D46-FE45-4B89-8280-287C7BAB5441}" type="presOf" srcId="{1B431C5F-0179-449F-94C2-BFF82B8B9ED3}" destId="{9FE2E507-BC55-4AFB-AB93-3A7D2D91D133}" srcOrd="0" destOrd="0" presId="urn:microsoft.com/office/officeart/2005/8/layout/orgChart1"/>
    <dgm:cxn modelId="{1F0B9C46-9FA2-49D0-824B-86EF9569D919}" srcId="{332C6210-1BC2-45A9-8B13-CA1D9A9605FE}" destId="{FDBB829B-3C88-42ED-829D-77463A4D1420}" srcOrd="2" destOrd="0" parTransId="{0D92D3DC-9509-4BD3-B5BD-77435F04C873}" sibTransId="{35B0980D-8E21-4A74-871D-E0ACFBB1111C}"/>
    <dgm:cxn modelId="{93A3D767-BF66-4A4C-BBCD-0EDBD624FAD5}" type="presOf" srcId="{3372B237-4B1D-414E-88DE-2B7DABABE176}" destId="{6402DFBD-362E-418A-8911-539AF0D0D05D}" srcOrd="0" destOrd="0" presId="urn:microsoft.com/office/officeart/2005/8/layout/orgChart1"/>
    <dgm:cxn modelId="{6009C069-CF7A-477C-B579-CEEE7999E3F6}" type="presOf" srcId="{95A0E7B6-867A-4DC2-8FEE-24BE50E9D59C}" destId="{C4461497-94BC-4287-AD67-B89015F8E39F}" srcOrd="0" destOrd="0" presId="urn:microsoft.com/office/officeart/2005/8/layout/orgChart1"/>
    <dgm:cxn modelId="{A1E1D069-8AA4-424D-B91F-0302B2288BA2}" srcId="{5B7C7653-1C9C-40A2-A78C-AD2E4F7B1035}" destId="{C6E2F267-FABF-4B85-94C0-70EEFED92F94}" srcOrd="1" destOrd="0" parTransId="{E03371A2-1DE0-4DF8-9C92-4378BEABF1EE}" sibTransId="{0EAFDC6B-10D7-4453-B8B8-66A2347621AD}"/>
    <dgm:cxn modelId="{BB13236A-EC3F-4D2A-AB07-093133891AA9}" type="presOf" srcId="{D0D8ECDA-ABF2-43D1-825B-BA6E5B911F4B}" destId="{28B9FB4C-145E-452C-ADBE-15322BA8F90E}" srcOrd="0" destOrd="0" presId="urn:microsoft.com/office/officeart/2005/8/layout/orgChart1"/>
    <dgm:cxn modelId="{32023F4A-A4CE-445B-B928-E1981E410B52}" type="presOf" srcId="{EA6D052B-2ECF-48BC-9EC5-0878A1526A71}" destId="{A9F81BD9-B6E6-4ACA-9625-7B65562C3C63}" srcOrd="0" destOrd="0" presId="urn:microsoft.com/office/officeart/2005/8/layout/orgChart1"/>
    <dgm:cxn modelId="{63BFC74A-84AC-4E69-8CD9-779516B74157}" srcId="{0645715D-9A69-4A1E-AF3D-7AA12FEA7F9C}" destId="{0096E6EC-86C7-4299-AA09-4DF5D1C9032C}" srcOrd="1" destOrd="0" parTransId="{72D24AA6-8183-4E3E-9057-753E7D9F8B4F}" sibTransId="{C8E8AC8C-2EF3-40CB-B2F4-7A9EE77EF63D}"/>
    <dgm:cxn modelId="{A514E74B-41CD-4420-A997-715575029525}" type="presOf" srcId="{6A6E4B31-3C2F-49A0-A059-77C9741F17C9}" destId="{D59D8B61-4ABA-42AD-AD1F-875772DF6FF0}" srcOrd="0" destOrd="0" presId="urn:microsoft.com/office/officeart/2005/8/layout/orgChart1"/>
    <dgm:cxn modelId="{0A85C16D-483F-4EEF-90A1-3D87BC37420A}" type="presOf" srcId="{06B15925-15ED-4685-96CA-C012AE2C5275}" destId="{C8734EF2-8F84-4F67-84C6-E67709381D99}" srcOrd="0" destOrd="0" presId="urn:microsoft.com/office/officeart/2005/8/layout/orgChart1"/>
    <dgm:cxn modelId="{6DC41A50-4B1B-4C2D-AA74-43BF3FC8A448}" type="presOf" srcId="{535511F9-DE66-4487-B733-8C218D642449}" destId="{C4CA847A-FF56-431D-BFE0-F16A66D231CD}" srcOrd="1" destOrd="0" presId="urn:microsoft.com/office/officeart/2005/8/layout/orgChart1"/>
    <dgm:cxn modelId="{FD859250-3BF1-4D70-AA7B-23A9571E75E8}" srcId="{6A6E4B31-3C2F-49A0-A059-77C9741F17C9}" destId="{2183ED47-9AEE-41A7-9BC1-29C6F61179ED}" srcOrd="1" destOrd="0" parTransId="{06E61BDB-412D-47E6-BAD6-00E81918586C}" sibTransId="{4748D579-8168-48AD-878E-5D63A3B4A917}"/>
    <dgm:cxn modelId="{C637AC70-18B6-496B-BFA7-8A88CF8410C8}" type="presOf" srcId="{4D510151-E469-47AF-A782-AA73B5EE106B}" destId="{8E274D07-D34D-49FB-A891-96163CC94766}" srcOrd="0" destOrd="0" presId="urn:microsoft.com/office/officeart/2005/8/layout/orgChart1"/>
    <dgm:cxn modelId="{AC09BE70-92AA-4613-8F73-4CE60771874D}" type="presOf" srcId="{F8F8FC4E-3E0A-484D-AAD0-44FA8992E922}" destId="{24C7551F-0107-4A7C-8383-18C1FF96D5E8}" srcOrd="1" destOrd="0" presId="urn:microsoft.com/office/officeart/2005/8/layout/orgChart1"/>
    <dgm:cxn modelId="{A55DD770-6666-4DD2-BC6A-9C83A9C50640}" type="presOf" srcId="{5DCF7C3D-3851-47A8-8AD4-B557AC91A7AF}" destId="{D6A46983-53AD-4A98-9D22-2EF842948286}" srcOrd="0" destOrd="0" presId="urn:microsoft.com/office/officeart/2005/8/layout/orgChart1"/>
    <dgm:cxn modelId="{D9B63D51-0C63-407E-882B-B3CFE03246C3}" srcId="{EA6D052B-2ECF-48BC-9EC5-0878A1526A71}" destId="{BB80A568-80E7-49FA-A59F-E8BA7AB0CE7D}" srcOrd="0" destOrd="0" parTransId="{DE03F2AF-B08C-41AB-ADBA-D64E2FB894CD}" sibTransId="{CC993977-89F4-4F56-B7C4-6AFDFAC5475B}"/>
    <dgm:cxn modelId="{CC2D7051-B9FD-48F0-ABF1-0AD2C20D1B2F}" type="presOf" srcId="{415D33F4-E960-4FCD-968F-A71D3E04E4F7}" destId="{296F2729-5A80-421B-9290-59A463826B32}" srcOrd="1" destOrd="0" presId="urn:microsoft.com/office/officeart/2005/8/layout/orgChart1"/>
    <dgm:cxn modelId="{4FF2B272-ED8B-4A06-B2B3-BCB4FFAE0230}" type="presOf" srcId="{C664FF72-A1D8-4D5F-A951-C64D35C71618}" destId="{A51C311F-3893-4B9B-A4CF-F7CC2053C2B7}" srcOrd="0" destOrd="0" presId="urn:microsoft.com/office/officeart/2005/8/layout/orgChart1"/>
    <dgm:cxn modelId="{E2771773-E741-4E15-86CE-18DEAE570444}" type="presOf" srcId="{F184CD34-7D5B-4ED9-980C-198ECD34029F}" destId="{A615445D-D4FF-4E34-A6E6-E2871F9DB9BE}" srcOrd="1" destOrd="0" presId="urn:microsoft.com/office/officeart/2005/8/layout/orgChart1"/>
    <dgm:cxn modelId="{A6D12473-762B-49CD-AC14-22108DD2DB69}" type="presOf" srcId="{27CEC32A-284E-4CF3-A0D4-7B44A99E9CC5}" destId="{CD4F1958-646C-47C9-93AA-81A91AB12F23}" srcOrd="0" destOrd="0" presId="urn:microsoft.com/office/officeart/2005/8/layout/orgChart1"/>
    <dgm:cxn modelId="{752F9C74-E193-4705-BFB5-1929DC7D9EAC}" type="presOf" srcId="{6A6E4B31-3C2F-49A0-A059-77C9741F17C9}" destId="{987EBAE3-291E-4FFD-BF29-95FECE286B17}" srcOrd="1" destOrd="0" presId="urn:microsoft.com/office/officeart/2005/8/layout/orgChart1"/>
    <dgm:cxn modelId="{8FD8AD55-BAD8-46DF-9210-2905C3A7A42C}" type="presOf" srcId="{73B519EB-3D4F-4CBD-A90E-AA18489301C9}" destId="{4066CF4F-844F-4EBC-B7E8-E29033E44570}" srcOrd="0" destOrd="0" presId="urn:microsoft.com/office/officeart/2005/8/layout/orgChart1"/>
    <dgm:cxn modelId="{F6ABE975-F62A-4A63-AA7A-48C85EBEE9E2}" type="presOf" srcId="{B6F7E06D-24E3-48BD-B79C-80AC404BA19E}" destId="{B94D3497-E8D6-40A0-A290-FD7735CA6560}" srcOrd="1" destOrd="0" presId="urn:microsoft.com/office/officeart/2005/8/layout/orgChart1"/>
    <dgm:cxn modelId="{C84F2956-6414-42CD-8FB9-E31B244270DE}" srcId="{8DCBD500-83EC-40FF-A68C-72CC8EF18A34}" destId="{1886A169-0015-471E-AF3C-4CE227759C54}" srcOrd="1" destOrd="0" parTransId="{C1D5136E-42CC-47E7-8EED-8DC83460032C}" sibTransId="{41CDD440-C42F-42F6-B08B-B0C06FCB0DA0}"/>
    <dgm:cxn modelId="{5176D256-EBF8-4E16-A2D5-4E19124180FB}" type="presOf" srcId="{3372B237-4B1D-414E-88DE-2B7DABABE176}" destId="{2D92777A-9A9E-4F14-B592-C1B93677D346}" srcOrd="1" destOrd="0" presId="urn:microsoft.com/office/officeart/2005/8/layout/orgChart1"/>
    <dgm:cxn modelId="{8BACE176-661A-40C7-AF6A-4C40B9400775}" srcId="{332C6210-1BC2-45A9-8B13-CA1D9A9605FE}" destId="{5EAB8F2A-4E5A-473C-B442-34B4821616DC}" srcOrd="1" destOrd="0" parTransId="{5A792F40-076F-4943-A722-9F10B2889D85}" sibTransId="{CC015F9E-F242-4F18-8FDF-5663DD49313F}"/>
    <dgm:cxn modelId="{E48D8277-0545-4E47-A275-17A96280E5B6}" type="presOf" srcId="{7FDD71E7-B4E6-474A-BA9D-31FEA50A6CB3}" destId="{A224B29F-FC90-4069-A9CA-C93C70D4E8E3}" srcOrd="0" destOrd="0" presId="urn:microsoft.com/office/officeart/2005/8/layout/orgChart1"/>
    <dgm:cxn modelId="{28E82378-C288-40D8-B9E4-C9B96399D08F}" type="presOf" srcId="{BE9A3B68-7D1F-4514-B608-7520AD729F5F}" destId="{9FFDE4FD-4C7E-48F6-918D-AD549715F1F9}" srcOrd="1" destOrd="0" presId="urn:microsoft.com/office/officeart/2005/8/layout/orgChart1"/>
    <dgm:cxn modelId="{A90D8378-4B0F-40B6-8971-1B8D114492AE}" type="presOf" srcId="{DE03F2AF-B08C-41AB-ADBA-D64E2FB894CD}" destId="{EAF25F53-E817-48CE-B539-B0EBE835022D}" srcOrd="0" destOrd="0" presId="urn:microsoft.com/office/officeart/2005/8/layout/orgChart1"/>
    <dgm:cxn modelId="{326B0B59-7C72-470F-AD27-97B8775AB722}" type="presOf" srcId="{83A1D584-FC25-4DCC-B744-AC464D97F8B6}" destId="{81430472-0107-4BCA-BCEC-C9D101E3B3D1}" srcOrd="1" destOrd="0" presId="urn:microsoft.com/office/officeart/2005/8/layout/orgChart1"/>
    <dgm:cxn modelId="{B03B4359-30AD-4B39-9C75-3B3E6D919C4E}" type="presOf" srcId="{26852B1F-B752-41F1-8DAF-BB9CB4E76980}" destId="{17AFA297-B6CD-4034-BE7B-D0B4274108C3}" srcOrd="0" destOrd="0" presId="urn:microsoft.com/office/officeart/2005/8/layout/orgChart1"/>
    <dgm:cxn modelId="{F2559059-79F1-4F28-B81E-854AF4B2E163}" type="presOf" srcId="{0096E6EC-86C7-4299-AA09-4DF5D1C9032C}" destId="{B9DA33F7-0329-44AA-A530-E3F34113CE62}" srcOrd="0" destOrd="0" presId="urn:microsoft.com/office/officeart/2005/8/layout/orgChart1"/>
    <dgm:cxn modelId="{6C0E555A-C094-4A99-9178-CFEBF27F6CD3}" type="presOf" srcId="{3E185927-8B35-42DD-9140-5C9D5A512985}" destId="{6C8B2E85-3219-4C8D-B062-03DBDC93516F}" srcOrd="0" destOrd="0" presId="urn:microsoft.com/office/officeart/2005/8/layout/orgChart1"/>
    <dgm:cxn modelId="{52F8587A-A705-4648-AEA0-B93F80A72C36}" type="presOf" srcId="{3184C940-E49C-4712-8484-C16CBD62177E}" destId="{536CCF77-E8A3-46CB-81D8-C92AADAD0AC3}" srcOrd="0" destOrd="0" presId="urn:microsoft.com/office/officeart/2005/8/layout/orgChart1"/>
    <dgm:cxn modelId="{F5FF5A5A-46BC-49EA-92B8-F0B1E8FC1A14}" type="presOf" srcId="{8DCBD500-83EC-40FF-A68C-72CC8EF18A34}" destId="{7FB23BD0-EAA2-4A28-9CA6-6445E3271808}" srcOrd="1" destOrd="0" presId="urn:microsoft.com/office/officeart/2005/8/layout/orgChart1"/>
    <dgm:cxn modelId="{8B0DBA7A-9F07-414B-B3EA-B290CBB1EEA7}" srcId="{2456C976-B65F-4ADF-93AF-4B30292E9923}" destId="{2D223E41-FFCE-43EA-A912-97398AFB7417}" srcOrd="1" destOrd="0" parTransId="{FF6F12EE-E863-49D9-B7C4-AEFDC6A73000}" sibTransId="{DD687A22-8E47-496B-BFD6-58728267D4FD}"/>
    <dgm:cxn modelId="{942CD97A-6B8C-4300-B198-17D8EA16CE2A}" type="presOf" srcId="{FE638C8F-6D0A-4899-904B-4BD89EB54E42}" destId="{812CB119-BA27-408D-87F9-E0D69033F8E1}" srcOrd="1" destOrd="0" presId="urn:microsoft.com/office/officeart/2005/8/layout/orgChart1"/>
    <dgm:cxn modelId="{1C2E2C7B-0A03-4CB9-B29A-805322D926C5}" srcId="{763353B0-3849-4740-8414-D72FFAA104ED}" destId="{061B9782-C0EC-4C4F-BD8E-B5849919D515}" srcOrd="0" destOrd="0" parTransId="{61A0FC2D-ACD1-4E6C-9E3E-DAB311093A95}" sibTransId="{32C8F5BD-5B29-404D-815B-142D832F74AE}"/>
    <dgm:cxn modelId="{625B4F7B-6D2A-4756-A6A0-5AD8DD7EFA07}" type="presOf" srcId="{73E524F7-6844-459F-A353-1B778E503E52}" destId="{44EE9CC5-B172-444F-9F03-8F49BAC52D14}" srcOrd="0" destOrd="0" presId="urn:microsoft.com/office/officeart/2005/8/layout/orgChart1"/>
    <dgm:cxn modelId="{FCC4CC7B-6F35-4DF8-9632-D4BD43088795}" type="presOf" srcId="{1886A169-0015-471E-AF3C-4CE227759C54}" destId="{9CBF25A2-82CC-4D57-8A07-702B59C29C13}" srcOrd="1" destOrd="0" presId="urn:microsoft.com/office/officeart/2005/8/layout/orgChart1"/>
    <dgm:cxn modelId="{05FA557D-006F-4818-B222-6E3FE0EEC369}" type="presOf" srcId="{44F5DE92-CDF4-464A-8C84-55785783EB86}" destId="{DE79C2C6-1510-450A-B3C5-1DD66E6735B9}" srcOrd="0" destOrd="0" presId="urn:microsoft.com/office/officeart/2005/8/layout/orgChart1"/>
    <dgm:cxn modelId="{A93FD87E-9300-4BF5-B293-0D57C5300B45}" srcId="{32B30FA1-2F37-4F48-8E62-A2986556420E}" destId="{C5972743-1B3B-417D-B430-7599F171CF53}" srcOrd="1" destOrd="0" parTransId="{D3785CA9-3221-4C1B-ADF9-95875A9FAF88}" sibTransId="{921D5973-8FAA-4354-AA7E-B39D3DEB31D6}"/>
    <dgm:cxn modelId="{CD381B7F-A773-481D-97C4-8C48C39CD8BB}" srcId="{3C15CB32-090C-488A-ABF4-0E73937418A7}" destId="{83A1D584-FC25-4DCC-B744-AC464D97F8B6}" srcOrd="1" destOrd="0" parTransId="{7FDD71E7-B4E6-474A-BA9D-31FEA50A6CB3}" sibTransId="{39206016-6A3A-41C3-9494-1186EC4BCA4A}"/>
    <dgm:cxn modelId="{66B9B180-B46D-4A5C-BC4C-E457E9CBF9CF}" type="presOf" srcId="{E03371A2-1DE0-4DF8-9C92-4378BEABF1EE}" destId="{BE845C3F-821D-4BCD-AC0B-73973FCC564D}" srcOrd="0" destOrd="0" presId="urn:microsoft.com/office/officeart/2005/8/layout/orgChart1"/>
    <dgm:cxn modelId="{0F2D5781-E24A-4321-9A69-31EE5CD1E717}" type="presOf" srcId="{8DCBD500-83EC-40FF-A68C-72CC8EF18A34}" destId="{DF99A980-A000-4BAE-A9D7-432879678797}" srcOrd="0" destOrd="0" presId="urn:microsoft.com/office/officeart/2005/8/layout/orgChart1"/>
    <dgm:cxn modelId="{C4CBB881-53AD-43B2-8981-DD8A871877BF}" type="presOf" srcId="{28E76CA5-161D-409F-ABFB-50FAAFEC437E}" destId="{4EEEE3DF-9D47-40E6-8191-C4011761B835}" srcOrd="1" destOrd="0" presId="urn:microsoft.com/office/officeart/2005/8/layout/orgChart1"/>
    <dgm:cxn modelId="{1582CF83-E033-40C1-93AE-1356CBFAC22B}" type="presOf" srcId="{B43A7DFB-A1BC-4E0B-B17C-885B461BFC5C}" destId="{507F5E94-027A-49B0-82A4-D73F3AB26436}" srcOrd="0" destOrd="0" presId="urn:microsoft.com/office/officeart/2005/8/layout/orgChart1"/>
    <dgm:cxn modelId="{EE28D086-5603-4BD2-ADC9-15F230895081}" type="presOf" srcId="{47FA410A-5440-4FBB-8E46-817222FDBD3B}" destId="{D9B9FD1B-DEDE-44D9-8DC2-934D2B137288}" srcOrd="1" destOrd="0" presId="urn:microsoft.com/office/officeart/2005/8/layout/orgChart1"/>
    <dgm:cxn modelId="{21C88D88-10E2-4631-BEFC-2B4560BC75E2}" type="presOf" srcId="{26852B1F-B752-41F1-8DAF-BB9CB4E76980}" destId="{5D5AF22E-B88E-4FD9-92B7-C8E984D5504E}" srcOrd="1" destOrd="0" presId="urn:microsoft.com/office/officeart/2005/8/layout/orgChart1"/>
    <dgm:cxn modelId="{362BB089-D11F-48F9-A9B9-E98064F8CBD0}" type="presOf" srcId="{C130FB75-A2AC-4D7E-BF37-EBE80F70BC0A}" destId="{40675438-18A2-4112-9DFA-D9DFD8FA18EE}" srcOrd="0" destOrd="0" presId="urn:microsoft.com/office/officeart/2005/8/layout/orgChart1"/>
    <dgm:cxn modelId="{8F6A0C8B-37BB-4A11-8C02-D3EAB536DA67}" type="presOf" srcId="{64B99DEA-ED0A-4C55-9EF4-B294C8EBECFB}" destId="{25589F60-5E3A-442B-A994-82DE41FDE89E}" srcOrd="1" destOrd="0" presId="urn:microsoft.com/office/officeart/2005/8/layout/orgChart1"/>
    <dgm:cxn modelId="{2705AD8B-45DB-4B75-8B6E-0ADD67D5438E}" type="presOf" srcId="{72D24AA6-8183-4E3E-9057-753E7D9F8B4F}" destId="{DFA16796-F34B-4E74-8211-00E05B9DC25F}" srcOrd="0" destOrd="0" presId="urn:microsoft.com/office/officeart/2005/8/layout/orgChart1"/>
    <dgm:cxn modelId="{F34FB88B-7501-42DB-91EE-BCD346E860AC}" type="presOf" srcId="{AD53D6AE-C3E5-4D08-9A9C-756D21089556}" destId="{E731C67F-C594-468E-9986-EF39F7730EEC}" srcOrd="0" destOrd="0" presId="urn:microsoft.com/office/officeart/2005/8/layout/orgChart1"/>
    <dgm:cxn modelId="{B7AA848C-0708-4AE3-8881-701E1C93D089}" type="presOf" srcId="{D1F3DD8B-B2F1-435A-94B0-4B02A6EB7966}" destId="{C73370E3-5DB4-4A6F-9ABA-4D8868B24640}" srcOrd="0" destOrd="0" presId="urn:microsoft.com/office/officeart/2005/8/layout/orgChart1"/>
    <dgm:cxn modelId="{4394ED8C-3730-4101-B4C5-E1EE2ACAB660}" type="presOf" srcId="{AD53D6AE-C3E5-4D08-9A9C-756D21089556}" destId="{31AE4E9D-CCB7-48F4-9E67-2D82E8A6315C}" srcOrd="1" destOrd="0" presId="urn:microsoft.com/office/officeart/2005/8/layout/orgChart1"/>
    <dgm:cxn modelId="{A0144D8D-9725-4284-AC9D-FE863421F698}" type="presOf" srcId="{1B431C5F-0179-449F-94C2-BFF82B8B9ED3}" destId="{CDFB91D8-3866-4A06-A1EB-8281F4C9E920}" srcOrd="1" destOrd="0" presId="urn:microsoft.com/office/officeart/2005/8/layout/orgChart1"/>
    <dgm:cxn modelId="{B7FD2D8E-CC3D-49E4-A0E3-4CAA4A321FB7}" type="presOf" srcId="{535511F9-DE66-4487-B733-8C218D642449}" destId="{420528EF-CAD5-4926-A866-C472DCB35EDC}" srcOrd="0" destOrd="0" presId="urn:microsoft.com/office/officeart/2005/8/layout/orgChart1"/>
    <dgm:cxn modelId="{24F43E8E-6855-44EF-B991-7BC344BBA32B}" type="presOf" srcId="{C1D5136E-42CC-47E7-8EED-8DC83460032C}" destId="{E223331C-61AA-4ED6-A2EF-CF2FBCEECC42}" srcOrd="0" destOrd="0" presId="urn:microsoft.com/office/officeart/2005/8/layout/orgChart1"/>
    <dgm:cxn modelId="{C784428F-9946-4D54-983A-D52A794A9ECD}" srcId="{2183ED47-9AEE-41A7-9BC1-29C6F61179ED}" destId="{1B431C5F-0179-449F-94C2-BFF82B8B9ED3}" srcOrd="1" destOrd="0" parTransId="{21D9D3F0-61FC-49BC-895B-45ECB7321A21}" sibTransId="{8C8B2841-EDF2-4918-AC87-A03586E3F70D}"/>
    <dgm:cxn modelId="{2F046590-B446-4D1E-8DCC-4E7CFE04D91D}" type="presOf" srcId="{A4E39F4B-783D-4437-A94E-CA42A01A2C68}" destId="{0801A367-3AB8-4D84-96EB-B108BECA4AB1}" srcOrd="0" destOrd="0" presId="urn:microsoft.com/office/officeart/2005/8/layout/orgChart1"/>
    <dgm:cxn modelId="{D8B3B490-1B10-4DC6-A0EA-68C627C01A37}" type="presOf" srcId="{D91B2883-740A-47A3-B18A-193CF254D5F9}" destId="{FC51CE7F-2E67-44DB-8643-C4DB655D2D55}" srcOrd="1" destOrd="0" presId="urn:microsoft.com/office/officeart/2005/8/layout/orgChart1"/>
    <dgm:cxn modelId="{E475CA91-2E63-41D3-A3A5-9DF81756A299}" type="presOf" srcId="{6702191A-84D5-4B4F-9951-A7C6129B1765}" destId="{154E037B-52D8-42BA-9F28-032DAAF22C58}" srcOrd="0" destOrd="0" presId="urn:microsoft.com/office/officeart/2005/8/layout/orgChart1"/>
    <dgm:cxn modelId="{E9A9CA93-1D75-4C30-B431-3D5C7B74D57B}" srcId="{BE9A3B68-7D1F-4514-B608-7520AD729F5F}" destId="{3C15CB32-090C-488A-ABF4-0E73937418A7}" srcOrd="0" destOrd="0" parTransId="{761FC686-3A3F-4916-A5C4-17AE08A6D700}" sibTransId="{44C8F266-E448-4A95-BD11-AB78D4B584A9}"/>
    <dgm:cxn modelId="{9C8C8394-02BD-480A-A88A-7F06BC071488}" type="presOf" srcId="{B2B78C19-7EB7-42C6-867B-90EA3A396E46}" destId="{1764288C-9802-42B2-84AB-01FE30AAD382}" srcOrd="0" destOrd="0" presId="urn:microsoft.com/office/officeart/2005/8/layout/orgChart1"/>
    <dgm:cxn modelId="{9418FF95-2976-471D-A398-4E43DAAB0FD2}" srcId="{B6F7E06D-24E3-48BD-B79C-80AC404BA19E}" destId="{763353B0-3849-4740-8414-D72FFAA104ED}" srcOrd="2" destOrd="0" parTransId="{73B519EB-3D4F-4CBD-A90E-AA18489301C9}" sibTransId="{BF8D5F25-F58D-4ABD-86FE-7CFE5BC730C3}"/>
    <dgm:cxn modelId="{F57F1E96-8E2D-4F5F-88DE-0EBA2DE763ED}" type="presOf" srcId="{4D24D935-E32D-4D5F-8846-6A22BA92AF2A}" destId="{2C5F6FE5-1C48-4C59-B08C-4F765A73A3AD}" srcOrd="1" destOrd="0" presId="urn:microsoft.com/office/officeart/2005/8/layout/orgChart1"/>
    <dgm:cxn modelId="{EF582396-5436-414A-884E-6177749A7A89}" srcId="{FDBB829B-3C88-42ED-829D-77463A4D1420}" destId="{EA6D052B-2ECF-48BC-9EC5-0878A1526A71}" srcOrd="0" destOrd="0" parTransId="{A3289BCD-5449-49FF-A1DB-84513AE724D3}" sibTransId="{9B3B0537-C0DD-4B2F-B613-4ABC7F406DB0}"/>
    <dgm:cxn modelId="{E88B2F97-BB9C-4556-A4DB-E3EAEA123BB5}" type="presOf" srcId="{EA6D052B-2ECF-48BC-9EC5-0878A1526A71}" destId="{B8173261-19A9-4AEC-9EDF-FA10CA554E61}" srcOrd="1" destOrd="0" presId="urn:microsoft.com/office/officeart/2005/8/layout/orgChart1"/>
    <dgm:cxn modelId="{00263B97-C4BD-4837-8C79-AAC4BC6F5F1A}" type="presOf" srcId="{32B30FA1-2F37-4F48-8E62-A2986556420E}" destId="{5F2F2BC0-1450-48BA-A5D8-E10400E46CD7}" srcOrd="0" destOrd="0" presId="urn:microsoft.com/office/officeart/2005/8/layout/orgChart1"/>
    <dgm:cxn modelId="{29E75898-0D7C-4CCB-B224-3F3AB9150733}" type="presOf" srcId="{832918F0-8884-41CC-8609-5D84478FC809}" destId="{9BF46F81-C199-4D8A-91CE-35A064B8A7D9}" srcOrd="0" destOrd="0" presId="urn:microsoft.com/office/officeart/2005/8/layout/orgChart1"/>
    <dgm:cxn modelId="{7CC38198-A72F-4918-B270-09F41DD0F9D0}" type="presOf" srcId="{64D0DBA4-168A-448D-A625-EE2282FE0F41}" destId="{27AF9AD5-56D7-427B-9FB1-204930088D3F}" srcOrd="0" destOrd="0" presId="urn:microsoft.com/office/officeart/2005/8/layout/orgChart1"/>
    <dgm:cxn modelId="{2267E198-FC60-454D-9387-5390C562DE32}" srcId="{2456C976-B65F-4ADF-93AF-4B30292E9923}" destId="{28E76CA5-161D-409F-ABFB-50FAAFEC437E}" srcOrd="0" destOrd="0" parTransId="{73E524F7-6844-459F-A353-1B778E503E52}" sibTransId="{DE6755FC-7F23-43EC-8CB5-89B27F417704}"/>
    <dgm:cxn modelId="{D640E899-86B5-4D46-9C0C-1160057B5591}" srcId="{3184C940-E49C-4712-8484-C16CBD62177E}" destId="{95A0E7B6-867A-4DC2-8FEE-24BE50E9D59C}" srcOrd="1" destOrd="0" parTransId="{1E4995FC-44AE-4971-8EA7-E963F22A698C}" sibTransId="{31F36DDC-E46B-4615-B8CF-D482A44A6184}"/>
    <dgm:cxn modelId="{DC127D9C-4007-41A6-A68E-47C5212907E5}" type="presOf" srcId="{26C19B71-85DD-4AFB-BDC8-A7FF4906A1C7}" destId="{F5F39E34-B9B1-4354-9A59-2B47FA3FD5AD}" srcOrd="0" destOrd="0" presId="urn:microsoft.com/office/officeart/2005/8/layout/orgChart1"/>
    <dgm:cxn modelId="{CB8DF49C-6B9A-4C91-AD34-E7C5B00E6980}" srcId="{09BB34B2-1A63-41ED-A3AD-2FE28F8A2D40}" destId="{415D33F4-E960-4FCD-968F-A71D3E04E4F7}" srcOrd="0" destOrd="0" parTransId="{4EC22B40-B19C-443E-86BC-544D91E47055}" sibTransId="{04B4F80F-A18C-4A40-8A49-36960C784904}"/>
    <dgm:cxn modelId="{53DC5E9D-8E80-42B0-9525-5F55B356DBF5}" type="presOf" srcId="{6FE40B6E-D192-4D04-A92F-FB02BC0A163C}" destId="{C147871B-96DF-4E48-8721-B37048427D48}" srcOrd="0" destOrd="0" presId="urn:microsoft.com/office/officeart/2005/8/layout/orgChart1"/>
    <dgm:cxn modelId="{E4E22F9E-48A3-499B-8D00-4025033133C8}" type="presOf" srcId="{46030C2D-D5C0-482E-8DF2-0E9B174DBA10}" destId="{9FA8B016-193F-4865-A12E-7AAED3154C4C}" srcOrd="0" destOrd="0" presId="urn:microsoft.com/office/officeart/2005/8/layout/orgChart1"/>
    <dgm:cxn modelId="{9B73C8A0-E744-4C08-8AA2-214058EF0D56}" type="presOf" srcId="{ED23D0F1-3117-4BEA-A567-4A1759EC0EF0}" destId="{E006125D-B964-4121-A66F-F98618120912}" srcOrd="1" destOrd="0" presId="urn:microsoft.com/office/officeart/2005/8/layout/orgChart1"/>
    <dgm:cxn modelId="{F614E5A0-777A-4C1B-B65D-DA8F688E9C65}" type="presOf" srcId="{5A792F40-076F-4943-A722-9F10B2889D85}" destId="{F17A0485-2831-407C-B216-49B42596F59A}" srcOrd="0" destOrd="0" presId="urn:microsoft.com/office/officeart/2005/8/layout/orgChart1"/>
    <dgm:cxn modelId="{FB456CA2-8A76-478A-B8B3-1D572ECE2BEC}" type="presOf" srcId="{3C80B9FD-7761-47AE-935E-E4B9121435C6}" destId="{CD292F8F-D8F4-4C40-A49A-B75D839A5E81}" srcOrd="1" destOrd="0" presId="urn:microsoft.com/office/officeart/2005/8/layout/orgChart1"/>
    <dgm:cxn modelId="{73B5CAA2-D89B-416A-9512-B47AFDC7A3CB}" type="presOf" srcId="{61A0FC2D-ACD1-4E6C-9E3E-DAB311093A95}" destId="{CF1D4EBB-230C-441E-8106-A065024816DA}" srcOrd="0" destOrd="0" presId="urn:microsoft.com/office/officeart/2005/8/layout/orgChart1"/>
    <dgm:cxn modelId="{30E1D2A2-6637-4266-840B-80F0ADA65B08}" type="presOf" srcId="{0DD81D09-4A0F-4EA4-927F-12F3030BAC04}" destId="{C8A5E1B2-6295-43AA-922D-185174C2B736}" srcOrd="0" destOrd="0" presId="urn:microsoft.com/office/officeart/2005/8/layout/orgChart1"/>
    <dgm:cxn modelId="{1C02DCA2-41D9-42A7-8F86-8C840D84FB0D}" type="presOf" srcId="{26DBB1E2-21D1-459E-B313-E675E9B4FE81}" destId="{1386C852-0131-4D27-AC84-8577E0286D67}" srcOrd="0" destOrd="0" presId="urn:microsoft.com/office/officeart/2005/8/layout/orgChart1"/>
    <dgm:cxn modelId="{D49740A4-DE30-441E-B137-DDA3DEE5A92A}" type="presOf" srcId="{19DCDF77-ACD1-411A-A904-8A2424148B61}" destId="{5141672C-2102-48DA-BDC9-4F7588F335B0}" srcOrd="0" destOrd="0" presId="urn:microsoft.com/office/officeart/2005/8/layout/orgChart1"/>
    <dgm:cxn modelId="{FDD9A7A4-3425-491F-BEEA-5AD337043C5B}" type="presOf" srcId="{9157FF50-3BB1-49DD-B1D4-C69B9963EBEA}" destId="{9DECD1F5-F2C5-4266-929C-14D9FA04730C}" srcOrd="0" destOrd="0" presId="urn:microsoft.com/office/officeart/2005/8/layout/orgChart1"/>
    <dgm:cxn modelId="{D35B34A6-2E9A-41B4-BD97-38C857D7F496}" type="presOf" srcId="{18BD874B-DE1A-4C9D-8098-25D9928B3632}" destId="{90B73D8E-1AAB-4B0F-97D5-02C481314EEA}" srcOrd="1" destOrd="0" presId="urn:microsoft.com/office/officeart/2005/8/layout/orgChart1"/>
    <dgm:cxn modelId="{B736A4A7-C511-4420-83F2-6B6ADE8B77E3}" type="presOf" srcId="{3184C940-E49C-4712-8484-C16CBD62177E}" destId="{62A2696F-B8A4-419F-BEF4-EA685E72A938}" srcOrd="1" destOrd="0" presId="urn:microsoft.com/office/officeart/2005/8/layout/orgChart1"/>
    <dgm:cxn modelId="{22BE45AA-7787-4046-82B9-FB381F79E63D}" srcId="{415D33F4-E960-4FCD-968F-A71D3E04E4F7}" destId="{6A6E4B31-3C2F-49A0-A059-77C9741F17C9}" srcOrd="0" destOrd="0" parTransId="{B63D8BC9-C7A0-487F-B503-CAE301B8A55A}" sibTransId="{46258266-A4CF-4926-9CFF-B760F4C86C1B}"/>
    <dgm:cxn modelId="{C2679BAA-8A89-40FC-BF29-293F64B398DF}" type="presOf" srcId="{FE638C8F-6D0A-4899-904B-4BD89EB54E42}" destId="{AC3D2619-832D-4097-A9AC-C4428D646217}" srcOrd="0" destOrd="0" presId="urn:microsoft.com/office/officeart/2005/8/layout/orgChart1"/>
    <dgm:cxn modelId="{2D3F5AAB-3FDB-49C9-A4B8-0298E1CD3D14}" type="presOf" srcId="{32B30FA1-2F37-4F48-8E62-A2986556420E}" destId="{AD72DAB3-6F34-46E1-BB4F-C9003A72D964}" srcOrd="1" destOrd="0" presId="urn:microsoft.com/office/officeart/2005/8/layout/orgChart1"/>
    <dgm:cxn modelId="{8E9AE0AB-A5CB-4533-8DD7-3248B7720F8D}" type="presOf" srcId="{332C6210-1BC2-45A9-8B13-CA1D9A9605FE}" destId="{C354C116-6401-4C48-BEA8-CEE33BB370E1}" srcOrd="1" destOrd="0" presId="urn:microsoft.com/office/officeart/2005/8/layout/orgChart1"/>
    <dgm:cxn modelId="{994CBFAC-D8BD-445A-8E59-68125BB2F98C}" srcId="{5EAB8F2A-4E5A-473C-B442-34B4821616DC}" destId="{3184C940-E49C-4712-8484-C16CBD62177E}" srcOrd="0" destOrd="0" parTransId="{ADF72A5A-A829-4667-8688-8906222F379E}" sibTransId="{A67710DB-5E69-427B-A1B4-8A25F41BC0DA}"/>
    <dgm:cxn modelId="{77A42AAF-508B-42CE-B044-6AAA251CEB9B}" type="presOf" srcId="{A4E39F4B-783D-4437-A94E-CA42A01A2C68}" destId="{765754BE-7541-4CA1-AFA5-1918464C72D9}" srcOrd="1" destOrd="0" presId="urn:microsoft.com/office/officeart/2005/8/layout/orgChart1"/>
    <dgm:cxn modelId="{7A4AF3AF-6AF0-4ABA-AA3F-F61DD586CF0F}" type="presOf" srcId="{26C19B71-85DD-4AFB-BDC8-A7FF4906A1C7}" destId="{865085F1-5518-450B-9EDD-14A249A7C25E}" srcOrd="1" destOrd="0" presId="urn:microsoft.com/office/officeart/2005/8/layout/orgChart1"/>
    <dgm:cxn modelId="{FF414FB0-BDE8-488F-AC60-B448F2A0B44D}" type="presOf" srcId="{95A0E7B6-867A-4DC2-8FEE-24BE50E9D59C}" destId="{60570BA5-FCFA-46D1-A486-12C3892156DA}" srcOrd="1" destOrd="0" presId="urn:microsoft.com/office/officeart/2005/8/layout/orgChart1"/>
    <dgm:cxn modelId="{C3CC71B1-7401-46F8-9544-E96C412CBC85}" srcId="{A4E39F4B-783D-4437-A94E-CA42A01A2C68}" destId="{83E21AFF-A1F0-4959-AE2B-B079776A6FC2}" srcOrd="0" destOrd="0" parTransId="{E95BCA44-F14B-4222-BBBD-48345F99471A}" sibTransId="{5BD93C64-0782-4FA4-808C-00D2BC213621}"/>
    <dgm:cxn modelId="{8E1EA9B1-BC8A-4231-BF47-A542CA38BFFD}" srcId="{32B30FA1-2F37-4F48-8E62-A2986556420E}" destId="{D91B2883-740A-47A3-B18A-193CF254D5F9}" srcOrd="0" destOrd="0" parTransId="{916E351F-35B3-4628-ABBD-A463A6588698}" sibTransId="{073F25B0-122F-4CAE-AA8C-F6DB136AA759}"/>
    <dgm:cxn modelId="{FE0E6FB3-AF16-4C62-9DFD-52D070DEA4D0}" srcId="{332C6210-1BC2-45A9-8B13-CA1D9A9605FE}" destId="{BE9A3B68-7D1F-4514-B608-7520AD729F5F}" srcOrd="0" destOrd="0" parTransId="{A0D9AA86-F679-4DCB-A451-9EC15ED8B8E7}" sibTransId="{B136DEFC-1BC6-4D8B-BCE0-FB7015627F48}"/>
    <dgm:cxn modelId="{491F74B4-18EA-4F32-B39E-9DBEAD36F66E}" type="presOf" srcId="{81835AC8-A71B-41A7-87A8-ED1805F985F6}" destId="{936571C3-F51D-4A2F-96D5-A28FBA4DEB76}" srcOrd="1" destOrd="0" presId="urn:microsoft.com/office/officeart/2005/8/layout/orgChart1"/>
    <dgm:cxn modelId="{5DA1BCB4-4C2B-4557-8A54-890554C8B141}" type="presOf" srcId="{ED23D0F1-3117-4BEA-A567-4A1759EC0EF0}" destId="{121D9BAE-1845-4EC6-8471-A5FC827E216A}" srcOrd="0" destOrd="0" presId="urn:microsoft.com/office/officeart/2005/8/layout/orgChart1"/>
    <dgm:cxn modelId="{86AF9AB7-449E-4CE9-A8F5-C64A787B04C9}" type="presOf" srcId="{CB99EA99-0958-4287-AE3D-CD17CA94E5AD}" destId="{6D8001AC-2396-47A1-B42B-5C5C0B810175}" srcOrd="0" destOrd="0" presId="urn:microsoft.com/office/officeart/2005/8/layout/orgChart1"/>
    <dgm:cxn modelId="{9896DDB7-1441-4D02-B85B-288C903D6E94}" srcId="{F6D21C01-49C0-4CFF-BA53-E503CCAAED52}" destId="{47FA410A-5440-4FBB-8E46-817222FDBD3B}" srcOrd="0" destOrd="0" parTransId="{878956E8-226B-4B89-90D5-7C64622C22AF}" sibTransId="{05B23038-D00A-4B98-BE76-55A969691CAA}"/>
    <dgm:cxn modelId="{C23C1ABA-57FA-4945-A89D-EB652DF99058}" type="presOf" srcId="{A1E66DA0-EBA1-468A-BE0B-707D04CE3F0B}" destId="{10D5EF48-E3EC-4649-973B-BC20D3B4ED90}" srcOrd="0" destOrd="0" presId="urn:microsoft.com/office/officeart/2005/8/layout/orgChart1"/>
    <dgm:cxn modelId="{3B434DBA-EF7B-4F35-AAFC-6E6BFE52D51D}" type="presOf" srcId="{D6B9B643-9CC7-4D39-A4FA-D7282A5930BC}" destId="{5076F817-D235-4360-8C54-33BDEDE208AF}" srcOrd="0" destOrd="0" presId="urn:microsoft.com/office/officeart/2005/8/layout/orgChart1"/>
    <dgm:cxn modelId="{465F3DBB-06CF-4510-BC63-C6502B8B0123}" type="presOf" srcId="{18BD874B-DE1A-4C9D-8098-25D9928B3632}" destId="{B18B549D-5D45-4E25-8D45-FDAAFC9B0031}" srcOrd="0" destOrd="0" presId="urn:microsoft.com/office/officeart/2005/8/layout/orgChart1"/>
    <dgm:cxn modelId="{1ADEC3BC-E6EE-4F0C-9D0E-8CDEEAECED4D}" type="presOf" srcId="{6A2345A9-7B3B-418D-988F-B92FBF0B9DB3}" destId="{4F81555B-5D85-488A-82FE-20E63E752D1E}" srcOrd="0" destOrd="0" presId="urn:microsoft.com/office/officeart/2005/8/layout/orgChart1"/>
    <dgm:cxn modelId="{35A245BD-CD1F-44B6-A8D0-CABCCBD1A058}" type="presOf" srcId="{B43A7DFB-A1BC-4E0B-B17C-885B461BFC5C}" destId="{AA898D87-38E5-492C-B835-6FD9A8719D5E}" srcOrd="1" destOrd="0" presId="urn:microsoft.com/office/officeart/2005/8/layout/orgChart1"/>
    <dgm:cxn modelId="{1513D6C0-822D-4688-B29D-D55B33FA6CA9}" type="presOf" srcId="{7A8A1A3B-6D64-4EA4-A2C0-3BDB2521D6AF}" destId="{4FF355BD-A8F2-4FB1-AA9E-109646CCB100}" srcOrd="0" destOrd="0" presId="urn:microsoft.com/office/officeart/2005/8/layout/orgChart1"/>
    <dgm:cxn modelId="{151321C1-9D3C-4144-A750-7D13D301D8EB}" type="presOf" srcId="{ADF72A5A-A829-4667-8688-8906222F379E}" destId="{2B193FED-FF2D-4595-AB78-D7F834EA5F7B}" srcOrd="0" destOrd="0" presId="urn:microsoft.com/office/officeart/2005/8/layout/orgChart1"/>
    <dgm:cxn modelId="{3FE0EFC1-7A28-4FD5-B088-85277088C529}" type="presOf" srcId="{09BB34B2-1A63-41ED-A3AD-2FE28F8A2D40}" destId="{2A950BF4-F26D-4ECC-BDE6-B0ED7CC0470F}" srcOrd="0" destOrd="0" presId="urn:microsoft.com/office/officeart/2005/8/layout/orgChart1"/>
    <dgm:cxn modelId="{3D5480C3-1742-40BF-A814-725D23819270}" srcId="{FDBB829B-3C88-42ED-829D-77463A4D1420}" destId="{9A3F9E56-13B7-4CB1-BF3A-29530BCA582F}" srcOrd="1" destOrd="0" parTransId="{06B15925-15ED-4685-96CA-C012AE2C5275}" sibTransId="{167BE09A-39B3-4F27-B6A8-87ADFD1E21E7}"/>
    <dgm:cxn modelId="{6384B8C4-7E97-4112-A808-A56688B753F3}" type="presOf" srcId="{0645715D-9A69-4A1E-AF3D-7AA12FEA7F9C}" destId="{99D24377-E7F3-413D-852A-D662844386DA}" srcOrd="0" destOrd="0" presId="urn:microsoft.com/office/officeart/2005/8/layout/orgChart1"/>
    <dgm:cxn modelId="{80E218C5-C4B5-4419-AB16-9865DAE1FB91}" srcId="{2183ED47-9AEE-41A7-9BC1-29C6F61179ED}" destId="{19DCDF77-ACD1-411A-A904-8A2424148B61}" srcOrd="0" destOrd="0" parTransId="{6A2345A9-7B3B-418D-988F-B92FBF0B9DB3}" sibTransId="{22A0DBB4-1798-47F0-940D-6475B82D4972}"/>
    <dgm:cxn modelId="{E6B0CCC5-A76E-4A7B-91BF-65523ADA4900}" type="presOf" srcId="{3C15CB32-090C-488A-ABF4-0E73937418A7}" destId="{308EC26F-11CF-428E-BF5B-772AEFFA16FB}" srcOrd="0" destOrd="0" presId="urn:microsoft.com/office/officeart/2005/8/layout/orgChart1"/>
    <dgm:cxn modelId="{0D4BD6C5-79E7-4A7E-BA40-F251ABD6F065}" type="presOf" srcId="{6497CD3F-3D5D-4E7E-A361-E3D998A2BB75}" destId="{7591982C-FF01-4413-9F0B-34397A590457}" srcOrd="0" destOrd="0" presId="urn:microsoft.com/office/officeart/2005/8/layout/orgChart1"/>
    <dgm:cxn modelId="{0C6CE9C8-8B21-4C31-A48A-82A2A72381F7}" srcId="{763353B0-3849-4740-8414-D72FFAA104ED}" destId="{4D24D935-E32D-4D5F-8846-6A22BA92AF2A}" srcOrd="1" destOrd="0" parTransId="{E9255337-556F-4043-BAA3-D69DE90F0755}" sibTransId="{5B643B9E-C4B3-44EC-AAC7-80DC52B73F15}"/>
    <dgm:cxn modelId="{8F7E68C9-D499-4C69-8BEC-A0031381654F}" srcId="{535511F9-DE66-4487-B733-8C218D642449}" destId="{64D0DBA4-168A-448D-A625-EE2282FE0F41}" srcOrd="0" destOrd="0" parTransId="{D1F3DD8B-B2F1-435A-94B0-4B02A6EB7966}" sibTransId="{61C2C2C9-D5B0-4B39-821C-0DB5B84A4CEC}"/>
    <dgm:cxn modelId="{583AB9C9-A545-4A7B-9775-CEFE34C31699}" type="presOf" srcId="{C6E2F267-FABF-4B85-94C0-70EEFED92F94}" destId="{F5C36DC2-D86B-46D8-A809-B0DFC59A6E15}" srcOrd="1" destOrd="0" presId="urn:microsoft.com/office/officeart/2005/8/layout/orgChart1"/>
    <dgm:cxn modelId="{E8E2E8C9-C3C0-4271-B363-DE12AA3BF463}" type="presOf" srcId="{FD5B224E-D798-452E-A917-66D5D44986FE}" destId="{CAE63F87-6FB2-4BCC-83D0-EBAE4CB28E7D}" srcOrd="0" destOrd="0" presId="urn:microsoft.com/office/officeart/2005/8/layout/orgChart1"/>
    <dgm:cxn modelId="{F7F557CA-DC5B-40CD-9438-4AF325A6AEDA}" type="presOf" srcId="{2847292B-01CF-403F-A958-85CB8EC6E80D}" destId="{867D0202-22AE-418E-80EF-B0F9347B2824}" srcOrd="0" destOrd="0" presId="urn:microsoft.com/office/officeart/2005/8/layout/orgChart1"/>
    <dgm:cxn modelId="{3CC725CC-2546-43BD-818A-976319A27944}" type="presOf" srcId="{21D9D3F0-61FC-49BC-895B-45ECB7321A21}" destId="{C63E9CB0-C292-4827-92D9-66E6FE871279}" srcOrd="0" destOrd="0" presId="urn:microsoft.com/office/officeart/2005/8/layout/orgChart1"/>
    <dgm:cxn modelId="{F47F60CC-5237-4518-B134-FC0A64150A31}" type="presOf" srcId="{83E21AFF-A1F0-4959-AE2B-B079776A6FC2}" destId="{8BF81CF0-2638-4B91-8A77-C4F4E277B8A1}" srcOrd="0" destOrd="0" presId="urn:microsoft.com/office/officeart/2005/8/layout/orgChart1"/>
    <dgm:cxn modelId="{39284FCC-505A-425B-80A1-60B37AA809FF}" srcId="{BE9A3B68-7D1F-4514-B608-7520AD729F5F}" destId="{2456C976-B65F-4ADF-93AF-4B30292E9923}" srcOrd="1" destOrd="0" parTransId="{8A243D72-41E4-495D-816B-E4923E0CBD82}" sibTransId="{51803504-DC91-4963-918E-28E8E22FF528}"/>
    <dgm:cxn modelId="{066E5ACF-1C77-4351-A054-7A2A407B9BB4}" type="presOf" srcId="{A3289BCD-5449-49FF-A1DB-84513AE724D3}" destId="{F98C8F4E-B276-4E71-9197-ADCDF011346F}" srcOrd="0" destOrd="0" presId="urn:microsoft.com/office/officeart/2005/8/layout/orgChart1"/>
    <dgm:cxn modelId="{49B11DD2-0A4A-4048-B0FD-45D71B492E12}" type="presOf" srcId="{C5972743-1B3B-417D-B430-7599F171CF53}" destId="{43E21FD7-D000-4519-B8A9-8F1BED5D3B67}" srcOrd="1" destOrd="0" presId="urn:microsoft.com/office/officeart/2005/8/layout/orgChart1"/>
    <dgm:cxn modelId="{87175ED2-7B25-431E-8D88-0460E19F32F2}" srcId="{415D33F4-E960-4FCD-968F-A71D3E04E4F7}" destId="{AD53D6AE-C3E5-4D08-9A9C-756D21089556}" srcOrd="1" destOrd="0" parTransId="{24648BAA-EFDC-4FA3-979D-9A5F571938EA}" sibTransId="{69BA2A89-F3E0-4C23-8BF8-B98E7FF601AB}"/>
    <dgm:cxn modelId="{E93BC6D3-E033-4CD9-8F0C-7ECB1E4B45FF}" type="presOf" srcId="{061B9782-C0EC-4C4F-BD8E-B5849919D515}" destId="{CB20326E-BCA6-4DB8-AD5D-889091FA9359}" srcOrd="1" destOrd="0" presId="urn:microsoft.com/office/officeart/2005/8/layout/orgChart1"/>
    <dgm:cxn modelId="{D3E437D5-D6BC-448F-B9F8-C91A85550560}" type="presOf" srcId="{45F6CA26-C1F4-4059-B737-7F7760919532}" destId="{BFAB83D1-1A9C-49D7-BE4C-7E167D3DFF4B}" srcOrd="0" destOrd="0" presId="urn:microsoft.com/office/officeart/2005/8/layout/orgChart1"/>
    <dgm:cxn modelId="{0B3E84D6-E910-4564-8D23-6FEB5D86C936}" type="presOf" srcId="{BB80A568-80E7-49FA-A59F-E8BA7AB0CE7D}" destId="{031696CE-EFC3-4C94-AA2A-C83EE5FAE31F}" srcOrd="1" destOrd="0" presId="urn:microsoft.com/office/officeart/2005/8/layout/orgChart1"/>
    <dgm:cxn modelId="{7832F3D6-5ECF-4B0E-A936-B7291ACEFCC7}" type="presOf" srcId="{83A1D584-FC25-4DCC-B744-AC464D97F8B6}" destId="{E24A6C78-28D8-489C-AE6C-934693B270DB}" srcOrd="0" destOrd="0" presId="urn:microsoft.com/office/officeart/2005/8/layout/orgChart1"/>
    <dgm:cxn modelId="{EC5FFDD6-9A43-4CF1-964D-632CAF4BA85E}" type="presOf" srcId="{64B99DEA-ED0A-4C55-9EF4-B294C8EBECFB}" destId="{0E6403D1-BFFC-4E30-BC32-69E214296962}" srcOrd="0" destOrd="0" presId="urn:microsoft.com/office/officeart/2005/8/layout/orgChart1"/>
    <dgm:cxn modelId="{3EC841D7-4EE6-4332-A0A9-702CEE2DB482}" type="presOf" srcId="{FDBB829B-3C88-42ED-829D-77463A4D1420}" destId="{67DAEDEC-DE18-4AB7-8097-B4A4C1C0BC4D}" srcOrd="1" destOrd="0" presId="urn:microsoft.com/office/officeart/2005/8/layout/orgChart1"/>
    <dgm:cxn modelId="{B43368D7-4E71-4BCE-913C-259556ADBA5F}" type="presOf" srcId="{0E8EEF20-419C-4577-81D9-52E73967FE20}" destId="{8AA391DE-CE58-49EC-B415-B15568FC37E1}" srcOrd="0" destOrd="0" presId="urn:microsoft.com/office/officeart/2005/8/layout/orgChart1"/>
    <dgm:cxn modelId="{4CDA23D8-50F9-45B8-B08D-B73C38D0CA9D}" type="presOf" srcId="{3C15CB32-090C-488A-ABF4-0E73937418A7}" destId="{D764F21C-70D7-4550-AA31-062E93897F42}" srcOrd="1" destOrd="0" presId="urn:microsoft.com/office/officeart/2005/8/layout/orgChart1"/>
    <dgm:cxn modelId="{4BEC5ADB-30CA-4CBF-9DF3-CE75C9DB479A}" srcId="{EB33C947-0DBE-40E5-89F1-05A0016ED4A7}" destId="{6FE40B6E-D192-4D04-A92F-FB02BC0A163C}" srcOrd="1" destOrd="0" parTransId="{C8903DEE-936A-4676-83EC-4CD18DF5D8D9}" sibTransId="{A084D2D6-2807-4F94-9FA8-4DD980B00307}"/>
    <dgm:cxn modelId="{344E5DDC-C688-426D-95EA-C246FEA8C84C}" srcId="{8DCBD500-83EC-40FF-A68C-72CC8EF18A34}" destId="{26C19B71-85DD-4AFB-BDC8-A7FF4906A1C7}" srcOrd="0" destOrd="0" parTransId="{46030C2D-D5C0-482E-8DF2-0E9B174DBA10}" sibTransId="{ABC95781-C650-4294-85B8-A48F7316D0BF}"/>
    <dgm:cxn modelId="{1E1A7EDC-0137-4DF0-BE6C-CA162C5C21AF}" type="presOf" srcId="{F184CD34-7D5B-4ED9-980C-198ECD34029F}" destId="{0166B910-E438-42AE-BE8A-41F7C27518A5}" srcOrd="0" destOrd="0" presId="urn:microsoft.com/office/officeart/2005/8/layout/orgChart1"/>
    <dgm:cxn modelId="{289319DE-EB22-40F1-977C-056A7AFF34EF}" srcId="{6A6E4B31-3C2F-49A0-A059-77C9741F17C9}" destId="{D0D8ECDA-ABF2-43D1-825B-BA6E5B911F4B}" srcOrd="0" destOrd="0" parTransId="{B2B78C19-7EB7-42C6-867B-90EA3A396E46}" sibTransId="{50E40054-0804-477B-A973-BAB7E4D8B786}"/>
    <dgm:cxn modelId="{3FC1F0DE-1728-4C50-A78F-5ED433F28D41}" srcId="{9A3F9E56-13B7-4CB1-BF3A-29530BCA582F}" destId="{F8F8FC4E-3E0A-484D-AAD0-44FA8992E922}" srcOrd="0" destOrd="0" parTransId="{7A8A1A3B-6D64-4EA4-A2C0-3BDB2521D6AF}" sibTransId="{8570C19B-2E3D-4E09-9BF6-134C5C299FEC}"/>
    <dgm:cxn modelId="{534D5FDF-76D5-4D93-836C-29AFF832DD93}" type="presOf" srcId="{415D33F4-E960-4FCD-968F-A71D3E04E4F7}" destId="{6385DC8D-AC33-47C6-97FA-65C8D3111526}" srcOrd="0" destOrd="0" presId="urn:microsoft.com/office/officeart/2005/8/layout/orgChart1"/>
    <dgm:cxn modelId="{6AD7FADF-9762-46F1-A48C-7E202D635B18}" srcId="{EA6D052B-2ECF-48BC-9EC5-0878A1526A71}" destId="{E886B430-4BC1-4137-A1C6-BF3A246DB76D}" srcOrd="1" destOrd="0" parTransId="{44F5DE92-CDF4-464A-8C84-55785783EB86}" sibTransId="{B718FFE5-2560-4CD5-AD15-2FDC2B264BEE}"/>
    <dgm:cxn modelId="{259E1FE1-065F-44AB-8F46-084BDFDA2B6B}" type="presOf" srcId="{BB80A568-80E7-49FA-A59F-E8BA7AB0CE7D}" destId="{92900BBA-5ABE-4FF9-BB49-137BDFCD4D72}" srcOrd="0" destOrd="0" presId="urn:microsoft.com/office/officeart/2005/8/layout/orgChart1"/>
    <dgm:cxn modelId="{B1AE89E1-1403-46B1-B517-3DB12378C95C}" type="presOf" srcId="{D0D8ECDA-ABF2-43D1-825B-BA6E5B911F4B}" destId="{FA7F9612-47CB-4AB2-916E-ED7BBEC54E4D}" srcOrd="1" destOrd="0" presId="urn:microsoft.com/office/officeart/2005/8/layout/orgChart1"/>
    <dgm:cxn modelId="{F78079E2-7C6B-4FC5-87F3-94E733BFCEB4}" type="presOf" srcId="{EA204522-3C4B-4829-B9F8-8DB420C3F2C6}" destId="{BB6E03EC-8B49-43C2-8A54-0E2A53D921ED}" srcOrd="0" destOrd="0" presId="urn:microsoft.com/office/officeart/2005/8/layout/orgChart1"/>
    <dgm:cxn modelId="{C00BEEE2-1E24-4FF7-9206-732CF9F74F60}" srcId="{AD53D6AE-C3E5-4D08-9A9C-756D21089556}" destId="{535511F9-DE66-4487-B733-8C218D642449}" srcOrd="0" destOrd="0" parTransId="{6497CD3F-3D5D-4E7E-A361-E3D998A2BB75}" sibTransId="{F0C2BFFB-2B07-42FA-875A-11EACF5688AE}"/>
    <dgm:cxn modelId="{3B3C6FE3-4125-4174-B9E2-659ED2DA464E}" srcId="{9A3F9E56-13B7-4CB1-BF3A-29530BCA582F}" destId="{E9FF7940-8C56-4DFB-90EB-C4DE93A88116}" srcOrd="1" destOrd="0" parTransId="{9157FF50-3BB1-49DD-B1D4-C69B9963EBEA}" sibTransId="{3CABDE2E-7197-47C3-9D67-324E9D923C27}"/>
    <dgm:cxn modelId="{44E4EBE3-218A-4914-9ED8-4D399CDC2CD5}" srcId="{3C15CB32-090C-488A-ABF4-0E73937418A7}" destId="{EA204522-3C4B-4829-B9F8-8DB420C3F2C6}" srcOrd="0" destOrd="0" parTransId="{C130FB75-A2AC-4D7E-BF37-EBE80F70BC0A}" sibTransId="{24336607-4022-4C99-BFF0-E38A9DCE588B}"/>
    <dgm:cxn modelId="{11131AE4-F2F2-4453-B34C-A358F71D8632}" srcId="{B6F7E06D-24E3-48BD-B79C-80AC404BA19E}" destId="{A4E39F4B-783D-4437-A94E-CA42A01A2C68}" srcOrd="0" destOrd="0" parTransId="{F41BA381-825A-4B44-A6DB-0BC51DC53A31}" sibTransId="{4520E981-F46D-4088-AC00-AD6529221ED6}"/>
    <dgm:cxn modelId="{9F58E6E5-7EEA-4D8C-BA97-787A4D391352}" type="presOf" srcId="{5EAB8F2A-4E5A-473C-B442-34B4821616DC}" destId="{BF4CD235-9BC8-40E5-8CE9-1B7ED146D5B8}" srcOrd="1" destOrd="0" presId="urn:microsoft.com/office/officeart/2005/8/layout/orgChart1"/>
    <dgm:cxn modelId="{19B328E7-E4E7-4472-9404-6737D2588F37}" type="presOf" srcId="{F3B63C8D-5F82-49C0-B1E0-9B978AAA016B}" destId="{FAD198CE-12B8-4979-9FFD-5FE6C8B5C40E}" srcOrd="0" destOrd="0" presId="urn:microsoft.com/office/officeart/2005/8/layout/orgChart1"/>
    <dgm:cxn modelId="{5650A6E7-89DA-455F-9DF6-1E07A00F01D6}" type="presOf" srcId="{2D223E41-FFCE-43EA-A912-97398AFB7417}" destId="{4C05C56D-E193-410D-97AA-175DF4862606}" srcOrd="0" destOrd="0" presId="urn:microsoft.com/office/officeart/2005/8/layout/orgChart1"/>
    <dgm:cxn modelId="{6F7E01EB-D3E1-4041-892F-F30A952EFA23}" type="presOf" srcId="{D91B2883-740A-47A3-B18A-193CF254D5F9}" destId="{4449885B-4833-4E35-BA13-423C07C7B30E}" srcOrd="0" destOrd="0" presId="urn:microsoft.com/office/officeart/2005/8/layout/orgChart1"/>
    <dgm:cxn modelId="{C9805DEB-B550-4C49-9D60-AD76644259C1}" type="presOf" srcId="{FDBB829B-3C88-42ED-829D-77463A4D1420}" destId="{1837E658-642F-43AA-B207-E77D6506A0BB}" srcOrd="0" destOrd="0" presId="urn:microsoft.com/office/officeart/2005/8/layout/orgChart1"/>
    <dgm:cxn modelId="{EF0B65ED-A6A7-401C-8AA3-39F62510E2CD}" srcId="{09BB34B2-1A63-41ED-A3AD-2FE28F8A2D40}" destId="{332C6210-1BC2-45A9-8B13-CA1D9A9605FE}" srcOrd="1" destOrd="0" parTransId="{F3B63C8D-5F82-49C0-B1E0-9B978AAA016B}" sibTransId="{D020746E-F091-4273-BFFE-665CAF040EAC}"/>
    <dgm:cxn modelId="{146A2EEE-6EE1-4817-B1F8-DAF0CB15A314}" type="presOf" srcId="{C6E2F267-FABF-4B85-94C0-70EEFED92F94}" destId="{DD8E6E22-BB23-4A36-8A30-39430B137B20}" srcOrd="0" destOrd="0" presId="urn:microsoft.com/office/officeart/2005/8/layout/orgChart1"/>
    <dgm:cxn modelId="{80305EEE-23F0-448F-9641-1B39170EAE6F}" srcId="{AD53D6AE-C3E5-4D08-9A9C-756D21089556}" destId="{0645715D-9A69-4A1E-AF3D-7AA12FEA7F9C}" srcOrd="2" destOrd="0" parTransId="{3BF91958-BADA-423E-A9BA-3466124306D5}" sibTransId="{E57DBD8E-4958-4AF3-8403-CBA77E661D83}"/>
    <dgm:cxn modelId="{FEEE6EEE-A559-4DF6-911B-6F4BF1A2D56D}" type="presOf" srcId="{5B7C7653-1C9C-40A2-A78C-AD2E4F7B1035}" destId="{739220A5-B424-4D00-BA09-DAE9C40B664F}" srcOrd="0" destOrd="0" presId="urn:microsoft.com/office/officeart/2005/8/layout/orgChart1"/>
    <dgm:cxn modelId="{A87450EF-FAD8-41C8-BB6C-FB2269F0EBE8}" type="presOf" srcId="{061B9782-C0EC-4C4F-BD8E-B5849919D515}" destId="{D3FA45D9-6FE9-41BC-950C-84BBA00CDC7B}" srcOrd="0" destOrd="0" presId="urn:microsoft.com/office/officeart/2005/8/layout/orgChart1"/>
    <dgm:cxn modelId="{B12D8DF0-708F-40F2-8E82-D2E2303E5B37}" type="presOf" srcId="{E95BCA44-F14B-4222-BBBD-48345F99471A}" destId="{F64790F7-7FBB-4913-A0AF-CFAC30A3E2FE}" srcOrd="0" destOrd="0" presId="urn:microsoft.com/office/officeart/2005/8/layout/orgChart1"/>
    <dgm:cxn modelId="{6939BDF1-5016-4592-B326-FDAECC60DFC8}" type="presOf" srcId="{0D92D3DC-9509-4BD3-B5BD-77435F04C873}" destId="{6106C85A-C057-4195-B90C-A20CE8907F10}" srcOrd="0" destOrd="0" presId="urn:microsoft.com/office/officeart/2005/8/layout/orgChart1"/>
    <dgm:cxn modelId="{0F2DF6F1-4552-4DD8-9371-CF222AA4A30B}" type="presOf" srcId="{1E4995FC-44AE-4971-8EA7-E963F22A698C}" destId="{C4CBBD53-20B8-4C76-97AE-8083C8DD7DCE}" srcOrd="0" destOrd="0" presId="urn:microsoft.com/office/officeart/2005/8/layout/orgChart1"/>
    <dgm:cxn modelId="{846258F2-988A-4BF5-A33A-59478EACCD6A}" srcId="{BE9A3B68-7D1F-4514-B608-7520AD729F5F}" destId="{32B30FA1-2F37-4F48-8E62-A2986556420E}" srcOrd="2" destOrd="0" parTransId="{D6B9B643-9CC7-4D39-A4FA-D7282A5930BC}" sibTransId="{3AA068AB-712A-4D46-89E2-5115F49F4EAD}"/>
    <dgm:cxn modelId="{D7C53EF3-FD18-4834-B0BE-1FDFA2D3D81B}" srcId="{AD53D6AE-C3E5-4D08-9A9C-756D21089556}" destId="{C9F2CB53-DEEE-476F-9B5C-8EED4B363EF2}" srcOrd="1" destOrd="0" parTransId="{2847292B-01CF-403F-A958-85CB8EC6E80D}" sibTransId="{73DE7769-2892-469C-973A-027C30ECF644}"/>
    <dgm:cxn modelId="{ABCE5EF5-9182-428A-A7C8-410A3D6507E2}" type="presOf" srcId="{24648BAA-EFDC-4FA3-979D-9A5F571938EA}" destId="{EB4CC9B1-C29A-47C1-A1D9-3E4C261B5AA9}" srcOrd="0" destOrd="0" presId="urn:microsoft.com/office/officeart/2005/8/layout/orgChart1"/>
    <dgm:cxn modelId="{F71776F6-318D-4929-B37B-6A4D6B3CEC88}" type="presOf" srcId="{4D24D935-E32D-4D5F-8846-6A22BA92AF2A}" destId="{9FCDDB3B-B710-401F-92BF-9A89CFA4A2E5}" srcOrd="0" destOrd="0" presId="urn:microsoft.com/office/officeart/2005/8/layout/orgChart1"/>
    <dgm:cxn modelId="{C7A050F7-BFBA-41BF-A143-919487881D68}" srcId="{F6D21C01-49C0-4CFF-BA53-E503CCAAED52}" destId="{64B99DEA-ED0A-4C55-9EF4-B294C8EBECFB}" srcOrd="1" destOrd="0" parTransId="{6702191A-84D5-4B4F-9951-A7C6129B1765}" sibTransId="{539055F1-2B60-46C4-852D-F6B518918D20}"/>
    <dgm:cxn modelId="{56CB0CF9-E05B-42A8-8DB2-6557A695056E}" srcId="{A4E39F4B-783D-4437-A94E-CA42A01A2C68}" destId="{C664FF72-A1D8-4D5F-A951-C64D35C71618}" srcOrd="1" destOrd="0" parTransId="{0E8EEF20-419C-4577-81D9-52E73967FE20}" sibTransId="{E0EDF24E-3C88-4482-B137-40B9215C04BE}"/>
    <dgm:cxn modelId="{0407F6F9-A1C3-4C97-9C1E-3B6A5F1DA9F0}" type="presOf" srcId="{2456C976-B65F-4ADF-93AF-4B30292E9923}" destId="{ED4AD7E4-3719-4CD6-833B-CC9A1DE68C67}" srcOrd="1" destOrd="0" presId="urn:microsoft.com/office/officeart/2005/8/layout/orgChart1"/>
    <dgm:cxn modelId="{462731FA-39DC-4F41-95FD-3860634DAEB9}" type="presOf" srcId="{83E21AFF-A1F0-4959-AE2B-B079776A6FC2}" destId="{8382163B-BB10-4727-A843-CB856A9FBBC9}" srcOrd="1" destOrd="0" presId="urn:microsoft.com/office/officeart/2005/8/layout/orgChart1"/>
    <dgm:cxn modelId="{6F90CFFA-AC00-430D-9C0A-C9751FD899E6}" type="presOf" srcId="{2183ED47-9AEE-41A7-9BC1-29C6F61179ED}" destId="{1561D1FC-0CBC-4409-B64C-37FA9177E17D}" srcOrd="1" destOrd="0" presId="urn:microsoft.com/office/officeart/2005/8/layout/orgChart1"/>
    <dgm:cxn modelId="{4699F1FB-EB04-457C-A930-5AB8B11EA806}" type="presOf" srcId="{F0E7B386-17AB-42B3-8BD7-3A73730EE5B6}" destId="{7E83EE48-3A7A-4AE3-82F1-9F3B3A5A88E2}" srcOrd="0" destOrd="0" presId="urn:microsoft.com/office/officeart/2005/8/layout/orgChart1"/>
    <dgm:cxn modelId="{0EACA0FC-242C-43DD-BD79-0C45A5167681}" type="presOf" srcId="{2D223E41-FFCE-43EA-A912-97398AFB7417}" destId="{40D19D5E-C279-45C9-A910-8C46E85C550D}" srcOrd="1" destOrd="0" presId="urn:microsoft.com/office/officeart/2005/8/layout/orgChart1"/>
    <dgm:cxn modelId="{DC41B7FD-F870-44FA-8F93-71C0FBBFBD03}" type="presOf" srcId="{06E61BDB-412D-47E6-BAD6-00E81918586C}" destId="{C0794CE5-6BEC-4F3E-B241-B160E670AB89}" srcOrd="0" destOrd="0" presId="urn:microsoft.com/office/officeart/2005/8/layout/orgChart1"/>
    <dgm:cxn modelId="{444F6C1E-77EF-48B9-A0AB-754B56D8A769}" type="presParOf" srcId="{6D8001AC-2396-47A1-B42B-5C5C0B810175}" destId="{FE371900-C937-4CC1-9274-C1147E306F8B}" srcOrd="0" destOrd="0" presId="urn:microsoft.com/office/officeart/2005/8/layout/orgChart1"/>
    <dgm:cxn modelId="{1A8F3E43-D675-4716-924F-8F040854A021}" type="presParOf" srcId="{FE371900-C937-4CC1-9274-C1147E306F8B}" destId="{48051AE3-7B5B-463C-9E09-2F39165F55E8}" srcOrd="0" destOrd="0" presId="urn:microsoft.com/office/officeart/2005/8/layout/orgChart1"/>
    <dgm:cxn modelId="{1CC9E281-DC3B-403A-A2BE-84CEED4357EA}" type="presParOf" srcId="{48051AE3-7B5B-463C-9E09-2F39165F55E8}" destId="{2A950BF4-F26D-4ECC-BDE6-B0ED7CC0470F}" srcOrd="0" destOrd="0" presId="urn:microsoft.com/office/officeart/2005/8/layout/orgChart1"/>
    <dgm:cxn modelId="{AD8C9FD7-0F8E-4833-859B-5AE6BDD13B3F}" type="presParOf" srcId="{48051AE3-7B5B-463C-9E09-2F39165F55E8}" destId="{4C386264-2F30-4AF2-8815-6C88B916BB31}" srcOrd="1" destOrd="0" presId="urn:microsoft.com/office/officeart/2005/8/layout/orgChart1"/>
    <dgm:cxn modelId="{01F07F7D-71E3-439C-9D49-E35494DA7D08}" type="presParOf" srcId="{FE371900-C937-4CC1-9274-C1147E306F8B}" destId="{27406B4F-52A1-4CD0-96C3-3A9EE3BEB8B9}" srcOrd="1" destOrd="0" presId="urn:microsoft.com/office/officeart/2005/8/layout/orgChart1"/>
    <dgm:cxn modelId="{C0516A4D-334F-4EAC-BDF6-1E64F35D4B02}" type="presParOf" srcId="{27406B4F-52A1-4CD0-96C3-3A9EE3BEB8B9}" destId="{2486668B-BE18-4087-A97C-1F0F30E96DF6}" srcOrd="0" destOrd="0" presId="urn:microsoft.com/office/officeart/2005/8/layout/orgChart1"/>
    <dgm:cxn modelId="{3E885503-4763-4A7C-85D7-7A1D66572660}" type="presParOf" srcId="{27406B4F-52A1-4CD0-96C3-3A9EE3BEB8B9}" destId="{CB9E1ADC-1162-4322-AD41-EAF1953E8C47}" srcOrd="1" destOrd="0" presId="urn:microsoft.com/office/officeart/2005/8/layout/orgChart1"/>
    <dgm:cxn modelId="{D3B972EA-4F06-437E-AE4C-0C088D077644}" type="presParOf" srcId="{CB9E1ADC-1162-4322-AD41-EAF1953E8C47}" destId="{D3996FC4-7DAC-446C-8040-179AA2B2CDDC}" srcOrd="0" destOrd="0" presId="urn:microsoft.com/office/officeart/2005/8/layout/orgChart1"/>
    <dgm:cxn modelId="{9DFEC8AD-F304-4FF9-A964-A6B87E5F1CAE}" type="presParOf" srcId="{D3996FC4-7DAC-446C-8040-179AA2B2CDDC}" destId="{6385DC8D-AC33-47C6-97FA-65C8D3111526}" srcOrd="0" destOrd="0" presId="urn:microsoft.com/office/officeart/2005/8/layout/orgChart1"/>
    <dgm:cxn modelId="{3509A53F-FFCE-4E2A-A070-DAFDAE1D66EF}" type="presParOf" srcId="{D3996FC4-7DAC-446C-8040-179AA2B2CDDC}" destId="{296F2729-5A80-421B-9290-59A463826B32}" srcOrd="1" destOrd="0" presId="urn:microsoft.com/office/officeart/2005/8/layout/orgChart1"/>
    <dgm:cxn modelId="{6B62EBAE-CA89-4674-B449-8053D76C6443}" type="presParOf" srcId="{CB9E1ADC-1162-4322-AD41-EAF1953E8C47}" destId="{03D3D2FD-2564-40FC-AD3B-D3398CBAC621}" srcOrd="1" destOrd="0" presId="urn:microsoft.com/office/officeart/2005/8/layout/orgChart1"/>
    <dgm:cxn modelId="{AA3CAC8D-39F6-4794-AB9A-24BBBF976F09}" type="presParOf" srcId="{03D3D2FD-2564-40FC-AD3B-D3398CBAC621}" destId="{4B742695-7E94-43D4-ACEF-DFD48D01E945}" srcOrd="0" destOrd="0" presId="urn:microsoft.com/office/officeart/2005/8/layout/orgChart1"/>
    <dgm:cxn modelId="{6CB33DEE-12EF-4F96-947D-B4B221409C92}" type="presParOf" srcId="{03D3D2FD-2564-40FC-AD3B-D3398CBAC621}" destId="{2B7BC53C-F9F3-4BCE-A721-27C74C925643}" srcOrd="1" destOrd="0" presId="urn:microsoft.com/office/officeart/2005/8/layout/orgChart1"/>
    <dgm:cxn modelId="{D318E41D-E1E6-47E7-8DF2-6FA0F59F3BD3}" type="presParOf" srcId="{2B7BC53C-F9F3-4BCE-A721-27C74C925643}" destId="{7E3B7F72-AC55-4803-BB28-4421EFC0FF25}" srcOrd="0" destOrd="0" presId="urn:microsoft.com/office/officeart/2005/8/layout/orgChart1"/>
    <dgm:cxn modelId="{EE55DC25-8E6D-466B-ADAB-AA8AA0D8F259}" type="presParOf" srcId="{7E3B7F72-AC55-4803-BB28-4421EFC0FF25}" destId="{D59D8B61-4ABA-42AD-AD1F-875772DF6FF0}" srcOrd="0" destOrd="0" presId="urn:microsoft.com/office/officeart/2005/8/layout/orgChart1"/>
    <dgm:cxn modelId="{09C48265-2787-4DD7-8B83-68B3F5678CF6}" type="presParOf" srcId="{7E3B7F72-AC55-4803-BB28-4421EFC0FF25}" destId="{987EBAE3-291E-4FFD-BF29-95FECE286B17}" srcOrd="1" destOrd="0" presId="urn:microsoft.com/office/officeart/2005/8/layout/orgChart1"/>
    <dgm:cxn modelId="{0E64CCB2-8A2F-4D3D-A50E-976D49060D83}" type="presParOf" srcId="{2B7BC53C-F9F3-4BCE-A721-27C74C925643}" destId="{8C0E0DB8-A831-4F4F-934B-BDCBD3E0706C}" srcOrd="1" destOrd="0" presId="urn:microsoft.com/office/officeart/2005/8/layout/orgChart1"/>
    <dgm:cxn modelId="{14FA0903-7305-41FD-B2C0-0AFD31BEBC29}" type="presParOf" srcId="{8C0E0DB8-A831-4F4F-934B-BDCBD3E0706C}" destId="{1764288C-9802-42B2-84AB-01FE30AAD382}" srcOrd="0" destOrd="0" presId="urn:microsoft.com/office/officeart/2005/8/layout/orgChart1"/>
    <dgm:cxn modelId="{23CB2774-63EA-4CE2-9B95-9775C44BCCC2}" type="presParOf" srcId="{8C0E0DB8-A831-4F4F-934B-BDCBD3E0706C}" destId="{57A3AD6C-D526-4AAE-8E0C-5C40F115A7E3}" srcOrd="1" destOrd="0" presId="urn:microsoft.com/office/officeart/2005/8/layout/orgChart1"/>
    <dgm:cxn modelId="{F37001CF-7260-49BD-AFC8-C04FA2A2363B}" type="presParOf" srcId="{57A3AD6C-D526-4AAE-8E0C-5C40F115A7E3}" destId="{0BE8803D-822A-41E5-B3BB-21298BAF0606}" srcOrd="0" destOrd="0" presId="urn:microsoft.com/office/officeart/2005/8/layout/orgChart1"/>
    <dgm:cxn modelId="{5BCF116E-CD3C-4D86-AB28-C315452A8533}" type="presParOf" srcId="{0BE8803D-822A-41E5-B3BB-21298BAF0606}" destId="{28B9FB4C-145E-452C-ADBE-15322BA8F90E}" srcOrd="0" destOrd="0" presId="urn:microsoft.com/office/officeart/2005/8/layout/orgChart1"/>
    <dgm:cxn modelId="{A0657AA3-B869-48C7-BC82-EF4384261DA6}" type="presParOf" srcId="{0BE8803D-822A-41E5-B3BB-21298BAF0606}" destId="{FA7F9612-47CB-4AB2-916E-ED7BBEC54E4D}" srcOrd="1" destOrd="0" presId="urn:microsoft.com/office/officeart/2005/8/layout/orgChart1"/>
    <dgm:cxn modelId="{D83EED12-3F4D-42DE-B601-828A57983E92}" type="presParOf" srcId="{57A3AD6C-D526-4AAE-8E0C-5C40F115A7E3}" destId="{140D6E6E-D730-4FEC-8E87-4716D1C83747}" srcOrd="1" destOrd="0" presId="urn:microsoft.com/office/officeart/2005/8/layout/orgChart1"/>
    <dgm:cxn modelId="{7DF00FF7-7C7D-4EF6-B114-1E6492FA16AE}" type="presParOf" srcId="{140D6E6E-D730-4FEC-8E87-4716D1C83747}" destId="{D5E6885F-8288-4964-B52F-EBD76874702A}" srcOrd="0" destOrd="0" presId="urn:microsoft.com/office/officeart/2005/8/layout/orgChart1"/>
    <dgm:cxn modelId="{643A5804-FA5E-41BB-8F4E-3462441DF3ED}" type="presParOf" srcId="{140D6E6E-D730-4FEC-8E87-4716D1C83747}" destId="{D6C78E6E-BD8F-4247-B5E5-5E01E0789D70}" srcOrd="1" destOrd="0" presId="urn:microsoft.com/office/officeart/2005/8/layout/orgChart1"/>
    <dgm:cxn modelId="{45B764C2-B03A-4F16-89FA-23A9E438FBB4}" type="presParOf" srcId="{D6C78E6E-BD8F-4247-B5E5-5E01E0789D70}" destId="{9AD4FFC4-D1A6-49B4-B166-F7759D43135C}" srcOrd="0" destOrd="0" presId="urn:microsoft.com/office/officeart/2005/8/layout/orgChart1"/>
    <dgm:cxn modelId="{C87736B5-1355-49C9-90C4-3FE58007548A}" type="presParOf" srcId="{9AD4FFC4-D1A6-49B4-B166-F7759D43135C}" destId="{B18B549D-5D45-4E25-8D45-FDAAFC9B0031}" srcOrd="0" destOrd="0" presId="urn:microsoft.com/office/officeart/2005/8/layout/orgChart1"/>
    <dgm:cxn modelId="{E7965215-C779-4C05-85C3-6893A433683B}" type="presParOf" srcId="{9AD4FFC4-D1A6-49B4-B166-F7759D43135C}" destId="{90B73D8E-1AAB-4B0F-97D5-02C481314EEA}" srcOrd="1" destOrd="0" presId="urn:microsoft.com/office/officeart/2005/8/layout/orgChart1"/>
    <dgm:cxn modelId="{0F5FD6EB-E2DA-466C-A7BA-49205414C5A4}" type="presParOf" srcId="{D6C78E6E-BD8F-4247-B5E5-5E01E0789D70}" destId="{9A1DF0CA-B803-4ABF-8FD5-A9B4784DC793}" srcOrd="1" destOrd="0" presId="urn:microsoft.com/office/officeart/2005/8/layout/orgChart1"/>
    <dgm:cxn modelId="{1428D930-C771-42EB-8774-36D9353F40CE}" type="presParOf" srcId="{D6C78E6E-BD8F-4247-B5E5-5E01E0789D70}" destId="{228E9E73-2B87-49DD-A415-D18F4E8B0665}" srcOrd="2" destOrd="0" presId="urn:microsoft.com/office/officeart/2005/8/layout/orgChart1"/>
    <dgm:cxn modelId="{10C6DEC1-1EF5-4083-AFB6-5A8B3E4D1AC5}" type="presParOf" srcId="{140D6E6E-D730-4FEC-8E87-4716D1C83747}" destId="{6C8B2E85-3219-4C8D-B062-03DBDC93516F}" srcOrd="2" destOrd="0" presId="urn:microsoft.com/office/officeart/2005/8/layout/orgChart1"/>
    <dgm:cxn modelId="{6009236A-AB5F-4364-BC4E-8F7CD5D84148}" type="presParOf" srcId="{140D6E6E-D730-4FEC-8E87-4716D1C83747}" destId="{ACEA4095-A7C9-4CE5-B99C-540FF2038CFD}" srcOrd="3" destOrd="0" presId="urn:microsoft.com/office/officeart/2005/8/layout/orgChart1"/>
    <dgm:cxn modelId="{59CFFD6F-5BBC-4F24-8940-58684E8C8E01}" type="presParOf" srcId="{ACEA4095-A7C9-4CE5-B99C-540FF2038CFD}" destId="{79748789-73FD-40A7-BA2D-A1616FD98834}" srcOrd="0" destOrd="0" presId="urn:microsoft.com/office/officeart/2005/8/layout/orgChart1"/>
    <dgm:cxn modelId="{656B9FE7-CED6-49A9-BD90-FF99268D2CC4}" type="presParOf" srcId="{79748789-73FD-40A7-BA2D-A1616FD98834}" destId="{0166B910-E438-42AE-BE8A-41F7C27518A5}" srcOrd="0" destOrd="0" presId="urn:microsoft.com/office/officeart/2005/8/layout/orgChart1"/>
    <dgm:cxn modelId="{71E53ED6-FC9E-4BC4-9920-591C69108388}" type="presParOf" srcId="{79748789-73FD-40A7-BA2D-A1616FD98834}" destId="{A615445D-D4FF-4E34-A6E6-E2871F9DB9BE}" srcOrd="1" destOrd="0" presId="urn:microsoft.com/office/officeart/2005/8/layout/orgChart1"/>
    <dgm:cxn modelId="{BBBA2A64-66E4-4804-B163-95A65AA8D403}" type="presParOf" srcId="{ACEA4095-A7C9-4CE5-B99C-540FF2038CFD}" destId="{DCDF93CA-EA59-412E-AF6F-7D0BC9F6D4BF}" srcOrd="1" destOrd="0" presId="urn:microsoft.com/office/officeart/2005/8/layout/orgChart1"/>
    <dgm:cxn modelId="{02DD76A3-3AFD-4772-90A8-993ECFBDA187}" type="presParOf" srcId="{ACEA4095-A7C9-4CE5-B99C-540FF2038CFD}" destId="{F9BAACCB-8735-4CA1-BB2A-B5D52ECA9A36}" srcOrd="2" destOrd="0" presId="urn:microsoft.com/office/officeart/2005/8/layout/orgChart1"/>
    <dgm:cxn modelId="{5C81EB3F-B40B-49EB-B068-35A965240220}" type="presParOf" srcId="{57A3AD6C-D526-4AAE-8E0C-5C40F115A7E3}" destId="{5B91265D-DDCB-48AF-BBCB-57D088EF7A96}" srcOrd="2" destOrd="0" presId="urn:microsoft.com/office/officeart/2005/8/layout/orgChart1"/>
    <dgm:cxn modelId="{CE688097-2F06-4FD0-B4B4-D88290392621}" type="presParOf" srcId="{8C0E0DB8-A831-4F4F-934B-BDCBD3E0706C}" destId="{C0794CE5-6BEC-4F3E-B241-B160E670AB89}" srcOrd="2" destOrd="0" presId="urn:microsoft.com/office/officeart/2005/8/layout/orgChart1"/>
    <dgm:cxn modelId="{5759D03C-0EE8-4A63-A602-D2F7884D7990}" type="presParOf" srcId="{8C0E0DB8-A831-4F4F-934B-BDCBD3E0706C}" destId="{7012FE81-51B4-4EB5-BC92-F9271A569FBE}" srcOrd="3" destOrd="0" presId="urn:microsoft.com/office/officeart/2005/8/layout/orgChart1"/>
    <dgm:cxn modelId="{92827822-AE31-45C1-BB0F-44C90CD31BEC}" type="presParOf" srcId="{7012FE81-51B4-4EB5-BC92-F9271A569FBE}" destId="{0ADE3193-A43D-4FDD-95D1-BC6F63C2AC74}" srcOrd="0" destOrd="0" presId="urn:microsoft.com/office/officeart/2005/8/layout/orgChart1"/>
    <dgm:cxn modelId="{E55EAA7C-65A6-4ED4-BB2B-5F52EFE81E95}" type="presParOf" srcId="{0ADE3193-A43D-4FDD-95D1-BC6F63C2AC74}" destId="{3EA53D5B-FE9A-452D-BB9D-EA9B515017FB}" srcOrd="0" destOrd="0" presId="urn:microsoft.com/office/officeart/2005/8/layout/orgChart1"/>
    <dgm:cxn modelId="{C69ECA11-61F5-43DB-9C75-1E8E87F25122}" type="presParOf" srcId="{0ADE3193-A43D-4FDD-95D1-BC6F63C2AC74}" destId="{1561D1FC-0CBC-4409-B64C-37FA9177E17D}" srcOrd="1" destOrd="0" presId="urn:microsoft.com/office/officeart/2005/8/layout/orgChart1"/>
    <dgm:cxn modelId="{82B6A8D7-8BB8-4079-AE52-258071EF5E13}" type="presParOf" srcId="{7012FE81-51B4-4EB5-BC92-F9271A569FBE}" destId="{8A61607C-63A2-4428-A0C2-27E5A55A6B14}" srcOrd="1" destOrd="0" presId="urn:microsoft.com/office/officeart/2005/8/layout/orgChart1"/>
    <dgm:cxn modelId="{AC0957AB-61C9-4670-BBF7-246A82A37D3C}" type="presParOf" srcId="{8A61607C-63A2-4428-A0C2-27E5A55A6B14}" destId="{4F81555B-5D85-488A-82FE-20E63E752D1E}" srcOrd="0" destOrd="0" presId="urn:microsoft.com/office/officeart/2005/8/layout/orgChart1"/>
    <dgm:cxn modelId="{75A7C0C0-86CB-4832-9236-B01E33B6FF39}" type="presParOf" srcId="{8A61607C-63A2-4428-A0C2-27E5A55A6B14}" destId="{DBC2399B-3149-436E-BA76-6AF889DF57D0}" srcOrd="1" destOrd="0" presId="urn:microsoft.com/office/officeart/2005/8/layout/orgChart1"/>
    <dgm:cxn modelId="{2E6F833A-40DF-4F1F-9E73-BD3946564300}" type="presParOf" srcId="{DBC2399B-3149-436E-BA76-6AF889DF57D0}" destId="{29D19406-8FA9-4B73-9FD7-2E8EC8EA1E33}" srcOrd="0" destOrd="0" presId="urn:microsoft.com/office/officeart/2005/8/layout/orgChart1"/>
    <dgm:cxn modelId="{D6E78CEF-23CB-43E6-A794-F02AD37CF96B}" type="presParOf" srcId="{29D19406-8FA9-4B73-9FD7-2E8EC8EA1E33}" destId="{5141672C-2102-48DA-BDC9-4F7588F335B0}" srcOrd="0" destOrd="0" presId="urn:microsoft.com/office/officeart/2005/8/layout/orgChart1"/>
    <dgm:cxn modelId="{DD287294-700A-48D2-A49E-53C1BBD6719C}" type="presParOf" srcId="{29D19406-8FA9-4B73-9FD7-2E8EC8EA1E33}" destId="{52F5B83F-92FB-451A-A791-917AC0DD8B08}" srcOrd="1" destOrd="0" presId="urn:microsoft.com/office/officeart/2005/8/layout/orgChart1"/>
    <dgm:cxn modelId="{371382A1-05ED-479E-9913-13A016565A40}" type="presParOf" srcId="{DBC2399B-3149-436E-BA76-6AF889DF57D0}" destId="{BE3BACEA-2749-4AE2-86F4-1C16E99844B8}" srcOrd="1" destOrd="0" presId="urn:microsoft.com/office/officeart/2005/8/layout/orgChart1"/>
    <dgm:cxn modelId="{23C78967-EDA8-4C80-A0ED-25D9BE7EBF70}" type="presParOf" srcId="{DBC2399B-3149-436E-BA76-6AF889DF57D0}" destId="{977FC335-7E05-4FFC-AEB7-92336D1B0F76}" srcOrd="2" destOrd="0" presId="urn:microsoft.com/office/officeart/2005/8/layout/orgChart1"/>
    <dgm:cxn modelId="{30ADEBF8-C6DE-4E13-946E-109E067FDF5C}" type="presParOf" srcId="{8A61607C-63A2-4428-A0C2-27E5A55A6B14}" destId="{C63E9CB0-C292-4827-92D9-66E6FE871279}" srcOrd="2" destOrd="0" presId="urn:microsoft.com/office/officeart/2005/8/layout/orgChart1"/>
    <dgm:cxn modelId="{D125B893-5E14-404F-8071-A89AAE766877}" type="presParOf" srcId="{8A61607C-63A2-4428-A0C2-27E5A55A6B14}" destId="{8E2ED72F-72DC-426E-BE6B-F1233DDFD0C9}" srcOrd="3" destOrd="0" presId="urn:microsoft.com/office/officeart/2005/8/layout/orgChart1"/>
    <dgm:cxn modelId="{E32471F6-3D0B-418D-9D95-CB82056FCC6A}" type="presParOf" srcId="{8E2ED72F-72DC-426E-BE6B-F1233DDFD0C9}" destId="{990DDFA7-63B5-4E1D-AB68-1E62B5709FDF}" srcOrd="0" destOrd="0" presId="urn:microsoft.com/office/officeart/2005/8/layout/orgChart1"/>
    <dgm:cxn modelId="{01A2D7A1-52E5-4FF7-89D1-D82B2A296BCD}" type="presParOf" srcId="{990DDFA7-63B5-4E1D-AB68-1E62B5709FDF}" destId="{9FE2E507-BC55-4AFB-AB93-3A7D2D91D133}" srcOrd="0" destOrd="0" presId="urn:microsoft.com/office/officeart/2005/8/layout/orgChart1"/>
    <dgm:cxn modelId="{A166EBDE-291E-406E-86FD-5B503E5638B5}" type="presParOf" srcId="{990DDFA7-63B5-4E1D-AB68-1E62B5709FDF}" destId="{CDFB91D8-3866-4A06-A1EB-8281F4C9E920}" srcOrd="1" destOrd="0" presId="urn:microsoft.com/office/officeart/2005/8/layout/orgChart1"/>
    <dgm:cxn modelId="{0585C6D0-2704-4A1E-9231-B85E8619B66C}" type="presParOf" srcId="{8E2ED72F-72DC-426E-BE6B-F1233DDFD0C9}" destId="{1FA5E8E2-7A74-46DF-8E40-EA10847102BC}" srcOrd="1" destOrd="0" presId="urn:microsoft.com/office/officeart/2005/8/layout/orgChart1"/>
    <dgm:cxn modelId="{EE1BE528-66BC-4B38-8F83-AC725B89541C}" type="presParOf" srcId="{8E2ED72F-72DC-426E-BE6B-F1233DDFD0C9}" destId="{8669CE95-13AF-4751-B5CE-E8214ACEADC4}" srcOrd="2" destOrd="0" presId="urn:microsoft.com/office/officeart/2005/8/layout/orgChart1"/>
    <dgm:cxn modelId="{1F90A22C-439D-405F-ADD5-E141F188E91C}" type="presParOf" srcId="{7012FE81-51B4-4EB5-BC92-F9271A569FBE}" destId="{5A2058D2-137F-40A4-B326-3D53C9302F3B}" srcOrd="2" destOrd="0" presId="urn:microsoft.com/office/officeart/2005/8/layout/orgChart1"/>
    <dgm:cxn modelId="{3C4000AF-EBA3-4D9E-B0B2-B8C384477F13}" type="presParOf" srcId="{8C0E0DB8-A831-4F4F-934B-BDCBD3E0706C}" destId="{42888007-0A94-414C-A140-11A521152679}" srcOrd="4" destOrd="0" presId="urn:microsoft.com/office/officeart/2005/8/layout/orgChart1"/>
    <dgm:cxn modelId="{51311E84-05A2-4C6D-96C8-BE4879995428}" type="presParOf" srcId="{8C0E0DB8-A831-4F4F-934B-BDCBD3E0706C}" destId="{4E1F24BD-A6C2-488C-AB31-3AE68A8F9157}" srcOrd="5" destOrd="0" presId="urn:microsoft.com/office/officeart/2005/8/layout/orgChart1"/>
    <dgm:cxn modelId="{A0EEA54D-E933-4EEE-BE86-13A438C2A252}" type="presParOf" srcId="{4E1F24BD-A6C2-488C-AB31-3AE68A8F9157}" destId="{96DED3CB-7A4F-4D7A-87F1-B78460B684F2}" srcOrd="0" destOrd="0" presId="urn:microsoft.com/office/officeart/2005/8/layout/orgChart1"/>
    <dgm:cxn modelId="{357DED5B-02BF-468E-BDA5-63A656500E67}" type="presParOf" srcId="{96DED3CB-7A4F-4D7A-87F1-B78460B684F2}" destId="{B69008F6-AF9A-41DA-B220-782C86E1353F}" srcOrd="0" destOrd="0" presId="urn:microsoft.com/office/officeart/2005/8/layout/orgChart1"/>
    <dgm:cxn modelId="{7AD06D33-3DA4-4436-8103-BBF29921062C}" type="presParOf" srcId="{96DED3CB-7A4F-4D7A-87F1-B78460B684F2}" destId="{CD292F8F-D8F4-4C40-A49A-B75D839A5E81}" srcOrd="1" destOrd="0" presId="urn:microsoft.com/office/officeart/2005/8/layout/orgChart1"/>
    <dgm:cxn modelId="{316DD533-355B-4BD9-A3DD-564499702C62}" type="presParOf" srcId="{4E1F24BD-A6C2-488C-AB31-3AE68A8F9157}" destId="{26D48782-981C-4B3F-8DFB-3DD432732E80}" srcOrd="1" destOrd="0" presId="urn:microsoft.com/office/officeart/2005/8/layout/orgChart1"/>
    <dgm:cxn modelId="{F9E13C76-E4B3-4630-8029-9012025F5E79}" type="presParOf" srcId="{26D48782-981C-4B3F-8DFB-3DD432732E80}" destId="{CD4F1958-646C-47C9-93AA-81A91AB12F23}" srcOrd="0" destOrd="0" presId="urn:microsoft.com/office/officeart/2005/8/layout/orgChart1"/>
    <dgm:cxn modelId="{8FA919DF-BA46-4717-A220-4FA1C2439996}" type="presParOf" srcId="{26D48782-981C-4B3F-8DFB-3DD432732E80}" destId="{4E634F57-874C-4DC2-A2F7-0D6B6F4C1D04}" srcOrd="1" destOrd="0" presId="urn:microsoft.com/office/officeart/2005/8/layout/orgChart1"/>
    <dgm:cxn modelId="{C44D4AA1-173E-4617-A635-26AA7AFAE800}" type="presParOf" srcId="{4E634F57-874C-4DC2-A2F7-0D6B6F4C1D04}" destId="{529FFDBC-ED6E-4E1C-9729-2D3D1F5BBB99}" srcOrd="0" destOrd="0" presId="urn:microsoft.com/office/officeart/2005/8/layout/orgChart1"/>
    <dgm:cxn modelId="{7B4C0CC7-5EC5-4426-B72E-0B7F5F96BD4C}" type="presParOf" srcId="{529FFDBC-ED6E-4E1C-9729-2D3D1F5BBB99}" destId="{C8A5E1B2-6295-43AA-922D-185174C2B736}" srcOrd="0" destOrd="0" presId="urn:microsoft.com/office/officeart/2005/8/layout/orgChart1"/>
    <dgm:cxn modelId="{35AD3C7A-20B5-48FE-ACDA-6795F8A123D5}" type="presParOf" srcId="{529FFDBC-ED6E-4E1C-9729-2D3D1F5BBB99}" destId="{3AF5E76E-10D0-48BA-9B15-2BF613E97172}" srcOrd="1" destOrd="0" presId="urn:microsoft.com/office/officeart/2005/8/layout/orgChart1"/>
    <dgm:cxn modelId="{E40BE4D3-412E-4E88-BE61-60803BE8DF30}" type="presParOf" srcId="{4E634F57-874C-4DC2-A2F7-0D6B6F4C1D04}" destId="{3C5BF53F-E2DA-4307-923B-D37988F2B0EC}" srcOrd="1" destOrd="0" presId="urn:microsoft.com/office/officeart/2005/8/layout/orgChart1"/>
    <dgm:cxn modelId="{80076446-8985-49B8-9AC4-DB75EC2D866D}" type="presParOf" srcId="{4E634F57-874C-4DC2-A2F7-0D6B6F4C1D04}" destId="{7C8A3912-E526-464B-AD05-0600F6476E06}" srcOrd="2" destOrd="0" presId="urn:microsoft.com/office/officeart/2005/8/layout/orgChart1"/>
    <dgm:cxn modelId="{ECE8BE71-D746-4681-963D-5D73B8847298}" type="presParOf" srcId="{26D48782-981C-4B3F-8DFB-3DD432732E80}" destId="{86466A80-EBB0-426C-A408-4ADDC5383464}" srcOrd="2" destOrd="0" presId="urn:microsoft.com/office/officeart/2005/8/layout/orgChart1"/>
    <dgm:cxn modelId="{48EE946F-250B-4715-81CE-6042D75D3D21}" type="presParOf" srcId="{26D48782-981C-4B3F-8DFB-3DD432732E80}" destId="{71547A51-BE47-4148-A015-99F76D0DFD2C}" srcOrd="3" destOrd="0" presId="urn:microsoft.com/office/officeart/2005/8/layout/orgChart1"/>
    <dgm:cxn modelId="{3BC0759D-D127-4E5F-862C-A3E941AAE8A8}" type="presParOf" srcId="{71547A51-BE47-4148-A015-99F76D0DFD2C}" destId="{F6F175AB-2EF5-4A6D-9360-9C74C6724AF7}" srcOrd="0" destOrd="0" presId="urn:microsoft.com/office/officeart/2005/8/layout/orgChart1"/>
    <dgm:cxn modelId="{56005114-9E17-4CAB-9A2E-22173429750A}" type="presParOf" srcId="{F6F175AB-2EF5-4A6D-9360-9C74C6724AF7}" destId="{CAE63F87-6FB2-4BCC-83D0-EBAE4CB28E7D}" srcOrd="0" destOrd="0" presId="urn:microsoft.com/office/officeart/2005/8/layout/orgChart1"/>
    <dgm:cxn modelId="{2A3F6480-26C1-43B1-A48F-771969D2038F}" type="presParOf" srcId="{F6F175AB-2EF5-4A6D-9360-9C74C6724AF7}" destId="{E91B44ED-88A2-49E9-BB13-D998312FCAAA}" srcOrd="1" destOrd="0" presId="urn:microsoft.com/office/officeart/2005/8/layout/orgChart1"/>
    <dgm:cxn modelId="{AE79B55B-2CA8-42AC-B2B1-7EAB4DA6C740}" type="presParOf" srcId="{71547A51-BE47-4148-A015-99F76D0DFD2C}" destId="{87FC9284-9E42-40A0-AF48-0D086D05045B}" srcOrd="1" destOrd="0" presId="urn:microsoft.com/office/officeart/2005/8/layout/orgChart1"/>
    <dgm:cxn modelId="{226FE739-38B8-42A2-9EBF-62C6B223AB91}" type="presParOf" srcId="{71547A51-BE47-4148-A015-99F76D0DFD2C}" destId="{80D1AFB9-6053-46B6-9DAD-4051F9984EA6}" srcOrd="2" destOrd="0" presId="urn:microsoft.com/office/officeart/2005/8/layout/orgChart1"/>
    <dgm:cxn modelId="{D7E51C4A-7169-4B9A-80BB-CF47A60BD6FB}" type="presParOf" srcId="{4E1F24BD-A6C2-488C-AB31-3AE68A8F9157}" destId="{FC14CA82-6DE1-49AD-95B3-20260AAAFD76}" srcOrd="2" destOrd="0" presId="urn:microsoft.com/office/officeart/2005/8/layout/orgChart1"/>
    <dgm:cxn modelId="{E8D92C97-C6B7-4868-9633-7A1853722B56}" type="presParOf" srcId="{2B7BC53C-F9F3-4BCE-A721-27C74C925643}" destId="{E364F955-4CFC-48C5-ACFD-F315988E8CF8}" srcOrd="2" destOrd="0" presId="urn:microsoft.com/office/officeart/2005/8/layout/orgChart1"/>
    <dgm:cxn modelId="{DD036CE6-2BDC-43BF-B599-22B35A608175}" type="presParOf" srcId="{03D3D2FD-2564-40FC-AD3B-D3398CBAC621}" destId="{EB4CC9B1-C29A-47C1-A1D9-3E4C261B5AA9}" srcOrd="2" destOrd="0" presId="urn:microsoft.com/office/officeart/2005/8/layout/orgChart1"/>
    <dgm:cxn modelId="{34F25F98-AB2D-4C0C-AB90-3AC74F766E08}" type="presParOf" srcId="{03D3D2FD-2564-40FC-AD3B-D3398CBAC621}" destId="{3128632F-5893-40CD-AC82-0E52D0079BD6}" srcOrd="3" destOrd="0" presId="urn:microsoft.com/office/officeart/2005/8/layout/orgChart1"/>
    <dgm:cxn modelId="{A8D088BD-90DE-49AC-87BD-D6DB97F9E697}" type="presParOf" srcId="{3128632F-5893-40CD-AC82-0E52D0079BD6}" destId="{28C55B80-88EC-4BF4-9D32-1E12D0587B2E}" srcOrd="0" destOrd="0" presId="urn:microsoft.com/office/officeart/2005/8/layout/orgChart1"/>
    <dgm:cxn modelId="{CDC2B3BB-2491-4C69-83BE-2202701E1651}" type="presParOf" srcId="{28C55B80-88EC-4BF4-9D32-1E12D0587B2E}" destId="{E731C67F-C594-468E-9986-EF39F7730EEC}" srcOrd="0" destOrd="0" presId="urn:microsoft.com/office/officeart/2005/8/layout/orgChart1"/>
    <dgm:cxn modelId="{B635840E-AD9A-4893-B8FD-D684711429A2}" type="presParOf" srcId="{28C55B80-88EC-4BF4-9D32-1E12D0587B2E}" destId="{31AE4E9D-CCB7-48F4-9E67-2D82E8A6315C}" srcOrd="1" destOrd="0" presId="urn:microsoft.com/office/officeart/2005/8/layout/orgChart1"/>
    <dgm:cxn modelId="{8D4EF1BC-1A48-4A5E-B2CB-780C1B4EEC60}" type="presParOf" srcId="{3128632F-5893-40CD-AC82-0E52D0079BD6}" destId="{453F97E6-B91C-46B7-A834-0C63B3044059}" srcOrd="1" destOrd="0" presId="urn:microsoft.com/office/officeart/2005/8/layout/orgChart1"/>
    <dgm:cxn modelId="{E4431EE9-E46B-4F56-A457-3D7648DFD1B9}" type="presParOf" srcId="{453F97E6-B91C-46B7-A834-0C63B3044059}" destId="{7591982C-FF01-4413-9F0B-34397A590457}" srcOrd="0" destOrd="0" presId="urn:microsoft.com/office/officeart/2005/8/layout/orgChart1"/>
    <dgm:cxn modelId="{9A60CF1D-8A42-43D2-A2B8-D679CB2A9F43}" type="presParOf" srcId="{453F97E6-B91C-46B7-A834-0C63B3044059}" destId="{86DFBADB-B784-460D-BC48-A5CA304EBAAC}" srcOrd="1" destOrd="0" presId="urn:microsoft.com/office/officeart/2005/8/layout/orgChart1"/>
    <dgm:cxn modelId="{4A74132E-22D5-4406-B783-5572F7F75CDA}" type="presParOf" srcId="{86DFBADB-B784-460D-BC48-A5CA304EBAAC}" destId="{D00F971E-A36D-4D97-BDE1-1237B57FF2E3}" srcOrd="0" destOrd="0" presId="urn:microsoft.com/office/officeart/2005/8/layout/orgChart1"/>
    <dgm:cxn modelId="{129A4DA8-3B90-46EA-B7A7-BF40350F01F9}" type="presParOf" srcId="{D00F971E-A36D-4D97-BDE1-1237B57FF2E3}" destId="{420528EF-CAD5-4926-A866-C472DCB35EDC}" srcOrd="0" destOrd="0" presId="urn:microsoft.com/office/officeart/2005/8/layout/orgChart1"/>
    <dgm:cxn modelId="{5D8F3082-BFA2-4E53-A952-8569DC0C9928}" type="presParOf" srcId="{D00F971E-A36D-4D97-BDE1-1237B57FF2E3}" destId="{C4CA847A-FF56-431D-BFE0-F16A66D231CD}" srcOrd="1" destOrd="0" presId="urn:microsoft.com/office/officeart/2005/8/layout/orgChart1"/>
    <dgm:cxn modelId="{817CA210-DBCA-4D56-8C19-0928B1136A6F}" type="presParOf" srcId="{86DFBADB-B784-460D-BC48-A5CA304EBAAC}" destId="{C8562E8E-0438-44EA-B5A6-F3E950440FDC}" srcOrd="1" destOrd="0" presId="urn:microsoft.com/office/officeart/2005/8/layout/orgChart1"/>
    <dgm:cxn modelId="{C49AF603-E691-410D-A2A2-4AF4B53E0164}" type="presParOf" srcId="{C8562E8E-0438-44EA-B5A6-F3E950440FDC}" destId="{C73370E3-5DB4-4A6F-9ABA-4D8868B24640}" srcOrd="0" destOrd="0" presId="urn:microsoft.com/office/officeart/2005/8/layout/orgChart1"/>
    <dgm:cxn modelId="{0FEB75E2-C2FD-4D5B-8C47-A6E922070C92}" type="presParOf" srcId="{C8562E8E-0438-44EA-B5A6-F3E950440FDC}" destId="{1820E2CB-1D8E-4B12-9C89-3F409A5984EA}" srcOrd="1" destOrd="0" presId="urn:microsoft.com/office/officeart/2005/8/layout/orgChart1"/>
    <dgm:cxn modelId="{E6976089-B248-4DC2-A67E-A6EB9D1737F0}" type="presParOf" srcId="{1820E2CB-1D8E-4B12-9C89-3F409A5984EA}" destId="{249DFA67-8C8C-4E78-9BD7-46867E0D3F3E}" srcOrd="0" destOrd="0" presId="urn:microsoft.com/office/officeart/2005/8/layout/orgChart1"/>
    <dgm:cxn modelId="{FAC6B3E4-9F71-44B7-BAA9-81577E991AA5}" type="presParOf" srcId="{249DFA67-8C8C-4E78-9BD7-46867E0D3F3E}" destId="{27AF9AD5-56D7-427B-9FB1-204930088D3F}" srcOrd="0" destOrd="0" presId="urn:microsoft.com/office/officeart/2005/8/layout/orgChart1"/>
    <dgm:cxn modelId="{A1BF6998-C002-4A2F-B4F9-872C50A2F654}" type="presParOf" srcId="{249DFA67-8C8C-4E78-9BD7-46867E0D3F3E}" destId="{FBDAB035-FB64-4FC8-8B15-478C7FE536D9}" srcOrd="1" destOrd="0" presId="urn:microsoft.com/office/officeart/2005/8/layout/orgChart1"/>
    <dgm:cxn modelId="{5E800971-56B2-45E3-9D9B-2F5F1548BADA}" type="presParOf" srcId="{1820E2CB-1D8E-4B12-9C89-3F409A5984EA}" destId="{6B12747C-8F65-4BDA-9D07-2A9403BDD356}" srcOrd="1" destOrd="0" presId="urn:microsoft.com/office/officeart/2005/8/layout/orgChart1"/>
    <dgm:cxn modelId="{48474C90-A1F2-4477-A0FC-D08A73289E97}" type="presParOf" srcId="{1820E2CB-1D8E-4B12-9C89-3F409A5984EA}" destId="{AAA6D523-D7DF-467A-A1E7-8F0E9B05D27F}" srcOrd="2" destOrd="0" presId="urn:microsoft.com/office/officeart/2005/8/layout/orgChart1"/>
    <dgm:cxn modelId="{D5929E14-4DCC-4E26-88A1-9FEEAD6A54D8}" type="presParOf" srcId="{C8562E8E-0438-44EA-B5A6-F3E950440FDC}" destId="{76F114C9-E1A8-48C2-AB63-C1450CF809EC}" srcOrd="2" destOrd="0" presId="urn:microsoft.com/office/officeart/2005/8/layout/orgChart1"/>
    <dgm:cxn modelId="{46B6AB44-EFDC-46B0-9123-BFAC9B659524}" type="presParOf" srcId="{C8562E8E-0438-44EA-B5A6-F3E950440FDC}" destId="{59C832C8-0044-4EC8-979B-CE5216ED5361}" srcOrd="3" destOrd="0" presId="urn:microsoft.com/office/officeart/2005/8/layout/orgChart1"/>
    <dgm:cxn modelId="{A9B70778-A03A-460C-8CC7-DAB8AE72EC11}" type="presParOf" srcId="{59C832C8-0044-4EC8-979B-CE5216ED5361}" destId="{62B7DA82-2142-4EC7-8D63-61324E86150D}" srcOrd="0" destOrd="0" presId="urn:microsoft.com/office/officeart/2005/8/layout/orgChart1"/>
    <dgm:cxn modelId="{89616957-ED2B-4B61-9F5C-A5159DAE8888}" type="presParOf" srcId="{62B7DA82-2142-4EC7-8D63-61324E86150D}" destId="{BFAB83D1-1A9C-49D7-BE4C-7E167D3DFF4B}" srcOrd="0" destOrd="0" presId="urn:microsoft.com/office/officeart/2005/8/layout/orgChart1"/>
    <dgm:cxn modelId="{A8EB554F-F7B3-4D8D-BC92-22EB212BD875}" type="presParOf" srcId="{62B7DA82-2142-4EC7-8D63-61324E86150D}" destId="{82B72EFF-9406-472E-A80E-A1451728C56D}" srcOrd="1" destOrd="0" presId="urn:microsoft.com/office/officeart/2005/8/layout/orgChart1"/>
    <dgm:cxn modelId="{64F6C918-8266-4021-82DA-C505BF6E54D9}" type="presParOf" srcId="{59C832C8-0044-4EC8-979B-CE5216ED5361}" destId="{48BA636C-EA56-41B9-BC07-0BDA2D88B1B9}" srcOrd="1" destOrd="0" presId="urn:microsoft.com/office/officeart/2005/8/layout/orgChart1"/>
    <dgm:cxn modelId="{0285A858-E199-40E1-A215-3E12041E73BE}" type="presParOf" srcId="{59C832C8-0044-4EC8-979B-CE5216ED5361}" destId="{73DC6BC8-4D63-4F88-8F31-7FCFC85557B2}" srcOrd="2" destOrd="0" presId="urn:microsoft.com/office/officeart/2005/8/layout/orgChart1"/>
    <dgm:cxn modelId="{B92A7A13-DC71-4424-84C3-BCD9B5AE26C3}" type="presParOf" srcId="{86DFBADB-B784-460D-BC48-A5CA304EBAAC}" destId="{7FBBB966-00B2-403C-B8C7-30F7960CC8BD}" srcOrd="2" destOrd="0" presId="urn:microsoft.com/office/officeart/2005/8/layout/orgChart1"/>
    <dgm:cxn modelId="{519814D1-0ABE-49DB-AE8D-6B0191A15BE9}" type="presParOf" srcId="{453F97E6-B91C-46B7-A834-0C63B3044059}" destId="{867D0202-22AE-418E-80EF-B0F9347B2824}" srcOrd="2" destOrd="0" presId="urn:microsoft.com/office/officeart/2005/8/layout/orgChart1"/>
    <dgm:cxn modelId="{9B1DD5FE-4BE0-4686-AF63-637662C557CC}" type="presParOf" srcId="{453F97E6-B91C-46B7-A834-0C63B3044059}" destId="{5B60BDA0-DF64-41C7-B409-7B6B463FDAA9}" srcOrd="3" destOrd="0" presId="urn:microsoft.com/office/officeart/2005/8/layout/orgChart1"/>
    <dgm:cxn modelId="{CF3C9C78-1CC5-45ED-BBD4-3F5A9016C99F}" type="presParOf" srcId="{5B60BDA0-DF64-41C7-B409-7B6B463FDAA9}" destId="{44EC2EDA-033F-47AC-8F17-5387AF887844}" srcOrd="0" destOrd="0" presId="urn:microsoft.com/office/officeart/2005/8/layout/orgChart1"/>
    <dgm:cxn modelId="{DFEAD6B2-5315-46EE-BA21-91F0891FCFFD}" type="presParOf" srcId="{44EC2EDA-033F-47AC-8F17-5387AF887844}" destId="{460D4FC5-7430-47E1-B258-592A1E8F799F}" srcOrd="0" destOrd="0" presId="urn:microsoft.com/office/officeart/2005/8/layout/orgChart1"/>
    <dgm:cxn modelId="{63ED7B1D-D7BE-4FFA-BDAC-89A6C729A5BF}" type="presParOf" srcId="{44EC2EDA-033F-47AC-8F17-5387AF887844}" destId="{974FB573-78CA-4CF1-9D79-85CB4E11C7A3}" srcOrd="1" destOrd="0" presId="urn:microsoft.com/office/officeart/2005/8/layout/orgChart1"/>
    <dgm:cxn modelId="{051C0329-082E-4013-ADFF-8DE0B254BC5B}" type="presParOf" srcId="{5B60BDA0-DF64-41C7-B409-7B6B463FDAA9}" destId="{9A4EF7C1-EC67-4F6C-BF7C-81BCEB06FD3D}" srcOrd="1" destOrd="0" presId="urn:microsoft.com/office/officeart/2005/8/layout/orgChart1"/>
    <dgm:cxn modelId="{6D093960-7B1A-4E21-87ED-D44992F13421}" type="presParOf" srcId="{9A4EF7C1-EC67-4F6C-BF7C-81BCEB06FD3D}" destId="{0C97C4C4-FBCE-4720-A0EB-94120AB28960}" srcOrd="0" destOrd="0" presId="urn:microsoft.com/office/officeart/2005/8/layout/orgChart1"/>
    <dgm:cxn modelId="{069E742A-7105-49B9-96EA-54E0C7E28B4F}" type="presParOf" srcId="{9A4EF7C1-EC67-4F6C-BF7C-81BCEB06FD3D}" destId="{7DDACC59-1B27-407B-89B5-EC547533C10D}" srcOrd="1" destOrd="0" presId="urn:microsoft.com/office/officeart/2005/8/layout/orgChart1"/>
    <dgm:cxn modelId="{A9F78F84-998A-4CCD-92D4-045387E3C98C}" type="presParOf" srcId="{7DDACC59-1B27-407B-89B5-EC547533C10D}" destId="{5723700D-9DE7-4858-87CE-B9941937B4E4}" srcOrd="0" destOrd="0" presId="urn:microsoft.com/office/officeart/2005/8/layout/orgChart1"/>
    <dgm:cxn modelId="{C1809C90-8ED3-4854-93D5-6FD5DDC10531}" type="presParOf" srcId="{5723700D-9DE7-4858-87CE-B9941937B4E4}" destId="{AC3D2619-832D-4097-A9AC-C4428D646217}" srcOrd="0" destOrd="0" presId="urn:microsoft.com/office/officeart/2005/8/layout/orgChart1"/>
    <dgm:cxn modelId="{50A76940-7E1A-4415-8FED-FD73523BCF53}" type="presParOf" srcId="{5723700D-9DE7-4858-87CE-B9941937B4E4}" destId="{812CB119-BA27-408D-87F9-E0D69033F8E1}" srcOrd="1" destOrd="0" presId="urn:microsoft.com/office/officeart/2005/8/layout/orgChart1"/>
    <dgm:cxn modelId="{59323868-CCEB-450D-A551-EBA606467829}" type="presParOf" srcId="{7DDACC59-1B27-407B-89B5-EC547533C10D}" destId="{F4796A62-27E9-48FD-9975-22D25ECDD544}" srcOrd="1" destOrd="0" presId="urn:microsoft.com/office/officeart/2005/8/layout/orgChart1"/>
    <dgm:cxn modelId="{4F76C940-DEF9-4F0D-8D51-F6F93F816A39}" type="presParOf" srcId="{7DDACC59-1B27-407B-89B5-EC547533C10D}" destId="{8D742261-8FB0-443E-85A4-36A1C33143D3}" srcOrd="2" destOrd="0" presId="urn:microsoft.com/office/officeart/2005/8/layout/orgChart1"/>
    <dgm:cxn modelId="{4BB356B4-D8C2-4DD0-88FA-6DCA11C29ACF}" type="presParOf" srcId="{9A4EF7C1-EC67-4F6C-BF7C-81BCEB06FD3D}" destId="{2FBBA250-F9B7-4765-8560-EB8D9FB7D023}" srcOrd="2" destOrd="0" presId="urn:microsoft.com/office/officeart/2005/8/layout/orgChart1"/>
    <dgm:cxn modelId="{A5602777-3F0E-490B-A900-4C620232E1D0}" type="presParOf" srcId="{9A4EF7C1-EC67-4F6C-BF7C-81BCEB06FD3D}" destId="{FE87D0AB-3C6C-4C59-997D-0BA3FB8FA909}" srcOrd="3" destOrd="0" presId="urn:microsoft.com/office/officeart/2005/8/layout/orgChart1"/>
    <dgm:cxn modelId="{5464BFCF-7984-497E-94BC-41EBF5D67733}" type="presParOf" srcId="{FE87D0AB-3C6C-4C59-997D-0BA3FB8FA909}" destId="{4E464E0D-9B21-4B6E-95B0-6A01227FB51E}" srcOrd="0" destOrd="0" presId="urn:microsoft.com/office/officeart/2005/8/layout/orgChart1"/>
    <dgm:cxn modelId="{5A1AE4A5-D2B6-494C-A0C6-469EA1247EFE}" type="presParOf" srcId="{4E464E0D-9B21-4B6E-95B0-6A01227FB51E}" destId="{121D9BAE-1845-4EC6-8471-A5FC827E216A}" srcOrd="0" destOrd="0" presId="urn:microsoft.com/office/officeart/2005/8/layout/orgChart1"/>
    <dgm:cxn modelId="{4EC03433-E14F-4587-93C5-01289861DE3E}" type="presParOf" srcId="{4E464E0D-9B21-4B6E-95B0-6A01227FB51E}" destId="{E006125D-B964-4121-A66F-F98618120912}" srcOrd="1" destOrd="0" presId="urn:microsoft.com/office/officeart/2005/8/layout/orgChart1"/>
    <dgm:cxn modelId="{F977F582-2D68-4EBF-957A-5AC4699811B7}" type="presParOf" srcId="{FE87D0AB-3C6C-4C59-997D-0BA3FB8FA909}" destId="{3FF334F3-04C1-41B2-A276-61FE16235672}" srcOrd="1" destOrd="0" presId="urn:microsoft.com/office/officeart/2005/8/layout/orgChart1"/>
    <dgm:cxn modelId="{1CA595B9-4E32-4F85-A5B4-26D99FF85DA2}" type="presParOf" srcId="{FE87D0AB-3C6C-4C59-997D-0BA3FB8FA909}" destId="{B3E0AF72-59BE-412F-8E42-37ABDDC4249F}" srcOrd="2" destOrd="0" presId="urn:microsoft.com/office/officeart/2005/8/layout/orgChart1"/>
    <dgm:cxn modelId="{E9619AD2-C638-4FBA-A773-79ED0C54632E}" type="presParOf" srcId="{5B60BDA0-DF64-41C7-B409-7B6B463FDAA9}" destId="{E6FC676E-F250-421D-AB6B-E304B315E2B2}" srcOrd="2" destOrd="0" presId="urn:microsoft.com/office/officeart/2005/8/layout/orgChart1"/>
    <dgm:cxn modelId="{02695438-8333-4E54-8606-0A6E0C387540}" type="presParOf" srcId="{453F97E6-B91C-46B7-A834-0C63B3044059}" destId="{827FFCDD-0AAC-40A5-888D-DAA9A17F3194}" srcOrd="4" destOrd="0" presId="urn:microsoft.com/office/officeart/2005/8/layout/orgChart1"/>
    <dgm:cxn modelId="{23F87D02-BFC4-453A-A481-67973810D747}" type="presParOf" srcId="{453F97E6-B91C-46B7-A834-0C63B3044059}" destId="{A0DDB173-7A85-4DC5-A539-D85446BBB352}" srcOrd="5" destOrd="0" presId="urn:microsoft.com/office/officeart/2005/8/layout/orgChart1"/>
    <dgm:cxn modelId="{DD9E4E4C-C191-4B29-A522-B9434647351F}" type="presParOf" srcId="{A0DDB173-7A85-4DC5-A539-D85446BBB352}" destId="{A2583ACF-8623-42BA-B27C-BB96C684A681}" srcOrd="0" destOrd="0" presId="urn:microsoft.com/office/officeart/2005/8/layout/orgChart1"/>
    <dgm:cxn modelId="{E77F0896-D488-48D0-96AB-26C2C4204C91}" type="presParOf" srcId="{A2583ACF-8623-42BA-B27C-BB96C684A681}" destId="{99D24377-E7F3-413D-852A-D662844386DA}" srcOrd="0" destOrd="0" presId="urn:microsoft.com/office/officeart/2005/8/layout/orgChart1"/>
    <dgm:cxn modelId="{44F1FCEE-697B-4888-9F64-0003E65BF5C6}" type="presParOf" srcId="{A2583ACF-8623-42BA-B27C-BB96C684A681}" destId="{04F109A1-FF5F-4381-A954-C6C206DDF756}" srcOrd="1" destOrd="0" presId="urn:microsoft.com/office/officeart/2005/8/layout/orgChart1"/>
    <dgm:cxn modelId="{0EA7A369-CDB8-445F-8A49-D750305802F5}" type="presParOf" srcId="{A0DDB173-7A85-4DC5-A539-D85446BBB352}" destId="{88F8406B-823E-4858-9FDC-0F8D76A1D411}" srcOrd="1" destOrd="0" presId="urn:microsoft.com/office/officeart/2005/8/layout/orgChart1"/>
    <dgm:cxn modelId="{4132A507-2EF4-42D6-A847-45B1DB0B85E6}" type="presParOf" srcId="{88F8406B-823E-4858-9FDC-0F8D76A1D411}" destId="{10D5EF48-E3EC-4649-973B-BC20D3B4ED90}" srcOrd="0" destOrd="0" presId="urn:microsoft.com/office/officeart/2005/8/layout/orgChart1"/>
    <dgm:cxn modelId="{922BA89C-9226-48B9-A8F5-062E821900EE}" type="presParOf" srcId="{88F8406B-823E-4858-9FDC-0F8D76A1D411}" destId="{6C825B29-D374-4822-9F82-CF9425F4AC67}" srcOrd="1" destOrd="0" presId="urn:microsoft.com/office/officeart/2005/8/layout/orgChart1"/>
    <dgm:cxn modelId="{177E0993-0DF3-4FD8-9882-F8558A89368E}" type="presParOf" srcId="{6C825B29-D374-4822-9F82-CF9425F4AC67}" destId="{0BF291DF-A099-40BF-A0EB-DDB78DE12EA2}" srcOrd="0" destOrd="0" presId="urn:microsoft.com/office/officeart/2005/8/layout/orgChart1"/>
    <dgm:cxn modelId="{294453EE-4CF7-4553-B277-F0AF0A0A91D5}" type="presParOf" srcId="{0BF291DF-A099-40BF-A0EB-DDB78DE12EA2}" destId="{6E267D5A-19DF-435B-8835-363A841A70CC}" srcOrd="0" destOrd="0" presId="urn:microsoft.com/office/officeart/2005/8/layout/orgChart1"/>
    <dgm:cxn modelId="{2E6D0996-8419-4F37-8F52-CF6B7064EFF6}" type="presParOf" srcId="{0BF291DF-A099-40BF-A0EB-DDB78DE12EA2}" destId="{936571C3-F51D-4A2F-96D5-A28FBA4DEB76}" srcOrd="1" destOrd="0" presId="urn:microsoft.com/office/officeart/2005/8/layout/orgChart1"/>
    <dgm:cxn modelId="{E75155CC-7FF0-4BDE-B506-B3AB6EC0E823}" type="presParOf" srcId="{6C825B29-D374-4822-9F82-CF9425F4AC67}" destId="{5D160B3D-95BF-4794-A567-EF6B2C8193D2}" srcOrd="1" destOrd="0" presId="urn:microsoft.com/office/officeart/2005/8/layout/orgChart1"/>
    <dgm:cxn modelId="{88C20BA7-CD80-439C-9ACB-A25F9CC4E5A2}" type="presParOf" srcId="{6C825B29-D374-4822-9F82-CF9425F4AC67}" destId="{544E328B-A1FA-4077-80EB-500E35E240E3}" srcOrd="2" destOrd="0" presId="urn:microsoft.com/office/officeart/2005/8/layout/orgChart1"/>
    <dgm:cxn modelId="{1744340A-8FE4-4A5A-BC57-3AAF353313EA}" type="presParOf" srcId="{88F8406B-823E-4858-9FDC-0F8D76A1D411}" destId="{DFA16796-F34B-4E74-8211-00E05B9DC25F}" srcOrd="2" destOrd="0" presId="urn:microsoft.com/office/officeart/2005/8/layout/orgChart1"/>
    <dgm:cxn modelId="{F95B49EF-4481-4BC3-83CC-74E0DBA18985}" type="presParOf" srcId="{88F8406B-823E-4858-9FDC-0F8D76A1D411}" destId="{1420321C-84FD-4EB9-AE96-E739DB9408D0}" srcOrd="3" destOrd="0" presId="urn:microsoft.com/office/officeart/2005/8/layout/orgChart1"/>
    <dgm:cxn modelId="{D023838E-212B-42D2-994F-FF1B35F8E5C8}" type="presParOf" srcId="{1420321C-84FD-4EB9-AE96-E739DB9408D0}" destId="{C26CC8F5-B630-4811-860C-BBAA8C9D8183}" srcOrd="0" destOrd="0" presId="urn:microsoft.com/office/officeart/2005/8/layout/orgChart1"/>
    <dgm:cxn modelId="{6A0C7B53-11E0-4FD5-8EC0-AD88624E90CD}" type="presParOf" srcId="{C26CC8F5-B630-4811-860C-BBAA8C9D8183}" destId="{B9DA33F7-0329-44AA-A530-E3F34113CE62}" srcOrd="0" destOrd="0" presId="urn:microsoft.com/office/officeart/2005/8/layout/orgChart1"/>
    <dgm:cxn modelId="{1A0C6E09-4C96-4341-928E-E40C90F9BDD9}" type="presParOf" srcId="{C26CC8F5-B630-4811-860C-BBAA8C9D8183}" destId="{A5C2A0F7-3CE6-4E1D-A024-04D124F006FA}" srcOrd="1" destOrd="0" presId="urn:microsoft.com/office/officeart/2005/8/layout/orgChart1"/>
    <dgm:cxn modelId="{857374C6-6A9F-40C4-BA0C-5833E1B8C0F2}" type="presParOf" srcId="{1420321C-84FD-4EB9-AE96-E739DB9408D0}" destId="{AAEC3AF7-85B8-487C-937E-CBD8CFA38097}" srcOrd="1" destOrd="0" presId="urn:microsoft.com/office/officeart/2005/8/layout/orgChart1"/>
    <dgm:cxn modelId="{E1CE0F9B-8E1F-43DF-B5BE-633C789D9E2A}" type="presParOf" srcId="{1420321C-84FD-4EB9-AE96-E739DB9408D0}" destId="{50E91E62-5997-4074-BE77-1E8235D0E218}" srcOrd="2" destOrd="0" presId="urn:microsoft.com/office/officeart/2005/8/layout/orgChart1"/>
    <dgm:cxn modelId="{26E29F10-19B5-4A36-AD7A-69F46237CCD7}" type="presParOf" srcId="{A0DDB173-7A85-4DC5-A539-D85446BBB352}" destId="{758A77BD-2441-48EF-8CC5-CC92BE330E0C}" srcOrd="2" destOrd="0" presId="urn:microsoft.com/office/officeart/2005/8/layout/orgChart1"/>
    <dgm:cxn modelId="{D91BCCDF-CC7D-4D61-98EE-504A93E80E92}" type="presParOf" srcId="{3128632F-5893-40CD-AC82-0E52D0079BD6}" destId="{D93E1D77-0F76-46F9-991F-991219612B39}" srcOrd="2" destOrd="0" presId="urn:microsoft.com/office/officeart/2005/8/layout/orgChart1"/>
    <dgm:cxn modelId="{4F4503BF-7409-4094-BD61-AA492C02CA7F}" type="presParOf" srcId="{03D3D2FD-2564-40FC-AD3B-D3398CBAC621}" destId="{01E66863-D757-4BD2-8840-ECD363DD22AC}" srcOrd="4" destOrd="0" presId="urn:microsoft.com/office/officeart/2005/8/layout/orgChart1"/>
    <dgm:cxn modelId="{7A8584E3-0157-4EC5-AE5C-FC5F71CBB755}" type="presParOf" srcId="{03D3D2FD-2564-40FC-AD3B-D3398CBAC621}" destId="{91B8722D-6106-4CFB-AC9B-C9DBD1CC304A}" srcOrd="5" destOrd="0" presId="urn:microsoft.com/office/officeart/2005/8/layout/orgChart1"/>
    <dgm:cxn modelId="{51399BD7-A4AC-4247-A298-719948270845}" type="presParOf" srcId="{91B8722D-6106-4CFB-AC9B-C9DBD1CC304A}" destId="{92EA66AD-FC67-4F9F-84D8-ED3CDB2E8529}" srcOrd="0" destOrd="0" presId="urn:microsoft.com/office/officeart/2005/8/layout/orgChart1"/>
    <dgm:cxn modelId="{F1E33E80-A120-449D-BB1C-3FCDE0FCCC02}" type="presParOf" srcId="{92EA66AD-FC67-4F9F-84D8-ED3CDB2E8529}" destId="{F57E82BD-BF45-4E41-B3C4-0BB2C83DBA86}" srcOrd="0" destOrd="0" presId="urn:microsoft.com/office/officeart/2005/8/layout/orgChart1"/>
    <dgm:cxn modelId="{D15C06CF-7782-4546-8675-DA1AD3F816CD}" type="presParOf" srcId="{92EA66AD-FC67-4F9F-84D8-ED3CDB2E8529}" destId="{B94D3497-E8D6-40A0-A290-FD7735CA6560}" srcOrd="1" destOrd="0" presId="urn:microsoft.com/office/officeart/2005/8/layout/orgChart1"/>
    <dgm:cxn modelId="{27995439-D767-4A05-B84A-D5DE31E9C137}" type="presParOf" srcId="{91B8722D-6106-4CFB-AC9B-C9DBD1CC304A}" destId="{28C23BE9-6E12-4EFD-94C2-E95C8783E7A0}" srcOrd="1" destOrd="0" presId="urn:microsoft.com/office/officeart/2005/8/layout/orgChart1"/>
    <dgm:cxn modelId="{508FC2D3-9CC4-481E-9204-625061A0A186}" type="presParOf" srcId="{28C23BE9-6E12-4EFD-94C2-E95C8783E7A0}" destId="{D61B1870-383A-479F-8DEF-155630525509}" srcOrd="0" destOrd="0" presId="urn:microsoft.com/office/officeart/2005/8/layout/orgChart1"/>
    <dgm:cxn modelId="{B81C1750-9FB5-4448-9D80-9444F6003E80}" type="presParOf" srcId="{28C23BE9-6E12-4EFD-94C2-E95C8783E7A0}" destId="{58BC1DB4-D444-4A7D-8713-F0EA133FD0FF}" srcOrd="1" destOrd="0" presId="urn:microsoft.com/office/officeart/2005/8/layout/orgChart1"/>
    <dgm:cxn modelId="{C9F5A9D9-6BE9-4C07-A0EF-729469D47D81}" type="presParOf" srcId="{58BC1DB4-D444-4A7D-8713-F0EA133FD0FF}" destId="{C990506C-4A15-42C9-BE82-F42B0240752B}" srcOrd="0" destOrd="0" presId="urn:microsoft.com/office/officeart/2005/8/layout/orgChart1"/>
    <dgm:cxn modelId="{8CE3C8CD-CEE0-4EE4-A450-0FC0565C79FC}" type="presParOf" srcId="{C990506C-4A15-42C9-BE82-F42B0240752B}" destId="{0801A367-3AB8-4D84-96EB-B108BECA4AB1}" srcOrd="0" destOrd="0" presId="urn:microsoft.com/office/officeart/2005/8/layout/orgChart1"/>
    <dgm:cxn modelId="{F87C5ADF-3F15-4DEC-9929-0468886750D4}" type="presParOf" srcId="{C990506C-4A15-42C9-BE82-F42B0240752B}" destId="{765754BE-7541-4CA1-AFA5-1918464C72D9}" srcOrd="1" destOrd="0" presId="urn:microsoft.com/office/officeart/2005/8/layout/orgChart1"/>
    <dgm:cxn modelId="{C56EE508-BB5A-40E1-B51C-75C9B7DC8AE2}" type="presParOf" srcId="{58BC1DB4-D444-4A7D-8713-F0EA133FD0FF}" destId="{55D2C411-8540-4AC3-909A-7B430D1AD788}" srcOrd="1" destOrd="0" presId="urn:microsoft.com/office/officeart/2005/8/layout/orgChart1"/>
    <dgm:cxn modelId="{16094019-1BFA-4572-8243-464455E7F968}" type="presParOf" srcId="{55D2C411-8540-4AC3-909A-7B430D1AD788}" destId="{F64790F7-7FBB-4913-A0AF-CFAC30A3E2FE}" srcOrd="0" destOrd="0" presId="urn:microsoft.com/office/officeart/2005/8/layout/orgChart1"/>
    <dgm:cxn modelId="{0F2BDE8F-06FE-4422-AB13-2E30A23A8D2A}" type="presParOf" srcId="{55D2C411-8540-4AC3-909A-7B430D1AD788}" destId="{C2D36BBD-44F6-4681-BED8-8CC477B9CC99}" srcOrd="1" destOrd="0" presId="urn:microsoft.com/office/officeart/2005/8/layout/orgChart1"/>
    <dgm:cxn modelId="{48D5A03E-4816-4A44-BB7B-9202A7B6EADC}" type="presParOf" srcId="{C2D36BBD-44F6-4681-BED8-8CC477B9CC99}" destId="{751F1440-CD33-4326-8085-7422019423DD}" srcOrd="0" destOrd="0" presId="urn:microsoft.com/office/officeart/2005/8/layout/orgChart1"/>
    <dgm:cxn modelId="{22362888-7171-4B4F-8EFE-8D42437FE324}" type="presParOf" srcId="{751F1440-CD33-4326-8085-7422019423DD}" destId="{8BF81CF0-2638-4B91-8A77-C4F4E277B8A1}" srcOrd="0" destOrd="0" presId="urn:microsoft.com/office/officeart/2005/8/layout/orgChart1"/>
    <dgm:cxn modelId="{7428B1D2-AB51-453B-A5AA-C96333AA6BDE}" type="presParOf" srcId="{751F1440-CD33-4326-8085-7422019423DD}" destId="{8382163B-BB10-4727-A843-CB856A9FBBC9}" srcOrd="1" destOrd="0" presId="urn:microsoft.com/office/officeart/2005/8/layout/orgChart1"/>
    <dgm:cxn modelId="{81FAE9AF-B088-4946-975B-7AA79EDE3128}" type="presParOf" srcId="{C2D36BBD-44F6-4681-BED8-8CC477B9CC99}" destId="{2965C603-A7AC-4DEE-83EE-9285E71D95F8}" srcOrd="1" destOrd="0" presId="urn:microsoft.com/office/officeart/2005/8/layout/orgChart1"/>
    <dgm:cxn modelId="{A31A0544-F574-4801-87E2-55B8BF06FC8E}" type="presParOf" srcId="{C2D36BBD-44F6-4681-BED8-8CC477B9CC99}" destId="{2D74D692-76BB-4687-975A-8A0B2843D55C}" srcOrd="2" destOrd="0" presId="urn:microsoft.com/office/officeart/2005/8/layout/orgChart1"/>
    <dgm:cxn modelId="{15A6FA06-53D4-448E-9989-FBEA079703EB}" type="presParOf" srcId="{55D2C411-8540-4AC3-909A-7B430D1AD788}" destId="{8AA391DE-CE58-49EC-B415-B15568FC37E1}" srcOrd="2" destOrd="0" presId="urn:microsoft.com/office/officeart/2005/8/layout/orgChart1"/>
    <dgm:cxn modelId="{FE63E88B-167E-4678-81B7-869572F5A437}" type="presParOf" srcId="{55D2C411-8540-4AC3-909A-7B430D1AD788}" destId="{C9A557F1-7A90-4D16-A8D1-3B40F87ED7F6}" srcOrd="3" destOrd="0" presId="urn:microsoft.com/office/officeart/2005/8/layout/orgChart1"/>
    <dgm:cxn modelId="{D45CC8AE-DF1C-4E57-BE0A-A5452E4674C5}" type="presParOf" srcId="{C9A557F1-7A90-4D16-A8D1-3B40F87ED7F6}" destId="{3B55BDC1-5559-4690-A12C-08C692C5B81C}" srcOrd="0" destOrd="0" presId="urn:microsoft.com/office/officeart/2005/8/layout/orgChart1"/>
    <dgm:cxn modelId="{354F2D69-5B1D-4BBA-834D-6FB577344C83}" type="presParOf" srcId="{3B55BDC1-5559-4690-A12C-08C692C5B81C}" destId="{A51C311F-3893-4B9B-A4CF-F7CC2053C2B7}" srcOrd="0" destOrd="0" presId="urn:microsoft.com/office/officeart/2005/8/layout/orgChart1"/>
    <dgm:cxn modelId="{41D72D19-E929-4155-A359-CD6D1A25E4AB}" type="presParOf" srcId="{3B55BDC1-5559-4690-A12C-08C692C5B81C}" destId="{109312F9-7973-45C6-892E-E164FE4AD7F4}" srcOrd="1" destOrd="0" presId="urn:microsoft.com/office/officeart/2005/8/layout/orgChart1"/>
    <dgm:cxn modelId="{301DE04E-69A7-40DD-97E4-2EEA6CB2A4E4}" type="presParOf" srcId="{C9A557F1-7A90-4D16-A8D1-3B40F87ED7F6}" destId="{80A8B5E8-F1DD-42B9-94F7-0440FE4B3AAD}" srcOrd="1" destOrd="0" presId="urn:microsoft.com/office/officeart/2005/8/layout/orgChart1"/>
    <dgm:cxn modelId="{654C9A77-AC1F-4506-8D1E-457D3004117B}" type="presParOf" srcId="{C9A557F1-7A90-4D16-A8D1-3B40F87ED7F6}" destId="{2491E97D-F297-4EF2-A4E2-B783FA815499}" srcOrd="2" destOrd="0" presId="urn:microsoft.com/office/officeart/2005/8/layout/orgChart1"/>
    <dgm:cxn modelId="{5F749D5C-50E9-44F9-A80C-1E4C7EB3E15B}" type="presParOf" srcId="{58BC1DB4-D444-4A7D-8713-F0EA133FD0FF}" destId="{E8A606C0-E1F0-4B27-89EA-7723245BF827}" srcOrd="2" destOrd="0" presId="urn:microsoft.com/office/officeart/2005/8/layout/orgChart1"/>
    <dgm:cxn modelId="{1EC517CF-8EA9-48A1-AC6F-3458829EEB3F}" type="presParOf" srcId="{28C23BE9-6E12-4EFD-94C2-E95C8783E7A0}" destId="{8E274D07-D34D-49FB-A891-96163CC94766}" srcOrd="2" destOrd="0" presId="urn:microsoft.com/office/officeart/2005/8/layout/orgChart1"/>
    <dgm:cxn modelId="{B672FDD5-2478-415D-A4F3-8270D9DC543B}" type="presParOf" srcId="{28C23BE9-6E12-4EFD-94C2-E95C8783E7A0}" destId="{F02E864D-27C6-4183-99B6-1614C82AEF0C}" srcOrd="3" destOrd="0" presId="urn:microsoft.com/office/officeart/2005/8/layout/orgChart1"/>
    <dgm:cxn modelId="{0A99846C-421F-479D-8DD3-010D33A5CDD5}" type="presParOf" srcId="{F02E864D-27C6-4183-99B6-1614C82AEF0C}" destId="{17B96D99-C48F-4B9A-B9E5-44B658959ED0}" srcOrd="0" destOrd="0" presId="urn:microsoft.com/office/officeart/2005/8/layout/orgChart1"/>
    <dgm:cxn modelId="{35D61E71-7231-46B6-A5E8-14C9AA133D5A}" type="presParOf" srcId="{17B96D99-C48F-4B9A-B9E5-44B658959ED0}" destId="{739220A5-B424-4D00-BA09-DAE9C40B664F}" srcOrd="0" destOrd="0" presId="urn:microsoft.com/office/officeart/2005/8/layout/orgChart1"/>
    <dgm:cxn modelId="{484FA68E-5761-47AB-8438-5F16F1A62C51}" type="presParOf" srcId="{17B96D99-C48F-4B9A-B9E5-44B658959ED0}" destId="{36EE70AF-A651-44ED-8969-EDDB1F212D02}" srcOrd="1" destOrd="0" presId="urn:microsoft.com/office/officeart/2005/8/layout/orgChart1"/>
    <dgm:cxn modelId="{143D5836-13F1-4A37-894D-DFE4011CBEF7}" type="presParOf" srcId="{F02E864D-27C6-4183-99B6-1614C82AEF0C}" destId="{98C30A58-DD9B-49BB-9776-31D0D5ED5460}" srcOrd="1" destOrd="0" presId="urn:microsoft.com/office/officeart/2005/8/layout/orgChart1"/>
    <dgm:cxn modelId="{DF66BCB2-C714-45EC-B5D6-48C47C03F9DE}" type="presParOf" srcId="{98C30A58-DD9B-49BB-9776-31D0D5ED5460}" destId="{B42EBC9D-232C-4BA0-B849-7864C971DC59}" srcOrd="0" destOrd="0" presId="urn:microsoft.com/office/officeart/2005/8/layout/orgChart1"/>
    <dgm:cxn modelId="{54FB3136-7328-4AF6-8C1A-09D3FF7FD36C}" type="presParOf" srcId="{98C30A58-DD9B-49BB-9776-31D0D5ED5460}" destId="{402A5DC7-E201-4707-8A01-AAE6CFFF383D}" srcOrd="1" destOrd="0" presId="urn:microsoft.com/office/officeart/2005/8/layout/orgChart1"/>
    <dgm:cxn modelId="{34F27C7A-6373-41A9-887A-B727B9AF028E}" type="presParOf" srcId="{402A5DC7-E201-4707-8A01-AAE6CFFF383D}" destId="{4D537798-CFD2-486D-AACF-E1955E1B9612}" srcOrd="0" destOrd="0" presId="urn:microsoft.com/office/officeart/2005/8/layout/orgChart1"/>
    <dgm:cxn modelId="{A0C48837-E724-4B4B-9501-5A77BEDD98DD}" type="presParOf" srcId="{4D537798-CFD2-486D-AACF-E1955E1B9612}" destId="{507F5E94-027A-49B0-82A4-D73F3AB26436}" srcOrd="0" destOrd="0" presId="urn:microsoft.com/office/officeart/2005/8/layout/orgChart1"/>
    <dgm:cxn modelId="{DC1A6A9A-F846-488C-A576-AFBB559B680C}" type="presParOf" srcId="{4D537798-CFD2-486D-AACF-E1955E1B9612}" destId="{AA898D87-38E5-492C-B835-6FD9A8719D5E}" srcOrd="1" destOrd="0" presId="urn:microsoft.com/office/officeart/2005/8/layout/orgChart1"/>
    <dgm:cxn modelId="{88D230EE-3FD3-4A78-B178-909D13E58662}" type="presParOf" srcId="{402A5DC7-E201-4707-8A01-AAE6CFFF383D}" destId="{60CD7D4F-E924-4077-8B48-CB59594101E0}" srcOrd="1" destOrd="0" presId="urn:microsoft.com/office/officeart/2005/8/layout/orgChart1"/>
    <dgm:cxn modelId="{66259A8B-8681-4FEC-BCF4-CFF86FF081DB}" type="presParOf" srcId="{402A5DC7-E201-4707-8A01-AAE6CFFF383D}" destId="{3B4FB39A-713B-4032-85B7-E9B30CCBB077}" srcOrd="2" destOrd="0" presId="urn:microsoft.com/office/officeart/2005/8/layout/orgChart1"/>
    <dgm:cxn modelId="{03EC1329-A561-4B2C-A184-27ED728B7EB7}" type="presParOf" srcId="{98C30A58-DD9B-49BB-9776-31D0D5ED5460}" destId="{BE845C3F-821D-4BCD-AC0B-73973FCC564D}" srcOrd="2" destOrd="0" presId="urn:microsoft.com/office/officeart/2005/8/layout/orgChart1"/>
    <dgm:cxn modelId="{5B562992-977D-4935-9B60-C2A322AB3F2F}" type="presParOf" srcId="{98C30A58-DD9B-49BB-9776-31D0D5ED5460}" destId="{D64206BF-5EFD-46AA-A6BD-A3E04B0A74EA}" srcOrd="3" destOrd="0" presId="urn:microsoft.com/office/officeart/2005/8/layout/orgChart1"/>
    <dgm:cxn modelId="{9F44CF11-F2D8-44F7-B543-120F2C278EAF}" type="presParOf" srcId="{D64206BF-5EFD-46AA-A6BD-A3E04B0A74EA}" destId="{FD4BAC30-1424-4287-B235-5D2E88D27AF4}" srcOrd="0" destOrd="0" presId="urn:microsoft.com/office/officeart/2005/8/layout/orgChart1"/>
    <dgm:cxn modelId="{6652C5A5-81E2-47CB-B5CE-E25A7AE75BE6}" type="presParOf" srcId="{FD4BAC30-1424-4287-B235-5D2E88D27AF4}" destId="{DD8E6E22-BB23-4A36-8A30-39430B137B20}" srcOrd="0" destOrd="0" presId="urn:microsoft.com/office/officeart/2005/8/layout/orgChart1"/>
    <dgm:cxn modelId="{197F53F1-EC2F-4E49-AF44-801A7E8EBEE1}" type="presParOf" srcId="{FD4BAC30-1424-4287-B235-5D2E88D27AF4}" destId="{F5C36DC2-D86B-46D8-A809-B0DFC59A6E15}" srcOrd="1" destOrd="0" presId="urn:microsoft.com/office/officeart/2005/8/layout/orgChart1"/>
    <dgm:cxn modelId="{48D760C9-192E-4A37-AF8A-284D724B72CE}" type="presParOf" srcId="{D64206BF-5EFD-46AA-A6BD-A3E04B0A74EA}" destId="{0FD57C81-3E29-416D-A8E2-F6B3982D622D}" srcOrd="1" destOrd="0" presId="urn:microsoft.com/office/officeart/2005/8/layout/orgChart1"/>
    <dgm:cxn modelId="{29802CF3-DEFB-4019-97AD-454CFF9528D1}" type="presParOf" srcId="{D64206BF-5EFD-46AA-A6BD-A3E04B0A74EA}" destId="{77DCF44B-CEB1-4C94-97FD-37118C6255A9}" srcOrd="2" destOrd="0" presId="urn:microsoft.com/office/officeart/2005/8/layout/orgChart1"/>
    <dgm:cxn modelId="{D8688399-1224-4F76-9CB8-3A5AB9DDF4C9}" type="presParOf" srcId="{F02E864D-27C6-4183-99B6-1614C82AEF0C}" destId="{4CD6F837-AF73-4C85-B098-748EB6075A48}" srcOrd="2" destOrd="0" presId="urn:microsoft.com/office/officeart/2005/8/layout/orgChart1"/>
    <dgm:cxn modelId="{482685A2-6675-47A8-93C8-F7B4B5417832}" type="presParOf" srcId="{28C23BE9-6E12-4EFD-94C2-E95C8783E7A0}" destId="{4066CF4F-844F-4EBC-B7E8-E29033E44570}" srcOrd="4" destOrd="0" presId="urn:microsoft.com/office/officeart/2005/8/layout/orgChart1"/>
    <dgm:cxn modelId="{0BBCA72F-B01B-4B2C-BCB4-B6EFBA4FD016}" type="presParOf" srcId="{28C23BE9-6E12-4EFD-94C2-E95C8783E7A0}" destId="{2C668AB7-4FB8-4372-ABE3-B407927E9463}" srcOrd="5" destOrd="0" presId="urn:microsoft.com/office/officeart/2005/8/layout/orgChart1"/>
    <dgm:cxn modelId="{74E93F39-6E14-476A-8C3B-9509DD7369A9}" type="presParOf" srcId="{2C668AB7-4FB8-4372-ABE3-B407927E9463}" destId="{D06773C9-E7D3-4739-B498-B8A1A3676DA5}" srcOrd="0" destOrd="0" presId="urn:microsoft.com/office/officeart/2005/8/layout/orgChart1"/>
    <dgm:cxn modelId="{7BC56B44-5D4D-44E0-9E74-38201011937B}" type="presParOf" srcId="{D06773C9-E7D3-4739-B498-B8A1A3676DA5}" destId="{E83F509D-9B6E-41BE-8207-C0F77484A97A}" srcOrd="0" destOrd="0" presId="urn:microsoft.com/office/officeart/2005/8/layout/orgChart1"/>
    <dgm:cxn modelId="{A74FA9E7-0B01-4DD8-88E1-4F273AAC4EC4}" type="presParOf" srcId="{D06773C9-E7D3-4739-B498-B8A1A3676DA5}" destId="{AEBB8E3F-5394-460D-B0B8-4255BAADC75C}" srcOrd="1" destOrd="0" presId="urn:microsoft.com/office/officeart/2005/8/layout/orgChart1"/>
    <dgm:cxn modelId="{CA0E7A3E-FEE1-42B8-AAFB-ED483B21D346}" type="presParOf" srcId="{2C668AB7-4FB8-4372-ABE3-B407927E9463}" destId="{1CE866F1-5945-4F61-BED9-4238B07CA31D}" srcOrd="1" destOrd="0" presId="urn:microsoft.com/office/officeart/2005/8/layout/orgChart1"/>
    <dgm:cxn modelId="{93B04149-D9BF-4E82-974A-DA49E42AB132}" type="presParOf" srcId="{1CE866F1-5945-4F61-BED9-4238B07CA31D}" destId="{CF1D4EBB-230C-441E-8106-A065024816DA}" srcOrd="0" destOrd="0" presId="urn:microsoft.com/office/officeart/2005/8/layout/orgChart1"/>
    <dgm:cxn modelId="{FB1D876E-F00B-4F0A-AFB5-BCA6555DF8BC}" type="presParOf" srcId="{1CE866F1-5945-4F61-BED9-4238B07CA31D}" destId="{37286199-4A07-4453-86B5-65BD755E65C6}" srcOrd="1" destOrd="0" presId="urn:microsoft.com/office/officeart/2005/8/layout/orgChart1"/>
    <dgm:cxn modelId="{6728C614-287F-449A-A303-B80E7F6433BD}" type="presParOf" srcId="{37286199-4A07-4453-86B5-65BD755E65C6}" destId="{DBF54BA0-FE3F-4F3C-BAA9-0E3D843AFF1D}" srcOrd="0" destOrd="0" presId="urn:microsoft.com/office/officeart/2005/8/layout/orgChart1"/>
    <dgm:cxn modelId="{E165362C-FB2B-41AB-A9F9-1DC884F19834}" type="presParOf" srcId="{DBF54BA0-FE3F-4F3C-BAA9-0E3D843AFF1D}" destId="{D3FA45D9-6FE9-41BC-950C-84BBA00CDC7B}" srcOrd="0" destOrd="0" presId="urn:microsoft.com/office/officeart/2005/8/layout/orgChart1"/>
    <dgm:cxn modelId="{AE42B6DE-8012-4A31-AC21-64BC3407DFF8}" type="presParOf" srcId="{DBF54BA0-FE3F-4F3C-BAA9-0E3D843AFF1D}" destId="{CB20326E-BCA6-4DB8-AD5D-889091FA9359}" srcOrd="1" destOrd="0" presId="urn:microsoft.com/office/officeart/2005/8/layout/orgChart1"/>
    <dgm:cxn modelId="{A61E1947-5F9C-4BE7-966D-5CACEE9C8D06}" type="presParOf" srcId="{37286199-4A07-4453-86B5-65BD755E65C6}" destId="{B9114BEA-57EB-43B7-B378-0FFA634B1907}" srcOrd="1" destOrd="0" presId="urn:microsoft.com/office/officeart/2005/8/layout/orgChart1"/>
    <dgm:cxn modelId="{F724F7FC-FA9A-41FE-8D5A-B7690B755F08}" type="presParOf" srcId="{37286199-4A07-4453-86B5-65BD755E65C6}" destId="{467CA978-4267-46C3-99DE-418B3E9A4B66}" srcOrd="2" destOrd="0" presId="urn:microsoft.com/office/officeart/2005/8/layout/orgChart1"/>
    <dgm:cxn modelId="{73B272E5-39EA-4CCF-B858-1A4A1F634AD2}" type="presParOf" srcId="{1CE866F1-5945-4F61-BED9-4238B07CA31D}" destId="{2B25D5BE-28CE-4D47-A9DE-823CC32C546A}" srcOrd="2" destOrd="0" presId="urn:microsoft.com/office/officeart/2005/8/layout/orgChart1"/>
    <dgm:cxn modelId="{03F0ABF6-D7D4-4153-9EEE-D6B272CB7B9B}" type="presParOf" srcId="{1CE866F1-5945-4F61-BED9-4238B07CA31D}" destId="{556B5127-795F-4681-B190-3CEC0E29DE28}" srcOrd="3" destOrd="0" presId="urn:microsoft.com/office/officeart/2005/8/layout/orgChart1"/>
    <dgm:cxn modelId="{90CC5013-8EE0-4747-8DE8-ABF0EBD1A787}" type="presParOf" srcId="{556B5127-795F-4681-B190-3CEC0E29DE28}" destId="{5AB7E208-7FF0-4D83-84D2-E92748057EA5}" srcOrd="0" destOrd="0" presId="urn:microsoft.com/office/officeart/2005/8/layout/orgChart1"/>
    <dgm:cxn modelId="{AB4EED1D-5AAA-4C4C-9EFA-08D056CAC902}" type="presParOf" srcId="{5AB7E208-7FF0-4D83-84D2-E92748057EA5}" destId="{9FCDDB3B-B710-401F-92BF-9A89CFA4A2E5}" srcOrd="0" destOrd="0" presId="urn:microsoft.com/office/officeart/2005/8/layout/orgChart1"/>
    <dgm:cxn modelId="{8AF61F32-0701-4D14-9CEB-BAD84ED8BCFF}" type="presParOf" srcId="{5AB7E208-7FF0-4D83-84D2-E92748057EA5}" destId="{2C5F6FE5-1C48-4C59-B08C-4F765A73A3AD}" srcOrd="1" destOrd="0" presId="urn:microsoft.com/office/officeart/2005/8/layout/orgChart1"/>
    <dgm:cxn modelId="{2F21720F-A9FE-4EB9-B584-7E2867B90733}" type="presParOf" srcId="{556B5127-795F-4681-B190-3CEC0E29DE28}" destId="{CDE5A641-6CCA-4C33-A436-6267FECF8485}" srcOrd="1" destOrd="0" presId="urn:microsoft.com/office/officeart/2005/8/layout/orgChart1"/>
    <dgm:cxn modelId="{A70BFEBD-F20E-4FF5-8E64-9908F786AC5A}" type="presParOf" srcId="{556B5127-795F-4681-B190-3CEC0E29DE28}" destId="{5607B1E2-0152-474F-960A-E8F233EE4833}" srcOrd="2" destOrd="0" presId="urn:microsoft.com/office/officeart/2005/8/layout/orgChart1"/>
    <dgm:cxn modelId="{3E9A86A5-D05C-404C-8D9A-86A9348B4D9F}" type="presParOf" srcId="{2C668AB7-4FB8-4372-ABE3-B407927E9463}" destId="{D2AAFE4D-A5A5-4FCB-A7B9-80B8D757A818}" srcOrd="2" destOrd="0" presId="urn:microsoft.com/office/officeart/2005/8/layout/orgChart1"/>
    <dgm:cxn modelId="{302C62E1-6C36-4BB4-966E-76FE26C2DA2E}" type="presParOf" srcId="{91B8722D-6106-4CFB-AC9B-C9DBD1CC304A}" destId="{ED9317AF-AD35-4B20-96CA-482F3D6C5F19}" srcOrd="2" destOrd="0" presId="urn:microsoft.com/office/officeart/2005/8/layout/orgChart1"/>
    <dgm:cxn modelId="{DBA8CDC3-4E45-42D1-8467-7607D2D79B63}" type="presParOf" srcId="{CB9E1ADC-1162-4322-AD41-EAF1953E8C47}" destId="{B9AF7356-9EB6-4464-B86D-CF424828F38F}" srcOrd="2" destOrd="0" presId="urn:microsoft.com/office/officeart/2005/8/layout/orgChart1"/>
    <dgm:cxn modelId="{438F956E-FC66-4DA1-8728-0C055BEA8EE1}" type="presParOf" srcId="{27406B4F-52A1-4CD0-96C3-3A9EE3BEB8B9}" destId="{FAD198CE-12B8-4979-9FFD-5FE6C8B5C40E}" srcOrd="2" destOrd="0" presId="urn:microsoft.com/office/officeart/2005/8/layout/orgChart1"/>
    <dgm:cxn modelId="{AF349C9D-3D40-4885-92DB-C3EF04D58CE4}" type="presParOf" srcId="{27406B4F-52A1-4CD0-96C3-3A9EE3BEB8B9}" destId="{541CA571-E5B6-4443-B99D-5D094EF1B2DD}" srcOrd="3" destOrd="0" presId="urn:microsoft.com/office/officeart/2005/8/layout/orgChart1"/>
    <dgm:cxn modelId="{6C46A9D1-0F3C-4312-81EA-2FB39FCECC57}" type="presParOf" srcId="{541CA571-E5B6-4443-B99D-5D094EF1B2DD}" destId="{552A5768-BBE1-4FBA-A05A-4A0471E917CA}" srcOrd="0" destOrd="0" presId="urn:microsoft.com/office/officeart/2005/8/layout/orgChart1"/>
    <dgm:cxn modelId="{F04D8859-0F9F-42D4-BFD4-A8B0E8DB6654}" type="presParOf" srcId="{552A5768-BBE1-4FBA-A05A-4A0471E917CA}" destId="{D15AF9EA-FA2D-439E-BE40-01D5F390E996}" srcOrd="0" destOrd="0" presId="urn:microsoft.com/office/officeart/2005/8/layout/orgChart1"/>
    <dgm:cxn modelId="{29A921ED-3942-4159-AB77-EC7163F63C86}" type="presParOf" srcId="{552A5768-BBE1-4FBA-A05A-4A0471E917CA}" destId="{C354C116-6401-4C48-BEA8-CEE33BB370E1}" srcOrd="1" destOrd="0" presId="urn:microsoft.com/office/officeart/2005/8/layout/orgChart1"/>
    <dgm:cxn modelId="{22A591EB-A5E4-49F2-928B-1E59542E1919}" type="presParOf" srcId="{541CA571-E5B6-4443-B99D-5D094EF1B2DD}" destId="{B4C27640-0E68-44A1-9DFF-DF74F577AA66}" srcOrd="1" destOrd="0" presId="urn:microsoft.com/office/officeart/2005/8/layout/orgChart1"/>
    <dgm:cxn modelId="{EB72C291-9FB5-4A10-AE19-DB93D70E1CBE}" type="presParOf" srcId="{B4C27640-0E68-44A1-9DFF-DF74F577AA66}" destId="{BCDF6B24-7D47-4586-A838-60B649393660}" srcOrd="0" destOrd="0" presId="urn:microsoft.com/office/officeart/2005/8/layout/orgChart1"/>
    <dgm:cxn modelId="{23E8A745-0D67-4935-9ADA-8907255239B2}" type="presParOf" srcId="{B4C27640-0E68-44A1-9DFF-DF74F577AA66}" destId="{C49284FE-E5F3-473F-8C0F-2D278F2E59DE}" srcOrd="1" destOrd="0" presId="urn:microsoft.com/office/officeart/2005/8/layout/orgChart1"/>
    <dgm:cxn modelId="{9EBBD934-9057-4077-8194-049203890430}" type="presParOf" srcId="{C49284FE-E5F3-473F-8C0F-2D278F2E59DE}" destId="{1FCB3E5C-018D-417D-93AB-E6AD46191BB0}" srcOrd="0" destOrd="0" presId="urn:microsoft.com/office/officeart/2005/8/layout/orgChart1"/>
    <dgm:cxn modelId="{5C863F9D-AEAD-43A6-829E-C2EEFEF04EA2}" type="presParOf" srcId="{1FCB3E5C-018D-417D-93AB-E6AD46191BB0}" destId="{3D21CEB1-1732-422D-9DCB-A90226D8EF94}" srcOrd="0" destOrd="0" presId="urn:microsoft.com/office/officeart/2005/8/layout/orgChart1"/>
    <dgm:cxn modelId="{2A02A811-EDA8-47AB-877B-FB669F2EFA51}" type="presParOf" srcId="{1FCB3E5C-018D-417D-93AB-E6AD46191BB0}" destId="{9FFDE4FD-4C7E-48F6-918D-AD549715F1F9}" srcOrd="1" destOrd="0" presId="urn:microsoft.com/office/officeart/2005/8/layout/orgChart1"/>
    <dgm:cxn modelId="{D9BA5A95-0853-4DD6-B047-FB6EFD9ABA81}" type="presParOf" srcId="{C49284FE-E5F3-473F-8C0F-2D278F2E59DE}" destId="{170F34E3-4D83-4FBA-AC98-D11A89762CFF}" srcOrd="1" destOrd="0" presId="urn:microsoft.com/office/officeart/2005/8/layout/orgChart1"/>
    <dgm:cxn modelId="{FDDB947D-F3C5-4E92-A8FF-AD44A74A3678}" type="presParOf" srcId="{170F34E3-4D83-4FBA-AC98-D11A89762CFF}" destId="{9E5328D8-3148-4938-BFB4-B4BAD36D06B8}" srcOrd="0" destOrd="0" presId="urn:microsoft.com/office/officeart/2005/8/layout/orgChart1"/>
    <dgm:cxn modelId="{4F33AFAE-40DC-456A-A8E1-DD570D8494A8}" type="presParOf" srcId="{170F34E3-4D83-4FBA-AC98-D11A89762CFF}" destId="{1453905E-37F3-4F4C-8D28-39A5EFF4D270}" srcOrd="1" destOrd="0" presId="urn:microsoft.com/office/officeart/2005/8/layout/orgChart1"/>
    <dgm:cxn modelId="{E586C1AD-B87F-4B48-B2E9-7192153D3DEE}" type="presParOf" srcId="{1453905E-37F3-4F4C-8D28-39A5EFF4D270}" destId="{2D489112-88A8-4D21-8A98-E6A240D0B8E2}" srcOrd="0" destOrd="0" presId="urn:microsoft.com/office/officeart/2005/8/layout/orgChart1"/>
    <dgm:cxn modelId="{A0D7755A-7E5D-42B7-B56A-B0F9E1FF65AA}" type="presParOf" srcId="{2D489112-88A8-4D21-8A98-E6A240D0B8E2}" destId="{308EC26F-11CF-428E-BF5B-772AEFFA16FB}" srcOrd="0" destOrd="0" presId="urn:microsoft.com/office/officeart/2005/8/layout/orgChart1"/>
    <dgm:cxn modelId="{D4C6FAD1-0E72-481B-B910-09E2436AEBF1}" type="presParOf" srcId="{2D489112-88A8-4D21-8A98-E6A240D0B8E2}" destId="{D764F21C-70D7-4550-AA31-062E93897F42}" srcOrd="1" destOrd="0" presId="urn:microsoft.com/office/officeart/2005/8/layout/orgChart1"/>
    <dgm:cxn modelId="{1314F580-0614-4F33-91B4-24408C612C96}" type="presParOf" srcId="{1453905E-37F3-4F4C-8D28-39A5EFF4D270}" destId="{EA35162C-E187-4AB6-A513-ADF4CEFAB703}" srcOrd="1" destOrd="0" presId="urn:microsoft.com/office/officeart/2005/8/layout/orgChart1"/>
    <dgm:cxn modelId="{C377EC41-C954-46E9-A93F-0083BAF6A562}" type="presParOf" srcId="{EA35162C-E187-4AB6-A513-ADF4CEFAB703}" destId="{40675438-18A2-4112-9DFA-D9DFD8FA18EE}" srcOrd="0" destOrd="0" presId="urn:microsoft.com/office/officeart/2005/8/layout/orgChart1"/>
    <dgm:cxn modelId="{EA456E50-A9CA-4FCA-A5B2-89EDB9999800}" type="presParOf" srcId="{EA35162C-E187-4AB6-A513-ADF4CEFAB703}" destId="{6D81EA98-A248-49B2-AD38-F49C8FE48528}" srcOrd="1" destOrd="0" presId="urn:microsoft.com/office/officeart/2005/8/layout/orgChart1"/>
    <dgm:cxn modelId="{0CB47AD9-28A2-4E7D-98AE-18B48CA2A770}" type="presParOf" srcId="{6D81EA98-A248-49B2-AD38-F49C8FE48528}" destId="{40B24C96-C1B1-4EC2-8B2D-B4988E54709F}" srcOrd="0" destOrd="0" presId="urn:microsoft.com/office/officeart/2005/8/layout/orgChart1"/>
    <dgm:cxn modelId="{89C8D9A2-C200-43F6-8487-B080FE1E337E}" type="presParOf" srcId="{40B24C96-C1B1-4EC2-8B2D-B4988E54709F}" destId="{BB6E03EC-8B49-43C2-8A54-0E2A53D921ED}" srcOrd="0" destOrd="0" presId="urn:microsoft.com/office/officeart/2005/8/layout/orgChart1"/>
    <dgm:cxn modelId="{6DB81BB5-9BAF-4369-BAF7-4C83D2929B55}" type="presParOf" srcId="{40B24C96-C1B1-4EC2-8B2D-B4988E54709F}" destId="{8FAC2DE1-EEF1-42C4-AD30-0A482FB67F9E}" srcOrd="1" destOrd="0" presId="urn:microsoft.com/office/officeart/2005/8/layout/orgChart1"/>
    <dgm:cxn modelId="{1751E17F-5C7E-422E-9605-2E7FFD6C09FC}" type="presParOf" srcId="{6D81EA98-A248-49B2-AD38-F49C8FE48528}" destId="{79685974-EE41-4C46-823A-472DEDE194D3}" srcOrd="1" destOrd="0" presId="urn:microsoft.com/office/officeart/2005/8/layout/orgChart1"/>
    <dgm:cxn modelId="{CCDE2DCD-36C4-429D-86FB-453CCD708CC4}" type="presParOf" srcId="{6D81EA98-A248-49B2-AD38-F49C8FE48528}" destId="{EF7A389E-700E-43A1-AA76-259D24082850}" srcOrd="2" destOrd="0" presId="urn:microsoft.com/office/officeart/2005/8/layout/orgChart1"/>
    <dgm:cxn modelId="{A0D3989A-CE5A-44BD-AC22-1E7FBAF8CBD3}" type="presParOf" srcId="{EA35162C-E187-4AB6-A513-ADF4CEFAB703}" destId="{A224B29F-FC90-4069-A9CA-C93C70D4E8E3}" srcOrd="2" destOrd="0" presId="urn:microsoft.com/office/officeart/2005/8/layout/orgChart1"/>
    <dgm:cxn modelId="{A6FE9A60-FBFF-4DF3-B0A0-D6326660E761}" type="presParOf" srcId="{EA35162C-E187-4AB6-A513-ADF4CEFAB703}" destId="{A55A7604-13A3-4157-96D2-511E70A32639}" srcOrd="3" destOrd="0" presId="urn:microsoft.com/office/officeart/2005/8/layout/orgChart1"/>
    <dgm:cxn modelId="{2EFADACC-42AD-4947-9A0B-B594DB8B87CB}" type="presParOf" srcId="{A55A7604-13A3-4157-96D2-511E70A32639}" destId="{8BD03555-A0B9-44E2-8F74-7E219A8E8279}" srcOrd="0" destOrd="0" presId="urn:microsoft.com/office/officeart/2005/8/layout/orgChart1"/>
    <dgm:cxn modelId="{7BFAAD1A-AF12-4BA6-AB2F-B2E9875D8BF2}" type="presParOf" srcId="{8BD03555-A0B9-44E2-8F74-7E219A8E8279}" destId="{E24A6C78-28D8-489C-AE6C-934693B270DB}" srcOrd="0" destOrd="0" presId="urn:microsoft.com/office/officeart/2005/8/layout/orgChart1"/>
    <dgm:cxn modelId="{834D9966-6CA0-4CAE-BE83-AFE42F28839F}" type="presParOf" srcId="{8BD03555-A0B9-44E2-8F74-7E219A8E8279}" destId="{81430472-0107-4BCA-BCEC-C9D101E3B3D1}" srcOrd="1" destOrd="0" presId="urn:microsoft.com/office/officeart/2005/8/layout/orgChart1"/>
    <dgm:cxn modelId="{C3D2ECBC-D54B-49B1-8DBC-6E78CDEB2584}" type="presParOf" srcId="{A55A7604-13A3-4157-96D2-511E70A32639}" destId="{1E0A6AF6-6922-4C87-9235-9D32BB4AED0B}" srcOrd="1" destOrd="0" presId="urn:microsoft.com/office/officeart/2005/8/layout/orgChart1"/>
    <dgm:cxn modelId="{0C1BF092-4A00-41AA-A693-BFDA09C8C17B}" type="presParOf" srcId="{A55A7604-13A3-4157-96D2-511E70A32639}" destId="{6AC77A7D-A583-4743-BC77-788607C748B2}" srcOrd="2" destOrd="0" presId="urn:microsoft.com/office/officeart/2005/8/layout/orgChart1"/>
    <dgm:cxn modelId="{465C3A42-EE98-4382-A953-99413737BA59}" type="presParOf" srcId="{1453905E-37F3-4F4C-8D28-39A5EFF4D270}" destId="{58DD8701-08D1-4FA1-BCED-7A3DB5885AD4}" srcOrd="2" destOrd="0" presId="urn:microsoft.com/office/officeart/2005/8/layout/orgChart1"/>
    <dgm:cxn modelId="{3C7897E3-5ADD-482C-90E4-4B57071C010B}" type="presParOf" srcId="{170F34E3-4D83-4FBA-AC98-D11A89762CFF}" destId="{F8390402-37C2-4C25-8C44-48FF00832E48}" srcOrd="2" destOrd="0" presId="urn:microsoft.com/office/officeart/2005/8/layout/orgChart1"/>
    <dgm:cxn modelId="{B896234F-51D6-4830-BDDC-4E3B254A523E}" type="presParOf" srcId="{170F34E3-4D83-4FBA-AC98-D11A89762CFF}" destId="{7EA0BBDC-030D-4E67-81BE-9BF6302AD748}" srcOrd="3" destOrd="0" presId="urn:microsoft.com/office/officeart/2005/8/layout/orgChart1"/>
    <dgm:cxn modelId="{C1D0A252-F21F-43DA-9793-5D56E07919B5}" type="presParOf" srcId="{7EA0BBDC-030D-4E67-81BE-9BF6302AD748}" destId="{C5DDC495-9A70-47AD-B3ED-E3725289A257}" srcOrd="0" destOrd="0" presId="urn:microsoft.com/office/officeart/2005/8/layout/orgChart1"/>
    <dgm:cxn modelId="{82B10E1E-F75D-4913-8686-A608A2232DD6}" type="presParOf" srcId="{C5DDC495-9A70-47AD-B3ED-E3725289A257}" destId="{109D2A52-8718-4DD3-992F-CAB816BB7AD5}" srcOrd="0" destOrd="0" presId="urn:microsoft.com/office/officeart/2005/8/layout/orgChart1"/>
    <dgm:cxn modelId="{E4A81825-D5B6-47EF-8AF0-99C9190ED7B8}" type="presParOf" srcId="{C5DDC495-9A70-47AD-B3ED-E3725289A257}" destId="{ED4AD7E4-3719-4CD6-833B-CC9A1DE68C67}" srcOrd="1" destOrd="0" presId="urn:microsoft.com/office/officeart/2005/8/layout/orgChart1"/>
    <dgm:cxn modelId="{0F253B0C-D776-4334-8E1E-BC01528BD9F8}" type="presParOf" srcId="{7EA0BBDC-030D-4E67-81BE-9BF6302AD748}" destId="{E4D16B49-43D3-4E1A-BABF-9458A20EA94F}" srcOrd="1" destOrd="0" presId="urn:microsoft.com/office/officeart/2005/8/layout/orgChart1"/>
    <dgm:cxn modelId="{3B84C33C-B4E6-4273-B662-580B5093C10C}" type="presParOf" srcId="{E4D16B49-43D3-4E1A-BABF-9458A20EA94F}" destId="{44EE9CC5-B172-444F-9F03-8F49BAC52D14}" srcOrd="0" destOrd="0" presId="urn:microsoft.com/office/officeart/2005/8/layout/orgChart1"/>
    <dgm:cxn modelId="{B5B8A6A5-D8FE-4418-A750-C3F392EFA51A}" type="presParOf" srcId="{E4D16B49-43D3-4E1A-BABF-9458A20EA94F}" destId="{153ED236-4069-4436-8980-30BE290BAB57}" srcOrd="1" destOrd="0" presId="urn:microsoft.com/office/officeart/2005/8/layout/orgChart1"/>
    <dgm:cxn modelId="{4C30CCC3-F5E1-472D-A403-1868A2A00770}" type="presParOf" srcId="{153ED236-4069-4436-8980-30BE290BAB57}" destId="{B081E0F0-E135-490E-9F20-E5485838C1DF}" srcOrd="0" destOrd="0" presId="urn:microsoft.com/office/officeart/2005/8/layout/orgChart1"/>
    <dgm:cxn modelId="{1D43AFAE-477C-44CA-9452-DCA07FE085D2}" type="presParOf" srcId="{B081E0F0-E135-490E-9F20-E5485838C1DF}" destId="{228042B0-60C3-4691-B0BA-0EE923AD05EB}" srcOrd="0" destOrd="0" presId="urn:microsoft.com/office/officeart/2005/8/layout/orgChart1"/>
    <dgm:cxn modelId="{AEF7FD89-4451-4EAB-9765-4FC43011CD25}" type="presParOf" srcId="{B081E0F0-E135-490E-9F20-E5485838C1DF}" destId="{4EEEE3DF-9D47-40E6-8191-C4011761B835}" srcOrd="1" destOrd="0" presId="urn:microsoft.com/office/officeart/2005/8/layout/orgChart1"/>
    <dgm:cxn modelId="{41D60F6A-4588-45D9-B4BD-BA8AD74AEF8A}" type="presParOf" srcId="{153ED236-4069-4436-8980-30BE290BAB57}" destId="{47205C53-C49F-4684-AC2E-48D7D3EAE323}" srcOrd="1" destOrd="0" presId="urn:microsoft.com/office/officeart/2005/8/layout/orgChart1"/>
    <dgm:cxn modelId="{FCC04E25-20D8-4745-8815-974D54053F56}" type="presParOf" srcId="{153ED236-4069-4436-8980-30BE290BAB57}" destId="{7AE4EFA3-E1F4-4E3E-9830-C19B20FF177E}" srcOrd="2" destOrd="0" presId="urn:microsoft.com/office/officeart/2005/8/layout/orgChart1"/>
    <dgm:cxn modelId="{CCE7F228-0C36-4652-A9B0-282264A1B018}" type="presParOf" srcId="{E4D16B49-43D3-4E1A-BABF-9458A20EA94F}" destId="{405E4950-777F-41C1-A1EF-5AB02A3646B3}" srcOrd="2" destOrd="0" presId="urn:microsoft.com/office/officeart/2005/8/layout/orgChart1"/>
    <dgm:cxn modelId="{81C791C2-9480-4C14-892B-DC1C89680491}" type="presParOf" srcId="{E4D16B49-43D3-4E1A-BABF-9458A20EA94F}" destId="{75B60E46-293F-43C8-ACD8-023682B9DE3C}" srcOrd="3" destOrd="0" presId="urn:microsoft.com/office/officeart/2005/8/layout/orgChart1"/>
    <dgm:cxn modelId="{F2782931-437A-4AA2-8F99-6013F28961AC}" type="presParOf" srcId="{75B60E46-293F-43C8-ACD8-023682B9DE3C}" destId="{F07B5D95-8AB7-4B3D-AEE6-7C2600CA595D}" srcOrd="0" destOrd="0" presId="urn:microsoft.com/office/officeart/2005/8/layout/orgChart1"/>
    <dgm:cxn modelId="{0698EA32-B673-404E-9C1B-0142C2B54CB9}" type="presParOf" srcId="{F07B5D95-8AB7-4B3D-AEE6-7C2600CA595D}" destId="{4C05C56D-E193-410D-97AA-175DF4862606}" srcOrd="0" destOrd="0" presId="urn:microsoft.com/office/officeart/2005/8/layout/orgChart1"/>
    <dgm:cxn modelId="{183326C6-52DD-4332-B9BE-5DC7F635ED6D}" type="presParOf" srcId="{F07B5D95-8AB7-4B3D-AEE6-7C2600CA595D}" destId="{40D19D5E-C279-45C9-A910-8C46E85C550D}" srcOrd="1" destOrd="0" presId="urn:microsoft.com/office/officeart/2005/8/layout/orgChart1"/>
    <dgm:cxn modelId="{F9E440B9-237B-462E-97D8-BDB3D80D7D5A}" type="presParOf" srcId="{75B60E46-293F-43C8-ACD8-023682B9DE3C}" destId="{08CE944C-74ED-41AB-9D9E-F964CCEA614B}" srcOrd="1" destOrd="0" presId="urn:microsoft.com/office/officeart/2005/8/layout/orgChart1"/>
    <dgm:cxn modelId="{F25DC116-2CEF-4305-B8B2-07DF53579F17}" type="presParOf" srcId="{75B60E46-293F-43C8-ACD8-023682B9DE3C}" destId="{71E63EEE-D714-43CE-826F-9A02E45DC7DC}" srcOrd="2" destOrd="0" presId="urn:microsoft.com/office/officeart/2005/8/layout/orgChart1"/>
    <dgm:cxn modelId="{D240E05B-6946-4C92-A231-D1DB806ECCCD}" type="presParOf" srcId="{7EA0BBDC-030D-4E67-81BE-9BF6302AD748}" destId="{926CC977-A7D6-4B86-874E-6B70993DF11F}" srcOrd="2" destOrd="0" presId="urn:microsoft.com/office/officeart/2005/8/layout/orgChart1"/>
    <dgm:cxn modelId="{4DBD5BB4-F8D7-41E8-895D-DE59B8DBB98B}" type="presParOf" srcId="{170F34E3-4D83-4FBA-AC98-D11A89762CFF}" destId="{5076F817-D235-4360-8C54-33BDEDE208AF}" srcOrd="4" destOrd="0" presId="urn:microsoft.com/office/officeart/2005/8/layout/orgChart1"/>
    <dgm:cxn modelId="{EE64E9DA-F5FE-45A9-AF2A-D586C14914F0}" type="presParOf" srcId="{170F34E3-4D83-4FBA-AC98-D11A89762CFF}" destId="{D071F4CD-6966-4146-B000-9ED4FBCC6361}" srcOrd="5" destOrd="0" presId="urn:microsoft.com/office/officeart/2005/8/layout/orgChart1"/>
    <dgm:cxn modelId="{09E2E3CE-6A3D-477E-960D-417051E55DA9}" type="presParOf" srcId="{D071F4CD-6966-4146-B000-9ED4FBCC6361}" destId="{9B43345F-B064-4DDA-B170-DF67E2E45E41}" srcOrd="0" destOrd="0" presId="urn:microsoft.com/office/officeart/2005/8/layout/orgChart1"/>
    <dgm:cxn modelId="{057B906E-8B0F-41A5-B1FC-042BEC2FBC71}" type="presParOf" srcId="{9B43345F-B064-4DDA-B170-DF67E2E45E41}" destId="{5F2F2BC0-1450-48BA-A5D8-E10400E46CD7}" srcOrd="0" destOrd="0" presId="urn:microsoft.com/office/officeart/2005/8/layout/orgChart1"/>
    <dgm:cxn modelId="{16C98930-F59F-4A55-BE59-94F4C76BE091}" type="presParOf" srcId="{9B43345F-B064-4DDA-B170-DF67E2E45E41}" destId="{AD72DAB3-6F34-46E1-BB4F-C9003A72D964}" srcOrd="1" destOrd="0" presId="urn:microsoft.com/office/officeart/2005/8/layout/orgChart1"/>
    <dgm:cxn modelId="{49F518F6-C346-45BA-85BF-4C1D60B0C26F}" type="presParOf" srcId="{D071F4CD-6966-4146-B000-9ED4FBCC6361}" destId="{A28662A6-17AD-4944-8F11-CF5184333F85}" srcOrd="1" destOrd="0" presId="urn:microsoft.com/office/officeart/2005/8/layout/orgChart1"/>
    <dgm:cxn modelId="{ABA59C0A-F3C9-4876-A4F2-5719AD419FA3}" type="presParOf" srcId="{A28662A6-17AD-4944-8F11-CF5184333F85}" destId="{F49E8928-A9F3-46CB-B0D7-714882F2D834}" srcOrd="0" destOrd="0" presId="urn:microsoft.com/office/officeart/2005/8/layout/orgChart1"/>
    <dgm:cxn modelId="{D8E656AD-D853-4859-8378-5AF88CAA75A7}" type="presParOf" srcId="{A28662A6-17AD-4944-8F11-CF5184333F85}" destId="{503AE72B-3614-489F-A877-BA7B99C8DA74}" srcOrd="1" destOrd="0" presId="urn:microsoft.com/office/officeart/2005/8/layout/orgChart1"/>
    <dgm:cxn modelId="{86625144-65E2-49DF-8CEE-63E12EF2815E}" type="presParOf" srcId="{503AE72B-3614-489F-A877-BA7B99C8DA74}" destId="{BA4391EE-9DBD-4FCE-B655-7C89993206A2}" srcOrd="0" destOrd="0" presId="urn:microsoft.com/office/officeart/2005/8/layout/orgChart1"/>
    <dgm:cxn modelId="{B448D302-9F2C-4C38-8707-9E2B35FE08A0}" type="presParOf" srcId="{BA4391EE-9DBD-4FCE-B655-7C89993206A2}" destId="{4449885B-4833-4E35-BA13-423C07C7B30E}" srcOrd="0" destOrd="0" presId="urn:microsoft.com/office/officeart/2005/8/layout/orgChart1"/>
    <dgm:cxn modelId="{8B52A8D7-B5D0-41F9-8461-0A19584AC1D9}" type="presParOf" srcId="{BA4391EE-9DBD-4FCE-B655-7C89993206A2}" destId="{FC51CE7F-2E67-44DB-8643-C4DB655D2D55}" srcOrd="1" destOrd="0" presId="urn:microsoft.com/office/officeart/2005/8/layout/orgChart1"/>
    <dgm:cxn modelId="{8C01CDDD-54C8-40EA-AB29-62905D10C5C4}" type="presParOf" srcId="{503AE72B-3614-489F-A877-BA7B99C8DA74}" destId="{B477359A-0F60-4C61-B4A2-3881B563B91D}" srcOrd="1" destOrd="0" presId="urn:microsoft.com/office/officeart/2005/8/layout/orgChart1"/>
    <dgm:cxn modelId="{F1EEA95C-1367-4F16-B28F-DBE4F4353BB4}" type="presParOf" srcId="{503AE72B-3614-489F-A877-BA7B99C8DA74}" destId="{3071090F-DB05-465D-BD56-800DC874BE8F}" srcOrd="2" destOrd="0" presId="urn:microsoft.com/office/officeart/2005/8/layout/orgChart1"/>
    <dgm:cxn modelId="{982793E4-2DD7-4834-AF37-BCA5F6E5B7E3}" type="presParOf" srcId="{A28662A6-17AD-4944-8F11-CF5184333F85}" destId="{D6CDD2AD-5637-4A4E-B19A-22161E8FF404}" srcOrd="2" destOrd="0" presId="urn:microsoft.com/office/officeart/2005/8/layout/orgChart1"/>
    <dgm:cxn modelId="{E89FEED1-6904-4CF6-800D-926940C1E95A}" type="presParOf" srcId="{A28662A6-17AD-4944-8F11-CF5184333F85}" destId="{7F32BC20-035A-4A2D-81DB-82A1EF64406C}" srcOrd="3" destOrd="0" presId="urn:microsoft.com/office/officeart/2005/8/layout/orgChart1"/>
    <dgm:cxn modelId="{A21652F1-074D-498B-A6D9-30E18A642142}" type="presParOf" srcId="{7F32BC20-035A-4A2D-81DB-82A1EF64406C}" destId="{CFDB87BC-196F-4C29-AB85-BCC29DEB536C}" srcOrd="0" destOrd="0" presId="urn:microsoft.com/office/officeart/2005/8/layout/orgChart1"/>
    <dgm:cxn modelId="{BA8E21C3-275E-4F23-844A-480814663716}" type="presParOf" srcId="{CFDB87BC-196F-4C29-AB85-BCC29DEB536C}" destId="{0A9BCA4B-F87A-4634-A762-6E29328F5902}" srcOrd="0" destOrd="0" presId="urn:microsoft.com/office/officeart/2005/8/layout/orgChart1"/>
    <dgm:cxn modelId="{1FE6DE52-0F61-42ED-946D-24BEAE18CFF6}" type="presParOf" srcId="{CFDB87BC-196F-4C29-AB85-BCC29DEB536C}" destId="{43E21FD7-D000-4519-B8A9-8F1BED5D3B67}" srcOrd="1" destOrd="0" presId="urn:microsoft.com/office/officeart/2005/8/layout/orgChart1"/>
    <dgm:cxn modelId="{2648A2DD-9245-4F38-8D73-1A45FAEE1F53}" type="presParOf" srcId="{7F32BC20-035A-4A2D-81DB-82A1EF64406C}" destId="{67EA098D-AB75-4B22-B803-FC238FC32A14}" srcOrd="1" destOrd="0" presId="urn:microsoft.com/office/officeart/2005/8/layout/orgChart1"/>
    <dgm:cxn modelId="{F903B058-1D22-45B0-A475-4F490BBF2C33}" type="presParOf" srcId="{7F32BC20-035A-4A2D-81DB-82A1EF64406C}" destId="{760C055A-BC30-496A-9274-26A595F12EDE}" srcOrd="2" destOrd="0" presId="urn:microsoft.com/office/officeart/2005/8/layout/orgChart1"/>
    <dgm:cxn modelId="{5B1F8D6E-0B1D-4E06-B089-F40FF181B38B}" type="presParOf" srcId="{D071F4CD-6966-4146-B000-9ED4FBCC6361}" destId="{C866E70D-B071-44C2-83CA-4D7A43963B48}" srcOrd="2" destOrd="0" presId="urn:microsoft.com/office/officeart/2005/8/layout/orgChart1"/>
    <dgm:cxn modelId="{DC989B16-C1E4-4970-9815-4D126DEE5F5E}" type="presParOf" srcId="{C49284FE-E5F3-473F-8C0F-2D278F2E59DE}" destId="{C55EAAFF-9F85-42A6-87A5-616064FE5AD5}" srcOrd="2" destOrd="0" presId="urn:microsoft.com/office/officeart/2005/8/layout/orgChart1"/>
    <dgm:cxn modelId="{6407475E-CE84-4E84-95AE-AC8D6E5C1E28}" type="presParOf" srcId="{B4C27640-0E68-44A1-9DFF-DF74F577AA66}" destId="{F17A0485-2831-407C-B216-49B42596F59A}" srcOrd="2" destOrd="0" presId="urn:microsoft.com/office/officeart/2005/8/layout/orgChart1"/>
    <dgm:cxn modelId="{BBD2C5D5-F280-47CE-86E8-EC4D90536252}" type="presParOf" srcId="{B4C27640-0E68-44A1-9DFF-DF74F577AA66}" destId="{4E0C2AEF-9D87-49F9-A3D8-B56562B68FB2}" srcOrd="3" destOrd="0" presId="urn:microsoft.com/office/officeart/2005/8/layout/orgChart1"/>
    <dgm:cxn modelId="{CC4CB03C-411F-4E3C-9E06-92F542DEB6A6}" type="presParOf" srcId="{4E0C2AEF-9D87-49F9-A3D8-B56562B68FB2}" destId="{D2A35D19-626E-4317-9410-DDCA736BC59A}" srcOrd="0" destOrd="0" presId="urn:microsoft.com/office/officeart/2005/8/layout/orgChart1"/>
    <dgm:cxn modelId="{913AB7A9-BC50-488C-9CF2-6FAFB242A942}" type="presParOf" srcId="{D2A35D19-626E-4317-9410-DDCA736BC59A}" destId="{724A632F-9C04-4B49-8E58-3C6E122F58C1}" srcOrd="0" destOrd="0" presId="urn:microsoft.com/office/officeart/2005/8/layout/orgChart1"/>
    <dgm:cxn modelId="{24C1AA3D-631B-4444-B6A0-960ABB814343}" type="presParOf" srcId="{D2A35D19-626E-4317-9410-DDCA736BC59A}" destId="{BF4CD235-9BC8-40E5-8CE9-1B7ED146D5B8}" srcOrd="1" destOrd="0" presId="urn:microsoft.com/office/officeart/2005/8/layout/orgChart1"/>
    <dgm:cxn modelId="{A970ABBA-C466-46EB-98EE-A47373B2D7B9}" type="presParOf" srcId="{4E0C2AEF-9D87-49F9-A3D8-B56562B68FB2}" destId="{A61A8C4F-B521-4C84-880E-A82C0DBEEE9B}" srcOrd="1" destOrd="0" presId="urn:microsoft.com/office/officeart/2005/8/layout/orgChart1"/>
    <dgm:cxn modelId="{06224109-2A5C-4D4F-90C6-894B3608E2BC}" type="presParOf" srcId="{A61A8C4F-B521-4C84-880E-A82C0DBEEE9B}" destId="{2B193FED-FF2D-4595-AB78-D7F834EA5F7B}" srcOrd="0" destOrd="0" presId="urn:microsoft.com/office/officeart/2005/8/layout/orgChart1"/>
    <dgm:cxn modelId="{E6F546BB-9977-4BBE-B452-059CB81B7AA5}" type="presParOf" srcId="{A61A8C4F-B521-4C84-880E-A82C0DBEEE9B}" destId="{4D98D941-C254-40F2-87A6-11E0C84C86B4}" srcOrd="1" destOrd="0" presId="urn:microsoft.com/office/officeart/2005/8/layout/orgChart1"/>
    <dgm:cxn modelId="{69FF432E-055F-4AB0-ADFB-994ABD291254}" type="presParOf" srcId="{4D98D941-C254-40F2-87A6-11E0C84C86B4}" destId="{5D7EB069-7C5C-4FA0-824E-93047FE1684E}" srcOrd="0" destOrd="0" presId="urn:microsoft.com/office/officeart/2005/8/layout/orgChart1"/>
    <dgm:cxn modelId="{4E0A505C-8828-4FC1-B911-AA64FFFFF1C5}" type="presParOf" srcId="{5D7EB069-7C5C-4FA0-824E-93047FE1684E}" destId="{536CCF77-E8A3-46CB-81D8-C92AADAD0AC3}" srcOrd="0" destOrd="0" presId="urn:microsoft.com/office/officeart/2005/8/layout/orgChart1"/>
    <dgm:cxn modelId="{EC88219F-1E14-4A2E-B01B-F304B04FE4FF}" type="presParOf" srcId="{5D7EB069-7C5C-4FA0-824E-93047FE1684E}" destId="{62A2696F-B8A4-419F-BEF4-EA685E72A938}" srcOrd="1" destOrd="0" presId="urn:microsoft.com/office/officeart/2005/8/layout/orgChart1"/>
    <dgm:cxn modelId="{CF22B38F-B174-41AF-A342-DC89018494D0}" type="presParOf" srcId="{4D98D941-C254-40F2-87A6-11E0C84C86B4}" destId="{784C290A-96E3-4360-9C47-CD28B8E53DBE}" srcOrd="1" destOrd="0" presId="urn:microsoft.com/office/officeart/2005/8/layout/orgChart1"/>
    <dgm:cxn modelId="{13083FDD-8E48-4D84-AFB4-13960BF8A454}" type="presParOf" srcId="{784C290A-96E3-4360-9C47-CD28B8E53DBE}" destId="{9BF46F81-C199-4D8A-91CE-35A064B8A7D9}" srcOrd="0" destOrd="0" presId="urn:microsoft.com/office/officeart/2005/8/layout/orgChart1"/>
    <dgm:cxn modelId="{D1CC15E1-7FA2-4183-AAC9-0150720896B2}" type="presParOf" srcId="{784C290A-96E3-4360-9C47-CD28B8E53DBE}" destId="{29D81B29-E6AA-4868-A803-725FB8D27D0A}" srcOrd="1" destOrd="0" presId="urn:microsoft.com/office/officeart/2005/8/layout/orgChart1"/>
    <dgm:cxn modelId="{C94EB01C-3B28-41AF-B2C5-88E02696B077}" type="presParOf" srcId="{29D81B29-E6AA-4868-A803-725FB8D27D0A}" destId="{EF551FF9-9848-4391-80C0-3432AA7F3948}" srcOrd="0" destOrd="0" presId="urn:microsoft.com/office/officeart/2005/8/layout/orgChart1"/>
    <dgm:cxn modelId="{2B45B434-234C-4865-886E-7BF764E5E6BE}" type="presParOf" srcId="{EF551FF9-9848-4391-80C0-3432AA7F3948}" destId="{17AFA297-B6CD-4034-BE7B-D0B4274108C3}" srcOrd="0" destOrd="0" presId="urn:microsoft.com/office/officeart/2005/8/layout/orgChart1"/>
    <dgm:cxn modelId="{B1EB5C22-4B9A-4932-9213-47DB2838AC44}" type="presParOf" srcId="{EF551FF9-9848-4391-80C0-3432AA7F3948}" destId="{5D5AF22E-B88E-4FD9-92B7-C8E984D5504E}" srcOrd="1" destOrd="0" presId="urn:microsoft.com/office/officeart/2005/8/layout/orgChart1"/>
    <dgm:cxn modelId="{3D06E434-5784-4AC7-B947-AACC307BB88B}" type="presParOf" srcId="{29D81B29-E6AA-4868-A803-725FB8D27D0A}" destId="{1B639D4E-A7CF-4DF1-A953-D80F149CF959}" srcOrd="1" destOrd="0" presId="urn:microsoft.com/office/officeart/2005/8/layout/orgChart1"/>
    <dgm:cxn modelId="{31D2E10D-E8FE-4063-ADD9-AAFC645B25B5}" type="presParOf" srcId="{29D81B29-E6AA-4868-A803-725FB8D27D0A}" destId="{D1AEBDF9-8182-4D61-B2AF-45973F7BC707}" srcOrd="2" destOrd="0" presId="urn:microsoft.com/office/officeart/2005/8/layout/orgChart1"/>
    <dgm:cxn modelId="{04A4D8B1-F929-4BED-A988-A12096D1ECE0}" type="presParOf" srcId="{784C290A-96E3-4360-9C47-CD28B8E53DBE}" destId="{C4CBBD53-20B8-4C76-97AE-8083C8DD7DCE}" srcOrd="2" destOrd="0" presId="urn:microsoft.com/office/officeart/2005/8/layout/orgChart1"/>
    <dgm:cxn modelId="{6D76A2B3-C8AB-41D1-B78A-2C165E84FC2A}" type="presParOf" srcId="{784C290A-96E3-4360-9C47-CD28B8E53DBE}" destId="{E1E4C6CB-BBEB-4A01-9535-C7475422355C}" srcOrd="3" destOrd="0" presId="urn:microsoft.com/office/officeart/2005/8/layout/orgChart1"/>
    <dgm:cxn modelId="{6A8B696E-5B54-4BDD-AD26-AE6A892F9C94}" type="presParOf" srcId="{E1E4C6CB-BBEB-4A01-9535-C7475422355C}" destId="{432D685E-F8EF-4FE8-BA45-C7175CDB671A}" srcOrd="0" destOrd="0" presId="urn:microsoft.com/office/officeart/2005/8/layout/orgChart1"/>
    <dgm:cxn modelId="{A19B2EAE-0CD0-4DA8-9F4B-1EB7D54E40F4}" type="presParOf" srcId="{432D685E-F8EF-4FE8-BA45-C7175CDB671A}" destId="{C4461497-94BC-4287-AD67-B89015F8E39F}" srcOrd="0" destOrd="0" presId="urn:microsoft.com/office/officeart/2005/8/layout/orgChart1"/>
    <dgm:cxn modelId="{7229639E-7656-4134-B84E-D0803C28E237}" type="presParOf" srcId="{432D685E-F8EF-4FE8-BA45-C7175CDB671A}" destId="{60570BA5-FCFA-46D1-A486-12C3892156DA}" srcOrd="1" destOrd="0" presId="urn:microsoft.com/office/officeart/2005/8/layout/orgChart1"/>
    <dgm:cxn modelId="{1140066F-C4FD-4677-8867-E97021627710}" type="presParOf" srcId="{E1E4C6CB-BBEB-4A01-9535-C7475422355C}" destId="{3C37D149-C7DF-44BA-962B-8633569E8D62}" srcOrd="1" destOrd="0" presId="urn:microsoft.com/office/officeart/2005/8/layout/orgChart1"/>
    <dgm:cxn modelId="{C9A6AD16-675F-456A-B429-038C46FF4BAB}" type="presParOf" srcId="{E1E4C6CB-BBEB-4A01-9535-C7475422355C}" destId="{4819CD12-E07A-4BD3-927C-62188A89EF75}" srcOrd="2" destOrd="0" presId="urn:microsoft.com/office/officeart/2005/8/layout/orgChart1"/>
    <dgm:cxn modelId="{B431C698-DB10-4A9A-B9AC-1975FD3E0668}" type="presParOf" srcId="{4D98D941-C254-40F2-87A6-11E0C84C86B4}" destId="{E6A7CEAC-661E-45D0-B429-FFBC37F02BAF}" srcOrd="2" destOrd="0" presId="urn:microsoft.com/office/officeart/2005/8/layout/orgChart1"/>
    <dgm:cxn modelId="{A1D023B7-2060-4BB9-96B5-2C20516A0AE2}" type="presParOf" srcId="{A61A8C4F-B521-4C84-880E-A82C0DBEEE9B}" destId="{E15909BB-791C-426C-AD8D-9BF06830448F}" srcOrd="2" destOrd="0" presId="urn:microsoft.com/office/officeart/2005/8/layout/orgChart1"/>
    <dgm:cxn modelId="{51ECDB19-2766-482F-A4FC-BCD281580F97}" type="presParOf" srcId="{A61A8C4F-B521-4C84-880E-A82C0DBEEE9B}" destId="{C723538F-83FC-4D91-AA06-B343E7C68AFF}" srcOrd="3" destOrd="0" presId="urn:microsoft.com/office/officeart/2005/8/layout/orgChart1"/>
    <dgm:cxn modelId="{F1C64662-4EC2-4045-882A-999749D93357}" type="presParOf" srcId="{C723538F-83FC-4D91-AA06-B343E7C68AFF}" destId="{48101835-D75C-4B2E-9876-6F9B41B35C37}" srcOrd="0" destOrd="0" presId="urn:microsoft.com/office/officeart/2005/8/layout/orgChart1"/>
    <dgm:cxn modelId="{34FC4C9F-CAAB-437D-A127-0D623C445C97}" type="presParOf" srcId="{48101835-D75C-4B2E-9876-6F9B41B35C37}" destId="{DF99A980-A000-4BAE-A9D7-432879678797}" srcOrd="0" destOrd="0" presId="urn:microsoft.com/office/officeart/2005/8/layout/orgChart1"/>
    <dgm:cxn modelId="{59F8FEDB-B357-441C-B8AB-C0EEC1A049B5}" type="presParOf" srcId="{48101835-D75C-4B2E-9876-6F9B41B35C37}" destId="{7FB23BD0-EAA2-4A28-9CA6-6445E3271808}" srcOrd="1" destOrd="0" presId="urn:microsoft.com/office/officeart/2005/8/layout/orgChart1"/>
    <dgm:cxn modelId="{40CA272F-6383-4257-BB2E-9F22742964FF}" type="presParOf" srcId="{C723538F-83FC-4D91-AA06-B343E7C68AFF}" destId="{25BD5A84-29C7-4507-81A6-3DF6BDFD25F8}" srcOrd="1" destOrd="0" presId="urn:microsoft.com/office/officeart/2005/8/layout/orgChart1"/>
    <dgm:cxn modelId="{6322F55D-5FF7-4FC0-84B7-663828E75798}" type="presParOf" srcId="{25BD5A84-29C7-4507-81A6-3DF6BDFD25F8}" destId="{9FA8B016-193F-4865-A12E-7AAED3154C4C}" srcOrd="0" destOrd="0" presId="urn:microsoft.com/office/officeart/2005/8/layout/orgChart1"/>
    <dgm:cxn modelId="{FA23F339-A460-4DC6-A4F5-DE409C747433}" type="presParOf" srcId="{25BD5A84-29C7-4507-81A6-3DF6BDFD25F8}" destId="{33F7BB17-50C3-44B9-8266-19F083F4622E}" srcOrd="1" destOrd="0" presId="urn:microsoft.com/office/officeart/2005/8/layout/orgChart1"/>
    <dgm:cxn modelId="{918E7CC4-72AC-468C-BA32-2725BCF5648A}" type="presParOf" srcId="{33F7BB17-50C3-44B9-8266-19F083F4622E}" destId="{AD084CA3-DE70-4801-9363-F115712C1A11}" srcOrd="0" destOrd="0" presId="urn:microsoft.com/office/officeart/2005/8/layout/orgChart1"/>
    <dgm:cxn modelId="{B435D0B4-583E-4F09-BD4E-053B0CE338D6}" type="presParOf" srcId="{AD084CA3-DE70-4801-9363-F115712C1A11}" destId="{F5F39E34-B9B1-4354-9A59-2B47FA3FD5AD}" srcOrd="0" destOrd="0" presId="urn:microsoft.com/office/officeart/2005/8/layout/orgChart1"/>
    <dgm:cxn modelId="{121AA136-C08F-4075-9C4C-C1F3D99DE780}" type="presParOf" srcId="{AD084CA3-DE70-4801-9363-F115712C1A11}" destId="{865085F1-5518-450B-9EDD-14A249A7C25E}" srcOrd="1" destOrd="0" presId="urn:microsoft.com/office/officeart/2005/8/layout/orgChart1"/>
    <dgm:cxn modelId="{A79741B1-74A0-41C7-B8BF-4245AA5604E0}" type="presParOf" srcId="{33F7BB17-50C3-44B9-8266-19F083F4622E}" destId="{DD3E4C08-B283-4662-BF8F-3536FF9D6FDB}" srcOrd="1" destOrd="0" presId="urn:microsoft.com/office/officeart/2005/8/layout/orgChart1"/>
    <dgm:cxn modelId="{7C9D164D-713D-484A-B87F-1E649D467D80}" type="presParOf" srcId="{33F7BB17-50C3-44B9-8266-19F083F4622E}" destId="{C4750C3A-9870-432F-BE6A-6DD1983C6234}" srcOrd="2" destOrd="0" presId="urn:microsoft.com/office/officeart/2005/8/layout/orgChart1"/>
    <dgm:cxn modelId="{A577C801-3AAD-4924-8588-86DDA1180A09}" type="presParOf" srcId="{25BD5A84-29C7-4507-81A6-3DF6BDFD25F8}" destId="{E223331C-61AA-4ED6-A2EF-CF2FBCEECC42}" srcOrd="2" destOrd="0" presId="urn:microsoft.com/office/officeart/2005/8/layout/orgChart1"/>
    <dgm:cxn modelId="{54D773E2-27DF-4D71-B891-E6E21E6FB6DB}" type="presParOf" srcId="{25BD5A84-29C7-4507-81A6-3DF6BDFD25F8}" destId="{70C0D089-C370-4C73-A33F-06108C9BB4A1}" srcOrd="3" destOrd="0" presId="urn:microsoft.com/office/officeart/2005/8/layout/orgChart1"/>
    <dgm:cxn modelId="{6B63409B-71BB-41AB-88BA-81A0D7A47267}" type="presParOf" srcId="{70C0D089-C370-4C73-A33F-06108C9BB4A1}" destId="{EBDD8BC1-49DF-49E0-AD3A-EEB941E190A6}" srcOrd="0" destOrd="0" presId="urn:microsoft.com/office/officeart/2005/8/layout/orgChart1"/>
    <dgm:cxn modelId="{199AB9F3-5960-4E30-A067-F6EF896C71BC}" type="presParOf" srcId="{EBDD8BC1-49DF-49E0-AD3A-EEB941E190A6}" destId="{E3270322-3D9F-4F83-A18D-EA86F27A6C07}" srcOrd="0" destOrd="0" presId="urn:microsoft.com/office/officeart/2005/8/layout/orgChart1"/>
    <dgm:cxn modelId="{BB25937A-34AE-48F6-80DC-20239A0F289D}" type="presParOf" srcId="{EBDD8BC1-49DF-49E0-AD3A-EEB941E190A6}" destId="{9CBF25A2-82CC-4D57-8A07-702B59C29C13}" srcOrd="1" destOrd="0" presId="urn:microsoft.com/office/officeart/2005/8/layout/orgChart1"/>
    <dgm:cxn modelId="{1F5FA3E0-6900-459A-ABE7-454EB4F51D5D}" type="presParOf" srcId="{70C0D089-C370-4C73-A33F-06108C9BB4A1}" destId="{135C6067-22E8-413F-AC23-FDF867D54EF8}" srcOrd="1" destOrd="0" presId="urn:microsoft.com/office/officeart/2005/8/layout/orgChart1"/>
    <dgm:cxn modelId="{CFE7997E-6AC7-4C33-99D1-1C3563F900EE}" type="presParOf" srcId="{70C0D089-C370-4C73-A33F-06108C9BB4A1}" destId="{78FF8AD5-8B27-431D-90C2-17D9280DF514}" srcOrd="2" destOrd="0" presId="urn:microsoft.com/office/officeart/2005/8/layout/orgChart1"/>
    <dgm:cxn modelId="{5E7850E3-385E-4FEB-89D0-FA1F0F9C7257}" type="presParOf" srcId="{C723538F-83FC-4D91-AA06-B343E7C68AFF}" destId="{98709B5B-988C-4AA3-A7E1-E9E3DFDF25ED}" srcOrd="2" destOrd="0" presId="urn:microsoft.com/office/officeart/2005/8/layout/orgChart1"/>
    <dgm:cxn modelId="{00899DB1-EC8F-4F74-83A1-8C1A5F9A99FF}" type="presParOf" srcId="{A61A8C4F-B521-4C84-880E-A82C0DBEEE9B}" destId="{D6A46983-53AD-4A98-9D22-2EF842948286}" srcOrd="4" destOrd="0" presId="urn:microsoft.com/office/officeart/2005/8/layout/orgChart1"/>
    <dgm:cxn modelId="{924FEEFC-14C3-4A0B-8FA0-F3C87D555948}" type="presParOf" srcId="{A61A8C4F-B521-4C84-880E-A82C0DBEEE9B}" destId="{45D11A74-0A47-4D9E-B23F-EAFBABA5CE88}" srcOrd="5" destOrd="0" presId="urn:microsoft.com/office/officeart/2005/8/layout/orgChart1"/>
    <dgm:cxn modelId="{9068485D-D669-4BA0-BDA2-FB997AF27858}" type="presParOf" srcId="{45D11A74-0A47-4D9E-B23F-EAFBABA5CE88}" destId="{532F93BB-34FD-4AA3-B8D4-972C9A8EBA00}" srcOrd="0" destOrd="0" presId="urn:microsoft.com/office/officeart/2005/8/layout/orgChart1"/>
    <dgm:cxn modelId="{2CE752A8-1374-463F-94C0-772E02B773E4}" type="presParOf" srcId="{532F93BB-34FD-4AA3-B8D4-972C9A8EBA00}" destId="{DBF52F38-4998-4B91-B8A9-F6F4FF08B57C}" srcOrd="0" destOrd="0" presId="urn:microsoft.com/office/officeart/2005/8/layout/orgChart1"/>
    <dgm:cxn modelId="{DFABC0AC-96B0-493D-9C4B-063F7EBE7567}" type="presParOf" srcId="{532F93BB-34FD-4AA3-B8D4-972C9A8EBA00}" destId="{72F3203B-069E-41C7-9E3A-97F6F00775E5}" srcOrd="1" destOrd="0" presId="urn:microsoft.com/office/officeart/2005/8/layout/orgChart1"/>
    <dgm:cxn modelId="{8A78E64E-3B00-4276-B4D4-74068B422588}" type="presParOf" srcId="{45D11A74-0A47-4D9E-B23F-EAFBABA5CE88}" destId="{6479893C-2980-4C5A-BA13-5AB326EE2C41}" srcOrd="1" destOrd="0" presId="urn:microsoft.com/office/officeart/2005/8/layout/orgChart1"/>
    <dgm:cxn modelId="{5191A966-2752-4C47-84E5-2C5D6FAB4E4F}" type="presParOf" srcId="{6479893C-2980-4C5A-BA13-5AB326EE2C41}" destId="{1386C852-0131-4D27-AC84-8577E0286D67}" srcOrd="0" destOrd="0" presId="urn:microsoft.com/office/officeart/2005/8/layout/orgChart1"/>
    <dgm:cxn modelId="{90A0FAA5-53FC-4D7D-AB10-3C89719BA92A}" type="presParOf" srcId="{6479893C-2980-4C5A-BA13-5AB326EE2C41}" destId="{DC026369-2A40-4A78-8FC2-CFDE2E402E07}" srcOrd="1" destOrd="0" presId="urn:microsoft.com/office/officeart/2005/8/layout/orgChart1"/>
    <dgm:cxn modelId="{2247E86B-3EF1-4C57-8407-E1E02B749C16}" type="presParOf" srcId="{DC026369-2A40-4A78-8FC2-CFDE2E402E07}" destId="{D090D0EE-6095-4D0A-9AC8-75B7953DA4AB}" srcOrd="0" destOrd="0" presId="urn:microsoft.com/office/officeart/2005/8/layout/orgChart1"/>
    <dgm:cxn modelId="{4406CEE5-3B75-4799-AFF2-8C018B812053}" type="presParOf" srcId="{D090D0EE-6095-4D0A-9AC8-75B7953DA4AB}" destId="{6402DFBD-362E-418A-8911-539AF0D0D05D}" srcOrd="0" destOrd="0" presId="urn:microsoft.com/office/officeart/2005/8/layout/orgChart1"/>
    <dgm:cxn modelId="{93C2CDD1-B3EB-4327-AB06-E2519B0CEEBB}" type="presParOf" srcId="{D090D0EE-6095-4D0A-9AC8-75B7953DA4AB}" destId="{2D92777A-9A9E-4F14-B592-C1B93677D346}" srcOrd="1" destOrd="0" presId="urn:microsoft.com/office/officeart/2005/8/layout/orgChart1"/>
    <dgm:cxn modelId="{9628C347-FB94-43B8-A85E-8C59EFA1EF79}" type="presParOf" srcId="{DC026369-2A40-4A78-8FC2-CFDE2E402E07}" destId="{5767C234-90EC-4777-A760-6B2696FB01AA}" srcOrd="1" destOrd="0" presId="urn:microsoft.com/office/officeart/2005/8/layout/orgChart1"/>
    <dgm:cxn modelId="{BC1AEC61-B56B-49DF-982F-E78CC36A6452}" type="presParOf" srcId="{DC026369-2A40-4A78-8FC2-CFDE2E402E07}" destId="{97A5DF00-9724-4E9B-8063-7721C1DD6785}" srcOrd="2" destOrd="0" presId="urn:microsoft.com/office/officeart/2005/8/layout/orgChart1"/>
    <dgm:cxn modelId="{B2B02050-DB0E-4C05-B29F-4D24DAE5A9C1}" type="presParOf" srcId="{6479893C-2980-4C5A-BA13-5AB326EE2C41}" destId="{DC21B12F-238D-4F58-BC95-8D132D31114F}" srcOrd="2" destOrd="0" presId="urn:microsoft.com/office/officeart/2005/8/layout/orgChart1"/>
    <dgm:cxn modelId="{3165E9C9-1B7A-4A63-B770-E19FAF3FDC59}" type="presParOf" srcId="{6479893C-2980-4C5A-BA13-5AB326EE2C41}" destId="{4B498E29-6A3E-46ED-86B8-0B2BDD27B12C}" srcOrd="3" destOrd="0" presId="urn:microsoft.com/office/officeart/2005/8/layout/orgChart1"/>
    <dgm:cxn modelId="{C1063D18-FA3D-46F9-99FE-F65E6F0BD180}" type="presParOf" srcId="{4B498E29-6A3E-46ED-86B8-0B2BDD27B12C}" destId="{A7EE6A13-A850-4E20-9473-FD4342654FEF}" srcOrd="0" destOrd="0" presId="urn:microsoft.com/office/officeart/2005/8/layout/orgChart1"/>
    <dgm:cxn modelId="{7F00C689-5E34-440A-9B43-7867557A41CF}" type="presParOf" srcId="{A7EE6A13-A850-4E20-9473-FD4342654FEF}" destId="{C147871B-96DF-4E48-8721-B37048427D48}" srcOrd="0" destOrd="0" presId="urn:microsoft.com/office/officeart/2005/8/layout/orgChart1"/>
    <dgm:cxn modelId="{E93EFC39-7C0B-4B8C-90C8-B54DC705D3E1}" type="presParOf" srcId="{A7EE6A13-A850-4E20-9473-FD4342654FEF}" destId="{94ED116F-77D7-4F04-91C2-39F4468C4484}" srcOrd="1" destOrd="0" presId="urn:microsoft.com/office/officeart/2005/8/layout/orgChart1"/>
    <dgm:cxn modelId="{CFB7B597-6FB9-4E87-B082-FF1B9CFE7645}" type="presParOf" srcId="{4B498E29-6A3E-46ED-86B8-0B2BDD27B12C}" destId="{1C4D0CD2-B90C-494B-907D-DF6CBB3172BF}" srcOrd="1" destOrd="0" presId="urn:microsoft.com/office/officeart/2005/8/layout/orgChart1"/>
    <dgm:cxn modelId="{2E6E7325-B1F9-4423-9C17-ABA3BAA3C194}" type="presParOf" srcId="{4B498E29-6A3E-46ED-86B8-0B2BDD27B12C}" destId="{2DE3ED41-AB7F-4540-8A99-46E73CF77CDF}" srcOrd="2" destOrd="0" presId="urn:microsoft.com/office/officeart/2005/8/layout/orgChart1"/>
    <dgm:cxn modelId="{8C96519B-08C9-45E5-997D-D3E970DDB488}" type="presParOf" srcId="{45D11A74-0A47-4D9E-B23F-EAFBABA5CE88}" destId="{E1132B75-F131-4CF7-BEE3-0DE1E326BBC7}" srcOrd="2" destOrd="0" presId="urn:microsoft.com/office/officeart/2005/8/layout/orgChart1"/>
    <dgm:cxn modelId="{3D05D769-A252-496A-A949-C4CE64ADE2E4}" type="presParOf" srcId="{4E0C2AEF-9D87-49F9-A3D8-B56562B68FB2}" destId="{E9699B2B-1ED4-434D-B8B0-0B948F2133A2}" srcOrd="2" destOrd="0" presId="urn:microsoft.com/office/officeart/2005/8/layout/orgChart1"/>
    <dgm:cxn modelId="{2AA7CF4D-BDF1-4732-81D5-AB17CAB9A587}" type="presParOf" srcId="{B4C27640-0E68-44A1-9DFF-DF74F577AA66}" destId="{6106C85A-C057-4195-B90C-A20CE8907F10}" srcOrd="4" destOrd="0" presId="urn:microsoft.com/office/officeart/2005/8/layout/orgChart1"/>
    <dgm:cxn modelId="{F0CEA863-9F7F-43B2-B33D-749B25E08D11}" type="presParOf" srcId="{B4C27640-0E68-44A1-9DFF-DF74F577AA66}" destId="{C6676077-A074-4D64-B555-3494A4A7A9D9}" srcOrd="5" destOrd="0" presId="urn:microsoft.com/office/officeart/2005/8/layout/orgChart1"/>
    <dgm:cxn modelId="{D323844D-322B-4E01-A2F3-A58B7B2292F4}" type="presParOf" srcId="{C6676077-A074-4D64-B555-3494A4A7A9D9}" destId="{F1F07894-049F-43AF-A258-477E8ADE84D7}" srcOrd="0" destOrd="0" presId="urn:microsoft.com/office/officeart/2005/8/layout/orgChart1"/>
    <dgm:cxn modelId="{EF5F567E-FC16-404A-9BA0-C1D7616BA7DD}" type="presParOf" srcId="{F1F07894-049F-43AF-A258-477E8ADE84D7}" destId="{1837E658-642F-43AA-B207-E77D6506A0BB}" srcOrd="0" destOrd="0" presId="urn:microsoft.com/office/officeart/2005/8/layout/orgChart1"/>
    <dgm:cxn modelId="{4D4FEB55-4897-4686-B292-BAA88E1B174B}" type="presParOf" srcId="{F1F07894-049F-43AF-A258-477E8ADE84D7}" destId="{67DAEDEC-DE18-4AB7-8097-B4A4C1C0BC4D}" srcOrd="1" destOrd="0" presId="urn:microsoft.com/office/officeart/2005/8/layout/orgChart1"/>
    <dgm:cxn modelId="{CA697839-FE44-4154-AD14-6FC89305A80E}" type="presParOf" srcId="{C6676077-A074-4D64-B555-3494A4A7A9D9}" destId="{24349D24-15D7-4460-AFEE-919E8832155F}" srcOrd="1" destOrd="0" presId="urn:microsoft.com/office/officeart/2005/8/layout/orgChart1"/>
    <dgm:cxn modelId="{694B3614-3EFD-4E3B-9BB0-F5AE9246E738}" type="presParOf" srcId="{24349D24-15D7-4460-AFEE-919E8832155F}" destId="{F98C8F4E-B276-4E71-9197-ADCDF011346F}" srcOrd="0" destOrd="0" presId="urn:microsoft.com/office/officeart/2005/8/layout/orgChart1"/>
    <dgm:cxn modelId="{F9C7587B-4745-48AE-B67E-E90C80877450}" type="presParOf" srcId="{24349D24-15D7-4460-AFEE-919E8832155F}" destId="{6E77B2E6-94C9-4C28-BCDF-C77369AC1923}" srcOrd="1" destOrd="0" presId="urn:microsoft.com/office/officeart/2005/8/layout/orgChart1"/>
    <dgm:cxn modelId="{65D0F29B-961B-4CEF-AAB2-5BCAB2224ED7}" type="presParOf" srcId="{6E77B2E6-94C9-4C28-BCDF-C77369AC1923}" destId="{0E91C983-6569-4044-B100-B0D7A810B404}" srcOrd="0" destOrd="0" presId="urn:microsoft.com/office/officeart/2005/8/layout/orgChart1"/>
    <dgm:cxn modelId="{F57B8A8D-8280-4F42-984D-A21CC316E2AF}" type="presParOf" srcId="{0E91C983-6569-4044-B100-B0D7A810B404}" destId="{A9F81BD9-B6E6-4ACA-9625-7B65562C3C63}" srcOrd="0" destOrd="0" presId="urn:microsoft.com/office/officeart/2005/8/layout/orgChart1"/>
    <dgm:cxn modelId="{BABEF783-F7DF-4F58-8186-88E74ED4F952}" type="presParOf" srcId="{0E91C983-6569-4044-B100-B0D7A810B404}" destId="{B8173261-19A9-4AEC-9EDF-FA10CA554E61}" srcOrd="1" destOrd="0" presId="urn:microsoft.com/office/officeart/2005/8/layout/orgChart1"/>
    <dgm:cxn modelId="{2461F67D-26B7-4338-B4C2-E2FB4BBC9CFC}" type="presParOf" srcId="{6E77B2E6-94C9-4C28-BCDF-C77369AC1923}" destId="{3E21F5BD-3BD2-4CDB-A01C-962CBB30CF0A}" srcOrd="1" destOrd="0" presId="urn:microsoft.com/office/officeart/2005/8/layout/orgChart1"/>
    <dgm:cxn modelId="{3D39C47D-42BD-4F7F-A9E3-EB7E9FF1A984}" type="presParOf" srcId="{3E21F5BD-3BD2-4CDB-A01C-962CBB30CF0A}" destId="{EAF25F53-E817-48CE-B539-B0EBE835022D}" srcOrd="0" destOrd="0" presId="urn:microsoft.com/office/officeart/2005/8/layout/orgChart1"/>
    <dgm:cxn modelId="{1065C28F-1029-4CFD-966E-149DD32DB5E1}" type="presParOf" srcId="{3E21F5BD-3BD2-4CDB-A01C-962CBB30CF0A}" destId="{99F67C7D-AB9E-4EBE-96D7-321545B8BA84}" srcOrd="1" destOrd="0" presId="urn:microsoft.com/office/officeart/2005/8/layout/orgChart1"/>
    <dgm:cxn modelId="{80FF5B64-192F-4782-AED3-88B1E866D411}" type="presParOf" srcId="{99F67C7D-AB9E-4EBE-96D7-321545B8BA84}" destId="{29FE3505-F1E0-4B65-8054-B0CE749A7C67}" srcOrd="0" destOrd="0" presId="urn:microsoft.com/office/officeart/2005/8/layout/orgChart1"/>
    <dgm:cxn modelId="{9227EB32-8677-4BC9-947A-8EBD243F3F4E}" type="presParOf" srcId="{29FE3505-F1E0-4B65-8054-B0CE749A7C67}" destId="{92900BBA-5ABE-4FF9-BB49-137BDFCD4D72}" srcOrd="0" destOrd="0" presId="urn:microsoft.com/office/officeart/2005/8/layout/orgChart1"/>
    <dgm:cxn modelId="{86807594-0ED7-44AC-85B8-B0E5F5B1B324}" type="presParOf" srcId="{29FE3505-F1E0-4B65-8054-B0CE749A7C67}" destId="{031696CE-EFC3-4C94-AA2A-C83EE5FAE31F}" srcOrd="1" destOrd="0" presId="urn:microsoft.com/office/officeart/2005/8/layout/orgChart1"/>
    <dgm:cxn modelId="{0C62EEC2-780F-41BE-B4AB-74625081958E}" type="presParOf" srcId="{99F67C7D-AB9E-4EBE-96D7-321545B8BA84}" destId="{508954CF-4D58-4F68-8322-6EF68D6E4F42}" srcOrd="1" destOrd="0" presId="urn:microsoft.com/office/officeart/2005/8/layout/orgChart1"/>
    <dgm:cxn modelId="{9CA793D6-9498-4FCD-A6DF-1CB2245324EC}" type="presParOf" srcId="{99F67C7D-AB9E-4EBE-96D7-321545B8BA84}" destId="{DC23F3C6-EB9D-4E83-ADAE-FBD1A44DC279}" srcOrd="2" destOrd="0" presId="urn:microsoft.com/office/officeart/2005/8/layout/orgChart1"/>
    <dgm:cxn modelId="{293BDB29-529F-4144-8F1F-5F13816E8F0D}" type="presParOf" srcId="{3E21F5BD-3BD2-4CDB-A01C-962CBB30CF0A}" destId="{DE79C2C6-1510-450A-B3C5-1DD66E6735B9}" srcOrd="2" destOrd="0" presId="urn:microsoft.com/office/officeart/2005/8/layout/orgChart1"/>
    <dgm:cxn modelId="{ABF94C9D-5240-449D-9080-983D1DB90327}" type="presParOf" srcId="{3E21F5BD-3BD2-4CDB-A01C-962CBB30CF0A}" destId="{EACEDF84-95DD-495C-9E7D-FB91E67C2ACC}" srcOrd="3" destOrd="0" presId="urn:microsoft.com/office/officeart/2005/8/layout/orgChart1"/>
    <dgm:cxn modelId="{132A4200-6C98-4830-8542-F9079E851635}" type="presParOf" srcId="{EACEDF84-95DD-495C-9E7D-FB91E67C2ACC}" destId="{8A566696-6977-4E9E-A16A-8CCFC63E6245}" srcOrd="0" destOrd="0" presId="urn:microsoft.com/office/officeart/2005/8/layout/orgChart1"/>
    <dgm:cxn modelId="{19CC010E-2524-4325-AF09-DE582023D087}" type="presParOf" srcId="{8A566696-6977-4E9E-A16A-8CCFC63E6245}" destId="{C2E2B921-DBF1-4270-94B4-11EB0E6C3568}" srcOrd="0" destOrd="0" presId="urn:microsoft.com/office/officeart/2005/8/layout/orgChart1"/>
    <dgm:cxn modelId="{3C362ACE-0D1B-462E-97CD-827F50B1E6E8}" type="presParOf" srcId="{8A566696-6977-4E9E-A16A-8CCFC63E6245}" destId="{033A4D43-BB86-4617-9A56-2F5458C0CC5F}" srcOrd="1" destOrd="0" presId="urn:microsoft.com/office/officeart/2005/8/layout/orgChart1"/>
    <dgm:cxn modelId="{22D77D54-CD55-4643-ABCF-85DA2BE43F44}" type="presParOf" srcId="{EACEDF84-95DD-495C-9E7D-FB91E67C2ACC}" destId="{5CED7097-6225-4799-92FE-BB08D254ACB1}" srcOrd="1" destOrd="0" presId="urn:microsoft.com/office/officeart/2005/8/layout/orgChart1"/>
    <dgm:cxn modelId="{24A7ABC7-FA56-486E-AAB3-B37FD440B1B2}" type="presParOf" srcId="{EACEDF84-95DD-495C-9E7D-FB91E67C2ACC}" destId="{28C95AA9-4DAE-47B3-AD64-E3C296D02E52}" srcOrd="2" destOrd="0" presId="urn:microsoft.com/office/officeart/2005/8/layout/orgChart1"/>
    <dgm:cxn modelId="{724B7FE2-B591-439E-9083-BDC3E17FE45D}" type="presParOf" srcId="{6E77B2E6-94C9-4C28-BCDF-C77369AC1923}" destId="{6E8EB44D-99F0-4AEA-9C3F-693F7AC1B901}" srcOrd="2" destOrd="0" presId="urn:microsoft.com/office/officeart/2005/8/layout/orgChart1"/>
    <dgm:cxn modelId="{D4DDCEC0-105E-4408-BFC9-4AB9BFAC57C3}" type="presParOf" srcId="{24349D24-15D7-4460-AFEE-919E8832155F}" destId="{C8734EF2-8F84-4F67-84C6-E67709381D99}" srcOrd="2" destOrd="0" presId="urn:microsoft.com/office/officeart/2005/8/layout/orgChart1"/>
    <dgm:cxn modelId="{7294D22B-178A-4E94-9328-11323C4B6D97}" type="presParOf" srcId="{24349D24-15D7-4460-AFEE-919E8832155F}" destId="{A8C78B21-7AFA-4DCC-B542-881CDB014F11}" srcOrd="3" destOrd="0" presId="urn:microsoft.com/office/officeart/2005/8/layout/orgChart1"/>
    <dgm:cxn modelId="{E6D3C264-0601-4E1C-A401-5862D20E6902}" type="presParOf" srcId="{A8C78B21-7AFA-4DCC-B542-881CDB014F11}" destId="{48F942AE-0E22-4CB9-8221-1CE4DE269426}" srcOrd="0" destOrd="0" presId="urn:microsoft.com/office/officeart/2005/8/layout/orgChart1"/>
    <dgm:cxn modelId="{D785E5E3-220D-443B-914C-47B7BE448813}" type="presParOf" srcId="{48F942AE-0E22-4CB9-8221-1CE4DE269426}" destId="{A4F8B29E-90F9-48D1-98A0-BF9532000743}" srcOrd="0" destOrd="0" presId="urn:microsoft.com/office/officeart/2005/8/layout/orgChart1"/>
    <dgm:cxn modelId="{A9450553-1792-4CDF-BB22-EA0FA779EF0F}" type="presParOf" srcId="{48F942AE-0E22-4CB9-8221-1CE4DE269426}" destId="{9C981D33-982C-4F1D-A3FF-7AB55651FFA2}" srcOrd="1" destOrd="0" presId="urn:microsoft.com/office/officeart/2005/8/layout/orgChart1"/>
    <dgm:cxn modelId="{4092A84A-B048-4D3B-BAB2-8D28AEA5B6CD}" type="presParOf" srcId="{A8C78B21-7AFA-4DCC-B542-881CDB014F11}" destId="{3F85C32C-2A11-4E0F-8370-A9E43732116C}" srcOrd="1" destOrd="0" presId="urn:microsoft.com/office/officeart/2005/8/layout/orgChart1"/>
    <dgm:cxn modelId="{CFAC061D-EC0D-44F2-AEB0-23835977838D}" type="presParOf" srcId="{3F85C32C-2A11-4E0F-8370-A9E43732116C}" destId="{4FF355BD-A8F2-4FB1-AA9E-109646CCB100}" srcOrd="0" destOrd="0" presId="urn:microsoft.com/office/officeart/2005/8/layout/orgChart1"/>
    <dgm:cxn modelId="{15941D7D-F850-41A4-AE14-67ECDE42A768}" type="presParOf" srcId="{3F85C32C-2A11-4E0F-8370-A9E43732116C}" destId="{D9905FBE-3131-4C67-B0E7-9CBC693B2FF9}" srcOrd="1" destOrd="0" presId="urn:microsoft.com/office/officeart/2005/8/layout/orgChart1"/>
    <dgm:cxn modelId="{E15D42E6-BC3F-4C2A-83F6-9EA85CB7C821}" type="presParOf" srcId="{D9905FBE-3131-4C67-B0E7-9CBC693B2FF9}" destId="{D4C30CFE-782C-4A6D-88AB-179405420E36}" srcOrd="0" destOrd="0" presId="urn:microsoft.com/office/officeart/2005/8/layout/orgChart1"/>
    <dgm:cxn modelId="{038AB5C8-1452-4CD1-AE9F-C9CD55A6BAD8}" type="presParOf" srcId="{D4C30CFE-782C-4A6D-88AB-179405420E36}" destId="{707A546A-B844-4605-8B34-D1375D327F0A}" srcOrd="0" destOrd="0" presId="urn:microsoft.com/office/officeart/2005/8/layout/orgChart1"/>
    <dgm:cxn modelId="{C5CE9D53-1C1E-45EF-BB05-2AC000D795DD}" type="presParOf" srcId="{D4C30CFE-782C-4A6D-88AB-179405420E36}" destId="{24C7551F-0107-4A7C-8383-18C1FF96D5E8}" srcOrd="1" destOrd="0" presId="urn:microsoft.com/office/officeart/2005/8/layout/orgChart1"/>
    <dgm:cxn modelId="{26E7DD7F-64E7-49F8-9E6C-C9575C7C08AD}" type="presParOf" srcId="{D9905FBE-3131-4C67-B0E7-9CBC693B2FF9}" destId="{2965D660-0461-4D1F-A81B-F4007D603F82}" srcOrd="1" destOrd="0" presId="urn:microsoft.com/office/officeart/2005/8/layout/orgChart1"/>
    <dgm:cxn modelId="{659FB1B8-202A-42D8-B05F-F93643BB5CC9}" type="presParOf" srcId="{D9905FBE-3131-4C67-B0E7-9CBC693B2FF9}" destId="{5EB374AD-7273-44A8-8B36-4889C63A4FDB}" srcOrd="2" destOrd="0" presId="urn:microsoft.com/office/officeart/2005/8/layout/orgChart1"/>
    <dgm:cxn modelId="{F9517233-B58D-49BD-819A-7AE8EDF64DC2}" type="presParOf" srcId="{3F85C32C-2A11-4E0F-8370-A9E43732116C}" destId="{9DECD1F5-F2C5-4266-929C-14D9FA04730C}" srcOrd="2" destOrd="0" presId="urn:microsoft.com/office/officeart/2005/8/layout/orgChart1"/>
    <dgm:cxn modelId="{9182123C-3E2F-408F-9E79-D11D4AA22CFF}" type="presParOf" srcId="{3F85C32C-2A11-4E0F-8370-A9E43732116C}" destId="{C7B6A149-007F-4C56-AF22-562138CDB1EC}" srcOrd="3" destOrd="0" presId="urn:microsoft.com/office/officeart/2005/8/layout/orgChart1"/>
    <dgm:cxn modelId="{68F1058A-9869-4EB8-9E0B-A894A87F5920}" type="presParOf" srcId="{C7B6A149-007F-4C56-AF22-562138CDB1EC}" destId="{8059C3C5-2754-458B-A035-E31D2214A1EB}" srcOrd="0" destOrd="0" presId="urn:microsoft.com/office/officeart/2005/8/layout/orgChart1"/>
    <dgm:cxn modelId="{18C2A0BF-7BF1-4432-97A9-AFD2DBEF2D20}" type="presParOf" srcId="{8059C3C5-2754-458B-A035-E31D2214A1EB}" destId="{8C54CB1A-7C0F-4148-A2B0-0DDCB93F5B78}" srcOrd="0" destOrd="0" presId="urn:microsoft.com/office/officeart/2005/8/layout/orgChart1"/>
    <dgm:cxn modelId="{093F6343-E821-44E8-8F6E-B001AC32ABD8}" type="presParOf" srcId="{8059C3C5-2754-458B-A035-E31D2214A1EB}" destId="{18CF166F-13EF-4CBD-99DD-C7E0F842C2BB}" srcOrd="1" destOrd="0" presId="urn:microsoft.com/office/officeart/2005/8/layout/orgChart1"/>
    <dgm:cxn modelId="{7D45BEDA-7E19-4F9E-9110-8738D13A6958}" type="presParOf" srcId="{C7B6A149-007F-4C56-AF22-562138CDB1EC}" destId="{77D7726D-95B2-4007-87AE-84ACE3F7C5DE}" srcOrd="1" destOrd="0" presId="urn:microsoft.com/office/officeart/2005/8/layout/orgChart1"/>
    <dgm:cxn modelId="{C3241E00-A4C7-4A06-8ECD-B8EF4607EFF1}" type="presParOf" srcId="{C7B6A149-007F-4C56-AF22-562138CDB1EC}" destId="{20438652-92F2-450E-99D6-79DAADA4C12C}" srcOrd="2" destOrd="0" presId="urn:microsoft.com/office/officeart/2005/8/layout/orgChart1"/>
    <dgm:cxn modelId="{32AD51BC-0DE0-4BF8-A976-D8BFCE121799}" type="presParOf" srcId="{A8C78B21-7AFA-4DCC-B542-881CDB014F11}" destId="{16F0917C-2157-4A86-AC3D-F475AC55B871}" srcOrd="2" destOrd="0" presId="urn:microsoft.com/office/officeart/2005/8/layout/orgChart1"/>
    <dgm:cxn modelId="{1FD89E9B-C3C6-4EF0-99B5-B72F50D8EA23}" type="presParOf" srcId="{24349D24-15D7-4460-AFEE-919E8832155F}" destId="{7E83EE48-3A7A-4AE3-82F1-9F3B3A5A88E2}" srcOrd="4" destOrd="0" presId="urn:microsoft.com/office/officeart/2005/8/layout/orgChart1"/>
    <dgm:cxn modelId="{D6FDA83D-32CD-4CA2-82EF-0C70EF7B4EF3}" type="presParOf" srcId="{24349D24-15D7-4460-AFEE-919E8832155F}" destId="{C7E9751C-5C4A-403A-891D-B9B22A2E9DB6}" srcOrd="5" destOrd="0" presId="urn:microsoft.com/office/officeart/2005/8/layout/orgChart1"/>
    <dgm:cxn modelId="{B6A4C1CC-CB82-48C6-9B23-8E5E64FC983A}" type="presParOf" srcId="{C7E9751C-5C4A-403A-891D-B9B22A2E9DB6}" destId="{204862B2-9F1D-40F7-BF8C-6C1297EA6606}" srcOrd="0" destOrd="0" presId="urn:microsoft.com/office/officeart/2005/8/layout/orgChart1"/>
    <dgm:cxn modelId="{73DF2F0D-A17A-4EE1-8AF0-4B181776659A}" type="presParOf" srcId="{204862B2-9F1D-40F7-BF8C-6C1297EA6606}" destId="{5B5464A4-2AC2-462C-93C0-7CDF7B8CCCF6}" srcOrd="0" destOrd="0" presId="urn:microsoft.com/office/officeart/2005/8/layout/orgChart1"/>
    <dgm:cxn modelId="{998EE3D7-9380-4108-B3A8-F11D26B4E2C8}" type="presParOf" srcId="{204862B2-9F1D-40F7-BF8C-6C1297EA6606}" destId="{0382E80D-8949-48C4-8266-923CA2BA19FB}" srcOrd="1" destOrd="0" presId="urn:microsoft.com/office/officeart/2005/8/layout/orgChart1"/>
    <dgm:cxn modelId="{1DCB9759-B042-423A-8437-0C0CA5032054}" type="presParOf" srcId="{C7E9751C-5C4A-403A-891D-B9B22A2E9DB6}" destId="{3FC6019A-5691-46C8-BFC9-554BA5430AED}" srcOrd="1" destOrd="0" presId="urn:microsoft.com/office/officeart/2005/8/layout/orgChart1"/>
    <dgm:cxn modelId="{3243413F-95F7-4B43-9C28-96B3FDA8F289}" type="presParOf" srcId="{3FC6019A-5691-46C8-BFC9-554BA5430AED}" destId="{5379223F-F19F-44F6-A72F-F182B9DA6DB8}" srcOrd="0" destOrd="0" presId="urn:microsoft.com/office/officeart/2005/8/layout/orgChart1"/>
    <dgm:cxn modelId="{27196410-387D-4919-BBC8-6F87B69CAA55}" type="presParOf" srcId="{3FC6019A-5691-46C8-BFC9-554BA5430AED}" destId="{080253F4-A06D-4604-A4A3-2FE946FFC4E4}" srcOrd="1" destOrd="0" presId="urn:microsoft.com/office/officeart/2005/8/layout/orgChart1"/>
    <dgm:cxn modelId="{62323711-CB23-4226-83C1-2216C83849A7}" type="presParOf" srcId="{080253F4-A06D-4604-A4A3-2FE946FFC4E4}" destId="{31576100-98C4-4B81-8799-5606B77753A3}" srcOrd="0" destOrd="0" presId="urn:microsoft.com/office/officeart/2005/8/layout/orgChart1"/>
    <dgm:cxn modelId="{8D1B68C9-A7F4-4CEE-A643-6B3908ADE613}" type="presParOf" srcId="{31576100-98C4-4B81-8799-5606B77753A3}" destId="{9E75887E-9ADB-45B6-BDD2-39950D432A6E}" srcOrd="0" destOrd="0" presId="urn:microsoft.com/office/officeart/2005/8/layout/orgChart1"/>
    <dgm:cxn modelId="{FE02F9FB-4473-4E2A-A9E9-EA7B10C11A27}" type="presParOf" srcId="{31576100-98C4-4B81-8799-5606B77753A3}" destId="{D9B9FD1B-DEDE-44D9-8DC2-934D2B137288}" srcOrd="1" destOrd="0" presId="urn:microsoft.com/office/officeart/2005/8/layout/orgChart1"/>
    <dgm:cxn modelId="{2112F3F6-D234-4B0A-847C-03FBA66A610A}" type="presParOf" srcId="{080253F4-A06D-4604-A4A3-2FE946FFC4E4}" destId="{F1EDC154-2378-4177-B4E5-FEF2CC837C75}" srcOrd="1" destOrd="0" presId="urn:microsoft.com/office/officeart/2005/8/layout/orgChart1"/>
    <dgm:cxn modelId="{6F7D48FF-5671-4CCF-8302-FAB5C0FBC843}" type="presParOf" srcId="{080253F4-A06D-4604-A4A3-2FE946FFC4E4}" destId="{CC6B59B5-A271-4677-BCFC-943A1635A201}" srcOrd="2" destOrd="0" presId="urn:microsoft.com/office/officeart/2005/8/layout/orgChart1"/>
    <dgm:cxn modelId="{E50BF64D-0C6C-4422-9CCD-83BA3188E5A4}" type="presParOf" srcId="{3FC6019A-5691-46C8-BFC9-554BA5430AED}" destId="{154E037B-52D8-42BA-9F28-032DAAF22C58}" srcOrd="2" destOrd="0" presId="urn:microsoft.com/office/officeart/2005/8/layout/orgChart1"/>
    <dgm:cxn modelId="{6DAD8BD7-263A-431E-BE90-530D787E49FA}" type="presParOf" srcId="{3FC6019A-5691-46C8-BFC9-554BA5430AED}" destId="{D9CFA777-9D5F-4A6A-BB23-849E65FA81C9}" srcOrd="3" destOrd="0" presId="urn:microsoft.com/office/officeart/2005/8/layout/orgChart1"/>
    <dgm:cxn modelId="{B0F81764-F749-4224-8398-1F276990A71C}" type="presParOf" srcId="{D9CFA777-9D5F-4A6A-BB23-849E65FA81C9}" destId="{2AFEFAAB-2412-4116-833A-14561C62AAEE}" srcOrd="0" destOrd="0" presId="urn:microsoft.com/office/officeart/2005/8/layout/orgChart1"/>
    <dgm:cxn modelId="{94E18AA0-15F4-4047-AD4E-B3F933C8F9B2}" type="presParOf" srcId="{2AFEFAAB-2412-4116-833A-14561C62AAEE}" destId="{0E6403D1-BFFC-4E30-BC32-69E214296962}" srcOrd="0" destOrd="0" presId="urn:microsoft.com/office/officeart/2005/8/layout/orgChart1"/>
    <dgm:cxn modelId="{99A24422-F33C-4BB3-B354-8E34A9F3F7CF}" type="presParOf" srcId="{2AFEFAAB-2412-4116-833A-14561C62AAEE}" destId="{25589F60-5E3A-442B-A994-82DE41FDE89E}" srcOrd="1" destOrd="0" presId="urn:microsoft.com/office/officeart/2005/8/layout/orgChart1"/>
    <dgm:cxn modelId="{E09BB240-26AD-48B4-91FB-1D4EE2C2DAC7}" type="presParOf" srcId="{D9CFA777-9D5F-4A6A-BB23-849E65FA81C9}" destId="{42CFB34E-C8FD-4DEA-84E4-71753E73D4FF}" srcOrd="1" destOrd="0" presId="urn:microsoft.com/office/officeart/2005/8/layout/orgChart1"/>
    <dgm:cxn modelId="{55D9B729-335E-4A13-AF55-DE277B5188D1}" type="presParOf" srcId="{D9CFA777-9D5F-4A6A-BB23-849E65FA81C9}" destId="{37C8CAE0-3937-4B41-B8BB-E1BDD9F6CF6B}" srcOrd="2" destOrd="0" presId="urn:microsoft.com/office/officeart/2005/8/layout/orgChart1"/>
    <dgm:cxn modelId="{0BA17995-C75D-4933-B3CA-B42CEE3356D5}" type="presParOf" srcId="{C7E9751C-5C4A-403A-891D-B9B22A2E9DB6}" destId="{5549C25C-DDC3-4192-A360-EF432AEEF93A}" srcOrd="2" destOrd="0" presId="urn:microsoft.com/office/officeart/2005/8/layout/orgChart1"/>
    <dgm:cxn modelId="{233DCACD-C7FD-4F67-8F4C-34CFAA8B7021}" type="presParOf" srcId="{C6676077-A074-4D64-B555-3494A4A7A9D9}" destId="{E32B926C-0F8B-4058-A9A0-49861BE5DC38}" srcOrd="2" destOrd="0" presId="urn:microsoft.com/office/officeart/2005/8/layout/orgChart1"/>
    <dgm:cxn modelId="{2911BAED-0DAF-450D-A66C-B64D6E97E987}" type="presParOf" srcId="{541CA571-E5B6-4443-B99D-5D094EF1B2DD}" destId="{C75A896F-8D2D-44C5-B9C8-10612650A8BC}" srcOrd="2" destOrd="0" presId="urn:microsoft.com/office/officeart/2005/8/layout/orgChart1"/>
    <dgm:cxn modelId="{17FB22FF-0E33-4443-9302-2C65D05C7674}" type="presParOf" srcId="{FE371900-C937-4CC1-9274-C1147E306F8B}" destId="{456976CF-5E7F-4EA0-9C9C-C2922D26E5C8}"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1270692E-2264-40E4-8007-3BBF6CC7FA12}"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ru-RU"/>
        </a:p>
      </dgm:t>
    </dgm:pt>
    <dgm:pt modelId="{37B815A6-A82C-4FDE-AE00-00763423F21E}">
      <dgm:prSet phldrT="[Текст]"/>
      <dgm:spPr/>
      <dgm:t>
        <a:bodyPr/>
        <a:lstStyle/>
        <a:p>
          <a:r>
            <a:rPr lang="en-US"/>
            <a:t>Regiment</a:t>
          </a:r>
          <a:endParaRPr lang="ru-RU"/>
        </a:p>
      </dgm:t>
    </dgm:pt>
    <dgm:pt modelId="{9EE6A4A4-CEFB-4692-BC0C-73B2C082C62B}" type="parTrans" cxnId="{D444661A-727B-4961-85DD-2C1D28D2E5E6}">
      <dgm:prSet/>
      <dgm:spPr/>
      <dgm:t>
        <a:bodyPr/>
        <a:lstStyle/>
        <a:p>
          <a:endParaRPr lang="ru-RU"/>
        </a:p>
      </dgm:t>
    </dgm:pt>
    <dgm:pt modelId="{F96AA92A-ED44-4615-AE8D-9B16953695E5}" type="sibTrans" cxnId="{D444661A-727B-4961-85DD-2C1D28D2E5E6}">
      <dgm:prSet/>
      <dgm:spPr/>
      <dgm:t>
        <a:bodyPr/>
        <a:lstStyle/>
        <a:p>
          <a:endParaRPr lang="ru-RU"/>
        </a:p>
      </dgm:t>
    </dgm:pt>
    <dgm:pt modelId="{3272336C-67B0-40A7-AC41-CC75FABE0270}">
      <dgm:prSet phldrT="[Текст]"/>
      <dgm:spPr/>
      <dgm:t>
        <a:bodyPr/>
        <a:lstStyle/>
        <a:p>
          <a:r>
            <a:rPr lang="en-US"/>
            <a:t>Squadron</a:t>
          </a:r>
          <a:endParaRPr lang="ru-RU"/>
        </a:p>
      </dgm:t>
    </dgm:pt>
    <dgm:pt modelId="{7ECFFBF9-CC2F-4FCC-8453-7C60EF35B245}" type="parTrans" cxnId="{78C26B84-4E11-455D-A5D2-312997312E45}">
      <dgm:prSet/>
      <dgm:spPr/>
      <dgm:t>
        <a:bodyPr/>
        <a:lstStyle/>
        <a:p>
          <a:endParaRPr lang="ru-RU"/>
        </a:p>
      </dgm:t>
    </dgm:pt>
    <dgm:pt modelId="{BB76B609-C529-4DD0-BDB4-CB22BCB91137}" type="sibTrans" cxnId="{78C26B84-4E11-455D-A5D2-312997312E45}">
      <dgm:prSet/>
      <dgm:spPr/>
      <dgm:t>
        <a:bodyPr/>
        <a:lstStyle/>
        <a:p>
          <a:endParaRPr lang="ru-RU"/>
        </a:p>
      </dgm:t>
    </dgm:pt>
    <dgm:pt modelId="{F598D19B-D2C1-4C61-83E9-558D9B7B3882}">
      <dgm:prSet phldrT="[Текст]"/>
      <dgm:spPr/>
      <dgm:t>
        <a:bodyPr/>
        <a:lstStyle/>
        <a:p>
          <a:r>
            <a:rPr lang="en-US"/>
            <a:t>Squadron</a:t>
          </a:r>
          <a:endParaRPr lang="ru-RU"/>
        </a:p>
      </dgm:t>
    </dgm:pt>
    <dgm:pt modelId="{95ABC0B2-F5DD-4B2A-8613-1F9066798E51}" type="parTrans" cxnId="{DA5CF66F-D859-454A-AE4A-6AC54CA0F783}">
      <dgm:prSet/>
      <dgm:spPr/>
      <dgm:t>
        <a:bodyPr/>
        <a:lstStyle/>
        <a:p>
          <a:endParaRPr lang="ru-RU"/>
        </a:p>
      </dgm:t>
    </dgm:pt>
    <dgm:pt modelId="{9FFDEE75-1F2E-4348-A3E4-881994B23927}" type="sibTrans" cxnId="{DA5CF66F-D859-454A-AE4A-6AC54CA0F783}">
      <dgm:prSet/>
      <dgm:spPr/>
      <dgm:t>
        <a:bodyPr/>
        <a:lstStyle/>
        <a:p>
          <a:endParaRPr lang="ru-RU"/>
        </a:p>
      </dgm:t>
    </dgm:pt>
    <dgm:pt modelId="{D32B3C37-E83D-494E-AAE2-8CCB75DCD383}">
      <dgm:prSet phldrT="[Текст]"/>
      <dgm:spPr/>
      <dgm:t>
        <a:bodyPr/>
        <a:lstStyle/>
        <a:p>
          <a:r>
            <a:rPr lang="en-US"/>
            <a:t>Troop</a:t>
          </a:r>
        </a:p>
      </dgm:t>
    </dgm:pt>
    <dgm:pt modelId="{03736C43-E7B3-4780-8F7B-375D5A6A7FE4}" type="parTrans" cxnId="{A3E8EB60-A79D-4331-8566-D32EDD0B08E3}">
      <dgm:prSet/>
      <dgm:spPr/>
      <dgm:t>
        <a:bodyPr/>
        <a:lstStyle/>
        <a:p>
          <a:endParaRPr lang="ru-RU"/>
        </a:p>
      </dgm:t>
    </dgm:pt>
    <dgm:pt modelId="{8C57269D-7B4E-41A8-A367-E7DEF336E9FC}" type="sibTrans" cxnId="{A3E8EB60-A79D-4331-8566-D32EDD0B08E3}">
      <dgm:prSet/>
      <dgm:spPr/>
      <dgm:t>
        <a:bodyPr/>
        <a:lstStyle/>
        <a:p>
          <a:endParaRPr lang="ru-RU"/>
        </a:p>
      </dgm:t>
    </dgm:pt>
    <dgm:pt modelId="{35832908-7724-43A9-A2FF-5625A4D3B9C8}">
      <dgm:prSet phldrT="[Текст]"/>
      <dgm:spPr/>
      <dgm:t>
        <a:bodyPr/>
        <a:lstStyle/>
        <a:p>
          <a:r>
            <a:rPr lang="en-US"/>
            <a:t>Troop</a:t>
          </a:r>
          <a:endParaRPr lang="ru-RU"/>
        </a:p>
      </dgm:t>
    </dgm:pt>
    <dgm:pt modelId="{69050CD2-749B-4102-95F0-270208F9B6C8}" type="parTrans" cxnId="{9FF303E4-99A9-47DE-84E4-2DF1A28DFF8B}">
      <dgm:prSet/>
      <dgm:spPr/>
      <dgm:t>
        <a:bodyPr/>
        <a:lstStyle/>
        <a:p>
          <a:endParaRPr lang="ru-RU"/>
        </a:p>
      </dgm:t>
    </dgm:pt>
    <dgm:pt modelId="{A6BB783D-32AE-4918-82ED-16311BE67E11}" type="sibTrans" cxnId="{9FF303E4-99A9-47DE-84E4-2DF1A28DFF8B}">
      <dgm:prSet/>
      <dgm:spPr/>
      <dgm:t>
        <a:bodyPr/>
        <a:lstStyle/>
        <a:p>
          <a:endParaRPr lang="ru-RU"/>
        </a:p>
      </dgm:t>
    </dgm:pt>
    <dgm:pt modelId="{B78840CD-48A4-4619-84B8-9F12176C54F4}">
      <dgm:prSet phldrT="[Текст]"/>
      <dgm:spPr/>
      <dgm:t>
        <a:bodyPr/>
        <a:lstStyle/>
        <a:p>
          <a:r>
            <a:rPr lang="en-US"/>
            <a:t>Troop</a:t>
          </a:r>
          <a:endParaRPr lang="ru-RU"/>
        </a:p>
      </dgm:t>
    </dgm:pt>
    <dgm:pt modelId="{718530C1-E567-49D5-BEBE-785D037F6EE2}" type="parTrans" cxnId="{BEAD165D-4E0B-43E3-9D66-DD2FE2CF9E35}">
      <dgm:prSet/>
      <dgm:spPr/>
      <dgm:t>
        <a:bodyPr/>
        <a:lstStyle/>
        <a:p>
          <a:endParaRPr lang="ru-RU"/>
        </a:p>
      </dgm:t>
    </dgm:pt>
    <dgm:pt modelId="{FBF5C199-CE21-4CED-8254-833CACDD7D9E}" type="sibTrans" cxnId="{BEAD165D-4E0B-43E3-9D66-DD2FE2CF9E35}">
      <dgm:prSet/>
      <dgm:spPr/>
      <dgm:t>
        <a:bodyPr/>
        <a:lstStyle/>
        <a:p>
          <a:endParaRPr lang="ru-RU"/>
        </a:p>
      </dgm:t>
    </dgm:pt>
    <dgm:pt modelId="{C9911431-E0D7-4F09-B174-06741AF0454A}">
      <dgm:prSet phldrT="[Текст]"/>
      <dgm:spPr/>
      <dgm:t>
        <a:bodyPr/>
        <a:lstStyle/>
        <a:p>
          <a:r>
            <a:rPr lang="en-US"/>
            <a:t>Lance</a:t>
          </a:r>
        </a:p>
      </dgm:t>
    </dgm:pt>
    <dgm:pt modelId="{E801C426-E50E-4D6B-93EF-B8733439C92A}" type="parTrans" cxnId="{AD017CB8-1A0A-4234-8B70-A0C235CD6CEB}">
      <dgm:prSet/>
      <dgm:spPr/>
      <dgm:t>
        <a:bodyPr/>
        <a:lstStyle/>
        <a:p>
          <a:endParaRPr lang="ru-RU"/>
        </a:p>
      </dgm:t>
    </dgm:pt>
    <dgm:pt modelId="{E66D46E8-194E-450A-9C08-9FC4AB316E05}" type="sibTrans" cxnId="{AD017CB8-1A0A-4234-8B70-A0C235CD6CEB}">
      <dgm:prSet/>
      <dgm:spPr/>
      <dgm:t>
        <a:bodyPr/>
        <a:lstStyle/>
        <a:p>
          <a:endParaRPr lang="ru-RU"/>
        </a:p>
      </dgm:t>
    </dgm:pt>
    <dgm:pt modelId="{AE83B6BB-DB46-4759-9F2D-5D19B0BEA25B}">
      <dgm:prSet phldrT="[Текст]"/>
      <dgm:spPr/>
      <dgm:t>
        <a:bodyPr/>
        <a:lstStyle/>
        <a:p>
          <a:r>
            <a:rPr lang="en-US"/>
            <a:t>Lance</a:t>
          </a:r>
        </a:p>
      </dgm:t>
    </dgm:pt>
    <dgm:pt modelId="{DE95F343-113A-4F76-89E6-83B638E1A039}" type="parTrans" cxnId="{ED5F76AB-D3FD-4D15-80AA-CBCA589C1594}">
      <dgm:prSet/>
      <dgm:spPr/>
      <dgm:t>
        <a:bodyPr/>
        <a:lstStyle/>
        <a:p>
          <a:endParaRPr lang="ru-RU"/>
        </a:p>
      </dgm:t>
    </dgm:pt>
    <dgm:pt modelId="{EBEDE089-308F-4B1F-99E9-93D97AEDBC3D}" type="sibTrans" cxnId="{ED5F76AB-D3FD-4D15-80AA-CBCA589C1594}">
      <dgm:prSet/>
      <dgm:spPr/>
      <dgm:t>
        <a:bodyPr/>
        <a:lstStyle/>
        <a:p>
          <a:endParaRPr lang="ru-RU"/>
        </a:p>
      </dgm:t>
    </dgm:pt>
    <dgm:pt modelId="{B288F2C6-A73C-4044-A2E6-EA4134E43295}">
      <dgm:prSet phldrT="[Текст]"/>
      <dgm:spPr/>
      <dgm:t>
        <a:bodyPr/>
        <a:lstStyle/>
        <a:p>
          <a:r>
            <a:rPr lang="en-US"/>
            <a:t>Lance</a:t>
          </a:r>
        </a:p>
      </dgm:t>
    </dgm:pt>
    <dgm:pt modelId="{845D14D2-B399-4465-AA28-4D9312AE94FB}" type="parTrans" cxnId="{B899DE7C-1B23-44C0-8E1A-5275E0E5F72C}">
      <dgm:prSet/>
      <dgm:spPr/>
      <dgm:t>
        <a:bodyPr/>
        <a:lstStyle/>
        <a:p>
          <a:endParaRPr lang="ru-RU"/>
        </a:p>
      </dgm:t>
    </dgm:pt>
    <dgm:pt modelId="{8B0A2376-8984-4D07-843E-C9550D2795A0}" type="sibTrans" cxnId="{B899DE7C-1B23-44C0-8E1A-5275E0E5F72C}">
      <dgm:prSet/>
      <dgm:spPr/>
      <dgm:t>
        <a:bodyPr/>
        <a:lstStyle/>
        <a:p>
          <a:endParaRPr lang="ru-RU"/>
        </a:p>
      </dgm:t>
    </dgm:pt>
    <dgm:pt modelId="{DD7CBB32-3ABA-4327-8FE9-04DB1C9B1B4D}">
      <dgm:prSet/>
      <dgm:spPr/>
      <dgm:t>
        <a:bodyPr/>
        <a:lstStyle/>
        <a:p>
          <a:r>
            <a:rPr lang="en-US"/>
            <a:t>Ride</a:t>
          </a:r>
          <a:endParaRPr lang="ru-RU"/>
        </a:p>
      </dgm:t>
    </dgm:pt>
    <dgm:pt modelId="{6053EB60-D5AE-482B-A5C7-CE7064E8F89C}" type="parTrans" cxnId="{B600A0B6-1FB3-4CE7-A51A-C1B9ADC3A4ED}">
      <dgm:prSet/>
      <dgm:spPr/>
      <dgm:t>
        <a:bodyPr/>
        <a:lstStyle/>
        <a:p>
          <a:endParaRPr lang="ru-RU"/>
        </a:p>
      </dgm:t>
    </dgm:pt>
    <dgm:pt modelId="{DD63A2A7-0C42-418C-B876-1D34C8833C25}" type="sibTrans" cxnId="{B600A0B6-1FB3-4CE7-A51A-C1B9ADC3A4ED}">
      <dgm:prSet/>
      <dgm:spPr/>
      <dgm:t>
        <a:bodyPr/>
        <a:lstStyle/>
        <a:p>
          <a:endParaRPr lang="ru-RU"/>
        </a:p>
      </dgm:t>
    </dgm:pt>
    <dgm:pt modelId="{EA0542A9-74B1-4CFD-89B7-6E53F209B972}">
      <dgm:prSet/>
      <dgm:spPr/>
      <dgm:t>
        <a:bodyPr/>
        <a:lstStyle/>
        <a:p>
          <a:r>
            <a:rPr lang="en-US"/>
            <a:t>Ride</a:t>
          </a:r>
          <a:endParaRPr lang="ru-RU"/>
        </a:p>
      </dgm:t>
    </dgm:pt>
    <dgm:pt modelId="{EE871943-6DFF-4529-9F84-75ABC7E53E29}" type="parTrans" cxnId="{4A986872-3CA7-444B-AC85-BE06927582BA}">
      <dgm:prSet/>
      <dgm:spPr/>
      <dgm:t>
        <a:bodyPr/>
        <a:lstStyle/>
        <a:p>
          <a:endParaRPr lang="ru-RU"/>
        </a:p>
      </dgm:t>
    </dgm:pt>
    <dgm:pt modelId="{8D802D01-D69E-4CA3-94CE-3782481637E5}" type="sibTrans" cxnId="{4A986872-3CA7-444B-AC85-BE06927582BA}">
      <dgm:prSet/>
      <dgm:spPr/>
      <dgm:t>
        <a:bodyPr/>
        <a:lstStyle/>
        <a:p>
          <a:endParaRPr lang="ru-RU"/>
        </a:p>
      </dgm:t>
    </dgm:pt>
    <dgm:pt modelId="{DBC0015A-F8AB-4861-8576-3E4CBF6BD4FE}">
      <dgm:prSet/>
      <dgm:spPr/>
      <dgm:t>
        <a:bodyPr/>
        <a:lstStyle/>
        <a:p>
          <a:r>
            <a:rPr lang="en-US"/>
            <a:t>Ride</a:t>
          </a:r>
          <a:endParaRPr lang="ru-RU"/>
        </a:p>
      </dgm:t>
    </dgm:pt>
    <dgm:pt modelId="{80C296C1-4F47-4707-97C1-7ED1075B9E95}" type="parTrans" cxnId="{336755B6-5E92-4DBC-85AA-6E3C8CDBD9F8}">
      <dgm:prSet/>
      <dgm:spPr/>
      <dgm:t>
        <a:bodyPr/>
        <a:lstStyle/>
        <a:p>
          <a:endParaRPr lang="ru-RU"/>
        </a:p>
      </dgm:t>
    </dgm:pt>
    <dgm:pt modelId="{4E836235-F3D6-49A6-BC8E-54EA3FE38ED5}" type="sibTrans" cxnId="{336755B6-5E92-4DBC-85AA-6E3C8CDBD9F8}">
      <dgm:prSet/>
      <dgm:spPr/>
      <dgm:t>
        <a:bodyPr/>
        <a:lstStyle/>
        <a:p>
          <a:endParaRPr lang="ru-RU"/>
        </a:p>
      </dgm:t>
    </dgm:pt>
    <dgm:pt modelId="{04CDE114-E19D-418A-95A3-FB13CCA3AD7F}">
      <dgm:prSet/>
      <dgm:spPr/>
      <dgm:t>
        <a:bodyPr/>
        <a:lstStyle/>
        <a:p>
          <a:r>
            <a:rPr lang="en-US"/>
            <a:t>Ride</a:t>
          </a:r>
        </a:p>
      </dgm:t>
    </dgm:pt>
    <dgm:pt modelId="{928D4908-269E-4974-9C75-5542557F745F}" type="parTrans" cxnId="{9F71E615-87BB-4AEC-83C0-22E9FD7FA92C}">
      <dgm:prSet/>
      <dgm:spPr/>
      <dgm:t>
        <a:bodyPr/>
        <a:lstStyle/>
        <a:p>
          <a:endParaRPr lang="ru-RU"/>
        </a:p>
      </dgm:t>
    </dgm:pt>
    <dgm:pt modelId="{F2CB2F6B-62A2-473F-996F-5345FA82DF17}" type="sibTrans" cxnId="{9F71E615-87BB-4AEC-83C0-22E9FD7FA92C}">
      <dgm:prSet/>
      <dgm:spPr/>
      <dgm:t>
        <a:bodyPr/>
        <a:lstStyle/>
        <a:p>
          <a:endParaRPr lang="ru-RU"/>
        </a:p>
      </dgm:t>
    </dgm:pt>
    <dgm:pt modelId="{8F655CAF-A9E9-483B-8F4B-B00F9978CC8C}">
      <dgm:prSet/>
      <dgm:spPr/>
      <dgm:t>
        <a:bodyPr/>
        <a:lstStyle/>
        <a:p>
          <a:r>
            <a:rPr lang="en-US"/>
            <a:t>Ride</a:t>
          </a:r>
          <a:endParaRPr lang="ru-RU"/>
        </a:p>
      </dgm:t>
    </dgm:pt>
    <dgm:pt modelId="{BE6CE2D4-E405-410B-9392-C17E0628FC09}" type="parTrans" cxnId="{CAD2CA3F-542A-4BBB-958C-B9C2CE03A392}">
      <dgm:prSet/>
      <dgm:spPr/>
      <dgm:t>
        <a:bodyPr/>
        <a:lstStyle/>
        <a:p>
          <a:endParaRPr lang="ru-RU"/>
        </a:p>
      </dgm:t>
    </dgm:pt>
    <dgm:pt modelId="{1A300C08-9476-4B42-92B8-4AD2E4B59ECE}" type="sibTrans" cxnId="{CAD2CA3F-542A-4BBB-958C-B9C2CE03A392}">
      <dgm:prSet/>
      <dgm:spPr/>
      <dgm:t>
        <a:bodyPr/>
        <a:lstStyle/>
        <a:p>
          <a:endParaRPr lang="ru-RU"/>
        </a:p>
      </dgm:t>
    </dgm:pt>
    <dgm:pt modelId="{9177A60E-2E9A-4563-B78B-246BF3385A76}">
      <dgm:prSet/>
      <dgm:spPr/>
      <dgm:t>
        <a:bodyPr/>
        <a:lstStyle/>
        <a:p>
          <a:r>
            <a:rPr lang="en-US"/>
            <a:t>Ride</a:t>
          </a:r>
          <a:endParaRPr lang="ru-RU"/>
        </a:p>
      </dgm:t>
    </dgm:pt>
    <dgm:pt modelId="{F363B467-C944-42F7-BE40-3B67BAC8FA38}" type="parTrans" cxnId="{A5B9372A-9009-416C-8DA2-0549BCD36597}">
      <dgm:prSet/>
      <dgm:spPr/>
      <dgm:t>
        <a:bodyPr/>
        <a:lstStyle/>
        <a:p>
          <a:endParaRPr lang="ru-RU"/>
        </a:p>
      </dgm:t>
    </dgm:pt>
    <dgm:pt modelId="{FDACB1D7-9904-41D8-873E-E03A7DA981DE}" type="sibTrans" cxnId="{A5B9372A-9009-416C-8DA2-0549BCD36597}">
      <dgm:prSet/>
      <dgm:spPr/>
      <dgm:t>
        <a:bodyPr/>
        <a:lstStyle/>
        <a:p>
          <a:endParaRPr lang="ru-RU"/>
        </a:p>
      </dgm:t>
    </dgm:pt>
    <dgm:pt modelId="{E2B7A447-A742-4647-A1A0-909CF672D5CE}">
      <dgm:prSet phldrT="[Текст]"/>
      <dgm:spPr/>
      <dgm:t>
        <a:bodyPr/>
        <a:lstStyle/>
        <a:p>
          <a:r>
            <a:rPr lang="en-US"/>
            <a:t>Ride</a:t>
          </a:r>
          <a:endParaRPr lang="ru-RU"/>
        </a:p>
      </dgm:t>
    </dgm:pt>
    <dgm:pt modelId="{4EE9EFA8-47E4-4060-B049-E713D4C37384}" type="parTrans" cxnId="{1D858CD6-12F5-466A-9CE8-5E47682797F3}">
      <dgm:prSet/>
      <dgm:spPr/>
      <dgm:t>
        <a:bodyPr/>
        <a:lstStyle/>
        <a:p>
          <a:endParaRPr lang="ru-RU"/>
        </a:p>
      </dgm:t>
    </dgm:pt>
    <dgm:pt modelId="{B2A12B17-93F6-4A7A-B8BE-04320298810D}" type="sibTrans" cxnId="{1D858CD6-12F5-466A-9CE8-5E47682797F3}">
      <dgm:prSet/>
      <dgm:spPr/>
      <dgm:t>
        <a:bodyPr/>
        <a:lstStyle/>
        <a:p>
          <a:endParaRPr lang="ru-RU"/>
        </a:p>
      </dgm:t>
    </dgm:pt>
    <dgm:pt modelId="{4A292F17-6AB3-4DFA-BAE0-6527399D24CD}">
      <dgm:prSet phldrT="[Текст]"/>
      <dgm:spPr/>
      <dgm:t>
        <a:bodyPr/>
        <a:lstStyle/>
        <a:p>
          <a:r>
            <a:rPr lang="en-US"/>
            <a:t>Ride</a:t>
          </a:r>
          <a:endParaRPr lang="ru-RU"/>
        </a:p>
      </dgm:t>
    </dgm:pt>
    <dgm:pt modelId="{3A79211C-9CDB-4650-A553-9114656ADCEC}" type="parTrans" cxnId="{5F4859C9-9C41-429B-8FD9-8883D7071715}">
      <dgm:prSet/>
      <dgm:spPr/>
      <dgm:t>
        <a:bodyPr/>
        <a:lstStyle/>
        <a:p>
          <a:endParaRPr lang="ru-RU"/>
        </a:p>
      </dgm:t>
    </dgm:pt>
    <dgm:pt modelId="{4FAE0343-BF68-44F0-B3ED-CEA9F7769203}" type="sibTrans" cxnId="{5F4859C9-9C41-429B-8FD9-8883D7071715}">
      <dgm:prSet/>
      <dgm:spPr/>
      <dgm:t>
        <a:bodyPr/>
        <a:lstStyle/>
        <a:p>
          <a:endParaRPr lang="ru-RU"/>
        </a:p>
      </dgm:t>
    </dgm:pt>
    <dgm:pt modelId="{A4316985-448F-4E21-A466-901A85087A14}">
      <dgm:prSet phldrT="[Текст]"/>
      <dgm:spPr/>
      <dgm:t>
        <a:bodyPr/>
        <a:lstStyle/>
        <a:p>
          <a:r>
            <a:rPr lang="en-US"/>
            <a:t>Ride</a:t>
          </a:r>
        </a:p>
      </dgm:t>
    </dgm:pt>
    <dgm:pt modelId="{DB14BE49-FC0F-4563-81E5-DAC806ED6AB4}" type="parTrans" cxnId="{88FC3268-B7A8-46B5-B486-3DC939A040B4}">
      <dgm:prSet/>
      <dgm:spPr/>
      <dgm:t>
        <a:bodyPr/>
        <a:lstStyle/>
        <a:p>
          <a:endParaRPr lang="ru-RU"/>
        </a:p>
      </dgm:t>
    </dgm:pt>
    <dgm:pt modelId="{85FAE48B-E61B-4D18-8AA0-CC1D70A80762}" type="sibTrans" cxnId="{88FC3268-B7A8-46B5-B486-3DC939A040B4}">
      <dgm:prSet/>
      <dgm:spPr/>
      <dgm:t>
        <a:bodyPr/>
        <a:lstStyle/>
        <a:p>
          <a:endParaRPr lang="ru-RU"/>
        </a:p>
      </dgm:t>
    </dgm:pt>
    <dgm:pt modelId="{EB428A7E-ECCA-45B1-968E-47B7770B5453}">
      <dgm:prSet phldrT="[Текст]"/>
      <dgm:spPr/>
      <dgm:t>
        <a:bodyPr/>
        <a:lstStyle/>
        <a:p>
          <a:r>
            <a:rPr lang="en-US"/>
            <a:t>Lance</a:t>
          </a:r>
          <a:endParaRPr lang="ru-RU"/>
        </a:p>
      </dgm:t>
    </dgm:pt>
    <dgm:pt modelId="{B2A71CAB-ECD0-42AB-A7B7-D8AC1221003F}" type="parTrans" cxnId="{F5DAE6BB-B12C-44BF-94D5-0736BC709C58}">
      <dgm:prSet/>
      <dgm:spPr/>
      <dgm:t>
        <a:bodyPr/>
        <a:lstStyle/>
        <a:p>
          <a:endParaRPr lang="ru-RU"/>
        </a:p>
      </dgm:t>
    </dgm:pt>
    <dgm:pt modelId="{59AA153E-CDCC-4534-988F-F1145B40C189}" type="sibTrans" cxnId="{F5DAE6BB-B12C-44BF-94D5-0736BC709C58}">
      <dgm:prSet/>
      <dgm:spPr/>
      <dgm:t>
        <a:bodyPr/>
        <a:lstStyle/>
        <a:p>
          <a:endParaRPr lang="ru-RU"/>
        </a:p>
      </dgm:t>
    </dgm:pt>
    <dgm:pt modelId="{F79DDE5B-4104-4604-9C90-F2BC5F09F57F}">
      <dgm:prSet/>
      <dgm:spPr/>
      <dgm:t>
        <a:bodyPr/>
        <a:lstStyle/>
        <a:p>
          <a:r>
            <a:rPr lang="en-US"/>
            <a:t>Ride</a:t>
          </a:r>
          <a:endParaRPr lang="ru-RU"/>
        </a:p>
      </dgm:t>
    </dgm:pt>
    <dgm:pt modelId="{4539CA5C-FBCC-4FF2-AFAD-A65E24BA524D}" type="parTrans" cxnId="{48401670-870D-421A-AAD7-61C905E7483F}">
      <dgm:prSet/>
      <dgm:spPr/>
      <dgm:t>
        <a:bodyPr/>
        <a:lstStyle/>
        <a:p>
          <a:endParaRPr lang="ru-RU"/>
        </a:p>
      </dgm:t>
    </dgm:pt>
    <dgm:pt modelId="{250D50B6-DC47-439D-9F69-149B4F08695B}" type="sibTrans" cxnId="{48401670-870D-421A-AAD7-61C905E7483F}">
      <dgm:prSet/>
      <dgm:spPr/>
      <dgm:t>
        <a:bodyPr/>
        <a:lstStyle/>
        <a:p>
          <a:endParaRPr lang="ru-RU"/>
        </a:p>
      </dgm:t>
    </dgm:pt>
    <dgm:pt modelId="{4864C0FE-1D52-45F8-AC3E-1828FB38F8AE}">
      <dgm:prSet/>
      <dgm:spPr/>
      <dgm:t>
        <a:bodyPr/>
        <a:lstStyle/>
        <a:p>
          <a:r>
            <a:rPr lang="en-US"/>
            <a:t>Ride</a:t>
          </a:r>
          <a:endParaRPr lang="ru-RU"/>
        </a:p>
      </dgm:t>
    </dgm:pt>
    <dgm:pt modelId="{0FC43EC8-91DE-489E-8050-52BF6A422A06}" type="parTrans" cxnId="{B01E70A7-4BED-413C-90E9-3164A37AE68A}">
      <dgm:prSet/>
      <dgm:spPr/>
      <dgm:t>
        <a:bodyPr/>
        <a:lstStyle/>
        <a:p>
          <a:endParaRPr lang="ru-RU"/>
        </a:p>
      </dgm:t>
    </dgm:pt>
    <dgm:pt modelId="{E8350289-0717-41D7-BADA-2D8370F9CBC9}" type="sibTrans" cxnId="{B01E70A7-4BED-413C-90E9-3164A37AE68A}">
      <dgm:prSet/>
      <dgm:spPr/>
      <dgm:t>
        <a:bodyPr/>
        <a:lstStyle/>
        <a:p>
          <a:endParaRPr lang="ru-RU"/>
        </a:p>
      </dgm:t>
    </dgm:pt>
    <dgm:pt modelId="{24E00DF3-AFC5-4E22-A36B-17B8F041E424}">
      <dgm:prSet/>
      <dgm:spPr/>
      <dgm:t>
        <a:bodyPr/>
        <a:lstStyle/>
        <a:p>
          <a:r>
            <a:rPr lang="en-US"/>
            <a:t>Ride</a:t>
          </a:r>
          <a:endParaRPr lang="ru-RU"/>
        </a:p>
      </dgm:t>
    </dgm:pt>
    <dgm:pt modelId="{2AB15BAD-D7C1-4E36-B02D-D19545A352F6}" type="parTrans" cxnId="{0D7D7B21-9C0D-426A-A249-14359C2890D4}">
      <dgm:prSet/>
      <dgm:spPr/>
      <dgm:t>
        <a:bodyPr/>
        <a:lstStyle/>
        <a:p>
          <a:endParaRPr lang="ru-RU"/>
        </a:p>
      </dgm:t>
    </dgm:pt>
    <dgm:pt modelId="{458809DF-3E50-43C3-A42F-01E813E6201D}" type="sibTrans" cxnId="{0D7D7B21-9C0D-426A-A249-14359C2890D4}">
      <dgm:prSet/>
      <dgm:spPr/>
      <dgm:t>
        <a:bodyPr/>
        <a:lstStyle/>
        <a:p>
          <a:endParaRPr lang="ru-RU"/>
        </a:p>
      </dgm:t>
    </dgm:pt>
    <dgm:pt modelId="{185FD4FB-5CF7-43EB-A5E2-8430195AC14E}">
      <dgm:prSet phldrT="[Текст]"/>
      <dgm:spPr/>
      <dgm:t>
        <a:bodyPr/>
        <a:lstStyle/>
        <a:p>
          <a:r>
            <a:rPr lang="en-US"/>
            <a:t>Lance</a:t>
          </a:r>
        </a:p>
      </dgm:t>
    </dgm:pt>
    <dgm:pt modelId="{12B3EEFC-FC70-43AE-A577-738B34B9E53B}" type="parTrans" cxnId="{A1C3AF5E-3C79-417F-B8D4-807B9BA56C1F}">
      <dgm:prSet/>
      <dgm:spPr/>
      <dgm:t>
        <a:bodyPr/>
        <a:lstStyle/>
        <a:p>
          <a:endParaRPr lang="ru-RU"/>
        </a:p>
      </dgm:t>
    </dgm:pt>
    <dgm:pt modelId="{9A4412C3-CB8E-4850-8915-289D6057D24E}" type="sibTrans" cxnId="{A1C3AF5E-3C79-417F-B8D4-807B9BA56C1F}">
      <dgm:prSet/>
      <dgm:spPr/>
      <dgm:t>
        <a:bodyPr/>
        <a:lstStyle/>
        <a:p>
          <a:endParaRPr lang="ru-RU"/>
        </a:p>
      </dgm:t>
    </dgm:pt>
    <dgm:pt modelId="{DB6A2F21-F1DC-4171-A975-786894CEDD56}">
      <dgm:prSet/>
      <dgm:spPr/>
      <dgm:t>
        <a:bodyPr/>
        <a:lstStyle/>
        <a:p>
          <a:r>
            <a:rPr lang="en-US"/>
            <a:t>Ride</a:t>
          </a:r>
        </a:p>
      </dgm:t>
    </dgm:pt>
    <dgm:pt modelId="{875E18ED-BA7A-43B9-999C-5CB801EECE5D}" type="parTrans" cxnId="{5128E66C-AE54-490C-9959-5A0DB6AE2001}">
      <dgm:prSet/>
      <dgm:spPr/>
      <dgm:t>
        <a:bodyPr/>
        <a:lstStyle/>
        <a:p>
          <a:endParaRPr lang="ru-RU"/>
        </a:p>
      </dgm:t>
    </dgm:pt>
    <dgm:pt modelId="{FDC9462D-F74D-4E07-8579-BBAE76B1F5BA}" type="sibTrans" cxnId="{5128E66C-AE54-490C-9959-5A0DB6AE2001}">
      <dgm:prSet/>
      <dgm:spPr/>
      <dgm:t>
        <a:bodyPr/>
        <a:lstStyle/>
        <a:p>
          <a:endParaRPr lang="ru-RU"/>
        </a:p>
      </dgm:t>
    </dgm:pt>
    <dgm:pt modelId="{CB227DF1-60F3-4DC0-86DD-C4E7204A9AA1}">
      <dgm:prSet/>
      <dgm:spPr/>
      <dgm:t>
        <a:bodyPr/>
        <a:lstStyle/>
        <a:p>
          <a:r>
            <a:rPr lang="en-US"/>
            <a:t>Ride</a:t>
          </a:r>
          <a:endParaRPr lang="ru-RU"/>
        </a:p>
      </dgm:t>
    </dgm:pt>
    <dgm:pt modelId="{92156540-3810-4912-A42E-1D870DACBE20}" type="parTrans" cxnId="{B4A4419A-EB48-4987-A7DE-F1A57816B033}">
      <dgm:prSet/>
      <dgm:spPr/>
      <dgm:t>
        <a:bodyPr/>
        <a:lstStyle/>
        <a:p>
          <a:endParaRPr lang="ru-RU"/>
        </a:p>
      </dgm:t>
    </dgm:pt>
    <dgm:pt modelId="{26231492-5955-4146-A99F-3A996EB02D20}" type="sibTrans" cxnId="{B4A4419A-EB48-4987-A7DE-F1A57816B033}">
      <dgm:prSet/>
      <dgm:spPr/>
      <dgm:t>
        <a:bodyPr/>
        <a:lstStyle/>
        <a:p>
          <a:endParaRPr lang="ru-RU"/>
        </a:p>
      </dgm:t>
    </dgm:pt>
    <dgm:pt modelId="{B37120C7-E06F-4726-BED2-8F5C09DDBEE8}">
      <dgm:prSet/>
      <dgm:spPr/>
      <dgm:t>
        <a:bodyPr/>
        <a:lstStyle/>
        <a:p>
          <a:r>
            <a:rPr lang="en-US"/>
            <a:t>Ride</a:t>
          </a:r>
          <a:endParaRPr lang="ru-RU"/>
        </a:p>
      </dgm:t>
    </dgm:pt>
    <dgm:pt modelId="{F51EE295-314D-4FED-96E8-AB555EF6F8C7}" type="parTrans" cxnId="{E72C2E7A-582E-48E9-8C48-9CE43353D988}">
      <dgm:prSet/>
      <dgm:spPr/>
      <dgm:t>
        <a:bodyPr/>
        <a:lstStyle/>
        <a:p>
          <a:endParaRPr lang="ru-RU"/>
        </a:p>
      </dgm:t>
    </dgm:pt>
    <dgm:pt modelId="{D9C8FFFE-073F-4050-9C0A-91EDE2F8F31E}" type="sibTrans" cxnId="{E72C2E7A-582E-48E9-8C48-9CE43353D988}">
      <dgm:prSet/>
      <dgm:spPr/>
      <dgm:t>
        <a:bodyPr/>
        <a:lstStyle/>
        <a:p>
          <a:endParaRPr lang="ru-RU"/>
        </a:p>
      </dgm:t>
    </dgm:pt>
    <dgm:pt modelId="{9D22F41F-8498-44DE-863F-CF56EE5E30A1}">
      <dgm:prSet phldrT="[Текст]"/>
      <dgm:spPr/>
      <dgm:t>
        <a:bodyPr/>
        <a:lstStyle/>
        <a:p>
          <a:r>
            <a:rPr lang="en-US"/>
            <a:t>Lance</a:t>
          </a:r>
        </a:p>
      </dgm:t>
    </dgm:pt>
    <dgm:pt modelId="{60DF9EE5-F61B-44CB-B1BB-78BEFC0A6EC3}" type="parTrans" cxnId="{0BDFE124-43B5-4126-BAAB-3F25CBA0699A}">
      <dgm:prSet/>
      <dgm:spPr/>
      <dgm:t>
        <a:bodyPr/>
        <a:lstStyle/>
        <a:p>
          <a:endParaRPr lang="ru-RU"/>
        </a:p>
      </dgm:t>
    </dgm:pt>
    <dgm:pt modelId="{186D1D13-6826-46DB-B912-D8DBC177139C}" type="sibTrans" cxnId="{0BDFE124-43B5-4126-BAAB-3F25CBA0699A}">
      <dgm:prSet/>
      <dgm:spPr/>
      <dgm:t>
        <a:bodyPr/>
        <a:lstStyle/>
        <a:p>
          <a:endParaRPr lang="ru-RU"/>
        </a:p>
      </dgm:t>
    </dgm:pt>
    <dgm:pt modelId="{89DDF0FD-DFF7-4A8A-A702-53C1BE30E02E}">
      <dgm:prSet phldrT="[Текст]"/>
      <dgm:spPr/>
      <dgm:t>
        <a:bodyPr/>
        <a:lstStyle/>
        <a:p>
          <a:r>
            <a:rPr lang="en-US"/>
            <a:t>Ride</a:t>
          </a:r>
          <a:endParaRPr lang="ru-RU"/>
        </a:p>
      </dgm:t>
    </dgm:pt>
    <dgm:pt modelId="{3F6805EB-3D83-4D62-B5E8-4FFBB8E8F443}" type="parTrans" cxnId="{A941C1EC-5A30-42DA-BB44-5BC89B421C68}">
      <dgm:prSet/>
      <dgm:spPr/>
      <dgm:t>
        <a:bodyPr/>
        <a:lstStyle/>
        <a:p>
          <a:endParaRPr lang="ru-RU"/>
        </a:p>
      </dgm:t>
    </dgm:pt>
    <dgm:pt modelId="{B5E7596C-56ED-4932-86A7-540C091F9B75}" type="sibTrans" cxnId="{A941C1EC-5A30-42DA-BB44-5BC89B421C68}">
      <dgm:prSet/>
      <dgm:spPr/>
      <dgm:t>
        <a:bodyPr/>
        <a:lstStyle/>
        <a:p>
          <a:endParaRPr lang="ru-RU"/>
        </a:p>
      </dgm:t>
    </dgm:pt>
    <dgm:pt modelId="{F013B672-1400-4FAD-A67B-473BD893A112}">
      <dgm:prSet phldrT="[Текст]"/>
      <dgm:spPr/>
      <dgm:t>
        <a:bodyPr/>
        <a:lstStyle/>
        <a:p>
          <a:r>
            <a:rPr lang="en-US"/>
            <a:t>Ride</a:t>
          </a:r>
          <a:endParaRPr lang="ru-RU"/>
        </a:p>
      </dgm:t>
    </dgm:pt>
    <dgm:pt modelId="{10A803D9-66BF-451E-9E3A-90762BB275E8}" type="parTrans" cxnId="{F26AA803-5E4A-47FB-956C-2D2E6200C014}">
      <dgm:prSet/>
      <dgm:spPr/>
      <dgm:t>
        <a:bodyPr/>
        <a:lstStyle/>
        <a:p>
          <a:endParaRPr lang="ru-RU"/>
        </a:p>
      </dgm:t>
    </dgm:pt>
    <dgm:pt modelId="{05A0556E-EE18-4F2C-B187-A5816908CD00}" type="sibTrans" cxnId="{F26AA803-5E4A-47FB-956C-2D2E6200C014}">
      <dgm:prSet/>
      <dgm:spPr/>
      <dgm:t>
        <a:bodyPr/>
        <a:lstStyle/>
        <a:p>
          <a:endParaRPr lang="ru-RU"/>
        </a:p>
      </dgm:t>
    </dgm:pt>
    <dgm:pt modelId="{42C74D63-D76C-40F4-8A6B-2F37088113DE}">
      <dgm:prSet phldrT="[Текст]"/>
      <dgm:spPr/>
      <dgm:t>
        <a:bodyPr/>
        <a:lstStyle/>
        <a:p>
          <a:r>
            <a:rPr lang="en-US"/>
            <a:t>Ride</a:t>
          </a:r>
          <a:endParaRPr lang="ru-RU"/>
        </a:p>
      </dgm:t>
    </dgm:pt>
    <dgm:pt modelId="{16ECEBFF-E452-4DF9-BACA-497D2AA84FDC}" type="parTrans" cxnId="{1051058B-2F80-4870-ABE0-0BE5A59C4561}">
      <dgm:prSet/>
      <dgm:spPr/>
      <dgm:t>
        <a:bodyPr/>
        <a:lstStyle/>
        <a:p>
          <a:endParaRPr lang="ru-RU"/>
        </a:p>
      </dgm:t>
    </dgm:pt>
    <dgm:pt modelId="{247899FA-19D5-4315-8B3F-385C44D8634A}" type="sibTrans" cxnId="{1051058B-2F80-4870-ABE0-0BE5A59C4561}">
      <dgm:prSet/>
      <dgm:spPr/>
      <dgm:t>
        <a:bodyPr/>
        <a:lstStyle/>
        <a:p>
          <a:endParaRPr lang="ru-RU"/>
        </a:p>
      </dgm:t>
    </dgm:pt>
    <dgm:pt modelId="{625E4956-8EF6-4477-9EEE-F6675500F662}">
      <dgm:prSet phldrT="[Текст]"/>
      <dgm:spPr/>
      <dgm:t>
        <a:bodyPr/>
        <a:lstStyle/>
        <a:p>
          <a:r>
            <a:rPr lang="en-US"/>
            <a:t>Lance</a:t>
          </a:r>
          <a:endParaRPr lang="ru-RU"/>
        </a:p>
      </dgm:t>
    </dgm:pt>
    <dgm:pt modelId="{F04D4DE3-6E3C-4AB7-B0DA-B9301363A443}" type="parTrans" cxnId="{D785CAFB-BB63-4B5C-BD39-D3DA44043738}">
      <dgm:prSet/>
      <dgm:spPr/>
      <dgm:t>
        <a:bodyPr/>
        <a:lstStyle/>
        <a:p>
          <a:endParaRPr lang="ru-RU"/>
        </a:p>
      </dgm:t>
    </dgm:pt>
    <dgm:pt modelId="{F48E7CF7-169C-45AC-BC62-49212026A5AB}" type="sibTrans" cxnId="{D785CAFB-BB63-4B5C-BD39-D3DA44043738}">
      <dgm:prSet/>
      <dgm:spPr/>
      <dgm:t>
        <a:bodyPr/>
        <a:lstStyle/>
        <a:p>
          <a:endParaRPr lang="ru-RU"/>
        </a:p>
      </dgm:t>
    </dgm:pt>
    <dgm:pt modelId="{256DEA29-1FE4-4C99-979A-26806E978E7E}">
      <dgm:prSet/>
      <dgm:spPr/>
      <dgm:t>
        <a:bodyPr/>
        <a:lstStyle/>
        <a:p>
          <a:r>
            <a:rPr lang="en-US"/>
            <a:t>Ride</a:t>
          </a:r>
          <a:endParaRPr lang="ru-RU"/>
        </a:p>
      </dgm:t>
    </dgm:pt>
    <dgm:pt modelId="{9E8DBF9E-8427-44AE-8545-450B08260D83}" type="parTrans" cxnId="{9885134F-11E3-400B-98F4-828674C60238}">
      <dgm:prSet/>
      <dgm:spPr/>
      <dgm:t>
        <a:bodyPr/>
        <a:lstStyle/>
        <a:p>
          <a:endParaRPr lang="ru-RU"/>
        </a:p>
      </dgm:t>
    </dgm:pt>
    <dgm:pt modelId="{8F23D71F-9C3B-404F-ADCC-A3516168ED02}" type="sibTrans" cxnId="{9885134F-11E3-400B-98F4-828674C60238}">
      <dgm:prSet/>
      <dgm:spPr/>
      <dgm:t>
        <a:bodyPr/>
        <a:lstStyle/>
        <a:p>
          <a:endParaRPr lang="ru-RU"/>
        </a:p>
      </dgm:t>
    </dgm:pt>
    <dgm:pt modelId="{40844E9E-8255-4CDB-85F6-F39B0E3EBCE2}">
      <dgm:prSet/>
      <dgm:spPr/>
      <dgm:t>
        <a:bodyPr/>
        <a:lstStyle/>
        <a:p>
          <a:r>
            <a:rPr lang="en-US"/>
            <a:t>Ride</a:t>
          </a:r>
          <a:endParaRPr lang="ru-RU"/>
        </a:p>
      </dgm:t>
    </dgm:pt>
    <dgm:pt modelId="{47C6BDFD-715D-4ACC-BB22-C4FB9C49DF3B}" type="parTrans" cxnId="{7FB12923-5B77-4084-880A-AF4E85A49357}">
      <dgm:prSet/>
      <dgm:spPr/>
      <dgm:t>
        <a:bodyPr/>
        <a:lstStyle/>
        <a:p>
          <a:endParaRPr lang="ru-RU"/>
        </a:p>
      </dgm:t>
    </dgm:pt>
    <dgm:pt modelId="{54974E48-C34E-4C58-BE95-71513805E365}" type="sibTrans" cxnId="{7FB12923-5B77-4084-880A-AF4E85A49357}">
      <dgm:prSet/>
      <dgm:spPr/>
      <dgm:t>
        <a:bodyPr/>
        <a:lstStyle/>
        <a:p>
          <a:endParaRPr lang="ru-RU"/>
        </a:p>
      </dgm:t>
    </dgm:pt>
    <dgm:pt modelId="{C43E60CE-5DA9-4457-8612-9A61E6EC3E8B}">
      <dgm:prSet/>
      <dgm:spPr/>
      <dgm:t>
        <a:bodyPr/>
        <a:lstStyle/>
        <a:p>
          <a:r>
            <a:rPr lang="en-US"/>
            <a:t>Ride</a:t>
          </a:r>
          <a:endParaRPr lang="ru-RU"/>
        </a:p>
      </dgm:t>
    </dgm:pt>
    <dgm:pt modelId="{42E27800-DAF0-49A9-AF01-222E9FA3CCEE}" type="parTrans" cxnId="{8C275226-EC25-45E3-A5DB-893F872F6448}">
      <dgm:prSet/>
      <dgm:spPr/>
      <dgm:t>
        <a:bodyPr/>
        <a:lstStyle/>
        <a:p>
          <a:endParaRPr lang="ru-RU"/>
        </a:p>
      </dgm:t>
    </dgm:pt>
    <dgm:pt modelId="{654AD190-4A3E-43E4-9513-A2CBB4235776}" type="sibTrans" cxnId="{8C275226-EC25-45E3-A5DB-893F872F6448}">
      <dgm:prSet/>
      <dgm:spPr/>
      <dgm:t>
        <a:bodyPr/>
        <a:lstStyle/>
        <a:p>
          <a:endParaRPr lang="ru-RU"/>
        </a:p>
      </dgm:t>
    </dgm:pt>
    <dgm:pt modelId="{48081AEE-13E4-4236-9372-4631889377AB}">
      <dgm:prSet phldrT="[Текст]"/>
      <dgm:spPr/>
      <dgm:t>
        <a:bodyPr/>
        <a:lstStyle/>
        <a:p>
          <a:r>
            <a:rPr lang="en-US"/>
            <a:t>Lance</a:t>
          </a:r>
        </a:p>
      </dgm:t>
    </dgm:pt>
    <dgm:pt modelId="{A2F4C23B-7CDB-4F8F-BEE4-B860A25B3EE7}" type="parTrans" cxnId="{1A5F49C9-4F0D-4E24-B247-31A72D59D7CE}">
      <dgm:prSet/>
      <dgm:spPr/>
      <dgm:t>
        <a:bodyPr/>
        <a:lstStyle/>
        <a:p>
          <a:endParaRPr lang="ru-RU"/>
        </a:p>
      </dgm:t>
    </dgm:pt>
    <dgm:pt modelId="{918406D6-A997-445A-87A0-4D5D0CE59930}" type="sibTrans" cxnId="{1A5F49C9-4F0D-4E24-B247-31A72D59D7CE}">
      <dgm:prSet/>
      <dgm:spPr/>
      <dgm:t>
        <a:bodyPr/>
        <a:lstStyle/>
        <a:p>
          <a:endParaRPr lang="ru-RU"/>
        </a:p>
      </dgm:t>
    </dgm:pt>
    <dgm:pt modelId="{512FA690-FE63-4D19-810E-6B154859E859}">
      <dgm:prSet/>
      <dgm:spPr/>
      <dgm:t>
        <a:bodyPr/>
        <a:lstStyle/>
        <a:p>
          <a:r>
            <a:rPr lang="en-US"/>
            <a:t>Ride</a:t>
          </a:r>
        </a:p>
      </dgm:t>
    </dgm:pt>
    <dgm:pt modelId="{BF0241E6-88BA-48CA-9536-824D6C7226B6}" type="parTrans" cxnId="{51D1A2A5-0309-4607-9E81-C86EB261B3FC}">
      <dgm:prSet/>
      <dgm:spPr/>
      <dgm:t>
        <a:bodyPr/>
        <a:lstStyle/>
        <a:p>
          <a:endParaRPr lang="ru-RU"/>
        </a:p>
      </dgm:t>
    </dgm:pt>
    <dgm:pt modelId="{F3DB69CA-BBE6-4009-A72E-8F8D76E0CD69}" type="sibTrans" cxnId="{51D1A2A5-0309-4607-9E81-C86EB261B3FC}">
      <dgm:prSet/>
      <dgm:spPr/>
      <dgm:t>
        <a:bodyPr/>
        <a:lstStyle/>
        <a:p>
          <a:endParaRPr lang="ru-RU"/>
        </a:p>
      </dgm:t>
    </dgm:pt>
    <dgm:pt modelId="{CEA92F1A-72A3-44A1-B185-5D267D439600}">
      <dgm:prSet/>
      <dgm:spPr/>
      <dgm:t>
        <a:bodyPr/>
        <a:lstStyle/>
        <a:p>
          <a:r>
            <a:rPr lang="en-US"/>
            <a:t>Ride</a:t>
          </a:r>
          <a:endParaRPr lang="ru-RU"/>
        </a:p>
      </dgm:t>
    </dgm:pt>
    <dgm:pt modelId="{17F80FCE-5324-4A3D-9F40-520FCDFA9FC8}" type="parTrans" cxnId="{F2B5B3AB-52AA-4934-8017-0A786782238F}">
      <dgm:prSet/>
      <dgm:spPr/>
      <dgm:t>
        <a:bodyPr/>
        <a:lstStyle/>
        <a:p>
          <a:endParaRPr lang="ru-RU"/>
        </a:p>
      </dgm:t>
    </dgm:pt>
    <dgm:pt modelId="{7CA7A5EE-3AAC-4499-8594-7687BD4185C7}" type="sibTrans" cxnId="{F2B5B3AB-52AA-4934-8017-0A786782238F}">
      <dgm:prSet/>
      <dgm:spPr/>
      <dgm:t>
        <a:bodyPr/>
        <a:lstStyle/>
        <a:p>
          <a:endParaRPr lang="ru-RU"/>
        </a:p>
      </dgm:t>
    </dgm:pt>
    <dgm:pt modelId="{338DC12C-4F04-41C1-A712-7C9F8AC41184}">
      <dgm:prSet/>
      <dgm:spPr/>
      <dgm:t>
        <a:bodyPr/>
        <a:lstStyle/>
        <a:p>
          <a:r>
            <a:rPr lang="en-US"/>
            <a:t>Ride</a:t>
          </a:r>
          <a:endParaRPr lang="ru-RU"/>
        </a:p>
      </dgm:t>
    </dgm:pt>
    <dgm:pt modelId="{86A0C048-0D09-4CDB-8F34-B96CADD8EF40}" type="parTrans" cxnId="{495BDE5E-9596-4BBB-B343-28B23558E5E6}">
      <dgm:prSet/>
      <dgm:spPr/>
      <dgm:t>
        <a:bodyPr/>
        <a:lstStyle/>
        <a:p>
          <a:endParaRPr lang="ru-RU"/>
        </a:p>
      </dgm:t>
    </dgm:pt>
    <dgm:pt modelId="{77D12E17-42E9-4F3E-8090-C9FF71263E86}" type="sibTrans" cxnId="{495BDE5E-9596-4BBB-B343-28B23558E5E6}">
      <dgm:prSet/>
      <dgm:spPr/>
      <dgm:t>
        <a:bodyPr/>
        <a:lstStyle/>
        <a:p>
          <a:endParaRPr lang="ru-RU"/>
        </a:p>
      </dgm:t>
    </dgm:pt>
    <dgm:pt modelId="{F05C3478-7A69-4779-805E-2E85D00A905A}">
      <dgm:prSet phldrT="[Текст]"/>
      <dgm:spPr/>
      <dgm:t>
        <a:bodyPr/>
        <a:lstStyle/>
        <a:p>
          <a:r>
            <a:rPr lang="en-US"/>
            <a:t>Lance</a:t>
          </a:r>
        </a:p>
      </dgm:t>
    </dgm:pt>
    <dgm:pt modelId="{9B1F103E-2378-4A14-BD8E-312B3A58C04A}" type="parTrans" cxnId="{63D72FFC-BF93-4ECA-917A-013DE0C94CC4}">
      <dgm:prSet/>
      <dgm:spPr/>
      <dgm:t>
        <a:bodyPr/>
        <a:lstStyle/>
        <a:p>
          <a:endParaRPr lang="ru-RU"/>
        </a:p>
      </dgm:t>
    </dgm:pt>
    <dgm:pt modelId="{0567096C-B09A-4922-AF03-D2A3D246C439}" type="sibTrans" cxnId="{63D72FFC-BF93-4ECA-917A-013DE0C94CC4}">
      <dgm:prSet/>
      <dgm:spPr/>
      <dgm:t>
        <a:bodyPr/>
        <a:lstStyle/>
        <a:p>
          <a:endParaRPr lang="ru-RU"/>
        </a:p>
      </dgm:t>
    </dgm:pt>
    <dgm:pt modelId="{3E91ADC5-36B0-4880-B88B-0DD085D275F2}">
      <dgm:prSet phldrT="[Текст]"/>
      <dgm:spPr/>
      <dgm:t>
        <a:bodyPr/>
        <a:lstStyle/>
        <a:p>
          <a:r>
            <a:rPr lang="en-US"/>
            <a:t>Ride</a:t>
          </a:r>
          <a:endParaRPr lang="ru-RU"/>
        </a:p>
      </dgm:t>
    </dgm:pt>
    <dgm:pt modelId="{26D364BB-2D10-40C6-9165-15E5CF2AD5F6}" type="parTrans" cxnId="{2AD4EAC7-FA56-432C-ACC9-0F9E8529BA1C}">
      <dgm:prSet/>
      <dgm:spPr/>
      <dgm:t>
        <a:bodyPr/>
        <a:lstStyle/>
        <a:p>
          <a:endParaRPr lang="ru-RU"/>
        </a:p>
      </dgm:t>
    </dgm:pt>
    <dgm:pt modelId="{134D26BE-0C2E-4404-B78C-CEE8D5E5BFBA}" type="sibTrans" cxnId="{2AD4EAC7-FA56-432C-ACC9-0F9E8529BA1C}">
      <dgm:prSet/>
      <dgm:spPr/>
      <dgm:t>
        <a:bodyPr/>
        <a:lstStyle/>
        <a:p>
          <a:endParaRPr lang="ru-RU"/>
        </a:p>
      </dgm:t>
    </dgm:pt>
    <dgm:pt modelId="{184C4095-E2AD-4C88-BD0D-965DD737B7BD}">
      <dgm:prSet phldrT="[Текст]"/>
      <dgm:spPr/>
      <dgm:t>
        <a:bodyPr/>
        <a:lstStyle/>
        <a:p>
          <a:r>
            <a:rPr lang="en-US"/>
            <a:t>Ride</a:t>
          </a:r>
          <a:endParaRPr lang="ru-RU"/>
        </a:p>
      </dgm:t>
    </dgm:pt>
    <dgm:pt modelId="{4D70E4C3-060D-4A14-B934-2BCB2F9B37AC}" type="parTrans" cxnId="{7B27579C-6480-4C6F-AF62-395A6EFC82F9}">
      <dgm:prSet/>
      <dgm:spPr/>
      <dgm:t>
        <a:bodyPr/>
        <a:lstStyle/>
        <a:p>
          <a:endParaRPr lang="ru-RU"/>
        </a:p>
      </dgm:t>
    </dgm:pt>
    <dgm:pt modelId="{48D8C13F-44FF-4EC9-8586-C40D348745D0}" type="sibTrans" cxnId="{7B27579C-6480-4C6F-AF62-395A6EFC82F9}">
      <dgm:prSet/>
      <dgm:spPr/>
      <dgm:t>
        <a:bodyPr/>
        <a:lstStyle/>
        <a:p>
          <a:endParaRPr lang="ru-RU"/>
        </a:p>
      </dgm:t>
    </dgm:pt>
    <dgm:pt modelId="{38635412-32C5-4513-A99F-BB797170493C}">
      <dgm:prSet phldrT="[Текст]"/>
      <dgm:spPr/>
      <dgm:t>
        <a:bodyPr/>
        <a:lstStyle/>
        <a:p>
          <a:r>
            <a:rPr lang="en-US"/>
            <a:t>Ride</a:t>
          </a:r>
          <a:endParaRPr lang="ru-RU"/>
        </a:p>
      </dgm:t>
    </dgm:pt>
    <dgm:pt modelId="{CDCC7A01-D46A-4C01-82C4-86CDEA725614}" type="parTrans" cxnId="{3936641C-E83A-4693-9E36-2A1C7E474D3C}">
      <dgm:prSet/>
      <dgm:spPr/>
      <dgm:t>
        <a:bodyPr/>
        <a:lstStyle/>
        <a:p>
          <a:endParaRPr lang="ru-RU"/>
        </a:p>
      </dgm:t>
    </dgm:pt>
    <dgm:pt modelId="{69FC1787-A45D-40F5-9452-BFAD9D6EC1FD}" type="sibTrans" cxnId="{3936641C-E83A-4693-9E36-2A1C7E474D3C}">
      <dgm:prSet/>
      <dgm:spPr/>
      <dgm:t>
        <a:bodyPr/>
        <a:lstStyle/>
        <a:p>
          <a:endParaRPr lang="ru-RU"/>
        </a:p>
      </dgm:t>
    </dgm:pt>
    <dgm:pt modelId="{3039C17B-E4C4-4FED-8B84-CC377584ABE5}">
      <dgm:prSet phldrT="[Текст]"/>
      <dgm:spPr/>
      <dgm:t>
        <a:bodyPr/>
        <a:lstStyle/>
        <a:p>
          <a:r>
            <a:rPr lang="en-US"/>
            <a:t>Troop</a:t>
          </a:r>
          <a:endParaRPr lang="ru-RU"/>
        </a:p>
      </dgm:t>
    </dgm:pt>
    <dgm:pt modelId="{7B890384-9E67-45D8-A23E-BC4AC4E31FAC}" type="parTrans" cxnId="{C51ADF1D-5D7F-4986-90D6-989DB3F3F26E}">
      <dgm:prSet/>
      <dgm:spPr/>
      <dgm:t>
        <a:bodyPr/>
        <a:lstStyle/>
        <a:p>
          <a:endParaRPr lang="ru-RU"/>
        </a:p>
      </dgm:t>
    </dgm:pt>
    <dgm:pt modelId="{A04D02CE-A829-42FE-8269-D63BFF535F80}" type="sibTrans" cxnId="{C51ADF1D-5D7F-4986-90D6-989DB3F3F26E}">
      <dgm:prSet/>
      <dgm:spPr/>
      <dgm:t>
        <a:bodyPr/>
        <a:lstStyle/>
        <a:p>
          <a:endParaRPr lang="ru-RU"/>
        </a:p>
      </dgm:t>
    </dgm:pt>
    <dgm:pt modelId="{6D707159-9184-4649-962F-C9614671967E}">
      <dgm:prSet phldrT="[Текст]"/>
      <dgm:spPr/>
      <dgm:t>
        <a:bodyPr/>
        <a:lstStyle/>
        <a:p>
          <a:r>
            <a:rPr lang="en-US"/>
            <a:t>Lance</a:t>
          </a:r>
        </a:p>
      </dgm:t>
    </dgm:pt>
    <dgm:pt modelId="{0F3804AC-94B3-4151-8721-29AB48900C05}" type="parTrans" cxnId="{2A8B52B9-CD33-4402-A7A0-75E6D62ECA87}">
      <dgm:prSet/>
      <dgm:spPr/>
      <dgm:t>
        <a:bodyPr/>
        <a:lstStyle/>
        <a:p>
          <a:endParaRPr lang="ru-RU"/>
        </a:p>
      </dgm:t>
    </dgm:pt>
    <dgm:pt modelId="{A543DF5A-5CBD-4821-AAC1-CD93DBBC3349}" type="sibTrans" cxnId="{2A8B52B9-CD33-4402-A7A0-75E6D62ECA87}">
      <dgm:prSet/>
      <dgm:spPr/>
      <dgm:t>
        <a:bodyPr/>
        <a:lstStyle/>
        <a:p>
          <a:endParaRPr lang="ru-RU"/>
        </a:p>
      </dgm:t>
    </dgm:pt>
    <dgm:pt modelId="{5A6685A1-B746-4FF8-A7EB-D21C014B98B1}">
      <dgm:prSet/>
      <dgm:spPr/>
      <dgm:t>
        <a:bodyPr/>
        <a:lstStyle/>
        <a:p>
          <a:r>
            <a:rPr lang="en-US"/>
            <a:t>Ride</a:t>
          </a:r>
          <a:endParaRPr lang="ru-RU"/>
        </a:p>
      </dgm:t>
    </dgm:pt>
    <dgm:pt modelId="{10E6803F-5372-453D-8D94-58A109BD1D0D}" type="parTrans" cxnId="{329D944B-E118-4256-86C3-BCCA78567DAA}">
      <dgm:prSet/>
      <dgm:spPr/>
      <dgm:t>
        <a:bodyPr/>
        <a:lstStyle/>
        <a:p>
          <a:endParaRPr lang="ru-RU"/>
        </a:p>
      </dgm:t>
    </dgm:pt>
    <dgm:pt modelId="{CEBB91F3-DDAB-460A-B9B2-DC6436D582A0}" type="sibTrans" cxnId="{329D944B-E118-4256-86C3-BCCA78567DAA}">
      <dgm:prSet/>
      <dgm:spPr/>
      <dgm:t>
        <a:bodyPr/>
        <a:lstStyle/>
        <a:p>
          <a:endParaRPr lang="ru-RU"/>
        </a:p>
      </dgm:t>
    </dgm:pt>
    <dgm:pt modelId="{465891A7-DB7B-43A7-92D4-EC5ACF9EAD83}">
      <dgm:prSet/>
      <dgm:spPr/>
      <dgm:t>
        <a:bodyPr/>
        <a:lstStyle/>
        <a:p>
          <a:r>
            <a:rPr lang="en-US"/>
            <a:t>Ride</a:t>
          </a:r>
          <a:endParaRPr lang="ru-RU"/>
        </a:p>
      </dgm:t>
    </dgm:pt>
    <dgm:pt modelId="{A60F7C4E-51B7-4E43-8D21-BD69575A4FBB}" type="parTrans" cxnId="{E5314887-2FA6-482F-A57B-DF69F478715C}">
      <dgm:prSet/>
      <dgm:spPr/>
      <dgm:t>
        <a:bodyPr/>
        <a:lstStyle/>
        <a:p>
          <a:endParaRPr lang="ru-RU"/>
        </a:p>
      </dgm:t>
    </dgm:pt>
    <dgm:pt modelId="{0F43DAF6-0561-4D2C-950D-58BA09A46069}" type="sibTrans" cxnId="{E5314887-2FA6-482F-A57B-DF69F478715C}">
      <dgm:prSet/>
      <dgm:spPr/>
      <dgm:t>
        <a:bodyPr/>
        <a:lstStyle/>
        <a:p>
          <a:endParaRPr lang="ru-RU"/>
        </a:p>
      </dgm:t>
    </dgm:pt>
    <dgm:pt modelId="{26FB3AEE-B463-48FC-84F6-67D74CDD0D2C}">
      <dgm:prSet/>
      <dgm:spPr/>
      <dgm:t>
        <a:bodyPr/>
        <a:lstStyle/>
        <a:p>
          <a:r>
            <a:rPr lang="en-US"/>
            <a:t>Ride</a:t>
          </a:r>
          <a:endParaRPr lang="ru-RU"/>
        </a:p>
      </dgm:t>
    </dgm:pt>
    <dgm:pt modelId="{451658AB-2440-4F2E-99D8-5F6CE62C9F5D}" type="parTrans" cxnId="{DF123D49-9E3A-4A8D-8722-FA75F40DC208}">
      <dgm:prSet/>
      <dgm:spPr/>
      <dgm:t>
        <a:bodyPr/>
        <a:lstStyle/>
        <a:p>
          <a:endParaRPr lang="ru-RU"/>
        </a:p>
      </dgm:t>
    </dgm:pt>
    <dgm:pt modelId="{DAA535D2-5E0E-4A65-9D03-16D761B51158}" type="sibTrans" cxnId="{DF123D49-9E3A-4A8D-8722-FA75F40DC208}">
      <dgm:prSet/>
      <dgm:spPr/>
      <dgm:t>
        <a:bodyPr/>
        <a:lstStyle/>
        <a:p>
          <a:endParaRPr lang="ru-RU"/>
        </a:p>
      </dgm:t>
    </dgm:pt>
    <dgm:pt modelId="{94837C2E-4FE0-4F0C-A2B9-88128B887BBE}">
      <dgm:prSet phldrT="[Текст]"/>
      <dgm:spPr/>
      <dgm:t>
        <a:bodyPr/>
        <a:lstStyle/>
        <a:p>
          <a:r>
            <a:rPr lang="en-US"/>
            <a:t>Lance</a:t>
          </a:r>
        </a:p>
      </dgm:t>
    </dgm:pt>
    <dgm:pt modelId="{723276F3-E905-4822-A2AC-CA349AF1AA01}" type="parTrans" cxnId="{AA12ACB2-F1DB-40AE-8207-62D7EF2242EC}">
      <dgm:prSet/>
      <dgm:spPr/>
      <dgm:t>
        <a:bodyPr/>
        <a:lstStyle/>
        <a:p>
          <a:endParaRPr lang="ru-RU"/>
        </a:p>
      </dgm:t>
    </dgm:pt>
    <dgm:pt modelId="{915779C1-E89F-4535-B4F2-7B3DD72817F6}" type="sibTrans" cxnId="{AA12ACB2-F1DB-40AE-8207-62D7EF2242EC}">
      <dgm:prSet/>
      <dgm:spPr/>
      <dgm:t>
        <a:bodyPr/>
        <a:lstStyle/>
        <a:p>
          <a:endParaRPr lang="ru-RU"/>
        </a:p>
      </dgm:t>
    </dgm:pt>
    <dgm:pt modelId="{3E06ABE1-32DC-4DEB-9EA5-6406C48A3EB5}">
      <dgm:prSet/>
      <dgm:spPr/>
      <dgm:t>
        <a:bodyPr/>
        <a:lstStyle/>
        <a:p>
          <a:r>
            <a:rPr lang="en-US"/>
            <a:t>Ride</a:t>
          </a:r>
        </a:p>
      </dgm:t>
    </dgm:pt>
    <dgm:pt modelId="{D3826524-8914-492E-987C-7C4AEA2F9E6C}" type="parTrans" cxnId="{3B6709D5-D0AA-4523-B5EA-82C5ED33FD6E}">
      <dgm:prSet/>
      <dgm:spPr/>
      <dgm:t>
        <a:bodyPr/>
        <a:lstStyle/>
        <a:p>
          <a:endParaRPr lang="ru-RU"/>
        </a:p>
      </dgm:t>
    </dgm:pt>
    <dgm:pt modelId="{04FBFC39-A609-446B-A2C9-4AB8151825A5}" type="sibTrans" cxnId="{3B6709D5-D0AA-4523-B5EA-82C5ED33FD6E}">
      <dgm:prSet/>
      <dgm:spPr/>
      <dgm:t>
        <a:bodyPr/>
        <a:lstStyle/>
        <a:p>
          <a:endParaRPr lang="ru-RU"/>
        </a:p>
      </dgm:t>
    </dgm:pt>
    <dgm:pt modelId="{A2A46C8C-ADBA-4474-84F9-73625F361335}">
      <dgm:prSet/>
      <dgm:spPr/>
      <dgm:t>
        <a:bodyPr/>
        <a:lstStyle/>
        <a:p>
          <a:r>
            <a:rPr lang="en-US"/>
            <a:t>Ride</a:t>
          </a:r>
          <a:endParaRPr lang="ru-RU"/>
        </a:p>
      </dgm:t>
    </dgm:pt>
    <dgm:pt modelId="{738EED44-B888-42BA-B441-ADE069CDE589}" type="parTrans" cxnId="{4B857CE4-FE91-4769-B200-EE28312BFAD5}">
      <dgm:prSet/>
      <dgm:spPr/>
      <dgm:t>
        <a:bodyPr/>
        <a:lstStyle/>
        <a:p>
          <a:endParaRPr lang="ru-RU"/>
        </a:p>
      </dgm:t>
    </dgm:pt>
    <dgm:pt modelId="{E6CB297C-80D6-4D99-945D-7BEB7CF97409}" type="sibTrans" cxnId="{4B857CE4-FE91-4769-B200-EE28312BFAD5}">
      <dgm:prSet/>
      <dgm:spPr/>
      <dgm:t>
        <a:bodyPr/>
        <a:lstStyle/>
        <a:p>
          <a:endParaRPr lang="ru-RU"/>
        </a:p>
      </dgm:t>
    </dgm:pt>
    <dgm:pt modelId="{62A86D8C-F142-4724-BF3B-47215CBE210F}">
      <dgm:prSet/>
      <dgm:spPr/>
      <dgm:t>
        <a:bodyPr/>
        <a:lstStyle/>
        <a:p>
          <a:r>
            <a:rPr lang="en-US"/>
            <a:t>Ride</a:t>
          </a:r>
          <a:endParaRPr lang="ru-RU"/>
        </a:p>
      </dgm:t>
    </dgm:pt>
    <dgm:pt modelId="{82F1DFE8-6987-4852-8605-161789621196}" type="parTrans" cxnId="{D08FD07C-0A2E-4228-9AA8-B03B0AD92E51}">
      <dgm:prSet/>
      <dgm:spPr/>
      <dgm:t>
        <a:bodyPr/>
        <a:lstStyle/>
        <a:p>
          <a:endParaRPr lang="ru-RU"/>
        </a:p>
      </dgm:t>
    </dgm:pt>
    <dgm:pt modelId="{FB161A24-A579-4831-A188-B9EF4786B844}" type="sibTrans" cxnId="{D08FD07C-0A2E-4228-9AA8-B03B0AD92E51}">
      <dgm:prSet/>
      <dgm:spPr/>
      <dgm:t>
        <a:bodyPr/>
        <a:lstStyle/>
        <a:p>
          <a:endParaRPr lang="ru-RU"/>
        </a:p>
      </dgm:t>
    </dgm:pt>
    <dgm:pt modelId="{D7D1A60F-C56B-46FB-8FFC-BE639F0BFC9F}">
      <dgm:prSet phldrT="[Текст]"/>
      <dgm:spPr/>
      <dgm:t>
        <a:bodyPr/>
        <a:lstStyle/>
        <a:p>
          <a:r>
            <a:rPr lang="en-US"/>
            <a:t>Lance</a:t>
          </a:r>
        </a:p>
      </dgm:t>
    </dgm:pt>
    <dgm:pt modelId="{AECE4CE0-3DE2-4C3F-81AD-C767AE588C88}" type="parTrans" cxnId="{FCBF7446-AA67-44E7-87F1-29D1ED5841D5}">
      <dgm:prSet/>
      <dgm:spPr/>
      <dgm:t>
        <a:bodyPr/>
        <a:lstStyle/>
        <a:p>
          <a:endParaRPr lang="ru-RU"/>
        </a:p>
      </dgm:t>
    </dgm:pt>
    <dgm:pt modelId="{59598B7C-EEDA-44DE-AA52-319995990C79}" type="sibTrans" cxnId="{FCBF7446-AA67-44E7-87F1-29D1ED5841D5}">
      <dgm:prSet/>
      <dgm:spPr/>
      <dgm:t>
        <a:bodyPr/>
        <a:lstStyle/>
        <a:p>
          <a:endParaRPr lang="ru-RU"/>
        </a:p>
      </dgm:t>
    </dgm:pt>
    <dgm:pt modelId="{4F8E4A3A-C6FB-4DF8-AF61-13EE6742A679}">
      <dgm:prSet phldrT="[Текст]"/>
      <dgm:spPr/>
      <dgm:t>
        <a:bodyPr/>
        <a:lstStyle/>
        <a:p>
          <a:r>
            <a:rPr lang="en-US"/>
            <a:t>Ride</a:t>
          </a:r>
          <a:endParaRPr lang="ru-RU"/>
        </a:p>
      </dgm:t>
    </dgm:pt>
    <dgm:pt modelId="{37989FF9-0384-4422-A0E1-40A3C334366D}" type="parTrans" cxnId="{19FA2B62-6166-4D3A-AE8B-A876399A1BA5}">
      <dgm:prSet/>
      <dgm:spPr/>
      <dgm:t>
        <a:bodyPr/>
        <a:lstStyle/>
        <a:p>
          <a:endParaRPr lang="ru-RU"/>
        </a:p>
      </dgm:t>
    </dgm:pt>
    <dgm:pt modelId="{44AC06BE-2224-4A4B-9C2C-137F2BD45ECE}" type="sibTrans" cxnId="{19FA2B62-6166-4D3A-AE8B-A876399A1BA5}">
      <dgm:prSet/>
      <dgm:spPr/>
      <dgm:t>
        <a:bodyPr/>
        <a:lstStyle/>
        <a:p>
          <a:endParaRPr lang="ru-RU"/>
        </a:p>
      </dgm:t>
    </dgm:pt>
    <dgm:pt modelId="{256B73C7-A551-4C46-9EB6-B4B4C68E5882}">
      <dgm:prSet phldrT="[Текст]"/>
      <dgm:spPr/>
      <dgm:t>
        <a:bodyPr/>
        <a:lstStyle/>
        <a:p>
          <a:r>
            <a:rPr lang="en-US"/>
            <a:t>Ride</a:t>
          </a:r>
          <a:endParaRPr lang="ru-RU"/>
        </a:p>
      </dgm:t>
    </dgm:pt>
    <dgm:pt modelId="{5F30F744-9E14-4BD4-B6ED-BD67BCC846DC}" type="parTrans" cxnId="{060DACFE-1C3A-4B8A-BB74-9F191CB047D8}">
      <dgm:prSet/>
      <dgm:spPr/>
      <dgm:t>
        <a:bodyPr/>
        <a:lstStyle/>
        <a:p>
          <a:endParaRPr lang="ru-RU"/>
        </a:p>
      </dgm:t>
    </dgm:pt>
    <dgm:pt modelId="{B57E3283-95A1-4E66-87B7-0501B13941AC}" type="sibTrans" cxnId="{060DACFE-1C3A-4B8A-BB74-9F191CB047D8}">
      <dgm:prSet/>
      <dgm:spPr/>
      <dgm:t>
        <a:bodyPr/>
        <a:lstStyle/>
        <a:p>
          <a:endParaRPr lang="ru-RU"/>
        </a:p>
      </dgm:t>
    </dgm:pt>
    <dgm:pt modelId="{8BCD85A1-63D6-4CD7-9563-1D76D1BDC02D}">
      <dgm:prSet phldrT="[Текст]"/>
      <dgm:spPr/>
      <dgm:t>
        <a:bodyPr/>
        <a:lstStyle/>
        <a:p>
          <a:r>
            <a:rPr lang="en-US"/>
            <a:t>Ride</a:t>
          </a:r>
        </a:p>
      </dgm:t>
    </dgm:pt>
    <dgm:pt modelId="{DEE12491-B935-45C3-8BE6-4361AF022146}" type="parTrans" cxnId="{A95105F1-06FB-43B9-8118-041E8AFC4208}">
      <dgm:prSet/>
      <dgm:spPr/>
      <dgm:t>
        <a:bodyPr/>
        <a:lstStyle/>
        <a:p>
          <a:endParaRPr lang="ru-RU"/>
        </a:p>
      </dgm:t>
    </dgm:pt>
    <dgm:pt modelId="{3CBEE160-21DA-4DFF-A591-6ABF5679AD69}" type="sibTrans" cxnId="{A95105F1-06FB-43B9-8118-041E8AFC4208}">
      <dgm:prSet/>
      <dgm:spPr/>
      <dgm:t>
        <a:bodyPr/>
        <a:lstStyle/>
        <a:p>
          <a:endParaRPr lang="ru-RU"/>
        </a:p>
      </dgm:t>
    </dgm:pt>
    <dgm:pt modelId="{BF00BCC0-9B1F-44D4-9EE0-D6D2096E9246}">
      <dgm:prSet phldrT="[Текст]"/>
      <dgm:spPr/>
      <dgm:t>
        <a:bodyPr/>
        <a:lstStyle/>
        <a:p>
          <a:r>
            <a:rPr lang="en-US"/>
            <a:t>Troop</a:t>
          </a:r>
          <a:endParaRPr lang="ru-RU"/>
        </a:p>
      </dgm:t>
    </dgm:pt>
    <dgm:pt modelId="{3CC88184-4183-4A84-8836-1E766171569E}" type="parTrans" cxnId="{49BDD4A2-A608-46FC-8F95-DEBF5D792AD2}">
      <dgm:prSet/>
      <dgm:spPr/>
      <dgm:t>
        <a:bodyPr/>
        <a:lstStyle/>
        <a:p>
          <a:endParaRPr lang="ru-RU"/>
        </a:p>
      </dgm:t>
    </dgm:pt>
    <dgm:pt modelId="{C5CE4C5A-8C08-4800-8167-CF9DA88D0D17}" type="sibTrans" cxnId="{49BDD4A2-A608-46FC-8F95-DEBF5D792AD2}">
      <dgm:prSet/>
      <dgm:spPr/>
      <dgm:t>
        <a:bodyPr/>
        <a:lstStyle/>
        <a:p>
          <a:endParaRPr lang="ru-RU"/>
        </a:p>
      </dgm:t>
    </dgm:pt>
    <dgm:pt modelId="{B7307D27-CA88-4AAF-BDE6-69021D17FE48}">
      <dgm:prSet phldrT="[Текст]"/>
      <dgm:spPr/>
      <dgm:t>
        <a:bodyPr/>
        <a:lstStyle/>
        <a:p>
          <a:r>
            <a:rPr lang="en-US"/>
            <a:t>Lance</a:t>
          </a:r>
          <a:endParaRPr lang="ru-RU"/>
        </a:p>
      </dgm:t>
    </dgm:pt>
    <dgm:pt modelId="{30487320-4763-4D55-9F7F-4BCA2881B7E0}" type="parTrans" cxnId="{DD6FEF77-5080-4B1A-8F82-B5BCA1DE5E16}">
      <dgm:prSet/>
      <dgm:spPr/>
      <dgm:t>
        <a:bodyPr/>
        <a:lstStyle/>
        <a:p>
          <a:endParaRPr lang="ru-RU"/>
        </a:p>
      </dgm:t>
    </dgm:pt>
    <dgm:pt modelId="{9089316A-12A1-47C5-9FFC-6682296CD766}" type="sibTrans" cxnId="{DD6FEF77-5080-4B1A-8F82-B5BCA1DE5E16}">
      <dgm:prSet/>
      <dgm:spPr/>
      <dgm:t>
        <a:bodyPr/>
        <a:lstStyle/>
        <a:p>
          <a:endParaRPr lang="ru-RU"/>
        </a:p>
      </dgm:t>
    </dgm:pt>
    <dgm:pt modelId="{63F6C9A5-3CCD-462D-97D7-07A93B3BCCD0}">
      <dgm:prSet/>
      <dgm:spPr/>
      <dgm:t>
        <a:bodyPr/>
        <a:lstStyle/>
        <a:p>
          <a:r>
            <a:rPr lang="en-US"/>
            <a:t>Ride</a:t>
          </a:r>
          <a:endParaRPr lang="ru-RU"/>
        </a:p>
      </dgm:t>
    </dgm:pt>
    <dgm:pt modelId="{158A9C75-C8DD-4F8B-93B6-0C5250F012CA}" type="parTrans" cxnId="{E0B28A10-A97A-449B-83DA-E9D0FF1A4565}">
      <dgm:prSet/>
      <dgm:spPr/>
      <dgm:t>
        <a:bodyPr/>
        <a:lstStyle/>
        <a:p>
          <a:endParaRPr lang="ru-RU"/>
        </a:p>
      </dgm:t>
    </dgm:pt>
    <dgm:pt modelId="{246BBF9C-6310-4E19-959F-2AB8818F430F}" type="sibTrans" cxnId="{E0B28A10-A97A-449B-83DA-E9D0FF1A4565}">
      <dgm:prSet/>
      <dgm:spPr/>
      <dgm:t>
        <a:bodyPr/>
        <a:lstStyle/>
        <a:p>
          <a:endParaRPr lang="ru-RU"/>
        </a:p>
      </dgm:t>
    </dgm:pt>
    <dgm:pt modelId="{69A1EA13-5FE7-4F07-8D3B-DD52F42FB898}">
      <dgm:prSet/>
      <dgm:spPr/>
      <dgm:t>
        <a:bodyPr/>
        <a:lstStyle/>
        <a:p>
          <a:r>
            <a:rPr lang="en-US"/>
            <a:t>Ride</a:t>
          </a:r>
          <a:endParaRPr lang="ru-RU"/>
        </a:p>
      </dgm:t>
    </dgm:pt>
    <dgm:pt modelId="{519DCCF5-E5FA-41E2-A3C0-B9BE7F56F64C}" type="parTrans" cxnId="{E9C067D6-6280-4972-B721-0D912603662A}">
      <dgm:prSet/>
      <dgm:spPr/>
      <dgm:t>
        <a:bodyPr/>
        <a:lstStyle/>
        <a:p>
          <a:endParaRPr lang="ru-RU"/>
        </a:p>
      </dgm:t>
    </dgm:pt>
    <dgm:pt modelId="{4650386A-A135-4CF5-989C-23601449D926}" type="sibTrans" cxnId="{E9C067D6-6280-4972-B721-0D912603662A}">
      <dgm:prSet/>
      <dgm:spPr/>
      <dgm:t>
        <a:bodyPr/>
        <a:lstStyle/>
        <a:p>
          <a:endParaRPr lang="ru-RU"/>
        </a:p>
      </dgm:t>
    </dgm:pt>
    <dgm:pt modelId="{CF28D14E-3CFA-4B24-ADCD-CDF7CF47DFB4}">
      <dgm:prSet/>
      <dgm:spPr/>
      <dgm:t>
        <a:bodyPr/>
        <a:lstStyle/>
        <a:p>
          <a:r>
            <a:rPr lang="en-US"/>
            <a:t>Ride</a:t>
          </a:r>
          <a:endParaRPr lang="ru-RU"/>
        </a:p>
      </dgm:t>
    </dgm:pt>
    <dgm:pt modelId="{9B7CF9F5-E67A-4645-92E0-13ECB0C2EC6F}" type="parTrans" cxnId="{B2C8D9CD-C4DC-433D-9185-B21065329B1B}">
      <dgm:prSet/>
      <dgm:spPr/>
      <dgm:t>
        <a:bodyPr/>
        <a:lstStyle/>
        <a:p>
          <a:endParaRPr lang="ru-RU"/>
        </a:p>
      </dgm:t>
    </dgm:pt>
    <dgm:pt modelId="{83A5FED6-6635-4DB7-94FD-1D8FB0B57B7F}" type="sibTrans" cxnId="{B2C8D9CD-C4DC-433D-9185-B21065329B1B}">
      <dgm:prSet/>
      <dgm:spPr/>
      <dgm:t>
        <a:bodyPr/>
        <a:lstStyle/>
        <a:p>
          <a:endParaRPr lang="ru-RU"/>
        </a:p>
      </dgm:t>
    </dgm:pt>
    <dgm:pt modelId="{DA9AAD3F-C4C7-4D4F-ABC9-FC01D1CCFC79}">
      <dgm:prSet phldrT="[Текст]"/>
      <dgm:spPr/>
      <dgm:t>
        <a:bodyPr/>
        <a:lstStyle/>
        <a:p>
          <a:r>
            <a:rPr lang="en-US"/>
            <a:t>Lance</a:t>
          </a:r>
        </a:p>
      </dgm:t>
    </dgm:pt>
    <dgm:pt modelId="{27C9498C-BC1E-42CC-A17A-3F671BCC888B}" type="parTrans" cxnId="{B223B84E-FDA9-4AE4-9316-5A8D8F681385}">
      <dgm:prSet/>
      <dgm:spPr/>
      <dgm:t>
        <a:bodyPr/>
        <a:lstStyle/>
        <a:p>
          <a:endParaRPr lang="ru-RU"/>
        </a:p>
      </dgm:t>
    </dgm:pt>
    <dgm:pt modelId="{AF7CB619-4AFD-42B6-8191-9D0CDD43B41E}" type="sibTrans" cxnId="{B223B84E-FDA9-4AE4-9316-5A8D8F681385}">
      <dgm:prSet/>
      <dgm:spPr/>
      <dgm:t>
        <a:bodyPr/>
        <a:lstStyle/>
        <a:p>
          <a:endParaRPr lang="ru-RU"/>
        </a:p>
      </dgm:t>
    </dgm:pt>
    <dgm:pt modelId="{8F18A637-E05A-42A5-9058-0896EA6DA710}">
      <dgm:prSet/>
      <dgm:spPr/>
      <dgm:t>
        <a:bodyPr/>
        <a:lstStyle/>
        <a:p>
          <a:r>
            <a:rPr lang="en-US"/>
            <a:t>Ride</a:t>
          </a:r>
        </a:p>
      </dgm:t>
    </dgm:pt>
    <dgm:pt modelId="{C155A13A-6CA2-40EE-9E4E-39C1F52B1A58}" type="parTrans" cxnId="{D2C28752-954F-4234-A28A-1E7671CC7E0D}">
      <dgm:prSet/>
      <dgm:spPr/>
      <dgm:t>
        <a:bodyPr/>
        <a:lstStyle/>
        <a:p>
          <a:endParaRPr lang="ru-RU"/>
        </a:p>
      </dgm:t>
    </dgm:pt>
    <dgm:pt modelId="{812C243E-F821-4C85-BD98-640B6F9BACCD}" type="sibTrans" cxnId="{D2C28752-954F-4234-A28A-1E7671CC7E0D}">
      <dgm:prSet/>
      <dgm:spPr/>
      <dgm:t>
        <a:bodyPr/>
        <a:lstStyle/>
        <a:p>
          <a:endParaRPr lang="ru-RU"/>
        </a:p>
      </dgm:t>
    </dgm:pt>
    <dgm:pt modelId="{9E13F8D8-AB61-4007-8151-B13C9E4739D4}">
      <dgm:prSet/>
      <dgm:spPr/>
      <dgm:t>
        <a:bodyPr/>
        <a:lstStyle/>
        <a:p>
          <a:r>
            <a:rPr lang="en-US"/>
            <a:t>Ride</a:t>
          </a:r>
          <a:endParaRPr lang="ru-RU"/>
        </a:p>
      </dgm:t>
    </dgm:pt>
    <dgm:pt modelId="{743316F3-DAE6-4D7C-9357-DB84B8608AA7}" type="parTrans" cxnId="{66B3F980-A18D-4E11-8F3E-B0F3BBD4F2E3}">
      <dgm:prSet/>
      <dgm:spPr/>
      <dgm:t>
        <a:bodyPr/>
        <a:lstStyle/>
        <a:p>
          <a:endParaRPr lang="ru-RU"/>
        </a:p>
      </dgm:t>
    </dgm:pt>
    <dgm:pt modelId="{0856FFAC-F4B4-4166-8744-E84B65C3BD0C}" type="sibTrans" cxnId="{66B3F980-A18D-4E11-8F3E-B0F3BBD4F2E3}">
      <dgm:prSet/>
      <dgm:spPr/>
      <dgm:t>
        <a:bodyPr/>
        <a:lstStyle/>
        <a:p>
          <a:endParaRPr lang="ru-RU"/>
        </a:p>
      </dgm:t>
    </dgm:pt>
    <dgm:pt modelId="{222118F6-DD78-4300-9451-3B491720EDD5}">
      <dgm:prSet/>
      <dgm:spPr/>
      <dgm:t>
        <a:bodyPr/>
        <a:lstStyle/>
        <a:p>
          <a:r>
            <a:rPr lang="en-US"/>
            <a:t>Ride</a:t>
          </a:r>
          <a:endParaRPr lang="ru-RU"/>
        </a:p>
      </dgm:t>
    </dgm:pt>
    <dgm:pt modelId="{30114D02-832C-4082-BEB6-64AE153F5DFB}" type="parTrans" cxnId="{8B59277E-A49E-4006-8FF5-AEFA62589EEE}">
      <dgm:prSet/>
      <dgm:spPr/>
      <dgm:t>
        <a:bodyPr/>
        <a:lstStyle/>
        <a:p>
          <a:endParaRPr lang="ru-RU"/>
        </a:p>
      </dgm:t>
    </dgm:pt>
    <dgm:pt modelId="{C2AA2751-9A9A-4F64-85BF-25739A0243DD}" type="sibTrans" cxnId="{8B59277E-A49E-4006-8FF5-AEFA62589EEE}">
      <dgm:prSet/>
      <dgm:spPr/>
      <dgm:t>
        <a:bodyPr/>
        <a:lstStyle/>
        <a:p>
          <a:endParaRPr lang="ru-RU"/>
        </a:p>
      </dgm:t>
    </dgm:pt>
    <dgm:pt modelId="{DB9ED49B-0C55-4E4A-AEF2-4C037C23DE96}">
      <dgm:prSet phldrT="[Текст]"/>
      <dgm:spPr/>
      <dgm:t>
        <a:bodyPr/>
        <a:lstStyle/>
        <a:p>
          <a:r>
            <a:rPr lang="en-US"/>
            <a:t>Lance</a:t>
          </a:r>
        </a:p>
      </dgm:t>
    </dgm:pt>
    <dgm:pt modelId="{A439CBEE-E83A-46CD-BBF0-CAD6754640D6}" type="parTrans" cxnId="{937FCEBD-29D6-4716-BCB6-F982E991C682}">
      <dgm:prSet/>
      <dgm:spPr/>
      <dgm:t>
        <a:bodyPr/>
        <a:lstStyle/>
        <a:p>
          <a:endParaRPr lang="ru-RU"/>
        </a:p>
      </dgm:t>
    </dgm:pt>
    <dgm:pt modelId="{8033C132-20B1-482A-8666-20B5C1C7B98F}" type="sibTrans" cxnId="{937FCEBD-29D6-4716-BCB6-F982E991C682}">
      <dgm:prSet/>
      <dgm:spPr/>
      <dgm:t>
        <a:bodyPr/>
        <a:lstStyle/>
        <a:p>
          <a:endParaRPr lang="ru-RU"/>
        </a:p>
      </dgm:t>
    </dgm:pt>
    <dgm:pt modelId="{82705309-E6B8-4660-A600-73180EC97D44}">
      <dgm:prSet phldrT="[Текст]"/>
      <dgm:spPr/>
      <dgm:t>
        <a:bodyPr/>
        <a:lstStyle/>
        <a:p>
          <a:r>
            <a:rPr lang="en-US"/>
            <a:t>Ride</a:t>
          </a:r>
          <a:endParaRPr lang="ru-RU"/>
        </a:p>
      </dgm:t>
    </dgm:pt>
    <dgm:pt modelId="{255584C8-4F55-4CF0-B2D6-CE7E8D62C9B9}" type="parTrans" cxnId="{9809DDC7-74E2-43E4-8900-3F096CDF840B}">
      <dgm:prSet/>
      <dgm:spPr/>
      <dgm:t>
        <a:bodyPr/>
        <a:lstStyle/>
        <a:p>
          <a:endParaRPr lang="ru-RU"/>
        </a:p>
      </dgm:t>
    </dgm:pt>
    <dgm:pt modelId="{9DFEC4C3-C634-41BF-8609-0B12AA829D5C}" type="sibTrans" cxnId="{9809DDC7-74E2-43E4-8900-3F096CDF840B}">
      <dgm:prSet/>
      <dgm:spPr/>
      <dgm:t>
        <a:bodyPr/>
        <a:lstStyle/>
        <a:p>
          <a:endParaRPr lang="ru-RU"/>
        </a:p>
      </dgm:t>
    </dgm:pt>
    <dgm:pt modelId="{F433D6CA-DCBF-4664-A80A-DE4934259CAB}">
      <dgm:prSet phldrT="[Текст]"/>
      <dgm:spPr/>
      <dgm:t>
        <a:bodyPr/>
        <a:lstStyle/>
        <a:p>
          <a:r>
            <a:rPr lang="en-US"/>
            <a:t>Ride</a:t>
          </a:r>
          <a:endParaRPr lang="ru-RU"/>
        </a:p>
      </dgm:t>
    </dgm:pt>
    <dgm:pt modelId="{686ABE93-CE12-489E-BA7B-FCAA3763B6DE}" type="parTrans" cxnId="{02117F8E-64D7-4982-A7DF-7D936110E6CF}">
      <dgm:prSet/>
      <dgm:spPr/>
      <dgm:t>
        <a:bodyPr/>
        <a:lstStyle/>
        <a:p>
          <a:endParaRPr lang="ru-RU"/>
        </a:p>
      </dgm:t>
    </dgm:pt>
    <dgm:pt modelId="{7A16310F-AC69-4DD1-97C8-4F9E32F136D8}" type="sibTrans" cxnId="{02117F8E-64D7-4982-A7DF-7D936110E6CF}">
      <dgm:prSet/>
      <dgm:spPr/>
      <dgm:t>
        <a:bodyPr/>
        <a:lstStyle/>
        <a:p>
          <a:endParaRPr lang="ru-RU"/>
        </a:p>
      </dgm:t>
    </dgm:pt>
    <dgm:pt modelId="{F9729CD2-FE6C-4DE7-9E66-AF0806BDE0C6}">
      <dgm:prSet phldrT="[Текст]"/>
      <dgm:spPr/>
      <dgm:t>
        <a:bodyPr/>
        <a:lstStyle/>
        <a:p>
          <a:r>
            <a:rPr lang="en-US"/>
            <a:t>Ride</a:t>
          </a:r>
          <a:endParaRPr lang="ru-RU"/>
        </a:p>
      </dgm:t>
    </dgm:pt>
    <dgm:pt modelId="{CBFA4E9D-E994-4C76-B7BD-367C98011E0D}" type="parTrans" cxnId="{48B1CC76-13F8-4E70-91E9-0AB3678E68A6}">
      <dgm:prSet/>
      <dgm:spPr/>
      <dgm:t>
        <a:bodyPr/>
        <a:lstStyle/>
        <a:p>
          <a:endParaRPr lang="ru-RU"/>
        </a:p>
      </dgm:t>
    </dgm:pt>
    <dgm:pt modelId="{14979ED8-F636-4848-94CA-C8895CA44A66}" type="sibTrans" cxnId="{48B1CC76-13F8-4E70-91E9-0AB3678E68A6}">
      <dgm:prSet/>
      <dgm:spPr/>
      <dgm:t>
        <a:bodyPr/>
        <a:lstStyle/>
        <a:p>
          <a:endParaRPr lang="ru-RU"/>
        </a:p>
      </dgm:t>
    </dgm:pt>
    <dgm:pt modelId="{357E2913-C4B2-4F0B-B0FB-9F5A7BC6F2AC}">
      <dgm:prSet phldrT="[Текст]"/>
      <dgm:spPr/>
      <dgm:t>
        <a:bodyPr/>
        <a:lstStyle/>
        <a:p>
          <a:r>
            <a:rPr lang="en-US"/>
            <a:t>Troop</a:t>
          </a:r>
          <a:endParaRPr lang="ru-RU"/>
        </a:p>
      </dgm:t>
    </dgm:pt>
    <dgm:pt modelId="{CA6CCF8B-128B-4E52-9EEF-B687FAEDA5FB}" type="parTrans" cxnId="{38DC34D9-1CAF-4811-9128-7A9DEF64CF73}">
      <dgm:prSet/>
      <dgm:spPr/>
      <dgm:t>
        <a:bodyPr/>
        <a:lstStyle/>
        <a:p>
          <a:endParaRPr lang="ru-RU"/>
        </a:p>
      </dgm:t>
    </dgm:pt>
    <dgm:pt modelId="{9AFA068A-AEA2-43C9-B017-0F955FA3E5CF}" type="sibTrans" cxnId="{38DC34D9-1CAF-4811-9128-7A9DEF64CF73}">
      <dgm:prSet/>
      <dgm:spPr/>
      <dgm:t>
        <a:bodyPr/>
        <a:lstStyle/>
        <a:p>
          <a:endParaRPr lang="ru-RU"/>
        </a:p>
      </dgm:t>
    </dgm:pt>
    <dgm:pt modelId="{B89B6A32-1FB2-4670-9492-E5DC21C03297}">
      <dgm:prSet phldrT="[Текст]"/>
      <dgm:spPr/>
      <dgm:t>
        <a:bodyPr/>
        <a:lstStyle/>
        <a:p>
          <a:r>
            <a:rPr lang="en-US"/>
            <a:t>Lance</a:t>
          </a:r>
          <a:endParaRPr lang="ru-RU"/>
        </a:p>
      </dgm:t>
    </dgm:pt>
    <dgm:pt modelId="{4197F4BA-E4A8-4624-AFE2-64B47776237A}" type="parTrans" cxnId="{EED22A57-D08D-472A-A228-68AECB1CEDAA}">
      <dgm:prSet/>
      <dgm:spPr/>
      <dgm:t>
        <a:bodyPr/>
        <a:lstStyle/>
        <a:p>
          <a:endParaRPr lang="ru-RU"/>
        </a:p>
      </dgm:t>
    </dgm:pt>
    <dgm:pt modelId="{ED04D72F-DE35-4381-8B63-367937917806}" type="sibTrans" cxnId="{EED22A57-D08D-472A-A228-68AECB1CEDAA}">
      <dgm:prSet/>
      <dgm:spPr/>
      <dgm:t>
        <a:bodyPr/>
        <a:lstStyle/>
        <a:p>
          <a:endParaRPr lang="ru-RU"/>
        </a:p>
      </dgm:t>
    </dgm:pt>
    <dgm:pt modelId="{16C6946A-DC47-43C6-BEA4-93CF4CCB3F9E}">
      <dgm:prSet/>
      <dgm:spPr/>
      <dgm:t>
        <a:bodyPr/>
        <a:lstStyle/>
        <a:p>
          <a:r>
            <a:rPr lang="en-US"/>
            <a:t>Ride</a:t>
          </a:r>
          <a:endParaRPr lang="ru-RU"/>
        </a:p>
      </dgm:t>
    </dgm:pt>
    <dgm:pt modelId="{9F0E14C1-D72D-4501-AE69-5392E01D8774}" type="parTrans" cxnId="{EB1ACC31-29A3-45A8-9E67-930DDC5E5BDE}">
      <dgm:prSet/>
      <dgm:spPr/>
      <dgm:t>
        <a:bodyPr/>
        <a:lstStyle/>
        <a:p>
          <a:endParaRPr lang="ru-RU"/>
        </a:p>
      </dgm:t>
    </dgm:pt>
    <dgm:pt modelId="{139DAB2D-E8C4-473F-951A-1CFB47CD9200}" type="sibTrans" cxnId="{EB1ACC31-29A3-45A8-9E67-930DDC5E5BDE}">
      <dgm:prSet/>
      <dgm:spPr/>
      <dgm:t>
        <a:bodyPr/>
        <a:lstStyle/>
        <a:p>
          <a:endParaRPr lang="ru-RU"/>
        </a:p>
      </dgm:t>
    </dgm:pt>
    <dgm:pt modelId="{E8C26718-66A9-49A1-B651-BE975AC52FC6}">
      <dgm:prSet/>
      <dgm:spPr/>
      <dgm:t>
        <a:bodyPr/>
        <a:lstStyle/>
        <a:p>
          <a:r>
            <a:rPr lang="en-US"/>
            <a:t>Ride</a:t>
          </a:r>
          <a:endParaRPr lang="ru-RU"/>
        </a:p>
      </dgm:t>
    </dgm:pt>
    <dgm:pt modelId="{7A9C8487-A041-45EB-9089-9501BF0097A1}" type="parTrans" cxnId="{82C27C46-CAF2-4393-A797-5653609C5083}">
      <dgm:prSet/>
      <dgm:spPr/>
      <dgm:t>
        <a:bodyPr/>
        <a:lstStyle/>
        <a:p>
          <a:endParaRPr lang="ru-RU"/>
        </a:p>
      </dgm:t>
    </dgm:pt>
    <dgm:pt modelId="{9EF08739-00EC-42DB-ACE7-3978080C2BAD}" type="sibTrans" cxnId="{82C27C46-CAF2-4393-A797-5653609C5083}">
      <dgm:prSet/>
      <dgm:spPr/>
      <dgm:t>
        <a:bodyPr/>
        <a:lstStyle/>
        <a:p>
          <a:endParaRPr lang="ru-RU"/>
        </a:p>
      </dgm:t>
    </dgm:pt>
    <dgm:pt modelId="{200FC4C6-7B87-4F97-BC37-F7917B9AFBEB}">
      <dgm:prSet/>
      <dgm:spPr/>
      <dgm:t>
        <a:bodyPr/>
        <a:lstStyle/>
        <a:p>
          <a:r>
            <a:rPr lang="en-US"/>
            <a:t>Ride</a:t>
          </a:r>
          <a:endParaRPr lang="ru-RU"/>
        </a:p>
      </dgm:t>
    </dgm:pt>
    <dgm:pt modelId="{AB1EAC64-D38A-41AF-96F4-B09AD284879D}" type="parTrans" cxnId="{5D480931-54D7-4FB5-921B-9957278671C4}">
      <dgm:prSet/>
      <dgm:spPr/>
      <dgm:t>
        <a:bodyPr/>
        <a:lstStyle/>
        <a:p>
          <a:endParaRPr lang="ru-RU"/>
        </a:p>
      </dgm:t>
    </dgm:pt>
    <dgm:pt modelId="{4C9DBC8A-ABB6-4F85-AC75-65519838C10C}" type="sibTrans" cxnId="{5D480931-54D7-4FB5-921B-9957278671C4}">
      <dgm:prSet/>
      <dgm:spPr/>
      <dgm:t>
        <a:bodyPr/>
        <a:lstStyle/>
        <a:p>
          <a:endParaRPr lang="ru-RU"/>
        </a:p>
      </dgm:t>
    </dgm:pt>
    <dgm:pt modelId="{F1D8D4A5-F2C0-4102-B960-BE861D6F8193}">
      <dgm:prSet phldrT="[Текст]"/>
      <dgm:spPr/>
      <dgm:t>
        <a:bodyPr/>
        <a:lstStyle/>
        <a:p>
          <a:r>
            <a:rPr lang="en-US"/>
            <a:t>Lance</a:t>
          </a:r>
        </a:p>
      </dgm:t>
    </dgm:pt>
    <dgm:pt modelId="{EA928A64-A3FE-49CA-B60A-E5C201284064}" type="parTrans" cxnId="{3955DA49-8F68-4BFB-8F8A-FE244B74A30C}">
      <dgm:prSet/>
      <dgm:spPr/>
      <dgm:t>
        <a:bodyPr/>
        <a:lstStyle/>
        <a:p>
          <a:endParaRPr lang="ru-RU"/>
        </a:p>
      </dgm:t>
    </dgm:pt>
    <dgm:pt modelId="{C97A43A2-CCAA-4B8C-B604-FC1913AA4308}" type="sibTrans" cxnId="{3955DA49-8F68-4BFB-8F8A-FE244B74A30C}">
      <dgm:prSet/>
      <dgm:spPr/>
      <dgm:t>
        <a:bodyPr/>
        <a:lstStyle/>
        <a:p>
          <a:endParaRPr lang="ru-RU"/>
        </a:p>
      </dgm:t>
    </dgm:pt>
    <dgm:pt modelId="{8D2EA66C-DE16-41AA-8CA3-15C554D726E5}">
      <dgm:prSet/>
      <dgm:spPr/>
      <dgm:t>
        <a:bodyPr/>
        <a:lstStyle/>
        <a:p>
          <a:r>
            <a:rPr lang="en-US"/>
            <a:t>Ride</a:t>
          </a:r>
        </a:p>
      </dgm:t>
    </dgm:pt>
    <dgm:pt modelId="{902B7E59-C304-4E25-A8D9-A39FA3E665E4}" type="parTrans" cxnId="{0157BD29-A328-41B1-9F39-4720DF3DB000}">
      <dgm:prSet/>
      <dgm:spPr/>
      <dgm:t>
        <a:bodyPr/>
        <a:lstStyle/>
        <a:p>
          <a:endParaRPr lang="ru-RU"/>
        </a:p>
      </dgm:t>
    </dgm:pt>
    <dgm:pt modelId="{DB581C7A-8684-49ED-83FF-48A9EAB21045}" type="sibTrans" cxnId="{0157BD29-A328-41B1-9F39-4720DF3DB000}">
      <dgm:prSet/>
      <dgm:spPr/>
      <dgm:t>
        <a:bodyPr/>
        <a:lstStyle/>
        <a:p>
          <a:endParaRPr lang="ru-RU"/>
        </a:p>
      </dgm:t>
    </dgm:pt>
    <dgm:pt modelId="{EFB092EF-A436-4557-9B8C-C5E336B9E815}">
      <dgm:prSet/>
      <dgm:spPr/>
      <dgm:t>
        <a:bodyPr/>
        <a:lstStyle/>
        <a:p>
          <a:r>
            <a:rPr lang="en-US"/>
            <a:t>Ride</a:t>
          </a:r>
          <a:endParaRPr lang="ru-RU"/>
        </a:p>
      </dgm:t>
    </dgm:pt>
    <dgm:pt modelId="{1C66B5FA-56F3-442A-835D-50736CC5505E}" type="parTrans" cxnId="{CBB8B4D3-70DF-4325-B6D9-CBC092B5F3DE}">
      <dgm:prSet/>
      <dgm:spPr/>
      <dgm:t>
        <a:bodyPr/>
        <a:lstStyle/>
        <a:p>
          <a:endParaRPr lang="ru-RU"/>
        </a:p>
      </dgm:t>
    </dgm:pt>
    <dgm:pt modelId="{931A1C0D-0DAC-4BAC-9ECC-4C14EACCE50D}" type="sibTrans" cxnId="{CBB8B4D3-70DF-4325-B6D9-CBC092B5F3DE}">
      <dgm:prSet/>
      <dgm:spPr/>
      <dgm:t>
        <a:bodyPr/>
        <a:lstStyle/>
        <a:p>
          <a:endParaRPr lang="ru-RU"/>
        </a:p>
      </dgm:t>
    </dgm:pt>
    <dgm:pt modelId="{0B85427B-C30A-49F8-839A-F97301879955}">
      <dgm:prSet/>
      <dgm:spPr/>
      <dgm:t>
        <a:bodyPr/>
        <a:lstStyle/>
        <a:p>
          <a:r>
            <a:rPr lang="en-US"/>
            <a:t>Ride</a:t>
          </a:r>
          <a:endParaRPr lang="ru-RU"/>
        </a:p>
      </dgm:t>
    </dgm:pt>
    <dgm:pt modelId="{67D7F923-5E7A-4AA8-9764-9A9E215BA53A}" type="parTrans" cxnId="{4E0C5B16-1316-49C6-8D2B-C0E0EBC8273A}">
      <dgm:prSet/>
      <dgm:spPr/>
      <dgm:t>
        <a:bodyPr/>
        <a:lstStyle/>
        <a:p>
          <a:endParaRPr lang="ru-RU"/>
        </a:p>
      </dgm:t>
    </dgm:pt>
    <dgm:pt modelId="{A859EC92-B02B-491A-BDC2-A54DE233AF6A}" type="sibTrans" cxnId="{4E0C5B16-1316-49C6-8D2B-C0E0EBC8273A}">
      <dgm:prSet/>
      <dgm:spPr/>
      <dgm:t>
        <a:bodyPr/>
        <a:lstStyle/>
        <a:p>
          <a:endParaRPr lang="ru-RU"/>
        </a:p>
      </dgm:t>
    </dgm:pt>
    <dgm:pt modelId="{0586FAB4-706F-4FC7-88AE-C28BDF19B91A}">
      <dgm:prSet phldrT="[Текст]"/>
      <dgm:spPr/>
      <dgm:t>
        <a:bodyPr/>
        <a:lstStyle/>
        <a:p>
          <a:r>
            <a:rPr lang="en-US"/>
            <a:t>Lance</a:t>
          </a:r>
        </a:p>
      </dgm:t>
    </dgm:pt>
    <dgm:pt modelId="{B2B10A0C-F6D8-4FBA-8262-00B962016C2D}" type="parTrans" cxnId="{3FCBD1D2-13CC-4AB7-9730-7EA360A8EE99}">
      <dgm:prSet/>
      <dgm:spPr/>
      <dgm:t>
        <a:bodyPr/>
        <a:lstStyle/>
        <a:p>
          <a:endParaRPr lang="ru-RU"/>
        </a:p>
      </dgm:t>
    </dgm:pt>
    <dgm:pt modelId="{F47D2453-D928-4E66-948C-D6C7EA8D5BF4}" type="sibTrans" cxnId="{3FCBD1D2-13CC-4AB7-9730-7EA360A8EE99}">
      <dgm:prSet/>
      <dgm:spPr/>
      <dgm:t>
        <a:bodyPr/>
        <a:lstStyle/>
        <a:p>
          <a:endParaRPr lang="ru-RU"/>
        </a:p>
      </dgm:t>
    </dgm:pt>
    <dgm:pt modelId="{A509A8DA-0483-4796-88B0-EC2AB5FE9B6B}">
      <dgm:prSet phldrT="[Текст]"/>
      <dgm:spPr/>
      <dgm:t>
        <a:bodyPr/>
        <a:lstStyle/>
        <a:p>
          <a:r>
            <a:rPr lang="en-US"/>
            <a:t>Ride</a:t>
          </a:r>
          <a:endParaRPr lang="ru-RU"/>
        </a:p>
      </dgm:t>
    </dgm:pt>
    <dgm:pt modelId="{58F9194D-CE96-44EA-AFF5-75569AE02607}" type="parTrans" cxnId="{207F69CD-59BE-4BD4-B747-0893BAA92E57}">
      <dgm:prSet/>
      <dgm:spPr/>
      <dgm:t>
        <a:bodyPr/>
        <a:lstStyle/>
        <a:p>
          <a:endParaRPr lang="ru-RU"/>
        </a:p>
      </dgm:t>
    </dgm:pt>
    <dgm:pt modelId="{C555D581-90F4-4F7D-9736-8CD852C1A63F}" type="sibTrans" cxnId="{207F69CD-59BE-4BD4-B747-0893BAA92E57}">
      <dgm:prSet/>
      <dgm:spPr/>
      <dgm:t>
        <a:bodyPr/>
        <a:lstStyle/>
        <a:p>
          <a:endParaRPr lang="ru-RU"/>
        </a:p>
      </dgm:t>
    </dgm:pt>
    <dgm:pt modelId="{AEA1048A-DD4F-431C-A181-35346D306129}">
      <dgm:prSet phldrT="[Текст]"/>
      <dgm:spPr/>
      <dgm:t>
        <a:bodyPr/>
        <a:lstStyle/>
        <a:p>
          <a:r>
            <a:rPr lang="en-US"/>
            <a:t>Ride</a:t>
          </a:r>
          <a:endParaRPr lang="ru-RU"/>
        </a:p>
      </dgm:t>
    </dgm:pt>
    <dgm:pt modelId="{95F849A3-3C7B-4C97-896A-CEA3A71708E8}" type="parTrans" cxnId="{962F0FD7-0BC4-49B6-91AE-3649CC219DBD}">
      <dgm:prSet/>
      <dgm:spPr/>
      <dgm:t>
        <a:bodyPr/>
        <a:lstStyle/>
        <a:p>
          <a:endParaRPr lang="ru-RU"/>
        </a:p>
      </dgm:t>
    </dgm:pt>
    <dgm:pt modelId="{0C9754D2-58DC-4344-A9D6-1607AAE66CF6}" type="sibTrans" cxnId="{962F0FD7-0BC4-49B6-91AE-3649CC219DBD}">
      <dgm:prSet/>
      <dgm:spPr/>
      <dgm:t>
        <a:bodyPr/>
        <a:lstStyle/>
        <a:p>
          <a:endParaRPr lang="ru-RU"/>
        </a:p>
      </dgm:t>
    </dgm:pt>
    <dgm:pt modelId="{DCB6A9C7-7AA9-44B2-823B-42FF09F826B8}">
      <dgm:prSet phldrT="[Текст]"/>
      <dgm:spPr/>
      <dgm:t>
        <a:bodyPr/>
        <a:lstStyle/>
        <a:p>
          <a:r>
            <a:rPr lang="en-US"/>
            <a:t>Ride</a:t>
          </a:r>
          <a:endParaRPr lang="ru-RU"/>
        </a:p>
      </dgm:t>
    </dgm:pt>
    <dgm:pt modelId="{B7C27317-2A15-42CE-96F1-05F0B1AAFC18}" type="parTrans" cxnId="{D43F5D9F-BC2D-445C-964B-E2ED5A1E560A}">
      <dgm:prSet/>
      <dgm:spPr/>
      <dgm:t>
        <a:bodyPr/>
        <a:lstStyle/>
        <a:p>
          <a:endParaRPr lang="ru-RU"/>
        </a:p>
      </dgm:t>
    </dgm:pt>
    <dgm:pt modelId="{3F57FA4A-CCCF-406D-8E98-29A8785DDD8A}" type="sibTrans" cxnId="{D43F5D9F-BC2D-445C-964B-E2ED5A1E560A}">
      <dgm:prSet/>
      <dgm:spPr/>
      <dgm:t>
        <a:bodyPr/>
        <a:lstStyle/>
        <a:p>
          <a:endParaRPr lang="ru-RU"/>
        </a:p>
      </dgm:t>
    </dgm:pt>
    <dgm:pt modelId="{40B30CBB-CDF5-4BA1-B98E-6C888E158791}" type="pres">
      <dgm:prSet presAssocID="{1270692E-2264-40E4-8007-3BBF6CC7FA12}" presName="hierChild1" presStyleCnt="0">
        <dgm:presLayoutVars>
          <dgm:orgChart val="1"/>
          <dgm:chPref val="1"/>
          <dgm:dir/>
          <dgm:animOne val="branch"/>
          <dgm:animLvl val="lvl"/>
          <dgm:resizeHandles/>
        </dgm:presLayoutVars>
      </dgm:prSet>
      <dgm:spPr/>
    </dgm:pt>
    <dgm:pt modelId="{8364408C-314A-4AD2-B0E8-7D2BE781FCB4}" type="pres">
      <dgm:prSet presAssocID="{37B815A6-A82C-4FDE-AE00-00763423F21E}" presName="hierRoot1" presStyleCnt="0">
        <dgm:presLayoutVars>
          <dgm:hierBranch val="init"/>
        </dgm:presLayoutVars>
      </dgm:prSet>
      <dgm:spPr/>
    </dgm:pt>
    <dgm:pt modelId="{E350A4FC-65D6-4115-BCD9-573FE739F926}" type="pres">
      <dgm:prSet presAssocID="{37B815A6-A82C-4FDE-AE00-00763423F21E}" presName="rootComposite1" presStyleCnt="0"/>
      <dgm:spPr/>
    </dgm:pt>
    <dgm:pt modelId="{4F5C6106-DAA6-4813-B04F-4A6BFCBDFB41}" type="pres">
      <dgm:prSet presAssocID="{37B815A6-A82C-4FDE-AE00-00763423F21E}" presName="rootText1" presStyleLbl="node0" presStyleIdx="0" presStyleCnt="1">
        <dgm:presLayoutVars>
          <dgm:chPref val="3"/>
        </dgm:presLayoutVars>
      </dgm:prSet>
      <dgm:spPr/>
    </dgm:pt>
    <dgm:pt modelId="{5D51B2B2-363C-4EC7-8D3C-A9DDBECF191A}" type="pres">
      <dgm:prSet presAssocID="{37B815A6-A82C-4FDE-AE00-00763423F21E}" presName="rootConnector1" presStyleLbl="node1" presStyleIdx="0" presStyleCnt="0"/>
      <dgm:spPr/>
    </dgm:pt>
    <dgm:pt modelId="{3D0252C4-3FB3-47EA-9058-69917D8EADBC}" type="pres">
      <dgm:prSet presAssocID="{37B815A6-A82C-4FDE-AE00-00763423F21E}" presName="hierChild2" presStyleCnt="0"/>
      <dgm:spPr/>
    </dgm:pt>
    <dgm:pt modelId="{9A5EA0E6-0FFC-4C25-8BFB-379FE240D95E}" type="pres">
      <dgm:prSet presAssocID="{7ECFFBF9-CC2F-4FCC-8453-7C60EF35B245}" presName="Name37" presStyleLbl="parChTrans1D2" presStyleIdx="0" presStyleCnt="2"/>
      <dgm:spPr/>
    </dgm:pt>
    <dgm:pt modelId="{715765C1-4952-4595-B536-D738EE4B81CD}" type="pres">
      <dgm:prSet presAssocID="{3272336C-67B0-40A7-AC41-CC75FABE0270}" presName="hierRoot2" presStyleCnt="0">
        <dgm:presLayoutVars>
          <dgm:hierBranch val="init"/>
        </dgm:presLayoutVars>
      </dgm:prSet>
      <dgm:spPr/>
    </dgm:pt>
    <dgm:pt modelId="{656D54A1-47C1-4AC5-8C7B-68E4561A0510}" type="pres">
      <dgm:prSet presAssocID="{3272336C-67B0-40A7-AC41-CC75FABE0270}" presName="rootComposite" presStyleCnt="0"/>
      <dgm:spPr/>
    </dgm:pt>
    <dgm:pt modelId="{4FC9163F-818D-4FEB-A6B8-D497570FBB86}" type="pres">
      <dgm:prSet presAssocID="{3272336C-67B0-40A7-AC41-CC75FABE0270}" presName="rootText" presStyleLbl="node2" presStyleIdx="0" presStyleCnt="2">
        <dgm:presLayoutVars>
          <dgm:chPref val="3"/>
        </dgm:presLayoutVars>
      </dgm:prSet>
      <dgm:spPr/>
    </dgm:pt>
    <dgm:pt modelId="{E8F27158-3B83-4DC5-98AC-02FA1D6A986B}" type="pres">
      <dgm:prSet presAssocID="{3272336C-67B0-40A7-AC41-CC75FABE0270}" presName="rootConnector" presStyleLbl="node2" presStyleIdx="0" presStyleCnt="2"/>
      <dgm:spPr/>
    </dgm:pt>
    <dgm:pt modelId="{691DD472-4C8C-4A23-BBBB-FF898A85335E}" type="pres">
      <dgm:prSet presAssocID="{3272336C-67B0-40A7-AC41-CC75FABE0270}" presName="hierChild4" presStyleCnt="0"/>
      <dgm:spPr/>
    </dgm:pt>
    <dgm:pt modelId="{8584D39D-A914-45F8-9D27-4752C5209B20}" type="pres">
      <dgm:prSet presAssocID="{03736C43-E7B3-4780-8F7B-375D5A6A7FE4}" presName="Name37" presStyleLbl="parChTrans1D3" presStyleIdx="0" presStyleCnt="6"/>
      <dgm:spPr/>
    </dgm:pt>
    <dgm:pt modelId="{D2E3A11C-0D42-4A1F-9457-69F5ABF8AD75}" type="pres">
      <dgm:prSet presAssocID="{D32B3C37-E83D-494E-AAE2-8CCB75DCD383}" presName="hierRoot2" presStyleCnt="0">
        <dgm:presLayoutVars>
          <dgm:hierBranch/>
        </dgm:presLayoutVars>
      </dgm:prSet>
      <dgm:spPr/>
    </dgm:pt>
    <dgm:pt modelId="{4D625BD3-4ABC-4F4A-831B-7438D9B217C2}" type="pres">
      <dgm:prSet presAssocID="{D32B3C37-E83D-494E-AAE2-8CCB75DCD383}" presName="rootComposite" presStyleCnt="0"/>
      <dgm:spPr/>
    </dgm:pt>
    <dgm:pt modelId="{FC2D50F7-137F-410F-872D-7B63DF1EF388}" type="pres">
      <dgm:prSet presAssocID="{D32B3C37-E83D-494E-AAE2-8CCB75DCD383}" presName="rootText" presStyleLbl="node3" presStyleIdx="0" presStyleCnt="6">
        <dgm:presLayoutVars>
          <dgm:chPref val="3"/>
        </dgm:presLayoutVars>
      </dgm:prSet>
      <dgm:spPr/>
    </dgm:pt>
    <dgm:pt modelId="{558A88E7-107E-45A0-BD40-CCA7AA84D410}" type="pres">
      <dgm:prSet presAssocID="{D32B3C37-E83D-494E-AAE2-8CCB75DCD383}" presName="rootConnector" presStyleLbl="node3" presStyleIdx="0" presStyleCnt="6"/>
      <dgm:spPr/>
    </dgm:pt>
    <dgm:pt modelId="{151EB187-8BF2-491E-B87C-AD826D90F035}" type="pres">
      <dgm:prSet presAssocID="{D32B3C37-E83D-494E-AAE2-8CCB75DCD383}" presName="hierChild4" presStyleCnt="0"/>
      <dgm:spPr/>
    </dgm:pt>
    <dgm:pt modelId="{EB419C15-658C-460B-8E6D-25F23CC0A168}" type="pres">
      <dgm:prSet presAssocID="{E801C426-E50E-4D6B-93EF-B8733439C92A}" presName="Name35" presStyleLbl="parChTrans1D4" presStyleIdx="0" presStyleCnt="72"/>
      <dgm:spPr/>
    </dgm:pt>
    <dgm:pt modelId="{8B997843-5442-45DE-9D06-58EDF795E3CF}" type="pres">
      <dgm:prSet presAssocID="{C9911431-E0D7-4F09-B174-06741AF0454A}" presName="hierRoot2" presStyleCnt="0">
        <dgm:presLayoutVars>
          <dgm:hierBranch val="init"/>
        </dgm:presLayoutVars>
      </dgm:prSet>
      <dgm:spPr/>
    </dgm:pt>
    <dgm:pt modelId="{8BDA3A4B-B106-41C5-B450-81FC047D9904}" type="pres">
      <dgm:prSet presAssocID="{C9911431-E0D7-4F09-B174-06741AF0454A}" presName="rootComposite" presStyleCnt="0"/>
      <dgm:spPr/>
    </dgm:pt>
    <dgm:pt modelId="{4B8721A4-BB7E-4089-AA97-678B65835D75}" type="pres">
      <dgm:prSet presAssocID="{C9911431-E0D7-4F09-B174-06741AF0454A}" presName="rootText" presStyleLbl="node4" presStyleIdx="0" presStyleCnt="72">
        <dgm:presLayoutVars>
          <dgm:chPref val="3"/>
        </dgm:presLayoutVars>
      </dgm:prSet>
      <dgm:spPr/>
    </dgm:pt>
    <dgm:pt modelId="{5767AE7E-EA12-40E0-B04A-A119D6863CC1}" type="pres">
      <dgm:prSet presAssocID="{C9911431-E0D7-4F09-B174-06741AF0454A}" presName="rootConnector" presStyleLbl="node4" presStyleIdx="0" presStyleCnt="72"/>
      <dgm:spPr/>
    </dgm:pt>
    <dgm:pt modelId="{1FAFEF52-FDC0-404E-B5EF-1F780C208152}" type="pres">
      <dgm:prSet presAssocID="{C9911431-E0D7-4F09-B174-06741AF0454A}" presName="hierChild4" presStyleCnt="0"/>
      <dgm:spPr/>
    </dgm:pt>
    <dgm:pt modelId="{1AF1C2BB-D9CD-46E5-9DC1-C7CADCC353C5}" type="pres">
      <dgm:prSet presAssocID="{6053EB60-D5AE-482B-A5C7-CE7064E8F89C}" presName="Name37" presStyleLbl="parChTrans1D4" presStyleIdx="1" presStyleCnt="72"/>
      <dgm:spPr/>
    </dgm:pt>
    <dgm:pt modelId="{2076CE73-6B09-4145-8353-5E39809002DF}" type="pres">
      <dgm:prSet presAssocID="{DD7CBB32-3ABA-4327-8FE9-04DB1C9B1B4D}" presName="hierRoot2" presStyleCnt="0">
        <dgm:presLayoutVars>
          <dgm:hierBranch val="init"/>
        </dgm:presLayoutVars>
      </dgm:prSet>
      <dgm:spPr/>
    </dgm:pt>
    <dgm:pt modelId="{F05B8C62-2E06-4909-9221-A2135442E134}" type="pres">
      <dgm:prSet presAssocID="{DD7CBB32-3ABA-4327-8FE9-04DB1C9B1B4D}" presName="rootComposite" presStyleCnt="0"/>
      <dgm:spPr/>
    </dgm:pt>
    <dgm:pt modelId="{6D16843C-181F-439C-A089-C4CB73874230}" type="pres">
      <dgm:prSet presAssocID="{DD7CBB32-3ABA-4327-8FE9-04DB1C9B1B4D}" presName="rootText" presStyleLbl="node4" presStyleIdx="1" presStyleCnt="72">
        <dgm:presLayoutVars>
          <dgm:chPref val="3"/>
        </dgm:presLayoutVars>
      </dgm:prSet>
      <dgm:spPr/>
    </dgm:pt>
    <dgm:pt modelId="{7635A64E-D344-44D6-9A97-E446D279704D}" type="pres">
      <dgm:prSet presAssocID="{DD7CBB32-3ABA-4327-8FE9-04DB1C9B1B4D}" presName="rootConnector" presStyleLbl="node4" presStyleIdx="1" presStyleCnt="72"/>
      <dgm:spPr/>
    </dgm:pt>
    <dgm:pt modelId="{2C1AF2F5-087A-4FB3-8BB9-CC00BDFDF71C}" type="pres">
      <dgm:prSet presAssocID="{DD7CBB32-3ABA-4327-8FE9-04DB1C9B1B4D}" presName="hierChild4" presStyleCnt="0"/>
      <dgm:spPr/>
    </dgm:pt>
    <dgm:pt modelId="{1ED5B570-83AB-4914-81CE-933ED135BE55}" type="pres">
      <dgm:prSet presAssocID="{DD7CBB32-3ABA-4327-8FE9-04DB1C9B1B4D}" presName="hierChild5" presStyleCnt="0"/>
      <dgm:spPr/>
    </dgm:pt>
    <dgm:pt modelId="{CC9F5C2C-CEE7-423F-8EEF-BA8A8528EA00}" type="pres">
      <dgm:prSet presAssocID="{EE871943-6DFF-4529-9F84-75ABC7E53E29}" presName="Name37" presStyleLbl="parChTrans1D4" presStyleIdx="2" presStyleCnt="72"/>
      <dgm:spPr/>
    </dgm:pt>
    <dgm:pt modelId="{9ADE65B2-ECBB-4B1C-AA88-FD8B645233F0}" type="pres">
      <dgm:prSet presAssocID="{EA0542A9-74B1-4CFD-89B7-6E53F209B972}" presName="hierRoot2" presStyleCnt="0">
        <dgm:presLayoutVars>
          <dgm:hierBranch val="init"/>
        </dgm:presLayoutVars>
      </dgm:prSet>
      <dgm:spPr/>
    </dgm:pt>
    <dgm:pt modelId="{D4C1BE16-A47A-45C1-BA46-A24B32080DC5}" type="pres">
      <dgm:prSet presAssocID="{EA0542A9-74B1-4CFD-89B7-6E53F209B972}" presName="rootComposite" presStyleCnt="0"/>
      <dgm:spPr/>
    </dgm:pt>
    <dgm:pt modelId="{7CBAE40D-6F50-464C-BA60-28C5725F9B6D}" type="pres">
      <dgm:prSet presAssocID="{EA0542A9-74B1-4CFD-89B7-6E53F209B972}" presName="rootText" presStyleLbl="node4" presStyleIdx="2" presStyleCnt="72">
        <dgm:presLayoutVars>
          <dgm:chPref val="3"/>
        </dgm:presLayoutVars>
      </dgm:prSet>
      <dgm:spPr/>
    </dgm:pt>
    <dgm:pt modelId="{EC8F259C-39B5-441F-B660-E1D2670E47D9}" type="pres">
      <dgm:prSet presAssocID="{EA0542A9-74B1-4CFD-89B7-6E53F209B972}" presName="rootConnector" presStyleLbl="node4" presStyleIdx="2" presStyleCnt="72"/>
      <dgm:spPr/>
    </dgm:pt>
    <dgm:pt modelId="{7C7F4F73-A898-495B-92D7-A9F888495192}" type="pres">
      <dgm:prSet presAssocID="{EA0542A9-74B1-4CFD-89B7-6E53F209B972}" presName="hierChild4" presStyleCnt="0"/>
      <dgm:spPr/>
    </dgm:pt>
    <dgm:pt modelId="{A72C7868-34D9-4723-B13D-CD3263425501}" type="pres">
      <dgm:prSet presAssocID="{EA0542A9-74B1-4CFD-89B7-6E53F209B972}" presName="hierChild5" presStyleCnt="0"/>
      <dgm:spPr/>
    </dgm:pt>
    <dgm:pt modelId="{8AEEF72A-DACB-47E8-8AFC-3FC235E59E4A}" type="pres">
      <dgm:prSet presAssocID="{80C296C1-4F47-4707-97C1-7ED1075B9E95}" presName="Name37" presStyleLbl="parChTrans1D4" presStyleIdx="3" presStyleCnt="72"/>
      <dgm:spPr/>
    </dgm:pt>
    <dgm:pt modelId="{F2234692-D0C3-41D9-9066-F8A3C9CA6A3E}" type="pres">
      <dgm:prSet presAssocID="{DBC0015A-F8AB-4861-8576-3E4CBF6BD4FE}" presName="hierRoot2" presStyleCnt="0">
        <dgm:presLayoutVars>
          <dgm:hierBranch val="init"/>
        </dgm:presLayoutVars>
      </dgm:prSet>
      <dgm:spPr/>
    </dgm:pt>
    <dgm:pt modelId="{F83D6D1C-7A1D-4803-9315-D07E3205225D}" type="pres">
      <dgm:prSet presAssocID="{DBC0015A-F8AB-4861-8576-3E4CBF6BD4FE}" presName="rootComposite" presStyleCnt="0"/>
      <dgm:spPr/>
    </dgm:pt>
    <dgm:pt modelId="{80D59107-6804-44F1-8C67-47CD0CB32066}" type="pres">
      <dgm:prSet presAssocID="{DBC0015A-F8AB-4861-8576-3E4CBF6BD4FE}" presName="rootText" presStyleLbl="node4" presStyleIdx="3" presStyleCnt="72">
        <dgm:presLayoutVars>
          <dgm:chPref val="3"/>
        </dgm:presLayoutVars>
      </dgm:prSet>
      <dgm:spPr/>
    </dgm:pt>
    <dgm:pt modelId="{DCC4D95B-4D36-40A4-B39A-D3BE3429F181}" type="pres">
      <dgm:prSet presAssocID="{DBC0015A-F8AB-4861-8576-3E4CBF6BD4FE}" presName="rootConnector" presStyleLbl="node4" presStyleIdx="3" presStyleCnt="72"/>
      <dgm:spPr/>
    </dgm:pt>
    <dgm:pt modelId="{4C14A6F8-209A-4DD7-850B-D4CCD865A04C}" type="pres">
      <dgm:prSet presAssocID="{DBC0015A-F8AB-4861-8576-3E4CBF6BD4FE}" presName="hierChild4" presStyleCnt="0"/>
      <dgm:spPr/>
    </dgm:pt>
    <dgm:pt modelId="{FE97A040-6E73-409C-9AFD-491661627DDC}" type="pres">
      <dgm:prSet presAssocID="{DBC0015A-F8AB-4861-8576-3E4CBF6BD4FE}" presName="hierChild5" presStyleCnt="0"/>
      <dgm:spPr/>
    </dgm:pt>
    <dgm:pt modelId="{6A0E9C19-9804-4330-AF40-23B50D1B946F}" type="pres">
      <dgm:prSet presAssocID="{C9911431-E0D7-4F09-B174-06741AF0454A}" presName="hierChild5" presStyleCnt="0"/>
      <dgm:spPr/>
    </dgm:pt>
    <dgm:pt modelId="{A9802AE4-EFCB-4650-AD3C-34C1CDC991AE}" type="pres">
      <dgm:prSet presAssocID="{DE95F343-113A-4F76-89E6-83B638E1A039}" presName="Name35" presStyleLbl="parChTrans1D4" presStyleIdx="4" presStyleCnt="72"/>
      <dgm:spPr/>
    </dgm:pt>
    <dgm:pt modelId="{3F6362BE-FB69-4515-BBA7-F43BC7E0D85F}" type="pres">
      <dgm:prSet presAssocID="{AE83B6BB-DB46-4759-9F2D-5D19B0BEA25B}" presName="hierRoot2" presStyleCnt="0">
        <dgm:presLayoutVars>
          <dgm:hierBranch val="init"/>
        </dgm:presLayoutVars>
      </dgm:prSet>
      <dgm:spPr/>
    </dgm:pt>
    <dgm:pt modelId="{96756DBC-D2A0-47CF-907D-EFD5C8B5B9B3}" type="pres">
      <dgm:prSet presAssocID="{AE83B6BB-DB46-4759-9F2D-5D19B0BEA25B}" presName="rootComposite" presStyleCnt="0"/>
      <dgm:spPr/>
    </dgm:pt>
    <dgm:pt modelId="{9EB75F2A-A7D2-4610-83B2-EE80E8016EE9}" type="pres">
      <dgm:prSet presAssocID="{AE83B6BB-DB46-4759-9F2D-5D19B0BEA25B}" presName="rootText" presStyleLbl="node4" presStyleIdx="4" presStyleCnt="72">
        <dgm:presLayoutVars>
          <dgm:chPref val="3"/>
        </dgm:presLayoutVars>
      </dgm:prSet>
      <dgm:spPr/>
    </dgm:pt>
    <dgm:pt modelId="{6BE0B96A-2142-4719-A6BA-9A771C6F21C7}" type="pres">
      <dgm:prSet presAssocID="{AE83B6BB-DB46-4759-9F2D-5D19B0BEA25B}" presName="rootConnector" presStyleLbl="node4" presStyleIdx="4" presStyleCnt="72"/>
      <dgm:spPr/>
    </dgm:pt>
    <dgm:pt modelId="{CF8F8A36-310B-4BD7-9142-A39FBB6E24D1}" type="pres">
      <dgm:prSet presAssocID="{AE83B6BB-DB46-4759-9F2D-5D19B0BEA25B}" presName="hierChild4" presStyleCnt="0"/>
      <dgm:spPr/>
    </dgm:pt>
    <dgm:pt modelId="{30890395-E137-46A7-A44C-80516BD7A188}" type="pres">
      <dgm:prSet presAssocID="{928D4908-269E-4974-9C75-5542557F745F}" presName="Name37" presStyleLbl="parChTrans1D4" presStyleIdx="5" presStyleCnt="72"/>
      <dgm:spPr/>
    </dgm:pt>
    <dgm:pt modelId="{699DD1B2-6FE1-45CC-857D-F16A5AE6BBE7}" type="pres">
      <dgm:prSet presAssocID="{04CDE114-E19D-418A-95A3-FB13CCA3AD7F}" presName="hierRoot2" presStyleCnt="0">
        <dgm:presLayoutVars>
          <dgm:hierBranch val="init"/>
        </dgm:presLayoutVars>
      </dgm:prSet>
      <dgm:spPr/>
    </dgm:pt>
    <dgm:pt modelId="{31C93628-E98B-486B-ABCE-E332C4B4D61A}" type="pres">
      <dgm:prSet presAssocID="{04CDE114-E19D-418A-95A3-FB13CCA3AD7F}" presName="rootComposite" presStyleCnt="0"/>
      <dgm:spPr/>
    </dgm:pt>
    <dgm:pt modelId="{023555DD-FA7B-42AA-B472-DD5293330410}" type="pres">
      <dgm:prSet presAssocID="{04CDE114-E19D-418A-95A3-FB13CCA3AD7F}" presName="rootText" presStyleLbl="node4" presStyleIdx="5" presStyleCnt="72">
        <dgm:presLayoutVars>
          <dgm:chPref val="3"/>
        </dgm:presLayoutVars>
      </dgm:prSet>
      <dgm:spPr/>
    </dgm:pt>
    <dgm:pt modelId="{097202E0-544A-4B10-B072-B30FFD6ED571}" type="pres">
      <dgm:prSet presAssocID="{04CDE114-E19D-418A-95A3-FB13CCA3AD7F}" presName="rootConnector" presStyleLbl="node4" presStyleIdx="5" presStyleCnt="72"/>
      <dgm:spPr/>
    </dgm:pt>
    <dgm:pt modelId="{83D63EB5-9E60-4F72-BA6A-2E4401B12B34}" type="pres">
      <dgm:prSet presAssocID="{04CDE114-E19D-418A-95A3-FB13CCA3AD7F}" presName="hierChild4" presStyleCnt="0"/>
      <dgm:spPr/>
    </dgm:pt>
    <dgm:pt modelId="{1F122908-CAE5-4558-B785-69C1C8235304}" type="pres">
      <dgm:prSet presAssocID="{04CDE114-E19D-418A-95A3-FB13CCA3AD7F}" presName="hierChild5" presStyleCnt="0"/>
      <dgm:spPr/>
    </dgm:pt>
    <dgm:pt modelId="{7DB32151-A0A9-4E46-80FE-634AA75670D7}" type="pres">
      <dgm:prSet presAssocID="{BE6CE2D4-E405-410B-9392-C17E0628FC09}" presName="Name37" presStyleLbl="parChTrans1D4" presStyleIdx="6" presStyleCnt="72"/>
      <dgm:spPr/>
    </dgm:pt>
    <dgm:pt modelId="{5EF9CAF4-C631-4B30-984A-45720FF2752A}" type="pres">
      <dgm:prSet presAssocID="{8F655CAF-A9E9-483B-8F4B-B00F9978CC8C}" presName="hierRoot2" presStyleCnt="0">
        <dgm:presLayoutVars>
          <dgm:hierBranch val="init"/>
        </dgm:presLayoutVars>
      </dgm:prSet>
      <dgm:spPr/>
    </dgm:pt>
    <dgm:pt modelId="{D7F48BF9-4594-4466-AD09-8AB13DBB5721}" type="pres">
      <dgm:prSet presAssocID="{8F655CAF-A9E9-483B-8F4B-B00F9978CC8C}" presName="rootComposite" presStyleCnt="0"/>
      <dgm:spPr/>
    </dgm:pt>
    <dgm:pt modelId="{233975D0-50D5-4C77-B84B-292BA86270D3}" type="pres">
      <dgm:prSet presAssocID="{8F655CAF-A9E9-483B-8F4B-B00F9978CC8C}" presName="rootText" presStyleLbl="node4" presStyleIdx="6" presStyleCnt="72">
        <dgm:presLayoutVars>
          <dgm:chPref val="3"/>
        </dgm:presLayoutVars>
      </dgm:prSet>
      <dgm:spPr/>
    </dgm:pt>
    <dgm:pt modelId="{9232D0D4-2282-4550-91DD-4B1783BD23D3}" type="pres">
      <dgm:prSet presAssocID="{8F655CAF-A9E9-483B-8F4B-B00F9978CC8C}" presName="rootConnector" presStyleLbl="node4" presStyleIdx="6" presStyleCnt="72"/>
      <dgm:spPr/>
    </dgm:pt>
    <dgm:pt modelId="{2D5D165D-F231-470B-8625-9497C47E4D74}" type="pres">
      <dgm:prSet presAssocID="{8F655CAF-A9E9-483B-8F4B-B00F9978CC8C}" presName="hierChild4" presStyleCnt="0"/>
      <dgm:spPr/>
    </dgm:pt>
    <dgm:pt modelId="{3731AA9F-2E3A-4462-A9CB-9332C6387C4C}" type="pres">
      <dgm:prSet presAssocID="{8F655CAF-A9E9-483B-8F4B-B00F9978CC8C}" presName="hierChild5" presStyleCnt="0"/>
      <dgm:spPr/>
    </dgm:pt>
    <dgm:pt modelId="{2C096D07-183A-49F0-9532-E1053F71060F}" type="pres">
      <dgm:prSet presAssocID="{F363B467-C944-42F7-BE40-3B67BAC8FA38}" presName="Name37" presStyleLbl="parChTrans1D4" presStyleIdx="7" presStyleCnt="72"/>
      <dgm:spPr/>
    </dgm:pt>
    <dgm:pt modelId="{D3F2E962-C301-4D41-B0B0-C64289B27A4B}" type="pres">
      <dgm:prSet presAssocID="{9177A60E-2E9A-4563-B78B-246BF3385A76}" presName="hierRoot2" presStyleCnt="0">
        <dgm:presLayoutVars>
          <dgm:hierBranch val="init"/>
        </dgm:presLayoutVars>
      </dgm:prSet>
      <dgm:spPr/>
    </dgm:pt>
    <dgm:pt modelId="{F7855D48-2362-41AB-8F13-257CB50F6DC2}" type="pres">
      <dgm:prSet presAssocID="{9177A60E-2E9A-4563-B78B-246BF3385A76}" presName="rootComposite" presStyleCnt="0"/>
      <dgm:spPr/>
    </dgm:pt>
    <dgm:pt modelId="{4DD5A7B5-D316-4C83-A289-24088037425F}" type="pres">
      <dgm:prSet presAssocID="{9177A60E-2E9A-4563-B78B-246BF3385A76}" presName="rootText" presStyleLbl="node4" presStyleIdx="7" presStyleCnt="72">
        <dgm:presLayoutVars>
          <dgm:chPref val="3"/>
        </dgm:presLayoutVars>
      </dgm:prSet>
      <dgm:spPr/>
    </dgm:pt>
    <dgm:pt modelId="{FB24E71B-B544-4DB4-BC2F-5F61F96C5519}" type="pres">
      <dgm:prSet presAssocID="{9177A60E-2E9A-4563-B78B-246BF3385A76}" presName="rootConnector" presStyleLbl="node4" presStyleIdx="7" presStyleCnt="72"/>
      <dgm:spPr/>
    </dgm:pt>
    <dgm:pt modelId="{536D26CC-92B5-41C8-BB33-B04C77C0E6DF}" type="pres">
      <dgm:prSet presAssocID="{9177A60E-2E9A-4563-B78B-246BF3385A76}" presName="hierChild4" presStyleCnt="0"/>
      <dgm:spPr/>
    </dgm:pt>
    <dgm:pt modelId="{DC83E29E-4C5D-4341-9C74-B261B13A5767}" type="pres">
      <dgm:prSet presAssocID="{9177A60E-2E9A-4563-B78B-246BF3385A76}" presName="hierChild5" presStyleCnt="0"/>
      <dgm:spPr/>
    </dgm:pt>
    <dgm:pt modelId="{BA02715A-D9FE-4434-B30A-4D35203B3BCC}" type="pres">
      <dgm:prSet presAssocID="{AE83B6BB-DB46-4759-9F2D-5D19B0BEA25B}" presName="hierChild5" presStyleCnt="0"/>
      <dgm:spPr/>
    </dgm:pt>
    <dgm:pt modelId="{9DA66AD9-8BF5-497B-A6A5-A04BF597FD7A}" type="pres">
      <dgm:prSet presAssocID="{845D14D2-B399-4465-AA28-4D9312AE94FB}" presName="Name35" presStyleLbl="parChTrans1D4" presStyleIdx="8" presStyleCnt="72"/>
      <dgm:spPr/>
    </dgm:pt>
    <dgm:pt modelId="{BB362ECC-4C4D-455A-A7CD-042EAC69494D}" type="pres">
      <dgm:prSet presAssocID="{B288F2C6-A73C-4044-A2E6-EA4134E43295}" presName="hierRoot2" presStyleCnt="0">
        <dgm:presLayoutVars>
          <dgm:hierBranch val="init"/>
        </dgm:presLayoutVars>
      </dgm:prSet>
      <dgm:spPr/>
    </dgm:pt>
    <dgm:pt modelId="{25BA92E9-ED4C-45F1-915E-9AAD57A224DB}" type="pres">
      <dgm:prSet presAssocID="{B288F2C6-A73C-4044-A2E6-EA4134E43295}" presName="rootComposite" presStyleCnt="0"/>
      <dgm:spPr/>
    </dgm:pt>
    <dgm:pt modelId="{FA99CF7B-FA86-4A3E-8B92-AA6BF73D864D}" type="pres">
      <dgm:prSet presAssocID="{B288F2C6-A73C-4044-A2E6-EA4134E43295}" presName="rootText" presStyleLbl="node4" presStyleIdx="8" presStyleCnt="72">
        <dgm:presLayoutVars>
          <dgm:chPref val="3"/>
        </dgm:presLayoutVars>
      </dgm:prSet>
      <dgm:spPr/>
    </dgm:pt>
    <dgm:pt modelId="{74BC5BBD-A5EB-4CD3-AE34-34ACF61E7A97}" type="pres">
      <dgm:prSet presAssocID="{B288F2C6-A73C-4044-A2E6-EA4134E43295}" presName="rootConnector" presStyleLbl="node4" presStyleIdx="8" presStyleCnt="72"/>
      <dgm:spPr/>
    </dgm:pt>
    <dgm:pt modelId="{3685EC49-5F37-4499-BE45-860BF3498780}" type="pres">
      <dgm:prSet presAssocID="{B288F2C6-A73C-4044-A2E6-EA4134E43295}" presName="hierChild4" presStyleCnt="0"/>
      <dgm:spPr/>
    </dgm:pt>
    <dgm:pt modelId="{07D65219-A5C5-4B61-AEF3-07E184105F46}" type="pres">
      <dgm:prSet presAssocID="{4EE9EFA8-47E4-4060-B049-E713D4C37384}" presName="Name37" presStyleLbl="parChTrans1D4" presStyleIdx="9" presStyleCnt="72"/>
      <dgm:spPr/>
    </dgm:pt>
    <dgm:pt modelId="{407B89D7-A82D-4799-9748-53DEB2B003BD}" type="pres">
      <dgm:prSet presAssocID="{E2B7A447-A742-4647-A1A0-909CF672D5CE}" presName="hierRoot2" presStyleCnt="0">
        <dgm:presLayoutVars>
          <dgm:hierBranch val="init"/>
        </dgm:presLayoutVars>
      </dgm:prSet>
      <dgm:spPr/>
    </dgm:pt>
    <dgm:pt modelId="{D59773FB-3FC5-4E37-B09A-46876B675B55}" type="pres">
      <dgm:prSet presAssocID="{E2B7A447-A742-4647-A1A0-909CF672D5CE}" presName="rootComposite" presStyleCnt="0"/>
      <dgm:spPr/>
    </dgm:pt>
    <dgm:pt modelId="{B9803A68-B3EC-4770-AA98-5A888FC06D0F}" type="pres">
      <dgm:prSet presAssocID="{E2B7A447-A742-4647-A1A0-909CF672D5CE}" presName="rootText" presStyleLbl="node4" presStyleIdx="9" presStyleCnt="72">
        <dgm:presLayoutVars>
          <dgm:chPref val="3"/>
        </dgm:presLayoutVars>
      </dgm:prSet>
      <dgm:spPr/>
    </dgm:pt>
    <dgm:pt modelId="{07A462BB-A3A1-422E-B97E-5B8EF8D448E6}" type="pres">
      <dgm:prSet presAssocID="{E2B7A447-A742-4647-A1A0-909CF672D5CE}" presName="rootConnector" presStyleLbl="node4" presStyleIdx="9" presStyleCnt="72"/>
      <dgm:spPr/>
    </dgm:pt>
    <dgm:pt modelId="{C8C8D4D2-C029-430B-8159-09AEED6A3647}" type="pres">
      <dgm:prSet presAssocID="{E2B7A447-A742-4647-A1A0-909CF672D5CE}" presName="hierChild4" presStyleCnt="0"/>
      <dgm:spPr/>
    </dgm:pt>
    <dgm:pt modelId="{95B5EF6D-F08C-4D39-B7DE-92844D9D6134}" type="pres">
      <dgm:prSet presAssocID="{E2B7A447-A742-4647-A1A0-909CF672D5CE}" presName="hierChild5" presStyleCnt="0"/>
      <dgm:spPr/>
    </dgm:pt>
    <dgm:pt modelId="{D48466B2-76ED-46AB-9508-47B057357397}" type="pres">
      <dgm:prSet presAssocID="{3A79211C-9CDB-4650-A553-9114656ADCEC}" presName="Name37" presStyleLbl="parChTrans1D4" presStyleIdx="10" presStyleCnt="72"/>
      <dgm:spPr/>
    </dgm:pt>
    <dgm:pt modelId="{91154E06-9094-43AD-8454-23A49140FA9A}" type="pres">
      <dgm:prSet presAssocID="{4A292F17-6AB3-4DFA-BAE0-6527399D24CD}" presName="hierRoot2" presStyleCnt="0">
        <dgm:presLayoutVars>
          <dgm:hierBranch val="init"/>
        </dgm:presLayoutVars>
      </dgm:prSet>
      <dgm:spPr/>
    </dgm:pt>
    <dgm:pt modelId="{7E21989E-4B27-43BB-A0C5-88803C644D0E}" type="pres">
      <dgm:prSet presAssocID="{4A292F17-6AB3-4DFA-BAE0-6527399D24CD}" presName="rootComposite" presStyleCnt="0"/>
      <dgm:spPr/>
    </dgm:pt>
    <dgm:pt modelId="{0B38B8C5-00DD-4430-9FE0-5BBDB28DA3B4}" type="pres">
      <dgm:prSet presAssocID="{4A292F17-6AB3-4DFA-BAE0-6527399D24CD}" presName="rootText" presStyleLbl="node4" presStyleIdx="10" presStyleCnt="72">
        <dgm:presLayoutVars>
          <dgm:chPref val="3"/>
        </dgm:presLayoutVars>
      </dgm:prSet>
      <dgm:spPr/>
    </dgm:pt>
    <dgm:pt modelId="{2EF6A975-5B13-44CC-8616-EE65DD6CE8DA}" type="pres">
      <dgm:prSet presAssocID="{4A292F17-6AB3-4DFA-BAE0-6527399D24CD}" presName="rootConnector" presStyleLbl="node4" presStyleIdx="10" presStyleCnt="72"/>
      <dgm:spPr/>
    </dgm:pt>
    <dgm:pt modelId="{C86F1CC7-1648-473B-8D62-1F63A081120E}" type="pres">
      <dgm:prSet presAssocID="{4A292F17-6AB3-4DFA-BAE0-6527399D24CD}" presName="hierChild4" presStyleCnt="0"/>
      <dgm:spPr/>
    </dgm:pt>
    <dgm:pt modelId="{A8D7656F-A043-40B0-9321-DC97CE7216E9}" type="pres">
      <dgm:prSet presAssocID="{4A292F17-6AB3-4DFA-BAE0-6527399D24CD}" presName="hierChild5" presStyleCnt="0"/>
      <dgm:spPr/>
    </dgm:pt>
    <dgm:pt modelId="{771FC858-EAF1-4B68-9E08-F5D7C8FA313C}" type="pres">
      <dgm:prSet presAssocID="{DB14BE49-FC0F-4563-81E5-DAC806ED6AB4}" presName="Name37" presStyleLbl="parChTrans1D4" presStyleIdx="11" presStyleCnt="72"/>
      <dgm:spPr/>
    </dgm:pt>
    <dgm:pt modelId="{AA8AC4C2-01FF-42F6-8F10-5B7520B1019A}" type="pres">
      <dgm:prSet presAssocID="{A4316985-448F-4E21-A466-901A85087A14}" presName="hierRoot2" presStyleCnt="0">
        <dgm:presLayoutVars>
          <dgm:hierBranch val="init"/>
        </dgm:presLayoutVars>
      </dgm:prSet>
      <dgm:spPr/>
    </dgm:pt>
    <dgm:pt modelId="{998A7415-3B65-4813-B135-1232AD8BB1C7}" type="pres">
      <dgm:prSet presAssocID="{A4316985-448F-4E21-A466-901A85087A14}" presName="rootComposite" presStyleCnt="0"/>
      <dgm:spPr/>
    </dgm:pt>
    <dgm:pt modelId="{C9BE0CCA-47F7-4020-B009-A5FFC8006110}" type="pres">
      <dgm:prSet presAssocID="{A4316985-448F-4E21-A466-901A85087A14}" presName="rootText" presStyleLbl="node4" presStyleIdx="11" presStyleCnt="72">
        <dgm:presLayoutVars>
          <dgm:chPref val="3"/>
        </dgm:presLayoutVars>
      </dgm:prSet>
      <dgm:spPr/>
    </dgm:pt>
    <dgm:pt modelId="{133704A6-8289-4BC0-BA62-BCED20030F1C}" type="pres">
      <dgm:prSet presAssocID="{A4316985-448F-4E21-A466-901A85087A14}" presName="rootConnector" presStyleLbl="node4" presStyleIdx="11" presStyleCnt="72"/>
      <dgm:spPr/>
    </dgm:pt>
    <dgm:pt modelId="{240A82EE-E9F0-4D0A-BBF6-68847E718454}" type="pres">
      <dgm:prSet presAssocID="{A4316985-448F-4E21-A466-901A85087A14}" presName="hierChild4" presStyleCnt="0"/>
      <dgm:spPr/>
    </dgm:pt>
    <dgm:pt modelId="{9E06F349-F2EA-4D82-B498-A850F1259F9B}" type="pres">
      <dgm:prSet presAssocID="{A4316985-448F-4E21-A466-901A85087A14}" presName="hierChild5" presStyleCnt="0"/>
      <dgm:spPr/>
    </dgm:pt>
    <dgm:pt modelId="{039C04DD-261B-4302-A73C-AAC772A25ECB}" type="pres">
      <dgm:prSet presAssocID="{B288F2C6-A73C-4044-A2E6-EA4134E43295}" presName="hierChild5" presStyleCnt="0"/>
      <dgm:spPr/>
    </dgm:pt>
    <dgm:pt modelId="{354B1349-2C43-4DD5-948E-E5CABADE04DA}" type="pres">
      <dgm:prSet presAssocID="{D32B3C37-E83D-494E-AAE2-8CCB75DCD383}" presName="hierChild5" presStyleCnt="0"/>
      <dgm:spPr/>
    </dgm:pt>
    <dgm:pt modelId="{8B6A5882-2B2E-48C2-9723-A4A818CC6DB1}" type="pres">
      <dgm:prSet presAssocID="{69050CD2-749B-4102-95F0-270208F9B6C8}" presName="Name37" presStyleLbl="parChTrans1D3" presStyleIdx="1" presStyleCnt="6"/>
      <dgm:spPr/>
    </dgm:pt>
    <dgm:pt modelId="{E1CE0174-9E02-4D1E-A099-46953F75225F}" type="pres">
      <dgm:prSet presAssocID="{35832908-7724-43A9-A2FF-5625A4D3B9C8}" presName="hierRoot2" presStyleCnt="0">
        <dgm:presLayoutVars>
          <dgm:hierBranch val="init"/>
        </dgm:presLayoutVars>
      </dgm:prSet>
      <dgm:spPr/>
    </dgm:pt>
    <dgm:pt modelId="{DAC97780-05FB-4B39-AE5F-A74B3671C5AE}" type="pres">
      <dgm:prSet presAssocID="{35832908-7724-43A9-A2FF-5625A4D3B9C8}" presName="rootComposite" presStyleCnt="0"/>
      <dgm:spPr/>
    </dgm:pt>
    <dgm:pt modelId="{298642DF-6598-46DE-8AE2-3D7740260D85}" type="pres">
      <dgm:prSet presAssocID="{35832908-7724-43A9-A2FF-5625A4D3B9C8}" presName="rootText" presStyleLbl="node3" presStyleIdx="1" presStyleCnt="6">
        <dgm:presLayoutVars>
          <dgm:chPref val="3"/>
        </dgm:presLayoutVars>
      </dgm:prSet>
      <dgm:spPr/>
    </dgm:pt>
    <dgm:pt modelId="{89C58EA0-17D8-4324-8C6D-36AA35E96922}" type="pres">
      <dgm:prSet presAssocID="{35832908-7724-43A9-A2FF-5625A4D3B9C8}" presName="rootConnector" presStyleLbl="node3" presStyleIdx="1" presStyleCnt="6"/>
      <dgm:spPr/>
    </dgm:pt>
    <dgm:pt modelId="{8EB21CD3-9BFF-402A-A684-066CDDEBAB81}" type="pres">
      <dgm:prSet presAssocID="{35832908-7724-43A9-A2FF-5625A4D3B9C8}" presName="hierChild4" presStyleCnt="0"/>
      <dgm:spPr/>
    </dgm:pt>
    <dgm:pt modelId="{80B0ADA7-4514-4F5D-A013-1FF2AD6F611A}" type="pres">
      <dgm:prSet presAssocID="{B2A71CAB-ECD0-42AB-A7B7-D8AC1221003F}" presName="Name37" presStyleLbl="parChTrans1D4" presStyleIdx="12" presStyleCnt="72"/>
      <dgm:spPr/>
    </dgm:pt>
    <dgm:pt modelId="{9A7190D1-3DDD-4123-8FC5-0BBCBF044BD2}" type="pres">
      <dgm:prSet presAssocID="{EB428A7E-ECCA-45B1-968E-47B7770B5453}" presName="hierRoot2" presStyleCnt="0">
        <dgm:presLayoutVars>
          <dgm:hierBranch val="init"/>
        </dgm:presLayoutVars>
      </dgm:prSet>
      <dgm:spPr/>
    </dgm:pt>
    <dgm:pt modelId="{8C93850C-0625-4527-BFAA-6E49A203F989}" type="pres">
      <dgm:prSet presAssocID="{EB428A7E-ECCA-45B1-968E-47B7770B5453}" presName="rootComposite" presStyleCnt="0"/>
      <dgm:spPr/>
    </dgm:pt>
    <dgm:pt modelId="{6924E20D-25FE-4EB9-8E20-8B38008F4C4C}" type="pres">
      <dgm:prSet presAssocID="{EB428A7E-ECCA-45B1-968E-47B7770B5453}" presName="rootText" presStyleLbl="node4" presStyleIdx="12" presStyleCnt="72">
        <dgm:presLayoutVars>
          <dgm:chPref val="3"/>
        </dgm:presLayoutVars>
      </dgm:prSet>
      <dgm:spPr/>
    </dgm:pt>
    <dgm:pt modelId="{CC30402F-056D-42AB-AD6F-167DB5EBA53B}" type="pres">
      <dgm:prSet presAssocID="{EB428A7E-ECCA-45B1-968E-47B7770B5453}" presName="rootConnector" presStyleLbl="node4" presStyleIdx="12" presStyleCnt="72"/>
      <dgm:spPr/>
    </dgm:pt>
    <dgm:pt modelId="{C695F791-E004-425F-9D6F-A98416573712}" type="pres">
      <dgm:prSet presAssocID="{EB428A7E-ECCA-45B1-968E-47B7770B5453}" presName="hierChild4" presStyleCnt="0"/>
      <dgm:spPr/>
    </dgm:pt>
    <dgm:pt modelId="{E9CC0426-BE45-4223-A6F0-8D3A98884796}" type="pres">
      <dgm:prSet presAssocID="{4539CA5C-FBCC-4FF2-AFAD-A65E24BA524D}" presName="Name37" presStyleLbl="parChTrans1D4" presStyleIdx="13" presStyleCnt="72"/>
      <dgm:spPr/>
    </dgm:pt>
    <dgm:pt modelId="{C5F23F71-24EE-452A-9EC1-F7712D0D1EA7}" type="pres">
      <dgm:prSet presAssocID="{F79DDE5B-4104-4604-9C90-F2BC5F09F57F}" presName="hierRoot2" presStyleCnt="0">
        <dgm:presLayoutVars>
          <dgm:hierBranch val="init"/>
        </dgm:presLayoutVars>
      </dgm:prSet>
      <dgm:spPr/>
    </dgm:pt>
    <dgm:pt modelId="{72C95682-64E3-4119-ADD8-1BB27ECA1150}" type="pres">
      <dgm:prSet presAssocID="{F79DDE5B-4104-4604-9C90-F2BC5F09F57F}" presName="rootComposite" presStyleCnt="0"/>
      <dgm:spPr/>
    </dgm:pt>
    <dgm:pt modelId="{76551651-8CF2-4241-86D6-E51AA52E72BB}" type="pres">
      <dgm:prSet presAssocID="{F79DDE5B-4104-4604-9C90-F2BC5F09F57F}" presName="rootText" presStyleLbl="node4" presStyleIdx="13" presStyleCnt="72">
        <dgm:presLayoutVars>
          <dgm:chPref val="3"/>
        </dgm:presLayoutVars>
      </dgm:prSet>
      <dgm:spPr/>
    </dgm:pt>
    <dgm:pt modelId="{D74BDE65-0C7D-4638-AB9B-7090B1EBC710}" type="pres">
      <dgm:prSet presAssocID="{F79DDE5B-4104-4604-9C90-F2BC5F09F57F}" presName="rootConnector" presStyleLbl="node4" presStyleIdx="13" presStyleCnt="72"/>
      <dgm:spPr/>
    </dgm:pt>
    <dgm:pt modelId="{34F391EF-04FD-4D5A-98CA-054ED0107447}" type="pres">
      <dgm:prSet presAssocID="{F79DDE5B-4104-4604-9C90-F2BC5F09F57F}" presName="hierChild4" presStyleCnt="0"/>
      <dgm:spPr/>
    </dgm:pt>
    <dgm:pt modelId="{E5C31063-7467-4727-B070-8703AB494E0F}" type="pres">
      <dgm:prSet presAssocID="{F79DDE5B-4104-4604-9C90-F2BC5F09F57F}" presName="hierChild5" presStyleCnt="0"/>
      <dgm:spPr/>
    </dgm:pt>
    <dgm:pt modelId="{CF388C55-8F26-4291-9A51-C70A6452512E}" type="pres">
      <dgm:prSet presAssocID="{0FC43EC8-91DE-489E-8050-52BF6A422A06}" presName="Name37" presStyleLbl="parChTrans1D4" presStyleIdx="14" presStyleCnt="72"/>
      <dgm:spPr/>
    </dgm:pt>
    <dgm:pt modelId="{B861D016-2E8C-4E68-99F8-E22DFCEB528F}" type="pres">
      <dgm:prSet presAssocID="{4864C0FE-1D52-45F8-AC3E-1828FB38F8AE}" presName="hierRoot2" presStyleCnt="0">
        <dgm:presLayoutVars>
          <dgm:hierBranch val="init"/>
        </dgm:presLayoutVars>
      </dgm:prSet>
      <dgm:spPr/>
    </dgm:pt>
    <dgm:pt modelId="{1520AF04-9AC1-46AD-B0F6-C9911B3F0ED6}" type="pres">
      <dgm:prSet presAssocID="{4864C0FE-1D52-45F8-AC3E-1828FB38F8AE}" presName="rootComposite" presStyleCnt="0"/>
      <dgm:spPr/>
    </dgm:pt>
    <dgm:pt modelId="{E85E224A-B296-4E74-AEC2-805F556240A7}" type="pres">
      <dgm:prSet presAssocID="{4864C0FE-1D52-45F8-AC3E-1828FB38F8AE}" presName="rootText" presStyleLbl="node4" presStyleIdx="14" presStyleCnt="72">
        <dgm:presLayoutVars>
          <dgm:chPref val="3"/>
        </dgm:presLayoutVars>
      </dgm:prSet>
      <dgm:spPr/>
    </dgm:pt>
    <dgm:pt modelId="{BC625515-E0C6-438E-BA50-B4204036C833}" type="pres">
      <dgm:prSet presAssocID="{4864C0FE-1D52-45F8-AC3E-1828FB38F8AE}" presName="rootConnector" presStyleLbl="node4" presStyleIdx="14" presStyleCnt="72"/>
      <dgm:spPr/>
    </dgm:pt>
    <dgm:pt modelId="{8554B129-F0EE-47DB-A800-D9C50B8BB00D}" type="pres">
      <dgm:prSet presAssocID="{4864C0FE-1D52-45F8-AC3E-1828FB38F8AE}" presName="hierChild4" presStyleCnt="0"/>
      <dgm:spPr/>
    </dgm:pt>
    <dgm:pt modelId="{C906D0C4-E18B-450B-8692-D7B18E00CD7B}" type="pres">
      <dgm:prSet presAssocID="{4864C0FE-1D52-45F8-AC3E-1828FB38F8AE}" presName="hierChild5" presStyleCnt="0"/>
      <dgm:spPr/>
    </dgm:pt>
    <dgm:pt modelId="{98E3623F-9221-495D-8B70-3F60784DAEC2}" type="pres">
      <dgm:prSet presAssocID="{2AB15BAD-D7C1-4E36-B02D-D19545A352F6}" presName="Name37" presStyleLbl="parChTrans1D4" presStyleIdx="15" presStyleCnt="72"/>
      <dgm:spPr/>
    </dgm:pt>
    <dgm:pt modelId="{79191BBF-7F7A-4044-B02F-95F8818E991B}" type="pres">
      <dgm:prSet presAssocID="{24E00DF3-AFC5-4E22-A36B-17B8F041E424}" presName="hierRoot2" presStyleCnt="0">
        <dgm:presLayoutVars>
          <dgm:hierBranch val="init"/>
        </dgm:presLayoutVars>
      </dgm:prSet>
      <dgm:spPr/>
    </dgm:pt>
    <dgm:pt modelId="{C7A96552-C115-440E-8659-DB38F6EDD364}" type="pres">
      <dgm:prSet presAssocID="{24E00DF3-AFC5-4E22-A36B-17B8F041E424}" presName="rootComposite" presStyleCnt="0"/>
      <dgm:spPr/>
    </dgm:pt>
    <dgm:pt modelId="{B7937A0F-8B63-4D05-B878-9731BCFD0FBA}" type="pres">
      <dgm:prSet presAssocID="{24E00DF3-AFC5-4E22-A36B-17B8F041E424}" presName="rootText" presStyleLbl="node4" presStyleIdx="15" presStyleCnt="72">
        <dgm:presLayoutVars>
          <dgm:chPref val="3"/>
        </dgm:presLayoutVars>
      </dgm:prSet>
      <dgm:spPr/>
    </dgm:pt>
    <dgm:pt modelId="{6B2170B3-0D25-46C1-A065-39368F7D33B8}" type="pres">
      <dgm:prSet presAssocID="{24E00DF3-AFC5-4E22-A36B-17B8F041E424}" presName="rootConnector" presStyleLbl="node4" presStyleIdx="15" presStyleCnt="72"/>
      <dgm:spPr/>
    </dgm:pt>
    <dgm:pt modelId="{710CD2C5-AFBB-4EA0-9284-6775EF579049}" type="pres">
      <dgm:prSet presAssocID="{24E00DF3-AFC5-4E22-A36B-17B8F041E424}" presName="hierChild4" presStyleCnt="0"/>
      <dgm:spPr/>
    </dgm:pt>
    <dgm:pt modelId="{AE518373-7B4F-4C54-9F4C-C3116A7DD0D9}" type="pres">
      <dgm:prSet presAssocID="{24E00DF3-AFC5-4E22-A36B-17B8F041E424}" presName="hierChild5" presStyleCnt="0"/>
      <dgm:spPr/>
    </dgm:pt>
    <dgm:pt modelId="{C03B6ED3-6DA5-4515-9CE7-A4CFF2291537}" type="pres">
      <dgm:prSet presAssocID="{EB428A7E-ECCA-45B1-968E-47B7770B5453}" presName="hierChild5" presStyleCnt="0"/>
      <dgm:spPr/>
    </dgm:pt>
    <dgm:pt modelId="{3AA17879-C914-4581-9BBB-388E2912A16C}" type="pres">
      <dgm:prSet presAssocID="{12B3EEFC-FC70-43AE-A577-738B34B9E53B}" presName="Name37" presStyleLbl="parChTrans1D4" presStyleIdx="16" presStyleCnt="72"/>
      <dgm:spPr/>
    </dgm:pt>
    <dgm:pt modelId="{5435FB01-A406-4C0D-995C-A229F36663FD}" type="pres">
      <dgm:prSet presAssocID="{185FD4FB-5CF7-43EB-A5E2-8430195AC14E}" presName="hierRoot2" presStyleCnt="0">
        <dgm:presLayoutVars>
          <dgm:hierBranch val="init"/>
        </dgm:presLayoutVars>
      </dgm:prSet>
      <dgm:spPr/>
    </dgm:pt>
    <dgm:pt modelId="{662D824B-C41F-4A88-8973-569F0F87237B}" type="pres">
      <dgm:prSet presAssocID="{185FD4FB-5CF7-43EB-A5E2-8430195AC14E}" presName="rootComposite" presStyleCnt="0"/>
      <dgm:spPr/>
    </dgm:pt>
    <dgm:pt modelId="{6963A447-38F4-4D2B-8036-FC6851AC0783}" type="pres">
      <dgm:prSet presAssocID="{185FD4FB-5CF7-43EB-A5E2-8430195AC14E}" presName="rootText" presStyleLbl="node4" presStyleIdx="16" presStyleCnt="72">
        <dgm:presLayoutVars>
          <dgm:chPref val="3"/>
        </dgm:presLayoutVars>
      </dgm:prSet>
      <dgm:spPr/>
    </dgm:pt>
    <dgm:pt modelId="{0CE48B4C-663A-4E16-8C32-46426085BDD1}" type="pres">
      <dgm:prSet presAssocID="{185FD4FB-5CF7-43EB-A5E2-8430195AC14E}" presName="rootConnector" presStyleLbl="node4" presStyleIdx="16" presStyleCnt="72"/>
      <dgm:spPr/>
    </dgm:pt>
    <dgm:pt modelId="{B53628BA-4192-45CD-8B59-D7270D8A2551}" type="pres">
      <dgm:prSet presAssocID="{185FD4FB-5CF7-43EB-A5E2-8430195AC14E}" presName="hierChild4" presStyleCnt="0"/>
      <dgm:spPr/>
    </dgm:pt>
    <dgm:pt modelId="{BAC65C22-F7BB-4EBF-9AA4-EE9C020FE9B0}" type="pres">
      <dgm:prSet presAssocID="{875E18ED-BA7A-43B9-999C-5CB801EECE5D}" presName="Name37" presStyleLbl="parChTrans1D4" presStyleIdx="17" presStyleCnt="72"/>
      <dgm:spPr/>
    </dgm:pt>
    <dgm:pt modelId="{BCD37A68-6E2D-4996-89BA-9C0938BBF8F1}" type="pres">
      <dgm:prSet presAssocID="{DB6A2F21-F1DC-4171-A975-786894CEDD56}" presName="hierRoot2" presStyleCnt="0">
        <dgm:presLayoutVars>
          <dgm:hierBranch val="init"/>
        </dgm:presLayoutVars>
      </dgm:prSet>
      <dgm:spPr/>
    </dgm:pt>
    <dgm:pt modelId="{10B0FF0A-EC0F-4A28-A1F5-CD65C8ED1E54}" type="pres">
      <dgm:prSet presAssocID="{DB6A2F21-F1DC-4171-A975-786894CEDD56}" presName="rootComposite" presStyleCnt="0"/>
      <dgm:spPr/>
    </dgm:pt>
    <dgm:pt modelId="{802351DD-82B7-46DE-A769-F42615393AB5}" type="pres">
      <dgm:prSet presAssocID="{DB6A2F21-F1DC-4171-A975-786894CEDD56}" presName="rootText" presStyleLbl="node4" presStyleIdx="17" presStyleCnt="72">
        <dgm:presLayoutVars>
          <dgm:chPref val="3"/>
        </dgm:presLayoutVars>
      </dgm:prSet>
      <dgm:spPr/>
    </dgm:pt>
    <dgm:pt modelId="{1EFF7A11-A639-4652-8E87-36D297D83D67}" type="pres">
      <dgm:prSet presAssocID="{DB6A2F21-F1DC-4171-A975-786894CEDD56}" presName="rootConnector" presStyleLbl="node4" presStyleIdx="17" presStyleCnt="72"/>
      <dgm:spPr/>
    </dgm:pt>
    <dgm:pt modelId="{1248525D-46BD-43F8-9C7E-9293FDFA86EB}" type="pres">
      <dgm:prSet presAssocID="{DB6A2F21-F1DC-4171-A975-786894CEDD56}" presName="hierChild4" presStyleCnt="0"/>
      <dgm:spPr/>
    </dgm:pt>
    <dgm:pt modelId="{D88872DC-385F-485A-937D-D8B4C0C227B8}" type="pres">
      <dgm:prSet presAssocID="{DB6A2F21-F1DC-4171-A975-786894CEDD56}" presName="hierChild5" presStyleCnt="0"/>
      <dgm:spPr/>
    </dgm:pt>
    <dgm:pt modelId="{0C5B2A49-AF59-48EA-B297-B574C6169DDB}" type="pres">
      <dgm:prSet presAssocID="{92156540-3810-4912-A42E-1D870DACBE20}" presName="Name37" presStyleLbl="parChTrans1D4" presStyleIdx="18" presStyleCnt="72"/>
      <dgm:spPr/>
    </dgm:pt>
    <dgm:pt modelId="{B4FFB5AC-38E2-467B-8A6B-1BBE2749030E}" type="pres">
      <dgm:prSet presAssocID="{CB227DF1-60F3-4DC0-86DD-C4E7204A9AA1}" presName="hierRoot2" presStyleCnt="0">
        <dgm:presLayoutVars>
          <dgm:hierBranch val="init"/>
        </dgm:presLayoutVars>
      </dgm:prSet>
      <dgm:spPr/>
    </dgm:pt>
    <dgm:pt modelId="{5F9DA32C-4E98-4613-9E86-180D953B3D1C}" type="pres">
      <dgm:prSet presAssocID="{CB227DF1-60F3-4DC0-86DD-C4E7204A9AA1}" presName="rootComposite" presStyleCnt="0"/>
      <dgm:spPr/>
    </dgm:pt>
    <dgm:pt modelId="{366E6CFE-3494-467C-8E77-C3C2CC7D9F10}" type="pres">
      <dgm:prSet presAssocID="{CB227DF1-60F3-4DC0-86DD-C4E7204A9AA1}" presName="rootText" presStyleLbl="node4" presStyleIdx="18" presStyleCnt="72">
        <dgm:presLayoutVars>
          <dgm:chPref val="3"/>
        </dgm:presLayoutVars>
      </dgm:prSet>
      <dgm:spPr/>
    </dgm:pt>
    <dgm:pt modelId="{A8616DBC-8EEB-4305-ABBA-3D229671CD01}" type="pres">
      <dgm:prSet presAssocID="{CB227DF1-60F3-4DC0-86DD-C4E7204A9AA1}" presName="rootConnector" presStyleLbl="node4" presStyleIdx="18" presStyleCnt="72"/>
      <dgm:spPr/>
    </dgm:pt>
    <dgm:pt modelId="{E57109F4-B311-4B33-BC7C-EB330526DF2C}" type="pres">
      <dgm:prSet presAssocID="{CB227DF1-60F3-4DC0-86DD-C4E7204A9AA1}" presName="hierChild4" presStyleCnt="0"/>
      <dgm:spPr/>
    </dgm:pt>
    <dgm:pt modelId="{8185430B-7696-458B-B65D-691D06D42503}" type="pres">
      <dgm:prSet presAssocID="{CB227DF1-60F3-4DC0-86DD-C4E7204A9AA1}" presName="hierChild5" presStyleCnt="0"/>
      <dgm:spPr/>
    </dgm:pt>
    <dgm:pt modelId="{8D3FD84B-5362-4C62-AF42-8772B2A9B8F7}" type="pres">
      <dgm:prSet presAssocID="{F51EE295-314D-4FED-96E8-AB555EF6F8C7}" presName="Name37" presStyleLbl="parChTrans1D4" presStyleIdx="19" presStyleCnt="72"/>
      <dgm:spPr/>
    </dgm:pt>
    <dgm:pt modelId="{3575F77A-DC43-4638-8190-E7D279E35841}" type="pres">
      <dgm:prSet presAssocID="{B37120C7-E06F-4726-BED2-8F5C09DDBEE8}" presName="hierRoot2" presStyleCnt="0">
        <dgm:presLayoutVars>
          <dgm:hierBranch val="init"/>
        </dgm:presLayoutVars>
      </dgm:prSet>
      <dgm:spPr/>
    </dgm:pt>
    <dgm:pt modelId="{C0868188-58B0-48B8-B5B6-69F338444B29}" type="pres">
      <dgm:prSet presAssocID="{B37120C7-E06F-4726-BED2-8F5C09DDBEE8}" presName="rootComposite" presStyleCnt="0"/>
      <dgm:spPr/>
    </dgm:pt>
    <dgm:pt modelId="{A9EC7FF8-F826-4A47-8314-1BDBBAF2B7CF}" type="pres">
      <dgm:prSet presAssocID="{B37120C7-E06F-4726-BED2-8F5C09DDBEE8}" presName="rootText" presStyleLbl="node4" presStyleIdx="19" presStyleCnt="72">
        <dgm:presLayoutVars>
          <dgm:chPref val="3"/>
        </dgm:presLayoutVars>
      </dgm:prSet>
      <dgm:spPr/>
    </dgm:pt>
    <dgm:pt modelId="{69A05F39-CA06-4EA6-A9FA-3F3BD2961237}" type="pres">
      <dgm:prSet presAssocID="{B37120C7-E06F-4726-BED2-8F5C09DDBEE8}" presName="rootConnector" presStyleLbl="node4" presStyleIdx="19" presStyleCnt="72"/>
      <dgm:spPr/>
    </dgm:pt>
    <dgm:pt modelId="{21960726-79FE-4EC5-90D7-C3D3E2A1FD46}" type="pres">
      <dgm:prSet presAssocID="{B37120C7-E06F-4726-BED2-8F5C09DDBEE8}" presName="hierChild4" presStyleCnt="0"/>
      <dgm:spPr/>
    </dgm:pt>
    <dgm:pt modelId="{3ACCD433-A50E-4D01-9D41-73D45B3898FE}" type="pres">
      <dgm:prSet presAssocID="{B37120C7-E06F-4726-BED2-8F5C09DDBEE8}" presName="hierChild5" presStyleCnt="0"/>
      <dgm:spPr/>
    </dgm:pt>
    <dgm:pt modelId="{85329B4B-31BF-434E-84B4-35A77B81524E}" type="pres">
      <dgm:prSet presAssocID="{185FD4FB-5CF7-43EB-A5E2-8430195AC14E}" presName="hierChild5" presStyleCnt="0"/>
      <dgm:spPr/>
    </dgm:pt>
    <dgm:pt modelId="{7E5AC264-4EC2-4965-BF3F-AE6E2FAD92CB}" type="pres">
      <dgm:prSet presAssocID="{60DF9EE5-F61B-44CB-B1BB-78BEFC0A6EC3}" presName="Name37" presStyleLbl="parChTrans1D4" presStyleIdx="20" presStyleCnt="72"/>
      <dgm:spPr/>
    </dgm:pt>
    <dgm:pt modelId="{31B3526F-3249-4749-A02A-3B115BF6AC09}" type="pres">
      <dgm:prSet presAssocID="{9D22F41F-8498-44DE-863F-CF56EE5E30A1}" presName="hierRoot2" presStyleCnt="0">
        <dgm:presLayoutVars>
          <dgm:hierBranch val="init"/>
        </dgm:presLayoutVars>
      </dgm:prSet>
      <dgm:spPr/>
    </dgm:pt>
    <dgm:pt modelId="{4B5C41E0-291A-4AE7-A180-6C2ACBA9C352}" type="pres">
      <dgm:prSet presAssocID="{9D22F41F-8498-44DE-863F-CF56EE5E30A1}" presName="rootComposite" presStyleCnt="0"/>
      <dgm:spPr/>
    </dgm:pt>
    <dgm:pt modelId="{3619B705-A018-42CA-B14E-F71A5F6D1D35}" type="pres">
      <dgm:prSet presAssocID="{9D22F41F-8498-44DE-863F-CF56EE5E30A1}" presName="rootText" presStyleLbl="node4" presStyleIdx="20" presStyleCnt="72">
        <dgm:presLayoutVars>
          <dgm:chPref val="3"/>
        </dgm:presLayoutVars>
      </dgm:prSet>
      <dgm:spPr/>
    </dgm:pt>
    <dgm:pt modelId="{6582819B-5C78-4AA0-B2DB-8A34BBEF37B8}" type="pres">
      <dgm:prSet presAssocID="{9D22F41F-8498-44DE-863F-CF56EE5E30A1}" presName="rootConnector" presStyleLbl="node4" presStyleIdx="20" presStyleCnt="72"/>
      <dgm:spPr/>
    </dgm:pt>
    <dgm:pt modelId="{7EDB018F-E26D-44E2-BC91-3B1DDB1FC3AD}" type="pres">
      <dgm:prSet presAssocID="{9D22F41F-8498-44DE-863F-CF56EE5E30A1}" presName="hierChild4" presStyleCnt="0"/>
      <dgm:spPr/>
    </dgm:pt>
    <dgm:pt modelId="{D6A0C71F-4277-4308-92AC-A529299C06B1}" type="pres">
      <dgm:prSet presAssocID="{3F6805EB-3D83-4D62-B5E8-4FFBB8E8F443}" presName="Name37" presStyleLbl="parChTrans1D4" presStyleIdx="21" presStyleCnt="72"/>
      <dgm:spPr/>
    </dgm:pt>
    <dgm:pt modelId="{CB8426F7-C5B0-48F4-ADB0-F09D80652F31}" type="pres">
      <dgm:prSet presAssocID="{89DDF0FD-DFF7-4A8A-A702-53C1BE30E02E}" presName="hierRoot2" presStyleCnt="0">
        <dgm:presLayoutVars>
          <dgm:hierBranch val="init"/>
        </dgm:presLayoutVars>
      </dgm:prSet>
      <dgm:spPr/>
    </dgm:pt>
    <dgm:pt modelId="{53CB693E-5549-4216-96A6-19123C7F5B06}" type="pres">
      <dgm:prSet presAssocID="{89DDF0FD-DFF7-4A8A-A702-53C1BE30E02E}" presName="rootComposite" presStyleCnt="0"/>
      <dgm:spPr/>
    </dgm:pt>
    <dgm:pt modelId="{28BC97AE-5FEF-426F-85DA-D2F6F585D96D}" type="pres">
      <dgm:prSet presAssocID="{89DDF0FD-DFF7-4A8A-A702-53C1BE30E02E}" presName="rootText" presStyleLbl="node4" presStyleIdx="21" presStyleCnt="72">
        <dgm:presLayoutVars>
          <dgm:chPref val="3"/>
        </dgm:presLayoutVars>
      </dgm:prSet>
      <dgm:spPr/>
    </dgm:pt>
    <dgm:pt modelId="{146953E4-78E4-4670-BA0C-FC6ECB0CDB68}" type="pres">
      <dgm:prSet presAssocID="{89DDF0FD-DFF7-4A8A-A702-53C1BE30E02E}" presName="rootConnector" presStyleLbl="node4" presStyleIdx="21" presStyleCnt="72"/>
      <dgm:spPr/>
    </dgm:pt>
    <dgm:pt modelId="{FC61EA0C-E097-4B20-8E58-4B983B78AFD1}" type="pres">
      <dgm:prSet presAssocID="{89DDF0FD-DFF7-4A8A-A702-53C1BE30E02E}" presName="hierChild4" presStyleCnt="0"/>
      <dgm:spPr/>
    </dgm:pt>
    <dgm:pt modelId="{E5974B36-124D-4991-A154-4FE67FFD6FD2}" type="pres">
      <dgm:prSet presAssocID="{89DDF0FD-DFF7-4A8A-A702-53C1BE30E02E}" presName="hierChild5" presStyleCnt="0"/>
      <dgm:spPr/>
    </dgm:pt>
    <dgm:pt modelId="{D6E54769-F860-4CA3-A50D-9842DBC65E1F}" type="pres">
      <dgm:prSet presAssocID="{10A803D9-66BF-451E-9E3A-90762BB275E8}" presName="Name37" presStyleLbl="parChTrans1D4" presStyleIdx="22" presStyleCnt="72"/>
      <dgm:spPr/>
    </dgm:pt>
    <dgm:pt modelId="{96F1DAF9-4D8C-43B1-A13C-C12A75BF4D2D}" type="pres">
      <dgm:prSet presAssocID="{F013B672-1400-4FAD-A67B-473BD893A112}" presName="hierRoot2" presStyleCnt="0">
        <dgm:presLayoutVars>
          <dgm:hierBranch val="init"/>
        </dgm:presLayoutVars>
      </dgm:prSet>
      <dgm:spPr/>
    </dgm:pt>
    <dgm:pt modelId="{95292FB5-5FF0-4E63-B481-0CFA90B97CA0}" type="pres">
      <dgm:prSet presAssocID="{F013B672-1400-4FAD-A67B-473BD893A112}" presName="rootComposite" presStyleCnt="0"/>
      <dgm:spPr/>
    </dgm:pt>
    <dgm:pt modelId="{8F21FAFE-7B0C-4320-A01C-C630DF9FEB87}" type="pres">
      <dgm:prSet presAssocID="{F013B672-1400-4FAD-A67B-473BD893A112}" presName="rootText" presStyleLbl="node4" presStyleIdx="22" presStyleCnt="72">
        <dgm:presLayoutVars>
          <dgm:chPref val="3"/>
        </dgm:presLayoutVars>
      </dgm:prSet>
      <dgm:spPr/>
    </dgm:pt>
    <dgm:pt modelId="{DBCF6931-0C9E-4DD7-851D-804DE41F078A}" type="pres">
      <dgm:prSet presAssocID="{F013B672-1400-4FAD-A67B-473BD893A112}" presName="rootConnector" presStyleLbl="node4" presStyleIdx="22" presStyleCnt="72"/>
      <dgm:spPr/>
    </dgm:pt>
    <dgm:pt modelId="{0D5DFA92-C6F1-4622-8320-9CAD544B7C17}" type="pres">
      <dgm:prSet presAssocID="{F013B672-1400-4FAD-A67B-473BD893A112}" presName="hierChild4" presStyleCnt="0"/>
      <dgm:spPr/>
    </dgm:pt>
    <dgm:pt modelId="{1BED7A74-E6BC-4F9C-AD60-BE251FAF8FCB}" type="pres">
      <dgm:prSet presAssocID="{F013B672-1400-4FAD-A67B-473BD893A112}" presName="hierChild5" presStyleCnt="0"/>
      <dgm:spPr/>
    </dgm:pt>
    <dgm:pt modelId="{486659EC-B161-487F-92F4-66839D1D51AB}" type="pres">
      <dgm:prSet presAssocID="{16ECEBFF-E452-4DF9-BACA-497D2AA84FDC}" presName="Name37" presStyleLbl="parChTrans1D4" presStyleIdx="23" presStyleCnt="72"/>
      <dgm:spPr/>
    </dgm:pt>
    <dgm:pt modelId="{4401D5BB-4895-4FD9-976E-EE00D5D4A59F}" type="pres">
      <dgm:prSet presAssocID="{42C74D63-D76C-40F4-8A6B-2F37088113DE}" presName="hierRoot2" presStyleCnt="0">
        <dgm:presLayoutVars>
          <dgm:hierBranch val="init"/>
        </dgm:presLayoutVars>
      </dgm:prSet>
      <dgm:spPr/>
    </dgm:pt>
    <dgm:pt modelId="{28D77F63-F13F-4B66-B1C5-3B4673102A58}" type="pres">
      <dgm:prSet presAssocID="{42C74D63-D76C-40F4-8A6B-2F37088113DE}" presName="rootComposite" presStyleCnt="0"/>
      <dgm:spPr/>
    </dgm:pt>
    <dgm:pt modelId="{C0030FD4-83CB-4BF1-B5AB-72AAA436B7FF}" type="pres">
      <dgm:prSet presAssocID="{42C74D63-D76C-40F4-8A6B-2F37088113DE}" presName="rootText" presStyleLbl="node4" presStyleIdx="23" presStyleCnt="72">
        <dgm:presLayoutVars>
          <dgm:chPref val="3"/>
        </dgm:presLayoutVars>
      </dgm:prSet>
      <dgm:spPr/>
    </dgm:pt>
    <dgm:pt modelId="{91CB7395-8380-461B-B8D6-7CD8CEAD14D4}" type="pres">
      <dgm:prSet presAssocID="{42C74D63-D76C-40F4-8A6B-2F37088113DE}" presName="rootConnector" presStyleLbl="node4" presStyleIdx="23" presStyleCnt="72"/>
      <dgm:spPr/>
    </dgm:pt>
    <dgm:pt modelId="{F833B972-23B3-4D18-A1F9-CCC44396D876}" type="pres">
      <dgm:prSet presAssocID="{42C74D63-D76C-40F4-8A6B-2F37088113DE}" presName="hierChild4" presStyleCnt="0"/>
      <dgm:spPr/>
    </dgm:pt>
    <dgm:pt modelId="{F5F9521B-D50C-4A8F-AA2A-F40A2B63A9D5}" type="pres">
      <dgm:prSet presAssocID="{42C74D63-D76C-40F4-8A6B-2F37088113DE}" presName="hierChild5" presStyleCnt="0"/>
      <dgm:spPr/>
    </dgm:pt>
    <dgm:pt modelId="{93F64934-E489-42D3-AC57-1697091BB83A}" type="pres">
      <dgm:prSet presAssocID="{9D22F41F-8498-44DE-863F-CF56EE5E30A1}" presName="hierChild5" presStyleCnt="0"/>
      <dgm:spPr/>
    </dgm:pt>
    <dgm:pt modelId="{B50D3B90-4475-4F1D-80A1-CF51B49CEE8A}" type="pres">
      <dgm:prSet presAssocID="{35832908-7724-43A9-A2FF-5625A4D3B9C8}" presName="hierChild5" presStyleCnt="0"/>
      <dgm:spPr/>
    </dgm:pt>
    <dgm:pt modelId="{167B6ED4-5AE8-4063-BAD0-A9D6D37655CD}" type="pres">
      <dgm:prSet presAssocID="{718530C1-E567-49D5-BEBE-785D037F6EE2}" presName="Name37" presStyleLbl="parChTrans1D3" presStyleIdx="2" presStyleCnt="6"/>
      <dgm:spPr/>
    </dgm:pt>
    <dgm:pt modelId="{B113516C-2574-4D89-BBF8-13F2EDEA32FF}" type="pres">
      <dgm:prSet presAssocID="{B78840CD-48A4-4619-84B8-9F12176C54F4}" presName="hierRoot2" presStyleCnt="0">
        <dgm:presLayoutVars>
          <dgm:hierBranch val="init"/>
        </dgm:presLayoutVars>
      </dgm:prSet>
      <dgm:spPr/>
    </dgm:pt>
    <dgm:pt modelId="{E25EB7C5-26BB-49E2-A66B-D159ED293B12}" type="pres">
      <dgm:prSet presAssocID="{B78840CD-48A4-4619-84B8-9F12176C54F4}" presName="rootComposite" presStyleCnt="0"/>
      <dgm:spPr/>
    </dgm:pt>
    <dgm:pt modelId="{8A2AE835-CBE3-48D9-B08C-DF86BF4E6895}" type="pres">
      <dgm:prSet presAssocID="{B78840CD-48A4-4619-84B8-9F12176C54F4}" presName="rootText" presStyleLbl="node3" presStyleIdx="2" presStyleCnt="6">
        <dgm:presLayoutVars>
          <dgm:chPref val="3"/>
        </dgm:presLayoutVars>
      </dgm:prSet>
      <dgm:spPr/>
    </dgm:pt>
    <dgm:pt modelId="{F4EBB5B2-7337-45E7-B0CE-1C2863477D15}" type="pres">
      <dgm:prSet presAssocID="{B78840CD-48A4-4619-84B8-9F12176C54F4}" presName="rootConnector" presStyleLbl="node3" presStyleIdx="2" presStyleCnt="6"/>
      <dgm:spPr/>
    </dgm:pt>
    <dgm:pt modelId="{D7B40E07-DC18-46E2-9C50-E15F9B716F75}" type="pres">
      <dgm:prSet presAssocID="{B78840CD-48A4-4619-84B8-9F12176C54F4}" presName="hierChild4" presStyleCnt="0"/>
      <dgm:spPr/>
    </dgm:pt>
    <dgm:pt modelId="{DC51E288-C09F-42DE-91CF-AAF606FB3824}" type="pres">
      <dgm:prSet presAssocID="{F04D4DE3-6E3C-4AB7-B0DA-B9301363A443}" presName="Name37" presStyleLbl="parChTrans1D4" presStyleIdx="24" presStyleCnt="72"/>
      <dgm:spPr/>
    </dgm:pt>
    <dgm:pt modelId="{31494CB7-E58F-401D-BC70-F4617DC32FE8}" type="pres">
      <dgm:prSet presAssocID="{625E4956-8EF6-4477-9EEE-F6675500F662}" presName="hierRoot2" presStyleCnt="0">
        <dgm:presLayoutVars>
          <dgm:hierBranch val="init"/>
        </dgm:presLayoutVars>
      </dgm:prSet>
      <dgm:spPr/>
    </dgm:pt>
    <dgm:pt modelId="{434C1C85-FBFC-4069-867F-15116A3A0C94}" type="pres">
      <dgm:prSet presAssocID="{625E4956-8EF6-4477-9EEE-F6675500F662}" presName="rootComposite" presStyleCnt="0"/>
      <dgm:spPr/>
    </dgm:pt>
    <dgm:pt modelId="{977A7031-CFAB-41CF-8B5D-89611399EB84}" type="pres">
      <dgm:prSet presAssocID="{625E4956-8EF6-4477-9EEE-F6675500F662}" presName="rootText" presStyleLbl="node4" presStyleIdx="24" presStyleCnt="72">
        <dgm:presLayoutVars>
          <dgm:chPref val="3"/>
        </dgm:presLayoutVars>
      </dgm:prSet>
      <dgm:spPr/>
    </dgm:pt>
    <dgm:pt modelId="{B3886729-8160-4CBC-9565-5A35870DD6AA}" type="pres">
      <dgm:prSet presAssocID="{625E4956-8EF6-4477-9EEE-F6675500F662}" presName="rootConnector" presStyleLbl="node4" presStyleIdx="24" presStyleCnt="72"/>
      <dgm:spPr/>
    </dgm:pt>
    <dgm:pt modelId="{08C1F813-1334-4D7F-8CC0-8E161D4754C6}" type="pres">
      <dgm:prSet presAssocID="{625E4956-8EF6-4477-9EEE-F6675500F662}" presName="hierChild4" presStyleCnt="0"/>
      <dgm:spPr/>
    </dgm:pt>
    <dgm:pt modelId="{4E4E8E0C-6496-498A-9D6E-2EA473DD936F}" type="pres">
      <dgm:prSet presAssocID="{9E8DBF9E-8427-44AE-8545-450B08260D83}" presName="Name37" presStyleLbl="parChTrans1D4" presStyleIdx="25" presStyleCnt="72"/>
      <dgm:spPr/>
    </dgm:pt>
    <dgm:pt modelId="{29091D86-6019-462C-ABEE-9B30E683C921}" type="pres">
      <dgm:prSet presAssocID="{256DEA29-1FE4-4C99-979A-26806E978E7E}" presName="hierRoot2" presStyleCnt="0">
        <dgm:presLayoutVars>
          <dgm:hierBranch val="init"/>
        </dgm:presLayoutVars>
      </dgm:prSet>
      <dgm:spPr/>
    </dgm:pt>
    <dgm:pt modelId="{8CB11766-327F-4052-BFDC-A2B0EC495E63}" type="pres">
      <dgm:prSet presAssocID="{256DEA29-1FE4-4C99-979A-26806E978E7E}" presName="rootComposite" presStyleCnt="0"/>
      <dgm:spPr/>
    </dgm:pt>
    <dgm:pt modelId="{FE6EDD3F-AA5B-4BAF-91A7-21973FA035CC}" type="pres">
      <dgm:prSet presAssocID="{256DEA29-1FE4-4C99-979A-26806E978E7E}" presName="rootText" presStyleLbl="node4" presStyleIdx="25" presStyleCnt="72">
        <dgm:presLayoutVars>
          <dgm:chPref val="3"/>
        </dgm:presLayoutVars>
      </dgm:prSet>
      <dgm:spPr/>
    </dgm:pt>
    <dgm:pt modelId="{05987C47-4D08-4E9A-8893-C406D6D16E6D}" type="pres">
      <dgm:prSet presAssocID="{256DEA29-1FE4-4C99-979A-26806E978E7E}" presName="rootConnector" presStyleLbl="node4" presStyleIdx="25" presStyleCnt="72"/>
      <dgm:spPr/>
    </dgm:pt>
    <dgm:pt modelId="{169E0B91-0ED8-41CE-908F-7433265EEECC}" type="pres">
      <dgm:prSet presAssocID="{256DEA29-1FE4-4C99-979A-26806E978E7E}" presName="hierChild4" presStyleCnt="0"/>
      <dgm:spPr/>
    </dgm:pt>
    <dgm:pt modelId="{D27044D2-2349-485B-AE79-D73748F89F9D}" type="pres">
      <dgm:prSet presAssocID="{256DEA29-1FE4-4C99-979A-26806E978E7E}" presName="hierChild5" presStyleCnt="0"/>
      <dgm:spPr/>
    </dgm:pt>
    <dgm:pt modelId="{8772D8F1-A219-4D2D-AA6E-F55C18F3173F}" type="pres">
      <dgm:prSet presAssocID="{47C6BDFD-715D-4ACC-BB22-C4FB9C49DF3B}" presName="Name37" presStyleLbl="parChTrans1D4" presStyleIdx="26" presStyleCnt="72"/>
      <dgm:spPr/>
    </dgm:pt>
    <dgm:pt modelId="{3D8FDDA5-2C1F-4EA9-975D-8FE413C34B24}" type="pres">
      <dgm:prSet presAssocID="{40844E9E-8255-4CDB-85F6-F39B0E3EBCE2}" presName="hierRoot2" presStyleCnt="0">
        <dgm:presLayoutVars>
          <dgm:hierBranch val="init"/>
        </dgm:presLayoutVars>
      </dgm:prSet>
      <dgm:spPr/>
    </dgm:pt>
    <dgm:pt modelId="{B48566B5-17E1-4D68-8518-A1694A6196C3}" type="pres">
      <dgm:prSet presAssocID="{40844E9E-8255-4CDB-85F6-F39B0E3EBCE2}" presName="rootComposite" presStyleCnt="0"/>
      <dgm:spPr/>
    </dgm:pt>
    <dgm:pt modelId="{7611E691-936A-45D3-94BE-C7405602B970}" type="pres">
      <dgm:prSet presAssocID="{40844E9E-8255-4CDB-85F6-F39B0E3EBCE2}" presName="rootText" presStyleLbl="node4" presStyleIdx="26" presStyleCnt="72">
        <dgm:presLayoutVars>
          <dgm:chPref val="3"/>
        </dgm:presLayoutVars>
      </dgm:prSet>
      <dgm:spPr/>
    </dgm:pt>
    <dgm:pt modelId="{BEA94E14-7992-4F71-BAA8-179CB366545B}" type="pres">
      <dgm:prSet presAssocID="{40844E9E-8255-4CDB-85F6-F39B0E3EBCE2}" presName="rootConnector" presStyleLbl="node4" presStyleIdx="26" presStyleCnt="72"/>
      <dgm:spPr/>
    </dgm:pt>
    <dgm:pt modelId="{DCA61664-8CD5-4E42-BE70-960297CDBCB4}" type="pres">
      <dgm:prSet presAssocID="{40844E9E-8255-4CDB-85F6-F39B0E3EBCE2}" presName="hierChild4" presStyleCnt="0"/>
      <dgm:spPr/>
    </dgm:pt>
    <dgm:pt modelId="{E94BD3D4-7D96-4C33-83E0-F3E373216F09}" type="pres">
      <dgm:prSet presAssocID="{40844E9E-8255-4CDB-85F6-F39B0E3EBCE2}" presName="hierChild5" presStyleCnt="0"/>
      <dgm:spPr/>
    </dgm:pt>
    <dgm:pt modelId="{C9F6DC67-3950-43CD-AB1B-CF05CEF4802A}" type="pres">
      <dgm:prSet presAssocID="{42E27800-DAF0-49A9-AF01-222E9FA3CCEE}" presName="Name37" presStyleLbl="parChTrans1D4" presStyleIdx="27" presStyleCnt="72"/>
      <dgm:spPr/>
    </dgm:pt>
    <dgm:pt modelId="{7A9CE050-B531-4E41-9E72-B17850B76F99}" type="pres">
      <dgm:prSet presAssocID="{C43E60CE-5DA9-4457-8612-9A61E6EC3E8B}" presName="hierRoot2" presStyleCnt="0">
        <dgm:presLayoutVars>
          <dgm:hierBranch val="init"/>
        </dgm:presLayoutVars>
      </dgm:prSet>
      <dgm:spPr/>
    </dgm:pt>
    <dgm:pt modelId="{41F53ECB-61A5-4905-8E52-7DD5F378ED7B}" type="pres">
      <dgm:prSet presAssocID="{C43E60CE-5DA9-4457-8612-9A61E6EC3E8B}" presName="rootComposite" presStyleCnt="0"/>
      <dgm:spPr/>
    </dgm:pt>
    <dgm:pt modelId="{803E7D20-7CB9-4D10-A3EF-C105BF6FD9CF}" type="pres">
      <dgm:prSet presAssocID="{C43E60CE-5DA9-4457-8612-9A61E6EC3E8B}" presName="rootText" presStyleLbl="node4" presStyleIdx="27" presStyleCnt="72">
        <dgm:presLayoutVars>
          <dgm:chPref val="3"/>
        </dgm:presLayoutVars>
      </dgm:prSet>
      <dgm:spPr/>
    </dgm:pt>
    <dgm:pt modelId="{E391C3D6-D658-4641-B003-EDD4657B13A2}" type="pres">
      <dgm:prSet presAssocID="{C43E60CE-5DA9-4457-8612-9A61E6EC3E8B}" presName="rootConnector" presStyleLbl="node4" presStyleIdx="27" presStyleCnt="72"/>
      <dgm:spPr/>
    </dgm:pt>
    <dgm:pt modelId="{DC6DE5FE-B186-4C7A-B38A-E28CAB37ED51}" type="pres">
      <dgm:prSet presAssocID="{C43E60CE-5DA9-4457-8612-9A61E6EC3E8B}" presName="hierChild4" presStyleCnt="0"/>
      <dgm:spPr/>
    </dgm:pt>
    <dgm:pt modelId="{9F87CC45-D4A2-4FC5-BE63-BC6EBD9B0467}" type="pres">
      <dgm:prSet presAssocID="{C43E60CE-5DA9-4457-8612-9A61E6EC3E8B}" presName="hierChild5" presStyleCnt="0"/>
      <dgm:spPr/>
    </dgm:pt>
    <dgm:pt modelId="{03EBD15D-5997-4F52-9FC0-94A1ECC6AE49}" type="pres">
      <dgm:prSet presAssocID="{625E4956-8EF6-4477-9EEE-F6675500F662}" presName="hierChild5" presStyleCnt="0"/>
      <dgm:spPr/>
    </dgm:pt>
    <dgm:pt modelId="{DD75AD42-897C-4437-A9C1-D9F47115EF57}" type="pres">
      <dgm:prSet presAssocID="{A2F4C23B-7CDB-4F8F-BEE4-B860A25B3EE7}" presName="Name37" presStyleLbl="parChTrans1D4" presStyleIdx="28" presStyleCnt="72"/>
      <dgm:spPr/>
    </dgm:pt>
    <dgm:pt modelId="{75FC46C2-EBFD-438F-BEB1-F82093D2F82A}" type="pres">
      <dgm:prSet presAssocID="{48081AEE-13E4-4236-9372-4631889377AB}" presName="hierRoot2" presStyleCnt="0">
        <dgm:presLayoutVars>
          <dgm:hierBranch val="init"/>
        </dgm:presLayoutVars>
      </dgm:prSet>
      <dgm:spPr/>
    </dgm:pt>
    <dgm:pt modelId="{462E3D72-BA8E-4742-B950-AF53A1667EF5}" type="pres">
      <dgm:prSet presAssocID="{48081AEE-13E4-4236-9372-4631889377AB}" presName="rootComposite" presStyleCnt="0"/>
      <dgm:spPr/>
    </dgm:pt>
    <dgm:pt modelId="{7F5D79C5-D9CF-41B4-B02E-4A350D09868D}" type="pres">
      <dgm:prSet presAssocID="{48081AEE-13E4-4236-9372-4631889377AB}" presName="rootText" presStyleLbl="node4" presStyleIdx="28" presStyleCnt="72">
        <dgm:presLayoutVars>
          <dgm:chPref val="3"/>
        </dgm:presLayoutVars>
      </dgm:prSet>
      <dgm:spPr/>
    </dgm:pt>
    <dgm:pt modelId="{0BAC9C75-8FFD-4D5F-83C9-FD9397F824C7}" type="pres">
      <dgm:prSet presAssocID="{48081AEE-13E4-4236-9372-4631889377AB}" presName="rootConnector" presStyleLbl="node4" presStyleIdx="28" presStyleCnt="72"/>
      <dgm:spPr/>
    </dgm:pt>
    <dgm:pt modelId="{0130414C-EDE2-4B10-A3C4-3F91F9226D6E}" type="pres">
      <dgm:prSet presAssocID="{48081AEE-13E4-4236-9372-4631889377AB}" presName="hierChild4" presStyleCnt="0"/>
      <dgm:spPr/>
    </dgm:pt>
    <dgm:pt modelId="{9DD821B2-31E0-4A42-B6E4-AF14CB1F4434}" type="pres">
      <dgm:prSet presAssocID="{BF0241E6-88BA-48CA-9536-824D6C7226B6}" presName="Name37" presStyleLbl="parChTrans1D4" presStyleIdx="29" presStyleCnt="72"/>
      <dgm:spPr/>
    </dgm:pt>
    <dgm:pt modelId="{6FCE3DF8-4971-4B3E-9953-23574430AC67}" type="pres">
      <dgm:prSet presAssocID="{512FA690-FE63-4D19-810E-6B154859E859}" presName="hierRoot2" presStyleCnt="0">
        <dgm:presLayoutVars>
          <dgm:hierBranch val="init"/>
        </dgm:presLayoutVars>
      </dgm:prSet>
      <dgm:spPr/>
    </dgm:pt>
    <dgm:pt modelId="{5C3EF50F-4B47-4E85-9E4C-122E8755A5C0}" type="pres">
      <dgm:prSet presAssocID="{512FA690-FE63-4D19-810E-6B154859E859}" presName="rootComposite" presStyleCnt="0"/>
      <dgm:spPr/>
    </dgm:pt>
    <dgm:pt modelId="{E494FAAB-5079-4DFB-865F-57021C2221B3}" type="pres">
      <dgm:prSet presAssocID="{512FA690-FE63-4D19-810E-6B154859E859}" presName="rootText" presStyleLbl="node4" presStyleIdx="29" presStyleCnt="72">
        <dgm:presLayoutVars>
          <dgm:chPref val="3"/>
        </dgm:presLayoutVars>
      </dgm:prSet>
      <dgm:spPr/>
    </dgm:pt>
    <dgm:pt modelId="{2F7A02BE-7553-4589-927D-B133AE7A884D}" type="pres">
      <dgm:prSet presAssocID="{512FA690-FE63-4D19-810E-6B154859E859}" presName="rootConnector" presStyleLbl="node4" presStyleIdx="29" presStyleCnt="72"/>
      <dgm:spPr/>
    </dgm:pt>
    <dgm:pt modelId="{56703711-A698-47AA-BD30-65AF742F9B58}" type="pres">
      <dgm:prSet presAssocID="{512FA690-FE63-4D19-810E-6B154859E859}" presName="hierChild4" presStyleCnt="0"/>
      <dgm:spPr/>
    </dgm:pt>
    <dgm:pt modelId="{0491492A-AFE0-48DA-9B10-4DCE3A592F49}" type="pres">
      <dgm:prSet presAssocID="{512FA690-FE63-4D19-810E-6B154859E859}" presName="hierChild5" presStyleCnt="0"/>
      <dgm:spPr/>
    </dgm:pt>
    <dgm:pt modelId="{1A64D916-92EA-4300-BE27-2C559996A73F}" type="pres">
      <dgm:prSet presAssocID="{17F80FCE-5324-4A3D-9F40-520FCDFA9FC8}" presName="Name37" presStyleLbl="parChTrans1D4" presStyleIdx="30" presStyleCnt="72"/>
      <dgm:spPr/>
    </dgm:pt>
    <dgm:pt modelId="{55A1770F-0CD4-47E5-84AA-AF0B48B3B2EA}" type="pres">
      <dgm:prSet presAssocID="{CEA92F1A-72A3-44A1-B185-5D267D439600}" presName="hierRoot2" presStyleCnt="0">
        <dgm:presLayoutVars>
          <dgm:hierBranch val="init"/>
        </dgm:presLayoutVars>
      </dgm:prSet>
      <dgm:spPr/>
    </dgm:pt>
    <dgm:pt modelId="{77C9A9A2-CAC2-48C0-90CB-B4F8D6FD29A3}" type="pres">
      <dgm:prSet presAssocID="{CEA92F1A-72A3-44A1-B185-5D267D439600}" presName="rootComposite" presStyleCnt="0"/>
      <dgm:spPr/>
    </dgm:pt>
    <dgm:pt modelId="{312114D3-E5AD-40F0-AC45-9A8CE19AE9F2}" type="pres">
      <dgm:prSet presAssocID="{CEA92F1A-72A3-44A1-B185-5D267D439600}" presName="rootText" presStyleLbl="node4" presStyleIdx="30" presStyleCnt="72">
        <dgm:presLayoutVars>
          <dgm:chPref val="3"/>
        </dgm:presLayoutVars>
      </dgm:prSet>
      <dgm:spPr/>
    </dgm:pt>
    <dgm:pt modelId="{3EACE9F8-0DAE-4E3B-9226-25865D1F2C66}" type="pres">
      <dgm:prSet presAssocID="{CEA92F1A-72A3-44A1-B185-5D267D439600}" presName="rootConnector" presStyleLbl="node4" presStyleIdx="30" presStyleCnt="72"/>
      <dgm:spPr/>
    </dgm:pt>
    <dgm:pt modelId="{2926D440-D2AD-4D7E-BAE8-7C8AD9F8B5A2}" type="pres">
      <dgm:prSet presAssocID="{CEA92F1A-72A3-44A1-B185-5D267D439600}" presName="hierChild4" presStyleCnt="0"/>
      <dgm:spPr/>
    </dgm:pt>
    <dgm:pt modelId="{783D8216-34A5-4698-97B8-208C87FD9355}" type="pres">
      <dgm:prSet presAssocID="{CEA92F1A-72A3-44A1-B185-5D267D439600}" presName="hierChild5" presStyleCnt="0"/>
      <dgm:spPr/>
    </dgm:pt>
    <dgm:pt modelId="{71DE3835-73F2-430A-A81E-EA9A9B4ACC43}" type="pres">
      <dgm:prSet presAssocID="{86A0C048-0D09-4CDB-8F34-B96CADD8EF40}" presName="Name37" presStyleLbl="parChTrans1D4" presStyleIdx="31" presStyleCnt="72"/>
      <dgm:spPr/>
    </dgm:pt>
    <dgm:pt modelId="{82B16C97-1D42-40A1-B41D-DCDF3FDAC0EF}" type="pres">
      <dgm:prSet presAssocID="{338DC12C-4F04-41C1-A712-7C9F8AC41184}" presName="hierRoot2" presStyleCnt="0">
        <dgm:presLayoutVars>
          <dgm:hierBranch val="init"/>
        </dgm:presLayoutVars>
      </dgm:prSet>
      <dgm:spPr/>
    </dgm:pt>
    <dgm:pt modelId="{D2CC53E0-A564-44EA-A644-6C3C986D010D}" type="pres">
      <dgm:prSet presAssocID="{338DC12C-4F04-41C1-A712-7C9F8AC41184}" presName="rootComposite" presStyleCnt="0"/>
      <dgm:spPr/>
    </dgm:pt>
    <dgm:pt modelId="{2294BA43-0350-4EDF-B49E-18E9E41AD929}" type="pres">
      <dgm:prSet presAssocID="{338DC12C-4F04-41C1-A712-7C9F8AC41184}" presName="rootText" presStyleLbl="node4" presStyleIdx="31" presStyleCnt="72">
        <dgm:presLayoutVars>
          <dgm:chPref val="3"/>
        </dgm:presLayoutVars>
      </dgm:prSet>
      <dgm:spPr/>
    </dgm:pt>
    <dgm:pt modelId="{CB382D01-6570-41C3-96EA-54C0A3FA106F}" type="pres">
      <dgm:prSet presAssocID="{338DC12C-4F04-41C1-A712-7C9F8AC41184}" presName="rootConnector" presStyleLbl="node4" presStyleIdx="31" presStyleCnt="72"/>
      <dgm:spPr/>
    </dgm:pt>
    <dgm:pt modelId="{7E0EA395-447A-4123-94F3-3B8FDA3D3AB7}" type="pres">
      <dgm:prSet presAssocID="{338DC12C-4F04-41C1-A712-7C9F8AC41184}" presName="hierChild4" presStyleCnt="0"/>
      <dgm:spPr/>
    </dgm:pt>
    <dgm:pt modelId="{925FEA43-0403-408E-BABD-C42C1726BBE7}" type="pres">
      <dgm:prSet presAssocID="{338DC12C-4F04-41C1-A712-7C9F8AC41184}" presName="hierChild5" presStyleCnt="0"/>
      <dgm:spPr/>
    </dgm:pt>
    <dgm:pt modelId="{8FA35B96-DF76-42B2-B6A2-4958F54963C1}" type="pres">
      <dgm:prSet presAssocID="{48081AEE-13E4-4236-9372-4631889377AB}" presName="hierChild5" presStyleCnt="0"/>
      <dgm:spPr/>
    </dgm:pt>
    <dgm:pt modelId="{B3AAE1C5-3D41-421C-B82E-740788A84D19}" type="pres">
      <dgm:prSet presAssocID="{9B1F103E-2378-4A14-BD8E-312B3A58C04A}" presName="Name37" presStyleLbl="parChTrans1D4" presStyleIdx="32" presStyleCnt="72"/>
      <dgm:spPr/>
    </dgm:pt>
    <dgm:pt modelId="{FCAD5BA1-AF2B-4CF8-9687-69E4143FA2E3}" type="pres">
      <dgm:prSet presAssocID="{F05C3478-7A69-4779-805E-2E85D00A905A}" presName="hierRoot2" presStyleCnt="0">
        <dgm:presLayoutVars>
          <dgm:hierBranch val="init"/>
        </dgm:presLayoutVars>
      </dgm:prSet>
      <dgm:spPr/>
    </dgm:pt>
    <dgm:pt modelId="{FD9AC3D6-095D-4983-B75B-AB73700FF08F}" type="pres">
      <dgm:prSet presAssocID="{F05C3478-7A69-4779-805E-2E85D00A905A}" presName="rootComposite" presStyleCnt="0"/>
      <dgm:spPr/>
    </dgm:pt>
    <dgm:pt modelId="{181EAA75-0067-4F86-A85E-EE55D0E50462}" type="pres">
      <dgm:prSet presAssocID="{F05C3478-7A69-4779-805E-2E85D00A905A}" presName="rootText" presStyleLbl="node4" presStyleIdx="32" presStyleCnt="72">
        <dgm:presLayoutVars>
          <dgm:chPref val="3"/>
        </dgm:presLayoutVars>
      </dgm:prSet>
      <dgm:spPr/>
    </dgm:pt>
    <dgm:pt modelId="{AD5EA84E-D061-4A54-B0C6-629064770C07}" type="pres">
      <dgm:prSet presAssocID="{F05C3478-7A69-4779-805E-2E85D00A905A}" presName="rootConnector" presStyleLbl="node4" presStyleIdx="32" presStyleCnt="72"/>
      <dgm:spPr/>
    </dgm:pt>
    <dgm:pt modelId="{58194BE5-0AF4-453C-B824-496E38938EB1}" type="pres">
      <dgm:prSet presAssocID="{F05C3478-7A69-4779-805E-2E85D00A905A}" presName="hierChild4" presStyleCnt="0"/>
      <dgm:spPr/>
    </dgm:pt>
    <dgm:pt modelId="{5FCB27B3-33A2-4B94-8859-E0FEEDAEF0D9}" type="pres">
      <dgm:prSet presAssocID="{26D364BB-2D10-40C6-9165-15E5CF2AD5F6}" presName="Name37" presStyleLbl="parChTrans1D4" presStyleIdx="33" presStyleCnt="72"/>
      <dgm:spPr/>
    </dgm:pt>
    <dgm:pt modelId="{A99FA2F4-FA88-45E6-8E47-448B9678F829}" type="pres">
      <dgm:prSet presAssocID="{3E91ADC5-36B0-4880-B88B-0DD085D275F2}" presName="hierRoot2" presStyleCnt="0">
        <dgm:presLayoutVars>
          <dgm:hierBranch val="init"/>
        </dgm:presLayoutVars>
      </dgm:prSet>
      <dgm:spPr/>
    </dgm:pt>
    <dgm:pt modelId="{CD2DADA9-D253-4944-BB1C-F0F370122347}" type="pres">
      <dgm:prSet presAssocID="{3E91ADC5-36B0-4880-B88B-0DD085D275F2}" presName="rootComposite" presStyleCnt="0"/>
      <dgm:spPr/>
    </dgm:pt>
    <dgm:pt modelId="{3E9461D6-BADC-419C-8CFB-49AC2E75AB50}" type="pres">
      <dgm:prSet presAssocID="{3E91ADC5-36B0-4880-B88B-0DD085D275F2}" presName="rootText" presStyleLbl="node4" presStyleIdx="33" presStyleCnt="72">
        <dgm:presLayoutVars>
          <dgm:chPref val="3"/>
        </dgm:presLayoutVars>
      </dgm:prSet>
      <dgm:spPr/>
    </dgm:pt>
    <dgm:pt modelId="{15874C13-78B3-4D52-AAE0-D00B3094DCDB}" type="pres">
      <dgm:prSet presAssocID="{3E91ADC5-36B0-4880-B88B-0DD085D275F2}" presName="rootConnector" presStyleLbl="node4" presStyleIdx="33" presStyleCnt="72"/>
      <dgm:spPr/>
    </dgm:pt>
    <dgm:pt modelId="{6D9B6FBF-850F-4B27-A165-5B16C041DE02}" type="pres">
      <dgm:prSet presAssocID="{3E91ADC5-36B0-4880-B88B-0DD085D275F2}" presName="hierChild4" presStyleCnt="0"/>
      <dgm:spPr/>
    </dgm:pt>
    <dgm:pt modelId="{7081E3C9-A531-41B4-9825-8CE0482B951F}" type="pres">
      <dgm:prSet presAssocID="{3E91ADC5-36B0-4880-B88B-0DD085D275F2}" presName="hierChild5" presStyleCnt="0"/>
      <dgm:spPr/>
    </dgm:pt>
    <dgm:pt modelId="{9CBAD72B-9EB9-42DE-9D67-1DB50B3390E2}" type="pres">
      <dgm:prSet presAssocID="{4D70E4C3-060D-4A14-B934-2BCB2F9B37AC}" presName="Name37" presStyleLbl="parChTrans1D4" presStyleIdx="34" presStyleCnt="72"/>
      <dgm:spPr/>
    </dgm:pt>
    <dgm:pt modelId="{716CFDAB-A8A3-4787-B68A-628538EAE571}" type="pres">
      <dgm:prSet presAssocID="{184C4095-E2AD-4C88-BD0D-965DD737B7BD}" presName="hierRoot2" presStyleCnt="0">
        <dgm:presLayoutVars>
          <dgm:hierBranch val="init"/>
        </dgm:presLayoutVars>
      </dgm:prSet>
      <dgm:spPr/>
    </dgm:pt>
    <dgm:pt modelId="{2756D15F-95A7-4855-92F3-7FA6AA9415F7}" type="pres">
      <dgm:prSet presAssocID="{184C4095-E2AD-4C88-BD0D-965DD737B7BD}" presName="rootComposite" presStyleCnt="0"/>
      <dgm:spPr/>
    </dgm:pt>
    <dgm:pt modelId="{619212CD-C2A4-475D-9AB7-C4528EB576C2}" type="pres">
      <dgm:prSet presAssocID="{184C4095-E2AD-4C88-BD0D-965DD737B7BD}" presName="rootText" presStyleLbl="node4" presStyleIdx="34" presStyleCnt="72">
        <dgm:presLayoutVars>
          <dgm:chPref val="3"/>
        </dgm:presLayoutVars>
      </dgm:prSet>
      <dgm:spPr/>
    </dgm:pt>
    <dgm:pt modelId="{A8EE0DA1-8DDC-4666-8D97-05D178324DE9}" type="pres">
      <dgm:prSet presAssocID="{184C4095-E2AD-4C88-BD0D-965DD737B7BD}" presName="rootConnector" presStyleLbl="node4" presStyleIdx="34" presStyleCnt="72"/>
      <dgm:spPr/>
    </dgm:pt>
    <dgm:pt modelId="{EB03E5C7-619B-4393-B04E-E2B842562B51}" type="pres">
      <dgm:prSet presAssocID="{184C4095-E2AD-4C88-BD0D-965DD737B7BD}" presName="hierChild4" presStyleCnt="0"/>
      <dgm:spPr/>
    </dgm:pt>
    <dgm:pt modelId="{F79B2AAE-B943-41EE-848D-7ACAD312B905}" type="pres">
      <dgm:prSet presAssocID="{184C4095-E2AD-4C88-BD0D-965DD737B7BD}" presName="hierChild5" presStyleCnt="0"/>
      <dgm:spPr/>
    </dgm:pt>
    <dgm:pt modelId="{6782AC97-AD25-4346-BB7D-FF8CBD10B02D}" type="pres">
      <dgm:prSet presAssocID="{CDCC7A01-D46A-4C01-82C4-86CDEA725614}" presName="Name37" presStyleLbl="parChTrans1D4" presStyleIdx="35" presStyleCnt="72"/>
      <dgm:spPr/>
    </dgm:pt>
    <dgm:pt modelId="{35B99356-6BA6-49F2-A044-AC7F11070826}" type="pres">
      <dgm:prSet presAssocID="{38635412-32C5-4513-A99F-BB797170493C}" presName="hierRoot2" presStyleCnt="0">
        <dgm:presLayoutVars>
          <dgm:hierBranch val="init"/>
        </dgm:presLayoutVars>
      </dgm:prSet>
      <dgm:spPr/>
    </dgm:pt>
    <dgm:pt modelId="{1B2FC1C2-129C-489F-976A-6BAD28048137}" type="pres">
      <dgm:prSet presAssocID="{38635412-32C5-4513-A99F-BB797170493C}" presName="rootComposite" presStyleCnt="0"/>
      <dgm:spPr/>
    </dgm:pt>
    <dgm:pt modelId="{822E8CCF-2958-4C56-9FBC-EF69820F0ACC}" type="pres">
      <dgm:prSet presAssocID="{38635412-32C5-4513-A99F-BB797170493C}" presName="rootText" presStyleLbl="node4" presStyleIdx="35" presStyleCnt="72">
        <dgm:presLayoutVars>
          <dgm:chPref val="3"/>
        </dgm:presLayoutVars>
      </dgm:prSet>
      <dgm:spPr/>
    </dgm:pt>
    <dgm:pt modelId="{91139381-8AAB-4DB9-A592-5434B4BA8063}" type="pres">
      <dgm:prSet presAssocID="{38635412-32C5-4513-A99F-BB797170493C}" presName="rootConnector" presStyleLbl="node4" presStyleIdx="35" presStyleCnt="72"/>
      <dgm:spPr/>
    </dgm:pt>
    <dgm:pt modelId="{63E378C4-B9D0-4289-917B-ED9CC95F5809}" type="pres">
      <dgm:prSet presAssocID="{38635412-32C5-4513-A99F-BB797170493C}" presName="hierChild4" presStyleCnt="0"/>
      <dgm:spPr/>
    </dgm:pt>
    <dgm:pt modelId="{6A6CF396-3B54-48DA-9F94-0D7652421190}" type="pres">
      <dgm:prSet presAssocID="{38635412-32C5-4513-A99F-BB797170493C}" presName="hierChild5" presStyleCnt="0"/>
      <dgm:spPr/>
    </dgm:pt>
    <dgm:pt modelId="{BCF03A00-2F44-4AF6-8030-D25E309B2B74}" type="pres">
      <dgm:prSet presAssocID="{F05C3478-7A69-4779-805E-2E85D00A905A}" presName="hierChild5" presStyleCnt="0"/>
      <dgm:spPr/>
    </dgm:pt>
    <dgm:pt modelId="{EE230754-FBD6-4A9D-ADD9-547F646EAFE4}" type="pres">
      <dgm:prSet presAssocID="{B78840CD-48A4-4619-84B8-9F12176C54F4}" presName="hierChild5" presStyleCnt="0"/>
      <dgm:spPr/>
    </dgm:pt>
    <dgm:pt modelId="{8856003E-0924-4FF1-A81B-D3A57142761E}" type="pres">
      <dgm:prSet presAssocID="{3272336C-67B0-40A7-AC41-CC75FABE0270}" presName="hierChild5" presStyleCnt="0"/>
      <dgm:spPr/>
    </dgm:pt>
    <dgm:pt modelId="{486399C1-8ED0-4A54-9AF5-1FC5987C4F2C}" type="pres">
      <dgm:prSet presAssocID="{95ABC0B2-F5DD-4B2A-8613-1F9066798E51}" presName="Name37" presStyleLbl="parChTrans1D2" presStyleIdx="1" presStyleCnt="2"/>
      <dgm:spPr/>
    </dgm:pt>
    <dgm:pt modelId="{D1AFB346-17E0-4B0B-AAB3-6885CD7D03C4}" type="pres">
      <dgm:prSet presAssocID="{F598D19B-D2C1-4C61-83E9-558D9B7B3882}" presName="hierRoot2" presStyleCnt="0">
        <dgm:presLayoutVars>
          <dgm:hierBranch val="init"/>
        </dgm:presLayoutVars>
      </dgm:prSet>
      <dgm:spPr/>
    </dgm:pt>
    <dgm:pt modelId="{627A0634-E90C-46E2-894C-36F36A9DF8C3}" type="pres">
      <dgm:prSet presAssocID="{F598D19B-D2C1-4C61-83E9-558D9B7B3882}" presName="rootComposite" presStyleCnt="0"/>
      <dgm:spPr/>
    </dgm:pt>
    <dgm:pt modelId="{95BD7773-FF0A-4D88-983F-E79D38248DFA}" type="pres">
      <dgm:prSet presAssocID="{F598D19B-D2C1-4C61-83E9-558D9B7B3882}" presName="rootText" presStyleLbl="node2" presStyleIdx="1" presStyleCnt="2">
        <dgm:presLayoutVars>
          <dgm:chPref val="3"/>
        </dgm:presLayoutVars>
      </dgm:prSet>
      <dgm:spPr/>
    </dgm:pt>
    <dgm:pt modelId="{EE896E17-FC8F-43EA-B136-47943A80FBC7}" type="pres">
      <dgm:prSet presAssocID="{F598D19B-D2C1-4C61-83E9-558D9B7B3882}" presName="rootConnector" presStyleLbl="node2" presStyleIdx="1" presStyleCnt="2"/>
      <dgm:spPr/>
    </dgm:pt>
    <dgm:pt modelId="{B42CB1AC-6714-4740-877A-C021AA2FC6CD}" type="pres">
      <dgm:prSet presAssocID="{F598D19B-D2C1-4C61-83E9-558D9B7B3882}" presName="hierChild4" presStyleCnt="0"/>
      <dgm:spPr/>
    </dgm:pt>
    <dgm:pt modelId="{C156AF0A-3DD9-4420-AC49-A7B7F2AE43AF}" type="pres">
      <dgm:prSet presAssocID="{7B890384-9E67-45D8-A23E-BC4AC4E31FAC}" presName="Name37" presStyleLbl="parChTrans1D3" presStyleIdx="3" presStyleCnt="6"/>
      <dgm:spPr/>
    </dgm:pt>
    <dgm:pt modelId="{E8AE033F-A5D7-4B7B-96FA-EFCD7D85FCF3}" type="pres">
      <dgm:prSet presAssocID="{3039C17B-E4C4-4FED-8B84-CC377584ABE5}" presName="hierRoot2" presStyleCnt="0">
        <dgm:presLayoutVars>
          <dgm:hierBranch val="init"/>
        </dgm:presLayoutVars>
      </dgm:prSet>
      <dgm:spPr/>
    </dgm:pt>
    <dgm:pt modelId="{2DB6497A-433A-4635-A7CE-D7730F39DA8B}" type="pres">
      <dgm:prSet presAssocID="{3039C17B-E4C4-4FED-8B84-CC377584ABE5}" presName="rootComposite" presStyleCnt="0"/>
      <dgm:spPr/>
    </dgm:pt>
    <dgm:pt modelId="{2A26043E-1200-42C3-B891-CC4E1CD2F661}" type="pres">
      <dgm:prSet presAssocID="{3039C17B-E4C4-4FED-8B84-CC377584ABE5}" presName="rootText" presStyleLbl="node3" presStyleIdx="3" presStyleCnt="6">
        <dgm:presLayoutVars>
          <dgm:chPref val="3"/>
        </dgm:presLayoutVars>
      </dgm:prSet>
      <dgm:spPr/>
    </dgm:pt>
    <dgm:pt modelId="{A29A0863-1C0D-4E57-921B-D2605C07AFE9}" type="pres">
      <dgm:prSet presAssocID="{3039C17B-E4C4-4FED-8B84-CC377584ABE5}" presName="rootConnector" presStyleLbl="node3" presStyleIdx="3" presStyleCnt="6"/>
      <dgm:spPr/>
    </dgm:pt>
    <dgm:pt modelId="{790183D9-D549-4580-9725-FB5D4ED8A328}" type="pres">
      <dgm:prSet presAssocID="{3039C17B-E4C4-4FED-8B84-CC377584ABE5}" presName="hierChild4" presStyleCnt="0"/>
      <dgm:spPr/>
    </dgm:pt>
    <dgm:pt modelId="{37A81B5D-87BC-41C0-A2AC-2D6261846FB7}" type="pres">
      <dgm:prSet presAssocID="{0F3804AC-94B3-4151-8721-29AB48900C05}" presName="Name37" presStyleLbl="parChTrans1D4" presStyleIdx="36" presStyleCnt="72"/>
      <dgm:spPr/>
    </dgm:pt>
    <dgm:pt modelId="{D6FB865B-8A34-4A06-B657-54E2BFC66AEA}" type="pres">
      <dgm:prSet presAssocID="{6D707159-9184-4649-962F-C9614671967E}" presName="hierRoot2" presStyleCnt="0">
        <dgm:presLayoutVars>
          <dgm:hierBranch val="init"/>
        </dgm:presLayoutVars>
      </dgm:prSet>
      <dgm:spPr/>
    </dgm:pt>
    <dgm:pt modelId="{EBC76442-287F-4BBF-A430-B2F984F4D625}" type="pres">
      <dgm:prSet presAssocID="{6D707159-9184-4649-962F-C9614671967E}" presName="rootComposite" presStyleCnt="0"/>
      <dgm:spPr/>
    </dgm:pt>
    <dgm:pt modelId="{D0C71868-9975-47B5-9F17-4345280AC1E5}" type="pres">
      <dgm:prSet presAssocID="{6D707159-9184-4649-962F-C9614671967E}" presName="rootText" presStyleLbl="node4" presStyleIdx="36" presStyleCnt="72">
        <dgm:presLayoutVars>
          <dgm:chPref val="3"/>
        </dgm:presLayoutVars>
      </dgm:prSet>
      <dgm:spPr/>
    </dgm:pt>
    <dgm:pt modelId="{38C2ACE6-F98A-4D46-9915-5F69B821E2E5}" type="pres">
      <dgm:prSet presAssocID="{6D707159-9184-4649-962F-C9614671967E}" presName="rootConnector" presStyleLbl="node4" presStyleIdx="36" presStyleCnt="72"/>
      <dgm:spPr/>
    </dgm:pt>
    <dgm:pt modelId="{38E85E19-4BBF-4312-928F-B42B0970ADEB}" type="pres">
      <dgm:prSet presAssocID="{6D707159-9184-4649-962F-C9614671967E}" presName="hierChild4" presStyleCnt="0"/>
      <dgm:spPr/>
    </dgm:pt>
    <dgm:pt modelId="{6C1AFAED-130A-4B91-A5C0-4AB1DF8E8F4C}" type="pres">
      <dgm:prSet presAssocID="{10E6803F-5372-453D-8D94-58A109BD1D0D}" presName="Name37" presStyleLbl="parChTrans1D4" presStyleIdx="37" presStyleCnt="72"/>
      <dgm:spPr/>
    </dgm:pt>
    <dgm:pt modelId="{BF608558-3A6D-47BB-AF59-3000691CB9A9}" type="pres">
      <dgm:prSet presAssocID="{5A6685A1-B746-4FF8-A7EB-D21C014B98B1}" presName="hierRoot2" presStyleCnt="0">
        <dgm:presLayoutVars>
          <dgm:hierBranch val="init"/>
        </dgm:presLayoutVars>
      </dgm:prSet>
      <dgm:spPr/>
    </dgm:pt>
    <dgm:pt modelId="{7C501EF2-0402-4777-8B26-7A4CF8865BC5}" type="pres">
      <dgm:prSet presAssocID="{5A6685A1-B746-4FF8-A7EB-D21C014B98B1}" presName="rootComposite" presStyleCnt="0"/>
      <dgm:spPr/>
    </dgm:pt>
    <dgm:pt modelId="{87882C02-E0DD-44C1-BFD6-1E3C54850E09}" type="pres">
      <dgm:prSet presAssocID="{5A6685A1-B746-4FF8-A7EB-D21C014B98B1}" presName="rootText" presStyleLbl="node4" presStyleIdx="37" presStyleCnt="72">
        <dgm:presLayoutVars>
          <dgm:chPref val="3"/>
        </dgm:presLayoutVars>
      </dgm:prSet>
      <dgm:spPr/>
    </dgm:pt>
    <dgm:pt modelId="{EB61381B-74AF-43C6-BB7E-55A01CCAAA81}" type="pres">
      <dgm:prSet presAssocID="{5A6685A1-B746-4FF8-A7EB-D21C014B98B1}" presName="rootConnector" presStyleLbl="node4" presStyleIdx="37" presStyleCnt="72"/>
      <dgm:spPr/>
    </dgm:pt>
    <dgm:pt modelId="{36390965-E7C0-4136-B52D-24D9275F068E}" type="pres">
      <dgm:prSet presAssocID="{5A6685A1-B746-4FF8-A7EB-D21C014B98B1}" presName="hierChild4" presStyleCnt="0"/>
      <dgm:spPr/>
    </dgm:pt>
    <dgm:pt modelId="{34CB5D2A-88D3-429D-AD66-37D4AE125D36}" type="pres">
      <dgm:prSet presAssocID="{5A6685A1-B746-4FF8-A7EB-D21C014B98B1}" presName="hierChild5" presStyleCnt="0"/>
      <dgm:spPr/>
    </dgm:pt>
    <dgm:pt modelId="{23C2BE05-C35B-4AD4-BB78-B9EFCD81AED6}" type="pres">
      <dgm:prSet presAssocID="{A60F7C4E-51B7-4E43-8D21-BD69575A4FBB}" presName="Name37" presStyleLbl="parChTrans1D4" presStyleIdx="38" presStyleCnt="72"/>
      <dgm:spPr/>
    </dgm:pt>
    <dgm:pt modelId="{416E3CF5-2018-41C5-9EE4-97CC58EA362B}" type="pres">
      <dgm:prSet presAssocID="{465891A7-DB7B-43A7-92D4-EC5ACF9EAD83}" presName="hierRoot2" presStyleCnt="0">
        <dgm:presLayoutVars>
          <dgm:hierBranch val="init"/>
        </dgm:presLayoutVars>
      </dgm:prSet>
      <dgm:spPr/>
    </dgm:pt>
    <dgm:pt modelId="{CEFBDEA7-62CA-4451-8EBD-13B8192CF555}" type="pres">
      <dgm:prSet presAssocID="{465891A7-DB7B-43A7-92D4-EC5ACF9EAD83}" presName="rootComposite" presStyleCnt="0"/>
      <dgm:spPr/>
    </dgm:pt>
    <dgm:pt modelId="{EE636212-E301-4E72-A651-4FA246C4D7FD}" type="pres">
      <dgm:prSet presAssocID="{465891A7-DB7B-43A7-92D4-EC5ACF9EAD83}" presName="rootText" presStyleLbl="node4" presStyleIdx="38" presStyleCnt="72">
        <dgm:presLayoutVars>
          <dgm:chPref val="3"/>
        </dgm:presLayoutVars>
      </dgm:prSet>
      <dgm:spPr/>
    </dgm:pt>
    <dgm:pt modelId="{0721380C-7232-460A-B46E-BBC90E0DBFF5}" type="pres">
      <dgm:prSet presAssocID="{465891A7-DB7B-43A7-92D4-EC5ACF9EAD83}" presName="rootConnector" presStyleLbl="node4" presStyleIdx="38" presStyleCnt="72"/>
      <dgm:spPr/>
    </dgm:pt>
    <dgm:pt modelId="{4B1C16C6-3566-4BFF-80DB-E2FAE4F091E1}" type="pres">
      <dgm:prSet presAssocID="{465891A7-DB7B-43A7-92D4-EC5ACF9EAD83}" presName="hierChild4" presStyleCnt="0"/>
      <dgm:spPr/>
    </dgm:pt>
    <dgm:pt modelId="{3B9B786A-9834-47E9-B83E-3B9BF1C757FF}" type="pres">
      <dgm:prSet presAssocID="{465891A7-DB7B-43A7-92D4-EC5ACF9EAD83}" presName="hierChild5" presStyleCnt="0"/>
      <dgm:spPr/>
    </dgm:pt>
    <dgm:pt modelId="{13B53198-3EC9-42F9-AC4D-94E12DEC3B0D}" type="pres">
      <dgm:prSet presAssocID="{451658AB-2440-4F2E-99D8-5F6CE62C9F5D}" presName="Name37" presStyleLbl="parChTrans1D4" presStyleIdx="39" presStyleCnt="72"/>
      <dgm:spPr/>
    </dgm:pt>
    <dgm:pt modelId="{B7A3CDAA-62BB-44EE-AEB1-E2537B34BFAF}" type="pres">
      <dgm:prSet presAssocID="{26FB3AEE-B463-48FC-84F6-67D74CDD0D2C}" presName="hierRoot2" presStyleCnt="0">
        <dgm:presLayoutVars>
          <dgm:hierBranch val="init"/>
        </dgm:presLayoutVars>
      </dgm:prSet>
      <dgm:spPr/>
    </dgm:pt>
    <dgm:pt modelId="{2FC0A9D3-42D8-49BD-B0D4-000D36F109A0}" type="pres">
      <dgm:prSet presAssocID="{26FB3AEE-B463-48FC-84F6-67D74CDD0D2C}" presName="rootComposite" presStyleCnt="0"/>
      <dgm:spPr/>
    </dgm:pt>
    <dgm:pt modelId="{F752DC40-7B6E-44C1-A38A-94A2058E5BA7}" type="pres">
      <dgm:prSet presAssocID="{26FB3AEE-B463-48FC-84F6-67D74CDD0D2C}" presName="rootText" presStyleLbl="node4" presStyleIdx="39" presStyleCnt="72">
        <dgm:presLayoutVars>
          <dgm:chPref val="3"/>
        </dgm:presLayoutVars>
      </dgm:prSet>
      <dgm:spPr/>
    </dgm:pt>
    <dgm:pt modelId="{8C84B262-90C8-419A-B6C7-A6A010A3A841}" type="pres">
      <dgm:prSet presAssocID="{26FB3AEE-B463-48FC-84F6-67D74CDD0D2C}" presName="rootConnector" presStyleLbl="node4" presStyleIdx="39" presStyleCnt="72"/>
      <dgm:spPr/>
    </dgm:pt>
    <dgm:pt modelId="{5A6C9D73-44FA-4B10-9350-153CF1ABF865}" type="pres">
      <dgm:prSet presAssocID="{26FB3AEE-B463-48FC-84F6-67D74CDD0D2C}" presName="hierChild4" presStyleCnt="0"/>
      <dgm:spPr/>
    </dgm:pt>
    <dgm:pt modelId="{87F0A201-834B-4D96-AB25-DCCB7723B652}" type="pres">
      <dgm:prSet presAssocID="{26FB3AEE-B463-48FC-84F6-67D74CDD0D2C}" presName="hierChild5" presStyleCnt="0"/>
      <dgm:spPr/>
    </dgm:pt>
    <dgm:pt modelId="{3483035D-A102-44E3-BB68-7E936D6583D6}" type="pres">
      <dgm:prSet presAssocID="{6D707159-9184-4649-962F-C9614671967E}" presName="hierChild5" presStyleCnt="0"/>
      <dgm:spPr/>
    </dgm:pt>
    <dgm:pt modelId="{ABC56D23-F9E0-40F5-8D2C-B479A09E0150}" type="pres">
      <dgm:prSet presAssocID="{723276F3-E905-4822-A2AC-CA349AF1AA01}" presName="Name37" presStyleLbl="parChTrans1D4" presStyleIdx="40" presStyleCnt="72"/>
      <dgm:spPr/>
    </dgm:pt>
    <dgm:pt modelId="{D17B02C8-961F-4449-9670-9D19D4F90F25}" type="pres">
      <dgm:prSet presAssocID="{94837C2E-4FE0-4F0C-A2B9-88128B887BBE}" presName="hierRoot2" presStyleCnt="0">
        <dgm:presLayoutVars>
          <dgm:hierBranch val="init"/>
        </dgm:presLayoutVars>
      </dgm:prSet>
      <dgm:spPr/>
    </dgm:pt>
    <dgm:pt modelId="{70D6FA3D-B6A4-48CE-9268-77ABF455FAF0}" type="pres">
      <dgm:prSet presAssocID="{94837C2E-4FE0-4F0C-A2B9-88128B887BBE}" presName="rootComposite" presStyleCnt="0"/>
      <dgm:spPr/>
    </dgm:pt>
    <dgm:pt modelId="{DFBFB404-0D2D-4627-B0D7-4FB63471431F}" type="pres">
      <dgm:prSet presAssocID="{94837C2E-4FE0-4F0C-A2B9-88128B887BBE}" presName="rootText" presStyleLbl="node4" presStyleIdx="40" presStyleCnt="72">
        <dgm:presLayoutVars>
          <dgm:chPref val="3"/>
        </dgm:presLayoutVars>
      </dgm:prSet>
      <dgm:spPr/>
    </dgm:pt>
    <dgm:pt modelId="{026882D0-EDE9-459E-94F3-EB888604FDAD}" type="pres">
      <dgm:prSet presAssocID="{94837C2E-4FE0-4F0C-A2B9-88128B887BBE}" presName="rootConnector" presStyleLbl="node4" presStyleIdx="40" presStyleCnt="72"/>
      <dgm:spPr/>
    </dgm:pt>
    <dgm:pt modelId="{39D24C13-BEEF-4E6A-BC33-A85297760998}" type="pres">
      <dgm:prSet presAssocID="{94837C2E-4FE0-4F0C-A2B9-88128B887BBE}" presName="hierChild4" presStyleCnt="0"/>
      <dgm:spPr/>
    </dgm:pt>
    <dgm:pt modelId="{6782239F-CE21-4464-B90C-854BCECF8D06}" type="pres">
      <dgm:prSet presAssocID="{D3826524-8914-492E-987C-7C4AEA2F9E6C}" presName="Name37" presStyleLbl="parChTrans1D4" presStyleIdx="41" presStyleCnt="72"/>
      <dgm:spPr/>
    </dgm:pt>
    <dgm:pt modelId="{CA97D5BD-756D-4F09-871E-6C0647965D96}" type="pres">
      <dgm:prSet presAssocID="{3E06ABE1-32DC-4DEB-9EA5-6406C48A3EB5}" presName="hierRoot2" presStyleCnt="0">
        <dgm:presLayoutVars>
          <dgm:hierBranch val="init"/>
        </dgm:presLayoutVars>
      </dgm:prSet>
      <dgm:spPr/>
    </dgm:pt>
    <dgm:pt modelId="{5D96DF2A-11B2-43D0-A497-4EE00C37BEAE}" type="pres">
      <dgm:prSet presAssocID="{3E06ABE1-32DC-4DEB-9EA5-6406C48A3EB5}" presName="rootComposite" presStyleCnt="0"/>
      <dgm:spPr/>
    </dgm:pt>
    <dgm:pt modelId="{84D2B172-B1E7-4A16-919E-63A72442E121}" type="pres">
      <dgm:prSet presAssocID="{3E06ABE1-32DC-4DEB-9EA5-6406C48A3EB5}" presName="rootText" presStyleLbl="node4" presStyleIdx="41" presStyleCnt="72">
        <dgm:presLayoutVars>
          <dgm:chPref val="3"/>
        </dgm:presLayoutVars>
      </dgm:prSet>
      <dgm:spPr/>
    </dgm:pt>
    <dgm:pt modelId="{5242AC8E-8DF8-47B6-93D0-FFBE7443D68E}" type="pres">
      <dgm:prSet presAssocID="{3E06ABE1-32DC-4DEB-9EA5-6406C48A3EB5}" presName="rootConnector" presStyleLbl="node4" presStyleIdx="41" presStyleCnt="72"/>
      <dgm:spPr/>
    </dgm:pt>
    <dgm:pt modelId="{E7042688-8D59-46B6-B336-A14EFDE87CA5}" type="pres">
      <dgm:prSet presAssocID="{3E06ABE1-32DC-4DEB-9EA5-6406C48A3EB5}" presName="hierChild4" presStyleCnt="0"/>
      <dgm:spPr/>
    </dgm:pt>
    <dgm:pt modelId="{C95B432D-2133-4EFD-8E3F-DD9F38E470BE}" type="pres">
      <dgm:prSet presAssocID="{3E06ABE1-32DC-4DEB-9EA5-6406C48A3EB5}" presName="hierChild5" presStyleCnt="0"/>
      <dgm:spPr/>
    </dgm:pt>
    <dgm:pt modelId="{0CD59D97-A0FE-446B-9D5D-B2C2DCF9395E}" type="pres">
      <dgm:prSet presAssocID="{738EED44-B888-42BA-B441-ADE069CDE589}" presName="Name37" presStyleLbl="parChTrans1D4" presStyleIdx="42" presStyleCnt="72"/>
      <dgm:spPr/>
    </dgm:pt>
    <dgm:pt modelId="{9167D7C1-D05B-4E76-9336-EF762DBFA215}" type="pres">
      <dgm:prSet presAssocID="{A2A46C8C-ADBA-4474-84F9-73625F361335}" presName="hierRoot2" presStyleCnt="0">
        <dgm:presLayoutVars>
          <dgm:hierBranch val="init"/>
        </dgm:presLayoutVars>
      </dgm:prSet>
      <dgm:spPr/>
    </dgm:pt>
    <dgm:pt modelId="{150BBA67-C27C-487A-85E0-635D68DF6A66}" type="pres">
      <dgm:prSet presAssocID="{A2A46C8C-ADBA-4474-84F9-73625F361335}" presName="rootComposite" presStyleCnt="0"/>
      <dgm:spPr/>
    </dgm:pt>
    <dgm:pt modelId="{CD166102-5550-412E-9845-76D57E0D6481}" type="pres">
      <dgm:prSet presAssocID="{A2A46C8C-ADBA-4474-84F9-73625F361335}" presName="rootText" presStyleLbl="node4" presStyleIdx="42" presStyleCnt="72">
        <dgm:presLayoutVars>
          <dgm:chPref val="3"/>
        </dgm:presLayoutVars>
      </dgm:prSet>
      <dgm:spPr/>
    </dgm:pt>
    <dgm:pt modelId="{B41C13C3-01AD-437C-930D-6D73E52EFFB5}" type="pres">
      <dgm:prSet presAssocID="{A2A46C8C-ADBA-4474-84F9-73625F361335}" presName="rootConnector" presStyleLbl="node4" presStyleIdx="42" presStyleCnt="72"/>
      <dgm:spPr/>
    </dgm:pt>
    <dgm:pt modelId="{693FA8EF-5C82-4A15-92D0-E3E32D8B35CD}" type="pres">
      <dgm:prSet presAssocID="{A2A46C8C-ADBA-4474-84F9-73625F361335}" presName="hierChild4" presStyleCnt="0"/>
      <dgm:spPr/>
    </dgm:pt>
    <dgm:pt modelId="{3A1C6E06-7977-4B6C-A76D-028505090CEC}" type="pres">
      <dgm:prSet presAssocID="{A2A46C8C-ADBA-4474-84F9-73625F361335}" presName="hierChild5" presStyleCnt="0"/>
      <dgm:spPr/>
    </dgm:pt>
    <dgm:pt modelId="{4891FAE5-EA73-48E8-B207-27FED46380A3}" type="pres">
      <dgm:prSet presAssocID="{82F1DFE8-6987-4852-8605-161789621196}" presName="Name37" presStyleLbl="parChTrans1D4" presStyleIdx="43" presStyleCnt="72"/>
      <dgm:spPr/>
    </dgm:pt>
    <dgm:pt modelId="{E439550F-70EB-4CEB-B3FF-CFE5F569C413}" type="pres">
      <dgm:prSet presAssocID="{62A86D8C-F142-4724-BF3B-47215CBE210F}" presName="hierRoot2" presStyleCnt="0">
        <dgm:presLayoutVars>
          <dgm:hierBranch val="init"/>
        </dgm:presLayoutVars>
      </dgm:prSet>
      <dgm:spPr/>
    </dgm:pt>
    <dgm:pt modelId="{6CE0C12A-693A-4877-8C9B-FD82B3BCF965}" type="pres">
      <dgm:prSet presAssocID="{62A86D8C-F142-4724-BF3B-47215CBE210F}" presName="rootComposite" presStyleCnt="0"/>
      <dgm:spPr/>
    </dgm:pt>
    <dgm:pt modelId="{049852A8-94EA-406A-A4A5-C348CF12A5FC}" type="pres">
      <dgm:prSet presAssocID="{62A86D8C-F142-4724-BF3B-47215CBE210F}" presName="rootText" presStyleLbl="node4" presStyleIdx="43" presStyleCnt="72">
        <dgm:presLayoutVars>
          <dgm:chPref val="3"/>
        </dgm:presLayoutVars>
      </dgm:prSet>
      <dgm:spPr/>
    </dgm:pt>
    <dgm:pt modelId="{8156D29F-17EB-45ED-AAEB-14FE4EAAA8F3}" type="pres">
      <dgm:prSet presAssocID="{62A86D8C-F142-4724-BF3B-47215CBE210F}" presName="rootConnector" presStyleLbl="node4" presStyleIdx="43" presStyleCnt="72"/>
      <dgm:spPr/>
    </dgm:pt>
    <dgm:pt modelId="{C3D85408-BBA9-4DB8-B10F-CA05E183E7F3}" type="pres">
      <dgm:prSet presAssocID="{62A86D8C-F142-4724-BF3B-47215CBE210F}" presName="hierChild4" presStyleCnt="0"/>
      <dgm:spPr/>
    </dgm:pt>
    <dgm:pt modelId="{74D9D30A-9D66-4EA4-BEF8-E851816F5D1C}" type="pres">
      <dgm:prSet presAssocID="{62A86D8C-F142-4724-BF3B-47215CBE210F}" presName="hierChild5" presStyleCnt="0"/>
      <dgm:spPr/>
    </dgm:pt>
    <dgm:pt modelId="{D4CDE5F3-927D-4DD7-BE85-F3DFCDA29D4A}" type="pres">
      <dgm:prSet presAssocID="{94837C2E-4FE0-4F0C-A2B9-88128B887BBE}" presName="hierChild5" presStyleCnt="0"/>
      <dgm:spPr/>
    </dgm:pt>
    <dgm:pt modelId="{F2AFE134-3F00-46C7-AAC6-B6D5ED070B18}" type="pres">
      <dgm:prSet presAssocID="{AECE4CE0-3DE2-4C3F-81AD-C767AE588C88}" presName="Name37" presStyleLbl="parChTrans1D4" presStyleIdx="44" presStyleCnt="72"/>
      <dgm:spPr/>
    </dgm:pt>
    <dgm:pt modelId="{901EC4FE-CA13-4D12-AB92-409D0175353C}" type="pres">
      <dgm:prSet presAssocID="{D7D1A60F-C56B-46FB-8FFC-BE639F0BFC9F}" presName="hierRoot2" presStyleCnt="0">
        <dgm:presLayoutVars>
          <dgm:hierBranch val="init"/>
        </dgm:presLayoutVars>
      </dgm:prSet>
      <dgm:spPr/>
    </dgm:pt>
    <dgm:pt modelId="{B68CBA2B-56DD-4FEA-A343-D549EF084D9C}" type="pres">
      <dgm:prSet presAssocID="{D7D1A60F-C56B-46FB-8FFC-BE639F0BFC9F}" presName="rootComposite" presStyleCnt="0"/>
      <dgm:spPr/>
    </dgm:pt>
    <dgm:pt modelId="{B4C86F6D-F3EE-4147-A06A-643F9BFC18C7}" type="pres">
      <dgm:prSet presAssocID="{D7D1A60F-C56B-46FB-8FFC-BE639F0BFC9F}" presName="rootText" presStyleLbl="node4" presStyleIdx="44" presStyleCnt="72">
        <dgm:presLayoutVars>
          <dgm:chPref val="3"/>
        </dgm:presLayoutVars>
      </dgm:prSet>
      <dgm:spPr/>
    </dgm:pt>
    <dgm:pt modelId="{F70E9A4C-E562-436D-B793-F8BED5F91580}" type="pres">
      <dgm:prSet presAssocID="{D7D1A60F-C56B-46FB-8FFC-BE639F0BFC9F}" presName="rootConnector" presStyleLbl="node4" presStyleIdx="44" presStyleCnt="72"/>
      <dgm:spPr/>
    </dgm:pt>
    <dgm:pt modelId="{1F022B7E-6B11-40AC-93D0-5B924DF0F29F}" type="pres">
      <dgm:prSet presAssocID="{D7D1A60F-C56B-46FB-8FFC-BE639F0BFC9F}" presName="hierChild4" presStyleCnt="0"/>
      <dgm:spPr/>
    </dgm:pt>
    <dgm:pt modelId="{0BB9E70C-AC65-478E-B47E-4C95061FD7DD}" type="pres">
      <dgm:prSet presAssocID="{37989FF9-0384-4422-A0E1-40A3C334366D}" presName="Name37" presStyleLbl="parChTrans1D4" presStyleIdx="45" presStyleCnt="72"/>
      <dgm:spPr/>
    </dgm:pt>
    <dgm:pt modelId="{7CC9639D-6BE5-4AA5-A501-F2886FEF30B4}" type="pres">
      <dgm:prSet presAssocID="{4F8E4A3A-C6FB-4DF8-AF61-13EE6742A679}" presName="hierRoot2" presStyleCnt="0">
        <dgm:presLayoutVars>
          <dgm:hierBranch val="init"/>
        </dgm:presLayoutVars>
      </dgm:prSet>
      <dgm:spPr/>
    </dgm:pt>
    <dgm:pt modelId="{27F51E99-C647-45E4-A383-51B83D1FB34C}" type="pres">
      <dgm:prSet presAssocID="{4F8E4A3A-C6FB-4DF8-AF61-13EE6742A679}" presName="rootComposite" presStyleCnt="0"/>
      <dgm:spPr/>
    </dgm:pt>
    <dgm:pt modelId="{8244F71B-B85E-4709-BD94-0ABBFB562FFC}" type="pres">
      <dgm:prSet presAssocID="{4F8E4A3A-C6FB-4DF8-AF61-13EE6742A679}" presName="rootText" presStyleLbl="node4" presStyleIdx="45" presStyleCnt="72">
        <dgm:presLayoutVars>
          <dgm:chPref val="3"/>
        </dgm:presLayoutVars>
      </dgm:prSet>
      <dgm:spPr/>
    </dgm:pt>
    <dgm:pt modelId="{81D2B6E6-31CD-43E0-BF96-FFAFB8768C39}" type="pres">
      <dgm:prSet presAssocID="{4F8E4A3A-C6FB-4DF8-AF61-13EE6742A679}" presName="rootConnector" presStyleLbl="node4" presStyleIdx="45" presStyleCnt="72"/>
      <dgm:spPr/>
    </dgm:pt>
    <dgm:pt modelId="{5D52B81C-D415-40E0-9201-D93F48F9A077}" type="pres">
      <dgm:prSet presAssocID="{4F8E4A3A-C6FB-4DF8-AF61-13EE6742A679}" presName="hierChild4" presStyleCnt="0"/>
      <dgm:spPr/>
    </dgm:pt>
    <dgm:pt modelId="{070AB1B5-5A8F-43E1-8F56-E905256AD143}" type="pres">
      <dgm:prSet presAssocID="{4F8E4A3A-C6FB-4DF8-AF61-13EE6742A679}" presName="hierChild5" presStyleCnt="0"/>
      <dgm:spPr/>
    </dgm:pt>
    <dgm:pt modelId="{B41A9B77-6294-4447-8DBE-99799DBDB4C5}" type="pres">
      <dgm:prSet presAssocID="{5F30F744-9E14-4BD4-B6ED-BD67BCC846DC}" presName="Name37" presStyleLbl="parChTrans1D4" presStyleIdx="46" presStyleCnt="72"/>
      <dgm:spPr/>
    </dgm:pt>
    <dgm:pt modelId="{A6BB2E1C-FD5E-420D-8EA8-3CECF96F3C05}" type="pres">
      <dgm:prSet presAssocID="{256B73C7-A551-4C46-9EB6-B4B4C68E5882}" presName="hierRoot2" presStyleCnt="0">
        <dgm:presLayoutVars>
          <dgm:hierBranch val="init"/>
        </dgm:presLayoutVars>
      </dgm:prSet>
      <dgm:spPr/>
    </dgm:pt>
    <dgm:pt modelId="{B3EE43DF-9010-4050-AEA8-17B8413E2B3E}" type="pres">
      <dgm:prSet presAssocID="{256B73C7-A551-4C46-9EB6-B4B4C68E5882}" presName="rootComposite" presStyleCnt="0"/>
      <dgm:spPr/>
    </dgm:pt>
    <dgm:pt modelId="{61571800-0A8D-4FC4-8D8D-547C885DB07E}" type="pres">
      <dgm:prSet presAssocID="{256B73C7-A551-4C46-9EB6-B4B4C68E5882}" presName="rootText" presStyleLbl="node4" presStyleIdx="46" presStyleCnt="72">
        <dgm:presLayoutVars>
          <dgm:chPref val="3"/>
        </dgm:presLayoutVars>
      </dgm:prSet>
      <dgm:spPr/>
    </dgm:pt>
    <dgm:pt modelId="{E6FBFD17-1284-4AE2-A512-9DCDC154BE15}" type="pres">
      <dgm:prSet presAssocID="{256B73C7-A551-4C46-9EB6-B4B4C68E5882}" presName="rootConnector" presStyleLbl="node4" presStyleIdx="46" presStyleCnt="72"/>
      <dgm:spPr/>
    </dgm:pt>
    <dgm:pt modelId="{651F623E-88F6-475E-9B73-36881D8B6767}" type="pres">
      <dgm:prSet presAssocID="{256B73C7-A551-4C46-9EB6-B4B4C68E5882}" presName="hierChild4" presStyleCnt="0"/>
      <dgm:spPr/>
    </dgm:pt>
    <dgm:pt modelId="{30D8B834-8335-4BF0-AF27-5457DB5B578B}" type="pres">
      <dgm:prSet presAssocID="{256B73C7-A551-4C46-9EB6-B4B4C68E5882}" presName="hierChild5" presStyleCnt="0"/>
      <dgm:spPr/>
    </dgm:pt>
    <dgm:pt modelId="{2BDA2F55-655E-48C8-BC65-DE70EECF077B}" type="pres">
      <dgm:prSet presAssocID="{DEE12491-B935-45C3-8BE6-4361AF022146}" presName="Name37" presStyleLbl="parChTrans1D4" presStyleIdx="47" presStyleCnt="72"/>
      <dgm:spPr/>
    </dgm:pt>
    <dgm:pt modelId="{84A41E76-44DD-43C8-96C8-DEA49D6D84F3}" type="pres">
      <dgm:prSet presAssocID="{8BCD85A1-63D6-4CD7-9563-1D76D1BDC02D}" presName="hierRoot2" presStyleCnt="0">
        <dgm:presLayoutVars>
          <dgm:hierBranch val="init"/>
        </dgm:presLayoutVars>
      </dgm:prSet>
      <dgm:spPr/>
    </dgm:pt>
    <dgm:pt modelId="{6012615D-D26C-4C74-B75C-A7FCA36F9191}" type="pres">
      <dgm:prSet presAssocID="{8BCD85A1-63D6-4CD7-9563-1D76D1BDC02D}" presName="rootComposite" presStyleCnt="0"/>
      <dgm:spPr/>
    </dgm:pt>
    <dgm:pt modelId="{368FB3DE-A623-4884-AA7E-90E551597398}" type="pres">
      <dgm:prSet presAssocID="{8BCD85A1-63D6-4CD7-9563-1D76D1BDC02D}" presName="rootText" presStyleLbl="node4" presStyleIdx="47" presStyleCnt="72">
        <dgm:presLayoutVars>
          <dgm:chPref val="3"/>
        </dgm:presLayoutVars>
      </dgm:prSet>
      <dgm:spPr/>
    </dgm:pt>
    <dgm:pt modelId="{F80ABF11-685A-46DA-8CB7-93FE72A8CD82}" type="pres">
      <dgm:prSet presAssocID="{8BCD85A1-63D6-4CD7-9563-1D76D1BDC02D}" presName="rootConnector" presStyleLbl="node4" presStyleIdx="47" presStyleCnt="72"/>
      <dgm:spPr/>
    </dgm:pt>
    <dgm:pt modelId="{ED05B4FC-BA65-451A-ADC5-DC868D659FD0}" type="pres">
      <dgm:prSet presAssocID="{8BCD85A1-63D6-4CD7-9563-1D76D1BDC02D}" presName="hierChild4" presStyleCnt="0"/>
      <dgm:spPr/>
    </dgm:pt>
    <dgm:pt modelId="{FAB4D698-FB85-4053-8FAD-7261D0D69010}" type="pres">
      <dgm:prSet presAssocID="{8BCD85A1-63D6-4CD7-9563-1D76D1BDC02D}" presName="hierChild5" presStyleCnt="0"/>
      <dgm:spPr/>
    </dgm:pt>
    <dgm:pt modelId="{773B0B24-92D3-4ABF-9E53-AE2AE85D5A00}" type="pres">
      <dgm:prSet presAssocID="{D7D1A60F-C56B-46FB-8FFC-BE639F0BFC9F}" presName="hierChild5" presStyleCnt="0"/>
      <dgm:spPr/>
    </dgm:pt>
    <dgm:pt modelId="{767018E4-E68C-4C1E-88C9-198DB847D5AD}" type="pres">
      <dgm:prSet presAssocID="{3039C17B-E4C4-4FED-8B84-CC377584ABE5}" presName="hierChild5" presStyleCnt="0"/>
      <dgm:spPr/>
    </dgm:pt>
    <dgm:pt modelId="{CC47BA72-88C1-4B69-B3F5-D02B3D8B750D}" type="pres">
      <dgm:prSet presAssocID="{3CC88184-4183-4A84-8836-1E766171569E}" presName="Name37" presStyleLbl="parChTrans1D3" presStyleIdx="4" presStyleCnt="6"/>
      <dgm:spPr/>
    </dgm:pt>
    <dgm:pt modelId="{3FBFC1DD-2246-424A-A58C-B352429F7475}" type="pres">
      <dgm:prSet presAssocID="{BF00BCC0-9B1F-44D4-9EE0-D6D2096E9246}" presName="hierRoot2" presStyleCnt="0">
        <dgm:presLayoutVars>
          <dgm:hierBranch val="init"/>
        </dgm:presLayoutVars>
      </dgm:prSet>
      <dgm:spPr/>
    </dgm:pt>
    <dgm:pt modelId="{5A2AEA3F-4BC9-4BFC-9681-4B2343C63BFA}" type="pres">
      <dgm:prSet presAssocID="{BF00BCC0-9B1F-44D4-9EE0-D6D2096E9246}" presName="rootComposite" presStyleCnt="0"/>
      <dgm:spPr/>
    </dgm:pt>
    <dgm:pt modelId="{081DE242-B243-4BEE-A2EF-F43AE0C5B242}" type="pres">
      <dgm:prSet presAssocID="{BF00BCC0-9B1F-44D4-9EE0-D6D2096E9246}" presName="rootText" presStyleLbl="node3" presStyleIdx="4" presStyleCnt="6">
        <dgm:presLayoutVars>
          <dgm:chPref val="3"/>
        </dgm:presLayoutVars>
      </dgm:prSet>
      <dgm:spPr/>
    </dgm:pt>
    <dgm:pt modelId="{A0E74E53-BC0D-4F2D-BE62-006AD847899F}" type="pres">
      <dgm:prSet presAssocID="{BF00BCC0-9B1F-44D4-9EE0-D6D2096E9246}" presName="rootConnector" presStyleLbl="node3" presStyleIdx="4" presStyleCnt="6"/>
      <dgm:spPr/>
    </dgm:pt>
    <dgm:pt modelId="{2794909B-F35E-4681-BCDB-F46FC69DE49D}" type="pres">
      <dgm:prSet presAssocID="{BF00BCC0-9B1F-44D4-9EE0-D6D2096E9246}" presName="hierChild4" presStyleCnt="0"/>
      <dgm:spPr/>
    </dgm:pt>
    <dgm:pt modelId="{8F078016-7D7C-4CFF-9F9C-63555F2A56E1}" type="pres">
      <dgm:prSet presAssocID="{30487320-4763-4D55-9F7F-4BCA2881B7E0}" presName="Name37" presStyleLbl="parChTrans1D4" presStyleIdx="48" presStyleCnt="72"/>
      <dgm:spPr/>
    </dgm:pt>
    <dgm:pt modelId="{237733B3-CD2D-4139-8769-2D88AB7D5503}" type="pres">
      <dgm:prSet presAssocID="{B7307D27-CA88-4AAF-BDE6-69021D17FE48}" presName="hierRoot2" presStyleCnt="0">
        <dgm:presLayoutVars>
          <dgm:hierBranch val="init"/>
        </dgm:presLayoutVars>
      </dgm:prSet>
      <dgm:spPr/>
    </dgm:pt>
    <dgm:pt modelId="{40DD00F0-E61C-44F5-8B59-E52888CAEFF1}" type="pres">
      <dgm:prSet presAssocID="{B7307D27-CA88-4AAF-BDE6-69021D17FE48}" presName="rootComposite" presStyleCnt="0"/>
      <dgm:spPr/>
    </dgm:pt>
    <dgm:pt modelId="{7CF15005-9BB4-4F6C-A5C5-7EE8E1F18C04}" type="pres">
      <dgm:prSet presAssocID="{B7307D27-CA88-4AAF-BDE6-69021D17FE48}" presName="rootText" presStyleLbl="node4" presStyleIdx="48" presStyleCnt="72">
        <dgm:presLayoutVars>
          <dgm:chPref val="3"/>
        </dgm:presLayoutVars>
      </dgm:prSet>
      <dgm:spPr/>
    </dgm:pt>
    <dgm:pt modelId="{99D62190-7AB0-4127-9626-FBCEF3700323}" type="pres">
      <dgm:prSet presAssocID="{B7307D27-CA88-4AAF-BDE6-69021D17FE48}" presName="rootConnector" presStyleLbl="node4" presStyleIdx="48" presStyleCnt="72"/>
      <dgm:spPr/>
    </dgm:pt>
    <dgm:pt modelId="{2A4D4091-F418-4FF8-82E8-175C756D3AC0}" type="pres">
      <dgm:prSet presAssocID="{B7307D27-CA88-4AAF-BDE6-69021D17FE48}" presName="hierChild4" presStyleCnt="0"/>
      <dgm:spPr/>
    </dgm:pt>
    <dgm:pt modelId="{F101E42C-1F98-4CCA-835D-886350D76600}" type="pres">
      <dgm:prSet presAssocID="{158A9C75-C8DD-4F8B-93B6-0C5250F012CA}" presName="Name37" presStyleLbl="parChTrans1D4" presStyleIdx="49" presStyleCnt="72"/>
      <dgm:spPr/>
    </dgm:pt>
    <dgm:pt modelId="{31EAEFB4-C9D5-40FF-818E-F31410624EEF}" type="pres">
      <dgm:prSet presAssocID="{63F6C9A5-3CCD-462D-97D7-07A93B3BCCD0}" presName="hierRoot2" presStyleCnt="0">
        <dgm:presLayoutVars>
          <dgm:hierBranch val="init"/>
        </dgm:presLayoutVars>
      </dgm:prSet>
      <dgm:spPr/>
    </dgm:pt>
    <dgm:pt modelId="{A4507D47-840A-4D18-82B1-5E9EC69096C5}" type="pres">
      <dgm:prSet presAssocID="{63F6C9A5-3CCD-462D-97D7-07A93B3BCCD0}" presName="rootComposite" presStyleCnt="0"/>
      <dgm:spPr/>
    </dgm:pt>
    <dgm:pt modelId="{39AEE0EC-0C8A-401D-8E43-4EA5285EF20E}" type="pres">
      <dgm:prSet presAssocID="{63F6C9A5-3CCD-462D-97D7-07A93B3BCCD0}" presName="rootText" presStyleLbl="node4" presStyleIdx="49" presStyleCnt="72">
        <dgm:presLayoutVars>
          <dgm:chPref val="3"/>
        </dgm:presLayoutVars>
      </dgm:prSet>
      <dgm:spPr/>
    </dgm:pt>
    <dgm:pt modelId="{6D7F3F3D-1865-4C4C-B0EF-AEDA3D59E241}" type="pres">
      <dgm:prSet presAssocID="{63F6C9A5-3CCD-462D-97D7-07A93B3BCCD0}" presName="rootConnector" presStyleLbl="node4" presStyleIdx="49" presStyleCnt="72"/>
      <dgm:spPr/>
    </dgm:pt>
    <dgm:pt modelId="{475E790F-AC38-4652-AA7A-1B7FDF26120A}" type="pres">
      <dgm:prSet presAssocID="{63F6C9A5-3CCD-462D-97D7-07A93B3BCCD0}" presName="hierChild4" presStyleCnt="0"/>
      <dgm:spPr/>
    </dgm:pt>
    <dgm:pt modelId="{E744C7AC-010A-435C-9EE8-6385A1C634DE}" type="pres">
      <dgm:prSet presAssocID="{63F6C9A5-3CCD-462D-97D7-07A93B3BCCD0}" presName="hierChild5" presStyleCnt="0"/>
      <dgm:spPr/>
    </dgm:pt>
    <dgm:pt modelId="{AA79F97D-CE59-4D91-A4F3-97D379538E65}" type="pres">
      <dgm:prSet presAssocID="{519DCCF5-E5FA-41E2-A3C0-B9BE7F56F64C}" presName="Name37" presStyleLbl="parChTrans1D4" presStyleIdx="50" presStyleCnt="72"/>
      <dgm:spPr/>
    </dgm:pt>
    <dgm:pt modelId="{E506F479-2BCE-4922-AAA3-FBF0D9496097}" type="pres">
      <dgm:prSet presAssocID="{69A1EA13-5FE7-4F07-8D3B-DD52F42FB898}" presName="hierRoot2" presStyleCnt="0">
        <dgm:presLayoutVars>
          <dgm:hierBranch val="init"/>
        </dgm:presLayoutVars>
      </dgm:prSet>
      <dgm:spPr/>
    </dgm:pt>
    <dgm:pt modelId="{98761377-B2C8-47EF-8BC2-55B9607503EC}" type="pres">
      <dgm:prSet presAssocID="{69A1EA13-5FE7-4F07-8D3B-DD52F42FB898}" presName="rootComposite" presStyleCnt="0"/>
      <dgm:spPr/>
    </dgm:pt>
    <dgm:pt modelId="{894C4110-F916-4DF2-B14B-DF032E7E5027}" type="pres">
      <dgm:prSet presAssocID="{69A1EA13-5FE7-4F07-8D3B-DD52F42FB898}" presName="rootText" presStyleLbl="node4" presStyleIdx="50" presStyleCnt="72">
        <dgm:presLayoutVars>
          <dgm:chPref val="3"/>
        </dgm:presLayoutVars>
      </dgm:prSet>
      <dgm:spPr/>
    </dgm:pt>
    <dgm:pt modelId="{3A21286B-E30B-4A7E-A32D-9B49C92A4AF2}" type="pres">
      <dgm:prSet presAssocID="{69A1EA13-5FE7-4F07-8D3B-DD52F42FB898}" presName="rootConnector" presStyleLbl="node4" presStyleIdx="50" presStyleCnt="72"/>
      <dgm:spPr/>
    </dgm:pt>
    <dgm:pt modelId="{95F551E9-324E-4D47-B3FB-06311F996580}" type="pres">
      <dgm:prSet presAssocID="{69A1EA13-5FE7-4F07-8D3B-DD52F42FB898}" presName="hierChild4" presStyleCnt="0"/>
      <dgm:spPr/>
    </dgm:pt>
    <dgm:pt modelId="{2048E3B7-8D98-43AD-8EDF-5251B386FE26}" type="pres">
      <dgm:prSet presAssocID="{69A1EA13-5FE7-4F07-8D3B-DD52F42FB898}" presName="hierChild5" presStyleCnt="0"/>
      <dgm:spPr/>
    </dgm:pt>
    <dgm:pt modelId="{508FFC0E-A829-4EE0-8348-E36331CA4662}" type="pres">
      <dgm:prSet presAssocID="{9B7CF9F5-E67A-4645-92E0-13ECB0C2EC6F}" presName="Name37" presStyleLbl="parChTrans1D4" presStyleIdx="51" presStyleCnt="72"/>
      <dgm:spPr/>
    </dgm:pt>
    <dgm:pt modelId="{1DFC812A-7E1A-49B4-9BD0-1E857BFA6D8C}" type="pres">
      <dgm:prSet presAssocID="{CF28D14E-3CFA-4B24-ADCD-CDF7CF47DFB4}" presName="hierRoot2" presStyleCnt="0">
        <dgm:presLayoutVars>
          <dgm:hierBranch val="init"/>
        </dgm:presLayoutVars>
      </dgm:prSet>
      <dgm:spPr/>
    </dgm:pt>
    <dgm:pt modelId="{C1B7F2B4-930E-49FE-921C-D1259185741F}" type="pres">
      <dgm:prSet presAssocID="{CF28D14E-3CFA-4B24-ADCD-CDF7CF47DFB4}" presName="rootComposite" presStyleCnt="0"/>
      <dgm:spPr/>
    </dgm:pt>
    <dgm:pt modelId="{00A20F84-DF18-4292-B27E-A9895C81FD8D}" type="pres">
      <dgm:prSet presAssocID="{CF28D14E-3CFA-4B24-ADCD-CDF7CF47DFB4}" presName="rootText" presStyleLbl="node4" presStyleIdx="51" presStyleCnt="72">
        <dgm:presLayoutVars>
          <dgm:chPref val="3"/>
        </dgm:presLayoutVars>
      </dgm:prSet>
      <dgm:spPr/>
    </dgm:pt>
    <dgm:pt modelId="{49638EF3-EFC3-4D54-9816-510CF4B4F0D0}" type="pres">
      <dgm:prSet presAssocID="{CF28D14E-3CFA-4B24-ADCD-CDF7CF47DFB4}" presName="rootConnector" presStyleLbl="node4" presStyleIdx="51" presStyleCnt="72"/>
      <dgm:spPr/>
    </dgm:pt>
    <dgm:pt modelId="{C350B883-C2FB-419E-BA69-F60749D05A92}" type="pres">
      <dgm:prSet presAssocID="{CF28D14E-3CFA-4B24-ADCD-CDF7CF47DFB4}" presName="hierChild4" presStyleCnt="0"/>
      <dgm:spPr/>
    </dgm:pt>
    <dgm:pt modelId="{48535AB6-39AC-4274-9C76-912419F4E277}" type="pres">
      <dgm:prSet presAssocID="{CF28D14E-3CFA-4B24-ADCD-CDF7CF47DFB4}" presName="hierChild5" presStyleCnt="0"/>
      <dgm:spPr/>
    </dgm:pt>
    <dgm:pt modelId="{C7D4D224-540A-4B08-B5E5-DD73DE23AB69}" type="pres">
      <dgm:prSet presAssocID="{B7307D27-CA88-4AAF-BDE6-69021D17FE48}" presName="hierChild5" presStyleCnt="0"/>
      <dgm:spPr/>
    </dgm:pt>
    <dgm:pt modelId="{0C78FBC5-B545-42B1-B5E9-EC56D676D690}" type="pres">
      <dgm:prSet presAssocID="{27C9498C-BC1E-42CC-A17A-3F671BCC888B}" presName="Name37" presStyleLbl="parChTrans1D4" presStyleIdx="52" presStyleCnt="72"/>
      <dgm:spPr/>
    </dgm:pt>
    <dgm:pt modelId="{F2B3620C-757E-4FCF-961B-0F61FB690A14}" type="pres">
      <dgm:prSet presAssocID="{DA9AAD3F-C4C7-4D4F-ABC9-FC01D1CCFC79}" presName="hierRoot2" presStyleCnt="0">
        <dgm:presLayoutVars>
          <dgm:hierBranch val="init"/>
        </dgm:presLayoutVars>
      </dgm:prSet>
      <dgm:spPr/>
    </dgm:pt>
    <dgm:pt modelId="{D8A660FD-B5D0-4410-BDFE-CFC039DA1489}" type="pres">
      <dgm:prSet presAssocID="{DA9AAD3F-C4C7-4D4F-ABC9-FC01D1CCFC79}" presName="rootComposite" presStyleCnt="0"/>
      <dgm:spPr/>
    </dgm:pt>
    <dgm:pt modelId="{DB5A78A6-1F51-432B-9904-B8D6C62EA366}" type="pres">
      <dgm:prSet presAssocID="{DA9AAD3F-C4C7-4D4F-ABC9-FC01D1CCFC79}" presName="rootText" presStyleLbl="node4" presStyleIdx="52" presStyleCnt="72">
        <dgm:presLayoutVars>
          <dgm:chPref val="3"/>
        </dgm:presLayoutVars>
      </dgm:prSet>
      <dgm:spPr/>
    </dgm:pt>
    <dgm:pt modelId="{7C16975F-6C35-4285-B089-D38666B08FC6}" type="pres">
      <dgm:prSet presAssocID="{DA9AAD3F-C4C7-4D4F-ABC9-FC01D1CCFC79}" presName="rootConnector" presStyleLbl="node4" presStyleIdx="52" presStyleCnt="72"/>
      <dgm:spPr/>
    </dgm:pt>
    <dgm:pt modelId="{1E341EF0-F0B7-4BAB-AB1D-E7DE7146857B}" type="pres">
      <dgm:prSet presAssocID="{DA9AAD3F-C4C7-4D4F-ABC9-FC01D1CCFC79}" presName="hierChild4" presStyleCnt="0"/>
      <dgm:spPr/>
    </dgm:pt>
    <dgm:pt modelId="{0B621E09-21D4-4D51-A58D-89B7DB529254}" type="pres">
      <dgm:prSet presAssocID="{C155A13A-6CA2-40EE-9E4E-39C1F52B1A58}" presName="Name37" presStyleLbl="parChTrans1D4" presStyleIdx="53" presStyleCnt="72"/>
      <dgm:spPr/>
    </dgm:pt>
    <dgm:pt modelId="{40FBE277-6411-4B81-A44B-8383884145F4}" type="pres">
      <dgm:prSet presAssocID="{8F18A637-E05A-42A5-9058-0896EA6DA710}" presName="hierRoot2" presStyleCnt="0">
        <dgm:presLayoutVars>
          <dgm:hierBranch val="init"/>
        </dgm:presLayoutVars>
      </dgm:prSet>
      <dgm:spPr/>
    </dgm:pt>
    <dgm:pt modelId="{9C108360-75B8-4E50-A896-AC14BCCF9838}" type="pres">
      <dgm:prSet presAssocID="{8F18A637-E05A-42A5-9058-0896EA6DA710}" presName="rootComposite" presStyleCnt="0"/>
      <dgm:spPr/>
    </dgm:pt>
    <dgm:pt modelId="{EFAD5058-4D50-47F4-B83A-9F3F3E1558AA}" type="pres">
      <dgm:prSet presAssocID="{8F18A637-E05A-42A5-9058-0896EA6DA710}" presName="rootText" presStyleLbl="node4" presStyleIdx="53" presStyleCnt="72">
        <dgm:presLayoutVars>
          <dgm:chPref val="3"/>
        </dgm:presLayoutVars>
      </dgm:prSet>
      <dgm:spPr/>
    </dgm:pt>
    <dgm:pt modelId="{C1C0C355-8F9D-4823-9F0F-13EB37FF8E38}" type="pres">
      <dgm:prSet presAssocID="{8F18A637-E05A-42A5-9058-0896EA6DA710}" presName="rootConnector" presStyleLbl="node4" presStyleIdx="53" presStyleCnt="72"/>
      <dgm:spPr/>
    </dgm:pt>
    <dgm:pt modelId="{E6B28CD7-8FEB-4771-98FE-3A60E7D8E02A}" type="pres">
      <dgm:prSet presAssocID="{8F18A637-E05A-42A5-9058-0896EA6DA710}" presName="hierChild4" presStyleCnt="0"/>
      <dgm:spPr/>
    </dgm:pt>
    <dgm:pt modelId="{6A0A4C32-C592-4C8F-A8EC-E8A5EF19C7F4}" type="pres">
      <dgm:prSet presAssocID="{8F18A637-E05A-42A5-9058-0896EA6DA710}" presName="hierChild5" presStyleCnt="0"/>
      <dgm:spPr/>
    </dgm:pt>
    <dgm:pt modelId="{DCC99433-EC04-459A-98E1-837B8EE17D75}" type="pres">
      <dgm:prSet presAssocID="{743316F3-DAE6-4D7C-9357-DB84B8608AA7}" presName="Name37" presStyleLbl="parChTrans1D4" presStyleIdx="54" presStyleCnt="72"/>
      <dgm:spPr/>
    </dgm:pt>
    <dgm:pt modelId="{20E0B76A-5A8B-4D3B-B69C-39ED38C55EEC}" type="pres">
      <dgm:prSet presAssocID="{9E13F8D8-AB61-4007-8151-B13C9E4739D4}" presName="hierRoot2" presStyleCnt="0">
        <dgm:presLayoutVars>
          <dgm:hierBranch val="init"/>
        </dgm:presLayoutVars>
      </dgm:prSet>
      <dgm:spPr/>
    </dgm:pt>
    <dgm:pt modelId="{F7FD72A4-1708-407F-A3F2-B4EDBEDE7C90}" type="pres">
      <dgm:prSet presAssocID="{9E13F8D8-AB61-4007-8151-B13C9E4739D4}" presName="rootComposite" presStyleCnt="0"/>
      <dgm:spPr/>
    </dgm:pt>
    <dgm:pt modelId="{8B1EE9E8-4AA4-4299-B52C-B2A5137493E8}" type="pres">
      <dgm:prSet presAssocID="{9E13F8D8-AB61-4007-8151-B13C9E4739D4}" presName="rootText" presStyleLbl="node4" presStyleIdx="54" presStyleCnt="72">
        <dgm:presLayoutVars>
          <dgm:chPref val="3"/>
        </dgm:presLayoutVars>
      </dgm:prSet>
      <dgm:spPr/>
    </dgm:pt>
    <dgm:pt modelId="{CD940845-5257-4D0D-B610-4449F2945C8A}" type="pres">
      <dgm:prSet presAssocID="{9E13F8D8-AB61-4007-8151-B13C9E4739D4}" presName="rootConnector" presStyleLbl="node4" presStyleIdx="54" presStyleCnt="72"/>
      <dgm:spPr/>
    </dgm:pt>
    <dgm:pt modelId="{EAFE441A-3D60-4227-B53B-A3630F39F1C1}" type="pres">
      <dgm:prSet presAssocID="{9E13F8D8-AB61-4007-8151-B13C9E4739D4}" presName="hierChild4" presStyleCnt="0"/>
      <dgm:spPr/>
    </dgm:pt>
    <dgm:pt modelId="{7383CAA1-374C-4B0D-8D1B-40BF95D57FB5}" type="pres">
      <dgm:prSet presAssocID="{9E13F8D8-AB61-4007-8151-B13C9E4739D4}" presName="hierChild5" presStyleCnt="0"/>
      <dgm:spPr/>
    </dgm:pt>
    <dgm:pt modelId="{6C30E651-E3E1-4A90-8F09-B4E5ACBBDCCE}" type="pres">
      <dgm:prSet presAssocID="{30114D02-832C-4082-BEB6-64AE153F5DFB}" presName="Name37" presStyleLbl="parChTrans1D4" presStyleIdx="55" presStyleCnt="72"/>
      <dgm:spPr/>
    </dgm:pt>
    <dgm:pt modelId="{D19D043F-3042-41A4-89B3-9171A2C86C77}" type="pres">
      <dgm:prSet presAssocID="{222118F6-DD78-4300-9451-3B491720EDD5}" presName="hierRoot2" presStyleCnt="0">
        <dgm:presLayoutVars>
          <dgm:hierBranch val="init"/>
        </dgm:presLayoutVars>
      </dgm:prSet>
      <dgm:spPr/>
    </dgm:pt>
    <dgm:pt modelId="{73675D68-6DAD-4628-879F-D79651F501EE}" type="pres">
      <dgm:prSet presAssocID="{222118F6-DD78-4300-9451-3B491720EDD5}" presName="rootComposite" presStyleCnt="0"/>
      <dgm:spPr/>
    </dgm:pt>
    <dgm:pt modelId="{B93F9006-3CBE-475A-ACC6-BC0CCA77ADCD}" type="pres">
      <dgm:prSet presAssocID="{222118F6-DD78-4300-9451-3B491720EDD5}" presName="rootText" presStyleLbl="node4" presStyleIdx="55" presStyleCnt="72">
        <dgm:presLayoutVars>
          <dgm:chPref val="3"/>
        </dgm:presLayoutVars>
      </dgm:prSet>
      <dgm:spPr/>
    </dgm:pt>
    <dgm:pt modelId="{8BEA054F-030B-4896-810B-08339D9E4759}" type="pres">
      <dgm:prSet presAssocID="{222118F6-DD78-4300-9451-3B491720EDD5}" presName="rootConnector" presStyleLbl="node4" presStyleIdx="55" presStyleCnt="72"/>
      <dgm:spPr/>
    </dgm:pt>
    <dgm:pt modelId="{E4DD9D7A-7FC5-42F1-8DAA-26E1213142F0}" type="pres">
      <dgm:prSet presAssocID="{222118F6-DD78-4300-9451-3B491720EDD5}" presName="hierChild4" presStyleCnt="0"/>
      <dgm:spPr/>
    </dgm:pt>
    <dgm:pt modelId="{2F9A9D47-5BDF-48CD-BF38-9D727E73FEFF}" type="pres">
      <dgm:prSet presAssocID="{222118F6-DD78-4300-9451-3B491720EDD5}" presName="hierChild5" presStyleCnt="0"/>
      <dgm:spPr/>
    </dgm:pt>
    <dgm:pt modelId="{13306C91-69A8-465A-9DEC-43F44575A87D}" type="pres">
      <dgm:prSet presAssocID="{DA9AAD3F-C4C7-4D4F-ABC9-FC01D1CCFC79}" presName="hierChild5" presStyleCnt="0"/>
      <dgm:spPr/>
    </dgm:pt>
    <dgm:pt modelId="{58201BB0-4541-4766-B822-7FD249395CA9}" type="pres">
      <dgm:prSet presAssocID="{A439CBEE-E83A-46CD-BBF0-CAD6754640D6}" presName="Name37" presStyleLbl="parChTrans1D4" presStyleIdx="56" presStyleCnt="72"/>
      <dgm:spPr/>
    </dgm:pt>
    <dgm:pt modelId="{3EA2CAE6-5BEE-4E6D-A6C1-5362D3B762D3}" type="pres">
      <dgm:prSet presAssocID="{DB9ED49B-0C55-4E4A-AEF2-4C037C23DE96}" presName="hierRoot2" presStyleCnt="0">
        <dgm:presLayoutVars>
          <dgm:hierBranch val="init"/>
        </dgm:presLayoutVars>
      </dgm:prSet>
      <dgm:spPr/>
    </dgm:pt>
    <dgm:pt modelId="{B4C1A64B-9AA6-46FC-AFE6-4B1C84F354DA}" type="pres">
      <dgm:prSet presAssocID="{DB9ED49B-0C55-4E4A-AEF2-4C037C23DE96}" presName="rootComposite" presStyleCnt="0"/>
      <dgm:spPr/>
    </dgm:pt>
    <dgm:pt modelId="{4A90E2EC-7D16-442E-91A0-FD526A49AD5F}" type="pres">
      <dgm:prSet presAssocID="{DB9ED49B-0C55-4E4A-AEF2-4C037C23DE96}" presName="rootText" presStyleLbl="node4" presStyleIdx="56" presStyleCnt="72">
        <dgm:presLayoutVars>
          <dgm:chPref val="3"/>
        </dgm:presLayoutVars>
      </dgm:prSet>
      <dgm:spPr/>
    </dgm:pt>
    <dgm:pt modelId="{6A7C8C6F-53AF-4F1A-8A7A-DB9F3A1D42E4}" type="pres">
      <dgm:prSet presAssocID="{DB9ED49B-0C55-4E4A-AEF2-4C037C23DE96}" presName="rootConnector" presStyleLbl="node4" presStyleIdx="56" presStyleCnt="72"/>
      <dgm:spPr/>
    </dgm:pt>
    <dgm:pt modelId="{869CA2B3-3D40-4569-BC75-2F11D499D685}" type="pres">
      <dgm:prSet presAssocID="{DB9ED49B-0C55-4E4A-AEF2-4C037C23DE96}" presName="hierChild4" presStyleCnt="0"/>
      <dgm:spPr/>
    </dgm:pt>
    <dgm:pt modelId="{8EE0FE7F-EBD4-40D2-B56F-271FCDA89BA1}" type="pres">
      <dgm:prSet presAssocID="{255584C8-4F55-4CF0-B2D6-CE7E8D62C9B9}" presName="Name37" presStyleLbl="parChTrans1D4" presStyleIdx="57" presStyleCnt="72"/>
      <dgm:spPr/>
    </dgm:pt>
    <dgm:pt modelId="{79A9E18F-737B-446F-8FF3-AF037B8446C7}" type="pres">
      <dgm:prSet presAssocID="{82705309-E6B8-4660-A600-73180EC97D44}" presName="hierRoot2" presStyleCnt="0">
        <dgm:presLayoutVars>
          <dgm:hierBranch val="init"/>
        </dgm:presLayoutVars>
      </dgm:prSet>
      <dgm:spPr/>
    </dgm:pt>
    <dgm:pt modelId="{6C8D4977-19DC-4318-87CE-117FBAE6CF1E}" type="pres">
      <dgm:prSet presAssocID="{82705309-E6B8-4660-A600-73180EC97D44}" presName="rootComposite" presStyleCnt="0"/>
      <dgm:spPr/>
    </dgm:pt>
    <dgm:pt modelId="{A548E1CE-63B5-4A32-BFE5-440930FDB850}" type="pres">
      <dgm:prSet presAssocID="{82705309-E6B8-4660-A600-73180EC97D44}" presName="rootText" presStyleLbl="node4" presStyleIdx="57" presStyleCnt="72">
        <dgm:presLayoutVars>
          <dgm:chPref val="3"/>
        </dgm:presLayoutVars>
      </dgm:prSet>
      <dgm:spPr/>
    </dgm:pt>
    <dgm:pt modelId="{0FD0268F-25C7-44E5-9ECF-1F1E0D53E1E2}" type="pres">
      <dgm:prSet presAssocID="{82705309-E6B8-4660-A600-73180EC97D44}" presName="rootConnector" presStyleLbl="node4" presStyleIdx="57" presStyleCnt="72"/>
      <dgm:spPr/>
    </dgm:pt>
    <dgm:pt modelId="{BC19A14D-9EDC-43CC-892C-6F2F2C377977}" type="pres">
      <dgm:prSet presAssocID="{82705309-E6B8-4660-A600-73180EC97D44}" presName="hierChild4" presStyleCnt="0"/>
      <dgm:spPr/>
    </dgm:pt>
    <dgm:pt modelId="{B0DE42DC-D500-484C-8F70-E2706A476A9F}" type="pres">
      <dgm:prSet presAssocID="{82705309-E6B8-4660-A600-73180EC97D44}" presName="hierChild5" presStyleCnt="0"/>
      <dgm:spPr/>
    </dgm:pt>
    <dgm:pt modelId="{182DEA34-6A1F-42DC-824E-865386A60610}" type="pres">
      <dgm:prSet presAssocID="{686ABE93-CE12-489E-BA7B-FCAA3763B6DE}" presName="Name37" presStyleLbl="parChTrans1D4" presStyleIdx="58" presStyleCnt="72"/>
      <dgm:spPr/>
    </dgm:pt>
    <dgm:pt modelId="{9D11FF79-D74D-4C29-BED9-BF44B2507461}" type="pres">
      <dgm:prSet presAssocID="{F433D6CA-DCBF-4664-A80A-DE4934259CAB}" presName="hierRoot2" presStyleCnt="0">
        <dgm:presLayoutVars>
          <dgm:hierBranch val="init"/>
        </dgm:presLayoutVars>
      </dgm:prSet>
      <dgm:spPr/>
    </dgm:pt>
    <dgm:pt modelId="{A81CE04A-EDBE-42C7-84C5-755D8C0A2C1C}" type="pres">
      <dgm:prSet presAssocID="{F433D6CA-DCBF-4664-A80A-DE4934259CAB}" presName="rootComposite" presStyleCnt="0"/>
      <dgm:spPr/>
    </dgm:pt>
    <dgm:pt modelId="{39F005E2-7BA7-404E-B2C7-DBE1CCAE84A5}" type="pres">
      <dgm:prSet presAssocID="{F433D6CA-DCBF-4664-A80A-DE4934259CAB}" presName="rootText" presStyleLbl="node4" presStyleIdx="58" presStyleCnt="72">
        <dgm:presLayoutVars>
          <dgm:chPref val="3"/>
        </dgm:presLayoutVars>
      </dgm:prSet>
      <dgm:spPr/>
    </dgm:pt>
    <dgm:pt modelId="{D6959489-A8DF-4912-8595-B4E3286A08C4}" type="pres">
      <dgm:prSet presAssocID="{F433D6CA-DCBF-4664-A80A-DE4934259CAB}" presName="rootConnector" presStyleLbl="node4" presStyleIdx="58" presStyleCnt="72"/>
      <dgm:spPr/>
    </dgm:pt>
    <dgm:pt modelId="{CA36E2B3-8141-4F9F-A7B6-7B9D30573DFC}" type="pres">
      <dgm:prSet presAssocID="{F433D6CA-DCBF-4664-A80A-DE4934259CAB}" presName="hierChild4" presStyleCnt="0"/>
      <dgm:spPr/>
    </dgm:pt>
    <dgm:pt modelId="{D54EB123-3093-4559-AE10-23933FE675F8}" type="pres">
      <dgm:prSet presAssocID="{F433D6CA-DCBF-4664-A80A-DE4934259CAB}" presName="hierChild5" presStyleCnt="0"/>
      <dgm:spPr/>
    </dgm:pt>
    <dgm:pt modelId="{06FAD5BF-7D70-430D-B305-0EFACB8C5C86}" type="pres">
      <dgm:prSet presAssocID="{CBFA4E9D-E994-4C76-B7BD-367C98011E0D}" presName="Name37" presStyleLbl="parChTrans1D4" presStyleIdx="59" presStyleCnt="72"/>
      <dgm:spPr/>
    </dgm:pt>
    <dgm:pt modelId="{2A1E3218-F3B6-48A3-8CBE-BC3BD20ACC29}" type="pres">
      <dgm:prSet presAssocID="{F9729CD2-FE6C-4DE7-9E66-AF0806BDE0C6}" presName="hierRoot2" presStyleCnt="0">
        <dgm:presLayoutVars>
          <dgm:hierBranch val="init"/>
        </dgm:presLayoutVars>
      </dgm:prSet>
      <dgm:spPr/>
    </dgm:pt>
    <dgm:pt modelId="{7F8F6596-596B-4512-9DEF-18B6AA738E35}" type="pres">
      <dgm:prSet presAssocID="{F9729CD2-FE6C-4DE7-9E66-AF0806BDE0C6}" presName="rootComposite" presStyleCnt="0"/>
      <dgm:spPr/>
    </dgm:pt>
    <dgm:pt modelId="{13F1099B-618A-48EF-8AE3-3F23152370A7}" type="pres">
      <dgm:prSet presAssocID="{F9729CD2-FE6C-4DE7-9E66-AF0806BDE0C6}" presName="rootText" presStyleLbl="node4" presStyleIdx="59" presStyleCnt="72">
        <dgm:presLayoutVars>
          <dgm:chPref val="3"/>
        </dgm:presLayoutVars>
      </dgm:prSet>
      <dgm:spPr/>
    </dgm:pt>
    <dgm:pt modelId="{5F0322F1-F828-42E0-8B9E-930C793B48D1}" type="pres">
      <dgm:prSet presAssocID="{F9729CD2-FE6C-4DE7-9E66-AF0806BDE0C6}" presName="rootConnector" presStyleLbl="node4" presStyleIdx="59" presStyleCnt="72"/>
      <dgm:spPr/>
    </dgm:pt>
    <dgm:pt modelId="{3060F4EC-A26D-47D6-A4AF-4FADC14EE503}" type="pres">
      <dgm:prSet presAssocID="{F9729CD2-FE6C-4DE7-9E66-AF0806BDE0C6}" presName="hierChild4" presStyleCnt="0"/>
      <dgm:spPr/>
    </dgm:pt>
    <dgm:pt modelId="{0D8C16FE-E6AB-4421-9016-DA1E12AA7045}" type="pres">
      <dgm:prSet presAssocID="{F9729CD2-FE6C-4DE7-9E66-AF0806BDE0C6}" presName="hierChild5" presStyleCnt="0"/>
      <dgm:spPr/>
    </dgm:pt>
    <dgm:pt modelId="{7582DD99-2B92-4326-8B64-6CA8E0C55719}" type="pres">
      <dgm:prSet presAssocID="{DB9ED49B-0C55-4E4A-AEF2-4C037C23DE96}" presName="hierChild5" presStyleCnt="0"/>
      <dgm:spPr/>
    </dgm:pt>
    <dgm:pt modelId="{8B33101D-5467-4B9B-9E8D-70F03736AA26}" type="pres">
      <dgm:prSet presAssocID="{BF00BCC0-9B1F-44D4-9EE0-D6D2096E9246}" presName="hierChild5" presStyleCnt="0"/>
      <dgm:spPr/>
    </dgm:pt>
    <dgm:pt modelId="{4BE02B26-6542-4776-BA9C-5F3660AFABD4}" type="pres">
      <dgm:prSet presAssocID="{CA6CCF8B-128B-4E52-9EEF-B687FAEDA5FB}" presName="Name37" presStyleLbl="parChTrans1D3" presStyleIdx="5" presStyleCnt="6"/>
      <dgm:spPr/>
    </dgm:pt>
    <dgm:pt modelId="{342E46BB-DCE7-45E7-83EC-C8B46EFA6091}" type="pres">
      <dgm:prSet presAssocID="{357E2913-C4B2-4F0B-B0FB-9F5A7BC6F2AC}" presName="hierRoot2" presStyleCnt="0">
        <dgm:presLayoutVars>
          <dgm:hierBranch val="init"/>
        </dgm:presLayoutVars>
      </dgm:prSet>
      <dgm:spPr/>
    </dgm:pt>
    <dgm:pt modelId="{98689D62-A35F-46FD-9B5E-D622EB3BA2E8}" type="pres">
      <dgm:prSet presAssocID="{357E2913-C4B2-4F0B-B0FB-9F5A7BC6F2AC}" presName="rootComposite" presStyleCnt="0"/>
      <dgm:spPr/>
    </dgm:pt>
    <dgm:pt modelId="{9E607834-BF76-46AA-ADC1-9B2951BB8EC8}" type="pres">
      <dgm:prSet presAssocID="{357E2913-C4B2-4F0B-B0FB-9F5A7BC6F2AC}" presName="rootText" presStyleLbl="node3" presStyleIdx="5" presStyleCnt="6">
        <dgm:presLayoutVars>
          <dgm:chPref val="3"/>
        </dgm:presLayoutVars>
      </dgm:prSet>
      <dgm:spPr/>
    </dgm:pt>
    <dgm:pt modelId="{6AB26E28-6E5B-47C9-B171-5B67BE3AFE80}" type="pres">
      <dgm:prSet presAssocID="{357E2913-C4B2-4F0B-B0FB-9F5A7BC6F2AC}" presName="rootConnector" presStyleLbl="node3" presStyleIdx="5" presStyleCnt="6"/>
      <dgm:spPr/>
    </dgm:pt>
    <dgm:pt modelId="{C2279141-3544-464C-8C79-106F0CFBB14E}" type="pres">
      <dgm:prSet presAssocID="{357E2913-C4B2-4F0B-B0FB-9F5A7BC6F2AC}" presName="hierChild4" presStyleCnt="0"/>
      <dgm:spPr/>
    </dgm:pt>
    <dgm:pt modelId="{A80717CC-84EF-4BAD-B0AB-251F9B869394}" type="pres">
      <dgm:prSet presAssocID="{4197F4BA-E4A8-4624-AFE2-64B47776237A}" presName="Name37" presStyleLbl="parChTrans1D4" presStyleIdx="60" presStyleCnt="72"/>
      <dgm:spPr/>
    </dgm:pt>
    <dgm:pt modelId="{15FEE43C-D2F7-4F44-90B6-809A7E969EE7}" type="pres">
      <dgm:prSet presAssocID="{B89B6A32-1FB2-4670-9492-E5DC21C03297}" presName="hierRoot2" presStyleCnt="0">
        <dgm:presLayoutVars>
          <dgm:hierBranch val="init"/>
        </dgm:presLayoutVars>
      </dgm:prSet>
      <dgm:spPr/>
    </dgm:pt>
    <dgm:pt modelId="{44961227-84A8-4D81-AC4F-7F087F1469EC}" type="pres">
      <dgm:prSet presAssocID="{B89B6A32-1FB2-4670-9492-E5DC21C03297}" presName="rootComposite" presStyleCnt="0"/>
      <dgm:spPr/>
    </dgm:pt>
    <dgm:pt modelId="{D73A272B-C984-4994-A87E-6072AC81FADC}" type="pres">
      <dgm:prSet presAssocID="{B89B6A32-1FB2-4670-9492-E5DC21C03297}" presName="rootText" presStyleLbl="node4" presStyleIdx="60" presStyleCnt="72">
        <dgm:presLayoutVars>
          <dgm:chPref val="3"/>
        </dgm:presLayoutVars>
      </dgm:prSet>
      <dgm:spPr/>
    </dgm:pt>
    <dgm:pt modelId="{266F4860-7D74-42E8-BE15-24174EC57716}" type="pres">
      <dgm:prSet presAssocID="{B89B6A32-1FB2-4670-9492-E5DC21C03297}" presName="rootConnector" presStyleLbl="node4" presStyleIdx="60" presStyleCnt="72"/>
      <dgm:spPr/>
    </dgm:pt>
    <dgm:pt modelId="{03A7D6B6-A1CE-4F82-8C2F-ECDC9CDCB11C}" type="pres">
      <dgm:prSet presAssocID="{B89B6A32-1FB2-4670-9492-E5DC21C03297}" presName="hierChild4" presStyleCnt="0"/>
      <dgm:spPr/>
    </dgm:pt>
    <dgm:pt modelId="{575A5F61-883D-4718-8867-8B79DF074CA4}" type="pres">
      <dgm:prSet presAssocID="{9F0E14C1-D72D-4501-AE69-5392E01D8774}" presName="Name37" presStyleLbl="parChTrans1D4" presStyleIdx="61" presStyleCnt="72"/>
      <dgm:spPr/>
    </dgm:pt>
    <dgm:pt modelId="{490513BE-EE49-4DBC-9B5B-82A25B1D06F4}" type="pres">
      <dgm:prSet presAssocID="{16C6946A-DC47-43C6-BEA4-93CF4CCB3F9E}" presName="hierRoot2" presStyleCnt="0">
        <dgm:presLayoutVars>
          <dgm:hierBranch val="init"/>
        </dgm:presLayoutVars>
      </dgm:prSet>
      <dgm:spPr/>
    </dgm:pt>
    <dgm:pt modelId="{1ACA8F67-5B3B-430A-BEDA-55A84083594A}" type="pres">
      <dgm:prSet presAssocID="{16C6946A-DC47-43C6-BEA4-93CF4CCB3F9E}" presName="rootComposite" presStyleCnt="0"/>
      <dgm:spPr/>
    </dgm:pt>
    <dgm:pt modelId="{0C2C89EC-E878-4839-8364-01FD324FA024}" type="pres">
      <dgm:prSet presAssocID="{16C6946A-DC47-43C6-BEA4-93CF4CCB3F9E}" presName="rootText" presStyleLbl="node4" presStyleIdx="61" presStyleCnt="72">
        <dgm:presLayoutVars>
          <dgm:chPref val="3"/>
        </dgm:presLayoutVars>
      </dgm:prSet>
      <dgm:spPr/>
    </dgm:pt>
    <dgm:pt modelId="{888F8B46-1EFD-4C6B-AC99-17DE26EAA6A9}" type="pres">
      <dgm:prSet presAssocID="{16C6946A-DC47-43C6-BEA4-93CF4CCB3F9E}" presName="rootConnector" presStyleLbl="node4" presStyleIdx="61" presStyleCnt="72"/>
      <dgm:spPr/>
    </dgm:pt>
    <dgm:pt modelId="{C5D92489-FB70-42B6-876C-1F1FB9AF2230}" type="pres">
      <dgm:prSet presAssocID="{16C6946A-DC47-43C6-BEA4-93CF4CCB3F9E}" presName="hierChild4" presStyleCnt="0"/>
      <dgm:spPr/>
    </dgm:pt>
    <dgm:pt modelId="{3FBCCF72-5D3C-4452-B2FC-C0D7D4118209}" type="pres">
      <dgm:prSet presAssocID="{16C6946A-DC47-43C6-BEA4-93CF4CCB3F9E}" presName="hierChild5" presStyleCnt="0"/>
      <dgm:spPr/>
    </dgm:pt>
    <dgm:pt modelId="{30C93E59-598E-47BD-9BA3-A1EAFA391425}" type="pres">
      <dgm:prSet presAssocID="{7A9C8487-A041-45EB-9089-9501BF0097A1}" presName="Name37" presStyleLbl="parChTrans1D4" presStyleIdx="62" presStyleCnt="72"/>
      <dgm:spPr/>
    </dgm:pt>
    <dgm:pt modelId="{7D325F22-CE39-4DA0-8E3F-3B8A3148BFDF}" type="pres">
      <dgm:prSet presAssocID="{E8C26718-66A9-49A1-B651-BE975AC52FC6}" presName="hierRoot2" presStyleCnt="0">
        <dgm:presLayoutVars>
          <dgm:hierBranch val="init"/>
        </dgm:presLayoutVars>
      </dgm:prSet>
      <dgm:spPr/>
    </dgm:pt>
    <dgm:pt modelId="{1FE7A1C9-EF55-42AE-8239-11C22E944C31}" type="pres">
      <dgm:prSet presAssocID="{E8C26718-66A9-49A1-B651-BE975AC52FC6}" presName="rootComposite" presStyleCnt="0"/>
      <dgm:spPr/>
    </dgm:pt>
    <dgm:pt modelId="{6C205F5D-3437-4B08-B3E7-A473277808F5}" type="pres">
      <dgm:prSet presAssocID="{E8C26718-66A9-49A1-B651-BE975AC52FC6}" presName="rootText" presStyleLbl="node4" presStyleIdx="62" presStyleCnt="72">
        <dgm:presLayoutVars>
          <dgm:chPref val="3"/>
        </dgm:presLayoutVars>
      </dgm:prSet>
      <dgm:spPr/>
    </dgm:pt>
    <dgm:pt modelId="{788E5957-CA33-4D2F-8E4A-800D1A9D2651}" type="pres">
      <dgm:prSet presAssocID="{E8C26718-66A9-49A1-B651-BE975AC52FC6}" presName="rootConnector" presStyleLbl="node4" presStyleIdx="62" presStyleCnt="72"/>
      <dgm:spPr/>
    </dgm:pt>
    <dgm:pt modelId="{819432DB-B753-467E-A6FA-66E31273F406}" type="pres">
      <dgm:prSet presAssocID="{E8C26718-66A9-49A1-B651-BE975AC52FC6}" presName="hierChild4" presStyleCnt="0"/>
      <dgm:spPr/>
    </dgm:pt>
    <dgm:pt modelId="{7A0C1113-7981-4CE1-B054-987855C4FC34}" type="pres">
      <dgm:prSet presAssocID="{E8C26718-66A9-49A1-B651-BE975AC52FC6}" presName="hierChild5" presStyleCnt="0"/>
      <dgm:spPr/>
    </dgm:pt>
    <dgm:pt modelId="{0D53B2F7-C277-4643-99B5-AD94E6EAF4D6}" type="pres">
      <dgm:prSet presAssocID="{AB1EAC64-D38A-41AF-96F4-B09AD284879D}" presName="Name37" presStyleLbl="parChTrans1D4" presStyleIdx="63" presStyleCnt="72"/>
      <dgm:spPr/>
    </dgm:pt>
    <dgm:pt modelId="{EAA6D99E-93CB-4607-A1C9-3EAB9364C7CB}" type="pres">
      <dgm:prSet presAssocID="{200FC4C6-7B87-4F97-BC37-F7917B9AFBEB}" presName="hierRoot2" presStyleCnt="0">
        <dgm:presLayoutVars>
          <dgm:hierBranch val="init"/>
        </dgm:presLayoutVars>
      </dgm:prSet>
      <dgm:spPr/>
    </dgm:pt>
    <dgm:pt modelId="{A5F97285-6FFC-4637-80CE-6B261BBD3445}" type="pres">
      <dgm:prSet presAssocID="{200FC4C6-7B87-4F97-BC37-F7917B9AFBEB}" presName="rootComposite" presStyleCnt="0"/>
      <dgm:spPr/>
    </dgm:pt>
    <dgm:pt modelId="{25960CE6-FA34-45F0-9C59-706F7DDB20AF}" type="pres">
      <dgm:prSet presAssocID="{200FC4C6-7B87-4F97-BC37-F7917B9AFBEB}" presName="rootText" presStyleLbl="node4" presStyleIdx="63" presStyleCnt="72">
        <dgm:presLayoutVars>
          <dgm:chPref val="3"/>
        </dgm:presLayoutVars>
      </dgm:prSet>
      <dgm:spPr/>
    </dgm:pt>
    <dgm:pt modelId="{90D42850-5A5F-49DF-9FE0-53387E1C3957}" type="pres">
      <dgm:prSet presAssocID="{200FC4C6-7B87-4F97-BC37-F7917B9AFBEB}" presName="rootConnector" presStyleLbl="node4" presStyleIdx="63" presStyleCnt="72"/>
      <dgm:spPr/>
    </dgm:pt>
    <dgm:pt modelId="{EC21ECDF-FC07-4992-B6C8-98FC89E1A450}" type="pres">
      <dgm:prSet presAssocID="{200FC4C6-7B87-4F97-BC37-F7917B9AFBEB}" presName="hierChild4" presStyleCnt="0"/>
      <dgm:spPr/>
    </dgm:pt>
    <dgm:pt modelId="{0F076D0F-4FE1-4735-8200-76472EEF9325}" type="pres">
      <dgm:prSet presAssocID="{200FC4C6-7B87-4F97-BC37-F7917B9AFBEB}" presName="hierChild5" presStyleCnt="0"/>
      <dgm:spPr/>
    </dgm:pt>
    <dgm:pt modelId="{BDFDCD85-6DF5-428E-BFC4-6128F2233013}" type="pres">
      <dgm:prSet presAssocID="{B89B6A32-1FB2-4670-9492-E5DC21C03297}" presName="hierChild5" presStyleCnt="0"/>
      <dgm:spPr/>
    </dgm:pt>
    <dgm:pt modelId="{E7DF0BE6-DAB8-4EAD-A125-AF41B477EDB7}" type="pres">
      <dgm:prSet presAssocID="{EA928A64-A3FE-49CA-B60A-E5C201284064}" presName="Name37" presStyleLbl="parChTrans1D4" presStyleIdx="64" presStyleCnt="72"/>
      <dgm:spPr/>
    </dgm:pt>
    <dgm:pt modelId="{5AB803C5-EB75-4D0D-B1AB-EB61E0F59A28}" type="pres">
      <dgm:prSet presAssocID="{F1D8D4A5-F2C0-4102-B960-BE861D6F8193}" presName="hierRoot2" presStyleCnt="0">
        <dgm:presLayoutVars>
          <dgm:hierBranch val="init"/>
        </dgm:presLayoutVars>
      </dgm:prSet>
      <dgm:spPr/>
    </dgm:pt>
    <dgm:pt modelId="{43E76897-4C7E-4840-986B-A4466D67720C}" type="pres">
      <dgm:prSet presAssocID="{F1D8D4A5-F2C0-4102-B960-BE861D6F8193}" presName="rootComposite" presStyleCnt="0"/>
      <dgm:spPr/>
    </dgm:pt>
    <dgm:pt modelId="{8A6CE794-AD75-4953-A656-61142A7BB3AB}" type="pres">
      <dgm:prSet presAssocID="{F1D8D4A5-F2C0-4102-B960-BE861D6F8193}" presName="rootText" presStyleLbl="node4" presStyleIdx="64" presStyleCnt="72">
        <dgm:presLayoutVars>
          <dgm:chPref val="3"/>
        </dgm:presLayoutVars>
      </dgm:prSet>
      <dgm:spPr/>
    </dgm:pt>
    <dgm:pt modelId="{A269EA45-93C9-4D1B-BE57-A516E1D784C6}" type="pres">
      <dgm:prSet presAssocID="{F1D8D4A5-F2C0-4102-B960-BE861D6F8193}" presName="rootConnector" presStyleLbl="node4" presStyleIdx="64" presStyleCnt="72"/>
      <dgm:spPr/>
    </dgm:pt>
    <dgm:pt modelId="{F957F327-003C-4A31-8008-E89915470F30}" type="pres">
      <dgm:prSet presAssocID="{F1D8D4A5-F2C0-4102-B960-BE861D6F8193}" presName="hierChild4" presStyleCnt="0"/>
      <dgm:spPr/>
    </dgm:pt>
    <dgm:pt modelId="{661699D9-CE96-42C6-96BD-3AA8D16E6A43}" type="pres">
      <dgm:prSet presAssocID="{902B7E59-C304-4E25-A8D9-A39FA3E665E4}" presName="Name37" presStyleLbl="parChTrans1D4" presStyleIdx="65" presStyleCnt="72"/>
      <dgm:spPr/>
    </dgm:pt>
    <dgm:pt modelId="{FD7238B4-175B-440D-8590-D4638902E98A}" type="pres">
      <dgm:prSet presAssocID="{8D2EA66C-DE16-41AA-8CA3-15C554D726E5}" presName="hierRoot2" presStyleCnt="0">
        <dgm:presLayoutVars>
          <dgm:hierBranch val="init"/>
        </dgm:presLayoutVars>
      </dgm:prSet>
      <dgm:spPr/>
    </dgm:pt>
    <dgm:pt modelId="{68C81167-784A-4492-8945-478545D03DA5}" type="pres">
      <dgm:prSet presAssocID="{8D2EA66C-DE16-41AA-8CA3-15C554D726E5}" presName="rootComposite" presStyleCnt="0"/>
      <dgm:spPr/>
    </dgm:pt>
    <dgm:pt modelId="{1AD6C78B-E3A9-4476-9D1A-F6DB79DEC553}" type="pres">
      <dgm:prSet presAssocID="{8D2EA66C-DE16-41AA-8CA3-15C554D726E5}" presName="rootText" presStyleLbl="node4" presStyleIdx="65" presStyleCnt="72">
        <dgm:presLayoutVars>
          <dgm:chPref val="3"/>
        </dgm:presLayoutVars>
      </dgm:prSet>
      <dgm:spPr/>
    </dgm:pt>
    <dgm:pt modelId="{127799F0-EC6C-4F81-80E5-E410124BCB9F}" type="pres">
      <dgm:prSet presAssocID="{8D2EA66C-DE16-41AA-8CA3-15C554D726E5}" presName="rootConnector" presStyleLbl="node4" presStyleIdx="65" presStyleCnt="72"/>
      <dgm:spPr/>
    </dgm:pt>
    <dgm:pt modelId="{9F323F64-1DCA-4E8A-87CF-C06C80D56AE0}" type="pres">
      <dgm:prSet presAssocID="{8D2EA66C-DE16-41AA-8CA3-15C554D726E5}" presName="hierChild4" presStyleCnt="0"/>
      <dgm:spPr/>
    </dgm:pt>
    <dgm:pt modelId="{35C67B97-C07E-45F9-806C-707713F8D5A4}" type="pres">
      <dgm:prSet presAssocID="{8D2EA66C-DE16-41AA-8CA3-15C554D726E5}" presName="hierChild5" presStyleCnt="0"/>
      <dgm:spPr/>
    </dgm:pt>
    <dgm:pt modelId="{00E5A209-2780-4CB2-BE2A-F93995DAF8D3}" type="pres">
      <dgm:prSet presAssocID="{1C66B5FA-56F3-442A-835D-50736CC5505E}" presName="Name37" presStyleLbl="parChTrans1D4" presStyleIdx="66" presStyleCnt="72"/>
      <dgm:spPr/>
    </dgm:pt>
    <dgm:pt modelId="{D6CAFFAC-C3DF-448A-8696-0652219A3466}" type="pres">
      <dgm:prSet presAssocID="{EFB092EF-A436-4557-9B8C-C5E336B9E815}" presName="hierRoot2" presStyleCnt="0">
        <dgm:presLayoutVars>
          <dgm:hierBranch val="init"/>
        </dgm:presLayoutVars>
      </dgm:prSet>
      <dgm:spPr/>
    </dgm:pt>
    <dgm:pt modelId="{DF4EB08A-2558-461F-8F1A-C910D7A1E1FE}" type="pres">
      <dgm:prSet presAssocID="{EFB092EF-A436-4557-9B8C-C5E336B9E815}" presName="rootComposite" presStyleCnt="0"/>
      <dgm:spPr/>
    </dgm:pt>
    <dgm:pt modelId="{62A8A185-E0B0-4960-ABAE-4BF4B19DCECD}" type="pres">
      <dgm:prSet presAssocID="{EFB092EF-A436-4557-9B8C-C5E336B9E815}" presName="rootText" presStyleLbl="node4" presStyleIdx="66" presStyleCnt="72">
        <dgm:presLayoutVars>
          <dgm:chPref val="3"/>
        </dgm:presLayoutVars>
      </dgm:prSet>
      <dgm:spPr/>
    </dgm:pt>
    <dgm:pt modelId="{19FB9B2B-6707-4C0A-8D6F-A49C0F11BFDB}" type="pres">
      <dgm:prSet presAssocID="{EFB092EF-A436-4557-9B8C-C5E336B9E815}" presName="rootConnector" presStyleLbl="node4" presStyleIdx="66" presStyleCnt="72"/>
      <dgm:spPr/>
    </dgm:pt>
    <dgm:pt modelId="{574A4E32-FD8A-4923-B5FF-DD8588B23BFF}" type="pres">
      <dgm:prSet presAssocID="{EFB092EF-A436-4557-9B8C-C5E336B9E815}" presName="hierChild4" presStyleCnt="0"/>
      <dgm:spPr/>
    </dgm:pt>
    <dgm:pt modelId="{6160E0D3-D135-4407-8A67-F53F7D60BECC}" type="pres">
      <dgm:prSet presAssocID="{EFB092EF-A436-4557-9B8C-C5E336B9E815}" presName="hierChild5" presStyleCnt="0"/>
      <dgm:spPr/>
    </dgm:pt>
    <dgm:pt modelId="{682333CC-A713-4C76-8A6B-4491741A45AE}" type="pres">
      <dgm:prSet presAssocID="{67D7F923-5E7A-4AA8-9764-9A9E215BA53A}" presName="Name37" presStyleLbl="parChTrans1D4" presStyleIdx="67" presStyleCnt="72"/>
      <dgm:spPr/>
    </dgm:pt>
    <dgm:pt modelId="{1D0CD40A-DD29-4E3A-984A-57EEFD1C2E8D}" type="pres">
      <dgm:prSet presAssocID="{0B85427B-C30A-49F8-839A-F97301879955}" presName="hierRoot2" presStyleCnt="0">
        <dgm:presLayoutVars>
          <dgm:hierBranch val="init"/>
        </dgm:presLayoutVars>
      </dgm:prSet>
      <dgm:spPr/>
    </dgm:pt>
    <dgm:pt modelId="{7A18007B-D48A-4649-B527-41B95E967CEF}" type="pres">
      <dgm:prSet presAssocID="{0B85427B-C30A-49F8-839A-F97301879955}" presName="rootComposite" presStyleCnt="0"/>
      <dgm:spPr/>
    </dgm:pt>
    <dgm:pt modelId="{AC29D5D2-2BC2-4328-8C86-803487281B55}" type="pres">
      <dgm:prSet presAssocID="{0B85427B-C30A-49F8-839A-F97301879955}" presName="rootText" presStyleLbl="node4" presStyleIdx="67" presStyleCnt="72">
        <dgm:presLayoutVars>
          <dgm:chPref val="3"/>
        </dgm:presLayoutVars>
      </dgm:prSet>
      <dgm:spPr/>
    </dgm:pt>
    <dgm:pt modelId="{9C55BEBB-160C-4E7E-A372-F1AB250ADFA0}" type="pres">
      <dgm:prSet presAssocID="{0B85427B-C30A-49F8-839A-F97301879955}" presName="rootConnector" presStyleLbl="node4" presStyleIdx="67" presStyleCnt="72"/>
      <dgm:spPr/>
    </dgm:pt>
    <dgm:pt modelId="{CD0F4678-6A95-4C9A-993F-57D740DE1C0B}" type="pres">
      <dgm:prSet presAssocID="{0B85427B-C30A-49F8-839A-F97301879955}" presName="hierChild4" presStyleCnt="0"/>
      <dgm:spPr/>
    </dgm:pt>
    <dgm:pt modelId="{2894FB32-62FA-4E4C-BA14-28114246A209}" type="pres">
      <dgm:prSet presAssocID="{0B85427B-C30A-49F8-839A-F97301879955}" presName="hierChild5" presStyleCnt="0"/>
      <dgm:spPr/>
    </dgm:pt>
    <dgm:pt modelId="{64200C6B-6DBC-470F-B3A1-EF4C96623ECD}" type="pres">
      <dgm:prSet presAssocID="{F1D8D4A5-F2C0-4102-B960-BE861D6F8193}" presName="hierChild5" presStyleCnt="0"/>
      <dgm:spPr/>
    </dgm:pt>
    <dgm:pt modelId="{384E78B6-5C05-40C2-B4C8-34CBF53D09FD}" type="pres">
      <dgm:prSet presAssocID="{B2B10A0C-F6D8-4FBA-8262-00B962016C2D}" presName="Name37" presStyleLbl="parChTrans1D4" presStyleIdx="68" presStyleCnt="72"/>
      <dgm:spPr/>
    </dgm:pt>
    <dgm:pt modelId="{D1F3F145-26B2-4BC3-88A4-AEC455F7C9F2}" type="pres">
      <dgm:prSet presAssocID="{0586FAB4-706F-4FC7-88AE-C28BDF19B91A}" presName="hierRoot2" presStyleCnt="0">
        <dgm:presLayoutVars>
          <dgm:hierBranch val="init"/>
        </dgm:presLayoutVars>
      </dgm:prSet>
      <dgm:spPr/>
    </dgm:pt>
    <dgm:pt modelId="{FF08B507-4373-412A-8F03-B13E83BA29D4}" type="pres">
      <dgm:prSet presAssocID="{0586FAB4-706F-4FC7-88AE-C28BDF19B91A}" presName="rootComposite" presStyleCnt="0"/>
      <dgm:spPr/>
    </dgm:pt>
    <dgm:pt modelId="{71219005-0142-46A4-9435-188B1AC29646}" type="pres">
      <dgm:prSet presAssocID="{0586FAB4-706F-4FC7-88AE-C28BDF19B91A}" presName="rootText" presStyleLbl="node4" presStyleIdx="68" presStyleCnt="72">
        <dgm:presLayoutVars>
          <dgm:chPref val="3"/>
        </dgm:presLayoutVars>
      </dgm:prSet>
      <dgm:spPr/>
    </dgm:pt>
    <dgm:pt modelId="{EB1C896E-CFF7-45D1-AF7B-7869A432A708}" type="pres">
      <dgm:prSet presAssocID="{0586FAB4-706F-4FC7-88AE-C28BDF19B91A}" presName="rootConnector" presStyleLbl="node4" presStyleIdx="68" presStyleCnt="72"/>
      <dgm:spPr/>
    </dgm:pt>
    <dgm:pt modelId="{83DF3B0B-AB51-4F0B-AFF8-383A812B3B7B}" type="pres">
      <dgm:prSet presAssocID="{0586FAB4-706F-4FC7-88AE-C28BDF19B91A}" presName="hierChild4" presStyleCnt="0"/>
      <dgm:spPr/>
    </dgm:pt>
    <dgm:pt modelId="{AE32B0C2-D36B-447B-A38A-C139A1EB9B23}" type="pres">
      <dgm:prSet presAssocID="{58F9194D-CE96-44EA-AFF5-75569AE02607}" presName="Name37" presStyleLbl="parChTrans1D4" presStyleIdx="69" presStyleCnt="72"/>
      <dgm:spPr/>
    </dgm:pt>
    <dgm:pt modelId="{1C58583B-B9C8-43C9-8838-13D3935DED2F}" type="pres">
      <dgm:prSet presAssocID="{A509A8DA-0483-4796-88B0-EC2AB5FE9B6B}" presName="hierRoot2" presStyleCnt="0">
        <dgm:presLayoutVars>
          <dgm:hierBranch val="init"/>
        </dgm:presLayoutVars>
      </dgm:prSet>
      <dgm:spPr/>
    </dgm:pt>
    <dgm:pt modelId="{FC0A3521-483A-421F-9851-720C47805AAF}" type="pres">
      <dgm:prSet presAssocID="{A509A8DA-0483-4796-88B0-EC2AB5FE9B6B}" presName="rootComposite" presStyleCnt="0"/>
      <dgm:spPr/>
    </dgm:pt>
    <dgm:pt modelId="{8186C304-503F-45FF-80CA-F0821C57BE5D}" type="pres">
      <dgm:prSet presAssocID="{A509A8DA-0483-4796-88B0-EC2AB5FE9B6B}" presName="rootText" presStyleLbl="node4" presStyleIdx="69" presStyleCnt="72">
        <dgm:presLayoutVars>
          <dgm:chPref val="3"/>
        </dgm:presLayoutVars>
      </dgm:prSet>
      <dgm:spPr/>
    </dgm:pt>
    <dgm:pt modelId="{C3917E4E-541E-40E4-AC9F-0AEE15D69495}" type="pres">
      <dgm:prSet presAssocID="{A509A8DA-0483-4796-88B0-EC2AB5FE9B6B}" presName="rootConnector" presStyleLbl="node4" presStyleIdx="69" presStyleCnt="72"/>
      <dgm:spPr/>
    </dgm:pt>
    <dgm:pt modelId="{B3819CD9-E0B7-4848-9F52-838C9A03929E}" type="pres">
      <dgm:prSet presAssocID="{A509A8DA-0483-4796-88B0-EC2AB5FE9B6B}" presName="hierChild4" presStyleCnt="0"/>
      <dgm:spPr/>
    </dgm:pt>
    <dgm:pt modelId="{69B575E6-D77A-4BF5-B68A-9C2257257340}" type="pres">
      <dgm:prSet presAssocID="{A509A8DA-0483-4796-88B0-EC2AB5FE9B6B}" presName="hierChild5" presStyleCnt="0"/>
      <dgm:spPr/>
    </dgm:pt>
    <dgm:pt modelId="{C586B6B4-CF1D-4A8D-B576-08231F4BD699}" type="pres">
      <dgm:prSet presAssocID="{95F849A3-3C7B-4C97-896A-CEA3A71708E8}" presName="Name37" presStyleLbl="parChTrans1D4" presStyleIdx="70" presStyleCnt="72"/>
      <dgm:spPr/>
    </dgm:pt>
    <dgm:pt modelId="{B87CF938-A308-4831-AA6A-37CB9AA1065B}" type="pres">
      <dgm:prSet presAssocID="{AEA1048A-DD4F-431C-A181-35346D306129}" presName="hierRoot2" presStyleCnt="0">
        <dgm:presLayoutVars>
          <dgm:hierBranch val="init"/>
        </dgm:presLayoutVars>
      </dgm:prSet>
      <dgm:spPr/>
    </dgm:pt>
    <dgm:pt modelId="{34AE6423-EC2B-4C9C-8B03-53117B976C6E}" type="pres">
      <dgm:prSet presAssocID="{AEA1048A-DD4F-431C-A181-35346D306129}" presName="rootComposite" presStyleCnt="0"/>
      <dgm:spPr/>
    </dgm:pt>
    <dgm:pt modelId="{02F3F345-16C5-45D8-8AF4-75810F5C7F58}" type="pres">
      <dgm:prSet presAssocID="{AEA1048A-DD4F-431C-A181-35346D306129}" presName="rootText" presStyleLbl="node4" presStyleIdx="70" presStyleCnt="72">
        <dgm:presLayoutVars>
          <dgm:chPref val="3"/>
        </dgm:presLayoutVars>
      </dgm:prSet>
      <dgm:spPr/>
    </dgm:pt>
    <dgm:pt modelId="{749E7637-8EF0-4B4F-A7FA-F30DB925D34E}" type="pres">
      <dgm:prSet presAssocID="{AEA1048A-DD4F-431C-A181-35346D306129}" presName="rootConnector" presStyleLbl="node4" presStyleIdx="70" presStyleCnt="72"/>
      <dgm:spPr/>
    </dgm:pt>
    <dgm:pt modelId="{1DA33CA4-F721-49B7-817A-611879895D64}" type="pres">
      <dgm:prSet presAssocID="{AEA1048A-DD4F-431C-A181-35346D306129}" presName="hierChild4" presStyleCnt="0"/>
      <dgm:spPr/>
    </dgm:pt>
    <dgm:pt modelId="{8E2991E5-6D39-4B49-890C-AD967F3CDB43}" type="pres">
      <dgm:prSet presAssocID="{AEA1048A-DD4F-431C-A181-35346D306129}" presName="hierChild5" presStyleCnt="0"/>
      <dgm:spPr/>
    </dgm:pt>
    <dgm:pt modelId="{629154A0-5813-441D-B6EA-823569FBD7A8}" type="pres">
      <dgm:prSet presAssocID="{B7C27317-2A15-42CE-96F1-05F0B1AAFC18}" presName="Name37" presStyleLbl="parChTrans1D4" presStyleIdx="71" presStyleCnt="72"/>
      <dgm:spPr/>
    </dgm:pt>
    <dgm:pt modelId="{724C525D-C844-4173-9ED4-35FECBE97727}" type="pres">
      <dgm:prSet presAssocID="{DCB6A9C7-7AA9-44B2-823B-42FF09F826B8}" presName="hierRoot2" presStyleCnt="0">
        <dgm:presLayoutVars>
          <dgm:hierBranch val="init"/>
        </dgm:presLayoutVars>
      </dgm:prSet>
      <dgm:spPr/>
    </dgm:pt>
    <dgm:pt modelId="{BAC7EAD4-469B-400B-9020-8360E583CF21}" type="pres">
      <dgm:prSet presAssocID="{DCB6A9C7-7AA9-44B2-823B-42FF09F826B8}" presName="rootComposite" presStyleCnt="0"/>
      <dgm:spPr/>
    </dgm:pt>
    <dgm:pt modelId="{94B61BB1-CB94-469F-9B79-36D99C81C1F1}" type="pres">
      <dgm:prSet presAssocID="{DCB6A9C7-7AA9-44B2-823B-42FF09F826B8}" presName="rootText" presStyleLbl="node4" presStyleIdx="71" presStyleCnt="72">
        <dgm:presLayoutVars>
          <dgm:chPref val="3"/>
        </dgm:presLayoutVars>
      </dgm:prSet>
      <dgm:spPr/>
    </dgm:pt>
    <dgm:pt modelId="{B06E5B77-6E23-47A7-ADD3-A39A317AC3DA}" type="pres">
      <dgm:prSet presAssocID="{DCB6A9C7-7AA9-44B2-823B-42FF09F826B8}" presName="rootConnector" presStyleLbl="node4" presStyleIdx="71" presStyleCnt="72"/>
      <dgm:spPr/>
    </dgm:pt>
    <dgm:pt modelId="{65204F84-6BF9-4746-8EB2-CDEE08064991}" type="pres">
      <dgm:prSet presAssocID="{DCB6A9C7-7AA9-44B2-823B-42FF09F826B8}" presName="hierChild4" presStyleCnt="0"/>
      <dgm:spPr/>
    </dgm:pt>
    <dgm:pt modelId="{0047B816-AA38-47BF-B814-5222009E53D5}" type="pres">
      <dgm:prSet presAssocID="{DCB6A9C7-7AA9-44B2-823B-42FF09F826B8}" presName="hierChild5" presStyleCnt="0"/>
      <dgm:spPr/>
    </dgm:pt>
    <dgm:pt modelId="{5E79FE17-F399-4A78-A4A8-D52F6016B57A}" type="pres">
      <dgm:prSet presAssocID="{0586FAB4-706F-4FC7-88AE-C28BDF19B91A}" presName="hierChild5" presStyleCnt="0"/>
      <dgm:spPr/>
    </dgm:pt>
    <dgm:pt modelId="{12533C70-D3DB-468E-B368-0C102DC04734}" type="pres">
      <dgm:prSet presAssocID="{357E2913-C4B2-4F0B-B0FB-9F5A7BC6F2AC}" presName="hierChild5" presStyleCnt="0"/>
      <dgm:spPr/>
    </dgm:pt>
    <dgm:pt modelId="{C954D343-7E8B-41A4-9F55-D6990950DB58}" type="pres">
      <dgm:prSet presAssocID="{F598D19B-D2C1-4C61-83E9-558D9B7B3882}" presName="hierChild5" presStyleCnt="0"/>
      <dgm:spPr/>
    </dgm:pt>
    <dgm:pt modelId="{4D9CC191-6070-4740-AF58-DFD98309E5AA}" type="pres">
      <dgm:prSet presAssocID="{37B815A6-A82C-4FDE-AE00-00763423F21E}" presName="hierChild3" presStyleCnt="0"/>
      <dgm:spPr/>
    </dgm:pt>
  </dgm:ptLst>
  <dgm:cxnLst>
    <dgm:cxn modelId="{C1C55A01-2C57-4195-B2EB-98A7F6FC3B84}" type="presOf" srcId="{184C4095-E2AD-4C88-BD0D-965DD737B7BD}" destId="{619212CD-C2A4-475D-9AB7-C4528EB576C2}" srcOrd="0" destOrd="0" presId="urn:microsoft.com/office/officeart/2005/8/layout/orgChart1"/>
    <dgm:cxn modelId="{CC8AA302-A888-4332-B020-BF383B8D9CE7}" type="presOf" srcId="{6D707159-9184-4649-962F-C9614671967E}" destId="{D0C71868-9975-47B5-9F17-4345280AC1E5}" srcOrd="0" destOrd="0" presId="urn:microsoft.com/office/officeart/2005/8/layout/orgChart1"/>
    <dgm:cxn modelId="{F26AA803-5E4A-47FB-956C-2D2E6200C014}" srcId="{9D22F41F-8498-44DE-863F-CF56EE5E30A1}" destId="{F013B672-1400-4FAD-A67B-473BD893A112}" srcOrd="1" destOrd="0" parTransId="{10A803D9-66BF-451E-9E3A-90762BB275E8}" sibTransId="{05A0556E-EE18-4F2C-B187-A5816908CD00}"/>
    <dgm:cxn modelId="{44F22504-0611-4CF3-883D-504AB3E7A63B}" type="presOf" srcId="{B288F2C6-A73C-4044-A2E6-EA4134E43295}" destId="{FA99CF7B-FA86-4A3E-8B92-AA6BF73D864D}" srcOrd="0" destOrd="0" presId="urn:microsoft.com/office/officeart/2005/8/layout/orgChart1"/>
    <dgm:cxn modelId="{BC868204-7F22-47B5-B373-FFAD4E9DE3D5}" type="presOf" srcId="{C43E60CE-5DA9-4457-8612-9A61E6EC3E8B}" destId="{803E7D20-7CB9-4D10-A3EF-C105BF6FD9CF}" srcOrd="0" destOrd="0" presId="urn:microsoft.com/office/officeart/2005/8/layout/orgChart1"/>
    <dgm:cxn modelId="{2A7F9104-53CC-4770-9043-7346A85D1681}" type="presOf" srcId="{1C66B5FA-56F3-442A-835D-50736CC5505E}" destId="{00E5A209-2780-4CB2-BE2A-F93995DAF8D3}" srcOrd="0" destOrd="0" presId="urn:microsoft.com/office/officeart/2005/8/layout/orgChart1"/>
    <dgm:cxn modelId="{D7D06905-F899-40CA-9CB1-BE6A3B26AADA}" type="presOf" srcId="{519DCCF5-E5FA-41E2-A3C0-B9BE7F56F64C}" destId="{AA79F97D-CE59-4D91-A4F3-97D379538E65}" srcOrd="0" destOrd="0" presId="urn:microsoft.com/office/officeart/2005/8/layout/orgChart1"/>
    <dgm:cxn modelId="{E9399E05-7A19-4854-95DE-C6C32A15581C}" type="presOf" srcId="{1270692E-2264-40E4-8007-3BBF6CC7FA12}" destId="{40B30CBB-CDF5-4BA1-B98E-6C888E158791}" srcOrd="0" destOrd="0" presId="urn:microsoft.com/office/officeart/2005/8/layout/orgChart1"/>
    <dgm:cxn modelId="{FC2CDC08-BCD4-46CC-A640-53962D1343C1}" type="presOf" srcId="{8F655CAF-A9E9-483B-8F4B-B00F9978CC8C}" destId="{233975D0-50D5-4C77-B84B-292BA86270D3}" srcOrd="0" destOrd="0" presId="urn:microsoft.com/office/officeart/2005/8/layout/orgChart1"/>
    <dgm:cxn modelId="{C5404F09-4F19-4552-96AA-F14A924D286E}" type="presOf" srcId="{EA0542A9-74B1-4CFD-89B7-6E53F209B972}" destId="{7CBAE40D-6F50-464C-BA60-28C5725F9B6D}" srcOrd="0" destOrd="0" presId="urn:microsoft.com/office/officeart/2005/8/layout/orgChart1"/>
    <dgm:cxn modelId="{98E15309-62F9-4953-B7C2-4CFB7DB4CA1B}" type="presOf" srcId="{F9729CD2-FE6C-4DE7-9E66-AF0806BDE0C6}" destId="{5F0322F1-F828-42E0-8B9E-930C793B48D1}" srcOrd="1" destOrd="0" presId="urn:microsoft.com/office/officeart/2005/8/layout/orgChart1"/>
    <dgm:cxn modelId="{3A63590A-4D7C-43CE-AF0C-36A185C70062}" type="presOf" srcId="{82705309-E6B8-4660-A600-73180EC97D44}" destId="{0FD0268F-25C7-44E5-9ECF-1F1E0D53E1E2}" srcOrd="1" destOrd="0" presId="urn:microsoft.com/office/officeart/2005/8/layout/orgChart1"/>
    <dgm:cxn modelId="{3F9AA60A-3865-4826-B76F-92A6ED7050BC}" type="presOf" srcId="{256DEA29-1FE4-4C99-979A-26806E978E7E}" destId="{05987C47-4D08-4E9A-8893-C406D6D16E6D}" srcOrd="1" destOrd="0" presId="urn:microsoft.com/office/officeart/2005/8/layout/orgChart1"/>
    <dgm:cxn modelId="{9997EF0D-B789-4081-B238-D10751136288}" type="presOf" srcId="{80C296C1-4F47-4707-97C1-7ED1075B9E95}" destId="{8AEEF72A-DACB-47E8-8AFC-3FC235E59E4A}" srcOrd="0" destOrd="0" presId="urn:microsoft.com/office/officeart/2005/8/layout/orgChart1"/>
    <dgm:cxn modelId="{6207380E-034C-4ADA-B286-0F3DF710FBF3}" type="presOf" srcId="{B78840CD-48A4-4619-84B8-9F12176C54F4}" destId="{8A2AE835-CBE3-48D9-B08C-DF86BF4E6895}" srcOrd="0" destOrd="0" presId="urn:microsoft.com/office/officeart/2005/8/layout/orgChart1"/>
    <dgm:cxn modelId="{8789E50E-5FB3-44FB-A219-FA2988DB5622}" type="presOf" srcId="{8D2EA66C-DE16-41AA-8CA3-15C554D726E5}" destId="{1AD6C78B-E3A9-4476-9D1A-F6DB79DEC553}" srcOrd="0" destOrd="0" presId="urn:microsoft.com/office/officeart/2005/8/layout/orgChart1"/>
    <dgm:cxn modelId="{E0B28A10-A97A-449B-83DA-E9D0FF1A4565}" srcId="{B7307D27-CA88-4AAF-BDE6-69021D17FE48}" destId="{63F6C9A5-3CCD-462D-97D7-07A93B3BCCD0}" srcOrd="0" destOrd="0" parTransId="{158A9C75-C8DD-4F8B-93B6-0C5250F012CA}" sibTransId="{246BBF9C-6310-4E19-959F-2AB8818F430F}"/>
    <dgm:cxn modelId="{30B78B10-513F-4C72-9BBF-E00F52CC4D54}" type="presOf" srcId="{38635412-32C5-4513-A99F-BB797170493C}" destId="{91139381-8AAB-4DB9-A592-5434B4BA8063}" srcOrd="1" destOrd="0" presId="urn:microsoft.com/office/officeart/2005/8/layout/orgChart1"/>
    <dgm:cxn modelId="{CBD31F11-5818-49E9-8D23-073BC3E511B3}" type="presOf" srcId="{A4316985-448F-4E21-A466-901A85087A14}" destId="{C9BE0CCA-47F7-4020-B009-A5FFC8006110}" srcOrd="0" destOrd="0" presId="urn:microsoft.com/office/officeart/2005/8/layout/orgChart1"/>
    <dgm:cxn modelId="{D6C0B812-D21C-42F7-AC1E-C1E510DEC90A}" type="presOf" srcId="{357E2913-C4B2-4F0B-B0FB-9F5A7BC6F2AC}" destId="{6AB26E28-6E5B-47C9-B171-5B67BE3AFE80}" srcOrd="1" destOrd="0" presId="urn:microsoft.com/office/officeart/2005/8/layout/orgChart1"/>
    <dgm:cxn modelId="{0EF0DB12-3871-4DA7-9F98-40D52D40C1A7}" type="presOf" srcId="{16C6946A-DC47-43C6-BEA4-93CF4CCB3F9E}" destId="{0C2C89EC-E878-4839-8364-01FD324FA024}" srcOrd="0" destOrd="0" presId="urn:microsoft.com/office/officeart/2005/8/layout/orgChart1"/>
    <dgm:cxn modelId="{9F71E615-87BB-4AEC-83C0-22E9FD7FA92C}" srcId="{AE83B6BB-DB46-4759-9F2D-5D19B0BEA25B}" destId="{04CDE114-E19D-418A-95A3-FB13CCA3AD7F}" srcOrd="0" destOrd="0" parTransId="{928D4908-269E-4974-9C75-5542557F745F}" sibTransId="{F2CB2F6B-62A2-473F-996F-5345FA82DF17}"/>
    <dgm:cxn modelId="{4E0C5B16-1316-49C6-8D2B-C0E0EBC8273A}" srcId="{F1D8D4A5-F2C0-4102-B960-BE861D6F8193}" destId="{0B85427B-C30A-49F8-839A-F97301879955}" srcOrd="2" destOrd="0" parTransId="{67D7F923-5E7A-4AA8-9764-9A9E215BA53A}" sibTransId="{A859EC92-B02B-491A-BDC2-A54DE233AF6A}"/>
    <dgm:cxn modelId="{BE94BD16-8CEA-4B3A-A269-C970A1BC69B8}" type="presOf" srcId="{625E4956-8EF6-4477-9EEE-F6675500F662}" destId="{977A7031-CFAB-41CF-8B5D-89611399EB84}" srcOrd="0" destOrd="0" presId="urn:microsoft.com/office/officeart/2005/8/layout/orgChart1"/>
    <dgm:cxn modelId="{2B99C616-A310-4AB1-9064-D17E6A48BFB6}" type="presOf" srcId="{4D70E4C3-060D-4A14-B934-2BCB2F9B37AC}" destId="{9CBAD72B-9EB9-42DE-9D67-1DB50B3390E2}" srcOrd="0" destOrd="0" presId="urn:microsoft.com/office/officeart/2005/8/layout/orgChart1"/>
    <dgm:cxn modelId="{DDE7DD17-9BA9-49E4-AAB4-DFD1FC732032}" type="presOf" srcId="{686ABE93-CE12-489E-BA7B-FCAA3763B6DE}" destId="{182DEA34-6A1F-42DC-824E-865386A60610}" srcOrd="0" destOrd="0" presId="urn:microsoft.com/office/officeart/2005/8/layout/orgChart1"/>
    <dgm:cxn modelId="{97AC2419-F271-4F73-89DA-DB0EACB791F5}" type="presOf" srcId="{9E13F8D8-AB61-4007-8151-B13C9E4739D4}" destId="{8B1EE9E8-4AA4-4299-B52C-B2A5137493E8}" srcOrd="0" destOrd="0" presId="urn:microsoft.com/office/officeart/2005/8/layout/orgChart1"/>
    <dgm:cxn modelId="{6C803E1A-5E11-4190-9E33-7E585A7C910E}" type="presOf" srcId="{42C74D63-D76C-40F4-8A6B-2F37088113DE}" destId="{C0030FD4-83CB-4BF1-B5AB-72AAA436B7FF}" srcOrd="0" destOrd="0" presId="urn:microsoft.com/office/officeart/2005/8/layout/orgChart1"/>
    <dgm:cxn modelId="{D444661A-727B-4961-85DD-2C1D28D2E5E6}" srcId="{1270692E-2264-40E4-8007-3BBF6CC7FA12}" destId="{37B815A6-A82C-4FDE-AE00-00763423F21E}" srcOrd="0" destOrd="0" parTransId="{9EE6A4A4-CEFB-4692-BC0C-73B2C082C62B}" sibTransId="{F96AA92A-ED44-4615-AE8D-9B16953695E5}"/>
    <dgm:cxn modelId="{88E2BC1A-FFA6-4631-BF2B-736801E9097B}" type="presOf" srcId="{738EED44-B888-42BA-B441-ADE069CDE589}" destId="{0CD59D97-A0FE-446B-9D5D-B2C2DCF9395E}" srcOrd="0" destOrd="0" presId="urn:microsoft.com/office/officeart/2005/8/layout/orgChart1"/>
    <dgm:cxn modelId="{AA3D3C1B-84A3-4FA9-B81E-A25DF4AEAE9E}" type="presOf" srcId="{95ABC0B2-F5DD-4B2A-8613-1F9066798E51}" destId="{486399C1-8ED0-4A54-9AF5-1FC5987C4F2C}" srcOrd="0" destOrd="0" presId="urn:microsoft.com/office/officeart/2005/8/layout/orgChart1"/>
    <dgm:cxn modelId="{3936641C-E83A-4693-9E36-2A1C7E474D3C}" srcId="{F05C3478-7A69-4779-805E-2E85D00A905A}" destId="{38635412-32C5-4513-A99F-BB797170493C}" srcOrd="2" destOrd="0" parTransId="{CDCC7A01-D46A-4C01-82C4-86CDEA725614}" sibTransId="{69FC1787-A45D-40F5-9452-BFAD9D6EC1FD}"/>
    <dgm:cxn modelId="{A722891C-D927-4FE2-84C2-9666A17F4DEF}" type="presOf" srcId="{C9911431-E0D7-4F09-B174-06741AF0454A}" destId="{4B8721A4-BB7E-4089-AA97-678B65835D75}" srcOrd="0" destOrd="0" presId="urn:microsoft.com/office/officeart/2005/8/layout/orgChart1"/>
    <dgm:cxn modelId="{9905F61C-84CD-482A-A9CE-C26BDDDE61DC}" type="presOf" srcId="{A60F7C4E-51B7-4E43-8D21-BD69575A4FBB}" destId="{23C2BE05-C35B-4AD4-BB78-B9EFCD81AED6}" srcOrd="0" destOrd="0" presId="urn:microsoft.com/office/officeart/2005/8/layout/orgChart1"/>
    <dgm:cxn modelId="{C51ADF1D-5D7F-4986-90D6-989DB3F3F26E}" srcId="{F598D19B-D2C1-4C61-83E9-558D9B7B3882}" destId="{3039C17B-E4C4-4FED-8B84-CC377584ABE5}" srcOrd="0" destOrd="0" parTransId="{7B890384-9E67-45D8-A23E-BC4AC4E31FAC}" sibTransId="{A04D02CE-A829-42FE-8269-D63BFF535F80}"/>
    <dgm:cxn modelId="{95F40720-8669-4023-AF46-4C4775F92237}" type="presOf" srcId="{185FD4FB-5CF7-43EB-A5E2-8430195AC14E}" destId="{6963A447-38F4-4D2B-8036-FC6851AC0783}" srcOrd="0" destOrd="0" presId="urn:microsoft.com/office/officeart/2005/8/layout/orgChart1"/>
    <dgm:cxn modelId="{BFA21520-4AA1-4F4A-A1CB-7940208A973C}" type="presOf" srcId="{451658AB-2440-4F2E-99D8-5F6CE62C9F5D}" destId="{13B53198-3EC9-42F9-AC4D-94E12DEC3B0D}" srcOrd="0" destOrd="0" presId="urn:microsoft.com/office/officeart/2005/8/layout/orgChart1"/>
    <dgm:cxn modelId="{EC35C020-02F2-4667-BF7D-344920A91F0A}" type="presOf" srcId="{AE83B6BB-DB46-4759-9F2D-5D19B0BEA25B}" destId="{9EB75F2A-A7D2-4610-83B2-EE80E8016EE9}" srcOrd="0" destOrd="0" presId="urn:microsoft.com/office/officeart/2005/8/layout/orgChart1"/>
    <dgm:cxn modelId="{6C830821-1D97-4488-9052-FE3957CA3703}" type="presOf" srcId="{902B7E59-C304-4E25-A8D9-A39FA3E665E4}" destId="{661699D9-CE96-42C6-96BD-3AA8D16E6A43}" srcOrd="0" destOrd="0" presId="urn:microsoft.com/office/officeart/2005/8/layout/orgChart1"/>
    <dgm:cxn modelId="{0D7D7B21-9C0D-426A-A249-14359C2890D4}" srcId="{EB428A7E-ECCA-45B1-968E-47B7770B5453}" destId="{24E00DF3-AFC5-4E22-A36B-17B8F041E424}" srcOrd="2" destOrd="0" parTransId="{2AB15BAD-D7C1-4E36-B02D-D19545A352F6}" sibTransId="{458809DF-3E50-43C3-A42F-01E813E6201D}"/>
    <dgm:cxn modelId="{C3EA0422-73BC-4E2B-9AA2-D65B48B49C56}" type="presOf" srcId="{3E06ABE1-32DC-4DEB-9EA5-6406C48A3EB5}" destId="{5242AC8E-8DF8-47B6-93D0-FFBE7443D68E}" srcOrd="1" destOrd="0" presId="urn:microsoft.com/office/officeart/2005/8/layout/orgChart1"/>
    <dgm:cxn modelId="{7FB12923-5B77-4084-880A-AF4E85A49357}" srcId="{625E4956-8EF6-4477-9EEE-F6675500F662}" destId="{40844E9E-8255-4CDB-85F6-F39B0E3EBCE2}" srcOrd="1" destOrd="0" parTransId="{47C6BDFD-715D-4ACC-BB22-C4FB9C49DF3B}" sibTransId="{54974E48-C34E-4C58-BE95-71513805E365}"/>
    <dgm:cxn modelId="{3C777F24-615C-4523-A210-2940B88281AC}" type="presOf" srcId="{7ECFFBF9-CC2F-4FCC-8453-7C60EF35B245}" destId="{9A5EA0E6-0FFC-4C25-8BFB-379FE240D95E}" srcOrd="0" destOrd="0" presId="urn:microsoft.com/office/officeart/2005/8/layout/orgChart1"/>
    <dgm:cxn modelId="{0BDFE124-43B5-4126-BAAB-3F25CBA0699A}" srcId="{35832908-7724-43A9-A2FF-5625A4D3B9C8}" destId="{9D22F41F-8498-44DE-863F-CF56EE5E30A1}" srcOrd="2" destOrd="0" parTransId="{60DF9EE5-F61B-44CB-B1BB-78BEFC0A6EC3}" sibTransId="{186D1D13-6826-46DB-B912-D8DBC177139C}"/>
    <dgm:cxn modelId="{BBF35F25-7355-4A32-BA74-170BF7C01C52}" type="presOf" srcId="{DA9AAD3F-C4C7-4D4F-ABC9-FC01D1CCFC79}" destId="{7C16975F-6C35-4285-B089-D38666B08FC6}" srcOrd="1" destOrd="0" presId="urn:microsoft.com/office/officeart/2005/8/layout/orgChart1"/>
    <dgm:cxn modelId="{64EFC725-2133-44F0-B7F7-0DA3060EA8E8}" type="presOf" srcId="{CEA92F1A-72A3-44A1-B185-5D267D439600}" destId="{312114D3-E5AD-40F0-AC45-9A8CE19AE9F2}" srcOrd="0" destOrd="0" presId="urn:microsoft.com/office/officeart/2005/8/layout/orgChart1"/>
    <dgm:cxn modelId="{8C275226-EC25-45E3-A5DB-893F872F6448}" srcId="{625E4956-8EF6-4477-9EEE-F6675500F662}" destId="{C43E60CE-5DA9-4457-8612-9A61E6EC3E8B}" srcOrd="2" destOrd="0" parTransId="{42E27800-DAF0-49A9-AF01-222E9FA3CCEE}" sibTransId="{654AD190-4A3E-43E4-9513-A2CBB4235776}"/>
    <dgm:cxn modelId="{16A8BB27-406F-4769-BFD8-B0F79E48F6CC}" type="presOf" srcId="{256B73C7-A551-4C46-9EB6-B4B4C68E5882}" destId="{E6FBFD17-1284-4AE2-A512-9DCDC154BE15}" srcOrd="1" destOrd="0" presId="urn:microsoft.com/office/officeart/2005/8/layout/orgChart1"/>
    <dgm:cxn modelId="{AE821A28-C3BF-4C64-B585-7A38E0708C2C}" type="presOf" srcId="{82F1DFE8-6987-4852-8605-161789621196}" destId="{4891FAE5-EA73-48E8-B207-27FED46380A3}" srcOrd="0" destOrd="0" presId="urn:microsoft.com/office/officeart/2005/8/layout/orgChart1"/>
    <dgm:cxn modelId="{0157BD29-A328-41B1-9F39-4720DF3DB000}" srcId="{F1D8D4A5-F2C0-4102-B960-BE861D6F8193}" destId="{8D2EA66C-DE16-41AA-8CA3-15C554D726E5}" srcOrd="0" destOrd="0" parTransId="{902B7E59-C304-4E25-A8D9-A39FA3E665E4}" sibTransId="{DB581C7A-8684-49ED-83FF-48A9EAB21045}"/>
    <dgm:cxn modelId="{0C7FE429-97F9-48A5-9109-59E1443AA3F8}" type="presOf" srcId="{512FA690-FE63-4D19-810E-6B154859E859}" destId="{2F7A02BE-7553-4589-927D-B133AE7A884D}" srcOrd="1" destOrd="0" presId="urn:microsoft.com/office/officeart/2005/8/layout/orgChart1"/>
    <dgm:cxn modelId="{A5B9372A-9009-416C-8DA2-0549BCD36597}" srcId="{AE83B6BB-DB46-4759-9F2D-5D19B0BEA25B}" destId="{9177A60E-2E9A-4563-B78B-246BF3385A76}" srcOrd="2" destOrd="0" parTransId="{F363B467-C944-42F7-BE40-3B67BAC8FA38}" sibTransId="{FDACB1D7-9904-41D8-873E-E03A7DA981DE}"/>
    <dgm:cxn modelId="{CF6AA62A-8F02-4888-8EE7-658882DB2C5D}" type="presOf" srcId="{338DC12C-4F04-41C1-A712-7C9F8AC41184}" destId="{CB382D01-6570-41C3-96EA-54C0A3FA106F}" srcOrd="1" destOrd="0" presId="urn:microsoft.com/office/officeart/2005/8/layout/orgChart1"/>
    <dgm:cxn modelId="{99B5BD2A-543B-4FED-9E94-922CEACD9D56}" type="presOf" srcId="{58F9194D-CE96-44EA-AFF5-75569AE02607}" destId="{AE32B0C2-D36B-447B-A38A-C139A1EB9B23}" srcOrd="0" destOrd="0" presId="urn:microsoft.com/office/officeart/2005/8/layout/orgChart1"/>
    <dgm:cxn modelId="{277E9D2C-04DA-4255-9D11-69E1E9BFB0E1}" type="presOf" srcId="{B89B6A32-1FB2-4670-9492-E5DC21C03297}" destId="{266F4860-7D74-42E8-BE15-24174EC57716}" srcOrd="1" destOrd="0" presId="urn:microsoft.com/office/officeart/2005/8/layout/orgChart1"/>
    <dgm:cxn modelId="{8862E02D-EDC4-4FE3-82E9-C9A6C0427DFF}" type="presOf" srcId="{8F655CAF-A9E9-483B-8F4B-B00F9978CC8C}" destId="{9232D0D4-2282-4550-91DD-4B1783BD23D3}" srcOrd="1" destOrd="0" presId="urn:microsoft.com/office/officeart/2005/8/layout/orgChart1"/>
    <dgm:cxn modelId="{750AA72E-563C-4D2B-B416-6E7A98DA74F8}" type="presOf" srcId="{DB6A2F21-F1DC-4171-A975-786894CEDD56}" destId="{1EFF7A11-A639-4652-8E87-36D297D83D67}" srcOrd="1" destOrd="0" presId="urn:microsoft.com/office/officeart/2005/8/layout/orgChart1"/>
    <dgm:cxn modelId="{6BCE152F-6967-4CCA-ABA3-17E09759A9EA}" type="presOf" srcId="{A439CBEE-E83A-46CD-BBF0-CAD6754640D6}" destId="{58201BB0-4541-4766-B822-7FD249395CA9}" srcOrd="0" destOrd="0" presId="urn:microsoft.com/office/officeart/2005/8/layout/orgChart1"/>
    <dgm:cxn modelId="{DF40B12F-CD2D-4740-B9AB-60A737EB2B7D}" type="presOf" srcId="{AECE4CE0-3DE2-4C3F-81AD-C767AE588C88}" destId="{F2AFE134-3F00-46C7-AAC6-B6D5ED070B18}" srcOrd="0" destOrd="0" presId="urn:microsoft.com/office/officeart/2005/8/layout/orgChart1"/>
    <dgm:cxn modelId="{9BA1C52F-2418-4E3A-9EA6-2FDF5BA766AE}" type="presOf" srcId="{16C6946A-DC47-43C6-BEA4-93CF4CCB3F9E}" destId="{888F8B46-1EFD-4C6B-AC99-17DE26EAA6A9}" srcOrd="1" destOrd="0" presId="urn:microsoft.com/office/officeart/2005/8/layout/orgChart1"/>
    <dgm:cxn modelId="{14A6E32F-7E15-45A5-B199-7AC0FE747AF1}" type="presOf" srcId="{0FC43EC8-91DE-489E-8050-52BF6A422A06}" destId="{CF388C55-8F26-4291-9A51-C70A6452512E}" srcOrd="0" destOrd="0" presId="urn:microsoft.com/office/officeart/2005/8/layout/orgChart1"/>
    <dgm:cxn modelId="{5D480931-54D7-4FB5-921B-9957278671C4}" srcId="{B89B6A32-1FB2-4670-9492-E5DC21C03297}" destId="{200FC4C6-7B87-4F97-BC37-F7917B9AFBEB}" srcOrd="2" destOrd="0" parTransId="{AB1EAC64-D38A-41AF-96F4-B09AD284879D}" sibTransId="{4C9DBC8A-ABB6-4F85-AC75-65519838C10C}"/>
    <dgm:cxn modelId="{EB1ACC31-29A3-45A8-9E67-930DDC5E5BDE}" srcId="{B89B6A32-1FB2-4670-9492-E5DC21C03297}" destId="{16C6946A-DC47-43C6-BEA4-93CF4CCB3F9E}" srcOrd="0" destOrd="0" parTransId="{9F0E14C1-D72D-4501-AE69-5392E01D8774}" sibTransId="{139DAB2D-E8C4-473F-951A-1CFB47CD9200}"/>
    <dgm:cxn modelId="{90476F33-10C9-4FB8-82F6-F9C1C75CEE95}" type="presOf" srcId="{24E00DF3-AFC5-4E22-A36B-17B8F041E424}" destId="{6B2170B3-0D25-46C1-A065-39368F7D33B8}" srcOrd="1" destOrd="0" presId="urn:microsoft.com/office/officeart/2005/8/layout/orgChart1"/>
    <dgm:cxn modelId="{F6E91F34-553B-4C05-89C6-0447E1ECA0CB}" type="presOf" srcId="{EB428A7E-ECCA-45B1-968E-47B7770B5453}" destId="{6924E20D-25FE-4EB9-8E20-8B38008F4C4C}" srcOrd="0" destOrd="0" presId="urn:microsoft.com/office/officeart/2005/8/layout/orgChart1"/>
    <dgm:cxn modelId="{D752C734-FBCA-4414-A37E-689A2108B2C2}" type="presOf" srcId="{3039C17B-E4C4-4FED-8B84-CC377584ABE5}" destId="{A29A0863-1C0D-4E57-921B-D2605C07AFE9}" srcOrd="1" destOrd="0" presId="urn:microsoft.com/office/officeart/2005/8/layout/orgChart1"/>
    <dgm:cxn modelId="{D44ABB35-2AA7-4554-AC4E-89974989046E}" type="presOf" srcId="{38635412-32C5-4513-A99F-BB797170493C}" destId="{822E8CCF-2958-4C56-9FBC-EF69820F0ACC}" srcOrd="0" destOrd="0" presId="urn:microsoft.com/office/officeart/2005/8/layout/orgChart1"/>
    <dgm:cxn modelId="{EC136536-9947-4515-AC4E-922375B6C1D7}" type="presOf" srcId="{A509A8DA-0483-4796-88B0-EC2AB5FE9B6B}" destId="{8186C304-503F-45FF-80CA-F0821C57BE5D}" srcOrd="0" destOrd="0" presId="urn:microsoft.com/office/officeart/2005/8/layout/orgChart1"/>
    <dgm:cxn modelId="{958BCA36-6282-40BB-BFAB-D3F08D0740FC}" type="presOf" srcId="{5F30F744-9E14-4BD4-B6ED-BD67BCC846DC}" destId="{B41A9B77-6294-4447-8DBE-99799DBDB4C5}" srcOrd="0" destOrd="0" presId="urn:microsoft.com/office/officeart/2005/8/layout/orgChart1"/>
    <dgm:cxn modelId="{6684E637-4CAC-43CE-8861-78E903A7096F}" type="presOf" srcId="{F79DDE5B-4104-4604-9C90-F2BC5F09F57F}" destId="{76551651-8CF2-4241-86D6-E51AA52E72BB}" srcOrd="0" destOrd="0" presId="urn:microsoft.com/office/officeart/2005/8/layout/orgChart1"/>
    <dgm:cxn modelId="{10E40239-0914-4A87-A73A-978CFE766CB2}" type="presOf" srcId="{200FC4C6-7B87-4F97-BC37-F7917B9AFBEB}" destId="{25960CE6-FA34-45F0-9C59-706F7DDB20AF}" srcOrd="0" destOrd="0" presId="urn:microsoft.com/office/officeart/2005/8/layout/orgChart1"/>
    <dgm:cxn modelId="{C18C2339-5E2D-4E1E-A7C1-CEC7C50AEBF7}" type="presOf" srcId="{5A6685A1-B746-4FF8-A7EB-D21C014B98B1}" destId="{EB61381B-74AF-43C6-BB7E-55A01CCAAA81}" srcOrd="1" destOrd="0" presId="urn:microsoft.com/office/officeart/2005/8/layout/orgChart1"/>
    <dgm:cxn modelId="{1EB13039-FB63-4FD4-B569-B25B8CE37481}" type="presOf" srcId="{B37120C7-E06F-4726-BED2-8F5C09DDBEE8}" destId="{69A05F39-CA06-4EA6-A9FA-3F3BD2961237}" srcOrd="1" destOrd="0" presId="urn:microsoft.com/office/officeart/2005/8/layout/orgChart1"/>
    <dgm:cxn modelId="{F1054239-73F7-431A-908D-57823AAAEC72}" type="presOf" srcId="{12B3EEFC-FC70-43AE-A577-738B34B9E53B}" destId="{3AA17879-C914-4581-9BBB-388E2912A16C}" srcOrd="0" destOrd="0" presId="urn:microsoft.com/office/officeart/2005/8/layout/orgChart1"/>
    <dgm:cxn modelId="{55567039-A598-4105-B7C8-390EF6F9C103}" type="presOf" srcId="{27C9498C-BC1E-42CC-A17A-3F671BCC888B}" destId="{0C78FBC5-B545-42B1-B5E9-EC56D676D690}" srcOrd="0" destOrd="0" presId="urn:microsoft.com/office/officeart/2005/8/layout/orgChart1"/>
    <dgm:cxn modelId="{89318F3A-567B-4CFA-8D45-25FE0CC176AB}" type="presOf" srcId="{357E2913-C4B2-4F0B-B0FB-9F5A7BC6F2AC}" destId="{9E607834-BF76-46AA-ADC1-9B2951BB8EC8}" srcOrd="0" destOrd="0" presId="urn:microsoft.com/office/officeart/2005/8/layout/orgChart1"/>
    <dgm:cxn modelId="{861F0F3D-EC2D-48CE-BCCC-1B7C49360FA0}" type="presOf" srcId="{465891A7-DB7B-43A7-92D4-EC5ACF9EAD83}" destId="{EE636212-E301-4E72-A651-4FA246C4D7FD}" srcOrd="0" destOrd="0" presId="urn:microsoft.com/office/officeart/2005/8/layout/orgChart1"/>
    <dgm:cxn modelId="{0BF4A23E-A442-4CC4-AC60-01042942EBC7}" type="presOf" srcId="{158A9C75-C8DD-4F8B-93B6-0C5250F012CA}" destId="{F101E42C-1F98-4CCA-835D-886350D76600}" srcOrd="0" destOrd="0" presId="urn:microsoft.com/office/officeart/2005/8/layout/orgChart1"/>
    <dgm:cxn modelId="{6B29F63E-556D-49D4-B37B-B004CE02E511}" type="presOf" srcId="{62A86D8C-F142-4724-BF3B-47215CBE210F}" destId="{049852A8-94EA-406A-A4A5-C348CF12A5FC}" srcOrd="0" destOrd="0" presId="urn:microsoft.com/office/officeart/2005/8/layout/orgChart1"/>
    <dgm:cxn modelId="{969FA83F-6C45-4108-A295-2B7F030103F6}" type="presOf" srcId="{9B1F103E-2378-4A14-BD8E-312B3A58C04A}" destId="{B3AAE1C5-3D41-421C-B82E-740788A84D19}" srcOrd="0" destOrd="0" presId="urn:microsoft.com/office/officeart/2005/8/layout/orgChart1"/>
    <dgm:cxn modelId="{CAD2CA3F-542A-4BBB-958C-B9C2CE03A392}" srcId="{AE83B6BB-DB46-4759-9F2D-5D19B0BEA25B}" destId="{8F655CAF-A9E9-483B-8F4B-B00F9978CC8C}" srcOrd="1" destOrd="0" parTransId="{BE6CE2D4-E405-410B-9392-C17E0628FC09}" sibTransId="{1A300C08-9476-4B42-92B8-4AD2E4B59ECE}"/>
    <dgm:cxn modelId="{4E743C40-BF7A-4F22-8445-DE36CC55232A}" type="presOf" srcId="{200FC4C6-7B87-4F97-BC37-F7917B9AFBEB}" destId="{90D42850-5A5F-49DF-9FE0-53387E1C3957}" srcOrd="1" destOrd="0" presId="urn:microsoft.com/office/officeart/2005/8/layout/orgChart1"/>
    <dgm:cxn modelId="{FE4F3D5C-ACD2-4E04-ADEB-AA70F2A5DDFF}" type="presOf" srcId="{69A1EA13-5FE7-4F07-8D3B-DD52F42FB898}" destId="{894C4110-F916-4DF2-B14B-DF032E7E5027}" srcOrd="0" destOrd="0" presId="urn:microsoft.com/office/officeart/2005/8/layout/orgChart1"/>
    <dgm:cxn modelId="{BEAD165D-4E0B-43E3-9D66-DD2FE2CF9E35}" srcId="{3272336C-67B0-40A7-AC41-CC75FABE0270}" destId="{B78840CD-48A4-4619-84B8-9F12176C54F4}" srcOrd="2" destOrd="0" parTransId="{718530C1-E567-49D5-BEBE-785D037F6EE2}" sibTransId="{FBF5C199-CE21-4CED-8254-833CACDD7D9E}"/>
    <dgm:cxn modelId="{0C44895D-3813-4C6A-B873-6E582E784425}" type="presOf" srcId="{DBC0015A-F8AB-4861-8576-3E4CBF6BD4FE}" destId="{80D59107-6804-44F1-8C67-47CD0CB32066}" srcOrd="0" destOrd="0" presId="urn:microsoft.com/office/officeart/2005/8/layout/orgChart1"/>
    <dgm:cxn modelId="{D3E26F5E-FADC-4F39-9D48-534D9AA7E28D}" type="presOf" srcId="{67D7F923-5E7A-4AA8-9764-9A9E215BA53A}" destId="{682333CC-A713-4C76-8A6B-4491741A45AE}" srcOrd="0" destOrd="0" presId="urn:microsoft.com/office/officeart/2005/8/layout/orgChart1"/>
    <dgm:cxn modelId="{A1C3AF5E-3C79-417F-B8D4-807B9BA56C1F}" srcId="{35832908-7724-43A9-A2FF-5625A4D3B9C8}" destId="{185FD4FB-5CF7-43EB-A5E2-8430195AC14E}" srcOrd="1" destOrd="0" parTransId="{12B3EEFC-FC70-43AE-A577-738B34B9E53B}" sibTransId="{9A4412C3-CB8E-4850-8915-289D6057D24E}"/>
    <dgm:cxn modelId="{495BDE5E-9596-4BBB-B343-28B23558E5E6}" srcId="{48081AEE-13E4-4236-9372-4631889377AB}" destId="{338DC12C-4F04-41C1-A712-7C9F8AC41184}" srcOrd="2" destOrd="0" parTransId="{86A0C048-0D09-4CDB-8F34-B96CADD8EF40}" sibTransId="{77D12E17-42E9-4F3E-8090-C9FF71263E86}"/>
    <dgm:cxn modelId="{1A360360-BFEB-4705-9D45-075EF6C63EFB}" type="presOf" srcId="{B37120C7-E06F-4726-BED2-8F5C09DDBEE8}" destId="{A9EC7FF8-F826-4A47-8314-1BDBBAF2B7CF}" srcOrd="0" destOrd="0" presId="urn:microsoft.com/office/officeart/2005/8/layout/orgChart1"/>
    <dgm:cxn modelId="{A3E8EB60-A79D-4331-8566-D32EDD0B08E3}" srcId="{3272336C-67B0-40A7-AC41-CC75FABE0270}" destId="{D32B3C37-E83D-494E-AAE2-8CCB75DCD383}" srcOrd="0" destOrd="0" parTransId="{03736C43-E7B3-4780-8F7B-375D5A6A7FE4}" sibTransId="{8C57269D-7B4E-41A8-A367-E7DEF336E9FC}"/>
    <dgm:cxn modelId="{F4953361-E909-4665-A663-B5AD929C56B4}" type="presOf" srcId="{BF00BCC0-9B1F-44D4-9EE0-D6D2096E9246}" destId="{081DE242-B243-4BEE-A2EF-F43AE0C5B242}" srcOrd="0" destOrd="0" presId="urn:microsoft.com/office/officeart/2005/8/layout/orgChart1"/>
    <dgm:cxn modelId="{578D4E61-5AAE-44E6-BF0C-495C150C136D}" type="presOf" srcId="{0586FAB4-706F-4FC7-88AE-C28BDF19B91A}" destId="{71219005-0142-46A4-9435-188B1AC29646}" srcOrd="0" destOrd="0" presId="urn:microsoft.com/office/officeart/2005/8/layout/orgChart1"/>
    <dgm:cxn modelId="{101DCB41-FAAE-4E70-89F9-3162B5FF4A38}" type="presOf" srcId="{EA0542A9-74B1-4CFD-89B7-6E53F209B972}" destId="{EC8F259C-39B5-441F-B660-E1D2670E47D9}" srcOrd="1" destOrd="0" presId="urn:microsoft.com/office/officeart/2005/8/layout/orgChart1"/>
    <dgm:cxn modelId="{DA8EEE41-9AA3-47ED-A885-A55AF62B8BBE}" type="presOf" srcId="{C43E60CE-5DA9-4457-8612-9A61E6EC3E8B}" destId="{E391C3D6-D658-4641-B003-EDD4657B13A2}" srcOrd="1" destOrd="0" presId="urn:microsoft.com/office/officeart/2005/8/layout/orgChart1"/>
    <dgm:cxn modelId="{F8AF0542-EEAB-413B-839F-6ADBF3FD18EA}" type="presOf" srcId="{CB227DF1-60F3-4DC0-86DD-C4E7204A9AA1}" destId="{A8616DBC-8EEB-4305-ABBA-3D229671CD01}" srcOrd="1" destOrd="0" presId="urn:microsoft.com/office/officeart/2005/8/layout/orgChart1"/>
    <dgm:cxn modelId="{19FA2B62-6166-4D3A-AE8B-A876399A1BA5}" srcId="{D7D1A60F-C56B-46FB-8FFC-BE639F0BFC9F}" destId="{4F8E4A3A-C6FB-4DF8-AF61-13EE6742A679}" srcOrd="0" destOrd="0" parTransId="{37989FF9-0384-4422-A0E1-40A3C334366D}" sibTransId="{44AC06BE-2224-4A4B-9C2C-137F2BD45ECE}"/>
    <dgm:cxn modelId="{4FFC3B62-ABC6-4F46-88F0-06A8A8123447}" type="presOf" srcId="{26FB3AEE-B463-48FC-84F6-67D74CDD0D2C}" destId="{8C84B262-90C8-419A-B6C7-A6A010A3A841}" srcOrd="1" destOrd="0" presId="urn:microsoft.com/office/officeart/2005/8/layout/orgChart1"/>
    <dgm:cxn modelId="{82A57762-56BA-42C4-BFC2-98396DE4837A}" type="presOf" srcId="{26D364BB-2D10-40C6-9165-15E5CF2AD5F6}" destId="{5FCB27B3-33A2-4B94-8859-E0FEEDAEF0D9}" srcOrd="0" destOrd="0" presId="urn:microsoft.com/office/officeart/2005/8/layout/orgChart1"/>
    <dgm:cxn modelId="{1D018462-50F6-4173-980F-4CC6D7AE9B6C}" type="presOf" srcId="{6053EB60-D5AE-482B-A5C7-CE7064E8F89C}" destId="{1AF1C2BB-D9CD-46E5-9DC1-C7CADCC353C5}" srcOrd="0" destOrd="0" presId="urn:microsoft.com/office/officeart/2005/8/layout/orgChart1"/>
    <dgm:cxn modelId="{EF71A742-B6E8-48F2-B620-43580404F759}" type="presOf" srcId="{7B890384-9E67-45D8-A23E-BC4AC4E31FAC}" destId="{C156AF0A-3DD9-4420-AC49-A7B7F2AE43AF}" srcOrd="0" destOrd="0" presId="urn:microsoft.com/office/officeart/2005/8/layout/orgChart1"/>
    <dgm:cxn modelId="{74B91A43-9999-4A51-948C-0E5815714EAA}" type="presOf" srcId="{D32B3C37-E83D-494E-AAE2-8CCB75DCD383}" destId="{FC2D50F7-137F-410F-872D-7B63DF1EF388}" srcOrd="0" destOrd="0" presId="urn:microsoft.com/office/officeart/2005/8/layout/orgChart1"/>
    <dgm:cxn modelId="{64DD8465-8B54-4019-ACAD-F4D9CA3AAD07}" type="presOf" srcId="{3E91ADC5-36B0-4880-B88B-0DD085D275F2}" destId="{3E9461D6-BADC-419C-8CFB-49AC2E75AB50}" srcOrd="0" destOrd="0" presId="urn:microsoft.com/office/officeart/2005/8/layout/orgChart1"/>
    <dgm:cxn modelId="{F1F3D145-A0CC-4E14-BB47-F9B07B685246}" type="presOf" srcId="{CF28D14E-3CFA-4B24-ADCD-CDF7CF47DFB4}" destId="{00A20F84-DF18-4292-B27E-A9895C81FD8D}" srcOrd="0" destOrd="0" presId="urn:microsoft.com/office/officeart/2005/8/layout/orgChart1"/>
    <dgm:cxn modelId="{E5A5F045-CB90-469E-8997-CD616C7AEDD7}" type="presOf" srcId="{3F6805EB-3D83-4D62-B5E8-4FFBB8E8F443}" destId="{D6A0C71F-4277-4308-92AC-A529299C06B1}" srcOrd="0" destOrd="0" presId="urn:microsoft.com/office/officeart/2005/8/layout/orgChart1"/>
    <dgm:cxn modelId="{FD5D0146-8C1A-49FD-A637-3262FECDEE2A}" type="presOf" srcId="{DCB6A9C7-7AA9-44B2-823B-42FF09F826B8}" destId="{B06E5B77-6E23-47A7-ADD3-A39A317AC3DA}" srcOrd="1" destOrd="0" presId="urn:microsoft.com/office/officeart/2005/8/layout/orgChart1"/>
    <dgm:cxn modelId="{EE392646-4265-4FBB-9FAE-DAE4946B6921}" type="presOf" srcId="{7A9C8487-A041-45EB-9089-9501BF0097A1}" destId="{30C93E59-598E-47BD-9BA3-A1EAFA391425}" srcOrd="0" destOrd="0" presId="urn:microsoft.com/office/officeart/2005/8/layout/orgChart1"/>
    <dgm:cxn modelId="{FCBF7446-AA67-44E7-87F1-29D1ED5841D5}" srcId="{3039C17B-E4C4-4FED-8B84-CC377584ABE5}" destId="{D7D1A60F-C56B-46FB-8FFC-BE639F0BFC9F}" srcOrd="2" destOrd="0" parTransId="{AECE4CE0-3DE2-4C3F-81AD-C767AE588C88}" sibTransId="{59598B7C-EEDA-44DE-AA52-319995990C79}"/>
    <dgm:cxn modelId="{82C27C46-CAF2-4393-A797-5653609C5083}" srcId="{B89B6A32-1FB2-4670-9492-E5DC21C03297}" destId="{E8C26718-66A9-49A1-B651-BE975AC52FC6}" srcOrd="1" destOrd="0" parTransId="{7A9C8487-A041-45EB-9089-9501BF0097A1}" sibTransId="{9EF08739-00EC-42DB-ACE7-3978080C2BAD}"/>
    <dgm:cxn modelId="{CD658D66-2F61-4867-A4D8-90BF2DDD1B6C}" type="presOf" srcId="{B78840CD-48A4-4619-84B8-9F12176C54F4}" destId="{F4EBB5B2-7337-45E7-B0CE-1C2863477D15}" srcOrd="1" destOrd="0" presId="urn:microsoft.com/office/officeart/2005/8/layout/orgChart1"/>
    <dgm:cxn modelId="{CB939046-292F-4E9A-B794-809C4350A058}" type="presOf" srcId="{4A292F17-6AB3-4DFA-BAE0-6527399D24CD}" destId="{0B38B8C5-00DD-4430-9FE0-5BBDB28DA3B4}" srcOrd="0" destOrd="0" presId="urn:microsoft.com/office/officeart/2005/8/layout/orgChart1"/>
    <dgm:cxn modelId="{B764C366-48B4-40F9-8ABB-17F5983AB2C4}" type="presOf" srcId="{E801C426-E50E-4D6B-93EF-B8733439C92A}" destId="{EB419C15-658C-460B-8E6D-25F23CC0A168}" srcOrd="0" destOrd="0" presId="urn:microsoft.com/office/officeart/2005/8/layout/orgChart1"/>
    <dgm:cxn modelId="{F3B6F546-156B-4F0C-8F7E-E61B2E3A89E0}" type="presOf" srcId="{DB6A2F21-F1DC-4171-A975-786894CEDD56}" destId="{802351DD-82B7-46DE-A769-F42615393AB5}" srcOrd="0" destOrd="0" presId="urn:microsoft.com/office/officeart/2005/8/layout/orgChart1"/>
    <dgm:cxn modelId="{06F73147-82F7-4919-9252-1DB11F55A996}" type="presOf" srcId="{4F8E4A3A-C6FB-4DF8-AF61-13EE6742A679}" destId="{8244F71B-B85E-4709-BD94-0ABBFB562FFC}" srcOrd="0" destOrd="0" presId="urn:microsoft.com/office/officeart/2005/8/layout/orgChart1"/>
    <dgm:cxn modelId="{88FC3268-B7A8-46B5-B486-3DC939A040B4}" srcId="{B288F2C6-A73C-4044-A2E6-EA4134E43295}" destId="{A4316985-448F-4E21-A466-901A85087A14}" srcOrd="2" destOrd="0" parTransId="{DB14BE49-FC0F-4563-81E5-DAC806ED6AB4}" sibTransId="{85FAE48B-E61B-4D18-8AA0-CC1D70A80762}"/>
    <dgm:cxn modelId="{DB743468-FD40-49BD-BC34-6FFF6057930F}" type="presOf" srcId="{F9729CD2-FE6C-4DE7-9E66-AF0806BDE0C6}" destId="{13F1099B-618A-48EF-8AE3-3F23152370A7}" srcOrd="0" destOrd="0" presId="urn:microsoft.com/office/officeart/2005/8/layout/orgChart1"/>
    <dgm:cxn modelId="{E3842869-2AE1-4C8D-8D1B-90A5D4430567}" type="presOf" srcId="{F04D4DE3-6E3C-4AB7-B0DA-B9301363A443}" destId="{DC51E288-C09F-42DE-91CF-AAF606FB3824}" srcOrd="0" destOrd="0" presId="urn:microsoft.com/office/officeart/2005/8/layout/orgChart1"/>
    <dgm:cxn modelId="{DF123D49-9E3A-4A8D-8722-FA75F40DC208}" srcId="{6D707159-9184-4649-962F-C9614671967E}" destId="{26FB3AEE-B463-48FC-84F6-67D74CDD0D2C}" srcOrd="2" destOrd="0" parTransId="{451658AB-2440-4F2E-99D8-5F6CE62C9F5D}" sibTransId="{DAA535D2-5E0E-4A65-9D03-16D761B51158}"/>
    <dgm:cxn modelId="{22958A69-7DA9-4DA8-9F02-CA0204E82598}" type="presOf" srcId="{94837C2E-4FE0-4F0C-A2B9-88128B887BBE}" destId="{DFBFB404-0D2D-4627-B0D7-4FB63471431F}" srcOrd="0" destOrd="0" presId="urn:microsoft.com/office/officeart/2005/8/layout/orgChart1"/>
    <dgm:cxn modelId="{20FB9949-490A-47A0-9114-8F38FFADD0DF}" type="presOf" srcId="{B2A71CAB-ECD0-42AB-A7B7-D8AC1221003F}" destId="{80B0ADA7-4514-4F5D-A013-1FF2AD6F611A}" srcOrd="0" destOrd="0" presId="urn:microsoft.com/office/officeart/2005/8/layout/orgChart1"/>
    <dgm:cxn modelId="{3955DA49-8F68-4BFB-8F8A-FE244B74A30C}" srcId="{357E2913-C4B2-4F0B-B0FB-9F5A7BC6F2AC}" destId="{F1D8D4A5-F2C0-4102-B960-BE861D6F8193}" srcOrd="1" destOrd="0" parTransId="{EA928A64-A3FE-49CA-B60A-E5C201284064}" sibTransId="{C97A43A2-CCAA-4B8C-B604-FC1913AA4308}"/>
    <dgm:cxn modelId="{11AD134A-7C35-474E-941C-A972AEE06721}" type="presOf" srcId="{94837C2E-4FE0-4F0C-A2B9-88128B887BBE}" destId="{026882D0-EDE9-459E-94F3-EB888604FDAD}" srcOrd="1" destOrd="0" presId="urn:microsoft.com/office/officeart/2005/8/layout/orgChart1"/>
    <dgm:cxn modelId="{C777DF4A-4AA6-4FBE-BF8A-92150860B447}" type="presOf" srcId="{723276F3-E905-4822-A2AC-CA349AF1AA01}" destId="{ABC56D23-F9E0-40F5-8D2C-B479A09E0150}" srcOrd="0" destOrd="0" presId="urn:microsoft.com/office/officeart/2005/8/layout/orgChart1"/>
    <dgm:cxn modelId="{AD16814B-0AE1-4120-8748-583C9D0B2D66}" type="presOf" srcId="{E2B7A447-A742-4647-A1A0-909CF672D5CE}" destId="{07A462BB-A3A1-422E-B97E-5B8EF8D448E6}" srcOrd="1" destOrd="0" presId="urn:microsoft.com/office/officeart/2005/8/layout/orgChart1"/>
    <dgm:cxn modelId="{329D944B-E118-4256-86C3-BCCA78567DAA}" srcId="{6D707159-9184-4649-962F-C9614671967E}" destId="{5A6685A1-B746-4FF8-A7EB-D21C014B98B1}" srcOrd="0" destOrd="0" parTransId="{10E6803F-5372-453D-8D94-58A109BD1D0D}" sibTransId="{CEBB91F3-DDAB-460A-B9B2-DC6436D582A0}"/>
    <dgm:cxn modelId="{2E9E124C-6821-4297-8A0B-791D56FD8C05}" type="presOf" srcId="{9177A60E-2E9A-4563-B78B-246BF3385A76}" destId="{FB24E71B-B544-4DB4-BC2F-5F61F96C5519}" srcOrd="1" destOrd="0" presId="urn:microsoft.com/office/officeart/2005/8/layout/orgChart1"/>
    <dgm:cxn modelId="{CC31804C-6738-42D4-81B2-97F7F1BE41F7}" type="presOf" srcId="{42C74D63-D76C-40F4-8A6B-2F37088113DE}" destId="{91CB7395-8380-461B-B8D6-7CD8CEAD14D4}" srcOrd="1" destOrd="0" presId="urn:microsoft.com/office/officeart/2005/8/layout/orgChart1"/>
    <dgm:cxn modelId="{FABEC36C-1979-4901-ADA1-600DA43C50D5}" type="presOf" srcId="{D32B3C37-E83D-494E-AAE2-8CCB75DCD383}" destId="{558A88E7-107E-45A0-BD40-CCA7AA84D410}" srcOrd="1" destOrd="0" presId="urn:microsoft.com/office/officeart/2005/8/layout/orgChart1"/>
    <dgm:cxn modelId="{5128E66C-AE54-490C-9959-5A0DB6AE2001}" srcId="{185FD4FB-5CF7-43EB-A5E2-8430195AC14E}" destId="{DB6A2F21-F1DC-4171-A975-786894CEDD56}" srcOrd="0" destOrd="0" parTransId="{875E18ED-BA7A-43B9-999C-5CB801EECE5D}" sibTransId="{FDC9462D-F74D-4E07-8579-BBAE76B1F5BA}"/>
    <dgm:cxn modelId="{8AE4386D-9F1E-4009-A4AD-BDC459ABDB29}" type="presOf" srcId="{4F8E4A3A-C6FB-4DF8-AF61-13EE6742A679}" destId="{81D2B6E6-31CD-43E0-BF96-FFAFB8768C39}" srcOrd="1" destOrd="0" presId="urn:microsoft.com/office/officeart/2005/8/layout/orgChart1"/>
    <dgm:cxn modelId="{154FA04D-9A29-4282-B9A9-CD27D5C8D310}" type="presOf" srcId="{F598D19B-D2C1-4C61-83E9-558D9B7B3882}" destId="{EE896E17-FC8F-43EA-B136-47943A80FBC7}" srcOrd="1" destOrd="0" presId="urn:microsoft.com/office/officeart/2005/8/layout/orgChart1"/>
    <dgm:cxn modelId="{3E65D74D-2984-4566-AA63-AA90F6BF9361}" type="presOf" srcId="{62A86D8C-F142-4724-BF3B-47215CBE210F}" destId="{8156D29F-17EB-45ED-AAEB-14FE4EAAA8F3}" srcOrd="1" destOrd="0" presId="urn:microsoft.com/office/officeart/2005/8/layout/orgChart1"/>
    <dgm:cxn modelId="{E357716E-7097-4300-AFA1-EA213D68E75F}" type="presOf" srcId="{03736C43-E7B3-4780-8F7B-375D5A6A7FE4}" destId="{8584D39D-A914-45F8-9D27-4752C5209B20}" srcOrd="0" destOrd="0" presId="urn:microsoft.com/office/officeart/2005/8/layout/orgChart1"/>
    <dgm:cxn modelId="{B223B84E-FDA9-4AE4-9316-5A8D8F681385}" srcId="{BF00BCC0-9B1F-44D4-9EE0-D6D2096E9246}" destId="{DA9AAD3F-C4C7-4D4F-ABC9-FC01D1CCFC79}" srcOrd="1" destOrd="0" parTransId="{27C9498C-BC1E-42CC-A17A-3F671BCC888B}" sibTransId="{AF7CB619-4AFD-42B6-8191-9D0CDD43B41E}"/>
    <dgm:cxn modelId="{9885134F-11E3-400B-98F4-828674C60238}" srcId="{625E4956-8EF6-4477-9EEE-F6675500F662}" destId="{256DEA29-1FE4-4C99-979A-26806E978E7E}" srcOrd="0" destOrd="0" parTransId="{9E8DBF9E-8427-44AE-8545-450B08260D83}" sibTransId="{8F23D71F-9C3B-404F-ADCC-A3516168ED02}"/>
    <dgm:cxn modelId="{DA5CF66F-D859-454A-AE4A-6AC54CA0F783}" srcId="{37B815A6-A82C-4FDE-AE00-00763423F21E}" destId="{F598D19B-D2C1-4C61-83E9-558D9B7B3882}" srcOrd="1" destOrd="0" parTransId="{95ABC0B2-F5DD-4B2A-8613-1F9066798E51}" sibTransId="{9FFDEE75-1F2E-4348-A3E4-881994B23927}"/>
    <dgm:cxn modelId="{48401670-870D-421A-AAD7-61C905E7483F}" srcId="{EB428A7E-ECCA-45B1-968E-47B7770B5453}" destId="{F79DDE5B-4104-4604-9C90-F2BC5F09F57F}" srcOrd="0" destOrd="0" parTransId="{4539CA5C-FBCC-4FF2-AFAD-A65E24BA524D}" sibTransId="{250D50B6-DC47-439D-9F69-149B4F08695B}"/>
    <dgm:cxn modelId="{6D576D70-690D-4209-A79E-E8DCEF4FE136}" type="presOf" srcId="{B7307D27-CA88-4AAF-BDE6-69021D17FE48}" destId="{99D62190-7AB0-4127-9626-FBCEF3700323}" srcOrd="1" destOrd="0" presId="urn:microsoft.com/office/officeart/2005/8/layout/orgChart1"/>
    <dgm:cxn modelId="{9DB55870-AC5C-4A12-989C-653941723676}" type="presOf" srcId="{3A79211C-9CDB-4650-A553-9114656ADCEC}" destId="{D48466B2-76ED-46AB-9508-47B057357397}" srcOrd="0" destOrd="0" presId="urn:microsoft.com/office/officeart/2005/8/layout/orgChart1"/>
    <dgm:cxn modelId="{DF4C7E50-7D3C-4834-8A78-CCB9ECA493D3}" type="presOf" srcId="{10A803D9-66BF-451E-9E3A-90762BB275E8}" destId="{D6E54769-F860-4CA3-A50D-9842DBC65E1F}" srcOrd="0" destOrd="0" presId="urn:microsoft.com/office/officeart/2005/8/layout/orgChart1"/>
    <dgm:cxn modelId="{AC49B850-7447-485B-A562-8BAD663EBD42}" type="presOf" srcId="{8F18A637-E05A-42A5-9058-0896EA6DA710}" destId="{EFAD5058-4D50-47F4-B83A-9F3F3E1558AA}" srcOrd="0" destOrd="0" presId="urn:microsoft.com/office/officeart/2005/8/layout/orgChart1"/>
    <dgm:cxn modelId="{92B40471-0450-4DA3-88DA-7C7DAA7E8635}" type="presOf" srcId="{E2B7A447-A742-4647-A1A0-909CF672D5CE}" destId="{B9803A68-B3EC-4770-AA98-5A888FC06D0F}" srcOrd="0" destOrd="0" presId="urn:microsoft.com/office/officeart/2005/8/layout/orgChart1"/>
    <dgm:cxn modelId="{B76D1D71-82B8-47F4-A23A-4F2A1B51B959}" type="presOf" srcId="{DB9ED49B-0C55-4E4A-AEF2-4C037C23DE96}" destId="{4A90E2EC-7D16-442E-91A0-FD526A49AD5F}" srcOrd="0" destOrd="0" presId="urn:microsoft.com/office/officeart/2005/8/layout/orgChart1"/>
    <dgm:cxn modelId="{3C573851-76A0-4002-AB2B-6574977575B2}" type="presOf" srcId="{89DDF0FD-DFF7-4A8A-A702-53C1BE30E02E}" destId="{28BC97AE-5FEF-426F-85DA-D2F6F585D96D}" srcOrd="0" destOrd="0" presId="urn:microsoft.com/office/officeart/2005/8/layout/orgChart1"/>
    <dgm:cxn modelId="{F97B8A71-7FC6-474D-9239-F03BC19A15E2}" type="presOf" srcId="{A4316985-448F-4E21-A466-901A85087A14}" destId="{133704A6-8289-4BC0-BA62-BCED20030F1C}" srcOrd="1" destOrd="0" presId="urn:microsoft.com/office/officeart/2005/8/layout/orgChart1"/>
    <dgm:cxn modelId="{E5DF2252-F59E-466B-8B60-714E083A3051}" type="presOf" srcId="{B7307D27-CA88-4AAF-BDE6-69021D17FE48}" destId="{7CF15005-9BB4-4F6C-A5C5-7EE8E1F18C04}" srcOrd="0" destOrd="0" presId="urn:microsoft.com/office/officeart/2005/8/layout/orgChart1"/>
    <dgm:cxn modelId="{4A986872-3CA7-444B-AC85-BE06927582BA}" srcId="{C9911431-E0D7-4F09-B174-06741AF0454A}" destId="{EA0542A9-74B1-4CFD-89B7-6E53F209B972}" srcOrd="1" destOrd="0" parTransId="{EE871943-6DFF-4529-9F84-75ABC7E53E29}" sibTransId="{8D802D01-D69E-4CA3-94CE-3782481637E5}"/>
    <dgm:cxn modelId="{D2C28752-954F-4234-A28A-1E7671CC7E0D}" srcId="{DA9AAD3F-C4C7-4D4F-ABC9-FC01D1CCFC79}" destId="{8F18A637-E05A-42A5-9058-0896EA6DA710}" srcOrd="0" destOrd="0" parTransId="{C155A13A-6CA2-40EE-9E4E-39C1F52B1A58}" sibTransId="{812C243E-F821-4C85-BD98-640B6F9BACCD}"/>
    <dgm:cxn modelId="{52FDBD72-C44B-498B-952B-E3389527357B}" type="presOf" srcId="{A2F4C23B-7CDB-4F8F-BEE4-B860A25B3EE7}" destId="{DD75AD42-897C-4437-A9C1-D9F47115EF57}" srcOrd="0" destOrd="0" presId="urn:microsoft.com/office/officeart/2005/8/layout/orgChart1"/>
    <dgm:cxn modelId="{4994EB52-4E77-46C4-91C8-7005EB6F9E2B}" type="presOf" srcId="{30114D02-832C-4082-BEB6-64AE153F5DFB}" destId="{6C30E651-E3E1-4A90-8F09-B4E5ACBBDCCE}" srcOrd="0" destOrd="0" presId="urn:microsoft.com/office/officeart/2005/8/layout/orgChart1"/>
    <dgm:cxn modelId="{14F31853-F73E-4940-ACB5-A678C761F532}" type="presOf" srcId="{04CDE114-E19D-418A-95A3-FB13CCA3AD7F}" destId="{023555DD-FA7B-42AA-B472-DD5293330410}" srcOrd="0" destOrd="0" presId="urn:microsoft.com/office/officeart/2005/8/layout/orgChart1"/>
    <dgm:cxn modelId="{C6B37573-29F7-49AA-AA28-80E450E76173}" type="presOf" srcId="{3E06ABE1-32DC-4DEB-9EA5-6406C48A3EB5}" destId="{84D2B172-B1E7-4A16-919E-63A72442E121}" srcOrd="0" destOrd="0" presId="urn:microsoft.com/office/officeart/2005/8/layout/orgChart1"/>
    <dgm:cxn modelId="{336A5A73-83EB-4B38-9E1D-6576FA8CCE2F}" type="presOf" srcId="{4EE9EFA8-47E4-4060-B049-E713D4C37384}" destId="{07D65219-A5C5-4B61-AEF3-07E184105F46}" srcOrd="0" destOrd="0" presId="urn:microsoft.com/office/officeart/2005/8/layout/orgChart1"/>
    <dgm:cxn modelId="{6769C473-7793-4D8E-A63E-D7FD8557FB78}" type="presOf" srcId="{F05C3478-7A69-4779-805E-2E85D00A905A}" destId="{181EAA75-0067-4F86-A85E-EE55D0E50462}" srcOrd="0" destOrd="0" presId="urn:microsoft.com/office/officeart/2005/8/layout/orgChart1"/>
    <dgm:cxn modelId="{B6816B54-63AA-4954-945D-4294861CF2FB}" type="presOf" srcId="{37B815A6-A82C-4FDE-AE00-00763423F21E}" destId="{4F5C6106-DAA6-4813-B04F-4A6BFCBDFB41}" srcOrd="0" destOrd="0" presId="urn:microsoft.com/office/officeart/2005/8/layout/orgChart1"/>
    <dgm:cxn modelId="{AC9CD475-44A7-4746-B3DD-0E3D32EF3FFA}" type="presOf" srcId="{845D14D2-B399-4465-AA28-4D9312AE94FB}" destId="{9DA66AD9-8BF5-497B-A6A5-A04BF597FD7A}" srcOrd="0" destOrd="0" presId="urn:microsoft.com/office/officeart/2005/8/layout/orgChart1"/>
    <dgm:cxn modelId="{6AC5D655-9A87-4136-AE08-CD7B7991581B}" type="presOf" srcId="{B7C27317-2A15-42CE-96F1-05F0B1AAFC18}" destId="{629154A0-5813-441D-B6EA-823569FBD7A8}" srcOrd="0" destOrd="0" presId="urn:microsoft.com/office/officeart/2005/8/layout/orgChart1"/>
    <dgm:cxn modelId="{3B952656-1A91-4095-8FA1-7D25B973A4C9}" type="presOf" srcId="{CA6CCF8B-128B-4E52-9EEF-B687FAEDA5FB}" destId="{4BE02B26-6542-4776-BA9C-5F3660AFABD4}" srcOrd="0" destOrd="0" presId="urn:microsoft.com/office/officeart/2005/8/layout/orgChart1"/>
    <dgm:cxn modelId="{1D998676-AA74-4CA3-9F12-4633E2AD8F47}" type="presOf" srcId="{DBC0015A-F8AB-4861-8576-3E4CBF6BD4FE}" destId="{DCC4D95B-4D36-40A4-B39A-D3BE3429F181}" srcOrd="1" destOrd="0" presId="urn:microsoft.com/office/officeart/2005/8/layout/orgChart1"/>
    <dgm:cxn modelId="{9698C056-5C2E-4BBC-A9CD-BDFECAF9396B}" type="presOf" srcId="{8BCD85A1-63D6-4CD7-9563-1D76D1BDC02D}" destId="{F80ABF11-685A-46DA-8CB7-93FE72A8CD82}" srcOrd="1" destOrd="0" presId="urn:microsoft.com/office/officeart/2005/8/layout/orgChart1"/>
    <dgm:cxn modelId="{48B1CC76-13F8-4E70-91E9-0AB3678E68A6}" srcId="{DB9ED49B-0C55-4E4A-AEF2-4C037C23DE96}" destId="{F9729CD2-FE6C-4DE7-9E66-AF0806BDE0C6}" srcOrd="2" destOrd="0" parTransId="{CBFA4E9D-E994-4C76-B7BD-367C98011E0D}" sibTransId="{14979ED8-F636-4848-94CA-C8895CA44A66}"/>
    <dgm:cxn modelId="{EED22A57-D08D-472A-A228-68AECB1CEDAA}" srcId="{357E2913-C4B2-4F0B-B0FB-9F5A7BC6F2AC}" destId="{B89B6A32-1FB2-4670-9492-E5DC21C03297}" srcOrd="0" destOrd="0" parTransId="{4197F4BA-E4A8-4624-AFE2-64B47776237A}" sibTransId="{ED04D72F-DE35-4381-8B63-367937917806}"/>
    <dgm:cxn modelId="{DD6FEF77-5080-4B1A-8F82-B5BCA1DE5E16}" srcId="{BF00BCC0-9B1F-44D4-9EE0-D6D2096E9246}" destId="{B7307D27-CA88-4AAF-BDE6-69021D17FE48}" srcOrd="0" destOrd="0" parTransId="{30487320-4763-4D55-9F7F-4BCA2881B7E0}" sibTransId="{9089316A-12A1-47C5-9FFC-6682296CD766}"/>
    <dgm:cxn modelId="{85289E58-01AA-4253-9A51-5BC766A6F41B}" type="presOf" srcId="{CEA92F1A-72A3-44A1-B185-5D267D439600}" destId="{3EACE9F8-0DAE-4E3B-9226-25865D1F2C66}" srcOrd="1" destOrd="0" presId="urn:microsoft.com/office/officeart/2005/8/layout/orgChart1"/>
    <dgm:cxn modelId="{ABEE167A-896F-40C3-8141-7C165FE6CBE1}" type="presOf" srcId="{465891A7-DB7B-43A7-92D4-EC5ACF9EAD83}" destId="{0721380C-7232-460A-B46E-BBC90E0DBFF5}" srcOrd="1" destOrd="0" presId="urn:microsoft.com/office/officeart/2005/8/layout/orgChart1"/>
    <dgm:cxn modelId="{E72C2E7A-582E-48E9-8C48-9CE43353D988}" srcId="{185FD4FB-5CF7-43EB-A5E2-8430195AC14E}" destId="{B37120C7-E06F-4726-BED2-8F5C09DDBEE8}" srcOrd="2" destOrd="0" parTransId="{F51EE295-314D-4FED-96E8-AB555EF6F8C7}" sibTransId="{D9C8FFFE-073F-4050-9C0A-91EDE2F8F31E}"/>
    <dgm:cxn modelId="{13567C5A-07A4-4807-8499-5B24BAED9497}" type="presOf" srcId="{9177A60E-2E9A-4563-B78B-246BF3385A76}" destId="{4DD5A7B5-D316-4C83-A289-24088037425F}" srcOrd="0" destOrd="0" presId="urn:microsoft.com/office/officeart/2005/8/layout/orgChart1"/>
    <dgm:cxn modelId="{7F4F097B-D124-46B1-9C0D-24B658EFCDBF}" type="presOf" srcId="{3E91ADC5-36B0-4880-B88B-0DD085D275F2}" destId="{15874C13-78B3-4D52-AAE0-D00B3094DCDB}" srcOrd="1" destOrd="0" presId="urn:microsoft.com/office/officeart/2005/8/layout/orgChart1"/>
    <dgm:cxn modelId="{E4609E7B-1B14-4911-B047-8B2B14F15AC8}" type="presOf" srcId="{35832908-7724-43A9-A2FF-5625A4D3B9C8}" destId="{298642DF-6598-46DE-8AE2-3D7740260D85}" srcOrd="0" destOrd="0" presId="urn:microsoft.com/office/officeart/2005/8/layout/orgChart1"/>
    <dgm:cxn modelId="{D08FD07C-0A2E-4228-9AA8-B03B0AD92E51}" srcId="{94837C2E-4FE0-4F0C-A2B9-88128B887BBE}" destId="{62A86D8C-F142-4724-BF3B-47215CBE210F}" srcOrd="2" destOrd="0" parTransId="{82F1DFE8-6987-4852-8605-161789621196}" sibTransId="{FB161A24-A579-4831-A188-B9EF4786B844}"/>
    <dgm:cxn modelId="{B899DE7C-1B23-44C0-8E1A-5275E0E5F72C}" srcId="{D32B3C37-E83D-494E-AAE2-8CCB75DCD383}" destId="{B288F2C6-A73C-4044-A2E6-EA4134E43295}" srcOrd="2" destOrd="0" parTransId="{845D14D2-B399-4465-AA28-4D9312AE94FB}" sibTransId="{8B0A2376-8984-4D07-843E-C9550D2795A0}"/>
    <dgm:cxn modelId="{36210A7E-01A9-4DDC-A82E-559B44EAA4DA}" type="presOf" srcId="{48081AEE-13E4-4236-9372-4631889377AB}" destId="{7F5D79C5-D9CF-41B4-B02E-4A350D09868D}" srcOrd="0" destOrd="0" presId="urn:microsoft.com/office/officeart/2005/8/layout/orgChart1"/>
    <dgm:cxn modelId="{8B59277E-A49E-4006-8FF5-AEFA62589EEE}" srcId="{DA9AAD3F-C4C7-4D4F-ABC9-FC01D1CCFC79}" destId="{222118F6-DD78-4300-9451-3B491720EDD5}" srcOrd="2" destOrd="0" parTransId="{30114D02-832C-4082-BEB6-64AE153F5DFB}" sibTransId="{C2AA2751-9A9A-4F64-85BF-25739A0243DD}"/>
    <dgm:cxn modelId="{5588D37F-0B29-467A-9641-99EFBE4F62F5}" type="presOf" srcId="{37989FF9-0384-4422-A0E1-40A3C334366D}" destId="{0BB9E70C-AC65-478E-B47E-4C95061FD7DD}" srcOrd="0" destOrd="0" presId="urn:microsoft.com/office/officeart/2005/8/layout/orgChart1"/>
    <dgm:cxn modelId="{66B3F980-A18D-4E11-8F3E-B0F3BBD4F2E3}" srcId="{DA9AAD3F-C4C7-4D4F-ABC9-FC01D1CCFC79}" destId="{9E13F8D8-AB61-4007-8151-B13C9E4739D4}" srcOrd="1" destOrd="0" parTransId="{743316F3-DAE6-4D7C-9357-DB84B8608AA7}" sibTransId="{0856FFAC-F4B4-4166-8744-E84B65C3BD0C}"/>
    <dgm:cxn modelId="{DB2DAC81-40EE-44D4-A9AA-820D680C5504}" type="presOf" srcId="{86A0C048-0D09-4CDB-8F34-B96CADD8EF40}" destId="{71DE3835-73F2-430A-A81E-EA9A9B4ACC43}" srcOrd="0" destOrd="0" presId="urn:microsoft.com/office/officeart/2005/8/layout/orgChart1"/>
    <dgm:cxn modelId="{E2722682-8AA3-4C1C-BBE6-AFEDC55CB102}" type="presOf" srcId="{EE871943-6DFF-4529-9F84-75ABC7E53E29}" destId="{CC9F5C2C-CEE7-423F-8EEF-BA8A8528EA00}" srcOrd="0" destOrd="0" presId="urn:microsoft.com/office/officeart/2005/8/layout/orgChart1"/>
    <dgm:cxn modelId="{B1804C82-F35C-42E4-95A1-6F60237389FD}" type="presOf" srcId="{A2A46C8C-ADBA-4474-84F9-73625F361335}" destId="{B41C13C3-01AD-437C-930D-6D73E52EFFB5}" srcOrd="1" destOrd="0" presId="urn:microsoft.com/office/officeart/2005/8/layout/orgChart1"/>
    <dgm:cxn modelId="{6224E983-40A9-4AEE-93CD-E0E1F439613E}" type="presOf" srcId="{69A1EA13-5FE7-4F07-8D3B-DD52F42FB898}" destId="{3A21286B-E30B-4A7E-A32D-9B49C92A4AF2}" srcOrd="1" destOrd="0" presId="urn:microsoft.com/office/officeart/2005/8/layout/orgChart1"/>
    <dgm:cxn modelId="{78C26B84-4E11-455D-A5D2-312997312E45}" srcId="{37B815A6-A82C-4FDE-AE00-00763423F21E}" destId="{3272336C-67B0-40A7-AC41-CC75FABE0270}" srcOrd="0" destOrd="0" parTransId="{7ECFFBF9-CC2F-4FCC-8453-7C60EF35B245}" sibTransId="{BB76B609-C529-4DD0-BDB4-CB22BCB91137}"/>
    <dgm:cxn modelId="{58164586-3082-44A5-A701-591E7F6C8DDF}" type="presOf" srcId="{EA928A64-A3FE-49CA-B60A-E5C201284064}" destId="{E7DF0BE6-DAB8-4EAD-A125-AF41B477EDB7}" srcOrd="0" destOrd="0" presId="urn:microsoft.com/office/officeart/2005/8/layout/orgChart1"/>
    <dgm:cxn modelId="{9A6ABB86-A002-49B2-BF63-ED9051D48000}" type="presOf" srcId="{10E6803F-5372-453D-8D94-58A109BD1D0D}" destId="{6C1AFAED-130A-4B91-A5C0-4AB1DF8E8F4C}" srcOrd="0" destOrd="0" presId="urn:microsoft.com/office/officeart/2005/8/layout/orgChart1"/>
    <dgm:cxn modelId="{A4142187-9D1F-43A1-9B78-DB265B626071}" type="presOf" srcId="{04CDE114-E19D-418A-95A3-FB13CCA3AD7F}" destId="{097202E0-544A-4B10-B072-B30FFD6ED571}" srcOrd="1" destOrd="0" presId="urn:microsoft.com/office/officeart/2005/8/layout/orgChart1"/>
    <dgm:cxn modelId="{E5314887-2FA6-482F-A57B-DF69F478715C}" srcId="{6D707159-9184-4649-962F-C9614671967E}" destId="{465891A7-DB7B-43A7-92D4-EC5ACF9EAD83}" srcOrd="1" destOrd="0" parTransId="{A60F7C4E-51B7-4E43-8D21-BD69575A4FBB}" sibTransId="{0F43DAF6-0561-4D2C-950D-58BA09A46069}"/>
    <dgm:cxn modelId="{3F638888-4157-4440-9893-F7E649F3D4CC}" type="presOf" srcId="{0F3804AC-94B3-4151-8721-29AB48900C05}" destId="{37A81B5D-87BC-41C0-A2AC-2D6261846FB7}" srcOrd="0" destOrd="0" presId="urn:microsoft.com/office/officeart/2005/8/layout/orgChart1"/>
    <dgm:cxn modelId="{3D45BC88-FC3C-49BA-96D5-514FD2A0B929}" type="presOf" srcId="{60DF9EE5-F61B-44CB-B1BB-78BEFC0A6EC3}" destId="{7E5AC264-4EC2-4965-BF3F-AE6E2FAD92CB}" srcOrd="0" destOrd="0" presId="urn:microsoft.com/office/officeart/2005/8/layout/orgChart1"/>
    <dgm:cxn modelId="{B6BDFE88-1098-4FF0-AF4B-5023E8CB2493}" type="presOf" srcId="{B288F2C6-A73C-4044-A2E6-EA4134E43295}" destId="{74BC5BBD-A5EB-4CD3-AE34-34ACF61E7A97}" srcOrd="1" destOrd="0" presId="urn:microsoft.com/office/officeart/2005/8/layout/orgChart1"/>
    <dgm:cxn modelId="{13302989-7F10-4F0C-9CB7-F066F186A914}" type="presOf" srcId="{6D707159-9184-4649-962F-C9614671967E}" destId="{38C2ACE6-F98A-4D46-9915-5F69B821E2E5}" srcOrd="1" destOrd="0" presId="urn:microsoft.com/office/officeart/2005/8/layout/orgChart1"/>
    <dgm:cxn modelId="{59997489-7797-49DE-8A99-969A78ED9D30}" type="presOf" srcId="{E8C26718-66A9-49A1-B651-BE975AC52FC6}" destId="{788E5957-CA33-4D2F-8E4A-800D1A9D2651}" srcOrd="1" destOrd="0" presId="urn:microsoft.com/office/officeart/2005/8/layout/orgChart1"/>
    <dgm:cxn modelId="{2B8FB58A-2872-4F04-AD63-FD9095A548F1}" type="presOf" srcId="{26FB3AEE-B463-48FC-84F6-67D74CDD0D2C}" destId="{F752DC40-7B6E-44C1-A38A-94A2058E5BA7}" srcOrd="0" destOrd="0" presId="urn:microsoft.com/office/officeart/2005/8/layout/orgChart1"/>
    <dgm:cxn modelId="{1051058B-2F80-4870-ABE0-0BE5A59C4561}" srcId="{9D22F41F-8498-44DE-863F-CF56EE5E30A1}" destId="{42C74D63-D76C-40F4-8A6B-2F37088113DE}" srcOrd="2" destOrd="0" parTransId="{16ECEBFF-E452-4DF9-BACA-497D2AA84FDC}" sibTransId="{247899FA-19D5-4315-8B3F-385C44D8634A}"/>
    <dgm:cxn modelId="{8FC29F8B-C811-4AFB-9039-75ACA20BB903}" type="presOf" srcId="{DE95F343-113A-4F76-89E6-83B638E1A039}" destId="{A9802AE4-EFCB-4650-AD3C-34C1CDC991AE}" srcOrd="0" destOrd="0" presId="urn:microsoft.com/office/officeart/2005/8/layout/orgChart1"/>
    <dgm:cxn modelId="{400D0B8C-8F1E-4E05-ABDC-8242F8F31126}" type="presOf" srcId="{A509A8DA-0483-4796-88B0-EC2AB5FE9B6B}" destId="{C3917E4E-541E-40E4-AC9F-0AEE15D69495}" srcOrd="1" destOrd="0" presId="urn:microsoft.com/office/officeart/2005/8/layout/orgChart1"/>
    <dgm:cxn modelId="{28B8AA8C-9200-4647-AF91-41CF367FAE6E}" type="presOf" srcId="{DEE12491-B935-45C3-8BE6-4361AF022146}" destId="{2BDA2F55-655E-48C8-BC65-DE70EECF077B}" srcOrd="0" destOrd="0" presId="urn:microsoft.com/office/officeart/2005/8/layout/orgChart1"/>
    <dgm:cxn modelId="{D56B738E-76AC-47DF-A396-858578955E71}" type="presOf" srcId="{875E18ED-BA7A-43B9-999C-5CB801EECE5D}" destId="{BAC65C22-F7BB-4EBF-9AA4-EE9C020FE9B0}" srcOrd="0" destOrd="0" presId="urn:microsoft.com/office/officeart/2005/8/layout/orgChart1"/>
    <dgm:cxn modelId="{02117F8E-64D7-4982-A7DF-7D936110E6CF}" srcId="{DB9ED49B-0C55-4E4A-AEF2-4C037C23DE96}" destId="{F433D6CA-DCBF-4664-A80A-DE4934259CAB}" srcOrd="1" destOrd="0" parTransId="{686ABE93-CE12-489E-BA7B-FCAA3763B6DE}" sibTransId="{7A16310F-AC69-4DD1-97C8-4F9E32F136D8}"/>
    <dgm:cxn modelId="{B702AD90-0E7E-41D2-BE7A-A196C1AC01CF}" type="presOf" srcId="{8BCD85A1-63D6-4CD7-9563-1D76D1BDC02D}" destId="{368FB3DE-A623-4884-AA7E-90E551597398}" srcOrd="0" destOrd="0" presId="urn:microsoft.com/office/officeart/2005/8/layout/orgChart1"/>
    <dgm:cxn modelId="{52F1DD90-79C2-4FF6-A702-8D2DB7BA0CFE}" type="presOf" srcId="{69050CD2-749B-4102-95F0-270208F9B6C8}" destId="{8B6A5882-2B2E-48C2-9723-A4A818CC6DB1}" srcOrd="0" destOrd="0" presId="urn:microsoft.com/office/officeart/2005/8/layout/orgChart1"/>
    <dgm:cxn modelId="{92935191-2418-4E90-B411-BEC7F7B7B727}" type="presOf" srcId="{63F6C9A5-3CCD-462D-97D7-07A93B3BCCD0}" destId="{6D7F3F3D-1865-4C4C-B0EF-AEDA3D59E241}" srcOrd="1" destOrd="0" presId="urn:microsoft.com/office/officeart/2005/8/layout/orgChart1"/>
    <dgm:cxn modelId="{314B9391-AD22-4422-B824-10844067D9F5}" type="presOf" srcId="{63F6C9A5-3CCD-462D-97D7-07A93B3BCCD0}" destId="{39AEE0EC-0C8A-401D-8E43-4EA5285EF20E}" srcOrd="0" destOrd="0" presId="urn:microsoft.com/office/officeart/2005/8/layout/orgChart1"/>
    <dgm:cxn modelId="{D90BA191-A938-498B-A0FD-5CB2A9A04C7B}" type="presOf" srcId="{17F80FCE-5324-4A3D-9F40-520FCDFA9FC8}" destId="{1A64D916-92EA-4300-BE27-2C559996A73F}" srcOrd="0" destOrd="0" presId="urn:microsoft.com/office/officeart/2005/8/layout/orgChart1"/>
    <dgm:cxn modelId="{59A3FA91-0439-4D83-850F-FA2AB1BA9C27}" type="presOf" srcId="{0B85427B-C30A-49F8-839A-F97301879955}" destId="{9C55BEBB-160C-4E7E-A372-F1AB250ADFA0}" srcOrd="1" destOrd="0" presId="urn:microsoft.com/office/officeart/2005/8/layout/orgChart1"/>
    <dgm:cxn modelId="{D659F893-4B2F-402D-9D47-91A78F9C7E2D}" type="presOf" srcId="{BF00BCC0-9B1F-44D4-9EE0-D6D2096E9246}" destId="{A0E74E53-BC0D-4F2D-BE62-006AD847899F}" srcOrd="1" destOrd="0" presId="urn:microsoft.com/office/officeart/2005/8/layout/orgChart1"/>
    <dgm:cxn modelId="{38B4FF93-1E56-46A0-9887-0FA0B5514B60}" type="presOf" srcId="{3039C17B-E4C4-4FED-8B84-CC377584ABE5}" destId="{2A26043E-1200-42C3-B891-CC4E1CD2F661}" srcOrd="0" destOrd="0" presId="urn:microsoft.com/office/officeart/2005/8/layout/orgChart1"/>
    <dgm:cxn modelId="{F75E0197-3C15-49A0-A10E-EEFB3373D7A0}" type="presOf" srcId="{37B815A6-A82C-4FDE-AE00-00763423F21E}" destId="{5D51B2B2-363C-4EC7-8D3C-A9DDBECF191A}" srcOrd="1" destOrd="0" presId="urn:microsoft.com/office/officeart/2005/8/layout/orgChart1"/>
    <dgm:cxn modelId="{E14AB297-5CDB-477D-A9D9-6C00B68DE8B4}" type="presOf" srcId="{F363B467-C944-42F7-BE40-3B67BAC8FA38}" destId="{2C096D07-183A-49F0-9532-E1053F71060F}" srcOrd="0" destOrd="0" presId="urn:microsoft.com/office/officeart/2005/8/layout/orgChart1"/>
    <dgm:cxn modelId="{1821FC97-DF4F-40CD-9CA8-0A0F201C4D77}" type="presOf" srcId="{C9911431-E0D7-4F09-B174-06741AF0454A}" destId="{5767AE7E-EA12-40E0-B04A-A119D6863CC1}" srcOrd="1" destOrd="0" presId="urn:microsoft.com/office/officeart/2005/8/layout/orgChart1"/>
    <dgm:cxn modelId="{962DE099-92E5-425A-B846-04CFFA76AB77}" type="presOf" srcId="{47C6BDFD-715D-4ACC-BB22-C4FB9C49DF3B}" destId="{8772D8F1-A219-4D2D-AA6E-F55C18F3173F}" srcOrd="0" destOrd="0" presId="urn:microsoft.com/office/officeart/2005/8/layout/orgChart1"/>
    <dgm:cxn modelId="{B4A4419A-EB48-4987-A7DE-F1A57816B033}" srcId="{185FD4FB-5CF7-43EB-A5E2-8430195AC14E}" destId="{CB227DF1-60F3-4DC0-86DD-C4E7204A9AA1}" srcOrd="1" destOrd="0" parTransId="{92156540-3810-4912-A42E-1D870DACBE20}" sibTransId="{26231492-5955-4146-A99F-3A996EB02D20}"/>
    <dgm:cxn modelId="{A626AB9A-983E-4929-8F52-F90A306DB563}" type="presOf" srcId="{4864C0FE-1D52-45F8-AC3E-1828FB38F8AE}" destId="{BC625515-E0C6-438E-BA50-B4204036C833}" srcOrd="1" destOrd="0" presId="urn:microsoft.com/office/officeart/2005/8/layout/orgChart1"/>
    <dgm:cxn modelId="{4E4CFE9B-5898-495C-9FF5-1A4CB562B5E1}" type="presOf" srcId="{0586FAB4-706F-4FC7-88AE-C28BDF19B91A}" destId="{EB1C896E-CFF7-45D1-AF7B-7869A432A708}" srcOrd="1" destOrd="0" presId="urn:microsoft.com/office/officeart/2005/8/layout/orgChart1"/>
    <dgm:cxn modelId="{4D01FF9B-0B10-4019-98EB-191D8374F40B}" type="presOf" srcId="{D7D1A60F-C56B-46FB-8FFC-BE639F0BFC9F}" destId="{B4C86F6D-F3EE-4147-A06A-643F9BFC18C7}" srcOrd="0" destOrd="0" presId="urn:microsoft.com/office/officeart/2005/8/layout/orgChart1"/>
    <dgm:cxn modelId="{7B27579C-6480-4C6F-AF62-395A6EFC82F9}" srcId="{F05C3478-7A69-4779-805E-2E85D00A905A}" destId="{184C4095-E2AD-4C88-BD0D-965DD737B7BD}" srcOrd="1" destOrd="0" parTransId="{4D70E4C3-060D-4A14-B934-2BCB2F9B37AC}" sibTransId="{48D8C13F-44FF-4EC9-8586-C40D348745D0}"/>
    <dgm:cxn modelId="{4114579E-3BA3-433B-95FE-0A196354F67E}" type="presOf" srcId="{EFB092EF-A436-4557-9B8C-C5E336B9E815}" destId="{62A8A185-E0B0-4960-ABAE-4BF4B19DCECD}" srcOrd="0" destOrd="0" presId="urn:microsoft.com/office/officeart/2005/8/layout/orgChart1"/>
    <dgm:cxn modelId="{D43F5D9F-BC2D-445C-964B-E2ED5A1E560A}" srcId="{0586FAB4-706F-4FC7-88AE-C28BDF19B91A}" destId="{DCB6A9C7-7AA9-44B2-823B-42FF09F826B8}" srcOrd="2" destOrd="0" parTransId="{B7C27317-2A15-42CE-96F1-05F0B1AAFC18}" sibTransId="{3F57FA4A-CCCF-406D-8E98-29A8785DDD8A}"/>
    <dgm:cxn modelId="{C006B79F-52CD-47A7-978C-DD2B8E74CC13}" type="presOf" srcId="{9E8DBF9E-8427-44AE-8545-450B08260D83}" destId="{4E4E8E0C-6496-498A-9D6E-2EA473DD936F}" srcOrd="0" destOrd="0" presId="urn:microsoft.com/office/officeart/2005/8/layout/orgChart1"/>
    <dgm:cxn modelId="{8E321EA0-BC49-44A9-AB5C-332B429F8729}" type="presOf" srcId="{625E4956-8EF6-4477-9EEE-F6675500F662}" destId="{B3886729-8160-4CBC-9565-5A35870DD6AA}" srcOrd="1" destOrd="0" presId="urn:microsoft.com/office/officeart/2005/8/layout/orgChart1"/>
    <dgm:cxn modelId="{D1E5DBA0-1258-4326-B8EF-24F516B0E16F}" type="presOf" srcId="{4197F4BA-E4A8-4624-AFE2-64B47776237A}" destId="{A80717CC-84EF-4BAD-B0AB-251F9B869394}" srcOrd="0" destOrd="0" presId="urn:microsoft.com/office/officeart/2005/8/layout/orgChart1"/>
    <dgm:cxn modelId="{D12C16A2-9E85-47D7-AC3E-86C3240A3C54}" type="presOf" srcId="{42E27800-DAF0-49A9-AF01-222E9FA3CCEE}" destId="{C9F6DC67-3950-43CD-AB1B-CF05CEF4802A}" srcOrd="0" destOrd="0" presId="urn:microsoft.com/office/officeart/2005/8/layout/orgChart1"/>
    <dgm:cxn modelId="{49BDD4A2-A608-46FC-8F95-DEBF5D792AD2}" srcId="{F598D19B-D2C1-4C61-83E9-558D9B7B3882}" destId="{BF00BCC0-9B1F-44D4-9EE0-D6D2096E9246}" srcOrd="1" destOrd="0" parTransId="{3CC88184-4183-4A84-8836-1E766171569E}" sibTransId="{C5CE4C5A-8C08-4800-8167-CF9DA88D0D17}"/>
    <dgm:cxn modelId="{2BD483A4-4112-4D29-A5C9-E524D7E987A3}" type="presOf" srcId="{4539CA5C-FBCC-4FF2-AFAD-A65E24BA524D}" destId="{E9CC0426-BE45-4223-A6F0-8D3A98884796}" srcOrd="0" destOrd="0" presId="urn:microsoft.com/office/officeart/2005/8/layout/orgChart1"/>
    <dgm:cxn modelId="{51D1A2A5-0309-4607-9E81-C86EB261B3FC}" srcId="{48081AEE-13E4-4236-9372-4631889377AB}" destId="{512FA690-FE63-4D19-810E-6B154859E859}" srcOrd="0" destOrd="0" parTransId="{BF0241E6-88BA-48CA-9536-824D6C7226B6}" sibTransId="{F3DB69CA-BBE6-4009-A72E-8F8D76E0CD69}"/>
    <dgm:cxn modelId="{0EEABFA5-B5BC-437D-BE7C-3C059FB423BE}" type="presOf" srcId="{AEA1048A-DD4F-431C-A181-35346D306129}" destId="{02F3F345-16C5-45D8-8AF4-75810F5C7F58}" srcOrd="0" destOrd="0" presId="urn:microsoft.com/office/officeart/2005/8/layout/orgChart1"/>
    <dgm:cxn modelId="{69B147A7-A25C-4EE9-AA35-D5548DE9625A}" type="presOf" srcId="{F598D19B-D2C1-4C61-83E9-558D9B7B3882}" destId="{95BD7773-FF0A-4D88-983F-E79D38248DFA}" srcOrd="0" destOrd="0" presId="urn:microsoft.com/office/officeart/2005/8/layout/orgChart1"/>
    <dgm:cxn modelId="{B01E70A7-4BED-413C-90E9-3164A37AE68A}" srcId="{EB428A7E-ECCA-45B1-968E-47B7770B5453}" destId="{4864C0FE-1D52-45F8-AC3E-1828FB38F8AE}" srcOrd="1" destOrd="0" parTransId="{0FC43EC8-91DE-489E-8050-52BF6A422A06}" sibTransId="{E8350289-0717-41D7-BADA-2D8370F9CBC9}"/>
    <dgm:cxn modelId="{6C92E8A7-F660-4416-AF68-90EBC99F1CF0}" type="presOf" srcId="{24E00DF3-AFC5-4E22-A36B-17B8F041E424}" destId="{B7937A0F-8B63-4D05-B878-9731BCFD0FBA}" srcOrd="0" destOrd="0" presId="urn:microsoft.com/office/officeart/2005/8/layout/orgChart1"/>
    <dgm:cxn modelId="{1CB00FA8-9978-42B0-A857-A86541360FCA}" type="presOf" srcId="{F013B672-1400-4FAD-A67B-473BD893A112}" destId="{DBCF6931-0C9E-4DD7-851D-804DE41F078A}" srcOrd="1" destOrd="0" presId="urn:microsoft.com/office/officeart/2005/8/layout/orgChart1"/>
    <dgm:cxn modelId="{3E521EA8-732B-4D57-B2B9-B5CA2633785B}" type="presOf" srcId="{8F18A637-E05A-42A5-9058-0896EA6DA710}" destId="{C1C0C355-8F9D-4823-9F0F-13EB37FF8E38}" srcOrd="1" destOrd="0" presId="urn:microsoft.com/office/officeart/2005/8/layout/orgChart1"/>
    <dgm:cxn modelId="{80BB2BAB-23AF-4137-9573-663131995F6A}" type="presOf" srcId="{92156540-3810-4912-A42E-1D870DACBE20}" destId="{0C5B2A49-AF59-48EA-B297-B574C6169DDB}" srcOrd="0" destOrd="0" presId="urn:microsoft.com/office/officeart/2005/8/layout/orgChart1"/>
    <dgm:cxn modelId="{ED5F76AB-D3FD-4D15-80AA-CBCA589C1594}" srcId="{D32B3C37-E83D-494E-AAE2-8CCB75DCD383}" destId="{AE83B6BB-DB46-4759-9F2D-5D19B0BEA25B}" srcOrd="1" destOrd="0" parTransId="{DE95F343-113A-4F76-89E6-83B638E1A039}" sibTransId="{EBEDE089-308F-4B1F-99E9-93D97AEDBC3D}"/>
    <dgm:cxn modelId="{F2B5B3AB-52AA-4934-8017-0A786782238F}" srcId="{48081AEE-13E4-4236-9372-4631889377AB}" destId="{CEA92F1A-72A3-44A1-B185-5D267D439600}" srcOrd="1" destOrd="0" parTransId="{17F80FCE-5324-4A3D-9F40-520FCDFA9FC8}" sibTransId="{7CA7A5EE-3AAC-4499-8594-7687BD4185C7}"/>
    <dgm:cxn modelId="{B06532AC-12D9-4C98-9CF7-5F5A08B2593A}" type="presOf" srcId="{D3826524-8914-492E-987C-7C4AEA2F9E6C}" destId="{6782239F-CE21-4464-B90C-854BCECF8D06}" srcOrd="0" destOrd="0" presId="urn:microsoft.com/office/officeart/2005/8/layout/orgChart1"/>
    <dgm:cxn modelId="{5CD390AC-A6C7-450F-AFAF-CBC191E6E620}" type="presOf" srcId="{185FD4FB-5CF7-43EB-A5E2-8430195AC14E}" destId="{0CE48B4C-663A-4E16-8C32-46426085BDD1}" srcOrd="1" destOrd="0" presId="urn:microsoft.com/office/officeart/2005/8/layout/orgChart1"/>
    <dgm:cxn modelId="{C29B29AD-29D9-4B34-8516-5D3EC645DC33}" type="presOf" srcId="{AE83B6BB-DB46-4759-9F2D-5D19B0BEA25B}" destId="{6BE0B96A-2142-4719-A6BA-9A771C6F21C7}" srcOrd="1" destOrd="0" presId="urn:microsoft.com/office/officeart/2005/8/layout/orgChart1"/>
    <dgm:cxn modelId="{42AA53AF-B13D-4CCB-9E13-DE6D42D9A809}" type="presOf" srcId="{4864C0FE-1D52-45F8-AC3E-1828FB38F8AE}" destId="{E85E224A-B296-4E74-AEC2-805F556240A7}" srcOrd="0" destOrd="0" presId="urn:microsoft.com/office/officeart/2005/8/layout/orgChart1"/>
    <dgm:cxn modelId="{4C8FA0B0-CFA3-4BA1-8179-CFADB527F927}" type="presOf" srcId="{8D2EA66C-DE16-41AA-8CA3-15C554D726E5}" destId="{127799F0-EC6C-4F81-80E5-E410124BCB9F}" srcOrd="1" destOrd="0" presId="urn:microsoft.com/office/officeart/2005/8/layout/orgChart1"/>
    <dgm:cxn modelId="{7F7CAFB0-44C9-4B23-858A-C5E87331B909}" type="presOf" srcId="{95F849A3-3C7B-4C97-896A-CEA3A71708E8}" destId="{C586B6B4-CF1D-4A8D-B576-08231F4BD699}" srcOrd="0" destOrd="0" presId="urn:microsoft.com/office/officeart/2005/8/layout/orgChart1"/>
    <dgm:cxn modelId="{AA12ACB2-F1DB-40AE-8207-62D7EF2242EC}" srcId="{3039C17B-E4C4-4FED-8B84-CC377584ABE5}" destId="{94837C2E-4FE0-4F0C-A2B9-88128B887BBE}" srcOrd="1" destOrd="0" parTransId="{723276F3-E905-4822-A2AC-CA349AF1AA01}" sibTransId="{915779C1-E89F-4535-B4F2-7B3DD72817F6}"/>
    <dgm:cxn modelId="{D192FBB2-8678-4A3D-8621-0C15E9E6C27B}" type="presOf" srcId="{338DC12C-4F04-41C1-A712-7C9F8AC41184}" destId="{2294BA43-0350-4EDF-B49E-18E9E41AD929}" srcOrd="0" destOrd="0" presId="urn:microsoft.com/office/officeart/2005/8/layout/orgChart1"/>
    <dgm:cxn modelId="{480422B3-476E-4265-8755-C6580A623740}" type="presOf" srcId="{CBFA4E9D-E994-4C76-B7BD-367C98011E0D}" destId="{06FAD5BF-7D70-430D-B305-0EFACB8C5C86}" srcOrd="0" destOrd="0" presId="urn:microsoft.com/office/officeart/2005/8/layout/orgChart1"/>
    <dgm:cxn modelId="{CB74D1B3-FDD6-4450-B927-7063B4C97720}" type="presOf" srcId="{E8C26718-66A9-49A1-B651-BE975AC52FC6}" destId="{6C205F5D-3437-4B08-B3E7-A473277808F5}" srcOrd="0" destOrd="0" presId="urn:microsoft.com/office/officeart/2005/8/layout/orgChart1"/>
    <dgm:cxn modelId="{C30DDCB3-A0DC-4511-B0A2-0765D031D05D}" type="presOf" srcId="{C155A13A-6CA2-40EE-9E4E-39C1F52B1A58}" destId="{0B621E09-21D4-4D51-A58D-89B7DB529254}" srcOrd="0" destOrd="0" presId="urn:microsoft.com/office/officeart/2005/8/layout/orgChart1"/>
    <dgm:cxn modelId="{085AC0B4-8A57-4B4C-AA57-74744AFC72FB}" type="presOf" srcId="{9E13F8D8-AB61-4007-8151-B13C9E4739D4}" destId="{CD940845-5257-4D0D-B610-4449F2945C8A}" srcOrd="1" destOrd="0" presId="urn:microsoft.com/office/officeart/2005/8/layout/orgChart1"/>
    <dgm:cxn modelId="{818BA6B5-8C9B-40A4-BE20-27B2C762C5AA}" type="presOf" srcId="{CF28D14E-3CFA-4B24-ADCD-CDF7CF47DFB4}" destId="{49638EF3-EFC3-4D54-9816-510CF4B4F0D0}" srcOrd="1" destOrd="0" presId="urn:microsoft.com/office/officeart/2005/8/layout/orgChart1"/>
    <dgm:cxn modelId="{336755B6-5E92-4DBC-85AA-6E3C8CDBD9F8}" srcId="{C9911431-E0D7-4F09-B174-06741AF0454A}" destId="{DBC0015A-F8AB-4861-8576-3E4CBF6BD4FE}" srcOrd="2" destOrd="0" parTransId="{80C296C1-4F47-4707-97C1-7ED1075B9E95}" sibTransId="{4E836235-F3D6-49A6-BC8E-54EA3FE38ED5}"/>
    <dgm:cxn modelId="{B600A0B6-1FB3-4CE7-A51A-C1B9ADC3A4ED}" srcId="{C9911431-E0D7-4F09-B174-06741AF0454A}" destId="{DD7CBB32-3ABA-4327-8FE9-04DB1C9B1B4D}" srcOrd="0" destOrd="0" parTransId="{6053EB60-D5AE-482B-A5C7-CE7064E8F89C}" sibTransId="{DD63A2A7-0C42-418C-B876-1D34C8833C25}"/>
    <dgm:cxn modelId="{4F6736B7-C68A-418C-98B8-A9C21C417B94}" type="presOf" srcId="{82705309-E6B8-4660-A600-73180EC97D44}" destId="{A548E1CE-63B5-4A32-BFE5-440930FDB850}" srcOrd="0" destOrd="0" presId="urn:microsoft.com/office/officeart/2005/8/layout/orgChart1"/>
    <dgm:cxn modelId="{B93082B7-6216-4360-AF70-0BB3858E9FDF}" type="presOf" srcId="{AEA1048A-DD4F-431C-A181-35346D306129}" destId="{749E7637-8EF0-4B4F-A7FA-F30DB925D34E}" srcOrd="1" destOrd="0" presId="urn:microsoft.com/office/officeart/2005/8/layout/orgChart1"/>
    <dgm:cxn modelId="{4F88FCB7-A27E-448D-B99C-F62A8992A457}" type="presOf" srcId="{BE6CE2D4-E405-410B-9392-C17E0628FC09}" destId="{7DB32151-A0A9-4E46-80FE-634AA75670D7}" srcOrd="0" destOrd="0" presId="urn:microsoft.com/office/officeart/2005/8/layout/orgChart1"/>
    <dgm:cxn modelId="{AD017CB8-1A0A-4234-8B70-A0C235CD6CEB}" srcId="{D32B3C37-E83D-494E-AAE2-8CCB75DCD383}" destId="{C9911431-E0D7-4F09-B174-06741AF0454A}" srcOrd="0" destOrd="0" parTransId="{E801C426-E50E-4D6B-93EF-B8733439C92A}" sibTransId="{E66D46E8-194E-450A-9C08-9FC4AB316E05}"/>
    <dgm:cxn modelId="{E61B0FB9-EC9D-40E1-99BA-22FEE86D173D}" type="presOf" srcId="{3CC88184-4183-4A84-8836-1E766171569E}" destId="{CC47BA72-88C1-4B69-B3F5-D02B3D8B750D}" srcOrd="0" destOrd="0" presId="urn:microsoft.com/office/officeart/2005/8/layout/orgChart1"/>
    <dgm:cxn modelId="{2A8B52B9-CD33-4402-A7A0-75E6D62ECA87}" srcId="{3039C17B-E4C4-4FED-8B84-CC377584ABE5}" destId="{6D707159-9184-4649-962F-C9614671967E}" srcOrd="0" destOrd="0" parTransId="{0F3804AC-94B3-4151-8721-29AB48900C05}" sibTransId="{A543DF5A-5CBD-4821-AAC1-CD93DBBC3349}"/>
    <dgm:cxn modelId="{D0E694B9-5765-4CAB-95D2-9AA54B731541}" type="presOf" srcId="{256B73C7-A551-4C46-9EB6-B4B4C68E5882}" destId="{61571800-0A8D-4FC4-8D8D-547C885DB07E}" srcOrd="0" destOrd="0" presId="urn:microsoft.com/office/officeart/2005/8/layout/orgChart1"/>
    <dgm:cxn modelId="{DDFE90BA-A6F4-4BAD-ACF6-817CD37311A8}" type="presOf" srcId="{89DDF0FD-DFF7-4A8A-A702-53C1BE30E02E}" destId="{146953E4-78E4-4670-BA0C-FC6ECB0CDB68}" srcOrd="1" destOrd="0" presId="urn:microsoft.com/office/officeart/2005/8/layout/orgChart1"/>
    <dgm:cxn modelId="{F5DAE6BB-B12C-44BF-94D5-0736BC709C58}" srcId="{35832908-7724-43A9-A2FF-5625A4D3B9C8}" destId="{EB428A7E-ECCA-45B1-968E-47B7770B5453}" srcOrd="0" destOrd="0" parTransId="{B2A71CAB-ECD0-42AB-A7B7-D8AC1221003F}" sibTransId="{59AA153E-CDCC-4534-988F-F1145B40C189}"/>
    <dgm:cxn modelId="{9D2CFABB-1130-46A3-ABA2-75B6461447FA}" type="presOf" srcId="{D7D1A60F-C56B-46FB-8FFC-BE639F0BFC9F}" destId="{F70E9A4C-E562-436D-B793-F8BED5F91580}" srcOrd="1" destOrd="0" presId="urn:microsoft.com/office/officeart/2005/8/layout/orgChart1"/>
    <dgm:cxn modelId="{D919CCBC-83B3-4D99-B3EE-8622CFFBCC67}" type="presOf" srcId="{F1D8D4A5-F2C0-4102-B960-BE861D6F8193}" destId="{8A6CE794-AD75-4953-A656-61142A7BB3AB}" srcOrd="0" destOrd="0" presId="urn:microsoft.com/office/officeart/2005/8/layout/orgChart1"/>
    <dgm:cxn modelId="{3984D4BC-4FC3-4F26-AEA5-AE5592C8D999}" type="presOf" srcId="{9F0E14C1-D72D-4501-AE69-5392E01D8774}" destId="{575A5F61-883D-4718-8867-8B79DF074CA4}" srcOrd="0" destOrd="0" presId="urn:microsoft.com/office/officeart/2005/8/layout/orgChart1"/>
    <dgm:cxn modelId="{937FCEBD-29D6-4716-BCB6-F982E991C682}" srcId="{BF00BCC0-9B1F-44D4-9EE0-D6D2096E9246}" destId="{DB9ED49B-0C55-4E4A-AEF2-4C037C23DE96}" srcOrd="2" destOrd="0" parTransId="{A439CBEE-E83A-46CD-BBF0-CAD6754640D6}" sibTransId="{8033C132-20B1-482A-8666-20B5C1C7B98F}"/>
    <dgm:cxn modelId="{C2D262BE-FF42-4D63-8858-5F12BA073E5B}" type="presOf" srcId="{A2A46C8C-ADBA-4474-84F9-73625F361335}" destId="{CD166102-5550-412E-9845-76D57E0D6481}" srcOrd="0" destOrd="0" presId="urn:microsoft.com/office/officeart/2005/8/layout/orgChart1"/>
    <dgm:cxn modelId="{AE5469BE-0F7C-48A1-BDEB-366B6C975EF7}" type="presOf" srcId="{256DEA29-1FE4-4C99-979A-26806E978E7E}" destId="{FE6EDD3F-AA5B-4BAF-91A7-21973FA035CC}" srcOrd="0" destOrd="0" presId="urn:microsoft.com/office/officeart/2005/8/layout/orgChart1"/>
    <dgm:cxn modelId="{699ED1BE-3500-4804-826F-65DB241A7964}" type="presOf" srcId="{40844E9E-8255-4CDB-85F6-F39B0E3EBCE2}" destId="{BEA94E14-7992-4F71-BAA8-179CB366545B}" srcOrd="1" destOrd="0" presId="urn:microsoft.com/office/officeart/2005/8/layout/orgChart1"/>
    <dgm:cxn modelId="{22781BBF-DF94-4DB6-9540-59CEE788BF4A}" type="presOf" srcId="{5A6685A1-B746-4FF8-A7EB-D21C014B98B1}" destId="{87882C02-E0DD-44C1-BFD6-1E3C54850E09}" srcOrd="0" destOrd="0" presId="urn:microsoft.com/office/officeart/2005/8/layout/orgChart1"/>
    <dgm:cxn modelId="{C42654BF-B1B5-4B09-8FEC-BD758FEF0BD6}" type="presOf" srcId="{DA9AAD3F-C4C7-4D4F-ABC9-FC01D1CCFC79}" destId="{DB5A78A6-1F51-432B-9904-B8D6C62EA366}" srcOrd="0" destOrd="0" presId="urn:microsoft.com/office/officeart/2005/8/layout/orgChart1"/>
    <dgm:cxn modelId="{4B2BE4C4-8A01-4054-AE97-E70634962B48}" type="presOf" srcId="{743316F3-DAE6-4D7C-9357-DB84B8608AA7}" destId="{DCC99433-EC04-459A-98E1-837B8EE17D75}" srcOrd="0" destOrd="0" presId="urn:microsoft.com/office/officeart/2005/8/layout/orgChart1"/>
    <dgm:cxn modelId="{E1D210C5-08F2-4227-956B-95107465ABC4}" type="presOf" srcId="{255584C8-4F55-4CF0-B2D6-CE7E8D62C9B9}" destId="{8EE0FE7F-EBD4-40D2-B56F-271FCDA89BA1}" srcOrd="0" destOrd="0" presId="urn:microsoft.com/office/officeart/2005/8/layout/orgChart1"/>
    <dgm:cxn modelId="{591EEFC5-A5EF-425A-BBA0-F147ACFB2B15}" type="presOf" srcId="{F433D6CA-DCBF-4664-A80A-DE4934259CAB}" destId="{39F005E2-7BA7-404E-B2C7-DBE1CCAE84A5}" srcOrd="0" destOrd="0" presId="urn:microsoft.com/office/officeart/2005/8/layout/orgChart1"/>
    <dgm:cxn modelId="{E6F233C6-0013-4746-9A48-A7AFDA9CB5D7}" type="presOf" srcId="{CB227DF1-60F3-4DC0-86DD-C4E7204A9AA1}" destId="{366E6CFE-3494-467C-8E77-C3C2CC7D9F10}" srcOrd="0" destOrd="0" presId="urn:microsoft.com/office/officeart/2005/8/layout/orgChart1"/>
    <dgm:cxn modelId="{9809DDC7-74E2-43E4-8900-3F096CDF840B}" srcId="{DB9ED49B-0C55-4E4A-AEF2-4C037C23DE96}" destId="{82705309-E6B8-4660-A600-73180EC97D44}" srcOrd="0" destOrd="0" parTransId="{255584C8-4F55-4CF0-B2D6-CE7E8D62C9B9}" sibTransId="{9DFEC4C3-C634-41BF-8609-0B12AA829D5C}"/>
    <dgm:cxn modelId="{BA91E6C7-DF6D-4E9F-B907-4E2D64A77903}" type="presOf" srcId="{48081AEE-13E4-4236-9372-4631889377AB}" destId="{0BAC9C75-8FFD-4D5F-83C9-FD9397F824C7}" srcOrd="1" destOrd="0" presId="urn:microsoft.com/office/officeart/2005/8/layout/orgChart1"/>
    <dgm:cxn modelId="{2AD4EAC7-FA56-432C-ACC9-0F9E8529BA1C}" srcId="{F05C3478-7A69-4779-805E-2E85D00A905A}" destId="{3E91ADC5-36B0-4880-B88B-0DD085D275F2}" srcOrd="0" destOrd="0" parTransId="{26D364BB-2D10-40C6-9165-15E5CF2AD5F6}" sibTransId="{134D26BE-0C2E-4404-B78C-CEE8D5E5BFBA}"/>
    <dgm:cxn modelId="{FEEDF6C7-2152-475F-A415-DBF101D2A8EA}" type="presOf" srcId="{2AB15BAD-D7C1-4E36-B02D-D19545A352F6}" destId="{98E3623F-9221-495D-8B70-3F60784DAEC2}" srcOrd="0" destOrd="0" presId="urn:microsoft.com/office/officeart/2005/8/layout/orgChart1"/>
    <dgm:cxn modelId="{062614C8-5CF2-4567-A06A-0B5575ADB55A}" type="presOf" srcId="{F05C3478-7A69-4779-805E-2E85D00A905A}" destId="{AD5EA84E-D061-4A54-B0C6-629064770C07}" srcOrd="1" destOrd="0" presId="urn:microsoft.com/office/officeart/2005/8/layout/orgChart1"/>
    <dgm:cxn modelId="{101015C8-30BB-4728-B676-91FA265DABA1}" type="presOf" srcId="{AB1EAC64-D38A-41AF-96F4-B09AD284879D}" destId="{0D53B2F7-C277-4643-99B5-AD94E6EAF4D6}" srcOrd="0" destOrd="0" presId="urn:microsoft.com/office/officeart/2005/8/layout/orgChart1"/>
    <dgm:cxn modelId="{32632AC8-FCB3-4D30-905F-E42EF3F06328}" type="presOf" srcId="{718530C1-E567-49D5-BEBE-785D037F6EE2}" destId="{167B6ED4-5AE8-4063-BAD0-A9D6D37655CD}" srcOrd="0" destOrd="0" presId="urn:microsoft.com/office/officeart/2005/8/layout/orgChart1"/>
    <dgm:cxn modelId="{1A5F49C9-4F0D-4E24-B247-31A72D59D7CE}" srcId="{B78840CD-48A4-4619-84B8-9F12176C54F4}" destId="{48081AEE-13E4-4236-9372-4631889377AB}" srcOrd="1" destOrd="0" parTransId="{A2F4C23B-7CDB-4F8F-BEE4-B860A25B3EE7}" sibTransId="{918406D6-A997-445A-87A0-4D5D0CE59930}"/>
    <dgm:cxn modelId="{5F4859C9-9C41-429B-8FD9-8883D7071715}" srcId="{B288F2C6-A73C-4044-A2E6-EA4134E43295}" destId="{4A292F17-6AB3-4DFA-BAE0-6527399D24CD}" srcOrd="1" destOrd="0" parTransId="{3A79211C-9CDB-4650-A553-9114656ADCEC}" sibTransId="{4FAE0343-BF68-44F0-B3ED-CEA9F7769203}"/>
    <dgm:cxn modelId="{7C3CCDC9-E6FC-4AB0-A337-BF397F2E6C64}" type="presOf" srcId="{B2B10A0C-F6D8-4FBA-8262-00B962016C2D}" destId="{384E78B6-5C05-40C2-B4C8-34CBF53D09FD}" srcOrd="0" destOrd="0" presId="urn:microsoft.com/office/officeart/2005/8/layout/orgChart1"/>
    <dgm:cxn modelId="{AA566BCA-307E-40F2-8BA4-8B3C02514D7D}" type="presOf" srcId="{F51EE295-314D-4FED-96E8-AB555EF6F8C7}" destId="{8D3FD84B-5362-4C62-AF42-8772B2A9B8F7}" srcOrd="0" destOrd="0" presId="urn:microsoft.com/office/officeart/2005/8/layout/orgChart1"/>
    <dgm:cxn modelId="{F0F931CB-00BF-4F39-91E1-E9BD3A3B03C8}" type="presOf" srcId="{EFB092EF-A436-4557-9B8C-C5E336B9E815}" destId="{19FB9B2B-6707-4C0A-8D6F-A49C0F11BFDB}" srcOrd="1" destOrd="0" presId="urn:microsoft.com/office/officeart/2005/8/layout/orgChart1"/>
    <dgm:cxn modelId="{7FD736CC-B09C-49A5-8226-9C16C7A300E2}" type="presOf" srcId="{F013B672-1400-4FAD-A67B-473BD893A112}" destId="{8F21FAFE-7B0C-4320-A01C-C630DF9FEB87}" srcOrd="0" destOrd="0" presId="urn:microsoft.com/office/officeart/2005/8/layout/orgChart1"/>
    <dgm:cxn modelId="{207F69CD-59BE-4BD4-B747-0893BAA92E57}" srcId="{0586FAB4-706F-4FC7-88AE-C28BDF19B91A}" destId="{A509A8DA-0483-4796-88B0-EC2AB5FE9B6B}" srcOrd="0" destOrd="0" parTransId="{58F9194D-CE96-44EA-AFF5-75569AE02607}" sibTransId="{C555D581-90F4-4F7D-9736-8CD852C1A63F}"/>
    <dgm:cxn modelId="{BE8657CD-A392-488E-A576-50FAACA9A30D}" type="presOf" srcId="{BF0241E6-88BA-48CA-9536-824D6C7226B6}" destId="{9DD821B2-31E0-4A42-B6E4-AF14CB1F4434}" srcOrd="0" destOrd="0" presId="urn:microsoft.com/office/officeart/2005/8/layout/orgChart1"/>
    <dgm:cxn modelId="{B2C8D9CD-C4DC-433D-9185-B21065329B1B}" srcId="{B7307D27-CA88-4AAF-BDE6-69021D17FE48}" destId="{CF28D14E-3CFA-4B24-ADCD-CDF7CF47DFB4}" srcOrd="2" destOrd="0" parTransId="{9B7CF9F5-E67A-4645-92E0-13ECB0C2EC6F}" sibTransId="{83A5FED6-6635-4DB7-94FD-1D8FB0B57B7F}"/>
    <dgm:cxn modelId="{AA6631CE-A6C6-476D-A434-15F68AC01396}" type="presOf" srcId="{B89B6A32-1FB2-4670-9492-E5DC21C03297}" destId="{D73A272B-C984-4994-A87E-6072AC81FADC}" srcOrd="0" destOrd="0" presId="urn:microsoft.com/office/officeart/2005/8/layout/orgChart1"/>
    <dgm:cxn modelId="{1855B4D1-70AA-487A-963C-57005E3B76D6}" type="presOf" srcId="{EB428A7E-ECCA-45B1-968E-47B7770B5453}" destId="{CC30402F-056D-42AB-AD6F-167DB5EBA53B}" srcOrd="1" destOrd="0" presId="urn:microsoft.com/office/officeart/2005/8/layout/orgChart1"/>
    <dgm:cxn modelId="{3FCBD1D2-13CC-4AB7-9730-7EA360A8EE99}" srcId="{357E2913-C4B2-4F0B-B0FB-9F5A7BC6F2AC}" destId="{0586FAB4-706F-4FC7-88AE-C28BDF19B91A}" srcOrd="2" destOrd="0" parTransId="{B2B10A0C-F6D8-4FBA-8262-00B962016C2D}" sibTransId="{F47D2453-D928-4E66-948C-D6C7EA8D5BF4}"/>
    <dgm:cxn modelId="{CBB8B4D3-70DF-4325-B6D9-CBC092B5F3DE}" srcId="{F1D8D4A5-F2C0-4102-B960-BE861D6F8193}" destId="{EFB092EF-A436-4557-9B8C-C5E336B9E815}" srcOrd="1" destOrd="0" parTransId="{1C66B5FA-56F3-442A-835D-50736CC5505E}" sibTransId="{931A1C0D-0DAC-4BAC-9ECC-4C14EACCE50D}"/>
    <dgm:cxn modelId="{3B6709D5-D0AA-4523-B5EA-82C5ED33FD6E}" srcId="{94837C2E-4FE0-4F0C-A2B9-88128B887BBE}" destId="{3E06ABE1-32DC-4DEB-9EA5-6406C48A3EB5}" srcOrd="0" destOrd="0" parTransId="{D3826524-8914-492E-987C-7C4AEA2F9E6C}" sibTransId="{04FBFC39-A609-446B-A2C9-4AB8151825A5}"/>
    <dgm:cxn modelId="{E9C067D6-6280-4972-B721-0D912603662A}" srcId="{B7307D27-CA88-4AAF-BDE6-69021D17FE48}" destId="{69A1EA13-5FE7-4F07-8D3B-DD52F42FB898}" srcOrd="1" destOrd="0" parTransId="{519DCCF5-E5FA-41E2-A3C0-B9BE7F56F64C}" sibTransId="{4650386A-A135-4CF5-989C-23601449D926}"/>
    <dgm:cxn modelId="{1D858CD6-12F5-466A-9CE8-5E47682797F3}" srcId="{B288F2C6-A73C-4044-A2E6-EA4134E43295}" destId="{E2B7A447-A742-4647-A1A0-909CF672D5CE}" srcOrd="0" destOrd="0" parTransId="{4EE9EFA8-47E4-4060-B049-E713D4C37384}" sibTransId="{B2A12B17-93F6-4A7A-B8BE-04320298810D}"/>
    <dgm:cxn modelId="{A5ACAFD6-76FF-49F0-B36B-BF85ACBCFD0A}" type="presOf" srcId="{3272336C-67B0-40A7-AC41-CC75FABE0270}" destId="{E8F27158-3B83-4DC5-98AC-02FA1D6A986B}" srcOrd="1" destOrd="0" presId="urn:microsoft.com/office/officeart/2005/8/layout/orgChart1"/>
    <dgm:cxn modelId="{962F0FD7-0BC4-49B6-91AE-3649CC219DBD}" srcId="{0586FAB4-706F-4FC7-88AE-C28BDF19B91A}" destId="{AEA1048A-DD4F-431C-A181-35346D306129}" srcOrd="1" destOrd="0" parTransId="{95F849A3-3C7B-4C97-896A-CEA3A71708E8}" sibTransId="{0C9754D2-58DC-4344-A9D6-1607AAE66CF6}"/>
    <dgm:cxn modelId="{907C1CD8-AF38-4AD5-8C5F-4D5DEF707F44}" type="presOf" srcId="{3272336C-67B0-40A7-AC41-CC75FABE0270}" destId="{4FC9163F-818D-4FEB-A6B8-D497570FBB86}" srcOrd="0" destOrd="0" presId="urn:microsoft.com/office/officeart/2005/8/layout/orgChart1"/>
    <dgm:cxn modelId="{83FD24D9-7229-4DF5-842C-5D1D6450D0A4}" type="presOf" srcId="{222118F6-DD78-4300-9451-3B491720EDD5}" destId="{8BEA054F-030B-4896-810B-08339D9E4759}" srcOrd="1" destOrd="0" presId="urn:microsoft.com/office/officeart/2005/8/layout/orgChart1"/>
    <dgm:cxn modelId="{38DC34D9-1CAF-4811-9128-7A9DEF64CF73}" srcId="{F598D19B-D2C1-4C61-83E9-558D9B7B3882}" destId="{357E2913-C4B2-4F0B-B0FB-9F5A7BC6F2AC}" srcOrd="2" destOrd="0" parTransId="{CA6CCF8B-128B-4E52-9EEF-B687FAEDA5FB}" sibTransId="{9AFA068A-AEA2-43C9-B017-0F955FA3E5CF}"/>
    <dgm:cxn modelId="{6AC6FDD9-7008-414D-B050-02F863F5656C}" type="presOf" srcId="{DB14BE49-FC0F-4563-81E5-DAC806ED6AB4}" destId="{771FC858-EAF1-4B68-9E08-F5D7C8FA313C}" srcOrd="0" destOrd="0" presId="urn:microsoft.com/office/officeart/2005/8/layout/orgChart1"/>
    <dgm:cxn modelId="{895DCEDA-E18D-41EA-9864-033E5F2E52A5}" type="presOf" srcId="{30487320-4763-4D55-9F7F-4BCA2881B7E0}" destId="{8F078016-7D7C-4CFF-9F9C-63555F2A56E1}" srcOrd="0" destOrd="0" presId="urn:microsoft.com/office/officeart/2005/8/layout/orgChart1"/>
    <dgm:cxn modelId="{4DE48DDD-5B10-4776-B3BA-DAF8DA13CB3E}" type="presOf" srcId="{9D22F41F-8498-44DE-863F-CF56EE5E30A1}" destId="{3619B705-A018-42CA-B14E-F71A5F6D1D35}" srcOrd="0" destOrd="0" presId="urn:microsoft.com/office/officeart/2005/8/layout/orgChart1"/>
    <dgm:cxn modelId="{E48CBDE0-5E9B-46DE-8D0E-013DD35968EE}" type="presOf" srcId="{DD7CBB32-3ABA-4327-8FE9-04DB1C9B1B4D}" destId="{7635A64E-D344-44D6-9A97-E446D279704D}" srcOrd="1" destOrd="0" presId="urn:microsoft.com/office/officeart/2005/8/layout/orgChart1"/>
    <dgm:cxn modelId="{2B306EE2-9F5F-4B18-85D5-26798D9CF767}" type="presOf" srcId="{9B7CF9F5-E67A-4645-92E0-13ECB0C2EC6F}" destId="{508FFC0E-A829-4EE0-8348-E36331CA4662}" srcOrd="0" destOrd="0" presId="urn:microsoft.com/office/officeart/2005/8/layout/orgChart1"/>
    <dgm:cxn modelId="{9FF303E4-99A9-47DE-84E4-2DF1A28DFF8B}" srcId="{3272336C-67B0-40A7-AC41-CC75FABE0270}" destId="{35832908-7724-43A9-A2FF-5625A4D3B9C8}" srcOrd="1" destOrd="0" parTransId="{69050CD2-749B-4102-95F0-270208F9B6C8}" sibTransId="{A6BB783D-32AE-4918-82ED-16311BE67E11}"/>
    <dgm:cxn modelId="{4B857CE4-FE91-4769-B200-EE28312BFAD5}" srcId="{94837C2E-4FE0-4F0C-A2B9-88128B887BBE}" destId="{A2A46C8C-ADBA-4474-84F9-73625F361335}" srcOrd="1" destOrd="0" parTransId="{738EED44-B888-42BA-B441-ADE069CDE589}" sibTransId="{E6CB297C-80D6-4D99-945D-7BEB7CF97409}"/>
    <dgm:cxn modelId="{E7CB00E8-B368-46DD-8B1F-82E05FB58422}" type="presOf" srcId="{928D4908-269E-4974-9C75-5542557F745F}" destId="{30890395-E137-46A7-A44C-80516BD7A188}" srcOrd="0" destOrd="0" presId="urn:microsoft.com/office/officeart/2005/8/layout/orgChart1"/>
    <dgm:cxn modelId="{754C18E9-1B10-4F4A-B9A0-4A8EF50C18F7}" type="presOf" srcId="{F79DDE5B-4104-4604-9C90-F2BC5F09F57F}" destId="{D74BDE65-0C7D-4638-AB9B-7090B1EBC710}" srcOrd="1" destOrd="0" presId="urn:microsoft.com/office/officeart/2005/8/layout/orgChart1"/>
    <dgm:cxn modelId="{B79435EB-351F-4175-A85B-3356CA4BCA93}" type="presOf" srcId="{35832908-7724-43A9-A2FF-5625A4D3B9C8}" destId="{89C58EA0-17D8-4324-8C6D-36AA35E96922}" srcOrd="1" destOrd="0" presId="urn:microsoft.com/office/officeart/2005/8/layout/orgChart1"/>
    <dgm:cxn modelId="{82E6FCEB-D5DF-4B34-9FD3-5D711CF2CBFB}" type="presOf" srcId="{CDCC7A01-D46A-4C01-82C4-86CDEA725614}" destId="{6782AC97-AD25-4346-BB7D-FF8CBD10B02D}" srcOrd="0" destOrd="0" presId="urn:microsoft.com/office/officeart/2005/8/layout/orgChart1"/>
    <dgm:cxn modelId="{A941C1EC-5A30-42DA-BB44-5BC89B421C68}" srcId="{9D22F41F-8498-44DE-863F-CF56EE5E30A1}" destId="{89DDF0FD-DFF7-4A8A-A702-53C1BE30E02E}" srcOrd="0" destOrd="0" parTransId="{3F6805EB-3D83-4D62-B5E8-4FFBB8E8F443}" sibTransId="{B5E7596C-56ED-4932-86A7-540C091F9B75}"/>
    <dgm:cxn modelId="{B9624DED-4381-4779-B16C-F92DDC76E5A9}" type="presOf" srcId="{F1D8D4A5-F2C0-4102-B960-BE861D6F8193}" destId="{A269EA45-93C9-4D1B-BE57-A516E1D784C6}" srcOrd="1" destOrd="0" presId="urn:microsoft.com/office/officeart/2005/8/layout/orgChart1"/>
    <dgm:cxn modelId="{A95105F1-06FB-43B9-8118-041E8AFC4208}" srcId="{D7D1A60F-C56B-46FB-8FFC-BE639F0BFC9F}" destId="{8BCD85A1-63D6-4CD7-9563-1D76D1BDC02D}" srcOrd="2" destOrd="0" parTransId="{DEE12491-B935-45C3-8BE6-4361AF022146}" sibTransId="{3CBEE160-21DA-4DFF-A591-6ABF5679AD69}"/>
    <dgm:cxn modelId="{C7D7CFF3-A17F-406B-9DE3-597E784FC6F3}" type="presOf" srcId="{DB9ED49B-0C55-4E4A-AEF2-4C037C23DE96}" destId="{6A7C8C6F-53AF-4F1A-8A7A-DB9F3A1D42E4}" srcOrd="1" destOrd="0" presId="urn:microsoft.com/office/officeart/2005/8/layout/orgChart1"/>
    <dgm:cxn modelId="{AEC935F5-C8B4-4502-9FF7-6E3B3AD15479}" type="presOf" srcId="{DD7CBB32-3ABA-4327-8FE9-04DB1C9B1B4D}" destId="{6D16843C-181F-439C-A089-C4CB73874230}" srcOrd="0" destOrd="0" presId="urn:microsoft.com/office/officeart/2005/8/layout/orgChart1"/>
    <dgm:cxn modelId="{28CE66F5-C104-42EF-B4CC-E69A7C0BAF61}" type="presOf" srcId="{40844E9E-8255-4CDB-85F6-F39B0E3EBCE2}" destId="{7611E691-936A-45D3-94BE-C7405602B970}" srcOrd="0" destOrd="0" presId="urn:microsoft.com/office/officeart/2005/8/layout/orgChart1"/>
    <dgm:cxn modelId="{BCFBB2F5-2128-4BB9-9C8E-547C45DD5BEB}" type="presOf" srcId="{DCB6A9C7-7AA9-44B2-823B-42FF09F826B8}" destId="{94B61BB1-CB94-469F-9B79-36D99C81C1F1}" srcOrd="0" destOrd="0" presId="urn:microsoft.com/office/officeart/2005/8/layout/orgChart1"/>
    <dgm:cxn modelId="{F0A6A0F8-061F-4683-99A0-2D883D0A2B57}" type="presOf" srcId="{4A292F17-6AB3-4DFA-BAE0-6527399D24CD}" destId="{2EF6A975-5B13-44CC-8616-EE65DD6CE8DA}" srcOrd="1" destOrd="0" presId="urn:microsoft.com/office/officeart/2005/8/layout/orgChart1"/>
    <dgm:cxn modelId="{7D1A2CF9-236F-4A67-B5DE-A7F31E4AFDF0}" type="presOf" srcId="{222118F6-DD78-4300-9451-3B491720EDD5}" destId="{B93F9006-3CBE-475A-ACC6-BC0CCA77ADCD}" srcOrd="0" destOrd="0" presId="urn:microsoft.com/office/officeart/2005/8/layout/orgChart1"/>
    <dgm:cxn modelId="{99CD94F9-9EB1-4F5A-9C53-15F1F7AA57B1}" type="presOf" srcId="{F433D6CA-DCBF-4664-A80A-DE4934259CAB}" destId="{D6959489-A8DF-4912-8595-B4E3286A08C4}" srcOrd="1" destOrd="0" presId="urn:microsoft.com/office/officeart/2005/8/layout/orgChart1"/>
    <dgm:cxn modelId="{C30596FA-237D-4425-BC6D-B74301D9BF9B}" type="presOf" srcId="{16ECEBFF-E452-4DF9-BACA-497D2AA84FDC}" destId="{486659EC-B161-487F-92F4-66839D1D51AB}" srcOrd="0" destOrd="0" presId="urn:microsoft.com/office/officeart/2005/8/layout/orgChart1"/>
    <dgm:cxn modelId="{1A26D8FA-A087-484E-A2FB-E7768F8C1CC8}" type="presOf" srcId="{9D22F41F-8498-44DE-863F-CF56EE5E30A1}" destId="{6582819B-5C78-4AA0-B2DB-8A34BBEF37B8}" srcOrd="1" destOrd="0" presId="urn:microsoft.com/office/officeart/2005/8/layout/orgChart1"/>
    <dgm:cxn modelId="{D785CAFB-BB63-4B5C-BD39-D3DA44043738}" srcId="{B78840CD-48A4-4619-84B8-9F12176C54F4}" destId="{625E4956-8EF6-4477-9EEE-F6675500F662}" srcOrd="0" destOrd="0" parTransId="{F04D4DE3-6E3C-4AB7-B0DA-B9301363A443}" sibTransId="{F48E7CF7-169C-45AC-BC62-49212026A5AB}"/>
    <dgm:cxn modelId="{63D72FFC-BF93-4ECA-917A-013DE0C94CC4}" srcId="{B78840CD-48A4-4619-84B8-9F12176C54F4}" destId="{F05C3478-7A69-4779-805E-2E85D00A905A}" srcOrd="2" destOrd="0" parTransId="{9B1F103E-2378-4A14-BD8E-312B3A58C04A}" sibTransId="{0567096C-B09A-4922-AF03-D2A3D246C439}"/>
    <dgm:cxn modelId="{80F8E5FD-1657-49B8-84E1-D57CAA9E9910}" type="presOf" srcId="{512FA690-FE63-4D19-810E-6B154859E859}" destId="{E494FAAB-5079-4DFB-865F-57021C2221B3}" srcOrd="0" destOrd="0" presId="urn:microsoft.com/office/officeart/2005/8/layout/orgChart1"/>
    <dgm:cxn modelId="{060DACFE-1C3A-4B8A-BB74-9F191CB047D8}" srcId="{D7D1A60F-C56B-46FB-8FFC-BE639F0BFC9F}" destId="{256B73C7-A551-4C46-9EB6-B4B4C68E5882}" srcOrd="1" destOrd="0" parTransId="{5F30F744-9E14-4BD4-B6ED-BD67BCC846DC}" sibTransId="{B57E3283-95A1-4E66-87B7-0501B13941AC}"/>
    <dgm:cxn modelId="{FF6637FF-33E4-4962-8B04-F9507257DED7}" type="presOf" srcId="{184C4095-E2AD-4C88-BD0D-965DD737B7BD}" destId="{A8EE0DA1-8DDC-4666-8D97-05D178324DE9}" srcOrd="1" destOrd="0" presId="urn:microsoft.com/office/officeart/2005/8/layout/orgChart1"/>
    <dgm:cxn modelId="{E63890FF-8513-4907-86DE-725056A7C269}" type="presOf" srcId="{0B85427B-C30A-49F8-839A-F97301879955}" destId="{AC29D5D2-2BC2-4328-8C86-803487281B55}" srcOrd="0" destOrd="0" presId="urn:microsoft.com/office/officeart/2005/8/layout/orgChart1"/>
    <dgm:cxn modelId="{80978D13-9C6B-4791-BC4E-014506DC596E}" type="presParOf" srcId="{40B30CBB-CDF5-4BA1-B98E-6C888E158791}" destId="{8364408C-314A-4AD2-B0E8-7D2BE781FCB4}" srcOrd="0" destOrd="0" presId="urn:microsoft.com/office/officeart/2005/8/layout/orgChart1"/>
    <dgm:cxn modelId="{0D6419F2-BBCB-43C3-BA68-C0EFE31563D3}" type="presParOf" srcId="{8364408C-314A-4AD2-B0E8-7D2BE781FCB4}" destId="{E350A4FC-65D6-4115-BCD9-573FE739F926}" srcOrd="0" destOrd="0" presId="urn:microsoft.com/office/officeart/2005/8/layout/orgChart1"/>
    <dgm:cxn modelId="{1648E49C-B40C-46AC-A868-D07D930ED7C5}" type="presParOf" srcId="{E350A4FC-65D6-4115-BCD9-573FE739F926}" destId="{4F5C6106-DAA6-4813-B04F-4A6BFCBDFB41}" srcOrd="0" destOrd="0" presId="urn:microsoft.com/office/officeart/2005/8/layout/orgChart1"/>
    <dgm:cxn modelId="{0347CD40-2D57-4A67-AFC7-CCB663B11B35}" type="presParOf" srcId="{E350A4FC-65D6-4115-BCD9-573FE739F926}" destId="{5D51B2B2-363C-4EC7-8D3C-A9DDBECF191A}" srcOrd="1" destOrd="0" presId="urn:microsoft.com/office/officeart/2005/8/layout/orgChart1"/>
    <dgm:cxn modelId="{F328962E-E7FB-444F-8D7E-00BCC6741426}" type="presParOf" srcId="{8364408C-314A-4AD2-B0E8-7D2BE781FCB4}" destId="{3D0252C4-3FB3-47EA-9058-69917D8EADBC}" srcOrd="1" destOrd="0" presId="urn:microsoft.com/office/officeart/2005/8/layout/orgChart1"/>
    <dgm:cxn modelId="{3BF7AC14-151F-40F8-A021-2F8FA092E572}" type="presParOf" srcId="{3D0252C4-3FB3-47EA-9058-69917D8EADBC}" destId="{9A5EA0E6-0FFC-4C25-8BFB-379FE240D95E}" srcOrd="0" destOrd="0" presId="urn:microsoft.com/office/officeart/2005/8/layout/orgChart1"/>
    <dgm:cxn modelId="{FAC65119-39CB-4AA0-9832-B38C51B64E5F}" type="presParOf" srcId="{3D0252C4-3FB3-47EA-9058-69917D8EADBC}" destId="{715765C1-4952-4595-B536-D738EE4B81CD}" srcOrd="1" destOrd="0" presId="urn:microsoft.com/office/officeart/2005/8/layout/orgChart1"/>
    <dgm:cxn modelId="{6B7E7865-EDF2-4485-823B-1B87ABE7132B}" type="presParOf" srcId="{715765C1-4952-4595-B536-D738EE4B81CD}" destId="{656D54A1-47C1-4AC5-8C7B-68E4561A0510}" srcOrd="0" destOrd="0" presId="urn:microsoft.com/office/officeart/2005/8/layout/orgChart1"/>
    <dgm:cxn modelId="{2D7D3983-6763-4F7D-9AFB-F956C7DE1384}" type="presParOf" srcId="{656D54A1-47C1-4AC5-8C7B-68E4561A0510}" destId="{4FC9163F-818D-4FEB-A6B8-D497570FBB86}" srcOrd="0" destOrd="0" presId="urn:microsoft.com/office/officeart/2005/8/layout/orgChart1"/>
    <dgm:cxn modelId="{806D119F-8B7C-41B8-A16A-F4AC52543A19}" type="presParOf" srcId="{656D54A1-47C1-4AC5-8C7B-68E4561A0510}" destId="{E8F27158-3B83-4DC5-98AC-02FA1D6A986B}" srcOrd="1" destOrd="0" presId="urn:microsoft.com/office/officeart/2005/8/layout/orgChart1"/>
    <dgm:cxn modelId="{1F24242B-71A7-45C3-8B78-30EB03B85AD2}" type="presParOf" srcId="{715765C1-4952-4595-B536-D738EE4B81CD}" destId="{691DD472-4C8C-4A23-BBBB-FF898A85335E}" srcOrd="1" destOrd="0" presId="urn:microsoft.com/office/officeart/2005/8/layout/orgChart1"/>
    <dgm:cxn modelId="{9448EE65-FAB2-4195-A1D3-E79313B07E5E}" type="presParOf" srcId="{691DD472-4C8C-4A23-BBBB-FF898A85335E}" destId="{8584D39D-A914-45F8-9D27-4752C5209B20}" srcOrd="0" destOrd="0" presId="urn:microsoft.com/office/officeart/2005/8/layout/orgChart1"/>
    <dgm:cxn modelId="{8CCF7B2A-E9C9-4260-952F-360795A571B7}" type="presParOf" srcId="{691DD472-4C8C-4A23-BBBB-FF898A85335E}" destId="{D2E3A11C-0D42-4A1F-9457-69F5ABF8AD75}" srcOrd="1" destOrd="0" presId="urn:microsoft.com/office/officeart/2005/8/layout/orgChart1"/>
    <dgm:cxn modelId="{7BC2F4CA-9DA1-4524-BB56-FAEFFF0695C4}" type="presParOf" srcId="{D2E3A11C-0D42-4A1F-9457-69F5ABF8AD75}" destId="{4D625BD3-4ABC-4F4A-831B-7438D9B217C2}" srcOrd="0" destOrd="0" presId="urn:microsoft.com/office/officeart/2005/8/layout/orgChart1"/>
    <dgm:cxn modelId="{37C15210-F940-45C4-8269-17DCFAAA651C}" type="presParOf" srcId="{4D625BD3-4ABC-4F4A-831B-7438D9B217C2}" destId="{FC2D50F7-137F-410F-872D-7B63DF1EF388}" srcOrd="0" destOrd="0" presId="urn:microsoft.com/office/officeart/2005/8/layout/orgChart1"/>
    <dgm:cxn modelId="{DB347BA1-2D1A-4461-9BDB-8ACAACB4AD42}" type="presParOf" srcId="{4D625BD3-4ABC-4F4A-831B-7438D9B217C2}" destId="{558A88E7-107E-45A0-BD40-CCA7AA84D410}" srcOrd="1" destOrd="0" presId="urn:microsoft.com/office/officeart/2005/8/layout/orgChart1"/>
    <dgm:cxn modelId="{54A313CB-C66A-4114-AE8E-DEF05DB2A04B}" type="presParOf" srcId="{D2E3A11C-0D42-4A1F-9457-69F5ABF8AD75}" destId="{151EB187-8BF2-491E-B87C-AD826D90F035}" srcOrd="1" destOrd="0" presId="urn:microsoft.com/office/officeart/2005/8/layout/orgChart1"/>
    <dgm:cxn modelId="{06ECEFAB-7A2D-4FBA-BD71-A100DE2AF948}" type="presParOf" srcId="{151EB187-8BF2-491E-B87C-AD826D90F035}" destId="{EB419C15-658C-460B-8E6D-25F23CC0A168}" srcOrd="0" destOrd="0" presId="urn:microsoft.com/office/officeart/2005/8/layout/orgChart1"/>
    <dgm:cxn modelId="{35884801-C854-4266-9032-BC7708794D58}" type="presParOf" srcId="{151EB187-8BF2-491E-B87C-AD826D90F035}" destId="{8B997843-5442-45DE-9D06-58EDF795E3CF}" srcOrd="1" destOrd="0" presId="urn:microsoft.com/office/officeart/2005/8/layout/orgChart1"/>
    <dgm:cxn modelId="{8FE2B898-4E1B-41C0-BE65-FD6B5765DC8D}" type="presParOf" srcId="{8B997843-5442-45DE-9D06-58EDF795E3CF}" destId="{8BDA3A4B-B106-41C5-B450-81FC047D9904}" srcOrd="0" destOrd="0" presId="urn:microsoft.com/office/officeart/2005/8/layout/orgChart1"/>
    <dgm:cxn modelId="{9EE1AABC-8ED7-4D72-9168-20570C492C81}" type="presParOf" srcId="{8BDA3A4B-B106-41C5-B450-81FC047D9904}" destId="{4B8721A4-BB7E-4089-AA97-678B65835D75}" srcOrd="0" destOrd="0" presId="urn:microsoft.com/office/officeart/2005/8/layout/orgChart1"/>
    <dgm:cxn modelId="{FD4A84A1-5FC2-4660-ACB1-51752E0F1862}" type="presParOf" srcId="{8BDA3A4B-B106-41C5-B450-81FC047D9904}" destId="{5767AE7E-EA12-40E0-B04A-A119D6863CC1}" srcOrd="1" destOrd="0" presId="urn:microsoft.com/office/officeart/2005/8/layout/orgChart1"/>
    <dgm:cxn modelId="{C39097FB-41A5-4337-8FF4-2C2A2299DA50}" type="presParOf" srcId="{8B997843-5442-45DE-9D06-58EDF795E3CF}" destId="{1FAFEF52-FDC0-404E-B5EF-1F780C208152}" srcOrd="1" destOrd="0" presId="urn:microsoft.com/office/officeart/2005/8/layout/orgChart1"/>
    <dgm:cxn modelId="{1A1A0BFA-2D52-46CD-A626-7CDEE4EED0E4}" type="presParOf" srcId="{1FAFEF52-FDC0-404E-B5EF-1F780C208152}" destId="{1AF1C2BB-D9CD-46E5-9DC1-C7CADCC353C5}" srcOrd="0" destOrd="0" presId="urn:microsoft.com/office/officeart/2005/8/layout/orgChart1"/>
    <dgm:cxn modelId="{CB57C8A5-79A2-46F5-9383-395F8182ED48}" type="presParOf" srcId="{1FAFEF52-FDC0-404E-B5EF-1F780C208152}" destId="{2076CE73-6B09-4145-8353-5E39809002DF}" srcOrd="1" destOrd="0" presId="urn:microsoft.com/office/officeart/2005/8/layout/orgChart1"/>
    <dgm:cxn modelId="{84E21822-6F2E-445B-8FB3-F4D956D5FBA6}" type="presParOf" srcId="{2076CE73-6B09-4145-8353-5E39809002DF}" destId="{F05B8C62-2E06-4909-9221-A2135442E134}" srcOrd="0" destOrd="0" presId="urn:microsoft.com/office/officeart/2005/8/layout/orgChart1"/>
    <dgm:cxn modelId="{8C160E22-7804-4671-9E0B-6B7D0A208BA9}" type="presParOf" srcId="{F05B8C62-2E06-4909-9221-A2135442E134}" destId="{6D16843C-181F-439C-A089-C4CB73874230}" srcOrd="0" destOrd="0" presId="urn:microsoft.com/office/officeart/2005/8/layout/orgChart1"/>
    <dgm:cxn modelId="{5E5DAD28-F8BF-4DD2-8435-68E94A0A2DAA}" type="presParOf" srcId="{F05B8C62-2E06-4909-9221-A2135442E134}" destId="{7635A64E-D344-44D6-9A97-E446D279704D}" srcOrd="1" destOrd="0" presId="urn:microsoft.com/office/officeart/2005/8/layout/orgChart1"/>
    <dgm:cxn modelId="{545723D4-335E-4347-A44C-09BF8770F998}" type="presParOf" srcId="{2076CE73-6B09-4145-8353-5E39809002DF}" destId="{2C1AF2F5-087A-4FB3-8BB9-CC00BDFDF71C}" srcOrd="1" destOrd="0" presId="urn:microsoft.com/office/officeart/2005/8/layout/orgChart1"/>
    <dgm:cxn modelId="{EB0E1385-1F95-4B95-B881-7DAB3A1A2BF0}" type="presParOf" srcId="{2076CE73-6B09-4145-8353-5E39809002DF}" destId="{1ED5B570-83AB-4914-81CE-933ED135BE55}" srcOrd="2" destOrd="0" presId="urn:microsoft.com/office/officeart/2005/8/layout/orgChart1"/>
    <dgm:cxn modelId="{E5A8E5E6-1EE3-49AC-BB88-0715E2D6F0F3}" type="presParOf" srcId="{1FAFEF52-FDC0-404E-B5EF-1F780C208152}" destId="{CC9F5C2C-CEE7-423F-8EEF-BA8A8528EA00}" srcOrd="2" destOrd="0" presId="urn:microsoft.com/office/officeart/2005/8/layout/orgChart1"/>
    <dgm:cxn modelId="{86CED34C-6CD2-4C5B-AAC2-53186FD43647}" type="presParOf" srcId="{1FAFEF52-FDC0-404E-B5EF-1F780C208152}" destId="{9ADE65B2-ECBB-4B1C-AA88-FD8B645233F0}" srcOrd="3" destOrd="0" presId="urn:microsoft.com/office/officeart/2005/8/layout/orgChart1"/>
    <dgm:cxn modelId="{888577FD-D113-4213-8A66-A3E08F6E1154}" type="presParOf" srcId="{9ADE65B2-ECBB-4B1C-AA88-FD8B645233F0}" destId="{D4C1BE16-A47A-45C1-BA46-A24B32080DC5}" srcOrd="0" destOrd="0" presId="urn:microsoft.com/office/officeart/2005/8/layout/orgChart1"/>
    <dgm:cxn modelId="{AA3D4852-00A0-4C4B-B636-CC706BCB52A4}" type="presParOf" srcId="{D4C1BE16-A47A-45C1-BA46-A24B32080DC5}" destId="{7CBAE40D-6F50-464C-BA60-28C5725F9B6D}" srcOrd="0" destOrd="0" presId="urn:microsoft.com/office/officeart/2005/8/layout/orgChart1"/>
    <dgm:cxn modelId="{96286FFA-B00E-477E-929F-BC66BC92BAE6}" type="presParOf" srcId="{D4C1BE16-A47A-45C1-BA46-A24B32080DC5}" destId="{EC8F259C-39B5-441F-B660-E1D2670E47D9}" srcOrd="1" destOrd="0" presId="urn:microsoft.com/office/officeart/2005/8/layout/orgChart1"/>
    <dgm:cxn modelId="{3E8843F4-6F7F-4060-A0F0-3A9F7D216221}" type="presParOf" srcId="{9ADE65B2-ECBB-4B1C-AA88-FD8B645233F0}" destId="{7C7F4F73-A898-495B-92D7-A9F888495192}" srcOrd="1" destOrd="0" presId="urn:microsoft.com/office/officeart/2005/8/layout/orgChart1"/>
    <dgm:cxn modelId="{53C2DBF2-7A69-4BFC-AC8A-968280AE394D}" type="presParOf" srcId="{9ADE65B2-ECBB-4B1C-AA88-FD8B645233F0}" destId="{A72C7868-34D9-4723-B13D-CD3263425501}" srcOrd="2" destOrd="0" presId="urn:microsoft.com/office/officeart/2005/8/layout/orgChart1"/>
    <dgm:cxn modelId="{BDB3A48E-CB3F-4C72-85DF-1DD5B8EB1075}" type="presParOf" srcId="{1FAFEF52-FDC0-404E-B5EF-1F780C208152}" destId="{8AEEF72A-DACB-47E8-8AFC-3FC235E59E4A}" srcOrd="4" destOrd="0" presId="urn:microsoft.com/office/officeart/2005/8/layout/orgChart1"/>
    <dgm:cxn modelId="{31C94FDF-9BC9-4A89-AC7D-0E322BB9F9BC}" type="presParOf" srcId="{1FAFEF52-FDC0-404E-B5EF-1F780C208152}" destId="{F2234692-D0C3-41D9-9066-F8A3C9CA6A3E}" srcOrd="5" destOrd="0" presId="urn:microsoft.com/office/officeart/2005/8/layout/orgChart1"/>
    <dgm:cxn modelId="{378D01FD-51C1-4D8B-AA0D-4E69B2880D6E}" type="presParOf" srcId="{F2234692-D0C3-41D9-9066-F8A3C9CA6A3E}" destId="{F83D6D1C-7A1D-4803-9315-D07E3205225D}" srcOrd="0" destOrd="0" presId="urn:microsoft.com/office/officeart/2005/8/layout/orgChart1"/>
    <dgm:cxn modelId="{ED21463B-0F92-49C9-B20E-76AD1A8B02CC}" type="presParOf" srcId="{F83D6D1C-7A1D-4803-9315-D07E3205225D}" destId="{80D59107-6804-44F1-8C67-47CD0CB32066}" srcOrd="0" destOrd="0" presId="urn:microsoft.com/office/officeart/2005/8/layout/orgChart1"/>
    <dgm:cxn modelId="{66A818B1-82B2-490A-9FD6-275467800A59}" type="presParOf" srcId="{F83D6D1C-7A1D-4803-9315-D07E3205225D}" destId="{DCC4D95B-4D36-40A4-B39A-D3BE3429F181}" srcOrd="1" destOrd="0" presId="urn:microsoft.com/office/officeart/2005/8/layout/orgChart1"/>
    <dgm:cxn modelId="{4C3278D6-B817-490F-92E3-CA7FCD4B0385}" type="presParOf" srcId="{F2234692-D0C3-41D9-9066-F8A3C9CA6A3E}" destId="{4C14A6F8-209A-4DD7-850B-D4CCD865A04C}" srcOrd="1" destOrd="0" presId="urn:microsoft.com/office/officeart/2005/8/layout/orgChart1"/>
    <dgm:cxn modelId="{184439CE-C164-4D7E-BDB1-A8E469AF1850}" type="presParOf" srcId="{F2234692-D0C3-41D9-9066-F8A3C9CA6A3E}" destId="{FE97A040-6E73-409C-9AFD-491661627DDC}" srcOrd="2" destOrd="0" presId="urn:microsoft.com/office/officeart/2005/8/layout/orgChart1"/>
    <dgm:cxn modelId="{90F32D40-A4D3-4CA8-9ED4-3361636E9B56}" type="presParOf" srcId="{8B997843-5442-45DE-9D06-58EDF795E3CF}" destId="{6A0E9C19-9804-4330-AF40-23B50D1B946F}" srcOrd="2" destOrd="0" presId="urn:microsoft.com/office/officeart/2005/8/layout/orgChart1"/>
    <dgm:cxn modelId="{6FE96674-D64F-47AC-9DAB-C4A974141A50}" type="presParOf" srcId="{151EB187-8BF2-491E-B87C-AD826D90F035}" destId="{A9802AE4-EFCB-4650-AD3C-34C1CDC991AE}" srcOrd="2" destOrd="0" presId="urn:microsoft.com/office/officeart/2005/8/layout/orgChart1"/>
    <dgm:cxn modelId="{2CAFB068-1D7E-463E-8153-679FBB03FCF6}" type="presParOf" srcId="{151EB187-8BF2-491E-B87C-AD826D90F035}" destId="{3F6362BE-FB69-4515-BBA7-F43BC7E0D85F}" srcOrd="3" destOrd="0" presId="urn:microsoft.com/office/officeart/2005/8/layout/orgChart1"/>
    <dgm:cxn modelId="{E806C1C7-4626-46E9-B345-104C8D116E24}" type="presParOf" srcId="{3F6362BE-FB69-4515-BBA7-F43BC7E0D85F}" destId="{96756DBC-D2A0-47CF-907D-EFD5C8B5B9B3}" srcOrd="0" destOrd="0" presId="urn:microsoft.com/office/officeart/2005/8/layout/orgChart1"/>
    <dgm:cxn modelId="{8A4DD5B4-00CF-4DC8-BC60-6FAD96AD4644}" type="presParOf" srcId="{96756DBC-D2A0-47CF-907D-EFD5C8B5B9B3}" destId="{9EB75F2A-A7D2-4610-83B2-EE80E8016EE9}" srcOrd="0" destOrd="0" presId="urn:microsoft.com/office/officeart/2005/8/layout/orgChart1"/>
    <dgm:cxn modelId="{39A0D5A0-D5C0-42AD-843B-58404EFA5F09}" type="presParOf" srcId="{96756DBC-D2A0-47CF-907D-EFD5C8B5B9B3}" destId="{6BE0B96A-2142-4719-A6BA-9A771C6F21C7}" srcOrd="1" destOrd="0" presId="urn:microsoft.com/office/officeart/2005/8/layout/orgChart1"/>
    <dgm:cxn modelId="{33B1F7B6-0569-4A6B-8F62-C0D9D3CE6A1D}" type="presParOf" srcId="{3F6362BE-FB69-4515-BBA7-F43BC7E0D85F}" destId="{CF8F8A36-310B-4BD7-9142-A39FBB6E24D1}" srcOrd="1" destOrd="0" presId="urn:microsoft.com/office/officeart/2005/8/layout/orgChart1"/>
    <dgm:cxn modelId="{B5FBA6C0-E1DF-4F8A-BE52-B02FB404B891}" type="presParOf" srcId="{CF8F8A36-310B-4BD7-9142-A39FBB6E24D1}" destId="{30890395-E137-46A7-A44C-80516BD7A188}" srcOrd="0" destOrd="0" presId="urn:microsoft.com/office/officeart/2005/8/layout/orgChart1"/>
    <dgm:cxn modelId="{03117F57-76B0-4AE8-82F0-4CF4687CAD71}" type="presParOf" srcId="{CF8F8A36-310B-4BD7-9142-A39FBB6E24D1}" destId="{699DD1B2-6FE1-45CC-857D-F16A5AE6BBE7}" srcOrd="1" destOrd="0" presId="urn:microsoft.com/office/officeart/2005/8/layout/orgChart1"/>
    <dgm:cxn modelId="{E060F22C-897C-4C72-B795-BF8B51FF70B9}" type="presParOf" srcId="{699DD1B2-6FE1-45CC-857D-F16A5AE6BBE7}" destId="{31C93628-E98B-486B-ABCE-E332C4B4D61A}" srcOrd="0" destOrd="0" presId="urn:microsoft.com/office/officeart/2005/8/layout/orgChart1"/>
    <dgm:cxn modelId="{41988714-612C-4A4F-9B44-C250AE7F75A3}" type="presParOf" srcId="{31C93628-E98B-486B-ABCE-E332C4B4D61A}" destId="{023555DD-FA7B-42AA-B472-DD5293330410}" srcOrd="0" destOrd="0" presId="urn:microsoft.com/office/officeart/2005/8/layout/orgChart1"/>
    <dgm:cxn modelId="{3FBA3F1D-D20D-48BD-BEAF-66CCEE75C566}" type="presParOf" srcId="{31C93628-E98B-486B-ABCE-E332C4B4D61A}" destId="{097202E0-544A-4B10-B072-B30FFD6ED571}" srcOrd="1" destOrd="0" presId="urn:microsoft.com/office/officeart/2005/8/layout/orgChart1"/>
    <dgm:cxn modelId="{6CB5338D-FAB0-4BA9-94E2-9910B1BF4994}" type="presParOf" srcId="{699DD1B2-6FE1-45CC-857D-F16A5AE6BBE7}" destId="{83D63EB5-9E60-4F72-BA6A-2E4401B12B34}" srcOrd="1" destOrd="0" presId="urn:microsoft.com/office/officeart/2005/8/layout/orgChart1"/>
    <dgm:cxn modelId="{CD1AA64A-2DF4-4E76-B171-581CC571EA6A}" type="presParOf" srcId="{699DD1B2-6FE1-45CC-857D-F16A5AE6BBE7}" destId="{1F122908-CAE5-4558-B785-69C1C8235304}" srcOrd="2" destOrd="0" presId="urn:microsoft.com/office/officeart/2005/8/layout/orgChart1"/>
    <dgm:cxn modelId="{B8B0C0D0-EBA2-4F67-ABB8-439FB2185F08}" type="presParOf" srcId="{CF8F8A36-310B-4BD7-9142-A39FBB6E24D1}" destId="{7DB32151-A0A9-4E46-80FE-634AA75670D7}" srcOrd="2" destOrd="0" presId="urn:microsoft.com/office/officeart/2005/8/layout/orgChart1"/>
    <dgm:cxn modelId="{64090A1E-6FFE-45ED-821F-95F9B9C992BA}" type="presParOf" srcId="{CF8F8A36-310B-4BD7-9142-A39FBB6E24D1}" destId="{5EF9CAF4-C631-4B30-984A-45720FF2752A}" srcOrd="3" destOrd="0" presId="urn:microsoft.com/office/officeart/2005/8/layout/orgChart1"/>
    <dgm:cxn modelId="{DC8A3784-B128-4C1A-A049-390AEEFD9FFB}" type="presParOf" srcId="{5EF9CAF4-C631-4B30-984A-45720FF2752A}" destId="{D7F48BF9-4594-4466-AD09-8AB13DBB5721}" srcOrd="0" destOrd="0" presId="urn:microsoft.com/office/officeart/2005/8/layout/orgChart1"/>
    <dgm:cxn modelId="{6C210AAA-F2D4-4F32-A579-ED7E1BFECC9B}" type="presParOf" srcId="{D7F48BF9-4594-4466-AD09-8AB13DBB5721}" destId="{233975D0-50D5-4C77-B84B-292BA86270D3}" srcOrd="0" destOrd="0" presId="urn:microsoft.com/office/officeart/2005/8/layout/orgChart1"/>
    <dgm:cxn modelId="{53C239F9-3430-4268-8FB4-9BB3FB67DA4B}" type="presParOf" srcId="{D7F48BF9-4594-4466-AD09-8AB13DBB5721}" destId="{9232D0D4-2282-4550-91DD-4B1783BD23D3}" srcOrd="1" destOrd="0" presId="urn:microsoft.com/office/officeart/2005/8/layout/orgChart1"/>
    <dgm:cxn modelId="{6A473382-D7DB-4BDB-B22A-E28B5993AF25}" type="presParOf" srcId="{5EF9CAF4-C631-4B30-984A-45720FF2752A}" destId="{2D5D165D-F231-470B-8625-9497C47E4D74}" srcOrd="1" destOrd="0" presId="urn:microsoft.com/office/officeart/2005/8/layout/orgChart1"/>
    <dgm:cxn modelId="{0AF3090E-BAFC-4CEF-AAE0-C5481AA4E7AC}" type="presParOf" srcId="{5EF9CAF4-C631-4B30-984A-45720FF2752A}" destId="{3731AA9F-2E3A-4462-A9CB-9332C6387C4C}" srcOrd="2" destOrd="0" presId="urn:microsoft.com/office/officeart/2005/8/layout/orgChart1"/>
    <dgm:cxn modelId="{83F5DACA-157B-4703-A5FF-1C3F42945A41}" type="presParOf" srcId="{CF8F8A36-310B-4BD7-9142-A39FBB6E24D1}" destId="{2C096D07-183A-49F0-9532-E1053F71060F}" srcOrd="4" destOrd="0" presId="urn:microsoft.com/office/officeart/2005/8/layout/orgChart1"/>
    <dgm:cxn modelId="{D1586676-0D64-4D93-BBB9-D619ACEA9AE1}" type="presParOf" srcId="{CF8F8A36-310B-4BD7-9142-A39FBB6E24D1}" destId="{D3F2E962-C301-4D41-B0B0-C64289B27A4B}" srcOrd="5" destOrd="0" presId="urn:microsoft.com/office/officeart/2005/8/layout/orgChart1"/>
    <dgm:cxn modelId="{56D8B8B8-1341-4D9D-B063-827A97878929}" type="presParOf" srcId="{D3F2E962-C301-4D41-B0B0-C64289B27A4B}" destId="{F7855D48-2362-41AB-8F13-257CB50F6DC2}" srcOrd="0" destOrd="0" presId="urn:microsoft.com/office/officeart/2005/8/layout/orgChart1"/>
    <dgm:cxn modelId="{A159C1AD-4651-4A37-882B-4F7FC5B63437}" type="presParOf" srcId="{F7855D48-2362-41AB-8F13-257CB50F6DC2}" destId="{4DD5A7B5-D316-4C83-A289-24088037425F}" srcOrd="0" destOrd="0" presId="urn:microsoft.com/office/officeart/2005/8/layout/orgChart1"/>
    <dgm:cxn modelId="{33D1D5E6-6605-4E05-8B3C-3B934E8D8BCB}" type="presParOf" srcId="{F7855D48-2362-41AB-8F13-257CB50F6DC2}" destId="{FB24E71B-B544-4DB4-BC2F-5F61F96C5519}" srcOrd="1" destOrd="0" presId="urn:microsoft.com/office/officeart/2005/8/layout/orgChart1"/>
    <dgm:cxn modelId="{F13FADD6-8F55-460C-B693-1FE8EBDF7A06}" type="presParOf" srcId="{D3F2E962-C301-4D41-B0B0-C64289B27A4B}" destId="{536D26CC-92B5-41C8-BB33-B04C77C0E6DF}" srcOrd="1" destOrd="0" presId="urn:microsoft.com/office/officeart/2005/8/layout/orgChart1"/>
    <dgm:cxn modelId="{0E3C37F6-996A-41F4-9958-9DDF319679EF}" type="presParOf" srcId="{D3F2E962-C301-4D41-B0B0-C64289B27A4B}" destId="{DC83E29E-4C5D-4341-9C74-B261B13A5767}" srcOrd="2" destOrd="0" presId="urn:microsoft.com/office/officeart/2005/8/layout/orgChart1"/>
    <dgm:cxn modelId="{A89F9891-F23B-42A2-8734-5F8A98E4A3FA}" type="presParOf" srcId="{3F6362BE-FB69-4515-BBA7-F43BC7E0D85F}" destId="{BA02715A-D9FE-4434-B30A-4D35203B3BCC}" srcOrd="2" destOrd="0" presId="urn:microsoft.com/office/officeart/2005/8/layout/orgChart1"/>
    <dgm:cxn modelId="{FC3CD299-F1EC-40D7-A4D1-5D4E871F959E}" type="presParOf" srcId="{151EB187-8BF2-491E-B87C-AD826D90F035}" destId="{9DA66AD9-8BF5-497B-A6A5-A04BF597FD7A}" srcOrd="4" destOrd="0" presId="urn:microsoft.com/office/officeart/2005/8/layout/orgChart1"/>
    <dgm:cxn modelId="{890C135C-8D88-4F97-9797-272CA2B592A5}" type="presParOf" srcId="{151EB187-8BF2-491E-B87C-AD826D90F035}" destId="{BB362ECC-4C4D-455A-A7CD-042EAC69494D}" srcOrd="5" destOrd="0" presId="urn:microsoft.com/office/officeart/2005/8/layout/orgChart1"/>
    <dgm:cxn modelId="{1D13DE57-1275-4FC9-AC19-9605C1007C7C}" type="presParOf" srcId="{BB362ECC-4C4D-455A-A7CD-042EAC69494D}" destId="{25BA92E9-ED4C-45F1-915E-9AAD57A224DB}" srcOrd="0" destOrd="0" presId="urn:microsoft.com/office/officeart/2005/8/layout/orgChart1"/>
    <dgm:cxn modelId="{3B76C09C-4ECD-4996-8CDB-4515FECA77BD}" type="presParOf" srcId="{25BA92E9-ED4C-45F1-915E-9AAD57A224DB}" destId="{FA99CF7B-FA86-4A3E-8B92-AA6BF73D864D}" srcOrd="0" destOrd="0" presId="urn:microsoft.com/office/officeart/2005/8/layout/orgChart1"/>
    <dgm:cxn modelId="{4739A7D7-25FD-4105-822A-9936DF027246}" type="presParOf" srcId="{25BA92E9-ED4C-45F1-915E-9AAD57A224DB}" destId="{74BC5BBD-A5EB-4CD3-AE34-34ACF61E7A97}" srcOrd="1" destOrd="0" presId="urn:microsoft.com/office/officeart/2005/8/layout/orgChart1"/>
    <dgm:cxn modelId="{6A4F61A6-3440-41A1-BFE0-8A42FA249170}" type="presParOf" srcId="{BB362ECC-4C4D-455A-A7CD-042EAC69494D}" destId="{3685EC49-5F37-4499-BE45-860BF3498780}" srcOrd="1" destOrd="0" presId="urn:microsoft.com/office/officeart/2005/8/layout/orgChart1"/>
    <dgm:cxn modelId="{3EDE6B77-8BA4-4360-ACB2-E7F1B0E926FD}" type="presParOf" srcId="{3685EC49-5F37-4499-BE45-860BF3498780}" destId="{07D65219-A5C5-4B61-AEF3-07E184105F46}" srcOrd="0" destOrd="0" presId="urn:microsoft.com/office/officeart/2005/8/layout/orgChart1"/>
    <dgm:cxn modelId="{40EDB6ED-949E-4115-88C3-377DD7F0B4BF}" type="presParOf" srcId="{3685EC49-5F37-4499-BE45-860BF3498780}" destId="{407B89D7-A82D-4799-9748-53DEB2B003BD}" srcOrd="1" destOrd="0" presId="urn:microsoft.com/office/officeart/2005/8/layout/orgChart1"/>
    <dgm:cxn modelId="{0794D792-76AD-4035-92B0-E1DBDDDE0D62}" type="presParOf" srcId="{407B89D7-A82D-4799-9748-53DEB2B003BD}" destId="{D59773FB-3FC5-4E37-B09A-46876B675B55}" srcOrd="0" destOrd="0" presId="urn:microsoft.com/office/officeart/2005/8/layout/orgChart1"/>
    <dgm:cxn modelId="{CB028DFB-E347-4BC1-9D38-ACD8F147B357}" type="presParOf" srcId="{D59773FB-3FC5-4E37-B09A-46876B675B55}" destId="{B9803A68-B3EC-4770-AA98-5A888FC06D0F}" srcOrd="0" destOrd="0" presId="urn:microsoft.com/office/officeart/2005/8/layout/orgChart1"/>
    <dgm:cxn modelId="{E6CE5AFF-AAD9-44CB-BAE6-B94E60C65EFD}" type="presParOf" srcId="{D59773FB-3FC5-4E37-B09A-46876B675B55}" destId="{07A462BB-A3A1-422E-B97E-5B8EF8D448E6}" srcOrd="1" destOrd="0" presId="urn:microsoft.com/office/officeart/2005/8/layout/orgChart1"/>
    <dgm:cxn modelId="{F560FEC2-7960-40DA-8E2B-17C30A04F5FF}" type="presParOf" srcId="{407B89D7-A82D-4799-9748-53DEB2B003BD}" destId="{C8C8D4D2-C029-430B-8159-09AEED6A3647}" srcOrd="1" destOrd="0" presId="urn:microsoft.com/office/officeart/2005/8/layout/orgChart1"/>
    <dgm:cxn modelId="{BD0EA02F-E101-4FEC-BBAE-C18BAC0475FE}" type="presParOf" srcId="{407B89D7-A82D-4799-9748-53DEB2B003BD}" destId="{95B5EF6D-F08C-4D39-B7DE-92844D9D6134}" srcOrd="2" destOrd="0" presId="urn:microsoft.com/office/officeart/2005/8/layout/orgChart1"/>
    <dgm:cxn modelId="{12BD3CD7-C838-4336-A78F-582B7EF08F01}" type="presParOf" srcId="{3685EC49-5F37-4499-BE45-860BF3498780}" destId="{D48466B2-76ED-46AB-9508-47B057357397}" srcOrd="2" destOrd="0" presId="urn:microsoft.com/office/officeart/2005/8/layout/orgChart1"/>
    <dgm:cxn modelId="{44105BBB-32F6-49C3-BB80-4B9C8BF0C8C9}" type="presParOf" srcId="{3685EC49-5F37-4499-BE45-860BF3498780}" destId="{91154E06-9094-43AD-8454-23A49140FA9A}" srcOrd="3" destOrd="0" presId="urn:microsoft.com/office/officeart/2005/8/layout/orgChart1"/>
    <dgm:cxn modelId="{8A791323-66BD-4824-8ECD-C5711A4439AF}" type="presParOf" srcId="{91154E06-9094-43AD-8454-23A49140FA9A}" destId="{7E21989E-4B27-43BB-A0C5-88803C644D0E}" srcOrd="0" destOrd="0" presId="urn:microsoft.com/office/officeart/2005/8/layout/orgChart1"/>
    <dgm:cxn modelId="{B729A1F7-5662-455F-B1CF-A77B791F10AB}" type="presParOf" srcId="{7E21989E-4B27-43BB-A0C5-88803C644D0E}" destId="{0B38B8C5-00DD-4430-9FE0-5BBDB28DA3B4}" srcOrd="0" destOrd="0" presId="urn:microsoft.com/office/officeart/2005/8/layout/orgChart1"/>
    <dgm:cxn modelId="{F323E524-3336-4C7E-A175-124C11D22580}" type="presParOf" srcId="{7E21989E-4B27-43BB-A0C5-88803C644D0E}" destId="{2EF6A975-5B13-44CC-8616-EE65DD6CE8DA}" srcOrd="1" destOrd="0" presId="urn:microsoft.com/office/officeart/2005/8/layout/orgChart1"/>
    <dgm:cxn modelId="{B950ABFD-C16A-45E3-9FCC-44CAAC495E7F}" type="presParOf" srcId="{91154E06-9094-43AD-8454-23A49140FA9A}" destId="{C86F1CC7-1648-473B-8D62-1F63A081120E}" srcOrd="1" destOrd="0" presId="urn:microsoft.com/office/officeart/2005/8/layout/orgChart1"/>
    <dgm:cxn modelId="{64FEBFD9-A90D-4F92-8886-EEECDF8F98CE}" type="presParOf" srcId="{91154E06-9094-43AD-8454-23A49140FA9A}" destId="{A8D7656F-A043-40B0-9321-DC97CE7216E9}" srcOrd="2" destOrd="0" presId="urn:microsoft.com/office/officeart/2005/8/layout/orgChart1"/>
    <dgm:cxn modelId="{47CB38BB-F8CA-45C2-A508-0B1AD831E857}" type="presParOf" srcId="{3685EC49-5F37-4499-BE45-860BF3498780}" destId="{771FC858-EAF1-4B68-9E08-F5D7C8FA313C}" srcOrd="4" destOrd="0" presId="urn:microsoft.com/office/officeart/2005/8/layout/orgChart1"/>
    <dgm:cxn modelId="{EB4D2969-4C58-437F-8037-65A9138AB4D4}" type="presParOf" srcId="{3685EC49-5F37-4499-BE45-860BF3498780}" destId="{AA8AC4C2-01FF-42F6-8F10-5B7520B1019A}" srcOrd="5" destOrd="0" presId="urn:microsoft.com/office/officeart/2005/8/layout/orgChart1"/>
    <dgm:cxn modelId="{753279B0-3E01-4987-BBA0-859306EA051D}" type="presParOf" srcId="{AA8AC4C2-01FF-42F6-8F10-5B7520B1019A}" destId="{998A7415-3B65-4813-B135-1232AD8BB1C7}" srcOrd="0" destOrd="0" presId="urn:microsoft.com/office/officeart/2005/8/layout/orgChart1"/>
    <dgm:cxn modelId="{9FF10095-61AA-4904-BDC5-7636CC8DD763}" type="presParOf" srcId="{998A7415-3B65-4813-B135-1232AD8BB1C7}" destId="{C9BE0CCA-47F7-4020-B009-A5FFC8006110}" srcOrd="0" destOrd="0" presId="urn:microsoft.com/office/officeart/2005/8/layout/orgChart1"/>
    <dgm:cxn modelId="{2BF22811-E6D8-4388-8E2A-58825C950F6F}" type="presParOf" srcId="{998A7415-3B65-4813-B135-1232AD8BB1C7}" destId="{133704A6-8289-4BC0-BA62-BCED20030F1C}" srcOrd="1" destOrd="0" presId="urn:microsoft.com/office/officeart/2005/8/layout/orgChart1"/>
    <dgm:cxn modelId="{E836DC55-35AB-441A-B1E9-84B0B7D425A7}" type="presParOf" srcId="{AA8AC4C2-01FF-42F6-8F10-5B7520B1019A}" destId="{240A82EE-E9F0-4D0A-BBF6-68847E718454}" srcOrd="1" destOrd="0" presId="urn:microsoft.com/office/officeart/2005/8/layout/orgChart1"/>
    <dgm:cxn modelId="{EE2BD9D8-27AF-4AF3-8359-28A79E411B36}" type="presParOf" srcId="{AA8AC4C2-01FF-42F6-8F10-5B7520B1019A}" destId="{9E06F349-F2EA-4D82-B498-A850F1259F9B}" srcOrd="2" destOrd="0" presId="urn:microsoft.com/office/officeart/2005/8/layout/orgChart1"/>
    <dgm:cxn modelId="{41373727-8B6E-4D72-B595-E0217994EE9B}" type="presParOf" srcId="{BB362ECC-4C4D-455A-A7CD-042EAC69494D}" destId="{039C04DD-261B-4302-A73C-AAC772A25ECB}" srcOrd="2" destOrd="0" presId="urn:microsoft.com/office/officeart/2005/8/layout/orgChart1"/>
    <dgm:cxn modelId="{3481FD1E-1D91-4FF5-B86F-170B0BE2BD8D}" type="presParOf" srcId="{D2E3A11C-0D42-4A1F-9457-69F5ABF8AD75}" destId="{354B1349-2C43-4DD5-948E-E5CABADE04DA}" srcOrd="2" destOrd="0" presId="urn:microsoft.com/office/officeart/2005/8/layout/orgChart1"/>
    <dgm:cxn modelId="{4C9B4A03-0AEB-4C58-8B87-67F4EAEF629C}" type="presParOf" srcId="{691DD472-4C8C-4A23-BBBB-FF898A85335E}" destId="{8B6A5882-2B2E-48C2-9723-A4A818CC6DB1}" srcOrd="2" destOrd="0" presId="urn:microsoft.com/office/officeart/2005/8/layout/orgChart1"/>
    <dgm:cxn modelId="{17585AF0-DC37-40FE-8FCF-446465C80D06}" type="presParOf" srcId="{691DD472-4C8C-4A23-BBBB-FF898A85335E}" destId="{E1CE0174-9E02-4D1E-A099-46953F75225F}" srcOrd="3" destOrd="0" presId="urn:microsoft.com/office/officeart/2005/8/layout/orgChart1"/>
    <dgm:cxn modelId="{BF25E2C6-F27B-4C0E-904C-D96EF6A16D61}" type="presParOf" srcId="{E1CE0174-9E02-4D1E-A099-46953F75225F}" destId="{DAC97780-05FB-4B39-AE5F-A74B3671C5AE}" srcOrd="0" destOrd="0" presId="urn:microsoft.com/office/officeart/2005/8/layout/orgChart1"/>
    <dgm:cxn modelId="{6BA858D0-1C20-4762-8B70-B64EE6DCEAA7}" type="presParOf" srcId="{DAC97780-05FB-4B39-AE5F-A74B3671C5AE}" destId="{298642DF-6598-46DE-8AE2-3D7740260D85}" srcOrd="0" destOrd="0" presId="urn:microsoft.com/office/officeart/2005/8/layout/orgChart1"/>
    <dgm:cxn modelId="{C4F57C4B-3603-40CB-9781-228AB7637066}" type="presParOf" srcId="{DAC97780-05FB-4B39-AE5F-A74B3671C5AE}" destId="{89C58EA0-17D8-4324-8C6D-36AA35E96922}" srcOrd="1" destOrd="0" presId="urn:microsoft.com/office/officeart/2005/8/layout/orgChart1"/>
    <dgm:cxn modelId="{4BB90F7C-9D43-4898-80FC-C05453B83314}" type="presParOf" srcId="{E1CE0174-9E02-4D1E-A099-46953F75225F}" destId="{8EB21CD3-9BFF-402A-A684-066CDDEBAB81}" srcOrd="1" destOrd="0" presId="urn:microsoft.com/office/officeart/2005/8/layout/orgChart1"/>
    <dgm:cxn modelId="{66D65854-9CB2-4A09-A0F3-E8E7DE601A31}" type="presParOf" srcId="{8EB21CD3-9BFF-402A-A684-066CDDEBAB81}" destId="{80B0ADA7-4514-4F5D-A013-1FF2AD6F611A}" srcOrd="0" destOrd="0" presId="urn:microsoft.com/office/officeart/2005/8/layout/orgChart1"/>
    <dgm:cxn modelId="{983746AD-0D36-4BE6-B794-6D0D9FFC8565}" type="presParOf" srcId="{8EB21CD3-9BFF-402A-A684-066CDDEBAB81}" destId="{9A7190D1-3DDD-4123-8FC5-0BBCBF044BD2}" srcOrd="1" destOrd="0" presId="urn:microsoft.com/office/officeart/2005/8/layout/orgChart1"/>
    <dgm:cxn modelId="{DD657DD4-5E02-4B12-9B9A-6DED4D0B40FC}" type="presParOf" srcId="{9A7190D1-3DDD-4123-8FC5-0BBCBF044BD2}" destId="{8C93850C-0625-4527-BFAA-6E49A203F989}" srcOrd="0" destOrd="0" presId="urn:microsoft.com/office/officeart/2005/8/layout/orgChart1"/>
    <dgm:cxn modelId="{D19F52A8-FE47-4758-BF54-CAEFF4FB2376}" type="presParOf" srcId="{8C93850C-0625-4527-BFAA-6E49A203F989}" destId="{6924E20D-25FE-4EB9-8E20-8B38008F4C4C}" srcOrd="0" destOrd="0" presId="urn:microsoft.com/office/officeart/2005/8/layout/orgChart1"/>
    <dgm:cxn modelId="{383EB79A-12F6-4000-952F-789A95F32654}" type="presParOf" srcId="{8C93850C-0625-4527-BFAA-6E49A203F989}" destId="{CC30402F-056D-42AB-AD6F-167DB5EBA53B}" srcOrd="1" destOrd="0" presId="urn:microsoft.com/office/officeart/2005/8/layout/orgChart1"/>
    <dgm:cxn modelId="{E1C8375D-4C61-4CF5-A4BA-B5DF7EF3A47D}" type="presParOf" srcId="{9A7190D1-3DDD-4123-8FC5-0BBCBF044BD2}" destId="{C695F791-E004-425F-9D6F-A98416573712}" srcOrd="1" destOrd="0" presId="urn:microsoft.com/office/officeart/2005/8/layout/orgChart1"/>
    <dgm:cxn modelId="{EDF5A5E6-A77B-4920-9441-60017C35E7CC}" type="presParOf" srcId="{C695F791-E004-425F-9D6F-A98416573712}" destId="{E9CC0426-BE45-4223-A6F0-8D3A98884796}" srcOrd="0" destOrd="0" presId="urn:microsoft.com/office/officeart/2005/8/layout/orgChart1"/>
    <dgm:cxn modelId="{6053516B-9E96-46F0-8894-C2B9E2F85C7B}" type="presParOf" srcId="{C695F791-E004-425F-9D6F-A98416573712}" destId="{C5F23F71-24EE-452A-9EC1-F7712D0D1EA7}" srcOrd="1" destOrd="0" presId="urn:microsoft.com/office/officeart/2005/8/layout/orgChart1"/>
    <dgm:cxn modelId="{B6D86719-A9B8-4189-BD76-67EED6AF4C75}" type="presParOf" srcId="{C5F23F71-24EE-452A-9EC1-F7712D0D1EA7}" destId="{72C95682-64E3-4119-ADD8-1BB27ECA1150}" srcOrd="0" destOrd="0" presId="urn:microsoft.com/office/officeart/2005/8/layout/orgChart1"/>
    <dgm:cxn modelId="{D2AD17C1-85E0-41BA-8E52-44A55F4B254D}" type="presParOf" srcId="{72C95682-64E3-4119-ADD8-1BB27ECA1150}" destId="{76551651-8CF2-4241-86D6-E51AA52E72BB}" srcOrd="0" destOrd="0" presId="urn:microsoft.com/office/officeart/2005/8/layout/orgChart1"/>
    <dgm:cxn modelId="{F160A9F9-E602-48B5-A764-D568B859DAED}" type="presParOf" srcId="{72C95682-64E3-4119-ADD8-1BB27ECA1150}" destId="{D74BDE65-0C7D-4638-AB9B-7090B1EBC710}" srcOrd="1" destOrd="0" presId="urn:microsoft.com/office/officeart/2005/8/layout/orgChart1"/>
    <dgm:cxn modelId="{3DEDEF33-A180-45C0-83F4-3B0E7CC9CD59}" type="presParOf" srcId="{C5F23F71-24EE-452A-9EC1-F7712D0D1EA7}" destId="{34F391EF-04FD-4D5A-98CA-054ED0107447}" srcOrd="1" destOrd="0" presId="urn:microsoft.com/office/officeart/2005/8/layout/orgChart1"/>
    <dgm:cxn modelId="{3BC95218-EB47-4B1C-9DE7-1AB7601C63A8}" type="presParOf" srcId="{C5F23F71-24EE-452A-9EC1-F7712D0D1EA7}" destId="{E5C31063-7467-4727-B070-8703AB494E0F}" srcOrd="2" destOrd="0" presId="urn:microsoft.com/office/officeart/2005/8/layout/orgChart1"/>
    <dgm:cxn modelId="{CAEFBA74-FD3D-4655-8C4A-5CB6115150F1}" type="presParOf" srcId="{C695F791-E004-425F-9D6F-A98416573712}" destId="{CF388C55-8F26-4291-9A51-C70A6452512E}" srcOrd="2" destOrd="0" presId="urn:microsoft.com/office/officeart/2005/8/layout/orgChart1"/>
    <dgm:cxn modelId="{14B02DB6-DB05-4DD5-92E1-0434C7DB38CC}" type="presParOf" srcId="{C695F791-E004-425F-9D6F-A98416573712}" destId="{B861D016-2E8C-4E68-99F8-E22DFCEB528F}" srcOrd="3" destOrd="0" presId="urn:microsoft.com/office/officeart/2005/8/layout/orgChart1"/>
    <dgm:cxn modelId="{F266A5EF-1801-480E-A7CB-2AC5A7EB42DE}" type="presParOf" srcId="{B861D016-2E8C-4E68-99F8-E22DFCEB528F}" destId="{1520AF04-9AC1-46AD-B0F6-C9911B3F0ED6}" srcOrd="0" destOrd="0" presId="urn:microsoft.com/office/officeart/2005/8/layout/orgChart1"/>
    <dgm:cxn modelId="{F403032C-F977-4DC4-B9F1-B073D2754DA4}" type="presParOf" srcId="{1520AF04-9AC1-46AD-B0F6-C9911B3F0ED6}" destId="{E85E224A-B296-4E74-AEC2-805F556240A7}" srcOrd="0" destOrd="0" presId="urn:microsoft.com/office/officeart/2005/8/layout/orgChart1"/>
    <dgm:cxn modelId="{779A35F7-F513-4A84-BCB0-52F3F292ABDC}" type="presParOf" srcId="{1520AF04-9AC1-46AD-B0F6-C9911B3F0ED6}" destId="{BC625515-E0C6-438E-BA50-B4204036C833}" srcOrd="1" destOrd="0" presId="urn:microsoft.com/office/officeart/2005/8/layout/orgChart1"/>
    <dgm:cxn modelId="{0473A65C-87E3-42CA-BB7A-EB8B0A683677}" type="presParOf" srcId="{B861D016-2E8C-4E68-99F8-E22DFCEB528F}" destId="{8554B129-F0EE-47DB-A800-D9C50B8BB00D}" srcOrd="1" destOrd="0" presId="urn:microsoft.com/office/officeart/2005/8/layout/orgChart1"/>
    <dgm:cxn modelId="{45F744DB-C1A4-4B47-B998-7A71E1140317}" type="presParOf" srcId="{B861D016-2E8C-4E68-99F8-E22DFCEB528F}" destId="{C906D0C4-E18B-450B-8692-D7B18E00CD7B}" srcOrd="2" destOrd="0" presId="urn:microsoft.com/office/officeart/2005/8/layout/orgChart1"/>
    <dgm:cxn modelId="{9AE378E1-5C64-4C45-9B5D-E611C7379384}" type="presParOf" srcId="{C695F791-E004-425F-9D6F-A98416573712}" destId="{98E3623F-9221-495D-8B70-3F60784DAEC2}" srcOrd="4" destOrd="0" presId="urn:microsoft.com/office/officeart/2005/8/layout/orgChart1"/>
    <dgm:cxn modelId="{926FE77C-3534-486F-8FCA-816AE25C2ACA}" type="presParOf" srcId="{C695F791-E004-425F-9D6F-A98416573712}" destId="{79191BBF-7F7A-4044-B02F-95F8818E991B}" srcOrd="5" destOrd="0" presId="urn:microsoft.com/office/officeart/2005/8/layout/orgChart1"/>
    <dgm:cxn modelId="{72279583-14BA-4C5F-A990-9E3A828C1DB3}" type="presParOf" srcId="{79191BBF-7F7A-4044-B02F-95F8818E991B}" destId="{C7A96552-C115-440E-8659-DB38F6EDD364}" srcOrd="0" destOrd="0" presId="urn:microsoft.com/office/officeart/2005/8/layout/orgChart1"/>
    <dgm:cxn modelId="{274EC392-FD80-4BBB-B4A3-E4D12B4CD151}" type="presParOf" srcId="{C7A96552-C115-440E-8659-DB38F6EDD364}" destId="{B7937A0F-8B63-4D05-B878-9731BCFD0FBA}" srcOrd="0" destOrd="0" presId="urn:microsoft.com/office/officeart/2005/8/layout/orgChart1"/>
    <dgm:cxn modelId="{31A97F95-8BFA-4525-A26A-F6D9C19A596C}" type="presParOf" srcId="{C7A96552-C115-440E-8659-DB38F6EDD364}" destId="{6B2170B3-0D25-46C1-A065-39368F7D33B8}" srcOrd="1" destOrd="0" presId="urn:microsoft.com/office/officeart/2005/8/layout/orgChart1"/>
    <dgm:cxn modelId="{1462E15D-4A00-446F-AC33-65C541382B08}" type="presParOf" srcId="{79191BBF-7F7A-4044-B02F-95F8818E991B}" destId="{710CD2C5-AFBB-4EA0-9284-6775EF579049}" srcOrd="1" destOrd="0" presId="urn:microsoft.com/office/officeart/2005/8/layout/orgChart1"/>
    <dgm:cxn modelId="{78F05A0D-1621-4F1D-9A4B-AB1BF505813B}" type="presParOf" srcId="{79191BBF-7F7A-4044-B02F-95F8818E991B}" destId="{AE518373-7B4F-4C54-9F4C-C3116A7DD0D9}" srcOrd="2" destOrd="0" presId="urn:microsoft.com/office/officeart/2005/8/layout/orgChart1"/>
    <dgm:cxn modelId="{051499A9-89AF-4E2F-A3E5-2FA090155110}" type="presParOf" srcId="{9A7190D1-3DDD-4123-8FC5-0BBCBF044BD2}" destId="{C03B6ED3-6DA5-4515-9CE7-A4CFF2291537}" srcOrd="2" destOrd="0" presId="urn:microsoft.com/office/officeart/2005/8/layout/orgChart1"/>
    <dgm:cxn modelId="{57172929-9ECC-4DA5-B0E1-EA4FEB6E398A}" type="presParOf" srcId="{8EB21CD3-9BFF-402A-A684-066CDDEBAB81}" destId="{3AA17879-C914-4581-9BBB-388E2912A16C}" srcOrd="2" destOrd="0" presId="urn:microsoft.com/office/officeart/2005/8/layout/orgChart1"/>
    <dgm:cxn modelId="{D431BDD0-8D12-4549-BC95-48F48A291A1B}" type="presParOf" srcId="{8EB21CD3-9BFF-402A-A684-066CDDEBAB81}" destId="{5435FB01-A406-4C0D-995C-A229F36663FD}" srcOrd="3" destOrd="0" presId="urn:microsoft.com/office/officeart/2005/8/layout/orgChart1"/>
    <dgm:cxn modelId="{90E9EDAE-B967-45B5-BDCD-7F219385E521}" type="presParOf" srcId="{5435FB01-A406-4C0D-995C-A229F36663FD}" destId="{662D824B-C41F-4A88-8973-569F0F87237B}" srcOrd="0" destOrd="0" presId="urn:microsoft.com/office/officeart/2005/8/layout/orgChart1"/>
    <dgm:cxn modelId="{307ED39A-9A77-48A1-93C7-27DA09E7B7A3}" type="presParOf" srcId="{662D824B-C41F-4A88-8973-569F0F87237B}" destId="{6963A447-38F4-4D2B-8036-FC6851AC0783}" srcOrd="0" destOrd="0" presId="urn:microsoft.com/office/officeart/2005/8/layout/orgChart1"/>
    <dgm:cxn modelId="{26BEB085-9D7C-4871-9B3D-922B860E55B0}" type="presParOf" srcId="{662D824B-C41F-4A88-8973-569F0F87237B}" destId="{0CE48B4C-663A-4E16-8C32-46426085BDD1}" srcOrd="1" destOrd="0" presId="urn:microsoft.com/office/officeart/2005/8/layout/orgChart1"/>
    <dgm:cxn modelId="{F7A6EFF6-35CB-41EA-81A8-56D70A317567}" type="presParOf" srcId="{5435FB01-A406-4C0D-995C-A229F36663FD}" destId="{B53628BA-4192-45CD-8B59-D7270D8A2551}" srcOrd="1" destOrd="0" presId="urn:microsoft.com/office/officeart/2005/8/layout/orgChart1"/>
    <dgm:cxn modelId="{409AD77F-5E6C-4329-8EBA-236529615D8D}" type="presParOf" srcId="{B53628BA-4192-45CD-8B59-D7270D8A2551}" destId="{BAC65C22-F7BB-4EBF-9AA4-EE9C020FE9B0}" srcOrd="0" destOrd="0" presId="urn:microsoft.com/office/officeart/2005/8/layout/orgChart1"/>
    <dgm:cxn modelId="{BB27E44D-6771-4FDF-B936-8A223C14DA5B}" type="presParOf" srcId="{B53628BA-4192-45CD-8B59-D7270D8A2551}" destId="{BCD37A68-6E2D-4996-89BA-9C0938BBF8F1}" srcOrd="1" destOrd="0" presId="urn:microsoft.com/office/officeart/2005/8/layout/orgChart1"/>
    <dgm:cxn modelId="{DB73F376-24CB-47B8-95CA-1C21DB323BF7}" type="presParOf" srcId="{BCD37A68-6E2D-4996-89BA-9C0938BBF8F1}" destId="{10B0FF0A-EC0F-4A28-A1F5-CD65C8ED1E54}" srcOrd="0" destOrd="0" presId="urn:microsoft.com/office/officeart/2005/8/layout/orgChart1"/>
    <dgm:cxn modelId="{9A4F46EA-DB89-4F31-B26E-A24564D0FE3A}" type="presParOf" srcId="{10B0FF0A-EC0F-4A28-A1F5-CD65C8ED1E54}" destId="{802351DD-82B7-46DE-A769-F42615393AB5}" srcOrd="0" destOrd="0" presId="urn:microsoft.com/office/officeart/2005/8/layout/orgChart1"/>
    <dgm:cxn modelId="{00059D83-4AA1-4C60-8929-B52DD8DFA14D}" type="presParOf" srcId="{10B0FF0A-EC0F-4A28-A1F5-CD65C8ED1E54}" destId="{1EFF7A11-A639-4652-8E87-36D297D83D67}" srcOrd="1" destOrd="0" presId="urn:microsoft.com/office/officeart/2005/8/layout/orgChart1"/>
    <dgm:cxn modelId="{9B3C709B-E349-4423-A965-4C66399E3C87}" type="presParOf" srcId="{BCD37A68-6E2D-4996-89BA-9C0938BBF8F1}" destId="{1248525D-46BD-43F8-9C7E-9293FDFA86EB}" srcOrd="1" destOrd="0" presId="urn:microsoft.com/office/officeart/2005/8/layout/orgChart1"/>
    <dgm:cxn modelId="{D77FE20A-7D89-45AD-80E2-71CDFC9B8FDE}" type="presParOf" srcId="{BCD37A68-6E2D-4996-89BA-9C0938BBF8F1}" destId="{D88872DC-385F-485A-937D-D8B4C0C227B8}" srcOrd="2" destOrd="0" presId="urn:microsoft.com/office/officeart/2005/8/layout/orgChart1"/>
    <dgm:cxn modelId="{F795B74D-5BE0-498D-AE21-0EE5AE45992D}" type="presParOf" srcId="{B53628BA-4192-45CD-8B59-D7270D8A2551}" destId="{0C5B2A49-AF59-48EA-B297-B574C6169DDB}" srcOrd="2" destOrd="0" presId="urn:microsoft.com/office/officeart/2005/8/layout/orgChart1"/>
    <dgm:cxn modelId="{7D6C79AC-7B2F-4D22-A003-013DD257B784}" type="presParOf" srcId="{B53628BA-4192-45CD-8B59-D7270D8A2551}" destId="{B4FFB5AC-38E2-467B-8A6B-1BBE2749030E}" srcOrd="3" destOrd="0" presId="urn:microsoft.com/office/officeart/2005/8/layout/orgChart1"/>
    <dgm:cxn modelId="{68D9D801-7277-4732-8119-8346495CB981}" type="presParOf" srcId="{B4FFB5AC-38E2-467B-8A6B-1BBE2749030E}" destId="{5F9DA32C-4E98-4613-9E86-180D953B3D1C}" srcOrd="0" destOrd="0" presId="urn:microsoft.com/office/officeart/2005/8/layout/orgChart1"/>
    <dgm:cxn modelId="{D8AB7929-3051-41AB-AEE6-A3A72A99C551}" type="presParOf" srcId="{5F9DA32C-4E98-4613-9E86-180D953B3D1C}" destId="{366E6CFE-3494-467C-8E77-C3C2CC7D9F10}" srcOrd="0" destOrd="0" presId="urn:microsoft.com/office/officeart/2005/8/layout/orgChart1"/>
    <dgm:cxn modelId="{3EF43C17-948E-4B4B-9864-0AF55E82A1D7}" type="presParOf" srcId="{5F9DA32C-4E98-4613-9E86-180D953B3D1C}" destId="{A8616DBC-8EEB-4305-ABBA-3D229671CD01}" srcOrd="1" destOrd="0" presId="urn:microsoft.com/office/officeart/2005/8/layout/orgChart1"/>
    <dgm:cxn modelId="{B5DAACC6-7927-4675-94F1-A8067A670EE4}" type="presParOf" srcId="{B4FFB5AC-38E2-467B-8A6B-1BBE2749030E}" destId="{E57109F4-B311-4B33-BC7C-EB330526DF2C}" srcOrd="1" destOrd="0" presId="urn:microsoft.com/office/officeart/2005/8/layout/orgChart1"/>
    <dgm:cxn modelId="{C0E4289B-5442-44E9-976B-3BE5647D502F}" type="presParOf" srcId="{B4FFB5AC-38E2-467B-8A6B-1BBE2749030E}" destId="{8185430B-7696-458B-B65D-691D06D42503}" srcOrd="2" destOrd="0" presId="urn:microsoft.com/office/officeart/2005/8/layout/orgChart1"/>
    <dgm:cxn modelId="{BCC7B71A-BA89-4DC4-9F5C-5B38E8175C3E}" type="presParOf" srcId="{B53628BA-4192-45CD-8B59-D7270D8A2551}" destId="{8D3FD84B-5362-4C62-AF42-8772B2A9B8F7}" srcOrd="4" destOrd="0" presId="urn:microsoft.com/office/officeart/2005/8/layout/orgChart1"/>
    <dgm:cxn modelId="{252DF5FF-BA8F-4522-B2A6-9A33AFE732B8}" type="presParOf" srcId="{B53628BA-4192-45CD-8B59-D7270D8A2551}" destId="{3575F77A-DC43-4638-8190-E7D279E35841}" srcOrd="5" destOrd="0" presId="urn:microsoft.com/office/officeart/2005/8/layout/orgChart1"/>
    <dgm:cxn modelId="{968DE9B0-ABCB-4AFC-B621-8E49B1880F14}" type="presParOf" srcId="{3575F77A-DC43-4638-8190-E7D279E35841}" destId="{C0868188-58B0-48B8-B5B6-69F338444B29}" srcOrd="0" destOrd="0" presId="urn:microsoft.com/office/officeart/2005/8/layout/orgChart1"/>
    <dgm:cxn modelId="{C3762D91-F25C-4F62-B72B-6D318CCE9564}" type="presParOf" srcId="{C0868188-58B0-48B8-B5B6-69F338444B29}" destId="{A9EC7FF8-F826-4A47-8314-1BDBBAF2B7CF}" srcOrd="0" destOrd="0" presId="urn:microsoft.com/office/officeart/2005/8/layout/orgChart1"/>
    <dgm:cxn modelId="{ADE8126F-25F1-4DB5-ABF5-710F2BE1C8BB}" type="presParOf" srcId="{C0868188-58B0-48B8-B5B6-69F338444B29}" destId="{69A05F39-CA06-4EA6-A9FA-3F3BD2961237}" srcOrd="1" destOrd="0" presId="urn:microsoft.com/office/officeart/2005/8/layout/orgChart1"/>
    <dgm:cxn modelId="{4D021232-4016-475C-A8D2-0FC15859B672}" type="presParOf" srcId="{3575F77A-DC43-4638-8190-E7D279E35841}" destId="{21960726-79FE-4EC5-90D7-C3D3E2A1FD46}" srcOrd="1" destOrd="0" presId="urn:microsoft.com/office/officeart/2005/8/layout/orgChart1"/>
    <dgm:cxn modelId="{4A2EE192-E993-4F65-A5F5-51975E0A6DCF}" type="presParOf" srcId="{3575F77A-DC43-4638-8190-E7D279E35841}" destId="{3ACCD433-A50E-4D01-9D41-73D45B3898FE}" srcOrd="2" destOrd="0" presId="urn:microsoft.com/office/officeart/2005/8/layout/orgChart1"/>
    <dgm:cxn modelId="{1F739D78-EE5F-4D6D-91B6-D49F85558B89}" type="presParOf" srcId="{5435FB01-A406-4C0D-995C-A229F36663FD}" destId="{85329B4B-31BF-434E-84B4-35A77B81524E}" srcOrd="2" destOrd="0" presId="urn:microsoft.com/office/officeart/2005/8/layout/orgChart1"/>
    <dgm:cxn modelId="{16E288A0-D416-466E-BB1D-9B98C48BD73E}" type="presParOf" srcId="{8EB21CD3-9BFF-402A-A684-066CDDEBAB81}" destId="{7E5AC264-4EC2-4965-BF3F-AE6E2FAD92CB}" srcOrd="4" destOrd="0" presId="urn:microsoft.com/office/officeart/2005/8/layout/orgChart1"/>
    <dgm:cxn modelId="{808C8B57-AF4A-46B9-B1A4-FB2C78BA0248}" type="presParOf" srcId="{8EB21CD3-9BFF-402A-A684-066CDDEBAB81}" destId="{31B3526F-3249-4749-A02A-3B115BF6AC09}" srcOrd="5" destOrd="0" presId="urn:microsoft.com/office/officeart/2005/8/layout/orgChart1"/>
    <dgm:cxn modelId="{A76D7927-B986-4F6C-98A1-3E547185A7EC}" type="presParOf" srcId="{31B3526F-3249-4749-A02A-3B115BF6AC09}" destId="{4B5C41E0-291A-4AE7-A180-6C2ACBA9C352}" srcOrd="0" destOrd="0" presId="urn:microsoft.com/office/officeart/2005/8/layout/orgChart1"/>
    <dgm:cxn modelId="{8DD09E4B-E3BC-4718-8521-4EA85CC0D30E}" type="presParOf" srcId="{4B5C41E0-291A-4AE7-A180-6C2ACBA9C352}" destId="{3619B705-A018-42CA-B14E-F71A5F6D1D35}" srcOrd="0" destOrd="0" presId="urn:microsoft.com/office/officeart/2005/8/layout/orgChart1"/>
    <dgm:cxn modelId="{4A9605DC-0DFD-4C1B-9D7E-DF5AEBA07407}" type="presParOf" srcId="{4B5C41E0-291A-4AE7-A180-6C2ACBA9C352}" destId="{6582819B-5C78-4AA0-B2DB-8A34BBEF37B8}" srcOrd="1" destOrd="0" presId="urn:microsoft.com/office/officeart/2005/8/layout/orgChart1"/>
    <dgm:cxn modelId="{A7612B90-0AEA-4ECA-BD32-D64D011015CA}" type="presParOf" srcId="{31B3526F-3249-4749-A02A-3B115BF6AC09}" destId="{7EDB018F-E26D-44E2-BC91-3B1DDB1FC3AD}" srcOrd="1" destOrd="0" presId="urn:microsoft.com/office/officeart/2005/8/layout/orgChart1"/>
    <dgm:cxn modelId="{83B17215-2347-49F0-AFFE-0FA2D2EABD05}" type="presParOf" srcId="{7EDB018F-E26D-44E2-BC91-3B1DDB1FC3AD}" destId="{D6A0C71F-4277-4308-92AC-A529299C06B1}" srcOrd="0" destOrd="0" presId="urn:microsoft.com/office/officeart/2005/8/layout/orgChart1"/>
    <dgm:cxn modelId="{BA419B41-A1D4-4420-8B38-7821581EC63C}" type="presParOf" srcId="{7EDB018F-E26D-44E2-BC91-3B1DDB1FC3AD}" destId="{CB8426F7-C5B0-48F4-ADB0-F09D80652F31}" srcOrd="1" destOrd="0" presId="urn:microsoft.com/office/officeart/2005/8/layout/orgChart1"/>
    <dgm:cxn modelId="{54705CA6-2422-43BD-9210-1949D4E1DAFA}" type="presParOf" srcId="{CB8426F7-C5B0-48F4-ADB0-F09D80652F31}" destId="{53CB693E-5549-4216-96A6-19123C7F5B06}" srcOrd="0" destOrd="0" presId="urn:microsoft.com/office/officeart/2005/8/layout/orgChart1"/>
    <dgm:cxn modelId="{6623BEEF-DA52-4477-82EF-1214063C31C4}" type="presParOf" srcId="{53CB693E-5549-4216-96A6-19123C7F5B06}" destId="{28BC97AE-5FEF-426F-85DA-D2F6F585D96D}" srcOrd="0" destOrd="0" presId="urn:microsoft.com/office/officeart/2005/8/layout/orgChart1"/>
    <dgm:cxn modelId="{20CA0CF5-3499-4129-8C0D-271D499DCD2F}" type="presParOf" srcId="{53CB693E-5549-4216-96A6-19123C7F5B06}" destId="{146953E4-78E4-4670-BA0C-FC6ECB0CDB68}" srcOrd="1" destOrd="0" presId="urn:microsoft.com/office/officeart/2005/8/layout/orgChart1"/>
    <dgm:cxn modelId="{FB4480C3-4CE5-4D1A-BD4F-385B4DC4E935}" type="presParOf" srcId="{CB8426F7-C5B0-48F4-ADB0-F09D80652F31}" destId="{FC61EA0C-E097-4B20-8E58-4B983B78AFD1}" srcOrd="1" destOrd="0" presId="urn:microsoft.com/office/officeart/2005/8/layout/orgChart1"/>
    <dgm:cxn modelId="{19A25A3C-58DA-4EF4-95EF-65AC76A0946E}" type="presParOf" srcId="{CB8426F7-C5B0-48F4-ADB0-F09D80652F31}" destId="{E5974B36-124D-4991-A154-4FE67FFD6FD2}" srcOrd="2" destOrd="0" presId="urn:microsoft.com/office/officeart/2005/8/layout/orgChart1"/>
    <dgm:cxn modelId="{3DEFBCF8-39E8-44CF-9283-A88A945B820D}" type="presParOf" srcId="{7EDB018F-E26D-44E2-BC91-3B1DDB1FC3AD}" destId="{D6E54769-F860-4CA3-A50D-9842DBC65E1F}" srcOrd="2" destOrd="0" presId="urn:microsoft.com/office/officeart/2005/8/layout/orgChart1"/>
    <dgm:cxn modelId="{323584DD-7D79-466F-BF3D-F0E2F5846DD9}" type="presParOf" srcId="{7EDB018F-E26D-44E2-BC91-3B1DDB1FC3AD}" destId="{96F1DAF9-4D8C-43B1-A13C-C12A75BF4D2D}" srcOrd="3" destOrd="0" presId="urn:microsoft.com/office/officeart/2005/8/layout/orgChart1"/>
    <dgm:cxn modelId="{F92EE6FA-1C96-4A0D-B973-0234D711596E}" type="presParOf" srcId="{96F1DAF9-4D8C-43B1-A13C-C12A75BF4D2D}" destId="{95292FB5-5FF0-4E63-B481-0CFA90B97CA0}" srcOrd="0" destOrd="0" presId="urn:microsoft.com/office/officeart/2005/8/layout/orgChart1"/>
    <dgm:cxn modelId="{2D94224D-F830-4FBA-B4F0-2273D19FFC34}" type="presParOf" srcId="{95292FB5-5FF0-4E63-B481-0CFA90B97CA0}" destId="{8F21FAFE-7B0C-4320-A01C-C630DF9FEB87}" srcOrd="0" destOrd="0" presId="urn:microsoft.com/office/officeart/2005/8/layout/orgChart1"/>
    <dgm:cxn modelId="{2328856A-6675-4A95-A77E-7D9CDD1F3D3C}" type="presParOf" srcId="{95292FB5-5FF0-4E63-B481-0CFA90B97CA0}" destId="{DBCF6931-0C9E-4DD7-851D-804DE41F078A}" srcOrd="1" destOrd="0" presId="urn:microsoft.com/office/officeart/2005/8/layout/orgChart1"/>
    <dgm:cxn modelId="{EBBC2F2A-3B92-4957-BBDB-1F6255D5F201}" type="presParOf" srcId="{96F1DAF9-4D8C-43B1-A13C-C12A75BF4D2D}" destId="{0D5DFA92-C6F1-4622-8320-9CAD544B7C17}" srcOrd="1" destOrd="0" presId="urn:microsoft.com/office/officeart/2005/8/layout/orgChart1"/>
    <dgm:cxn modelId="{B1D53175-B18C-4659-9880-F663D1311820}" type="presParOf" srcId="{96F1DAF9-4D8C-43B1-A13C-C12A75BF4D2D}" destId="{1BED7A74-E6BC-4F9C-AD60-BE251FAF8FCB}" srcOrd="2" destOrd="0" presId="urn:microsoft.com/office/officeart/2005/8/layout/orgChart1"/>
    <dgm:cxn modelId="{D2D667FF-ADBE-42BC-9189-B83E5A7AFA86}" type="presParOf" srcId="{7EDB018F-E26D-44E2-BC91-3B1DDB1FC3AD}" destId="{486659EC-B161-487F-92F4-66839D1D51AB}" srcOrd="4" destOrd="0" presId="urn:microsoft.com/office/officeart/2005/8/layout/orgChart1"/>
    <dgm:cxn modelId="{DCC1C30F-ADEB-4778-9B53-1917E5B79AB4}" type="presParOf" srcId="{7EDB018F-E26D-44E2-BC91-3B1DDB1FC3AD}" destId="{4401D5BB-4895-4FD9-976E-EE00D5D4A59F}" srcOrd="5" destOrd="0" presId="urn:microsoft.com/office/officeart/2005/8/layout/orgChart1"/>
    <dgm:cxn modelId="{B953C79C-1168-4136-AFAE-90E78319E55D}" type="presParOf" srcId="{4401D5BB-4895-4FD9-976E-EE00D5D4A59F}" destId="{28D77F63-F13F-4B66-B1C5-3B4673102A58}" srcOrd="0" destOrd="0" presId="urn:microsoft.com/office/officeart/2005/8/layout/orgChart1"/>
    <dgm:cxn modelId="{F93DA520-32E9-4782-8300-19F712004479}" type="presParOf" srcId="{28D77F63-F13F-4B66-B1C5-3B4673102A58}" destId="{C0030FD4-83CB-4BF1-B5AB-72AAA436B7FF}" srcOrd="0" destOrd="0" presId="urn:microsoft.com/office/officeart/2005/8/layout/orgChart1"/>
    <dgm:cxn modelId="{6B5AF874-FA8A-4262-A8F6-CAE897797689}" type="presParOf" srcId="{28D77F63-F13F-4B66-B1C5-3B4673102A58}" destId="{91CB7395-8380-461B-B8D6-7CD8CEAD14D4}" srcOrd="1" destOrd="0" presId="urn:microsoft.com/office/officeart/2005/8/layout/orgChart1"/>
    <dgm:cxn modelId="{9FF57B86-DFE2-4547-B7E1-BFE5EA6926DB}" type="presParOf" srcId="{4401D5BB-4895-4FD9-976E-EE00D5D4A59F}" destId="{F833B972-23B3-4D18-A1F9-CCC44396D876}" srcOrd="1" destOrd="0" presId="urn:microsoft.com/office/officeart/2005/8/layout/orgChart1"/>
    <dgm:cxn modelId="{10E34A34-AB2A-4D8C-AB3D-6D263EF274A8}" type="presParOf" srcId="{4401D5BB-4895-4FD9-976E-EE00D5D4A59F}" destId="{F5F9521B-D50C-4A8F-AA2A-F40A2B63A9D5}" srcOrd="2" destOrd="0" presId="urn:microsoft.com/office/officeart/2005/8/layout/orgChart1"/>
    <dgm:cxn modelId="{8ED26491-ABBC-4B6D-9330-E6487FDBDC0B}" type="presParOf" srcId="{31B3526F-3249-4749-A02A-3B115BF6AC09}" destId="{93F64934-E489-42D3-AC57-1697091BB83A}" srcOrd="2" destOrd="0" presId="urn:microsoft.com/office/officeart/2005/8/layout/orgChart1"/>
    <dgm:cxn modelId="{AED1C1CF-C0D2-4358-9531-F777A0DE0433}" type="presParOf" srcId="{E1CE0174-9E02-4D1E-A099-46953F75225F}" destId="{B50D3B90-4475-4F1D-80A1-CF51B49CEE8A}" srcOrd="2" destOrd="0" presId="urn:microsoft.com/office/officeart/2005/8/layout/orgChart1"/>
    <dgm:cxn modelId="{D036703E-694F-40D5-B774-9757A3783C6E}" type="presParOf" srcId="{691DD472-4C8C-4A23-BBBB-FF898A85335E}" destId="{167B6ED4-5AE8-4063-BAD0-A9D6D37655CD}" srcOrd="4" destOrd="0" presId="urn:microsoft.com/office/officeart/2005/8/layout/orgChart1"/>
    <dgm:cxn modelId="{3E2AF1C9-5CC0-4AE7-AC47-583C0127334E}" type="presParOf" srcId="{691DD472-4C8C-4A23-BBBB-FF898A85335E}" destId="{B113516C-2574-4D89-BBF8-13F2EDEA32FF}" srcOrd="5" destOrd="0" presId="urn:microsoft.com/office/officeart/2005/8/layout/orgChart1"/>
    <dgm:cxn modelId="{9FBA5AE8-2121-442D-9189-CC9E265935EE}" type="presParOf" srcId="{B113516C-2574-4D89-BBF8-13F2EDEA32FF}" destId="{E25EB7C5-26BB-49E2-A66B-D159ED293B12}" srcOrd="0" destOrd="0" presId="urn:microsoft.com/office/officeart/2005/8/layout/orgChart1"/>
    <dgm:cxn modelId="{400952E7-A021-4B94-A24C-6B0064F63824}" type="presParOf" srcId="{E25EB7C5-26BB-49E2-A66B-D159ED293B12}" destId="{8A2AE835-CBE3-48D9-B08C-DF86BF4E6895}" srcOrd="0" destOrd="0" presId="urn:microsoft.com/office/officeart/2005/8/layout/orgChart1"/>
    <dgm:cxn modelId="{40599135-BABD-40A5-A5BC-C3CB79653652}" type="presParOf" srcId="{E25EB7C5-26BB-49E2-A66B-D159ED293B12}" destId="{F4EBB5B2-7337-45E7-B0CE-1C2863477D15}" srcOrd="1" destOrd="0" presId="urn:microsoft.com/office/officeart/2005/8/layout/orgChart1"/>
    <dgm:cxn modelId="{B4A9B65F-B2BC-48C2-B2DC-5B68B6B4EBE1}" type="presParOf" srcId="{B113516C-2574-4D89-BBF8-13F2EDEA32FF}" destId="{D7B40E07-DC18-46E2-9C50-E15F9B716F75}" srcOrd="1" destOrd="0" presId="urn:microsoft.com/office/officeart/2005/8/layout/orgChart1"/>
    <dgm:cxn modelId="{D46D520D-E46D-41B2-8428-FC5BB14E4876}" type="presParOf" srcId="{D7B40E07-DC18-46E2-9C50-E15F9B716F75}" destId="{DC51E288-C09F-42DE-91CF-AAF606FB3824}" srcOrd="0" destOrd="0" presId="urn:microsoft.com/office/officeart/2005/8/layout/orgChart1"/>
    <dgm:cxn modelId="{4A10EB82-183F-45CB-BD99-B2CB27DD33D6}" type="presParOf" srcId="{D7B40E07-DC18-46E2-9C50-E15F9B716F75}" destId="{31494CB7-E58F-401D-BC70-F4617DC32FE8}" srcOrd="1" destOrd="0" presId="urn:microsoft.com/office/officeart/2005/8/layout/orgChart1"/>
    <dgm:cxn modelId="{0925EDB3-9153-4E82-A6A7-A61332FEEAC2}" type="presParOf" srcId="{31494CB7-E58F-401D-BC70-F4617DC32FE8}" destId="{434C1C85-FBFC-4069-867F-15116A3A0C94}" srcOrd="0" destOrd="0" presId="urn:microsoft.com/office/officeart/2005/8/layout/orgChart1"/>
    <dgm:cxn modelId="{2B6BB421-544A-4908-AE35-DE1A9B344E95}" type="presParOf" srcId="{434C1C85-FBFC-4069-867F-15116A3A0C94}" destId="{977A7031-CFAB-41CF-8B5D-89611399EB84}" srcOrd="0" destOrd="0" presId="urn:microsoft.com/office/officeart/2005/8/layout/orgChart1"/>
    <dgm:cxn modelId="{7F34AEC7-C91E-4F82-AB2D-F88A544788A9}" type="presParOf" srcId="{434C1C85-FBFC-4069-867F-15116A3A0C94}" destId="{B3886729-8160-4CBC-9565-5A35870DD6AA}" srcOrd="1" destOrd="0" presId="urn:microsoft.com/office/officeart/2005/8/layout/orgChart1"/>
    <dgm:cxn modelId="{702A33DF-C249-4494-81B0-8B0C13D92F4C}" type="presParOf" srcId="{31494CB7-E58F-401D-BC70-F4617DC32FE8}" destId="{08C1F813-1334-4D7F-8CC0-8E161D4754C6}" srcOrd="1" destOrd="0" presId="urn:microsoft.com/office/officeart/2005/8/layout/orgChart1"/>
    <dgm:cxn modelId="{C668A4AE-CB82-426A-842F-B8F5CB1453DA}" type="presParOf" srcId="{08C1F813-1334-4D7F-8CC0-8E161D4754C6}" destId="{4E4E8E0C-6496-498A-9D6E-2EA473DD936F}" srcOrd="0" destOrd="0" presId="urn:microsoft.com/office/officeart/2005/8/layout/orgChart1"/>
    <dgm:cxn modelId="{50E03403-5B53-4AF9-90AC-5263B19339C0}" type="presParOf" srcId="{08C1F813-1334-4D7F-8CC0-8E161D4754C6}" destId="{29091D86-6019-462C-ABEE-9B30E683C921}" srcOrd="1" destOrd="0" presId="urn:microsoft.com/office/officeart/2005/8/layout/orgChart1"/>
    <dgm:cxn modelId="{225C6E61-0A00-4444-BB7B-1BBC226666DE}" type="presParOf" srcId="{29091D86-6019-462C-ABEE-9B30E683C921}" destId="{8CB11766-327F-4052-BFDC-A2B0EC495E63}" srcOrd="0" destOrd="0" presId="urn:microsoft.com/office/officeart/2005/8/layout/orgChart1"/>
    <dgm:cxn modelId="{BC2ED0EC-33A1-457F-98AB-7B7A6807E198}" type="presParOf" srcId="{8CB11766-327F-4052-BFDC-A2B0EC495E63}" destId="{FE6EDD3F-AA5B-4BAF-91A7-21973FA035CC}" srcOrd="0" destOrd="0" presId="urn:microsoft.com/office/officeart/2005/8/layout/orgChart1"/>
    <dgm:cxn modelId="{06234F23-BD89-40B1-9539-BC166793247D}" type="presParOf" srcId="{8CB11766-327F-4052-BFDC-A2B0EC495E63}" destId="{05987C47-4D08-4E9A-8893-C406D6D16E6D}" srcOrd="1" destOrd="0" presId="urn:microsoft.com/office/officeart/2005/8/layout/orgChart1"/>
    <dgm:cxn modelId="{9C6266E5-90E9-4916-B2ED-80A6CAA8647A}" type="presParOf" srcId="{29091D86-6019-462C-ABEE-9B30E683C921}" destId="{169E0B91-0ED8-41CE-908F-7433265EEECC}" srcOrd="1" destOrd="0" presId="urn:microsoft.com/office/officeart/2005/8/layout/orgChart1"/>
    <dgm:cxn modelId="{7DF9165E-C749-47DA-8247-C8D591892354}" type="presParOf" srcId="{29091D86-6019-462C-ABEE-9B30E683C921}" destId="{D27044D2-2349-485B-AE79-D73748F89F9D}" srcOrd="2" destOrd="0" presId="urn:microsoft.com/office/officeart/2005/8/layout/orgChart1"/>
    <dgm:cxn modelId="{7154E96F-30C1-482A-98B0-A86860337AE4}" type="presParOf" srcId="{08C1F813-1334-4D7F-8CC0-8E161D4754C6}" destId="{8772D8F1-A219-4D2D-AA6E-F55C18F3173F}" srcOrd="2" destOrd="0" presId="urn:microsoft.com/office/officeart/2005/8/layout/orgChart1"/>
    <dgm:cxn modelId="{D4186778-553D-4E97-ACF7-0A14D1037A39}" type="presParOf" srcId="{08C1F813-1334-4D7F-8CC0-8E161D4754C6}" destId="{3D8FDDA5-2C1F-4EA9-975D-8FE413C34B24}" srcOrd="3" destOrd="0" presId="urn:microsoft.com/office/officeart/2005/8/layout/orgChart1"/>
    <dgm:cxn modelId="{95F266D5-B051-4489-AFA2-4E069E0B59F0}" type="presParOf" srcId="{3D8FDDA5-2C1F-4EA9-975D-8FE413C34B24}" destId="{B48566B5-17E1-4D68-8518-A1694A6196C3}" srcOrd="0" destOrd="0" presId="urn:microsoft.com/office/officeart/2005/8/layout/orgChart1"/>
    <dgm:cxn modelId="{9AC1ABE4-8310-4103-8A77-41C315B0688B}" type="presParOf" srcId="{B48566B5-17E1-4D68-8518-A1694A6196C3}" destId="{7611E691-936A-45D3-94BE-C7405602B970}" srcOrd="0" destOrd="0" presId="urn:microsoft.com/office/officeart/2005/8/layout/orgChart1"/>
    <dgm:cxn modelId="{692F43E5-CA8F-42FB-87FE-3FDA5EC6083E}" type="presParOf" srcId="{B48566B5-17E1-4D68-8518-A1694A6196C3}" destId="{BEA94E14-7992-4F71-BAA8-179CB366545B}" srcOrd="1" destOrd="0" presId="urn:microsoft.com/office/officeart/2005/8/layout/orgChart1"/>
    <dgm:cxn modelId="{AF6F81E2-9C05-4836-AEB5-37F42BC6865A}" type="presParOf" srcId="{3D8FDDA5-2C1F-4EA9-975D-8FE413C34B24}" destId="{DCA61664-8CD5-4E42-BE70-960297CDBCB4}" srcOrd="1" destOrd="0" presId="urn:microsoft.com/office/officeart/2005/8/layout/orgChart1"/>
    <dgm:cxn modelId="{7DE7DF93-03C7-48D3-95BF-BAEBDDC476B9}" type="presParOf" srcId="{3D8FDDA5-2C1F-4EA9-975D-8FE413C34B24}" destId="{E94BD3D4-7D96-4C33-83E0-F3E373216F09}" srcOrd="2" destOrd="0" presId="urn:microsoft.com/office/officeart/2005/8/layout/orgChart1"/>
    <dgm:cxn modelId="{0375660A-12D2-4624-8AA7-D79B805EB710}" type="presParOf" srcId="{08C1F813-1334-4D7F-8CC0-8E161D4754C6}" destId="{C9F6DC67-3950-43CD-AB1B-CF05CEF4802A}" srcOrd="4" destOrd="0" presId="urn:microsoft.com/office/officeart/2005/8/layout/orgChart1"/>
    <dgm:cxn modelId="{242A3621-FC3B-4F85-A17F-2760A45CC6E8}" type="presParOf" srcId="{08C1F813-1334-4D7F-8CC0-8E161D4754C6}" destId="{7A9CE050-B531-4E41-9E72-B17850B76F99}" srcOrd="5" destOrd="0" presId="urn:microsoft.com/office/officeart/2005/8/layout/orgChart1"/>
    <dgm:cxn modelId="{DD3CA4C3-EA78-4CB0-8429-275D0B235795}" type="presParOf" srcId="{7A9CE050-B531-4E41-9E72-B17850B76F99}" destId="{41F53ECB-61A5-4905-8E52-7DD5F378ED7B}" srcOrd="0" destOrd="0" presId="urn:microsoft.com/office/officeart/2005/8/layout/orgChart1"/>
    <dgm:cxn modelId="{8BB44EA7-C71C-4544-8974-C45A04C8C9DB}" type="presParOf" srcId="{41F53ECB-61A5-4905-8E52-7DD5F378ED7B}" destId="{803E7D20-7CB9-4D10-A3EF-C105BF6FD9CF}" srcOrd="0" destOrd="0" presId="urn:microsoft.com/office/officeart/2005/8/layout/orgChart1"/>
    <dgm:cxn modelId="{E47981B0-D0CB-4D5F-AB3F-352C401D91E5}" type="presParOf" srcId="{41F53ECB-61A5-4905-8E52-7DD5F378ED7B}" destId="{E391C3D6-D658-4641-B003-EDD4657B13A2}" srcOrd="1" destOrd="0" presId="urn:microsoft.com/office/officeart/2005/8/layout/orgChart1"/>
    <dgm:cxn modelId="{6237787D-9685-484C-B878-1DD3F19CF225}" type="presParOf" srcId="{7A9CE050-B531-4E41-9E72-B17850B76F99}" destId="{DC6DE5FE-B186-4C7A-B38A-E28CAB37ED51}" srcOrd="1" destOrd="0" presId="urn:microsoft.com/office/officeart/2005/8/layout/orgChart1"/>
    <dgm:cxn modelId="{97AC169A-0218-4736-9415-FA0016065291}" type="presParOf" srcId="{7A9CE050-B531-4E41-9E72-B17850B76F99}" destId="{9F87CC45-D4A2-4FC5-BE63-BC6EBD9B0467}" srcOrd="2" destOrd="0" presId="urn:microsoft.com/office/officeart/2005/8/layout/orgChart1"/>
    <dgm:cxn modelId="{F320F524-A3FA-42B6-AF90-F3CFBC3998D8}" type="presParOf" srcId="{31494CB7-E58F-401D-BC70-F4617DC32FE8}" destId="{03EBD15D-5997-4F52-9FC0-94A1ECC6AE49}" srcOrd="2" destOrd="0" presId="urn:microsoft.com/office/officeart/2005/8/layout/orgChart1"/>
    <dgm:cxn modelId="{961996B4-9FB6-4811-96C7-B21F732DBBE4}" type="presParOf" srcId="{D7B40E07-DC18-46E2-9C50-E15F9B716F75}" destId="{DD75AD42-897C-4437-A9C1-D9F47115EF57}" srcOrd="2" destOrd="0" presId="urn:microsoft.com/office/officeart/2005/8/layout/orgChart1"/>
    <dgm:cxn modelId="{9C72FD50-B466-47DE-8829-4D458DE5087E}" type="presParOf" srcId="{D7B40E07-DC18-46E2-9C50-E15F9B716F75}" destId="{75FC46C2-EBFD-438F-BEB1-F82093D2F82A}" srcOrd="3" destOrd="0" presId="urn:microsoft.com/office/officeart/2005/8/layout/orgChart1"/>
    <dgm:cxn modelId="{5BCB0C06-8A31-4799-A84D-87AD23A9387A}" type="presParOf" srcId="{75FC46C2-EBFD-438F-BEB1-F82093D2F82A}" destId="{462E3D72-BA8E-4742-B950-AF53A1667EF5}" srcOrd="0" destOrd="0" presId="urn:microsoft.com/office/officeart/2005/8/layout/orgChart1"/>
    <dgm:cxn modelId="{F3C9BA7F-22B6-4750-8C4F-970E74CC8835}" type="presParOf" srcId="{462E3D72-BA8E-4742-B950-AF53A1667EF5}" destId="{7F5D79C5-D9CF-41B4-B02E-4A350D09868D}" srcOrd="0" destOrd="0" presId="urn:microsoft.com/office/officeart/2005/8/layout/orgChart1"/>
    <dgm:cxn modelId="{28540109-94DE-47BB-8C43-0993DE47510B}" type="presParOf" srcId="{462E3D72-BA8E-4742-B950-AF53A1667EF5}" destId="{0BAC9C75-8FFD-4D5F-83C9-FD9397F824C7}" srcOrd="1" destOrd="0" presId="urn:microsoft.com/office/officeart/2005/8/layout/orgChart1"/>
    <dgm:cxn modelId="{3408CFE5-D355-4539-B5E0-4F9F0650640A}" type="presParOf" srcId="{75FC46C2-EBFD-438F-BEB1-F82093D2F82A}" destId="{0130414C-EDE2-4B10-A3C4-3F91F9226D6E}" srcOrd="1" destOrd="0" presId="urn:microsoft.com/office/officeart/2005/8/layout/orgChart1"/>
    <dgm:cxn modelId="{9EF18516-A177-4343-9083-94478904EDFD}" type="presParOf" srcId="{0130414C-EDE2-4B10-A3C4-3F91F9226D6E}" destId="{9DD821B2-31E0-4A42-B6E4-AF14CB1F4434}" srcOrd="0" destOrd="0" presId="urn:microsoft.com/office/officeart/2005/8/layout/orgChart1"/>
    <dgm:cxn modelId="{A27919CE-FFAE-4DE2-BB95-419B662EB1C0}" type="presParOf" srcId="{0130414C-EDE2-4B10-A3C4-3F91F9226D6E}" destId="{6FCE3DF8-4971-4B3E-9953-23574430AC67}" srcOrd="1" destOrd="0" presId="urn:microsoft.com/office/officeart/2005/8/layout/orgChart1"/>
    <dgm:cxn modelId="{E234A38F-98B8-4069-8293-D76C43006D00}" type="presParOf" srcId="{6FCE3DF8-4971-4B3E-9953-23574430AC67}" destId="{5C3EF50F-4B47-4E85-9E4C-122E8755A5C0}" srcOrd="0" destOrd="0" presId="urn:microsoft.com/office/officeart/2005/8/layout/orgChart1"/>
    <dgm:cxn modelId="{2EA329C6-C44B-4179-9EC8-568895479D58}" type="presParOf" srcId="{5C3EF50F-4B47-4E85-9E4C-122E8755A5C0}" destId="{E494FAAB-5079-4DFB-865F-57021C2221B3}" srcOrd="0" destOrd="0" presId="urn:microsoft.com/office/officeart/2005/8/layout/orgChart1"/>
    <dgm:cxn modelId="{132E4C7F-CF99-4E58-AC7F-1282FEF9D270}" type="presParOf" srcId="{5C3EF50F-4B47-4E85-9E4C-122E8755A5C0}" destId="{2F7A02BE-7553-4589-927D-B133AE7A884D}" srcOrd="1" destOrd="0" presId="urn:microsoft.com/office/officeart/2005/8/layout/orgChart1"/>
    <dgm:cxn modelId="{D67BB936-A08B-4C25-8D8C-F59B0755A56E}" type="presParOf" srcId="{6FCE3DF8-4971-4B3E-9953-23574430AC67}" destId="{56703711-A698-47AA-BD30-65AF742F9B58}" srcOrd="1" destOrd="0" presId="urn:microsoft.com/office/officeart/2005/8/layout/orgChart1"/>
    <dgm:cxn modelId="{E060E633-2111-491C-B41E-637D4C8BB2A9}" type="presParOf" srcId="{6FCE3DF8-4971-4B3E-9953-23574430AC67}" destId="{0491492A-AFE0-48DA-9B10-4DCE3A592F49}" srcOrd="2" destOrd="0" presId="urn:microsoft.com/office/officeart/2005/8/layout/orgChart1"/>
    <dgm:cxn modelId="{862B6917-2467-4AEB-A7EC-F4442672343C}" type="presParOf" srcId="{0130414C-EDE2-4B10-A3C4-3F91F9226D6E}" destId="{1A64D916-92EA-4300-BE27-2C559996A73F}" srcOrd="2" destOrd="0" presId="urn:microsoft.com/office/officeart/2005/8/layout/orgChart1"/>
    <dgm:cxn modelId="{12D08256-95FB-4FB1-937F-7094B74F476A}" type="presParOf" srcId="{0130414C-EDE2-4B10-A3C4-3F91F9226D6E}" destId="{55A1770F-0CD4-47E5-84AA-AF0B48B3B2EA}" srcOrd="3" destOrd="0" presId="urn:microsoft.com/office/officeart/2005/8/layout/orgChart1"/>
    <dgm:cxn modelId="{2629461D-8CC9-4754-BF0A-786B667165D8}" type="presParOf" srcId="{55A1770F-0CD4-47E5-84AA-AF0B48B3B2EA}" destId="{77C9A9A2-CAC2-48C0-90CB-B4F8D6FD29A3}" srcOrd="0" destOrd="0" presId="urn:microsoft.com/office/officeart/2005/8/layout/orgChart1"/>
    <dgm:cxn modelId="{91A105D2-4BCA-41D9-AF1A-72004D9CFFB1}" type="presParOf" srcId="{77C9A9A2-CAC2-48C0-90CB-B4F8D6FD29A3}" destId="{312114D3-E5AD-40F0-AC45-9A8CE19AE9F2}" srcOrd="0" destOrd="0" presId="urn:microsoft.com/office/officeart/2005/8/layout/orgChart1"/>
    <dgm:cxn modelId="{39EE0965-5135-4C87-BFB3-89109F6AC13C}" type="presParOf" srcId="{77C9A9A2-CAC2-48C0-90CB-B4F8D6FD29A3}" destId="{3EACE9F8-0DAE-4E3B-9226-25865D1F2C66}" srcOrd="1" destOrd="0" presId="urn:microsoft.com/office/officeart/2005/8/layout/orgChart1"/>
    <dgm:cxn modelId="{15B5ADCF-4E97-4872-A295-DC6B7504D409}" type="presParOf" srcId="{55A1770F-0CD4-47E5-84AA-AF0B48B3B2EA}" destId="{2926D440-D2AD-4D7E-BAE8-7C8AD9F8B5A2}" srcOrd="1" destOrd="0" presId="urn:microsoft.com/office/officeart/2005/8/layout/orgChart1"/>
    <dgm:cxn modelId="{1EAFE319-C192-40E3-9C8C-8393B33BDAC3}" type="presParOf" srcId="{55A1770F-0CD4-47E5-84AA-AF0B48B3B2EA}" destId="{783D8216-34A5-4698-97B8-208C87FD9355}" srcOrd="2" destOrd="0" presId="urn:microsoft.com/office/officeart/2005/8/layout/orgChart1"/>
    <dgm:cxn modelId="{B0220671-98D8-44A2-988D-2D0BCC6F6F55}" type="presParOf" srcId="{0130414C-EDE2-4B10-A3C4-3F91F9226D6E}" destId="{71DE3835-73F2-430A-A81E-EA9A9B4ACC43}" srcOrd="4" destOrd="0" presId="urn:microsoft.com/office/officeart/2005/8/layout/orgChart1"/>
    <dgm:cxn modelId="{F6FED6A7-0422-42C7-8BDA-B839B60B7F2A}" type="presParOf" srcId="{0130414C-EDE2-4B10-A3C4-3F91F9226D6E}" destId="{82B16C97-1D42-40A1-B41D-DCDF3FDAC0EF}" srcOrd="5" destOrd="0" presId="urn:microsoft.com/office/officeart/2005/8/layout/orgChart1"/>
    <dgm:cxn modelId="{38F17608-5813-4205-89D8-BC19DC370D81}" type="presParOf" srcId="{82B16C97-1D42-40A1-B41D-DCDF3FDAC0EF}" destId="{D2CC53E0-A564-44EA-A644-6C3C986D010D}" srcOrd="0" destOrd="0" presId="urn:microsoft.com/office/officeart/2005/8/layout/orgChart1"/>
    <dgm:cxn modelId="{D96228A0-659C-4999-BF40-593C68561F24}" type="presParOf" srcId="{D2CC53E0-A564-44EA-A644-6C3C986D010D}" destId="{2294BA43-0350-4EDF-B49E-18E9E41AD929}" srcOrd="0" destOrd="0" presId="urn:microsoft.com/office/officeart/2005/8/layout/orgChart1"/>
    <dgm:cxn modelId="{F7ACC3CC-F2E9-4288-BE61-6C51FB815131}" type="presParOf" srcId="{D2CC53E0-A564-44EA-A644-6C3C986D010D}" destId="{CB382D01-6570-41C3-96EA-54C0A3FA106F}" srcOrd="1" destOrd="0" presId="urn:microsoft.com/office/officeart/2005/8/layout/orgChart1"/>
    <dgm:cxn modelId="{1171BB32-B142-4998-87B5-9232C737A607}" type="presParOf" srcId="{82B16C97-1D42-40A1-B41D-DCDF3FDAC0EF}" destId="{7E0EA395-447A-4123-94F3-3B8FDA3D3AB7}" srcOrd="1" destOrd="0" presId="urn:microsoft.com/office/officeart/2005/8/layout/orgChart1"/>
    <dgm:cxn modelId="{AD951044-FF80-4CB3-8A0E-31DBB754BEC2}" type="presParOf" srcId="{82B16C97-1D42-40A1-B41D-DCDF3FDAC0EF}" destId="{925FEA43-0403-408E-BABD-C42C1726BBE7}" srcOrd="2" destOrd="0" presId="urn:microsoft.com/office/officeart/2005/8/layout/orgChart1"/>
    <dgm:cxn modelId="{E80A7A33-7FDC-4FDC-A8D4-77EFE605FBDC}" type="presParOf" srcId="{75FC46C2-EBFD-438F-BEB1-F82093D2F82A}" destId="{8FA35B96-DF76-42B2-B6A2-4958F54963C1}" srcOrd="2" destOrd="0" presId="urn:microsoft.com/office/officeart/2005/8/layout/orgChart1"/>
    <dgm:cxn modelId="{BC7A031E-8F76-4610-8BF9-318E949F5854}" type="presParOf" srcId="{D7B40E07-DC18-46E2-9C50-E15F9B716F75}" destId="{B3AAE1C5-3D41-421C-B82E-740788A84D19}" srcOrd="4" destOrd="0" presId="urn:microsoft.com/office/officeart/2005/8/layout/orgChart1"/>
    <dgm:cxn modelId="{2C2F787D-FA29-449E-9C9B-C9D37F859B81}" type="presParOf" srcId="{D7B40E07-DC18-46E2-9C50-E15F9B716F75}" destId="{FCAD5BA1-AF2B-4CF8-9687-69E4143FA2E3}" srcOrd="5" destOrd="0" presId="urn:microsoft.com/office/officeart/2005/8/layout/orgChart1"/>
    <dgm:cxn modelId="{EA7C9DAA-1EB6-411E-A96C-D0AB05C476E2}" type="presParOf" srcId="{FCAD5BA1-AF2B-4CF8-9687-69E4143FA2E3}" destId="{FD9AC3D6-095D-4983-B75B-AB73700FF08F}" srcOrd="0" destOrd="0" presId="urn:microsoft.com/office/officeart/2005/8/layout/orgChart1"/>
    <dgm:cxn modelId="{D5936C8A-C575-4C09-86C9-F7B38309BD2C}" type="presParOf" srcId="{FD9AC3D6-095D-4983-B75B-AB73700FF08F}" destId="{181EAA75-0067-4F86-A85E-EE55D0E50462}" srcOrd="0" destOrd="0" presId="urn:microsoft.com/office/officeart/2005/8/layout/orgChart1"/>
    <dgm:cxn modelId="{E3D4F197-FE40-4CB9-954D-66312C81B04B}" type="presParOf" srcId="{FD9AC3D6-095D-4983-B75B-AB73700FF08F}" destId="{AD5EA84E-D061-4A54-B0C6-629064770C07}" srcOrd="1" destOrd="0" presId="urn:microsoft.com/office/officeart/2005/8/layout/orgChart1"/>
    <dgm:cxn modelId="{1B81E72C-3CFC-4722-8333-DD0D3634FFCD}" type="presParOf" srcId="{FCAD5BA1-AF2B-4CF8-9687-69E4143FA2E3}" destId="{58194BE5-0AF4-453C-B824-496E38938EB1}" srcOrd="1" destOrd="0" presId="urn:microsoft.com/office/officeart/2005/8/layout/orgChart1"/>
    <dgm:cxn modelId="{89EBFEE7-7593-4432-A9B8-76E0EF7B5957}" type="presParOf" srcId="{58194BE5-0AF4-453C-B824-496E38938EB1}" destId="{5FCB27B3-33A2-4B94-8859-E0FEEDAEF0D9}" srcOrd="0" destOrd="0" presId="urn:microsoft.com/office/officeart/2005/8/layout/orgChart1"/>
    <dgm:cxn modelId="{717CA2F2-7E6E-452E-8677-2006463B52DB}" type="presParOf" srcId="{58194BE5-0AF4-453C-B824-496E38938EB1}" destId="{A99FA2F4-FA88-45E6-8E47-448B9678F829}" srcOrd="1" destOrd="0" presId="urn:microsoft.com/office/officeart/2005/8/layout/orgChart1"/>
    <dgm:cxn modelId="{1BC88925-4ED2-4D00-AFD1-DC372DD55BE8}" type="presParOf" srcId="{A99FA2F4-FA88-45E6-8E47-448B9678F829}" destId="{CD2DADA9-D253-4944-BB1C-F0F370122347}" srcOrd="0" destOrd="0" presId="urn:microsoft.com/office/officeart/2005/8/layout/orgChart1"/>
    <dgm:cxn modelId="{6ED046BC-AD81-4BE1-82A1-24D9D1B703A8}" type="presParOf" srcId="{CD2DADA9-D253-4944-BB1C-F0F370122347}" destId="{3E9461D6-BADC-419C-8CFB-49AC2E75AB50}" srcOrd="0" destOrd="0" presId="urn:microsoft.com/office/officeart/2005/8/layout/orgChart1"/>
    <dgm:cxn modelId="{E834E5C6-E606-40A1-A3C2-7EACEE28584D}" type="presParOf" srcId="{CD2DADA9-D253-4944-BB1C-F0F370122347}" destId="{15874C13-78B3-4D52-AAE0-D00B3094DCDB}" srcOrd="1" destOrd="0" presId="urn:microsoft.com/office/officeart/2005/8/layout/orgChart1"/>
    <dgm:cxn modelId="{18DE6AA4-E3C2-4EDB-96B5-E62CE056C539}" type="presParOf" srcId="{A99FA2F4-FA88-45E6-8E47-448B9678F829}" destId="{6D9B6FBF-850F-4B27-A165-5B16C041DE02}" srcOrd="1" destOrd="0" presId="urn:microsoft.com/office/officeart/2005/8/layout/orgChart1"/>
    <dgm:cxn modelId="{04A200AB-52F0-448D-98F0-95F5797F83D3}" type="presParOf" srcId="{A99FA2F4-FA88-45E6-8E47-448B9678F829}" destId="{7081E3C9-A531-41B4-9825-8CE0482B951F}" srcOrd="2" destOrd="0" presId="urn:microsoft.com/office/officeart/2005/8/layout/orgChart1"/>
    <dgm:cxn modelId="{24573C84-47FF-4808-88A8-3204DE91F3AC}" type="presParOf" srcId="{58194BE5-0AF4-453C-B824-496E38938EB1}" destId="{9CBAD72B-9EB9-42DE-9D67-1DB50B3390E2}" srcOrd="2" destOrd="0" presId="urn:microsoft.com/office/officeart/2005/8/layout/orgChart1"/>
    <dgm:cxn modelId="{189A2211-F1A2-4B44-9818-E019C0A7F404}" type="presParOf" srcId="{58194BE5-0AF4-453C-B824-496E38938EB1}" destId="{716CFDAB-A8A3-4787-B68A-628538EAE571}" srcOrd="3" destOrd="0" presId="urn:microsoft.com/office/officeart/2005/8/layout/orgChart1"/>
    <dgm:cxn modelId="{C4B03EF7-96C4-4F52-8E7A-50BE41580FF2}" type="presParOf" srcId="{716CFDAB-A8A3-4787-B68A-628538EAE571}" destId="{2756D15F-95A7-4855-92F3-7FA6AA9415F7}" srcOrd="0" destOrd="0" presId="urn:microsoft.com/office/officeart/2005/8/layout/orgChart1"/>
    <dgm:cxn modelId="{10B68864-344F-43C6-8FDA-A3469F235886}" type="presParOf" srcId="{2756D15F-95A7-4855-92F3-7FA6AA9415F7}" destId="{619212CD-C2A4-475D-9AB7-C4528EB576C2}" srcOrd="0" destOrd="0" presId="urn:microsoft.com/office/officeart/2005/8/layout/orgChart1"/>
    <dgm:cxn modelId="{63DC4E83-7036-430F-B4CA-277BBE6F9C3F}" type="presParOf" srcId="{2756D15F-95A7-4855-92F3-7FA6AA9415F7}" destId="{A8EE0DA1-8DDC-4666-8D97-05D178324DE9}" srcOrd="1" destOrd="0" presId="urn:microsoft.com/office/officeart/2005/8/layout/orgChart1"/>
    <dgm:cxn modelId="{9519A930-DAE4-4578-945C-3C208D828492}" type="presParOf" srcId="{716CFDAB-A8A3-4787-B68A-628538EAE571}" destId="{EB03E5C7-619B-4393-B04E-E2B842562B51}" srcOrd="1" destOrd="0" presId="urn:microsoft.com/office/officeart/2005/8/layout/orgChart1"/>
    <dgm:cxn modelId="{78085A8C-76D1-46F8-AE8C-9F2A1AA7FC19}" type="presParOf" srcId="{716CFDAB-A8A3-4787-B68A-628538EAE571}" destId="{F79B2AAE-B943-41EE-848D-7ACAD312B905}" srcOrd="2" destOrd="0" presId="urn:microsoft.com/office/officeart/2005/8/layout/orgChart1"/>
    <dgm:cxn modelId="{11B8F431-04FB-4AF6-883A-6FE9A82A9ECF}" type="presParOf" srcId="{58194BE5-0AF4-453C-B824-496E38938EB1}" destId="{6782AC97-AD25-4346-BB7D-FF8CBD10B02D}" srcOrd="4" destOrd="0" presId="urn:microsoft.com/office/officeart/2005/8/layout/orgChart1"/>
    <dgm:cxn modelId="{3D2FFD21-F424-4E58-B857-0DE36416BE9E}" type="presParOf" srcId="{58194BE5-0AF4-453C-B824-496E38938EB1}" destId="{35B99356-6BA6-49F2-A044-AC7F11070826}" srcOrd="5" destOrd="0" presId="urn:microsoft.com/office/officeart/2005/8/layout/orgChart1"/>
    <dgm:cxn modelId="{7FA3EA30-A32A-4BF1-A646-F83221CB3DDD}" type="presParOf" srcId="{35B99356-6BA6-49F2-A044-AC7F11070826}" destId="{1B2FC1C2-129C-489F-976A-6BAD28048137}" srcOrd="0" destOrd="0" presId="urn:microsoft.com/office/officeart/2005/8/layout/orgChart1"/>
    <dgm:cxn modelId="{C6974394-A184-422E-83B8-51A45FC79F46}" type="presParOf" srcId="{1B2FC1C2-129C-489F-976A-6BAD28048137}" destId="{822E8CCF-2958-4C56-9FBC-EF69820F0ACC}" srcOrd="0" destOrd="0" presId="urn:microsoft.com/office/officeart/2005/8/layout/orgChart1"/>
    <dgm:cxn modelId="{7D4C909B-E9D5-428E-8A0F-41F050CB0CDA}" type="presParOf" srcId="{1B2FC1C2-129C-489F-976A-6BAD28048137}" destId="{91139381-8AAB-4DB9-A592-5434B4BA8063}" srcOrd="1" destOrd="0" presId="urn:microsoft.com/office/officeart/2005/8/layout/orgChart1"/>
    <dgm:cxn modelId="{8B1FC20E-F2C3-4EE7-BE1A-B2DB00316A90}" type="presParOf" srcId="{35B99356-6BA6-49F2-A044-AC7F11070826}" destId="{63E378C4-B9D0-4289-917B-ED9CC95F5809}" srcOrd="1" destOrd="0" presId="urn:microsoft.com/office/officeart/2005/8/layout/orgChart1"/>
    <dgm:cxn modelId="{1F5669C9-6A5B-4941-A4AB-4DB40982DAAE}" type="presParOf" srcId="{35B99356-6BA6-49F2-A044-AC7F11070826}" destId="{6A6CF396-3B54-48DA-9F94-0D7652421190}" srcOrd="2" destOrd="0" presId="urn:microsoft.com/office/officeart/2005/8/layout/orgChart1"/>
    <dgm:cxn modelId="{61CB31C3-DED2-4033-85D3-D66F001AFEC6}" type="presParOf" srcId="{FCAD5BA1-AF2B-4CF8-9687-69E4143FA2E3}" destId="{BCF03A00-2F44-4AF6-8030-D25E309B2B74}" srcOrd="2" destOrd="0" presId="urn:microsoft.com/office/officeart/2005/8/layout/orgChart1"/>
    <dgm:cxn modelId="{2AE50E39-2E85-4EAF-85C8-2C2379F9240B}" type="presParOf" srcId="{B113516C-2574-4D89-BBF8-13F2EDEA32FF}" destId="{EE230754-FBD6-4A9D-ADD9-547F646EAFE4}" srcOrd="2" destOrd="0" presId="urn:microsoft.com/office/officeart/2005/8/layout/orgChart1"/>
    <dgm:cxn modelId="{E2BDB1F0-2C41-4A45-B37F-5E0A2BDB41F9}" type="presParOf" srcId="{715765C1-4952-4595-B536-D738EE4B81CD}" destId="{8856003E-0924-4FF1-A81B-D3A57142761E}" srcOrd="2" destOrd="0" presId="urn:microsoft.com/office/officeart/2005/8/layout/orgChart1"/>
    <dgm:cxn modelId="{5B52D3D0-D22D-4A0D-9EA9-A6519EDF76F0}" type="presParOf" srcId="{3D0252C4-3FB3-47EA-9058-69917D8EADBC}" destId="{486399C1-8ED0-4A54-9AF5-1FC5987C4F2C}" srcOrd="2" destOrd="0" presId="urn:microsoft.com/office/officeart/2005/8/layout/orgChart1"/>
    <dgm:cxn modelId="{542985C7-6755-4614-8115-8B70035CF2C1}" type="presParOf" srcId="{3D0252C4-3FB3-47EA-9058-69917D8EADBC}" destId="{D1AFB346-17E0-4B0B-AAB3-6885CD7D03C4}" srcOrd="3" destOrd="0" presId="urn:microsoft.com/office/officeart/2005/8/layout/orgChart1"/>
    <dgm:cxn modelId="{E150FEEA-4A1F-4EE5-AB29-946AD116CA46}" type="presParOf" srcId="{D1AFB346-17E0-4B0B-AAB3-6885CD7D03C4}" destId="{627A0634-E90C-46E2-894C-36F36A9DF8C3}" srcOrd="0" destOrd="0" presId="urn:microsoft.com/office/officeart/2005/8/layout/orgChart1"/>
    <dgm:cxn modelId="{4387D2B5-9B54-4110-B245-19999704FD13}" type="presParOf" srcId="{627A0634-E90C-46E2-894C-36F36A9DF8C3}" destId="{95BD7773-FF0A-4D88-983F-E79D38248DFA}" srcOrd="0" destOrd="0" presId="urn:microsoft.com/office/officeart/2005/8/layout/orgChart1"/>
    <dgm:cxn modelId="{93D14068-7565-4118-ABB5-ECC98E6DB1C4}" type="presParOf" srcId="{627A0634-E90C-46E2-894C-36F36A9DF8C3}" destId="{EE896E17-FC8F-43EA-B136-47943A80FBC7}" srcOrd="1" destOrd="0" presId="urn:microsoft.com/office/officeart/2005/8/layout/orgChart1"/>
    <dgm:cxn modelId="{C1867C28-1F41-4F40-B26E-A5A3BF54B2B5}" type="presParOf" srcId="{D1AFB346-17E0-4B0B-AAB3-6885CD7D03C4}" destId="{B42CB1AC-6714-4740-877A-C021AA2FC6CD}" srcOrd="1" destOrd="0" presId="urn:microsoft.com/office/officeart/2005/8/layout/orgChart1"/>
    <dgm:cxn modelId="{BF8D8FD8-A91D-4515-88BA-6D44841CF900}" type="presParOf" srcId="{B42CB1AC-6714-4740-877A-C021AA2FC6CD}" destId="{C156AF0A-3DD9-4420-AC49-A7B7F2AE43AF}" srcOrd="0" destOrd="0" presId="urn:microsoft.com/office/officeart/2005/8/layout/orgChart1"/>
    <dgm:cxn modelId="{DCC7DE5E-4D8E-4271-8DF0-C40BF7723BDC}" type="presParOf" srcId="{B42CB1AC-6714-4740-877A-C021AA2FC6CD}" destId="{E8AE033F-A5D7-4B7B-96FA-EFCD7D85FCF3}" srcOrd="1" destOrd="0" presId="urn:microsoft.com/office/officeart/2005/8/layout/orgChart1"/>
    <dgm:cxn modelId="{C999E905-DCDF-4360-A0B2-165B20694C0F}" type="presParOf" srcId="{E8AE033F-A5D7-4B7B-96FA-EFCD7D85FCF3}" destId="{2DB6497A-433A-4635-A7CE-D7730F39DA8B}" srcOrd="0" destOrd="0" presId="urn:microsoft.com/office/officeart/2005/8/layout/orgChart1"/>
    <dgm:cxn modelId="{023B98C8-33D0-4604-9DF5-A327716C16F4}" type="presParOf" srcId="{2DB6497A-433A-4635-A7CE-D7730F39DA8B}" destId="{2A26043E-1200-42C3-B891-CC4E1CD2F661}" srcOrd="0" destOrd="0" presId="urn:microsoft.com/office/officeart/2005/8/layout/orgChart1"/>
    <dgm:cxn modelId="{02E63BF7-7AAE-44AC-90DA-B06AC35ED2C0}" type="presParOf" srcId="{2DB6497A-433A-4635-A7CE-D7730F39DA8B}" destId="{A29A0863-1C0D-4E57-921B-D2605C07AFE9}" srcOrd="1" destOrd="0" presId="urn:microsoft.com/office/officeart/2005/8/layout/orgChart1"/>
    <dgm:cxn modelId="{AA94958B-5DEC-41BD-B341-C3D47D2DECE1}" type="presParOf" srcId="{E8AE033F-A5D7-4B7B-96FA-EFCD7D85FCF3}" destId="{790183D9-D549-4580-9725-FB5D4ED8A328}" srcOrd="1" destOrd="0" presId="urn:microsoft.com/office/officeart/2005/8/layout/orgChart1"/>
    <dgm:cxn modelId="{7948EE89-0467-40AA-964D-BC5915199CBF}" type="presParOf" srcId="{790183D9-D549-4580-9725-FB5D4ED8A328}" destId="{37A81B5D-87BC-41C0-A2AC-2D6261846FB7}" srcOrd="0" destOrd="0" presId="urn:microsoft.com/office/officeart/2005/8/layout/orgChart1"/>
    <dgm:cxn modelId="{5B8F4D40-2B74-4A43-9C32-3526BBB6C773}" type="presParOf" srcId="{790183D9-D549-4580-9725-FB5D4ED8A328}" destId="{D6FB865B-8A34-4A06-B657-54E2BFC66AEA}" srcOrd="1" destOrd="0" presId="urn:microsoft.com/office/officeart/2005/8/layout/orgChart1"/>
    <dgm:cxn modelId="{A1425C0C-59F7-4576-B36D-7ACBA324C68A}" type="presParOf" srcId="{D6FB865B-8A34-4A06-B657-54E2BFC66AEA}" destId="{EBC76442-287F-4BBF-A430-B2F984F4D625}" srcOrd="0" destOrd="0" presId="urn:microsoft.com/office/officeart/2005/8/layout/orgChart1"/>
    <dgm:cxn modelId="{178AD84E-5542-437F-9959-CE4A8F1AED44}" type="presParOf" srcId="{EBC76442-287F-4BBF-A430-B2F984F4D625}" destId="{D0C71868-9975-47B5-9F17-4345280AC1E5}" srcOrd="0" destOrd="0" presId="urn:microsoft.com/office/officeart/2005/8/layout/orgChart1"/>
    <dgm:cxn modelId="{0261BA41-CDC4-4A79-87C1-1F2DFD577DBD}" type="presParOf" srcId="{EBC76442-287F-4BBF-A430-B2F984F4D625}" destId="{38C2ACE6-F98A-4D46-9915-5F69B821E2E5}" srcOrd="1" destOrd="0" presId="urn:microsoft.com/office/officeart/2005/8/layout/orgChart1"/>
    <dgm:cxn modelId="{8043F7B8-1D28-47DC-A418-0BFBB538FF0C}" type="presParOf" srcId="{D6FB865B-8A34-4A06-B657-54E2BFC66AEA}" destId="{38E85E19-4BBF-4312-928F-B42B0970ADEB}" srcOrd="1" destOrd="0" presId="urn:microsoft.com/office/officeart/2005/8/layout/orgChart1"/>
    <dgm:cxn modelId="{47C721A3-7A77-451C-A764-2C03593C25E0}" type="presParOf" srcId="{38E85E19-4BBF-4312-928F-B42B0970ADEB}" destId="{6C1AFAED-130A-4B91-A5C0-4AB1DF8E8F4C}" srcOrd="0" destOrd="0" presId="urn:microsoft.com/office/officeart/2005/8/layout/orgChart1"/>
    <dgm:cxn modelId="{7C045FFB-2D0A-4303-8234-17D734E5F765}" type="presParOf" srcId="{38E85E19-4BBF-4312-928F-B42B0970ADEB}" destId="{BF608558-3A6D-47BB-AF59-3000691CB9A9}" srcOrd="1" destOrd="0" presId="urn:microsoft.com/office/officeart/2005/8/layout/orgChart1"/>
    <dgm:cxn modelId="{C0F1A32C-A32E-4900-B838-47C41C919345}" type="presParOf" srcId="{BF608558-3A6D-47BB-AF59-3000691CB9A9}" destId="{7C501EF2-0402-4777-8B26-7A4CF8865BC5}" srcOrd="0" destOrd="0" presId="urn:microsoft.com/office/officeart/2005/8/layout/orgChart1"/>
    <dgm:cxn modelId="{20A15168-E5B1-4E94-8D96-68FAF154BC10}" type="presParOf" srcId="{7C501EF2-0402-4777-8B26-7A4CF8865BC5}" destId="{87882C02-E0DD-44C1-BFD6-1E3C54850E09}" srcOrd="0" destOrd="0" presId="urn:microsoft.com/office/officeart/2005/8/layout/orgChart1"/>
    <dgm:cxn modelId="{C8DA00E9-0F6E-47DD-9819-9112EDD43E10}" type="presParOf" srcId="{7C501EF2-0402-4777-8B26-7A4CF8865BC5}" destId="{EB61381B-74AF-43C6-BB7E-55A01CCAAA81}" srcOrd="1" destOrd="0" presId="urn:microsoft.com/office/officeart/2005/8/layout/orgChart1"/>
    <dgm:cxn modelId="{B240673B-C3B8-444C-9DBA-6E02CA86CF98}" type="presParOf" srcId="{BF608558-3A6D-47BB-AF59-3000691CB9A9}" destId="{36390965-E7C0-4136-B52D-24D9275F068E}" srcOrd="1" destOrd="0" presId="urn:microsoft.com/office/officeart/2005/8/layout/orgChart1"/>
    <dgm:cxn modelId="{BD134460-692B-4FBC-9D9C-F4355F382B8E}" type="presParOf" srcId="{BF608558-3A6D-47BB-AF59-3000691CB9A9}" destId="{34CB5D2A-88D3-429D-AD66-37D4AE125D36}" srcOrd="2" destOrd="0" presId="urn:microsoft.com/office/officeart/2005/8/layout/orgChart1"/>
    <dgm:cxn modelId="{2DCDECE4-6A6F-4E4E-AB5D-8E4884591E19}" type="presParOf" srcId="{38E85E19-4BBF-4312-928F-B42B0970ADEB}" destId="{23C2BE05-C35B-4AD4-BB78-B9EFCD81AED6}" srcOrd="2" destOrd="0" presId="urn:microsoft.com/office/officeart/2005/8/layout/orgChart1"/>
    <dgm:cxn modelId="{51AE3DDE-59BE-4263-BBA3-9FB6CF0958CE}" type="presParOf" srcId="{38E85E19-4BBF-4312-928F-B42B0970ADEB}" destId="{416E3CF5-2018-41C5-9EE4-97CC58EA362B}" srcOrd="3" destOrd="0" presId="urn:microsoft.com/office/officeart/2005/8/layout/orgChart1"/>
    <dgm:cxn modelId="{7774BB24-26F2-49EF-8695-21FB6048F1A7}" type="presParOf" srcId="{416E3CF5-2018-41C5-9EE4-97CC58EA362B}" destId="{CEFBDEA7-62CA-4451-8EBD-13B8192CF555}" srcOrd="0" destOrd="0" presId="urn:microsoft.com/office/officeart/2005/8/layout/orgChart1"/>
    <dgm:cxn modelId="{B18230ED-3E0A-4F29-B061-CA82A18DFDAD}" type="presParOf" srcId="{CEFBDEA7-62CA-4451-8EBD-13B8192CF555}" destId="{EE636212-E301-4E72-A651-4FA246C4D7FD}" srcOrd="0" destOrd="0" presId="urn:microsoft.com/office/officeart/2005/8/layout/orgChart1"/>
    <dgm:cxn modelId="{8D28FE06-6BC3-4CC1-A069-30CB1515FC48}" type="presParOf" srcId="{CEFBDEA7-62CA-4451-8EBD-13B8192CF555}" destId="{0721380C-7232-460A-B46E-BBC90E0DBFF5}" srcOrd="1" destOrd="0" presId="urn:microsoft.com/office/officeart/2005/8/layout/orgChart1"/>
    <dgm:cxn modelId="{54AE74FA-E50B-4970-8C47-08ECB9C6167D}" type="presParOf" srcId="{416E3CF5-2018-41C5-9EE4-97CC58EA362B}" destId="{4B1C16C6-3566-4BFF-80DB-E2FAE4F091E1}" srcOrd="1" destOrd="0" presId="urn:microsoft.com/office/officeart/2005/8/layout/orgChart1"/>
    <dgm:cxn modelId="{4F046743-6659-4B49-9376-FCBB6BB2200D}" type="presParOf" srcId="{416E3CF5-2018-41C5-9EE4-97CC58EA362B}" destId="{3B9B786A-9834-47E9-B83E-3B9BF1C757FF}" srcOrd="2" destOrd="0" presId="urn:microsoft.com/office/officeart/2005/8/layout/orgChart1"/>
    <dgm:cxn modelId="{86C53268-B35D-48C8-BAB9-C13FE8E6EA73}" type="presParOf" srcId="{38E85E19-4BBF-4312-928F-B42B0970ADEB}" destId="{13B53198-3EC9-42F9-AC4D-94E12DEC3B0D}" srcOrd="4" destOrd="0" presId="urn:microsoft.com/office/officeart/2005/8/layout/orgChart1"/>
    <dgm:cxn modelId="{FC192124-02EE-4D62-91D5-BC985E934F4F}" type="presParOf" srcId="{38E85E19-4BBF-4312-928F-B42B0970ADEB}" destId="{B7A3CDAA-62BB-44EE-AEB1-E2537B34BFAF}" srcOrd="5" destOrd="0" presId="urn:microsoft.com/office/officeart/2005/8/layout/orgChart1"/>
    <dgm:cxn modelId="{AF09BCC3-8759-4000-BF2D-10B3D57B410D}" type="presParOf" srcId="{B7A3CDAA-62BB-44EE-AEB1-E2537B34BFAF}" destId="{2FC0A9D3-42D8-49BD-B0D4-000D36F109A0}" srcOrd="0" destOrd="0" presId="urn:microsoft.com/office/officeart/2005/8/layout/orgChart1"/>
    <dgm:cxn modelId="{524DDD5F-BD67-4A15-B11B-294EFF7D1A9B}" type="presParOf" srcId="{2FC0A9D3-42D8-49BD-B0D4-000D36F109A0}" destId="{F752DC40-7B6E-44C1-A38A-94A2058E5BA7}" srcOrd="0" destOrd="0" presId="urn:microsoft.com/office/officeart/2005/8/layout/orgChart1"/>
    <dgm:cxn modelId="{475171A3-236B-41E2-BCA4-BA02779614BD}" type="presParOf" srcId="{2FC0A9D3-42D8-49BD-B0D4-000D36F109A0}" destId="{8C84B262-90C8-419A-B6C7-A6A010A3A841}" srcOrd="1" destOrd="0" presId="urn:microsoft.com/office/officeart/2005/8/layout/orgChart1"/>
    <dgm:cxn modelId="{43BACC96-8372-415D-AD3E-63A802528137}" type="presParOf" srcId="{B7A3CDAA-62BB-44EE-AEB1-E2537B34BFAF}" destId="{5A6C9D73-44FA-4B10-9350-153CF1ABF865}" srcOrd="1" destOrd="0" presId="urn:microsoft.com/office/officeart/2005/8/layout/orgChart1"/>
    <dgm:cxn modelId="{331886C3-8447-4914-939A-99951281B4C4}" type="presParOf" srcId="{B7A3CDAA-62BB-44EE-AEB1-E2537B34BFAF}" destId="{87F0A201-834B-4D96-AB25-DCCB7723B652}" srcOrd="2" destOrd="0" presId="urn:microsoft.com/office/officeart/2005/8/layout/orgChart1"/>
    <dgm:cxn modelId="{DD067A77-4ADD-479B-B15F-DA2B0DA3BC79}" type="presParOf" srcId="{D6FB865B-8A34-4A06-B657-54E2BFC66AEA}" destId="{3483035D-A102-44E3-BB68-7E936D6583D6}" srcOrd="2" destOrd="0" presId="urn:microsoft.com/office/officeart/2005/8/layout/orgChart1"/>
    <dgm:cxn modelId="{E9D2812A-2C54-40A2-9107-ECDA7D19C6CB}" type="presParOf" srcId="{790183D9-D549-4580-9725-FB5D4ED8A328}" destId="{ABC56D23-F9E0-40F5-8D2C-B479A09E0150}" srcOrd="2" destOrd="0" presId="urn:microsoft.com/office/officeart/2005/8/layout/orgChart1"/>
    <dgm:cxn modelId="{1C1DF763-2DFF-49B0-A6E3-A67D867D5479}" type="presParOf" srcId="{790183D9-D549-4580-9725-FB5D4ED8A328}" destId="{D17B02C8-961F-4449-9670-9D19D4F90F25}" srcOrd="3" destOrd="0" presId="urn:microsoft.com/office/officeart/2005/8/layout/orgChart1"/>
    <dgm:cxn modelId="{A130EBDC-F557-4639-A801-C052D2B99F82}" type="presParOf" srcId="{D17B02C8-961F-4449-9670-9D19D4F90F25}" destId="{70D6FA3D-B6A4-48CE-9268-77ABF455FAF0}" srcOrd="0" destOrd="0" presId="urn:microsoft.com/office/officeart/2005/8/layout/orgChart1"/>
    <dgm:cxn modelId="{0D6331C1-1E05-412C-AD67-0F59DE0970F9}" type="presParOf" srcId="{70D6FA3D-B6A4-48CE-9268-77ABF455FAF0}" destId="{DFBFB404-0D2D-4627-B0D7-4FB63471431F}" srcOrd="0" destOrd="0" presId="urn:microsoft.com/office/officeart/2005/8/layout/orgChart1"/>
    <dgm:cxn modelId="{87DBAB1A-1431-46F3-B693-03E190D06BBA}" type="presParOf" srcId="{70D6FA3D-B6A4-48CE-9268-77ABF455FAF0}" destId="{026882D0-EDE9-459E-94F3-EB888604FDAD}" srcOrd="1" destOrd="0" presId="urn:microsoft.com/office/officeart/2005/8/layout/orgChart1"/>
    <dgm:cxn modelId="{5744455E-2DBA-40C3-AF6C-F83165D22E18}" type="presParOf" srcId="{D17B02C8-961F-4449-9670-9D19D4F90F25}" destId="{39D24C13-BEEF-4E6A-BC33-A85297760998}" srcOrd="1" destOrd="0" presId="urn:microsoft.com/office/officeart/2005/8/layout/orgChart1"/>
    <dgm:cxn modelId="{0A0497D8-C868-46D0-9045-DF425C76136F}" type="presParOf" srcId="{39D24C13-BEEF-4E6A-BC33-A85297760998}" destId="{6782239F-CE21-4464-B90C-854BCECF8D06}" srcOrd="0" destOrd="0" presId="urn:microsoft.com/office/officeart/2005/8/layout/orgChart1"/>
    <dgm:cxn modelId="{7E592552-4749-4ECB-A5CB-E55F86BE2167}" type="presParOf" srcId="{39D24C13-BEEF-4E6A-BC33-A85297760998}" destId="{CA97D5BD-756D-4F09-871E-6C0647965D96}" srcOrd="1" destOrd="0" presId="urn:microsoft.com/office/officeart/2005/8/layout/orgChart1"/>
    <dgm:cxn modelId="{A2B7C94F-20E4-4541-B47F-F311B30A110E}" type="presParOf" srcId="{CA97D5BD-756D-4F09-871E-6C0647965D96}" destId="{5D96DF2A-11B2-43D0-A497-4EE00C37BEAE}" srcOrd="0" destOrd="0" presId="urn:microsoft.com/office/officeart/2005/8/layout/orgChart1"/>
    <dgm:cxn modelId="{D3F24036-98E1-4634-A6DF-9C3FA667D6A9}" type="presParOf" srcId="{5D96DF2A-11B2-43D0-A497-4EE00C37BEAE}" destId="{84D2B172-B1E7-4A16-919E-63A72442E121}" srcOrd="0" destOrd="0" presId="urn:microsoft.com/office/officeart/2005/8/layout/orgChart1"/>
    <dgm:cxn modelId="{C09E3485-5C57-4459-858B-6A74FF47C28B}" type="presParOf" srcId="{5D96DF2A-11B2-43D0-A497-4EE00C37BEAE}" destId="{5242AC8E-8DF8-47B6-93D0-FFBE7443D68E}" srcOrd="1" destOrd="0" presId="urn:microsoft.com/office/officeart/2005/8/layout/orgChart1"/>
    <dgm:cxn modelId="{40AC1D09-8410-431B-AC75-1905C1B47371}" type="presParOf" srcId="{CA97D5BD-756D-4F09-871E-6C0647965D96}" destId="{E7042688-8D59-46B6-B336-A14EFDE87CA5}" srcOrd="1" destOrd="0" presId="urn:microsoft.com/office/officeart/2005/8/layout/orgChart1"/>
    <dgm:cxn modelId="{5D94FED4-BAE8-49B3-88D5-F80ACC0FAE14}" type="presParOf" srcId="{CA97D5BD-756D-4F09-871E-6C0647965D96}" destId="{C95B432D-2133-4EFD-8E3F-DD9F38E470BE}" srcOrd="2" destOrd="0" presId="urn:microsoft.com/office/officeart/2005/8/layout/orgChart1"/>
    <dgm:cxn modelId="{AA04631F-5AC9-4B24-AC64-2563C4B30C66}" type="presParOf" srcId="{39D24C13-BEEF-4E6A-BC33-A85297760998}" destId="{0CD59D97-A0FE-446B-9D5D-B2C2DCF9395E}" srcOrd="2" destOrd="0" presId="urn:microsoft.com/office/officeart/2005/8/layout/orgChart1"/>
    <dgm:cxn modelId="{75FD6957-AAE7-4D4F-8BCD-1832835EB197}" type="presParOf" srcId="{39D24C13-BEEF-4E6A-BC33-A85297760998}" destId="{9167D7C1-D05B-4E76-9336-EF762DBFA215}" srcOrd="3" destOrd="0" presId="urn:microsoft.com/office/officeart/2005/8/layout/orgChart1"/>
    <dgm:cxn modelId="{6F26994C-F4A5-4350-B6C5-D63B3A47A005}" type="presParOf" srcId="{9167D7C1-D05B-4E76-9336-EF762DBFA215}" destId="{150BBA67-C27C-487A-85E0-635D68DF6A66}" srcOrd="0" destOrd="0" presId="urn:microsoft.com/office/officeart/2005/8/layout/orgChart1"/>
    <dgm:cxn modelId="{19B41191-1F91-43A1-B996-2627727696EA}" type="presParOf" srcId="{150BBA67-C27C-487A-85E0-635D68DF6A66}" destId="{CD166102-5550-412E-9845-76D57E0D6481}" srcOrd="0" destOrd="0" presId="urn:microsoft.com/office/officeart/2005/8/layout/orgChart1"/>
    <dgm:cxn modelId="{C55CD976-37BE-4F1C-ABB2-A178102B834B}" type="presParOf" srcId="{150BBA67-C27C-487A-85E0-635D68DF6A66}" destId="{B41C13C3-01AD-437C-930D-6D73E52EFFB5}" srcOrd="1" destOrd="0" presId="urn:microsoft.com/office/officeart/2005/8/layout/orgChart1"/>
    <dgm:cxn modelId="{F7519975-D32B-4938-A5BB-1C17A28522E8}" type="presParOf" srcId="{9167D7C1-D05B-4E76-9336-EF762DBFA215}" destId="{693FA8EF-5C82-4A15-92D0-E3E32D8B35CD}" srcOrd="1" destOrd="0" presId="urn:microsoft.com/office/officeart/2005/8/layout/orgChart1"/>
    <dgm:cxn modelId="{21AF06F9-4BBE-4FE5-B7CF-FC0F22057823}" type="presParOf" srcId="{9167D7C1-D05B-4E76-9336-EF762DBFA215}" destId="{3A1C6E06-7977-4B6C-A76D-028505090CEC}" srcOrd="2" destOrd="0" presId="urn:microsoft.com/office/officeart/2005/8/layout/orgChart1"/>
    <dgm:cxn modelId="{0BF7260A-0541-443C-85A3-DF4DBF1589C0}" type="presParOf" srcId="{39D24C13-BEEF-4E6A-BC33-A85297760998}" destId="{4891FAE5-EA73-48E8-B207-27FED46380A3}" srcOrd="4" destOrd="0" presId="urn:microsoft.com/office/officeart/2005/8/layout/orgChart1"/>
    <dgm:cxn modelId="{5664D064-66D6-42B1-AF3C-1685BA3A0A99}" type="presParOf" srcId="{39D24C13-BEEF-4E6A-BC33-A85297760998}" destId="{E439550F-70EB-4CEB-B3FF-CFE5F569C413}" srcOrd="5" destOrd="0" presId="urn:microsoft.com/office/officeart/2005/8/layout/orgChart1"/>
    <dgm:cxn modelId="{6DCAE77F-3E6D-451C-9C64-9B59B437A879}" type="presParOf" srcId="{E439550F-70EB-4CEB-B3FF-CFE5F569C413}" destId="{6CE0C12A-693A-4877-8C9B-FD82B3BCF965}" srcOrd="0" destOrd="0" presId="urn:microsoft.com/office/officeart/2005/8/layout/orgChart1"/>
    <dgm:cxn modelId="{8CF34963-2372-47EC-B46E-4D41D70D939E}" type="presParOf" srcId="{6CE0C12A-693A-4877-8C9B-FD82B3BCF965}" destId="{049852A8-94EA-406A-A4A5-C348CF12A5FC}" srcOrd="0" destOrd="0" presId="urn:microsoft.com/office/officeart/2005/8/layout/orgChart1"/>
    <dgm:cxn modelId="{DB44ABB2-A24B-4395-A58F-33E9F7FD2CEF}" type="presParOf" srcId="{6CE0C12A-693A-4877-8C9B-FD82B3BCF965}" destId="{8156D29F-17EB-45ED-AAEB-14FE4EAAA8F3}" srcOrd="1" destOrd="0" presId="urn:microsoft.com/office/officeart/2005/8/layout/orgChart1"/>
    <dgm:cxn modelId="{7DFFE2BF-D1FB-487D-9A75-A07044090ABB}" type="presParOf" srcId="{E439550F-70EB-4CEB-B3FF-CFE5F569C413}" destId="{C3D85408-BBA9-4DB8-B10F-CA05E183E7F3}" srcOrd="1" destOrd="0" presId="urn:microsoft.com/office/officeart/2005/8/layout/orgChart1"/>
    <dgm:cxn modelId="{FA97B14E-C6D1-4D30-B2C5-692CFD298B5E}" type="presParOf" srcId="{E439550F-70EB-4CEB-B3FF-CFE5F569C413}" destId="{74D9D30A-9D66-4EA4-BEF8-E851816F5D1C}" srcOrd="2" destOrd="0" presId="urn:microsoft.com/office/officeart/2005/8/layout/orgChart1"/>
    <dgm:cxn modelId="{3E6AA8C3-C529-43E7-A1AD-B0FCF2BB4322}" type="presParOf" srcId="{D17B02C8-961F-4449-9670-9D19D4F90F25}" destId="{D4CDE5F3-927D-4DD7-BE85-F3DFCDA29D4A}" srcOrd="2" destOrd="0" presId="urn:microsoft.com/office/officeart/2005/8/layout/orgChart1"/>
    <dgm:cxn modelId="{BA37AEC2-4534-4F6B-9200-FD14D51CE174}" type="presParOf" srcId="{790183D9-D549-4580-9725-FB5D4ED8A328}" destId="{F2AFE134-3F00-46C7-AAC6-B6D5ED070B18}" srcOrd="4" destOrd="0" presId="urn:microsoft.com/office/officeart/2005/8/layout/orgChart1"/>
    <dgm:cxn modelId="{E2E9DD29-4494-43F2-B0C1-C1753CB6A71E}" type="presParOf" srcId="{790183D9-D549-4580-9725-FB5D4ED8A328}" destId="{901EC4FE-CA13-4D12-AB92-409D0175353C}" srcOrd="5" destOrd="0" presId="urn:microsoft.com/office/officeart/2005/8/layout/orgChart1"/>
    <dgm:cxn modelId="{7D2D27E4-BD27-413D-A85B-95A95EFD40B1}" type="presParOf" srcId="{901EC4FE-CA13-4D12-AB92-409D0175353C}" destId="{B68CBA2B-56DD-4FEA-A343-D549EF084D9C}" srcOrd="0" destOrd="0" presId="urn:microsoft.com/office/officeart/2005/8/layout/orgChart1"/>
    <dgm:cxn modelId="{F60AD209-A530-47A1-9404-D7147838D7DF}" type="presParOf" srcId="{B68CBA2B-56DD-4FEA-A343-D549EF084D9C}" destId="{B4C86F6D-F3EE-4147-A06A-643F9BFC18C7}" srcOrd="0" destOrd="0" presId="urn:microsoft.com/office/officeart/2005/8/layout/orgChart1"/>
    <dgm:cxn modelId="{01E77399-767F-41B9-BD3F-4005E5CDF92E}" type="presParOf" srcId="{B68CBA2B-56DD-4FEA-A343-D549EF084D9C}" destId="{F70E9A4C-E562-436D-B793-F8BED5F91580}" srcOrd="1" destOrd="0" presId="urn:microsoft.com/office/officeart/2005/8/layout/orgChart1"/>
    <dgm:cxn modelId="{02ACEFC7-1AB9-4AC5-94E6-E3F942147524}" type="presParOf" srcId="{901EC4FE-CA13-4D12-AB92-409D0175353C}" destId="{1F022B7E-6B11-40AC-93D0-5B924DF0F29F}" srcOrd="1" destOrd="0" presId="urn:microsoft.com/office/officeart/2005/8/layout/orgChart1"/>
    <dgm:cxn modelId="{1352B596-F147-48ED-922D-E02B2818D45B}" type="presParOf" srcId="{1F022B7E-6B11-40AC-93D0-5B924DF0F29F}" destId="{0BB9E70C-AC65-478E-B47E-4C95061FD7DD}" srcOrd="0" destOrd="0" presId="urn:microsoft.com/office/officeart/2005/8/layout/orgChart1"/>
    <dgm:cxn modelId="{70F9CB3C-E3F9-4C8B-B436-4DA1C27FE3D0}" type="presParOf" srcId="{1F022B7E-6B11-40AC-93D0-5B924DF0F29F}" destId="{7CC9639D-6BE5-4AA5-A501-F2886FEF30B4}" srcOrd="1" destOrd="0" presId="urn:microsoft.com/office/officeart/2005/8/layout/orgChart1"/>
    <dgm:cxn modelId="{01EEC005-EEB8-43DF-9001-FE43A0ECC89E}" type="presParOf" srcId="{7CC9639D-6BE5-4AA5-A501-F2886FEF30B4}" destId="{27F51E99-C647-45E4-A383-51B83D1FB34C}" srcOrd="0" destOrd="0" presId="urn:microsoft.com/office/officeart/2005/8/layout/orgChart1"/>
    <dgm:cxn modelId="{CD96F040-E1A8-4086-866E-8E6CE6807DD1}" type="presParOf" srcId="{27F51E99-C647-45E4-A383-51B83D1FB34C}" destId="{8244F71B-B85E-4709-BD94-0ABBFB562FFC}" srcOrd="0" destOrd="0" presId="urn:microsoft.com/office/officeart/2005/8/layout/orgChart1"/>
    <dgm:cxn modelId="{D4895A47-FD7C-4482-8BC8-9B06B0A4E91A}" type="presParOf" srcId="{27F51E99-C647-45E4-A383-51B83D1FB34C}" destId="{81D2B6E6-31CD-43E0-BF96-FFAFB8768C39}" srcOrd="1" destOrd="0" presId="urn:microsoft.com/office/officeart/2005/8/layout/orgChart1"/>
    <dgm:cxn modelId="{E9EF0E1B-527D-49B1-87E8-D752CDBFB0A0}" type="presParOf" srcId="{7CC9639D-6BE5-4AA5-A501-F2886FEF30B4}" destId="{5D52B81C-D415-40E0-9201-D93F48F9A077}" srcOrd="1" destOrd="0" presId="urn:microsoft.com/office/officeart/2005/8/layout/orgChart1"/>
    <dgm:cxn modelId="{A517A2CE-DD4F-4B70-A4BC-84261928AE02}" type="presParOf" srcId="{7CC9639D-6BE5-4AA5-A501-F2886FEF30B4}" destId="{070AB1B5-5A8F-43E1-8F56-E905256AD143}" srcOrd="2" destOrd="0" presId="urn:microsoft.com/office/officeart/2005/8/layout/orgChart1"/>
    <dgm:cxn modelId="{2EEDA049-CC50-45A8-B439-4C7ED3E1C346}" type="presParOf" srcId="{1F022B7E-6B11-40AC-93D0-5B924DF0F29F}" destId="{B41A9B77-6294-4447-8DBE-99799DBDB4C5}" srcOrd="2" destOrd="0" presId="urn:microsoft.com/office/officeart/2005/8/layout/orgChart1"/>
    <dgm:cxn modelId="{ABAD36C6-D5D3-4B77-BDE4-603A0199DE0B}" type="presParOf" srcId="{1F022B7E-6B11-40AC-93D0-5B924DF0F29F}" destId="{A6BB2E1C-FD5E-420D-8EA8-3CECF96F3C05}" srcOrd="3" destOrd="0" presId="urn:microsoft.com/office/officeart/2005/8/layout/orgChart1"/>
    <dgm:cxn modelId="{07FCB1EC-037C-4D15-953C-B0480C80ACE8}" type="presParOf" srcId="{A6BB2E1C-FD5E-420D-8EA8-3CECF96F3C05}" destId="{B3EE43DF-9010-4050-AEA8-17B8413E2B3E}" srcOrd="0" destOrd="0" presId="urn:microsoft.com/office/officeart/2005/8/layout/orgChart1"/>
    <dgm:cxn modelId="{D625C91A-7D5C-4F3B-AD1D-47E412F6EE7B}" type="presParOf" srcId="{B3EE43DF-9010-4050-AEA8-17B8413E2B3E}" destId="{61571800-0A8D-4FC4-8D8D-547C885DB07E}" srcOrd="0" destOrd="0" presId="urn:microsoft.com/office/officeart/2005/8/layout/orgChart1"/>
    <dgm:cxn modelId="{B8EF5D87-D728-4CBC-A848-0A3D24E98AD8}" type="presParOf" srcId="{B3EE43DF-9010-4050-AEA8-17B8413E2B3E}" destId="{E6FBFD17-1284-4AE2-A512-9DCDC154BE15}" srcOrd="1" destOrd="0" presId="urn:microsoft.com/office/officeart/2005/8/layout/orgChart1"/>
    <dgm:cxn modelId="{D73CD7DA-F862-4C6D-BABD-7F8B679ED721}" type="presParOf" srcId="{A6BB2E1C-FD5E-420D-8EA8-3CECF96F3C05}" destId="{651F623E-88F6-475E-9B73-36881D8B6767}" srcOrd="1" destOrd="0" presId="urn:microsoft.com/office/officeart/2005/8/layout/orgChart1"/>
    <dgm:cxn modelId="{C68A34C8-11DF-4E4A-B8AE-C04D4E3422AE}" type="presParOf" srcId="{A6BB2E1C-FD5E-420D-8EA8-3CECF96F3C05}" destId="{30D8B834-8335-4BF0-AF27-5457DB5B578B}" srcOrd="2" destOrd="0" presId="urn:microsoft.com/office/officeart/2005/8/layout/orgChart1"/>
    <dgm:cxn modelId="{C9FCF37F-9A7E-4805-B52D-0CF7CFF03C32}" type="presParOf" srcId="{1F022B7E-6B11-40AC-93D0-5B924DF0F29F}" destId="{2BDA2F55-655E-48C8-BC65-DE70EECF077B}" srcOrd="4" destOrd="0" presId="urn:microsoft.com/office/officeart/2005/8/layout/orgChart1"/>
    <dgm:cxn modelId="{5C5E40C0-171A-4BAD-9FE9-44AEF7AE60BD}" type="presParOf" srcId="{1F022B7E-6B11-40AC-93D0-5B924DF0F29F}" destId="{84A41E76-44DD-43C8-96C8-DEA49D6D84F3}" srcOrd="5" destOrd="0" presId="urn:microsoft.com/office/officeart/2005/8/layout/orgChart1"/>
    <dgm:cxn modelId="{67DABCEF-22F5-4BBB-80F3-89C35B65EC65}" type="presParOf" srcId="{84A41E76-44DD-43C8-96C8-DEA49D6D84F3}" destId="{6012615D-D26C-4C74-B75C-A7FCA36F9191}" srcOrd="0" destOrd="0" presId="urn:microsoft.com/office/officeart/2005/8/layout/orgChart1"/>
    <dgm:cxn modelId="{FE194D1C-6849-41FE-8CDF-6B253753D051}" type="presParOf" srcId="{6012615D-D26C-4C74-B75C-A7FCA36F9191}" destId="{368FB3DE-A623-4884-AA7E-90E551597398}" srcOrd="0" destOrd="0" presId="urn:microsoft.com/office/officeart/2005/8/layout/orgChart1"/>
    <dgm:cxn modelId="{2349FDE7-7C46-491F-B090-E3B7EE95FC0D}" type="presParOf" srcId="{6012615D-D26C-4C74-B75C-A7FCA36F9191}" destId="{F80ABF11-685A-46DA-8CB7-93FE72A8CD82}" srcOrd="1" destOrd="0" presId="urn:microsoft.com/office/officeart/2005/8/layout/orgChart1"/>
    <dgm:cxn modelId="{08460869-B657-4700-A5F0-FBFA0996FB17}" type="presParOf" srcId="{84A41E76-44DD-43C8-96C8-DEA49D6D84F3}" destId="{ED05B4FC-BA65-451A-ADC5-DC868D659FD0}" srcOrd="1" destOrd="0" presId="urn:microsoft.com/office/officeart/2005/8/layout/orgChart1"/>
    <dgm:cxn modelId="{414E7492-AB85-4096-A136-E1715F261837}" type="presParOf" srcId="{84A41E76-44DD-43C8-96C8-DEA49D6D84F3}" destId="{FAB4D698-FB85-4053-8FAD-7261D0D69010}" srcOrd="2" destOrd="0" presId="urn:microsoft.com/office/officeart/2005/8/layout/orgChart1"/>
    <dgm:cxn modelId="{272852D4-F712-41CB-8E64-D4A4A211F8C6}" type="presParOf" srcId="{901EC4FE-CA13-4D12-AB92-409D0175353C}" destId="{773B0B24-92D3-4ABF-9E53-AE2AE85D5A00}" srcOrd="2" destOrd="0" presId="urn:microsoft.com/office/officeart/2005/8/layout/orgChart1"/>
    <dgm:cxn modelId="{18B01B9A-1C2E-4126-86F8-AC74C7837A2B}" type="presParOf" srcId="{E8AE033F-A5D7-4B7B-96FA-EFCD7D85FCF3}" destId="{767018E4-E68C-4C1E-88C9-198DB847D5AD}" srcOrd="2" destOrd="0" presId="urn:microsoft.com/office/officeart/2005/8/layout/orgChart1"/>
    <dgm:cxn modelId="{070115B2-452D-4397-885C-35BC5DB68C5E}" type="presParOf" srcId="{B42CB1AC-6714-4740-877A-C021AA2FC6CD}" destId="{CC47BA72-88C1-4B69-B3F5-D02B3D8B750D}" srcOrd="2" destOrd="0" presId="urn:microsoft.com/office/officeart/2005/8/layout/orgChart1"/>
    <dgm:cxn modelId="{5E9B989B-16A6-474B-B4B5-2219D3C36D67}" type="presParOf" srcId="{B42CB1AC-6714-4740-877A-C021AA2FC6CD}" destId="{3FBFC1DD-2246-424A-A58C-B352429F7475}" srcOrd="3" destOrd="0" presId="urn:microsoft.com/office/officeart/2005/8/layout/orgChart1"/>
    <dgm:cxn modelId="{5365B2D8-862B-429C-AE03-3FF31F282095}" type="presParOf" srcId="{3FBFC1DD-2246-424A-A58C-B352429F7475}" destId="{5A2AEA3F-4BC9-4BFC-9681-4B2343C63BFA}" srcOrd="0" destOrd="0" presId="urn:microsoft.com/office/officeart/2005/8/layout/orgChart1"/>
    <dgm:cxn modelId="{33C92573-2264-4B31-949F-630F400565BE}" type="presParOf" srcId="{5A2AEA3F-4BC9-4BFC-9681-4B2343C63BFA}" destId="{081DE242-B243-4BEE-A2EF-F43AE0C5B242}" srcOrd="0" destOrd="0" presId="urn:microsoft.com/office/officeart/2005/8/layout/orgChart1"/>
    <dgm:cxn modelId="{0A002DD7-D996-48EB-8F16-72CFDF69037F}" type="presParOf" srcId="{5A2AEA3F-4BC9-4BFC-9681-4B2343C63BFA}" destId="{A0E74E53-BC0D-4F2D-BE62-006AD847899F}" srcOrd="1" destOrd="0" presId="urn:microsoft.com/office/officeart/2005/8/layout/orgChart1"/>
    <dgm:cxn modelId="{E5CF2C52-FFD8-4752-BCD6-7457A7A1694D}" type="presParOf" srcId="{3FBFC1DD-2246-424A-A58C-B352429F7475}" destId="{2794909B-F35E-4681-BCDB-F46FC69DE49D}" srcOrd="1" destOrd="0" presId="urn:microsoft.com/office/officeart/2005/8/layout/orgChart1"/>
    <dgm:cxn modelId="{A6203387-8947-42B7-B28A-78A7505B3D33}" type="presParOf" srcId="{2794909B-F35E-4681-BCDB-F46FC69DE49D}" destId="{8F078016-7D7C-4CFF-9F9C-63555F2A56E1}" srcOrd="0" destOrd="0" presId="urn:microsoft.com/office/officeart/2005/8/layout/orgChart1"/>
    <dgm:cxn modelId="{DB8BA391-10D1-4D6A-B49F-2557C637C2D0}" type="presParOf" srcId="{2794909B-F35E-4681-BCDB-F46FC69DE49D}" destId="{237733B3-CD2D-4139-8769-2D88AB7D5503}" srcOrd="1" destOrd="0" presId="urn:microsoft.com/office/officeart/2005/8/layout/orgChart1"/>
    <dgm:cxn modelId="{83484E62-0F03-452D-AB4C-D8AAA69DF899}" type="presParOf" srcId="{237733B3-CD2D-4139-8769-2D88AB7D5503}" destId="{40DD00F0-E61C-44F5-8B59-E52888CAEFF1}" srcOrd="0" destOrd="0" presId="urn:microsoft.com/office/officeart/2005/8/layout/orgChart1"/>
    <dgm:cxn modelId="{ACB2AAB1-E25B-40CA-AB2D-9DD416A6E77E}" type="presParOf" srcId="{40DD00F0-E61C-44F5-8B59-E52888CAEFF1}" destId="{7CF15005-9BB4-4F6C-A5C5-7EE8E1F18C04}" srcOrd="0" destOrd="0" presId="urn:microsoft.com/office/officeart/2005/8/layout/orgChart1"/>
    <dgm:cxn modelId="{F7DA6427-F694-4733-A98F-2953CE57FF4A}" type="presParOf" srcId="{40DD00F0-E61C-44F5-8B59-E52888CAEFF1}" destId="{99D62190-7AB0-4127-9626-FBCEF3700323}" srcOrd="1" destOrd="0" presId="urn:microsoft.com/office/officeart/2005/8/layout/orgChart1"/>
    <dgm:cxn modelId="{9FEB3621-03B0-437D-90BA-9F95C75DDAE9}" type="presParOf" srcId="{237733B3-CD2D-4139-8769-2D88AB7D5503}" destId="{2A4D4091-F418-4FF8-82E8-175C756D3AC0}" srcOrd="1" destOrd="0" presId="urn:microsoft.com/office/officeart/2005/8/layout/orgChart1"/>
    <dgm:cxn modelId="{A9D7EF34-77E0-4060-80E1-BFBC1CA5F5BD}" type="presParOf" srcId="{2A4D4091-F418-4FF8-82E8-175C756D3AC0}" destId="{F101E42C-1F98-4CCA-835D-886350D76600}" srcOrd="0" destOrd="0" presId="urn:microsoft.com/office/officeart/2005/8/layout/orgChart1"/>
    <dgm:cxn modelId="{B01113BB-7185-497E-9330-EFD4F6275CBF}" type="presParOf" srcId="{2A4D4091-F418-4FF8-82E8-175C756D3AC0}" destId="{31EAEFB4-C9D5-40FF-818E-F31410624EEF}" srcOrd="1" destOrd="0" presId="urn:microsoft.com/office/officeart/2005/8/layout/orgChart1"/>
    <dgm:cxn modelId="{7F7A4A3D-367C-40C7-A123-B280F27AC0B2}" type="presParOf" srcId="{31EAEFB4-C9D5-40FF-818E-F31410624EEF}" destId="{A4507D47-840A-4D18-82B1-5E9EC69096C5}" srcOrd="0" destOrd="0" presId="urn:microsoft.com/office/officeart/2005/8/layout/orgChart1"/>
    <dgm:cxn modelId="{CBEA91BF-E46B-4219-A8FE-1355F409BC2C}" type="presParOf" srcId="{A4507D47-840A-4D18-82B1-5E9EC69096C5}" destId="{39AEE0EC-0C8A-401D-8E43-4EA5285EF20E}" srcOrd="0" destOrd="0" presId="urn:microsoft.com/office/officeart/2005/8/layout/orgChart1"/>
    <dgm:cxn modelId="{9076ED96-00A0-4756-9973-81A949531B0C}" type="presParOf" srcId="{A4507D47-840A-4D18-82B1-5E9EC69096C5}" destId="{6D7F3F3D-1865-4C4C-B0EF-AEDA3D59E241}" srcOrd="1" destOrd="0" presId="urn:microsoft.com/office/officeart/2005/8/layout/orgChart1"/>
    <dgm:cxn modelId="{5D57CB4F-2BCC-4EEA-8C40-4B4624735A56}" type="presParOf" srcId="{31EAEFB4-C9D5-40FF-818E-F31410624EEF}" destId="{475E790F-AC38-4652-AA7A-1B7FDF26120A}" srcOrd="1" destOrd="0" presId="urn:microsoft.com/office/officeart/2005/8/layout/orgChart1"/>
    <dgm:cxn modelId="{CC7E1B46-11AE-47A0-A976-706A9DC56EB5}" type="presParOf" srcId="{31EAEFB4-C9D5-40FF-818E-F31410624EEF}" destId="{E744C7AC-010A-435C-9EE8-6385A1C634DE}" srcOrd="2" destOrd="0" presId="urn:microsoft.com/office/officeart/2005/8/layout/orgChart1"/>
    <dgm:cxn modelId="{77CF0A50-B8E4-472E-9CB5-FF73A6CE268E}" type="presParOf" srcId="{2A4D4091-F418-4FF8-82E8-175C756D3AC0}" destId="{AA79F97D-CE59-4D91-A4F3-97D379538E65}" srcOrd="2" destOrd="0" presId="urn:microsoft.com/office/officeart/2005/8/layout/orgChart1"/>
    <dgm:cxn modelId="{9234F70F-005E-4BF4-803E-6EAA2CB602A1}" type="presParOf" srcId="{2A4D4091-F418-4FF8-82E8-175C756D3AC0}" destId="{E506F479-2BCE-4922-AAA3-FBF0D9496097}" srcOrd="3" destOrd="0" presId="urn:microsoft.com/office/officeart/2005/8/layout/orgChart1"/>
    <dgm:cxn modelId="{B3954ADB-70F9-4B59-8C0D-53E01E038173}" type="presParOf" srcId="{E506F479-2BCE-4922-AAA3-FBF0D9496097}" destId="{98761377-B2C8-47EF-8BC2-55B9607503EC}" srcOrd="0" destOrd="0" presId="urn:microsoft.com/office/officeart/2005/8/layout/orgChart1"/>
    <dgm:cxn modelId="{15FBA6D5-9113-43DE-B8CD-FA47E79523D5}" type="presParOf" srcId="{98761377-B2C8-47EF-8BC2-55B9607503EC}" destId="{894C4110-F916-4DF2-B14B-DF032E7E5027}" srcOrd="0" destOrd="0" presId="urn:microsoft.com/office/officeart/2005/8/layout/orgChart1"/>
    <dgm:cxn modelId="{3B5E4965-1201-42A3-A5FD-311DF2611986}" type="presParOf" srcId="{98761377-B2C8-47EF-8BC2-55B9607503EC}" destId="{3A21286B-E30B-4A7E-A32D-9B49C92A4AF2}" srcOrd="1" destOrd="0" presId="urn:microsoft.com/office/officeart/2005/8/layout/orgChart1"/>
    <dgm:cxn modelId="{838667BA-F1CC-4F4B-AC1B-024F60C28687}" type="presParOf" srcId="{E506F479-2BCE-4922-AAA3-FBF0D9496097}" destId="{95F551E9-324E-4D47-B3FB-06311F996580}" srcOrd="1" destOrd="0" presId="urn:microsoft.com/office/officeart/2005/8/layout/orgChart1"/>
    <dgm:cxn modelId="{C686BDAD-5064-413F-86F9-2C2122BC68BF}" type="presParOf" srcId="{E506F479-2BCE-4922-AAA3-FBF0D9496097}" destId="{2048E3B7-8D98-43AD-8EDF-5251B386FE26}" srcOrd="2" destOrd="0" presId="urn:microsoft.com/office/officeart/2005/8/layout/orgChart1"/>
    <dgm:cxn modelId="{41989306-8A43-4BDC-AE97-F0AA632B32EE}" type="presParOf" srcId="{2A4D4091-F418-4FF8-82E8-175C756D3AC0}" destId="{508FFC0E-A829-4EE0-8348-E36331CA4662}" srcOrd="4" destOrd="0" presId="urn:microsoft.com/office/officeart/2005/8/layout/orgChart1"/>
    <dgm:cxn modelId="{6235375F-A209-49F0-9B19-4FED2946BDDC}" type="presParOf" srcId="{2A4D4091-F418-4FF8-82E8-175C756D3AC0}" destId="{1DFC812A-7E1A-49B4-9BD0-1E857BFA6D8C}" srcOrd="5" destOrd="0" presId="urn:microsoft.com/office/officeart/2005/8/layout/orgChart1"/>
    <dgm:cxn modelId="{D47E0B4D-BCEF-4EC9-AD2C-336526653B83}" type="presParOf" srcId="{1DFC812A-7E1A-49B4-9BD0-1E857BFA6D8C}" destId="{C1B7F2B4-930E-49FE-921C-D1259185741F}" srcOrd="0" destOrd="0" presId="urn:microsoft.com/office/officeart/2005/8/layout/orgChart1"/>
    <dgm:cxn modelId="{35EA7135-B578-4B5A-AAF9-EA6E71F11BD9}" type="presParOf" srcId="{C1B7F2B4-930E-49FE-921C-D1259185741F}" destId="{00A20F84-DF18-4292-B27E-A9895C81FD8D}" srcOrd="0" destOrd="0" presId="urn:microsoft.com/office/officeart/2005/8/layout/orgChart1"/>
    <dgm:cxn modelId="{ED0C230E-9F88-4F0E-BEE4-59F1FC192D01}" type="presParOf" srcId="{C1B7F2B4-930E-49FE-921C-D1259185741F}" destId="{49638EF3-EFC3-4D54-9816-510CF4B4F0D0}" srcOrd="1" destOrd="0" presId="urn:microsoft.com/office/officeart/2005/8/layout/orgChart1"/>
    <dgm:cxn modelId="{7B45C629-D423-43FB-B948-407F85B70D89}" type="presParOf" srcId="{1DFC812A-7E1A-49B4-9BD0-1E857BFA6D8C}" destId="{C350B883-C2FB-419E-BA69-F60749D05A92}" srcOrd="1" destOrd="0" presId="urn:microsoft.com/office/officeart/2005/8/layout/orgChart1"/>
    <dgm:cxn modelId="{C4228183-7811-471A-BE27-A8D207ACB29E}" type="presParOf" srcId="{1DFC812A-7E1A-49B4-9BD0-1E857BFA6D8C}" destId="{48535AB6-39AC-4274-9C76-912419F4E277}" srcOrd="2" destOrd="0" presId="urn:microsoft.com/office/officeart/2005/8/layout/orgChart1"/>
    <dgm:cxn modelId="{08F41ECF-F374-4A01-862C-346F1B936C97}" type="presParOf" srcId="{237733B3-CD2D-4139-8769-2D88AB7D5503}" destId="{C7D4D224-540A-4B08-B5E5-DD73DE23AB69}" srcOrd="2" destOrd="0" presId="urn:microsoft.com/office/officeart/2005/8/layout/orgChart1"/>
    <dgm:cxn modelId="{AB6C1C8E-C62E-4B5B-86F4-71F233CD1534}" type="presParOf" srcId="{2794909B-F35E-4681-BCDB-F46FC69DE49D}" destId="{0C78FBC5-B545-42B1-B5E9-EC56D676D690}" srcOrd="2" destOrd="0" presId="urn:microsoft.com/office/officeart/2005/8/layout/orgChart1"/>
    <dgm:cxn modelId="{8C462B81-2496-465C-85D5-B694FB1F7BBD}" type="presParOf" srcId="{2794909B-F35E-4681-BCDB-F46FC69DE49D}" destId="{F2B3620C-757E-4FCF-961B-0F61FB690A14}" srcOrd="3" destOrd="0" presId="urn:microsoft.com/office/officeart/2005/8/layout/orgChart1"/>
    <dgm:cxn modelId="{6B62C4A2-5DCF-46EC-9194-45704A1FD2D6}" type="presParOf" srcId="{F2B3620C-757E-4FCF-961B-0F61FB690A14}" destId="{D8A660FD-B5D0-4410-BDFE-CFC039DA1489}" srcOrd="0" destOrd="0" presId="urn:microsoft.com/office/officeart/2005/8/layout/orgChart1"/>
    <dgm:cxn modelId="{3FC3A19D-AEE7-4256-A52E-AC92CE8A4BF5}" type="presParOf" srcId="{D8A660FD-B5D0-4410-BDFE-CFC039DA1489}" destId="{DB5A78A6-1F51-432B-9904-B8D6C62EA366}" srcOrd="0" destOrd="0" presId="urn:microsoft.com/office/officeart/2005/8/layout/orgChart1"/>
    <dgm:cxn modelId="{1941B108-80E8-4400-893E-B69EEA928B29}" type="presParOf" srcId="{D8A660FD-B5D0-4410-BDFE-CFC039DA1489}" destId="{7C16975F-6C35-4285-B089-D38666B08FC6}" srcOrd="1" destOrd="0" presId="urn:microsoft.com/office/officeart/2005/8/layout/orgChart1"/>
    <dgm:cxn modelId="{BC4A6581-D46D-43ED-8357-49D6AA5912EA}" type="presParOf" srcId="{F2B3620C-757E-4FCF-961B-0F61FB690A14}" destId="{1E341EF0-F0B7-4BAB-AB1D-E7DE7146857B}" srcOrd="1" destOrd="0" presId="urn:microsoft.com/office/officeart/2005/8/layout/orgChart1"/>
    <dgm:cxn modelId="{090C21AF-42AE-4132-BAC5-BA1491515D64}" type="presParOf" srcId="{1E341EF0-F0B7-4BAB-AB1D-E7DE7146857B}" destId="{0B621E09-21D4-4D51-A58D-89B7DB529254}" srcOrd="0" destOrd="0" presId="urn:microsoft.com/office/officeart/2005/8/layout/orgChart1"/>
    <dgm:cxn modelId="{A614AE05-6F08-4D51-9678-60E6C2D00CC6}" type="presParOf" srcId="{1E341EF0-F0B7-4BAB-AB1D-E7DE7146857B}" destId="{40FBE277-6411-4B81-A44B-8383884145F4}" srcOrd="1" destOrd="0" presId="urn:microsoft.com/office/officeart/2005/8/layout/orgChart1"/>
    <dgm:cxn modelId="{F04E5D1F-029A-450A-9318-E4CC318FFF34}" type="presParOf" srcId="{40FBE277-6411-4B81-A44B-8383884145F4}" destId="{9C108360-75B8-4E50-A896-AC14BCCF9838}" srcOrd="0" destOrd="0" presId="urn:microsoft.com/office/officeart/2005/8/layout/orgChart1"/>
    <dgm:cxn modelId="{BB64931D-AE92-4A2F-91B4-5EC406F5DFA3}" type="presParOf" srcId="{9C108360-75B8-4E50-A896-AC14BCCF9838}" destId="{EFAD5058-4D50-47F4-B83A-9F3F3E1558AA}" srcOrd="0" destOrd="0" presId="urn:microsoft.com/office/officeart/2005/8/layout/orgChart1"/>
    <dgm:cxn modelId="{07EEC983-7275-415C-AC22-9CC70BD101D9}" type="presParOf" srcId="{9C108360-75B8-4E50-A896-AC14BCCF9838}" destId="{C1C0C355-8F9D-4823-9F0F-13EB37FF8E38}" srcOrd="1" destOrd="0" presId="urn:microsoft.com/office/officeart/2005/8/layout/orgChart1"/>
    <dgm:cxn modelId="{C0364A40-6CEC-4B47-BB32-6C00FFFF044E}" type="presParOf" srcId="{40FBE277-6411-4B81-A44B-8383884145F4}" destId="{E6B28CD7-8FEB-4771-98FE-3A60E7D8E02A}" srcOrd="1" destOrd="0" presId="urn:microsoft.com/office/officeart/2005/8/layout/orgChart1"/>
    <dgm:cxn modelId="{109A8814-3B85-484B-912B-847312F4297C}" type="presParOf" srcId="{40FBE277-6411-4B81-A44B-8383884145F4}" destId="{6A0A4C32-C592-4C8F-A8EC-E8A5EF19C7F4}" srcOrd="2" destOrd="0" presId="urn:microsoft.com/office/officeart/2005/8/layout/orgChart1"/>
    <dgm:cxn modelId="{EF6F57FB-54CA-4C14-B4B2-EFF2C06D535A}" type="presParOf" srcId="{1E341EF0-F0B7-4BAB-AB1D-E7DE7146857B}" destId="{DCC99433-EC04-459A-98E1-837B8EE17D75}" srcOrd="2" destOrd="0" presId="urn:microsoft.com/office/officeart/2005/8/layout/orgChart1"/>
    <dgm:cxn modelId="{614E0DD2-4AF8-4DAC-8791-B26568CB091E}" type="presParOf" srcId="{1E341EF0-F0B7-4BAB-AB1D-E7DE7146857B}" destId="{20E0B76A-5A8B-4D3B-B69C-39ED38C55EEC}" srcOrd="3" destOrd="0" presId="urn:microsoft.com/office/officeart/2005/8/layout/orgChart1"/>
    <dgm:cxn modelId="{0F0983B3-7081-4E68-B289-030B2D64F1A0}" type="presParOf" srcId="{20E0B76A-5A8B-4D3B-B69C-39ED38C55EEC}" destId="{F7FD72A4-1708-407F-A3F2-B4EDBEDE7C90}" srcOrd="0" destOrd="0" presId="urn:microsoft.com/office/officeart/2005/8/layout/orgChart1"/>
    <dgm:cxn modelId="{2335F955-E2CB-4150-B429-8DF98F3E8DE3}" type="presParOf" srcId="{F7FD72A4-1708-407F-A3F2-B4EDBEDE7C90}" destId="{8B1EE9E8-4AA4-4299-B52C-B2A5137493E8}" srcOrd="0" destOrd="0" presId="urn:microsoft.com/office/officeart/2005/8/layout/orgChart1"/>
    <dgm:cxn modelId="{D2306B55-3C3C-4E96-A827-B02D6D6D0A06}" type="presParOf" srcId="{F7FD72A4-1708-407F-A3F2-B4EDBEDE7C90}" destId="{CD940845-5257-4D0D-B610-4449F2945C8A}" srcOrd="1" destOrd="0" presId="urn:microsoft.com/office/officeart/2005/8/layout/orgChart1"/>
    <dgm:cxn modelId="{8B146CD3-A547-4407-94CC-0B3D1B751439}" type="presParOf" srcId="{20E0B76A-5A8B-4D3B-B69C-39ED38C55EEC}" destId="{EAFE441A-3D60-4227-B53B-A3630F39F1C1}" srcOrd="1" destOrd="0" presId="urn:microsoft.com/office/officeart/2005/8/layout/orgChart1"/>
    <dgm:cxn modelId="{CD1DA1D8-17BD-436E-AF99-7502E200928A}" type="presParOf" srcId="{20E0B76A-5A8B-4D3B-B69C-39ED38C55EEC}" destId="{7383CAA1-374C-4B0D-8D1B-40BF95D57FB5}" srcOrd="2" destOrd="0" presId="urn:microsoft.com/office/officeart/2005/8/layout/orgChart1"/>
    <dgm:cxn modelId="{A512FB42-CBB7-4EB3-898A-44582B471651}" type="presParOf" srcId="{1E341EF0-F0B7-4BAB-AB1D-E7DE7146857B}" destId="{6C30E651-E3E1-4A90-8F09-B4E5ACBBDCCE}" srcOrd="4" destOrd="0" presId="urn:microsoft.com/office/officeart/2005/8/layout/orgChart1"/>
    <dgm:cxn modelId="{40CCE8B3-EA4E-475A-A349-60DD951A7F9F}" type="presParOf" srcId="{1E341EF0-F0B7-4BAB-AB1D-E7DE7146857B}" destId="{D19D043F-3042-41A4-89B3-9171A2C86C77}" srcOrd="5" destOrd="0" presId="urn:microsoft.com/office/officeart/2005/8/layout/orgChart1"/>
    <dgm:cxn modelId="{0992FBB5-B396-4090-AB66-E85B40008919}" type="presParOf" srcId="{D19D043F-3042-41A4-89B3-9171A2C86C77}" destId="{73675D68-6DAD-4628-879F-D79651F501EE}" srcOrd="0" destOrd="0" presId="urn:microsoft.com/office/officeart/2005/8/layout/orgChart1"/>
    <dgm:cxn modelId="{D7904E27-AFCA-443E-8A06-254470FA5A06}" type="presParOf" srcId="{73675D68-6DAD-4628-879F-D79651F501EE}" destId="{B93F9006-3CBE-475A-ACC6-BC0CCA77ADCD}" srcOrd="0" destOrd="0" presId="urn:microsoft.com/office/officeart/2005/8/layout/orgChart1"/>
    <dgm:cxn modelId="{D8F61ABC-A1C0-4F85-9CE7-3A5AF5D808EB}" type="presParOf" srcId="{73675D68-6DAD-4628-879F-D79651F501EE}" destId="{8BEA054F-030B-4896-810B-08339D9E4759}" srcOrd="1" destOrd="0" presId="urn:microsoft.com/office/officeart/2005/8/layout/orgChart1"/>
    <dgm:cxn modelId="{50315F27-6922-4E25-99C4-CC0FC3C5A5A8}" type="presParOf" srcId="{D19D043F-3042-41A4-89B3-9171A2C86C77}" destId="{E4DD9D7A-7FC5-42F1-8DAA-26E1213142F0}" srcOrd="1" destOrd="0" presId="urn:microsoft.com/office/officeart/2005/8/layout/orgChart1"/>
    <dgm:cxn modelId="{9B3E66B1-7B43-45F2-9831-DFC3E67E684E}" type="presParOf" srcId="{D19D043F-3042-41A4-89B3-9171A2C86C77}" destId="{2F9A9D47-5BDF-48CD-BF38-9D727E73FEFF}" srcOrd="2" destOrd="0" presId="urn:microsoft.com/office/officeart/2005/8/layout/orgChart1"/>
    <dgm:cxn modelId="{A764BA5F-F99F-4250-9124-40029838BB48}" type="presParOf" srcId="{F2B3620C-757E-4FCF-961B-0F61FB690A14}" destId="{13306C91-69A8-465A-9DEC-43F44575A87D}" srcOrd="2" destOrd="0" presId="urn:microsoft.com/office/officeart/2005/8/layout/orgChart1"/>
    <dgm:cxn modelId="{C62C3E4F-D2F9-4462-87EE-062E529D4074}" type="presParOf" srcId="{2794909B-F35E-4681-BCDB-F46FC69DE49D}" destId="{58201BB0-4541-4766-B822-7FD249395CA9}" srcOrd="4" destOrd="0" presId="urn:microsoft.com/office/officeart/2005/8/layout/orgChart1"/>
    <dgm:cxn modelId="{A5CCA701-97C6-4815-8944-DF96C9A127B6}" type="presParOf" srcId="{2794909B-F35E-4681-BCDB-F46FC69DE49D}" destId="{3EA2CAE6-5BEE-4E6D-A6C1-5362D3B762D3}" srcOrd="5" destOrd="0" presId="urn:microsoft.com/office/officeart/2005/8/layout/orgChart1"/>
    <dgm:cxn modelId="{D41FEC77-FAD0-4B56-BFC3-9D16D7E1E607}" type="presParOf" srcId="{3EA2CAE6-5BEE-4E6D-A6C1-5362D3B762D3}" destId="{B4C1A64B-9AA6-46FC-AFE6-4B1C84F354DA}" srcOrd="0" destOrd="0" presId="urn:microsoft.com/office/officeart/2005/8/layout/orgChart1"/>
    <dgm:cxn modelId="{753F2B35-311C-4BE6-B4A2-1BD6C66CB92D}" type="presParOf" srcId="{B4C1A64B-9AA6-46FC-AFE6-4B1C84F354DA}" destId="{4A90E2EC-7D16-442E-91A0-FD526A49AD5F}" srcOrd="0" destOrd="0" presId="urn:microsoft.com/office/officeart/2005/8/layout/orgChart1"/>
    <dgm:cxn modelId="{44E3355C-952D-43DA-8887-B1DD8C4D8AF7}" type="presParOf" srcId="{B4C1A64B-9AA6-46FC-AFE6-4B1C84F354DA}" destId="{6A7C8C6F-53AF-4F1A-8A7A-DB9F3A1D42E4}" srcOrd="1" destOrd="0" presId="urn:microsoft.com/office/officeart/2005/8/layout/orgChart1"/>
    <dgm:cxn modelId="{07AAE596-CDB0-47C1-8C3E-9AB8776D8FF3}" type="presParOf" srcId="{3EA2CAE6-5BEE-4E6D-A6C1-5362D3B762D3}" destId="{869CA2B3-3D40-4569-BC75-2F11D499D685}" srcOrd="1" destOrd="0" presId="urn:microsoft.com/office/officeart/2005/8/layout/orgChart1"/>
    <dgm:cxn modelId="{F34022E2-7F97-40AB-A7B1-00598F1681B7}" type="presParOf" srcId="{869CA2B3-3D40-4569-BC75-2F11D499D685}" destId="{8EE0FE7F-EBD4-40D2-B56F-271FCDA89BA1}" srcOrd="0" destOrd="0" presId="urn:microsoft.com/office/officeart/2005/8/layout/orgChart1"/>
    <dgm:cxn modelId="{E3C8459B-81AA-47E6-B790-9989081FEDD3}" type="presParOf" srcId="{869CA2B3-3D40-4569-BC75-2F11D499D685}" destId="{79A9E18F-737B-446F-8FF3-AF037B8446C7}" srcOrd="1" destOrd="0" presId="urn:microsoft.com/office/officeart/2005/8/layout/orgChart1"/>
    <dgm:cxn modelId="{786F58B2-8D10-47A7-83FE-278234AB4E8D}" type="presParOf" srcId="{79A9E18F-737B-446F-8FF3-AF037B8446C7}" destId="{6C8D4977-19DC-4318-87CE-117FBAE6CF1E}" srcOrd="0" destOrd="0" presId="urn:microsoft.com/office/officeart/2005/8/layout/orgChart1"/>
    <dgm:cxn modelId="{C4C8BA5A-ADA3-4498-A0B8-E97BD6140F1C}" type="presParOf" srcId="{6C8D4977-19DC-4318-87CE-117FBAE6CF1E}" destId="{A548E1CE-63B5-4A32-BFE5-440930FDB850}" srcOrd="0" destOrd="0" presId="urn:microsoft.com/office/officeart/2005/8/layout/orgChart1"/>
    <dgm:cxn modelId="{FC1587C1-76F2-401C-8647-2031EEB072ED}" type="presParOf" srcId="{6C8D4977-19DC-4318-87CE-117FBAE6CF1E}" destId="{0FD0268F-25C7-44E5-9ECF-1F1E0D53E1E2}" srcOrd="1" destOrd="0" presId="urn:microsoft.com/office/officeart/2005/8/layout/orgChart1"/>
    <dgm:cxn modelId="{537B369E-C1B5-4CDE-A243-7F880ABB6556}" type="presParOf" srcId="{79A9E18F-737B-446F-8FF3-AF037B8446C7}" destId="{BC19A14D-9EDC-43CC-892C-6F2F2C377977}" srcOrd="1" destOrd="0" presId="urn:microsoft.com/office/officeart/2005/8/layout/orgChart1"/>
    <dgm:cxn modelId="{8CF48640-7B05-4040-97C2-FB7CD4F2C9C4}" type="presParOf" srcId="{79A9E18F-737B-446F-8FF3-AF037B8446C7}" destId="{B0DE42DC-D500-484C-8F70-E2706A476A9F}" srcOrd="2" destOrd="0" presId="urn:microsoft.com/office/officeart/2005/8/layout/orgChart1"/>
    <dgm:cxn modelId="{77068EEE-C31F-4644-A8AD-DF08C069010C}" type="presParOf" srcId="{869CA2B3-3D40-4569-BC75-2F11D499D685}" destId="{182DEA34-6A1F-42DC-824E-865386A60610}" srcOrd="2" destOrd="0" presId="urn:microsoft.com/office/officeart/2005/8/layout/orgChart1"/>
    <dgm:cxn modelId="{F85384D7-A2C2-4309-9C4D-948F2668623F}" type="presParOf" srcId="{869CA2B3-3D40-4569-BC75-2F11D499D685}" destId="{9D11FF79-D74D-4C29-BED9-BF44B2507461}" srcOrd="3" destOrd="0" presId="urn:microsoft.com/office/officeart/2005/8/layout/orgChart1"/>
    <dgm:cxn modelId="{9264A412-512B-4EBC-B2CD-849C8D54ECB6}" type="presParOf" srcId="{9D11FF79-D74D-4C29-BED9-BF44B2507461}" destId="{A81CE04A-EDBE-42C7-84C5-755D8C0A2C1C}" srcOrd="0" destOrd="0" presId="urn:microsoft.com/office/officeart/2005/8/layout/orgChart1"/>
    <dgm:cxn modelId="{7F2E7CBD-2402-4BB1-99CE-5495F70574A7}" type="presParOf" srcId="{A81CE04A-EDBE-42C7-84C5-755D8C0A2C1C}" destId="{39F005E2-7BA7-404E-B2C7-DBE1CCAE84A5}" srcOrd="0" destOrd="0" presId="urn:microsoft.com/office/officeart/2005/8/layout/orgChart1"/>
    <dgm:cxn modelId="{519382A0-0A76-49F7-97CE-51D6E3EFCEB6}" type="presParOf" srcId="{A81CE04A-EDBE-42C7-84C5-755D8C0A2C1C}" destId="{D6959489-A8DF-4912-8595-B4E3286A08C4}" srcOrd="1" destOrd="0" presId="urn:microsoft.com/office/officeart/2005/8/layout/orgChart1"/>
    <dgm:cxn modelId="{8F8778B2-8E74-4D99-A1E9-782AB19211E1}" type="presParOf" srcId="{9D11FF79-D74D-4C29-BED9-BF44B2507461}" destId="{CA36E2B3-8141-4F9F-A7B6-7B9D30573DFC}" srcOrd="1" destOrd="0" presId="urn:microsoft.com/office/officeart/2005/8/layout/orgChart1"/>
    <dgm:cxn modelId="{434F9836-199E-4CC8-B40F-4D3419A87F5F}" type="presParOf" srcId="{9D11FF79-D74D-4C29-BED9-BF44B2507461}" destId="{D54EB123-3093-4559-AE10-23933FE675F8}" srcOrd="2" destOrd="0" presId="urn:microsoft.com/office/officeart/2005/8/layout/orgChart1"/>
    <dgm:cxn modelId="{13FBD28E-97D3-40E9-B389-1893E97FBC39}" type="presParOf" srcId="{869CA2B3-3D40-4569-BC75-2F11D499D685}" destId="{06FAD5BF-7D70-430D-B305-0EFACB8C5C86}" srcOrd="4" destOrd="0" presId="urn:microsoft.com/office/officeart/2005/8/layout/orgChart1"/>
    <dgm:cxn modelId="{DA694A22-385D-4831-84A9-BAABDFE46649}" type="presParOf" srcId="{869CA2B3-3D40-4569-BC75-2F11D499D685}" destId="{2A1E3218-F3B6-48A3-8CBE-BC3BD20ACC29}" srcOrd="5" destOrd="0" presId="urn:microsoft.com/office/officeart/2005/8/layout/orgChart1"/>
    <dgm:cxn modelId="{3E4E1E70-B5F1-45E2-BD84-B4DAAFF04792}" type="presParOf" srcId="{2A1E3218-F3B6-48A3-8CBE-BC3BD20ACC29}" destId="{7F8F6596-596B-4512-9DEF-18B6AA738E35}" srcOrd="0" destOrd="0" presId="urn:microsoft.com/office/officeart/2005/8/layout/orgChart1"/>
    <dgm:cxn modelId="{697C97AB-7805-4220-96BF-1BDF89EA94F3}" type="presParOf" srcId="{7F8F6596-596B-4512-9DEF-18B6AA738E35}" destId="{13F1099B-618A-48EF-8AE3-3F23152370A7}" srcOrd="0" destOrd="0" presId="urn:microsoft.com/office/officeart/2005/8/layout/orgChart1"/>
    <dgm:cxn modelId="{C7148B79-D605-4D37-88E6-1D54296F330E}" type="presParOf" srcId="{7F8F6596-596B-4512-9DEF-18B6AA738E35}" destId="{5F0322F1-F828-42E0-8B9E-930C793B48D1}" srcOrd="1" destOrd="0" presId="urn:microsoft.com/office/officeart/2005/8/layout/orgChart1"/>
    <dgm:cxn modelId="{6307DDD2-14A1-4A4D-B3A9-6C9DD5D17928}" type="presParOf" srcId="{2A1E3218-F3B6-48A3-8CBE-BC3BD20ACC29}" destId="{3060F4EC-A26D-47D6-A4AF-4FADC14EE503}" srcOrd="1" destOrd="0" presId="urn:microsoft.com/office/officeart/2005/8/layout/orgChart1"/>
    <dgm:cxn modelId="{7D4A840C-546A-4574-942A-402B6A8E57F6}" type="presParOf" srcId="{2A1E3218-F3B6-48A3-8CBE-BC3BD20ACC29}" destId="{0D8C16FE-E6AB-4421-9016-DA1E12AA7045}" srcOrd="2" destOrd="0" presId="urn:microsoft.com/office/officeart/2005/8/layout/orgChart1"/>
    <dgm:cxn modelId="{8877D8DF-F95B-4063-8A24-AACFDAC6B54D}" type="presParOf" srcId="{3EA2CAE6-5BEE-4E6D-A6C1-5362D3B762D3}" destId="{7582DD99-2B92-4326-8B64-6CA8E0C55719}" srcOrd="2" destOrd="0" presId="urn:microsoft.com/office/officeart/2005/8/layout/orgChart1"/>
    <dgm:cxn modelId="{206ECFA1-924B-4A8F-A3DA-F4B963E6DC4E}" type="presParOf" srcId="{3FBFC1DD-2246-424A-A58C-B352429F7475}" destId="{8B33101D-5467-4B9B-9E8D-70F03736AA26}" srcOrd="2" destOrd="0" presId="urn:microsoft.com/office/officeart/2005/8/layout/orgChart1"/>
    <dgm:cxn modelId="{1D9990DD-883D-4D4A-A970-5EA689CCE978}" type="presParOf" srcId="{B42CB1AC-6714-4740-877A-C021AA2FC6CD}" destId="{4BE02B26-6542-4776-BA9C-5F3660AFABD4}" srcOrd="4" destOrd="0" presId="urn:microsoft.com/office/officeart/2005/8/layout/orgChart1"/>
    <dgm:cxn modelId="{F18F803E-4785-4F32-B293-89A31B360DBB}" type="presParOf" srcId="{B42CB1AC-6714-4740-877A-C021AA2FC6CD}" destId="{342E46BB-DCE7-45E7-83EC-C8B46EFA6091}" srcOrd="5" destOrd="0" presId="urn:microsoft.com/office/officeart/2005/8/layout/orgChart1"/>
    <dgm:cxn modelId="{708ED346-B80F-4C76-86E6-0D615F8DDD42}" type="presParOf" srcId="{342E46BB-DCE7-45E7-83EC-C8B46EFA6091}" destId="{98689D62-A35F-46FD-9B5E-D622EB3BA2E8}" srcOrd="0" destOrd="0" presId="urn:microsoft.com/office/officeart/2005/8/layout/orgChart1"/>
    <dgm:cxn modelId="{6B32BB9B-CA85-414D-8EF2-C8DF1A33F453}" type="presParOf" srcId="{98689D62-A35F-46FD-9B5E-D622EB3BA2E8}" destId="{9E607834-BF76-46AA-ADC1-9B2951BB8EC8}" srcOrd="0" destOrd="0" presId="urn:microsoft.com/office/officeart/2005/8/layout/orgChart1"/>
    <dgm:cxn modelId="{7FDFD749-4CD4-4CC0-AF20-59E93BDF0EC8}" type="presParOf" srcId="{98689D62-A35F-46FD-9B5E-D622EB3BA2E8}" destId="{6AB26E28-6E5B-47C9-B171-5B67BE3AFE80}" srcOrd="1" destOrd="0" presId="urn:microsoft.com/office/officeart/2005/8/layout/orgChart1"/>
    <dgm:cxn modelId="{0A5DA251-0DAE-4D62-822F-455587260ED9}" type="presParOf" srcId="{342E46BB-DCE7-45E7-83EC-C8B46EFA6091}" destId="{C2279141-3544-464C-8C79-106F0CFBB14E}" srcOrd="1" destOrd="0" presId="urn:microsoft.com/office/officeart/2005/8/layout/orgChart1"/>
    <dgm:cxn modelId="{A8F6DAB5-A89F-4F53-A676-02DCE16669DA}" type="presParOf" srcId="{C2279141-3544-464C-8C79-106F0CFBB14E}" destId="{A80717CC-84EF-4BAD-B0AB-251F9B869394}" srcOrd="0" destOrd="0" presId="urn:microsoft.com/office/officeart/2005/8/layout/orgChart1"/>
    <dgm:cxn modelId="{9F9B483A-870B-4BAC-9644-107A7F9974F9}" type="presParOf" srcId="{C2279141-3544-464C-8C79-106F0CFBB14E}" destId="{15FEE43C-D2F7-4F44-90B6-809A7E969EE7}" srcOrd="1" destOrd="0" presId="urn:microsoft.com/office/officeart/2005/8/layout/orgChart1"/>
    <dgm:cxn modelId="{605DEB73-EED8-4566-9B62-8ECBB6443B68}" type="presParOf" srcId="{15FEE43C-D2F7-4F44-90B6-809A7E969EE7}" destId="{44961227-84A8-4D81-AC4F-7F087F1469EC}" srcOrd="0" destOrd="0" presId="urn:microsoft.com/office/officeart/2005/8/layout/orgChart1"/>
    <dgm:cxn modelId="{E08F23EF-188D-4601-9D97-255E6147A2F0}" type="presParOf" srcId="{44961227-84A8-4D81-AC4F-7F087F1469EC}" destId="{D73A272B-C984-4994-A87E-6072AC81FADC}" srcOrd="0" destOrd="0" presId="urn:microsoft.com/office/officeart/2005/8/layout/orgChart1"/>
    <dgm:cxn modelId="{3F37667D-B759-4B4C-9714-0FB6461A7B80}" type="presParOf" srcId="{44961227-84A8-4D81-AC4F-7F087F1469EC}" destId="{266F4860-7D74-42E8-BE15-24174EC57716}" srcOrd="1" destOrd="0" presId="urn:microsoft.com/office/officeart/2005/8/layout/orgChart1"/>
    <dgm:cxn modelId="{9B86A2D1-D13F-45F6-80B0-495162EE026C}" type="presParOf" srcId="{15FEE43C-D2F7-4F44-90B6-809A7E969EE7}" destId="{03A7D6B6-A1CE-4F82-8C2F-ECDC9CDCB11C}" srcOrd="1" destOrd="0" presId="urn:microsoft.com/office/officeart/2005/8/layout/orgChart1"/>
    <dgm:cxn modelId="{16AF5815-CADB-4E27-AA6A-FE432D4A19D3}" type="presParOf" srcId="{03A7D6B6-A1CE-4F82-8C2F-ECDC9CDCB11C}" destId="{575A5F61-883D-4718-8867-8B79DF074CA4}" srcOrd="0" destOrd="0" presId="urn:microsoft.com/office/officeart/2005/8/layout/orgChart1"/>
    <dgm:cxn modelId="{450D298F-5822-4997-AE31-1E627BF061E0}" type="presParOf" srcId="{03A7D6B6-A1CE-4F82-8C2F-ECDC9CDCB11C}" destId="{490513BE-EE49-4DBC-9B5B-82A25B1D06F4}" srcOrd="1" destOrd="0" presId="urn:microsoft.com/office/officeart/2005/8/layout/orgChart1"/>
    <dgm:cxn modelId="{86AD0B1C-543E-4AFE-9936-BF50790C2A99}" type="presParOf" srcId="{490513BE-EE49-4DBC-9B5B-82A25B1D06F4}" destId="{1ACA8F67-5B3B-430A-BEDA-55A84083594A}" srcOrd="0" destOrd="0" presId="urn:microsoft.com/office/officeart/2005/8/layout/orgChart1"/>
    <dgm:cxn modelId="{F0C73B51-82AF-429A-AA09-46213DCC71F4}" type="presParOf" srcId="{1ACA8F67-5B3B-430A-BEDA-55A84083594A}" destId="{0C2C89EC-E878-4839-8364-01FD324FA024}" srcOrd="0" destOrd="0" presId="urn:microsoft.com/office/officeart/2005/8/layout/orgChart1"/>
    <dgm:cxn modelId="{2CEE4250-7E44-43CC-AE15-1F1390DB3519}" type="presParOf" srcId="{1ACA8F67-5B3B-430A-BEDA-55A84083594A}" destId="{888F8B46-1EFD-4C6B-AC99-17DE26EAA6A9}" srcOrd="1" destOrd="0" presId="urn:microsoft.com/office/officeart/2005/8/layout/orgChart1"/>
    <dgm:cxn modelId="{83F8704C-C977-4E58-9628-D8C096614256}" type="presParOf" srcId="{490513BE-EE49-4DBC-9B5B-82A25B1D06F4}" destId="{C5D92489-FB70-42B6-876C-1F1FB9AF2230}" srcOrd="1" destOrd="0" presId="urn:microsoft.com/office/officeart/2005/8/layout/orgChart1"/>
    <dgm:cxn modelId="{2F8A3409-D99E-45C2-9AEC-059CB0E2B5DE}" type="presParOf" srcId="{490513BE-EE49-4DBC-9B5B-82A25B1D06F4}" destId="{3FBCCF72-5D3C-4452-B2FC-C0D7D4118209}" srcOrd="2" destOrd="0" presId="urn:microsoft.com/office/officeart/2005/8/layout/orgChart1"/>
    <dgm:cxn modelId="{1FEAC93A-F5F5-4C36-BAC8-4BC321AC13D6}" type="presParOf" srcId="{03A7D6B6-A1CE-4F82-8C2F-ECDC9CDCB11C}" destId="{30C93E59-598E-47BD-9BA3-A1EAFA391425}" srcOrd="2" destOrd="0" presId="urn:microsoft.com/office/officeart/2005/8/layout/orgChart1"/>
    <dgm:cxn modelId="{58019A36-F5D8-4832-B38E-6FDB8D8A4399}" type="presParOf" srcId="{03A7D6B6-A1CE-4F82-8C2F-ECDC9CDCB11C}" destId="{7D325F22-CE39-4DA0-8E3F-3B8A3148BFDF}" srcOrd="3" destOrd="0" presId="urn:microsoft.com/office/officeart/2005/8/layout/orgChart1"/>
    <dgm:cxn modelId="{D3B7434C-FF29-4849-B054-6A82270D97AF}" type="presParOf" srcId="{7D325F22-CE39-4DA0-8E3F-3B8A3148BFDF}" destId="{1FE7A1C9-EF55-42AE-8239-11C22E944C31}" srcOrd="0" destOrd="0" presId="urn:microsoft.com/office/officeart/2005/8/layout/orgChart1"/>
    <dgm:cxn modelId="{7AA4C426-0622-4395-99B9-A406527B01C8}" type="presParOf" srcId="{1FE7A1C9-EF55-42AE-8239-11C22E944C31}" destId="{6C205F5D-3437-4B08-B3E7-A473277808F5}" srcOrd="0" destOrd="0" presId="urn:microsoft.com/office/officeart/2005/8/layout/orgChart1"/>
    <dgm:cxn modelId="{022E348A-5AD0-4E9F-86EB-BB9B1094B6D2}" type="presParOf" srcId="{1FE7A1C9-EF55-42AE-8239-11C22E944C31}" destId="{788E5957-CA33-4D2F-8E4A-800D1A9D2651}" srcOrd="1" destOrd="0" presId="urn:microsoft.com/office/officeart/2005/8/layout/orgChart1"/>
    <dgm:cxn modelId="{D22AB635-C40A-44B3-B750-93FE82C41125}" type="presParOf" srcId="{7D325F22-CE39-4DA0-8E3F-3B8A3148BFDF}" destId="{819432DB-B753-467E-A6FA-66E31273F406}" srcOrd="1" destOrd="0" presId="urn:microsoft.com/office/officeart/2005/8/layout/orgChart1"/>
    <dgm:cxn modelId="{C85D3A7F-0144-40FF-9926-809C3C1CF9C8}" type="presParOf" srcId="{7D325F22-CE39-4DA0-8E3F-3B8A3148BFDF}" destId="{7A0C1113-7981-4CE1-B054-987855C4FC34}" srcOrd="2" destOrd="0" presId="urn:microsoft.com/office/officeart/2005/8/layout/orgChart1"/>
    <dgm:cxn modelId="{9256408F-6DE3-41CB-971A-2401D5D5FA2F}" type="presParOf" srcId="{03A7D6B6-A1CE-4F82-8C2F-ECDC9CDCB11C}" destId="{0D53B2F7-C277-4643-99B5-AD94E6EAF4D6}" srcOrd="4" destOrd="0" presId="urn:microsoft.com/office/officeart/2005/8/layout/orgChart1"/>
    <dgm:cxn modelId="{E3C17BBD-FDFE-4CB3-BD63-E849BE8FDA5C}" type="presParOf" srcId="{03A7D6B6-A1CE-4F82-8C2F-ECDC9CDCB11C}" destId="{EAA6D99E-93CB-4607-A1C9-3EAB9364C7CB}" srcOrd="5" destOrd="0" presId="urn:microsoft.com/office/officeart/2005/8/layout/orgChart1"/>
    <dgm:cxn modelId="{70513951-FA81-4A6B-B442-7BFC0FA12AF6}" type="presParOf" srcId="{EAA6D99E-93CB-4607-A1C9-3EAB9364C7CB}" destId="{A5F97285-6FFC-4637-80CE-6B261BBD3445}" srcOrd="0" destOrd="0" presId="urn:microsoft.com/office/officeart/2005/8/layout/orgChart1"/>
    <dgm:cxn modelId="{56604FF7-669A-4648-A9B4-DD27B228D65A}" type="presParOf" srcId="{A5F97285-6FFC-4637-80CE-6B261BBD3445}" destId="{25960CE6-FA34-45F0-9C59-706F7DDB20AF}" srcOrd="0" destOrd="0" presId="urn:microsoft.com/office/officeart/2005/8/layout/orgChart1"/>
    <dgm:cxn modelId="{952070EC-534F-4C74-86E2-A0BF6CDECCD0}" type="presParOf" srcId="{A5F97285-6FFC-4637-80CE-6B261BBD3445}" destId="{90D42850-5A5F-49DF-9FE0-53387E1C3957}" srcOrd="1" destOrd="0" presId="urn:microsoft.com/office/officeart/2005/8/layout/orgChart1"/>
    <dgm:cxn modelId="{4AAF898D-912E-42C5-B9D3-A8BAF690897B}" type="presParOf" srcId="{EAA6D99E-93CB-4607-A1C9-3EAB9364C7CB}" destId="{EC21ECDF-FC07-4992-B6C8-98FC89E1A450}" srcOrd="1" destOrd="0" presId="urn:microsoft.com/office/officeart/2005/8/layout/orgChart1"/>
    <dgm:cxn modelId="{25B20A9B-A19B-4341-9442-0189C65B0944}" type="presParOf" srcId="{EAA6D99E-93CB-4607-A1C9-3EAB9364C7CB}" destId="{0F076D0F-4FE1-4735-8200-76472EEF9325}" srcOrd="2" destOrd="0" presId="urn:microsoft.com/office/officeart/2005/8/layout/orgChart1"/>
    <dgm:cxn modelId="{1940EB25-3EE4-4FBE-87AE-0AC633037D24}" type="presParOf" srcId="{15FEE43C-D2F7-4F44-90B6-809A7E969EE7}" destId="{BDFDCD85-6DF5-428E-BFC4-6128F2233013}" srcOrd="2" destOrd="0" presId="urn:microsoft.com/office/officeart/2005/8/layout/orgChart1"/>
    <dgm:cxn modelId="{1E3F11D4-90FD-4F61-A940-4289B04B9FAF}" type="presParOf" srcId="{C2279141-3544-464C-8C79-106F0CFBB14E}" destId="{E7DF0BE6-DAB8-4EAD-A125-AF41B477EDB7}" srcOrd="2" destOrd="0" presId="urn:microsoft.com/office/officeart/2005/8/layout/orgChart1"/>
    <dgm:cxn modelId="{47196DCE-CBF1-4422-9321-1D530CABC5B6}" type="presParOf" srcId="{C2279141-3544-464C-8C79-106F0CFBB14E}" destId="{5AB803C5-EB75-4D0D-B1AB-EB61E0F59A28}" srcOrd="3" destOrd="0" presId="urn:microsoft.com/office/officeart/2005/8/layout/orgChart1"/>
    <dgm:cxn modelId="{8F225F33-4522-47EF-BE7C-D16BF7F445F3}" type="presParOf" srcId="{5AB803C5-EB75-4D0D-B1AB-EB61E0F59A28}" destId="{43E76897-4C7E-4840-986B-A4466D67720C}" srcOrd="0" destOrd="0" presId="urn:microsoft.com/office/officeart/2005/8/layout/orgChart1"/>
    <dgm:cxn modelId="{B541AC85-F37E-43A0-AF24-DA34967C8923}" type="presParOf" srcId="{43E76897-4C7E-4840-986B-A4466D67720C}" destId="{8A6CE794-AD75-4953-A656-61142A7BB3AB}" srcOrd="0" destOrd="0" presId="urn:microsoft.com/office/officeart/2005/8/layout/orgChart1"/>
    <dgm:cxn modelId="{E2C8A111-F740-4DA3-A5E2-9BDDBB15831E}" type="presParOf" srcId="{43E76897-4C7E-4840-986B-A4466D67720C}" destId="{A269EA45-93C9-4D1B-BE57-A516E1D784C6}" srcOrd="1" destOrd="0" presId="urn:microsoft.com/office/officeart/2005/8/layout/orgChart1"/>
    <dgm:cxn modelId="{3E7ECE55-36E0-4D67-830B-3E39070FBEC2}" type="presParOf" srcId="{5AB803C5-EB75-4D0D-B1AB-EB61E0F59A28}" destId="{F957F327-003C-4A31-8008-E89915470F30}" srcOrd="1" destOrd="0" presId="urn:microsoft.com/office/officeart/2005/8/layout/orgChart1"/>
    <dgm:cxn modelId="{DFF02E3D-15F1-4A37-A40E-19552F9C22C9}" type="presParOf" srcId="{F957F327-003C-4A31-8008-E89915470F30}" destId="{661699D9-CE96-42C6-96BD-3AA8D16E6A43}" srcOrd="0" destOrd="0" presId="urn:microsoft.com/office/officeart/2005/8/layout/orgChart1"/>
    <dgm:cxn modelId="{0031DFB9-EA38-4121-8D62-B3CE5B23DC72}" type="presParOf" srcId="{F957F327-003C-4A31-8008-E89915470F30}" destId="{FD7238B4-175B-440D-8590-D4638902E98A}" srcOrd="1" destOrd="0" presId="urn:microsoft.com/office/officeart/2005/8/layout/orgChart1"/>
    <dgm:cxn modelId="{42C0454E-5AC6-4723-BC8F-6573438A038F}" type="presParOf" srcId="{FD7238B4-175B-440D-8590-D4638902E98A}" destId="{68C81167-784A-4492-8945-478545D03DA5}" srcOrd="0" destOrd="0" presId="urn:microsoft.com/office/officeart/2005/8/layout/orgChart1"/>
    <dgm:cxn modelId="{791ABD20-5F9E-45CE-98CA-CB402B55E4AF}" type="presParOf" srcId="{68C81167-784A-4492-8945-478545D03DA5}" destId="{1AD6C78B-E3A9-4476-9D1A-F6DB79DEC553}" srcOrd="0" destOrd="0" presId="urn:microsoft.com/office/officeart/2005/8/layout/orgChart1"/>
    <dgm:cxn modelId="{733DF955-841E-401B-884D-642841BD1399}" type="presParOf" srcId="{68C81167-784A-4492-8945-478545D03DA5}" destId="{127799F0-EC6C-4F81-80E5-E410124BCB9F}" srcOrd="1" destOrd="0" presId="urn:microsoft.com/office/officeart/2005/8/layout/orgChart1"/>
    <dgm:cxn modelId="{D9C18734-7F9C-41D6-8672-184F649B453F}" type="presParOf" srcId="{FD7238B4-175B-440D-8590-D4638902E98A}" destId="{9F323F64-1DCA-4E8A-87CF-C06C80D56AE0}" srcOrd="1" destOrd="0" presId="urn:microsoft.com/office/officeart/2005/8/layout/orgChart1"/>
    <dgm:cxn modelId="{12D6D3ED-BFBC-4259-8DA8-A3324D093067}" type="presParOf" srcId="{FD7238B4-175B-440D-8590-D4638902E98A}" destId="{35C67B97-C07E-45F9-806C-707713F8D5A4}" srcOrd="2" destOrd="0" presId="urn:microsoft.com/office/officeart/2005/8/layout/orgChart1"/>
    <dgm:cxn modelId="{08C5A8AD-76EB-4FCA-9470-F7F41E3CD206}" type="presParOf" srcId="{F957F327-003C-4A31-8008-E89915470F30}" destId="{00E5A209-2780-4CB2-BE2A-F93995DAF8D3}" srcOrd="2" destOrd="0" presId="urn:microsoft.com/office/officeart/2005/8/layout/orgChart1"/>
    <dgm:cxn modelId="{8F4914C0-0D35-4B2D-B868-482311740769}" type="presParOf" srcId="{F957F327-003C-4A31-8008-E89915470F30}" destId="{D6CAFFAC-C3DF-448A-8696-0652219A3466}" srcOrd="3" destOrd="0" presId="urn:microsoft.com/office/officeart/2005/8/layout/orgChart1"/>
    <dgm:cxn modelId="{8C9B36F5-1DEC-4C47-969A-79325CCF5764}" type="presParOf" srcId="{D6CAFFAC-C3DF-448A-8696-0652219A3466}" destId="{DF4EB08A-2558-461F-8F1A-C910D7A1E1FE}" srcOrd="0" destOrd="0" presId="urn:microsoft.com/office/officeart/2005/8/layout/orgChart1"/>
    <dgm:cxn modelId="{F352797A-8ECD-452D-9077-C07E397EFD0F}" type="presParOf" srcId="{DF4EB08A-2558-461F-8F1A-C910D7A1E1FE}" destId="{62A8A185-E0B0-4960-ABAE-4BF4B19DCECD}" srcOrd="0" destOrd="0" presId="urn:microsoft.com/office/officeart/2005/8/layout/orgChart1"/>
    <dgm:cxn modelId="{A17393BB-170C-446F-89B5-32821493BF14}" type="presParOf" srcId="{DF4EB08A-2558-461F-8F1A-C910D7A1E1FE}" destId="{19FB9B2B-6707-4C0A-8D6F-A49C0F11BFDB}" srcOrd="1" destOrd="0" presId="urn:microsoft.com/office/officeart/2005/8/layout/orgChart1"/>
    <dgm:cxn modelId="{46AD90C5-DDA7-43A0-BC40-29758DFE33FC}" type="presParOf" srcId="{D6CAFFAC-C3DF-448A-8696-0652219A3466}" destId="{574A4E32-FD8A-4923-B5FF-DD8588B23BFF}" srcOrd="1" destOrd="0" presId="urn:microsoft.com/office/officeart/2005/8/layout/orgChart1"/>
    <dgm:cxn modelId="{67095512-DDED-4E92-B6ED-3B34280F9587}" type="presParOf" srcId="{D6CAFFAC-C3DF-448A-8696-0652219A3466}" destId="{6160E0D3-D135-4407-8A67-F53F7D60BECC}" srcOrd="2" destOrd="0" presId="urn:microsoft.com/office/officeart/2005/8/layout/orgChart1"/>
    <dgm:cxn modelId="{25AB0A0C-38E6-4C4D-9259-8BC4FCD23EE9}" type="presParOf" srcId="{F957F327-003C-4A31-8008-E89915470F30}" destId="{682333CC-A713-4C76-8A6B-4491741A45AE}" srcOrd="4" destOrd="0" presId="urn:microsoft.com/office/officeart/2005/8/layout/orgChart1"/>
    <dgm:cxn modelId="{3BBF9D2C-85BF-487A-A16C-6A9504C4FAEF}" type="presParOf" srcId="{F957F327-003C-4A31-8008-E89915470F30}" destId="{1D0CD40A-DD29-4E3A-984A-57EEFD1C2E8D}" srcOrd="5" destOrd="0" presId="urn:microsoft.com/office/officeart/2005/8/layout/orgChart1"/>
    <dgm:cxn modelId="{A0408B65-EECC-4025-8D67-1164425CC54D}" type="presParOf" srcId="{1D0CD40A-DD29-4E3A-984A-57EEFD1C2E8D}" destId="{7A18007B-D48A-4649-B527-41B95E967CEF}" srcOrd="0" destOrd="0" presId="urn:microsoft.com/office/officeart/2005/8/layout/orgChart1"/>
    <dgm:cxn modelId="{566FA853-2B12-4962-A829-1F3C653D6BC5}" type="presParOf" srcId="{7A18007B-D48A-4649-B527-41B95E967CEF}" destId="{AC29D5D2-2BC2-4328-8C86-803487281B55}" srcOrd="0" destOrd="0" presId="urn:microsoft.com/office/officeart/2005/8/layout/orgChart1"/>
    <dgm:cxn modelId="{895164FA-C4F9-40EB-8067-AC4055C29694}" type="presParOf" srcId="{7A18007B-D48A-4649-B527-41B95E967CEF}" destId="{9C55BEBB-160C-4E7E-A372-F1AB250ADFA0}" srcOrd="1" destOrd="0" presId="urn:microsoft.com/office/officeart/2005/8/layout/orgChart1"/>
    <dgm:cxn modelId="{024C57EF-4A2F-4E17-9834-19E5615C6E98}" type="presParOf" srcId="{1D0CD40A-DD29-4E3A-984A-57EEFD1C2E8D}" destId="{CD0F4678-6A95-4C9A-993F-57D740DE1C0B}" srcOrd="1" destOrd="0" presId="urn:microsoft.com/office/officeart/2005/8/layout/orgChart1"/>
    <dgm:cxn modelId="{9ED22D32-3709-429C-984B-D253838F9157}" type="presParOf" srcId="{1D0CD40A-DD29-4E3A-984A-57EEFD1C2E8D}" destId="{2894FB32-62FA-4E4C-BA14-28114246A209}" srcOrd="2" destOrd="0" presId="urn:microsoft.com/office/officeart/2005/8/layout/orgChart1"/>
    <dgm:cxn modelId="{75513895-1D6E-4335-9852-EABA3EBB18CF}" type="presParOf" srcId="{5AB803C5-EB75-4D0D-B1AB-EB61E0F59A28}" destId="{64200C6B-6DBC-470F-B3A1-EF4C96623ECD}" srcOrd="2" destOrd="0" presId="urn:microsoft.com/office/officeart/2005/8/layout/orgChart1"/>
    <dgm:cxn modelId="{A00EE841-E086-47FE-9CE1-D4B9A39EDB18}" type="presParOf" srcId="{C2279141-3544-464C-8C79-106F0CFBB14E}" destId="{384E78B6-5C05-40C2-B4C8-34CBF53D09FD}" srcOrd="4" destOrd="0" presId="urn:microsoft.com/office/officeart/2005/8/layout/orgChart1"/>
    <dgm:cxn modelId="{88C2C583-E3E3-4900-B014-C3BB55B21059}" type="presParOf" srcId="{C2279141-3544-464C-8C79-106F0CFBB14E}" destId="{D1F3F145-26B2-4BC3-88A4-AEC455F7C9F2}" srcOrd="5" destOrd="0" presId="urn:microsoft.com/office/officeart/2005/8/layout/orgChart1"/>
    <dgm:cxn modelId="{30B4D115-AFFA-43E6-AEC8-148F7A3ABE14}" type="presParOf" srcId="{D1F3F145-26B2-4BC3-88A4-AEC455F7C9F2}" destId="{FF08B507-4373-412A-8F03-B13E83BA29D4}" srcOrd="0" destOrd="0" presId="urn:microsoft.com/office/officeart/2005/8/layout/orgChart1"/>
    <dgm:cxn modelId="{AEDFAF4C-2F3B-4683-A892-7542C99A7798}" type="presParOf" srcId="{FF08B507-4373-412A-8F03-B13E83BA29D4}" destId="{71219005-0142-46A4-9435-188B1AC29646}" srcOrd="0" destOrd="0" presId="urn:microsoft.com/office/officeart/2005/8/layout/orgChart1"/>
    <dgm:cxn modelId="{47281C45-BC33-4695-B66E-F440044728E9}" type="presParOf" srcId="{FF08B507-4373-412A-8F03-B13E83BA29D4}" destId="{EB1C896E-CFF7-45D1-AF7B-7869A432A708}" srcOrd="1" destOrd="0" presId="urn:microsoft.com/office/officeart/2005/8/layout/orgChart1"/>
    <dgm:cxn modelId="{0F44E2F3-F434-429E-B5EE-0DD74550626B}" type="presParOf" srcId="{D1F3F145-26B2-4BC3-88A4-AEC455F7C9F2}" destId="{83DF3B0B-AB51-4F0B-AFF8-383A812B3B7B}" srcOrd="1" destOrd="0" presId="urn:microsoft.com/office/officeart/2005/8/layout/orgChart1"/>
    <dgm:cxn modelId="{548094DF-8506-4CB9-9381-8BCBEDB212A3}" type="presParOf" srcId="{83DF3B0B-AB51-4F0B-AFF8-383A812B3B7B}" destId="{AE32B0C2-D36B-447B-A38A-C139A1EB9B23}" srcOrd="0" destOrd="0" presId="urn:microsoft.com/office/officeart/2005/8/layout/orgChart1"/>
    <dgm:cxn modelId="{70F9C24A-9EAC-42D2-9260-6CBCCA353CEE}" type="presParOf" srcId="{83DF3B0B-AB51-4F0B-AFF8-383A812B3B7B}" destId="{1C58583B-B9C8-43C9-8838-13D3935DED2F}" srcOrd="1" destOrd="0" presId="urn:microsoft.com/office/officeart/2005/8/layout/orgChart1"/>
    <dgm:cxn modelId="{DCC837C5-A545-4151-8FC3-1AE697474ADC}" type="presParOf" srcId="{1C58583B-B9C8-43C9-8838-13D3935DED2F}" destId="{FC0A3521-483A-421F-9851-720C47805AAF}" srcOrd="0" destOrd="0" presId="urn:microsoft.com/office/officeart/2005/8/layout/orgChart1"/>
    <dgm:cxn modelId="{23EA3093-2172-4360-B006-09A5CF7E9B8B}" type="presParOf" srcId="{FC0A3521-483A-421F-9851-720C47805AAF}" destId="{8186C304-503F-45FF-80CA-F0821C57BE5D}" srcOrd="0" destOrd="0" presId="urn:microsoft.com/office/officeart/2005/8/layout/orgChart1"/>
    <dgm:cxn modelId="{67C1F009-BD62-45FF-ADA9-24E04B6EECCB}" type="presParOf" srcId="{FC0A3521-483A-421F-9851-720C47805AAF}" destId="{C3917E4E-541E-40E4-AC9F-0AEE15D69495}" srcOrd="1" destOrd="0" presId="urn:microsoft.com/office/officeart/2005/8/layout/orgChart1"/>
    <dgm:cxn modelId="{8529AF74-FA7C-4932-A4B6-4E3BED7E9A94}" type="presParOf" srcId="{1C58583B-B9C8-43C9-8838-13D3935DED2F}" destId="{B3819CD9-E0B7-4848-9F52-838C9A03929E}" srcOrd="1" destOrd="0" presId="urn:microsoft.com/office/officeart/2005/8/layout/orgChart1"/>
    <dgm:cxn modelId="{96CEF0E9-DFED-4CBF-9035-F635D88FD337}" type="presParOf" srcId="{1C58583B-B9C8-43C9-8838-13D3935DED2F}" destId="{69B575E6-D77A-4BF5-B68A-9C2257257340}" srcOrd="2" destOrd="0" presId="urn:microsoft.com/office/officeart/2005/8/layout/orgChart1"/>
    <dgm:cxn modelId="{FD54A4F3-9F05-4FD2-A044-FCEB3E05AD8F}" type="presParOf" srcId="{83DF3B0B-AB51-4F0B-AFF8-383A812B3B7B}" destId="{C586B6B4-CF1D-4A8D-B576-08231F4BD699}" srcOrd="2" destOrd="0" presId="urn:microsoft.com/office/officeart/2005/8/layout/orgChart1"/>
    <dgm:cxn modelId="{DF0BF38E-E66D-4B78-A50E-BD067B9D1D5A}" type="presParOf" srcId="{83DF3B0B-AB51-4F0B-AFF8-383A812B3B7B}" destId="{B87CF938-A308-4831-AA6A-37CB9AA1065B}" srcOrd="3" destOrd="0" presId="urn:microsoft.com/office/officeart/2005/8/layout/orgChart1"/>
    <dgm:cxn modelId="{DB6AE0E8-B790-49AC-8817-FA5621AAED21}" type="presParOf" srcId="{B87CF938-A308-4831-AA6A-37CB9AA1065B}" destId="{34AE6423-EC2B-4C9C-8B03-53117B976C6E}" srcOrd="0" destOrd="0" presId="urn:microsoft.com/office/officeart/2005/8/layout/orgChart1"/>
    <dgm:cxn modelId="{C6964E49-1B09-4DD1-A0CD-C89636222888}" type="presParOf" srcId="{34AE6423-EC2B-4C9C-8B03-53117B976C6E}" destId="{02F3F345-16C5-45D8-8AF4-75810F5C7F58}" srcOrd="0" destOrd="0" presId="urn:microsoft.com/office/officeart/2005/8/layout/orgChart1"/>
    <dgm:cxn modelId="{4E293E73-6721-45C5-AED4-04358B627840}" type="presParOf" srcId="{34AE6423-EC2B-4C9C-8B03-53117B976C6E}" destId="{749E7637-8EF0-4B4F-A7FA-F30DB925D34E}" srcOrd="1" destOrd="0" presId="urn:microsoft.com/office/officeart/2005/8/layout/orgChart1"/>
    <dgm:cxn modelId="{58A37269-7B69-479A-A062-36BC72BABC4B}" type="presParOf" srcId="{B87CF938-A308-4831-AA6A-37CB9AA1065B}" destId="{1DA33CA4-F721-49B7-817A-611879895D64}" srcOrd="1" destOrd="0" presId="urn:microsoft.com/office/officeart/2005/8/layout/orgChart1"/>
    <dgm:cxn modelId="{20D4C020-3D59-45FF-840A-B9BB7CC3FE66}" type="presParOf" srcId="{B87CF938-A308-4831-AA6A-37CB9AA1065B}" destId="{8E2991E5-6D39-4B49-890C-AD967F3CDB43}" srcOrd="2" destOrd="0" presId="urn:microsoft.com/office/officeart/2005/8/layout/orgChart1"/>
    <dgm:cxn modelId="{56CF86E4-DF9F-40D4-8759-CF0C6FE867C8}" type="presParOf" srcId="{83DF3B0B-AB51-4F0B-AFF8-383A812B3B7B}" destId="{629154A0-5813-441D-B6EA-823569FBD7A8}" srcOrd="4" destOrd="0" presId="urn:microsoft.com/office/officeart/2005/8/layout/orgChart1"/>
    <dgm:cxn modelId="{549798CE-E344-4097-94F0-65A21A1ABCE9}" type="presParOf" srcId="{83DF3B0B-AB51-4F0B-AFF8-383A812B3B7B}" destId="{724C525D-C844-4173-9ED4-35FECBE97727}" srcOrd="5" destOrd="0" presId="urn:microsoft.com/office/officeart/2005/8/layout/orgChart1"/>
    <dgm:cxn modelId="{E2619F8E-5F4B-4808-A70E-40418609859B}" type="presParOf" srcId="{724C525D-C844-4173-9ED4-35FECBE97727}" destId="{BAC7EAD4-469B-400B-9020-8360E583CF21}" srcOrd="0" destOrd="0" presId="urn:microsoft.com/office/officeart/2005/8/layout/orgChart1"/>
    <dgm:cxn modelId="{9FEFA1EA-1EF7-4D0A-9735-F4FA576A2942}" type="presParOf" srcId="{BAC7EAD4-469B-400B-9020-8360E583CF21}" destId="{94B61BB1-CB94-469F-9B79-36D99C81C1F1}" srcOrd="0" destOrd="0" presId="urn:microsoft.com/office/officeart/2005/8/layout/orgChart1"/>
    <dgm:cxn modelId="{7161154F-E670-4753-8BCF-4D3EF50E8E4A}" type="presParOf" srcId="{BAC7EAD4-469B-400B-9020-8360E583CF21}" destId="{B06E5B77-6E23-47A7-ADD3-A39A317AC3DA}" srcOrd="1" destOrd="0" presId="urn:microsoft.com/office/officeart/2005/8/layout/orgChart1"/>
    <dgm:cxn modelId="{7521A049-7990-4F8A-8BE8-25E1C1392864}" type="presParOf" srcId="{724C525D-C844-4173-9ED4-35FECBE97727}" destId="{65204F84-6BF9-4746-8EB2-CDEE08064991}" srcOrd="1" destOrd="0" presId="urn:microsoft.com/office/officeart/2005/8/layout/orgChart1"/>
    <dgm:cxn modelId="{B498FEFE-5CEA-4629-8F0C-6FFC2F064A7D}" type="presParOf" srcId="{724C525D-C844-4173-9ED4-35FECBE97727}" destId="{0047B816-AA38-47BF-B814-5222009E53D5}" srcOrd="2" destOrd="0" presId="urn:microsoft.com/office/officeart/2005/8/layout/orgChart1"/>
    <dgm:cxn modelId="{71A9697A-4EE5-40AF-A50E-628F50268280}" type="presParOf" srcId="{D1F3F145-26B2-4BC3-88A4-AEC455F7C9F2}" destId="{5E79FE17-F399-4A78-A4A8-D52F6016B57A}" srcOrd="2" destOrd="0" presId="urn:microsoft.com/office/officeart/2005/8/layout/orgChart1"/>
    <dgm:cxn modelId="{9147C8FF-CFF2-435C-B6B3-097F9B069A07}" type="presParOf" srcId="{342E46BB-DCE7-45E7-83EC-C8B46EFA6091}" destId="{12533C70-D3DB-468E-B368-0C102DC04734}" srcOrd="2" destOrd="0" presId="urn:microsoft.com/office/officeart/2005/8/layout/orgChart1"/>
    <dgm:cxn modelId="{57F16BC9-88D2-4626-95EE-97CE1ED88E1A}" type="presParOf" srcId="{D1AFB346-17E0-4B0B-AAB3-6885CD7D03C4}" destId="{C954D343-7E8B-41A4-9F55-D6990950DB58}" srcOrd="2" destOrd="0" presId="urn:microsoft.com/office/officeart/2005/8/layout/orgChart1"/>
    <dgm:cxn modelId="{436939F7-84A2-4E5B-BD7C-D1E11F0B77CF}" type="presParOf" srcId="{8364408C-314A-4AD2-B0E8-7D2BE781FCB4}" destId="{4D9CC191-6070-4740-AF58-DFD98309E5AA}" srcOrd="2" destOrd="0" presId="urn:microsoft.com/office/officeart/2005/8/layout/orgChar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874B113-8157-4041-90AD-22ECA8B5F838}"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ru-RU"/>
        </a:p>
      </dgm:t>
    </dgm:pt>
    <dgm:pt modelId="{326624D6-002A-418C-8096-FEC8B7D4F4AA}">
      <dgm:prSet phldrT="[Текст]"/>
      <dgm:spPr/>
      <dgm:t>
        <a:bodyPr/>
        <a:lstStyle/>
        <a:p>
          <a:r>
            <a:rPr lang="en-US"/>
            <a:t>Regiment</a:t>
          </a:r>
          <a:endParaRPr lang="ru-RU"/>
        </a:p>
      </dgm:t>
    </dgm:pt>
    <dgm:pt modelId="{39F3D133-A585-4C31-ABBB-FCCC07344C4C}" type="parTrans" cxnId="{2E70DFB2-24A6-4BEA-8BBD-950D8F2E8F3C}">
      <dgm:prSet/>
      <dgm:spPr/>
      <dgm:t>
        <a:bodyPr/>
        <a:lstStyle/>
        <a:p>
          <a:endParaRPr lang="ru-RU"/>
        </a:p>
      </dgm:t>
    </dgm:pt>
    <dgm:pt modelId="{2758147E-B173-42B2-8154-65E6F35FC6A7}" type="sibTrans" cxnId="{2E70DFB2-24A6-4BEA-8BBD-950D8F2E8F3C}">
      <dgm:prSet/>
      <dgm:spPr/>
      <dgm:t>
        <a:bodyPr/>
        <a:lstStyle/>
        <a:p>
          <a:endParaRPr lang="ru-RU"/>
        </a:p>
      </dgm:t>
    </dgm:pt>
    <dgm:pt modelId="{217A70DC-F952-4E86-BD66-1E75C2ADEA7A}">
      <dgm:prSet phldrT="[Текст]"/>
      <dgm:spPr/>
      <dgm:t>
        <a:bodyPr/>
        <a:lstStyle/>
        <a:p>
          <a:r>
            <a:rPr lang="en-US"/>
            <a:t>Squadron</a:t>
          </a:r>
          <a:endParaRPr lang="ru-RU"/>
        </a:p>
      </dgm:t>
    </dgm:pt>
    <dgm:pt modelId="{D7F30FD6-0D9F-46DF-B4B5-748D4AC5EEBA}" type="parTrans" cxnId="{D9D33FC7-15D3-4AC4-959C-73C865584FFE}">
      <dgm:prSet/>
      <dgm:spPr/>
      <dgm:t>
        <a:bodyPr/>
        <a:lstStyle/>
        <a:p>
          <a:endParaRPr lang="ru-RU"/>
        </a:p>
      </dgm:t>
    </dgm:pt>
    <dgm:pt modelId="{8F8784BA-F48B-40ED-B4CE-55769D698740}" type="sibTrans" cxnId="{D9D33FC7-15D3-4AC4-959C-73C865584FFE}">
      <dgm:prSet/>
      <dgm:spPr/>
      <dgm:t>
        <a:bodyPr/>
        <a:lstStyle/>
        <a:p>
          <a:endParaRPr lang="ru-RU"/>
        </a:p>
      </dgm:t>
    </dgm:pt>
    <dgm:pt modelId="{65D9116E-CF66-446A-ABE2-28B7C5153E44}">
      <dgm:prSet phldrT="[Текст]"/>
      <dgm:spPr/>
      <dgm:t>
        <a:bodyPr/>
        <a:lstStyle/>
        <a:p>
          <a:r>
            <a:rPr lang="en-US"/>
            <a:t>Squadron</a:t>
          </a:r>
          <a:endParaRPr lang="ru-RU"/>
        </a:p>
      </dgm:t>
    </dgm:pt>
    <dgm:pt modelId="{99B7B135-ED84-4F11-8B4B-4BE6E22C9977}" type="parTrans" cxnId="{F5B7DAC0-BB3D-4D96-8589-E9E82F11B98F}">
      <dgm:prSet/>
      <dgm:spPr/>
      <dgm:t>
        <a:bodyPr/>
        <a:lstStyle/>
        <a:p>
          <a:endParaRPr lang="ru-RU"/>
        </a:p>
      </dgm:t>
    </dgm:pt>
    <dgm:pt modelId="{EAEF6FF2-7AFE-4F9F-86C7-FC4E2C40BFE9}" type="sibTrans" cxnId="{F5B7DAC0-BB3D-4D96-8589-E9E82F11B98F}">
      <dgm:prSet/>
      <dgm:spPr/>
      <dgm:t>
        <a:bodyPr/>
        <a:lstStyle/>
        <a:p>
          <a:endParaRPr lang="ru-RU"/>
        </a:p>
      </dgm:t>
    </dgm:pt>
    <dgm:pt modelId="{828B61AB-FC25-4274-AEE3-61593CC8E49F}">
      <dgm:prSet/>
      <dgm:spPr/>
      <dgm:t>
        <a:bodyPr/>
        <a:lstStyle/>
        <a:p>
          <a:r>
            <a:rPr lang="en-US"/>
            <a:t>Flight</a:t>
          </a:r>
          <a:endParaRPr lang="ru-RU"/>
        </a:p>
      </dgm:t>
    </dgm:pt>
    <dgm:pt modelId="{B8F82D85-A2D0-46D3-9C79-E615B8B93FCF}" type="parTrans" cxnId="{24346EF4-8A12-470E-B6FB-2B57F4C54A78}">
      <dgm:prSet/>
      <dgm:spPr/>
      <dgm:t>
        <a:bodyPr/>
        <a:lstStyle/>
        <a:p>
          <a:endParaRPr lang="ru-RU"/>
        </a:p>
      </dgm:t>
    </dgm:pt>
    <dgm:pt modelId="{6896B6CC-A143-4E0B-AF6A-9742553E5788}" type="sibTrans" cxnId="{24346EF4-8A12-470E-B6FB-2B57F4C54A78}">
      <dgm:prSet/>
      <dgm:spPr/>
      <dgm:t>
        <a:bodyPr/>
        <a:lstStyle/>
        <a:p>
          <a:endParaRPr lang="ru-RU"/>
        </a:p>
      </dgm:t>
    </dgm:pt>
    <dgm:pt modelId="{D8D7F5C1-8A3B-4EF7-9E1C-8181E8E899B4}">
      <dgm:prSet/>
      <dgm:spPr/>
      <dgm:t>
        <a:bodyPr/>
        <a:lstStyle/>
        <a:p>
          <a:r>
            <a:rPr lang="en-US"/>
            <a:t>Flight</a:t>
          </a:r>
        </a:p>
      </dgm:t>
    </dgm:pt>
    <dgm:pt modelId="{6EBF2329-264B-43F2-BA56-0A9CEFEC2841}" type="parTrans" cxnId="{E41CE714-A610-4697-B8D2-BF80551974C2}">
      <dgm:prSet/>
      <dgm:spPr/>
      <dgm:t>
        <a:bodyPr/>
        <a:lstStyle/>
        <a:p>
          <a:endParaRPr lang="ru-RU"/>
        </a:p>
      </dgm:t>
    </dgm:pt>
    <dgm:pt modelId="{221D290B-7FD2-4BA0-B1D7-6C8EDA314D42}" type="sibTrans" cxnId="{E41CE714-A610-4697-B8D2-BF80551974C2}">
      <dgm:prSet/>
      <dgm:spPr/>
      <dgm:t>
        <a:bodyPr/>
        <a:lstStyle/>
        <a:p>
          <a:endParaRPr lang="ru-RU"/>
        </a:p>
      </dgm:t>
    </dgm:pt>
    <dgm:pt modelId="{533DF275-BCB3-4367-ACCD-7D54B2D1C149}">
      <dgm:prSet/>
      <dgm:spPr/>
      <dgm:t>
        <a:bodyPr/>
        <a:lstStyle/>
        <a:p>
          <a:r>
            <a:rPr lang="en-US"/>
            <a:t>Wing</a:t>
          </a:r>
        </a:p>
      </dgm:t>
    </dgm:pt>
    <dgm:pt modelId="{F93EBD0D-C797-49CA-8CBE-C3FDB69DF84A}" type="parTrans" cxnId="{A7782292-FB63-4192-A958-6E5C330923A7}">
      <dgm:prSet/>
      <dgm:spPr/>
      <dgm:t>
        <a:bodyPr/>
        <a:lstStyle/>
        <a:p>
          <a:endParaRPr lang="ru-RU"/>
        </a:p>
      </dgm:t>
    </dgm:pt>
    <dgm:pt modelId="{7F7E7F1E-32DB-48CB-AB28-5650E0745568}" type="sibTrans" cxnId="{A7782292-FB63-4192-A958-6E5C330923A7}">
      <dgm:prSet/>
      <dgm:spPr/>
      <dgm:t>
        <a:bodyPr/>
        <a:lstStyle/>
        <a:p>
          <a:endParaRPr lang="ru-RU"/>
        </a:p>
      </dgm:t>
    </dgm:pt>
    <dgm:pt modelId="{A0AEB875-ECF8-4DAD-86F8-397280A25CA0}">
      <dgm:prSet/>
      <dgm:spPr/>
      <dgm:t>
        <a:bodyPr/>
        <a:lstStyle/>
        <a:p>
          <a:r>
            <a:rPr lang="en-US"/>
            <a:t>Talon</a:t>
          </a:r>
        </a:p>
      </dgm:t>
    </dgm:pt>
    <dgm:pt modelId="{F0563EB4-4C66-4346-B3C3-BC171B9AF211}" type="parTrans" cxnId="{C78688BE-D838-4961-91DC-08997CD10020}">
      <dgm:prSet/>
      <dgm:spPr/>
      <dgm:t>
        <a:bodyPr/>
        <a:lstStyle/>
        <a:p>
          <a:endParaRPr lang="ru-RU"/>
        </a:p>
      </dgm:t>
    </dgm:pt>
    <dgm:pt modelId="{2BE447BA-5695-4949-B91A-B71D5F012A30}" type="sibTrans" cxnId="{C78688BE-D838-4961-91DC-08997CD10020}">
      <dgm:prSet/>
      <dgm:spPr/>
      <dgm:t>
        <a:bodyPr/>
        <a:lstStyle/>
        <a:p>
          <a:endParaRPr lang="ru-RU"/>
        </a:p>
      </dgm:t>
    </dgm:pt>
    <dgm:pt modelId="{6539BBB0-E273-455B-8066-CE9E4E108DE7}">
      <dgm:prSet/>
      <dgm:spPr/>
      <dgm:t>
        <a:bodyPr/>
        <a:lstStyle/>
        <a:p>
          <a:r>
            <a:rPr lang="en-US"/>
            <a:t>Talon</a:t>
          </a:r>
          <a:endParaRPr lang="ru-RU"/>
        </a:p>
      </dgm:t>
    </dgm:pt>
    <dgm:pt modelId="{EA9CDE79-29D2-41AD-96B5-E1D54A890789}" type="parTrans" cxnId="{354882B7-8616-4BAD-A11F-A896566D6E00}">
      <dgm:prSet/>
      <dgm:spPr/>
      <dgm:t>
        <a:bodyPr/>
        <a:lstStyle/>
        <a:p>
          <a:endParaRPr lang="ru-RU"/>
        </a:p>
      </dgm:t>
    </dgm:pt>
    <dgm:pt modelId="{A2A140B7-B8D9-4A15-AF6E-7CCBF7300940}" type="sibTrans" cxnId="{354882B7-8616-4BAD-A11F-A896566D6E00}">
      <dgm:prSet/>
      <dgm:spPr/>
      <dgm:t>
        <a:bodyPr/>
        <a:lstStyle/>
        <a:p>
          <a:endParaRPr lang="ru-RU"/>
        </a:p>
      </dgm:t>
    </dgm:pt>
    <dgm:pt modelId="{4BADD504-9BDB-480D-8321-A08EDE2C27C0}">
      <dgm:prSet/>
      <dgm:spPr/>
      <dgm:t>
        <a:bodyPr/>
        <a:lstStyle/>
        <a:p>
          <a:r>
            <a:rPr lang="en-US"/>
            <a:t>Wing</a:t>
          </a:r>
        </a:p>
      </dgm:t>
    </dgm:pt>
    <dgm:pt modelId="{4ED7F18C-05BE-4DF1-9105-701F90DAC7B1}" type="parTrans" cxnId="{1026F385-B1FB-4BED-B41B-1552E84802ED}">
      <dgm:prSet/>
      <dgm:spPr/>
      <dgm:t>
        <a:bodyPr/>
        <a:lstStyle/>
        <a:p>
          <a:endParaRPr lang="ru-RU"/>
        </a:p>
      </dgm:t>
    </dgm:pt>
    <dgm:pt modelId="{6DB5DCE8-BE18-4227-90CA-ED883D646C98}" type="sibTrans" cxnId="{1026F385-B1FB-4BED-B41B-1552E84802ED}">
      <dgm:prSet/>
      <dgm:spPr/>
      <dgm:t>
        <a:bodyPr/>
        <a:lstStyle/>
        <a:p>
          <a:endParaRPr lang="ru-RU"/>
        </a:p>
      </dgm:t>
    </dgm:pt>
    <dgm:pt modelId="{67D9BA64-CD68-468D-946A-40A802BC6514}">
      <dgm:prSet/>
      <dgm:spPr/>
      <dgm:t>
        <a:bodyPr/>
        <a:lstStyle/>
        <a:p>
          <a:r>
            <a:rPr lang="en-US"/>
            <a:t>Talon</a:t>
          </a:r>
        </a:p>
      </dgm:t>
    </dgm:pt>
    <dgm:pt modelId="{CDC45995-1210-4FA0-B2AD-2B9DF3673DBA}" type="parTrans" cxnId="{60159D5E-4AFB-4950-85FC-2A8A4A9F6AAF}">
      <dgm:prSet/>
      <dgm:spPr/>
      <dgm:t>
        <a:bodyPr/>
        <a:lstStyle/>
        <a:p>
          <a:endParaRPr lang="ru-RU"/>
        </a:p>
      </dgm:t>
    </dgm:pt>
    <dgm:pt modelId="{BB7210CE-A825-4C94-A293-96F392FE3A4F}" type="sibTrans" cxnId="{60159D5E-4AFB-4950-85FC-2A8A4A9F6AAF}">
      <dgm:prSet/>
      <dgm:spPr/>
      <dgm:t>
        <a:bodyPr/>
        <a:lstStyle/>
        <a:p>
          <a:endParaRPr lang="ru-RU"/>
        </a:p>
      </dgm:t>
    </dgm:pt>
    <dgm:pt modelId="{BE15A92E-F74D-4E68-92B2-A599E85EF405}">
      <dgm:prSet/>
      <dgm:spPr/>
      <dgm:t>
        <a:bodyPr/>
        <a:lstStyle/>
        <a:p>
          <a:r>
            <a:rPr lang="en-US"/>
            <a:t>Talon</a:t>
          </a:r>
          <a:endParaRPr lang="ru-RU"/>
        </a:p>
      </dgm:t>
    </dgm:pt>
    <dgm:pt modelId="{76838BAF-3C8C-42C9-BDD1-95A0874804EE}" type="parTrans" cxnId="{FAC53B90-D58D-4996-BD9C-953BF69DB153}">
      <dgm:prSet/>
      <dgm:spPr/>
      <dgm:t>
        <a:bodyPr/>
        <a:lstStyle/>
        <a:p>
          <a:endParaRPr lang="ru-RU"/>
        </a:p>
      </dgm:t>
    </dgm:pt>
    <dgm:pt modelId="{85CF3E3E-A926-443F-A34D-53AAB466523B}" type="sibTrans" cxnId="{FAC53B90-D58D-4996-BD9C-953BF69DB153}">
      <dgm:prSet/>
      <dgm:spPr/>
      <dgm:t>
        <a:bodyPr/>
        <a:lstStyle/>
        <a:p>
          <a:endParaRPr lang="ru-RU"/>
        </a:p>
      </dgm:t>
    </dgm:pt>
    <dgm:pt modelId="{0DB65D9E-CEC2-48AE-AAA7-BA5607810F14}">
      <dgm:prSet/>
      <dgm:spPr/>
      <dgm:t>
        <a:bodyPr/>
        <a:lstStyle/>
        <a:p>
          <a:r>
            <a:rPr lang="en-US"/>
            <a:t>Wing</a:t>
          </a:r>
          <a:endParaRPr lang="ru-RU"/>
        </a:p>
      </dgm:t>
    </dgm:pt>
    <dgm:pt modelId="{6FFFD0C4-3059-4D68-B7EA-22325719FD3A}" type="parTrans" cxnId="{C2AF9B90-AD47-4B34-AAF8-5A9A2103446C}">
      <dgm:prSet/>
      <dgm:spPr/>
      <dgm:t>
        <a:bodyPr/>
        <a:lstStyle/>
        <a:p>
          <a:endParaRPr lang="ru-RU"/>
        </a:p>
      </dgm:t>
    </dgm:pt>
    <dgm:pt modelId="{2421BF8A-61F6-4E6D-948B-E3561AAA4820}" type="sibTrans" cxnId="{C2AF9B90-AD47-4B34-AAF8-5A9A2103446C}">
      <dgm:prSet/>
      <dgm:spPr/>
      <dgm:t>
        <a:bodyPr/>
        <a:lstStyle/>
        <a:p>
          <a:endParaRPr lang="ru-RU"/>
        </a:p>
      </dgm:t>
    </dgm:pt>
    <dgm:pt modelId="{1B6B5D36-B2F5-44F8-8F07-7AE4BD8BBBA9}">
      <dgm:prSet/>
      <dgm:spPr/>
      <dgm:t>
        <a:bodyPr/>
        <a:lstStyle/>
        <a:p>
          <a:r>
            <a:rPr lang="en-US"/>
            <a:t>Talon</a:t>
          </a:r>
        </a:p>
      </dgm:t>
    </dgm:pt>
    <dgm:pt modelId="{5A31B611-5C44-452E-BD3E-90A9C689B4EC}" type="parTrans" cxnId="{15C3A4F5-6CAF-433D-BF6A-A5BCF7C5B2BD}">
      <dgm:prSet/>
      <dgm:spPr/>
      <dgm:t>
        <a:bodyPr/>
        <a:lstStyle/>
        <a:p>
          <a:endParaRPr lang="ru-RU"/>
        </a:p>
      </dgm:t>
    </dgm:pt>
    <dgm:pt modelId="{2C6E0285-F9D7-4A77-91DE-04ECFBCF0EA8}" type="sibTrans" cxnId="{15C3A4F5-6CAF-433D-BF6A-A5BCF7C5B2BD}">
      <dgm:prSet/>
      <dgm:spPr/>
      <dgm:t>
        <a:bodyPr/>
        <a:lstStyle/>
        <a:p>
          <a:endParaRPr lang="ru-RU"/>
        </a:p>
      </dgm:t>
    </dgm:pt>
    <dgm:pt modelId="{9BA5C98E-0B2A-430C-9B1B-ADD600CF08C3}">
      <dgm:prSet/>
      <dgm:spPr/>
      <dgm:t>
        <a:bodyPr/>
        <a:lstStyle/>
        <a:p>
          <a:r>
            <a:rPr lang="en-US"/>
            <a:t>Talon</a:t>
          </a:r>
          <a:endParaRPr lang="ru-RU"/>
        </a:p>
      </dgm:t>
    </dgm:pt>
    <dgm:pt modelId="{90D13C80-A94D-4797-8868-B5F546697CA5}" type="parTrans" cxnId="{443FF8A4-CB15-4346-903F-DA00CB3D7AAD}">
      <dgm:prSet/>
      <dgm:spPr/>
      <dgm:t>
        <a:bodyPr/>
        <a:lstStyle/>
        <a:p>
          <a:endParaRPr lang="ru-RU"/>
        </a:p>
      </dgm:t>
    </dgm:pt>
    <dgm:pt modelId="{415E93D0-50DE-4065-8F60-69473EF9F59A}" type="sibTrans" cxnId="{443FF8A4-CB15-4346-903F-DA00CB3D7AAD}">
      <dgm:prSet/>
      <dgm:spPr/>
      <dgm:t>
        <a:bodyPr/>
        <a:lstStyle/>
        <a:p>
          <a:endParaRPr lang="ru-RU"/>
        </a:p>
      </dgm:t>
    </dgm:pt>
    <dgm:pt modelId="{21D9657E-CA57-432E-83B8-3EB77B6D07E8}">
      <dgm:prSet/>
      <dgm:spPr/>
      <dgm:t>
        <a:bodyPr/>
        <a:lstStyle/>
        <a:p>
          <a:r>
            <a:rPr lang="en-US"/>
            <a:t>Wing</a:t>
          </a:r>
          <a:endParaRPr lang="ru-RU"/>
        </a:p>
      </dgm:t>
    </dgm:pt>
    <dgm:pt modelId="{EE1AAED9-4DC3-487F-A351-493D61E5B34E}" type="parTrans" cxnId="{46CC5711-CDB7-4AB2-842E-C6C722433CC3}">
      <dgm:prSet/>
      <dgm:spPr/>
      <dgm:t>
        <a:bodyPr/>
        <a:lstStyle/>
        <a:p>
          <a:endParaRPr lang="ru-RU"/>
        </a:p>
      </dgm:t>
    </dgm:pt>
    <dgm:pt modelId="{8263832B-9F30-4555-9900-843CE9A3CFDC}" type="sibTrans" cxnId="{46CC5711-CDB7-4AB2-842E-C6C722433CC3}">
      <dgm:prSet/>
      <dgm:spPr/>
      <dgm:t>
        <a:bodyPr/>
        <a:lstStyle/>
        <a:p>
          <a:endParaRPr lang="ru-RU"/>
        </a:p>
      </dgm:t>
    </dgm:pt>
    <dgm:pt modelId="{0415C043-E2F3-4E16-842A-4894A6C64357}">
      <dgm:prSet/>
      <dgm:spPr/>
      <dgm:t>
        <a:bodyPr/>
        <a:lstStyle/>
        <a:p>
          <a:r>
            <a:rPr lang="en-US"/>
            <a:t>Talon</a:t>
          </a:r>
        </a:p>
      </dgm:t>
    </dgm:pt>
    <dgm:pt modelId="{079E4228-43D6-4856-A082-88618B961568}" type="parTrans" cxnId="{865F5983-741D-40A6-9EA2-A75D31C5702A}">
      <dgm:prSet/>
      <dgm:spPr/>
      <dgm:t>
        <a:bodyPr/>
        <a:lstStyle/>
        <a:p>
          <a:endParaRPr lang="ru-RU"/>
        </a:p>
      </dgm:t>
    </dgm:pt>
    <dgm:pt modelId="{8036A612-2CC1-4165-A4AA-6D708C7E584E}" type="sibTrans" cxnId="{865F5983-741D-40A6-9EA2-A75D31C5702A}">
      <dgm:prSet/>
      <dgm:spPr/>
      <dgm:t>
        <a:bodyPr/>
        <a:lstStyle/>
        <a:p>
          <a:endParaRPr lang="ru-RU"/>
        </a:p>
      </dgm:t>
    </dgm:pt>
    <dgm:pt modelId="{61E05F06-3AD7-4E25-8864-50BB45256034}">
      <dgm:prSet/>
      <dgm:spPr/>
      <dgm:t>
        <a:bodyPr/>
        <a:lstStyle/>
        <a:p>
          <a:r>
            <a:rPr lang="en-US"/>
            <a:t>Talon</a:t>
          </a:r>
          <a:endParaRPr lang="ru-RU"/>
        </a:p>
      </dgm:t>
    </dgm:pt>
    <dgm:pt modelId="{B46916E4-AFDA-4F12-8EDD-ECD7592577BD}" type="parTrans" cxnId="{7EB759EC-840C-4B3A-92EE-5303FF9FCF7F}">
      <dgm:prSet/>
      <dgm:spPr/>
      <dgm:t>
        <a:bodyPr/>
        <a:lstStyle/>
        <a:p>
          <a:endParaRPr lang="ru-RU"/>
        </a:p>
      </dgm:t>
    </dgm:pt>
    <dgm:pt modelId="{EB004AEE-7017-4E8B-A8B3-8B956F7FFC48}" type="sibTrans" cxnId="{7EB759EC-840C-4B3A-92EE-5303FF9FCF7F}">
      <dgm:prSet/>
      <dgm:spPr/>
      <dgm:t>
        <a:bodyPr/>
        <a:lstStyle/>
        <a:p>
          <a:endParaRPr lang="ru-RU"/>
        </a:p>
      </dgm:t>
    </dgm:pt>
    <dgm:pt modelId="{8B11B526-031E-443C-9738-56270119A457}">
      <dgm:prSet/>
      <dgm:spPr/>
      <dgm:t>
        <a:bodyPr/>
        <a:lstStyle/>
        <a:p>
          <a:r>
            <a:rPr lang="en-US"/>
            <a:t>Flight</a:t>
          </a:r>
          <a:endParaRPr lang="ru-RU"/>
        </a:p>
      </dgm:t>
    </dgm:pt>
    <dgm:pt modelId="{5BDFDCA0-425E-4416-9801-4056DA7315BE}" type="parTrans" cxnId="{2C903DA1-B26E-4A22-BB56-95927ACBBF7B}">
      <dgm:prSet/>
      <dgm:spPr/>
      <dgm:t>
        <a:bodyPr/>
        <a:lstStyle/>
        <a:p>
          <a:endParaRPr lang="ru-RU"/>
        </a:p>
      </dgm:t>
    </dgm:pt>
    <dgm:pt modelId="{7BD3690C-FE0F-4C0C-98D6-CB8C00DDA199}" type="sibTrans" cxnId="{2C903DA1-B26E-4A22-BB56-95927ACBBF7B}">
      <dgm:prSet/>
      <dgm:spPr/>
      <dgm:t>
        <a:bodyPr/>
        <a:lstStyle/>
        <a:p>
          <a:endParaRPr lang="ru-RU"/>
        </a:p>
      </dgm:t>
    </dgm:pt>
    <dgm:pt modelId="{51C5A314-338A-4000-8886-5434A05F0C56}">
      <dgm:prSet/>
      <dgm:spPr/>
      <dgm:t>
        <a:bodyPr/>
        <a:lstStyle/>
        <a:p>
          <a:r>
            <a:rPr lang="en-US"/>
            <a:t>Wing</a:t>
          </a:r>
        </a:p>
      </dgm:t>
    </dgm:pt>
    <dgm:pt modelId="{A7399147-0021-4266-B5A3-E1630213D2CF}" type="parTrans" cxnId="{339414A3-B2FD-480A-B73B-585E389A4701}">
      <dgm:prSet/>
      <dgm:spPr/>
      <dgm:t>
        <a:bodyPr/>
        <a:lstStyle/>
        <a:p>
          <a:endParaRPr lang="ru-RU"/>
        </a:p>
      </dgm:t>
    </dgm:pt>
    <dgm:pt modelId="{E69EFF52-2417-4C6A-8B1E-A11CDEB60B61}" type="sibTrans" cxnId="{339414A3-B2FD-480A-B73B-585E389A4701}">
      <dgm:prSet/>
      <dgm:spPr/>
      <dgm:t>
        <a:bodyPr/>
        <a:lstStyle/>
        <a:p>
          <a:endParaRPr lang="ru-RU"/>
        </a:p>
      </dgm:t>
    </dgm:pt>
    <dgm:pt modelId="{63CEADAF-E5ED-415F-BFAC-8D6748D3DF95}">
      <dgm:prSet/>
      <dgm:spPr/>
      <dgm:t>
        <a:bodyPr/>
        <a:lstStyle/>
        <a:p>
          <a:r>
            <a:rPr lang="en-US"/>
            <a:t>Talon</a:t>
          </a:r>
        </a:p>
      </dgm:t>
    </dgm:pt>
    <dgm:pt modelId="{A8154968-CD01-4E84-B2F3-8929876E9441}" type="parTrans" cxnId="{28108867-DD83-42C2-8E2F-84EAE1CFB7EF}">
      <dgm:prSet/>
      <dgm:spPr/>
      <dgm:t>
        <a:bodyPr/>
        <a:lstStyle/>
        <a:p>
          <a:endParaRPr lang="ru-RU"/>
        </a:p>
      </dgm:t>
    </dgm:pt>
    <dgm:pt modelId="{A79B6CAE-825A-44A2-9613-40C32DE6C8EE}" type="sibTrans" cxnId="{28108867-DD83-42C2-8E2F-84EAE1CFB7EF}">
      <dgm:prSet/>
      <dgm:spPr/>
      <dgm:t>
        <a:bodyPr/>
        <a:lstStyle/>
        <a:p>
          <a:endParaRPr lang="ru-RU"/>
        </a:p>
      </dgm:t>
    </dgm:pt>
    <dgm:pt modelId="{F71E8056-4FE8-4DFF-94E8-6008BCF74BF0}">
      <dgm:prSet/>
      <dgm:spPr/>
      <dgm:t>
        <a:bodyPr/>
        <a:lstStyle/>
        <a:p>
          <a:r>
            <a:rPr lang="en-US"/>
            <a:t>Talon</a:t>
          </a:r>
          <a:endParaRPr lang="ru-RU"/>
        </a:p>
      </dgm:t>
    </dgm:pt>
    <dgm:pt modelId="{2873AC91-6821-41A6-B39B-D4339C95822C}" type="parTrans" cxnId="{BBB44323-FAA2-40BB-B8DA-2B678620FAAD}">
      <dgm:prSet/>
      <dgm:spPr/>
      <dgm:t>
        <a:bodyPr/>
        <a:lstStyle/>
        <a:p>
          <a:endParaRPr lang="ru-RU"/>
        </a:p>
      </dgm:t>
    </dgm:pt>
    <dgm:pt modelId="{2F828736-8248-4362-891F-8B5A4AC627D7}" type="sibTrans" cxnId="{BBB44323-FAA2-40BB-B8DA-2B678620FAAD}">
      <dgm:prSet/>
      <dgm:spPr/>
      <dgm:t>
        <a:bodyPr/>
        <a:lstStyle/>
        <a:p>
          <a:endParaRPr lang="ru-RU"/>
        </a:p>
      </dgm:t>
    </dgm:pt>
    <dgm:pt modelId="{348EAA59-D771-4434-BA44-9988060468BA}">
      <dgm:prSet/>
      <dgm:spPr/>
      <dgm:t>
        <a:bodyPr/>
        <a:lstStyle/>
        <a:p>
          <a:r>
            <a:rPr lang="en-US"/>
            <a:t>Wing</a:t>
          </a:r>
          <a:endParaRPr lang="ru-RU"/>
        </a:p>
      </dgm:t>
    </dgm:pt>
    <dgm:pt modelId="{3BEF11F3-4B2B-4790-8A79-6F61930121CA}" type="parTrans" cxnId="{109CF418-D785-4C30-8338-0FD8BDD8B724}">
      <dgm:prSet/>
      <dgm:spPr/>
      <dgm:t>
        <a:bodyPr/>
        <a:lstStyle/>
        <a:p>
          <a:endParaRPr lang="ru-RU"/>
        </a:p>
      </dgm:t>
    </dgm:pt>
    <dgm:pt modelId="{8F0C4F43-A594-44D6-87BA-104B179271AE}" type="sibTrans" cxnId="{109CF418-D785-4C30-8338-0FD8BDD8B724}">
      <dgm:prSet/>
      <dgm:spPr/>
      <dgm:t>
        <a:bodyPr/>
        <a:lstStyle/>
        <a:p>
          <a:endParaRPr lang="ru-RU"/>
        </a:p>
      </dgm:t>
    </dgm:pt>
    <dgm:pt modelId="{A7EB35A6-261A-450B-A2BE-9A9397C54F20}">
      <dgm:prSet/>
      <dgm:spPr/>
      <dgm:t>
        <a:bodyPr/>
        <a:lstStyle/>
        <a:p>
          <a:r>
            <a:rPr lang="en-US"/>
            <a:t>Talon</a:t>
          </a:r>
        </a:p>
      </dgm:t>
    </dgm:pt>
    <dgm:pt modelId="{8DC1E5C1-0BD6-4FD7-9534-FB88EDDBFE63}" type="parTrans" cxnId="{F0D5B142-5C86-4581-A0EC-30A50AAB710D}">
      <dgm:prSet/>
      <dgm:spPr/>
      <dgm:t>
        <a:bodyPr/>
        <a:lstStyle/>
        <a:p>
          <a:endParaRPr lang="ru-RU"/>
        </a:p>
      </dgm:t>
    </dgm:pt>
    <dgm:pt modelId="{9B9925C1-8E53-4ADA-8AB6-37CDDFBBEF5F}" type="sibTrans" cxnId="{F0D5B142-5C86-4581-A0EC-30A50AAB710D}">
      <dgm:prSet/>
      <dgm:spPr/>
      <dgm:t>
        <a:bodyPr/>
        <a:lstStyle/>
        <a:p>
          <a:endParaRPr lang="ru-RU"/>
        </a:p>
      </dgm:t>
    </dgm:pt>
    <dgm:pt modelId="{AFCECF12-BE5D-461F-8334-47B2BE3CB404}">
      <dgm:prSet/>
      <dgm:spPr/>
      <dgm:t>
        <a:bodyPr/>
        <a:lstStyle/>
        <a:p>
          <a:r>
            <a:rPr lang="en-US"/>
            <a:t>Talon</a:t>
          </a:r>
          <a:endParaRPr lang="ru-RU"/>
        </a:p>
      </dgm:t>
    </dgm:pt>
    <dgm:pt modelId="{586A492F-CCC5-4026-93B8-828B2B02B9E7}" type="parTrans" cxnId="{E5364E45-3672-4D97-8BBE-14E0CF248656}">
      <dgm:prSet/>
      <dgm:spPr/>
      <dgm:t>
        <a:bodyPr/>
        <a:lstStyle/>
        <a:p>
          <a:endParaRPr lang="ru-RU"/>
        </a:p>
      </dgm:t>
    </dgm:pt>
    <dgm:pt modelId="{15A48996-A0D6-487C-B972-097041645E51}" type="sibTrans" cxnId="{E5364E45-3672-4D97-8BBE-14E0CF248656}">
      <dgm:prSet/>
      <dgm:spPr/>
      <dgm:t>
        <a:bodyPr/>
        <a:lstStyle/>
        <a:p>
          <a:endParaRPr lang="ru-RU"/>
        </a:p>
      </dgm:t>
    </dgm:pt>
    <dgm:pt modelId="{48FDFB61-8211-48AB-ABB7-50CF4A8B9591}">
      <dgm:prSet/>
      <dgm:spPr/>
      <dgm:t>
        <a:bodyPr/>
        <a:lstStyle/>
        <a:p>
          <a:r>
            <a:rPr lang="en-US"/>
            <a:t>Flight</a:t>
          </a:r>
        </a:p>
      </dgm:t>
    </dgm:pt>
    <dgm:pt modelId="{F29A755A-A2F8-4F65-96A8-99E52BC977E2}" type="parTrans" cxnId="{FAF9E407-374C-492B-9ECB-F28D642C5632}">
      <dgm:prSet/>
      <dgm:spPr/>
      <dgm:t>
        <a:bodyPr/>
        <a:lstStyle/>
        <a:p>
          <a:endParaRPr lang="ru-RU"/>
        </a:p>
      </dgm:t>
    </dgm:pt>
    <dgm:pt modelId="{2A089511-9144-42D6-A773-46638BB10B1E}" type="sibTrans" cxnId="{FAF9E407-374C-492B-9ECB-F28D642C5632}">
      <dgm:prSet/>
      <dgm:spPr/>
      <dgm:t>
        <a:bodyPr/>
        <a:lstStyle/>
        <a:p>
          <a:endParaRPr lang="ru-RU"/>
        </a:p>
      </dgm:t>
    </dgm:pt>
    <dgm:pt modelId="{6B5FBF81-3F69-44BB-BC65-B6B8DCFF6588}">
      <dgm:prSet/>
      <dgm:spPr/>
      <dgm:t>
        <a:bodyPr/>
        <a:lstStyle/>
        <a:p>
          <a:r>
            <a:rPr lang="en-US"/>
            <a:t>Wing</a:t>
          </a:r>
        </a:p>
      </dgm:t>
    </dgm:pt>
    <dgm:pt modelId="{A5798EC1-E749-4C9E-A606-A074AB9E2D58}" type="parTrans" cxnId="{5180D3DA-94AE-44B9-95F1-0ECEFC5C2E70}">
      <dgm:prSet/>
      <dgm:spPr/>
      <dgm:t>
        <a:bodyPr/>
        <a:lstStyle/>
        <a:p>
          <a:endParaRPr lang="ru-RU"/>
        </a:p>
      </dgm:t>
    </dgm:pt>
    <dgm:pt modelId="{71E8EA06-E9BF-4F3B-A1FC-F520E94F59F7}" type="sibTrans" cxnId="{5180D3DA-94AE-44B9-95F1-0ECEFC5C2E70}">
      <dgm:prSet/>
      <dgm:spPr/>
      <dgm:t>
        <a:bodyPr/>
        <a:lstStyle/>
        <a:p>
          <a:endParaRPr lang="ru-RU"/>
        </a:p>
      </dgm:t>
    </dgm:pt>
    <dgm:pt modelId="{80CDC0DB-68FA-4F93-8254-7F49985A2FD4}">
      <dgm:prSet/>
      <dgm:spPr/>
      <dgm:t>
        <a:bodyPr/>
        <a:lstStyle/>
        <a:p>
          <a:r>
            <a:rPr lang="en-US"/>
            <a:t>Talon</a:t>
          </a:r>
        </a:p>
      </dgm:t>
    </dgm:pt>
    <dgm:pt modelId="{02113146-E037-413F-91B5-C3FFB46F77B2}" type="parTrans" cxnId="{5043A2E9-03E0-4BDA-8D6C-01C35C5EC7B9}">
      <dgm:prSet/>
      <dgm:spPr/>
      <dgm:t>
        <a:bodyPr/>
        <a:lstStyle/>
        <a:p>
          <a:endParaRPr lang="ru-RU"/>
        </a:p>
      </dgm:t>
    </dgm:pt>
    <dgm:pt modelId="{7F606A6F-0E35-4893-9DAF-9F1DA2719C87}" type="sibTrans" cxnId="{5043A2E9-03E0-4BDA-8D6C-01C35C5EC7B9}">
      <dgm:prSet/>
      <dgm:spPr/>
      <dgm:t>
        <a:bodyPr/>
        <a:lstStyle/>
        <a:p>
          <a:endParaRPr lang="ru-RU"/>
        </a:p>
      </dgm:t>
    </dgm:pt>
    <dgm:pt modelId="{3C507459-4124-40ED-BF1A-C89252002EAB}">
      <dgm:prSet/>
      <dgm:spPr/>
      <dgm:t>
        <a:bodyPr/>
        <a:lstStyle/>
        <a:p>
          <a:r>
            <a:rPr lang="en-US"/>
            <a:t>Talon</a:t>
          </a:r>
          <a:endParaRPr lang="ru-RU"/>
        </a:p>
      </dgm:t>
    </dgm:pt>
    <dgm:pt modelId="{87C33733-5210-4025-A2AF-11AF1F71632C}" type="parTrans" cxnId="{5563FFA3-8419-4DC5-BCEC-E16515D10643}">
      <dgm:prSet/>
      <dgm:spPr/>
      <dgm:t>
        <a:bodyPr/>
        <a:lstStyle/>
        <a:p>
          <a:endParaRPr lang="ru-RU"/>
        </a:p>
      </dgm:t>
    </dgm:pt>
    <dgm:pt modelId="{86C07594-E119-4701-9B22-4803E90E3369}" type="sibTrans" cxnId="{5563FFA3-8419-4DC5-BCEC-E16515D10643}">
      <dgm:prSet/>
      <dgm:spPr/>
      <dgm:t>
        <a:bodyPr/>
        <a:lstStyle/>
        <a:p>
          <a:endParaRPr lang="ru-RU"/>
        </a:p>
      </dgm:t>
    </dgm:pt>
    <dgm:pt modelId="{BFCC8DC5-148D-4A64-AFBA-EA86A8934F8D}">
      <dgm:prSet/>
      <dgm:spPr/>
      <dgm:t>
        <a:bodyPr/>
        <a:lstStyle/>
        <a:p>
          <a:r>
            <a:rPr lang="en-US"/>
            <a:t>Wing</a:t>
          </a:r>
          <a:endParaRPr lang="ru-RU"/>
        </a:p>
      </dgm:t>
    </dgm:pt>
    <dgm:pt modelId="{A5A4C694-034B-422F-8D9A-F48553D3631C}" type="parTrans" cxnId="{731099E8-EB3F-4834-B13B-D59E9F347057}">
      <dgm:prSet/>
      <dgm:spPr/>
      <dgm:t>
        <a:bodyPr/>
        <a:lstStyle/>
        <a:p>
          <a:endParaRPr lang="ru-RU"/>
        </a:p>
      </dgm:t>
    </dgm:pt>
    <dgm:pt modelId="{E905B08D-94A0-431A-8263-34F677FB3EEC}" type="sibTrans" cxnId="{731099E8-EB3F-4834-B13B-D59E9F347057}">
      <dgm:prSet/>
      <dgm:spPr/>
      <dgm:t>
        <a:bodyPr/>
        <a:lstStyle/>
        <a:p>
          <a:endParaRPr lang="ru-RU"/>
        </a:p>
      </dgm:t>
    </dgm:pt>
    <dgm:pt modelId="{C0D9C05F-D982-4129-B806-571A498D741D}">
      <dgm:prSet/>
      <dgm:spPr/>
      <dgm:t>
        <a:bodyPr/>
        <a:lstStyle/>
        <a:p>
          <a:r>
            <a:rPr lang="en-US"/>
            <a:t>Talon</a:t>
          </a:r>
        </a:p>
      </dgm:t>
    </dgm:pt>
    <dgm:pt modelId="{8DAA56E4-B218-4CC2-B926-7DC25A000A5E}" type="parTrans" cxnId="{9A7AF1C6-B169-4E3A-A128-1F54518F254F}">
      <dgm:prSet/>
      <dgm:spPr/>
      <dgm:t>
        <a:bodyPr/>
        <a:lstStyle/>
        <a:p>
          <a:endParaRPr lang="ru-RU"/>
        </a:p>
      </dgm:t>
    </dgm:pt>
    <dgm:pt modelId="{A70638D5-FF3A-4F03-9CE2-40EAAC7D3C4D}" type="sibTrans" cxnId="{9A7AF1C6-B169-4E3A-A128-1F54518F254F}">
      <dgm:prSet/>
      <dgm:spPr/>
      <dgm:t>
        <a:bodyPr/>
        <a:lstStyle/>
        <a:p>
          <a:endParaRPr lang="ru-RU"/>
        </a:p>
      </dgm:t>
    </dgm:pt>
    <dgm:pt modelId="{90741D76-8C45-46C8-8577-A652B163477C}">
      <dgm:prSet/>
      <dgm:spPr/>
      <dgm:t>
        <a:bodyPr/>
        <a:lstStyle/>
        <a:p>
          <a:r>
            <a:rPr lang="en-US"/>
            <a:t>Talon</a:t>
          </a:r>
          <a:endParaRPr lang="ru-RU"/>
        </a:p>
      </dgm:t>
    </dgm:pt>
    <dgm:pt modelId="{B89025AE-BD0D-4CC2-8C44-860A7E959C33}" type="parTrans" cxnId="{5C42EBEE-4460-45E9-8ED2-9D33FF3CD8F6}">
      <dgm:prSet/>
      <dgm:spPr/>
      <dgm:t>
        <a:bodyPr/>
        <a:lstStyle/>
        <a:p>
          <a:endParaRPr lang="ru-RU"/>
        </a:p>
      </dgm:t>
    </dgm:pt>
    <dgm:pt modelId="{559C631B-8EDD-44AA-8159-C4BFF370E8D4}" type="sibTrans" cxnId="{5C42EBEE-4460-45E9-8ED2-9D33FF3CD8F6}">
      <dgm:prSet/>
      <dgm:spPr/>
      <dgm:t>
        <a:bodyPr/>
        <a:lstStyle/>
        <a:p>
          <a:endParaRPr lang="ru-RU"/>
        </a:p>
      </dgm:t>
    </dgm:pt>
    <dgm:pt modelId="{7AFEC06A-58D8-4BD9-BF60-5915CBBE50FD}" type="pres">
      <dgm:prSet presAssocID="{7874B113-8157-4041-90AD-22ECA8B5F838}" presName="hierChild1" presStyleCnt="0">
        <dgm:presLayoutVars>
          <dgm:orgChart val="1"/>
          <dgm:chPref val="1"/>
          <dgm:dir/>
          <dgm:animOne val="branch"/>
          <dgm:animLvl val="lvl"/>
          <dgm:resizeHandles/>
        </dgm:presLayoutVars>
      </dgm:prSet>
      <dgm:spPr/>
    </dgm:pt>
    <dgm:pt modelId="{D8BF8AE4-970E-4A91-8689-D4598EF4870A}" type="pres">
      <dgm:prSet presAssocID="{326624D6-002A-418C-8096-FEC8B7D4F4AA}" presName="hierRoot1" presStyleCnt="0">
        <dgm:presLayoutVars>
          <dgm:hierBranch val="init"/>
        </dgm:presLayoutVars>
      </dgm:prSet>
      <dgm:spPr/>
    </dgm:pt>
    <dgm:pt modelId="{92EE6BBD-5FC9-461A-9381-6A7F204CDEB5}" type="pres">
      <dgm:prSet presAssocID="{326624D6-002A-418C-8096-FEC8B7D4F4AA}" presName="rootComposite1" presStyleCnt="0"/>
      <dgm:spPr/>
    </dgm:pt>
    <dgm:pt modelId="{25BAE11D-B35E-4464-BF3A-4DE606A0C10C}" type="pres">
      <dgm:prSet presAssocID="{326624D6-002A-418C-8096-FEC8B7D4F4AA}" presName="rootText1" presStyleLbl="node0" presStyleIdx="0" presStyleCnt="1">
        <dgm:presLayoutVars>
          <dgm:chPref val="3"/>
        </dgm:presLayoutVars>
      </dgm:prSet>
      <dgm:spPr/>
    </dgm:pt>
    <dgm:pt modelId="{7277DA7C-B39F-4CFD-A7FE-8A12FE5EA250}" type="pres">
      <dgm:prSet presAssocID="{326624D6-002A-418C-8096-FEC8B7D4F4AA}" presName="rootConnector1" presStyleLbl="node1" presStyleIdx="0" presStyleCnt="0"/>
      <dgm:spPr/>
    </dgm:pt>
    <dgm:pt modelId="{A421BB1B-3B69-4092-AAEF-716385E9132C}" type="pres">
      <dgm:prSet presAssocID="{326624D6-002A-418C-8096-FEC8B7D4F4AA}" presName="hierChild2" presStyleCnt="0"/>
      <dgm:spPr/>
    </dgm:pt>
    <dgm:pt modelId="{C86B5E43-E31D-432A-B2CB-2BAB27606FB7}" type="pres">
      <dgm:prSet presAssocID="{D7F30FD6-0D9F-46DF-B4B5-748D4AC5EEBA}" presName="Name37" presStyleLbl="parChTrans1D2" presStyleIdx="0" presStyleCnt="2"/>
      <dgm:spPr/>
    </dgm:pt>
    <dgm:pt modelId="{CCADD712-BB5B-4B21-BCC7-920B59C8EF53}" type="pres">
      <dgm:prSet presAssocID="{217A70DC-F952-4E86-BD66-1E75C2ADEA7A}" presName="hierRoot2" presStyleCnt="0">
        <dgm:presLayoutVars>
          <dgm:hierBranch val="init"/>
        </dgm:presLayoutVars>
      </dgm:prSet>
      <dgm:spPr/>
    </dgm:pt>
    <dgm:pt modelId="{B6097E9A-F6A1-41A8-9C81-237EDC37B074}" type="pres">
      <dgm:prSet presAssocID="{217A70DC-F952-4E86-BD66-1E75C2ADEA7A}" presName="rootComposite" presStyleCnt="0"/>
      <dgm:spPr/>
    </dgm:pt>
    <dgm:pt modelId="{7323F203-452A-453B-88A5-61DDE839DD4A}" type="pres">
      <dgm:prSet presAssocID="{217A70DC-F952-4E86-BD66-1E75C2ADEA7A}" presName="rootText" presStyleLbl="node2" presStyleIdx="0" presStyleCnt="2">
        <dgm:presLayoutVars>
          <dgm:chPref val="3"/>
        </dgm:presLayoutVars>
      </dgm:prSet>
      <dgm:spPr/>
    </dgm:pt>
    <dgm:pt modelId="{FE619E62-E9EA-4C66-8BC7-8A8FE56506D9}" type="pres">
      <dgm:prSet presAssocID="{217A70DC-F952-4E86-BD66-1E75C2ADEA7A}" presName="rootConnector" presStyleLbl="node2" presStyleIdx="0" presStyleCnt="2"/>
      <dgm:spPr/>
    </dgm:pt>
    <dgm:pt modelId="{6E3EBF37-FD2D-473E-8955-AB8ED7DC3E64}" type="pres">
      <dgm:prSet presAssocID="{217A70DC-F952-4E86-BD66-1E75C2ADEA7A}" presName="hierChild4" presStyleCnt="0"/>
      <dgm:spPr/>
    </dgm:pt>
    <dgm:pt modelId="{2F236CAA-A658-41FC-9176-8CD8464974CD}" type="pres">
      <dgm:prSet presAssocID="{B8F82D85-A2D0-46D3-9C79-E615B8B93FCF}" presName="Name37" presStyleLbl="parChTrans1D3" presStyleIdx="0" presStyleCnt="4"/>
      <dgm:spPr/>
    </dgm:pt>
    <dgm:pt modelId="{9BEFACE2-8C0D-457F-A373-25D3E9E8C1D1}" type="pres">
      <dgm:prSet presAssocID="{828B61AB-FC25-4274-AEE3-61593CC8E49F}" presName="hierRoot2" presStyleCnt="0">
        <dgm:presLayoutVars>
          <dgm:hierBranch/>
        </dgm:presLayoutVars>
      </dgm:prSet>
      <dgm:spPr/>
    </dgm:pt>
    <dgm:pt modelId="{7C0B924A-C20B-4383-89E2-B298F8A88C81}" type="pres">
      <dgm:prSet presAssocID="{828B61AB-FC25-4274-AEE3-61593CC8E49F}" presName="rootComposite" presStyleCnt="0"/>
      <dgm:spPr/>
    </dgm:pt>
    <dgm:pt modelId="{E682B6DB-D18E-42C0-BE74-958C02A3F932}" type="pres">
      <dgm:prSet presAssocID="{828B61AB-FC25-4274-AEE3-61593CC8E49F}" presName="rootText" presStyleLbl="node3" presStyleIdx="0" presStyleCnt="4">
        <dgm:presLayoutVars>
          <dgm:chPref val="3"/>
        </dgm:presLayoutVars>
      </dgm:prSet>
      <dgm:spPr/>
    </dgm:pt>
    <dgm:pt modelId="{7362295A-B065-4FBB-B234-6670B5E79D39}" type="pres">
      <dgm:prSet presAssocID="{828B61AB-FC25-4274-AEE3-61593CC8E49F}" presName="rootConnector" presStyleLbl="node3" presStyleIdx="0" presStyleCnt="4"/>
      <dgm:spPr/>
    </dgm:pt>
    <dgm:pt modelId="{E5D90A74-C82A-4B66-9E0A-183EB4388A8E}" type="pres">
      <dgm:prSet presAssocID="{828B61AB-FC25-4274-AEE3-61593CC8E49F}" presName="hierChild4" presStyleCnt="0"/>
      <dgm:spPr/>
    </dgm:pt>
    <dgm:pt modelId="{899E2C75-163E-495F-8CF5-DB25FE473903}" type="pres">
      <dgm:prSet presAssocID="{F93EBD0D-C797-49CA-8CBE-C3FDB69DF84A}" presName="Name35" presStyleLbl="parChTrans1D4" presStyleIdx="0" presStyleCnt="24"/>
      <dgm:spPr/>
    </dgm:pt>
    <dgm:pt modelId="{E58898DB-17D5-4258-93BE-D2C31041268A}" type="pres">
      <dgm:prSet presAssocID="{533DF275-BCB3-4367-ACCD-7D54B2D1C149}" presName="hierRoot2" presStyleCnt="0">
        <dgm:presLayoutVars>
          <dgm:hierBranch val="init"/>
        </dgm:presLayoutVars>
      </dgm:prSet>
      <dgm:spPr/>
    </dgm:pt>
    <dgm:pt modelId="{D9EDF4ED-4885-4BA1-8040-40E5D085C1E3}" type="pres">
      <dgm:prSet presAssocID="{533DF275-BCB3-4367-ACCD-7D54B2D1C149}" presName="rootComposite" presStyleCnt="0"/>
      <dgm:spPr/>
    </dgm:pt>
    <dgm:pt modelId="{E61898F2-4ED2-4276-A8DE-A45967AAFC08}" type="pres">
      <dgm:prSet presAssocID="{533DF275-BCB3-4367-ACCD-7D54B2D1C149}" presName="rootText" presStyleLbl="node4" presStyleIdx="0" presStyleCnt="24">
        <dgm:presLayoutVars>
          <dgm:chPref val="3"/>
        </dgm:presLayoutVars>
      </dgm:prSet>
      <dgm:spPr/>
    </dgm:pt>
    <dgm:pt modelId="{8EE0F21A-9A63-4838-B449-677B68C8C84C}" type="pres">
      <dgm:prSet presAssocID="{533DF275-BCB3-4367-ACCD-7D54B2D1C149}" presName="rootConnector" presStyleLbl="node4" presStyleIdx="0" presStyleCnt="24"/>
      <dgm:spPr/>
    </dgm:pt>
    <dgm:pt modelId="{41286855-5CD7-46D2-8717-A63C05B32936}" type="pres">
      <dgm:prSet presAssocID="{533DF275-BCB3-4367-ACCD-7D54B2D1C149}" presName="hierChild4" presStyleCnt="0"/>
      <dgm:spPr/>
    </dgm:pt>
    <dgm:pt modelId="{ABC622FE-158D-4930-9FB3-8B850D8AFF79}" type="pres">
      <dgm:prSet presAssocID="{F0563EB4-4C66-4346-B3C3-BC171B9AF211}" presName="Name37" presStyleLbl="parChTrans1D4" presStyleIdx="1" presStyleCnt="24"/>
      <dgm:spPr/>
    </dgm:pt>
    <dgm:pt modelId="{EF8957DD-58EB-4160-8C00-9435C7ECA619}" type="pres">
      <dgm:prSet presAssocID="{A0AEB875-ECF8-4DAD-86F8-397280A25CA0}" presName="hierRoot2" presStyleCnt="0">
        <dgm:presLayoutVars>
          <dgm:hierBranch val="init"/>
        </dgm:presLayoutVars>
      </dgm:prSet>
      <dgm:spPr/>
    </dgm:pt>
    <dgm:pt modelId="{5F229CD8-2F80-4102-B688-CC720AD30985}" type="pres">
      <dgm:prSet presAssocID="{A0AEB875-ECF8-4DAD-86F8-397280A25CA0}" presName="rootComposite" presStyleCnt="0"/>
      <dgm:spPr/>
    </dgm:pt>
    <dgm:pt modelId="{1F3F4162-EA91-4E32-ADBA-35C043B045F8}" type="pres">
      <dgm:prSet presAssocID="{A0AEB875-ECF8-4DAD-86F8-397280A25CA0}" presName="rootText" presStyleLbl="node4" presStyleIdx="1" presStyleCnt="24">
        <dgm:presLayoutVars>
          <dgm:chPref val="3"/>
        </dgm:presLayoutVars>
      </dgm:prSet>
      <dgm:spPr/>
    </dgm:pt>
    <dgm:pt modelId="{392DCDB9-CF18-4E84-A68A-29F7E3BE30F8}" type="pres">
      <dgm:prSet presAssocID="{A0AEB875-ECF8-4DAD-86F8-397280A25CA0}" presName="rootConnector" presStyleLbl="node4" presStyleIdx="1" presStyleCnt="24"/>
      <dgm:spPr/>
    </dgm:pt>
    <dgm:pt modelId="{636F5D63-CDC4-4FAE-8C99-81493B340FB8}" type="pres">
      <dgm:prSet presAssocID="{A0AEB875-ECF8-4DAD-86F8-397280A25CA0}" presName="hierChild4" presStyleCnt="0"/>
      <dgm:spPr/>
    </dgm:pt>
    <dgm:pt modelId="{E95619BB-11D2-4802-9AA6-64125122E84B}" type="pres">
      <dgm:prSet presAssocID="{A0AEB875-ECF8-4DAD-86F8-397280A25CA0}" presName="hierChild5" presStyleCnt="0"/>
      <dgm:spPr/>
    </dgm:pt>
    <dgm:pt modelId="{755D14EB-7F6A-4167-97A6-4FFB994A8436}" type="pres">
      <dgm:prSet presAssocID="{EA9CDE79-29D2-41AD-96B5-E1D54A890789}" presName="Name37" presStyleLbl="parChTrans1D4" presStyleIdx="2" presStyleCnt="24"/>
      <dgm:spPr/>
    </dgm:pt>
    <dgm:pt modelId="{6909FDD3-D411-42EC-95B4-8A15A01C0C0D}" type="pres">
      <dgm:prSet presAssocID="{6539BBB0-E273-455B-8066-CE9E4E108DE7}" presName="hierRoot2" presStyleCnt="0">
        <dgm:presLayoutVars>
          <dgm:hierBranch val="init"/>
        </dgm:presLayoutVars>
      </dgm:prSet>
      <dgm:spPr/>
    </dgm:pt>
    <dgm:pt modelId="{58E98364-CE21-42C3-AAC2-D4CEFCED3C8E}" type="pres">
      <dgm:prSet presAssocID="{6539BBB0-E273-455B-8066-CE9E4E108DE7}" presName="rootComposite" presStyleCnt="0"/>
      <dgm:spPr/>
    </dgm:pt>
    <dgm:pt modelId="{88257131-F779-4588-B9D6-ED265ED7E41E}" type="pres">
      <dgm:prSet presAssocID="{6539BBB0-E273-455B-8066-CE9E4E108DE7}" presName="rootText" presStyleLbl="node4" presStyleIdx="2" presStyleCnt="24">
        <dgm:presLayoutVars>
          <dgm:chPref val="3"/>
        </dgm:presLayoutVars>
      </dgm:prSet>
      <dgm:spPr/>
    </dgm:pt>
    <dgm:pt modelId="{3AB5CD4D-9C4A-454D-8685-86CC722D3EF4}" type="pres">
      <dgm:prSet presAssocID="{6539BBB0-E273-455B-8066-CE9E4E108DE7}" presName="rootConnector" presStyleLbl="node4" presStyleIdx="2" presStyleCnt="24"/>
      <dgm:spPr/>
    </dgm:pt>
    <dgm:pt modelId="{E33C635E-D910-456E-A12F-3B8AD48AF733}" type="pres">
      <dgm:prSet presAssocID="{6539BBB0-E273-455B-8066-CE9E4E108DE7}" presName="hierChild4" presStyleCnt="0"/>
      <dgm:spPr/>
    </dgm:pt>
    <dgm:pt modelId="{698E3A70-BBD6-407A-A767-E87DCB78808F}" type="pres">
      <dgm:prSet presAssocID="{6539BBB0-E273-455B-8066-CE9E4E108DE7}" presName="hierChild5" presStyleCnt="0"/>
      <dgm:spPr/>
    </dgm:pt>
    <dgm:pt modelId="{FA7A0947-9E36-4D32-9C1D-7ECA671E7630}" type="pres">
      <dgm:prSet presAssocID="{533DF275-BCB3-4367-ACCD-7D54B2D1C149}" presName="hierChild5" presStyleCnt="0"/>
      <dgm:spPr/>
    </dgm:pt>
    <dgm:pt modelId="{C06DFEF4-A0C5-4A7C-880E-2E83BE6EEF28}" type="pres">
      <dgm:prSet presAssocID="{6FFFD0C4-3059-4D68-B7EA-22325719FD3A}" presName="Name35" presStyleLbl="parChTrans1D4" presStyleIdx="3" presStyleCnt="24"/>
      <dgm:spPr/>
    </dgm:pt>
    <dgm:pt modelId="{1789EE0D-5171-4728-A7B8-3AC3688B376D}" type="pres">
      <dgm:prSet presAssocID="{0DB65D9E-CEC2-48AE-AAA7-BA5607810F14}" presName="hierRoot2" presStyleCnt="0">
        <dgm:presLayoutVars>
          <dgm:hierBranch val="init"/>
        </dgm:presLayoutVars>
      </dgm:prSet>
      <dgm:spPr/>
    </dgm:pt>
    <dgm:pt modelId="{96A1A2D4-D86C-49FA-B40E-57DFD3FA091E}" type="pres">
      <dgm:prSet presAssocID="{0DB65D9E-CEC2-48AE-AAA7-BA5607810F14}" presName="rootComposite" presStyleCnt="0"/>
      <dgm:spPr/>
    </dgm:pt>
    <dgm:pt modelId="{D8A51828-D174-4E98-B2FE-15FDA1186EE9}" type="pres">
      <dgm:prSet presAssocID="{0DB65D9E-CEC2-48AE-AAA7-BA5607810F14}" presName="rootText" presStyleLbl="node4" presStyleIdx="3" presStyleCnt="24">
        <dgm:presLayoutVars>
          <dgm:chPref val="3"/>
        </dgm:presLayoutVars>
      </dgm:prSet>
      <dgm:spPr/>
    </dgm:pt>
    <dgm:pt modelId="{58649A09-5EC8-44DE-81DA-2021290BFCEF}" type="pres">
      <dgm:prSet presAssocID="{0DB65D9E-CEC2-48AE-AAA7-BA5607810F14}" presName="rootConnector" presStyleLbl="node4" presStyleIdx="3" presStyleCnt="24"/>
      <dgm:spPr/>
    </dgm:pt>
    <dgm:pt modelId="{A1F8C457-03FE-4E7E-9E6A-56768C15857B}" type="pres">
      <dgm:prSet presAssocID="{0DB65D9E-CEC2-48AE-AAA7-BA5607810F14}" presName="hierChild4" presStyleCnt="0"/>
      <dgm:spPr/>
    </dgm:pt>
    <dgm:pt modelId="{861BB91C-5C96-41EF-A934-1D06C88CA48F}" type="pres">
      <dgm:prSet presAssocID="{5A31B611-5C44-452E-BD3E-90A9C689B4EC}" presName="Name37" presStyleLbl="parChTrans1D4" presStyleIdx="4" presStyleCnt="24"/>
      <dgm:spPr/>
    </dgm:pt>
    <dgm:pt modelId="{08ECAF31-7E75-404E-A174-0C57FA4F1928}" type="pres">
      <dgm:prSet presAssocID="{1B6B5D36-B2F5-44F8-8F07-7AE4BD8BBBA9}" presName="hierRoot2" presStyleCnt="0">
        <dgm:presLayoutVars>
          <dgm:hierBranch val="init"/>
        </dgm:presLayoutVars>
      </dgm:prSet>
      <dgm:spPr/>
    </dgm:pt>
    <dgm:pt modelId="{0EE728DC-397F-43B4-9E1F-59B9FD51D84F}" type="pres">
      <dgm:prSet presAssocID="{1B6B5D36-B2F5-44F8-8F07-7AE4BD8BBBA9}" presName="rootComposite" presStyleCnt="0"/>
      <dgm:spPr/>
    </dgm:pt>
    <dgm:pt modelId="{E40FD8A2-863C-41D5-A0BF-AB84A6F7F936}" type="pres">
      <dgm:prSet presAssocID="{1B6B5D36-B2F5-44F8-8F07-7AE4BD8BBBA9}" presName="rootText" presStyleLbl="node4" presStyleIdx="4" presStyleCnt="24">
        <dgm:presLayoutVars>
          <dgm:chPref val="3"/>
        </dgm:presLayoutVars>
      </dgm:prSet>
      <dgm:spPr/>
    </dgm:pt>
    <dgm:pt modelId="{118DC942-1DEE-49E1-AA29-2287DF852233}" type="pres">
      <dgm:prSet presAssocID="{1B6B5D36-B2F5-44F8-8F07-7AE4BD8BBBA9}" presName="rootConnector" presStyleLbl="node4" presStyleIdx="4" presStyleCnt="24"/>
      <dgm:spPr/>
    </dgm:pt>
    <dgm:pt modelId="{2AD09AC1-A494-42C3-BAF1-6BE5EEC0435D}" type="pres">
      <dgm:prSet presAssocID="{1B6B5D36-B2F5-44F8-8F07-7AE4BD8BBBA9}" presName="hierChild4" presStyleCnt="0"/>
      <dgm:spPr/>
    </dgm:pt>
    <dgm:pt modelId="{73AD35ED-3EEE-4376-8323-245B35BA26E5}" type="pres">
      <dgm:prSet presAssocID="{1B6B5D36-B2F5-44F8-8F07-7AE4BD8BBBA9}" presName="hierChild5" presStyleCnt="0"/>
      <dgm:spPr/>
    </dgm:pt>
    <dgm:pt modelId="{5C4B53DD-74BA-4298-BBDD-BBFD90A60DE7}" type="pres">
      <dgm:prSet presAssocID="{90D13C80-A94D-4797-8868-B5F546697CA5}" presName="Name37" presStyleLbl="parChTrans1D4" presStyleIdx="5" presStyleCnt="24"/>
      <dgm:spPr/>
    </dgm:pt>
    <dgm:pt modelId="{54EB1C22-492C-47DE-8D34-794D8994ADDC}" type="pres">
      <dgm:prSet presAssocID="{9BA5C98E-0B2A-430C-9B1B-ADD600CF08C3}" presName="hierRoot2" presStyleCnt="0">
        <dgm:presLayoutVars>
          <dgm:hierBranch val="init"/>
        </dgm:presLayoutVars>
      </dgm:prSet>
      <dgm:spPr/>
    </dgm:pt>
    <dgm:pt modelId="{0E0DEA57-B4D5-454D-A026-A8FD35D485B6}" type="pres">
      <dgm:prSet presAssocID="{9BA5C98E-0B2A-430C-9B1B-ADD600CF08C3}" presName="rootComposite" presStyleCnt="0"/>
      <dgm:spPr/>
    </dgm:pt>
    <dgm:pt modelId="{2C9260C8-F2D9-4851-8D19-FB1F72E886BF}" type="pres">
      <dgm:prSet presAssocID="{9BA5C98E-0B2A-430C-9B1B-ADD600CF08C3}" presName="rootText" presStyleLbl="node4" presStyleIdx="5" presStyleCnt="24">
        <dgm:presLayoutVars>
          <dgm:chPref val="3"/>
        </dgm:presLayoutVars>
      </dgm:prSet>
      <dgm:spPr/>
    </dgm:pt>
    <dgm:pt modelId="{93DFFAB9-8B01-45C0-9664-0C57E31D3D30}" type="pres">
      <dgm:prSet presAssocID="{9BA5C98E-0B2A-430C-9B1B-ADD600CF08C3}" presName="rootConnector" presStyleLbl="node4" presStyleIdx="5" presStyleCnt="24"/>
      <dgm:spPr/>
    </dgm:pt>
    <dgm:pt modelId="{A975199E-0397-4246-9749-91E8EDFC2625}" type="pres">
      <dgm:prSet presAssocID="{9BA5C98E-0B2A-430C-9B1B-ADD600CF08C3}" presName="hierChild4" presStyleCnt="0"/>
      <dgm:spPr/>
    </dgm:pt>
    <dgm:pt modelId="{762766AD-044D-45FD-A10E-7FBF7D29FEFE}" type="pres">
      <dgm:prSet presAssocID="{9BA5C98E-0B2A-430C-9B1B-ADD600CF08C3}" presName="hierChild5" presStyleCnt="0"/>
      <dgm:spPr/>
    </dgm:pt>
    <dgm:pt modelId="{412645B5-9AA5-4899-933F-0607678EEA16}" type="pres">
      <dgm:prSet presAssocID="{0DB65D9E-CEC2-48AE-AAA7-BA5607810F14}" presName="hierChild5" presStyleCnt="0"/>
      <dgm:spPr/>
    </dgm:pt>
    <dgm:pt modelId="{FD75C330-E664-443C-B7DC-DB8216189DA6}" type="pres">
      <dgm:prSet presAssocID="{828B61AB-FC25-4274-AEE3-61593CC8E49F}" presName="hierChild5" presStyleCnt="0"/>
      <dgm:spPr/>
    </dgm:pt>
    <dgm:pt modelId="{D202EF20-9A25-4228-876B-72EE418CDD7D}" type="pres">
      <dgm:prSet presAssocID="{6EBF2329-264B-43F2-BA56-0A9CEFEC2841}" presName="Name37" presStyleLbl="parChTrans1D3" presStyleIdx="1" presStyleCnt="4"/>
      <dgm:spPr/>
    </dgm:pt>
    <dgm:pt modelId="{EE222344-B7B7-462F-874F-3206E53896E1}" type="pres">
      <dgm:prSet presAssocID="{D8D7F5C1-8A3B-4EF7-9E1C-8181E8E899B4}" presName="hierRoot2" presStyleCnt="0">
        <dgm:presLayoutVars>
          <dgm:hierBranch val="init"/>
        </dgm:presLayoutVars>
      </dgm:prSet>
      <dgm:spPr/>
    </dgm:pt>
    <dgm:pt modelId="{A1E6A653-2A46-4F58-87D8-F857EA17AA66}" type="pres">
      <dgm:prSet presAssocID="{D8D7F5C1-8A3B-4EF7-9E1C-8181E8E899B4}" presName="rootComposite" presStyleCnt="0"/>
      <dgm:spPr/>
    </dgm:pt>
    <dgm:pt modelId="{80211277-C35F-400F-A026-B88A732399F5}" type="pres">
      <dgm:prSet presAssocID="{D8D7F5C1-8A3B-4EF7-9E1C-8181E8E899B4}" presName="rootText" presStyleLbl="node3" presStyleIdx="1" presStyleCnt="4">
        <dgm:presLayoutVars>
          <dgm:chPref val="3"/>
        </dgm:presLayoutVars>
      </dgm:prSet>
      <dgm:spPr/>
    </dgm:pt>
    <dgm:pt modelId="{8E235C14-5C8F-44A8-8585-2FBE413E802F}" type="pres">
      <dgm:prSet presAssocID="{D8D7F5C1-8A3B-4EF7-9E1C-8181E8E899B4}" presName="rootConnector" presStyleLbl="node3" presStyleIdx="1" presStyleCnt="4"/>
      <dgm:spPr/>
    </dgm:pt>
    <dgm:pt modelId="{0D490F02-5090-47DA-A7CE-9E2A0F7F4A44}" type="pres">
      <dgm:prSet presAssocID="{D8D7F5C1-8A3B-4EF7-9E1C-8181E8E899B4}" presName="hierChild4" presStyleCnt="0"/>
      <dgm:spPr/>
    </dgm:pt>
    <dgm:pt modelId="{D12F8E1B-2AFD-47FC-97A6-445EA05F1714}" type="pres">
      <dgm:prSet presAssocID="{4ED7F18C-05BE-4DF1-9105-701F90DAC7B1}" presName="Name37" presStyleLbl="parChTrans1D4" presStyleIdx="6" presStyleCnt="24"/>
      <dgm:spPr/>
    </dgm:pt>
    <dgm:pt modelId="{2A44FE56-16CC-4011-BD70-D5B6460456E8}" type="pres">
      <dgm:prSet presAssocID="{4BADD504-9BDB-480D-8321-A08EDE2C27C0}" presName="hierRoot2" presStyleCnt="0">
        <dgm:presLayoutVars>
          <dgm:hierBranch val="init"/>
        </dgm:presLayoutVars>
      </dgm:prSet>
      <dgm:spPr/>
    </dgm:pt>
    <dgm:pt modelId="{5E59FA51-AD2A-4CBF-B449-2B29805B585C}" type="pres">
      <dgm:prSet presAssocID="{4BADD504-9BDB-480D-8321-A08EDE2C27C0}" presName="rootComposite" presStyleCnt="0"/>
      <dgm:spPr/>
    </dgm:pt>
    <dgm:pt modelId="{7D60B866-E8BC-4A70-9765-97F78A06E8BD}" type="pres">
      <dgm:prSet presAssocID="{4BADD504-9BDB-480D-8321-A08EDE2C27C0}" presName="rootText" presStyleLbl="node4" presStyleIdx="6" presStyleCnt="24">
        <dgm:presLayoutVars>
          <dgm:chPref val="3"/>
        </dgm:presLayoutVars>
      </dgm:prSet>
      <dgm:spPr/>
    </dgm:pt>
    <dgm:pt modelId="{48F124B0-A7B3-4CF1-9398-823592EEABBF}" type="pres">
      <dgm:prSet presAssocID="{4BADD504-9BDB-480D-8321-A08EDE2C27C0}" presName="rootConnector" presStyleLbl="node4" presStyleIdx="6" presStyleCnt="24"/>
      <dgm:spPr/>
    </dgm:pt>
    <dgm:pt modelId="{2792B360-8B47-43A5-85E6-6A3112B1BFE7}" type="pres">
      <dgm:prSet presAssocID="{4BADD504-9BDB-480D-8321-A08EDE2C27C0}" presName="hierChild4" presStyleCnt="0"/>
      <dgm:spPr/>
    </dgm:pt>
    <dgm:pt modelId="{0C4C0F44-791C-4A71-ADB0-6B0299D9E773}" type="pres">
      <dgm:prSet presAssocID="{CDC45995-1210-4FA0-B2AD-2B9DF3673DBA}" presName="Name37" presStyleLbl="parChTrans1D4" presStyleIdx="7" presStyleCnt="24"/>
      <dgm:spPr/>
    </dgm:pt>
    <dgm:pt modelId="{DE802A23-6334-43D1-8A9B-BAB8DBF7AEDA}" type="pres">
      <dgm:prSet presAssocID="{67D9BA64-CD68-468D-946A-40A802BC6514}" presName="hierRoot2" presStyleCnt="0">
        <dgm:presLayoutVars>
          <dgm:hierBranch val="init"/>
        </dgm:presLayoutVars>
      </dgm:prSet>
      <dgm:spPr/>
    </dgm:pt>
    <dgm:pt modelId="{1B0D6BD4-0251-4301-8182-C4C6A85CE61C}" type="pres">
      <dgm:prSet presAssocID="{67D9BA64-CD68-468D-946A-40A802BC6514}" presName="rootComposite" presStyleCnt="0"/>
      <dgm:spPr/>
    </dgm:pt>
    <dgm:pt modelId="{73FC74B3-8D5B-44A6-9C30-5B7A85CC80CB}" type="pres">
      <dgm:prSet presAssocID="{67D9BA64-CD68-468D-946A-40A802BC6514}" presName="rootText" presStyleLbl="node4" presStyleIdx="7" presStyleCnt="24">
        <dgm:presLayoutVars>
          <dgm:chPref val="3"/>
        </dgm:presLayoutVars>
      </dgm:prSet>
      <dgm:spPr/>
    </dgm:pt>
    <dgm:pt modelId="{D3421859-2DDF-4072-BB90-8854B619BB5A}" type="pres">
      <dgm:prSet presAssocID="{67D9BA64-CD68-468D-946A-40A802BC6514}" presName="rootConnector" presStyleLbl="node4" presStyleIdx="7" presStyleCnt="24"/>
      <dgm:spPr/>
    </dgm:pt>
    <dgm:pt modelId="{A343AD12-884D-44BD-96A3-86F8F8A6CE92}" type="pres">
      <dgm:prSet presAssocID="{67D9BA64-CD68-468D-946A-40A802BC6514}" presName="hierChild4" presStyleCnt="0"/>
      <dgm:spPr/>
    </dgm:pt>
    <dgm:pt modelId="{FA1392D8-7499-4EE8-B556-5B80F4BDB59A}" type="pres">
      <dgm:prSet presAssocID="{67D9BA64-CD68-468D-946A-40A802BC6514}" presName="hierChild5" presStyleCnt="0"/>
      <dgm:spPr/>
    </dgm:pt>
    <dgm:pt modelId="{40118304-005D-40E7-AD98-C308578BE48D}" type="pres">
      <dgm:prSet presAssocID="{76838BAF-3C8C-42C9-BDD1-95A0874804EE}" presName="Name37" presStyleLbl="parChTrans1D4" presStyleIdx="8" presStyleCnt="24"/>
      <dgm:spPr/>
    </dgm:pt>
    <dgm:pt modelId="{148CFBD1-E7DE-4C6C-805F-2C151F0F8B3E}" type="pres">
      <dgm:prSet presAssocID="{BE15A92E-F74D-4E68-92B2-A599E85EF405}" presName="hierRoot2" presStyleCnt="0">
        <dgm:presLayoutVars>
          <dgm:hierBranch val="init"/>
        </dgm:presLayoutVars>
      </dgm:prSet>
      <dgm:spPr/>
    </dgm:pt>
    <dgm:pt modelId="{B1664638-338B-4168-BDF3-1D99DB024019}" type="pres">
      <dgm:prSet presAssocID="{BE15A92E-F74D-4E68-92B2-A599E85EF405}" presName="rootComposite" presStyleCnt="0"/>
      <dgm:spPr/>
    </dgm:pt>
    <dgm:pt modelId="{7DA68643-048C-4014-9CEF-DB211B9A280F}" type="pres">
      <dgm:prSet presAssocID="{BE15A92E-F74D-4E68-92B2-A599E85EF405}" presName="rootText" presStyleLbl="node4" presStyleIdx="8" presStyleCnt="24">
        <dgm:presLayoutVars>
          <dgm:chPref val="3"/>
        </dgm:presLayoutVars>
      </dgm:prSet>
      <dgm:spPr/>
    </dgm:pt>
    <dgm:pt modelId="{22E1A113-E68E-416A-8DC0-01E6A23AD1FF}" type="pres">
      <dgm:prSet presAssocID="{BE15A92E-F74D-4E68-92B2-A599E85EF405}" presName="rootConnector" presStyleLbl="node4" presStyleIdx="8" presStyleCnt="24"/>
      <dgm:spPr/>
    </dgm:pt>
    <dgm:pt modelId="{F07E23E2-7B30-425D-91D0-543F26EA0A8E}" type="pres">
      <dgm:prSet presAssocID="{BE15A92E-F74D-4E68-92B2-A599E85EF405}" presName="hierChild4" presStyleCnt="0"/>
      <dgm:spPr/>
    </dgm:pt>
    <dgm:pt modelId="{E1742BC8-47E8-4FE2-B21E-A015C00C5CDA}" type="pres">
      <dgm:prSet presAssocID="{BE15A92E-F74D-4E68-92B2-A599E85EF405}" presName="hierChild5" presStyleCnt="0"/>
      <dgm:spPr/>
    </dgm:pt>
    <dgm:pt modelId="{3936750B-70C4-4B14-A31E-F7FA421B5DB4}" type="pres">
      <dgm:prSet presAssocID="{4BADD504-9BDB-480D-8321-A08EDE2C27C0}" presName="hierChild5" presStyleCnt="0"/>
      <dgm:spPr/>
    </dgm:pt>
    <dgm:pt modelId="{C6AD5E57-481A-4952-98B4-683B9463FA59}" type="pres">
      <dgm:prSet presAssocID="{EE1AAED9-4DC3-487F-A351-493D61E5B34E}" presName="Name37" presStyleLbl="parChTrans1D4" presStyleIdx="9" presStyleCnt="24"/>
      <dgm:spPr/>
    </dgm:pt>
    <dgm:pt modelId="{07942B2B-9E41-4CDF-A1DC-48EC7B7B6115}" type="pres">
      <dgm:prSet presAssocID="{21D9657E-CA57-432E-83B8-3EB77B6D07E8}" presName="hierRoot2" presStyleCnt="0">
        <dgm:presLayoutVars>
          <dgm:hierBranch val="init"/>
        </dgm:presLayoutVars>
      </dgm:prSet>
      <dgm:spPr/>
    </dgm:pt>
    <dgm:pt modelId="{925576F2-7D8F-4501-B2BE-C15FCB29954B}" type="pres">
      <dgm:prSet presAssocID="{21D9657E-CA57-432E-83B8-3EB77B6D07E8}" presName="rootComposite" presStyleCnt="0"/>
      <dgm:spPr/>
    </dgm:pt>
    <dgm:pt modelId="{D046BF24-308F-4C8C-B915-A98E03D47ABE}" type="pres">
      <dgm:prSet presAssocID="{21D9657E-CA57-432E-83B8-3EB77B6D07E8}" presName="rootText" presStyleLbl="node4" presStyleIdx="9" presStyleCnt="24">
        <dgm:presLayoutVars>
          <dgm:chPref val="3"/>
        </dgm:presLayoutVars>
      </dgm:prSet>
      <dgm:spPr/>
    </dgm:pt>
    <dgm:pt modelId="{9768A2BE-A623-4FBE-A4D4-14DF57BF1DD9}" type="pres">
      <dgm:prSet presAssocID="{21D9657E-CA57-432E-83B8-3EB77B6D07E8}" presName="rootConnector" presStyleLbl="node4" presStyleIdx="9" presStyleCnt="24"/>
      <dgm:spPr/>
    </dgm:pt>
    <dgm:pt modelId="{866A182E-B6AD-499B-ABF3-D93D427B0110}" type="pres">
      <dgm:prSet presAssocID="{21D9657E-CA57-432E-83B8-3EB77B6D07E8}" presName="hierChild4" presStyleCnt="0"/>
      <dgm:spPr/>
    </dgm:pt>
    <dgm:pt modelId="{B0EF4D80-533C-424E-A87F-531E26EDFC33}" type="pres">
      <dgm:prSet presAssocID="{079E4228-43D6-4856-A082-88618B961568}" presName="Name37" presStyleLbl="parChTrans1D4" presStyleIdx="10" presStyleCnt="24"/>
      <dgm:spPr/>
    </dgm:pt>
    <dgm:pt modelId="{C4693DA1-B849-4A65-AF59-4A99C38AE641}" type="pres">
      <dgm:prSet presAssocID="{0415C043-E2F3-4E16-842A-4894A6C64357}" presName="hierRoot2" presStyleCnt="0">
        <dgm:presLayoutVars>
          <dgm:hierBranch val="init"/>
        </dgm:presLayoutVars>
      </dgm:prSet>
      <dgm:spPr/>
    </dgm:pt>
    <dgm:pt modelId="{B6CF67BE-4EF9-4153-8216-25809F54D092}" type="pres">
      <dgm:prSet presAssocID="{0415C043-E2F3-4E16-842A-4894A6C64357}" presName="rootComposite" presStyleCnt="0"/>
      <dgm:spPr/>
    </dgm:pt>
    <dgm:pt modelId="{FB0C2BD3-C299-48DC-9012-230C6AE5BB88}" type="pres">
      <dgm:prSet presAssocID="{0415C043-E2F3-4E16-842A-4894A6C64357}" presName="rootText" presStyleLbl="node4" presStyleIdx="10" presStyleCnt="24">
        <dgm:presLayoutVars>
          <dgm:chPref val="3"/>
        </dgm:presLayoutVars>
      </dgm:prSet>
      <dgm:spPr/>
    </dgm:pt>
    <dgm:pt modelId="{5C5E78D8-1D41-45AE-9D07-A1B69B0C52FB}" type="pres">
      <dgm:prSet presAssocID="{0415C043-E2F3-4E16-842A-4894A6C64357}" presName="rootConnector" presStyleLbl="node4" presStyleIdx="10" presStyleCnt="24"/>
      <dgm:spPr/>
    </dgm:pt>
    <dgm:pt modelId="{892E0D93-73F0-4284-88E2-3D8A65F9D6E0}" type="pres">
      <dgm:prSet presAssocID="{0415C043-E2F3-4E16-842A-4894A6C64357}" presName="hierChild4" presStyleCnt="0"/>
      <dgm:spPr/>
    </dgm:pt>
    <dgm:pt modelId="{DA454C0F-53D5-4F61-9002-6FF99470A350}" type="pres">
      <dgm:prSet presAssocID="{0415C043-E2F3-4E16-842A-4894A6C64357}" presName="hierChild5" presStyleCnt="0"/>
      <dgm:spPr/>
    </dgm:pt>
    <dgm:pt modelId="{66B7D2AE-D1C4-44F3-B79C-7465D804272E}" type="pres">
      <dgm:prSet presAssocID="{B46916E4-AFDA-4F12-8EDD-ECD7592577BD}" presName="Name37" presStyleLbl="parChTrans1D4" presStyleIdx="11" presStyleCnt="24"/>
      <dgm:spPr/>
    </dgm:pt>
    <dgm:pt modelId="{3F756FA1-A409-455A-99E6-81072B34493F}" type="pres">
      <dgm:prSet presAssocID="{61E05F06-3AD7-4E25-8864-50BB45256034}" presName="hierRoot2" presStyleCnt="0">
        <dgm:presLayoutVars>
          <dgm:hierBranch val="init"/>
        </dgm:presLayoutVars>
      </dgm:prSet>
      <dgm:spPr/>
    </dgm:pt>
    <dgm:pt modelId="{0395E15C-FCEA-47C4-A4D9-A8E177645F0E}" type="pres">
      <dgm:prSet presAssocID="{61E05F06-3AD7-4E25-8864-50BB45256034}" presName="rootComposite" presStyleCnt="0"/>
      <dgm:spPr/>
    </dgm:pt>
    <dgm:pt modelId="{E000F014-F188-4861-9EF4-B3D50B88C96C}" type="pres">
      <dgm:prSet presAssocID="{61E05F06-3AD7-4E25-8864-50BB45256034}" presName="rootText" presStyleLbl="node4" presStyleIdx="11" presStyleCnt="24">
        <dgm:presLayoutVars>
          <dgm:chPref val="3"/>
        </dgm:presLayoutVars>
      </dgm:prSet>
      <dgm:spPr/>
    </dgm:pt>
    <dgm:pt modelId="{E3F503AE-B512-45A6-A9AC-0A9619AD56A0}" type="pres">
      <dgm:prSet presAssocID="{61E05F06-3AD7-4E25-8864-50BB45256034}" presName="rootConnector" presStyleLbl="node4" presStyleIdx="11" presStyleCnt="24"/>
      <dgm:spPr/>
    </dgm:pt>
    <dgm:pt modelId="{B8893CD6-45D7-47AD-9235-19362D5730E6}" type="pres">
      <dgm:prSet presAssocID="{61E05F06-3AD7-4E25-8864-50BB45256034}" presName="hierChild4" presStyleCnt="0"/>
      <dgm:spPr/>
    </dgm:pt>
    <dgm:pt modelId="{6AC9316E-48AF-4F53-9F9C-12A7094AA132}" type="pres">
      <dgm:prSet presAssocID="{61E05F06-3AD7-4E25-8864-50BB45256034}" presName="hierChild5" presStyleCnt="0"/>
      <dgm:spPr/>
    </dgm:pt>
    <dgm:pt modelId="{6900B698-3230-4469-A8FD-4521D19C5C50}" type="pres">
      <dgm:prSet presAssocID="{21D9657E-CA57-432E-83B8-3EB77B6D07E8}" presName="hierChild5" presStyleCnt="0"/>
      <dgm:spPr/>
    </dgm:pt>
    <dgm:pt modelId="{D414081B-46C7-4105-94E2-10E8253DA675}" type="pres">
      <dgm:prSet presAssocID="{D8D7F5C1-8A3B-4EF7-9E1C-8181E8E899B4}" presName="hierChild5" presStyleCnt="0"/>
      <dgm:spPr/>
    </dgm:pt>
    <dgm:pt modelId="{41A54605-D84D-4D24-BA3D-94A01F0CAA59}" type="pres">
      <dgm:prSet presAssocID="{217A70DC-F952-4E86-BD66-1E75C2ADEA7A}" presName="hierChild5" presStyleCnt="0"/>
      <dgm:spPr/>
    </dgm:pt>
    <dgm:pt modelId="{0F7A351A-A44F-4970-BB4D-D27AE4AF7EC9}" type="pres">
      <dgm:prSet presAssocID="{99B7B135-ED84-4F11-8B4B-4BE6E22C9977}" presName="Name37" presStyleLbl="parChTrans1D2" presStyleIdx="1" presStyleCnt="2"/>
      <dgm:spPr/>
    </dgm:pt>
    <dgm:pt modelId="{C60072EA-CDDC-4CB9-8E77-4D18DBE0C4EB}" type="pres">
      <dgm:prSet presAssocID="{65D9116E-CF66-446A-ABE2-28B7C5153E44}" presName="hierRoot2" presStyleCnt="0">
        <dgm:presLayoutVars>
          <dgm:hierBranch val="init"/>
        </dgm:presLayoutVars>
      </dgm:prSet>
      <dgm:spPr/>
    </dgm:pt>
    <dgm:pt modelId="{F2A78806-42F7-4C87-BA49-75DE32397F86}" type="pres">
      <dgm:prSet presAssocID="{65D9116E-CF66-446A-ABE2-28B7C5153E44}" presName="rootComposite" presStyleCnt="0"/>
      <dgm:spPr/>
    </dgm:pt>
    <dgm:pt modelId="{D584481E-A523-4E83-AAC0-4DE5A27E8FA5}" type="pres">
      <dgm:prSet presAssocID="{65D9116E-CF66-446A-ABE2-28B7C5153E44}" presName="rootText" presStyleLbl="node2" presStyleIdx="1" presStyleCnt="2">
        <dgm:presLayoutVars>
          <dgm:chPref val="3"/>
        </dgm:presLayoutVars>
      </dgm:prSet>
      <dgm:spPr/>
    </dgm:pt>
    <dgm:pt modelId="{1D65C9A1-3E5B-4E4F-9121-3062C8517A75}" type="pres">
      <dgm:prSet presAssocID="{65D9116E-CF66-446A-ABE2-28B7C5153E44}" presName="rootConnector" presStyleLbl="node2" presStyleIdx="1" presStyleCnt="2"/>
      <dgm:spPr/>
    </dgm:pt>
    <dgm:pt modelId="{8877D2ED-161B-4D73-8227-C55B8F756EE7}" type="pres">
      <dgm:prSet presAssocID="{65D9116E-CF66-446A-ABE2-28B7C5153E44}" presName="hierChild4" presStyleCnt="0"/>
      <dgm:spPr/>
    </dgm:pt>
    <dgm:pt modelId="{BC21D237-3CFD-48C1-BC92-74E56504832B}" type="pres">
      <dgm:prSet presAssocID="{5BDFDCA0-425E-4416-9801-4056DA7315BE}" presName="Name37" presStyleLbl="parChTrans1D3" presStyleIdx="2" presStyleCnt="4"/>
      <dgm:spPr/>
    </dgm:pt>
    <dgm:pt modelId="{3D02BF93-A4FF-41A8-8061-FF5513C6F5D9}" type="pres">
      <dgm:prSet presAssocID="{8B11B526-031E-443C-9738-56270119A457}" presName="hierRoot2" presStyleCnt="0">
        <dgm:presLayoutVars>
          <dgm:hierBranch val="init"/>
        </dgm:presLayoutVars>
      </dgm:prSet>
      <dgm:spPr/>
    </dgm:pt>
    <dgm:pt modelId="{460A5DA5-F4A5-4CA8-B9F5-4A825B22022A}" type="pres">
      <dgm:prSet presAssocID="{8B11B526-031E-443C-9738-56270119A457}" presName="rootComposite" presStyleCnt="0"/>
      <dgm:spPr/>
    </dgm:pt>
    <dgm:pt modelId="{5F408EF7-A1E1-4839-882F-397AD40CD23F}" type="pres">
      <dgm:prSet presAssocID="{8B11B526-031E-443C-9738-56270119A457}" presName="rootText" presStyleLbl="node3" presStyleIdx="2" presStyleCnt="4">
        <dgm:presLayoutVars>
          <dgm:chPref val="3"/>
        </dgm:presLayoutVars>
      </dgm:prSet>
      <dgm:spPr/>
    </dgm:pt>
    <dgm:pt modelId="{2E1C2CE7-E5D5-4885-8643-97375ADC7D4F}" type="pres">
      <dgm:prSet presAssocID="{8B11B526-031E-443C-9738-56270119A457}" presName="rootConnector" presStyleLbl="node3" presStyleIdx="2" presStyleCnt="4"/>
      <dgm:spPr/>
    </dgm:pt>
    <dgm:pt modelId="{1F8D522E-F18B-4D3C-B197-66BE23178661}" type="pres">
      <dgm:prSet presAssocID="{8B11B526-031E-443C-9738-56270119A457}" presName="hierChild4" presStyleCnt="0"/>
      <dgm:spPr/>
    </dgm:pt>
    <dgm:pt modelId="{47066E8C-909C-49F7-8B48-3BFD71DF7979}" type="pres">
      <dgm:prSet presAssocID="{A7399147-0021-4266-B5A3-E1630213D2CF}" presName="Name37" presStyleLbl="parChTrans1D4" presStyleIdx="12" presStyleCnt="24"/>
      <dgm:spPr/>
    </dgm:pt>
    <dgm:pt modelId="{8C47BA64-2FFC-4061-8A7C-83FC91EA435B}" type="pres">
      <dgm:prSet presAssocID="{51C5A314-338A-4000-8886-5434A05F0C56}" presName="hierRoot2" presStyleCnt="0">
        <dgm:presLayoutVars>
          <dgm:hierBranch val="init"/>
        </dgm:presLayoutVars>
      </dgm:prSet>
      <dgm:spPr/>
    </dgm:pt>
    <dgm:pt modelId="{2BDD913F-4DAF-4B82-BF4C-03E0782CF364}" type="pres">
      <dgm:prSet presAssocID="{51C5A314-338A-4000-8886-5434A05F0C56}" presName="rootComposite" presStyleCnt="0"/>
      <dgm:spPr/>
    </dgm:pt>
    <dgm:pt modelId="{28EAB661-17E3-4B6C-83AB-07D29EB42C93}" type="pres">
      <dgm:prSet presAssocID="{51C5A314-338A-4000-8886-5434A05F0C56}" presName="rootText" presStyleLbl="node4" presStyleIdx="12" presStyleCnt="24">
        <dgm:presLayoutVars>
          <dgm:chPref val="3"/>
        </dgm:presLayoutVars>
      </dgm:prSet>
      <dgm:spPr/>
    </dgm:pt>
    <dgm:pt modelId="{C1C32AA9-17A3-46F9-8D24-4E0623A09CDA}" type="pres">
      <dgm:prSet presAssocID="{51C5A314-338A-4000-8886-5434A05F0C56}" presName="rootConnector" presStyleLbl="node4" presStyleIdx="12" presStyleCnt="24"/>
      <dgm:spPr/>
    </dgm:pt>
    <dgm:pt modelId="{4968DB4F-E2FB-447C-B954-AAE95AF906E7}" type="pres">
      <dgm:prSet presAssocID="{51C5A314-338A-4000-8886-5434A05F0C56}" presName="hierChild4" presStyleCnt="0"/>
      <dgm:spPr/>
    </dgm:pt>
    <dgm:pt modelId="{3C24304D-24B9-4776-970B-63CD1E3B1060}" type="pres">
      <dgm:prSet presAssocID="{A8154968-CD01-4E84-B2F3-8929876E9441}" presName="Name37" presStyleLbl="parChTrans1D4" presStyleIdx="13" presStyleCnt="24"/>
      <dgm:spPr/>
    </dgm:pt>
    <dgm:pt modelId="{978BD76F-591B-42F4-90CB-0A86419D07F1}" type="pres">
      <dgm:prSet presAssocID="{63CEADAF-E5ED-415F-BFAC-8D6748D3DF95}" presName="hierRoot2" presStyleCnt="0">
        <dgm:presLayoutVars>
          <dgm:hierBranch val="init"/>
        </dgm:presLayoutVars>
      </dgm:prSet>
      <dgm:spPr/>
    </dgm:pt>
    <dgm:pt modelId="{288F5B0C-DEC0-4DDB-AA51-E4711929E9ED}" type="pres">
      <dgm:prSet presAssocID="{63CEADAF-E5ED-415F-BFAC-8D6748D3DF95}" presName="rootComposite" presStyleCnt="0"/>
      <dgm:spPr/>
    </dgm:pt>
    <dgm:pt modelId="{32FE3AB5-7C3A-41D2-AEC9-CA925CCBA450}" type="pres">
      <dgm:prSet presAssocID="{63CEADAF-E5ED-415F-BFAC-8D6748D3DF95}" presName="rootText" presStyleLbl="node4" presStyleIdx="13" presStyleCnt="24">
        <dgm:presLayoutVars>
          <dgm:chPref val="3"/>
        </dgm:presLayoutVars>
      </dgm:prSet>
      <dgm:spPr/>
    </dgm:pt>
    <dgm:pt modelId="{40B36FE2-AD28-401E-A400-F86D7DEF1FD5}" type="pres">
      <dgm:prSet presAssocID="{63CEADAF-E5ED-415F-BFAC-8D6748D3DF95}" presName="rootConnector" presStyleLbl="node4" presStyleIdx="13" presStyleCnt="24"/>
      <dgm:spPr/>
    </dgm:pt>
    <dgm:pt modelId="{61545F17-18F5-4C5C-8474-1AD0940D7C1C}" type="pres">
      <dgm:prSet presAssocID="{63CEADAF-E5ED-415F-BFAC-8D6748D3DF95}" presName="hierChild4" presStyleCnt="0"/>
      <dgm:spPr/>
    </dgm:pt>
    <dgm:pt modelId="{73089B40-009E-4ACA-BB5D-F323FEFB1A49}" type="pres">
      <dgm:prSet presAssocID="{63CEADAF-E5ED-415F-BFAC-8D6748D3DF95}" presName="hierChild5" presStyleCnt="0"/>
      <dgm:spPr/>
    </dgm:pt>
    <dgm:pt modelId="{91A736EA-532B-4461-B6ED-D5D89334380B}" type="pres">
      <dgm:prSet presAssocID="{2873AC91-6821-41A6-B39B-D4339C95822C}" presName="Name37" presStyleLbl="parChTrans1D4" presStyleIdx="14" presStyleCnt="24"/>
      <dgm:spPr/>
    </dgm:pt>
    <dgm:pt modelId="{243ADB69-43CD-43B8-86FD-CAE503D9B356}" type="pres">
      <dgm:prSet presAssocID="{F71E8056-4FE8-4DFF-94E8-6008BCF74BF0}" presName="hierRoot2" presStyleCnt="0">
        <dgm:presLayoutVars>
          <dgm:hierBranch val="init"/>
        </dgm:presLayoutVars>
      </dgm:prSet>
      <dgm:spPr/>
    </dgm:pt>
    <dgm:pt modelId="{1AF65D31-64F7-4DCC-B5A7-3AFB6B5AC982}" type="pres">
      <dgm:prSet presAssocID="{F71E8056-4FE8-4DFF-94E8-6008BCF74BF0}" presName="rootComposite" presStyleCnt="0"/>
      <dgm:spPr/>
    </dgm:pt>
    <dgm:pt modelId="{03480235-45B1-4E12-90DC-B1CA87B40472}" type="pres">
      <dgm:prSet presAssocID="{F71E8056-4FE8-4DFF-94E8-6008BCF74BF0}" presName="rootText" presStyleLbl="node4" presStyleIdx="14" presStyleCnt="24">
        <dgm:presLayoutVars>
          <dgm:chPref val="3"/>
        </dgm:presLayoutVars>
      </dgm:prSet>
      <dgm:spPr/>
    </dgm:pt>
    <dgm:pt modelId="{8FB748B8-DF7E-424D-86B2-6939A4BB7CCA}" type="pres">
      <dgm:prSet presAssocID="{F71E8056-4FE8-4DFF-94E8-6008BCF74BF0}" presName="rootConnector" presStyleLbl="node4" presStyleIdx="14" presStyleCnt="24"/>
      <dgm:spPr/>
    </dgm:pt>
    <dgm:pt modelId="{90C5C498-5476-4952-9065-6DAA9EA0B7CB}" type="pres">
      <dgm:prSet presAssocID="{F71E8056-4FE8-4DFF-94E8-6008BCF74BF0}" presName="hierChild4" presStyleCnt="0"/>
      <dgm:spPr/>
    </dgm:pt>
    <dgm:pt modelId="{0F3305E1-4771-4460-AAA5-414C5412EE51}" type="pres">
      <dgm:prSet presAssocID="{F71E8056-4FE8-4DFF-94E8-6008BCF74BF0}" presName="hierChild5" presStyleCnt="0"/>
      <dgm:spPr/>
    </dgm:pt>
    <dgm:pt modelId="{29765C33-1EA5-4C6F-8BB0-6822779BC369}" type="pres">
      <dgm:prSet presAssocID="{51C5A314-338A-4000-8886-5434A05F0C56}" presName="hierChild5" presStyleCnt="0"/>
      <dgm:spPr/>
    </dgm:pt>
    <dgm:pt modelId="{EA28C576-E353-4D87-8CF7-B3B4A8516FC5}" type="pres">
      <dgm:prSet presAssocID="{3BEF11F3-4B2B-4790-8A79-6F61930121CA}" presName="Name37" presStyleLbl="parChTrans1D4" presStyleIdx="15" presStyleCnt="24"/>
      <dgm:spPr/>
    </dgm:pt>
    <dgm:pt modelId="{035D7305-A552-48ED-9049-F975E33DCA89}" type="pres">
      <dgm:prSet presAssocID="{348EAA59-D771-4434-BA44-9988060468BA}" presName="hierRoot2" presStyleCnt="0">
        <dgm:presLayoutVars>
          <dgm:hierBranch val="init"/>
        </dgm:presLayoutVars>
      </dgm:prSet>
      <dgm:spPr/>
    </dgm:pt>
    <dgm:pt modelId="{BBC2BF2E-25B1-467E-84D3-4738518CE777}" type="pres">
      <dgm:prSet presAssocID="{348EAA59-D771-4434-BA44-9988060468BA}" presName="rootComposite" presStyleCnt="0"/>
      <dgm:spPr/>
    </dgm:pt>
    <dgm:pt modelId="{3652B3FB-81D8-4A5C-AE8B-7FD8E7076447}" type="pres">
      <dgm:prSet presAssocID="{348EAA59-D771-4434-BA44-9988060468BA}" presName="rootText" presStyleLbl="node4" presStyleIdx="15" presStyleCnt="24">
        <dgm:presLayoutVars>
          <dgm:chPref val="3"/>
        </dgm:presLayoutVars>
      </dgm:prSet>
      <dgm:spPr/>
    </dgm:pt>
    <dgm:pt modelId="{25E1326F-2FCF-4A65-B0B6-958EFC168D11}" type="pres">
      <dgm:prSet presAssocID="{348EAA59-D771-4434-BA44-9988060468BA}" presName="rootConnector" presStyleLbl="node4" presStyleIdx="15" presStyleCnt="24"/>
      <dgm:spPr/>
    </dgm:pt>
    <dgm:pt modelId="{9107061E-56AA-4825-A4DE-8D811350363A}" type="pres">
      <dgm:prSet presAssocID="{348EAA59-D771-4434-BA44-9988060468BA}" presName="hierChild4" presStyleCnt="0"/>
      <dgm:spPr/>
    </dgm:pt>
    <dgm:pt modelId="{6E3FA763-3C0F-4A22-9432-BA8E8B72553F}" type="pres">
      <dgm:prSet presAssocID="{8DC1E5C1-0BD6-4FD7-9534-FB88EDDBFE63}" presName="Name37" presStyleLbl="parChTrans1D4" presStyleIdx="16" presStyleCnt="24"/>
      <dgm:spPr/>
    </dgm:pt>
    <dgm:pt modelId="{60DA7FB1-569F-4246-A9AC-10BB807B1FB7}" type="pres">
      <dgm:prSet presAssocID="{A7EB35A6-261A-450B-A2BE-9A9397C54F20}" presName="hierRoot2" presStyleCnt="0">
        <dgm:presLayoutVars>
          <dgm:hierBranch val="init"/>
        </dgm:presLayoutVars>
      </dgm:prSet>
      <dgm:spPr/>
    </dgm:pt>
    <dgm:pt modelId="{A29350C3-33F2-4CCB-971C-ACC1CBB9E877}" type="pres">
      <dgm:prSet presAssocID="{A7EB35A6-261A-450B-A2BE-9A9397C54F20}" presName="rootComposite" presStyleCnt="0"/>
      <dgm:spPr/>
    </dgm:pt>
    <dgm:pt modelId="{580C1471-E9F7-4DF1-B8E6-EBFCC0DD0A4E}" type="pres">
      <dgm:prSet presAssocID="{A7EB35A6-261A-450B-A2BE-9A9397C54F20}" presName="rootText" presStyleLbl="node4" presStyleIdx="16" presStyleCnt="24">
        <dgm:presLayoutVars>
          <dgm:chPref val="3"/>
        </dgm:presLayoutVars>
      </dgm:prSet>
      <dgm:spPr/>
    </dgm:pt>
    <dgm:pt modelId="{B083F893-F3C9-4CD0-9D9F-A2BF65ED7AE3}" type="pres">
      <dgm:prSet presAssocID="{A7EB35A6-261A-450B-A2BE-9A9397C54F20}" presName="rootConnector" presStyleLbl="node4" presStyleIdx="16" presStyleCnt="24"/>
      <dgm:spPr/>
    </dgm:pt>
    <dgm:pt modelId="{7057B6F1-C871-4B48-908C-A22EDBBE900D}" type="pres">
      <dgm:prSet presAssocID="{A7EB35A6-261A-450B-A2BE-9A9397C54F20}" presName="hierChild4" presStyleCnt="0"/>
      <dgm:spPr/>
    </dgm:pt>
    <dgm:pt modelId="{F1AEAC2B-E210-4774-994E-670D4059B0B8}" type="pres">
      <dgm:prSet presAssocID="{A7EB35A6-261A-450B-A2BE-9A9397C54F20}" presName="hierChild5" presStyleCnt="0"/>
      <dgm:spPr/>
    </dgm:pt>
    <dgm:pt modelId="{4A74D324-F41F-4DB4-8A73-25441A65D105}" type="pres">
      <dgm:prSet presAssocID="{586A492F-CCC5-4026-93B8-828B2B02B9E7}" presName="Name37" presStyleLbl="parChTrans1D4" presStyleIdx="17" presStyleCnt="24"/>
      <dgm:spPr/>
    </dgm:pt>
    <dgm:pt modelId="{67C07B55-AFF1-4873-8B22-0B2E48E978A6}" type="pres">
      <dgm:prSet presAssocID="{AFCECF12-BE5D-461F-8334-47B2BE3CB404}" presName="hierRoot2" presStyleCnt="0">
        <dgm:presLayoutVars>
          <dgm:hierBranch val="init"/>
        </dgm:presLayoutVars>
      </dgm:prSet>
      <dgm:spPr/>
    </dgm:pt>
    <dgm:pt modelId="{B83B398F-DA6B-4A8B-8026-24E2E7DA57FB}" type="pres">
      <dgm:prSet presAssocID="{AFCECF12-BE5D-461F-8334-47B2BE3CB404}" presName="rootComposite" presStyleCnt="0"/>
      <dgm:spPr/>
    </dgm:pt>
    <dgm:pt modelId="{367506C1-0414-45D3-8975-2B4E4CC773D4}" type="pres">
      <dgm:prSet presAssocID="{AFCECF12-BE5D-461F-8334-47B2BE3CB404}" presName="rootText" presStyleLbl="node4" presStyleIdx="17" presStyleCnt="24">
        <dgm:presLayoutVars>
          <dgm:chPref val="3"/>
        </dgm:presLayoutVars>
      </dgm:prSet>
      <dgm:spPr/>
    </dgm:pt>
    <dgm:pt modelId="{FFE054AB-DA62-4622-BFD6-E835B0B26288}" type="pres">
      <dgm:prSet presAssocID="{AFCECF12-BE5D-461F-8334-47B2BE3CB404}" presName="rootConnector" presStyleLbl="node4" presStyleIdx="17" presStyleCnt="24"/>
      <dgm:spPr/>
    </dgm:pt>
    <dgm:pt modelId="{565AEF1C-84F9-40CE-A967-A7F0891EB4F4}" type="pres">
      <dgm:prSet presAssocID="{AFCECF12-BE5D-461F-8334-47B2BE3CB404}" presName="hierChild4" presStyleCnt="0"/>
      <dgm:spPr/>
    </dgm:pt>
    <dgm:pt modelId="{F752597E-5AB0-4893-87C0-1E280B288DD1}" type="pres">
      <dgm:prSet presAssocID="{AFCECF12-BE5D-461F-8334-47B2BE3CB404}" presName="hierChild5" presStyleCnt="0"/>
      <dgm:spPr/>
    </dgm:pt>
    <dgm:pt modelId="{3A5849BC-72C4-4F4E-8BB7-C1A6EC93E58D}" type="pres">
      <dgm:prSet presAssocID="{348EAA59-D771-4434-BA44-9988060468BA}" presName="hierChild5" presStyleCnt="0"/>
      <dgm:spPr/>
    </dgm:pt>
    <dgm:pt modelId="{32C3BE70-E0E8-4B46-B2CB-467E5D8AA5F4}" type="pres">
      <dgm:prSet presAssocID="{8B11B526-031E-443C-9738-56270119A457}" presName="hierChild5" presStyleCnt="0"/>
      <dgm:spPr/>
    </dgm:pt>
    <dgm:pt modelId="{494F1C93-1557-48FD-94C5-A48AB566B524}" type="pres">
      <dgm:prSet presAssocID="{F29A755A-A2F8-4F65-96A8-99E52BC977E2}" presName="Name37" presStyleLbl="parChTrans1D3" presStyleIdx="3" presStyleCnt="4"/>
      <dgm:spPr/>
    </dgm:pt>
    <dgm:pt modelId="{6A426091-D808-4B49-A6D5-76DB91478E69}" type="pres">
      <dgm:prSet presAssocID="{48FDFB61-8211-48AB-ABB7-50CF4A8B9591}" presName="hierRoot2" presStyleCnt="0">
        <dgm:presLayoutVars>
          <dgm:hierBranch val="init"/>
        </dgm:presLayoutVars>
      </dgm:prSet>
      <dgm:spPr/>
    </dgm:pt>
    <dgm:pt modelId="{E4EED330-9C34-4736-9422-E4E457174E5E}" type="pres">
      <dgm:prSet presAssocID="{48FDFB61-8211-48AB-ABB7-50CF4A8B9591}" presName="rootComposite" presStyleCnt="0"/>
      <dgm:spPr/>
    </dgm:pt>
    <dgm:pt modelId="{1919432B-AC28-45FF-9B17-EF3BC6FBBCC0}" type="pres">
      <dgm:prSet presAssocID="{48FDFB61-8211-48AB-ABB7-50CF4A8B9591}" presName="rootText" presStyleLbl="node3" presStyleIdx="3" presStyleCnt="4">
        <dgm:presLayoutVars>
          <dgm:chPref val="3"/>
        </dgm:presLayoutVars>
      </dgm:prSet>
      <dgm:spPr/>
    </dgm:pt>
    <dgm:pt modelId="{74E52ED8-FED6-451A-980D-FAC0A459672B}" type="pres">
      <dgm:prSet presAssocID="{48FDFB61-8211-48AB-ABB7-50CF4A8B9591}" presName="rootConnector" presStyleLbl="node3" presStyleIdx="3" presStyleCnt="4"/>
      <dgm:spPr/>
    </dgm:pt>
    <dgm:pt modelId="{F8499065-904B-4B42-8E9E-C702606F5026}" type="pres">
      <dgm:prSet presAssocID="{48FDFB61-8211-48AB-ABB7-50CF4A8B9591}" presName="hierChild4" presStyleCnt="0"/>
      <dgm:spPr/>
    </dgm:pt>
    <dgm:pt modelId="{2FF0F3E5-56BF-4200-8D6A-D7984CF2CADA}" type="pres">
      <dgm:prSet presAssocID="{A5798EC1-E749-4C9E-A606-A074AB9E2D58}" presName="Name37" presStyleLbl="parChTrans1D4" presStyleIdx="18" presStyleCnt="24"/>
      <dgm:spPr/>
    </dgm:pt>
    <dgm:pt modelId="{32F8BDB9-8AE6-4222-8D22-B2D494D63F0F}" type="pres">
      <dgm:prSet presAssocID="{6B5FBF81-3F69-44BB-BC65-B6B8DCFF6588}" presName="hierRoot2" presStyleCnt="0">
        <dgm:presLayoutVars>
          <dgm:hierBranch val="init"/>
        </dgm:presLayoutVars>
      </dgm:prSet>
      <dgm:spPr/>
    </dgm:pt>
    <dgm:pt modelId="{FB97CDC3-4114-4D29-AD62-C3087B0CBEDC}" type="pres">
      <dgm:prSet presAssocID="{6B5FBF81-3F69-44BB-BC65-B6B8DCFF6588}" presName="rootComposite" presStyleCnt="0"/>
      <dgm:spPr/>
    </dgm:pt>
    <dgm:pt modelId="{01F812D5-5A5B-40FB-9B1A-C2FB4296696F}" type="pres">
      <dgm:prSet presAssocID="{6B5FBF81-3F69-44BB-BC65-B6B8DCFF6588}" presName="rootText" presStyleLbl="node4" presStyleIdx="18" presStyleCnt="24">
        <dgm:presLayoutVars>
          <dgm:chPref val="3"/>
        </dgm:presLayoutVars>
      </dgm:prSet>
      <dgm:spPr/>
    </dgm:pt>
    <dgm:pt modelId="{B2D83F0C-8447-4713-A276-68C1B5454A4C}" type="pres">
      <dgm:prSet presAssocID="{6B5FBF81-3F69-44BB-BC65-B6B8DCFF6588}" presName="rootConnector" presStyleLbl="node4" presStyleIdx="18" presStyleCnt="24"/>
      <dgm:spPr/>
    </dgm:pt>
    <dgm:pt modelId="{957AB53D-F58A-4342-B2CF-6A776821042C}" type="pres">
      <dgm:prSet presAssocID="{6B5FBF81-3F69-44BB-BC65-B6B8DCFF6588}" presName="hierChild4" presStyleCnt="0"/>
      <dgm:spPr/>
    </dgm:pt>
    <dgm:pt modelId="{636944F8-B889-44C6-AD73-135CA00E8F70}" type="pres">
      <dgm:prSet presAssocID="{02113146-E037-413F-91B5-C3FFB46F77B2}" presName="Name37" presStyleLbl="parChTrans1D4" presStyleIdx="19" presStyleCnt="24"/>
      <dgm:spPr/>
    </dgm:pt>
    <dgm:pt modelId="{83FB87B6-A2CB-49D8-8413-A3FE4E62F38B}" type="pres">
      <dgm:prSet presAssocID="{80CDC0DB-68FA-4F93-8254-7F49985A2FD4}" presName="hierRoot2" presStyleCnt="0">
        <dgm:presLayoutVars>
          <dgm:hierBranch val="init"/>
        </dgm:presLayoutVars>
      </dgm:prSet>
      <dgm:spPr/>
    </dgm:pt>
    <dgm:pt modelId="{26B31B50-4F27-4994-9595-C527F62787D1}" type="pres">
      <dgm:prSet presAssocID="{80CDC0DB-68FA-4F93-8254-7F49985A2FD4}" presName="rootComposite" presStyleCnt="0"/>
      <dgm:spPr/>
    </dgm:pt>
    <dgm:pt modelId="{A2DF28E0-2105-4E14-8726-8D9ACEFF7119}" type="pres">
      <dgm:prSet presAssocID="{80CDC0DB-68FA-4F93-8254-7F49985A2FD4}" presName="rootText" presStyleLbl="node4" presStyleIdx="19" presStyleCnt="24">
        <dgm:presLayoutVars>
          <dgm:chPref val="3"/>
        </dgm:presLayoutVars>
      </dgm:prSet>
      <dgm:spPr/>
    </dgm:pt>
    <dgm:pt modelId="{FF90D635-EE3E-4B32-92B6-654F23483245}" type="pres">
      <dgm:prSet presAssocID="{80CDC0DB-68FA-4F93-8254-7F49985A2FD4}" presName="rootConnector" presStyleLbl="node4" presStyleIdx="19" presStyleCnt="24"/>
      <dgm:spPr/>
    </dgm:pt>
    <dgm:pt modelId="{7202F7C9-85F0-448B-B32D-8C6EBB45D8A4}" type="pres">
      <dgm:prSet presAssocID="{80CDC0DB-68FA-4F93-8254-7F49985A2FD4}" presName="hierChild4" presStyleCnt="0"/>
      <dgm:spPr/>
    </dgm:pt>
    <dgm:pt modelId="{F50B78E3-FEC4-4907-A84C-1062BF1A6707}" type="pres">
      <dgm:prSet presAssocID="{80CDC0DB-68FA-4F93-8254-7F49985A2FD4}" presName="hierChild5" presStyleCnt="0"/>
      <dgm:spPr/>
    </dgm:pt>
    <dgm:pt modelId="{0DA8173B-D2A0-42C4-9E7C-FF03844F4D12}" type="pres">
      <dgm:prSet presAssocID="{87C33733-5210-4025-A2AF-11AF1F71632C}" presName="Name37" presStyleLbl="parChTrans1D4" presStyleIdx="20" presStyleCnt="24"/>
      <dgm:spPr/>
    </dgm:pt>
    <dgm:pt modelId="{C68847E5-86F7-48A6-9303-B961BCEC7535}" type="pres">
      <dgm:prSet presAssocID="{3C507459-4124-40ED-BF1A-C89252002EAB}" presName="hierRoot2" presStyleCnt="0">
        <dgm:presLayoutVars>
          <dgm:hierBranch val="init"/>
        </dgm:presLayoutVars>
      </dgm:prSet>
      <dgm:spPr/>
    </dgm:pt>
    <dgm:pt modelId="{37A8D934-0338-4925-9CFA-21CEEE938615}" type="pres">
      <dgm:prSet presAssocID="{3C507459-4124-40ED-BF1A-C89252002EAB}" presName="rootComposite" presStyleCnt="0"/>
      <dgm:spPr/>
    </dgm:pt>
    <dgm:pt modelId="{DA943CA7-C223-45DE-9BB7-03636206EAFD}" type="pres">
      <dgm:prSet presAssocID="{3C507459-4124-40ED-BF1A-C89252002EAB}" presName="rootText" presStyleLbl="node4" presStyleIdx="20" presStyleCnt="24">
        <dgm:presLayoutVars>
          <dgm:chPref val="3"/>
        </dgm:presLayoutVars>
      </dgm:prSet>
      <dgm:spPr/>
    </dgm:pt>
    <dgm:pt modelId="{90DBFE59-E477-416E-8C72-3CB479A46BC5}" type="pres">
      <dgm:prSet presAssocID="{3C507459-4124-40ED-BF1A-C89252002EAB}" presName="rootConnector" presStyleLbl="node4" presStyleIdx="20" presStyleCnt="24"/>
      <dgm:spPr/>
    </dgm:pt>
    <dgm:pt modelId="{92C48212-18E6-4051-966E-1BF53F932393}" type="pres">
      <dgm:prSet presAssocID="{3C507459-4124-40ED-BF1A-C89252002EAB}" presName="hierChild4" presStyleCnt="0"/>
      <dgm:spPr/>
    </dgm:pt>
    <dgm:pt modelId="{799A2F7C-FEE7-457B-AF75-5DBF786D5358}" type="pres">
      <dgm:prSet presAssocID="{3C507459-4124-40ED-BF1A-C89252002EAB}" presName="hierChild5" presStyleCnt="0"/>
      <dgm:spPr/>
    </dgm:pt>
    <dgm:pt modelId="{1D0C9D0A-A095-44D5-A801-531981C792F8}" type="pres">
      <dgm:prSet presAssocID="{6B5FBF81-3F69-44BB-BC65-B6B8DCFF6588}" presName="hierChild5" presStyleCnt="0"/>
      <dgm:spPr/>
    </dgm:pt>
    <dgm:pt modelId="{45FD16DD-8D75-427F-A777-8178DDC22B12}" type="pres">
      <dgm:prSet presAssocID="{A5A4C694-034B-422F-8D9A-F48553D3631C}" presName="Name37" presStyleLbl="parChTrans1D4" presStyleIdx="21" presStyleCnt="24"/>
      <dgm:spPr/>
    </dgm:pt>
    <dgm:pt modelId="{1E79CA64-3291-46D2-8A39-A561BE425DBA}" type="pres">
      <dgm:prSet presAssocID="{BFCC8DC5-148D-4A64-AFBA-EA86A8934F8D}" presName="hierRoot2" presStyleCnt="0">
        <dgm:presLayoutVars>
          <dgm:hierBranch val="init"/>
        </dgm:presLayoutVars>
      </dgm:prSet>
      <dgm:spPr/>
    </dgm:pt>
    <dgm:pt modelId="{4EA05A94-B662-41F1-9E6C-1B0491C64343}" type="pres">
      <dgm:prSet presAssocID="{BFCC8DC5-148D-4A64-AFBA-EA86A8934F8D}" presName="rootComposite" presStyleCnt="0"/>
      <dgm:spPr/>
    </dgm:pt>
    <dgm:pt modelId="{3FF6ECF9-3DDB-412B-AC9A-778C332E6E31}" type="pres">
      <dgm:prSet presAssocID="{BFCC8DC5-148D-4A64-AFBA-EA86A8934F8D}" presName="rootText" presStyleLbl="node4" presStyleIdx="21" presStyleCnt="24">
        <dgm:presLayoutVars>
          <dgm:chPref val="3"/>
        </dgm:presLayoutVars>
      </dgm:prSet>
      <dgm:spPr/>
    </dgm:pt>
    <dgm:pt modelId="{B29F6C85-5263-402E-8974-7904C1CAE48C}" type="pres">
      <dgm:prSet presAssocID="{BFCC8DC5-148D-4A64-AFBA-EA86A8934F8D}" presName="rootConnector" presStyleLbl="node4" presStyleIdx="21" presStyleCnt="24"/>
      <dgm:spPr/>
    </dgm:pt>
    <dgm:pt modelId="{5C510460-917B-4120-85B7-2290E804010E}" type="pres">
      <dgm:prSet presAssocID="{BFCC8DC5-148D-4A64-AFBA-EA86A8934F8D}" presName="hierChild4" presStyleCnt="0"/>
      <dgm:spPr/>
    </dgm:pt>
    <dgm:pt modelId="{D418710F-22BB-4836-900B-8A89E45AD6B4}" type="pres">
      <dgm:prSet presAssocID="{8DAA56E4-B218-4CC2-B926-7DC25A000A5E}" presName="Name37" presStyleLbl="parChTrans1D4" presStyleIdx="22" presStyleCnt="24"/>
      <dgm:spPr/>
    </dgm:pt>
    <dgm:pt modelId="{05ADD8C7-48BB-48E0-8F69-2BFA39C20CAC}" type="pres">
      <dgm:prSet presAssocID="{C0D9C05F-D982-4129-B806-571A498D741D}" presName="hierRoot2" presStyleCnt="0">
        <dgm:presLayoutVars>
          <dgm:hierBranch val="init"/>
        </dgm:presLayoutVars>
      </dgm:prSet>
      <dgm:spPr/>
    </dgm:pt>
    <dgm:pt modelId="{45C8886E-4347-4E77-98BB-529F89D65415}" type="pres">
      <dgm:prSet presAssocID="{C0D9C05F-D982-4129-B806-571A498D741D}" presName="rootComposite" presStyleCnt="0"/>
      <dgm:spPr/>
    </dgm:pt>
    <dgm:pt modelId="{BA4E3244-CDD6-40CC-A13E-2862D3CB73FE}" type="pres">
      <dgm:prSet presAssocID="{C0D9C05F-D982-4129-B806-571A498D741D}" presName="rootText" presStyleLbl="node4" presStyleIdx="22" presStyleCnt="24">
        <dgm:presLayoutVars>
          <dgm:chPref val="3"/>
        </dgm:presLayoutVars>
      </dgm:prSet>
      <dgm:spPr/>
    </dgm:pt>
    <dgm:pt modelId="{313B1121-884F-4E41-BE7B-93D03AB92254}" type="pres">
      <dgm:prSet presAssocID="{C0D9C05F-D982-4129-B806-571A498D741D}" presName="rootConnector" presStyleLbl="node4" presStyleIdx="22" presStyleCnt="24"/>
      <dgm:spPr/>
    </dgm:pt>
    <dgm:pt modelId="{CFB2A1C5-17F1-42A9-A115-CA793955740F}" type="pres">
      <dgm:prSet presAssocID="{C0D9C05F-D982-4129-B806-571A498D741D}" presName="hierChild4" presStyleCnt="0"/>
      <dgm:spPr/>
    </dgm:pt>
    <dgm:pt modelId="{0B4164DF-6424-4047-B693-BF95CE538AE5}" type="pres">
      <dgm:prSet presAssocID="{C0D9C05F-D982-4129-B806-571A498D741D}" presName="hierChild5" presStyleCnt="0"/>
      <dgm:spPr/>
    </dgm:pt>
    <dgm:pt modelId="{B0859264-FFF4-4E6D-B784-EE4FEA356548}" type="pres">
      <dgm:prSet presAssocID="{B89025AE-BD0D-4CC2-8C44-860A7E959C33}" presName="Name37" presStyleLbl="parChTrans1D4" presStyleIdx="23" presStyleCnt="24"/>
      <dgm:spPr/>
    </dgm:pt>
    <dgm:pt modelId="{D289CE3A-41E6-43B4-A578-7822A8413BF3}" type="pres">
      <dgm:prSet presAssocID="{90741D76-8C45-46C8-8577-A652B163477C}" presName="hierRoot2" presStyleCnt="0">
        <dgm:presLayoutVars>
          <dgm:hierBranch val="init"/>
        </dgm:presLayoutVars>
      </dgm:prSet>
      <dgm:spPr/>
    </dgm:pt>
    <dgm:pt modelId="{FBCE6534-44F7-456B-B31D-ACC77AC8B310}" type="pres">
      <dgm:prSet presAssocID="{90741D76-8C45-46C8-8577-A652B163477C}" presName="rootComposite" presStyleCnt="0"/>
      <dgm:spPr/>
    </dgm:pt>
    <dgm:pt modelId="{34B3CEFB-F877-478C-887C-19BE42469AEF}" type="pres">
      <dgm:prSet presAssocID="{90741D76-8C45-46C8-8577-A652B163477C}" presName="rootText" presStyleLbl="node4" presStyleIdx="23" presStyleCnt="24">
        <dgm:presLayoutVars>
          <dgm:chPref val="3"/>
        </dgm:presLayoutVars>
      </dgm:prSet>
      <dgm:spPr/>
    </dgm:pt>
    <dgm:pt modelId="{F3347095-D31F-4F34-A4C9-0F21F5275C6C}" type="pres">
      <dgm:prSet presAssocID="{90741D76-8C45-46C8-8577-A652B163477C}" presName="rootConnector" presStyleLbl="node4" presStyleIdx="23" presStyleCnt="24"/>
      <dgm:spPr/>
    </dgm:pt>
    <dgm:pt modelId="{BFC42463-B36B-4E4E-ACD6-D9531D2A0B2E}" type="pres">
      <dgm:prSet presAssocID="{90741D76-8C45-46C8-8577-A652B163477C}" presName="hierChild4" presStyleCnt="0"/>
      <dgm:spPr/>
    </dgm:pt>
    <dgm:pt modelId="{A506B0AB-781A-4597-B77F-DE98314B3997}" type="pres">
      <dgm:prSet presAssocID="{90741D76-8C45-46C8-8577-A652B163477C}" presName="hierChild5" presStyleCnt="0"/>
      <dgm:spPr/>
    </dgm:pt>
    <dgm:pt modelId="{2E645EC8-4E26-434E-BD8B-FFC698BDEF6C}" type="pres">
      <dgm:prSet presAssocID="{BFCC8DC5-148D-4A64-AFBA-EA86A8934F8D}" presName="hierChild5" presStyleCnt="0"/>
      <dgm:spPr/>
    </dgm:pt>
    <dgm:pt modelId="{0BDFB244-DC35-419D-A0AC-B48738869187}" type="pres">
      <dgm:prSet presAssocID="{48FDFB61-8211-48AB-ABB7-50CF4A8B9591}" presName="hierChild5" presStyleCnt="0"/>
      <dgm:spPr/>
    </dgm:pt>
    <dgm:pt modelId="{B111F1BB-5ECA-45F6-9837-AE31B48A08FC}" type="pres">
      <dgm:prSet presAssocID="{65D9116E-CF66-446A-ABE2-28B7C5153E44}" presName="hierChild5" presStyleCnt="0"/>
      <dgm:spPr/>
    </dgm:pt>
    <dgm:pt modelId="{291168F6-9478-48AD-B9FE-8750A0A5925B}" type="pres">
      <dgm:prSet presAssocID="{326624D6-002A-418C-8096-FEC8B7D4F4AA}" presName="hierChild3" presStyleCnt="0"/>
      <dgm:spPr/>
    </dgm:pt>
  </dgm:ptLst>
  <dgm:cxnLst>
    <dgm:cxn modelId="{2EE5DB04-E5FB-4057-9EB3-E69AF4028497}" type="presOf" srcId="{F71E8056-4FE8-4DFF-94E8-6008BCF74BF0}" destId="{8FB748B8-DF7E-424D-86B2-6939A4BB7CCA}" srcOrd="1" destOrd="0" presId="urn:microsoft.com/office/officeart/2005/8/layout/orgChart1"/>
    <dgm:cxn modelId="{FAF9E407-374C-492B-9ECB-F28D642C5632}" srcId="{65D9116E-CF66-446A-ABE2-28B7C5153E44}" destId="{48FDFB61-8211-48AB-ABB7-50CF4A8B9591}" srcOrd="1" destOrd="0" parTransId="{F29A755A-A2F8-4F65-96A8-99E52BC977E2}" sibTransId="{2A089511-9144-42D6-A773-46638BB10B1E}"/>
    <dgm:cxn modelId="{9A860D0A-3872-43BC-8825-D6D70B85D21C}" type="presOf" srcId="{90741D76-8C45-46C8-8577-A652B163477C}" destId="{34B3CEFB-F877-478C-887C-19BE42469AEF}" srcOrd="0" destOrd="0" presId="urn:microsoft.com/office/officeart/2005/8/layout/orgChart1"/>
    <dgm:cxn modelId="{1C48550F-7D8F-4805-9E1A-CDB5686C6460}" type="presOf" srcId="{8DC1E5C1-0BD6-4FD7-9534-FB88EDDBFE63}" destId="{6E3FA763-3C0F-4A22-9432-BA8E8B72553F}" srcOrd="0" destOrd="0" presId="urn:microsoft.com/office/officeart/2005/8/layout/orgChart1"/>
    <dgm:cxn modelId="{46CC5711-CDB7-4AB2-842E-C6C722433CC3}" srcId="{D8D7F5C1-8A3B-4EF7-9E1C-8181E8E899B4}" destId="{21D9657E-CA57-432E-83B8-3EB77B6D07E8}" srcOrd="1" destOrd="0" parTransId="{EE1AAED9-4DC3-487F-A351-493D61E5B34E}" sibTransId="{8263832B-9F30-4555-9900-843CE9A3CFDC}"/>
    <dgm:cxn modelId="{2321E212-0D85-468A-B17F-5026B6C8B421}" type="presOf" srcId="{76838BAF-3C8C-42C9-BDD1-95A0874804EE}" destId="{40118304-005D-40E7-AD98-C308578BE48D}" srcOrd="0" destOrd="0" presId="urn:microsoft.com/office/officeart/2005/8/layout/orgChart1"/>
    <dgm:cxn modelId="{E8128714-DA26-43E6-85AA-BBCB2B79378F}" type="presOf" srcId="{C0D9C05F-D982-4129-B806-571A498D741D}" destId="{313B1121-884F-4E41-BE7B-93D03AB92254}" srcOrd="1" destOrd="0" presId="urn:microsoft.com/office/officeart/2005/8/layout/orgChart1"/>
    <dgm:cxn modelId="{E41CE714-A610-4697-B8D2-BF80551974C2}" srcId="{217A70DC-F952-4E86-BD66-1E75C2ADEA7A}" destId="{D8D7F5C1-8A3B-4EF7-9E1C-8181E8E899B4}" srcOrd="1" destOrd="0" parTransId="{6EBF2329-264B-43F2-BA56-0A9CEFEC2841}" sibTransId="{221D290B-7FD2-4BA0-B1D7-6C8EDA314D42}"/>
    <dgm:cxn modelId="{FF4F3A17-B43C-42C2-8301-D88BF535CC40}" type="presOf" srcId="{C0D9C05F-D982-4129-B806-571A498D741D}" destId="{BA4E3244-CDD6-40CC-A13E-2862D3CB73FE}" srcOrd="0" destOrd="0" presId="urn:microsoft.com/office/officeart/2005/8/layout/orgChart1"/>
    <dgm:cxn modelId="{8BC36B18-6ECD-456C-AB9C-30337EFDFDA6}" type="presOf" srcId="{828B61AB-FC25-4274-AEE3-61593CC8E49F}" destId="{7362295A-B065-4FBB-B234-6670B5E79D39}" srcOrd="1" destOrd="0" presId="urn:microsoft.com/office/officeart/2005/8/layout/orgChart1"/>
    <dgm:cxn modelId="{608FE718-3072-4E2A-84B7-EF65D6A2AF66}" type="presOf" srcId="{0DB65D9E-CEC2-48AE-AAA7-BA5607810F14}" destId="{58649A09-5EC8-44DE-81DA-2021290BFCEF}" srcOrd="1" destOrd="0" presId="urn:microsoft.com/office/officeart/2005/8/layout/orgChart1"/>
    <dgm:cxn modelId="{109CF418-D785-4C30-8338-0FD8BDD8B724}" srcId="{8B11B526-031E-443C-9738-56270119A457}" destId="{348EAA59-D771-4434-BA44-9988060468BA}" srcOrd="1" destOrd="0" parTransId="{3BEF11F3-4B2B-4790-8A79-6F61930121CA}" sibTransId="{8F0C4F43-A594-44D6-87BA-104B179271AE}"/>
    <dgm:cxn modelId="{423AE419-8A6B-4FCF-8A17-5D6E7C041829}" type="presOf" srcId="{63CEADAF-E5ED-415F-BFAC-8D6748D3DF95}" destId="{40B36FE2-AD28-401E-A400-F86D7DEF1FD5}" srcOrd="1" destOrd="0" presId="urn:microsoft.com/office/officeart/2005/8/layout/orgChart1"/>
    <dgm:cxn modelId="{04A4C51B-F214-46E1-A341-E793BE95A031}" type="presOf" srcId="{1B6B5D36-B2F5-44F8-8F07-7AE4BD8BBBA9}" destId="{E40FD8A2-863C-41D5-A0BF-AB84A6F7F936}" srcOrd="0" destOrd="0" presId="urn:microsoft.com/office/officeart/2005/8/layout/orgChart1"/>
    <dgm:cxn modelId="{B9948A1C-EF3E-4FE8-B346-2E55C381DB59}" type="presOf" srcId="{6539BBB0-E273-455B-8066-CE9E4E108DE7}" destId="{88257131-F779-4588-B9D6-ED265ED7E41E}" srcOrd="0" destOrd="0" presId="urn:microsoft.com/office/officeart/2005/8/layout/orgChart1"/>
    <dgm:cxn modelId="{66FB3E21-78D5-4B6F-B022-EA04181DA6FD}" type="presOf" srcId="{21D9657E-CA57-432E-83B8-3EB77B6D07E8}" destId="{D046BF24-308F-4C8C-B915-A98E03D47ABE}" srcOrd="0" destOrd="0" presId="urn:microsoft.com/office/officeart/2005/8/layout/orgChart1"/>
    <dgm:cxn modelId="{35984E21-7240-423E-A1F8-AA23DD9CAEEC}" type="presOf" srcId="{326624D6-002A-418C-8096-FEC8B7D4F4AA}" destId="{25BAE11D-B35E-4464-BF3A-4DE606A0C10C}" srcOrd="0" destOrd="0" presId="urn:microsoft.com/office/officeart/2005/8/layout/orgChart1"/>
    <dgm:cxn modelId="{BBB44323-FAA2-40BB-B8DA-2B678620FAAD}" srcId="{51C5A314-338A-4000-8886-5434A05F0C56}" destId="{F71E8056-4FE8-4DFF-94E8-6008BCF74BF0}" srcOrd="1" destOrd="0" parTransId="{2873AC91-6821-41A6-B39B-D4339C95822C}" sibTransId="{2F828736-8248-4362-891F-8B5A4AC627D7}"/>
    <dgm:cxn modelId="{95A2F426-6F1A-4FFF-9F32-F858AD00861C}" type="presOf" srcId="{B46916E4-AFDA-4F12-8EDD-ECD7592577BD}" destId="{66B7D2AE-D1C4-44F3-B79C-7465D804272E}" srcOrd="0" destOrd="0" presId="urn:microsoft.com/office/officeart/2005/8/layout/orgChart1"/>
    <dgm:cxn modelId="{2E125033-6800-4B47-9049-648A89564CDC}" type="presOf" srcId="{21D9657E-CA57-432E-83B8-3EB77B6D07E8}" destId="{9768A2BE-A623-4FBE-A4D4-14DF57BF1DD9}" srcOrd="1" destOrd="0" presId="urn:microsoft.com/office/officeart/2005/8/layout/orgChart1"/>
    <dgm:cxn modelId="{E5B36334-9EB5-477B-BA1A-07242F888A94}" type="presOf" srcId="{828B61AB-FC25-4274-AEE3-61593CC8E49F}" destId="{E682B6DB-D18E-42C0-BE74-958C02A3F932}" srcOrd="0" destOrd="0" presId="urn:microsoft.com/office/officeart/2005/8/layout/orgChart1"/>
    <dgm:cxn modelId="{6AB34C38-5075-4499-ACB8-EE3294670297}" type="presOf" srcId="{02113146-E037-413F-91B5-C3FFB46F77B2}" destId="{636944F8-B889-44C6-AD73-135CA00E8F70}" srcOrd="0" destOrd="0" presId="urn:microsoft.com/office/officeart/2005/8/layout/orgChart1"/>
    <dgm:cxn modelId="{A1BEAF38-A5BB-447A-9C68-38D6B0CCB223}" type="presOf" srcId="{AFCECF12-BE5D-461F-8334-47B2BE3CB404}" destId="{FFE054AB-DA62-4622-BFD6-E835B0B26288}" srcOrd="1" destOrd="0" presId="urn:microsoft.com/office/officeart/2005/8/layout/orgChart1"/>
    <dgm:cxn modelId="{F4A23A39-27CB-485C-936C-070E8B6F3496}" type="presOf" srcId="{348EAA59-D771-4434-BA44-9988060468BA}" destId="{25E1326F-2FCF-4A65-B0B6-958EFC168D11}" srcOrd="1" destOrd="0" presId="urn:microsoft.com/office/officeart/2005/8/layout/orgChart1"/>
    <dgm:cxn modelId="{0008623A-BB46-4EAE-ACEB-F8B069859EB6}" type="presOf" srcId="{8B11B526-031E-443C-9738-56270119A457}" destId="{2E1C2CE7-E5D5-4885-8643-97375ADC7D4F}" srcOrd="1" destOrd="0" presId="urn:microsoft.com/office/officeart/2005/8/layout/orgChart1"/>
    <dgm:cxn modelId="{4E91CC3A-61FB-4E71-8217-C5A270BF9540}" type="presOf" srcId="{6B5FBF81-3F69-44BB-BC65-B6B8DCFF6588}" destId="{01F812D5-5A5B-40FB-9B1A-C2FB4296696F}" srcOrd="0" destOrd="0" presId="urn:microsoft.com/office/officeart/2005/8/layout/orgChart1"/>
    <dgm:cxn modelId="{64CD923B-8C52-436E-8BBF-B36FAA80053B}" type="presOf" srcId="{D8D7F5C1-8A3B-4EF7-9E1C-8181E8E899B4}" destId="{8E235C14-5C8F-44A8-8585-2FBE413E802F}" srcOrd="1" destOrd="0" presId="urn:microsoft.com/office/officeart/2005/8/layout/orgChart1"/>
    <dgm:cxn modelId="{62B6533C-A47B-45C5-BAD9-111E58F321FA}" type="presOf" srcId="{87C33733-5210-4025-A2AF-11AF1F71632C}" destId="{0DA8173B-D2A0-42C4-9E7C-FF03844F4D12}" srcOrd="0" destOrd="0" presId="urn:microsoft.com/office/officeart/2005/8/layout/orgChart1"/>
    <dgm:cxn modelId="{9FB5403E-8A9E-4717-BC40-415B205E1E61}" type="presOf" srcId="{533DF275-BCB3-4367-ACCD-7D54B2D1C149}" destId="{E61898F2-4ED2-4276-A8DE-A45967AAFC08}" srcOrd="0" destOrd="0" presId="urn:microsoft.com/office/officeart/2005/8/layout/orgChart1"/>
    <dgm:cxn modelId="{DECAE95B-A4FB-4246-A940-F03241D096B0}" type="presOf" srcId="{BE15A92E-F74D-4E68-92B2-A599E85EF405}" destId="{22E1A113-E68E-416A-8DC0-01E6A23AD1FF}" srcOrd="1" destOrd="0" presId="urn:microsoft.com/office/officeart/2005/8/layout/orgChart1"/>
    <dgm:cxn modelId="{E020595C-1948-4405-AE17-9D922D69605F}" type="presOf" srcId="{51C5A314-338A-4000-8886-5434A05F0C56}" destId="{28EAB661-17E3-4B6C-83AB-07D29EB42C93}" srcOrd="0" destOrd="0" presId="urn:microsoft.com/office/officeart/2005/8/layout/orgChart1"/>
    <dgm:cxn modelId="{60159D5E-4AFB-4950-85FC-2A8A4A9F6AAF}" srcId="{4BADD504-9BDB-480D-8321-A08EDE2C27C0}" destId="{67D9BA64-CD68-468D-946A-40A802BC6514}" srcOrd="0" destOrd="0" parTransId="{CDC45995-1210-4FA0-B2AD-2B9DF3673DBA}" sibTransId="{BB7210CE-A825-4C94-A293-96F392FE3A4F}"/>
    <dgm:cxn modelId="{E1EB0960-3886-4539-9892-64C70FBDAF14}" type="presOf" srcId="{65D9116E-CF66-446A-ABE2-28B7C5153E44}" destId="{1D65C9A1-3E5B-4E4F-9121-3062C8517A75}" srcOrd="1" destOrd="0" presId="urn:microsoft.com/office/officeart/2005/8/layout/orgChart1"/>
    <dgm:cxn modelId="{8D6B0C60-1142-44B0-AA46-18242A4A0ED9}" type="presOf" srcId="{F29A755A-A2F8-4F65-96A8-99E52BC977E2}" destId="{494F1C93-1557-48FD-94C5-A48AB566B524}" srcOrd="0" destOrd="0" presId="urn:microsoft.com/office/officeart/2005/8/layout/orgChart1"/>
    <dgm:cxn modelId="{5E97D360-2019-4F45-B20F-D003471D9B4B}" type="presOf" srcId="{5A31B611-5C44-452E-BD3E-90A9C689B4EC}" destId="{861BB91C-5C96-41EF-A934-1D06C88CA48F}" srcOrd="0" destOrd="0" presId="urn:microsoft.com/office/officeart/2005/8/layout/orgChart1"/>
    <dgm:cxn modelId="{1D3D8862-876E-49C2-9762-E90D7526BA07}" type="presOf" srcId="{9BA5C98E-0B2A-430C-9B1B-ADD600CF08C3}" destId="{2C9260C8-F2D9-4851-8D19-FB1F72E886BF}" srcOrd="0" destOrd="0" presId="urn:microsoft.com/office/officeart/2005/8/layout/orgChart1"/>
    <dgm:cxn modelId="{F0D5B142-5C86-4581-A0EC-30A50AAB710D}" srcId="{348EAA59-D771-4434-BA44-9988060468BA}" destId="{A7EB35A6-261A-450B-A2BE-9A9397C54F20}" srcOrd="0" destOrd="0" parTransId="{8DC1E5C1-0BD6-4FD7-9534-FB88EDDBFE63}" sibTransId="{9B9925C1-8E53-4ADA-8AB6-37CDDFBBEF5F}"/>
    <dgm:cxn modelId="{26406E63-08F7-42E4-B625-9B6FA19D8C99}" type="presOf" srcId="{F71E8056-4FE8-4DFF-94E8-6008BCF74BF0}" destId="{03480235-45B1-4E12-90DC-B1CA87B40472}" srcOrd="0" destOrd="0" presId="urn:microsoft.com/office/officeart/2005/8/layout/orgChart1"/>
    <dgm:cxn modelId="{E5364E45-3672-4D97-8BBE-14E0CF248656}" srcId="{348EAA59-D771-4434-BA44-9988060468BA}" destId="{AFCECF12-BE5D-461F-8334-47B2BE3CB404}" srcOrd="1" destOrd="0" parTransId="{586A492F-CCC5-4026-93B8-828B2B02B9E7}" sibTransId="{15A48996-A0D6-487C-B972-097041645E51}"/>
    <dgm:cxn modelId="{CBC9DD65-8A59-4234-BF6F-C99F25E68D22}" type="presOf" srcId="{99B7B135-ED84-4F11-8B4B-4BE6E22C9977}" destId="{0F7A351A-A44F-4970-BB4D-D27AE4AF7EC9}" srcOrd="0" destOrd="0" presId="urn:microsoft.com/office/officeart/2005/8/layout/orgChart1"/>
    <dgm:cxn modelId="{738DCB46-D4D0-47AE-912C-46CA60167661}" type="presOf" srcId="{0415C043-E2F3-4E16-842A-4894A6C64357}" destId="{FB0C2BD3-C299-48DC-9012-230C6AE5BB88}" srcOrd="0" destOrd="0" presId="urn:microsoft.com/office/officeart/2005/8/layout/orgChart1"/>
    <dgm:cxn modelId="{28108867-DD83-42C2-8E2F-84EAE1CFB7EF}" srcId="{51C5A314-338A-4000-8886-5434A05F0C56}" destId="{63CEADAF-E5ED-415F-BFAC-8D6748D3DF95}" srcOrd="0" destOrd="0" parTransId="{A8154968-CD01-4E84-B2F3-8929876E9441}" sibTransId="{A79B6CAE-825A-44A2-9613-40C32DE6C8EE}"/>
    <dgm:cxn modelId="{2607006C-5CFF-4B61-AF6D-B3B5EA230A81}" type="presOf" srcId="{4BADD504-9BDB-480D-8321-A08EDE2C27C0}" destId="{48F124B0-A7B3-4CF1-9398-823592EEABBF}" srcOrd="1" destOrd="0" presId="urn:microsoft.com/office/officeart/2005/8/layout/orgChart1"/>
    <dgm:cxn modelId="{41DE5B4C-494A-4318-B32D-D0CB4D926AFB}" type="presOf" srcId="{63CEADAF-E5ED-415F-BFAC-8D6748D3DF95}" destId="{32FE3AB5-7C3A-41D2-AEC9-CA925CCBA450}" srcOrd="0" destOrd="0" presId="urn:microsoft.com/office/officeart/2005/8/layout/orgChart1"/>
    <dgm:cxn modelId="{333E4351-F90C-48E5-8365-90E5D8732469}" type="presOf" srcId="{6539BBB0-E273-455B-8066-CE9E4E108DE7}" destId="{3AB5CD4D-9C4A-454D-8685-86CC722D3EF4}" srcOrd="1" destOrd="0" presId="urn:microsoft.com/office/officeart/2005/8/layout/orgChart1"/>
    <dgm:cxn modelId="{1DCC8572-A154-4C4E-8521-23B5D4315B09}" type="presOf" srcId="{6EBF2329-264B-43F2-BA56-0A9CEFEC2841}" destId="{D202EF20-9A25-4228-876B-72EE418CDD7D}" srcOrd="0" destOrd="0" presId="urn:microsoft.com/office/officeart/2005/8/layout/orgChart1"/>
    <dgm:cxn modelId="{AB215753-F8C1-45CD-8175-BC44F7EB9422}" type="presOf" srcId="{1B6B5D36-B2F5-44F8-8F07-7AE4BD8BBBA9}" destId="{118DC942-1DEE-49E1-AA29-2287DF852233}" srcOrd="1" destOrd="0" presId="urn:microsoft.com/office/officeart/2005/8/layout/orgChart1"/>
    <dgm:cxn modelId="{3AC1AD73-BD0F-4939-A084-D726FD9B40DA}" type="presOf" srcId="{D8D7F5C1-8A3B-4EF7-9E1C-8181E8E899B4}" destId="{80211277-C35F-400F-A026-B88A732399F5}" srcOrd="0" destOrd="0" presId="urn:microsoft.com/office/officeart/2005/8/layout/orgChart1"/>
    <dgm:cxn modelId="{ABE71E74-7EA2-47BD-9A14-379D3534C10C}" type="presOf" srcId="{AFCECF12-BE5D-461F-8334-47B2BE3CB404}" destId="{367506C1-0414-45D3-8975-2B4E4CC773D4}" srcOrd="0" destOrd="0" presId="urn:microsoft.com/office/officeart/2005/8/layout/orgChart1"/>
    <dgm:cxn modelId="{A93F2956-C146-40B3-8568-44012E4AC413}" type="presOf" srcId="{B8F82D85-A2D0-46D3-9C79-E615B8B93FCF}" destId="{2F236CAA-A658-41FC-9176-8CD8464974CD}" srcOrd="0" destOrd="0" presId="urn:microsoft.com/office/officeart/2005/8/layout/orgChart1"/>
    <dgm:cxn modelId="{993DF157-9C19-4773-BD54-D08F5D8EFBC8}" type="presOf" srcId="{217A70DC-F952-4E86-BD66-1E75C2ADEA7A}" destId="{FE619E62-E9EA-4C66-8BC7-8A8FE56506D9}" srcOrd="1" destOrd="0" presId="urn:microsoft.com/office/officeart/2005/8/layout/orgChart1"/>
    <dgm:cxn modelId="{952D717F-FE89-4BE9-999F-81E66ED22A1C}" type="presOf" srcId="{65D9116E-CF66-446A-ABE2-28B7C5153E44}" destId="{D584481E-A523-4E83-AAC0-4DE5A27E8FA5}" srcOrd="0" destOrd="0" presId="urn:microsoft.com/office/officeart/2005/8/layout/orgChart1"/>
    <dgm:cxn modelId="{7CD96280-6329-4FE9-89C3-5861370AF0F9}" type="presOf" srcId="{F93EBD0D-C797-49CA-8CBE-C3FDB69DF84A}" destId="{899E2C75-163E-495F-8CF5-DB25FE473903}" srcOrd="0" destOrd="0" presId="urn:microsoft.com/office/officeart/2005/8/layout/orgChart1"/>
    <dgm:cxn modelId="{865F5983-741D-40A6-9EA2-A75D31C5702A}" srcId="{21D9657E-CA57-432E-83B8-3EB77B6D07E8}" destId="{0415C043-E2F3-4E16-842A-4894A6C64357}" srcOrd="0" destOrd="0" parTransId="{079E4228-43D6-4856-A082-88618B961568}" sibTransId="{8036A612-2CC1-4165-A4AA-6D708C7E584E}"/>
    <dgm:cxn modelId="{FFF0E583-A363-4E5D-8072-49CFB2E3B47A}" type="presOf" srcId="{348EAA59-D771-4434-BA44-9988060468BA}" destId="{3652B3FB-81D8-4A5C-AE8B-7FD8E7076447}" srcOrd="0" destOrd="0" presId="urn:microsoft.com/office/officeart/2005/8/layout/orgChart1"/>
    <dgm:cxn modelId="{4B5AA485-A81B-42D0-8405-D4EE31BADD5A}" type="presOf" srcId="{533DF275-BCB3-4367-ACCD-7D54B2D1C149}" destId="{8EE0F21A-9A63-4838-B449-677B68C8C84C}" srcOrd="1" destOrd="0" presId="urn:microsoft.com/office/officeart/2005/8/layout/orgChart1"/>
    <dgm:cxn modelId="{1026F385-B1FB-4BED-B41B-1552E84802ED}" srcId="{D8D7F5C1-8A3B-4EF7-9E1C-8181E8E899B4}" destId="{4BADD504-9BDB-480D-8321-A08EDE2C27C0}" srcOrd="0" destOrd="0" parTransId="{4ED7F18C-05BE-4DF1-9105-701F90DAC7B1}" sibTransId="{6DB5DCE8-BE18-4227-90CA-ED883D646C98}"/>
    <dgm:cxn modelId="{E55F3D87-2C8B-4D20-939C-F654F2B66F62}" type="presOf" srcId="{A7399147-0021-4266-B5A3-E1630213D2CF}" destId="{47066E8C-909C-49F7-8B48-3BFD71DF7979}" srcOrd="0" destOrd="0" presId="urn:microsoft.com/office/officeart/2005/8/layout/orgChart1"/>
    <dgm:cxn modelId="{17407788-0910-4F1B-A6ED-26D56A98727C}" type="presOf" srcId="{61E05F06-3AD7-4E25-8864-50BB45256034}" destId="{E000F014-F188-4861-9EF4-B3D50B88C96C}" srcOrd="0" destOrd="0" presId="urn:microsoft.com/office/officeart/2005/8/layout/orgChart1"/>
    <dgm:cxn modelId="{13E78F88-3B09-472B-9BA9-2333713D6319}" type="presOf" srcId="{0DB65D9E-CEC2-48AE-AAA7-BA5607810F14}" destId="{D8A51828-D174-4E98-B2FE-15FDA1186EE9}" srcOrd="0" destOrd="0" presId="urn:microsoft.com/office/officeart/2005/8/layout/orgChart1"/>
    <dgm:cxn modelId="{5838368D-0AFD-41ED-AE2A-1A9E0BAC5CD5}" type="presOf" srcId="{80CDC0DB-68FA-4F93-8254-7F49985A2FD4}" destId="{A2DF28E0-2105-4E14-8726-8D9ACEFF7119}" srcOrd="0" destOrd="0" presId="urn:microsoft.com/office/officeart/2005/8/layout/orgChart1"/>
    <dgm:cxn modelId="{FAC53B90-D58D-4996-BD9C-953BF69DB153}" srcId="{4BADD504-9BDB-480D-8321-A08EDE2C27C0}" destId="{BE15A92E-F74D-4E68-92B2-A599E85EF405}" srcOrd="1" destOrd="0" parTransId="{76838BAF-3C8C-42C9-BDD1-95A0874804EE}" sibTransId="{85CF3E3E-A926-443F-A34D-53AAB466523B}"/>
    <dgm:cxn modelId="{C2AF9B90-AD47-4B34-AAF8-5A9A2103446C}" srcId="{828B61AB-FC25-4274-AEE3-61593CC8E49F}" destId="{0DB65D9E-CEC2-48AE-AAA7-BA5607810F14}" srcOrd="1" destOrd="0" parTransId="{6FFFD0C4-3059-4D68-B7EA-22325719FD3A}" sibTransId="{2421BF8A-61F6-4E6D-948B-E3561AAA4820}"/>
    <dgm:cxn modelId="{A7782292-FB63-4192-A958-6E5C330923A7}" srcId="{828B61AB-FC25-4274-AEE3-61593CC8E49F}" destId="{533DF275-BCB3-4367-ACCD-7D54B2D1C149}" srcOrd="0" destOrd="0" parTransId="{F93EBD0D-C797-49CA-8CBE-C3FDB69DF84A}" sibTransId="{7F7E7F1E-32DB-48CB-AB28-5650E0745568}"/>
    <dgm:cxn modelId="{D6A0AB94-CFF0-48F8-B870-A5AE75421084}" type="presOf" srcId="{586A492F-CCC5-4026-93B8-828B2B02B9E7}" destId="{4A74D324-F41F-4DB4-8A73-25441A65D105}" srcOrd="0" destOrd="0" presId="urn:microsoft.com/office/officeart/2005/8/layout/orgChart1"/>
    <dgm:cxn modelId="{B1512E97-2D99-4822-8258-BB9EE08BDAE0}" type="presOf" srcId="{67D9BA64-CD68-468D-946A-40A802BC6514}" destId="{73FC74B3-8D5B-44A6-9C30-5B7A85CC80CB}" srcOrd="0" destOrd="0" presId="urn:microsoft.com/office/officeart/2005/8/layout/orgChart1"/>
    <dgm:cxn modelId="{174A9F9B-D2ED-41E2-A1D2-96732FE9C677}" type="presOf" srcId="{6FFFD0C4-3059-4D68-B7EA-22325719FD3A}" destId="{C06DFEF4-A0C5-4A7C-880E-2E83BE6EEF28}" srcOrd="0" destOrd="0" presId="urn:microsoft.com/office/officeart/2005/8/layout/orgChart1"/>
    <dgm:cxn modelId="{CA4B8A9D-C6C9-46D4-851C-4B5307C64960}" type="presOf" srcId="{B89025AE-BD0D-4CC2-8C44-860A7E959C33}" destId="{B0859264-FFF4-4E6D-B784-EE4FEA356548}" srcOrd="0" destOrd="0" presId="urn:microsoft.com/office/officeart/2005/8/layout/orgChart1"/>
    <dgm:cxn modelId="{C949EB9F-108C-45BE-ABC0-A93D07BA6FD8}" type="presOf" srcId="{079E4228-43D6-4856-A082-88618B961568}" destId="{B0EF4D80-533C-424E-A87F-531E26EDFC33}" srcOrd="0" destOrd="0" presId="urn:microsoft.com/office/officeart/2005/8/layout/orgChart1"/>
    <dgm:cxn modelId="{2C903DA1-B26E-4A22-BB56-95927ACBBF7B}" srcId="{65D9116E-CF66-446A-ABE2-28B7C5153E44}" destId="{8B11B526-031E-443C-9738-56270119A457}" srcOrd="0" destOrd="0" parTransId="{5BDFDCA0-425E-4416-9801-4056DA7315BE}" sibTransId="{7BD3690C-FE0F-4C0C-98D6-CB8C00DDA199}"/>
    <dgm:cxn modelId="{339414A3-B2FD-480A-B73B-585E389A4701}" srcId="{8B11B526-031E-443C-9738-56270119A457}" destId="{51C5A314-338A-4000-8886-5434A05F0C56}" srcOrd="0" destOrd="0" parTransId="{A7399147-0021-4266-B5A3-E1630213D2CF}" sibTransId="{E69EFF52-2417-4C6A-8B1E-A11CDEB60B61}"/>
    <dgm:cxn modelId="{4097D6A3-6A13-49B3-98B5-E734B9F1C2F1}" type="presOf" srcId="{EE1AAED9-4DC3-487F-A351-493D61E5B34E}" destId="{C6AD5E57-481A-4952-98B4-683B9463FA59}" srcOrd="0" destOrd="0" presId="urn:microsoft.com/office/officeart/2005/8/layout/orgChart1"/>
    <dgm:cxn modelId="{5563FFA3-8419-4DC5-BCEC-E16515D10643}" srcId="{6B5FBF81-3F69-44BB-BC65-B6B8DCFF6588}" destId="{3C507459-4124-40ED-BF1A-C89252002EAB}" srcOrd="1" destOrd="0" parTransId="{87C33733-5210-4025-A2AF-11AF1F71632C}" sibTransId="{86C07594-E119-4701-9B22-4803E90E3369}"/>
    <dgm:cxn modelId="{443FF8A4-CB15-4346-903F-DA00CB3D7AAD}" srcId="{0DB65D9E-CEC2-48AE-AAA7-BA5607810F14}" destId="{9BA5C98E-0B2A-430C-9B1B-ADD600CF08C3}" srcOrd="1" destOrd="0" parTransId="{90D13C80-A94D-4797-8868-B5F546697CA5}" sibTransId="{415E93D0-50DE-4065-8F60-69473EF9F59A}"/>
    <dgm:cxn modelId="{BBB724A6-D32C-4A18-9233-16EC35F6A690}" type="presOf" srcId="{BFCC8DC5-148D-4A64-AFBA-EA86A8934F8D}" destId="{B29F6C85-5263-402E-8974-7904C1CAE48C}" srcOrd="1" destOrd="0" presId="urn:microsoft.com/office/officeart/2005/8/layout/orgChart1"/>
    <dgm:cxn modelId="{D0EFBDA6-49CF-4CB6-A7F3-52D8B3D5E45D}" type="presOf" srcId="{BFCC8DC5-148D-4A64-AFBA-EA86A8934F8D}" destId="{3FF6ECF9-3DDB-412B-AC9A-778C332E6E31}" srcOrd="0" destOrd="0" presId="urn:microsoft.com/office/officeart/2005/8/layout/orgChart1"/>
    <dgm:cxn modelId="{8EFC54AC-008D-4888-9521-E3EE5BAA8322}" type="presOf" srcId="{80CDC0DB-68FA-4F93-8254-7F49985A2FD4}" destId="{FF90D635-EE3E-4B32-92B6-654F23483245}" srcOrd="1" destOrd="0" presId="urn:microsoft.com/office/officeart/2005/8/layout/orgChart1"/>
    <dgm:cxn modelId="{CD3DBAAD-B75E-45DE-8C3A-55AFFDFC4760}" type="presOf" srcId="{A5A4C694-034B-422F-8D9A-F48553D3631C}" destId="{45FD16DD-8D75-427F-A777-8178DDC22B12}" srcOrd="0" destOrd="0" presId="urn:microsoft.com/office/officeart/2005/8/layout/orgChart1"/>
    <dgm:cxn modelId="{2C806DAF-4020-434A-B625-B620A1F86956}" type="presOf" srcId="{F0563EB4-4C66-4346-B3C3-BC171B9AF211}" destId="{ABC622FE-158D-4930-9FB3-8B850D8AFF79}" srcOrd="0" destOrd="0" presId="urn:microsoft.com/office/officeart/2005/8/layout/orgChart1"/>
    <dgm:cxn modelId="{08FB98B1-3D14-4C37-8060-A34744B34634}" type="presOf" srcId="{2873AC91-6821-41A6-B39B-D4339C95822C}" destId="{91A736EA-532B-4461-B6ED-D5D89334380B}" srcOrd="0" destOrd="0" presId="urn:microsoft.com/office/officeart/2005/8/layout/orgChart1"/>
    <dgm:cxn modelId="{2E70DFB2-24A6-4BEA-8BBD-950D8F2E8F3C}" srcId="{7874B113-8157-4041-90AD-22ECA8B5F838}" destId="{326624D6-002A-418C-8096-FEC8B7D4F4AA}" srcOrd="0" destOrd="0" parTransId="{39F3D133-A585-4C31-ABBB-FCCC07344C4C}" sibTransId="{2758147E-B173-42B2-8154-65E6F35FC6A7}"/>
    <dgm:cxn modelId="{7B9964B3-4275-461F-B260-F184DB207BCA}" type="presOf" srcId="{A7EB35A6-261A-450B-A2BE-9A9397C54F20}" destId="{B083F893-F3C9-4CD0-9D9F-A2BF65ED7AE3}" srcOrd="1" destOrd="0" presId="urn:microsoft.com/office/officeart/2005/8/layout/orgChart1"/>
    <dgm:cxn modelId="{D6BD64B3-EAA9-4494-AD9A-6E0B2BF2F4AE}" type="presOf" srcId="{0415C043-E2F3-4E16-842A-4894A6C64357}" destId="{5C5E78D8-1D41-45AE-9D07-A1B69B0C52FB}" srcOrd="1" destOrd="0" presId="urn:microsoft.com/office/officeart/2005/8/layout/orgChart1"/>
    <dgm:cxn modelId="{BD5401B4-4619-4C78-89FD-2B5B39AB1249}" type="presOf" srcId="{A8154968-CD01-4E84-B2F3-8929876E9441}" destId="{3C24304D-24B9-4776-970B-63CD1E3B1060}" srcOrd="0" destOrd="0" presId="urn:microsoft.com/office/officeart/2005/8/layout/orgChart1"/>
    <dgm:cxn modelId="{354882B7-8616-4BAD-A11F-A896566D6E00}" srcId="{533DF275-BCB3-4367-ACCD-7D54B2D1C149}" destId="{6539BBB0-E273-455B-8066-CE9E4E108DE7}" srcOrd="1" destOrd="0" parTransId="{EA9CDE79-29D2-41AD-96B5-E1D54A890789}" sibTransId="{A2A140B7-B8D9-4A15-AF6E-7CCBF7300940}"/>
    <dgm:cxn modelId="{8CA288B8-3780-4038-85AA-BBC9F973BC43}" type="presOf" srcId="{D7F30FD6-0D9F-46DF-B4B5-748D4AC5EEBA}" destId="{C86B5E43-E31D-432A-B2CB-2BAB27606FB7}" srcOrd="0" destOrd="0" presId="urn:microsoft.com/office/officeart/2005/8/layout/orgChart1"/>
    <dgm:cxn modelId="{E84092B8-8EFB-445C-8175-64F79EB862C8}" type="presOf" srcId="{326624D6-002A-418C-8096-FEC8B7D4F4AA}" destId="{7277DA7C-B39F-4CFD-A7FE-8A12FE5EA250}" srcOrd="1" destOrd="0" presId="urn:microsoft.com/office/officeart/2005/8/layout/orgChart1"/>
    <dgm:cxn modelId="{AAEE8FB9-A9F1-4020-86E7-0E59EB3AFA6F}" type="presOf" srcId="{217A70DC-F952-4E86-BD66-1E75C2ADEA7A}" destId="{7323F203-452A-453B-88A5-61DDE839DD4A}" srcOrd="0" destOrd="0" presId="urn:microsoft.com/office/officeart/2005/8/layout/orgChart1"/>
    <dgm:cxn modelId="{C78688BE-D838-4961-91DC-08997CD10020}" srcId="{533DF275-BCB3-4367-ACCD-7D54B2D1C149}" destId="{A0AEB875-ECF8-4DAD-86F8-397280A25CA0}" srcOrd="0" destOrd="0" parTransId="{F0563EB4-4C66-4346-B3C3-BC171B9AF211}" sibTransId="{2BE447BA-5695-4949-B91A-B71D5F012A30}"/>
    <dgm:cxn modelId="{EB5C37C0-7694-4494-B09A-86D40F30575F}" type="presOf" srcId="{5BDFDCA0-425E-4416-9801-4056DA7315BE}" destId="{BC21D237-3CFD-48C1-BC92-74E56504832B}" srcOrd="0" destOrd="0" presId="urn:microsoft.com/office/officeart/2005/8/layout/orgChart1"/>
    <dgm:cxn modelId="{F5B7DAC0-BB3D-4D96-8589-E9E82F11B98F}" srcId="{326624D6-002A-418C-8096-FEC8B7D4F4AA}" destId="{65D9116E-CF66-446A-ABE2-28B7C5153E44}" srcOrd="1" destOrd="0" parTransId="{99B7B135-ED84-4F11-8B4B-4BE6E22C9977}" sibTransId="{EAEF6FF2-7AFE-4F9F-86C7-FC4E2C40BFE9}"/>
    <dgm:cxn modelId="{9A7AF1C6-B169-4E3A-A128-1F54518F254F}" srcId="{BFCC8DC5-148D-4A64-AFBA-EA86A8934F8D}" destId="{C0D9C05F-D982-4129-B806-571A498D741D}" srcOrd="0" destOrd="0" parTransId="{8DAA56E4-B218-4CC2-B926-7DC25A000A5E}" sibTransId="{A70638D5-FF3A-4F03-9CE2-40EAAC7D3C4D}"/>
    <dgm:cxn modelId="{D9D33FC7-15D3-4AC4-959C-73C865584FFE}" srcId="{326624D6-002A-418C-8096-FEC8B7D4F4AA}" destId="{217A70DC-F952-4E86-BD66-1E75C2ADEA7A}" srcOrd="0" destOrd="0" parTransId="{D7F30FD6-0D9F-46DF-B4B5-748D4AC5EEBA}" sibTransId="{8F8784BA-F48B-40ED-B4CE-55769D698740}"/>
    <dgm:cxn modelId="{C993E2C7-6E11-485A-8501-D408B20D08C1}" type="presOf" srcId="{3BEF11F3-4B2B-4790-8A79-6F61930121CA}" destId="{EA28C576-E353-4D87-8CF7-B3B4A8516FC5}" srcOrd="0" destOrd="0" presId="urn:microsoft.com/office/officeart/2005/8/layout/orgChart1"/>
    <dgm:cxn modelId="{52EACBC8-E73C-4360-9BAD-6B4E59D99655}" type="presOf" srcId="{A0AEB875-ECF8-4DAD-86F8-397280A25CA0}" destId="{392DCDB9-CF18-4E84-A68A-29F7E3BE30F8}" srcOrd="1" destOrd="0" presId="urn:microsoft.com/office/officeart/2005/8/layout/orgChart1"/>
    <dgm:cxn modelId="{D387A7CE-2E79-40D3-AE37-34A3490441FD}" type="presOf" srcId="{4ED7F18C-05BE-4DF1-9105-701F90DAC7B1}" destId="{D12F8E1B-2AFD-47FC-97A6-445EA05F1714}" srcOrd="0" destOrd="0" presId="urn:microsoft.com/office/officeart/2005/8/layout/orgChart1"/>
    <dgm:cxn modelId="{417EBDCF-9B41-46CA-8E9A-2118B52CDF06}" type="presOf" srcId="{7874B113-8157-4041-90AD-22ECA8B5F838}" destId="{7AFEC06A-58D8-4BD9-BF60-5915CBBE50FD}" srcOrd="0" destOrd="0" presId="urn:microsoft.com/office/officeart/2005/8/layout/orgChart1"/>
    <dgm:cxn modelId="{9159E7CF-9346-41C2-96B7-6051C954D909}" type="presOf" srcId="{A5798EC1-E749-4C9E-A606-A074AB9E2D58}" destId="{2FF0F3E5-56BF-4200-8D6A-D7984CF2CADA}" srcOrd="0" destOrd="0" presId="urn:microsoft.com/office/officeart/2005/8/layout/orgChart1"/>
    <dgm:cxn modelId="{14852FD8-1D4A-42DB-A016-96399E2423BA}" type="presOf" srcId="{EA9CDE79-29D2-41AD-96B5-E1D54A890789}" destId="{755D14EB-7F6A-4167-97A6-4FFB994A8436}" srcOrd="0" destOrd="0" presId="urn:microsoft.com/office/officeart/2005/8/layout/orgChart1"/>
    <dgm:cxn modelId="{470084D9-6F1D-43E3-AA4F-694FAFA7E38A}" type="presOf" srcId="{48FDFB61-8211-48AB-ABB7-50CF4A8B9591}" destId="{74E52ED8-FED6-451A-980D-FAC0A459672B}" srcOrd="1" destOrd="0" presId="urn:microsoft.com/office/officeart/2005/8/layout/orgChart1"/>
    <dgm:cxn modelId="{5081E4D9-215C-4B93-9D60-07D8BDDA8D4B}" type="presOf" srcId="{BE15A92E-F74D-4E68-92B2-A599E85EF405}" destId="{7DA68643-048C-4014-9CEF-DB211B9A280F}" srcOrd="0" destOrd="0" presId="urn:microsoft.com/office/officeart/2005/8/layout/orgChart1"/>
    <dgm:cxn modelId="{C47869DA-13F3-4780-AF95-F5082ACFC9B9}" type="presOf" srcId="{61E05F06-3AD7-4E25-8864-50BB45256034}" destId="{E3F503AE-B512-45A6-A9AC-0A9619AD56A0}" srcOrd="1" destOrd="0" presId="urn:microsoft.com/office/officeart/2005/8/layout/orgChart1"/>
    <dgm:cxn modelId="{FFB756DA-9F63-431A-AA55-19292C4DBCC2}" type="presOf" srcId="{8B11B526-031E-443C-9738-56270119A457}" destId="{5F408EF7-A1E1-4839-882F-397AD40CD23F}" srcOrd="0" destOrd="0" presId="urn:microsoft.com/office/officeart/2005/8/layout/orgChart1"/>
    <dgm:cxn modelId="{5180D3DA-94AE-44B9-95F1-0ECEFC5C2E70}" srcId="{48FDFB61-8211-48AB-ABB7-50CF4A8B9591}" destId="{6B5FBF81-3F69-44BB-BC65-B6B8DCFF6588}" srcOrd="0" destOrd="0" parTransId="{A5798EC1-E749-4C9E-A606-A074AB9E2D58}" sibTransId="{71E8EA06-E9BF-4F3B-A1FC-F520E94F59F7}"/>
    <dgm:cxn modelId="{D89956DB-7B68-40D9-8A82-D74054507184}" type="presOf" srcId="{A7EB35A6-261A-450B-A2BE-9A9397C54F20}" destId="{580C1471-E9F7-4DF1-B8E6-EBFCC0DD0A4E}" srcOrd="0" destOrd="0" presId="urn:microsoft.com/office/officeart/2005/8/layout/orgChart1"/>
    <dgm:cxn modelId="{F92FD1DD-462F-4EA1-B1D8-829BECDB39CD}" type="presOf" srcId="{9BA5C98E-0B2A-430C-9B1B-ADD600CF08C3}" destId="{93DFFAB9-8B01-45C0-9664-0C57E31D3D30}" srcOrd="1" destOrd="0" presId="urn:microsoft.com/office/officeart/2005/8/layout/orgChart1"/>
    <dgm:cxn modelId="{C133C0DF-9CDE-462B-9530-CF42F83DA8F1}" type="presOf" srcId="{3C507459-4124-40ED-BF1A-C89252002EAB}" destId="{90DBFE59-E477-416E-8C72-3CB479A46BC5}" srcOrd="1" destOrd="0" presId="urn:microsoft.com/office/officeart/2005/8/layout/orgChart1"/>
    <dgm:cxn modelId="{69DFDBE1-ED2B-4D76-8B75-2A140299DEE7}" type="presOf" srcId="{67D9BA64-CD68-468D-946A-40A802BC6514}" destId="{D3421859-2DDF-4072-BB90-8854B619BB5A}" srcOrd="1" destOrd="0" presId="urn:microsoft.com/office/officeart/2005/8/layout/orgChart1"/>
    <dgm:cxn modelId="{C19F57E2-25D5-4A6E-89D3-C711E9FAFB50}" type="presOf" srcId="{CDC45995-1210-4FA0-B2AD-2B9DF3673DBA}" destId="{0C4C0F44-791C-4A71-ADB0-6B0299D9E773}" srcOrd="0" destOrd="0" presId="urn:microsoft.com/office/officeart/2005/8/layout/orgChart1"/>
    <dgm:cxn modelId="{A8DA52E7-161A-40E2-9816-C4FEC9B3E876}" type="presOf" srcId="{90741D76-8C45-46C8-8577-A652B163477C}" destId="{F3347095-D31F-4F34-A4C9-0F21F5275C6C}" srcOrd="1" destOrd="0" presId="urn:microsoft.com/office/officeart/2005/8/layout/orgChart1"/>
    <dgm:cxn modelId="{B69487E7-B731-4A8A-A2CA-D714FF3D72E6}" type="presOf" srcId="{A0AEB875-ECF8-4DAD-86F8-397280A25CA0}" destId="{1F3F4162-EA91-4E32-ADBA-35C043B045F8}" srcOrd="0" destOrd="0" presId="urn:microsoft.com/office/officeart/2005/8/layout/orgChart1"/>
    <dgm:cxn modelId="{731099E8-EB3F-4834-B13B-D59E9F347057}" srcId="{48FDFB61-8211-48AB-ABB7-50CF4A8B9591}" destId="{BFCC8DC5-148D-4A64-AFBA-EA86A8934F8D}" srcOrd="1" destOrd="0" parTransId="{A5A4C694-034B-422F-8D9A-F48553D3631C}" sibTransId="{E905B08D-94A0-431A-8263-34F677FB3EEC}"/>
    <dgm:cxn modelId="{B874CDE8-E32E-4D00-A13D-B09031EC6FD6}" type="presOf" srcId="{90D13C80-A94D-4797-8868-B5F546697CA5}" destId="{5C4B53DD-74BA-4298-BBDD-BBFD90A60DE7}" srcOrd="0" destOrd="0" presId="urn:microsoft.com/office/officeart/2005/8/layout/orgChart1"/>
    <dgm:cxn modelId="{5043A2E9-03E0-4BDA-8D6C-01C35C5EC7B9}" srcId="{6B5FBF81-3F69-44BB-BC65-B6B8DCFF6588}" destId="{80CDC0DB-68FA-4F93-8254-7F49985A2FD4}" srcOrd="0" destOrd="0" parTransId="{02113146-E037-413F-91B5-C3FFB46F77B2}" sibTransId="{7F606A6F-0E35-4893-9DAF-9F1DA2719C87}"/>
    <dgm:cxn modelId="{7EB759EC-840C-4B3A-92EE-5303FF9FCF7F}" srcId="{21D9657E-CA57-432E-83B8-3EB77B6D07E8}" destId="{61E05F06-3AD7-4E25-8864-50BB45256034}" srcOrd="1" destOrd="0" parTransId="{B46916E4-AFDA-4F12-8EDD-ECD7592577BD}" sibTransId="{EB004AEE-7017-4E8B-A8B3-8B956F7FFC48}"/>
    <dgm:cxn modelId="{42C932EE-7AFD-4710-AFD5-B235CF93EFEC}" type="presOf" srcId="{48FDFB61-8211-48AB-ABB7-50CF4A8B9591}" destId="{1919432B-AC28-45FF-9B17-EF3BC6FBBCC0}" srcOrd="0" destOrd="0" presId="urn:microsoft.com/office/officeart/2005/8/layout/orgChart1"/>
    <dgm:cxn modelId="{5C42EBEE-4460-45E9-8ED2-9D33FF3CD8F6}" srcId="{BFCC8DC5-148D-4A64-AFBA-EA86A8934F8D}" destId="{90741D76-8C45-46C8-8577-A652B163477C}" srcOrd="1" destOrd="0" parTransId="{B89025AE-BD0D-4CC2-8C44-860A7E959C33}" sibTransId="{559C631B-8EDD-44AA-8159-C4BFF370E8D4}"/>
    <dgm:cxn modelId="{3592FAEE-BAFF-47A2-A815-47A3DECDCE5F}" type="presOf" srcId="{51C5A314-338A-4000-8886-5434A05F0C56}" destId="{C1C32AA9-17A3-46F9-8D24-4E0623A09CDA}" srcOrd="1" destOrd="0" presId="urn:microsoft.com/office/officeart/2005/8/layout/orgChart1"/>
    <dgm:cxn modelId="{5F9F1BF0-396C-4836-BE1C-C4FA63CECFD5}" type="presOf" srcId="{3C507459-4124-40ED-BF1A-C89252002EAB}" destId="{DA943CA7-C223-45DE-9BB7-03636206EAFD}" srcOrd="0" destOrd="0" presId="urn:microsoft.com/office/officeart/2005/8/layout/orgChart1"/>
    <dgm:cxn modelId="{8BAAF8F0-4E65-4FE2-AE36-44F543ACB293}" type="presOf" srcId="{6B5FBF81-3F69-44BB-BC65-B6B8DCFF6588}" destId="{B2D83F0C-8447-4713-A276-68C1B5454A4C}" srcOrd="1" destOrd="0" presId="urn:microsoft.com/office/officeart/2005/8/layout/orgChart1"/>
    <dgm:cxn modelId="{975881F2-4DFA-4058-969D-3885A022818F}" type="presOf" srcId="{4BADD504-9BDB-480D-8321-A08EDE2C27C0}" destId="{7D60B866-E8BC-4A70-9765-97F78A06E8BD}" srcOrd="0" destOrd="0" presId="urn:microsoft.com/office/officeart/2005/8/layout/orgChart1"/>
    <dgm:cxn modelId="{24346EF4-8A12-470E-B6FB-2B57F4C54A78}" srcId="{217A70DC-F952-4E86-BD66-1E75C2ADEA7A}" destId="{828B61AB-FC25-4274-AEE3-61593CC8E49F}" srcOrd="0" destOrd="0" parTransId="{B8F82D85-A2D0-46D3-9C79-E615B8B93FCF}" sibTransId="{6896B6CC-A143-4E0B-AF6A-9742553E5788}"/>
    <dgm:cxn modelId="{15C3A4F5-6CAF-433D-BF6A-A5BCF7C5B2BD}" srcId="{0DB65D9E-CEC2-48AE-AAA7-BA5607810F14}" destId="{1B6B5D36-B2F5-44F8-8F07-7AE4BD8BBBA9}" srcOrd="0" destOrd="0" parTransId="{5A31B611-5C44-452E-BD3E-90A9C689B4EC}" sibTransId="{2C6E0285-F9D7-4A77-91DE-04ECFBCF0EA8}"/>
    <dgm:cxn modelId="{417038F8-FBAE-4299-98AF-400469623020}" type="presOf" srcId="{8DAA56E4-B218-4CC2-B926-7DC25A000A5E}" destId="{D418710F-22BB-4836-900B-8A89E45AD6B4}" srcOrd="0" destOrd="0" presId="urn:microsoft.com/office/officeart/2005/8/layout/orgChart1"/>
    <dgm:cxn modelId="{CBFE6C4E-BA44-4E6C-B760-D2BA12176A40}" type="presParOf" srcId="{7AFEC06A-58D8-4BD9-BF60-5915CBBE50FD}" destId="{D8BF8AE4-970E-4A91-8689-D4598EF4870A}" srcOrd="0" destOrd="0" presId="urn:microsoft.com/office/officeart/2005/8/layout/orgChart1"/>
    <dgm:cxn modelId="{010ED963-2490-49A9-A1BD-A32A48AF4B72}" type="presParOf" srcId="{D8BF8AE4-970E-4A91-8689-D4598EF4870A}" destId="{92EE6BBD-5FC9-461A-9381-6A7F204CDEB5}" srcOrd="0" destOrd="0" presId="urn:microsoft.com/office/officeart/2005/8/layout/orgChart1"/>
    <dgm:cxn modelId="{5DE24184-DEC9-4D6A-B53C-70053BF31E9C}" type="presParOf" srcId="{92EE6BBD-5FC9-461A-9381-6A7F204CDEB5}" destId="{25BAE11D-B35E-4464-BF3A-4DE606A0C10C}" srcOrd="0" destOrd="0" presId="urn:microsoft.com/office/officeart/2005/8/layout/orgChart1"/>
    <dgm:cxn modelId="{30650247-629B-40D4-B873-1A1521EC3CE3}" type="presParOf" srcId="{92EE6BBD-5FC9-461A-9381-6A7F204CDEB5}" destId="{7277DA7C-B39F-4CFD-A7FE-8A12FE5EA250}" srcOrd="1" destOrd="0" presId="urn:microsoft.com/office/officeart/2005/8/layout/orgChart1"/>
    <dgm:cxn modelId="{2A2510E0-8A8A-4558-AC38-86A8E0A09D0F}" type="presParOf" srcId="{D8BF8AE4-970E-4A91-8689-D4598EF4870A}" destId="{A421BB1B-3B69-4092-AAEF-716385E9132C}" srcOrd="1" destOrd="0" presId="urn:microsoft.com/office/officeart/2005/8/layout/orgChart1"/>
    <dgm:cxn modelId="{623C637A-FFEB-40F8-9B7F-752FDAC08BB4}" type="presParOf" srcId="{A421BB1B-3B69-4092-AAEF-716385E9132C}" destId="{C86B5E43-E31D-432A-B2CB-2BAB27606FB7}" srcOrd="0" destOrd="0" presId="urn:microsoft.com/office/officeart/2005/8/layout/orgChart1"/>
    <dgm:cxn modelId="{CEF2F805-A36F-4171-9C82-94C7B77FE133}" type="presParOf" srcId="{A421BB1B-3B69-4092-AAEF-716385E9132C}" destId="{CCADD712-BB5B-4B21-BCC7-920B59C8EF53}" srcOrd="1" destOrd="0" presId="urn:microsoft.com/office/officeart/2005/8/layout/orgChart1"/>
    <dgm:cxn modelId="{BB5CA6EF-2142-429F-B9AC-43C7664ED2DA}" type="presParOf" srcId="{CCADD712-BB5B-4B21-BCC7-920B59C8EF53}" destId="{B6097E9A-F6A1-41A8-9C81-237EDC37B074}" srcOrd="0" destOrd="0" presId="urn:microsoft.com/office/officeart/2005/8/layout/orgChart1"/>
    <dgm:cxn modelId="{D294C1F0-9C82-4FBF-BF83-ED504F6A7138}" type="presParOf" srcId="{B6097E9A-F6A1-41A8-9C81-237EDC37B074}" destId="{7323F203-452A-453B-88A5-61DDE839DD4A}" srcOrd="0" destOrd="0" presId="urn:microsoft.com/office/officeart/2005/8/layout/orgChart1"/>
    <dgm:cxn modelId="{FA477A32-EEEC-456B-830F-9A9EFA57A39D}" type="presParOf" srcId="{B6097E9A-F6A1-41A8-9C81-237EDC37B074}" destId="{FE619E62-E9EA-4C66-8BC7-8A8FE56506D9}" srcOrd="1" destOrd="0" presId="urn:microsoft.com/office/officeart/2005/8/layout/orgChart1"/>
    <dgm:cxn modelId="{38E95617-09E9-46B2-AF33-2C11D12981E6}" type="presParOf" srcId="{CCADD712-BB5B-4B21-BCC7-920B59C8EF53}" destId="{6E3EBF37-FD2D-473E-8955-AB8ED7DC3E64}" srcOrd="1" destOrd="0" presId="urn:microsoft.com/office/officeart/2005/8/layout/orgChart1"/>
    <dgm:cxn modelId="{F7F61B5D-6C8B-4BD7-AC1A-23D164700EE7}" type="presParOf" srcId="{6E3EBF37-FD2D-473E-8955-AB8ED7DC3E64}" destId="{2F236CAA-A658-41FC-9176-8CD8464974CD}" srcOrd="0" destOrd="0" presId="urn:microsoft.com/office/officeart/2005/8/layout/orgChart1"/>
    <dgm:cxn modelId="{4B2FF945-4CE0-4E0E-93D9-4BC72B420892}" type="presParOf" srcId="{6E3EBF37-FD2D-473E-8955-AB8ED7DC3E64}" destId="{9BEFACE2-8C0D-457F-A373-25D3E9E8C1D1}" srcOrd="1" destOrd="0" presId="urn:microsoft.com/office/officeart/2005/8/layout/orgChart1"/>
    <dgm:cxn modelId="{3519AA65-BEAD-4C52-9FE7-F432F52F3DC1}" type="presParOf" srcId="{9BEFACE2-8C0D-457F-A373-25D3E9E8C1D1}" destId="{7C0B924A-C20B-4383-89E2-B298F8A88C81}" srcOrd="0" destOrd="0" presId="urn:microsoft.com/office/officeart/2005/8/layout/orgChart1"/>
    <dgm:cxn modelId="{E79A5970-8198-4A39-A62B-9C565997EBC4}" type="presParOf" srcId="{7C0B924A-C20B-4383-89E2-B298F8A88C81}" destId="{E682B6DB-D18E-42C0-BE74-958C02A3F932}" srcOrd="0" destOrd="0" presId="urn:microsoft.com/office/officeart/2005/8/layout/orgChart1"/>
    <dgm:cxn modelId="{04DAF36F-0421-4174-B7A8-9B262D58CB12}" type="presParOf" srcId="{7C0B924A-C20B-4383-89E2-B298F8A88C81}" destId="{7362295A-B065-4FBB-B234-6670B5E79D39}" srcOrd="1" destOrd="0" presId="urn:microsoft.com/office/officeart/2005/8/layout/orgChart1"/>
    <dgm:cxn modelId="{C293FD4C-1B67-4538-AD0A-6B6FA013A58A}" type="presParOf" srcId="{9BEFACE2-8C0D-457F-A373-25D3E9E8C1D1}" destId="{E5D90A74-C82A-4B66-9E0A-183EB4388A8E}" srcOrd="1" destOrd="0" presId="urn:microsoft.com/office/officeart/2005/8/layout/orgChart1"/>
    <dgm:cxn modelId="{66D60124-F7BD-4503-8A9D-D9282FC31512}" type="presParOf" srcId="{E5D90A74-C82A-4B66-9E0A-183EB4388A8E}" destId="{899E2C75-163E-495F-8CF5-DB25FE473903}" srcOrd="0" destOrd="0" presId="urn:microsoft.com/office/officeart/2005/8/layout/orgChart1"/>
    <dgm:cxn modelId="{ECA232EB-8E1A-4B7A-8BAA-E5DF3B1F5480}" type="presParOf" srcId="{E5D90A74-C82A-4B66-9E0A-183EB4388A8E}" destId="{E58898DB-17D5-4258-93BE-D2C31041268A}" srcOrd="1" destOrd="0" presId="urn:microsoft.com/office/officeart/2005/8/layout/orgChart1"/>
    <dgm:cxn modelId="{631B7822-0A47-4B2C-B96D-B40309D8FB1D}" type="presParOf" srcId="{E58898DB-17D5-4258-93BE-D2C31041268A}" destId="{D9EDF4ED-4885-4BA1-8040-40E5D085C1E3}" srcOrd="0" destOrd="0" presId="urn:microsoft.com/office/officeart/2005/8/layout/orgChart1"/>
    <dgm:cxn modelId="{76E8CC05-3D25-486D-9986-24AEC2D814D3}" type="presParOf" srcId="{D9EDF4ED-4885-4BA1-8040-40E5D085C1E3}" destId="{E61898F2-4ED2-4276-A8DE-A45967AAFC08}" srcOrd="0" destOrd="0" presId="urn:microsoft.com/office/officeart/2005/8/layout/orgChart1"/>
    <dgm:cxn modelId="{CE25CFBF-7306-4A5D-BA9C-5C43ED73A79C}" type="presParOf" srcId="{D9EDF4ED-4885-4BA1-8040-40E5D085C1E3}" destId="{8EE0F21A-9A63-4838-B449-677B68C8C84C}" srcOrd="1" destOrd="0" presId="urn:microsoft.com/office/officeart/2005/8/layout/orgChart1"/>
    <dgm:cxn modelId="{98790037-E8AD-4521-9D01-68BA028DC784}" type="presParOf" srcId="{E58898DB-17D5-4258-93BE-D2C31041268A}" destId="{41286855-5CD7-46D2-8717-A63C05B32936}" srcOrd="1" destOrd="0" presId="urn:microsoft.com/office/officeart/2005/8/layout/orgChart1"/>
    <dgm:cxn modelId="{4A08F578-DDAA-4189-8435-48A47F964B4F}" type="presParOf" srcId="{41286855-5CD7-46D2-8717-A63C05B32936}" destId="{ABC622FE-158D-4930-9FB3-8B850D8AFF79}" srcOrd="0" destOrd="0" presId="urn:microsoft.com/office/officeart/2005/8/layout/orgChart1"/>
    <dgm:cxn modelId="{6B803916-5643-40A4-87D0-03D94392CE1C}" type="presParOf" srcId="{41286855-5CD7-46D2-8717-A63C05B32936}" destId="{EF8957DD-58EB-4160-8C00-9435C7ECA619}" srcOrd="1" destOrd="0" presId="urn:microsoft.com/office/officeart/2005/8/layout/orgChart1"/>
    <dgm:cxn modelId="{818D8DDD-A28A-487C-B165-7DF7D8C80BBC}" type="presParOf" srcId="{EF8957DD-58EB-4160-8C00-9435C7ECA619}" destId="{5F229CD8-2F80-4102-B688-CC720AD30985}" srcOrd="0" destOrd="0" presId="urn:microsoft.com/office/officeart/2005/8/layout/orgChart1"/>
    <dgm:cxn modelId="{2E436336-A0A4-42BD-8C3F-6508EC10777E}" type="presParOf" srcId="{5F229CD8-2F80-4102-B688-CC720AD30985}" destId="{1F3F4162-EA91-4E32-ADBA-35C043B045F8}" srcOrd="0" destOrd="0" presId="urn:microsoft.com/office/officeart/2005/8/layout/orgChart1"/>
    <dgm:cxn modelId="{9861D0FA-DCBE-4DC8-A984-3510715963ED}" type="presParOf" srcId="{5F229CD8-2F80-4102-B688-CC720AD30985}" destId="{392DCDB9-CF18-4E84-A68A-29F7E3BE30F8}" srcOrd="1" destOrd="0" presId="urn:microsoft.com/office/officeart/2005/8/layout/orgChart1"/>
    <dgm:cxn modelId="{DA2EF813-2CC5-4139-B220-9EFD5E0C5CBA}" type="presParOf" srcId="{EF8957DD-58EB-4160-8C00-9435C7ECA619}" destId="{636F5D63-CDC4-4FAE-8C99-81493B340FB8}" srcOrd="1" destOrd="0" presId="urn:microsoft.com/office/officeart/2005/8/layout/orgChart1"/>
    <dgm:cxn modelId="{445287CA-5DDB-401F-B3C5-10FE35048B75}" type="presParOf" srcId="{EF8957DD-58EB-4160-8C00-9435C7ECA619}" destId="{E95619BB-11D2-4802-9AA6-64125122E84B}" srcOrd="2" destOrd="0" presId="urn:microsoft.com/office/officeart/2005/8/layout/orgChart1"/>
    <dgm:cxn modelId="{9BA52F86-4458-4146-AF89-64B9F2FC294E}" type="presParOf" srcId="{41286855-5CD7-46D2-8717-A63C05B32936}" destId="{755D14EB-7F6A-4167-97A6-4FFB994A8436}" srcOrd="2" destOrd="0" presId="urn:microsoft.com/office/officeart/2005/8/layout/orgChart1"/>
    <dgm:cxn modelId="{7169A77D-52FF-4854-8AB7-77E44BED4A1B}" type="presParOf" srcId="{41286855-5CD7-46D2-8717-A63C05B32936}" destId="{6909FDD3-D411-42EC-95B4-8A15A01C0C0D}" srcOrd="3" destOrd="0" presId="urn:microsoft.com/office/officeart/2005/8/layout/orgChart1"/>
    <dgm:cxn modelId="{AEB0A7C6-AF81-4E23-85D6-07327638DBD5}" type="presParOf" srcId="{6909FDD3-D411-42EC-95B4-8A15A01C0C0D}" destId="{58E98364-CE21-42C3-AAC2-D4CEFCED3C8E}" srcOrd="0" destOrd="0" presId="urn:microsoft.com/office/officeart/2005/8/layout/orgChart1"/>
    <dgm:cxn modelId="{26B4A300-8706-446B-B6C6-A609776545E2}" type="presParOf" srcId="{58E98364-CE21-42C3-AAC2-D4CEFCED3C8E}" destId="{88257131-F779-4588-B9D6-ED265ED7E41E}" srcOrd="0" destOrd="0" presId="urn:microsoft.com/office/officeart/2005/8/layout/orgChart1"/>
    <dgm:cxn modelId="{16A50345-164A-48CF-AADF-0D7E14AD525A}" type="presParOf" srcId="{58E98364-CE21-42C3-AAC2-D4CEFCED3C8E}" destId="{3AB5CD4D-9C4A-454D-8685-86CC722D3EF4}" srcOrd="1" destOrd="0" presId="urn:microsoft.com/office/officeart/2005/8/layout/orgChart1"/>
    <dgm:cxn modelId="{46E6D6FD-C5EB-4CFF-8CCF-CA30BCE1CB14}" type="presParOf" srcId="{6909FDD3-D411-42EC-95B4-8A15A01C0C0D}" destId="{E33C635E-D910-456E-A12F-3B8AD48AF733}" srcOrd="1" destOrd="0" presId="urn:microsoft.com/office/officeart/2005/8/layout/orgChart1"/>
    <dgm:cxn modelId="{9FD0683A-5F8C-4C97-AE99-2296877CEF03}" type="presParOf" srcId="{6909FDD3-D411-42EC-95B4-8A15A01C0C0D}" destId="{698E3A70-BBD6-407A-A767-E87DCB78808F}" srcOrd="2" destOrd="0" presId="urn:microsoft.com/office/officeart/2005/8/layout/orgChart1"/>
    <dgm:cxn modelId="{7CBE7A10-EBB1-4BDA-B71C-769E6DA9C127}" type="presParOf" srcId="{E58898DB-17D5-4258-93BE-D2C31041268A}" destId="{FA7A0947-9E36-4D32-9C1D-7ECA671E7630}" srcOrd="2" destOrd="0" presId="urn:microsoft.com/office/officeart/2005/8/layout/orgChart1"/>
    <dgm:cxn modelId="{D5C61312-ECC7-4C3F-93A8-C117808C9FF2}" type="presParOf" srcId="{E5D90A74-C82A-4B66-9E0A-183EB4388A8E}" destId="{C06DFEF4-A0C5-4A7C-880E-2E83BE6EEF28}" srcOrd="2" destOrd="0" presId="urn:microsoft.com/office/officeart/2005/8/layout/orgChart1"/>
    <dgm:cxn modelId="{CA9147DA-2F5A-49B0-A840-88FEAD73D3FF}" type="presParOf" srcId="{E5D90A74-C82A-4B66-9E0A-183EB4388A8E}" destId="{1789EE0D-5171-4728-A7B8-3AC3688B376D}" srcOrd="3" destOrd="0" presId="urn:microsoft.com/office/officeart/2005/8/layout/orgChart1"/>
    <dgm:cxn modelId="{6CDFF733-23DE-4646-AE93-7BD515DDE6F8}" type="presParOf" srcId="{1789EE0D-5171-4728-A7B8-3AC3688B376D}" destId="{96A1A2D4-D86C-49FA-B40E-57DFD3FA091E}" srcOrd="0" destOrd="0" presId="urn:microsoft.com/office/officeart/2005/8/layout/orgChart1"/>
    <dgm:cxn modelId="{1493B630-259F-49A2-96CF-27B92ABECD98}" type="presParOf" srcId="{96A1A2D4-D86C-49FA-B40E-57DFD3FA091E}" destId="{D8A51828-D174-4E98-B2FE-15FDA1186EE9}" srcOrd="0" destOrd="0" presId="urn:microsoft.com/office/officeart/2005/8/layout/orgChart1"/>
    <dgm:cxn modelId="{C0B971ED-7832-4EB6-81C8-D5435B917A2A}" type="presParOf" srcId="{96A1A2D4-D86C-49FA-B40E-57DFD3FA091E}" destId="{58649A09-5EC8-44DE-81DA-2021290BFCEF}" srcOrd="1" destOrd="0" presId="urn:microsoft.com/office/officeart/2005/8/layout/orgChart1"/>
    <dgm:cxn modelId="{5CBE8D7B-67F7-4D12-B573-D665B63CCC19}" type="presParOf" srcId="{1789EE0D-5171-4728-A7B8-3AC3688B376D}" destId="{A1F8C457-03FE-4E7E-9E6A-56768C15857B}" srcOrd="1" destOrd="0" presId="urn:microsoft.com/office/officeart/2005/8/layout/orgChart1"/>
    <dgm:cxn modelId="{10FDD56C-953E-4CD9-8992-0A763DC133D7}" type="presParOf" srcId="{A1F8C457-03FE-4E7E-9E6A-56768C15857B}" destId="{861BB91C-5C96-41EF-A934-1D06C88CA48F}" srcOrd="0" destOrd="0" presId="urn:microsoft.com/office/officeart/2005/8/layout/orgChart1"/>
    <dgm:cxn modelId="{4D19AA4A-43DD-4DF4-9847-97469381D546}" type="presParOf" srcId="{A1F8C457-03FE-4E7E-9E6A-56768C15857B}" destId="{08ECAF31-7E75-404E-A174-0C57FA4F1928}" srcOrd="1" destOrd="0" presId="urn:microsoft.com/office/officeart/2005/8/layout/orgChart1"/>
    <dgm:cxn modelId="{C62BBCC6-8935-4EDF-9CF7-1AA460E29B6D}" type="presParOf" srcId="{08ECAF31-7E75-404E-A174-0C57FA4F1928}" destId="{0EE728DC-397F-43B4-9E1F-59B9FD51D84F}" srcOrd="0" destOrd="0" presId="urn:microsoft.com/office/officeart/2005/8/layout/orgChart1"/>
    <dgm:cxn modelId="{E0014592-D908-4627-9125-A68953EA5CC9}" type="presParOf" srcId="{0EE728DC-397F-43B4-9E1F-59B9FD51D84F}" destId="{E40FD8A2-863C-41D5-A0BF-AB84A6F7F936}" srcOrd="0" destOrd="0" presId="urn:microsoft.com/office/officeart/2005/8/layout/orgChart1"/>
    <dgm:cxn modelId="{55AEFE17-94AE-41AC-BF9D-2B1FBC9E2E93}" type="presParOf" srcId="{0EE728DC-397F-43B4-9E1F-59B9FD51D84F}" destId="{118DC942-1DEE-49E1-AA29-2287DF852233}" srcOrd="1" destOrd="0" presId="urn:microsoft.com/office/officeart/2005/8/layout/orgChart1"/>
    <dgm:cxn modelId="{EEDC7EDE-2622-4872-A1B5-2B9017BE4DFC}" type="presParOf" srcId="{08ECAF31-7E75-404E-A174-0C57FA4F1928}" destId="{2AD09AC1-A494-42C3-BAF1-6BE5EEC0435D}" srcOrd="1" destOrd="0" presId="urn:microsoft.com/office/officeart/2005/8/layout/orgChart1"/>
    <dgm:cxn modelId="{6EF54935-09C7-45FA-B1F2-34695B9F2A23}" type="presParOf" srcId="{08ECAF31-7E75-404E-A174-0C57FA4F1928}" destId="{73AD35ED-3EEE-4376-8323-245B35BA26E5}" srcOrd="2" destOrd="0" presId="urn:microsoft.com/office/officeart/2005/8/layout/orgChart1"/>
    <dgm:cxn modelId="{D189F6DA-84A6-4A49-92F6-E5BAF01289F6}" type="presParOf" srcId="{A1F8C457-03FE-4E7E-9E6A-56768C15857B}" destId="{5C4B53DD-74BA-4298-BBDD-BBFD90A60DE7}" srcOrd="2" destOrd="0" presId="urn:microsoft.com/office/officeart/2005/8/layout/orgChart1"/>
    <dgm:cxn modelId="{60D605CD-7C49-4829-A77A-657D3F6633EB}" type="presParOf" srcId="{A1F8C457-03FE-4E7E-9E6A-56768C15857B}" destId="{54EB1C22-492C-47DE-8D34-794D8994ADDC}" srcOrd="3" destOrd="0" presId="urn:microsoft.com/office/officeart/2005/8/layout/orgChart1"/>
    <dgm:cxn modelId="{63D29DEB-6669-49B7-BF10-9D7F210D239C}" type="presParOf" srcId="{54EB1C22-492C-47DE-8D34-794D8994ADDC}" destId="{0E0DEA57-B4D5-454D-A026-A8FD35D485B6}" srcOrd="0" destOrd="0" presId="urn:microsoft.com/office/officeart/2005/8/layout/orgChart1"/>
    <dgm:cxn modelId="{EF81EAF9-1882-4BBB-9B1A-76E435A35869}" type="presParOf" srcId="{0E0DEA57-B4D5-454D-A026-A8FD35D485B6}" destId="{2C9260C8-F2D9-4851-8D19-FB1F72E886BF}" srcOrd="0" destOrd="0" presId="urn:microsoft.com/office/officeart/2005/8/layout/orgChart1"/>
    <dgm:cxn modelId="{80360956-CAF1-408A-A4EC-61F6D4E23B9E}" type="presParOf" srcId="{0E0DEA57-B4D5-454D-A026-A8FD35D485B6}" destId="{93DFFAB9-8B01-45C0-9664-0C57E31D3D30}" srcOrd="1" destOrd="0" presId="urn:microsoft.com/office/officeart/2005/8/layout/orgChart1"/>
    <dgm:cxn modelId="{F1C89E48-B836-4044-B183-96B4F9A7E6D7}" type="presParOf" srcId="{54EB1C22-492C-47DE-8D34-794D8994ADDC}" destId="{A975199E-0397-4246-9749-91E8EDFC2625}" srcOrd="1" destOrd="0" presId="urn:microsoft.com/office/officeart/2005/8/layout/orgChart1"/>
    <dgm:cxn modelId="{0BA71012-F785-432F-BA78-680D465D4459}" type="presParOf" srcId="{54EB1C22-492C-47DE-8D34-794D8994ADDC}" destId="{762766AD-044D-45FD-A10E-7FBF7D29FEFE}" srcOrd="2" destOrd="0" presId="urn:microsoft.com/office/officeart/2005/8/layout/orgChart1"/>
    <dgm:cxn modelId="{46428EAD-48BC-4B67-8239-AC79072A61FA}" type="presParOf" srcId="{1789EE0D-5171-4728-A7B8-3AC3688B376D}" destId="{412645B5-9AA5-4899-933F-0607678EEA16}" srcOrd="2" destOrd="0" presId="urn:microsoft.com/office/officeart/2005/8/layout/orgChart1"/>
    <dgm:cxn modelId="{C2E8776B-EB07-46F7-9DAE-1FC7EA9CCEB3}" type="presParOf" srcId="{9BEFACE2-8C0D-457F-A373-25D3E9E8C1D1}" destId="{FD75C330-E664-443C-B7DC-DB8216189DA6}" srcOrd="2" destOrd="0" presId="urn:microsoft.com/office/officeart/2005/8/layout/orgChart1"/>
    <dgm:cxn modelId="{23973E21-9F1F-4D6C-BD53-2F637045B9DE}" type="presParOf" srcId="{6E3EBF37-FD2D-473E-8955-AB8ED7DC3E64}" destId="{D202EF20-9A25-4228-876B-72EE418CDD7D}" srcOrd="2" destOrd="0" presId="urn:microsoft.com/office/officeart/2005/8/layout/orgChart1"/>
    <dgm:cxn modelId="{98000F6E-7A8C-4D5A-BC4F-0257363EA764}" type="presParOf" srcId="{6E3EBF37-FD2D-473E-8955-AB8ED7DC3E64}" destId="{EE222344-B7B7-462F-874F-3206E53896E1}" srcOrd="3" destOrd="0" presId="urn:microsoft.com/office/officeart/2005/8/layout/orgChart1"/>
    <dgm:cxn modelId="{8F579FA0-A946-4B47-9D4E-D138224B12EF}" type="presParOf" srcId="{EE222344-B7B7-462F-874F-3206E53896E1}" destId="{A1E6A653-2A46-4F58-87D8-F857EA17AA66}" srcOrd="0" destOrd="0" presId="urn:microsoft.com/office/officeart/2005/8/layout/orgChart1"/>
    <dgm:cxn modelId="{E96AC1AB-88AE-4E70-9C26-7F802F7C17EA}" type="presParOf" srcId="{A1E6A653-2A46-4F58-87D8-F857EA17AA66}" destId="{80211277-C35F-400F-A026-B88A732399F5}" srcOrd="0" destOrd="0" presId="urn:microsoft.com/office/officeart/2005/8/layout/orgChart1"/>
    <dgm:cxn modelId="{D08A7EA7-9207-4AF4-A16D-82B1F24A4396}" type="presParOf" srcId="{A1E6A653-2A46-4F58-87D8-F857EA17AA66}" destId="{8E235C14-5C8F-44A8-8585-2FBE413E802F}" srcOrd="1" destOrd="0" presId="urn:microsoft.com/office/officeart/2005/8/layout/orgChart1"/>
    <dgm:cxn modelId="{734E6450-11D8-4766-9CE9-3BF54528D133}" type="presParOf" srcId="{EE222344-B7B7-462F-874F-3206E53896E1}" destId="{0D490F02-5090-47DA-A7CE-9E2A0F7F4A44}" srcOrd="1" destOrd="0" presId="urn:microsoft.com/office/officeart/2005/8/layout/orgChart1"/>
    <dgm:cxn modelId="{D54C8632-01CA-4164-827F-68C97E5C6A40}" type="presParOf" srcId="{0D490F02-5090-47DA-A7CE-9E2A0F7F4A44}" destId="{D12F8E1B-2AFD-47FC-97A6-445EA05F1714}" srcOrd="0" destOrd="0" presId="urn:microsoft.com/office/officeart/2005/8/layout/orgChart1"/>
    <dgm:cxn modelId="{457538A1-26CD-4A94-9F8B-F12BF4087374}" type="presParOf" srcId="{0D490F02-5090-47DA-A7CE-9E2A0F7F4A44}" destId="{2A44FE56-16CC-4011-BD70-D5B6460456E8}" srcOrd="1" destOrd="0" presId="urn:microsoft.com/office/officeart/2005/8/layout/orgChart1"/>
    <dgm:cxn modelId="{574CCD79-B1A6-4866-9BBC-0778FA6248B7}" type="presParOf" srcId="{2A44FE56-16CC-4011-BD70-D5B6460456E8}" destId="{5E59FA51-AD2A-4CBF-B449-2B29805B585C}" srcOrd="0" destOrd="0" presId="urn:microsoft.com/office/officeart/2005/8/layout/orgChart1"/>
    <dgm:cxn modelId="{206DAB8B-5077-41BE-B5E7-AB2FE63BC60D}" type="presParOf" srcId="{5E59FA51-AD2A-4CBF-B449-2B29805B585C}" destId="{7D60B866-E8BC-4A70-9765-97F78A06E8BD}" srcOrd="0" destOrd="0" presId="urn:microsoft.com/office/officeart/2005/8/layout/orgChart1"/>
    <dgm:cxn modelId="{49D22296-7810-4F4B-A546-598E89117795}" type="presParOf" srcId="{5E59FA51-AD2A-4CBF-B449-2B29805B585C}" destId="{48F124B0-A7B3-4CF1-9398-823592EEABBF}" srcOrd="1" destOrd="0" presId="urn:microsoft.com/office/officeart/2005/8/layout/orgChart1"/>
    <dgm:cxn modelId="{263BAB22-073A-4B00-B941-2766B55E996C}" type="presParOf" srcId="{2A44FE56-16CC-4011-BD70-D5B6460456E8}" destId="{2792B360-8B47-43A5-85E6-6A3112B1BFE7}" srcOrd="1" destOrd="0" presId="urn:microsoft.com/office/officeart/2005/8/layout/orgChart1"/>
    <dgm:cxn modelId="{C9E99ED5-28CF-4F75-8DD7-456F17F461B4}" type="presParOf" srcId="{2792B360-8B47-43A5-85E6-6A3112B1BFE7}" destId="{0C4C0F44-791C-4A71-ADB0-6B0299D9E773}" srcOrd="0" destOrd="0" presId="urn:microsoft.com/office/officeart/2005/8/layout/orgChart1"/>
    <dgm:cxn modelId="{CB5B2745-4964-4C64-9D90-133C3733EA11}" type="presParOf" srcId="{2792B360-8B47-43A5-85E6-6A3112B1BFE7}" destId="{DE802A23-6334-43D1-8A9B-BAB8DBF7AEDA}" srcOrd="1" destOrd="0" presId="urn:microsoft.com/office/officeart/2005/8/layout/orgChart1"/>
    <dgm:cxn modelId="{30BCE68A-1C62-42AC-8803-CCD598FF8992}" type="presParOf" srcId="{DE802A23-6334-43D1-8A9B-BAB8DBF7AEDA}" destId="{1B0D6BD4-0251-4301-8182-C4C6A85CE61C}" srcOrd="0" destOrd="0" presId="urn:microsoft.com/office/officeart/2005/8/layout/orgChart1"/>
    <dgm:cxn modelId="{8446517F-332A-485B-88FD-14BFC8066F64}" type="presParOf" srcId="{1B0D6BD4-0251-4301-8182-C4C6A85CE61C}" destId="{73FC74B3-8D5B-44A6-9C30-5B7A85CC80CB}" srcOrd="0" destOrd="0" presId="urn:microsoft.com/office/officeart/2005/8/layout/orgChart1"/>
    <dgm:cxn modelId="{9D9133C5-2358-4592-A72E-0C83C48BDEB9}" type="presParOf" srcId="{1B0D6BD4-0251-4301-8182-C4C6A85CE61C}" destId="{D3421859-2DDF-4072-BB90-8854B619BB5A}" srcOrd="1" destOrd="0" presId="urn:microsoft.com/office/officeart/2005/8/layout/orgChart1"/>
    <dgm:cxn modelId="{BB06BF35-02BB-482C-87C9-275650C66734}" type="presParOf" srcId="{DE802A23-6334-43D1-8A9B-BAB8DBF7AEDA}" destId="{A343AD12-884D-44BD-96A3-86F8F8A6CE92}" srcOrd="1" destOrd="0" presId="urn:microsoft.com/office/officeart/2005/8/layout/orgChart1"/>
    <dgm:cxn modelId="{A498D6B5-6039-4B89-AE6E-3E73620B3042}" type="presParOf" srcId="{DE802A23-6334-43D1-8A9B-BAB8DBF7AEDA}" destId="{FA1392D8-7499-4EE8-B556-5B80F4BDB59A}" srcOrd="2" destOrd="0" presId="urn:microsoft.com/office/officeart/2005/8/layout/orgChart1"/>
    <dgm:cxn modelId="{3C0110EC-B5F1-411A-8237-3B62743D9925}" type="presParOf" srcId="{2792B360-8B47-43A5-85E6-6A3112B1BFE7}" destId="{40118304-005D-40E7-AD98-C308578BE48D}" srcOrd="2" destOrd="0" presId="urn:microsoft.com/office/officeart/2005/8/layout/orgChart1"/>
    <dgm:cxn modelId="{276F3A62-E4C1-4744-B613-0CEC5EF1AAF6}" type="presParOf" srcId="{2792B360-8B47-43A5-85E6-6A3112B1BFE7}" destId="{148CFBD1-E7DE-4C6C-805F-2C151F0F8B3E}" srcOrd="3" destOrd="0" presId="urn:microsoft.com/office/officeart/2005/8/layout/orgChart1"/>
    <dgm:cxn modelId="{2C2855B6-E91A-4A74-9B46-94B2AFFD83BA}" type="presParOf" srcId="{148CFBD1-E7DE-4C6C-805F-2C151F0F8B3E}" destId="{B1664638-338B-4168-BDF3-1D99DB024019}" srcOrd="0" destOrd="0" presId="urn:microsoft.com/office/officeart/2005/8/layout/orgChart1"/>
    <dgm:cxn modelId="{E48BDD2F-115E-4DD1-A1FB-41BF05958462}" type="presParOf" srcId="{B1664638-338B-4168-BDF3-1D99DB024019}" destId="{7DA68643-048C-4014-9CEF-DB211B9A280F}" srcOrd="0" destOrd="0" presId="urn:microsoft.com/office/officeart/2005/8/layout/orgChart1"/>
    <dgm:cxn modelId="{8F1CD1A6-6CBA-4646-A95A-269D32ACFAF4}" type="presParOf" srcId="{B1664638-338B-4168-BDF3-1D99DB024019}" destId="{22E1A113-E68E-416A-8DC0-01E6A23AD1FF}" srcOrd="1" destOrd="0" presId="urn:microsoft.com/office/officeart/2005/8/layout/orgChart1"/>
    <dgm:cxn modelId="{AF9C8D6A-14FA-456C-B1C3-466BCD0A7327}" type="presParOf" srcId="{148CFBD1-E7DE-4C6C-805F-2C151F0F8B3E}" destId="{F07E23E2-7B30-425D-91D0-543F26EA0A8E}" srcOrd="1" destOrd="0" presId="urn:microsoft.com/office/officeart/2005/8/layout/orgChart1"/>
    <dgm:cxn modelId="{E5FEA4D5-E9B5-40FB-9804-17E59613E14D}" type="presParOf" srcId="{148CFBD1-E7DE-4C6C-805F-2C151F0F8B3E}" destId="{E1742BC8-47E8-4FE2-B21E-A015C00C5CDA}" srcOrd="2" destOrd="0" presId="urn:microsoft.com/office/officeart/2005/8/layout/orgChart1"/>
    <dgm:cxn modelId="{11C05127-ABA7-4B62-BCF4-B6046D2F4F16}" type="presParOf" srcId="{2A44FE56-16CC-4011-BD70-D5B6460456E8}" destId="{3936750B-70C4-4B14-A31E-F7FA421B5DB4}" srcOrd="2" destOrd="0" presId="urn:microsoft.com/office/officeart/2005/8/layout/orgChart1"/>
    <dgm:cxn modelId="{6D224D4D-B9A6-4FF6-A235-2713DBA453A7}" type="presParOf" srcId="{0D490F02-5090-47DA-A7CE-9E2A0F7F4A44}" destId="{C6AD5E57-481A-4952-98B4-683B9463FA59}" srcOrd="2" destOrd="0" presId="urn:microsoft.com/office/officeart/2005/8/layout/orgChart1"/>
    <dgm:cxn modelId="{C9EF3EA8-7A11-4C93-A62B-C717A2EBD0AC}" type="presParOf" srcId="{0D490F02-5090-47DA-A7CE-9E2A0F7F4A44}" destId="{07942B2B-9E41-4CDF-A1DC-48EC7B7B6115}" srcOrd="3" destOrd="0" presId="urn:microsoft.com/office/officeart/2005/8/layout/orgChart1"/>
    <dgm:cxn modelId="{1F099CE6-B251-4B4C-80D3-4D4AA967996E}" type="presParOf" srcId="{07942B2B-9E41-4CDF-A1DC-48EC7B7B6115}" destId="{925576F2-7D8F-4501-B2BE-C15FCB29954B}" srcOrd="0" destOrd="0" presId="urn:microsoft.com/office/officeart/2005/8/layout/orgChart1"/>
    <dgm:cxn modelId="{CA0EE535-AEC7-470E-B655-1F4ED127DD0F}" type="presParOf" srcId="{925576F2-7D8F-4501-B2BE-C15FCB29954B}" destId="{D046BF24-308F-4C8C-B915-A98E03D47ABE}" srcOrd="0" destOrd="0" presId="urn:microsoft.com/office/officeart/2005/8/layout/orgChart1"/>
    <dgm:cxn modelId="{B0B1FC1F-71E9-4AB7-8DB1-49880BE4B4AF}" type="presParOf" srcId="{925576F2-7D8F-4501-B2BE-C15FCB29954B}" destId="{9768A2BE-A623-4FBE-A4D4-14DF57BF1DD9}" srcOrd="1" destOrd="0" presId="urn:microsoft.com/office/officeart/2005/8/layout/orgChart1"/>
    <dgm:cxn modelId="{4459784F-2392-47E6-82CD-47DBCB6F505C}" type="presParOf" srcId="{07942B2B-9E41-4CDF-A1DC-48EC7B7B6115}" destId="{866A182E-B6AD-499B-ABF3-D93D427B0110}" srcOrd="1" destOrd="0" presId="urn:microsoft.com/office/officeart/2005/8/layout/orgChart1"/>
    <dgm:cxn modelId="{701DA007-44A3-41D8-9C20-D9ADDED38757}" type="presParOf" srcId="{866A182E-B6AD-499B-ABF3-D93D427B0110}" destId="{B0EF4D80-533C-424E-A87F-531E26EDFC33}" srcOrd="0" destOrd="0" presId="urn:microsoft.com/office/officeart/2005/8/layout/orgChart1"/>
    <dgm:cxn modelId="{718981E7-2F43-463F-902E-68B77E09687C}" type="presParOf" srcId="{866A182E-B6AD-499B-ABF3-D93D427B0110}" destId="{C4693DA1-B849-4A65-AF59-4A99C38AE641}" srcOrd="1" destOrd="0" presId="urn:microsoft.com/office/officeart/2005/8/layout/orgChart1"/>
    <dgm:cxn modelId="{99AFB2E0-EE0C-417A-9E1E-883723C59919}" type="presParOf" srcId="{C4693DA1-B849-4A65-AF59-4A99C38AE641}" destId="{B6CF67BE-4EF9-4153-8216-25809F54D092}" srcOrd="0" destOrd="0" presId="urn:microsoft.com/office/officeart/2005/8/layout/orgChart1"/>
    <dgm:cxn modelId="{58AB4527-0401-4C8A-9A09-A329CD138DF8}" type="presParOf" srcId="{B6CF67BE-4EF9-4153-8216-25809F54D092}" destId="{FB0C2BD3-C299-48DC-9012-230C6AE5BB88}" srcOrd="0" destOrd="0" presId="urn:microsoft.com/office/officeart/2005/8/layout/orgChart1"/>
    <dgm:cxn modelId="{6D42A472-89C0-4775-908E-56A7B38A6EF9}" type="presParOf" srcId="{B6CF67BE-4EF9-4153-8216-25809F54D092}" destId="{5C5E78D8-1D41-45AE-9D07-A1B69B0C52FB}" srcOrd="1" destOrd="0" presId="urn:microsoft.com/office/officeart/2005/8/layout/orgChart1"/>
    <dgm:cxn modelId="{2E25B828-747B-40E3-8277-93D38F47BA14}" type="presParOf" srcId="{C4693DA1-B849-4A65-AF59-4A99C38AE641}" destId="{892E0D93-73F0-4284-88E2-3D8A65F9D6E0}" srcOrd="1" destOrd="0" presId="urn:microsoft.com/office/officeart/2005/8/layout/orgChart1"/>
    <dgm:cxn modelId="{E9E829E0-8335-4E95-917C-C71B8B44F518}" type="presParOf" srcId="{C4693DA1-B849-4A65-AF59-4A99C38AE641}" destId="{DA454C0F-53D5-4F61-9002-6FF99470A350}" srcOrd="2" destOrd="0" presId="urn:microsoft.com/office/officeart/2005/8/layout/orgChart1"/>
    <dgm:cxn modelId="{856984CC-3C68-4F52-B4D9-4BFA3371B148}" type="presParOf" srcId="{866A182E-B6AD-499B-ABF3-D93D427B0110}" destId="{66B7D2AE-D1C4-44F3-B79C-7465D804272E}" srcOrd="2" destOrd="0" presId="urn:microsoft.com/office/officeart/2005/8/layout/orgChart1"/>
    <dgm:cxn modelId="{9A9C6E9F-2B62-4E3C-A4B9-E2C4EB09CD78}" type="presParOf" srcId="{866A182E-B6AD-499B-ABF3-D93D427B0110}" destId="{3F756FA1-A409-455A-99E6-81072B34493F}" srcOrd="3" destOrd="0" presId="urn:microsoft.com/office/officeart/2005/8/layout/orgChart1"/>
    <dgm:cxn modelId="{CF5102F8-DF48-4B87-B392-4F00994C5B20}" type="presParOf" srcId="{3F756FA1-A409-455A-99E6-81072B34493F}" destId="{0395E15C-FCEA-47C4-A4D9-A8E177645F0E}" srcOrd="0" destOrd="0" presId="urn:microsoft.com/office/officeart/2005/8/layout/orgChart1"/>
    <dgm:cxn modelId="{BA27E31A-F55C-41A4-AC53-2183A64081F0}" type="presParOf" srcId="{0395E15C-FCEA-47C4-A4D9-A8E177645F0E}" destId="{E000F014-F188-4861-9EF4-B3D50B88C96C}" srcOrd="0" destOrd="0" presId="urn:microsoft.com/office/officeart/2005/8/layout/orgChart1"/>
    <dgm:cxn modelId="{1C5CBD5E-90D6-49D7-9D72-55AE730BBF0A}" type="presParOf" srcId="{0395E15C-FCEA-47C4-A4D9-A8E177645F0E}" destId="{E3F503AE-B512-45A6-A9AC-0A9619AD56A0}" srcOrd="1" destOrd="0" presId="urn:microsoft.com/office/officeart/2005/8/layout/orgChart1"/>
    <dgm:cxn modelId="{9BE7F1C9-9292-4736-BCDF-842800E2F0E8}" type="presParOf" srcId="{3F756FA1-A409-455A-99E6-81072B34493F}" destId="{B8893CD6-45D7-47AD-9235-19362D5730E6}" srcOrd="1" destOrd="0" presId="urn:microsoft.com/office/officeart/2005/8/layout/orgChart1"/>
    <dgm:cxn modelId="{3BB13069-24DA-477D-9867-B910DB839FAC}" type="presParOf" srcId="{3F756FA1-A409-455A-99E6-81072B34493F}" destId="{6AC9316E-48AF-4F53-9F9C-12A7094AA132}" srcOrd="2" destOrd="0" presId="urn:microsoft.com/office/officeart/2005/8/layout/orgChart1"/>
    <dgm:cxn modelId="{57F7385B-C765-4A11-B78D-1392DE62ABDE}" type="presParOf" srcId="{07942B2B-9E41-4CDF-A1DC-48EC7B7B6115}" destId="{6900B698-3230-4469-A8FD-4521D19C5C50}" srcOrd="2" destOrd="0" presId="urn:microsoft.com/office/officeart/2005/8/layout/orgChart1"/>
    <dgm:cxn modelId="{0513C764-EDD5-42C9-BC7A-9D1DC25C50B8}" type="presParOf" srcId="{EE222344-B7B7-462F-874F-3206E53896E1}" destId="{D414081B-46C7-4105-94E2-10E8253DA675}" srcOrd="2" destOrd="0" presId="urn:microsoft.com/office/officeart/2005/8/layout/orgChart1"/>
    <dgm:cxn modelId="{DD9EA94A-15BB-4D66-B942-0ED01985C39D}" type="presParOf" srcId="{CCADD712-BB5B-4B21-BCC7-920B59C8EF53}" destId="{41A54605-D84D-4D24-BA3D-94A01F0CAA59}" srcOrd="2" destOrd="0" presId="urn:microsoft.com/office/officeart/2005/8/layout/orgChart1"/>
    <dgm:cxn modelId="{CD963724-C4E4-49F1-86E3-B7CC1E001532}" type="presParOf" srcId="{A421BB1B-3B69-4092-AAEF-716385E9132C}" destId="{0F7A351A-A44F-4970-BB4D-D27AE4AF7EC9}" srcOrd="2" destOrd="0" presId="urn:microsoft.com/office/officeart/2005/8/layout/orgChart1"/>
    <dgm:cxn modelId="{B553CCC5-D9BA-449F-94FE-8FC599A9FE82}" type="presParOf" srcId="{A421BB1B-3B69-4092-AAEF-716385E9132C}" destId="{C60072EA-CDDC-4CB9-8E77-4D18DBE0C4EB}" srcOrd="3" destOrd="0" presId="urn:microsoft.com/office/officeart/2005/8/layout/orgChart1"/>
    <dgm:cxn modelId="{EAC6270F-E1A5-4B3A-97FF-4CE797611E9F}" type="presParOf" srcId="{C60072EA-CDDC-4CB9-8E77-4D18DBE0C4EB}" destId="{F2A78806-42F7-4C87-BA49-75DE32397F86}" srcOrd="0" destOrd="0" presId="urn:microsoft.com/office/officeart/2005/8/layout/orgChart1"/>
    <dgm:cxn modelId="{CA23F6D3-5E18-4F5E-892D-07A19C5610C5}" type="presParOf" srcId="{F2A78806-42F7-4C87-BA49-75DE32397F86}" destId="{D584481E-A523-4E83-AAC0-4DE5A27E8FA5}" srcOrd="0" destOrd="0" presId="urn:microsoft.com/office/officeart/2005/8/layout/orgChart1"/>
    <dgm:cxn modelId="{1822AF65-0BE1-4F8A-A9B2-9EB8DFE48415}" type="presParOf" srcId="{F2A78806-42F7-4C87-BA49-75DE32397F86}" destId="{1D65C9A1-3E5B-4E4F-9121-3062C8517A75}" srcOrd="1" destOrd="0" presId="urn:microsoft.com/office/officeart/2005/8/layout/orgChart1"/>
    <dgm:cxn modelId="{7D11A0E5-4783-4B27-A775-74C0216BAC1D}" type="presParOf" srcId="{C60072EA-CDDC-4CB9-8E77-4D18DBE0C4EB}" destId="{8877D2ED-161B-4D73-8227-C55B8F756EE7}" srcOrd="1" destOrd="0" presId="urn:microsoft.com/office/officeart/2005/8/layout/orgChart1"/>
    <dgm:cxn modelId="{3FDC2196-DBC9-4B9A-8077-AC6E9F471409}" type="presParOf" srcId="{8877D2ED-161B-4D73-8227-C55B8F756EE7}" destId="{BC21D237-3CFD-48C1-BC92-74E56504832B}" srcOrd="0" destOrd="0" presId="urn:microsoft.com/office/officeart/2005/8/layout/orgChart1"/>
    <dgm:cxn modelId="{55DECFF1-9DE8-4653-9DF1-048BEDBC900B}" type="presParOf" srcId="{8877D2ED-161B-4D73-8227-C55B8F756EE7}" destId="{3D02BF93-A4FF-41A8-8061-FF5513C6F5D9}" srcOrd="1" destOrd="0" presId="urn:microsoft.com/office/officeart/2005/8/layout/orgChart1"/>
    <dgm:cxn modelId="{3382114B-AD6A-48CB-B43A-56CDF56DEC37}" type="presParOf" srcId="{3D02BF93-A4FF-41A8-8061-FF5513C6F5D9}" destId="{460A5DA5-F4A5-4CA8-B9F5-4A825B22022A}" srcOrd="0" destOrd="0" presId="urn:microsoft.com/office/officeart/2005/8/layout/orgChart1"/>
    <dgm:cxn modelId="{2FF21BC4-C269-46BE-9A7B-7267D2D39EFE}" type="presParOf" srcId="{460A5DA5-F4A5-4CA8-B9F5-4A825B22022A}" destId="{5F408EF7-A1E1-4839-882F-397AD40CD23F}" srcOrd="0" destOrd="0" presId="urn:microsoft.com/office/officeart/2005/8/layout/orgChart1"/>
    <dgm:cxn modelId="{9E59EABB-4204-407A-A01D-742E702754E8}" type="presParOf" srcId="{460A5DA5-F4A5-4CA8-B9F5-4A825B22022A}" destId="{2E1C2CE7-E5D5-4885-8643-97375ADC7D4F}" srcOrd="1" destOrd="0" presId="urn:microsoft.com/office/officeart/2005/8/layout/orgChart1"/>
    <dgm:cxn modelId="{8DE4AC0D-3591-4320-A41E-A82954CDC07C}" type="presParOf" srcId="{3D02BF93-A4FF-41A8-8061-FF5513C6F5D9}" destId="{1F8D522E-F18B-4D3C-B197-66BE23178661}" srcOrd="1" destOrd="0" presId="urn:microsoft.com/office/officeart/2005/8/layout/orgChart1"/>
    <dgm:cxn modelId="{12E5FAC9-BECA-4CEB-9382-B1D5E6351807}" type="presParOf" srcId="{1F8D522E-F18B-4D3C-B197-66BE23178661}" destId="{47066E8C-909C-49F7-8B48-3BFD71DF7979}" srcOrd="0" destOrd="0" presId="urn:microsoft.com/office/officeart/2005/8/layout/orgChart1"/>
    <dgm:cxn modelId="{B9E50B90-D074-4346-9CCE-9A401FEA51C3}" type="presParOf" srcId="{1F8D522E-F18B-4D3C-B197-66BE23178661}" destId="{8C47BA64-2FFC-4061-8A7C-83FC91EA435B}" srcOrd="1" destOrd="0" presId="urn:microsoft.com/office/officeart/2005/8/layout/orgChart1"/>
    <dgm:cxn modelId="{A01DF426-8908-4B5A-9CC0-FE34C9AB9CD8}" type="presParOf" srcId="{8C47BA64-2FFC-4061-8A7C-83FC91EA435B}" destId="{2BDD913F-4DAF-4B82-BF4C-03E0782CF364}" srcOrd="0" destOrd="0" presId="urn:microsoft.com/office/officeart/2005/8/layout/orgChart1"/>
    <dgm:cxn modelId="{DD0BF8A7-AC2F-44B0-A74D-3DBA57E4D0F9}" type="presParOf" srcId="{2BDD913F-4DAF-4B82-BF4C-03E0782CF364}" destId="{28EAB661-17E3-4B6C-83AB-07D29EB42C93}" srcOrd="0" destOrd="0" presId="urn:microsoft.com/office/officeart/2005/8/layout/orgChart1"/>
    <dgm:cxn modelId="{0A7883DF-9AC0-41E0-954C-B47B7806DE59}" type="presParOf" srcId="{2BDD913F-4DAF-4B82-BF4C-03E0782CF364}" destId="{C1C32AA9-17A3-46F9-8D24-4E0623A09CDA}" srcOrd="1" destOrd="0" presId="urn:microsoft.com/office/officeart/2005/8/layout/orgChart1"/>
    <dgm:cxn modelId="{E8279107-78DA-445A-B5B8-9B09A71E4491}" type="presParOf" srcId="{8C47BA64-2FFC-4061-8A7C-83FC91EA435B}" destId="{4968DB4F-E2FB-447C-B954-AAE95AF906E7}" srcOrd="1" destOrd="0" presId="urn:microsoft.com/office/officeart/2005/8/layout/orgChart1"/>
    <dgm:cxn modelId="{BE8F5C44-F99A-4D69-8E81-47DA71CEA85A}" type="presParOf" srcId="{4968DB4F-E2FB-447C-B954-AAE95AF906E7}" destId="{3C24304D-24B9-4776-970B-63CD1E3B1060}" srcOrd="0" destOrd="0" presId="urn:microsoft.com/office/officeart/2005/8/layout/orgChart1"/>
    <dgm:cxn modelId="{454F2F42-12AB-492B-9157-B7D5DD100929}" type="presParOf" srcId="{4968DB4F-E2FB-447C-B954-AAE95AF906E7}" destId="{978BD76F-591B-42F4-90CB-0A86419D07F1}" srcOrd="1" destOrd="0" presId="urn:microsoft.com/office/officeart/2005/8/layout/orgChart1"/>
    <dgm:cxn modelId="{EA8B509B-A873-4A1D-9E93-4988DEC790FA}" type="presParOf" srcId="{978BD76F-591B-42F4-90CB-0A86419D07F1}" destId="{288F5B0C-DEC0-4DDB-AA51-E4711929E9ED}" srcOrd="0" destOrd="0" presId="urn:microsoft.com/office/officeart/2005/8/layout/orgChart1"/>
    <dgm:cxn modelId="{2486CB93-16B0-4895-BEA5-67B34AC4176D}" type="presParOf" srcId="{288F5B0C-DEC0-4DDB-AA51-E4711929E9ED}" destId="{32FE3AB5-7C3A-41D2-AEC9-CA925CCBA450}" srcOrd="0" destOrd="0" presId="urn:microsoft.com/office/officeart/2005/8/layout/orgChart1"/>
    <dgm:cxn modelId="{BF553935-567F-492F-A428-49198009E3AA}" type="presParOf" srcId="{288F5B0C-DEC0-4DDB-AA51-E4711929E9ED}" destId="{40B36FE2-AD28-401E-A400-F86D7DEF1FD5}" srcOrd="1" destOrd="0" presId="urn:microsoft.com/office/officeart/2005/8/layout/orgChart1"/>
    <dgm:cxn modelId="{08C5BF9A-8160-45A4-BFF5-4D9C93D7C2CA}" type="presParOf" srcId="{978BD76F-591B-42F4-90CB-0A86419D07F1}" destId="{61545F17-18F5-4C5C-8474-1AD0940D7C1C}" srcOrd="1" destOrd="0" presId="urn:microsoft.com/office/officeart/2005/8/layout/orgChart1"/>
    <dgm:cxn modelId="{296696F3-9166-464F-B797-29E8851BA45E}" type="presParOf" srcId="{978BD76F-591B-42F4-90CB-0A86419D07F1}" destId="{73089B40-009E-4ACA-BB5D-F323FEFB1A49}" srcOrd="2" destOrd="0" presId="urn:microsoft.com/office/officeart/2005/8/layout/orgChart1"/>
    <dgm:cxn modelId="{0D56B0C2-B041-4DFD-B41D-67063F8FFAA3}" type="presParOf" srcId="{4968DB4F-E2FB-447C-B954-AAE95AF906E7}" destId="{91A736EA-532B-4461-B6ED-D5D89334380B}" srcOrd="2" destOrd="0" presId="urn:microsoft.com/office/officeart/2005/8/layout/orgChart1"/>
    <dgm:cxn modelId="{4E90827F-8B6F-4A2D-BFFD-FBB5380CBBCF}" type="presParOf" srcId="{4968DB4F-E2FB-447C-B954-AAE95AF906E7}" destId="{243ADB69-43CD-43B8-86FD-CAE503D9B356}" srcOrd="3" destOrd="0" presId="urn:microsoft.com/office/officeart/2005/8/layout/orgChart1"/>
    <dgm:cxn modelId="{9BF5D258-8CC4-42A6-81C3-7F29F10B0E05}" type="presParOf" srcId="{243ADB69-43CD-43B8-86FD-CAE503D9B356}" destId="{1AF65D31-64F7-4DCC-B5A7-3AFB6B5AC982}" srcOrd="0" destOrd="0" presId="urn:microsoft.com/office/officeart/2005/8/layout/orgChart1"/>
    <dgm:cxn modelId="{ADE748AB-8AA3-4E18-A88D-4F4095CFDAFE}" type="presParOf" srcId="{1AF65D31-64F7-4DCC-B5A7-3AFB6B5AC982}" destId="{03480235-45B1-4E12-90DC-B1CA87B40472}" srcOrd="0" destOrd="0" presId="urn:microsoft.com/office/officeart/2005/8/layout/orgChart1"/>
    <dgm:cxn modelId="{BDC5AF85-CC43-4F50-AD73-7574E67E318D}" type="presParOf" srcId="{1AF65D31-64F7-4DCC-B5A7-3AFB6B5AC982}" destId="{8FB748B8-DF7E-424D-86B2-6939A4BB7CCA}" srcOrd="1" destOrd="0" presId="urn:microsoft.com/office/officeart/2005/8/layout/orgChart1"/>
    <dgm:cxn modelId="{800D94EC-4722-46F2-ABAC-B5C15442FC99}" type="presParOf" srcId="{243ADB69-43CD-43B8-86FD-CAE503D9B356}" destId="{90C5C498-5476-4952-9065-6DAA9EA0B7CB}" srcOrd="1" destOrd="0" presId="urn:microsoft.com/office/officeart/2005/8/layout/orgChart1"/>
    <dgm:cxn modelId="{9662FA91-5D0A-4690-AB49-551ECD3F48F3}" type="presParOf" srcId="{243ADB69-43CD-43B8-86FD-CAE503D9B356}" destId="{0F3305E1-4771-4460-AAA5-414C5412EE51}" srcOrd="2" destOrd="0" presId="urn:microsoft.com/office/officeart/2005/8/layout/orgChart1"/>
    <dgm:cxn modelId="{D95D5706-248B-4CDB-B475-759C9215106B}" type="presParOf" srcId="{8C47BA64-2FFC-4061-8A7C-83FC91EA435B}" destId="{29765C33-1EA5-4C6F-8BB0-6822779BC369}" srcOrd="2" destOrd="0" presId="urn:microsoft.com/office/officeart/2005/8/layout/orgChart1"/>
    <dgm:cxn modelId="{E3F318C2-44F5-429C-8DC1-98362F030BC6}" type="presParOf" srcId="{1F8D522E-F18B-4D3C-B197-66BE23178661}" destId="{EA28C576-E353-4D87-8CF7-B3B4A8516FC5}" srcOrd="2" destOrd="0" presId="urn:microsoft.com/office/officeart/2005/8/layout/orgChart1"/>
    <dgm:cxn modelId="{98086D8A-9657-4210-BEA7-134CE52ABF9D}" type="presParOf" srcId="{1F8D522E-F18B-4D3C-B197-66BE23178661}" destId="{035D7305-A552-48ED-9049-F975E33DCA89}" srcOrd="3" destOrd="0" presId="urn:microsoft.com/office/officeart/2005/8/layout/orgChart1"/>
    <dgm:cxn modelId="{F167FF8A-187A-46EE-A776-978BF4B7CC47}" type="presParOf" srcId="{035D7305-A552-48ED-9049-F975E33DCA89}" destId="{BBC2BF2E-25B1-467E-84D3-4738518CE777}" srcOrd="0" destOrd="0" presId="urn:microsoft.com/office/officeart/2005/8/layout/orgChart1"/>
    <dgm:cxn modelId="{1446150A-2B3B-48E2-BD38-2EF3041D7C3C}" type="presParOf" srcId="{BBC2BF2E-25B1-467E-84D3-4738518CE777}" destId="{3652B3FB-81D8-4A5C-AE8B-7FD8E7076447}" srcOrd="0" destOrd="0" presId="urn:microsoft.com/office/officeart/2005/8/layout/orgChart1"/>
    <dgm:cxn modelId="{C5D0E54E-1800-48FE-83EC-F0CB0EA5FDAC}" type="presParOf" srcId="{BBC2BF2E-25B1-467E-84D3-4738518CE777}" destId="{25E1326F-2FCF-4A65-B0B6-958EFC168D11}" srcOrd="1" destOrd="0" presId="urn:microsoft.com/office/officeart/2005/8/layout/orgChart1"/>
    <dgm:cxn modelId="{AA85BF0C-BCA0-4636-ACD0-DC9C37CFF2F9}" type="presParOf" srcId="{035D7305-A552-48ED-9049-F975E33DCA89}" destId="{9107061E-56AA-4825-A4DE-8D811350363A}" srcOrd="1" destOrd="0" presId="urn:microsoft.com/office/officeart/2005/8/layout/orgChart1"/>
    <dgm:cxn modelId="{29E2667B-6EF8-49FE-8BF6-562ABACB614B}" type="presParOf" srcId="{9107061E-56AA-4825-A4DE-8D811350363A}" destId="{6E3FA763-3C0F-4A22-9432-BA8E8B72553F}" srcOrd="0" destOrd="0" presId="urn:microsoft.com/office/officeart/2005/8/layout/orgChart1"/>
    <dgm:cxn modelId="{04F4AC35-8C29-4B04-B50B-9E5840030AB7}" type="presParOf" srcId="{9107061E-56AA-4825-A4DE-8D811350363A}" destId="{60DA7FB1-569F-4246-A9AC-10BB807B1FB7}" srcOrd="1" destOrd="0" presId="urn:microsoft.com/office/officeart/2005/8/layout/orgChart1"/>
    <dgm:cxn modelId="{7FC6C825-FBAC-49E7-B776-C8F684D5A379}" type="presParOf" srcId="{60DA7FB1-569F-4246-A9AC-10BB807B1FB7}" destId="{A29350C3-33F2-4CCB-971C-ACC1CBB9E877}" srcOrd="0" destOrd="0" presId="urn:microsoft.com/office/officeart/2005/8/layout/orgChart1"/>
    <dgm:cxn modelId="{87D4ABB7-4369-4269-A221-0711F1851CEC}" type="presParOf" srcId="{A29350C3-33F2-4CCB-971C-ACC1CBB9E877}" destId="{580C1471-E9F7-4DF1-B8E6-EBFCC0DD0A4E}" srcOrd="0" destOrd="0" presId="urn:microsoft.com/office/officeart/2005/8/layout/orgChart1"/>
    <dgm:cxn modelId="{2BE5FF92-B77E-4D48-84C2-EC6BEE295E5C}" type="presParOf" srcId="{A29350C3-33F2-4CCB-971C-ACC1CBB9E877}" destId="{B083F893-F3C9-4CD0-9D9F-A2BF65ED7AE3}" srcOrd="1" destOrd="0" presId="urn:microsoft.com/office/officeart/2005/8/layout/orgChart1"/>
    <dgm:cxn modelId="{2C1E9E28-663D-4954-91FD-2A7091B7ABDA}" type="presParOf" srcId="{60DA7FB1-569F-4246-A9AC-10BB807B1FB7}" destId="{7057B6F1-C871-4B48-908C-A22EDBBE900D}" srcOrd="1" destOrd="0" presId="urn:microsoft.com/office/officeart/2005/8/layout/orgChart1"/>
    <dgm:cxn modelId="{0F6B4349-3D79-4EFB-8131-45E073EA383A}" type="presParOf" srcId="{60DA7FB1-569F-4246-A9AC-10BB807B1FB7}" destId="{F1AEAC2B-E210-4774-994E-670D4059B0B8}" srcOrd="2" destOrd="0" presId="urn:microsoft.com/office/officeart/2005/8/layout/orgChart1"/>
    <dgm:cxn modelId="{51131CA4-14AE-46DE-BB8B-00C1FCC3068C}" type="presParOf" srcId="{9107061E-56AA-4825-A4DE-8D811350363A}" destId="{4A74D324-F41F-4DB4-8A73-25441A65D105}" srcOrd="2" destOrd="0" presId="urn:microsoft.com/office/officeart/2005/8/layout/orgChart1"/>
    <dgm:cxn modelId="{B4A9400B-079C-47FA-B6C4-6465CA84A29E}" type="presParOf" srcId="{9107061E-56AA-4825-A4DE-8D811350363A}" destId="{67C07B55-AFF1-4873-8B22-0B2E48E978A6}" srcOrd="3" destOrd="0" presId="urn:microsoft.com/office/officeart/2005/8/layout/orgChart1"/>
    <dgm:cxn modelId="{4390E669-397D-4994-85CA-5CC7BB235F34}" type="presParOf" srcId="{67C07B55-AFF1-4873-8B22-0B2E48E978A6}" destId="{B83B398F-DA6B-4A8B-8026-24E2E7DA57FB}" srcOrd="0" destOrd="0" presId="urn:microsoft.com/office/officeart/2005/8/layout/orgChart1"/>
    <dgm:cxn modelId="{59E46BD1-A8DB-47EC-9A27-2C10FC353053}" type="presParOf" srcId="{B83B398F-DA6B-4A8B-8026-24E2E7DA57FB}" destId="{367506C1-0414-45D3-8975-2B4E4CC773D4}" srcOrd="0" destOrd="0" presId="urn:microsoft.com/office/officeart/2005/8/layout/orgChart1"/>
    <dgm:cxn modelId="{0E2E7D9C-ED6A-4DA0-8AD3-556E8E28B517}" type="presParOf" srcId="{B83B398F-DA6B-4A8B-8026-24E2E7DA57FB}" destId="{FFE054AB-DA62-4622-BFD6-E835B0B26288}" srcOrd="1" destOrd="0" presId="urn:microsoft.com/office/officeart/2005/8/layout/orgChart1"/>
    <dgm:cxn modelId="{A52C4915-A092-4D87-8855-DAD9143FD408}" type="presParOf" srcId="{67C07B55-AFF1-4873-8B22-0B2E48E978A6}" destId="{565AEF1C-84F9-40CE-A967-A7F0891EB4F4}" srcOrd="1" destOrd="0" presId="urn:microsoft.com/office/officeart/2005/8/layout/orgChart1"/>
    <dgm:cxn modelId="{99DA1301-3986-4EC9-8C9D-4F58C07D6E59}" type="presParOf" srcId="{67C07B55-AFF1-4873-8B22-0B2E48E978A6}" destId="{F752597E-5AB0-4893-87C0-1E280B288DD1}" srcOrd="2" destOrd="0" presId="urn:microsoft.com/office/officeart/2005/8/layout/orgChart1"/>
    <dgm:cxn modelId="{DD514CFA-AF46-4B7E-B698-5C451AE57FD9}" type="presParOf" srcId="{035D7305-A552-48ED-9049-F975E33DCA89}" destId="{3A5849BC-72C4-4F4E-8BB7-C1A6EC93E58D}" srcOrd="2" destOrd="0" presId="urn:microsoft.com/office/officeart/2005/8/layout/orgChart1"/>
    <dgm:cxn modelId="{B63F2E08-02EB-408F-AB6A-D2D3583A34C8}" type="presParOf" srcId="{3D02BF93-A4FF-41A8-8061-FF5513C6F5D9}" destId="{32C3BE70-E0E8-4B46-B2CB-467E5D8AA5F4}" srcOrd="2" destOrd="0" presId="urn:microsoft.com/office/officeart/2005/8/layout/orgChart1"/>
    <dgm:cxn modelId="{5ECF8824-0460-40CB-A5D9-06EA9E3448C2}" type="presParOf" srcId="{8877D2ED-161B-4D73-8227-C55B8F756EE7}" destId="{494F1C93-1557-48FD-94C5-A48AB566B524}" srcOrd="2" destOrd="0" presId="urn:microsoft.com/office/officeart/2005/8/layout/orgChart1"/>
    <dgm:cxn modelId="{52211229-2D72-4B73-A2E2-F1928DC59E20}" type="presParOf" srcId="{8877D2ED-161B-4D73-8227-C55B8F756EE7}" destId="{6A426091-D808-4B49-A6D5-76DB91478E69}" srcOrd="3" destOrd="0" presId="urn:microsoft.com/office/officeart/2005/8/layout/orgChart1"/>
    <dgm:cxn modelId="{E57C3E7F-91E9-4CCD-B09B-705947611348}" type="presParOf" srcId="{6A426091-D808-4B49-A6D5-76DB91478E69}" destId="{E4EED330-9C34-4736-9422-E4E457174E5E}" srcOrd="0" destOrd="0" presId="urn:microsoft.com/office/officeart/2005/8/layout/orgChart1"/>
    <dgm:cxn modelId="{0EE0F584-9EA3-456E-87EF-5889F93E567B}" type="presParOf" srcId="{E4EED330-9C34-4736-9422-E4E457174E5E}" destId="{1919432B-AC28-45FF-9B17-EF3BC6FBBCC0}" srcOrd="0" destOrd="0" presId="urn:microsoft.com/office/officeart/2005/8/layout/orgChart1"/>
    <dgm:cxn modelId="{BAD4339D-E541-4FB4-8042-EE4856C5AF27}" type="presParOf" srcId="{E4EED330-9C34-4736-9422-E4E457174E5E}" destId="{74E52ED8-FED6-451A-980D-FAC0A459672B}" srcOrd="1" destOrd="0" presId="urn:microsoft.com/office/officeart/2005/8/layout/orgChart1"/>
    <dgm:cxn modelId="{7A20B3FC-0EE1-4122-825D-62745678F43F}" type="presParOf" srcId="{6A426091-D808-4B49-A6D5-76DB91478E69}" destId="{F8499065-904B-4B42-8E9E-C702606F5026}" srcOrd="1" destOrd="0" presId="urn:microsoft.com/office/officeart/2005/8/layout/orgChart1"/>
    <dgm:cxn modelId="{513A30A8-6CA3-4E5D-A3B5-2ACD84877D1E}" type="presParOf" srcId="{F8499065-904B-4B42-8E9E-C702606F5026}" destId="{2FF0F3E5-56BF-4200-8D6A-D7984CF2CADA}" srcOrd="0" destOrd="0" presId="urn:microsoft.com/office/officeart/2005/8/layout/orgChart1"/>
    <dgm:cxn modelId="{4D3E7F11-BC41-4F8F-A4AA-95B7FE0E7829}" type="presParOf" srcId="{F8499065-904B-4B42-8E9E-C702606F5026}" destId="{32F8BDB9-8AE6-4222-8D22-B2D494D63F0F}" srcOrd="1" destOrd="0" presId="urn:microsoft.com/office/officeart/2005/8/layout/orgChart1"/>
    <dgm:cxn modelId="{DC223AB1-F637-412F-B87E-5D35605C505B}" type="presParOf" srcId="{32F8BDB9-8AE6-4222-8D22-B2D494D63F0F}" destId="{FB97CDC3-4114-4D29-AD62-C3087B0CBEDC}" srcOrd="0" destOrd="0" presId="urn:microsoft.com/office/officeart/2005/8/layout/orgChart1"/>
    <dgm:cxn modelId="{A95F2332-AC57-4D67-AF9C-42DC7B9107A8}" type="presParOf" srcId="{FB97CDC3-4114-4D29-AD62-C3087B0CBEDC}" destId="{01F812D5-5A5B-40FB-9B1A-C2FB4296696F}" srcOrd="0" destOrd="0" presId="urn:microsoft.com/office/officeart/2005/8/layout/orgChart1"/>
    <dgm:cxn modelId="{C7D736A0-4B40-40EE-9CC4-0D537FE36502}" type="presParOf" srcId="{FB97CDC3-4114-4D29-AD62-C3087B0CBEDC}" destId="{B2D83F0C-8447-4713-A276-68C1B5454A4C}" srcOrd="1" destOrd="0" presId="urn:microsoft.com/office/officeart/2005/8/layout/orgChart1"/>
    <dgm:cxn modelId="{C0FBA171-95ED-400B-B610-E1947827E003}" type="presParOf" srcId="{32F8BDB9-8AE6-4222-8D22-B2D494D63F0F}" destId="{957AB53D-F58A-4342-B2CF-6A776821042C}" srcOrd="1" destOrd="0" presId="urn:microsoft.com/office/officeart/2005/8/layout/orgChart1"/>
    <dgm:cxn modelId="{B6A2E3F3-8D3E-4518-AC3D-F4207351504A}" type="presParOf" srcId="{957AB53D-F58A-4342-B2CF-6A776821042C}" destId="{636944F8-B889-44C6-AD73-135CA00E8F70}" srcOrd="0" destOrd="0" presId="urn:microsoft.com/office/officeart/2005/8/layout/orgChart1"/>
    <dgm:cxn modelId="{F1EDEB79-82B0-40F5-84DA-D767818AB505}" type="presParOf" srcId="{957AB53D-F58A-4342-B2CF-6A776821042C}" destId="{83FB87B6-A2CB-49D8-8413-A3FE4E62F38B}" srcOrd="1" destOrd="0" presId="urn:microsoft.com/office/officeart/2005/8/layout/orgChart1"/>
    <dgm:cxn modelId="{BF81239F-59B5-4474-B444-1E4A901BD24A}" type="presParOf" srcId="{83FB87B6-A2CB-49D8-8413-A3FE4E62F38B}" destId="{26B31B50-4F27-4994-9595-C527F62787D1}" srcOrd="0" destOrd="0" presId="urn:microsoft.com/office/officeart/2005/8/layout/orgChart1"/>
    <dgm:cxn modelId="{33F9D1C3-A558-4A0E-8313-57160D62B7F4}" type="presParOf" srcId="{26B31B50-4F27-4994-9595-C527F62787D1}" destId="{A2DF28E0-2105-4E14-8726-8D9ACEFF7119}" srcOrd="0" destOrd="0" presId="urn:microsoft.com/office/officeart/2005/8/layout/orgChart1"/>
    <dgm:cxn modelId="{4DEC24ED-532C-4325-8E38-43C2D3E64AF8}" type="presParOf" srcId="{26B31B50-4F27-4994-9595-C527F62787D1}" destId="{FF90D635-EE3E-4B32-92B6-654F23483245}" srcOrd="1" destOrd="0" presId="urn:microsoft.com/office/officeart/2005/8/layout/orgChart1"/>
    <dgm:cxn modelId="{84F6AA6D-585B-4668-8494-794707944667}" type="presParOf" srcId="{83FB87B6-A2CB-49D8-8413-A3FE4E62F38B}" destId="{7202F7C9-85F0-448B-B32D-8C6EBB45D8A4}" srcOrd="1" destOrd="0" presId="urn:microsoft.com/office/officeart/2005/8/layout/orgChart1"/>
    <dgm:cxn modelId="{87A47DEA-17C7-4A81-B35F-69D15749B0E3}" type="presParOf" srcId="{83FB87B6-A2CB-49D8-8413-A3FE4E62F38B}" destId="{F50B78E3-FEC4-4907-A84C-1062BF1A6707}" srcOrd="2" destOrd="0" presId="urn:microsoft.com/office/officeart/2005/8/layout/orgChart1"/>
    <dgm:cxn modelId="{F93B18A4-2F7B-41A9-9896-3BD4A3D92A8F}" type="presParOf" srcId="{957AB53D-F58A-4342-B2CF-6A776821042C}" destId="{0DA8173B-D2A0-42C4-9E7C-FF03844F4D12}" srcOrd="2" destOrd="0" presId="urn:microsoft.com/office/officeart/2005/8/layout/orgChart1"/>
    <dgm:cxn modelId="{CD392330-9DFB-434E-B89C-4E8F8032B3BD}" type="presParOf" srcId="{957AB53D-F58A-4342-B2CF-6A776821042C}" destId="{C68847E5-86F7-48A6-9303-B961BCEC7535}" srcOrd="3" destOrd="0" presId="urn:microsoft.com/office/officeart/2005/8/layout/orgChart1"/>
    <dgm:cxn modelId="{6B31FED5-C396-49A7-85AF-365B0E29F1CC}" type="presParOf" srcId="{C68847E5-86F7-48A6-9303-B961BCEC7535}" destId="{37A8D934-0338-4925-9CFA-21CEEE938615}" srcOrd="0" destOrd="0" presId="urn:microsoft.com/office/officeart/2005/8/layout/orgChart1"/>
    <dgm:cxn modelId="{EA4E3D07-7C1A-4AD2-AF8E-77B4F6AC2F06}" type="presParOf" srcId="{37A8D934-0338-4925-9CFA-21CEEE938615}" destId="{DA943CA7-C223-45DE-9BB7-03636206EAFD}" srcOrd="0" destOrd="0" presId="urn:microsoft.com/office/officeart/2005/8/layout/orgChart1"/>
    <dgm:cxn modelId="{3C54E69F-FAD2-4628-843D-2430CFD51215}" type="presParOf" srcId="{37A8D934-0338-4925-9CFA-21CEEE938615}" destId="{90DBFE59-E477-416E-8C72-3CB479A46BC5}" srcOrd="1" destOrd="0" presId="urn:microsoft.com/office/officeart/2005/8/layout/orgChart1"/>
    <dgm:cxn modelId="{1A63D401-EBF7-4CA8-B838-673FB54B0E99}" type="presParOf" srcId="{C68847E5-86F7-48A6-9303-B961BCEC7535}" destId="{92C48212-18E6-4051-966E-1BF53F932393}" srcOrd="1" destOrd="0" presId="urn:microsoft.com/office/officeart/2005/8/layout/orgChart1"/>
    <dgm:cxn modelId="{78B6C752-212A-4979-AEE8-81B5C6783A02}" type="presParOf" srcId="{C68847E5-86F7-48A6-9303-B961BCEC7535}" destId="{799A2F7C-FEE7-457B-AF75-5DBF786D5358}" srcOrd="2" destOrd="0" presId="urn:microsoft.com/office/officeart/2005/8/layout/orgChart1"/>
    <dgm:cxn modelId="{269B99F0-13D2-49C8-A3DF-C9D806B4F089}" type="presParOf" srcId="{32F8BDB9-8AE6-4222-8D22-B2D494D63F0F}" destId="{1D0C9D0A-A095-44D5-A801-531981C792F8}" srcOrd="2" destOrd="0" presId="urn:microsoft.com/office/officeart/2005/8/layout/orgChart1"/>
    <dgm:cxn modelId="{5DD43440-8DDD-47B0-8BEB-5E569211702A}" type="presParOf" srcId="{F8499065-904B-4B42-8E9E-C702606F5026}" destId="{45FD16DD-8D75-427F-A777-8178DDC22B12}" srcOrd="2" destOrd="0" presId="urn:microsoft.com/office/officeart/2005/8/layout/orgChart1"/>
    <dgm:cxn modelId="{348DB98A-0879-4650-9662-8FF48CBF9CE0}" type="presParOf" srcId="{F8499065-904B-4B42-8E9E-C702606F5026}" destId="{1E79CA64-3291-46D2-8A39-A561BE425DBA}" srcOrd="3" destOrd="0" presId="urn:microsoft.com/office/officeart/2005/8/layout/orgChart1"/>
    <dgm:cxn modelId="{27AC340F-F4F8-41A9-AEDA-DDBB118A2019}" type="presParOf" srcId="{1E79CA64-3291-46D2-8A39-A561BE425DBA}" destId="{4EA05A94-B662-41F1-9E6C-1B0491C64343}" srcOrd="0" destOrd="0" presId="urn:microsoft.com/office/officeart/2005/8/layout/orgChart1"/>
    <dgm:cxn modelId="{CF9C2CBD-CAB5-486D-9BBB-BAD711FD2EB9}" type="presParOf" srcId="{4EA05A94-B662-41F1-9E6C-1B0491C64343}" destId="{3FF6ECF9-3DDB-412B-AC9A-778C332E6E31}" srcOrd="0" destOrd="0" presId="urn:microsoft.com/office/officeart/2005/8/layout/orgChart1"/>
    <dgm:cxn modelId="{D4C24F98-DD1C-4273-90AF-2876EB191861}" type="presParOf" srcId="{4EA05A94-B662-41F1-9E6C-1B0491C64343}" destId="{B29F6C85-5263-402E-8974-7904C1CAE48C}" srcOrd="1" destOrd="0" presId="urn:microsoft.com/office/officeart/2005/8/layout/orgChart1"/>
    <dgm:cxn modelId="{5806D3C8-56E1-4A1D-8852-DCC0EF96EFE1}" type="presParOf" srcId="{1E79CA64-3291-46D2-8A39-A561BE425DBA}" destId="{5C510460-917B-4120-85B7-2290E804010E}" srcOrd="1" destOrd="0" presId="urn:microsoft.com/office/officeart/2005/8/layout/orgChart1"/>
    <dgm:cxn modelId="{066F7957-5C09-4B00-ABB3-A8EDA7CE040A}" type="presParOf" srcId="{5C510460-917B-4120-85B7-2290E804010E}" destId="{D418710F-22BB-4836-900B-8A89E45AD6B4}" srcOrd="0" destOrd="0" presId="urn:microsoft.com/office/officeart/2005/8/layout/orgChart1"/>
    <dgm:cxn modelId="{83396AB5-0C1A-42E6-B4EE-937D2B211630}" type="presParOf" srcId="{5C510460-917B-4120-85B7-2290E804010E}" destId="{05ADD8C7-48BB-48E0-8F69-2BFA39C20CAC}" srcOrd="1" destOrd="0" presId="urn:microsoft.com/office/officeart/2005/8/layout/orgChart1"/>
    <dgm:cxn modelId="{4065BF83-7DFD-45FD-8A1A-DF10272F336B}" type="presParOf" srcId="{05ADD8C7-48BB-48E0-8F69-2BFA39C20CAC}" destId="{45C8886E-4347-4E77-98BB-529F89D65415}" srcOrd="0" destOrd="0" presId="urn:microsoft.com/office/officeart/2005/8/layout/orgChart1"/>
    <dgm:cxn modelId="{AFE14802-20EC-4D0E-9763-3E8EF6AD0663}" type="presParOf" srcId="{45C8886E-4347-4E77-98BB-529F89D65415}" destId="{BA4E3244-CDD6-40CC-A13E-2862D3CB73FE}" srcOrd="0" destOrd="0" presId="urn:microsoft.com/office/officeart/2005/8/layout/orgChart1"/>
    <dgm:cxn modelId="{1209626F-E10D-40B3-86F4-D140B8D68CFE}" type="presParOf" srcId="{45C8886E-4347-4E77-98BB-529F89D65415}" destId="{313B1121-884F-4E41-BE7B-93D03AB92254}" srcOrd="1" destOrd="0" presId="urn:microsoft.com/office/officeart/2005/8/layout/orgChart1"/>
    <dgm:cxn modelId="{76CD10B4-BB88-47EC-A77B-3352D6106B96}" type="presParOf" srcId="{05ADD8C7-48BB-48E0-8F69-2BFA39C20CAC}" destId="{CFB2A1C5-17F1-42A9-A115-CA793955740F}" srcOrd="1" destOrd="0" presId="urn:microsoft.com/office/officeart/2005/8/layout/orgChart1"/>
    <dgm:cxn modelId="{406CA253-F7CB-4EE9-BED2-E0CCC56201CB}" type="presParOf" srcId="{05ADD8C7-48BB-48E0-8F69-2BFA39C20CAC}" destId="{0B4164DF-6424-4047-B693-BF95CE538AE5}" srcOrd="2" destOrd="0" presId="urn:microsoft.com/office/officeart/2005/8/layout/orgChart1"/>
    <dgm:cxn modelId="{9C1A350F-5CDC-4339-B4AE-54054C2FB1D8}" type="presParOf" srcId="{5C510460-917B-4120-85B7-2290E804010E}" destId="{B0859264-FFF4-4E6D-B784-EE4FEA356548}" srcOrd="2" destOrd="0" presId="urn:microsoft.com/office/officeart/2005/8/layout/orgChart1"/>
    <dgm:cxn modelId="{0A885F25-EA64-41B7-B699-89C30F045469}" type="presParOf" srcId="{5C510460-917B-4120-85B7-2290E804010E}" destId="{D289CE3A-41E6-43B4-A578-7822A8413BF3}" srcOrd="3" destOrd="0" presId="urn:microsoft.com/office/officeart/2005/8/layout/orgChart1"/>
    <dgm:cxn modelId="{55F7BB87-19A5-40BB-935A-50D7C719DB78}" type="presParOf" srcId="{D289CE3A-41E6-43B4-A578-7822A8413BF3}" destId="{FBCE6534-44F7-456B-B31D-ACC77AC8B310}" srcOrd="0" destOrd="0" presId="urn:microsoft.com/office/officeart/2005/8/layout/orgChart1"/>
    <dgm:cxn modelId="{B626B183-F5A5-4280-8342-B53954D3F645}" type="presParOf" srcId="{FBCE6534-44F7-456B-B31D-ACC77AC8B310}" destId="{34B3CEFB-F877-478C-887C-19BE42469AEF}" srcOrd="0" destOrd="0" presId="urn:microsoft.com/office/officeart/2005/8/layout/orgChart1"/>
    <dgm:cxn modelId="{1A8FC790-1FB9-41F3-8458-BE9DFE85501F}" type="presParOf" srcId="{FBCE6534-44F7-456B-B31D-ACC77AC8B310}" destId="{F3347095-D31F-4F34-A4C9-0F21F5275C6C}" srcOrd="1" destOrd="0" presId="urn:microsoft.com/office/officeart/2005/8/layout/orgChart1"/>
    <dgm:cxn modelId="{D06E464E-58FB-4C82-B691-3BF051A27D6A}" type="presParOf" srcId="{D289CE3A-41E6-43B4-A578-7822A8413BF3}" destId="{BFC42463-B36B-4E4E-ACD6-D9531D2A0B2E}" srcOrd="1" destOrd="0" presId="urn:microsoft.com/office/officeart/2005/8/layout/orgChart1"/>
    <dgm:cxn modelId="{3B178135-A178-4FCE-A138-02DBD118D4D4}" type="presParOf" srcId="{D289CE3A-41E6-43B4-A578-7822A8413BF3}" destId="{A506B0AB-781A-4597-B77F-DE98314B3997}" srcOrd="2" destOrd="0" presId="urn:microsoft.com/office/officeart/2005/8/layout/orgChart1"/>
    <dgm:cxn modelId="{CEB45612-0967-4D41-8EC8-DBF8344751B2}" type="presParOf" srcId="{1E79CA64-3291-46D2-8A39-A561BE425DBA}" destId="{2E645EC8-4E26-434E-BD8B-FFC698BDEF6C}" srcOrd="2" destOrd="0" presId="urn:microsoft.com/office/officeart/2005/8/layout/orgChart1"/>
    <dgm:cxn modelId="{66394804-C601-4BD8-9AF9-F8C272DF1451}" type="presParOf" srcId="{6A426091-D808-4B49-A6D5-76DB91478E69}" destId="{0BDFB244-DC35-419D-A0AC-B48738869187}" srcOrd="2" destOrd="0" presId="urn:microsoft.com/office/officeart/2005/8/layout/orgChart1"/>
    <dgm:cxn modelId="{44B7E48D-FFC9-440A-844B-0145DB1F6AE9}" type="presParOf" srcId="{C60072EA-CDDC-4CB9-8E77-4D18DBE0C4EB}" destId="{B111F1BB-5ECA-45F6-9837-AE31B48A08FC}" srcOrd="2" destOrd="0" presId="urn:microsoft.com/office/officeart/2005/8/layout/orgChart1"/>
    <dgm:cxn modelId="{C44268AD-9B4C-4D36-94C1-BF805A5B78FE}" type="presParOf" srcId="{D8BF8AE4-970E-4A91-8689-D4598EF4870A}" destId="{291168F6-9478-48AD-B9FE-8750A0A5925B}" srcOrd="2" destOrd="0" presId="urn:microsoft.com/office/officeart/2005/8/layout/orgChart1"/>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A3AB8EEE-B502-4238-A870-806967D81ED0}" type="doc">
      <dgm:prSet loTypeId="urn:microsoft.com/office/officeart/2008/layout/NameandTitleOrganizationalChart" loCatId="hierarchy" qsTypeId="urn:microsoft.com/office/officeart/2005/8/quickstyle/simple1" qsCatId="simple" csTypeId="urn:microsoft.com/office/officeart/2005/8/colors/accent1_2" csCatId="accent1" phldr="1"/>
      <dgm:spPr/>
      <dgm:t>
        <a:bodyPr/>
        <a:lstStyle/>
        <a:p>
          <a:endParaRPr lang="ru-RU"/>
        </a:p>
      </dgm:t>
    </dgm:pt>
    <dgm:pt modelId="{80394FA0-14FF-407E-AEF1-62F9B07D6AE5}">
      <dgm:prSet phldrT="[Текст]"/>
      <dgm:spPr/>
      <dgm:t>
        <a:bodyPr/>
        <a:lstStyle/>
        <a:p>
          <a:r>
            <a:rPr lang="en-US"/>
            <a:t>Military Forces</a:t>
          </a:r>
          <a:endParaRPr lang="ru-RU"/>
        </a:p>
      </dgm:t>
    </dgm:pt>
    <dgm:pt modelId="{34C0CDCF-078B-469E-BC3B-44011EEB0660}" type="parTrans" cxnId="{82DDE8A8-03C7-4354-BC73-D1EF0496EB6C}">
      <dgm:prSet/>
      <dgm:spPr/>
      <dgm:t>
        <a:bodyPr/>
        <a:lstStyle/>
        <a:p>
          <a:endParaRPr lang="ru-RU"/>
        </a:p>
      </dgm:t>
    </dgm:pt>
    <dgm:pt modelId="{2142D57B-A466-4852-A47A-47CE68E1AF32}" type="sibTrans" cxnId="{82DDE8A8-03C7-4354-BC73-D1EF0496EB6C}">
      <dgm:prSet/>
      <dgm:spPr/>
      <dgm:t>
        <a:bodyPr/>
        <a:lstStyle/>
        <a:p>
          <a:endParaRPr lang="ru-RU"/>
        </a:p>
      </dgm:t>
    </dgm:pt>
    <dgm:pt modelId="{47C39484-004A-4B1B-AFEB-A10AF893B4B7}">
      <dgm:prSet phldrT="[Текст]"/>
      <dgm:spPr/>
      <dgm:t>
        <a:bodyPr/>
        <a:lstStyle/>
        <a:p>
          <a:r>
            <a:rPr lang="en-US" b="0" i="0"/>
            <a:t>Army of the East</a:t>
          </a:r>
          <a:endParaRPr lang="ru-RU"/>
        </a:p>
      </dgm:t>
    </dgm:pt>
    <dgm:pt modelId="{573650C1-FE34-4FCF-832A-E802D184AD30}" type="parTrans" cxnId="{F9C97C48-319F-4131-8644-0FFAFC2CABE9}">
      <dgm:prSet/>
      <dgm:spPr/>
      <dgm:t>
        <a:bodyPr/>
        <a:lstStyle/>
        <a:p>
          <a:endParaRPr lang="ru-RU"/>
        </a:p>
      </dgm:t>
    </dgm:pt>
    <dgm:pt modelId="{F3FEAFBF-5091-4BC8-A49A-19A086608B90}" type="sibTrans" cxnId="{F9C97C48-319F-4131-8644-0FFAFC2CABE9}">
      <dgm:prSet/>
      <dgm:spPr/>
      <dgm:t>
        <a:bodyPr/>
        <a:lstStyle/>
        <a:p>
          <a:endParaRPr lang="ru-RU"/>
        </a:p>
      </dgm:t>
    </dgm:pt>
    <dgm:pt modelId="{942C8DEC-C1B1-42FB-9194-9B7EB1AE53EE}">
      <dgm:prSet phldrT="[Текст]"/>
      <dgm:spPr/>
      <dgm:t>
        <a:bodyPr/>
        <a:lstStyle/>
        <a:p>
          <a:r>
            <a:rPr lang="en-US" b="0" i="0"/>
            <a:t>Army of the West</a:t>
          </a:r>
          <a:endParaRPr lang="ru-RU"/>
        </a:p>
      </dgm:t>
    </dgm:pt>
    <dgm:pt modelId="{37A0232B-06A5-4602-B064-5FBB228E3823}" type="parTrans" cxnId="{AE35CF59-B2FC-4AC7-8AB6-7A76374D68A8}">
      <dgm:prSet/>
      <dgm:spPr/>
      <dgm:t>
        <a:bodyPr/>
        <a:lstStyle/>
        <a:p>
          <a:endParaRPr lang="ru-RU"/>
        </a:p>
      </dgm:t>
    </dgm:pt>
    <dgm:pt modelId="{45DAD5B0-645F-4E87-8451-5B9D17DC113D}" type="sibTrans" cxnId="{AE35CF59-B2FC-4AC7-8AB6-7A76374D68A8}">
      <dgm:prSet/>
      <dgm:spPr/>
      <dgm:t>
        <a:bodyPr/>
        <a:lstStyle/>
        <a:p>
          <a:endParaRPr lang="ru-RU"/>
        </a:p>
      </dgm:t>
    </dgm:pt>
    <dgm:pt modelId="{75BCF308-B12A-40F8-AF41-2AAED971F0BD}">
      <dgm:prSet phldrT="[Текст]"/>
      <dgm:spPr/>
      <dgm:t>
        <a:bodyPr/>
        <a:lstStyle/>
        <a:p>
          <a:r>
            <a:rPr lang="en-US" b="0" i="0"/>
            <a:t>Army of the Heartlands</a:t>
          </a:r>
          <a:endParaRPr lang="ru-RU"/>
        </a:p>
      </dgm:t>
    </dgm:pt>
    <dgm:pt modelId="{FE37289A-17F0-4F4A-A0B5-5B32E6BD32D1}" type="parTrans" cxnId="{02D3D253-3A49-4622-ADC1-56E68B336E46}">
      <dgm:prSet/>
      <dgm:spPr/>
      <dgm:t>
        <a:bodyPr/>
        <a:lstStyle/>
        <a:p>
          <a:endParaRPr lang="ru-RU"/>
        </a:p>
      </dgm:t>
    </dgm:pt>
    <dgm:pt modelId="{951FDA6A-3ABA-458A-8918-2A31B60F12EE}" type="sibTrans" cxnId="{02D3D253-3A49-4622-ADC1-56E68B336E46}">
      <dgm:prSet/>
      <dgm:spPr/>
      <dgm:t>
        <a:bodyPr/>
        <a:lstStyle/>
        <a:p>
          <a:endParaRPr lang="ru-RU"/>
        </a:p>
      </dgm:t>
    </dgm:pt>
    <dgm:pt modelId="{CCEABBB7-338B-47E0-BEFB-7E66639CFF61}">
      <dgm:prSet phldrT="[Текст]"/>
      <dgm:spPr/>
      <dgm:t>
        <a:bodyPr/>
        <a:lstStyle/>
        <a:p>
          <a:r>
            <a:rPr lang="en-US"/>
            <a:t>Suzail</a:t>
          </a:r>
        </a:p>
      </dgm:t>
    </dgm:pt>
    <dgm:pt modelId="{EE855179-559A-4EFF-B003-56EF85A8622B}" type="parTrans" cxnId="{51CE05A5-4C61-4E8E-8D18-8812B54DDFD0}">
      <dgm:prSet/>
      <dgm:spPr/>
      <dgm:t>
        <a:bodyPr/>
        <a:lstStyle/>
        <a:p>
          <a:endParaRPr lang="ru-RU"/>
        </a:p>
      </dgm:t>
    </dgm:pt>
    <dgm:pt modelId="{B876D0C2-BA80-4486-98C8-E10AB2756FC5}" type="sibTrans" cxnId="{51CE05A5-4C61-4E8E-8D18-8812B54DDFD0}">
      <dgm:prSet/>
      <dgm:spPr/>
      <dgm:t>
        <a:bodyPr/>
        <a:lstStyle/>
        <a:p>
          <a:endParaRPr lang="ru-RU"/>
        </a:p>
      </dgm:t>
    </dgm:pt>
    <dgm:pt modelId="{504E8244-1CAD-478D-A5EE-6857132B600A}">
      <dgm:prSet phldrT="[Текст]"/>
      <dgm:spPr/>
      <dgm:t>
        <a:bodyPr/>
        <a:lstStyle/>
        <a:p>
          <a:r>
            <a:rPr lang="en-US"/>
            <a:t>Waymoot</a:t>
          </a:r>
        </a:p>
      </dgm:t>
    </dgm:pt>
    <dgm:pt modelId="{78BD750B-AA95-4DA8-8000-88F315A536B5}" type="parTrans" cxnId="{50C5C0AE-3D3D-4205-A585-5702B2E94EDC}">
      <dgm:prSet/>
      <dgm:spPr/>
      <dgm:t>
        <a:bodyPr/>
        <a:lstStyle/>
        <a:p>
          <a:endParaRPr lang="ru-RU"/>
        </a:p>
      </dgm:t>
    </dgm:pt>
    <dgm:pt modelId="{EEE02E95-5DE7-4172-A3D1-230AAA8302F4}" type="sibTrans" cxnId="{50C5C0AE-3D3D-4205-A585-5702B2E94EDC}">
      <dgm:prSet/>
      <dgm:spPr/>
      <dgm:t>
        <a:bodyPr/>
        <a:lstStyle/>
        <a:p>
          <a:endParaRPr lang="ru-RU"/>
        </a:p>
      </dgm:t>
    </dgm:pt>
    <dgm:pt modelId="{E384D70C-225E-4709-BA1C-B5D68B155C5C}">
      <dgm:prSet phldrT="[Текст]"/>
      <dgm:spPr/>
      <dgm:t>
        <a:bodyPr/>
        <a:lstStyle/>
        <a:p>
          <a:r>
            <a:rPr lang="en-US"/>
            <a:t>Jester's Green</a:t>
          </a:r>
        </a:p>
      </dgm:t>
    </dgm:pt>
    <dgm:pt modelId="{6D40DF44-2BEC-4F94-9A4A-9971C23408F6}" type="parTrans" cxnId="{3573C5EE-960A-4B5E-A79A-4CD9A16E6293}">
      <dgm:prSet/>
      <dgm:spPr/>
      <dgm:t>
        <a:bodyPr/>
        <a:lstStyle/>
        <a:p>
          <a:endParaRPr lang="ru-RU"/>
        </a:p>
      </dgm:t>
    </dgm:pt>
    <dgm:pt modelId="{D6030610-5741-46D9-A768-E77D43E6BAE4}" type="sibTrans" cxnId="{3573C5EE-960A-4B5E-A79A-4CD9A16E6293}">
      <dgm:prSet/>
      <dgm:spPr/>
      <dgm:t>
        <a:bodyPr/>
        <a:lstStyle/>
        <a:p>
          <a:endParaRPr lang="ru-RU"/>
        </a:p>
      </dgm:t>
    </dgm:pt>
    <dgm:pt modelId="{E5FDC60D-2B34-4AB7-97CD-DEFA12BFC0CC}">
      <dgm:prSet phldrT="[Текст]"/>
      <dgm:spPr/>
      <dgm:t>
        <a:bodyPr/>
        <a:lstStyle/>
        <a:p>
          <a:r>
            <a:rPr lang="en-US"/>
            <a:t>Calantar's Bridge</a:t>
          </a:r>
        </a:p>
      </dgm:t>
    </dgm:pt>
    <dgm:pt modelId="{48C51B36-BD08-4EEF-A94B-C01A76863DFE}" type="parTrans" cxnId="{B7D5014A-B2D4-49B5-9927-0C60351F1A7C}">
      <dgm:prSet/>
      <dgm:spPr/>
      <dgm:t>
        <a:bodyPr/>
        <a:lstStyle/>
        <a:p>
          <a:endParaRPr lang="ru-RU"/>
        </a:p>
      </dgm:t>
    </dgm:pt>
    <dgm:pt modelId="{45B9A766-E22E-48B1-8E35-C1633EB12FC9}" type="sibTrans" cxnId="{B7D5014A-B2D4-49B5-9927-0C60351F1A7C}">
      <dgm:prSet/>
      <dgm:spPr/>
      <dgm:t>
        <a:bodyPr/>
        <a:lstStyle/>
        <a:p>
          <a:endParaRPr lang="ru-RU"/>
        </a:p>
      </dgm:t>
    </dgm:pt>
    <dgm:pt modelId="{4A4ECE11-8B25-491E-81AA-E9C9D7A60188}">
      <dgm:prSet phldrT="[Текст]"/>
      <dgm:spPr/>
      <dgm:t>
        <a:bodyPr/>
        <a:lstStyle/>
        <a:p>
          <a:r>
            <a:rPr lang="en-US"/>
            <a:t>Eveningstar</a:t>
          </a:r>
        </a:p>
      </dgm:t>
    </dgm:pt>
    <dgm:pt modelId="{968A20AC-F9E8-486A-8D1F-FE3EA8E9C0C1}" type="parTrans" cxnId="{8B8D84E8-92E4-40EE-AC7F-9055DAC1846F}">
      <dgm:prSet/>
      <dgm:spPr/>
      <dgm:t>
        <a:bodyPr/>
        <a:lstStyle/>
        <a:p>
          <a:endParaRPr lang="ru-RU"/>
        </a:p>
      </dgm:t>
    </dgm:pt>
    <dgm:pt modelId="{9F02490B-11CB-4931-994B-A6D8AB8E004F}" type="sibTrans" cxnId="{8B8D84E8-92E4-40EE-AC7F-9055DAC1846F}">
      <dgm:prSet/>
      <dgm:spPr/>
      <dgm:t>
        <a:bodyPr/>
        <a:lstStyle/>
        <a:p>
          <a:endParaRPr lang="ru-RU"/>
        </a:p>
      </dgm:t>
    </dgm:pt>
    <dgm:pt modelId="{D3ABDF34-2C17-4964-ABFA-F146B3608B3C}">
      <dgm:prSet/>
      <dgm:spPr/>
      <dgm:t>
        <a:bodyPr/>
        <a:lstStyle/>
        <a:p>
          <a:r>
            <a:rPr lang="en-US"/>
            <a:t>Marsember</a:t>
          </a:r>
          <a:endParaRPr lang="ru-RU"/>
        </a:p>
      </dgm:t>
    </dgm:pt>
    <dgm:pt modelId="{1A7603CB-DE7D-4AEC-B00F-115328F9699B}" type="parTrans" cxnId="{35DE8D87-40FE-463B-B949-D6D91EF157E3}">
      <dgm:prSet/>
      <dgm:spPr/>
      <dgm:t>
        <a:bodyPr/>
        <a:lstStyle/>
        <a:p>
          <a:endParaRPr lang="ru-RU"/>
        </a:p>
      </dgm:t>
    </dgm:pt>
    <dgm:pt modelId="{D4737680-E48A-4B8D-9C67-C69F9FCC7FB6}" type="sibTrans" cxnId="{35DE8D87-40FE-463B-B949-D6D91EF157E3}">
      <dgm:prSet/>
      <dgm:spPr/>
      <dgm:t>
        <a:bodyPr/>
        <a:lstStyle/>
        <a:p>
          <a:endParaRPr lang="ru-RU"/>
        </a:p>
      </dgm:t>
    </dgm:pt>
    <dgm:pt modelId="{13023F3E-BBF3-4FF4-A7C1-4A0B6BAF3A29}">
      <dgm:prSet/>
      <dgm:spPr/>
      <dgm:t>
        <a:bodyPr/>
        <a:lstStyle/>
        <a:p>
          <a:r>
            <a:rPr lang="en-US"/>
            <a:t>Arabel</a:t>
          </a:r>
          <a:endParaRPr lang="ru-RU"/>
        </a:p>
      </dgm:t>
    </dgm:pt>
    <dgm:pt modelId="{6FF616BD-484A-4B07-B086-EAA610F3E144}" type="parTrans" cxnId="{43F66DA1-E5D3-427E-A6C5-E7F4673E3136}">
      <dgm:prSet/>
      <dgm:spPr/>
      <dgm:t>
        <a:bodyPr/>
        <a:lstStyle/>
        <a:p>
          <a:endParaRPr lang="ru-RU"/>
        </a:p>
      </dgm:t>
    </dgm:pt>
    <dgm:pt modelId="{F901C23F-B337-49EA-9886-DDDCCD4D6DAC}" type="sibTrans" cxnId="{43F66DA1-E5D3-427E-A6C5-E7F4673E3136}">
      <dgm:prSet/>
      <dgm:spPr/>
      <dgm:t>
        <a:bodyPr/>
        <a:lstStyle/>
        <a:p>
          <a:endParaRPr lang="ru-RU"/>
        </a:p>
      </dgm:t>
    </dgm:pt>
    <dgm:pt modelId="{361F6CE2-3FF8-4B58-A536-E5A8AB32CF5B}">
      <dgm:prSet/>
      <dgm:spPr/>
      <dgm:t>
        <a:bodyPr/>
        <a:lstStyle/>
        <a:p>
          <a:r>
            <a:rPr lang="en-US" b="0" i="1"/>
            <a:t>Immersea</a:t>
          </a:r>
          <a:endParaRPr lang="ru-RU"/>
        </a:p>
      </dgm:t>
    </dgm:pt>
    <dgm:pt modelId="{C50BEEDE-DCCE-4DF3-8F66-2B42730046B1}" type="parTrans" cxnId="{07CDFC3B-99A9-41C2-A1A5-E5642DE5EF49}">
      <dgm:prSet/>
      <dgm:spPr/>
      <dgm:t>
        <a:bodyPr/>
        <a:lstStyle/>
        <a:p>
          <a:endParaRPr lang="ru-RU"/>
        </a:p>
      </dgm:t>
    </dgm:pt>
    <dgm:pt modelId="{9BDEB05F-29B4-4F5B-B6BD-5E57B65B9657}" type="sibTrans" cxnId="{07CDFC3B-99A9-41C2-A1A5-E5642DE5EF49}">
      <dgm:prSet/>
      <dgm:spPr/>
      <dgm:t>
        <a:bodyPr/>
        <a:lstStyle/>
        <a:p>
          <a:endParaRPr lang="ru-RU"/>
        </a:p>
      </dgm:t>
    </dgm:pt>
    <dgm:pt modelId="{7FB4D978-75F0-457D-88FA-4A078F33AEDF}">
      <dgm:prSet/>
      <dgm:spPr/>
      <dgm:t>
        <a:bodyPr/>
        <a:lstStyle/>
        <a:p>
          <a:r>
            <a:rPr lang="en-US"/>
            <a:t>Arabel</a:t>
          </a:r>
          <a:endParaRPr lang="ru-RU"/>
        </a:p>
      </dgm:t>
    </dgm:pt>
    <dgm:pt modelId="{0700F839-9592-4E41-9B45-3DFC339D4E9C}" type="parTrans" cxnId="{8E32CC21-34B9-4446-A4F6-1DFD412ED43D}">
      <dgm:prSet/>
      <dgm:spPr/>
      <dgm:t>
        <a:bodyPr/>
        <a:lstStyle/>
        <a:p>
          <a:endParaRPr lang="ru-RU"/>
        </a:p>
      </dgm:t>
    </dgm:pt>
    <dgm:pt modelId="{9A17181D-65E0-4EE4-9762-A81D9B0B4DE1}" type="sibTrans" cxnId="{8E32CC21-34B9-4446-A4F6-1DFD412ED43D}">
      <dgm:prSet/>
      <dgm:spPr/>
      <dgm:t>
        <a:bodyPr/>
        <a:lstStyle/>
        <a:p>
          <a:endParaRPr lang="ru-RU"/>
        </a:p>
      </dgm:t>
    </dgm:pt>
    <dgm:pt modelId="{08DCC231-4CB5-4305-AB18-81EFFFD7E18E}">
      <dgm:prSet/>
      <dgm:spPr/>
      <dgm:t>
        <a:bodyPr/>
        <a:lstStyle/>
        <a:p>
          <a:r>
            <a:rPr lang="en-US" b="0" i="1"/>
            <a:t>Redspring</a:t>
          </a:r>
          <a:endParaRPr lang="ru-RU"/>
        </a:p>
      </dgm:t>
    </dgm:pt>
    <dgm:pt modelId="{BCDC6BB2-D5AD-4985-8CB2-4A846B30E98E}" type="parTrans" cxnId="{9DDEF4DE-A03D-4A8C-B51C-60E55D79295E}">
      <dgm:prSet/>
      <dgm:spPr/>
      <dgm:t>
        <a:bodyPr/>
        <a:lstStyle/>
        <a:p>
          <a:endParaRPr lang="ru-RU"/>
        </a:p>
      </dgm:t>
    </dgm:pt>
    <dgm:pt modelId="{0C80C866-8B19-408C-A8BA-D463EAE70F26}" type="sibTrans" cxnId="{9DDEF4DE-A03D-4A8C-B51C-60E55D79295E}">
      <dgm:prSet/>
      <dgm:spPr/>
      <dgm:t>
        <a:bodyPr/>
        <a:lstStyle/>
        <a:p>
          <a:endParaRPr lang="ru-RU"/>
        </a:p>
      </dgm:t>
    </dgm:pt>
    <dgm:pt modelId="{C63FB8A5-EF3F-4DC2-9111-14E814F65315}">
      <dgm:prSet/>
      <dgm:spPr/>
      <dgm:t>
        <a:bodyPr/>
        <a:lstStyle/>
        <a:p>
          <a:r>
            <a:rPr lang="en-US" b="0" i="1"/>
            <a:t>Goblin Mountain Outpost</a:t>
          </a:r>
          <a:endParaRPr lang="ru-RU"/>
        </a:p>
      </dgm:t>
    </dgm:pt>
    <dgm:pt modelId="{CADEA7A0-E257-45C6-B8C1-0D19914B0F98}" type="parTrans" cxnId="{7C95F396-A695-4CA4-A2D9-EE89F87056F9}">
      <dgm:prSet/>
      <dgm:spPr/>
      <dgm:t>
        <a:bodyPr/>
        <a:lstStyle/>
        <a:p>
          <a:endParaRPr lang="ru-RU"/>
        </a:p>
      </dgm:t>
    </dgm:pt>
    <dgm:pt modelId="{EAFA7E02-E0D2-470C-8C5D-9FF49B6A6DEA}" type="sibTrans" cxnId="{7C95F396-A695-4CA4-A2D9-EE89F87056F9}">
      <dgm:prSet/>
      <dgm:spPr/>
      <dgm:t>
        <a:bodyPr/>
        <a:lstStyle/>
        <a:p>
          <a:endParaRPr lang="ru-RU"/>
        </a:p>
      </dgm:t>
    </dgm:pt>
    <dgm:pt modelId="{92E884DA-13A5-4271-90BC-6968D19169D5}">
      <dgm:prSet/>
      <dgm:spPr/>
      <dgm:t>
        <a:bodyPr/>
        <a:lstStyle/>
        <a:p>
          <a:r>
            <a:rPr lang="en-US" b="0" i="1"/>
            <a:t>Thunder Gap border outpost</a:t>
          </a:r>
          <a:endParaRPr lang="ru-RU"/>
        </a:p>
      </dgm:t>
    </dgm:pt>
    <dgm:pt modelId="{5B03490E-07D1-47F1-8071-71644FDC566A}" type="parTrans" cxnId="{D48B2648-0B59-4ED8-95C3-1512B54BF0D3}">
      <dgm:prSet/>
      <dgm:spPr/>
      <dgm:t>
        <a:bodyPr/>
        <a:lstStyle/>
        <a:p>
          <a:endParaRPr lang="ru-RU"/>
        </a:p>
      </dgm:t>
    </dgm:pt>
    <dgm:pt modelId="{ABD8E950-DB0E-44E7-ADAD-07C138C8B33F}" type="sibTrans" cxnId="{D48B2648-0B59-4ED8-95C3-1512B54BF0D3}">
      <dgm:prSet/>
      <dgm:spPr/>
      <dgm:t>
        <a:bodyPr/>
        <a:lstStyle/>
        <a:p>
          <a:endParaRPr lang="ru-RU"/>
        </a:p>
      </dgm:t>
    </dgm:pt>
    <dgm:pt modelId="{B4D6A501-92B6-4566-9276-79841C5F5B3E}">
      <dgm:prSet/>
      <dgm:spPr/>
      <dgm:t>
        <a:bodyPr/>
        <a:lstStyle/>
        <a:p>
          <a:r>
            <a:rPr lang="en-US" b="0" i="1"/>
            <a:t>Masoner's Bridge waypost</a:t>
          </a:r>
          <a:endParaRPr lang="ru-RU"/>
        </a:p>
      </dgm:t>
    </dgm:pt>
    <dgm:pt modelId="{E9DBF29B-09A5-4D79-8E4F-EB717D9379F5}" type="parTrans" cxnId="{F658CB61-2A1E-446B-A15F-14CB90E77733}">
      <dgm:prSet/>
      <dgm:spPr/>
      <dgm:t>
        <a:bodyPr/>
        <a:lstStyle/>
        <a:p>
          <a:endParaRPr lang="ru-RU"/>
        </a:p>
      </dgm:t>
    </dgm:pt>
    <dgm:pt modelId="{C9B9E3AE-89C7-4A0A-8EF9-99B362783877}" type="sibTrans" cxnId="{F658CB61-2A1E-446B-A15F-14CB90E77733}">
      <dgm:prSet/>
      <dgm:spPr/>
      <dgm:t>
        <a:bodyPr/>
        <a:lstStyle/>
        <a:p>
          <a:endParaRPr lang="ru-RU"/>
        </a:p>
      </dgm:t>
    </dgm:pt>
    <dgm:pt modelId="{0A3F52A5-06F1-4B17-899C-850380DFFE2D}">
      <dgm:prSet/>
      <dgm:spPr/>
      <dgm:t>
        <a:bodyPr/>
        <a:lstStyle/>
        <a:p>
          <a:r>
            <a:rPr lang="en-US" b="0" i="1"/>
            <a:t>East Way waypost</a:t>
          </a:r>
          <a:endParaRPr lang="ru-RU"/>
        </a:p>
      </dgm:t>
    </dgm:pt>
    <dgm:pt modelId="{57D7CE9D-0978-4AFB-B6D9-BCD3CA2229EB}" type="parTrans" cxnId="{94D06145-AE43-43A9-8CBA-BBF81D2DA269}">
      <dgm:prSet/>
      <dgm:spPr/>
      <dgm:t>
        <a:bodyPr/>
        <a:lstStyle/>
        <a:p>
          <a:endParaRPr lang="ru-RU"/>
        </a:p>
      </dgm:t>
    </dgm:pt>
    <dgm:pt modelId="{DA7358C6-809A-499F-8BF4-F22C96B0E8C7}" type="sibTrans" cxnId="{94D06145-AE43-43A9-8CBA-BBF81D2DA269}">
      <dgm:prSet/>
      <dgm:spPr/>
      <dgm:t>
        <a:bodyPr/>
        <a:lstStyle/>
        <a:p>
          <a:endParaRPr lang="ru-RU"/>
        </a:p>
      </dgm:t>
    </dgm:pt>
    <dgm:pt modelId="{356F1E70-7280-4D9A-98C3-6DF913ADC682}">
      <dgm:prSet/>
      <dgm:spPr/>
      <dgm:t>
        <a:bodyPr/>
        <a:lstStyle/>
        <a:p>
          <a:r>
            <a:rPr lang="en-US"/>
            <a:t>Castle Crag</a:t>
          </a:r>
          <a:endParaRPr lang="ru-RU"/>
        </a:p>
      </dgm:t>
    </dgm:pt>
    <dgm:pt modelId="{E4319104-1B95-45B9-85D4-9B14C9DDA4E1}" type="parTrans" cxnId="{AD8DBCFC-5B86-443C-B258-D31366592292}">
      <dgm:prSet/>
      <dgm:spPr/>
      <dgm:t>
        <a:bodyPr/>
        <a:lstStyle/>
        <a:p>
          <a:endParaRPr lang="ru-RU"/>
        </a:p>
      </dgm:t>
    </dgm:pt>
    <dgm:pt modelId="{0600A3E2-6162-41AE-A0CB-551CB60E1EA2}" type="sibTrans" cxnId="{AD8DBCFC-5B86-443C-B258-D31366592292}">
      <dgm:prSet/>
      <dgm:spPr/>
      <dgm:t>
        <a:bodyPr/>
        <a:lstStyle/>
        <a:p>
          <a:endParaRPr lang="ru-RU"/>
        </a:p>
      </dgm:t>
    </dgm:pt>
    <dgm:pt modelId="{E320A9B7-6569-409D-A82B-C9F6BFD17056}">
      <dgm:prSet/>
      <dgm:spPr/>
      <dgm:t>
        <a:bodyPr/>
        <a:lstStyle/>
        <a:p>
          <a:r>
            <a:rPr lang="en-US" b="0" i="1"/>
            <a:t>patrols into the Stonelands</a:t>
          </a:r>
          <a:endParaRPr lang="ru-RU"/>
        </a:p>
      </dgm:t>
    </dgm:pt>
    <dgm:pt modelId="{BFCFC687-F71D-4DAB-8391-64397C85E2EE}" type="parTrans" cxnId="{CE033F28-F31C-49CD-9113-63D710F4C0B7}">
      <dgm:prSet/>
      <dgm:spPr/>
      <dgm:t>
        <a:bodyPr/>
        <a:lstStyle/>
        <a:p>
          <a:endParaRPr lang="ru-RU"/>
        </a:p>
      </dgm:t>
    </dgm:pt>
    <dgm:pt modelId="{F09CC6F1-B178-4105-8452-299F3EA9A408}" type="sibTrans" cxnId="{CE033F28-F31C-49CD-9113-63D710F4C0B7}">
      <dgm:prSet/>
      <dgm:spPr/>
      <dgm:t>
        <a:bodyPr/>
        <a:lstStyle/>
        <a:p>
          <a:endParaRPr lang="ru-RU"/>
        </a:p>
      </dgm:t>
    </dgm:pt>
    <dgm:pt modelId="{192A6EE5-E3DC-4471-9A0A-1E32D76EA79D}">
      <dgm:prSet/>
      <dgm:spPr/>
      <dgm:t>
        <a:bodyPr/>
        <a:lstStyle/>
        <a:p>
          <a:r>
            <a:rPr lang="en-US" b="0" i="1"/>
            <a:t>Yeoman Bridge</a:t>
          </a:r>
          <a:endParaRPr lang="en-US"/>
        </a:p>
      </dgm:t>
    </dgm:pt>
    <dgm:pt modelId="{F540E5BF-A929-44AD-837D-0ACB1AC173F6}" type="parTrans" cxnId="{066D170F-8AF6-4EDD-A4A8-1996C8E63597}">
      <dgm:prSet/>
      <dgm:spPr/>
      <dgm:t>
        <a:bodyPr/>
        <a:lstStyle/>
        <a:p>
          <a:endParaRPr lang="ru-RU"/>
        </a:p>
      </dgm:t>
    </dgm:pt>
    <dgm:pt modelId="{810D2F77-420F-4A2C-BBE7-17FFFA0D1E0A}" type="sibTrans" cxnId="{066D170F-8AF6-4EDD-A4A8-1996C8E63597}">
      <dgm:prSet/>
      <dgm:spPr/>
      <dgm:t>
        <a:bodyPr/>
        <a:lstStyle/>
        <a:p>
          <a:endParaRPr lang="ru-RU"/>
        </a:p>
      </dgm:t>
    </dgm:pt>
    <dgm:pt modelId="{79F40210-A64B-4E7E-AA0D-B96EC8AB1394}">
      <dgm:prSet/>
      <dgm:spPr/>
      <dgm:t>
        <a:bodyPr/>
        <a:lstStyle/>
        <a:p>
          <a:r>
            <a:rPr lang="en-US" b="0" i="1"/>
            <a:t>Slingdyke</a:t>
          </a:r>
          <a:endParaRPr lang="ru-RU"/>
        </a:p>
      </dgm:t>
    </dgm:pt>
    <dgm:pt modelId="{64EC115C-FC49-41D7-83E4-51E5041683E1}" type="parTrans" cxnId="{B5891EC0-5AF7-4494-8898-6304D388B271}">
      <dgm:prSet/>
      <dgm:spPr/>
      <dgm:t>
        <a:bodyPr/>
        <a:lstStyle/>
        <a:p>
          <a:endParaRPr lang="ru-RU"/>
        </a:p>
      </dgm:t>
    </dgm:pt>
    <dgm:pt modelId="{435B1CA8-757C-416B-AEBC-BA00A8F349E6}" type="sibTrans" cxnId="{B5891EC0-5AF7-4494-8898-6304D388B271}">
      <dgm:prSet/>
      <dgm:spPr/>
      <dgm:t>
        <a:bodyPr/>
        <a:lstStyle/>
        <a:p>
          <a:endParaRPr lang="ru-RU"/>
        </a:p>
      </dgm:t>
    </dgm:pt>
    <dgm:pt modelId="{2F7ED289-7ECC-491C-9708-D022CAE1AEAE}">
      <dgm:prSet/>
      <dgm:spPr/>
      <dgm:t>
        <a:bodyPr/>
        <a:lstStyle/>
        <a:p>
          <a:r>
            <a:rPr lang="en-US" b="0" i="1"/>
            <a:t>Hillmarch</a:t>
          </a:r>
          <a:endParaRPr lang="ru-RU"/>
        </a:p>
      </dgm:t>
    </dgm:pt>
    <dgm:pt modelId="{D0B61793-02E4-46A1-B677-D618546E6B25}" type="parTrans" cxnId="{5404C2D0-08FA-46BB-9358-9F52ED30EC4A}">
      <dgm:prSet/>
      <dgm:spPr/>
      <dgm:t>
        <a:bodyPr/>
        <a:lstStyle/>
        <a:p>
          <a:endParaRPr lang="ru-RU"/>
        </a:p>
      </dgm:t>
    </dgm:pt>
    <dgm:pt modelId="{3C282FEB-14CF-476C-89C6-972E7890C5C9}" type="sibTrans" cxnId="{5404C2D0-08FA-46BB-9358-9F52ED30EC4A}">
      <dgm:prSet/>
      <dgm:spPr/>
      <dgm:t>
        <a:bodyPr/>
        <a:lstStyle/>
        <a:p>
          <a:endParaRPr lang="ru-RU"/>
        </a:p>
      </dgm:t>
    </dgm:pt>
    <dgm:pt modelId="{9C069160-229B-4581-8576-3A89D6D94A25}">
      <dgm:prSet/>
      <dgm:spPr/>
      <dgm:t>
        <a:bodyPr/>
        <a:lstStyle/>
        <a:p>
          <a:r>
            <a:rPr lang="en-US" b="0" i="1"/>
            <a:t>Gnollpost</a:t>
          </a:r>
          <a:endParaRPr lang="ru-RU"/>
        </a:p>
      </dgm:t>
    </dgm:pt>
    <dgm:pt modelId="{1E2C769F-3062-46DA-8D46-94B6834F4EC8}" type="parTrans" cxnId="{C7A91628-DD33-48A8-A5AC-5D8B52DE6AFC}">
      <dgm:prSet/>
      <dgm:spPr/>
      <dgm:t>
        <a:bodyPr/>
        <a:lstStyle/>
        <a:p>
          <a:endParaRPr lang="ru-RU"/>
        </a:p>
      </dgm:t>
    </dgm:pt>
    <dgm:pt modelId="{199055F2-461B-4401-9718-37AED6883434}" type="sibTrans" cxnId="{C7A91628-DD33-48A8-A5AC-5D8B52DE6AFC}">
      <dgm:prSet/>
      <dgm:spPr/>
      <dgm:t>
        <a:bodyPr/>
        <a:lstStyle/>
        <a:p>
          <a:endParaRPr lang="ru-RU"/>
        </a:p>
      </dgm:t>
    </dgm:pt>
    <dgm:pt modelId="{54A7C8D6-8980-4203-933A-A6ABB9311ED9}">
      <dgm:prSet/>
      <dgm:spPr/>
      <dgm:t>
        <a:bodyPr/>
        <a:lstStyle/>
        <a:p>
          <a:r>
            <a:rPr lang="en-US" b="1" i="0"/>
            <a:t>Halfhap</a:t>
          </a:r>
          <a:endParaRPr lang="ru-RU"/>
        </a:p>
      </dgm:t>
    </dgm:pt>
    <dgm:pt modelId="{877DA76B-5E9E-49DB-BF23-7B0B0214CBE5}" type="parTrans" cxnId="{B96FFD20-6AC9-44DA-AE93-6A62A31DB125}">
      <dgm:prSet/>
      <dgm:spPr/>
      <dgm:t>
        <a:bodyPr/>
        <a:lstStyle/>
        <a:p>
          <a:endParaRPr lang="ru-RU"/>
        </a:p>
      </dgm:t>
    </dgm:pt>
    <dgm:pt modelId="{D3E591C4-A00D-43DD-9D5E-3850620DF7A4}" type="sibTrans" cxnId="{B96FFD20-6AC9-44DA-AE93-6A62A31DB125}">
      <dgm:prSet/>
      <dgm:spPr/>
      <dgm:t>
        <a:bodyPr/>
        <a:lstStyle/>
        <a:p>
          <a:endParaRPr lang="ru-RU"/>
        </a:p>
      </dgm:t>
    </dgm:pt>
    <dgm:pt modelId="{1BFF86D9-5F2A-42D6-A1C2-8D7358A082E0}">
      <dgm:prSet/>
      <dgm:spPr/>
      <dgm:t>
        <a:bodyPr/>
        <a:lstStyle/>
        <a:p>
          <a:r>
            <a:rPr lang="en-US" b="0" i="1"/>
            <a:t>Mootpost</a:t>
          </a:r>
          <a:endParaRPr lang="ru-RU"/>
        </a:p>
      </dgm:t>
    </dgm:pt>
    <dgm:pt modelId="{6EAE49A9-A3EF-4AA2-8DBC-884F8CB98652}" type="parTrans" cxnId="{F869600D-D17E-49EF-B508-1A4D869FE0D1}">
      <dgm:prSet/>
      <dgm:spPr/>
      <dgm:t>
        <a:bodyPr/>
        <a:lstStyle/>
        <a:p>
          <a:endParaRPr lang="ru-RU"/>
        </a:p>
      </dgm:t>
    </dgm:pt>
    <dgm:pt modelId="{EDCBE86C-5252-4899-8633-5DD1BFE56D30}" type="sibTrans" cxnId="{F869600D-D17E-49EF-B508-1A4D869FE0D1}">
      <dgm:prSet/>
      <dgm:spPr/>
      <dgm:t>
        <a:bodyPr/>
        <a:lstStyle/>
        <a:p>
          <a:endParaRPr lang="ru-RU"/>
        </a:p>
      </dgm:t>
    </dgm:pt>
    <dgm:pt modelId="{33FE6074-D3CD-494D-AE01-ED50109A4613}">
      <dgm:prSet/>
      <dgm:spPr/>
      <dgm:t>
        <a:bodyPr/>
        <a:lstStyle/>
        <a:p>
          <a:r>
            <a:rPr lang="en-US"/>
            <a:t>New Tilverton</a:t>
          </a:r>
          <a:endParaRPr lang="ru-RU"/>
        </a:p>
      </dgm:t>
    </dgm:pt>
    <dgm:pt modelId="{F324D244-3B52-41D8-9D01-01DF46ADF6B6}" type="parTrans" cxnId="{0C021B5D-44EB-4504-9704-B65870EF4773}">
      <dgm:prSet/>
      <dgm:spPr/>
      <dgm:t>
        <a:bodyPr/>
        <a:lstStyle/>
        <a:p>
          <a:endParaRPr lang="ru-RU"/>
        </a:p>
      </dgm:t>
    </dgm:pt>
    <dgm:pt modelId="{0B02EA63-5F31-479C-87BA-8D3DC261E73B}" type="sibTrans" cxnId="{0C021B5D-44EB-4504-9704-B65870EF4773}">
      <dgm:prSet/>
      <dgm:spPr/>
      <dgm:t>
        <a:bodyPr/>
        <a:lstStyle/>
        <a:p>
          <a:endParaRPr lang="ru-RU"/>
        </a:p>
      </dgm:t>
    </dgm:pt>
    <dgm:pt modelId="{859BA693-07BB-4A81-93C9-BE4A6808C33D}">
      <dgm:prSet/>
      <dgm:spPr/>
      <dgm:t>
        <a:bodyPr/>
        <a:lstStyle/>
        <a:p>
          <a:r>
            <a:rPr lang="en-US" b="1" i="0"/>
            <a:t>Eagle Peak</a:t>
          </a:r>
          <a:endParaRPr lang="ru-RU"/>
        </a:p>
      </dgm:t>
    </dgm:pt>
    <dgm:pt modelId="{92CB946F-71D1-4C7D-9400-3446CBF271F8}" type="parTrans" cxnId="{D4DAF351-0CB4-4D19-83EA-D9A1A6EE4545}">
      <dgm:prSet/>
      <dgm:spPr/>
      <dgm:t>
        <a:bodyPr/>
        <a:lstStyle/>
        <a:p>
          <a:endParaRPr lang="ru-RU"/>
        </a:p>
      </dgm:t>
    </dgm:pt>
    <dgm:pt modelId="{55E857A5-48AA-4F40-BE93-91C56C4BCBB3}" type="sibTrans" cxnId="{D4DAF351-0CB4-4D19-83EA-D9A1A6EE4545}">
      <dgm:prSet/>
      <dgm:spPr/>
      <dgm:t>
        <a:bodyPr/>
        <a:lstStyle/>
        <a:p>
          <a:endParaRPr lang="ru-RU"/>
        </a:p>
      </dgm:t>
    </dgm:pt>
    <dgm:pt modelId="{58195434-CC28-4171-98DC-064A9A9C5BBC}">
      <dgm:prSet/>
      <dgm:spPr/>
      <dgm:t>
        <a:bodyPr/>
        <a:lstStyle/>
        <a:p>
          <a:r>
            <a:rPr lang="en-US" b="1" i="0"/>
            <a:t>High Horn</a:t>
          </a:r>
          <a:endParaRPr lang="en-US" i="0"/>
        </a:p>
      </dgm:t>
    </dgm:pt>
    <dgm:pt modelId="{9F157D24-A5D1-4619-B1CE-207AD8F53CD5}" type="parTrans" cxnId="{F765A2C6-09CD-4E90-987C-C69F8A8E72EA}">
      <dgm:prSet/>
      <dgm:spPr/>
      <dgm:t>
        <a:bodyPr/>
        <a:lstStyle/>
        <a:p>
          <a:endParaRPr lang="ru-RU"/>
        </a:p>
      </dgm:t>
    </dgm:pt>
    <dgm:pt modelId="{AE4AF2AF-0AC7-472A-B043-2859192D62C9}" type="sibTrans" cxnId="{F765A2C6-09CD-4E90-987C-C69F8A8E72EA}">
      <dgm:prSet/>
      <dgm:spPr/>
      <dgm:t>
        <a:bodyPr/>
        <a:lstStyle/>
        <a:p>
          <a:endParaRPr lang="ru-RU"/>
        </a:p>
      </dgm:t>
    </dgm:pt>
    <dgm:pt modelId="{25E03141-74F1-48C9-90A5-C61C9D8E2AE0}">
      <dgm:prSet/>
      <dgm:spPr/>
      <dgm:t>
        <a:bodyPr/>
        <a:lstStyle/>
        <a:p>
          <a:r>
            <a:rPr lang="en-US" b="0" i="0"/>
            <a:t>Tyrluk</a:t>
          </a:r>
          <a:endParaRPr lang="en-US" i="0"/>
        </a:p>
      </dgm:t>
    </dgm:pt>
    <dgm:pt modelId="{CB18A920-F073-4639-AD71-F8F60BA7D0B8}" type="parTrans" cxnId="{3DED1C5E-DA81-476B-9AE7-9FEA399A330B}">
      <dgm:prSet/>
      <dgm:spPr/>
      <dgm:t>
        <a:bodyPr/>
        <a:lstStyle/>
        <a:p>
          <a:endParaRPr lang="ru-RU"/>
        </a:p>
      </dgm:t>
    </dgm:pt>
    <dgm:pt modelId="{9E020631-8259-4CF6-AEA5-10F0F2EDCFBA}" type="sibTrans" cxnId="{3DED1C5E-DA81-476B-9AE7-9FEA399A330B}">
      <dgm:prSet/>
      <dgm:spPr/>
      <dgm:t>
        <a:bodyPr/>
        <a:lstStyle/>
        <a:p>
          <a:endParaRPr lang="ru-RU"/>
        </a:p>
      </dgm:t>
    </dgm:pt>
    <dgm:pt modelId="{09CC62A3-5469-49FC-A786-F060E682E2A5}">
      <dgm:prSet/>
      <dgm:spPr/>
      <dgm:t>
        <a:bodyPr/>
        <a:lstStyle/>
        <a:p>
          <a:r>
            <a:rPr lang="en-US" b="1" i="0"/>
            <a:t>Skull Crag</a:t>
          </a:r>
          <a:endParaRPr lang="en-US"/>
        </a:p>
      </dgm:t>
    </dgm:pt>
    <dgm:pt modelId="{482AB384-4C32-47B3-8FD6-5F997F9EA434}" type="parTrans" cxnId="{68B2112C-D3CA-4B3C-AE98-5A6B3F586416}">
      <dgm:prSet/>
      <dgm:spPr/>
      <dgm:t>
        <a:bodyPr/>
        <a:lstStyle/>
        <a:p>
          <a:endParaRPr lang="ru-RU"/>
        </a:p>
      </dgm:t>
    </dgm:pt>
    <dgm:pt modelId="{0863FAD4-0ECB-47E2-A8C2-9714C72C72F9}" type="sibTrans" cxnId="{68B2112C-D3CA-4B3C-AE98-5A6B3F586416}">
      <dgm:prSet/>
      <dgm:spPr/>
      <dgm:t>
        <a:bodyPr/>
        <a:lstStyle/>
        <a:p>
          <a:endParaRPr lang="ru-RU"/>
        </a:p>
      </dgm:t>
    </dgm:pt>
    <dgm:pt modelId="{3499517F-1884-446D-A76D-45F8E857FACA}">
      <dgm:prSet/>
      <dgm:spPr/>
      <dgm:t>
        <a:bodyPr/>
        <a:lstStyle/>
        <a:p>
          <a:r>
            <a:rPr lang="en-US" b="0" i="0"/>
            <a:t>Greatgaunt</a:t>
          </a:r>
          <a:endParaRPr lang="en-US" i="0"/>
        </a:p>
      </dgm:t>
    </dgm:pt>
    <dgm:pt modelId="{844276F5-192D-4A16-91F3-47A6C6A9690F}" type="parTrans" cxnId="{023B7D4F-4C90-48A6-A4AA-6AD508181C19}">
      <dgm:prSet/>
      <dgm:spPr/>
      <dgm:t>
        <a:bodyPr/>
        <a:lstStyle/>
        <a:p>
          <a:endParaRPr lang="ru-RU"/>
        </a:p>
      </dgm:t>
    </dgm:pt>
    <dgm:pt modelId="{CE68AC63-E24F-40F1-8D9A-5932A99E73B7}" type="sibTrans" cxnId="{023B7D4F-4C90-48A6-A4AA-6AD508181C19}">
      <dgm:prSet/>
      <dgm:spPr/>
      <dgm:t>
        <a:bodyPr/>
        <a:lstStyle/>
        <a:p>
          <a:endParaRPr lang="ru-RU"/>
        </a:p>
      </dgm:t>
    </dgm:pt>
    <dgm:pt modelId="{936CFED1-4BB2-43DC-812F-48302718469F}">
      <dgm:prSet/>
      <dgm:spPr/>
      <dgm:t>
        <a:bodyPr/>
        <a:lstStyle/>
        <a:p>
          <a:r>
            <a:rPr lang="en-US"/>
            <a:t>Proskur</a:t>
          </a:r>
          <a:endParaRPr lang="ru-RU"/>
        </a:p>
      </dgm:t>
    </dgm:pt>
    <dgm:pt modelId="{80D01D1C-F7AD-4903-B763-3DDD08217195}" type="parTrans" cxnId="{A1AAD59C-CC3E-4249-807C-4EA4E6C108C3}">
      <dgm:prSet/>
      <dgm:spPr/>
      <dgm:t>
        <a:bodyPr/>
        <a:lstStyle/>
        <a:p>
          <a:endParaRPr lang="ru-RU"/>
        </a:p>
      </dgm:t>
    </dgm:pt>
    <dgm:pt modelId="{6002D9AC-D620-4638-8024-212DC920DB86}" type="sibTrans" cxnId="{A1AAD59C-CC3E-4249-807C-4EA4E6C108C3}">
      <dgm:prSet/>
      <dgm:spPr/>
      <dgm:t>
        <a:bodyPr/>
        <a:lstStyle/>
        <a:p>
          <a:endParaRPr lang="ru-RU"/>
        </a:p>
      </dgm:t>
    </dgm:pt>
    <dgm:pt modelId="{9CB0D02B-297D-45D8-9A74-8B2722D21446}">
      <dgm:prSet/>
      <dgm:spPr/>
      <dgm:t>
        <a:bodyPr/>
        <a:lstStyle/>
        <a:p>
          <a:r>
            <a:rPr lang="en-US" b="1" i="0"/>
            <a:t>Thunderstone</a:t>
          </a:r>
          <a:endParaRPr lang="ru-RU"/>
        </a:p>
      </dgm:t>
    </dgm:pt>
    <dgm:pt modelId="{90B7B0D0-41B3-42B0-9A48-5F3EDFF55DC6}" type="parTrans" cxnId="{BF51AB96-ABA6-4D7E-9FE3-350DA14CBA04}">
      <dgm:prSet/>
      <dgm:spPr/>
      <dgm:t>
        <a:bodyPr/>
        <a:lstStyle/>
        <a:p>
          <a:endParaRPr lang="ru-RU"/>
        </a:p>
      </dgm:t>
    </dgm:pt>
    <dgm:pt modelId="{1C1B6B31-8B13-4C01-9971-0D6C07870733}" type="sibTrans" cxnId="{BF51AB96-ABA6-4D7E-9FE3-350DA14CBA04}">
      <dgm:prSet/>
      <dgm:spPr/>
      <dgm:t>
        <a:bodyPr/>
        <a:lstStyle/>
        <a:p>
          <a:endParaRPr lang="ru-RU"/>
        </a:p>
      </dgm:t>
    </dgm:pt>
    <dgm:pt modelId="{27A2630D-98F2-4614-BC91-D5D085DE0B41}">
      <dgm:prSet/>
      <dgm:spPr/>
      <dgm:t>
        <a:bodyPr/>
        <a:lstStyle/>
        <a:p>
          <a:r>
            <a:rPr lang="en-US" b="0" i="0"/>
            <a:t>Royal Corps of Monster Hunters</a:t>
          </a:r>
          <a:endParaRPr lang="en-US"/>
        </a:p>
      </dgm:t>
    </dgm:pt>
    <dgm:pt modelId="{D4331A8D-33A8-41AB-9ED7-DBB4FAF8DAFF}" type="parTrans" cxnId="{2D5F26FB-B27D-4489-8B01-43CB49577DA5}">
      <dgm:prSet/>
      <dgm:spPr/>
      <dgm:t>
        <a:bodyPr/>
        <a:lstStyle/>
        <a:p>
          <a:endParaRPr lang="ru-RU"/>
        </a:p>
      </dgm:t>
    </dgm:pt>
    <dgm:pt modelId="{8B39EF6A-E7FE-4CE5-9005-FC4EC17ED67D}" type="sibTrans" cxnId="{2D5F26FB-B27D-4489-8B01-43CB49577DA5}">
      <dgm:prSet/>
      <dgm:spPr/>
      <dgm:t>
        <a:bodyPr/>
        <a:lstStyle/>
        <a:p>
          <a:endParaRPr lang="ru-RU"/>
        </a:p>
      </dgm:t>
    </dgm:pt>
    <dgm:pt modelId="{1A569E30-937F-4904-88CA-1C8DD51AF791}">
      <dgm:prSet/>
      <dgm:spPr/>
      <dgm:t>
        <a:bodyPr/>
        <a:lstStyle/>
        <a:p>
          <a:r>
            <a:rPr lang="en-US"/>
            <a:t>Wheelon</a:t>
          </a:r>
          <a:endParaRPr lang="ru-RU"/>
        </a:p>
      </dgm:t>
    </dgm:pt>
    <dgm:pt modelId="{BF97EDE8-7F5D-4A67-9088-84427FCF0EBB}" type="parTrans" cxnId="{B6A07EB4-93A4-4CBA-885F-2515AB574A7A}">
      <dgm:prSet/>
      <dgm:spPr/>
      <dgm:t>
        <a:bodyPr/>
        <a:lstStyle/>
        <a:p>
          <a:endParaRPr lang="ru-RU"/>
        </a:p>
      </dgm:t>
    </dgm:pt>
    <dgm:pt modelId="{D65C5FFC-551E-4462-83B0-3004D251CAE6}" type="sibTrans" cxnId="{B6A07EB4-93A4-4CBA-885F-2515AB574A7A}">
      <dgm:prSet/>
      <dgm:spPr/>
      <dgm:t>
        <a:bodyPr/>
        <a:lstStyle/>
        <a:p>
          <a:endParaRPr lang="ru-RU"/>
        </a:p>
      </dgm:t>
    </dgm:pt>
    <dgm:pt modelId="{271B7A9B-D46F-4112-8CFC-B4013E5F5FA3}">
      <dgm:prSet/>
      <dgm:spPr/>
      <dgm:t>
        <a:bodyPr/>
        <a:lstStyle/>
        <a:p>
          <a:r>
            <a:rPr lang="en-US"/>
            <a:t>Dawngleam</a:t>
          </a:r>
        </a:p>
      </dgm:t>
    </dgm:pt>
    <dgm:pt modelId="{79664164-3517-4B41-BA76-18AB48010EC5}" type="parTrans" cxnId="{DF4AED3F-A18D-4D6A-92ED-01427D3FDB43}">
      <dgm:prSet/>
      <dgm:spPr/>
      <dgm:t>
        <a:bodyPr/>
        <a:lstStyle/>
        <a:p>
          <a:endParaRPr lang="ru-RU"/>
        </a:p>
      </dgm:t>
    </dgm:pt>
    <dgm:pt modelId="{808D4B20-BC77-4948-90C4-6031DBAF0EFE}" type="sibTrans" cxnId="{DF4AED3F-A18D-4D6A-92ED-01427D3FDB43}">
      <dgm:prSet/>
      <dgm:spPr/>
      <dgm:t>
        <a:bodyPr/>
        <a:lstStyle/>
        <a:p>
          <a:endParaRPr lang="ru-RU"/>
        </a:p>
      </dgm:t>
    </dgm:pt>
    <dgm:pt modelId="{769C65BC-A8BD-4DCC-BE4D-60D934746620}">
      <dgm:prSet/>
      <dgm:spPr/>
      <dgm:t>
        <a:bodyPr/>
        <a:lstStyle/>
        <a:p>
          <a:r>
            <a:rPr lang="en-US" b="0" i="1"/>
            <a:t>Juniril</a:t>
          </a:r>
          <a:endParaRPr lang="en-US"/>
        </a:p>
      </dgm:t>
    </dgm:pt>
    <dgm:pt modelId="{3C574F4D-298E-4306-9B11-DCEDC5F7E73F}" type="parTrans" cxnId="{9EAE3269-26D8-4DC7-878B-F92BD7D94B05}">
      <dgm:prSet/>
      <dgm:spPr/>
      <dgm:t>
        <a:bodyPr/>
        <a:lstStyle/>
        <a:p>
          <a:endParaRPr lang="ru-RU"/>
        </a:p>
      </dgm:t>
    </dgm:pt>
    <dgm:pt modelId="{F9831A34-5F5B-429C-8FEB-29DCE8D427C6}" type="sibTrans" cxnId="{9EAE3269-26D8-4DC7-878B-F92BD7D94B05}">
      <dgm:prSet/>
      <dgm:spPr/>
      <dgm:t>
        <a:bodyPr/>
        <a:lstStyle/>
        <a:p>
          <a:endParaRPr lang="ru-RU"/>
        </a:p>
      </dgm:t>
    </dgm:pt>
    <dgm:pt modelId="{EDDD2953-7192-4A21-8C8D-2D068F8C3333}">
      <dgm:prSet/>
      <dgm:spPr/>
      <dgm:t>
        <a:bodyPr/>
        <a:lstStyle/>
        <a:p>
          <a:r>
            <a:rPr lang="en-US" b="0" i="1"/>
            <a:t>Hultail</a:t>
          </a:r>
          <a:endParaRPr lang="en-US"/>
        </a:p>
      </dgm:t>
    </dgm:pt>
    <dgm:pt modelId="{87774D7B-42AC-4832-8762-24360B4FABFF}" type="parTrans" cxnId="{A3889BED-57E6-4190-947E-FD4233E169B0}">
      <dgm:prSet/>
      <dgm:spPr/>
      <dgm:t>
        <a:bodyPr/>
        <a:lstStyle/>
        <a:p>
          <a:endParaRPr lang="ru-RU"/>
        </a:p>
      </dgm:t>
    </dgm:pt>
    <dgm:pt modelId="{2330FBD9-58D9-405B-AFA1-3D360C274410}" type="sibTrans" cxnId="{A3889BED-57E6-4190-947E-FD4233E169B0}">
      <dgm:prSet/>
      <dgm:spPr/>
      <dgm:t>
        <a:bodyPr/>
        <a:lstStyle/>
        <a:p>
          <a:endParaRPr lang="ru-RU"/>
        </a:p>
      </dgm:t>
    </dgm:pt>
    <dgm:pt modelId="{F93F2BB2-C1A3-4CA8-A9B9-7E0A9D0F9E7D}">
      <dgm:prSet/>
      <dgm:spPr/>
      <dgm:t>
        <a:bodyPr/>
        <a:lstStyle/>
        <a:p>
          <a:r>
            <a:rPr lang="en-US" b="0" i="1"/>
            <a:t>Ghars</a:t>
          </a:r>
          <a:endParaRPr lang="en-US"/>
        </a:p>
      </dgm:t>
    </dgm:pt>
    <dgm:pt modelId="{C40722F0-6B71-4053-B9C1-5E2A846EA065}" type="parTrans" cxnId="{E57E52CD-755B-47E6-81C0-5C2B7456FFA4}">
      <dgm:prSet/>
      <dgm:spPr/>
      <dgm:t>
        <a:bodyPr/>
        <a:lstStyle/>
        <a:p>
          <a:endParaRPr lang="ru-RU"/>
        </a:p>
      </dgm:t>
    </dgm:pt>
    <dgm:pt modelId="{48BF7844-A879-4A10-B55A-69E12A705B7F}" type="sibTrans" cxnId="{E57E52CD-755B-47E6-81C0-5C2B7456FFA4}">
      <dgm:prSet/>
      <dgm:spPr/>
      <dgm:t>
        <a:bodyPr/>
        <a:lstStyle/>
        <a:p>
          <a:endParaRPr lang="ru-RU"/>
        </a:p>
      </dgm:t>
    </dgm:pt>
    <dgm:pt modelId="{40A61076-DA91-47A8-A767-A7751DD3A9B8}">
      <dgm:prSet/>
      <dgm:spPr/>
      <dgm:t>
        <a:bodyPr/>
        <a:lstStyle/>
        <a:p>
          <a:r>
            <a:rPr lang="en-US" b="0" i="1"/>
            <a:t>Battlerise</a:t>
          </a:r>
          <a:endParaRPr lang="en-US"/>
        </a:p>
      </dgm:t>
    </dgm:pt>
    <dgm:pt modelId="{878346E3-8C64-42ED-816A-B1CE4FF74420}" type="parTrans" cxnId="{C52A88C6-11D7-4767-8AA9-2A48B80A7951}">
      <dgm:prSet/>
      <dgm:spPr/>
      <dgm:t>
        <a:bodyPr/>
        <a:lstStyle/>
        <a:p>
          <a:endParaRPr lang="ru-RU"/>
        </a:p>
      </dgm:t>
    </dgm:pt>
    <dgm:pt modelId="{A0CFFAF7-74B4-4EF7-8C40-C999341A4B00}" type="sibTrans" cxnId="{C52A88C6-11D7-4767-8AA9-2A48B80A7951}">
      <dgm:prSet/>
      <dgm:spPr/>
      <dgm:t>
        <a:bodyPr/>
        <a:lstStyle/>
        <a:p>
          <a:endParaRPr lang="ru-RU"/>
        </a:p>
      </dgm:t>
    </dgm:pt>
    <dgm:pt modelId="{E58525F7-6FD9-448A-8404-8A7098194956}">
      <dgm:prSet/>
      <dgm:spPr/>
      <dgm:t>
        <a:bodyPr/>
        <a:lstStyle/>
        <a:p>
          <a:r>
            <a:rPr lang="en-US" b="0" i="1"/>
            <a:t>Kirinwood</a:t>
          </a:r>
          <a:endParaRPr lang="en-US"/>
        </a:p>
      </dgm:t>
    </dgm:pt>
    <dgm:pt modelId="{C00E2169-7733-4DB3-88A6-B7EC5C74D57D}" type="parTrans" cxnId="{61788351-86B5-49F3-BB2E-D46217FA47A4}">
      <dgm:prSet/>
      <dgm:spPr/>
      <dgm:t>
        <a:bodyPr/>
        <a:lstStyle/>
        <a:p>
          <a:endParaRPr lang="ru-RU"/>
        </a:p>
      </dgm:t>
    </dgm:pt>
    <dgm:pt modelId="{E68BC0A1-C719-42FD-A03A-FE50D1259EA9}" type="sibTrans" cxnId="{61788351-86B5-49F3-BB2E-D46217FA47A4}">
      <dgm:prSet/>
      <dgm:spPr/>
      <dgm:t>
        <a:bodyPr/>
        <a:lstStyle/>
        <a:p>
          <a:endParaRPr lang="ru-RU"/>
        </a:p>
      </dgm:t>
    </dgm:pt>
    <dgm:pt modelId="{26955D44-124D-4394-BCE8-BF162D14CE72}">
      <dgm:prSet/>
      <dgm:spPr/>
      <dgm:t>
        <a:bodyPr/>
        <a:lstStyle/>
        <a:p>
          <a:r>
            <a:rPr lang="en-US"/>
            <a:t>Castle Aris</a:t>
          </a:r>
          <a:endParaRPr lang="ru-RU"/>
        </a:p>
      </dgm:t>
    </dgm:pt>
    <dgm:pt modelId="{F0095F64-C77B-462D-BB94-A13769B260D6}" type="parTrans" cxnId="{741768EB-F918-4917-B869-BFA82750F938}">
      <dgm:prSet/>
      <dgm:spPr/>
    </dgm:pt>
    <dgm:pt modelId="{CD8A941D-FD13-4CC7-A213-A6574E391FE9}" type="sibTrans" cxnId="{741768EB-F918-4917-B869-BFA82750F938}">
      <dgm:prSet/>
      <dgm:spPr/>
      <dgm:t>
        <a:bodyPr/>
        <a:lstStyle/>
        <a:p>
          <a:endParaRPr lang="ru-RU"/>
        </a:p>
      </dgm:t>
    </dgm:pt>
    <dgm:pt modelId="{FCA95584-C290-4366-9667-7EBFECCE6578}" type="pres">
      <dgm:prSet presAssocID="{A3AB8EEE-B502-4238-A870-806967D81ED0}" presName="hierChild1" presStyleCnt="0">
        <dgm:presLayoutVars>
          <dgm:orgChart val="1"/>
          <dgm:chPref val="1"/>
          <dgm:dir/>
          <dgm:animOne val="branch"/>
          <dgm:animLvl val="lvl"/>
          <dgm:resizeHandles/>
        </dgm:presLayoutVars>
      </dgm:prSet>
      <dgm:spPr/>
    </dgm:pt>
    <dgm:pt modelId="{906B4734-EFAA-463B-A796-C9A7BB211290}" type="pres">
      <dgm:prSet presAssocID="{80394FA0-14FF-407E-AEF1-62F9B07D6AE5}" presName="hierRoot1" presStyleCnt="0">
        <dgm:presLayoutVars>
          <dgm:hierBranch val="init"/>
        </dgm:presLayoutVars>
      </dgm:prSet>
      <dgm:spPr/>
    </dgm:pt>
    <dgm:pt modelId="{CC2501C2-D14F-417E-BE63-CD5F717E0F59}" type="pres">
      <dgm:prSet presAssocID="{80394FA0-14FF-407E-AEF1-62F9B07D6AE5}" presName="rootComposite1" presStyleCnt="0"/>
      <dgm:spPr/>
    </dgm:pt>
    <dgm:pt modelId="{9CB627A4-2C01-467D-9E2F-FFFEA7E2E616}" type="pres">
      <dgm:prSet presAssocID="{80394FA0-14FF-407E-AEF1-62F9B07D6AE5}" presName="rootText1" presStyleLbl="node0" presStyleIdx="0" presStyleCnt="1">
        <dgm:presLayoutVars>
          <dgm:chMax/>
          <dgm:chPref val="3"/>
        </dgm:presLayoutVars>
      </dgm:prSet>
      <dgm:spPr/>
    </dgm:pt>
    <dgm:pt modelId="{497F8702-6EA2-457B-A3A7-61F56827C5DD}" type="pres">
      <dgm:prSet presAssocID="{80394FA0-14FF-407E-AEF1-62F9B07D6AE5}" presName="titleText1" presStyleLbl="fgAcc0" presStyleIdx="0" presStyleCnt="1">
        <dgm:presLayoutVars>
          <dgm:chMax val="0"/>
          <dgm:chPref val="0"/>
        </dgm:presLayoutVars>
      </dgm:prSet>
      <dgm:spPr/>
    </dgm:pt>
    <dgm:pt modelId="{2FCF7492-5D7A-40B6-B34F-0E243A7756A9}" type="pres">
      <dgm:prSet presAssocID="{80394FA0-14FF-407E-AEF1-62F9B07D6AE5}" presName="rootConnector1" presStyleLbl="node1" presStyleIdx="0" presStyleCnt="42"/>
      <dgm:spPr/>
    </dgm:pt>
    <dgm:pt modelId="{C718AD6A-FDF4-4DFE-B639-235A92E0D1E5}" type="pres">
      <dgm:prSet presAssocID="{80394FA0-14FF-407E-AEF1-62F9B07D6AE5}" presName="hierChild2" presStyleCnt="0"/>
      <dgm:spPr/>
    </dgm:pt>
    <dgm:pt modelId="{FCD91427-577B-441A-8166-134B6937CF4D}" type="pres">
      <dgm:prSet presAssocID="{573650C1-FE34-4FCF-832A-E802D184AD30}" presName="Name37" presStyleLbl="parChTrans1D2" presStyleIdx="0" presStyleCnt="4"/>
      <dgm:spPr/>
    </dgm:pt>
    <dgm:pt modelId="{B259CDD6-BBBB-468C-8D15-DA13015CC27C}" type="pres">
      <dgm:prSet presAssocID="{47C39484-004A-4B1B-AFEB-A10AF893B4B7}" presName="hierRoot2" presStyleCnt="0">
        <dgm:presLayoutVars>
          <dgm:hierBranch val="init"/>
        </dgm:presLayoutVars>
      </dgm:prSet>
      <dgm:spPr/>
    </dgm:pt>
    <dgm:pt modelId="{25C6C877-07BB-4E58-9E7F-F360623E193C}" type="pres">
      <dgm:prSet presAssocID="{47C39484-004A-4B1B-AFEB-A10AF893B4B7}" presName="rootComposite" presStyleCnt="0"/>
      <dgm:spPr/>
    </dgm:pt>
    <dgm:pt modelId="{998ED5B5-C615-4F9E-8587-33B954BC6870}" type="pres">
      <dgm:prSet presAssocID="{47C39484-004A-4B1B-AFEB-A10AF893B4B7}" presName="rootText" presStyleLbl="node1" presStyleIdx="0" presStyleCnt="42">
        <dgm:presLayoutVars>
          <dgm:chMax/>
          <dgm:chPref val="3"/>
        </dgm:presLayoutVars>
      </dgm:prSet>
      <dgm:spPr/>
    </dgm:pt>
    <dgm:pt modelId="{AB3696F1-3526-4C4D-924D-F80780FF4F0C}" type="pres">
      <dgm:prSet presAssocID="{47C39484-004A-4B1B-AFEB-A10AF893B4B7}" presName="titleText2" presStyleLbl="fgAcc1" presStyleIdx="0" presStyleCnt="42">
        <dgm:presLayoutVars>
          <dgm:chMax val="0"/>
          <dgm:chPref val="0"/>
        </dgm:presLayoutVars>
      </dgm:prSet>
      <dgm:spPr/>
    </dgm:pt>
    <dgm:pt modelId="{DBAB87C3-56C5-4735-9266-2E2EB7CB8D9A}" type="pres">
      <dgm:prSet presAssocID="{47C39484-004A-4B1B-AFEB-A10AF893B4B7}" presName="rootConnector" presStyleLbl="node2" presStyleIdx="0" presStyleCnt="0"/>
      <dgm:spPr/>
    </dgm:pt>
    <dgm:pt modelId="{8C26EA3C-4D37-4D8B-B26C-B92D36E7C656}" type="pres">
      <dgm:prSet presAssocID="{47C39484-004A-4B1B-AFEB-A10AF893B4B7}" presName="hierChild4" presStyleCnt="0"/>
      <dgm:spPr/>
    </dgm:pt>
    <dgm:pt modelId="{14E72DE9-77E0-4F43-9A65-A6DC12A9FBD5}" type="pres">
      <dgm:prSet presAssocID="{0700F839-9592-4E41-9B45-3DFC339D4E9C}" presName="Name37" presStyleLbl="parChTrans1D3" presStyleIdx="0" presStyleCnt="14"/>
      <dgm:spPr/>
    </dgm:pt>
    <dgm:pt modelId="{106D0C8F-16A6-4D26-A9AB-55503422760F}" type="pres">
      <dgm:prSet presAssocID="{7FB4D978-75F0-457D-88FA-4A078F33AEDF}" presName="hierRoot2" presStyleCnt="0">
        <dgm:presLayoutVars>
          <dgm:hierBranch val="hang"/>
        </dgm:presLayoutVars>
      </dgm:prSet>
      <dgm:spPr/>
    </dgm:pt>
    <dgm:pt modelId="{4062BA55-6A1A-45B9-BC1B-5EBDFC96A696}" type="pres">
      <dgm:prSet presAssocID="{7FB4D978-75F0-457D-88FA-4A078F33AEDF}" presName="rootComposite" presStyleCnt="0"/>
      <dgm:spPr/>
    </dgm:pt>
    <dgm:pt modelId="{EB0CFA4B-190D-468F-BA87-622AC9D67C24}" type="pres">
      <dgm:prSet presAssocID="{7FB4D978-75F0-457D-88FA-4A078F33AEDF}" presName="rootText" presStyleLbl="node1" presStyleIdx="1" presStyleCnt="42">
        <dgm:presLayoutVars>
          <dgm:chMax/>
          <dgm:chPref val="3"/>
        </dgm:presLayoutVars>
      </dgm:prSet>
      <dgm:spPr/>
    </dgm:pt>
    <dgm:pt modelId="{FD2C1B63-12C7-44D5-B35D-2DC830D2B419}" type="pres">
      <dgm:prSet presAssocID="{7FB4D978-75F0-457D-88FA-4A078F33AEDF}" presName="titleText2" presStyleLbl="fgAcc1" presStyleIdx="1" presStyleCnt="42">
        <dgm:presLayoutVars>
          <dgm:chMax val="0"/>
          <dgm:chPref val="0"/>
        </dgm:presLayoutVars>
      </dgm:prSet>
      <dgm:spPr/>
    </dgm:pt>
    <dgm:pt modelId="{F74C3DC8-C63E-412B-ABEF-871CDA31BCFF}" type="pres">
      <dgm:prSet presAssocID="{7FB4D978-75F0-457D-88FA-4A078F33AEDF}" presName="rootConnector" presStyleLbl="node3" presStyleIdx="0" presStyleCnt="0"/>
      <dgm:spPr/>
    </dgm:pt>
    <dgm:pt modelId="{7835C65C-1263-4F3E-8D20-E822CA4296A8}" type="pres">
      <dgm:prSet presAssocID="{7FB4D978-75F0-457D-88FA-4A078F33AEDF}" presName="hierChild4" presStyleCnt="0"/>
      <dgm:spPr/>
    </dgm:pt>
    <dgm:pt modelId="{E6DC135A-6F27-4425-9A37-B7E67CEB6DB1}" type="pres">
      <dgm:prSet presAssocID="{BCDC6BB2-D5AD-4985-8CB2-4A846B30E98E}" presName="Name42" presStyleLbl="parChTrans1D4" presStyleIdx="0" presStyleCnt="24"/>
      <dgm:spPr/>
    </dgm:pt>
    <dgm:pt modelId="{9B4AAAFB-5E89-4F80-A540-38EF8A59C91E}" type="pres">
      <dgm:prSet presAssocID="{08DCC231-4CB5-4305-AB18-81EFFFD7E18E}" presName="hierRoot2" presStyleCnt="0">
        <dgm:presLayoutVars>
          <dgm:hierBranch val="init"/>
        </dgm:presLayoutVars>
      </dgm:prSet>
      <dgm:spPr/>
    </dgm:pt>
    <dgm:pt modelId="{F1268B51-0EBB-47AA-AEA1-84ABABB5BC1B}" type="pres">
      <dgm:prSet presAssocID="{08DCC231-4CB5-4305-AB18-81EFFFD7E18E}" presName="rootComposite" presStyleCnt="0"/>
      <dgm:spPr/>
    </dgm:pt>
    <dgm:pt modelId="{DEA1CC30-36FD-43BC-A88E-53406C1EF371}" type="pres">
      <dgm:prSet presAssocID="{08DCC231-4CB5-4305-AB18-81EFFFD7E18E}" presName="rootText" presStyleLbl="node1" presStyleIdx="2" presStyleCnt="42">
        <dgm:presLayoutVars>
          <dgm:chMax/>
          <dgm:chPref val="3"/>
        </dgm:presLayoutVars>
      </dgm:prSet>
      <dgm:spPr/>
    </dgm:pt>
    <dgm:pt modelId="{388E1053-73E6-4237-90F0-BBF595B7573C}" type="pres">
      <dgm:prSet presAssocID="{08DCC231-4CB5-4305-AB18-81EFFFD7E18E}" presName="titleText2" presStyleLbl="fgAcc1" presStyleIdx="2" presStyleCnt="42">
        <dgm:presLayoutVars>
          <dgm:chMax val="0"/>
          <dgm:chPref val="0"/>
        </dgm:presLayoutVars>
      </dgm:prSet>
      <dgm:spPr/>
    </dgm:pt>
    <dgm:pt modelId="{2CC094A4-FC30-4755-9A37-42497A83813E}" type="pres">
      <dgm:prSet presAssocID="{08DCC231-4CB5-4305-AB18-81EFFFD7E18E}" presName="rootConnector" presStyleLbl="node4" presStyleIdx="0" presStyleCnt="0"/>
      <dgm:spPr/>
    </dgm:pt>
    <dgm:pt modelId="{AE2DE5D9-B534-4DD8-B238-3B51E6C4937E}" type="pres">
      <dgm:prSet presAssocID="{08DCC231-4CB5-4305-AB18-81EFFFD7E18E}" presName="hierChild4" presStyleCnt="0"/>
      <dgm:spPr/>
    </dgm:pt>
    <dgm:pt modelId="{902B0D8B-4FF7-4CC5-8639-8184A0B85AC8}" type="pres">
      <dgm:prSet presAssocID="{08DCC231-4CB5-4305-AB18-81EFFFD7E18E}" presName="hierChild5" presStyleCnt="0"/>
      <dgm:spPr/>
    </dgm:pt>
    <dgm:pt modelId="{20E7F154-9C15-4CD6-BC79-681E2BD54E49}" type="pres">
      <dgm:prSet presAssocID="{CADEA7A0-E257-45C6-B8C1-0D19914B0F98}" presName="Name42" presStyleLbl="parChTrans1D4" presStyleIdx="1" presStyleCnt="24"/>
      <dgm:spPr/>
    </dgm:pt>
    <dgm:pt modelId="{3FC50FB5-1CA5-47C7-9448-9496CEEADA5B}" type="pres">
      <dgm:prSet presAssocID="{C63FB8A5-EF3F-4DC2-9111-14E814F65315}" presName="hierRoot2" presStyleCnt="0">
        <dgm:presLayoutVars>
          <dgm:hierBranch val="init"/>
        </dgm:presLayoutVars>
      </dgm:prSet>
      <dgm:spPr/>
    </dgm:pt>
    <dgm:pt modelId="{2F953524-D4DB-4C38-AB8A-D16B2B4F5A0D}" type="pres">
      <dgm:prSet presAssocID="{C63FB8A5-EF3F-4DC2-9111-14E814F65315}" presName="rootComposite" presStyleCnt="0"/>
      <dgm:spPr/>
    </dgm:pt>
    <dgm:pt modelId="{A98A12A0-375D-4106-ABCD-865408F0FABC}" type="pres">
      <dgm:prSet presAssocID="{C63FB8A5-EF3F-4DC2-9111-14E814F65315}" presName="rootText" presStyleLbl="node1" presStyleIdx="3" presStyleCnt="42">
        <dgm:presLayoutVars>
          <dgm:chMax/>
          <dgm:chPref val="3"/>
        </dgm:presLayoutVars>
      </dgm:prSet>
      <dgm:spPr/>
    </dgm:pt>
    <dgm:pt modelId="{AEBDC091-F9F7-462C-AE0C-3B1BA757064D}" type="pres">
      <dgm:prSet presAssocID="{C63FB8A5-EF3F-4DC2-9111-14E814F65315}" presName="titleText2" presStyleLbl="fgAcc1" presStyleIdx="3" presStyleCnt="42">
        <dgm:presLayoutVars>
          <dgm:chMax val="0"/>
          <dgm:chPref val="0"/>
        </dgm:presLayoutVars>
      </dgm:prSet>
      <dgm:spPr/>
    </dgm:pt>
    <dgm:pt modelId="{D73D8E52-94A4-44C0-9B44-4E3B72A7DFE9}" type="pres">
      <dgm:prSet presAssocID="{C63FB8A5-EF3F-4DC2-9111-14E814F65315}" presName="rootConnector" presStyleLbl="node4" presStyleIdx="0" presStyleCnt="0"/>
      <dgm:spPr/>
    </dgm:pt>
    <dgm:pt modelId="{9DD77825-40EA-4D41-A8FB-30A926C91B8E}" type="pres">
      <dgm:prSet presAssocID="{C63FB8A5-EF3F-4DC2-9111-14E814F65315}" presName="hierChild4" presStyleCnt="0"/>
      <dgm:spPr/>
    </dgm:pt>
    <dgm:pt modelId="{081D69EA-2C35-4468-8648-69A46A04DDDC}" type="pres">
      <dgm:prSet presAssocID="{C63FB8A5-EF3F-4DC2-9111-14E814F65315}" presName="hierChild5" presStyleCnt="0"/>
      <dgm:spPr/>
    </dgm:pt>
    <dgm:pt modelId="{EDD6DA7A-A100-4C22-9A9B-3DE29D7B3ACD}" type="pres">
      <dgm:prSet presAssocID="{5B03490E-07D1-47F1-8071-71644FDC566A}" presName="Name42" presStyleLbl="parChTrans1D4" presStyleIdx="2" presStyleCnt="24"/>
      <dgm:spPr/>
    </dgm:pt>
    <dgm:pt modelId="{24F5B1F8-5287-42C0-975C-39FE2E3B36E9}" type="pres">
      <dgm:prSet presAssocID="{92E884DA-13A5-4271-90BC-6968D19169D5}" presName="hierRoot2" presStyleCnt="0">
        <dgm:presLayoutVars>
          <dgm:hierBranch val="init"/>
        </dgm:presLayoutVars>
      </dgm:prSet>
      <dgm:spPr/>
    </dgm:pt>
    <dgm:pt modelId="{33EA0CBC-CE13-4142-8B92-2FF60B7663A9}" type="pres">
      <dgm:prSet presAssocID="{92E884DA-13A5-4271-90BC-6968D19169D5}" presName="rootComposite" presStyleCnt="0"/>
      <dgm:spPr/>
    </dgm:pt>
    <dgm:pt modelId="{3B334248-BAB9-42CA-9871-E261EB326B22}" type="pres">
      <dgm:prSet presAssocID="{92E884DA-13A5-4271-90BC-6968D19169D5}" presName="rootText" presStyleLbl="node1" presStyleIdx="4" presStyleCnt="42">
        <dgm:presLayoutVars>
          <dgm:chMax/>
          <dgm:chPref val="3"/>
        </dgm:presLayoutVars>
      </dgm:prSet>
      <dgm:spPr/>
    </dgm:pt>
    <dgm:pt modelId="{D2AFCE57-00AC-4173-BE7C-DED0062BD73A}" type="pres">
      <dgm:prSet presAssocID="{92E884DA-13A5-4271-90BC-6968D19169D5}" presName="titleText2" presStyleLbl="fgAcc1" presStyleIdx="4" presStyleCnt="42">
        <dgm:presLayoutVars>
          <dgm:chMax val="0"/>
          <dgm:chPref val="0"/>
        </dgm:presLayoutVars>
      </dgm:prSet>
      <dgm:spPr/>
    </dgm:pt>
    <dgm:pt modelId="{9845632A-96DB-4016-8EF3-6E9E9E37DDA4}" type="pres">
      <dgm:prSet presAssocID="{92E884DA-13A5-4271-90BC-6968D19169D5}" presName="rootConnector" presStyleLbl="node4" presStyleIdx="0" presStyleCnt="0"/>
      <dgm:spPr/>
    </dgm:pt>
    <dgm:pt modelId="{E9DEFBE3-3EB2-4A8F-8290-2BDDF75E9C95}" type="pres">
      <dgm:prSet presAssocID="{92E884DA-13A5-4271-90BC-6968D19169D5}" presName="hierChild4" presStyleCnt="0"/>
      <dgm:spPr/>
    </dgm:pt>
    <dgm:pt modelId="{44FE56F0-9D5D-48CF-9ABA-489992301492}" type="pres">
      <dgm:prSet presAssocID="{92E884DA-13A5-4271-90BC-6968D19169D5}" presName="hierChild5" presStyleCnt="0"/>
      <dgm:spPr/>
    </dgm:pt>
    <dgm:pt modelId="{7D5D5120-7A69-4946-89D1-F27086829D97}" type="pres">
      <dgm:prSet presAssocID="{E9DBF29B-09A5-4D79-8E4F-EB717D9379F5}" presName="Name42" presStyleLbl="parChTrans1D4" presStyleIdx="3" presStyleCnt="24"/>
      <dgm:spPr/>
    </dgm:pt>
    <dgm:pt modelId="{AACF44D8-8BC7-457C-8111-75E4B6B350B2}" type="pres">
      <dgm:prSet presAssocID="{B4D6A501-92B6-4566-9276-79841C5F5B3E}" presName="hierRoot2" presStyleCnt="0">
        <dgm:presLayoutVars>
          <dgm:hierBranch val="init"/>
        </dgm:presLayoutVars>
      </dgm:prSet>
      <dgm:spPr/>
    </dgm:pt>
    <dgm:pt modelId="{B0984738-EA56-4036-9002-98CDB0829B27}" type="pres">
      <dgm:prSet presAssocID="{B4D6A501-92B6-4566-9276-79841C5F5B3E}" presName="rootComposite" presStyleCnt="0"/>
      <dgm:spPr/>
    </dgm:pt>
    <dgm:pt modelId="{3D027C5F-090F-4E8F-AE5E-A815B0C02A94}" type="pres">
      <dgm:prSet presAssocID="{B4D6A501-92B6-4566-9276-79841C5F5B3E}" presName="rootText" presStyleLbl="node1" presStyleIdx="5" presStyleCnt="42">
        <dgm:presLayoutVars>
          <dgm:chMax/>
          <dgm:chPref val="3"/>
        </dgm:presLayoutVars>
      </dgm:prSet>
      <dgm:spPr/>
    </dgm:pt>
    <dgm:pt modelId="{54A59613-1B04-48F2-9981-764D08BC337A}" type="pres">
      <dgm:prSet presAssocID="{B4D6A501-92B6-4566-9276-79841C5F5B3E}" presName="titleText2" presStyleLbl="fgAcc1" presStyleIdx="5" presStyleCnt="42">
        <dgm:presLayoutVars>
          <dgm:chMax val="0"/>
          <dgm:chPref val="0"/>
        </dgm:presLayoutVars>
      </dgm:prSet>
      <dgm:spPr/>
    </dgm:pt>
    <dgm:pt modelId="{DC252E6D-89A2-4203-A634-555151787A5C}" type="pres">
      <dgm:prSet presAssocID="{B4D6A501-92B6-4566-9276-79841C5F5B3E}" presName="rootConnector" presStyleLbl="node4" presStyleIdx="0" presStyleCnt="0"/>
      <dgm:spPr/>
    </dgm:pt>
    <dgm:pt modelId="{ED8349DF-2CB7-4AE1-AEAF-B34F01029C95}" type="pres">
      <dgm:prSet presAssocID="{B4D6A501-92B6-4566-9276-79841C5F5B3E}" presName="hierChild4" presStyleCnt="0"/>
      <dgm:spPr/>
    </dgm:pt>
    <dgm:pt modelId="{1F2B96C7-9BE3-47D8-804A-045C2FD8F4A3}" type="pres">
      <dgm:prSet presAssocID="{B4D6A501-92B6-4566-9276-79841C5F5B3E}" presName="hierChild5" presStyleCnt="0"/>
      <dgm:spPr/>
    </dgm:pt>
    <dgm:pt modelId="{FB32740C-8DC2-426F-B031-E2272990E064}" type="pres">
      <dgm:prSet presAssocID="{57D7CE9D-0978-4AFB-B6D9-BCD3CA2229EB}" presName="Name42" presStyleLbl="parChTrans1D4" presStyleIdx="4" presStyleCnt="24"/>
      <dgm:spPr/>
    </dgm:pt>
    <dgm:pt modelId="{9CA23D89-DAAF-4D86-9890-061A9816ED15}" type="pres">
      <dgm:prSet presAssocID="{0A3F52A5-06F1-4B17-899C-850380DFFE2D}" presName="hierRoot2" presStyleCnt="0">
        <dgm:presLayoutVars>
          <dgm:hierBranch val="init"/>
        </dgm:presLayoutVars>
      </dgm:prSet>
      <dgm:spPr/>
    </dgm:pt>
    <dgm:pt modelId="{90422346-D0DB-467A-AED9-D45150A5D6B4}" type="pres">
      <dgm:prSet presAssocID="{0A3F52A5-06F1-4B17-899C-850380DFFE2D}" presName="rootComposite" presStyleCnt="0"/>
      <dgm:spPr/>
    </dgm:pt>
    <dgm:pt modelId="{8EE6926A-F0D8-4CB6-A2B6-C7034E7F9C30}" type="pres">
      <dgm:prSet presAssocID="{0A3F52A5-06F1-4B17-899C-850380DFFE2D}" presName="rootText" presStyleLbl="node1" presStyleIdx="6" presStyleCnt="42">
        <dgm:presLayoutVars>
          <dgm:chMax/>
          <dgm:chPref val="3"/>
        </dgm:presLayoutVars>
      </dgm:prSet>
      <dgm:spPr/>
    </dgm:pt>
    <dgm:pt modelId="{94955614-EFFB-4FA8-B43D-F911E9710223}" type="pres">
      <dgm:prSet presAssocID="{0A3F52A5-06F1-4B17-899C-850380DFFE2D}" presName="titleText2" presStyleLbl="fgAcc1" presStyleIdx="6" presStyleCnt="42">
        <dgm:presLayoutVars>
          <dgm:chMax val="0"/>
          <dgm:chPref val="0"/>
        </dgm:presLayoutVars>
      </dgm:prSet>
      <dgm:spPr/>
    </dgm:pt>
    <dgm:pt modelId="{922C23F8-042B-41D0-8EC4-E0E680AA567F}" type="pres">
      <dgm:prSet presAssocID="{0A3F52A5-06F1-4B17-899C-850380DFFE2D}" presName="rootConnector" presStyleLbl="node4" presStyleIdx="0" presStyleCnt="0"/>
      <dgm:spPr/>
    </dgm:pt>
    <dgm:pt modelId="{D51F6A4E-F15D-4B80-8C66-5DF6C798690C}" type="pres">
      <dgm:prSet presAssocID="{0A3F52A5-06F1-4B17-899C-850380DFFE2D}" presName="hierChild4" presStyleCnt="0"/>
      <dgm:spPr/>
    </dgm:pt>
    <dgm:pt modelId="{1543F621-295E-4ACE-A9D7-9CE1517E18CE}" type="pres">
      <dgm:prSet presAssocID="{0A3F52A5-06F1-4B17-899C-850380DFFE2D}" presName="hierChild5" presStyleCnt="0"/>
      <dgm:spPr/>
    </dgm:pt>
    <dgm:pt modelId="{43DFA466-0E33-4527-9089-6C6C2C5EFDF8}" type="pres">
      <dgm:prSet presAssocID="{BFCFC687-F71D-4DAB-8391-64397C85E2EE}" presName="Name42" presStyleLbl="parChTrans1D4" presStyleIdx="5" presStyleCnt="24"/>
      <dgm:spPr/>
    </dgm:pt>
    <dgm:pt modelId="{0DBC460E-C0EE-4CA3-9674-5E7845D213A4}" type="pres">
      <dgm:prSet presAssocID="{E320A9B7-6569-409D-A82B-C9F6BFD17056}" presName="hierRoot2" presStyleCnt="0">
        <dgm:presLayoutVars>
          <dgm:hierBranch val="init"/>
        </dgm:presLayoutVars>
      </dgm:prSet>
      <dgm:spPr/>
    </dgm:pt>
    <dgm:pt modelId="{92D6B303-6747-4360-B086-046852576FD9}" type="pres">
      <dgm:prSet presAssocID="{E320A9B7-6569-409D-A82B-C9F6BFD17056}" presName="rootComposite" presStyleCnt="0"/>
      <dgm:spPr/>
    </dgm:pt>
    <dgm:pt modelId="{0324913E-DF24-4789-B17A-5497E9E7E66D}" type="pres">
      <dgm:prSet presAssocID="{E320A9B7-6569-409D-A82B-C9F6BFD17056}" presName="rootText" presStyleLbl="node1" presStyleIdx="7" presStyleCnt="42">
        <dgm:presLayoutVars>
          <dgm:chMax/>
          <dgm:chPref val="3"/>
        </dgm:presLayoutVars>
      </dgm:prSet>
      <dgm:spPr/>
    </dgm:pt>
    <dgm:pt modelId="{F0907E31-8957-458E-92D9-FCA15A43F1F2}" type="pres">
      <dgm:prSet presAssocID="{E320A9B7-6569-409D-A82B-C9F6BFD17056}" presName="titleText2" presStyleLbl="fgAcc1" presStyleIdx="7" presStyleCnt="42">
        <dgm:presLayoutVars>
          <dgm:chMax val="0"/>
          <dgm:chPref val="0"/>
        </dgm:presLayoutVars>
      </dgm:prSet>
      <dgm:spPr/>
    </dgm:pt>
    <dgm:pt modelId="{93FA6051-FADD-4579-9358-13C4D29000B6}" type="pres">
      <dgm:prSet presAssocID="{E320A9B7-6569-409D-A82B-C9F6BFD17056}" presName="rootConnector" presStyleLbl="node4" presStyleIdx="0" presStyleCnt="0"/>
      <dgm:spPr/>
    </dgm:pt>
    <dgm:pt modelId="{457EA18F-5933-4035-BAA4-356DAC17F9E6}" type="pres">
      <dgm:prSet presAssocID="{E320A9B7-6569-409D-A82B-C9F6BFD17056}" presName="hierChild4" presStyleCnt="0"/>
      <dgm:spPr/>
    </dgm:pt>
    <dgm:pt modelId="{DFEEC7D9-4CEA-4A28-B0EF-8559BDF1A6CE}" type="pres">
      <dgm:prSet presAssocID="{E320A9B7-6569-409D-A82B-C9F6BFD17056}" presName="hierChild5" presStyleCnt="0"/>
      <dgm:spPr/>
    </dgm:pt>
    <dgm:pt modelId="{85B92009-2DE0-41D1-89F9-862A29C03431}" type="pres">
      <dgm:prSet presAssocID="{F540E5BF-A929-44AD-837D-0ACB1AC173F6}" presName="Name42" presStyleLbl="parChTrans1D4" presStyleIdx="6" presStyleCnt="24"/>
      <dgm:spPr/>
    </dgm:pt>
    <dgm:pt modelId="{AB9C5514-5EB5-4DFF-BB9C-8F80E54A7F5F}" type="pres">
      <dgm:prSet presAssocID="{192A6EE5-E3DC-4471-9A0A-1E32D76EA79D}" presName="hierRoot2" presStyleCnt="0">
        <dgm:presLayoutVars>
          <dgm:hierBranch val="init"/>
        </dgm:presLayoutVars>
      </dgm:prSet>
      <dgm:spPr/>
    </dgm:pt>
    <dgm:pt modelId="{B59FFE32-A92C-4196-B714-7E7EDE1E0550}" type="pres">
      <dgm:prSet presAssocID="{192A6EE5-E3DC-4471-9A0A-1E32D76EA79D}" presName="rootComposite" presStyleCnt="0"/>
      <dgm:spPr/>
    </dgm:pt>
    <dgm:pt modelId="{5B16D9B2-2665-4969-A326-41045BB72F81}" type="pres">
      <dgm:prSet presAssocID="{192A6EE5-E3DC-4471-9A0A-1E32D76EA79D}" presName="rootText" presStyleLbl="node1" presStyleIdx="8" presStyleCnt="42">
        <dgm:presLayoutVars>
          <dgm:chMax/>
          <dgm:chPref val="3"/>
        </dgm:presLayoutVars>
      </dgm:prSet>
      <dgm:spPr/>
    </dgm:pt>
    <dgm:pt modelId="{C11BC66F-72F6-4BD9-93AE-C4B82F062BF0}" type="pres">
      <dgm:prSet presAssocID="{192A6EE5-E3DC-4471-9A0A-1E32D76EA79D}" presName="titleText2" presStyleLbl="fgAcc1" presStyleIdx="8" presStyleCnt="42">
        <dgm:presLayoutVars>
          <dgm:chMax val="0"/>
          <dgm:chPref val="0"/>
        </dgm:presLayoutVars>
      </dgm:prSet>
      <dgm:spPr/>
    </dgm:pt>
    <dgm:pt modelId="{BD16258B-4C8C-4A60-8962-EA6A5C5C8CDC}" type="pres">
      <dgm:prSet presAssocID="{192A6EE5-E3DC-4471-9A0A-1E32D76EA79D}" presName="rootConnector" presStyleLbl="node4" presStyleIdx="0" presStyleCnt="0"/>
      <dgm:spPr/>
    </dgm:pt>
    <dgm:pt modelId="{9B220D42-CA84-413C-B292-4B09E85D8443}" type="pres">
      <dgm:prSet presAssocID="{192A6EE5-E3DC-4471-9A0A-1E32D76EA79D}" presName="hierChild4" presStyleCnt="0"/>
      <dgm:spPr/>
    </dgm:pt>
    <dgm:pt modelId="{8D1F73FA-3A3D-4D84-A61F-2A583721BBE5}" type="pres">
      <dgm:prSet presAssocID="{192A6EE5-E3DC-4471-9A0A-1E32D76EA79D}" presName="hierChild5" presStyleCnt="0"/>
      <dgm:spPr/>
    </dgm:pt>
    <dgm:pt modelId="{9678BE81-3B11-4307-8FFC-145A0954A306}" type="pres">
      <dgm:prSet presAssocID="{7FB4D978-75F0-457D-88FA-4A078F33AEDF}" presName="hierChild5" presStyleCnt="0"/>
      <dgm:spPr/>
    </dgm:pt>
    <dgm:pt modelId="{34D1D79C-E9EC-4928-9D09-43BB4377704D}" type="pres">
      <dgm:prSet presAssocID="{E4319104-1B95-45B9-85D4-9B14C9DDA4E1}" presName="Name37" presStyleLbl="parChTrans1D3" presStyleIdx="1" presStyleCnt="14"/>
      <dgm:spPr/>
    </dgm:pt>
    <dgm:pt modelId="{B7162439-74C8-4C57-92E7-90B684979F0C}" type="pres">
      <dgm:prSet presAssocID="{356F1E70-7280-4D9A-98C3-6DF913ADC682}" presName="hierRoot2" presStyleCnt="0">
        <dgm:presLayoutVars>
          <dgm:hierBranch val="r"/>
        </dgm:presLayoutVars>
      </dgm:prSet>
      <dgm:spPr/>
    </dgm:pt>
    <dgm:pt modelId="{FCEA05BC-B71A-493D-B8C0-068CC08B97E3}" type="pres">
      <dgm:prSet presAssocID="{356F1E70-7280-4D9A-98C3-6DF913ADC682}" presName="rootComposite" presStyleCnt="0"/>
      <dgm:spPr/>
    </dgm:pt>
    <dgm:pt modelId="{B90A13A0-98BD-41B8-9100-A41547601D22}" type="pres">
      <dgm:prSet presAssocID="{356F1E70-7280-4D9A-98C3-6DF913ADC682}" presName="rootText" presStyleLbl="node1" presStyleIdx="9" presStyleCnt="42">
        <dgm:presLayoutVars>
          <dgm:chMax/>
          <dgm:chPref val="3"/>
        </dgm:presLayoutVars>
      </dgm:prSet>
      <dgm:spPr/>
    </dgm:pt>
    <dgm:pt modelId="{848A0AD0-6DD4-43B2-936E-7528D55AD57C}" type="pres">
      <dgm:prSet presAssocID="{356F1E70-7280-4D9A-98C3-6DF913ADC682}" presName="titleText2" presStyleLbl="fgAcc1" presStyleIdx="9" presStyleCnt="42">
        <dgm:presLayoutVars>
          <dgm:chMax val="0"/>
          <dgm:chPref val="0"/>
        </dgm:presLayoutVars>
      </dgm:prSet>
      <dgm:spPr/>
    </dgm:pt>
    <dgm:pt modelId="{C875C8DA-11A4-449A-B836-A681C84AB297}" type="pres">
      <dgm:prSet presAssocID="{356F1E70-7280-4D9A-98C3-6DF913ADC682}" presName="rootConnector" presStyleLbl="node3" presStyleIdx="0" presStyleCnt="0"/>
      <dgm:spPr/>
    </dgm:pt>
    <dgm:pt modelId="{B4BEB3F6-C71C-4C48-B886-781CB924E6E2}" type="pres">
      <dgm:prSet presAssocID="{356F1E70-7280-4D9A-98C3-6DF913ADC682}" presName="hierChild4" presStyleCnt="0"/>
      <dgm:spPr/>
    </dgm:pt>
    <dgm:pt modelId="{E119D3AC-63DD-48A0-B22C-B15A76F98514}" type="pres">
      <dgm:prSet presAssocID="{64EC115C-FC49-41D7-83E4-51E5041683E1}" presName="Name44" presStyleLbl="parChTrans1D4" presStyleIdx="7" presStyleCnt="24"/>
      <dgm:spPr/>
    </dgm:pt>
    <dgm:pt modelId="{CA171CCC-ECD3-4DB7-97D4-440724D655DF}" type="pres">
      <dgm:prSet presAssocID="{79F40210-A64B-4E7E-AA0D-B96EC8AB1394}" presName="hierRoot2" presStyleCnt="0">
        <dgm:presLayoutVars>
          <dgm:hierBranch val="init"/>
        </dgm:presLayoutVars>
      </dgm:prSet>
      <dgm:spPr/>
    </dgm:pt>
    <dgm:pt modelId="{A7E81884-28E1-4944-BB45-2E362622D353}" type="pres">
      <dgm:prSet presAssocID="{79F40210-A64B-4E7E-AA0D-B96EC8AB1394}" presName="rootComposite" presStyleCnt="0"/>
      <dgm:spPr/>
    </dgm:pt>
    <dgm:pt modelId="{F4D0F44D-12FD-4BFA-8D70-F7C6F3908375}" type="pres">
      <dgm:prSet presAssocID="{79F40210-A64B-4E7E-AA0D-B96EC8AB1394}" presName="rootText" presStyleLbl="node1" presStyleIdx="10" presStyleCnt="42">
        <dgm:presLayoutVars>
          <dgm:chMax/>
          <dgm:chPref val="3"/>
        </dgm:presLayoutVars>
      </dgm:prSet>
      <dgm:spPr/>
    </dgm:pt>
    <dgm:pt modelId="{AA23DE0C-5E08-40CB-92E0-0904D54AA9FB}" type="pres">
      <dgm:prSet presAssocID="{79F40210-A64B-4E7E-AA0D-B96EC8AB1394}" presName="titleText2" presStyleLbl="fgAcc1" presStyleIdx="10" presStyleCnt="42">
        <dgm:presLayoutVars>
          <dgm:chMax val="0"/>
          <dgm:chPref val="0"/>
        </dgm:presLayoutVars>
      </dgm:prSet>
      <dgm:spPr/>
    </dgm:pt>
    <dgm:pt modelId="{1163A5E8-1064-42BC-8F10-316899942129}" type="pres">
      <dgm:prSet presAssocID="{79F40210-A64B-4E7E-AA0D-B96EC8AB1394}" presName="rootConnector" presStyleLbl="node4" presStyleIdx="0" presStyleCnt="0"/>
      <dgm:spPr/>
    </dgm:pt>
    <dgm:pt modelId="{3C31AE86-CACD-48F0-A7CE-F2E5453EFDB2}" type="pres">
      <dgm:prSet presAssocID="{79F40210-A64B-4E7E-AA0D-B96EC8AB1394}" presName="hierChild4" presStyleCnt="0"/>
      <dgm:spPr/>
    </dgm:pt>
    <dgm:pt modelId="{21C8776D-BAEE-4DCC-8C8A-03B309CB3DC1}" type="pres">
      <dgm:prSet presAssocID="{79F40210-A64B-4E7E-AA0D-B96EC8AB1394}" presName="hierChild5" presStyleCnt="0"/>
      <dgm:spPr/>
    </dgm:pt>
    <dgm:pt modelId="{96CDDB58-1BB9-4BE2-A1B8-7655683EDCCC}" type="pres">
      <dgm:prSet presAssocID="{D0B61793-02E4-46A1-B677-D618546E6B25}" presName="Name44" presStyleLbl="parChTrans1D4" presStyleIdx="8" presStyleCnt="24"/>
      <dgm:spPr/>
    </dgm:pt>
    <dgm:pt modelId="{9BE6CCFB-7956-4A6C-9BB7-D60551C0E742}" type="pres">
      <dgm:prSet presAssocID="{2F7ED289-7ECC-491C-9708-D022CAE1AEAE}" presName="hierRoot2" presStyleCnt="0">
        <dgm:presLayoutVars>
          <dgm:hierBranch val="init"/>
        </dgm:presLayoutVars>
      </dgm:prSet>
      <dgm:spPr/>
    </dgm:pt>
    <dgm:pt modelId="{F0EB6C0E-EFCE-4CC9-9280-99AB47351F9B}" type="pres">
      <dgm:prSet presAssocID="{2F7ED289-7ECC-491C-9708-D022CAE1AEAE}" presName="rootComposite" presStyleCnt="0"/>
      <dgm:spPr/>
    </dgm:pt>
    <dgm:pt modelId="{8C2E6AA0-A6B8-47F0-A74C-7096EE0D8B0C}" type="pres">
      <dgm:prSet presAssocID="{2F7ED289-7ECC-491C-9708-D022CAE1AEAE}" presName="rootText" presStyleLbl="node1" presStyleIdx="11" presStyleCnt="42">
        <dgm:presLayoutVars>
          <dgm:chMax/>
          <dgm:chPref val="3"/>
        </dgm:presLayoutVars>
      </dgm:prSet>
      <dgm:spPr/>
    </dgm:pt>
    <dgm:pt modelId="{A0971A63-0F7A-4CC9-BA3B-5D4436355018}" type="pres">
      <dgm:prSet presAssocID="{2F7ED289-7ECC-491C-9708-D022CAE1AEAE}" presName="titleText2" presStyleLbl="fgAcc1" presStyleIdx="11" presStyleCnt="42">
        <dgm:presLayoutVars>
          <dgm:chMax val="0"/>
          <dgm:chPref val="0"/>
        </dgm:presLayoutVars>
      </dgm:prSet>
      <dgm:spPr/>
    </dgm:pt>
    <dgm:pt modelId="{611AD4AE-829E-4DE8-A322-86F9B6F40668}" type="pres">
      <dgm:prSet presAssocID="{2F7ED289-7ECC-491C-9708-D022CAE1AEAE}" presName="rootConnector" presStyleLbl="node4" presStyleIdx="0" presStyleCnt="0"/>
      <dgm:spPr/>
    </dgm:pt>
    <dgm:pt modelId="{3DFE77D3-23E3-4E5B-A415-86C5041FA6C4}" type="pres">
      <dgm:prSet presAssocID="{2F7ED289-7ECC-491C-9708-D022CAE1AEAE}" presName="hierChild4" presStyleCnt="0"/>
      <dgm:spPr/>
    </dgm:pt>
    <dgm:pt modelId="{924FA005-450E-4A34-B6FD-D11B14C9E01B}" type="pres">
      <dgm:prSet presAssocID="{2F7ED289-7ECC-491C-9708-D022CAE1AEAE}" presName="hierChild5" presStyleCnt="0"/>
      <dgm:spPr/>
    </dgm:pt>
    <dgm:pt modelId="{42A42D91-ED5F-47F4-98B3-6CD3C724CB23}" type="pres">
      <dgm:prSet presAssocID="{1E2C769F-3062-46DA-8D46-94B6834F4EC8}" presName="Name44" presStyleLbl="parChTrans1D4" presStyleIdx="9" presStyleCnt="24"/>
      <dgm:spPr/>
    </dgm:pt>
    <dgm:pt modelId="{257E0715-91E8-44F4-944F-BF8043BE81DB}" type="pres">
      <dgm:prSet presAssocID="{9C069160-229B-4581-8576-3A89D6D94A25}" presName="hierRoot2" presStyleCnt="0">
        <dgm:presLayoutVars>
          <dgm:hierBranch val="init"/>
        </dgm:presLayoutVars>
      </dgm:prSet>
      <dgm:spPr/>
    </dgm:pt>
    <dgm:pt modelId="{5E5F7880-DA8A-447E-BFA2-C66A1960843A}" type="pres">
      <dgm:prSet presAssocID="{9C069160-229B-4581-8576-3A89D6D94A25}" presName="rootComposite" presStyleCnt="0"/>
      <dgm:spPr/>
    </dgm:pt>
    <dgm:pt modelId="{B9EC0917-8520-4865-ACE6-E26CFF0775A3}" type="pres">
      <dgm:prSet presAssocID="{9C069160-229B-4581-8576-3A89D6D94A25}" presName="rootText" presStyleLbl="node1" presStyleIdx="12" presStyleCnt="42">
        <dgm:presLayoutVars>
          <dgm:chMax/>
          <dgm:chPref val="3"/>
        </dgm:presLayoutVars>
      </dgm:prSet>
      <dgm:spPr/>
    </dgm:pt>
    <dgm:pt modelId="{A6DCDDFB-87E5-490F-8079-086A0A43A36B}" type="pres">
      <dgm:prSet presAssocID="{9C069160-229B-4581-8576-3A89D6D94A25}" presName="titleText2" presStyleLbl="fgAcc1" presStyleIdx="12" presStyleCnt="42">
        <dgm:presLayoutVars>
          <dgm:chMax val="0"/>
          <dgm:chPref val="0"/>
        </dgm:presLayoutVars>
      </dgm:prSet>
      <dgm:spPr/>
    </dgm:pt>
    <dgm:pt modelId="{C0219AED-3916-4724-B93A-E3D8F6BAD413}" type="pres">
      <dgm:prSet presAssocID="{9C069160-229B-4581-8576-3A89D6D94A25}" presName="rootConnector" presStyleLbl="node4" presStyleIdx="0" presStyleCnt="0"/>
      <dgm:spPr/>
    </dgm:pt>
    <dgm:pt modelId="{51C5FFB9-72D0-49A8-8912-AE166ED10856}" type="pres">
      <dgm:prSet presAssocID="{9C069160-229B-4581-8576-3A89D6D94A25}" presName="hierChild4" presStyleCnt="0"/>
      <dgm:spPr/>
    </dgm:pt>
    <dgm:pt modelId="{06415EB3-19F7-4657-A4D5-518DF9B7B192}" type="pres">
      <dgm:prSet presAssocID="{9C069160-229B-4581-8576-3A89D6D94A25}" presName="hierChild5" presStyleCnt="0"/>
      <dgm:spPr/>
    </dgm:pt>
    <dgm:pt modelId="{650BE601-FBEC-496B-AD8A-53851EFF9CDB}" type="pres">
      <dgm:prSet presAssocID="{356F1E70-7280-4D9A-98C3-6DF913ADC682}" presName="hierChild5" presStyleCnt="0"/>
      <dgm:spPr/>
    </dgm:pt>
    <dgm:pt modelId="{904D1964-9FA3-418A-9AA2-39CF8D327E59}" type="pres">
      <dgm:prSet presAssocID="{877DA76B-5E9E-49DB-BF23-7B0B0214CBE5}" presName="Name37" presStyleLbl="parChTrans1D3" presStyleIdx="2" presStyleCnt="14"/>
      <dgm:spPr/>
    </dgm:pt>
    <dgm:pt modelId="{6AF5F0DD-7FAC-4645-A07F-F79CCF12865E}" type="pres">
      <dgm:prSet presAssocID="{54A7C8D6-8980-4203-933A-A6ABB9311ED9}" presName="hierRoot2" presStyleCnt="0">
        <dgm:presLayoutVars>
          <dgm:hierBranch val="init"/>
        </dgm:presLayoutVars>
      </dgm:prSet>
      <dgm:spPr/>
    </dgm:pt>
    <dgm:pt modelId="{C4CAE05B-9180-4392-80B4-84CBC5B50E8C}" type="pres">
      <dgm:prSet presAssocID="{54A7C8D6-8980-4203-933A-A6ABB9311ED9}" presName="rootComposite" presStyleCnt="0"/>
      <dgm:spPr/>
    </dgm:pt>
    <dgm:pt modelId="{E8494AC8-C34C-4266-B228-2586A503492E}" type="pres">
      <dgm:prSet presAssocID="{54A7C8D6-8980-4203-933A-A6ABB9311ED9}" presName="rootText" presStyleLbl="node1" presStyleIdx="13" presStyleCnt="42" custLinFactNeighborX="-2604">
        <dgm:presLayoutVars>
          <dgm:chMax/>
          <dgm:chPref val="3"/>
        </dgm:presLayoutVars>
      </dgm:prSet>
      <dgm:spPr/>
    </dgm:pt>
    <dgm:pt modelId="{6A15F474-B874-4116-9C30-7BEC48E608D4}" type="pres">
      <dgm:prSet presAssocID="{54A7C8D6-8980-4203-933A-A6ABB9311ED9}" presName="titleText2" presStyleLbl="fgAcc1" presStyleIdx="13" presStyleCnt="42">
        <dgm:presLayoutVars>
          <dgm:chMax val="0"/>
          <dgm:chPref val="0"/>
        </dgm:presLayoutVars>
      </dgm:prSet>
      <dgm:spPr/>
    </dgm:pt>
    <dgm:pt modelId="{9C50F357-F33A-4F12-BB5B-EE1A4B94BE75}" type="pres">
      <dgm:prSet presAssocID="{54A7C8D6-8980-4203-933A-A6ABB9311ED9}" presName="rootConnector" presStyleLbl="node3" presStyleIdx="0" presStyleCnt="0"/>
      <dgm:spPr/>
    </dgm:pt>
    <dgm:pt modelId="{E54BBD25-C8C2-4BEA-B718-B62489530ED4}" type="pres">
      <dgm:prSet presAssocID="{54A7C8D6-8980-4203-933A-A6ABB9311ED9}" presName="hierChild4" presStyleCnt="0"/>
      <dgm:spPr/>
    </dgm:pt>
    <dgm:pt modelId="{A169BE2D-AC1B-4E1E-82B3-332B63F8DA99}" type="pres">
      <dgm:prSet presAssocID="{6EAE49A9-A3EF-4AA2-8DBC-884F8CB98652}" presName="Name37" presStyleLbl="parChTrans1D4" presStyleIdx="10" presStyleCnt="24"/>
      <dgm:spPr/>
    </dgm:pt>
    <dgm:pt modelId="{10B0C6FC-ABEE-4928-AA8A-ADC128BAD45B}" type="pres">
      <dgm:prSet presAssocID="{1BFF86D9-5F2A-42D6-A1C2-8D7358A082E0}" presName="hierRoot2" presStyleCnt="0">
        <dgm:presLayoutVars>
          <dgm:hierBranch val="init"/>
        </dgm:presLayoutVars>
      </dgm:prSet>
      <dgm:spPr/>
    </dgm:pt>
    <dgm:pt modelId="{26E0A02E-403F-4EF4-8ECB-5D8D7BCCF49F}" type="pres">
      <dgm:prSet presAssocID="{1BFF86D9-5F2A-42D6-A1C2-8D7358A082E0}" presName="rootComposite" presStyleCnt="0"/>
      <dgm:spPr/>
    </dgm:pt>
    <dgm:pt modelId="{0FD57CB8-FF3E-4DB9-BA9D-377D67E7AC78}" type="pres">
      <dgm:prSet presAssocID="{1BFF86D9-5F2A-42D6-A1C2-8D7358A082E0}" presName="rootText" presStyleLbl="node1" presStyleIdx="14" presStyleCnt="42" custLinFactNeighborX="-2232">
        <dgm:presLayoutVars>
          <dgm:chMax/>
          <dgm:chPref val="3"/>
        </dgm:presLayoutVars>
      </dgm:prSet>
      <dgm:spPr/>
    </dgm:pt>
    <dgm:pt modelId="{1B96B8DA-0116-493D-8BEC-AF9251C326B3}" type="pres">
      <dgm:prSet presAssocID="{1BFF86D9-5F2A-42D6-A1C2-8D7358A082E0}" presName="titleText2" presStyleLbl="fgAcc1" presStyleIdx="14" presStyleCnt="42">
        <dgm:presLayoutVars>
          <dgm:chMax val="0"/>
          <dgm:chPref val="0"/>
        </dgm:presLayoutVars>
      </dgm:prSet>
      <dgm:spPr/>
    </dgm:pt>
    <dgm:pt modelId="{BD58068E-9D3C-4C6C-9B00-CF6C76773429}" type="pres">
      <dgm:prSet presAssocID="{1BFF86D9-5F2A-42D6-A1C2-8D7358A082E0}" presName="rootConnector" presStyleLbl="node4" presStyleIdx="0" presStyleCnt="0"/>
      <dgm:spPr/>
    </dgm:pt>
    <dgm:pt modelId="{41FBD8BE-21B4-4A87-AB9A-FDD4E73A32C6}" type="pres">
      <dgm:prSet presAssocID="{1BFF86D9-5F2A-42D6-A1C2-8D7358A082E0}" presName="hierChild4" presStyleCnt="0"/>
      <dgm:spPr/>
    </dgm:pt>
    <dgm:pt modelId="{D0A53C4A-C6A0-4549-A5AB-02E3449B8889}" type="pres">
      <dgm:prSet presAssocID="{1BFF86D9-5F2A-42D6-A1C2-8D7358A082E0}" presName="hierChild5" presStyleCnt="0"/>
      <dgm:spPr/>
    </dgm:pt>
    <dgm:pt modelId="{C4F7239D-B6B8-464D-BFF8-F4AD42E39789}" type="pres">
      <dgm:prSet presAssocID="{54A7C8D6-8980-4203-933A-A6ABB9311ED9}" presName="hierChild5" presStyleCnt="0"/>
      <dgm:spPr/>
    </dgm:pt>
    <dgm:pt modelId="{8F7F1C17-88F0-49A1-B061-E5EA6660EE58}" type="pres">
      <dgm:prSet presAssocID="{F324D244-3B52-41D8-9D01-01DF46ADF6B6}" presName="Name37" presStyleLbl="parChTrans1D3" presStyleIdx="3" presStyleCnt="14"/>
      <dgm:spPr/>
    </dgm:pt>
    <dgm:pt modelId="{018AE5CA-634F-4192-A189-246E8DD00D10}" type="pres">
      <dgm:prSet presAssocID="{33FE6074-D3CD-494D-AE01-ED50109A4613}" presName="hierRoot2" presStyleCnt="0">
        <dgm:presLayoutVars>
          <dgm:hierBranch val="init"/>
        </dgm:presLayoutVars>
      </dgm:prSet>
      <dgm:spPr/>
    </dgm:pt>
    <dgm:pt modelId="{A121014F-AE64-4E97-8DE2-DDA7800E3C81}" type="pres">
      <dgm:prSet presAssocID="{33FE6074-D3CD-494D-AE01-ED50109A4613}" presName="rootComposite" presStyleCnt="0"/>
      <dgm:spPr/>
    </dgm:pt>
    <dgm:pt modelId="{D5C435F0-E006-4FCA-A00A-154E65584AD1}" type="pres">
      <dgm:prSet presAssocID="{33FE6074-D3CD-494D-AE01-ED50109A4613}" presName="rootText" presStyleLbl="node1" presStyleIdx="15" presStyleCnt="42">
        <dgm:presLayoutVars>
          <dgm:chMax/>
          <dgm:chPref val="3"/>
        </dgm:presLayoutVars>
      </dgm:prSet>
      <dgm:spPr/>
    </dgm:pt>
    <dgm:pt modelId="{CA60510E-A1CB-4948-A061-117DBE5AEC08}" type="pres">
      <dgm:prSet presAssocID="{33FE6074-D3CD-494D-AE01-ED50109A4613}" presName="titleText2" presStyleLbl="fgAcc1" presStyleIdx="15" presStyleCnt="42">
        <dgm:presLayoutVars>
          <dgm:chMax val="0"/>
          <dgm:chPref val="0"/>
        </dgm:presLayoutVars>
      </dgm:prSet>
      <dgm:spPr/>
    </dgm:pt>
    <dgm:pt modelId="{2C2C5B46-2CF0-4D12-A0E0-253D4A93F6B5}" type="pres">
      <dgm:prSet presAssocID="{33FE6074-D3CD-494D-AE01-ED50109A4613}" presName="rootConnector" presStyleLbl="node3" presStyleIdx="0" presStyleCnt="0"/>
      <dgm:spPr/>
    </dgm:pt>
    <dgm:pt modelId="{952D8077-FB84-4192-BD25-F0D2C1AB6CD0}" type="pres">
      <dgm:prSet presAssocID="{33FE6074-D3CD-494D-AE01-ED50109A4613}" presName="hierChild4" presStyleCnt="0"/>
      <dgm:spPr/>
    </dgm:pt>
    <dgm:pt modelId="{E4632951-BDD5-42C7-B234-0ED9933E5BD3}" type="pres">
      <dgm:prSet presAssocID="{33FE6074-D3CD-494D-AE01-ED50109A4613}" presName="hierChild5" presStyleCnt="0"/>
      <dgm:spPr/>
    </dgm:pt>
    <dgm:pt modelId="{70E8B616-AD92-4349-8733-351E10EB9BC5}" type="pres">
      <dgm:prSet presAssocID="{47C39484-004A-4B1B-AFEB-A10AF893B4B7}" presName="hierChild5" presStyleCnt="0"/>
      <dgm:spPr/>
    </dgm:pt>
    <dgm:pt modelId="{409FAE65-7840-485F-9390-5501F77F21C2}" type="pres">
      <dgm:prSet presAssocID="{37A0232B-06A5-4602-B064-5FBB228E3823}" presName="Name37" presStyleLbl="parChTrans1D2" presStyleIdx="1" presStyleCnt="4"/>
      <dgm:spPr/>
    </dgm:pt>
    <dgm:pt modelId="{EE25A5A0-CA0E-4918-958D-6D45745F2B3D}" type="pres">
      <dgm:prSet presAssocID="{942C8DEC-C1B1-42FB-9194-9B7EB1AE53EE}" presName="hierRoot2" presStyleCnt="0">
        <dgm:presLayoutVars>
          <dgm:hierBranch val="hang"/>
        </dgm:presLayoutVars>
      </dgm:prSet>
      <dgm:spPr/>
    </dgm:pt>
    <dgm:pt modelId="{65BD3730-F021-4E1E-B22E-E059C008CD70}" type="pres">
      <dgm:prSet presAssocID="{942C8DEC-C1B1-42FB-9194-9B7EB1AE53EE}" presName="rootComposite" presStyleCnt="0"/>
      <dgm:spPr/>
    </dgm:pt>
    <dgm:pt modelId="{80341BDE-F995-4D7F-8487-8233CAEF1DEE}" type="pres">
      <dgm:prSet presAssocID="{942C8DEC-C1B1-42FB-9194-9B7EB1AE53EE}" presName="rootText" presStyleLbl="node1" presStyleIdx="16" presStyleCnt="42">
        <dgm:presLayoutVars>
          <dgm:chMax/>
          <dgm:chPref val="3"/>
        </dgm:presLayoutVars>
      </dgm:prSet>
      <dgm:spPr/>
    </dgm:pt>
    <dgm:pt modelId="{DAA10A89-274A-46C3-823E-AE3B00B8A417}" type="pres">
      <dgm:prSet presAssocID="{942C8DEC-C1B1-42FB-9194-9B7EB1AE53EE}" presName="titleText2" presStyleLbl="fgAcc1" presStyleIdx="16" presStyleCnt="42">
        <dgm:presLayoutVars>
          <dgm:chMax val="0"/>
          <dgm:chPref val="0"/>
        </dgm:presLayoutVars>
      </dgm:prSet>
      <dgm:spPr/>
    </dgm:pt>
    <dgm:pt modelId="{FDA6F419-CBB2-4A3C-9F73-C993B51EE192}" type="pres">
      <dgm:prSet presAssocID="{942C8DEC-C1B1-42FB-9194-9B7EB1AE53EE}" presName="rootConnector" presStyleLbl="node2" presStyleIdx="0" presStyleCnt="0"/>
      <dgm:spPr/>
    </dgm:pt>
    <dgm:pt modelId="{117AAFEB-46A0-4A49-B20E-63C14F3254F2}" type="pres">
      <dgm:prSet presAssocID="{942C8DEC-C1B1-42FB-9194-9B7EB1AE53EE}" presName="hierChild4" presStyleCnt="0"/>
      <dgm:spPr/>
    </dgm:pt>
    <dgm:pt modelId="{CF4BBD4A-08BA-4925-8C99-6C66F75D79E7}" type="pres">
      <dgm:prSet presAssocID="{92CB946F-71D1-4C7D-9400-3446CBF271F8}" presName="Name42" presStyleLbl="parChTrans1D3" presStyleIdx="4" presStyleCnt="14"/>
      <dgm:spPr/>
    </dgm:pt>
    <dgm:pt modelId="{148A54C8-F792-4050-95D2-7AEBA733399D}" type="pres">
      <dgm:prSet presAssocID="{859BA693-07BB-4A81-93C9-BE4A6808C33D}" presName="hierRoot2" presStyleCnt="0">
        <dgm:presLayoutVars>
          <dgm:hierBranch val="init"/>
        </dgm:presLayoutVars>
      </dgm:prSet>
      <dgm:spPr/>
    </dgm:pt>
    <dgm:pt modelId="{9801DD3B-F879-4D19-AD8E-E2F858628D06}" type="pres">
      <dgm:prSet presAssocID="{859BA693-07BB-4A81-93C9-BE4A6808C33D}" presName="rootComposite" presStyleCnt="0"/>
      <dgm:spPr/>
    </dgm:pt>
    <dgm:pt modelId="{FEDAC8C2-250E-4B32-8532-855473263F13}" type="pres">
      <dgm:prSet presAssocID="{859BA693-07BB-4A81-93C9-BE4A6808C33D}" presName="rootText" presStyleLbl="node1" presStyleIdx="17" presStyleCnt="42">
        <dgm:presLayoutVars>
          <dgm:chMax/>
          <dgm:chPref val="3"/>
        </dgm:presLayoutVars>
      </dgm:prSet>
      <dgm:spPr/>
    </dgm:pt>
    <dgm:pt modelId="{656E15EF-04E1-41C4-A0E2-A1CAADE791E4}" type="pres">
      <dgm:prSet presAssocID="{859BA693-07BB-4A81-93C9-BE4A6808C33D}" presName="titleText2" presStyleLbl="fgAcc1" presStyleIdx="17" presStyleCnt="42">
        <dgm:presLayoutVars>
          <dgm:chMax val="0"/>
          <dgm:chPref val="0"/>
        </dgm:presLayoutVars>
      </dgm:prSet>
      <dgm:spPr/>
    </dgm:pt>
    <dgm:pt modelId="{B94BEE16-363A-445D-A414-05E48962F259}" type="pres">
      <dgm:prSet presAssocID="{859BA693-07BB-4A81-93C9-BE4A6808C33D}" presName="rootConnector" presStyleLbl="node3" presStyleIdx="0" presStyleCnt="0"/>
      <dgm:spPr/>
    </dgm:pt>
    <dgm:pt modelId="{0C2F04B1-1204-4B56-AB54-61E6F56E9AA7}" type="pres">
      <dgm:prSet presAssocID="{859BA693-07BB-4A81-93C9-BE4A6808C33D}" presName="hierChild4" presStyleCnt="0"/>
      <dgm:spPr/>
    </dgm:pt>
    <dgm:pt modelId="{FB3B2737-FB14-4F34-9C32-D18254B8CF7E}" type="pres">
      <dgm:prSet presAssocID="{F0095F64-C77B-462D-BB94-A13769B260D6}" presName="Name37" presStyleLbl="parChTrans1D4" presStyleIdx="11" presStyleCnt="24"/>
      <dgm:spPr/>
    </dgm:pt>
    <dgm:pt modelId="{3EA540CF-7023-49F8-A63F-0EF18DFF94F4}" type="pres">
      <dgm:prSet presAssocID="{26955D44-124D-4394-BCE8-BF162D14CE72}" presName="hierRoot2" presStyleCnt="0">
        <dgm:presLayoutVars>
          <dgm:hierBranch val="init"/>
        </dgm:presLayoutVars>
      </dgm:prSet>
      <dgm:spPr/>
    </dgm:pt>
    <dgm:pt modelId="{E800F1F7-92FE-41DB-8909-82EE7C39A15F}" type="pres">
      <dgm:prSet presAssocID="{26955D44-124D-4394-BCE8-BF162D14CE72}" presName="rootComposite" presStyleCnt="0"/>
      <dgm:spPr/>
    </dgm:pt>
    <dgm:pt modelId="{2DCEA40D-47E6-4BC8-B79E-5B9B8090F3E4}" type="pres">
      <dgm:prSet presAssocID="{26955D44-124D-4394-BCE8-BF162D14CE72}" presName="rootText" presStyleLbl="node1" presStyleIdx="18" presStyleCnt="42">
        <dgm:presLayoutVars>
          <dgm:chMax/>
          <dgm:chPref val="3"/>
        </dgm:presLayoutVars>
      </dgm:prSet>
      <dgm:spPr/>
    </dgm:pt>
    <dgm:pt modelId="{89D87073-DF77-46C5-BCFE-2C803C65B702}" type="pres">
      <dgm:prSet presAssocID="{26955D44-124D-4394-BCE8-BF162D14CE72}" presName="titleText2" presStyleLbl="fgAcc1" presStyleIdx="18" presStyleCnt="42">
        <dgm:presLayoutVars>
          <dgm:chMax val="0"/>
          <dgm:chPref val="0"/>
        </dgm:presLayoutVars>
      </dgm:prSet>
      <dgm:spPr/>
    </dgm:pt>
    <dgm:pt modelId="{FF2FD544-10BE-48C0-A74B-8765342D31FC}" type="pres">
      <dgm:prSet presAssocID="{26955D44-124D-4394-BCE8-BF162D14CE72}" presName="rootConnector" presStyleLbl="node4" presStyleIdx="0" presStyleCnt="0"/>
      <dgm:spPr/>
    </dgm:pt>
    <dgm:pt modelId="{E2528527-4329-4B29-8562-8FDEA272DC05}" type="pres">
      <dgm:prSet presAssocID="{26955D44-124D-4394-BCE8-BF162D14CE72}" presName="hierChild4" presStyleCnt="0"/>
      <dgm:spPr/>
    </dgm:pt>
    <dgm:pt modelId="{188DF213-C2A1-4E4E-9993-F089AA9E2FCB}" type="pres">
      <dgm:prSet presAssocID="{26955D44-124D-4394-BCE8-BF162D14CE72}" presName="hierChild5" presStyleCnt="0"/>
      <dgm:spPr/>
    </dgm:pt>
    <dgm:pt modelId="{E40D165E-71E7-49EF-BFA4-8DD890CC24CB}" type="pres">
      <dgm:prSet presAssocID="{859BA693-07BB-4A81-93C9-BE4A6808C33D}" presName="hierChild5" presStyleCnt="0"/>
      <dgm:spPr/>
    </dgm:pt>
    <dgm:pt modelId="{021DD6D6-FCEC-41D9-B348-B74C8086787F}" type="pres">
      <dgm:prSet presAssocID="{9F157D24-A5D1-4619-B1CE-207AD8F53CD5}" presName="Name42" presStyleLbl="parChTrans1D3" presStyleIdx="5" presStyleCnt="14"/>
      <dgm:spPr/>
    </dgm:pt>
    <dgm:pt modelId="{294C15F9-83B6-442D-8CAB-7CEA552C6C53}" type="pres">
      <dgm:prSet presAssocID="{58195434-CC28-4171-98DC-064A9A9C5BBC}" presName="hierRoot2" presStyleCnt="0">
        <dgm:presLayoutVars>
          <dgm:hierBranch val="init"/>
        </dgm:presLayoutVars>
      </dgm:prSet>
      <dgm:spPr/>
    </dgm:pt>
    <dgm:pt modelId="{2CB66ADA-EDFB-4B3A-A4E8-D9C6281E60B9}" type="pres">
      <dgm:prSet presAssocID="{58195434-CC28-4171-98DC-064A9A9C5BBC}" presName="rootComposite" presStyleCnt="0"/>
      <dgm:spPr/>
    </dgm:pt>
    <dgm:pt modelId="{D5B37A4F-EF58-45F4-8276-218AE53A3C6F}" type="pres">
      <dgm:prSet presAssocID="{58195434-CC28-4171-98DC-064A9A9C5BBC}" presName="rootText" presStyleLbl="node1" presStyleIdx="19" presStyleCnt="42">
        <dgm:presLayoutVars>
          <dgm:chMax/>
          <dgm:chPref val="3"/>
        </dgm:presLayoutVars>
      </dgm:prSet>
      <dgm:spPr/>
    </dgm:pt>
    <dgm:pt modelId="{38BE10C7-FBDC-4133-91A6-59B93208FF60}" type="pres">
      <dgm:prSet presAssocID="{58195434-CC28-4171-98DC-064A9A9C5BBC}" presName="titleText2" presStyleLbl="fgAcc1" presStyleIdx="19" presStyleCnt="42">
        <dgm:presLayoutVars>
          <dgm:chMax val="0"/>
          <dgm:chPref val="0"/>
        </dgm:presLayoutVars>
      </dgm:prSet>
      <dgm:spPr/>
    </dgm:pt>
    <dgm:pt modelId="{BA4515F9-2F3F-4798-B42C-76B1B7D04437}" type="pres">
      <dgm:prSet presAssocID="{58195434-CC28-4171-98DC-064A9A9C5BBC}" presName="rootConnector" presStyleLbl="node3" presStyleIdx="0" presStyleCnt="0"/>
      <dgm:spPr/>
    </dgm:pt>
    <dgm:pt modelId="{E1C93E84-5489-4B2C-A02B-0C5A6C46B817}" type="pres">
      <dgm:prSet presAssocID="{58195434-CC28-4171-98DC-064A9A9C5BBC}" presName="hierChild4" presStyleCnt="0"/>
      <dgm:spPr/>
    </dgm:pt>
    <dgm:pt modelId="{DF55F7A0-5262-4492-A421-74EE3244E2A7}" type="pres">
      <dgm:prSet presAssocID="{CB18A920-F073-4639-AD71-F8F60BA7D0B8}" presName="Name37" presStyleLbl="parChTrans1D4" presStyleIdx="12" presStyleCnt="24"/>
      <dgm:spPr/>
    </dgm:pt>
    <dgm:pt modelId="{76165F65-F094-4619-93B1-9E072FB1FDAD}" type="pres">
      <dgm:prSet presAssocID="{25E03141-74F1-48C9-90A5-C61C9D8E2AE0}" presName="hierRoot2" presStyleCnt="0">
        <dgm:presLayoutVars>
          <dgm:hierBranch val="init"/>
        </dgm:presLayoutVars>
      </dgm:prSet>
      <dgm:spPr/>
    </dgm:pt>
    <dgm:pt modelId="{B9522AD3-9592-457C-9399-9ADD91FBEC66}" type="pres">
      <dgm:prSet presAssocID="{25E03141-74F1-48C9-90A5-C61C9D8E2AE0}" presName="rootComposite" presStyleCnt="0"/>
      <dgm:spPr/>
    </dgm:pt>
    <dgm:pt modelId="{019F7FFD-9036-42CB-B450-ABD033DC3880}" type="pres">
      <dgm:prSet presAssocID="{25E03141-74F1-48C9-90A5-C61C9D8E2AE0}" presName="rootText" presStyleLbl="node1" presStyleIdx="20" presStyleCnt="42">
        <dgm:presLayoutVars>
          <dgm:chMax/>
          <dgm:chPref val="3"/>
        </dgm:presLayoutVars>
      </dgm:prSet>
      <dgm:spPr/>
    </dgm:pt>
    <dgm:pt modelId="{559352D2-DAA0-48CE-A551-A1FCE375E13C}" type="pres">
      <dgm:prSet presAssocID="{25E03141-74F1-48C9-90A5-C61C9D8E2AE0}" presName="titleText2" presStyleLbl="fgAcc1" presStyleIdx="20" presStyleCnt="42">
        <dgm:presLayoutVars>
          <dgm:chMax val="0"/>
          <dgm:chPref val="0"/>
        </dgm:presLayoutVars>
      </dgm:prSet>
      <dgm:spPr/>
    </dgm:pt>
    <dgm:pt modelId="{B16A1255-086D-40FB-A316-DB69620942F6}" type="pres">
      <dgm:prSet presAssocID="{25E03141-74F1-48C9-90A5-C61C9D8E2AE0}" presName="rootConnector" presStyleLbl="node4" presStyleIdx="0" presStyleCnt="0"/>
      <dgm:spPr/>
    </dgm:pt>
    <dgm:pt modelId="{4EE2C858-621E-4D32-ADB1-152FDF7826E4}" type="pres">
      <dgm:prSet presAssocID="{25E03141-74F1-48C9-90A5-C61C9D8E2AE0}" presName="hierChild4" presStyleCnt="0"/>
      <dgm:spPr/>
    </dgm:pt>
    <dgm:pt modelId="{AD362527-B351-47C2-AA3F-B5D020380132}" type="pres">
      <dgm:prSet presAssocID="{25E03141-74F1-48C9-90A5-C61C9D8E2AE0}" presName="hierChild5" presStyleCnt="0"/>
      <dgm:spPr/>
    </dgm:pt>
    <dgm:pt modelId="{FC26FEFB-0517-462B-A69A-3C2A16823FAB}" type="pres">
      <dgm:prSet presAssocID="{58195434-CC28-4171-98DC-064A9A9C5BBC}" presName="hierChild5" presStyleCnt="0"/>
      <dgm:spPr/>
    </dgm:pt>
    <dgm:pt modelId="{8D476684-1BAD-40CB-932D-88D0398B2EAD}" type="pres">
      <dgm:prSet presAssocID="{482AB384-4C32-47B3-8FD6-5F997F9EA434}" presName="Name42" presStyleLbl="parChTrans1D3" presStyleIdx="6" presStyleCnt="14"/>
      <dgm:spPr/>
    </dgm:pt>
    <dgm:pt modelId="{847FF59C-807A-43FA-A67D-46DE65F4B6D4}" type="pres">
      <dgm:prSet presAssocID="{09CC62A3-5469-49FC-A786-F060E682E2A5}" presName="hierRoot2" presStyleCnt="0">
        <dgm:presLayoutVars>
          <dgm:hierBranch val="init"/>
        </dgm:presLayoutVars>
      </dgm:prSet>
      <dgm:spPr/>
    </dgm:pt>
    <dgm:pt modelId="{CBFABF1B-209C-4958-816C-F97F82F576B5}" type="pres">
      <dgm:prSet presAssocID="{09CC62A3-5469-49FC-A786-F060E682E2A5}" presName="rootComposite" presStyleCnt="0"/>
      <dgm:spPr/>
    </dgm:pt>
    <dgm:pt modelId="{1C8E0FDE-B596-4BE4-B9DE-1133B8437399}" type="pres">
      <dgm:prSet presAssocID="{09CC62A3-5469-49FC-A786-F060E682E2A5}" presName="rootText" presStyleLbl="node1" presStyleIdx="21" presStyleCnt="42">
        <dgm:presLayoutVars>
          <dgm:chMax/>
          <dgm:chPref val="3"/>
        </dgm:presLayoutVars>
      </dgm:prSet>
      <dgm:spPr/>
    </dgm:pt>
    <dgm:pt modelId="{44A4C9CE-925A-433F-8D8E-7EE62AF3AD4E}" type="pres">
      <dgm:prSet presAssocID="{09CC62A3-5469-49FC-A786-F060E682E2A5}" presName="titleText2" presStyleLbl="fgAcc1" presStyleIdx="21" presStyleCnt="42">
        <dgm:presLayoutVars>
          <dgm:chMax val="0"/>
          <dgm:chPref val="0"/>
        </dgm:presLayoutVars>
      </dgm:prSet>
      <dgm:spPr/>
    </dgm:pt>
    <dgm:pt modelId="{BD64303B-418F-4467-8678-A550E1FE6CB5}" type="pres">
      <dgm:prSet presAssocID="{09CC62A3-5469-49FC-A786-F060E682E2A5}" presName="rootConnector" presStyleLbl="node3" presStyleIdx="0" presStyleCnt="0"/>
      <dgm:spPr/>
    </dgm:pt>
    <dgm:pt modelId="{2F8B1E01-C45A-47EC-A83E-7468853A47CD}" type="pres">
      <dgm:prSet presAssocID="{09CC62A3-5469-49FC-A786-F060E682E2A5}" presName="hierChild4" presStyleCnt="0"/>
      <dgm:spPr/>
    </dgm:pt>
    <dgm:pt modelId="{F4B25B85-D2E1-41E8-8612-F0F1274C95F0}" type="pres">
      <dgm:prSet presAssocID="{844276F5-192D-4A16-91F3-47A6C6A9690F}" presName="Name37" presStyleLbl="parChTrans1D4" presStyleIdx="13" presStyleCnt="24"/>
      <dgm:spPr/>
    </dgm:pt>
    <dgm:pt modelId="{34DC36F6-7298-4074-97DD-AD10BDAA69BC}" type="pres">
      <dgm:prSet presAssocID="{3499517F-1884-446D-A76D-45F8E857FACA}" presName="hierRoot2" presStyleCnt="0">
        <dgm:presLayoutVars>
          <dgm:hierBranch val="init"/>
        </dgm:presLayoutVars>
      </dgm:prSet>
      <dgm:spPr/>
    </dgm:pt>
    <dgm:pt modelId="{3C7875D1-77C0-49EE-9CEC-9E6D275EC1BC}" type="pres">
      <dgm:prSet presAssocID="{3499517F-1884-446D-A76D-45F8E857FACA}" presName="rootComposite" presStyleCnt="0"/>
      <dgm:spPr/>
    </dgm:pt>
    <dgm:pt modelId="{45D0B1BF-78E7-496B-84E7-12A2829B813F}" type="pres">
      <dgm:prSet presAssocID="{3499517F-1884-446D-A76D-45F8E857FACA}" presName="rootText" presStyleLbl="node1" presStyleIdx="22" presStyleCnt="42">
        <dgm:presLayoutVars>
          <dgm:chMax/>
          <dgm:chPref val="3"/>
        </dgm:presLayoutVars>
      </dgm:prSet>
      <dgm:spPr/>
    </dgm:pt>
    <dgm:pt modelId="{F67D9200-4BF3-464E-BD3D-2EBEA7A12FC2}" type="pres">
      <dgm:prSet presAssocID="{3499517F-1884-446D-A76D-45F8E857FACA}" presName="titleText2" presStyleLbl="fgAcc1" presStyleIdx="22" presStyleCnt="42">
        <dgm:presLayoutVars>
          <dgm:chMax val="0"/>
          <dgm:chPref val="0"/>
        </dgm:presLayoutVars>
      </dgm:prSet>
      <dgm:spPr/>
    </dgm:pt>
    <dgm:pt modelId="{76903F1D-62DB-4496-B7A2-068F7AFC3166}" type="pres">
      <dgm:prSet presAssocID="{3499517F-1884-446D-A76D-45F8E857FACA}" presName="rootConnector" presStyleLbl="node4" presStyleIdx="0" presStyleCnt="0"/>
      <dgm:spPr/>
    </dgm:pt>
    <dgm:pt modelId="{DC6B3329-65C4-4438-8F90-9CCF0B1AB428}" type="pres">
      <dgm:prSet presAssocID="{3499517F-1884-446D-A76D-45F8E857FACA}" presName="hierChild4" presStyleCnt="0"/>
      <dgm:spPr/>
    </dgm:pt>
    <dgm:pt modelId="{417D6D89-9761-4FC9-B47A-BB4618595A0E}" type="pres">
      <dgm:prSet presAssocID="{3499517F-1884-446D-A76D-45F8E857FACA}" presName="hierChild5" presStyleCnt="0"/>
      <dgm:spPr/>
    </dgm:pt>
    <dgm:pt modelId="{3A180A32-BF84-40B5-98E8-53FF2AF80FAE}" type="pres">
      <dgm:prSet presAssocID="{09CC62A3-5469-49FC-A786-F060E682E2A5}" presName="hierChild5" presStyleCnt="0"/>
      <dgm:spPr/>
    </dgm:pt>
    <dgm:pt modelId="{B3170B44-4C49-46D1-BE51-BADB1752255A}" type="pres">
      <dgm:prSet presAssocID="{80D01D1C-F7AD-4903-B763-3DDD08217195}" presName="Name42" presStyleLbl="parChTrans1D3" presStyleIdx="7" presStyleCnt="14"/>
      <dgm:spPr/>
    </dgm:pt>
    <dgm:pt modelId="{4156372A-E33E-477F-8CDD-0415E0966EB6}" type="pres">
      <dgm:prSet presAssocID="{936CFED1-4BB2-43DC-812F-48302718469F}" presName="hierRoot2" presStyleCnt="0">
        <dgm:presLayoutVars>
          <dgm:hierBranch val="init"/>
        </dgm:presLayoutVars>
      </dgm:prSet>
      <dgm:spPr/>
    </dgm:pt>
    <dgm:pt modelId="{31997EFA-0FAA-4D95-911C-AB4D96946E77}" type="pres">
      <dgm:prSet presAssocID="{936CFED1-4BB2-43DC-812F-48302718469F}" presName="rootComposite" presStyleCnt="0"/>
      <dgm:spPr/>
    </dgm:pt>
    <dgm:pt modelId="{6F3EF441-777F-4A7D-A026-57867321C315}" type="pres">
      <dgm:prSet presAssocID="{936CFED1-4BB2-43DC-812F-48302718469F}" presName="rootText" presStyleLbl="node1" presStyleIdx="23" presStyleCnt="42">
        <dgm:presLayoutVars>
          <dgm:chMax/>
          <dgm:chPref val="3"/>
        </dgm:presLayoutVars>
      </dgm:prSet>
      <dgm:spPr/>
    </dgm:pt>
    <dgm:pt modelId="{E8B83256-F6F6-412B-A9C6-663D1E7F00A7}" type="pres">
      <dgm:prSet presAssocID="{936CFED1-4BB2-43DC-812F-48302718469F}" presName="titleText2" presStyleLbl="fgAcc1" presStyleIdx="23" presStyleCnt="42">
        <dgm:presLayoutVars>
          <dgm:chMax val="0"/>
          <dgm:chPref val="0"/>
        </dgm:presLayoutVars>
      </dgm:prSet>
      <dgm:spPr/>
    </dgm:pt>
    <dgm:pt modelId="{183F2548-773E-4131-895F-0D153559AD56}" type="pres">
      <dgm:prSet presAssocID="{936CFED1-4BB2-43DC-812F-48302718469F}" presName="rootConnector" presStyleLbl="node3" presStyleIdx="0" presStyleCnt="0"/>
      <dgm:spPr/>
    </dgm:pt>
    <dgm:pt modelId="{FA64461C-C09E-49B4-B806-80F6A106DFB9}" type="pres">
      <dgm:prSet presAssocID="{936CFED1-4BB2-43DC-812F-48302718469F}" presName="hierChild4" presStyleCnt="0"/>
      <dgm:spPr/>
    </dgm:pt>
    <dgm:pt modelId="{BBF30A08-BCF8-4E7D-9579-E3B55719F7E5}" type="pres">
      <dgm:prSet presAssocID="{936CFED1-4BB2-43DC-812F-48302718469F}" presName="hierChild5" presStyleCnt="0"/>
      <dgm:spPr/>
    </dgm:pt>
    <dgm:pt modelId="{0DC4604F-5292-438E-BCEF-F30EBD16657D}" type="pres">
      <dgm:prSet presAssocID="{942C8DEC-C1B1-42FB-9194-9B7EB1AE53EE}" presName="hierChild5" presStyleCnt="0"/>
      <dgm:spPr/>
    </dgm:pt>
    <dgm:pt modelId="{85E3B735-7102-43A0-A1E9-066BD01A6E5C}" type="pres">
      <dgm:prSet presAssocID="{FE37289A-17F0-4F4A-A0B5-5B32E6BD32D1}" presName="Name37" presStyleLbl="parChTrans1D2" presStyleIdx="2" presStyleCnt="4"/>
      <dgm:spPr/>
    </dgm:pt>
    <dgm:pt modelId="{1FC75BCB-70D1-4812-953D-2A63C5BB5986}" type="pres">
      <dgm:prSet presAssocID="{75BCF308-B12A-40F8-AF41-2AAED971F0BD}" presName="hierRoot2" presStyleCnt="0">
        <dgm:presLayoutVars>
          <dgm:hierBranch/>
        </dgm:presLayoutVars>
      </dgm:prSet>
      <dgm:spPr/>
    </dgm:pt>
    <dgm:pt modelId="{05DD70DF-5E79-4AD0-BE8F-10D8BA8CA6D9}" type="pres">
      <dgm:prSet presAssocID="{75BCF308-B12A-40F8-AF41-2AAED971F0BD}" presName="rootComposite" presStyleCnt="0"/>
      <dgm:spPr/>
    </dgm:pt>
    <dgm:pt modelId="{07E26C17-29DF-4787-B788-D11E5789DF29}" type="pres">
      <dgm:prSet presAssocID="{75BCF308-B12A-40F8-AF41-2AAED971F0BD}" presName="rootText" presStyleLbl="node1" presStyleIdx="24" presStyleCnt="42">
        <dgm:presLayoutVars>
          <dgm:chMax/>
          <dgm:chPref val="3"/>
        </dgm:presLayoutVars>
      </dgm:prSet>
      <dgm:spPr/>
    </dgm:pt>
    <dgm:pt modelId="{BB5B700F-496F-45E0-9351-B2DF026C420E}" type="pres">
      <dgm:prSet presAssocID="{75BCF308-B12A-40F8-AF41-2AAED971F0BD}" presName="titleText2" presStyleLbl="fgAcc1" presStyleIdx="24" presStyleCnt="42">
        <dgm:presLayoutVars>
          <dgm:chMax val="0"/>
          <dgm:chPref val="0"/>
        </dgm:presLayoutVars>
      </dgm:prSet>
      <dgm:spPr/>
    </dgm:pt>
    <dgm:pt modelId="{B3523960-6B29-445A-8AB4-F425A7B3DDC6}" type="pres">
      <dgm:prSet presAssocID="{75BCF308-B12A-40F8-AF41-2AAED971F0BD}" presName="rootConnector" presStyleLbl="node2" presStyleIdx="0" presStyleCnt="0"/>
      <dgm:spPr/>
    </dgm:pt>
    <dgm:pt modelId="{8CA688BB-7814-4855-AC18-C34A0C9ECD58}" type="pres">
      <dgm:prSet presAssocID="{75BCF308-B12A-40F8-AF41-2AAED971F0BD}" presName="hierChild4" presStyleCnt="0"/>
      <dgm:spPr/>
    </dgm:pt>
    <dgm:pt modelId="{9DEECE6A-2DC7-462C-B4D3-4FDA509FDDFE}" type="pres">
      <dgm:prSet presAssocID="{EE855179-559A-4EFF-B003-56EF85A8622B}" presName="Name35" presStyleLbl="parChTrans1D3" presStyleIdx="8" presStyleCnt="14"/>
      <dgm:spPr/>
    </dgm:pt>
    <dgm:pt modelId="{01AC8645-813A-4A9A-82C3-B574331D483D}" type="pres">
      <dgm:prSet presAssocID="{CCEABBB7-338B-47E0-BEFB-7E66639CFF61}" presName="hierRoot2" presStyleCnt="0">
        <dgm:presLayoutVars>
          <dgm:hierBranch val="r"/>
        </dgm:presLayoutVars>
      </dgm:prSet>
      <dgm:spPr/>
    </dgm:pt>
    <dgm:pt modelId="{2179E049-8235-41B9-A659-78E2FC8407B4}" type="pres">
      <dgm:prSet presAssocID="{CCEABBB7-338B-47E0-BEFB-7E66639CFF61}" presName="rootComposite" presStyleCnt="0"/>
      <dgm:spPr/>
    </dgm:pt>
    <dgm:pt modelId="{2A0BCD83-2C24-4BE1-B20B-A9DCDFF5B535}" type="pres">
      <dgm:prSet presAssocID="{CCEABBB7-338B-47E0-BEFB-7E66639CFF61}" presName="rootText" presStyleLbl="node1" presStyleIdx="25" presStyleCnt="42">
        <dgm:presLayoutVars>
          <dgm:chMax/>
          <dgm:chPref val="3"/>
        </dgm:presLayoutVars>
      </dgm:prSet>
      <dgm:spPr/>
    </dgm:pt>
    <dgm:pt modelId="{C0264484-DC40-4C1C-9103-106977643F89}" type="pres">
      <dgm:prSet presAssocID="{CCEABBB7-338B-47E0-BEFB-7E66639CFF61}" presName="titleText2" presStyleLbl="fgAcc1" presStyleIdx="25" presStyleCnt="42">
        <dgm:presLayoutVars>
          <dgm:chMax val="0"/>
          <dgm:chPref val="0"/>
        </dgm:presLayoutVars>
      </dgm:prSet>
      <dgm:spPr/>
    </dgm:pt>
    <dgm:pt modelId="{3AAB482F-932F-42CC-844D-3D7DB6733225}" type="pres">
      <dgm:prSet presAssocID="{CCEABBB7-338B-47E0-BEFB-7E66639CFF61}" presName="rootConnector" presStyleLbl="node3" presStyleIdx="0" presStyleCnt="0"/>
      <dgm:spPr/>
    </dgm:pt>
    <dgm:pt modelId="{98437BB9-BFF2-4F35-8ED6-E58FF9C749E4}" type="pres">
      <dgm:prSet presAssocID="{CCEABBB7-338B-47E0-BEFB-7E66639CFF61}" presName="hierChild4" presStyleCnt="0"/>
      <dgm:spPr/>
    </dgm:pt>
    <dgm:pt modelId="{11479A7A-F6B0-4568-97AA-570024CA2197}" type="pres">
      <dgm:prSet presAssocID="{78BD750B-AA95-4DA8-8000-88F315A536B5}" presName="Name44" presStyleLbl="parChTrans1D4" presStyleIdx="14" presStyleCnt="24"/>
      <dgm:spPr/>
    </dgm:pt>
    <dgm:pt modelId="{6A983487-B494-43C5-A160-F71A33CB8E1F}" type="pres">
      <dgm:prSet presAssocID="{504E8244-1CAD-478D-A5EE-6857132B600A}" presName="hierRoot2" presStyleCnt="0">
        <dgm:presLayoutVars>
          <dgm:hierBranch val="init"/>
        </dgm:presLayoutVars>
      </dgm:prSet>
      <dgm:spPr/>
    </dgm:pt>
    <dgm:pt modelId="{197ABC2E-3C7E-40BD-A72E-686C6DD889BB}" type="pres">
      <dgm:prSet presAssocID="{504E8244-1CAD-478D-A5EE-6857132B600A}" presName="rootComposite" presStyleCnt="0"/>
      <dgm:spPr/>
    </dgm:pt>
    <dgm:pt modelId="{949B4D2A-B6A1-4788-A404-6175DEF28063}" type="pres">
      <dgm:prSet presAssocID="{504E8244-1CAD-478D-A5EE-6857132B600A}" presName="rootText" presStyleLbl="node1" presStyleIdx="26" presStyleCnt="42">
        <dgm:presLayoutVars>
          <dgm:chMax/>
          <dgm:chPref val="3"/>
        </dgm:presLayoutVars>
      </dgm:prSet>
      <dgm:spPr/>
    </dgm:pt>
    <dgm:pt modelId="{69D58FF6-F2A9-41A2-9D61-C9D202626D17}" type="pres">
      <dgm:prSet presAssocID="{504E8244-1CAD-478D-A5EE-6857132B600A}" presName="titleText2" presStyleLbl="fgAcc1" presStyleIdx="26" presStyleCnt="42">
        <dgm:presLayoutVars>
          <dgm:chMax val="0"/>
          <dgm:chPref val="0"/>
        </dgm:presLayoutVars>
      </dgm:prSet>
      <dgm:spPr/>
    </dgm:pt>
    <dgm:pt modelId="{FD9E512B-2E2C-4BC5-923E-B65D8E29A85D}" type="pres">
      <dgm:prSet presAssocID="{504E8244-1CAD-478D-A5EE-6857132B600A}" presName="rootConnector" presStyleLbl="node4" presStyleIdx="0" presStyleCnt="0"/>
      <dgm:spPr/>
    </dgm:pt>
    <dgm:pt modelId="{D6752E81-C952-498F-8A73-F08C8B998EA4}" type="pres">
      <dgm:prSet presAssocID="{504E8244-1CAD-478D-A5EE-6857132B600A}" presName="hierChild4" presStyleCnt="0"/>
      <dgm:spPr/>
    </dgm:pt>
    <dgm:pt modelId="{7AF8C0CF-1C90-429E-8C73-8129969F9A99}" type="pres">
      <dgm:prSet presAssocID="{504E8244-1CAD-478D-A5EE-6857132B600A}" presName="hierChild5" presStyleCnt="0"/>
      <dgm:spPr/>
    </dgm:pt>
    <dgm:pt modelId="{CD07DC1F-C35D-4CEE-B564-0B104354C54F}" type="pres">
      <dgm:prSet presAssocID="{6D40DF44-2BEC-4F94-9A4A-9971C23408F6}" presName="Name44" presStyleLbl="parChTrans1D4" presStyleIdx="15" presStyleCnt="24"/>
      <dgm:spPr/>
    </dgm:pt>
    <dgm:pt modelId="{C6A4D50F-C8FF-4960-AF54-6104F8E5A71D}" type="pres">
      <dgm:prSet presAssocID="{E384D70C-225E-4709-BA1C-B5D68B155C5C}" presName="hierRoot2" presStyleCnt="0">
        <dgm:presLayoutVars>
          <dgm:hierBranch val="init"/>
        </dgm:presLayoutVars>
      </dgm:prSet>
      <dgm:spPr/>
    </dgm:pt>
    <dgm:pt modelId="{E4E28379-DA7E-4001-AA75-6414083FD58F}" type="pres">
      <dgm:prSet presAssocID="{E384D70C-225E-4709-BA1C-B5D68B155C5C}" presName="rootComposite" presStyleCnt="0"/>
      <dgm:spPr/>
    </dgm:pt>
    <dgm:pt modelId="{6EF8B4EE-6877-4512-B43B-3B1D377A41E4}" type="pres">
      <dgm:prSet presAssocID="{E384D70C-225E-4709-BA1C-B5D68B155C5C}" presName="rootText" presStyleLbl="node1" presStyleIdx="27" presStyleCnt="42">
        <dgm:presLayoutVars>
          <dgm:chMax/>
          <dgm:chPref val="3"/>
        </dgm:presLayoutVars>
      </dgm:prSet>
      <dgm:spPr/>
    </dgm:pt>
    <dgm:pt modelId="{D141C697-C6D4-4357-8EEB-E87E399E76B2}" type="pres">
      <dgm:prSet presAssocID="{E384D70C-225E-4709-BA1C-B5D68B155C5C}" presName="titleText2" presStyleLbl="fgAcc1" presStyleIdx="27" presStyleCnt="42">
        <dgm:presLayoutVars>
          <dgm:chMax val="0"/>
          <dgm:chPref val="0"/>
        </dgm:presLayoutVars>
      </dgm:prSet>
      <dgm:spPr/>
    </dgm:pt>
    <dgm:pt modelId="{C4F53EB6-A1B9-407E-B447-32309F6C3730}" type="pres">
      <dgm:prSet presAssocID="{E384D70C-225E-4709-BA1C-B5D68B155C5C}" presName="rootConnector" presStyleLbl="node4" presStyleIdx="0" presStyleCnt="0"/>
      <dgm:spPr/>
    </dgm:pt>
    <dgm:pt modelId="{64CCC1DE-D153-46A4-AAB0-5C1293C361E7}" type="pres">
      <dgm:prSet presAssocID="{E384D70C-225E-4709-BA1C-B5D68B155C5C}" presName="hierChild4" presStyleCnt="0"/>
      <dgm:spPr/>
    </dgm:pt>
    <dgm:pt modelId="{B406478C-14C9-4507-90D9-A21CD9E3AE39}" type="pres">
      <dgm:prSet presAssocID="{E384D70C-225E-4709-BA1C-B5D68B155C5C}" presName="hierChild5" presStyleCnt="0"/>
      <dgm:spPr/>
    </dgm:pt>
    <dgm:pt modelId="{FE1EFB4D-268A-4A0E-B476-1A579A15F8B5}" type="pres">
      <dgm:prSet presAssocID="{48C51B36-BD08-4EEF-A94B-C01A76863DFE}" presName="Name44" presStyleLbl="parChTrans1D4" presStyleIdx="16" presStyleCnt="24"/>
      <dgm:spPr/>
    </dgm:pt>
    <dgm:pt modelId="{949DD9B5-DA0A-42A5-8086-27D6C014E93C}" type="pres">
      <dgm:prSet presAssocID="{E5FDC60D-2B34-4AB7-97CD-DEFA12BFC0CC}" presName="hierRoot2" presStyleCnt="0">
        <dgm:presLayoutVars>
          <dgm:hierBranch val="init"/>
        </dgm:presLayoutVars>
      </dgm:prSet>
      <dgm:spPr/>
    </dgm:pt>
    <dgm:pt modelId="{1605120C-D1C0-482B-9AE2-EFCB8D44AD88}" type="pres">
      <dgm:prSet presAssocID="{E5FDC60D-2B34-4AB7-97CD-DEFA12BFC0CC}" presName="rootComposite" presStyleCnt="0"/>
      <dgm:spPr/>
    </dgm:pt>
    <dgm:pt modelId="{CAB8B3C7-C8B8-46C1-8DDC-C9148F8110CA}" type="pres">
      <dgm:prSet presAssocID="{E5FDC60D-2B34-4AB7-97CD-DEFA12BFC0CC}" presName="rootText" presStyleLbl="node1" presStyleIdx="28" presStyleCnt="42">
        <dgm:presLayoutVars>
          <dgm:chMax/>
          <dgm:chPref val="3"/>
        </dgm:presLayoutVars>
      </dgm:prSet>
      <dgm:spPr/>
    </dgm:pt>
    <dgm:pt modelId="{9B3BA139-5F5B-4E30-889D-A2F706A2695B}" type="pres">
      <dgm:prSet presAssocID="{E5FDC60D-2B34-4AB7-97CD-DEFA12BFC0CC}" presName="titleText2" presStyleLbl="fgAcc1" presStyleIdx="28" presStyleCnt="42">
        <dgm:presLayoutVars>
          <dgm:chMax val="0"/>
          <dgm:chPref val="0"/>
        </dgm:presLayoutVars>
      </dgm:prSet>
      <dgm:spPr/>
    </dgm:pt>
    <dgm:pt modelId="{A1974806-8176-4775-A3F7-79EFBB25800A}" type="pres">
      <dgm:prSet presAssocID="{E5FDC60D-2B34-4AB7-97CD-DEFA12BFC0CC}" presName="rootConnector" presStyleLbl="node4" presStyleIdx="0" presStyleCnt="0"/>
      <dgm:spPr/>
    </dgm:pt>
    <dgm:pt modelId="{7C9BE08B-A832-462C-8951-234303DA27C7}" type="pres">
      <dgm:prSet presAssocID="{E5FDC60D-2B34-4AB7-97CD-DEFA12BFC0CC}" presName="hierChild4" presStyleCnt="0"/>
      <dgm:spPr/>
    </dgm:pt>
    <dgm:pt modelId="{AE625F04-F92D-4E2F-BCC7-D80B90B58C6E}" type="pres">
      <dgm:prSet presAssocID="{E5FDC60D-2B34-4AB7-97CD-DEFA12BFC0CC}" presName="hierChild5" presStyleCnt="0"/>
      <dgm:spPr/>
    </dgm:pt>
    <dgm:pt modelId="{A8C423A5-C532-4EBD-9AEB-031676824F60}" type="pres">
      <dgm:prSet presAssocID="{968A20AC-F9E8-486A-8D1F-FE3EA8E9C0C1}" presName="Name44" presStyleLbl="parChTrans1D4" presStyleIdx="17" presStyleCnt="24"/>
      <dgm:spPr/>
    </dgm:pt>
    <dgm:pt modelId="{49D05F32-4E40-4827-A253-97C89F6EF381}" type="pres">
      <dgm:prSet presAssocID="{4A4ECE11-8B25-491E-81AA-E9C9D7A60188}" presName="hierRoot2" presStyleCnt="0">
        <dgm:presLayoutVars>
          <dgm:hierBranch val="init"/>
        </dgm:presLayoutVars>
      </dgm:prSet>
      <dgm:spPr/>
    </dgm:pt>
    <dgm:pt modelId="{D0174BCF-732C-4135-A194-02C564BA97C9}" type="pres">
      <dgm:prSet presAssocID="{4A4ECE11-8B25-491E-81AA-E9C9D7A60188}" presName="rootComposite" presStyleCnt="0"/>
      <dgm:spPr/>
    </dgm:pt>
    <dgm:pt modelId="{DD735BF7-B1EF-4CE8-A9E6-CA9D795B98F8}" type="pres">
      <dgm:prSet presAssocID="{4A4ECE11-8B25-491E-81AA-E9C9D7A60188}" presName="rootText" presStyleLbl="node1" presStyleIdx="29" presStyleCnt="42">
        <dgm:presLayoutVars>
          <dgm:chMax/>
          <dgm:chPref val="3"/>
        </dgm:presLayoutVars>
      </dgm:prSet>
      <dgm:spPr/>
    </dgm:pt>
    <dgm:pt modelId="{7D2D0C51-BDD6-4C8C-BB15-F85DE0902888}" type="pres">
      <dgm:prSet presAssocID="{4A4ECE11-8B25-491E-81AA-E9C9D7A60188}" presName="titleText2" presStyleLbl="fgAcc1" presStyleIdx="29" presStyleCnt="42">
        <dgm:presLayoutVars>
          <dgm:chMax val="0"/>
          <dgm:chPref val="0"/>
        </dgm:presLayoutVars>
      </dgm:prSet>
      <dgm:spPr/>
    </dgm:pt>
    <dgm:pt modelId="{62A597D1-8097-4A3A-8234-A08A001D73B0}" type="pres">
      <dgm:prSet presAssocID="{4A4ECE11-8B25-491E-81AA-E9C9D7A60188}" presName="rootConnector" presStyleLbl="node4" presStyleIdx="0" presStyleCnt="0"/>
      <dgm:spPr/>
    </dgm:pt>
    <dgm:pt modelId="{9943B7B5-A74F-4A4F-96E6-89CFB26B505B}" type="pres">
      <dgm:prSet presAssocID="{4A4ECE11-8B25-491E-81AA-E9C9D7A60188}" presName="hierChild4" presStyleCnt="0"/>
      <dgm:spPr/>
    </dgm:pt>
    <dgm:pt modelId="{851671F2-2B9A-45B7-B6C7-EF99321205D6}" type="pres">
      <dgm:prSet presAssocID="{4A4ECE11-8B25-491E-81AA-E9C9D7A60188}" presName="hierChild5" presStyleCnt="0"/>
      <dgm:spPr/>
    </dgm:pt>
    <dgm:pt modelId="{D523BA46-F152-4A97-BC8F-40D5511871BF}" type="pres">
      <dgm:prSet presAssocID="{CCEABBB7-338B-47E0-BEFB-7E66639CFF61}" presName="hierChild5" presStyleCnt="0"/>
      <dgm:spPr/>
    </dgm:pt>
    <dgm:pt modelId="{A2AAA880-5DAC-4A04-B8D6-C01D9612A6BA}" type="pres">
      <dgm:prSet presAssocID="{1A7603CB-DE7D-4AEC-B00F-115328F9699B}" presName="Name35" presStyleLbl="parChTrans1D3" presStyleIdx="9" presStyleCnt="14"/>
      <dgm:spPr/>
    </dgm:pt>
    <dgm:pt modelId="{499C3693-699C-40F1-97B6-AF9719ADBF37}" type="pres">
      <dgm:prSet presAssocID="{D3ABDF34-2C17-4964-ABFA-F146B3608B3C}" presName="hierRoot2" presStyleCnt="0">
        <dgm:presLayoutVars>
          <dgm:hierBranch val="init"/>
        </dgm:presLayoutVars>
      </dgm:prSet>
      <dgm:spPr/>
    </dgm:pt>
    <dgm:pt modelId="{2B712D9A-6F0E-47A2-AE2B-B799EE160BC5}" type="pres">
      <dgm:prSet presAssocID="{D3ABDF34-2C17-4964-ABFA-F146B3608B3C}" presName="rootComposite" presStyleCnt="0"/>
      <dgm:spPr/>
    </dgm:pt>
    <dgm:pt modelId="{AFEDC19F-5E18-407A-91B8-4A37CB3005D9}" type="pres">
      <dgm:prSet presAssocID="{D3ABDF34-2C17-4964-ABFA-F146B3608B3C}" presName="rootText" presStyleLbl="node1" presStyleIdx="30" presStyleCnt="42">
        <dgm:presLayoutVars>
          <dgm:chMax/>
          <dgm:chPref val="3"/>
        </dgm:presLayoutVars>
      </dgm:prSet>
      <dgm:spPr/>
    </dgm:pt>
    <dgm:pt modelId="{2E0D561D-EF1C-4E03-8586-7217D3A1BA85}" type="pres">
      <dgm:prSet presAssocID="{D3ABDF34-2C17-4964-ABFA-F146B3608B3C}" presName="titleText2" presStyleLbl="fgAcc1" presStyleIdx="30" presStyleCnt="42">
        <dgm:presLayoutVars>
          <dgm:chMax val="0"/>
          <dgm:chPref val="0"/>
        </dgm:presLayoutVars>
      </dgm:prSet>
      <dgm:spPr/>
    </dgm:pt>
    <dgm:pt modelId="{89C329DE-2C82-4D8A-9BE7-F39B6FA0443D}" type="pres">
      <dgm:prSet presAssocID="{D3ABDF34-2C17-4964-ABFA-F146B3608B3C}" presName="rootConnector" presStyleLbl="node3" presStyleIdx="0" presStyleCnt="0"/>
      <dgm:spPr/>
    </dgm:pt>
    <dgm:pt modelId="{E9FA59C9-6672-4A1C-BBA2-B50A741B8D39}" type="pres">
      <dgm:prSet presAssocID="{D3ABDF34-2C17-4964-ABFA-F146B3608B3C}" presName="hierChild4" presStyleCnt="0"/>
      <dgm:spPr/>
    </dgm:pt>
    <dgm:pt modelId="{38AAC22F-C221-4B6C-A4A8-7A149D43FDEE}" type="pres">
      <dgm:prSet presAssocID="{D3ABDF34-2C17-4964-ABFA-F146B3608B3C}" presName="hierChild5" presStyleCnt="0"/>
      <dgm:spPr/>
    </dgm:pt>
    <dgm:pt modelId="{4F2029E6-4688-4E4A-930C-78819A801C6E}" type="pres">
      <dgm:prSet presAssocID="{6FF616BD-484A-4B07-B086-EAA610F3E144}" presName="Name35" presStyleLbl="parChTrans1D3" presStyleIdx="10" presStyleCnt="14"/>
      <dgm:spPr/>
    </dgm:pt>
    <dgm:pt modelId="{07605D35-E4FB-4549-839B-984A5B219C30}" type="pres">
      <dgm:prSet presAssocID="{13023F3E-BBF3-4FF4-A7C1-4A0B6BAF3A29}" presName="hierRoot2" presStyleCnt="0">
        <dgm:presLayoutVars>
          <dgm:hierBranch val="init"/>
        </dgm:presLayoutVars>
      </dgm:prSet>
      <dgm:spPr/>
    </dgm:pt>
    <dgm:pt modelId="{78147A8C-291F-4F84-AA01-1394D9F0BF9B}" type="pres">
      <dgm:prSet presAssocID="{13023F3E-BBF3-4FF4-A7C1-4A0B6BAF3A29}" presName="rootComposite" presStyleCnt="0"/>
      <dgm:spPr/>
    </dgm:pt>
    <dgm:pt modelId="{7439A715-7671-47C4-8F06-B4B3F7D2CAFF}" type="pres">
      <dgm:prSet presAssocID="{13023F3E-BBF3-4FF4-A7C1-4A0B6BAF3A29}" presName="rootText" presStyleLbl="node1" presStyleIdx="31" presStyleCnt="42">
        <dgm:presLayoutVars>
          <dgm:chMax/>
          <dgm:chPref val="3"/>
        </dgm:presLayoutVars>
      </dgm:prSet>
      <dgm:spPr/>
    </dgm:pt>
    <dgm:pt modelId="{CF40303A-144B-4634-9141-BA48ED9CC06F}" type="pres">
      <dgm:prSet presAssocID="{13023F3E-BBF3-4FF4-A7C1-4A0B6BAF3A29}" presName="titleText2" presStyleLbl="fgAcc1" presStyleIdx="31" presStyleCnt="42">
        <dgm:presLayoutVars>
          <dgm:chMax val="0"/>
          <dgm:chPref val="0"/>
        </dgm:presLayoutVars>
      </dgm:prSet>
      <dgm:spPr/>
    </dgm:pt>
    <dgm:pt modelId="{AD199797-2A6C-4922-8622-4AA2D9D96060}" type="pres">
      <dgm:prSet presAssocID="{13023F3E-BBF3-4FF4-A7C1-4A0B6BAF3A29}" presName="rootConnector" presStyleLbl="node3" presStyleIdx="0" presStyleCnt="0"/>
      <dgm:spPr/>
    </dgm:pt>
    <dgm:pt modelId="{88099114-A96C-41BD-8F36-F3230C569575}" type="pres">
      <dgm:prSet presAssocID="{13023F3E-BBF3-4FF4-A7C1-4A0B6BAF3A29}" presName="hierChild4" presStyleCnt="0"/>
      <dgm:spPr/>
    </dgm:pt>
    <dgm:pt modelId="{03B90242-3A34-42ED-8B7E-9D6782457C18}" type="pres">
      <dgm:prSet presAssocID="{C50BEEDE-DCCE-4DF3-8F66-2B42730046B1}" presName="Name37" presStyleLbl="parChTrans1D4" presStyleIdx="18" presStyleCnt="24"/>
      <dgm:spPr/>
    </dgm:pt>
    <dgm:pt modelId="{AA0208C1-5896-44F3-B44F-E203ACB9A26B}" type="pres">
      <dgm:prSet presAssocID="{361F6CE2-3FF8-4B58-A536-E5A8AB32CF5B}" presName="hierRoot2" presStyleCnt="0">
        <dgm:presLayoutVars>
          <dgm:hierBranch val="init"/>
        </dgm:presLayoutVars>
      </dgm:prSet>
      <dgm:spPr/>
    </dgm:pt>
    <dgm:pt modelId="{992BD382-3600-4279-9725-39E21746BF59}" type="pres">
      <dgm:prSet presAssocID="{361F6CE2-3FF8-4B58-A536-E5A8AB32CF5B}" presName="rootComposite" presStyleCnt="0"/>
      <dgm:spPr/>
    </dgm:pt>
    <dgm:pt modelId="{0C9F8BBE-2D70-4EDF-BE84-1E97862A8D2D}" type="pres">
      <dgm:prSet presAssocID="{361F6CE2-3FF8-4B58-A536-E5A8AB32CF5B}" presName="rootText" presStyleLbl="node1" presStyleIdx="32" presStyleCnt="42">
        <dgm:presLayoutVars>
          <dgm:chMax/>
          <dgm:chPref val="3"/>
        </dgm:presLayoutVars>
      </dgm:prSet>
      <dgm:spPr/>
    </dgm:pt>
    <dgm:pt modelId="{03B94904-6BC5-4944-B998-9DA08457AB2D}" type="pres">
      <dgm:prSet presAssocID="{361F6CE2-3FF8-4B58-A536-E5A8AB32CF5B}" presName="titleText2" presStyleLbl="fgAcc1" presStyleIdx="32" presStyleCnt="42">
        <dgm:presLayoutVars>
          <dgm:chMax val="0"/>
          <dgm:chPref val="0"/>
        </dgm:presLayoutVars>
      </dgm:prSet>
      <dgm:spPr/>
    </dgm:pt>
    <dgm:pt modelId="{3FB522F5-052C-4160-972A-53900489EEC1}" type="pres">
      <dgm:prSet presAssocID="{361F6CE2-3FF8-4B58-A536-E5A8AB32CF5B}" presName="rootConnector" presStyleLbl="node4" presStyleIdx="0" presStyleCnt="0"/>
      <dgm:spPr/>
    </dgm:pt>
    <dgm:pt modelId="{E1CB937D-9E80-41C4-B140-B6F7ED910098}" type="pres">
      <dgm:prSet presAssocID="{361F6CE2-3FF8-4B58-A536-E5A8AB32CF5B}" presName="hierChild4" presStyleCnt="0"/>
      <dgm:spPr/>
    </dgm:pt>
    <dgm:pt modelId="{CEFCEFBE-8AB4-49BC-8EE4-9C317A2FCE80}" type="pres">
      <dgm:prSet presAssocID="{361F6CE2-3FF8-4B58-A536-E5A8AB32CF5B}" presName="hierChild5" presStyleCnt="0"/>
      <dgm:spPr/>
    </dgm:pt>
    <dgm:pt modelId="{4C60846A-AFF3-472B-A908-521A62D143A2}" type="pres">
      <dgm:prSet presAssocID="{13023F3E-BBF3-4FF4-A7C1-4A0B6BAF3A29}" presName="hierChild5" presStyleCnt="0"/>
      <dgm:spPr/>
    </dgm:pt>
    <dgm:pt modelId="{4E86D9E2-A71D-4E85-B491-00375E6F869D}" type="pres">
      <dgm:prSet presAssocID="{BF97EDE8-7F5D-4A67-9088-84427FCF0EBB}" presName="Name35" presStyleLbl="parChTrans1D3" presStyleIdx="11" presStyleCnt="14"/>
      <dgm:spPr/>
    </dgm:pt>
    <dgm:pt modelId="{50879790-53EF-4E8D-8CD8-8230E1380198}" type="pres">
      <dgm:prSet presAssocID="{1A569E30-937F-4904-88CA-1C8DD51AF791}" presName="hierRoot2" presStyleCnt="0">
        <dgm:presLayoutVars>
          <dgm:hierBranch val="r"/>
        </dgm:presLayoutVars>
      </dgm:prSet>
      <dgm:spPr/>
    </dgm:pt>
    <dgm:pt modelId="{E7B21FCC-78F3-4B42-BB72-BCB036FFCE95}" type="pres">
      <dgm:prSet presAssocID="{1A569E30-937F-4904-88CA-1C8DD51AF791}" presName="rootComposite" presStyleCnt="0"/>
      <dgm:spPr/>
    </dgm:pt>
    <dgm:pt modelId="{4B35F7F9-45F9-459A-B5F2-1F7BB7C154DB}" type="pres">
      <dgm:prSet presAssocID="{1A569E30-937F-4904-88CA-1C8DD51AF791}" presName="rootText" presStyleLbl="node1" presStyleIdx="33" presStyleCnt="42">
        <dgm:presLayoutVars>
          <dgm:chMax/>
          <dgm:chPref val="3"/>
        </dgm:presLayoutVars>
      </dgm:prSet>
      <dgm:spPr/>
    </dgm:pt>
    <dgm:pt modelId="{55703F11-9F25-493F-BC19-BB4EC28CD8A6}" type="pres">
      <dgm:prSet presAssocID="{1A569E30-937F-4904-88CA-1C8DD51AF791}" presName="titleText2" presStyleLbl="fgAcc1" presStyleIdx="33" presStyleCnt="42">
        <dgm:presLayoutVars>
          <dgm:chMax val="0"/>
          <dgm:chPref val="0"/>
        </dgm:presLayoutVars>
      </dgm:prSet>
      <dgm:spPr/>
    </dgm:pt>
    <dgm:pt modelId="{95D115B9-3817-4F30-BC77-D7F9529339A6}" type="pres">
      <dgm:prSet presAssocID="{1A569E30-937F-4904-88CA-1C8DD51AF791}" presName="rootConnector" presStyleLbl="node3" presStyleIdx="0" presStyleCnt="0"/>
      <dgm:spPr/>
    </dgm:pt>
    <dgm:pt modelId="{F3980EA4-C2D8-4490-A72C-002E1860CAAD}" type="pres">
      <dgm:prSet presAssocID="{1A569E30-937F-4904-88CA-1C8DD51AF791}" presName="hierChild4" presStyleCnt="0"/>
      <dgm:spPr/>
    </dgm:pt>
    <dgm:pt modelId="{F0DA88D1-3D92-4AD6-978B-B1AA19E850DD}" type="pres">
      <dgm:prSet presAssocID="{87774D7B-42AC-4832-8762-24360B4FABFF}" presName="Name44" presStyleLbl="parChTrans1D4" presStyleIdx="19" presStyleCnt="24"/>
      <dgm:spPr/>
    </dgm:pt>
    <dgm:pt modelId="{2F3BBAB2-C3DA-43D4-BC0C-ECC1CC1BB254}" type="pres">
      <dgm:prSet presAssocID="{EDDD2953-7192-4A21-8C8D-2D068F8C3333}" presName="hierRoot2" presStyleCnt="0">
        <dgm:presLayoutVars>
          <dgm:hierBranch val="init"/>
        </dgm:presLayoutVars>
      </dgm:prSet>
      <dgm:spPr/>
    </dgm:pt>
    <dgm:pt modelId="{F2A6587A-6DC0-4AAB-AC64-2DAC0883B298}" type="pres">
      <dgm:prSet presAssocID="{EDDD2953-7192-4A21-8C8D-2D068F8C3333}" presName="rootComposite" presStyleCnt="0"/>
      <dgm:spPr/>
    </dgm:pt>
    <dgm:pt modelId="{407CA84F-7F26-4F8D-85E4-26D6112E50D0}" type="pres">
      <dgm:prSet presAssocID="{EDDD2953-7192-4A21-8C8D-2D068F8C3333}" presName="rootText" presStyleLbl="node1" presStyleIdx="34" presStyleCnt="42">
        <dgm:presLayoutVars>
          <dgm:chMax/>
          <dgm:chPref val="3"/>
        </dgm:presLayoutVars>
      </dgm:prSet>
      <dgm:spPr/>
    </dgm:pt>
    <dgm:pt modelId="{F1ADF4D2-5BD1-4B1C-986D-BEFB19ED6475}" type="pres">
      <dgm:prSet presAssocID="{EDDD2953-7192-4A21-8C8D-2D068F8C3333}" presName="titleText2" presStyleLbl="fgAcc1" presStyleIdx="34" presStyleCnt="42">
        <dgm:presLayoutVars>
          <dgm:chMax val="0"/>
          <dgm:chPref val="0"/>
        </dgm:presLayoutVars>
      </dgm:prSet>
      <dgm:spPr/>
    </dgm:pt>
    <dgm:pt modelId="{5CAAB9C2-A50B-43BD-9A3C-C05C0FFCC722}" type="pres">
      <dgm:prSet presAssocID="{EDDD2953-7192-4A21-8C8D-2D068F8C3333}" presName="rootConnector" presStyleLbl="node4" presStyleIdx="0" presStyleCnt="0"/>
      <dgm:spPr/>
    </dgm:pt>
    <dgm:pt modelId="{CF4BAEF9-8FB1-4517-806F-9E7081E0E29B}" type="pres">
      <dgm:prSet presAssocID="{EDDD2953-7192-4A21-8C8D-2D068F8C3333}" presName="hierChild4" presStyleCnt="0"/>
      <dgm:spPr/>
    </dgm:pt>
    <dgm:pt modelId="{E1E8C353-EDAD-40BA-8361-3AC9B208ABCF}" type="pres">
      <dgm:prSet presAssocID="{EDDD2953-7192-4A21-8C8D-2D068F8C3333}" presName="hierChild5" presStyleCnt="0"/>
      <dgm:spPr/>
    </dgm:pt>
    <dgm:pt modelId="{E8B219DF-8FE2-4FB9-A64B-F062D301D077}" type="pres">
      <dgm:prSet presAssocID="{C40722F0-6B71-4053-B9C1-5E2A846EA065}" presName="Name44" presStyleLbl="parChTrans1D4" presStyleIdx="20" presStyleCnt="24"/>
      <dgm:spPr/>
    </dgm:pt>
    <dgm:pt modelId="{A9139FA5-4605-4C2C-B6FB-1D7869C94460}" type="pres">
      <dgm:prSet presAssocID="{F93F2BB2-C1A3-4CA8-A9B9-7E0A9D0F9E7D}" presName="hierRoot2" presStyleCnt="0">
        <dgm:presLayoutVars>
          <dgm:hierBranch val="init"/>
        </dgm:presLayoutVars>
      </dgm:prSet>
      <dgm:spPr/>
    </dgm:pt>
    <dgm:pt modelId="{98FEABAE-BAF9-4CE0-B9B1-0F790314A6B1}" type="pres">
      <dgm:prSet presAssocID="{F93F2BB2-C1A3-4CA8-A9B9-7E0A9D0F9E7D}" presName="rootComposite" presStyleCnt="0"/>
      <dgm:spPr/>
    </dgm:pt>
    <dgm:pt modelId="{DED1B4A9-A09B-463D-9097-C9D780CBCEB5}" type="pres">
      <dgm:prSet presAssocID="{F93F2BB2-C1A3-4CA8-A9B9-7E0A9D0F9E7D}" presName="rootText" presStyleLbl="node1" presStyleIdx="35" presStyleCnt="42">
        <dgm:presLayoutVars>
          <dgm:chMax/>
          <dgm:chPref val="3"/>
        </dgm:presLayoutVars>
      </dgm:prSet>
      <dgm:spPr/>
    </dgm:pt>
    <dgm:pt modelId="{999C8EB7-F3F3-4881-8E2D-C941A99DD4F9}" type="pres">
      <dgm:prSet presAssocID="{F93F2BB2-C1A3-4CA8-A9B9-7E0A9D0F9E7D}" presName="titleText2" presStyleLbl="fgAcc1" presStyleIdx="35" presStyleCnt="42">
        <dgm:presLayoutVars>
          <dgm:chMax val="0"/>
          <dgm:chPref val="0"/>
        </dgm:presLayoutVars>
      </dgm:prSet>
      <dgm:spPr/>
    </dgm:pt>
    <dgm:pt modelId="{70F7AA5A-5B9C-47B0-B630-A9A85D9FC14B}" type="pres">
      <dgm:prSet presAssocID="{F93F2BB2-C1A3-4CA8-A9B9-7E0A9D0F9E7D}" presName="rootConnector" presStyleLbl="node4" presStyleIdx="0" presStyleCnt="0"/>
      <dgm:spPr/>
    </dgm:pt>
    <dgm:pt modelId="{8E82294A-9943-40A7-97E9-6C9E471FEF76}" type="pres">
      <dgm:prSet presAssocID="{F93F2BB2-C1A3-4CA8-A9B9-7E0A9D0F9E7D}" presName="hierChild4" presStyleCnt="0"/>
      <dgm:spPr/>
    </dgm:pt>
    <dgm:pt modelId="{EBC09BEE-EAAA-4384-AD02-D21EF5D30224}" type="pres">
      <dgm:prSet presAssocID="{F93F2BB2-C1A3-4CA8-A9B9-7E0A9D0F9E7D}" presName="hierChild5" presStyleCnt="0"/>
      <dgm:spPr/>
    </dgm:pt>
    <dgm:pt modelId="{FD9241F0-F46F-4849-8FD9-6CEDD626961B}" type="pres">
      <dgm:prSet presAssocID="{878346E3-8C64-42ED-816A-B1CE4FF74420}" presName="Name44" presStyleLbl="parChTrans1D4" presStyleIdx="21" presStyleCnt="24"/>
      <dgm:spPr/>
    </dgm:pt>
    <dgm:pt modelId="{1677CEC9-5FB3-4E42-851A-996F4B214C20}" type="pres">
      <dgm:prSet presAssocID="{40A61076-DA91-47A8-A767-A7751DD3A9B8}" presName="hierRoot2" presStyleCnt="0">
        <dgm:presLayoutVars>
          <dgm:hierBranch val="init"/>
        </dgm:presLayoutVars>
      </dgm:prSet>
      <dgm:spPr/>
    </dgm:pt>
    <dgm:pt modelId="{575E6B1C-D125-4323-BBE2-25F6F3F715F9}" type="pres">
      <dgm:prSet presAssocID="{40A61076-DA91-47A8-A767-A7751DD3A9B8}" presName="rootComposite" presStyleCnt="0"/>
      <dgm:spPr/>
    </dgm:pt>
    <dgm:pt modelId="{E85AC1B9-667E-429F-AAE4-DB16B38A802E}" type="pres">
      <dgm:prSet presAssocID="{40A61076-DA91-47A8-A767-A7751DD3A9B8}" presName="rootText" presStyleLbl="node1" presStyleIdx="36" presStyleCnt="42">
        <dgm:presLayoutVars>
          <dgm:chMax/>
          <dgm:chPref val="3"/>
        </dgm:presLayoutVars>
      </dgm:prSet>
      <dgm:spPr/>
    </dgm:pt>
    <dgm:pt modelId="{8C6E2BA0-4419-4369-A683-78FC3BB7F6A7}" type="pres">
      <dgm:prSet presAssocID="{40A61076-DA91-47A8-A767-A7751DD3A9B8}" presName="titleText2" presStyleLbl="fgAcc1" presStyleIdx="36" presStyleCnt="42">
        <dgm:presLayoutVars>
          <dgm:chMax val="0"/>
          <dgm:chPref val="0"/>
        </dgm:presLayoutVars>
      </dgm:prSet>
      <dgm:spPr/>
    </dgm:pt>
    <dgm:pt modelId="{6B9D259E-1D95-406A-9E5F-FB7C7737CD09}" type="pres">
      <dgm:prSet presAssocID="{40A61076-DA91-47A8-A767-A7751DD3A9B8}" presName="rootConnector" presStyleLbl="node4" presStyleIdx="0" presStyleCnt="0"/>
      <dgm:spPr/>
    </dgm:pt>
    <dgm:pt modelId="{98C98210-0A72-4534-9C1F-9AFBD5CF66C6}" type="pres">
      <dgm:prSet presAssocID="{40A61076-DA91-47A8-A767-A7751DD3A9B8}" presName="hierChild4" presStyleCnt="0"/>
      <dgm:spPr/>
    </dgm:pt>
    <dgm:pt modelId="{C5823C38-BB67-48DA-A069-8C036319B263}" type="pres">
      <dgm:prSet presAssocID="{40A61076-DA91-47A8-A767-A7751DD3A9B8}" presName="hierChild5" presStyleCnt="0"/>
      <dgm:spPr/>
    </dgm:pt>
    <dgm:pt modelId="{CCFBC367-DA40-467C-ADC9-BB5CB621FE6D}" type="pres">
      <dgm:prSet presAssocID="{3C574F4D-298E-4306-9B11-DCEDC5F7E73F}" presName="Name44" presStyleLbl="parChTrans1D4" presStyleIdx="22" presStyleCnt="24"/>
      <dgm:spPr/>
    </dgm:pt>
    <dgm:pt modelId="{1A7BB1E3-066B-4117-A3F5-5FFC7BB126B7}" type="pres">
      <dgm:prSet presAssocID="{769C65BC-A8BD-4DCC-BE4D-60D934746620}" presName="hierRoot2" presStyleCnt="0">
        <dgm:presLayoutVars>
          <dgm:hierBranch val="init"/>
        </dgm:presLayoutVars>
      </dgm:prSet>
      <dgm:spPr/>
    </dgm:pt>
    <dgm:pt modelId="{AA0BC5BD-E086-4C49-BA74-DE1CD7CFAE90}" type="pres">
      <dgm:prSet presAssocID="{769C65BC-A8BD-4DCC-BE4D-60D934746620}" presName="rootComposite" presStyleCnt="0"/>
      <dgm:spPr/>
    </dgm:pt>
    <dgm:pt modelId="{3C264107-59F7-46E0-852A-C7DE39952C9D}" type="pres">
      <dgm:prSet presAssocID="{769C65BC-A8BD-4DCC-BE4D-60D934746620}" presName="rootText" presStyleLbl="node1" presStyleIdx="37" presStyleCnt="42">
        <dgm:presLayoutVars>
          <dgm:chMax/>
          <dgm:chPref val="3"/>
        </dgm:presLayoutVars>
      </dgm:prSet>
      <dgm:spPr/>
    </dgm:pt>
    <dgm:pt modelId="{F7DC6F0D-2E0D-407C-B403-86685822E51E}" type="pres">
      <dgm:prSet presAssocID="{769C65BC-A8BD-4DCC-BE4D-60D934746620}" presName="titleText2" presStyleLbl="fgAcc1" presStyleIdx="37" presStyleCnt="42">
        <dgm:presLayoutVars>
          <dgm:chMax val="0"/>
          <dgm:chPref val="0"/>
        </dgm:presLayoutVars>
      </dgm:prSet>
      <dgm:spPr/>
    </dgm:pt>
    <dgm:pt modelId="{547B8573-7E03-4763-A415-4F0DEF31B99A}" type="pres">
      <dgm:prSet presAssocID="{769C65BC-A8BD-4DCC-BE4D-60D934746620}" presName="rootConnector" presStyleLbl="node4" presStyleIdx="0" presStyleCnt="0"/>
      <dgm:spPr/>
    </dgm:pt>
    <dgm:pt modelId="{D9C5F7A6-DE99-4041-976A-44A938BC27CD}" type="pres">
      <dgm:prSet presAssocID="{769C65BC-A8BD-4DCC-BE4D-60D934746620}" presName="hierChild4" presStyleCnt="0"/>
      <dgm:spPr/>
    </dgm:pt>
    <dgm:pt modelId="{6EA592E0-AA07-4AE0-8591-027229109F9C}" type="pres">
      <dgm:prSet presAssocID="{769C65BC-A8BD-4DCC-BE4D-60D934746620}" presName="hierChild5" presStyleCnt="0"/>
      <dgm:spPr/>
    </dgm:pt>
    <dgm:pt modelId="{999E9AF3-7A99-4C95-85B0-7F47F4AD18B4}" type="pres">
      <dgm:prSet presAssocID="{C00E2169-7733-4DB3-88A6-B7EC5C74D57D}" presName="Name44" presStyleLbl="parChTrans1D4" presStyleIdx="23" presStyleCnt="24"/>
      <dgm:spPr/>
    </dgm:pt>
    <dgm:pt modelId="{F4483D8F-E8FF-4194-8C7E-D49798EE78B6}" type="pres">
      <dgm:prSet presAssocID="{E58525F7-6FD9-448A-8404-8A7098194956}" presName="hierRoot2" presStyleCnt="0">
        <dgm:presLayoutVars>
          <dgm:hierBranch val="init"/>
        </dgm:presLayoutVars>
      </dgm:prSet>
      <dgm:spPr/>
    </dgm:pt>
    <dgm:pt modelId="{E612EE2B-189F-477C-9883-8F7D8030B9C3}" type="pres">
      <dgm:prSet presAssocID="{E58525F7-6FD9-448A-8404-8A7098194956}" presName="rootComposite" presStyleCnt="0"/>
      <dgm:spPr/>
    </dgm:pt>
    <dgm:pt modelId="{11E99FA4-EAAF-4CB3-A6A8-EBF087F801C0}" type="pres">
      <dgm:prSet presAssocID="{E58525F7-6FD9-448A-8404-8A7098194956}" presName="rootText" presStyleLbl="node1" presStyleIdx="38" presStyleCnt="42">
        <dgm:presLayoutVars>
          <dgm:chMax/>
          <dgm:chPref val="3"/>
        </dgm:presLayoutVars>
      </dgm:prSet>
      <dgm:spPr/>
    </dgm:pt>
    <dgm:pt modelId="{BB4B196B-FF06-4C54-A1B0-DA6A859E236E}" type="pres">
      <dgm:prSet presAssocID="{E58525F7-6FD9-448A-8404-8A7098194956}" presName="titleText2" presStyleLbl="fgAcc1" presStyleIdx="38" presStyleCnt="42">
        <dgm:presLayoutVars>
          <dgm:chMax val="0"/>
          <dgm:chPref val="0"/>
        </dgm:presLayoutVars>
      </dgm:prSet>
      <dgm:spPr/>
    </dgm:pt>
    <dgm:pt modelId="{0B08242C-BBD4-43A2-BFE1-C70B3891B683}" type="pres">
      <dgm:prSet presAssocID="{E58525F7-6FD9-448A-8404-8A7098194956}" presName="rootConnector" presStyleLbl="node4" presStyleIdx="0" presStyleCnt="0"/>
      <dgm:spPr/>
    </dgm:pt>
    <dgm:pt modelId="{900A2E05-34C7-4A9E-8ABF-BF00F266AA38}" type="pres">
      <dgm:prSet presAssocID="{E58525F7-6FD9-448A-8404-8A7098194956}" presName="hierChild4" presStyleCnt="0"/>
      <dgm:spPr/>
    </dgm:pt>
    <dgm:pt modelId="{6655B647-F9E2-4309-9F99-0066A46DAFC9}" type="pres">
      <dgm:prSet presAssocID="{E58525F7-6FD9-448A-8404-8A7098194956}" presName="hierChild5" presStyleCnt="0"/>
      <dgm:spPr/>
    </dgm:pt>
    <dgm:pt modelId="{1249C2EE-CF69-4FE6-A430-4FBB6891E8C8}" type="pres">
      <dgm:prSet presAssocID="{1A569E30-937F-4904-88CA-1C8DD51AF791}" presName="hierChild5" presStyleCnt="0"/>
      <dgm:spPr/>
    </dgm:pt>
    <dgm:pt modelId="{73B2737E-4806-4CA2-B9DF-A81FC19AE3A9}" type="pres">
      <dgm:prSet presAssocID="{79664164-3517-4B41-BA76-18AB48010EC5}" presName="Name35" presStyleLbl="parChTrans1D3" presStyleIdx="12" presStyleCnt="14"/>
      <dgm:spPr/>
    </dgm:pt>
    <dgm:pt modelId="{02E96152-AF15-4913-962D-8A9C453C8DDE}" type="pres">
      <dgm:prSet presAssocID="{271B7A9B-D46F-4112-8CFC-B4013E5F5FA3}" presName="hierRoot2" presStyleCnt="0">
        <dgm:presLayoutVars>
          <dgm:hierBranch val="init"/>
        </dgm:presLayoutVars>
      </dgm:prSet>
      <dgm:spPr/>
    </dgm:pt>
    <dgm:pt modelId="{352E8938-00BC-442F-A929-D00B697FB023}" type="pres">
      <dgm:prSet presAssocID="{271B7A9B-D46F-4112-8CFC-B4013E5F5FA3}" presName="rootComposite" presStyleCnt="0"/>
      <dgm:spPr/>
    </dgm:pt>
    <dgm:pt modelId="{7A2918B6-34D6-4CA2-8B3D-5D8F05884144}" type="pres">
      <dgm:prSet presAssocID="{271B7A9B-D46F-4112-8CFC-B4013E5F5FA3}" presName="rootText" presStyleLbl="node1" presStyleIdx="39" presStyleCnt="42">
        <dgm:presLayoutVars>
          <dgm:chMax/>
          <dgm:chPref val="3"/>
        </dgm:presLayoutVars>
      </dgm:prSet>
      <dgm:spPr/>
    </dgm:pt>
    <dgm:pt modelId="{DF8B7B3B-A87A-4E99-A3ED-BCA449B777B5}" type="pres">
      <dgm:prSet presAssocID="{271B7A9B-D46F-4112-8CFC-B4013E5F5FA3}" presName="titleText2" presStyleLbl="fgAcc1" presStyleIdx="39" presStyleCnt="42">
        <dgm:presLayoutVars>
          <dgm:chMax val="0"/>
          <dgm:chPref val="0"/>
        </dgm:presLayoutVars>
      </dgm:prSet>
      <dgm:spPr/>
    </dgm:pt>
    <dgm:pt modelId="{A36B3183-85D1-4DB5-BA32-7FB9D7009B51}" type="pres">
      <dgm:prSet presAssocID="{271B7A9B-D46F-4112-8CFC-B4013E5F5FA3}" presName="rootConnector" presStyleLbl="node3" presStyleIdx="0" presStyleCnt="0"/>
      <dgm:spPr/>
    </dgm:pt>
    <dgm:pt modelId="{DE26F534-AC12-4C55-903B-D7DAA2A79E0F}" type="pres">
      <dgm:prSet presAssocID="{271B7A9B-D46F-4112-8CFC-B4013E5F5FA3}" presName="hierChild4" presStyleCnt="0"/>
      <dgm:spPr/>
    </dgm:pt>
    <dgm:pt modelId="{DE2405D9-D349-41B0-A212-D850FAB74864}" type="pres">
      <dgm:prSet presAssocID="{271B7A9B-D46F-4112-8CFC-B4013E5F5FA3}" presName="hierChild5" presStyleCnt="0"/>
      <dgm:spPr/>
    </dgm:pt>
    <dgm:pt modelId="{4DF396A0-D096-4B34-9B34-885FE7AD1F93}" type="pres">
      <dgm:prSet presAssocID="{75BCF308-B12A-40F8-AF41-2AAED971F0BD}" presName="hierChild5" presStyleCnt="0"/>
      <dgm:spPr/>
    </dgm:pt>
    <dgm:pt modelId="{109F8590-1762-4E11-B05E-AA6840EBDED4}" type="pres">
      <dgm:prSet presAssocID="{90B7B0D0-41B3-42B0-9A48-5F3EDFF55DC6}" presName="Name37" presStyleLbl="parChTrans1D2" presStyleIdx="3" presStyleCnt="4"/>
      <dgm:spPr/>
    </dgm:pt>
    <dgm:pt modelId="{E4A79CB6-4587-4266-BE66-8AF6F64EBDAE}" type="pres">
      <dgm:prSet presAssocID="{9CB0D02B-297D-45D8-9A74-8B2722D21446}" presName="hierRoot2" presStyleCnt="0">
        <dgm:presLayoutVars>
          <dgm:hierBranch val="init"/>
        </dgm:presLayoutVars>
      </dgm:prSet>
      <dgm:spPr/>
    </dgm:pt>
    <dgm:pt modelId="{52832369-D2D6-461C-ACD0-DE03826B8FC1}" type="pres">
      <dgm:prSet presAssocID="{9CB0D02B-297D-45D8-9A74-8B2722D21446}" presName="rootComposite" presStyleCnt="0"/>
      <dgm:spPr/>
    </dgm:pt>
    <dgm:pt modelId="{855A593A-036B-4255-A61D-F4A276F609D7}" type="pres">
      <dgm:prSet presAssocID="{9CB0D02B-297D-45D8-9A74-8B2722D21446}" presName="rootText" presStyleLbl="node1" presStyleIdx="40" presStyleCnt="42">
        <dgm:presLayoutVars>
          <dgm:chMax/>
          <dgm:chPref val="3"/>
        </dgm:presLayoutVars>
      </dgm:prSet>
      <dgm:spPr/>
    </dgm:pt>
    <dgm:pt modelId="{2006F91F-A590-446F-A53C-1077DD0B77D8}" type="pres">
      <dgm:prSet presAssocID="{9CB0D02B-297D-45D8-9A74-8B2722D21446}" presName="titleText2" presStyleLbl="fgAcc1" presStyleIdx="40" presStyleCnt="42">
        <dgm:presLayoutVars>
          <dgm:chMax val="0"/>
          <dgm:chPref val="0"/>
        </dgm:presLayoutVars>
      </dgm:prSet>
      <dgm:spPr/>
    </dgm:pt>
    <dgm:pt modelId="{BD5C2E94-63F3-40ED-BF12-AF021E3DBAAF}" type="pres">
      <dgm:prSet presAssocID="{9CB0D02B-297D-45D8-9A74-8B2722D21446}" presName="rootConnector" presStyleLbl="node2" presStyleIdx="0" presStyleCnt="0"/>
      <dgm:spPr/>
    </dgm:pt>
    <dgm:pt modelId="{77C447F9-7A18-4CCE-BFB4-06F39258187E}" type="pres">
      <dgm:prSet presAssocID="{9CB0D02B-297D-45D8-9A74-8B2722D21446}" presName="hierChild4" presStyleCnt="0"/>
      <dgm:spPr/>
    </dgm:pt>
    <dgm:pt modelId="{538E41C0-FA0A-4FCA-8A8B-7F21F92A66FD}" type="pres">
      <dgm:prSet presAssocID="{D4331A8D-33A8-41AB-9ED7-DBB4FAF8DAFF}" presName="Name37" presStyleLbl="parChTrans1D3" presStyleIdx="13" presStyleCnt="14"/>
      <dgm:spPr/>
    </dgm:pt>
    <dgm:pt modelId="{527D7646-9AA1-498C-B817-290B17B3CFE0}" type="pres">
      <dgm:prSet presAssocID="{27A2630D-98F2-4614-BC91-D5D085DE0B41}" presName="hierRoot2" presStyleCnt="0">
        <dgm:presLayoutVars>
          <dgm:hierBranch val="init"/>
        </dgm:presLayoutVars>
      </dgm:prSet>
      <dgm:spPr/>
    </dgm:pt>
    <dgm:pt modelId="{220573FA-6625-475D-94D8-557E2EF9BC03}" type="pres">
      <dgm:prSet presAssocID="{27A2630D-98F2-4614-BC91-D5D085DE0B41}" presName="rootComposite" presStyleCnt="0"/>
      <dgm:spPr/>
    </dgm:pt>
    <dgm:pt modelId="{2EAE41F0-901C-47E0-AB40-0C2FC1201E38}" type="pres">
      <dgm:prSet presAssocID="{27A2630D-98F2-4614-BC91-D5D085DE0B41}" presName="rootText" presStyleLbl="node1" presStyleIdx="41" presStyleCnt="42">
        <dgm:presLayoutVars>
          <dgm:chMax/>
          <dgm:chPref val="3"/>
        </dgm:presLayoutVars>
      </dgm:prSet>
      <dgm:spPr/>
    </dgm:pt>
    <dgm:pt modelId="{E0DD0F86-8CAD-483C-98F0-C6E45A2154E8}" type="pres">
      <dgm:prSet presAssocID="{27A2630D-98F2-4614-BC91-D5D085DE0B41}" presName="titleText2" presStyleLbl="fgAcc1" presStyleIdx="41" presStyleCnt="42">
        <dgm:presLayoutVars>
          <dgm:chMax val="0"/>
          <dgm:chPref val="0"/>
        </dgm:presLayoutVars>
      </dgm:prSet>
      <dgm:spPr/>
    </dgm:pt>
    <dgm:pt modelId="{A7D5D95F-0527-4DA6-A3AF-058BC8C5030F}" type="pres">
      <dgm:prSet presAssocID="{27A2630D-98F2-4614-BC91-D5D085DE0B41}" presName="rootConnector" presStyleLbl="node3" presStyleIdx="0" presStyleCnt="0"/>
      <dgm:spPr/>
    </dgm:pt>
    <dgm:pt modelId="{C7543BB6-1335-408C-8A43-F7820D4D6EBA}" type="pres">
      <dgm:prSet presAssocID="{27A2630D-98F2-4614-BC91-D5D085DE0B41}" presName="hierChild4" presStyleCnt="0"/>
      <dgm:spPr/>
    </dgm:pt>
    <dgm:pt modelId="{8F00E0C6-E6D7-475A-BF2D-EC5C86ABD351}" type="pres">
      <dgm:prSet presAssocID="{27A2630D-98F2-4614-BC91-D5D085DE0B41}" presName="hierChild5" presStyleCnt="0"/>
      <dgm:spPr/>
    </dgm:pt>
    <dgm:pt modelId="{349E4B20-27E4-4E71-A2D6-0B54D9D5AFAE}" type="pres">
      <dgm:prSet presAssocID="{9CB0D02B-297D-45D8-9A74-8B2722D21446}" presName="hierChild5" presStyleCnt="0"/>
      <dgm:spPr/>
    </dgm:pt>
    <dgm:pt modelId="{A2F66C9E-DA13-42AE-BAFB-B7BD464EB344}" type="pres">
      <dgm:prSet presAssocID="{80394FA0-14FF-407E-AEF1-62F9B07D6AE5}" presName="hierChild3" presStyleCnt="0"/>
      <dgm:spPr/>
    </dgm:pt>
  </dgm:ptLst>
  <dgm:cxnLst>
    <dgm:cxn modelId="{68936301-B7D9-4254-B1A5-15E130A4B846}" type="presOf" srcId="{6EAE49A9-A3EF-4AA2-8DBC-884F8CB98652}" destId="{A169BE2D-AC1B-4E1E-82B3-332B63F8DA99}" srcOrd="0" destOrd="0" presId="urn:microsoft.com/office/officeart/2008/layout/NameandTitleOrganizationalChart"/>
    <dgm:cxn modelId="{7D736603-A872-41B0-8A8B-60958362C89A}" type="presOf" srcId="{A0CFFAF7-74B4-4EF7-8C40-C999341A4B00}" destId="{8C6E2BA0-4419-4369-A683-78FC3BB7F6A7}" srcOrd="0" destOrd="0" presId="urn:microsoft.com/office/officeart/2008/layout/NameandTitleOrganizationalChart"/>
    <dgm:cxn modelId="{A963F203-744C-4CC2-8143-C97EC1E8614E}" type="presOf" srcId="{C40722F0-6B71-4053-B9C1-5E2A846EA065}" destId="{E8B219DF-8FE2-4FB9-A64B-F062D301D077}" srcOrd="0" destOrd="0" presId="urn:microsoft.com/office/officeart/2008/layout/NameandTitleOrganizationalChart"/>
    <dgm:cxn modelId="{7F397104-4D67-43B9-9FF7-289DD60453E0}" type="presOf" srcId="{9A17181D-65E0-4EE4-9762-A81D9B0B4DE1}" destId="{FD2C1B63-12C7-44D5-B35D-2DC830D2B419}" srcOrd="0" destOrd="0" presId="urn:microsoft.com/office/officeart/2008/layout/NameandTitleOrganizationalChart"/>
    <dgm:cxn modelId="{02314A05-AF7D-467B-8420-187A23097E1A}" type="presOf" srcId="{356F1E70-7280-4D9A-98C3-6DF913ADC682}" destId="{C875C8DA-11A4-449A-B836-A681C84AB297}" srcOrd="1" destOrd="0" presId="urn:microsoft.com/office/officeart/2008/layout/NameandTitleOrganizationalChart"/>
    <dgm:cxn modelId="{F6774708-D2BC-42FB-AED2-33C6FDA5B27F}" type="presOf" srcId="{9F02490B-11CB-4931-994B-A6D8AB8E004F}" destId="{7D2D0C51-BDD6-4C8C-BB15-F85DE0902888}" srcOrd="0" destOrd="0" presId="urn:microsoft.com/office/officeart/2008/layout/NameandTitleOrganizationalChart"/>
    <dgm:cxn modelId="{73F7E608-520D-48E1-B3F9-603E40C90FE1}" type="presOf" srcId="{CB18A920-F073-4639-AD71-F8F60BA7D0B8}" destId="{DF55F7A0-5262-4492-A421-74EE3244E2A7}" srcOrd="0" destOrd="0" presId="urn:microsoft.com/office/officeart/2008/layout/NameandTitleOrganizationalChart"/>
    <dgm:cxn modelId="{8DD89A09-B976-436B-9C40-F456D535CE0A}" type="presOf" srcId="{199055F2-461B-4401-9718-37AED6883434}" destId="{A6DCDDFB-87E5-490F-8079-086A0A43A36B}" srcOrd="0" destOrd="0" presId="urn:microsoft.com/office/officeart/2008/layout/NameandTitleOrganizationalChart"/>
    <dgm:cxn modelId="{7218C709-FB09-4452-8C58-E3D982B81D85}" type="presOf" srcId="{EDCBE86C-5252-4899-8633-5DD1BFE56D30}" destId="{1B96B8DA-0116-493D-8BEC-AF9251C326B3}" srcOrd="0" destOrd="0" presId="urn:microsoft.com/office/officeart/2008/layout/NameandTitleOrganizationalChart"/>
    <dgm:cxn modelId="{30F16E0A-9572-4D67-B1D3-F206D9DEFB93}" type="presOf" srcId="{E68BC0A1-C719-42FD-A03A-FE50D1259EA9}" destId="{BB4B196B-FF06-4C54-A1B0-DA6A859E236E}" srcOrd="0" destOrd="0" presId="urn:microsoft.com/office/officeart/2008/layout/NameandTitleOrganizationalChart"/>
    <dgm:cxn modelId="{0557760A-F98E-46B7-A05A-1CF322918716}" type="presOf" srcId="{92E884DA-13A5-4271-90BC-6968D19169D5}" destId="{9845632A-96DB-4016-8EF3-6E9E9E37DDA4}" srcOrd="1" destOrd="0" presId="urn:microsoft.com/office/officeart/2008/layout/NameandTitleOrganizationalChart"/>
    <dgm:cxn modelId="{E61F120C-6C06-414E-BCB0-142748811568}" type="presOf" srcId="{D3E591C4-A00D-43DD-9D5E-3850620DF7A4}" destId="{6A15F474-B874-4116-9C30-7BEC48E608D4}" srcOrd="0" destOrd="0" presId="urn:microsoft.com/office/officeart/2008/layout/NameandTitleOrganizationalChart"/>
    <dgm:cxn modelId="{F869600D-D17E-49EF-B508-1A4D869FE0D1}" srcId="{54A7C8D6-8980-4203-933A-A6ABB9311ED9}" destId="{1BFF86D9-5F2A-42D6-A1C2-8D7358A082E0}" srcOrd="0" destOrd="0" parTransId="{6EAE49A9-A3EF-4AA2-8DBC-884F8CB98652}" sibTransId="{EDCBE86C-5252-4899-8633-5DD1BFE56D30}"/>
    <dgm:cxn modelId="{06CFE10D-8C0A-47D0-A6F8-274147882CB2}" type="presOf" srcId="{1A7603CB-DE7D-4AEC-B00F-115328F9699B}" destId="{A2AAA880-5DAC-4A04-B8D6-C01D9612A6BA}" srcOrd="0" destOrd="0" presId="urn:microsoft.com/office/officeart/2008/layout/NameandTitleOrganizationalChart"/>
    <dgm:cxn modelId="{60B9F40D-BEFA-4C81-9217-C7C837F4E7C4}" type="presOf" srcId="{EAFA7E02-E0D2-470C-8C5D-9FF49B6A6DEA}" destId="{AEBDC091-F9F7-462C-AE0C-3B1BA757064D}" srcOrd="0" destOrd="0" presId="urn:microsoft.com/office/officeart/2008/layout/NameandTitleOrganizationalChart"/>
    <dgm:cxn modelId="{066D170F-8AF6-4EDD-A4A8-1996C8E63597}" srcId="{7FB4D978-75F0-457D-88FA-4A078F33AEDF}" destId="{192A6EE5-E3DC-4471-9A0A-1E32D76EA79D}" srcOrd="6" destOrd="0" parTransId="{F540E5BF-A929-44AD-837D-0ACB1AC173F6}" sibTransId="{810D2F77-420F-4A2C-BBE7-17FFFA0D1E0A}"/>
    <dgm:cxn modelId="{B24C360F-6BCD-4A51-A163-AF78A5225A5C}" type="presOf" srcId="{3C282FEB-14CF-476C-89C6-972E7890C5C9}" destId="{A0971A63-0F7A-4CC9-BA3B-5D4436355018}" srcOrd="0" destOrd="0" presId="urn:microsoft.com/office/officeart/2008/layout/NameandTitleOrganizationalChart"/>
    <dgm:cxn modelId="{DB3DF112-F97D-4111-8CD6-5F53D4F045BC}" type="presOf" srcId="{92CB946F-71D1-4C7D-9400-3446CBF271F8}" destId="{CF4BBD4A-08BA-4925-8C99-6C66F75D79E7}" srcOrd="0" destOrd="0" presId="urn:microsoft.com/office/officeart/2008/layout/NameandTitleOrganizationalChart"/>
    <dgm:cxn modelId="{F5182D14-749D-4C51-BB60-81F424E34EE4}" type="presOf" srcId="{58195434-CC28-4171-98DC-064A9A9C5BBC}" destId="{D5B37A4F-EF58-45F4-8276-218AE53A3C6F}" srcOrd="0" destOrd="0" presId="urn:microsoft.com/office/officeart/2008/layout/NameandTitleOrganizationalChart"/>
    <dgm:cxn modelId="{AE5D8219-1AF9-44B1-BB69-C8F5BD116C23}" type="presOf" srcId="{3499517F-1884-446D-A76D-45F8E857FACA}" destId="{76903F1D-62DB-4496-B7A2-068F7AFC3166}" srcOrd="1" destOrd="0" presId="urn:microsoft.com/office/officeart/2008/layout/NameandTitleOrganizationalChart"/>
    <dgm:cxn modelId="{13DD251A-DFFC-43B5-A8BB-2AF7F87BBDEF}" type="presOf" srcId="{AE4AF2AF-0AC7-472A-B043-2859192D62C9}" destId="{38BE10C7-FBDC-4133-91A6-59B93208FF60}" srcOrd="0" destOrd="0" presId="urn:microsoft.com/office/officeart/2008/layout/NameandTitleOrganizationalChart"/>
    <dgm:cxn modelId="{171B551B-44ED-4A77-9423-7B0101C4E84B}" type="presOf" srcId="{64EC115C-FC49-41D7-83E4-51E5041683E1}" destId="{E119D3AC-63DD-48A0-B22C-B15A76F98514}" srcOrd="0" destOrd="0" presId="urn:microsoft.com/office/officeart/2008/layout/NameandTitleOrganizationalChart"/>
    <dgm:cxn modelId="{EDB1C61F-FB3E-4F26-A257-548B258BFA10}" type="presOf" srcId="{F09CC6F1-B178-4105-8452-299F3EA9A408}" destId="{F0907E31-8957-458E-92D9-FCA15A43F1F2}" srcOrd="0" destOrd="0" presId="urn:microsoft.com/office/officeart/2008/layout/NameandTitleOrganizationalChart"/>
    <dgm:cxn modelId="{B96FFD20-6AC9-44DA-AE93-6A62A31DB125}" srcId="{47C39484-004A-4B1B-AFEB-A10AF893B4B7}" destId="{54A7C8D6-8980-4203-933A-A6ABB9311ED9}" srcOrd="2" destOrd="0" parTransId="{877DA76B-5E9E-49DB-BF23-7B0B0214CBE5}" sibTransId="{D3E591C4-A00D-43DD-9D5E-3850620DF7A4}"/>
    <dgm:cxn modelId="{5E4C6421-67F5-4CD9-886B-4D9799343B3A}" type="presOf" srcId="{F0095F64-C77B-462D-BB94-A13769B260D6}" destId="{FB3B2737-FB14-4F34-9C32-D18254B8CF7E}" srcOrd="0" destOrd="0" presId="urn:microsoft.com/office/officeart/2008/layout/NameandTitleOrganizationalChart"/>
    <dgm:cxn modelId="{8E32CC21-34B9-4446-A4F6-1DFD412ED43D}" srcId="{47C39484-004A-4B1B-AFEB-A10AF893B4B7}" destId="{7FB4D978-75F0-457D-88FA-4A078F33AEDF}" srcOrd="0" destOrd="0" parTransId="{0700F839-9592-4E41-9B45-3DFC339D4E9C}" sibTransId="{9A17181D-65E0-4EE4-9762-A81D9B0B4DE1}"/>
    <dgm:cxn modelId="{2E8A6F22-43FE-42A2-9BA3-864637DEC90F}" type="presOf" srcId="{75BCF308-B12A-40F8-AF41-2AAED971F0BD}" destId="{B3523960-6B29-445A-8AB4-F425A7B3DDC6}" srcOrd="1" destOrd="0" presId="urn:microsoft.com/office/officeart/2008/layout/NameandTitleOrganizationalChart"/>
    <dgm:cxn modelId="{9DDD7822-78CC-45E5-8C90-ADEF2CE5CD52}" type="presOf" srcId="{1A569E30-937F-4904-88CA-1C8DD51AF791}" destId="{95D115B9-3817-4F30-BC77-D7F9529339A6}" srcOrd="1" destOrd="0" presId="urn:microsoft.com/office/officeart/2008/layout/NameandTitleOrganizationalChart"/>
    <dgm:cxn modelId="{A4122424-DB29-4D92-9BA1-A12CD00EE12E}" type="presOf" srcId="{3C574F4D-298E-4306-9B11-DCEDC5F7E73F}" destId="{CCFBC367-DA40-467C-ADC9-BB5CB621FE6D}" srcOrd="0" destOrd="0" presId="urn:microsoft.com/office/officeart/2008/layout/NameandTitleOrganizationalChart"/>
    <dgm:cxn modelId="{F31C2425-1519-498C-B3FD-54B1643144DD}" type="presOf" srcId="{942C8DEC-C1B1-42FB-9194-9B7EB1AE53EE}" destId="{80341BDE-F995-4D7F-8487-8233CAEF1DEE}" srcOrd="0" destOrd="0" presId="urn:microsoft.com/office/officeart/2008/layout/NameandTitleOrganizationalChart"/>
    <dgm:cxn modelId="{011E2A25-404D-4E66-AF9B-4C1D589DCD3D}" type="presOf" srcId="{F9831A34-5F5B-429C-8FEB-29DCE8D427C6}" destId="{F7DC6F0D-2E0D-407C-B403-86685822E51E}" srcOrd="0" destOrd="0" presId="urn:microsoft.com/office/officeart/2008/layout/NameandTitleOrganizationalChart"/>
    <dgm:cxn modelId="{4D661528-4BBE-4B8B-833E-1B5823092185}" type="presOf" srcId="{9CB0D02B-297D-45D8-9A74-8B2722D21446}" destId="{855A593A-036B-4255-A61D-F4A276F609D7}" srcOrd="0" destOrd="0" presId="urn:microsoft.com/office/officeart/2008/layout/NameandTitleOrganizationalChart"/>
    <dgm:cxn modelId="{C7A91628-DD33-48A8-A5AC-5D8B52DE6AFC}" srcId="{356F1E70-7280-4D9A-98C3-6DF913ADC682}" destId="{9C069160-229B-4581-8576-3A89D6D94A25}" srcOrd="2" destOrd="0" parTransId="{1E2C769F-3062-46DA-8D46-94B6834F4EC8}" sibTransId="{199055F2-461B-4401-9718-37AED6883434}"/>
    <dgm:cxn modelId="{CE033F28-F31C-49CD-9113-63D710F4C0B7}" srcId="{7FB4D978-75F0-457D-88FA-4A078F33AEDF}" destId="{E320A9B7-6569-409D-A82B-C9F6BFD17056}" srcOrd="5" destOrd="0" parTransId="{BFCFC687-F71D-4DAB-8391-64397C85E2EE}" sibTransId="{F09CC6F1-B178-4105-8452-299F3EA9A408}"/>
    <dgm:cxn modelId="{49E97F2A-423F-4DCA-B77C-7E4873454A7A}" type="presOf" srcId="{6002D9AC-D620-4638-8024-212DC920DB86}" destId="{E8B83256-F6F6-412B-A9C6-663D1E7F00A7}" srcOrd="0" destOrd="0" presId="urn:microsoft.com/office/officeart/2008/layout/NameandTitleOrganizationalChart"/>
    <dgm:cxn modelId="{78A66B2B-E6F1-44AB-A524-9D5974138E48}" type="presOf" srcId="{75BCF308-B12A-40F8-AF41-2AAED971F0BD}" destId="{07E26C17-29DF-4787-B788-D11E5789DF29}" srcOrd="0" destOrd="0" presId="urn:microsoft.com/office/officeart/2008/layout/NameandTitleOrganizationalChart"/>
    <dgm:cxn modelId="{0141B92B-F4D5-4A14-9023-221F3F660570}" type="presOf" srcId="{9C069160-229B-4581-8576-3A89D6D94A25}" destId="{C0219AED-3916-4724-B93A-E3D8F6BAD413}" srcOrd="1" destOrd="0" presId="urn:microsoft.com/office/officeart/2008/layout/NameandTitleOrganizationalChart"/>
    <dgm:cxn modelId="{68B2112C-D3CA-4B3C-AE98-5A6B3F586416}" srcId="{942C8DEC-C1B1-42FB-9194-9B7EB1AE53EE}" destId="{09CC62A3-5469-49FC-A786-F060E682E2A5}" srcOrd="2" destOrd="0" parTransId="{482AB384-4C32-47B3-8FD6-5F997F9EA434}" sibTransId="{0863FAD4-0ECB-47E2-A8C2-9714C72C72F9}"/>
    <dgm:cxn modelId="{FC44A02C-CA27-4AA6-8294-6C46078DA66C}" type="presOf" srcId="{844276F5-192D-4A16-91F3-47A6C6A9690F}" destId="{F4B25B85-D2E1-41E8-8612-F0F1274C95F0}" srcOrd="0" destOrd="0" presId="urn:microsoft.com/office/officeart/2008/layout/NameandTitleOrganizationalChart"/>
    <dgm:cxn modelId="{EC54932D-183D-4742-AB57-C5E6BE8B4BFB}" type="presOf" srcId="{192A6EE5-E3DC-4471-9A0A-1E32D76EA79D}" destId="{BD16258B-4C8C-4A60-8962-EA6A5C5C8CDC}" srcOrd="1" destOrd="0" presId="urn:microsoft.com/office/officeart/2008/layout/NameandTitleOrganizationalChart"/>
    <dgm:cxn modelId="{BBF6CF2E-02A7-498A-821C-1540223495C9}" type="presOf" srcId="{09CC62A3-5469-49FC-A786-F060E682E2A5}" destId="{1C8E0FDE-B596-4BE4-B9DE-1133B8437399}" srcOrd="0" destOrd="0" presId="urn:microsoft.com/office/officeart/2008/layout/NameandTitleOrganizationalChart"/>
    <dgm:cxn modelId="{A8D9F130-0366-4AAF-8472-68E7E95C3377}" type="presOf" srcId="{E5FDC60D-2B34-4AB7-97CD-DEFA12BFC0CC}" destId="{A1974806-8176-4775-A3F7-79EFBB25800A}" srcOrd="1" destOrd="0" presId="urn:microsoft.com/office/officeart/2008/layout/NameandTitleOrganizationalChart"/>
    <dgm:cxn modelId="{65A40F31-F738-4536-95C6-C004BFE4D530}" type="presOf" srcId="{E384D70C-225E-4709-BA1C-B5D68B155C5C}" destId="{C4F53EB6-A1B9-407E-B447-32309F6C3730}" srcOrd="1" destOrd="0" presId="urn:microsoft.com/office/officeart/2008/layout/NameandTitleOrganizationalChart"/>
    <dgm:cxn modelId="{7194B432-A508-4ACE-A692-93213802B159}" type="presOf" srcId="{2F7ED289-7ECC-491C-9708-D022CAE1AEAE}" destId="{611AD4AE-829E-4DE8-A322-86F9B6F40668}" srcOrd="1" destOrd="0" presId="urn:microsoft.com/office/officeart/2008/layout/NameandTitleOrganizationalChart"/>
    <dgm:cxn modelId="{62CBE032-7B6F-4B50-9E53-3FF86648944F}" type="presOf" srcId="{80394FA0-14FF-407E-AEF1-62F9B07D6AE5}" destId="{2FCF7492-5D7A-40B6-B34F-0E243A7756A9}" srcOrd="1" destOrd="0" presId="urn:microsoft.com/office/officeart/2008/layout/NameandTitleOrganizationalChart"/>
    <dgm:cxn modelId="{6A821C33-5A62-4ADE-84FC-64E0430FE578}" type="presOf" srcId="{C00E2169-7733-4DB3-88A6-B7EC5C74D57D}" destId="{999E9AF3-7A99-4C95-85B0-7F47F4AD18B4}" srcOrd="0" destOrd="0" presId="urn:microsoft.com/office/officeart/2008/layout/NameandTitleOrganizationalChart"/>
    <dgm:cxn modelId="{95455834-FB1D-4387-9242-CA19E30BEA50}" type="presOf" srcId="{504E8244-1CAD-478D-A5EE-6857132B600A}" destId="{FD9E512B-2E2C-4BC5-923E-B65D8E29A85D}" srcOrd="1" destOrd="0" presId="urn:microsoft.com/office/officeart/2008/layout/NameandTitleOrganizationalChart"/>
    <dgm:cxn modelId="{50FC3336-FDFC-4779-AF58-0587F801F7D3}" type="presOf" srcId="{361F6CE2-3FF8-4B58-A536-E5A8AB32CF5B}" destId="{0C9F8BBE-2D70-4EDF-BE84-1E97862A8D2D}" srcOrd="0" destOrd="0" presId="urn:microsoft.com/office/officeart/2008/layout/NameandTitleOrganizationalChart"/>
    <dgm:cxn modelId="{A9DC1E37-53F1-4C6A-A600-56FD32982B28}" type="presOf" srcId="{08DCC231-4CB5-4305-AB18-81EFFFD7E18E}" destId="{DEA1CC30-36FD-43BC-A88E-53406C1EF371}" srcOrd="0" destOrd="0" presId="urn:microsoft.com/office/officeart/2008/layout/NameandTitleOrganizationalChart"/>
    <dgm:cxn modelId="{2539AA39-8E26-4367-B32A-C2B10E3B6F27}" type="presOf" srcId="{48C51B36-BD08-4EEF-A94B-C01A76863DFE}" destId="{FE1EFB4D-268A-4A0E-B476-1A579A15F8B5}" srcOrd="0" destOrd="0" presId="urn:microsoft.com/office/officeart/2008/layout/NameandTitleOrganizationalChart"/>
    <dgm:cxn modelId="{8DA1D93A-C3A3-40AB-8687-E19C19CB0A42}" type="presOf" srcId="{1BFF86D9-5F2A-42D6-A1C2-8D7358A082E0}" destId="{BD58068E-9D3C-4C6C-9B00-CF6C76773429}" srcOrd="1" destOrd="0" presId="urn:microsoft.com/office/officeart/2008/layout/NameandTitleOrganizationalChart"/>
    <dgm:cxn modelId="{07CDFC3B-99A9-41C2-A1A5-E5642DE5EF49}" srcId="{13023F3E-BBF3-4FF4-A7C1-4A0B6BAF3A29}" destId="{361F6CE2-3FF8-4B58-A536-E5A8AB32CF5B}" srcOrd="0" destOrd="0" parTransId="{C50BEEDE-DCCE-4DF3-8F66-2B42730046B1}" sibTransId="{9BDEB05F-29B4-4F5B-B6BD-5E57B65B9657}"/>
    <dgm:cxn modelId="{CCC7AC3D-DBDE-4835-ADF1-58B70BA22411}" type="presOf" srcId="{769C65BC-A8BD-4DCC-BE4D-60D934746620}" destId="{547B8573-7E03-4763-A415-4F0DEF31B99A}" srcOrd="1" destOrd="0" presId="urn:microsoft.com/office/officeart/2008/layout/NameandTitleOrganizationalChart"/>
    <dgm:cxn modelId="{E9B0993E-5CEE-4265-BFA5-CB8DD0FAD37A}" type="presOf" srcId="{936CFED1-4BB2-43DC-812F-48302718469F}" destId="{6F3EF441-777F-4A7D-A026-57867321C315}" srcOrd="0" destOrd="0" presId="urn:microsoft.com/office/officeart/2008/layout/NameandTitleOrganizationalChart"/>
    <dgm:cxn modelId="{E481D03E-F735-46A8-BC37-0DD288A6497B}" type="presOf" srcId="{482AB384-4C32-47B3-8FD6-5F997F9EA434}" destId="{8D476684-1BAD-40CB-932D-88D0398B2EAD}" srcOrd="0" destOrd="0" presId="urn:microsoft.com/office/officeart/2008/layout/NameandTitleOrganizationalChart"/>
    <dgm:cxn modelId="{DF4AED3F-A18D-4D6A-92ED-01427D3FDB43}" srcId="{75BCF308-B12A-40F8-AF41-2AAED971F0BD}" destId="{271B7A9B-D46F-4112-8CFC-B4013E5F5FA3}" srcOrd="4" destOrd="0" parTransId="{79664164-3517-4B41-BA76-18AB48010EC5}" sibTransId="{808D4B20-BC77-4948-90C4-6031DBAF0EFE}"/>
    <dgm:cxn modelId="{8EB55240-0242-4899-B404-B000F64A0E6B}" type="presOf" srcId="{2142D57B-A466-4852-A47A-47CE68E1AF32}" destId="{497F8702-6EA2-457B-A3A7-61F56827C5DD}" srcOrd="0" destOrd="0" presId="urn:microsoft.com/office/officeart/2008/layout/NameandTitleOrganizationalChart"/>
    <dgm:cxn modelId="{0C021B5D-44EB-4504-9704-B65870EF4773}" srcId="{47C39484-004A-4B1B-AFEB-A10AF893B4B7}" destId="{33FE6074-D3CD-494D-AE01-ED50109A4613}" srcOrd="3" destOrd="0" parTransId="{F324D244-3B52-41D8-9D01-01DF46ADF6B6}" sibTransId="{0B02EA63-5F31-479C-87BA-8D3DC261E73B}"/>
    <dgm:cxn modelId="{0321825D-9DAC-4485-9291-B6CFBB2E265C}" type="presOf" srcId="{CCEABBB7-338B-47E0-BEFB-7E66639CFF61}" destId="{2A0BCD83-2C24-4BE1-B20B-A9DCDFF5B535}" srcOrd="0" destOrd="0" presId="urn:microsoft.com/office/officeart/2008/layout/NameandTitleOrganizationalChart"/>
    <dgm:cxn modelId="{CCF8C95D-3470-4B07-9C22-619AA3D64035}" type="presOf" srcId="{0A3F52A5-06F1-4B17-899C-850380DFFE2D}" destId="{8EE6926A-F0D8-4CB6-A2B6-C7034E7F9C30}" srcOrd="0" destOrd="0" presId="urn:microsoft.com/office/officeart/2008/layout/NameandTitleOrganizationalChart"/>
    <dgm:cxn modelId="{5D17EB5D-5CC3-425B-A4A4-3D5DE8029DA4}" type="presOf" srcId="{45B9A766-E22E-48B1-8E35-C1633EB12FC9}" destId="{9B3BA139-5F5B-4E30-889D-A2F706A2695B}" srcOrd="0" destOrd="0" presId="urn:microsoft.com/office/officeart/2008/layout/NameandTitleOrganizationalChart"/>
    <dgm:cxn modelId="{3DED1C5E-DA81-476B-9AE7-9FEA399A330B}" srcId="{58195434-CC28-4171-98DC-064A9A9C5BBC}" destId="{25E03141-74F1-48C9-90A5-C61C9D8E2AE0}" srcOrd="0" destOrd="0" parTransId="{CB18A920-F073-4639-AD71-F8F60BA7D0B8}" sibTransId="{9E020631-8259-4CF6-AEA5-10F0F2EDCFBA}"/>
    <dgm:cxn modelId="{504D5D5F-E606-43B4-BE49-1275DEE602A9}" type="presOf" srcId="{47C39484-004A-4B1B-AFEB-A10AF893B4B7}" destId="{998ED5B5-C615-4F9E-8587-33B954BC6870}" srcOrd="0" destOrd="0" presId="urn:microsoft.com/office/officeart/2008/layout/NameandTitleOrganizationalChart"/>
    <dgm:cxn modelId="{6D4E0460-0B5E-4E13-8A8D-22F70CCBEAA5}" type="presOf" srcId="{54A7C8D6-8980-4203-933A-A6ABB9311ED9}" destId="{E8494AC8-C34C-4266-B228-2586A503492E}" srcOrd="0" destOrd="0" presId="urn:microsoft.com/office/officeart/2008/layout/NameandTitleOrganizationalChart"/>
    <dgm:cxn modelId="{F658CB61-2A1E-446B-A15F-14CB90E77733}" srcId="{7FB4D978-75F0-457D-88FA-4A078F33AEDF}" destId="{B4D6A501-92B6-4566-9276-79841C5F5B3E}" srcOrd="3" destOrd="0" parTransId="{E9DBF29B-09A5-4D79-8E4F-EB717D9379F5}" sibTransId="{C9B9E3AE-89C7-4A0A-8EF9-99B362783877}"/>
    <dgm:cxn modelId="{A3DB2242-6927-4043-8694-F42C43BE9229}" type="presOf" srcId="{192A6EE5-E3DC-4471-9A0A-1E32D76EA79D}" destId="{5B16D9B2-2665-4969-A326-41045BB72F81}" srcOrd="0" destOrd="0" presId="urn:microsoft.com/office/officeart/2008/layout/NameandTitleOrganizationalChart"/>
    <dgm:cxn modelId="{2CD43063-7ADF-41E1-9027-F985A61B7DAB}" type="presOf" srcId="{271B7A9B-D46F-4112-8CFC-B4013E5F5FA3}" destId="{7A2918B6-34D6-4CA2-8B3D-5D8F05884144}" srcOrd="0" destOrd="0" presId="urn:microsoft.com/office/officeart/2008/layout/NameandTitleOrganizationalChart"/>
    <dgm:cxn modelId="{A7296443-12A9-46A3-9AE6-2E0EB8B64B2A}" type="presOf" srcId="{E384D70C-225E-4709-BA1C-B5D68B155C5C}" destId="{6EF8B4EE-6877-4512-B43B-3B1D377A41E4}" srcOrd="0" destOrd="0" presId="urn:microsoft.com/office/officeart/2008/layout/NameandTitleOrganizationalChart"/>
    <dgm:cxn modelId="{EC5E6563-D193-4AC9-935C-020C3FF4A29E}" type="presOf" srcId="{27A2630D-98F2-4614-BC91-D5D085DE0B41}" destId="{2EAE41F0-901C-47E0-AB40-0C2FC1201E38}" srcOrd="0" destOrd="0" presId="urn:microsoft.com/office/officeart/2008/layout/NameandTitleOrganizationalChart"/>
    <dgm:cxn modelId="{F0D2A243-69BC-4B63-882F-BE72BA9A9CBE}" type="presOf" srcId="{C9B9E3AE-89C7-4A0A-8EF9-99B362783877}" destId="{54A59613-1B04-48F2-9981-764D08BC337A}" srcOrd="0" destOrd="0" presId="urn:microsoft.com/office/officeart/2008/layout/NameandTitleOrganizationalChart"/>
    <dgm:cxn modelId="{94D06145-AE43-43A9-8CBA-BBF81D2DA269}" srcId="{7FB4D978-75F0-457D-88FA-4A078F33AEDF}" destId="{0A3F52A5-06F1-4B17-899C-850380DFFE2D}" srcOrd="4" destOrd="0" parTransId="{57D7CE9D-0978-4AFB-B6D9-BCD3CA2229EB}" sibTransId="{DA7358C6-809A-499F-8BF4-F22C96B0E8C7}"/>
    <dgm:cxn modelId="{6FC2CF66-8273-4676-A352-F8F181FEA0D3}" type="presOf" srcId="{58195434-CC28-4171-98DC-064A9A9C5BBC}" destId="{BA4515F9-2F3F-4798-B42C-76B1B7D04437}" srcOrd="1" destOrd="0" presId="urn:microsoft.com/office/officeart/2008/layout/NameandTitleOrganizationalChart"/>
    <dgm:cxn modelId="{483D2467-C73F-4165-B3A3-E844A552DBA3}" type="presOf" srcId="{435B1CA8-757C-416B-AEBC-BA00A8F349E6}" destId="{AA23DE0C-5E08-40CB-92E0-0904D54AA9FB}" srcOrd="0" destOrd="0" presId="urn:microsoft.com/office/officeart/2008/layout/NameandTitleOrganizationalChart"/>
    <dgm:cxn modelId="{43D7A447-CA4D-4C54-91CB-ABC7B66C7021}" type="presOf" srcId="{F93F2BB2-C1A3-4CA8-A9B9-7E0A9D0F9E7D}" destId="{70F7AA5A-5B9C-47B0-B630-A9A85D9FC14B}" srcOrd="1" destOrd="0" presId="urn:microsoft.com/office/officeart/2008/layout/NameandTitleOrganizationalChart"/>
    <dgm:cxn modelId="{EC7EDC67-E491-4A69-89E8-82C40FC5B4AC}" type="presOf" srcId="{EE855179-559A-4EFF-B003-56EF85A8622B}" destId="{9DEECE6A-2DC7-462C-B4D3-4FDA509FDDFE}" srcOrd="0" destOrd="0" presId="urn:microsoft.com/office/officeart/2008/layout/NameandTitleOrganizationalChart"/>
    <dgm:cxn modelId="{D48B2648-0B59-4ED8-95C3-1512B54BF0D3}" srcId="{7FB4D978-75F0-457D-88FA-4A078F33AEDF}" destId="{92E884DA-13A5-4271-90BC-6968D19169D5}" srcOrd="2" destOrd="0" parTransId="{5B03490E-07D1-47F1-8071-71644FDC566A}" sibTransId="{ABD8E950-DB0E-44E7-ADAD-07C138C8B33F}"/>
    <dgm:cxn modelId="{F9C97C48-319F-4131-8644-0FFAFC2CABE9}" srcId="{80394FA0-14FF-407E-AEF1-62F9B07D6AE5}" destId="{47C39484-004A-4B1B-AFEB-A10AF893B4B7}" srcOrd="0" destOrd="0" parTransId="{573650C1-FE34-4FCF-832A-E802D184AD30}" sibTransId="{F3FEAFBF-5091-4BC8-A49A-19A086608B90}"/>
    <dgm:cxn modelId="{24E69E48-8C2B-43D9-8703-3E5563CC62DB}" type="presOf" srcId="{90B7B0D0-41B3-42B0-9A48-5F3EDFF55DC6}" destId="{109F8590-1762-4E11-B05E-AA6840EBDED4}" srcOrd="0" destOrd="0" presId="urn:microsoft.com/office/officeart/2008/layout/NameandTitleOrganizationalChart"/>
    <dgm:cxn modelId="{64C70449-0618-465D-AA5C-C1059D70E268}" type="presOf" srcId="{EEE02E95-5DE7-4172-A3D1-230AAA8302F4}" destId="{69D58FF6-F2A9-41A2-9D61-C9D202626D17}" srcOrd="0" destOrd="0" presId="urn:microsoft.com/office/officeart/2008/layout/NameandTitleOrganizationalChart"/>
    <dgm:cxn modelId="{9EAE3269-26D8-4DC7-878B-F92BD7D94B05}" srcId="{1A569E30-937F-4904-88CA-1C8DD51AF791}" destId="{769C65BC-A8BD-4DCC-BE4D-60D934746620}" srcOrd="3" destOrd="0" parTransId="{3C574F4D-298E-4306-9B11-DCEDC5F7E73F}" sibTransId="{F9831A34-5F5B-429C-8FEB-29DCE8D427C6}"/>
    <dgm:cxn modelId="{B7D5014A-B2D4-49B5-9927-0C60351F1A7C}" srcId="{CCEABBB7-338B-47E0-BEFB-7E66639CFF61}" destId="{E5FDC60D-2B34-4AB7-97CD-DEFA12BFC0CC}" srcOrd="2" destOrd="0" parTransId="{48C51B36-BD08-4EEF-A94B-C01A76863DFE}" sibTransId="{45B9A766-E22E-48B1-8E35-C1633EB12FC9}"/>
    <dgm:cxn modelId="{6977164A-3A9C-4D44-B477-01D0691BB0C8}" type="presOf" srcId="{33FE6074-D3CD-494D-AE01-ED50109A4613}" destId="{2C2C5B46-2CF0-4D12-A0E0-253D4A93F6B5}" srcOrd="1" destOrd="0" presId="urn:microsoft.com/office/officeart/2008/layout/NameandTitleOrganizationalChart"/>
    <dgm:cxn modelId="{612E536B-74F8-4BCD-9632-1E0EC05E3EAD}" type="presOf" srcId="{9CB0D02B-297D-45D8-9A74-8B2722D21446}" destId="{BD5C2E94-63F3-40ED-BF12-AF021E3DBAAF}" srcOrd="1" destOrd="0" presId="urn:microsoft.com/office/officeart/2008/layout/NameandTitleOrganizationalChart"/>
    <dgm:cxn modelId="{5839906B-B46A-42A1-B76E-E53F21EC24C7}" type="presOf" srcId="{4A4ECE11-8B25-491E-81AA-E9C9D7A60188}" destId="{DD735BF7-B1EF-4CE8-A9E6-CA9D795B98F8}" srcOrd="0" destOrd="0" presId="urn:microsoft.com/office/officeart/2008/layout/NameandTitleOrganizationalChart"/>
    <dgm:cxn modelId="{3B90BB4C-8104-4C96-9861-1C1B5850B055}" type="presOf" srcId="{13023F3E-BBF3-4FF4-A7C1-4A0B6BAF3A29}" destId="{7439A715-7671-47C4-8F06-B4B3F7D2CAFF}" srcOrd="0" destOrd="0" presId="urn:microsoft.com/office/officeart/2008/layout/NameandTitleOrganizationalChart"/>
    <dgm:cxn modelId="{95F5F64C-93FA-4827-AA81-D7290CB5CE0B}" type="presOf" srcId="{0700F839-9592-4E41-9B45-3DFC339D4E9C}" destId="{14E72DE9-77E0-4F43-9A65-A6DC12A9FBD5}" srcOrd="0" destOrd="0" presId="urn:microsoft.com/office/officeart/2008/layout/NameandTitleOrganizationalChart"/>
    <dgm:cxn modelId="{10161B6D-DA7E-4130-9CA9-F0BD5BD395DF}" type="presOf" srcId="{808D4B20-BC77-4948-90C4-6031DBAF0EFE}" destId="{DF8B7B3B-A87A-4E99-A3ED-BCA449B777B5}" srcOrd="0" destOrd="0" presId="urn:microsoft.com/office/officeart/2008/layout/NameandTitleOrganizationalChart"/>
    <dgm:cxn modelId="{941DA54D-253A-4B46-8C55-242CB4B72D46}" type="presOf" srcId="{48BF7844-A879-4A10-B55A-69E12A705B7F}" destId="{999C8EB7-F3F3-4881-8E2D-C941A99DD4F9}" srcOrd="0" destOrd="0" presId="urn:microsoft.com/office/officeart/2008/layout/NameandTitleOrganizationalChart"/>
    <dgm:cxn modelId="{47897A6E-83EE-4227-86E2-42C3BC26804A}" type="presOf" srcId="{9E020631-8259-4CF6-AEA5-10F0F2EDCFBA}" destId="{559352D2-DAA0-48CE-A551-A1FCE375E13C}" srcOrd="0" destOrd="0" presId="urn:microsoft.com/office/officeart/2008/layout/NameandTitleOrganizationalChart"/>
    <dgm:cxn modelId="{7F6C094F-2037-4596-B584-7C3E4E8D3037}" type="presOf" srcId="{E58525F7-6FD9-448A-8404-8A7098194956}" destId="{11E99FA4-EAAF-4CB3-A6A8-EBF087F801C0}" srcOrd="0" destOrd="0" presId="urn:microsoft.com/office/officeart/2008/layout/NameandTitleOrganizationalChart"/>
    <dgm:cxn modelId="{023B7D4F-4C90-48A6-A4AA-6AD508181C19}" srcId="{09CC62A3-5469-49FC-A786-F060E682E2A5}" destId="{3499517F-1884-446D-A76D-45F8E857FACA}" srcOrd="0" destOrd="0" parTransId="{844276F5-192D-4A16-91F3-47A6C6A9690F}" sibTransId="{CE68AC63-E24F-40F1-8D9A-5932A99E73B7}"/>
    <dgm:cxn modelId="{2AEAE04F-2070-4E4C-B2E1-8ADD45A58353}" type="presOf" srcId="{859BA693-07BB-4A81-93C9-BE4A6808C33D}" destId="{FEDAC8C2-250E-4B32-8532-855473263F13}" srcOrd="0" destOrd="0" presId="urn:microsoft.com/office/officeart/2008/layout/NameandTitleOrganizationalChart"/>
    <dgm:cxn modelId="{9210D950-FF60-4B2C-A27A-E59BB54C65C2}" type="presOf" srcId="{80394FA0-14FF-407E-AEF1-62F9B07D6AE5}" destId="{9CB627A4-2C01-467D-9E2F-FFFEA7E2E616}" srcOrd="0" destOrd="0" presId="urn:microsoft.com/office/officeart/2008/layout/NameandTitleOrganizationalChart"/>
    <dgm:cxn modelId="{474B2251-7E61-4FA4-A491-F2BAC8E56F6B}" type="presOf" srcId="{E5FDC60D-2B34-4AB7-97CD-DEFA12BFC0CC}" destId="{CAB8B3C7-C8B8-46C1-8DDC-C9148F8110CA}" srcOrd="0" destOrd="0" presId="urn:microsoft.com/office/officeart/2008/layout/NameandTitleOrganizationalChart"/>
    <dgm:cxn modelId="{61788351-86B5-49F3-BB2E-D46217FA47A4}" srcId="{1A569E30-937F-4904-88CA-1C8DD51AF791}" destId="{E58525F7-6FD9-448A-8404-8A7098194956}" srcOrd="4" destOrd="0" parTransId="{C00E2169-7733-4DB3-88A6-B7EC5C74D57D}" sibTransId="{E68BC0A1-C719-42FD-A03A-FE50D1259EA9}"/>
    <dgm:cxn modelId="{421FA271-2A26-474C-8E90-2BB091FADCD7}" type="presOf" srcId="{F901C23F-B337-49EA-9886-DDDCCD4D6DAC}" destId="{CF40303A-144B-4634-9141-BA48ED9CC06F}" srcOrd="0" destOrd="0" presId="urn:microsoft.com/office/officeart/2008/layout/NameandTitleOrganizationalChart"/>
    <dgm:cxn modelId="{D4DAF351-0CB4-4D19-83EA-D9A1A6EE4545}" srcId="{942C8DEC-C1B1-42FB-9194-9B7EB1AE53EE}" destId="{859BA693-07BB-4A81-93C9-BE4A6808C33D}" srcOrd="0" destOrd="0" parTransId="{92CB946F-71D1-4C7D-9400-3446CBF271F8}" sibTransId="{55E857A5-48AA-4F40-BE93-91C56C4BCBB3}"/>
    <dgm:cxn modelId="{C9FA4E52-B586-4F6E-9D25-CDE816878E34}" type="presOf" srcId="{25E03141-74F1-48C9-90A5-C61C9D8E2AE0}" destId="{019F7FFD-9036-42CB-B450-ABD033DC3880}" srcOrd="0" destOrd="0" presId="urn:microsoft.com/office/officeart/2008/layout/NameandTitleOrganizationalChart"/>
    <dgm:cxn modelId="{620E8672-0F3E-4460-B631-6888BA535826}" type="presOf" srcId="{CD8A941D-FD13-4CC7-A213-A6574E391FE9}" destId="{89D87073-DF77-46C5-BCFE-2C803C65B702}" srcOrd="0" destOrd="0" presId="urn:microsoft.com/office/officeart/2008/layout/NameandTitleOrganizationalChart"/>
    <dgm:cxn modelId="{5605B652-609B-498B-95D0-062C9995905A}" type="presOf" srcId="{26955D44-124D-4394-BCE8-BF162D14CE72}" destId="{FF2FD544-10BE-48C0-A74B-8765342D31FC}" srcOrd="1" destOrd="0" presId="urn:microsoft.com/office/officeart/2008/layout/NameandTitleOrganizationalChart"/>
    <dgm:cxn modelId="{5EDBBF73-69E2-4C73-AF94-1C322F88AD8D}" type="presOf" srcId="{3499517F-1884-446D-A76D-45F8E857FACA}" destId="{45D0B1BF-78E7-496B-84E7-12A2829B813F}" srcOrd="0" destOrd="0" presId="urn:microsoft.com/office/officeart/2008/layout/NameandTitleOrganizationalChart"/>
    <dgm:cxn modelId="{02D3D253-3A49-4622-ADC1-56E68B336E46}" srcId="{80394FA0-14FF-407E-AEF1-62F9B07D6AE5}" destId="{75BCF308-B12A-40F8-AF41-2AAED971F0BD}" srcOrd="2" destOrd="0" parTransId="{FE37289A-17F0-4F4A-A0B5-5B32E6BD32D1}" sibTransId="{951FDA6A-3ABA-458A-8918-2A31B60F12EE}"/>
    <dgm:cxn modelId="{003DFA57-387B-4F11-937A-EA1C1A434E66}" type="presOf" srcId="{79664164-3517-4B41-BA76-18AB48010EC5}" destId="{73B2737E-4806-4CA2-B9DF-A81FC19AE3A9}" srcOrd="0" destOrd="0" presId="urn:microsoft.com/office/officeart/2008/layout/NameandTitleOrganizationalChart"/>
    <dgm:cxn modelId="{7BA43178-BA9F-40D9-8A15-8F51876175BA}" type="presOf" srcId="{6D40DF44-2BEC-4F94-9A4A-9971C23408F6}" destId="{CD07DC1F-C35D-4CEE-B564-0B104354C54F}" srcOrd="0" destOrd="0" presId="urn:microsoft.com/office/officeart/2008/layout/NameandTitleOrganizationalChart"/>
    <dgm:cxn modelId="{64C7A078-F9F6-4493-A5A7-2C356600726A}" type="presOf" srcId="{55E857A5-48AA-4F40-BE93-91C56C4BCBB3}" destId="{656E15EF-04E1-41C4-A0E2-A1CAADE791E4}" srcOrd="0" destOrd="0" presId="urn:microsoft.com/office/officeart/2008/layout/NameandTitleOrganizationalChart"/>
    <dgm:cxn modelId="{C5A9C778-1671-47FA-8CB9-C8CCA9743FC2}" type="presOf" srcId="{EDDD2953-7192-4A21-8C8D-2D068F8C3333}" destId="{407CA84F-7F26-4F8D-85E4-26D6112E50D0}" srcOrd="0" destOrd="0" presId="urn:microsoft.com/office/officeart/2008/layout/NameandTitleOrganizationalChart"/>
    <dgm:cxn modelId="{A9BA1A59-E2E6-442C-B97D-D52ECD525582}" type="presOf" srcId="{810D2F77-420F-4A2C-BBE7-17FFFA0D1E0A}" destId="{C11BC66F-72F6-4BD9-93AE-C4B82F062BF0}" srcOrd="0" destOrd="0" presId="urn:microsoft.com/office/officeart/2008/layout/NameandTitleOrganizationalChart"/>
    <dgm:cxn modelId="{AD117859-6FDD-4CAA-ABBD-4CD4DC21CF48}" type="presOf" srcId="{B876D0C2-BA80-4486-98C8-E10AB2756FC5}" destId="{C0264484-DC40-4C1C-9103-106977643F89}" srcOrd="0" destOrd="0" presId="urn:microsoft.com/office/officeart/2008/layout/NameandTitleOrganizationalChart"/>
    <dgm:cxn modelId="{B9F8C079-48D3-4B0F-BE7E-7393CA201DF8}" type="presOf" srcId="{878346E3-8C64-42ED-816A-B1CE4FF74420}" destId="{FD9241F0-F46F-4849-8FD9-6CEDD626961B}" srcOrd="0" destOrd="0" presId="urn:microsoft.com/office/officeart/2008/layout/NameandTitleOrganizationalChart"/>
    <dgm:cxn modelId="{AE35CF59-B2FC-4AC7-8AB6-7A76374D68A8}" srcId="{80394FA0-14FF-407E-AEF1-62F9B07D6AE5}" destId="{942C8DEC-C1B1-42FB-9194-9B7EB1AE53EE}" srcOrd="1" destOrd="0" parTransId="{37A0232B-06A5-4602-B064-5FBB228E3823}" sibTransId="{45DAD5B0-645F-4E87-8451-5B9D17DC113D}"/>
    <dgm:cxn modelId="{4C30F059-C4AA-416B-8E40-A971C7B887CD}" type="presOf" srcId="{968A20AC-F9E8-486A-8D1F-FE3EA8E9C0C1}" destId="{A8C423A5-C532-4EBD-9AEB-031676824F60}" srcOrd="0" destOrd="0" presId="urn:microsoft.com/office/officeart/2008/layout/NameandTitleOrganizationalChart"/>
    <dgm:cxn modelId="{F8526E5A-03DE-4E91-8914-03C619A71D48}" type="presOf" srcId="{27A2630D-98F2-4614-BC91-D5D085DE0B41}" destId="{A7D5D95F-0527-4DA6-A3AF-058BC8C5030F}" srcOrd="1" destOrd="0" presId="urn:microsoft.com/office/officeart/2008/layout/NameandTitleOrganizationalChart"/>
    <dgm:cxn modelId="{0997187E-B403-44BE-81F7-2C47D88D2064}" type="presOf" srcId="{47C39484-004A-4B1B-AFEB-A10AF893B4B7}" destId="{DBAB87C3-56C5-4735-9266-2E2EB7CB8D9A}" srcOrd="1" destOrd="0" presId="urn:microsoft.com/office/officeart/2008/layout/NameandTitleOrganizationalChart"/>
    <dgm:cxn modelId="{D2CC997E-9906-4A47-A33D-75D99CD15AFA}" type="presOf" srcId="{7FB4D978-75F0-457D-88FA-4A078F33AEDF}" destId="{F74C3DC8-C63E-412B-ABEF-871CDA31BCFF}" srcOrd="1" destOrd="0" presId="urn:microsoft.com/office/officeart/2008/layout/NameandTitleOrganizationalChart"/>
    <dgm:cxn modelId="{EC0EA67F-FFD6-4DC0-8A7F-379A7C8537F1}" type="presOf" srcId="{B4D6A501-92B6-4566-9276-79841C5F5B3E}" destId="{DC252E6D-89A2-4203-A634-555151787A5C}" srcOrd="1" destOrd="0" presId="urn:microsoft.com/office/officeart/2008/layout/NameandTitleOrganizationalChart"/>
    <dgm:cxn modelId="{0B137C81-9970-4B98-8A1A-791F462979E9}" type="presOf" srcId="{D6030610-5741-46D9-A768-E77D43E6BAE4}" destId="{D141C697-C6D4-4357-8EEB-E87E399E76B2}" srcOrd="0" destOrd="0" presId="urn:microsoft.com/office/officeart/2008/layout/NameandTitleOrganizationalChart"/>
    <dgm:cxn modelId="{F2F15D84-898C-4877-9E09-28878A6CEEE8}" type="presOf" srcId="{92E884DA-13A5-4271-90BC-6968D19169D5}" destId="{3B334248-BAB9-42CA-9871-E261EB326B22}" srcOrd="0" destOrd="0" presId="urn:microsoft.com/office/officeart/2008/layout/NameandTitleOrganizationalChart"/>
    <dgm:cxn modelId="{AF588985-2D5C-4D4D-B36F-FCAB81E6E21A}" type="presOf" srcId="{0A3F52A5-06F1-4B17-899C-850380DFFE2D}" destId="{922C23F8-042B-41D0-8EC4-E0E680AA567F}" srcOrd="1" destOrd="0" presId="urn:microsoft.com/office/officeart/2008/layout/NameandTitleOrganizationalChart"/>
    <dgm:cxn modelId="{80B0E586-C88A-4324-A896-16A107C9996B}" type="presOf" srcId="{26955D44-124D-4394-BCE8-BF162D14CE72}" destId="{2DCEA40D-47E6-4BC8-B79E-5B9B8090F3E4}" srcOrd="0" destOrd="0" presId="urn:microsoft.com/office/officeart/2008/layout/NameandTitleOrganizationalChart"/>
    <dgm:cxn modelId="{35DE8D87-40FE-463B-B949-D6D91EF157E3}" srcId="{75BCF308-B12A-40F8-AF41-2AAED971F0BD}" destId="{D3ABDF34-2C17-4964-ABFA-F146B3608B3C}" srcOrd="1" destOrd="0" parTransId="{1A7603CB-DE7D-4AEC-B00F-115328F9699B}" sibTransId="{D4737680-E48A-4B8D-9C67-C69F9FCC7FB6}"/>
    <dgm:cxn modelId="{31A1DD87-FDDC-4382-9508-B45870F88892}" type="presOf" srcId="{0C80C866-8B19-408C-A8BA-D463EAE70F26}" destId="{388E1053-73E6-4237-90F0-BBF595B7573C}" srcOrd="0" destOrd="0" presId="urn:microsoft.com/office/officeart/2008/layout/NameandTitleOrganizationalChart"/>
    <dgm:cxn modelId="{A3733C8A-CCEF-45DE-9DF6-57E1040ADEBB}" type="presOf" srcId="{E320A9B7-6569-409D-A82B-C9F6BFD17056}" destId="{0324913E-DF24-4789-B17A-5497E9E7E66D}" srcOrd="0" destOrd="0" presId="urn:microsoft.com/office/officeart/2008/layout/NameandTitleOrganizationalChart"/>
    <dgm:cxn modelId="{880CB48B-7076-455A-8616-BAC546583972}" type="presOf" srcId="{D3ABDF34-2C17-4964-ABFA-F146B3608B3C}" destId="{AFEDC19F-5E18-407A-91B8-4A37CB3005D9}" srcOrd="0" destOrd="0" presId="urn:microsoft.com/office/officeart/2008/layout/NameandTitleOrganizationalChart"/>
    <dgm:cxn modelId="{6D25478C-35B7-4ED0-B893-D6DB487B0638}" type="presOf" srcId="{E4319104-1B95-45B9-85D4-9B14C9DDA4E1}" destId="{34D1D79C-E9EC-4928-9D09-43BB4377704D}" srcOrd="0" destOrd="0" presId="urn:microsoft.com/office/officeart/2008/layout/NameandTitleOrganizationalChart"/>
    <dgm:cxn modelId="{7E78DE8E-D0A7-4E84-A92F-76A38A9998CA}" type="presOf" srcId="{25E03141-74F1-48C9-90A5-C61C9D8E2AE0}" destId="{B16A1255-086D-40FB-A316-DB69620942F6}" srcOrd="1" destOrd="0" presId="urn:microsoft.com/office/officeart/2008/layout/NameandTitleOrganizationalChart"/>
    <dgm:cxn modelId="{0E7A5792-322C-4B3A-9B5E-A3A38B225508}" type="presOf" srcId="{E58525F7-6FD9-448A-8404-8A7098194956}" destId="{0B08242C-BBD4-43A2-BFE1-C70B3891B683}" srcOrd="1" destOrd="0" presId="urn:microsoft.com/office/officeart/2008/layout/NameandTitleOrganizationalChart"/>
    <dgm:cxn modelId="{31363394-2577-4F6F-979E-32BCB19D6A05}" type="presOf" srcId="{80D01D1C-F7AD-4903-B763-3DDD08217195}" destId="{B3170B44-4C49-46D1-BE51-BADB1752255A}" srcOrd="0" destOrd="0" presId="urn:microsoft.com/office/officeart/2008/layout/NameandTitleOrganizationalChart"/>
    <dgm:cxn modelId="{BF51AB96-ABA6-4D7E-9FE3-350DA14CBA04}" srcId="{80394FA0-14FF-407E-AEF1-62F9B07D6AE5}" destId="{9CB0D02B-297D-45D8-9A74-8B2722D21446}" srcOrd="3" destOrd="0" parTransId="{90B7B0D0-41B3-42B0-9A48-5F3EDFF55DC6}" sibTransId="{1C1B6B31-8B13-4C01-9971-0D6C07870733}"/>
    <dgm:cxn modelId="{7C95F396-A695-4CA4-A2D9-EE89F87056F9}" srcId="{7FB4D978-75F0-457D-88FA-4A078F33AEDF}" destId="{C63FB8A5-EF3F-4DC2-9111-14E814F65315}" srcOrd="1" destOrd="0" parTransId="{CADEA7A0-E257-45C6-B8C1-0D19914B0F98}" sibTransId="{EAFA7E02-E0D2-470C-8C5D-9FF49B6A6DEA}"/>
    <dgm:cxn modelId="{9AAAB598-22BA-40CC-BA56-46FBDF264AEC}" type="presOf" srcId="{DA7358C6-809A-499F-8BF4-F22C96B0E8C7}" destId="{94955614-EFFB-4FA8-B43D-F911E9710223}" srcOrd="0" destOrd="0" presId="urn:microsoft.com/office/officeart/2008/layout/NameandTitleOrganizationalChart"/>
    <dgm:cxn modelId="{083BE498-2EBF-46C9-94CA-A09460392EC5}" type="presOf" srcId="{877DA76B-5E9E-49DB-BF23-7B0B0214CBE5}" destId="{904D1964-9FA3-418A-9AA2-39CF8D327E59}" srcOrd="0" destOrd="0" presId="urn:microsoft.com/office/officeart/2008/layout/NameandTitleOrganizationalChart"/>
    <dgm:cxn modelId="{4D751E9A-F372-4EAF-96E9-F5CE71F1B97E}" type="presOf" srcId="{A3AB8EEE-B502-4238-A870-806967D81ED0}" destId="{FCA95584-C290-4366-9667-7EBFECCE6578}" srcOrd="0" destOrd="0" presId="urn:microsoft.com/office/officeart/2008/layout/NameandTitleOrganizationalChart"/>
    <dgm:cxn modelId="{A1AAD59C-CC3E-4249-807C-4EA4E6C108C3}" srcId="{942C8DEC-C1B1-42FB-9194-9B7EB1AE53EE}" destId="{936CFED1-4BB2-43DC-812F-48302718469F}" srcOrd="3" destOrd="0" parTransId="{80D01D1C-F7AD-4903-B763-3DDD08217195}" sibTransId="{6002D9AC-D620-4638-8024-212DC920DB86}"/>
    <dgm:cxn modelId="{EF94229F-E8F2-4707-98CB-B9A43F1172F1}" type="presOf" srcId="{9C069160-229B-4581-8576-3A89D6D94A25}" destId="{B9EC0917-8520-4865-ACE6-E26CFF0775A3}" srcOrd="0" destOrd="0" presId="urn:microsoft.com/office/officeart/2008/layout/NameandTitleOrganizationalChart"/>
    <dgm:cxn modelId="{823B6EA0-6414-4982-97EC-81E6E9135206}" type="presOf" srcId="{942C8DEC-C1B1-42FB-9194-9B7EB1AE53EE}" destId="{FDA6F419-CBB2-4A3C-9F73-C993B51EE192}" srcOrd="1" destOrd="0" presId="urn:microsoft.com/office/officeart/2008/layout/NameandTitleOrganizationalChart"/>
    <dgm:cxn modelId="{0CB182A0-7500-410B-B4EB-CB31F3EA5E21}" type="presOf" srcId="{8B39EF6A-E7FE-4CE5-9005-FC4EC17ED67D}" destId="{E0DD0F86-8CAD-483C-98F0-C6E45A2154E8}" srcOrd="0" destOrd="0" presId="urn:microsoft.com/office/officeart/2008/layout/NameandTitleOrganizationalChart"/>
    <dgm:cxn modelId="{43F66DA1-E5D3-427E-A6C5-E7F4673E3136}" srcId="{75BCF308-B12A-40F8-AF41-2AAED971F0BD}" destId="{13023F3E-BBF3-4FF4-A7C1-4A0B6BAF3A29}" srcOrd="2" destOrd="0" parTransId="{6FF616BD-484A-4B07-B086-EAA610F3E144}" sibTransId="{F901C23F-B337-49EA-9886-DDDCCD4D6DAC}"/>
    <dgm:cxn modelId="{DAC6F5A4-6757-4AF9-AE28-13EBF8DA92E8}" type="presOf" srcId="{C63FB8A5-EF3F-4DC2-9111-14E814F65315}" destId="{D73D8E52-94A4-44C0-9B44-4E3B72A7DFE9}" srcOrd="1" destOrd="0" presId="urn:microsoft.com/office/officeart/2008/layout/NameandTitleOrganizationalChart"/>
    <dgm:cxn modelId="{51CE05A5-4C61-4E8E-8D18-8812B54DDFD0}" srcId="{75BCF308-B12A-40F8-AF41-2AAED971F0BD}" destId="{CCEABBB7-338B-47E0-BEFB-7E66639CFF61}" srcOrd="0" destOrd="0" parTransId="{EE855179-559A-4EFF-B003-56EF85A8622B}" sibTransId="{B876D0C2-BA80-4486-98C8-E10AB2756FC5}"/>
    <dgm:cxn modelId="{CD526FA7-FCA7-4317-AB63-30BF9C80B3F0}" type="presOf" srcId="{4A4ECE11-8B25-491E-81AA-E9C9D7A60188}" destId="{62A597D1-8097-4A3A-8234-A08A001D73B0}" srcOrd="1" destOrd="0" presId="urn:microsoft.com/office/officeart/2008/layout/NameandTitleOrganizationalChart"/>
    <dgm:cxn modelId="{058D54A7-6EC4-4261-AFBE-B8FB85EEB82D}" type="presOf" srcId="{40A61076-DA91-47A8-A767-A7751DD3A9B8}" destId="{E85AC1B9-667E-429F-AAE4-DB16B38A802E}" srcOrd="0" destOrd="0" presId="urn:microsoft.com/office/officeart/2008/layout/NameandTitleOrganizationalChart"/>
    <dgm:cxn modelId="{8AFD54A7-FE1D-437F-9C69-67DD4080A6A7}" type="presOf" srcId="{54A7C8D6-8980-4203-933A-A6ABB9311ED9}" destId="{9C50F357-F33A-4F12-BB5B-EE1A4B94BE75}" srcOrd="1" destOrd="0" presId="urn:microsoft.com/office/officeart/2008/layout/NameandTitleOrganizationalChart"/>
    <dgm:cxn modelId="{82DDE8A8-03C7-4354-BC73-D1EF0496EB6C}" srcId="{A3AB8EEE-B502-4238-A870-806967D81ED0}" destId="{80394FA0-14FF-407E-AEF1-62F9B07D6AE5}" srcOrd="0" destOrd="0" parTransId="{34C0CDCF-078B-469E-BC3B-44011EEB0660}" sibTransId="{2142D57B-A466-4852-A47A-47CE68E1AF32}"/>
    <dgm:cxn modelId="{8C26C5A9-22C3-48A0-AAA3-95C1A6BA79C9}" type="presOf" srcId="{573650C1-FE34-4FCF-832A-E802D184AD30}" destId="{FCD91427-577B-441A-8166-134B6937CF4D}" srcOrd="0" destOrd="0" presId="urn:microsoft.com/office/officeart/2008/layout/NameandTitleOrganizationalChart"/>
    <dgm:cxn modelId="{89111EAA-1ECE-4FDA-A295-D2D3D3133D43}" type="presOf" srcId="{B4D6A501-92B6-4566-9276-79841C5F5B3E}" destId="{3D027C5F-090F-4E8F-AE5E-A815B0C02A94}" srcOrd="0" destOrd="0" presId="urn:microsoft.com/office/officeart/2008/layout/NameandTitleOrganizationalChart"/>
    <dgm:cxn modelId="{3E5CC4AB-AD0E-4B21-B263-CAA74E307C87}" type="presOf" srcId="{9F157D24-A5D1-4619-B1CE-207AD8F53CD5}" destId="{021DD6D6-FCEC-41D9-B348-B74C8086787F}" srcOrd="0" destOrd="0" presId="urn:microsoft.com/office/officeart/2008/layout/NameandTitleOrganizationalChart"/>
    <dgm:cxn modelId="{6580E8AB-87AB-4386-BAED-10978CBEF8AE}" type="presOf" srcId="{E9DBF29B-09A5-4D79-8E4F-EB717D9379F5}" destId="{7D5D5120-7A69-4946-89D1-F27086829D97}" srcOrd="0" destOrd="0" presId="urn:microsoft.com/office/officeart/2008/layout/NameandTitleOrganizationalChart"/>
    <dgm:cxn modelId="{B4583FAC-8243-4AE2-8778-EA33B86AD704}" type="presOf" srcId="{CADEA7A0-E257-45C6-B8C1-0D19914B0F98}" destId="{20E7F154-9C15-4CD6-BC79-681E2BD54E49}" srcOrd="0" destOrd="0" presId="urn:microsoft.com/office/officeart/2008/layout/NameandTitleOrganizationalChart"/>
    <dgm:cxn modelId="{FE25E1AD-F09F-40C3-8B92-871DB1B8A939}" type="presOf" srcId="{936CFED1-4BB2-43DC-812F-48302718469F}" destId="{183F2548-773E-4131-895F-0D153559AD56}" srcOrd="1" destOrd="0" presId="urn:microsoft.com/office/officeart/2008/layout/NameandTitleOrganizationalChart"/>
    <dgm:cxn modelId="{77A10DAE-54B2-44C9-84D9-7AD15A7C52EE}" type="presOf" srcId="{D3ABDF34-2C17-4964-ABFA-F146B3608B3C}" destId="{89C329DE-2C82-4D8A-9BE7-F39B6FA0443D}" srcOrd="1" destOrd="0" presId="urn:microsoft.com/office/officeart/2008/layout/NameandTitleOrganizationalChart"/>
    <dgm:cxn modelId="{50C5C0AE-3D3D-4205-A585-5702B2E94EDC}" srcId="{CCEABBB7-338B-47E0-BEFB-7E66639CFF61}" destId="{504E8244-1CAD-478D-A5EE-6857132B600A}" srcOrd="0" destOrd="0" parTransId="{78BD750B-AA95-4DA8-8000-88F315A536B5}" sibTransId="{EEE02E95-5DE7-4172-A3D1-230AAA8302F4}"/>
    <dgm:cxn modelId="{FED2A5B0-16E0-4E5C-9429-31410109B667}" type="presOf" srcId="{37A0232B-06A5-4602-B064-5FBB228E3823}" destId="{409FAE65-7840-485F-9390-5501F77F21C2}" srcOrd="0" destOrd="0" presId="urn:microsoft.com/office/officeart/2008/layout/NameandTitleOrganizationalChart"/>
    <dgm:cxn modelId="{362B76B1-32DD-41FF-B845-8BA2E34F6674}" type="presOf" srcId="{D0B61793-02E4-46A1-B677-D618546E6B25}" destId="{96CDDB58-1BB9-4BE2-A1B8-7655683EDCCC}" srcOrd="0" destOrd="0" presId="urn:microsoft.com/office/officeart/2008/layout/NameandTitleOrganizationalChart"/>
    <dgm:cxn modelId="{51C1BEB2-B0E3-4441-85AB-EEDDFD4ED689}" type="presOf" srcId="{271B7A9B-D46F-4112-8CFC-B4013E5F5FA3}" destId="{A36B3183-85D1-4DB5-BA32-7FB9D7009B51}" srcOrd="1" destOrd="0" presId="urn:microsoft.com/office/officeart/2008/layout/NameandTitleOrganizationalChart"/>
    <dgm:cxn modelId="{003436B3-F176-4EC3-AB4F-D7AF1F529C11}" type="presOf" srcId="{0600A3E2-6162-41AE-A0CB-551CB60E1EA2}" destId="{848A0AD0-6DD4-43B2-936E-7528D55AD57C}" srcOrd="0" destOrd="0" presId="urn:microsoft.com/office/officeart/2008/layout/NameandTitleOrganizationalChart"/>
    <dgm:cxn modelId="{824736B3-A779-4765-92FB-BFBC8BEE7170}" type="presOf" srcId="{79F40210-A64B-4E7E-AA0D-B96EC8AB1394}" destId="{1163A5E8-1064-42BC-8F10-316899942129}" srcOrd="1" destOrd="0" presId="urn:microsoft.com/office/officeart/2008/layout/NameandTitleOrganizationalChart"/>
    <dgm:cxn modelId="{BD0197B3-3BA3-4D7F-A22C-EC5223861683}" type="presOf" srcId="{6FF616BD-484A-4B07-B086-EAA610F3E144}" destId="{4F2029E6-4688-4E4A-930C-78819A801C6E}" srcOrd="0" destOrd="0" presId="urn:microsoft.com/office/officeart/2008/layout/NameandTitleOrganizationalChart"/>
    <dgm:cxn modelId="{3023C2B3-7913-47DB-9F33-5AD6099B0E94}" type="presOf" srcId="{EDDD2953-7192-4A21-8C8D-2D068F8C3333}" destId="{5CAAB9C2-A50B-43BD-9A3C-C05C0FFCC722}" srcOrd="1" destOrd="0" presId="urn:microsoft.com/office/officeart/2008/layout/NameandTitleOrganizationalChart"/>
    <dgm:cxn modelId="{007818B4-EB25-48BA-9272-FEC035D7CAB0}" type="presOf" srcId="{33FE6074-D3CD-494D-AE01-ED50109A4613}" destId="{D5C435F0-E006-4FCA-A00A-154E65584AD1}" srcOrd="0" destOrd="0" presId="urn:microsoft.com/office/officeart/2008/layout/NameandTitleOrganizationalChart"/>
    <dgm:cxn modelId="{B6A07EB4-93A4-4CBA-885F-2515AB574A7A}" srcId="{75BCF308-B12A-40F8-AF41-2AAED971F0BD}" destId="{1A569E30-937F-4904-88CA-1C8DD51AF791}" srcOrd="3" destOrd="0" parTransId="{BF97EDE8-7F5D-4A67-9088-84427FCF0EBB}" sibTransId="{D65C5FFC-551E-4462-83B0-3004D251CAE6}"/>
    <dgm:cxn modelId="{28A868B7-4301-4908-94A9-415F4D8B3668}" type="presOf" srcId="{ABD8E950-DB0E-44E7-ADAD-07C138C8B33F}" destId="{D2AFCE57-00AC-4173-BE7C-DED0062BD73A}" srcOrd="0" destOrd="0" presId="urn:microsoft.com/office/officeart/2008/layout/NameandTitleOrganizationalChart"/>
    <dgm:cxn modelId="{FF02A7B7-E221-4C95-A7E9-0312F4D360AC}" type="presOf" srcId="{F324D244-3B52-41D8-9D01-01DF46ADF6B6}" destId="{8F7F1C17-88F0-49A1-B061-E5EA6660EE58}" srcOrd="0" destOrd="0" presId="urn:microsoft.com/office/officeart/2008/layout/NameandTitleOrganizationalChart"/>
    <dgm:cxn modelId="{B5A93AB9-0202-407D-8D85-6E52E147031E}" type="presOf" srcId="{BFCFC687-F71D-4DAB-8391-64397C85E2EE}" destId="{43DFA466-0E33-4527-9089-6C6C2C5EFDF8}" srcOrd="0" destOrd="0" presId="urn:microsoft.com/office/officeart/2008/layout/NameandTitleOrganizationalChart"/>
    <dgm:cxn modelId="{D939BCB9-398A-42C6-97A3-BF132A57C276}" type="presOf" srcId="{0863FAD4-0ECB-47E2-A8C2-9714C72C72F9}" destId="{44A4C9CE-925A-433F-8D8E-7EE62AF3AD4E}" srcOrd="0" destOrd="0" presId="urn:microsoft.com/office/officeart/2008/layout/NameandTitleOrganizationalChart"/>
    <dgm:cxn modelId="{A5E353BE-B0FE-47C0-B498-AAF79A3BE0AA}" type="presOf" srcId="{BCDC6BB2-D5AD-4985-8CB2-4A846B30E98E}" destId="{E6DC135A-6F27-4425-9A37-B7E67CEB6DB1}" srcOrd="0" destOrd="0" presId="urn:microsoft.com/office/officeart/2008/layout/NameandTitleOrganizationalChart"/>
    <dgm:cxn modelId="{6DF784BF-4C00-4BBF-9D5A-D0A85B2F4893}" type="presOf" srcId="{40A61076-DA91-47A8-A767-A7751DD3A9B8}" destId="{6B9D259E-1D95-406A-9E5F-FB7C7737CD09}" srcOrd="1" destOrd="0" presId="urn:microsoft.com/office/officeart/2008/layout/NameandTitleOrganizationalChart"/>
    <dgm:cxn modelId="{B5891EC0-5AF7-4494-8898-6304D388B271}" srcId="{356F1E70-7280-4D9A-98C3-6DF913ADC682}" destId="{79F40210-A64B-4E7E-AA0D-B96EC8AB1394}" srcOrd="0" destOrd="0" parTransId="{64EC115C-FC49-41D7-83E4-51E5041683E1}" sibTransId="{435B1CA8-757C-416B-AEBC-BA00A8F349E6}"/>
    <dgm:cxn modelId="{F6F023C6-0ABC-422E-8CF3-B9925265E34A}" type="presOf" srcId="{7FB4D978-75F0-457D-88FA-4A078F33AEDF}" destId="{EB0CFA4B-190D-468F-BA87-622AC9D67C24}" srcOrd="0" destOrd="0" presId="urn:microsoft.com/office/officeart/2008/layout/NameandTitleOrganizationalChart"/>
    <dgm:cxn modelId="{C52A88C6-11D7-4767-8AA9-2A48B80A7951}" srcId="{1A569E30-937F-4904-88CA-1C8DD51AF791}" destId="{40A61076-DA91-47A8-A767-A7751DD3A9B8}" srcOrd="2" destOrd="0" parTransId="{878346E3-8C64-42ED-816A-B1CE4FF74420}" sibTransId="{A0CFFAF7-74B4-4EF7-8C40-C999341A4B00}"/>
    <dgm:cxn modelId="{F765A2C6-09CD-4E90-987C-C69F8A8E72EA}" srcId="{942C8DEC-C1B1-42FB-9194-9B7EB1AE53EE}" destId="{58195434-CC28-4171-98DC-064A9A9C5BBC}" srcOrd="1" destOrd="0" parTransId="{9F157D24-A5D1-4619-B1CE-207AD8F53CD5}" sibTransId="{AE4AF2AF-0AC7-472A-B043-2859192D62C9}"/>
    <dgm:cxn modelId="{FD9DABC7-0E50-4776-8485-86D4847FFA69}" type="presOf" srcId="{1C1B6B31-8B13-4C01-9971-0D6C07870733}" destId="{2006F91F-A590-446F-A53C-1077DD0B77D8}" srcOrd="0" destOrd="0" presId="urn:microsoft.com/office/officeart/2008/layout/NameandTitleOrganizationalChart"/>
    <dgm:cxn modelId="{59ABD1C8-3D42-437D-B5BF-D9C2B6AE4C70}" type="presOf" srcId="{9BDEB05F-29B4-4F5B-B6BD-5E57B65B9657}" destId="{03B94904-6BC5-4944-B998-9DA08457AB2D}" srcOrd="0" destOrd="0" presId="urn:microsoft.com/office/officeart/2008/layout/NameandTitleOrganizationalChart"/>
    <dgm:cxn modelId="{DAC783C9-C95D-4258-AFA3-529B1F759402}" type="presOf" srcId="{5B03490E-07D1-47F1-8071-71644FDC566A}" destId="{EDD6DA7A-A100-4C22-9A9B-3DE29D7B3ACD}" srcOrd="0" destOrd="0" presId="urn:microsoft.com/office/officeart/2008/layout/NameandTitleOrganizationalChart"/>
    <dgm:cxn modelId="{B4E4B7C9-5419-44D6-840F-BF70FAD80C42}" type="presOf" srcId="{87774D7B-42AC-4832-8762-24360B4FABFF}" destId="{F0DA88D1-3D92-4AD6-978B-B1AA19E850DD}" srcOrd="0" destOrd="0" presId="urn:microsoft.com/office/officeart/2008/layout/NameandTitleOrganizationalChart"/>
    <dgm:cxn modelId="{9D8154CC-6186-4712-85E6-401A3F20E1A1}" type="presOf" srcId="{859BA693-07BB-4A81-93C9-BE4A6808C33D}" destId="{B94BEE16-363A-445D-A414-05E48962F259}" srcOrd="1" destOrd="0" presId="urn:microsoft.com/office/officeart/2008/layout/NameandTitleOrganizationalChart"/>
    <dgm:cxn modelId="{E57E52CD-755B-47E6-81C0-5C2B7456FFA4}" srcId="{1A569E30-937F-4904-88CA-1C8DD51AF791}" destId="{F93F2BB2-C1A3-4CA8-A9B9-7E0A9D0F9E7D}" srcOrd="1" destOrd="0" parTransId="{C40722F0-6B71-4053-B9C1-5E2A846EA065}" sibTransId="{48BF7844-A879-4A10-B55A-69E12A705B7F}"/>
    <dgm:cxn modelId="{1760B7CF-0729-4331-B267-E31568B53EB2}" type="presOf" srcId="{2F7ED289-7ECC-491C-9708-D022CAE1AEAE}" destId="{8C2E6AA0-A6B8-47F0-A74C-7096EE0D8B0C}" srcOrd="0" destOrd="0" presId="urn:microsoft.com/office/officeart/2008/layout/NameandTitleOrganizationalChart"/>
    <dgm:cxn modelId="{92781AD0-1C0F-4A0C-BABB-C55191A9D24A}" type="presOf" srcId="{CE68AC63-E24F-40F1-8D9A-5932A99E73B7}" destId="{F67D9200-4BF3-464E-BD3D-2EBEA7A12FC2}" srcOrd="0" destOrd="0" presId="urn:microsoft.com/office/officeart/2008/layout/NameandTitleOrganizationalChart"/>
    <dgm:cxn modelId="{5404C2D0-08FA-46BB-9358-9F52ED30EC4A}" srcId="{356F1E70-7280-4D9A-98C3-6DF913ADC682}" destId="{2F7ED289-7ECC-491C-9708-D022CAE1AEAE}" srcOrd="1" destOrd="0" parTransId="{D0B61793-02E4-46A1-B677-D618546E6B25}" sibTransId="{3C282FEB-14CF-476C-89C6-972E7890C5C9}"/>
    <dgm:cxn modelId="{B0583ED1-BFDF-4350-B2D9-58DBF2B975E8}" type="presOf" srcId="{D65C5FFC-551E-4462-83B0-3004D251CAE6}" destId="{55703F11-9F25-493F-BC19-BB4EC28CD8A6}" srcOrd="0" destOrd="0" presId="urn:microsoft.com/office/officeart/2008/layout/NameandTitleOrganizationalChart"/>
    <dgm:cxn modelId="{0229D2D1-6B09-4E26-80D7-75B47FF82835}" type="presOf" srcId="{504E8244-1CAD-478D-A5EE-6857132B600A}" destId="{949B4D2A-B6A1-4788-A404-6175DEF28063}" srcOrd="0" destOrd="0" presId="urn:microsoft.com/office/officeart/2008/layout/NameandTitleOrganizationalChart"/>
    <dgm:cxn modelId="{CD7DFED4-A9E9-4841-909F-D63EBE4DC672}" type="presOf" srcId="{BF97EDE8-7F5D-4A67-9088-84427FCF0EBB}" destId="{4E86D9E2-A71D-4E85-B491-00375E6F869D}" srcOrd="0" destOrd="0" presId="urn:microsoft.com/office/officeart/2008/layout/NameandTitleOrganizationalChart"/>
    <dgm:cxn modelId="{B02192D6-7582-48B2-B6BF-5BEB4B1CDF08}" type="presOf" srcId="{57D7CE9D-0978-4AFB-B6D9-BCD3CA2229EB}" destId="{FB32740C-8DC2-426F-B031-E2272990E064}" srcOrd="0" destOrd="0" presId="urn:microsoft.com/office/officeart/2008/layout/NameandTitleOrganizationalChart"/>
    <dgm:cxn modelId="{24FA73D7-ECBD-4E00-B54F-BC6F687C5323}" type="presOf" srcId="{09CC62A3-5469-49FC-A786-F060E682E2A5}" destId="{BD64303B-418F-4467-8678-A550E1FE6CB5}" srcOrd="1" destOrd="0" presId="urn:microsoft.com/office/officeart/2008/layout/NameandTitleOrganizationalChart"/>
    <dgm:cxn modelId="{AF5B6ED8-53E5-4DFE-9B0E-8952E0B1BABE}" type="presOf" srcId="{08DCC231-4CB5-4305-AB18-81EFFFD7E18E}" destId="{2CC094A4-FC30-4755-9A37-42497A83813E}" srcOrd="1" destOrd="0" presId="urn:microsoft.com/office/officeart/2008/layout/NameandTitleOrganizationalChart"/>
    <dgm:cxn modelId="{4CF813DB-32F4-4852-A027-9748A13E3BBC}" type="presOf" srcId="{F540E5BF-A929-44AD-837D-0ACB1AC173F6}" destId="{85B92009-2DE0-41D1-89F9-862A29C03431}" srcOrd="0" destOrd="0" presId="urn:microsoft.com/office/officeart/2008/layout/NameandTitleOrganizationalChart"/>
    <dgm:cxn modelId="{D5BAB8DB-A4F7-4319-9F9C-E875D8BFEA00}" type="presOf" srcId="{C63FB8A5-EF3F-4DC2-9111-14E814F65315}" destId="{A98A12A0-375D-4106-ABCD-865408F0FABC}" srcOrd="0" destOrd="0" presId="urn:microsoft.com/office/officeart/2008/layout/NameandTitleOrganizationalChart"/>
    <dgm:cxn modelId="{546561DE-AA7D-4EB0-B3C5-BEC0BFB26A9F}" type="presOf" srcId="{78BD750B-AA95-4DA8-8000-88F315A536B5}" destId="{11479A7A-F6B0-4568-97AA-570024CA2197}" srcOrd="0" destOrd="0" presId="urn:microsoft.com/office/officeart/2008/layout/NameandTitleOrganizationalChart"/>
    <dgm:cxn modelId="{9DDEF4DE-A03D-4A8C-B51C-60E55D79295E}" srcId="{7FB4D978-75F0-457D-88FA-4A078F33AEDF}" destId="{08DCC231-4CB5-4305-AB18-81EFFFD7E18E}" srcOrd="0" destOrd="0" parTransId="{BCDC6BB2-D5AD-4985-8CB2-4A846B30E98E}" sibTransId="{0C80C866-8B19-408C-A8BA-D463EAE70F26}"/>
    <dgm:cxn modelId="{8B8D84E8-92E4-40EE-AC7F-9055DAC1846F}" srcId="{CCEABBB7-338B-47E0-BEFB-7E66639CFF61}" destId="{4A4ECE11-8B25-491E-81AA-E9C9D7A60188}" srcOrd="3" destOrd="0" parTransId="{968A20AC-F9E8-486A-8D1F-FE3EA8E9C0C1}" sibTransId="{9F02490B-11CB-4931-994B-A6D8AB8E004F}"/>
    <dgm:cxn modelId="{69A486E9-B3AC-4269-AAD7-DCD746DD3571}" type="presOf" srcId="{E320A9B7-6569-409D-A82B-C9F6BFD17056}" destId="{93FA6051-FADD-4579-9358-13C4D29000B6}" srcOrd="1" destOrd="0" presId="urn:microsoft.com/office/officeart/2008/layout/NameandTitleOrganizationalChart"/>
    <dgm:cxn modelId="{6EB5DBE9-B4AB-41ED-A79B-3E43F658737C}" type="presOf" srcId="{2330FBD9-58D9-405B-AFA1-3D360C274410}" destId="{F1ADF4D2-5BD1-4B1C-986D-BEFB19ED6475}" srcOrd="0" destOrd="0" presId="urn:microsoft.com/office/officeart/2008/layout/NameandTitleOrganizationalChart"/>
    <dgm:cxn modelId="{741768EB-F918-4917-B869-BFA82750F938}" srcId="{859BA693-07BB-4A81-93C9-BE4A6808C33D}" destId="{26955D44-124D-4394-BCE8-BF162D14CE72}" srcOrd="0" destOrd="0" parTransId="{F0095F64-C77B-462D-BB94-A13769B260D6}" sibTransId="{CD8A941D-FD13-4CC7-A213-A6574E391FE9}"/>
    <dgm:cxn modelId="{AA72BDEB-353C-4067-B231-C49796D3B5A3}" type="presOf" srcId="{D4737680-E48A-4B8D-9C67-C69F9FCC7FB6}" destId="{2E0D561D-EF1C-4E03-8586-7217D3A1BA85}" srcOrd="0" destOrd="0" presId="urn:microsoft.com/office/officeart/2008/layout/NameandTitleOrganizationalChart"/>
    <dgm:cxn modelId="{276BC2EB-C1CC-4AF5-BB8D-367006F6AD0D}" type="presOf" srcId="{356F1E70-7280-4D9A-98C3-6DF913ADC682}" destId="{B90A13A0-98BD-41B8-9100-A41547601D22}" srcOrd="0" destOrd="0" presId="urn:microsoft.com/office/officeart/2008/layout/NameandTitleOrganizationalChart"/>
    <dgm:cxn modelId="{6846B7EC-48D8-43FB-A645-723D634FC1EC}" type="presOf" srcId="{79F40210-A64B-4E7E-AA0D-B96EC8AB1394}" destId="{F4D0F44D-12FD-4BFA-8D70-F7C6F3908375}" srcOrd="0" destOrd="0" presId="urn:microsoft.com/office/officeart/2008/layout/NameandTitleOrganizationalChart"/>
    <dgm:cxn modelId="{7BF495ED-2E01-4244-A585-CC277A75C921}" type="presOf" srcId="{D4331A8D-33A8-41AB-9ED7-DBB4FAF8DAFF}" destId="{538E41C0-FA0A-4FCA-8A8B-7F21F92A66FD}" srcOrd="0" destOrd="0" presId="urn:microsoft.com/office/officeart/2008/layout/NameandTitleOrganizationalChart"/>
    <dgm:cxn modelId="{A3889BED-57E6-4190-947E-FD4233E169B0}" srcId="{1A569E30-937F-4904-88CA-1C8DD51AF791}" destId="{EDDD2953-7192-4A21-8C8D-2D068F8C3333}" srcOrd="0" destOrd="0" parTransId="{87774D7B-42AC-4832-8762-24360B4FABFF}" sibTransId="{2330FBD9-58D9-405B-AFA1-3D360C274410}"/>
    <dgm:cxn modelId="{CEE31AEE-FEF0-4BAA-905B-40E5D6933ED3}" type="presOf" srcId="{C50BEEDE-DCCE-4DF3-8F66-2B42730046B1}" destId="{03B90242-3A34-42ED-8B7E-9D6782457C18}" srcOrd="0" destOrd="0" presId="urn:microsoft.com/office/officeart/2008/layout/NameandTitleOrganizationalChart"/>
    <dgm:cxn modelId="{740E81EE-CE78-4510-9347-A2A88C91CE7C}" type="presOf" srcId="{361F6CE2-3FF8-4B58-A536-E5A8AB32CF5B}" destId="{3FB522F5-052C-4160-972A-53900489EEC1}" srcOrd="1" destOrd="0" presId="urn:microsoft.com/office/officeart/2008/layout/NameandTitleOrganizationalChart"/>
    <dgm:cxn modelId="{3573C5EE-960A-4B5E-A79A-4CD9A16E6293}" srcId="{CCEABBB7-338B-47E0-BEFB-7E66639CFF61}" destId="{E384D70C-225E-4709-BA1C-B5D68B155C5C}" srcOrd="1" destOrd="0" parTransId="{6D40DF44-2BEC-4F94-9A4A-9971C23408F6}" sibTransId="{D6030610-5741-46D9-A768-E77D43E6BAE4}"/>
    <dgm:cxn modelId="{1BF7CAEE-FCBA-491E-B79A-9CA74EBF1F0E}" type="presOf" srcId="{45DAD5B0-645F-4E87-8451-5B9D17DC113D}" destId="{DAA10A89-274A-46C3-823E-AE3B00B8A417}" srcOrd="0" destOrd="0" presId="urn:microsoft.com/office/officeart/2008/layout/NameandTitleOrganizationalChart"/>
    <dgm:cxn modelId="{F213E7EE-B5BA-4F8D-B589-A43D3CD0A9C3}" type="presOf" srcId="{13023F3E-BBF3-4FF4-A7C1-4A0B6BAF3A29}" destId="{AD199797-2A6C-4922-8622-4AA2D9D96060}" srcOrd="1" destOrd="0" presId="urn:microsoft.com/office/officeart/2008/layout/NameandTitleOrganizationalChart"/>
    <dgm:cxn modelId="{8A8CD5EF-D1B4-47D6-8DB7-62AE837FC3F0}" type="presOf" srcId="{F93F2BB2-C1A3-4CA8-A9B9-7E0A9D0F9E7D}" destId="{DED1B4A9-A09B-463D-9097-C9D780CBCEB5}" srcOrd="0" destOrd="0" presId="urn:microsoft.com/office/officeart/2008/layout/NameandTitleOrganizationalChart"/>
    <dgm:cxn modelId="{A8F645F1-C7BB-42CC-8C39-06D7004DBB00}" type="presOf" srcId="{CCEABBB7-338B-47E0-BEFB-7E66639CFF61}" destId="{3AAB482F-932F-42CC-844D-3D7DB6733225}" srcOrd="1" destOrd="0" presId="urn:microsoft.com/office/officeart/2008/layout/NameandTitleOrganizationalChart"/>
    <dgm:cxn modelId="{F427B4F1-FE0C-404A-A796-3FB3BC7D5255}" type="presOf" srcId="{1BFF86D9-5F2A-42D6-A1C2-8D7358A082E0}" destId="{0FD57CB8-FF3E-4DB9-BA9D-377D67E7AC78}" srcOrd="0" destOrd="0" presId="urn:microsoft.com/office/officeart/2008/layout/NameandTitleOrganizationalChart"/>
    <dgm:cxn modelId="{96EDCCF1-9917-4846-876A-C64AF6E426EB}" type="presOf" srcId="{F3FEAFBF-5091-4BC8-A49A-19A086608B90}" destId="{AB3696F1-3526-4C4D-924D-F80780FF4F0C}" srcOrd="0" destOrd="0" presId="urn:microsoft.com/office/officeart/2008/layout/NameandTitleOrganizationalChart"/>
    <dgm:cxn modelId="{57F19CF4-7335-4AF4-864A-3E58426AFD37}" type="presOf" srcId="{FE37289A-17F0-4F4A-A0B5-5B32E6BD32D1}" destId="{85E3B735-7102-43A0-A1E9-066BD01A6E5C}" srcOrd="0" destOrd="0" presId="urn:microsoft.com/office/officeart/2008/layout/NameandTitleOrganizationalChart"/>
    <dgm:cxn modelId="{2D5F26FB-B27D-4489-8B01-43CB49577DA5}" srcId="{9CB0D02B-297D-45D8-9A74-8B2722D21446}" destId="{27A2630D-98F2-4614-BC91-D5D085DE0B41}" srcOrd="0" destOrd="0" parTransId="{D4331A8D-33A8-41AB-9ED7-DBB4FAF8DAFF}" sibTransId="{8B39EF6A-E7FE-4CE5-9005-FC4EC17ED67D}"/>
    <dgm:cxn modelId="{5607A4FB-0537-45D2-B15C-76BB80174122}" type="presOf" srcId="{951FDA6A-3ABA-458A-8918-2A31B60F12EE}" destId="{BB5B700F-496F-45E0-9351-B2DF026C420E}" srcOrd="0" destOrd="0" presId="urn:microsoft.com/office/officeart/2008/layout/NameandTitleOrganizationalChart"/>
    <dgm:cxn modelId="{AD8DBCFC-5B86-443C-B258-D31366592292}" srcId="{47C39484-004A-4B1B-AFEB-A10AF893B4B7}" destId="{356F1E70-7280-4D9A-98C3-6DF913ADC682}" srcOrd="1" destOrd="0" parTransId="{E4319104-1B95-45B9-85D4-9B14C9DDA4E1}" sibTransId="{0600A3E2-6162-41AE-A0CB-551CB60E1EA2}"/>
    <dgm:cxn modelId="{DE8456FD-1412-4324-B958-9ACC370751C7}" type="presOf" srcId="{769C65BC-A8BD-4DCC-BE4D-60D934746620}" destId="{3C264107-59F7-46E0-852A-C7DE39952C9D}" srcOrd="0" destOrd="0" presId="urn:microsoft.com/office/officeart/2008/layout/NameandTitleOrganizationalChart"/>
    <dgm:cxn modelId="{FBB5AAFE-AD25-427C-B375-25C5DAD5BE29}" type="presOf" srcId="{1A569E30-937F-4904-88CA-1C8DD51AF791}" destId="{4B35F7F9-45F9-459A-B5F2-1F7BB7C154DB}" srcOrd="0" destOrd="0" presId="urn:microsoft.com/office/officeart/2008/layout/NameandTitleOrganizationalChart"/>
    <dgm:cxn modelId="{CE7FA2FF-E4E4-48DA-BD1A-493109497013}" type="presOf" srcId="{0B02EA63-5F31-479C-87BA-8D3DC261E73B}" destId="{CA60510E-A1CB-4948-A061-117DBE5AEC08}" srcOrd="0" destOrd="0" presId="urn:microsoft.com/office/officeart/2008/layout/NameandTitleOrganizationalChart"/>
    <dgm:cxn modelId="{8E38DBFF-5CB3-4731-8F14-8B3B6AAEE3C1}" type="presOf" srcId="{1E2C769F-3062-46DA-8D46-94B6834F4EC8}" destId="{42A42D91-ED5F-47F4-98B3-6CD3C724CB23}" srcOrd="0" destOrd="0" presId="urn:microsoft.com/office/officeart/2008/layout/NameandTitleOrganizationalChart"/>
    <dgm:cxn modelId="{B5F4E67F-9059-4187-B4C4-7C9510E0A56F}" type="presParOf" srcId="{FCA95584-C290-4366-9667-7EBFECCE6578}" destId="{906B4734-EFAA-463B-A796-C9A7BB211290}" srcOrd="0" destOrd="0" presId="urn:microsoft.com/office/officeart/2008/layout/NameandTitleOrganizationalChart"/>
    <dgm:cxn modelId="{2478E10D-3B9C-4596-9EA8-BDEB50A9FF8F}" type="presParOf" srcId="{906B4734-EFAA-463B-A796-C9A7BB211290}" destId="{CC2501C2-D14F-417E-BE63-CD5F717E0F59}" srcOrd="0" destOrd="0" presId="urn:microsoft.com/office/officeart/2008/layout/NameandTitleOrganizationalChart"/>
    <dgm:cxn modelId="{0547CED2-6D14-4F71-81D4-B212C9D1A0A0}" type="presParOf" srcId="{CC2501C2-D14F-417E-BE63-CD5F717E0F59}" destId="{9CB627A4-2C01-467D-9E2F-FFFEA7E2E616}" srcOrd="0" destOrd="0" presId="urn:microsoft.com/office/officeart/2008/layout/NameandTitleOrganizationalChart"/>
    <dgm:cxn modelId="{385E2680-0681-48F3-B382-EC52A72DF9A4}" type="presParOf" srcId="{CC2501C2-D14F-417E-BE63-CD5F717E0F59}" destId="{497F8702-6EA2-457B-A3A7-61F56827C5DD}" srcOrd="1" destOrd="0" presId="urn:microsoft.com/office/officeart/2008/layout/NameandTitleOrganizationalChart"/>
    <dgm:cxn modelId="{D3A211E3-CBE0-453E-B5E9-965391A38E52}" type="presParOf" srcId="{CC2501C2-D14F-417E-BE63-CD5F717E0F59}" destId="{2FCF7492-5D7A-40B6-B34F-0E243A7756A9}" srcOrd="2" destOrd="0" presId="urn:microsoft.com/office/officeart/2008/layout/NameandTitleOrganizationalChart"/>
    <dgm:cxn modelId="{F2A51068-37EA-48D0-91BC-B1F900B06F54}" type="presParOf" srcId="{906B4734-EFAA-463B-A796-C9A7BB211290}" destId="{C718AD6A-FDF4-4DFE-B639-235A92E0D1E5}" srcOrd="1" destOrd="0" presId="urn:microsoft.com/office/officeart/2008/layout/NameandTitleOrganizationalChart"/>
    <dgm:cxn modelId="{45D82275-B248-4662-9D68-698B33B668D0}" type="presParOf" srcId="{C718AD6A-FDF4-4DFE-B639-235A92E0D1E5}" destId="{FCD91427-577B-441A-8166-134B6937CF4D}" srcOrd="0" destOrd="0" presId="urn:microsoft.com/office/officeart/2008/layout/NameandTitleOrganizationalChart"/>
    <dgm:cxn modelId="{C83FDA1E-CCD6-4101-9EBC-CADA1A19F29D}" type="presParOf" srcId="{C718AD6A-FDF4-4DFE-B639-235A92E0D1E5}" destId="{B259CDD6-BBBB-468C-8D15-DA13015CC27C}" srcOrd="1" destOrd="0" presId="urn:microsoft.com/office/officeart/2008/layout/NameandTitleOrganizationalChart"/>
    <dgm:cxn modelId="{DE5195FA-66C0-4F94-AEA0-18424BB0E768}" type="presParOf" srcId="{B259CDD6-BBBB-468C-8D15-DA13015CC27C}" destId="{25C6C877-07BB-4E58-9E7F-F360623E193C}" srcOrd="0" destOrd="0" presId="urn:microsoft.com/office/officeart/2008/layout/NameandTitleOrganizationalChart"/>
    <dgm:cxn modelId="{F90CCF3B-0776-4EA7-8ABD-1E723F2D37E9}" type="presParOf" srcId="{25C6C877-07BB-4E58-9E7F-F360623E193C}" destId="{998ED5B5-C615-4F9E-8587-33B954BC6870}" srcOrd="0" destOrd="0" presId="urn:microsoft.com/office/officeart/2008/layout/NameandTitleOrganizationalChart"/>
    <dgm:cxn modelId="{C7A7A699-42E5-42E7-921C-CF3A8119D949}" type="presParOf" srcId="{25C6C877-07BB-4E58-9E7F-F360623E193C}" destId="{AB3696F1-3526-4C4D-924D-F80780FF4F0C}" srcOrd="1" destOrd="0" presId="urn:microsoft.com/office/officeart/2008/layout/NameandTitleOrganizationalChart"/>
    <dgm:cxn modelId="{91F48AE8-5FEE-45D0-98BF-6E1A0B0F728A}" type="presParOf" srcId="{25C6C877-07BB-4E58-9E7F-F360623E193C}" destId="{DBAB87C3-56C5-4735-9266-2E2EB7CB8D9A}" srcOrd="2" destOrd="0" presId="urn:microsoft.com/office/officeart/2008/layout/NameandTitleOrganizationalChart"/>
    <dgm:cxn modelId="{5B4BCFD1-58EF-431A-BDAE-D6DCC06E572C}" type="presParOf" srcId="{B259CDD6-BBBB-468C-8D15-DA13015CC27C}" destId="{8C26EA3C-4D37-4D8B-B26C-B92D36E7C656}" srcOrd="1" destOrd="0" presId="urn:microsoft.com/office/officeart/2008/layout/NameandTitleOrganizationalChart"/>
    <dgm:cxn modelId="{B76CBDAF-122F-4B19-AFCC-1E1500734011}" type="presParOf" srcId="{8C26EA3C-4D37-4D8B-B26C-B92D36E7C656}" destId="{14E72DE9-77E0-4F43-9A65-A6DC12A9FBD5}" srcOrd="0" destOrd="0" presId="urn:microsoft.com/office/officeart/2008/layout/NameandTitleOrganizationalChart"/>
    <dgm:cxn modelId="{9E9DAEB9-D270-40A5-8383-FEEC1DF9B296}" type="presParOf" srcId="{8C26EA3C-4D37-4D8B-B26C-B92D36E7C656}" destId="{106D0C8F-16A6-4D26-A9AB-55503422760F}" srcOrd="1" destOrd="0" presId="urn:microsoft.com/office/officeart/2008/layout/NameandTitleOrganizationalChart"/>
    <dgm:cxn modelId="{ACE3C2A5-2440-450C-B76C-DDFCC273309E}" type="presParOf" srcId="{106D0C8F-16A6-4D26-A9AB-55503422760F}" destId="{4062BA55-6A1A-45B9-BC1B-5EBDFC96A696}" srcOrd="0" destOrd="0" presId="urn:microsoft.com/office/officeart/2008/layout/NameandTitleOrganizationalChart"/>
    <dgm:cxn modelId="{A2F6A7F7-9EB9-4030-92D7-FF9ADDDCBA90}" type="presParOf" srcId="{4062BA55-6A1A-45B9-BC1B-5EBDFC96A696}" destId="{EB0CFA4B-190D-468F-BA87-622AC9D67C24}" srcOrd="0" destOrd="0" presId="urn:microsoft.com/office/officeart/2008/layout/NameandTitleOrganizationalChart"/>
    <dgm:cxn modelId="{1FB0BBB7-FD4E-4C34-A9B6-2714E5AD552E}" type="presParOf" srcId="{4062BA55-6A1A-45B9-BC1B-5EBDFC96A696}" destId="{FD2C1B63-12C7-44D5-B35D-2DC830D2B419}" srcOrd="1" destOrd="0" presId="urn:microsoft.com/office/officeart/2008/layout/NameandTitleOrganizationalChart"/>
    <dgm:cxn modelId="{E4C05AE4-7ED9-4635-9723-5B69DFCD9FD6}" type="presParOf" srcId="{4062BA55-6A1A-45B9-BC1B-5EBDFC96A696}" destId="{F74C3DC8-C63E-412B-ABEF-871CDA31BCFF}" srcOrd="2" destOrd="0" presId="urn:microsoft.com/office/officeart/2008/layout/NameandTitleOrganizationalChart"/>
    <dgm:cxn modelId="{B131EDDB-9FB7-45DD-9DC3-04CEDDB9D5DD}" type="presParOf" srcId="{106D0C8F-16A6-4D26-A9AB-55503422760F}" destId="{7835C65C-1263-4F3E-8D20-E822CA4296A8}" srcOrd="1" destOrd="0" presId="urn:microsoft.com/office/officeart/2008/layout/NameandTitleOrganizationalChart"/>
    <dgm:cxn modelId="{5939FCF5-2F84-464E-9234-93AC1D0D49E7}" type="presParOf" srcId="{7835C65C-1263-4F3E-8D20-E822CA4296A8}" destId="{E6DC135A-6F27-4425-9A37-B7E67CEB6DB1}" srcOrd="0" destOrd="0" presId="urn:microsoft.com/office/officeart/2008/layout/NameandTitleOrganizationalChart"/>
    <dgm:cxn modelId="{08F106E1-9F60-4680-A021-74DFB4759ECC}" type="presParOf" srcId="{7835C65C-1263-4F3E-8D20-E822CA4296A8}" destId="{9B4AAAFB-5E89-4F80-A540-38EF8A59C91E}" srcOrd="1" destOrd="0" presId="urn:microsoft.com/office/officeart/2008/layout/NameandTitleOrganizationalChart"/>
    <dgm:cxn modelId="{B8BCD99F-D258-40EB-88CE-DE49E872B212}" type="presParOf" srcId="{9B4AAAFB-5E89-4F80-A540-38EF8A59C91E}" destId="{F1268B51-0EBB-47AA-AEA1-84ABABB5BC1B}" srcOrd="0" destOrd="0" presId="urn:microsoft.com/office/officeart/2008/layout/NameandTitleOrganizationalChart"/>
    <dgm:cxn modelId="{38756FF8-FBB5-4D11-B019-FB8C25ED9D07}" type="presParOf" srcId="{F1268B51-0EBB-47AA-AEA1-84ABABB5BC1B}" destId="{DEA1CC30-36FD-43BC-A88E-53406C1EF371}" srcOrd="0" destOrd="0" presId="urn:microsoft.com/office/officeart/2008/layout/NameandTitleOrganizationalChart"/>
    <dgm:cxn modelId="{B3A9184C-BF7B-4287-8709-5F08DB384C09}" type="presParOf" srcId="{F1268B51-0EBB-47AA-AEA1-84ABABB5BC1B}" destId="{388E1053-73E6-4237-90F0-BBF595B7573C}" srcOrd="1" destOrd="0" presId="urn:microsoft.com/office/officeart/2008/layout/NameandTitleOrganizationalChart"/>
    <dgm:cxn modelId="{059D07C6-6834-4AB4-BD06-D3541A7E4303}" type="presParOf" srcId="{F1268B51-0EBB-47AA-AEA1-84ABABB5BC1B}" destId="{2CC094A4-FC30-4755-9A37-42497A83813E}" srcOrd="2" destOrd="0" presId="urn:microsoft.com/office/officeart/2008/layout/NameandTitleOrganizationalChart"/>
    <dgm:cxn modelId="{AFF7A229-8AA1-488C-85AD-9CC4954C615A}" type="presParOf" srcId="{9B4AAAFB-5E89-4F80-A540-38EF8A59C91E}" destId="{AE2DE5D9-B534-4DD8-B238-3B51E6C4937E}" srcOrd="1" destOrd="0" presId="urn:microsoft.com/office/officeart/2008/layout/NameandTitleOrganizationalChart"/>
    <dgm:cxn modelId="{144FC557-FE27-433D-A766-17F1B14AE88A}" type="presParOf" srcId="{9B4AAAFB-5E89-4F80-A540-38EF8A59C91E}" destId="{902B0D8B-4FF7-4CC5-8639-8184A0B85AC8}" srcOrd="2" destOrd="0" presId="urn:microsoft.com/office/officeart/2008/layout/NameandTitleOrganizationalChart"/>
    <dgm:cxn modelId="{DAEE9201-F015-4640-8632-30C41C7375B9}" type="presParOf" srcId="{7835C65C-1263-4F3E-8D20-E822CA4296A8}" destId="{20E7F154-9C15-4CD6-BC79-681E2BD54E49}" srcOrd="2" destOrd="0" presId="urn:microsoft.com/office/officeart/2008/layout/NameandTitleOrganizationalChart"/>
    <dgm:cxn modelId="{12FC666D-CE4E-4338-8DA2-A6D9DF19A44B}" type="presParOf" srcId="{7835C65C-1263-4F3E-8D20-E822CA4296A8}" destId="{3FC50FB5-1CA5-47C7-9448-9496CEEADA5B}" srcOrd="3" destOrd="0" presId="urn:microsoft.com/office/officeart/2008/layout/NameandTitleOrganizationalChart"/>
    <dgm:cxn modelId="{738A5145-FDD4-4529-AAB2-1F543AA58E3E}" type="presParOf" srcId="{3FC50FB5-1CA5-47C7-9448-9496CEEADA5B}" destId="{2F953524-D4DB-4C38-AB8A-D16B2B4F5A0D}" srcOrd="0" destOrd="0" presId="urn:microsoft.com/office/officeart/2008/layout/NameandTitleOrganizationalChart"/>
    <dgm:cxn modelId="{629403E7-B4B9-4B3F-9BCA-BB144D7E9088}" type="presParOf" srcId="{2F953524-D4DB-4C38-AB8A-D16B2B4F5A0D}" destId="{A98A12A0-375D-4106-ABCD-865408F0FABC}" srcOrd="0" destOrd="0" presId="urn:microsoft.com/office/officeart/2008/layout/NameandTitleOrganizationalChart"/>
    <dgm:cxn modelId="{3A8A9632-F426-404E-912D-B25A58BFDFCE}" type="presParOf" srcId="{2F953524-D4DB-4C38-AB8A-D16B2B4F5A0D}" destId="{AEBDC091-F9F7-462C-AE0C-3B1BA757064D}" srcOrd="1" destOrd="0" presId="urn:microsoft.com/office/officeart/2008/layout/NameandTitleOrganizationalChart"/>
    <dgm:cxn modelId="{C03C1B28-1AF3-4D2C-8A30-3130B0A11C17}" type="presParOf" srcId="{2F953524-D4DB-4C38-AB8A-D16B2B4F5A0D}" destId="{D73D8E52-94A4-44C0-9B44-4E3B72A7DFE9}" srcOrd="2" destOrd="0" presId="urn:microsoft.com/office/officeart/2008/layout/NameandTitleOrganizationalChart"/>
    <dgm:cxn modelId="{B031FC63-784B-40E5-8300-99FD474275AB}" type="presParOf" srcId="{3FC50FB5-1CA5-47C7-9448-9496CEEADA5B}" destId="{9DD77825-40EA-4D41-A8FB-30A926C91B8E}" srcOrd="1" destOrd="0" presId="urn:microsoft.com/office/officeart/2008/layout/NameandTitleOrganizationalChart"/>
    <dgm:cxn modelId="{7341EAA5-3182-430D-8F00-7B25A7F3BEB8}" type="presParOf" srcId="{3FC50FB5-1CA5-47C7-9448-9496CEEADA5B}" destId="{081D69EA-2C35-4468-8648-69A46A04DDDC}" srcOrd="2" destOrd="0" presId="urn:microsoft.com/office/officeart/2008/layout/NameandTitleOrganizationalChart"/>
    <dgm:cxn modelId="{8770A6E4-2039-4E5A-B6BB-9E54002A08C7}" type="presParOf" srcId="{7835C65C-1263-4F3E-8D20-E822CA4296A8}" destId="{EDD6DA7A-A100-4C22-9A9B-3DE29D7B3ACD}" srcOrd="4" destOrd="0" presId="urn:microsoft.com/office/officeart/2008/layout/NameandTitleOrganizationalChart"/>
    <dgm:cxn modelId="{54744F07-966B-4254-805E-93DA24076731}" type="presParOf" srcId="{7835C65C-1263-4F3E-8D20-E822CA4296A8}" destId="{24F5B1F8-5287-42C0-975C-39FE2E3B36E9}" srcOrd="5" destOrd="0" presId="urn:microsoft.com/office/officeart/2008/layout/NameandTitleOrganizationalChart"/>
    <dgm:cxn modelId="{8C6FEEE8-21AF-4B74-8E4A-F04C6ECF183B}" type="presParOf" srcId="{24F5B1F8-5287-42C0-975C-39FE2E3B36E9}" destId="{33EA0CBC-CE13-4142-8B92-2FF60B7663A9}" srcOrd="0" destOrd="0" presId="urn:microsoft.com/office/officeart/2008/layout/NameandTitleOrganizationalChart"/>
    <dgm:cxn modelId="{43B2DB5E-131F-44C4-B45B-47A458510998}" type="presParOf" srcId="{33EA0CBC-CE13-4142-8B92-2FF60B7663A9}" destId="{3B334248-BAB9-42CA-9871-E261EB326B22}" srcOrd="0" destOrd="0" presId="urn:microsoft.com/office/officeart/2008/layout/NameandTitleOrganizationalChart"/>
    <dgm:cxn modelId="{E7D3E0B1-77B8-4F15-8427-8C525AA9CF65}" type="presParOf" srcId="{33EA0CBC-CE13-4142-8B92-2FF60B7663A9}" destId="{D2AFCE57-00AC-4173-BE7C-DED0062BD73A}" srcOrd="1" destOrd="0" presId="urn:microsoft.com/office/officeart/2008/layout/NameandTitleOrganizationalChart"/>
    <dgm:cxn modelId="{D113B898-C243-4FD5-BAD4-CCFE25AFFAF6}" type="presParOf" srcId="{33EA0CBC-CE13-4142-8B92-2FF60B7663A9}" destId="{9845632A-96DB-4016-8EF3-6E9E9E37DDA4}" srcOrd="2" destOrd="0" presId="urn:microsoft.com/office/officeart/2008/layout/NameandTitleOrganizationalChart"/>
    <dgm:cxn modelId="{C9E56483-5221-4F38-BE6A-365813BE4D42}" type="presParOf" srcId="{24F5B1F8-5287-42C0-975C-39FE2E3B36E9}" destId="{E9DEFBE3-3EB2-4A8F-8290-2BDDF75E9C95}" srcOrd="1" destOrd="0" presId="urn:microsoft.com/office/officeart/2008/layout/NameandTitleOrganizationalChart"/>
    <dgm:cxn modelId="{3197E7A1-B9C1-47C8-9629-1ADB6A918666}" type="presParOf" srcId="{24F5B1F8-5287-42C0-975C-39FE2E3B36E9}" destId="{44FE56F0-9D5D-48CF-9ABA-489992301492}" srcOrd="2" destOrd="0" presId="urn:microsoft.com/office/officeart/2008/layout/NameandTitleOrganizationalChart"/>
    <dgm:cxn modelId="{9F351087-0652-4432-8027-97634BDBC159}" type="presParOf" srcId="{7835C65C-1263-4F3E-8D20-E822CA4296A8}" destId="{7D5D5120-7A69-4946-89D1-F27086829D97}" srcOrd="6" destOrd="0" presId="urn:microsoft.com/office/officeart/2008/layout/NameandTitleOrganizationalChart"/>
    <dgm:cxn modelId="{15961E93-DA87-4857-89DD-176C163F209C}" type="presParOf" srcId="{7835C65C-1263-4F3E-8D20-E822CA4296A8}" destId="{AACF44D8-8BC7-457C-8111-75E4B6B350B2}" srcOrd="7" destOrd="0" presId="urn:microsoft.com/office/officeart/2008/layout/NameandTitleOrganizationalChart"/>
    <dgm:cxn modelId="{D812C58C-FDE4-4DEA-BD9A-AFEEFC923CC7}" type="presParOf" srcId="{AACF44D8-8BC7-457C-8111-75E4B6B350B2}" destId="{B0984738-EA56-4036-9002-98CDB0829B27}" srcOrd="0" destOrd="0" presId="urn:microsoft.com/office/officeart/2008/layout/NameandTitleOrganizationalChart"/>
    <dgm:cxn modelId="{8E3D31B8-4DFE-4A26-A030-C0E03CFBB43E}" type="presParOf" srcId="{B0984738-EA56-4036-9002-98CDB0829B27}" destId="{3D027C5F-090F-4E8F-AE5E-A815B0C02A94}" srcOrd="0" destOrd="0" presId="urn:microsoft.com/office/officeart/2008/layout/NameandTitleOrganizationalChart"/>
    <dgm:cxn modelId="{AC55F371-01EC-4274-B1D6-DCE5F7080AFE}" type="presParOf" srcId="{B0984738-EA56-4036-9002-98CDB0829B27}" destId="{54A59613-1B04-48F2-9981-764D08BC337A}" srcOrd="1" destOrd="0" presId="urn:microsoft.com/office/officeart/2008/layout/NameandTitleOrganizationalChart"/>
    <dgm:cxn modelId="{8767B46A-427D-4250-A5E9-C36C5375532A}" type="presParOf" srcId="{B0984738-EA56-4036-9002-98CDB0829B27}" destId="{DC252E6D-89A2-4203-A634-555151787A5C}" srcOrd="2" destOrd="0" presId="urn:microsoft.com/office/officeart/2008/layout/NameandTitleOrganizationalChart"/>
    <dgm:cxn modelId="{F9356F10-F783-4A35-8726-F29408A7D3E2}" type="presParOf" srcId="{AACF44D8-8BC7-457C-8111-75E4B6B350B2}" destId="{ED8349DF-2CB7-4AE1-AEAF-B34F01029C95}" srcOrd="1" destOrd="0" presId="urn:microsoft.com/office/officeart/2008/layout/NameandTitleOrganizationalChart"/>
    <dgm:cxn modelId="{C494F166-799C-464E-BE61-541ADF4489C1}" type="presParOf" srcId="{AACF44D8-8BC7-457C-8111-75E4B6B350B2}" destId="{1F2B96C7-9BE3-47D8-804A-045C2FD8F4A3}" srcOrd="2" destOrd="0" presId="urn:microsoft.com/office/officeart/2008/layout/NameandTitleOrganizationalChart"/>
    <dgm:cxn modelId="{46F581D3-3BF6-472A-AC7E-9CC333AB76F1}" type="presParOf" srcId="{7835C65C-1263-4F3E-8D20-E822CA4296A8}" destId="{FB32740C-8DC2-426F-B031-E2272990E064}" srcOrd="8" destOrd="0" presId="urn:microsoft.com/office/officeart/2008/layout/NameandTitleOrganizationalChart"/>
    <dgm:cxn modelId="{421ACFE1-B5EC-4BC8-A22F-96A49D567C2C}" type="presParOf" srcId="{7835C65C-1263-4F3E-8D20-E822CA4296A8}" destId="{9CA23D89-DAAF-4D86-9890-061A9816ED15}" srcOrd="9" destOrd="0" presId="urn:microsoft.com/office/officeart/2008/layout/NameandTitleOrganizationalChart"/>
    <dgm:cxn modelId="{25163C84-FB7A-42D8-9991-5FA2C37A4195}" type="presParOf" srcId="{9CA23D89-DAAF-4D86-9890-061A9816ED15}" destId="{90422346-D0DB-467A-AED9-D45150A5D6B4}" srcOrd="0" destOrd="0" presId="urn:microsoft.com/office/officeart/2008/layout/NameandTitleOrganizationalChart"/>
    <dgm:cxn modelId="{1199A6F3-D305-40F3-B439-D01A76CB69A2}" type="presParOf" srcId="{90422346-D0DB-467A-AED9-D45150A5D6B4}" destId="{8EE6926A-F0D8-4CB6-A2B6-C7034E7F9C30}" srcOrd="0" destOrd="0" presId="urn:microsoft.com/office/officeart/2008/layout/NameandTitleOrganizationalChart"/>
    <dgm:cxn modelId="{046A708D-1E33-4B94-8F0B-9B007D3883DA}" type="presParOf" srcId="{90422346-D0DB-467A-AED9-D45150A5D6B4}" destId="{94955614-EFFB-4FA8-B43D-F911E9710223}" srcOrd="1" destOrd="0" presId="urn:microsoft.com/office/officeart/2008/layout/NameandTitleOrganizationalChart"/>
    <dgm:cxn modelId="{48C70240-2AE7-4D91-B000-6F82C36F6C39}" type="presParOf" srcId="{90422346-D0DB-467A-AED9-D45150A5D6B4}" destId="{922C23F8-042B-41D0-8EC4-E0E680AA567F}" srcOrd="2" destOrd="0" presId="urn:microsoft.com/office/officeart/2008/layout/NameandTitleOrganizationalChart"/>
    <dgm:cxn modelId="{622F38B5-418E-415E-9738-66D73881CEC5}" type="presParOf" srcId="{9CA23D89-DAAF-4D86-9890-061A9816ED15}" destId="{D51F6A4E-F15D-4B80-8C66-5DF6C798690C}" srcOrd="1" destOrd="0" presId="urn:microsoft.com/office/officeart/2008/layout/NameandTitleOrganizationalChart"/>
    <dgm:cxn modelId="{389212B6-0166-481C-888F-1933448F8E89}" type="presParOf" srcId="{9CA23D89-DAAF-4D86-9890-061A9816ED15}" destId="{1543F621-295E-4ACE-A9D7-9CE1517E18CE}" srcOrd="2" destOrd="0" presId="urn:microsoft.com/office/officeart/2008/layout/NameandTitleOrganizationalChart"/>
    <dgm:cxn modelId="{974E8E9F-E8BD-4B33-8CCB-6B058BF02B3F}" type="presParOf" srcId="{7835C65C-1263-4F3E-8D20-E822CA4296A8}" destId="{43DFA466-0E33-4527-9089-6C6C2C5EFDF8}" srcOrd="10" destOrd="0" presId="urn:microsoft.com/office/officeart/2008/layout/NameandTitleOrganizationalChart"/>
    <dgm:cxn modelId="{0588D3E3-3519-4580-8A17-3320ADD33454}" type="presParOf" srcId="{7835C65C-1263-4F3E-8D20-E822CA4296A8}" destId="{0DBC460E-C0EE-4CA3-9674-5E7845D213A4}" srcOrd="11" destOrd="0" presId="urn:microsoft.com/office/officeart/2008/layout/NameandTitleOrganizationalChart"/>
    <dgm:cxn modelId="{93530488-AE5A-4367-909F-2EC3036AC17F}" type="presParOf" srcId="{0DBC460E-C0EE-4CA3-9674-5E7845D213A4}" destId="{92D6B303-6747-4360-B086-046852576FD9}" srcOrd="0" destOrd="0" presId="urn:microsoft.com/office/officeart/2008/layout/NameandTitleOrganizationalChart"/>
    <dgm:cxn modelId="{9BF58B01-CDBA-43E2-924B-5CA84638A4DB}" type="presParOf" srcId="{92D6B303-6747-4360-B086-046852576FD9}" destId="{0324913E-DF24-4789-B17A-5497E9E7E66D}" srcOrd="0" destOrd="0" presId="urn:microsoft.com/office/officeart/2008/layout/NameandTitleOrganizationalChart"/>
    <dgm:cxn modelId="{AB58C6D3-A9E3-4F69-884C-81A79E593277}" type="presParOf" srcId="{92D6B303-6747-4360-B086-046852576FD9}" destId="{F0907E31-8957-458E-92D9-FCA15A43F1F2}" srcOrd="1" destOrd="0" presId="urn:microsoft.com/office/officeart/2008/layout/NameandTitleOrganizationalChart"/>
    <dgm:cxn modelId="{359CDEF8-36B1-442A-8EF3-D13A42DEA53C}" type="presParOf" srcId="{92D6B303-6747-4360-B086-046852576FD9}" destId="{93FA6051-FADD-4579-9358-13C4D29000B6}" srcOrd="2" destOrd="0" presId="urn:microsoft.com/office/officeart/2008/layout/NameandTitleOrganizationalChart"/>
    <dgm:cxn modelId="{A6C79AFD-A750-49FB-AA9E-D5ECC6A6E4D9}" type="presParOf" srcId="{0DBC460E-C0EE-4CA3-9674-5E7845D213A4}" destId="{457EA18F-5933-4035-BAA4-356DAC17F9E6}" srcOrd="1" destOrd="0" presId="urn:microsoft.com/office/officeart/2008/layout/NameandTitleOrganizationalChart"/>
    <dgm:cxn modelId="{F7B66871-FA63-4BA4-9532-DBDD4BEC432A}" type="presParOf" srcId="{0DBC460E-C0EE-4CA3-9674-5E7845D213A4}" destId="{DFEEC7D9-4CEA-4A28-B0EF-8559BDF1A6CE}" srcOrd="2" destOrd="0" presId="urn:microsoft.com/office/officeart/2008/layout/NameandTitleOrganizationalChart"/>
    <dgm:cxn modelId="{461A73FC-BDD4-44DC-B763-C9CA716424ED}" type="presParOf" srcId="{7835C65C-1263-4F3E-8D20-E822CA4296A8}" destId="{85B92009-2DE0-41D1-89F9-862A29C03431}" srcOrd="12" destOrd="0" presId="urn:microsoft.com/office/officeart/2008/layout/NameandTitleOrganizationalChart"/>
    <dgm:cxn modelId="{52635204-F471-4CFF-81E0-A67B95143DA4}" type="presParOf" srcId="{7835C65C-1263-4F3E-8D20-E822CA4296A8}" destId="{AB9C5514-5EB5-4DFF-BB9C-8F80E54A7F5F}" srcOrd="13" destOrd="0" presId="urn:microsoft.com/office/officeart/2008/layout/NameandTitleOrganizationalChart"/>
    <dgm:cxn modelId="{1D42E4A7-CB32-47CA-B99D-FED655381F1A}" type="presParOf" srcId="{AB9C5514-5EB5-4DFF-BB9C-8F80E54A7F5F}" destId="{B59FFE32-A92C-4196-B714-7E7EDE1E0550}" srcOrd="0" destOrd="0" presId="urn:microsoft.com/office/officeart/2008/layout/NameandTitleOrganizationalChart"/>
    <dgm:cxn modelId="{B6D821F9-3A0F-42C7-AFD6-CD4AA74CF8C1}" type="presParOf" srcId="{B59FFE32-A92C-4196-B714-7E7EDE1E0550}" destId="{5B16D9B2-2665-4969-A326-41045BB72F81}" srcOrd="0" destOrd="0" presId="urn:microsoft.com/office/officeart/2008/layout/NameandTitleOrganizationalChart"/>
    <dgm:cxn modelId="{D35A83FD-A233-4A6D-ACC9-7332872E7373}" type="presParOf" srcId="{B59FFE32-A92C-4196-B714-7E7EDE1E0550}" destId="{C11BC66F-72F6-4BD9-93AE-C4B82F062BF0}" srcOrd="1" destOrd="0" presId="urn:microsoft.com/office/officeart/2008/layout/NameandTitleOrganizationalChart"/>
    <dgm:cxn modelId="{1A7E6BD9-A25A-4F5F-AC21-30EB965D8F57}" type="presParOf" srcId="{B59FFE32-A92C-4196-B714-7E7EDE1E0550}" destId="{BD16258B-4C8C-4A60-8962-EA6A5C5C8CDC}" srcOrd="2" destOrd="0" presId="urn:microsoft.com/office/officeart/2008/layout/NameandTitleOrganizationalChart"/>
    <dgm:cxn modelId="{7FC9FBB0-7274-4C86-ACBB-3D92EA960496}" type="presParOf" srcId="{AB9C5514-5EB5-4DFF-BB9C-8F80E54A7F5F}" destId="{9B220D42-CA84-413C-B292-4B09E85D8443}" srcOrd="1" destOrd="0" presId="urn:microsoft.com/office/officeart/2008/layout/NameandTitleOrganizationalChart"/>
    <dgm:cxn modelId="{B25571E6-0E7B-4151-88C5-5154D8C3D3F5}" type="presParOf" srcId="{AB9C5514-5EB5-4DFF-BB9C-8F80E54A7F5F}" destId="{8D1F73FA-3A3D-4D84-A61F-2A583721BBE5}" srcOrd="2" destOrd="0" presId="urn:microsoft.com/office/officeart/2008/layout/NameandTitleOrganizationalChart"/>
    <dgm:cxn modelId="{F2B8917B-1AA8-4B7D-A174-61EABC803532}" type="presParOf" srcId="{106D0C8F-16A6-4D26-A9AB-55503422760F}" destId="{9678BE81-3B11-4307-8FFC-145A0954A306}" srcOrd="2" destOrd="0" presId="urn:microsoft.com/office/officeart/2008/layout/NameandTitleOrganizationalChart"/>
    <dgm:cxn modelId="{6A0DC5C6-F7A6-4911-9CB4-FBCF26A3B406}" type="presParOf" srcId="{8C26EA3C-4D37-4D8B-B26C-B92D36E7C656}" destId="{34D1D79C-E9EC-4928-9D09-43BB4377704D}" srcOrd="2" destOrd="0" presId="urn:microsoft.com/office/officeart/2008/layout/NameandTitleOrganizationalChart"/>
    <dgm:cxn modelId="{6F83BCC2-C8C3-4AE4-A135-2E99D86940FC}" type="presParOf" srcId="{8C26EA3C-4D37-4D8B-B26C-B92D36E7C656}" destId="{B7162439-74C8-4C57-92E7-90B684979F0C}" srcOrd="3" destOrd="0" presId="urn:microsoft.com/office/officeart/2008/layout/NameandTitleOrganizationalChart"/>
    <dgm:cxn modelId="{41E49317-FD23-426E-AA82-516737C6426B}" type="presParOf" srcId="{B7162439-74C8-4C57-92E7-90B684979F0C}" destId="{FCEA05BC-B71A-493D-B8C0-068CC08B97E3}" srcOrd="0" destOrd="0" presId="urn:microsoft.com/office/officeart/2008/layout/NameandTitleOrganizationalChart"/>
    <dgm:cxn modelId="{BCE82999-84C7-4D9A-A8D9-F394F83D76E3}" type="presParOf" srcId="{FCEA05BC-B71A-493D-B8C0-068CC08B97E3}" destId="{B90A13A0-98BD-41B8-9100-A41547601D22}" srcOrd="0" destOrd="0" presId="urn:microsoft.com/office/officeart/2008/layout/NameandTitleOrganizationalChart"/>
    <dgm:cxn modelId="{09516BD6-0040-4B56-9A14-AAF7BDCCD2AA}" type="presParOf" srcId="{FCEA05BC-B71A-493D-B8C0-068CC08B97E3}" destId="{848A0AD0-6DD4-43B2-936E-7528D55AD57C}" srcOrd="1" destOrd="0" presId="urn:microsoft.com/office/officeart/2008/layout/NameandTitleOrganizationalChart"/>
    <dgm:cxn modelId="{184D6B5C-17F1-4BBB-9522-8BE145C3DBD4}" type="presParOf" srcId="{FCEA05BC-B71A-493D-B8C0-068CC08B97E3}" destId="{C875C8DA-11A4-449A-B836-A681C84AB297}" srcOrd="2" destOrd="0" presId="urn:microsoft.com/office/officeart/2008/layout/NameandTitleOrganizationalChart"/>
    <dgm:cxn modelId="{50752D8C-13A3-49EB-B906-8C7123EA0E93}" type="presParOf" srcId="{B7162439-74C8-4C57-92E7-90B684979F0C}" destId="{B4BEB3F6-C71C-4C48-B886-781CB924E6E2}" srcOrd="1" destOrd="0" presId="urn:microsoft.com/office/officeart/2008/layout/NameandTitleOrganizationalChart"/>
    <dgm:cxn modelId="{BB7C3688-F779-42C8-9B1C-74AD798E4153}" type="presParOf" srcId="{B4BEB3F6-C71C-4C48-B886-781CB924E6E2}" destId="{E119D3AC-63DD-48A0-B22C-B15A76F98514}" srcOrd="0" destOrd="0" presId="urn:microsoft.com/office/officeart/2008/layout/NameandTitleOrganizationalChart"/>
    <dgm:cxn modelId="{D788BF92-01DA-4992-9CE7-F394FDCC9BF3}" type="presParOf" srcId="{B4BEB3F6-C71C-4C48-B886-781CB924E6E2}" destId="{CA171CCC-ECD3-4DB7-97D4-440724D655DF}" srcOrd="1" destOrd="0" presId="urn:microsoft.com/office/officeart/2008/layout/NameandTitleOrganizationalChart"/>
    <dgm:cxn modelId="{D3FC81C7-80CB-4064-8838-F5FDDCCF19C2}" type="presParOf" srcId="{CA171CCC-ECD3-4DB7-97D4-440724D655DF}" destId="{A7E81884-28E1-4944-BB45-2E362622D353}" srcOrd="0" destOrd="0" presId="urn:microsoft.com/office/officeart/2008/layout/NameandTitleOrganizationalChart"/>
    <dgm:cxn modelId="{ECD70DFD-1D3D-4AE9-B3F6-9AFD11D76809}" type="presParOf" srcId="{A7E81884-28E1-4944-BB45-2E362622D353}" destId="{F4D0F44D-12FD-4BFA-8D70-F7C6F3908375}" srcOrd="0" destOrd="0" presId="urn:microsoft.com/office/officeart/2008/layout/NameandTitleOrganizationalChart"/>
    <dgm:cxn modelId="{CD820882-D357-4FFD-A0F3-1FC031BFBB62}" type="presParOf" srcId="{A7E81884-28E1-4944-BB45-2E362622D353}" destId="{AA23DE0C-5E08-40CB-92E0-0904D54AA9FB}" srcOrd="1" destOrd="0" presId="urn:microsoft.com/office/officeart/2008/layout/NameandTitleOrganizationalChart"/>
    <dgm:cxn modelId="{4612CEDC-5E60-4EBC-A7F6-6576FC4E6524}" type="presParOf" srcId="{A7E81884-28E1-4944-BB45-2E362622D353}" destId="{1163A5E8-1064-42BC-8F10-316899942129}" srcOrd="2" destOrd="0" presId="urn:microsoft.com/office/officeart/2008/layout/NameandTitleOrganizationalChart"/>
    <dgm:cxn modelId="{4963C889-AC80-4D96-B233-BEB1ADF55822}" type="presParOf" srcId="{CA171CCC-ECD3-4DB7-97D4-440724D655DF}" destId="{3C31AE86-CACD-48F0-A7CE-F2E5453EFDB2}" srcOrd="1" destOrd="0" presId="urn:microsoft.com/office/officeart/2008/layout/NameandTitleOrganizationalChart"/>
    <dgm:cxn modelId="{27CB3DB3-AAFD-4F2C-8DB8-7E08A3E508F7}" type="presParOf" srcId="{CA171CCC-ECD3-4DB7-97D4-440724D655DF}" destId="{21C8776D-BAEE-4DCC-8C8A-03B309CB3DC1}" srcOrd="2" destOrd="0" presId="urn:microsoft.com/office/officeart/2008/layout/NameandTitleOrganizationalChart"/>
    <dgm:cxn modelId="{154E46CE-6D01-4B4B-AE6F-7AC0A827F672}" type="presParOf" srcId="{B4BEB3F6-C71C-4C48-B886-781CB924E6E2}" destId="{96CDDB58-1BB9-4BE2-A1B8-7655683EDCCC}" srcOrd="2" destOrd="0" presId="urn:microsoft.com/office/officeart/2008/layout/NameandTitleOrganizationalChart"/>
    <dgm:cxn modelId="{48992885-C7D3-4FD6-956E-F466D092BC0E}" type="presParOf" srcId="{B4BEB3F6-C71C-4C48-B886-781CB924E6E2}" destId="{9BE6CCFB-7956-4A6C-9BB7-D60551C0E742}" srcOrd="3" destOrd="0" presId="urn:microsoft.com/office/officeart/2008/layout/NameandTitleOrganizationalChart"/>
    <dgm:cxn modelId="{F2839E08-233F-461B-B442-A73C04BD53AA}" type="presParOf" srcId="{9BE6CCFB-7956-4A6C-9BB7-D60551C0E742}" destId="{F0EB6C0E-EFCE-4CC9-9280-99AB47351F9B}" srcOrd="0" destOrd="0" presId="urn:microsoft.com/office/officeart/2008/layout/NameandTitleOrganizationalChart"/>
    <dgm:cxn modelId="{830A6F6E-13FD-4398-96C2-53133F7C8F57}" type="presParOf" srcId="{F0EB6C0E-EFCE-4CC9-9280-99AB47351F9B}" destId="{8C2E6AA0-A6B8-47F0-A74C-7096EE0D8B0C}" srcOrd="0" destOrd="0" presId="urn:microsoft.com/office/officeart/2008/layout/NameandTitleOrganizationalChart"/>
    <dgm:cxn modelId="{EDF86928-6EC1-44EC-9617-05C050472E50}" type="presParOf" srcId="{F0EB6C0E-EFCE-4CC9-9280-99AB47351F9B}" destId="{A0971A63-0F7A-4CC9-BA3B-5D4436355018}" srcOrd="1" destOrd="0" presId="urn:microsoft.com/office/officeart/2008/layout/NameandTitleOrganizationalChart"/>
    <dgm:cxn modelId="{1E15646E-6B7A-4DFF-8041-8EA8B8988FF1}" type="presParOf" srcId="{F0EB6C0E-EFCE-4CC9-9280-99AB47351F9B}" destId="{611AD4AE-829E-4DE8-A322-86F9B6F40668}" srcOrd="2" destOrd="0" presId="urn:microsoft.com/office/officeart/2008/layout/NameandTitleOrganizationalChart"/>
    <dgm:cxn modelId="{6C5D0CDB-110B-482D-A28F-ADB045A574BE}" type="presParOf" srcId="{9BE6CCFB-7956-4A6C-9BB7-D60551C0E742}" destId="{3DFE77D3-23E3-4E5B-A415-86C5041FA6C4}" srcOrd="1" destOrd="0" presId="urn:microsoft.com/office/officeart/2008/layout/NameandTitleOrganizationalChart"/>
    <dgm:cxn modelId="{7A3F6AD5-2593-478E-8F79-FBB801D7F3D9}" type="presParOf" srcId="{9BE6CCFB-7956-4A6C-9BB7-D60551C0E742}" destId="{924FA005-450E-4A34-B6FD-D11B14C9E01B}" srcOrd="2" destOrd="0" presId="urn:microsoft.com/office/officeart/2008/layout/NameandTitleOrganizationalChart"/>
    <dgm:cxn modelId="{056A0881-0482-4548-B479-DD9A58898BE1}" type="presParOf" srcId="{B4BEB3F6-C71C-4C48-B886-781CB924E6E2}" destId="{42A42D91-ED5F-47F4-98B3-6CD3C724CB23}" srcOrd="4" destOrd="0" presId="urn:microsoft.com/office/officeart/2008/layout/NameandTitleOrganizationalChart"/>
    <dgm:cxn modelId="{2BF09D22-53B1-44A1-BBA7-67F53A394BEE}" type="presParOf" srcId="{B4BEB3F6-C71C-4C48-B886-781CB924E6E2}" destId="{257E0715-91E8-44F4-944F-BF8043BE81DB}" srcOrd="5" destOrd="0" presId="urn:microsoft.com/office/officeart/2008/layout/NameandTitleOrganizationalChart"/>
    <dgm:cxn modelId="{620C94CE-0C91-4F24-8A49-4871B7547DB6}" type="presParOf" srcId="{257E0715-91E8-44F4-944F-BF8043BE81DB}" destId="{5E5F7880-DA8A-447E-BFA2-C66A1960843A}" srcOrd="0" destOrd="0" presId="urn:microsoft.com/office/officeart/2008/layout/NameandTitleOrganizationalChart"/>
    <dgm:cxn modelId="{797E6C62-3FC0-47CD-A59C-ED6A83B3FCE6}" type="presParOf" srcId="{5E5F7880-DA8A-447E-BFA2-C66A1960843A}" destId="{B9EC0917-8520-4865-ACE6-E26CFF0775A3}" srcOrd="0" destOrd="0" presId="urn:microsoft.com/office/officeart/2008/layout/NameandTitleOrganizationalChart"/>
    <dgm:cxn modelId="{D599DE28-8757-40E1-8596-9CE2D52C314C}" type="presParOf" srcId="{5E5F7880-DA8A-447E-BFA2-C66A1960843A}" destId="{A6DCDDFB-87E5-490F-8079-086A0A43A36B}" srcOrd="1" destOrd="0" presId="urn:microsoft.com/office/officeart/2008/layout/NameandTitleOrganizationalChart"/>
    <dgm:cxn modelId="{7D4A8DC7-C8A4-473D-B269-E53F6D1ADB87}" type="presParOf" srcId="{5E5F7880-DA8A-447E-BFA2-C66A1960843A}" destId="{C0219AED-3916-4724-B93A-E3D8F6BAD413}" srcOrd="2" destOrd="0" presId="urn:microsoft.com/office/officeart/2008/layout/NameandTitleOrganizationalChart"/>
    <dgm:cxn modelId="{4B4A33C7-99CD-405B-A90C-AC42C12A1D18}" type="presParOf" srcId="{257E0715-91E8-44F4-944F-BF8043BE81DB}" destId="{51C5FFB9-72D0-49A8-8912-AE166ED10856}" srcOrd="1" destOrd="0" presId="urn:microsoft.com/office/officeart/2008/layout/NameandTitleOrganizationalChart"/>
    <dgm:cxn modelId="{D0AC7D10-93B7-4DA2-BAF4-6C0ADE9ACCFF}" type="presParOf" srcId="{257E0715-91E8-44F4-944F-BF8043BE81DB}" destId="{06415EB3-19F7-4657-A4D5-518DF9B7B192}" srcOrd="2" destOrd="0" presId="urn:microsoft.com/office/officeart/2008/layout/NameandTitleOrganizationalChart"/>
    <dgm:cxn modelId="{DA3F1CEE-527E-47B0-AF8E-9A8EEBFB6AF9}" type="presParOf" srcId="{B7162439-74C8-4C57-92E7-90B684979F0C}" destId="{650BE601-FBEC-496B-AD8A-53851EFF9CDB}" srcOrd="2" destOrd="0" presId="urn:microsoft.com/office/officeart/2008/layout/NameandTitleOrganizationalChart"/>
    <dgm:cxn modelId="{3BF37BF2-FC9F-46C8-B4E1-C3C01C941513}" type="presParOf" srcId="{8C26EA3C-4D37-4D8B-B26C-B92D36E7C656}" destId="{904D1964-9FA3-418A-9AA2-39CF8D327E59}" srcOrd="4" destOrd="0" presId="urn:microsoft.com/office/officeart/2008/layout/NameandTitleOrganizationalChart"/>
    <dgm:cxn modelId="{35D63AF2-CA0A-4C44-8ED6-B63863D472C2}" type="presParOf" srcId="{8C26EA3C-4D37-4D8B-B26C-B92D36E7C656}" destId="{6AF5F0DD-7FAC-4645-A07F-F79CCF12865E}" srcOrd="5" destOrd="0" presId="urn:microsoft.com/office/officeart/2008/layout/NameandTitleOrganizationalChart"/>
    <dgm:cxn modelId="{0D39C682-3256-4058-80B5-5F7E4D03063E}" type="presParOf" srcId="{6AF5F0DD-7FAC-4645-A07F-F79CCF12865E}" destId="{C4CAE05B-9180-4392-80B4-84CBC5B50E8C}" srcOrd="0" destOrd="0" presId="urn:microsoft.com/office/officeart/2008/layout/NameandTitleOrganizationalChart"/>
    <dgm:cxn modelId="{3F9D1C47-9C84-451A-8180-B75846CE00E7}" type="presParOf" srcId="{C4CAE05B-9180-4392-80B4-84CBC5B50E8C}" destId="{E8494AC8-C34C-4266-B228-2586A503492E}" srcOrd="0" destOrd="0" presId="urn:microsoft.com/office/officeart/2008/layout/NameandTitleOrganizationalChart"/>
    <dgm:cxn modelId="{5AC4B192-9915-45D6-AD44-FD604FDF9418}" type="presParOf" srcId="{C4CAE05B-9180-4392-80B4-84CBC5B50E8C}" destId="{6A15F474-B874-4116-9C30-7BEC48E608D4}" srcOrd="1" destOrd="0" presId="urn:microsoft.com/office/officeart/2008/layout/NameandTitleOrganizationalChart"/>
    <dgm:cxn modelId="{FB70C9F4-3681-45C7-827F-7CBC85FAA0DC}" type="presParOf" srcId="{C4CAE05B-9180-4392-80B4-84CBC5B50E8C}" destId="{9C50F357-F33A-4F12-BB5B-EE1A4B94BE75}" srcOrd="2" destOrd="0" presId="urn:microsoft.com/office/officeart/2008/layout/NameandTitleOrganizationalChart"/>
    <dgm:cxn modelId="{88A58A1C-A162-488D-914F-9AB89058D43D}" type="presParOf" srcId="{6AF5F0DD-7FAC-4645-A07F-F79CCF12865E}" destId="{E54BBD25-C8C2-4BEA-B718-B62489530ED4}" srcOrd="1" destOrd="0" presId="urn:microsoft.com/office/officeart/2008/layout/NameandTitleOrganizationalChart"/>
    <dgm:cxn modelId="{6E34D42B-1379-422D-B7A3-A524609C083A}" type="presParOf" srcId="{E54BBD25-C8C2-4BEA-B718-B62489530ED4}" destId="{A169BE2D-AC1B-4E1E-82B3-332B63F8DA99}" srcOrd="0" destOrd="0" presId="urn:microsoft.com/office/officeart/2008/layout/NameandTitleOrganizationalChart"/>
    <dgm:cxn modelId="{BE87BBFE-6C3D-416C-AC92-611189BA0E46}" type="presParOf" srcId="{E54BBD25-C8C2-4BEA-B718-B62489530ED4}" destId="{10B0C6FC-ABEE-4928-AA8A-ADC128BAD45B}" srcOrd="1" destOrd="0" presId="urn:microsoft.com/office/officeart/2008/layout/NameandTitleOrganizationalChart"/>
    <dgm:cxn modelId="{DF833C6A-0BEA-48D2-864F-AC1F7745C1F3}" type="presParOf" srcId="{10B0C6FC-ABEE-4928-AA8A-ADC128BAD45B}" destId="{26E0A02E-403F-4EF4-8ECB-5D8D7BCCF49F}" srcOrd="0" destOrd="0" presId="urn:microsoft.com/office/officeart/2008/layout/NameandTitleOrganizationalChart"/>
    <dgm:cxn modelId="{DD472FD6-159A-4252-9E18-E1BE2F6E1812}" type="presParOf" srcId="{26E0A02E-403F-4EF4-8ECB-5D8D7BCCF49F}" destId="{0FD57CB8-FF3E-4DB9-BA9D-377D67E7AC78}" srcOrd="0" destOrd="0" presId="urn:microsoft.com/office/officeart/2008/layout/NameandTitleOrganizationalChart"/>
    <dgm:cxn modelId="{729789E2-D86D-4BD5-9237-5FA4AC638A64}" type="presParOf" srcId="{26E0A02E-403F-4EF4-8ECB-5D8D7BCCF49F}" destId="{1B96B8DA-0116-493D-8BEC-AF9251C326B3}" srcOrd="1" destOrd="0" presId="urn:microsoft.com/office/officeart/2008/layout/NameandTitleOrganizationalChart"/>
    <dgm:cxn modelId="{6D51715B-8131-4E1D-A983-F00A5B4547E0}" type="presParOf" srcId="{26E0A02E-403F-4EF4-8ECB-5D8D7BCCF49F}" destId="{BD58068E-9D3C-4C6C-9B00-CF6C76773429}" srcOrd="2" destOrd="0" presId="urn:microsoft.com/office/officeart/2008/layout/NameandTitleOrganizationalChart"/>
    <dgm:cxn modelId="{FFEF6D81-D8A8-4DBA-8A4C-3B21ADA8B794}" type="presParOf" srcId="{10B0C6FC-ABEE-4928-AA8A-ADC128BAD45B}" destId="{41FBD8BE-21B4-4A87-AB9A-FDD4E73A32C6}" srcOrd="1" destOrd="0" presId="urn:microsoft.com/office/officeart/2008/layout/NameandTitleOrganizationalChart"/>
    <dgm:cxn modelId="{01FEC19C-0CCA-4F3C-B3D1-4ADFFA59EDC9}" type="presParOf" srcId="{10B0C6FC-ABEE-4928-AA8A-ADC128BAD45B}" destId="{D0A53C4A-C6A0-4549-A5AB-02E3449B8889}" srcOrd="2" destOrd="0" presId="urn:microsoft.com/office/officeart/2008/layout/NameandTitleOrganizationalChart"/>
    <dgm:cxn modelId="{8155AF68-F7DD-40BA-9327-24364300E92B}" type="presParOf" srcId="{6AF5F0DD-7FAC-4645-A07F-F79CCF12865E}" destId="{C4F7239D-B6B8-464D-BFF8-F4AD42E39789}" srcOrd="2" destOrd="0" presId="urn:microsoft.com/office/officeart/2008/layout/NameandTitleOrganizationalChart"/>
    <dgm:cxn modelId="{406050B8-0838-4EF3-B67A-08E95B52986A}" type="presParOf" srcId="{8C26EA3C-4D37-4D8B-B26C-B92D36E7C656}" destId="{8F7F1C17-88F0-49A1-B061-E5EA6660EE58}" srcOrd="6" destOrd="0" presId="urn:microsoft.com/office/officeart/2008/layout/NameandTitleOrganizationalChart"/>
    <dgm:cxn modelId="{26587B21-F2C6-4A22-B207-E5C1887EB12B}" type="presParOf" srcId="{8C26EA3C-4D37-4D8B-B26C-B92D36E7C656}" destId="{018AE5CA-634F-4192-A189-246E8DD00D10}" srcOrd="7" destOrd="0" presId="urn:microsoft.com/office/officeart/2008/layout/NameandTitleOrganizationalChart"/>
    <dgm:cxn modelId="{BFE34AA9-877C-454E-B03A-C724E2973A67}" type="presParOf" srcId="{018AE5CA-634F-4192-A189-246E8DD00D10}" destId="{A121014F-AE64-4E97-8DE2-DDA7800E3C81}" srcOrd="0" destOrd="0" presId="urn:microsoft.com/office/officeart/2008/layout/NameandTitleOrganizationalChart"/>
    <dgm:cxn modelId="{99AB7621-2484-487D-B02D-328C36D24657}" type="presParOf" srcId="{A121014F-AE64-4E97-8DE2-DDA7800E3C81}" destId="{D5C435F0-E006-4FCA-A00A-154E65584AD1}" srcOrd="0" destOrd="0" presId="urn:microsoft.com/office/officeart/2008/layout/NameandTitleOrganizationalChart"/>
    <dgm:cxn modelId="{769F6FEA-147D-4748-9C3E-75E072294A8E}" type="presParOf" srcId="{A121014F-AE64-4E97-8DE2-DDA7800E3C81}" destId="{CA60510E-A1CB-4948-A061-117DBE5AEC08}" srcOrd="1" destOrd="0" presId="urn:microsoft.com/office/officeart/2008/layout/NameandTitleOrganizationalChart"/>
    <dgm:cxn modelId="{CBB7707A-45FB-4C48-819D-C91A2F806B53}" type="presParOf" srcId="{A121014F-AE64-4E97-8DE2-DDA7800E3C81}" destId="{2C2C5B46-2CF0-4D12-A0E0-253D4A93F6B5}" srcOrd="2" destOrd="0" presId="urn:microsoft.com/office/officeart/2008/layout/NameandTitleOrganizationalChart"/>
    <dgm:cxn modelId="{A127B57E-8E44-4F0A-9737-2EBD7425FEC0}" type="presParOf" srcId="{018AE5CA-634F-4192-A189-246E8DD00D10}" destId="{952D8077-FB84-4192-BD25-F0D2C1AB6CD0}" srcOrd="1" destOrd="0" presId="urn:microsoft.com/office/officeart/2008/layout/NameandTitleOrganizationalChart"/>
    <dgm:cxn modelId="{55F7F6BE-175A-4ECD-B3D5-AB7010AFF6B7}" type="presParOf" srcId="{018AE5CA-634F-4192-A189-246E8DD00D10}" destId="{E4632951-BDD5-42C7-B234-0ED9933E5BD3}" srcOrd="2" destOrd="0" presId="urn:microsoft.com/office/officeart/2008/layout/NameandTitleOrganizationalChart"/>
    <dgm:cxn modelId="{B430179A-2E31-4C6B-BCC0-C27CD4718B4D}" type="presParOf" srcId="{B259CDD6-BBBB-468C-8D15-DA13015CC27C}" destId="{70E8B616-AD92-4349-8733-351E10EB9BC5}" srcOrd="2" destOrd="0" presId="urn:microsoft.com/office/officeart/2008/layout/NameandTitleOrganizationalChart"/>
    <dgm:cxn modelId="{E0301509-8033-43C8-BF72-F83A6B876F5E}" type="presParOf" srcId="{C718AD6A-FDF4-4DFE-B639-235A92E0D1E5}" destId="{409FAE65-7840-485F-9390-5501F77F21C2}" srcOrd="2" destOrd="0" presId="urn:microsoft.com/office/officeart/2008/layout/NameandTitleOrganizationalChart"/>
    <dgm:cxn modelId="{C10482BA-3421-4BCE-94D6-698546C4522F}" type="presParOf" srcId="{C718AD6A-FDF4-4DFE-B639-235A92E0D1E5}" destId="{EE25A5A0-CA0E-4918-958D-6D45745F2B3D}" srcOrd="3" destOrd="0" presId="urn:microsoft.com/office/officeart/2008/layout/NameandTitleOrganizationalChart"/>
    <dgm:cxn modelId="{0C02FF52-98BA-4896-85C2-7C8CCDE3D5E7}" type="presParOf" srcId="{EE25A5A0-CA0E-4918-958D-6D45745F2B3D}" destId="{65BD3730-F021-4E1E-B22E-E059C008CD70}" srcOrd="0" destOrd="0" presId="urn:microsoft.com/office/officeart/2008/layout/NameandTitleOrganizationalChart"/>
    <dgm:cxn modelId="{A3703857-51AF-4866-8DA6-EABB032A17C6}" type="presParOf" srcId="{65BD3730-F021-4E1E-B22E-E059C008CD70}" destId="{80341BDE-F995-4D7F-8487-8233CAEF1DEE}" srcOrd="0" destOrd="0" presId="urn:microsoft.com/office/officeart/2008/layout/NameandTitleOrganizationalChart"/>
    <dgm:cxn modelId="{22E03590-D9F5-4BDE-8E2A-40B31F9771D5}" type="presParOf" srcId="{65BD3730-F021-4E1E-B22E-E059C008CD70}" destId="{DAA10A89-274A-46C3-823E-AE3B00B8A417}" srcOrd="1" destOrd="0" presId="urn:microsoft.com/office/officeart/2008/layout/NameandTitleOrganizationalChart"/>
    <dgm:cxn modelId="{B5BB96E5-C957-458D-9BEE-55ED7F7DF393}" type="presParOf" srcId="{65BD3730-F021-4E1E-B22E-E059C008CD70}" destId="{FDA6F419-CBB2-4A3C-9F73-C993B51EE192}" srcOrd="2" destOrd="0" presId="urn:microsoft.com/office/officeart/2008/layout/NameandTitleOrganizationalChart"/>
    <dgm:cxn modelId="{AC4BF247-194E-45EA-8768-9BF6B173C3C0}" type="presParOf" srcId="{EE25A5A0-CA0E-4918-958D-6D45745F2B3D}" destId="{117AAFEB-46A0-4A49-B20E-63C14F3254F2}" srcOrd="1" destOrd="0" presId="urn:microsoft.com/office/officeart/2008/layout/NameandTitleOrganizationalChart"/>
    <dgm:cxn modelId="{71DE05B2-77D0-4A31-8807-405E76EA4F1E}" type="presParOf" srcId="{117AAFEB-46A0-4A49-B20E-63C14F3254F2}" destId="{CF4BBD4A-08BA-4925-8C99-6C66F75D79E7}" srcOrd="0" destOrd="0" presId="urn:microsoft.com/office/officeart/2008/layout/NameandTitleOrganizationalChart"/>
    <dgm:cxn modelId="{F999F46B-AC27-44F9-B6A9-B403883A0715}" type="presParOf" srcId="{117AAFEB-46A0-4A49-B20E-63C14F3254F2}" destId="{148A54C8-F792-4050-95D2-7AEBA733399D}" srcOrd="1" destOrd="0" presId="urn:microsoft.com/office/officeart/2008/layout/NameandTitleOrganizationalChart"/>
    <dgm:cxn modelId="{31BCA78C-1341-4D88-A2EC-FED37B285358}" type="presParOf" srcId="{148A54C8-F792-4050-95D2-7AEBA733399D}" destId="{9801DD3B-F879-4D19-AD8E-E2F858628D06}" srcOrd="0" destOrd="0" presId="urn:microsoft.com/office/officeart/2008/layout/NameandTitleOrganizationalChart"/>
    <dgm:cxn modelId="{D1EFFE2F-D653-4237-8389-708A32C75463}" type="presParOf" srcId="{9801DD3B-F879-4D19-AD8E-E2F858628D06}" destId="{FEDAC8C2-250E-4B32-8532-855473263F13}" srcOrd="0" destOrd="0" presId="urn:microsoft.com/office/officeart/2008/layout/NameandTitleOrganizationalChart"/>
    <dgm:cxn modelId="{E54E4791-C559-4EC9-A98B-DFEF4220A9BB}" type="presParOf" srcId="{9801DD3B-F879-4D19-AD8E-E2F858628D06}" destId="{656E15EF-04E1-41C4-A0E2-A1CAADE791E4}" srcOrd="1" destOrd="0" presId="urn:microsoft.com/office/officeart/2008/layout/NameandTitleOrganizationalChart"/>
    <dgm:cxn modelId="{522933C8-DB38-4866-82FC-DD9AC18ACA36}" type="presParOf" srcId="{9801DD3B-F879-4D19-AD8E-E2F858628D06}" destId="{B94BEE16-363A-445D-A414-05E48962F259}" srcOrd="2" destOrd="0" presId="urn:microsoft.com/office/officeart/2008/layout/NameandTitleOrganizationalChart"/>
    <dgm:cxn modelId="{77A6A444-A725-498B-9AD3-4ADF76E04F43}" type="presParOf" srcId="{148A54C8-F792-4050-95D2-7AEBA733399D}" destId="{0C2F04B1-1204-4B56-AB54-61E6F56E9AA7}" srcOrd="1" destOrd="0" presId="urn:microsoft.com/office/officeart/2008/layout/NameandTitleOrganizationalChart"/>
    <dgm:cxn modelId="{44738503-CC5F-4F95-819D-DBBE19770E76}" type="presParOf" srcId="{0C2F04B1-1204-4B56-AB54-61E6F56E9AA7}" destId="{FB3B2737-FB14-4F34-9C32-D18254B8CF7E}" srcOrd="0" destOrd="0" presId="urn:microsoft.com/office/officeart/2008/layout/NameandTitleOrganizationalChart"/>
    <dgm:cxn modelId="{9021D6AE-0D1E-4DCA-A62E-66F159606DF7}" type="presParOf" srcId="{0C2F04B1-1204-4B56-AB54-61E6F56E9AA7}" destId="{3EA540CF-7023-49F8-A63F-0EF18DFF94F4}" srcOrd="1" destOrd="0" presId="urn:microsoft.com/office/officeart/2008/layout/NameandTitleOrganizationalChart"/>
    <dgm:cxn modelId="{63213669-F9BC-490B-A818-B0D5300EDBFE}" type="presParOf" srcId="{3EA540CF-7023-49F8-A63F-0EF18DFF94F4}" destId="{E800F1F7-92FE-41DB-8909-82EE7C39A15F}" srcOrd="0" destOrd="0" presId="urn:microsoft.com/office/officeart/2008/layout/NameandTitleOrganizationalChart"/>
    <dgm:cxn modelId="{289AD6C9-83A5-4C28-9CD6-69325228C9A2}" type="presParOf" srcId="{E800F1F7-92FE-41DB-8909-82EE7C39A15F}" destId="{2DCEA40D-47E6-4BC8-B79E-5B9B8090F3E4}" srcOrd="0" destOrd="0" presId="urn:microsoft.com/office/officeart/2008/layout/NameandTitleOrganizationalChart"/>
    <dgm:cxn modelId="{0664E92D-F0AF-4156-9BC8-FC82932AE558}" type="presParOf" srcId="{E800F1F7-92FE-41DB-8909-82EE7C39A15F}" destId="{89D87073-DF77-46C5-BCFE-2C803C65B702}" srcOrd="1" destOrd="0" presId="urn:microsoft.com/office/officeart/2008/layout/NameandTitleOrganizationalChart"/>
    <dgm:cxn modelId="{3362CBF0-CA42-4ED6-B7DE-0F98E973B151}" type="presParOf" srcId="{E800F1F7-92FE-41DB-8909-82EE7C39A15F}" destId="{FF2FD544-10BE-48C0-A74B-8765342D31FC}" srcOrd="2" destOrd="0" presId="urn:microsoft.com/office/officeart/2008/layout/NameandTitleOrganizationalChart"/>
    <dgm:cxn modelId="{1D87E75A-C42E-4272-92C3-0ED993F9B207}" type="presParOf" srcId="{3EA540CF-7023-49F8-A63F-0EF18DFF94F4}" destId="{E2528527-4329-4B29-8562-8FDEA272DC05}" srcOrd="1" destOrd="0" presId="urn:microsoft.com/office/officeart/2008/layout/NameandTitleOrganizationalChart"/>
    <dgm:cxn modelId="{EB7E922B-88AA-4A98-9F7C-62EC16888221}" type="presParOf" srcId="{3EA540CF-7023-49F8-A63F-0EF18DFF94F4}" destId="{188DF213-C2A1-4E4E-9993-F089AA9E2FCB}" srcOrd="2" destOrd="0" presId="urn:microsoft.com/office/officeart/2008/layout/NameandTitleOrganizationalChart"/>
    <dgm:cxn modelId="{66B0FA12-7D2B-44EF-84B9-AAAC89C56D92}" type="presParOf" srcId="{148A54C8-F792-4050-95D2-7AEBA733399D}" destId="{E40D165E-71E7-49EF-BFA4-8DD890CC24CB}" srcOrd="2" destOrd="0" presId="urn:microsoft.com/office/officeart/2008/layout/NameandTitleOrganizationalChart"/>
    <dgm:cxn modelId="{340C8780-7039-4DC7-A4B9-E8C8D8ED7B82}" type="presParOf" srcId="{117AAFEB-46A0-4A49-B20E-63C14F3254F2}" destId="{021DD6D6-FCEC-41D9-B348-B74C8086787F}" srcOrd="2" destOrd="0" presId="urn:microsoft.com/office/officeart/2008/layout/NameandTitleOrganizationalChart"/>
    <dgm:cxn modelId="{FB2A3480-1FA8-404C-B973-81A930F33A87}" type="presParOf" srcId="{117AAFEB-46A0-4A49-B20E-63C14F3254F2}" destId="{294C15F9-83B6-442D-8CAB-7CEA552C6C53}" srcOrd="3" destOrd="0" presId="urn:microsoft.com/office/officeart/2008/layout/NameandTitleOrganizationalChart"/>
    <dgm:cxn modelId="{2873A4EF-4F3B-467F-A749-8A6B8114B9DB}" type="presParOf" srcId="{294C15F9-83B6-442D-8CAB-7CEA552C6C53}" destId="{2CB66ADA-EDFB-4B3A-A4E8-D9C6281E60B9}" srcOrd="0" destOrd="0" presId="urn:microsoft.com/office/officeart/2008/layout/NameandTitleOrganizationalChart"/>
    <dgm:cxn modelId="{AB287DB6-4C6E-41A2-AD4B-203BC93F8FBD}" type="presParOf" srcId="{2CB66ADA-EDFB-4B3A-A4E8-D9C6281E60B9}" destId="{D5B37A4F-EF58-45F4-8276-218AE53A3C6F}" srcOrd="0" destOrd="0" presId="urn:microsoft.com/office/officeart/2008/layout/NameandTitleOrganizationalChart"/>
    <dgm:cxn modelId="{E6B60E7F-5A39-47E0-AFC5-CF89A0112E70}" type="presParOf" srcId="{2CB66ADA-EDFB-4B3A-A4E8-D9C6281E60B9}" destId="{38BE10C7-FBDC-4133-91A6-59B93208FF60}" srcOrd="1" destOrd="0" presId="urn:microsoft.com/office/officeart/2008/layout/NameandTitleOrganizationalChart"/>
    <dgm:cxn modelId="{0A3B8937-D5D3-429D-9660-EA8119B099DB}" type="presParOf" srcId="{2CB66ADA-EDFB-4B3A-A4E8-D9C6281E60B9}" destId="{BA4515F9-2F3F-4798-B42C-76B1B7D04437}" srcOrd="2" destOrd="0" presId="urn:microsoft.com/office/officeart/2008/layout/NameandTitleOrganizationalChart"/>
    <dgm:cxn modelId="{76499E37-7EB4-4866-A974-17CAE715F8CD}" type="presParOf" srcId="{294C15F9-83B6-442D-8CAB-7CEA552C6C53}" destId="{E1C93E84-5489-4B2C-A02B-0C5A6C46B817}" srcOrd="1" destOrd="0" presId="urn:microsoft.com/office/officeart/2008/layout/NameandTitleOrganizationalChart"/>
    <dgm:cxn modelId="{CC3441EA-BAC6-47C0-8B52-ED409DB62791}" type="presParOf" srcId="{E1C93E84-5489-4B2C-A02B-0C5A6C46B817}" destId="{DF55F7A0-5262-4492-A421-74EE3244E2A7}" srcOrd="0" destOrd="0" presId="urn:microsoft.com/office/officeart/2008/layout/NameandTitleOrganizationalChart"/>
    <dgm:cxn modelId="{384B00DA-3E5D-495D-B9FF-826EF60DD6DE}" type="presParOf" srcId="{E1C93E84-5489-4B2C-A02B-0C5A6C46B817}" destId="{76165F65-F094-4619-93B1-9E072FB1FDAD}" srcOrd="1" destOrd="0" presId="urn:microsoft.com/office/officeart/2008/layout/NameandTitleOrganizationalChart"/>
    <dgm:cxn modelId="{4259B343-3124-49D6-BA86-EA7995AD60D9}" type="presParOf" srcId="{76165F65-F094-4619-93B1-9E072FB1FDAD}" destId="{B9522AD3-9592-457C-9399-9ADD91FBEC66}" srcOrd="0" destOrd="0" presId="urn:microsoft.com/office/officeart/2008/layout/NameandTitleOrganizationalChart"/>
    <dgm:cxn modelId="{CC35EB07-ABF3-4750-B63A-AF508A07FB3B}" type="presParOf" srcId="{B9522AD3-9592-457C-9399-9ADD91FBEC66}" destId="{019F7FFD-9036-42CB-B450-ABD033DC3880}" srcOrd="0" destOrd="0" presId="urn:microsoft.com/office/officeart/2008/layout/NameandTitleOrganizationalChart"/>
    <dgm:cxn modelId="{0073E468-8EF1-4E48-BF55-76C5E6B27971}" type="presParOf" srcId="{B9522AD3-9592-457C-9399-9ADD91FBEC66}" destId="{559352D2-DAA0-48CE-A551-A1FCE375E13C}" srcOrd="1" destOrd="0" presId="urn:microsoft.com/office/officeart/2008/layout/NameandTitleOrganizationalChart"/>
    <dgm:cxn modelId="{D4C9141E-516C-469B-BB8D-A7471477C413}" type="presParOf" srcId="{B9522AD3-9592-457C-9399-9ADD91FBEC66}" destId="{B16A1255-086D-40FB-A316-DB69620942F6}" srcOrd="2" destOrd="0" presId="urn:microsoft.com/office/officeart/2008/layout/NameandTitleOrganizationalChart"/>
    <dgm:cxn modelId="{B3919532-5D88-4785-8613-BEDBCD8DE827}" type="presParOf" srcId="{76165F65-F094-4619-93B1-9E072FB1FDAD}" destId="{4EE2C858-621E-4D32-ADB1-152FDF7826E4}" srcOrd="1" destOrd="0" presId="urn:microsoft.com/office/officeart/2008/layout/NameandTitleOrganizationalChart"/>
    <dgm:cxn modelId="{E180941D-4BEA-4105-BE61-12C4AD0AB743}" type="presParOf" srcId="{76165F65-F094-4619-93B1-9E072FB1FDAD}" destId="{AD362527-B351-47C2-AA3F-B5D020380132}" srcOrd="2" destOrd="0" presId="urn:microsoft.com/office/officeart/2008/layout/NameandTitleOrganizationalChart"/>
    <dgm:cxn modelId="{44110EB3-1A57-4773-8BF4-9E8459D21D19}" type="presParOf" srcId="{294C15F9-83B6-442D-8CAB-7CEA552C6C53}" destId="{FC26FEFB-0517-462B-A69A-3C2A16823FAB}" srcOrd="2" destOrd="0" presId="urn:microsoft.com/office/officeart/2008/layout/NameandTitleOrganizationalChart"/>
    <dgm:cxn modelId="{48D469DB-DF58-4942-8D75-38BB77B61CE2}" type="presParOf" srcId="{117AAFEB-46A0-4A49-B20E-63C14F3254F2}" destId="{8D476684-1BAD-40CB-932D-88D0398B2EAD}" srcOrd="4" destOrd="0" presId="urn:microsoft.com/office/officeart/2008/layout/NameandTitleOrganizationalChart"/>
    <dgm:cxn modelId="{DC8F3F72-DCA7-4965-88F7-64FBCCB1D4BE}" type="presParOf" srcId="{117AAFEB-46A0-4A49-B20E-63C14F3254F2}" destId="{847FF59C-807A-43FA-A67D-46DE65F4B6D4}" srcOrd="5" destOrd="0" presId="urn:microsoft.com/office/officeart/2008/layout/NameandTitleOrganizationalChart"/>
    <dgm:cxn modelId="{45F67911-B5E0-497F-8AEB-51485FCAE9A3}" type="presParOf" srcId="{847FF59C-807A-43FA-A67D-46DE65F4B6D4}" destId="{CBFABF1B-209C-4958-816C-F97F82F576B5}" srcOrd="0" destOrd="0" presId="urn:microsoft.com/office/officeart/2008/layout/NameandTitleOrganizationalChart"/>
    <dgm:cxn modelId="{BAA9294A-0741-48A7-94CF-51FD9C8C7479}" type="presParOf" srcId="{CBFABF1B-209C-4958-816C-F97F82F576B5}" destId="{1C8E0FDE-B596-4BE4-B9DE-1133B8437399}" srcOrd="0" destOrd="0" presId="urn:microsoft.com/office/officeart/2008/layout/NameandTitleOrganizationalChart"/>
    <dgm:cxn modelId="{7F31812A-F2CD-457F-9B64-8FC2DF6BF8DD}" type="presParOf" srcId="{CBFABF1B-209C-4958-816C-F97F82F576B5}" destId="{44A4C9CE-925A-433F-8D8E-7EE62AF3AD4E}" srcOrd="1" destOrd="0" presId="urn:microsoft.com/office/officeart/2008/layout/NameandTitleOrganizationalChart"/>
    <dgm:cxn modelId="{10E402FB-A242-4ADA-B87C-A97D88DC2DEE}" type="presParOf" srcId="{CBFABF1B-209C-4958-816C-F97F82F576B5}" destId="{BD64303B-418F-4467-8678-A550E1FE6CB5}" srcOrd="2" destOrd="0" presId="urn:microsoft.com/office/officeart/2008/layout/NameandTitleOrganizationalChart"/>
    <dgm:cxn modelId="{A5EC4F9C-99B4-4C96-9455-46DEEE8433D2}" type="presParOf" srcId="{847FF59C-807A-43FA-A67D-46DE65F4B6D4}" destId="{2F8B1E01-C45A-47EC-A83E-7468853A47CD}" srcOrd="1" destOrd="0" presId="urn:microsoft.com/office/officeart/2008/layout/NameandTitleOrganizationalChart"/>
    <dgm:cxn modelId="{5A120BF4-2550-4375-9DF4-613A524E3EE8}" type="presParOf" srcId="{2F8B1E01-C45A-47EC-A83E-7468853A47CD}" destId="{F4B25B85-D2E1-41E8-8612-F0F1274C95F0}" srcOrd="0" destOrd="0" presId="urn:microsoft.com/office/officeart/2008/layout/NameandTitleOrganizationalChart"/>
    <dgm:cxn modelId="{BA9738C9-5914-4B39-AFEA-C941F2E5E2D4}" type="presParOf" srcId="{2F8B1E01-C45A-47EC-A83E-7468853A47CD}" destId="{34DC36F6-7298-4074-97DD-AD10BDAA69BC}" srcOrd="1" destOrd="0" presId="urn:microsoft.com/office/officeart/2008/layout/NameandTitleOrganizationalChart"/>
    <dgm:cxn modelId="{E3E07179-BD14-4F6F-ACE5-E3A3792CEDE6}" type="presParOf" srcId="{34DC36F6-7298-4074-97DD-AD10BDAA69BC}" destId="{3C7875D1-77C0-49EE-9CEC-9E6D275EC1BC}" srcOrd="0" destOrd="0" presId="urn:microsoft.com/office/officeart/2008/layout/NameandTitleOrganizationalChart"/>
    <dgm:cxn modelId="{4BBD01B6-0028-467A-87C4-C270C7C9A703}" type="presParOf" srcId="{3C7875D1-77C0-49EE-9CEC-9E6D275EC1BC}" destId="{45D0B1BF-78E7-496B-84E7-12A2829B813F}" srcOrd="0" destOrd="0" presId="urn:microsoft.com/office/officeart/2008/layout/NameandTitleOrganizationalChart"/>
    <dgm:cxn modelId="{1F74E1ED-88AB-4B7B-A399-7A974816CCB7}" type="presParOf" srcId="{3C7875D1-77C0-49EE-9CEC-9E6D275EC1BC}" destId="{F67D9200-4BF3-464E-BD3D-2EBEA7A12FC2}" srcOrd="1" destOrd="0" presId="urn:microsoft.com/office/officeart/2008/layout/NameandTitleOrganizationalChart"/>
    <dgm:cxn modelId="{E84093F5-A733-49FE-98BD-0F3264086600}" type="presParOf" srcId="{3C7875D1-77C0-49EE-9CEC-9E6D275EC1BC}" destId="{76903F1D-62DB-4496-B7A2-068F7AFC3166}" srcOrd="2" destOrd="0" presId="urn:microsoft.com/office/officeart/2008/layout/NameandTitleOrganizationalChart"/>
    <dgm:cxn modelId="{728948B0-FCCF-4351-83FF-61D49448F459}" type="presParOf" srcId="{34DC36F6-7298-4074-97DD-AD10BDAA69BC}" destId="{DC6B3329-65C4-4438-8F90-9CCF0B1AB428}" srcOrd="1" destOrd="0" presId="urn:microsoft.com/office/officeart/2008/layout/NameandTitleOrganizationalChart"/>
    <dgm:cxn modelId="{2E3AC91E-0153-4F82-9834-5BA97D469CD8}" type="presParOf" srcId="{34DC36F6-7298-4074-97DD-AD10BDAA69BC}" destId="{417D6D89-9761-4FC9-B47A-BB4618595A0E}" srcOrd="2" destOrd="0" presId="urn:microsoft.com/office/officeart/2008/layout/NameandTitleOrganizationalChart"/>
    <dgm:cxn modelId="{3735E874-A786-470A-B0A0-12C161D4106B}" type="presParOf" srcId="{847FF59C-807A-43FA-A67D-46DE65F4B6D4}" destId="{3A180A32-BF84-40B5-98E8-53FF2AF80FAE}" srcOrd="2" destOrd="0" presId="urn:microsoft.com/office/officeart/2008/layout/NameandTitleOrganizationalChart"/>
    <dgm:cxn modelId="{C769FFE8-9242-4B64-AFE2-67A5B5A28C4C}" type="presParOf" srcId="{117AAFEB-46A0-4A49-B20E-63C14F3254F2}" destId="{B3170B44-4C49-46D1-BE51-BADB1752255A}" srcOrd="6" destOrd="0" presId="urn:microsoft.com/office/officeart/2008/layout/NameandTitleOrganizationalChart"/>
    <dgm:cxn modelId="{D7DDDC46-7207-4F30-8F05-00C607583D8D}" type="presParOf" srcId="{117AAFEB-46A0-4A49-B20E-63C14F3254F2}" destId="{4156372A-E33E-477F-8CDD-0415E0966EB6}" srcOrd="7" destOrd="0" presId="urn:microsoft.com/office/officeart/2008/layout/NameandTitleOrganizationalChart"/>
    <dgm:cxn modelId="{9BE5C069-316E-481B-833C-FB92D722A4EA}" type="presParOf" srcId="{4156372A-E33E-477F-8CDD-0415E0966EB6}" destId="{31997EFA-0FAA-4D95-911C-AB4D96946E77}" srcOrd="0" destOrd="0" presId="urn:microsoft.com/office/officeart/2008/layout/NameandTitleOrganizationalChart"/>
    <dgm:cxn modelId="{758F3169-04C7-41A0-9F14-5CC4F60AE108}" type="presParOf" srcId="{31997EFA-0FAA-4D95-911C-AB4D96946E77}" destId="{6F3EF441-777F-4A7D-A026-57867321C315}" srcOrd="0" destOrd="0" presId="urn:microsoft.com/office/officeart/2008/layout/NameandTitleOrganizationalChart"/>
    <dgm:cxn modelId="{05F47127-9019-4F4A-87CC-A6450F0FE01B}" type="presParOf" srcId="{31997EFA-0FAA-4D95-911C-AB4D96946E77}" destId="{E8B83256-F6F6-412B-A9C6-663D1E7F00A7}" srcOrd="1" destOrd="0" presId="urn:microsoft.com/office/officeart/2008/layout/NameandTitleOrganizationalChart"/>
    <dgm:cxn modelId="{A83A9462-352B-4E5F-8051-6CFFD392FF79}" type="presParOf" srcId="{31997EFA-0FAA-4D95-911C-AB4D96946E77}" destId="{183F2548-773E-4131-895F-0D153559AD56}" srcOrd="2" destOrd="0" presId="urn:microsoft.com/office/officeart/2008/layout/NameandTitleOrganizationalChart"/>
    <dgm:cxn modelId="{154A0BF7-B254-4D27-A1CF-530093D36E81}" type="presParOf" srcId="{4156372A-E33E-477F-8CDD-0415E0966EB6}" destId="{FA64461C-C09E-49B4-B806-80F6A106DFB9}" srcOrd="1" destOrd="0" presId="urn:microsoft.com/office/officeart/2008/layout/NameandTitleOrganizationalChart"/>
    <dgm:cxn modelId="{9031B305-002C-408D-9F6A-A42A9BB93EA3}" type="presParOf" srcId="{4156372A-E33E-477F-8CDD-0415E0966EB6}" destId="{BBF30A08-BCF8-4E7D-9579-E3B55719F7E5}" srcOrd="2" destOrd="0" presId="urn:microsoft.com/office/officeart/2008/layout/NameandTitleOrganizationalChart"/>
    <dgm:cxn modelId="{2AF928E7-2C43-4BE7-A6D9-6B8275DA2321}" type="presParOf" srcId="{EE25A5A0-CA0E-4918-958D-6D45745F2B3D}" destId="{0DC4604F-5292-438E-BCEF-F30EBD16657D}" srcOrd="2" destOrd="0" presId="urn:microsoft.com/office/officeart/2008/layout/NameandTitleOrganizationalChart"/>
    <dgm:cxn modelId="{D9DCC613-9176-47D5-B4DF-891D3045E2F8}" type="presParOf" srcId="{C718AD6A-FDF4-4DFE-B639-235A92E0D1E5}" destId="{85E3B735-7102-43A0-A1E9-066BD01A6E5C}" srcOrd="4" destOrd="0" presId="urn:microsoft.com/office/officeart/2008/layout/NameandTitleOrganizationalChart"/>
    <dgm:cxn modelId="{79EB4EA9-1757-45AF-9F07-283EE686AAB9}" type="presParOf" srcId="{C718AD6A-FDF4-4DFE-B639-235A92E0D1E5}" destId="{1FC75BCB-70D1-4812-953D-2A63C5BB5986}" srcOrd="5" destOrd="0" presId="urn:microsoft.com/office/officeart/2008/layout/NameandTitleOrganizationalChart"/>
    <dgm:cxn modelId="{14704FC3-98A7-481D-9660-4D87B7E08648}" type="presParOf" srcId="{1FC75BCB-70D1-4812-953D-2A63C5BB5986}" destId="{05DD70DF-5E79-4AD0-BE8F-10D8BA8CA6D9}" srcOrd="0" destOrd="0" presId="urn:microsoft.com/office/officeart/2008/layout/NameandTitleOrganizationalChart"/>
    <dgm:cxn modelId="{4BA1C394-1AAC-477B-9CD2-8CE5EA1EFFCD}" type="presParOf" srcId="{05DD70DF-5E79-4AD0-BE8F-10D8BA8CA6D9}" destId="{07E26C17-29DF-4787-B788-D11E5789DF29}" srcOrd="0" destOrd="0" presId="urn:microsoft.com/office/officeart/2008/layout/NameandTitleOrganizationalChart"/>
    <dgm:cxn modelId="{B7EFEFF4-66C7-4E25-ABBE-6690AAC83170}" type="presParOf" srcId="{05DD70DF-5E79-4AD0-BE8F-10D8BA8CA6D9}" destId="{BB5B700F-496F-45E0-9351-B2DF026C420E}" srcOrd="1" destOrd="0" presId="urn:microsoft.com/office/officeart/2008/layout/NameandTitleOrganizationalChart"/>
    <dgm:cxn modelId="{3F2AE63A-BE84-453C-BCF3-8B9A417B9339}" type="presParOf" srcId="{05DD70DF-5E79-4AD0-BE8F-10D8BA8CA6D9}" destId="{B3523960-6B29-445A-8AB4-F425A7B3DDC6}" srcOrd="2" destOrd="0" presId="urn:microsoft.com/office/officeart/2008/layout/NameandTitleOrganizationalChart"/>
    <dgm:cxn modelId="{F82EB61F-3327-4B78-956B-05250E57D1EE}" type="presParOf" srcId="{1FC75BCB-70D1-4812-953D-2A63C5BB5986}" destId="{8CA688BB-7814-4855-AC18-C34A0C9ECD58}" srcOrd="1" destOrd="0" presId="urn:microsoft.com/office/officeart/2008/layout/NameandTitleOrganizationalChart"/>
    <dgm:cxn modelId="{530DD276-C094-4095-94C4-C63C1C4984F3}" type="presParOf" srcId="{8CA688BB-7814-4855-AC18-C34A0C9ECD58}" destId="{9DEECE6A-2DC7-462C-B4D3-4FDA509FDDFE}" srcOrd="0" destOrd="0" presId="urn:microsoft.com/office/officeart/2008/layout/NameandTitleOrganizationalChart"/>
    <dgm:cxn modelId="{C0C9F63D-6936-4C35-A85B-AD1BE1D0CFF3}" type="presParOf" srcId="{8CA688BB-7814-4855-AC18-C34A0C9ECD58}" destId="{01AC8645-813A-4A9A-82C3-B574331D483D}" srcOrd="1" destOrd="0" presId="urn:microsoft.com/office/officeart/2008/layout/NameandTitleOrganizationalChart"/>
    <dgm:cxn modelId="{21AB69E0-6F80-47EF-99EA-9F405259EF0D}" type="presParOf" srcId="{01AC8645-813A-4A9A-82C3-B574331D483D}" destId="{2179E049-8235-41B9-A659-78E2FC8407B4}" srcOrd="0" destOrd="0" presId="urn:microsoft.com/office/officeart/2008/layout/NameandTitleOrganizationalChart"/>
    <dgm:cxn modelId="{C35057BE-4E56-45FC-A01A-1C0E28008E6F}" type="presParOf" srcId="{2179E049-8235-41B9-A659-78E2FC8407B4}" destId="{2A0BCD83-2C24-4BE1-B20B-A9DCDFF5B535}" srcOrd="0" destOrd="0" presId="urn:microsoft.com/office/officeart/2008/layout/NameandTitleOrganizationalChart"/>
    <dgm:cxn modelId="{9810E1B8-8C2E-4421-9341-991D57220A4C}" type="presParOf" srcId="{2179E049-8235-41B9-A659-78E2FC8407B4}" destId="{C0264484-DC40-4C1C-9103-106977643F89}" srcOrd="1" destOrd="0" presId="urn:microsoft.com/office/officeart/2008/layout/NameandTitleOrganizationalChart"/>
    <dgm:cxn modelId="{75352243-D17A-4705-939A-AA71FE89D9D7}" type="presParOf" srcId="{2179E049-8235-41B9-A659-78E2FC8407B4}" destId="{3AAB482F-932F-42CC-844D-3D7DB6733225}" srcOrd="2" destOrd="0" presId="urn:microsoft.com/office/officeart/2008/layout/NameandTitleOrganizationalChart"/>
    <dgm:cxn modelId="{A164384E-7848-4FF7-9345-0B5D97909957}" type="presParOf" srcId="{01AC8645-813A-4A9A-82C3-B574331D483D}" destId="{98437BB9-BFF2-4F35-8ED6-E58FF9C749E4}" srcOrd="1" destOrd="0" presId="urn:microsoft.com/office/officeart/2008/layout/NameandTitleOrganizationalChart"/>
    <dgm:cxn modelId="{F3656300-EB72-492C-8A66-BD73AB37F3D6}" type="presParOf" srcId="{98437BB9-BFF2-4F35-8ED6-E58FF9C749E4}" destId="{11479A7A-F6B0-4568-97AA-570024CA2197}" srcOrd="0" destOrd="0" presId="urn:microsoft.com/office/officeart/2008/layout/NameandTitleOrganizationalChart"/>
    <dgm:cxn modelId="{8FCD8FF7-7758-4E26-A0EA-A80AE37DE9D3}" type="presParOf" srcId="{98437BB9-BFF2-4F35-8ED6-E58FF9C749E4}" destId="{6A983487-B494-43C5-A160-F71A33CB8E1F}" srcOrd="1" destOrd="0" presId="urn:microsoft.com/office/officeart/2008/layout/NameandTitleOrganizationalChart"/>
    <dgm:cxn modelId="{01ADD68C-0F40-4BD8-8650-8C88FE230430}" type="presParOf" srcId="{6A983487-B494-43C5-A160-F71A33CB8E1F}" destId="{197ABC2E-3C7E-40BD-A72E-686C6DD889BB}" srcOrd="0" destOrd="0" presId="urn:microsoft.com/office/officeart/2008/layout/NameandTitleOrganizationalChart"/>
    <dgm:cxn modelId="{B0D4498C-CE75-4EAD-B2CD-7DDE5DFE72AB}" type="presParOf" srcId="{197ABC2E-3C7E-40BD-A72E-686C6DD889BB}" destId="{949B4D2A-B6A1-4788-A404-6175DEF28063}" srcOrd="0" destOrd="0" presId="urn:microsoft.com/office/officeart/2008/layout/NameandTitleOrganizationalChart"/>
    <dgm:cxn modelId="{8021C7BF-B5F1-4531-83EF-6436A0C83FDB}" type="presParOf" srcId="{197ABC2E-3C7E-40BD-A72E-686C6DD889BB}" destId="{69D58FF6-F2A9-41A2-9D61-C9D202626D17}" srcOrd="1" destOrd="0" presId="urn:microsoft.com/office/officeart/2008/layout/NameandTitleOrganizationalChart"/>
    <dgm:cxn modelId="{766AB3F7-0B1D-4850-B7FC-5B6B80E10C79}" type="presParOf" srcId="{197ABC2E-3C7E-40BD-A72E-686C6DD889BB}" destId="{FD9E512B-2E2C-4BC5-923E-B65D8E29A85D}" srcOrd="2" destOrd="0" presId="urn:microsoft.com/office/officeart/2008/layout/NameandTitleOrganizationalChart"/>
    <dgm:cxn modelId="{24F56C6C-DBDE-4067-B634-4B126D391D09}" type="presParOf" srcId="{6A983487-B494-43C5-A160-F71A33CB8E1F}" destId="{D6752E81-C952-498F-8A73-F08C8B998EA4}" srcOrd="1" destOrd="0" presId="urn:microsoft.com/office/officeart/2008/layout/NameandTitleOrganizationalChart"/>
    <dgm:cxn modelId="{9EF88D6E-E85F-4616-A842-6028D36152D9}" type="presParOf" srcId="{6A983487-B494-43C5-A160-F71A33CB8E1F}" destId="{7AF8C0CF-1C90-429E-8C73-8129969F9A99}" srcOrd="2" destOrd="0" presId="urn:microsoft.com/office/officeart/2008/layout/NameandTitleOrganizationalChart"/>
    <dgm:cxn modelId="{6A86C5B9-9E98-4597-877E-81337C7DEEB2}" type="presParOf" srcId="{98437BB9-BFF2-4F35-8ED6-E58FF9C749E4}" destId="{CD07DC1F-C35D-4CEE-B564-0B104354C54F}" srcOrd="2" destOrd="0" presId="urn:microsoft.com/office/officeart/2008/layout/NameandTitleOrganizationalChart"/>
    <dgm:cxn modelId="{4E8CEF71-F090-41B9-B958-C17DC905284A}" type="presParOf" srcId="{98437BB9-BFF2-4F35-8ED6-E58FF9C749E4}" destId="{C6A4D50F-C8FF-4960-AF54-6104F8E5A71D}" srcOrd="3" destOrd="0" presId="urn:microsoft.com/office/officeart/2008/layout/NameandTitleOrganizationalChart"/>
    <dgm:cxn modelId="{40D8D60A-1EDE-4CBE-B5D3-D557616A83A9}" type="presParOf" srcId="{C6A4D50F-C8FF-4960-AF54-6104F8E5A71D}" destId="{E4E28379-DA7E-4001-AA75-6414083FD58F}" srcOrd="0" destOrd="0" presId="urn:microsoft.com/office/officeart/2008/layout/NameandTitleOrganizationalChart"/>
    <dgm:cxn modelId="{54AA350A-CFA5-4A53-B727-0BAC3A770C49}" type="presParOf" srcId="{E4E28379-DA7E-4001-AA75-6414083FD58F}" destId="{6EF8B4EE-6877-4512-B43B-3B1D377A41E4}" srcOrd="0" destOrd="0" presId="urn:microsoft.com/office/officeart/2008/layout/NameandTitleOrganizationalChart"/>
    <dgm:cxn modelId="{E35A9360-6667-48A2-932C-6843E2792651}" type="presParOf" srcId="{E4E28379-DA7E-4001-AA75-6414083FD58F}" destId="{D141C697-C6D4-4357-8EEB-E87E399E76B2}" srcOrd="1" destOrd="0" presId="urn:microsoft.com/office/officeart/2008/layout/NameandTitleOrganizationalChart"/>
    <dgm:cxn modelId="{F486A1E3-7D80-4823-A5CF-63467342A5E6}" type="presParOf" srcId="{E4E28379-DA7E-4001-AA75-6414083FD58F}" destId="{C4F53EB6-A1B9-407E-B447-32309F6C3730}" srcOrd="2" destOrd="0" presId="urn:microsoft.com/office/officeart/2008/layout/NameandTitleOrganizationalChart"/>
    <dgm:cxn modelId="{47B5D164-0BB5-439A-B08B-474675E38BC1}" type="presParOf" srcId="{C6A4D50F-C8FF-4960-AF54-6104F8E5A71D}" destId="{64CCC1DE-D153-46A4-AAB0-5C1293C361E7}" srcOrd="1" destOrd="0" presId="urn:microsoft.com/office/officeart/2008/layout/NameandTitleOrganizationalChart"/>
    <dgm:cxn modelId="{24BF5B69-33AE-4AB1-A715-C1A15C9B1776}" type="presParOf" srcId="{C6A4D50F-C8FF-4960-AF54-6104F8E5A71D}" destId="{B406478C-14C9-4507-90D9-A21CD9E3AE39}" srcOrd="2" destOrd="0" presId="urn:microsoft.com/office/officeart/2008/layout/NameandTitleOrganizationalChart"/>
    <dgm:cxn modelId="{DE624551-DD48-4C4F-AFE7-E1E333D00865}" type="presParOf" srcId="{98437BB9-BFF2-4F35-8ED6-E58FF9C749E4}" destId="{FE1EFB4D-268A-4A0E-B476-1A579A15F8B5}" srcOrd="4" destOrd="0" presId="urn:microsoft.com/office/officeart/2008/layout/NameandTitleOrganizationalChart"/>
    <dgm:cxn modelId="{32EE21B5-FD91-43E0-BB66-C69FF88A5892}" type="presParOf" srcId="{98437BB9-BFF2-4F35-8ED6-E58FF9C749E4}" destId="{949DD9B5-DA0A-42A5-8086-27D6C014E93C}" srcOrd="5" destOrd="0" presId="urn:microsoft.com/office/officeart/2008/layout/NameandTitleOrganizationalChart"/>
    <dgm:cxn modelId="{225006B1-960D-40CE-B514-CB72A87CC5C7}" type="presParOf" srcId="{949DD9B5-DA0A-42A5-8086-27D6C014E93C}" destId="{1605120C-D1C0-482B-9AE2-EFCB8D44AD88}" srcOrd="0" destOrd="0" presId="urn:microsoft.com/office/officeart/2008/layout/NameandTitleOrganizationalChart"/>
    <dgm:cxn modelId="{5C500B05-93B3-48CD-8C18-4DAD2F345E4D}" type="presParOf" srcId="{1605120C-D1C0-482B-9AE2-EFCB8D44AD88}" destId="{CAB8B3C7-C8B8-46C1-8DDC-C9148F8110CA}" srcOrd="0" destOrd="0" presId="urn:microsoft.com/office/officeart/2008/layout/NameandTitleOrganizationalChart"/>
    <dgm:cxn modelId="{55C12B1D-DFEF-4485-A5AD-937B61AEF3E2}" type="presParOf" srcId="{1605120C-D1C0-482B-9AE2-EFCB8D44AD88}" destId="{9B3BA139-5F5B-4E30-889D-A2F706A2695B}" srcOrd="1" destOrd="0" presId="urn:microsoft.com/office/officeart/2008/layout/NameandTitleOrganizationalChart"/>
    <dgm:cxn modelId="{EAF51448-6256-47F6-A973-13E714684519}" type="presParOf" srcId="{1605120C-D1C0-482B-9AE2-EFCB8D44AD88}" destId="{A1974806-8176-4775-A3F7-79EFBB25800A}" srcOrd="2" destOrd="0" presId="urn:microsoft.com/office/officeart/2008/layout/NameandTitleOrganizationalChart"/>
    <dgm:cxn modelId="{1F67813B-904B-47C6-86A9-595DD0545FB5}" type="presParOf" srcId="{949DD9B5-DA0A-42A5-8086-27D6C014E93C}" destId="{7C9BE08B-A832-462C-8951-234303DA27C7}" srcOrd="1" destOrd="0" presId="urn:microsoft.com/office/officeart/2008/layout/NameandTitleOrganizationalChart"/>
    <dgm:cxn modelId="{854BB9F7-C05D-4817-8916-1F46CAE44DAB}" type="presParOf" srcId="{949DD9B5-DA0A-42A5-8086-27D6C014E93C}" destId="{AE625F04-F92D-4E2F-BCC7-D80B90B58C6E}" srcOrd="2" destOrd="0" presId="urn:microsoft.com/office/officeart/2008/layout/NameandTitleOrganizationalChart"/>
    <dgm:cxn modelId="{FD655315-9A18-46A8-90BF-CBB4AA6A0DBC}" type="presParOf" srcId="{98437BB9-BFF2-4F35-8ED6-E58FF9C749E4}" destId="{A8C423A5-C532-4EBD-9AEB-031676824F60}" srcOrd="6" destOrd="0" presId="urn:microsoft.com/office/officeart/2008/layout/NameandTitleOrganizationalChart"/>
    <dgm:cxn modelId="{6B5ED00B-C658-493D-BC64-E598DB951ABA}" type="presParOf" srcId="{98437BB9-BFF2-4F35-8ED6-E58FF9C749E4}" destId="{49D05F32-4E40-4827-A253-97C89F6EF381}" srcOrd="7" destOrd="0" presId="urn:microsoft.com/office/officeart/2008/layout/NameandTitleOrganizationalChart"/>
    <dgm:cxn modelId="{A37C4C2D-E701-4F2F-957F-CCC20F1EAA7D}" type="presParOf" srcId="{49D05F32-4E40-4827-A253-97C89F6EF381}" destId="{D0174BCF-732C-4135-A194-02C564BA97C9}" srcOrd="0" destOrd="0" presId="urn:microsoft.com/office/officeart/2008/layout/NameandTitleOrganizationalChart"/>
    <dgm:cxn modelId="{5CFAF292-70A3-460B-B084-288C23D86CFD}" type="presParOf" srcId="{D0174BCF-732C-4135-A194-02C564BA97C9}" destId="{DD735BF7-B1EF-4CE8-A9E6-CA9D795B98F8}" srcOrd="0" destOrd="0" presId="urn:microsoft.com/office/officeart/2008/layout/NameandTitleOrganizationalChart"/>
    <dgm:cxn modelId="{12B3BE5B-1429-4203-AA7B-27ED662E4492}" type="presParOf" srcId="{D0174BCF-732C-4135-A194-02C564BA97C9}" destId="{7D2D0C51-BDD6-4C8C-BB15-F85DE0902888}" srcOrd="1" destOrd="0" presId="urn:microsoft.com/office/officeart/2008/layout/NameandTitleOrganizationalChart"/>
    <dgm:cxn modelId="{6A31F507-B7AF-4EB0-A957-F687DA378B8B}" type="presParOf" srcId="{D0174BCF-732C-4135-A194-02C564BA97C9}" destId="{62A597D1-8097-4A3A-8234-A08A001D73B0}" srcOrd="2" destOrd="0" presId="urn:microsoft.com/office/officeart/2008/layout/NameandTitleOrganizationalChart"/>
    <dgm:cxn modelId="{E6C72DC7-4020-45E9-B946-8C97C8210A9F}" type="presParOf" srcId="{49D05F32-4E40-4827-A253-97C89F6EF381}" destId="{9943B7B5-A74F-4A4F-96E6-89CFB26B505B}" srcOrd="1" destOrd="0" presId="urn:microsoft.com/office/officeart/2008/layout/NameandTitleOrganizationalChart"/>
    <dgm:cxn modelId="{C74766C3-CF5A-4832-A1EC-D19B06A5AB2D}" type="presParOf" srcId="{49D05F32-4E40-4827-A253-97C89F6EF381}" destId="{851671F2-2B9A-45B7-B6C7-EF99321205D6}" srcOrd="2" destOrd="0" presId="urn:microsoft.com/office/officeart/2008/layout/NameandTitleOrganizationalChart"/>
    <dgm:cxn modelId="{E20AF6E0-5783-416A-B69B-709097D3CD2A}" type="presParOf" srcId="{01AC8645-813A-4A9A-82C3-B574331D483D}" destId="{D523BA46-F152-4A97-BC8F-40D5511871BF}" srcOrd="2" destOrd="0" presId="urn:microsoft.com/office/officeart/2008/layout/NameandTitleOrganizationalChart"/>
    <dgm:cxn modelId="{CD6261E2-E761-4C9B-A33B-F64298CC718A}" type="presParOf" srcId="{8CA688BB-7814-4855-AC18-C34A0C9ECD58}" destId="{A2AAA880-5DAC-4A04-B8D6-C01D9612A6BA}" srcOrd="2" destOrd="0" presId="urn:microsoft.com/office/officeart/2008/layout/NameandTitleOrganizationalChart"/>
    <dgm:cxn modelId="{3806A9EB-F54B-45B6-9EF9-81052F7D1013}" type="presParOf" srcId="{8CA688BB-7814-4855-AC18-C34A0C9ECD58}" destId="{499C3693-699C-40F1-97B6-AF9719ADBF37}" srcOrd="3" destOrd="0" presId="urn:microsoft.com/office/officeart/2008/layout/NameandTitleOrganizationalChart"/>
    <dgm:cxn modelId="{4A6FAF51-8CD9-4BC7-97DD-7D3F68E9E2C1}" type="presParOf" srcId="{499C3693-699C-40F1-97B6-AF9719ADBF37}" destId="{2B712D9A-6F0E-47A2-AE2B-B799EE160BC5}" srcOrd="0" destOrd="0" presId="urn:microsoft.com/office/officeart/2008/layout/NameandTitleOrganizationalChart"/>
    <dgm:cxn modelId="{BCA59B9C-B17D-4DA7-9A96-6CBF163D285D}" type="presParOf" srcId="{2B712D9A-6F0E-47A2-AE2B-B799EE160BC5}" destId="{AFEDC19F-5E18-407A-91B8-4A37CB3005D9}" srcOrd="0" destOrd="0" presId="urn:microsoft.com/office/officeart/2008/layout/NameandTitleOrganizationalChart"/>
    <dgm:cxn modelId="{6AD9F310-878D-42C1-A214-2522BFDE3057}" type="presParOf" srcId="{2B712D9A-6F0E-47A2-AE2B-B799EE160BC5}" destId="{2E0D561D-EF1C-4E03-8586-7217D3A1BA85}" srcOrd="1" destOrd="0" presId="urn:microsoft.com/office/officeart/2008/layout/NameandTitleOrganizationalChart"/>
    <dgm:cxn modelId="{E8C8EAD1-E4E4-4C8A-B156-5C55B33DB0C3}" type="presParOf" srcId="{2B712D9A-6F0E-47A2-AE2B-B799EE160BC5}" destId="{89C329DE-2C82-4D8A-9BE7-F39B6FA0443D}" srcOrd="2" destOrd="0" presId="urn:microsoft.com/office/officeart/2008/layout/NameandTitleOrganizationalChart"/>
    <dgm:cxn modelId="{64E13CE5-E755-4953-93B1-6D20A2663388}" type="presParOf" srcId="{499C3693-699C-40F1-97B6-AF9719ADBF37}" destId="{E9FA59C9-6672-4A1C-BBA2-B50A741B8D39}" srcOrd="1" destOrd="0" presId="urn:microsoft.com/office/officeart/2008/layout/NameandTitleOrganizationalChart"/>
    <dgm:cxn modelId="{EBAA7528-6F70-4E4E-B182-66B338F31353}" type="presParOf" srcId="{499C3693-699C-40F1-97B6-AF9719ADBF37}" destId="{38AAC22F-C221-4B6C-A4A8-7A149D43FDEE}" srcOrd="2" destOrd="0" presId="urn:microsoft.com/office/officeart/2008/layout/NameandTitleOrganizationalChart"/>
    <dgm:cxn modelId="{D9758632-2643-489F-82E3-713EBC3D63DD}" type="presParOf" srcId="{8CA688BB-7814-4855-AC18-C34A0C9ECD58}" destId="{4F2029E6-4688-4E4A-930C-78819A801C6E}" srcOrd="4" destOrd="0" presId="urn:microsoft.com/office/officeart/2008/layout/NameandTitleOrganizationalChart"/>
    <dgm:cxn modelId="{A1C842E4-5785-4A3A-93DD-5AC39B7AD2E8}" type="presParOf" srcId="{8CA688BB-7814-4855-AC18-C34A0C9ECD58}" destId="{07605D35-E4FB-4549-839B-984A5B219C30}" srcOrd="5" destOrd="0" presId="urn:microsoft.com/office/officeart/2008/layout/NameandTitleOrganizationalChart"/>
    <dgm:cxn modelId="{80C62174-0B58-458D-9401-3D2F70572FB5}" type="presParOf" srcId="{07605D35-E4FB-4549-839B-984A5B219C30}" destId="{78147A8C-291F-4F84-AA01-1394D9F0BF9B}" srcOrd="0" destOrd="0" presId="urn:microsoft.com/office/officeart/2008/layout/NameandTitleOrganizationalChart"/>
    <dgm:cxn modelId="{8F02EFE3-BCB2-485A-A794-4220E2B6CC1C}" type="presParOf" srcId="{78147A8C-291F-4F84-AA01-1394D9F0BF9B}" destId="{7439A715-7671-47C4-8F06-B4B3F7D2CAFF}" srcOrd="0" destOrd="0" presId="urn:microsoft.com/office/officeart/2008/layout/NameandTitleOrganizationalChart"/>
    <dgm:cxn modelId="{65B0E68D-B16B-4FE7-AA8C-E34FE18617F2}" type="presParOf" srcId="{78147A8C-291F-4F84-AA01-1394D9F0BF9B}" destId="{CF40303A-144B-4634-9141-BA48ED9CC06F}" srcOrd="1" destOrd="0" presId="urn:microsoft.com/office/officeart/2008/layout/NameandTitleOrganizationalChart"/>
    <dgm:cxn modelId="{25065757-03C6-44B6-BC76-A8D1FC6B1F64}" type="presParOf" srcId="{78147A8C-291F-4F84-AA01-1394D9F0BF9B}" destId="{AD199797-2A6C-4922-8622-4AA2D9D96060}" srcOrd="2" destOrd="0" presId="urn:microsoft.com/office/officeart/2008/layout/NameandTitleOrganizationalChart"/>
    <dgm:cxn modelId="{15EDCC04-889B-46E1-82AC-2D32AD41BFC2}" type="presParOf" srcId="{07605D35-E4FB-4549-839B-984A5B219C30}" destId="{88099114-A96C-41BD-8F36-F3230C569575}" srcOrd="1" destOrd="0" presId="urn:microsoft.com/office/officeart/2008/layout/NameandTitleOrganizationalChart"/>
    <dgm:cxn modelId="{955AEF70-525D-4FC4-A470-5ECF870E7898}" type="presParOf" srcId="{88099114-A96C-41BD-8F36-F3230C569575}" destId="{03B90242-3A34-42ED-8B7E-9D6782457C18}" srcOrd="0" destOrd="0" presId="urn:microsoft.com/office/officeart/2008/layout/NameandTitleOrganizationalChart"/>
    <dgm:cxn modelId="{8080E2E2-65F8-40E8-A971-B40EAD11FBA5}" type="presParOf" srcId="{88099114-A96C-41BD-8F36-F3230C569575}" destId="{AA0208C1-5896-44F3-B44F-E203ACB9A26B}" srcOrd="1" destOrd="0" presId="urn:microsoft.com/office/officeart/2008/layout/NameandTitleOrganizationalChart"/>
    <dgm:cxn modelId="{7BECCFB3-8411-495B-B391-DE54CE2F8107}" type="presParOf" srcId="{AA0208C1-5896-44F3-B44F-E203ACB9A26B}" destId="{992BD382-3600-4279-9725-39E21746BF59}" srcOrd="0" destOrd="0" presId="urn:microsoft.com/office/officeart/2008/layout/NameandTitleOrganizationalChart"/>
    <dgm:cxn modelId="{EBED0483-E9EC-447F-A4FB-447ABA9903AD}" type="presParOf" srcId="{992BD382-3600-4279-9725-39E21746BF59}" destId="{0C9F8BBE-2D70-4EDF-BE84-1E97862A8D2D}" srcOrd="0" destOrd="0" presId="urn:microsoft.com/office/officeart/2008/layout/NameandTitleOrganizationalChart"/>
    <dgm:cxn modelId="{582C1EAC-8B1C-475A-AF50-81E04D8F1ACD}" type="presParOf" srcId="{992BD382-3600-4279-9725-39E21746BF59}" destId="{03B94904-6BC5-4944-B998-9DA08457AB2D}" srcOrd="1" destOrd="0" presId="urn:microsoft.com/office/officeart/2008/layout/NameandTitleOrganizationalChart"/>
    <dgm:cxn modelId="{4BDE9D59-6266-4AC6-B9A4-A32A0A88A237}" type="presParOf" srcId="{992BD382-3600-4279-9725-39E21746BF59}" destId="{3FB522F5-052C-4160-972A-53900489EEC1}" srcOrd="2" destOrd="0" presId="urn:microsoft.com/office/officeart/2008/layout/NameandTitleOrganizationalChart"/>
    <dgm:cxn modelId="{1259B68E-9F6F-4055-A609-C03D3AE00977}" type="presParOf" srcId="{AA0208C1-5896-44F3-B44F-E203ACB9A26B}" destId="{E1CB937D-9E80-41C4-B140-B6F7ED910098}" srcOrd="1" destOrd="0" presId="urn:microsoft.com/office/officeart/2008/layout/NameandTitleOrganizationalChart"/>
    <dgm:cxn modelId="{6D3EBD82-1489-408C-AB53-FF5C145FD91B}" type="presParOf" srcId="{AA0208C1-5896-44F3-B44F-E203ACB9A26B}" destId="{CEFCEFBE-8AB4-49BC-8EE4-9C317A2FCE80}" srcOrd="2" destOrd="0" presId="urn:microsoft.com/office/officeart/2008/layout/NameandTitleOrganizationalChart"/>
    <dgm:cxn modelId="{FC41BBEE-5C83-4482-A0E3-CC2448E2B584}" type="presParOf" srcId="{07605D35-E4FB-4549-839B-984A5B219C30}" destId="{4C60846A-AFF3-472B-A908-521A62D143A2}" srcOrd="2" destOrd="0" presId="urn:microsoft.com/office/officeart/2008/layout/NameandTitleOrganizationalChart"/>
    <dgm:cxn modelId="{92159C34-5ECC-4DD9-8E84-523C80A4C384}" type="presParOf" srcId="{8CA688BB-7814-4855-AC18-C34A0C9ECD58}" destId="{4E86D9E2-A71D-4E85-B491-00375E6F869D}" srcOrd="6" destOrd="0" presId="urn:microsoft.com/office/officeart/2008/layout/NameandTitleOrganizationalChart"/>
    <dgm:cxn modelId="{2EF5CD0F-B997-4618-B602-26BDABE95033}" type="presParOf" srcId="{8CA688BB-7814-4855-AC18-C34A0C9ECD58}" destId="{50879790-53EF-4E8D-8CD8-8230E1380198}" srcOrd="7" destOrd="0" presId="urn:microsoft.com/office/officeart/2008/layout/NameandTitleOrganizationalChart"/>
    <dgm:cxn modelId="{968CE3C8-7806-45EE-A5FA-3AF8EC3C06B6}" type="presParOf" srcId="{50879790-53EF-4E8D-8CD8-8230E1380198}" destId="{E7B21FCC-78F3-4B42-BB72-BCB036FFCE95}" srcOrd="0" destOrd="0" presId="urn:microsoft.com/office/officeart/2008/layout/NameandTitleOrganizationalChart"/>
    <dgm:cxn modelId="{45C08CE3-5D72-4DC9-83A9-6A8480CD45AC}" type="presParOf" srcId="{E7B21FCC-78F3-4B42-BB72-BCB036FFCE95}" destId="{4B35F7F9-45F9-459A-B5F2-1F7BB7C154DB}" srcOrd="0" destOrd="0" presId="urn:microsoft.com/office/officeart/2008/layout/NameandTitleOrganizationalChart"/>
    <dgm:cxn modelId="{2CCB7804-9837-45EF-A43C-18C9ACDBFCC7}" type="presParOf" srcId="{E7B21FCC-78F3-4B42-BB72-BCB036FFCE95}" destId="{55703F11-9F25-493F-BC19-BB4EC28CD8A6}" srcOrd="1" destOrd="0" presId="urn:microsoft.com/office/officeart/2008/layout/NameandTitleOrganizationalChart"/>
    <dgm:cxn modelId="{AC4B16E2-95A1-4ECF-9E19-3A9402509E70}" type="presParOf" srcId="{E7B21FCC-78F3-4B42-BB72-BCB036FFCE95}" destId="{95D115B9-3817-4F30-BC77-D7F9529339A6}" srcOrd="2" destOrd="0" presId="urn:microsoft.com/office/officeart/2008/layout/NameandTitleOrganizationalChart"/>
    <dgm:cxn modelId="{8F7300AC-9454-4CC3-B899-249E35272FAE}" type="presParOf" srcId="{50879790-53EF-4E8D-8CD8-8230E1380198}" destId="{F3980EA4-C2D8-4490-A72C-002E1860CAAD}" srcOrd="1" destOrd="0" presId="urn:microsoft.com/office/officeart/2008/layout/NameandTitleOrganizationalChart"/>
    <dgm:cxn modelId="{AD38AD48-8CBF-4394-A1DA-99044D29524B}" type="presParOf" srcId="{F3980EA4-C2D8-4490-A72C-002E1860CAAD}" destId="{F0DA88D1-3D92-4AD6-978B-B1AA19E850DD}" srcOrd="0" destOrd="0" presId="urn:microsoft.com/office/officeart/2008/layout/NameandTitleOrganizationalChart"/>
    <dgm:cxn modelId="{B9CF5ABA-B35F-486D-8F00-E1025AB261D6}" type="presParOf" srcId="{F3980EA4-C2D8-4490-A72C-002E1860CAAD}" destId="{2F3BBAB2-C3DA-43D4-BC0C-ECC1CC1BB254}" srcOrd="1" destOrd="0" presId="urn:microsoft.com/office/officeart/2008/layout/NameandTitleOrganizationalChart"/>
    <dgm:cxn modelId="{9FB910E7-72DB-4127-B546-0E2483071C66}" type="presParOf" srcId="{2F3BBAB2-C3DA-43D4-BC0C-ECC1CC1BB254}" destId="{F2A6587A-6DC0-4AAB-AC64-2DAC0883B298}" srcOrd="0" destOrd="0" presId="urn:microsoft.com/office/officeart/2008/layout/NameandTitleOrganizationalChart"/>
    <dgm:cxn modelId="{C98D3ADB-2FBF-4783-AEB2-B57D4A5CAF1C}" type="presParOf" srcId="{F2A6587A-6DC0-4AAB-AC64-2DAC0883B298}" destId="{407CA84F-7F26-4F8D-85E4-26D6112E50D0}" srcOrd="0" destOrd="0" presId="urn:microsoft.com/office/officeart/2008/layout/NameandTitleOrganizationalChart"/>
    <dgm:cxn modelId="{0D8F23FF-70FC-46AA-BBDB-EDFD5D0435BC}" type="presParOf" srcId="{F2A6587A-6DC0-4AAB-AC64-2DAC0883B298}" destId="{F1ADF4D2-5BD1-4B1C-986D-BEFB19ED6475}" srcOrd="1" destOrd="0" presId="urn:microsoft.com/office/officeart/2008/layout/NameandTitleOrganizationalChart"/>
    <dgm:cxn modelId="{B5446A3A-3105-4928-8965-9842CDAF94BB}" type="presParOf" srcId="{F2A6587A-6DC0-4AAB-AC64-2DAC0883B298}" destId="{5CAAB9C2-A50B-43BD-9A3C-C05C0FFCC722}" srcOrd="2" destOrd="0" presId="urn:microsoft.com/office/officeart/2008/layout/NameandTitleOrganizationalChart"/>
    <dgm:cxn modelId="{C0C8BE18-02B5-4112-9C85-EDCF530A3DD1}" type="presParOf" srcId="{2F3BBAB2-C3DA-43D4-BC0C-ECC1CC1BB254}" destId="{CF4BAEF9-8FB1-4517-806F-9E7081E0E29B}" srcOrd="1" destOrd="0" presId="urn:microsoft.com/office/officeart/2008/layout/NameandTitleOrganizationalChart"/>
    <dgm:cxn modelId="{C0365036-093C-4C6B-96DF-3897BF908C54}" type="presParOf" srcId="{2F3BBAB2-C3DA-43D4-BC0C-ECC1CC1BB254}" destId="{E1E8C353-EDAD-40BA-8361-3AC9B208ABCF}" srcOrd="2" destOrd="0" presId="urn:microsoft.com/office/officeart/2008/layout/NameandTitleOrganizationalChart"/>
    <dgm:cxn modelId="{64AC051E-65F0-4312-ACC0-CDAF0653F7A4}" type="presParOf" srcId="{F3980EA4-C2D8-4490-A72C-002E1860CAAD}" destId="{E8B219DF-8FE2-4FB9-A64B-F062D301D077}" srcOrd="2" destOrd="0" presId="urn:microsoft.com/office/officeart/2008/layout/NameandTitleOrganizationalChart"/>
    <dgm:cxn modelId="{CE698768-F7FC-4AE2-AC61-AA795D9AF160}" type="presParOf" srcId="{F3980EA4-C2D8-4490-A72C-002E1860CAAD}" destId="{A9139FA5-4605-4C2C-B6FB-1D7869C94460}" srcOrd="3" destOrd="0" presId="urn:microsoft.com/office/officeart/2008/layout/NameandTitleOrganizationalChart"/>
    <dgm:cxn modelId="{9D51C81E-562C-47B7-9B32-349DF21F0DBE}" type="presParOf" srcId="{A9139FA5-4605-4C2C-B6FB-1D7869C94460}" destId="{98FEABAE-BAF9-4CE0-B9B1-0F790314A6B1}" srcOrd="0" destOrd="0" presId="urn:microsoft.com/office/officeart/2008/layout/NameandTitleOrganizationalChart"/>
    <dgm:cxn modelId="{4CD26D24-92E7-41EE-A3E9-E6A2B4F79C64}" type="presParOf" srcId="{98FEABAE-BAF9-4CE0-B9B1-0F790314A6B1}" destId="{DED1B4A9-A09B-463D-9097-C9D780CBCEB5}" srcOrd="0" destOrd="0" presId="urn:microsoft.com/office/officeart/2008/layout/NameandTitleOrganizationalChart"/>
    <dgm:cxn modelId="{306996CF-E602-4D1D-B92D-C60C58F18DBB}" type="presParOf" srcId="{98FEABAE-BAF9-4CE0-B9B1-0F790314A6B1}" destId="{999C8EB7-F3F3-4881-8E2D-C941A99DD4F9}" srcOrd="1" destOrd="0" presId="urn:microsoft.com/office/officeart/2008/layout/NameandTitleOrganizationalChart"/>
    <dgm:cxn modelId="{2E04EB52-FF75-42ED-8514-4FEA85F3F6EE}" type="presParOf" srcId="{98FEABAE-BAF9-4CE0-B9B1-0F790314A6B1}" destId="{70F7AA5A-5B9C-47B0-B630-A9A85D9FC14B}" srcOrd="2" destOrd="0" presId="urn:microsoft.com/office/officeart/2008/layout/NameandTitleOrganizationalChart"/>
    <dgm:cxn modelId="{11C465AB-E494-42C5-8F45-63CBBE4396E9}" type="presParOf" srcId="{A9139FA5-4605-4C2C-B6FB-1D7869C94460}" destId="{8E82294A-9943-40A7-97E9-6C9E471FEF76}" srcOrd="1" destOrd="0" presId="urn:microsoft.com/office/officeart/2008/layout/NameandTitleOrganizationalChart"/>
    <dgm:cxn modelId="{EBA20767-64FD-4028-A16C-81ED165BBB25}" type="presParOf" srcId="{A9139FA5-4605-4C2C-B6FB-1D7869C94460}" destId="{EBC09BEE-EAAA-4384-AD02-D21EF5D30224}" srcOrd="2" destOrd="0" presId="urn:microsoft.com/office/officeart/2008/layout/NameandTitleOrganizationalChart"/>
    <dgm:cxn modelId="{CFF6B50D-4232-4ECB-A448-99B367B1C73D}" type="presParOf" srcId="{F3980EA4-C2D8-4490-A72C-002E1860CAAD}" destId="{FD9241F0-F46F-4849-8FD9-6CEDD626961B}" srcOrd="4" destOrd="0" presId="urn:microsoft.com/office/officeart/2008/layout/NameandTitleOrganizationalChart"/>
    <dgm:cxn modelId="{7D029954-39B0-44FB-8D6F-D68162CA6D26}" type="presParOf" srcId="{F3980EA4-C2D8-4490-A72C-002E1860CAAD}" destId="{1677CEC9-5FB3-4E42-851A-996F4B214C20}" srcOrd="5" destOrd="0" presId="urn:microsoft.com/office/officeart/2008/layout/NameandTitleOrganizationalChart"/>
    <dgm:cxn modelId="{CB0657DC-EF38-4D14-BDDB-B167AE9C7FBF}" type="presParOf" srcId="{1677CEC9-5FB3-4E42-851A-996F4B214C20}" destId="{575E6B1C-D125-4323-BBE2-25F6F3F715F9}" srcOrd="0" destOrd="0" presId="urn:microsoft.com/office/officeart/2008/layout/NameandTitleOrganizationalChart"/>
    <dgm:cxn modelId="{6B62E284-0914-4351-804E-11987D8491ED}" type="presParOf" srcId="{575E6B1C-D125-4323-BBE2-25F6F3F715F9}" destId="{E85AC1B9-667E-429F-AAE4-DB16B38A802E}" srcOrd="0" destOrd="0" presId="urn:microsoft.com/office/officeart/2008/layout/NameandTitleOrganizationalChart"/>
    <dgm:cxn modelId="{3FBCCE09-718A-4925-9122-6DA9F2B83455}" type="presParOf" srcId="{575E6B1C-D125-4323-BBE2-25F6F3F715F9}" destId="{8C6E2BA0-4419-4369-A683-78FC3BB7F6A7}" srcOrd="1" destOrd="0" presId="urn:microsoft.com/office/officeart/2008/layout/NameandTitleOrganizationalChart"/>
    <dgm:cxn modelId="{653CBF06-AE7B-48AC-9908-C96DDEEC1F28}" type="presParOf" srcId="{575E6B1C-D125-4323-BBE2-25F6F3F715F9}" destId="{6B9D259E-1D95-406A-9E5F-FB7C7737CD09}" srcOrd="2" destOrd="0" presId="urn:microsoft.com/office/officeart/2008/layout/NameandTitleOrganizationalChart"/>
    <dgm:cxn modelId="{CB7EB678-8949-49B3-BECE-21DE6A093041}" type="presParOf" srcId="{1677CEC9-5FB3-4E42-851A-996F4B214C20}" destId="{98C98210-0A72-4534-9C1F-9AFBD5CF66C6}" srcOrd="1" destOrd="0" presId="urn:microsoft.com/office/officeart/2008/layout/NameandTitleOrganizationalChart"/>
    <dgm:cxn modelId="{5D18F7AE-B444-4ADA-88BE-A38C5099CA28}" type="presParOf" srcId="{1677CEC9-5FB3-4E42-851A-996F4B214C20}" destId="{C5823C38-BB67-48DA-A069-8C036319B263}" srcOrd="2" destOrd="0" presId="urn:microsoft.com/office/officeart/2008/layout/NameandTitleOrganizationalChart"/>
    <dgm:cxn modelId="{2826BBF2-6699-46B1-9BBF-7F19E1B44E59}" type="presParOf" srcId="{F3980EA4-C2D8-4490-A72C-002E1860CAAD}" destId="{CCFBC367-DA40-467C-ADC9-BB5CB621FE6D}" srcOrd="6" destOrd="0" presId="urn:microsoft.com/office/officeart/2008/layout/NameandTitleOrganizationalChart"/>
    <dgm:cxn modelId="{1FF34660-C80B-46B1-9E2C-50055030B361}" type="presParOf" srcId="{F3980EA4-C2D8-4490-A72C-002E1860CAAD}" destId="{1A7BB1E3-066B-4117-A3F5-5FFC7BB126B7}" srcOrd="7" destOrd="0" presId="urn:microsoft.com/office/officeart/2008/layout/NameandTitleOrganizationalChart"/>
    <dgm:cxn modelId="{66EF5941-D6FD-4C57-9B22-E57771D7CA19}" type="presParOf" srcId="{1A7BB1E3-066B-4117-A3F5-5FFC7BB126B7}" destId="{AA0BC5BD-E086-4C49-BA74-DE1CD7CFAE90}" srcOrd="0" destOrd="0" presId="urn:microsoft.com/office/officeart/2008/layout/NameandTitleOrganizationalChart"/>
    <dgm:cxn modelId="{7C962C02-BC8F-4116-B336-7ECE8768ADD7}" type="presParOf" srcId="{AA0BC5BD-E086-4C49-BA74-DE1CD7CFAE90}" destId="{3C264107-59F7-46E0-852A-C7DE39952C9D}" srcOrd="0" destOrd="0" presId="urn:microsoft.com/office/officeart/2008/layout/NameandTitleOrganizationalChart"/>
    <dgm:cxn modelId="{192CC163-985B-422A-85C6-560E65B1C373}" type="presParOf" srcId="{AA0BC5BD-E086-4C49-BA74-DE1CD7CFAE90}" destId="{F7DC6F0D-2E0D-407C-B403-86685822E51E}" srcOrd="1" destOrd="0" presId="urn:microsoft.com/office/officeart/2008/layout/NameandTitleOrganizationalChart"/>
    <dgm:cxn modelId="{D18B553C-33AC-480B-B207-2E8A8686FE53}" type="presParOf" srcId="{AA0BC5BD-E086-4C49-BA74-DE1CD7CFAE90}" destId="{547B8573-7E03-4763-A415-4F0DEF31B99A}" srcOrd="2" destOrd="0" presId="urn:microsoft.com/office/officeart/2008/layout/NameandTitleOrganizationalChart"/>
    <dgm:cxn modelId="{FE4F20DE-F15B-4CFB-BAB3-0484BC2CBEFB}" type="presParOf" srcId="{1A7BB1E3-066B-4117-A3F5-5FFC7BB126B7}" destId="{D9C5F7A6-DE99-4041-976A-44A938BC27CD}" srcOrd="1" destOrd="0" presId="urn:microsoft.com/office/officeart/2008/layout/NameandTitleOrganizationalChart"/>
    <dgm:cxn modelId="{BB714720-BB02-48D6-A4C0-CD5F20B663F2}" type="presParOf" srcId="{1A7BB1E3-066B-4117-A3F5-5FFC7BB126B7}" destId="{6EA592E0-AA07-4AE0-8591-027229109F9C}" srcOrd="2" destOrd="0" presId="urn:microsoft.com/office/officeart/2008/layout/NameandTitleOrganizationalChart"/>
    <dgm:cxn modelId="{97990B78-341E-4995-AB9B-60828A744A35}" type="presParOf" srcId="{F3980EA4-C2D8-4490-A72C-002E1860CAAD}" destId="{999E9AF3-7A99-4C95-85B0-7F47F4AD18B4}" srcOrd="8" destOrd="0" presId="urn:microsoft.com/office/officeart/2008/layout/NameandTitleOrganizationalChart"/>
    <dgm:cxn modelId="{4DD0A138-4774-4199-9278-0E48574F7915}" type="presParOf" srcId="{F3980EA4-C2D8-4490-A72C-002E1860CAAD}" destId="{F4483D8F-E8FF-4194-8C7E-D49798EE78B6}" srcOrd="9" destOrd="0" presId="urn:microsoft.com/office/officeart/2008/layout/NameandTitleOrganizationalChart"/>
    <dgm:cxn modelId="{FE1C0E09-2A7C-42AE-920B-E5D1EDE77A58}" type="presParOf" srcId="{F4483D8F-E8FF-4194-8C7E-D49798EE78B6}" destId="{E612EE2B-189F-477C-9883-8F7D8030B9C3}" srcOrd="0" destOrd="0" presId="urn:microsoft.com/office/officeart/2008/layout/NameandTitleOrganizationalChart"/>
    <dgm:cxn modelId="{D5E0BAA6-946F-4164-B972-DB4FD72C4E9D}" type="presParOf" srcId="{E612EE2B-189F-477C-9883-8F7D8030B9C3}" destId="{11E99FA4-EAAF-4CB3-A6A8-EBF087F801C0}" srcOrd="0" destOrd="0" presId="urn:microsoft.com/office/officeart/2008/layout/NameandTitleOrganizationalChart"/>
    <dgm:cxn modelId="{B46355DB-4680-4E97-BC0A-A29E84D3295E}" type="presParOf" srcId="{E612EE2B-189F-477C-9883-8F7D8030B9C3}" destId="{BB4B196B-FF06-4C54-A1B0-DA6A859E236E}" srcOrd="1" destOrd="0" presId="urn:microsoft.com/office/officeart/2008/layout/NameandTitleOrganizationalChart"/>
    <dgm:cxn modelId="{EDFB1D5A-4BEB-4B80-A7AF-785EB0D2FE1F}" type="presParOf" srcId="{E612EE2B-189F-477C-9883-8F7D8030B9C3}" destId="{0B08242C-BBD4-43A2-BFE1-C70B3891B683}" srcOrd="2" destOrd="0" presId="urn:microsoft.com/office/officeart/2008/layout/NameandTitleOrganizationalChart"/>
    <dgm:cxn modelId="{4D8ED2EA-6F91-41C1-B985-F016D7149624}" type="presParOf" srcId="{F4483D8F-E8FF-4194-8C7E-D49798EE78B6}" destId="{900A2E05-34C7-4A9E-8ABF-BF00F266AA38}" srcOrd="1" destOrd="0" presId="urn:microsoft.com/office/officeart/2008/layout/NameandTitleOrganizationalChart"/>
    <dgm:cxn modelId="{E7EE442D-049D-4F94-AC75-808997796CDC}" type="presParOf" srcId="{F4483D8F-E8FF-4194-8C7E-D49798EE78B6}" destId="{6655B647-F9E2-4309-9F99-0066A46DAFC9}" srcOrd="2" destOrd="0" presId="urn:microsoft.com/office/officeart/2008/layout/NameandTitleOrganizationalChart"/>
    <dgm:cxn modelId="{3D5F3A97-262E-404D-9C99-46D1613903AA}" type="presParOf" srcId="{50879790-53EF-4E8D-8CD8-8230E1380198}" destId="{1249C2EE-CF69-4FE6-A430-4FBB6891E8C8}" srcOrd="2" destOrd="0" presId="urn:microsoft.com/office/officeart/2008/layout/NameandTitleOrganizationalChart"/>
    <dgm:cxn modelId="{B85FC300-0C73-4E9C-82BE-2FC01AF11306}" type="presParOf" srcId="{8CA688BB-7814-4855-AC18-C34A0C9ECD58}" destId="{73B2737E-4806-4CA2-B9DF-A81FC19AE3A9}" srcOrd="8" destOrd="0" presId="urn:microsoft.com/office/officeart/2008/layout/NameandTitleOrganizationalChart"/>
    <dgm:cxn modelId="{1DE79897-A824-4F28-9851-7F621E9B9D2B}" type="presParOf" srcId="{8CA688BB-7814-4855-AC18-C34A0C9ECD58}" destId="{02E96152-AF15-4913-962D-8A9C453C8DDE}" srcOrd="9" destOrd="0" presId="urn:microsoft.com/office/officeart/2008/layout/NameandTitleOrganizationalChart"/>
    <dgm:cxn modelId="{87FA3BC7-4DD2-4DBA-B966-26FD2CFB8C2C}" type="presParOf" srcId="{02E96152-AF15-4913-962D-8A9C453C8DDE}" destId="{352E8938-00BC-442F-A929-D00B697FB023}" srcOrd="0" destOrd="0" presId="urn:microsoft.com/office/officeart/2008/layout/NameandTitleOrganizationalChart"/>
    <dgm:cxn modelId="{25E2F7D4-C026-46C5-A3F1-A00F595C81E7}" type="presParOf" srcId="{352E8938-00BC-442F-A929-D00B697FB023}" destId="{7A2918B6-34D6-4CA2-8B3D-5D8F05884144}" srcOrd="0" destOrd="0" presId="urn:microsoft.com/office/officeart/2008/layout/NameandTitleOrganizationalChart"/>
    <dgm:cxn modelId="{0278B4EB-7053-4859-819D-A175F238AE9B}" type="presParOf" srcId="{352E8938-00BC-442F-A929-D00B697FB023}" destId="{DF8B7B3B-A87A-4E99-A3ED-BCA449B777B5}" srcOrd="1" destOrd="0" presId="urn:microsoft.com/office/officeart/2008/layout/NameandTitleOrganizationalChart"/>
    <dgm:cxn modelId="{17149101-5512-43AE-BF7A-E9F82D70994F}" type="presParOf" srcId="{352E8938-00BC-442F-A929-D00B697FB023}" destId="{A36B3183-85D1-4DB5-BA32-7FB9D7009B51}" srcOrd="2" destOrd="0" presId="urn:microsoft.com/office/officeart/2008/layout/NameandTitleOrganizationalChart"/>
    <dgm:cxn modelId="{398DF883-13F2-48C6-A70A-DB5FA81C7D6C}" type="presParOf" srcId="{02E96152-AF15-4913-962D-8A9C453C8DDE}" destId="{DE26F534-AC12-4C55-903B-D7DAA2A79E0F}" srcOrd="1" destOrd="0" presId="urn:microsoft.com/office/officeart/2008/layout/NameandTitleOrganizationalChart"/>
    <dgm:cxn modelId="{079573D4-2740-4611-9443-763E8BCC34BE}" type="presParOf" srcId="{02E96152-AF15-4913-962D-8A9C453C8DDE}" destId="{DE2405D9-D349-41B0-A212-D850FAB74864}" srcOrd="2" destOrd="0" presId="urn:microsoft.com/office/officeart/2008/layout/NameandTitleOrganizationalChart"/>
    <dgm:cxn modelId="{22804713-CD0D-4CF4-8118-962D72310D9C}" type="presParOf" srcId="{1FC75BCB-70D1-4812-953D-2A63C5BB5986}" destId="{4DF396A0-D096-4B34-9B34-885FE7AD1F93}" srcOrd="2" destOrd="0" presId="urn:microsoft.com/office/officeart/2008/layout/NameandTitleOrganizationalChart"/>
    <dgm:cxn modelId="{49444D99-8D20-4351-AF10-41CAFDEE324C}" type="presParOf" srcId="{C718AD6A-FDF4-4DFE-B639-235A92E0D1E5}" destId="{109F8590-1762-4E11-B05E-AA6840EBDED4}" srcOrd="6" destOrd="0" presId="urn:microsoft.com/office/officeart/2008/layout/NameandTitleOrganizationalChart"/>
    <dgm:cxn modelId="{64990A88-ACD2-434C-89D8-2D668E00CA00}" type="presParOf" srcId="{C718AD6A-FDF4-4DFE-B639-235A92E0D1E5}" destId="{E4A79CB6-4587-4266-BE66-8AF6F64EBDAE}" srcOrd="7" destOrd="0" presId="urn:microsoft.com/office/officeart/2008/layout/NameandTitleOrganizationalChart"/>
    <dgm:cxn modelId="{F7D9D3CC-F89A-44C7-96EB-C15D01EEFF8C}" type="presParOf" srcId="{E4A79CB6-4587-4266-BE66-8AF6F64EBDAE}" destId="{52832369-D2D6-461C-ACD0-DE03826B8FC1}" srcOrd="0" destOrd="0" presId="urn:microsoft.com/office/officeart/2008/layout/NameandTitleOrganizationalChart"/>
    <dgm:cxn modelId="{0E02DF82-C5F4-4E6C-B826-A1968B48D016}" type="presParOf" srcId="{52832369-D2D6-461C-ACD0-DE03826B8FC1}" destId="{855A593A-036B-4255-A61D-F4A276F609D7}" srcOrd="0" destOrd="0" presId="urn:microsoft.com/office/officeart/2008/layout/NameandTitleOrganizationalChart"/>
    <dgm:cxn modelId="{669D2700-EA2D-47F2-8976-98ABFBF62ED3}" type="presParOf" srcId="{52832369-D2D6-461C-ACD0-DE03826B8FC1}" destId="{2006F91F-A590-446F-A53C-1077DD0B77D8}" srcOrd="1" destOrd="0" presId="urn:microsoft.com/office/officeart/2008/layout/NameandTitleOrganizationalChart"/>
    <dgm:cxn modelId="{A2F14021-C052-4771-8B80-7173FB1323CF}" type="presParOf" srcId="{52832369-D2D6-461C-ACD0-DE03826B8FC1}" destId="{BD5C2E94-63F3-40ED-BF12-AF021E3DBAAF}" srcOrd="2" destOrd="0" presId="urn:microsoft.com/office/officeart/2008/layout/NameandTitleOrganizationalChart"/>
    <dgm:cxn modelId="{61D3ED69-6DDA-44D8-BB82-01C396112B9B}" type="presParOf" srcId="{E4A79CB6-4587-4266-BE66-8AF6F64EBDAE}" destId="{77C447F9-7A18-4CCE-BFB4-06F39258187E}" srcOrd="1" destOrd="0" presId="urn:microsoft.com/office/officeart/2008/layout/NameandTitleOrganizationalChart"/>
    <dgm:cxn modelId="{37BAD1EB-8CD9-4374-BC7C-2EED24D66EA4}" type="presParOf" srcId="{77C447F9-7A18-4CCE-BFB4-06F39258187E}" destId="{538E41C0-FA0A-4FCA-8A8B-7F21F92A66FD}" srcOrd="0" destOrd="0" presId="urn:microsoft.com/office/officeart/2008/layout/NameandTitleOrganizationalChart"/>
    <dgm:cxn modelId="{39D96E19-05EA-40B9-B932-47780709ECE5}" type="presParOf" srcId="{77C447F9-7A18-4CCE-BFB4-06F39258187E}" destId="{527D7646-9AA1-498C-B817-290B17B3CFE0}" srcOrd="1" destOrd="0" presId="urn:microsoft.com/office/officeart/2008/layout/NameandTitleOrganizationalChart"/>
    <dgm:cxn modelId="{7F13EC1E-1BCB-4489-B6E2-D44B965A198B}" type="presParOf" srcId="{527D7646-9AA1-498C-B817-290B17B3CFE0}" destId="{220573FA-6625-475D-94D8-557E2EF9BC03}" srcOrd="0" destOrd="0" presId="urn:microsoft.com/office/officeart/2008/layout/NameandTitleOrganizationalChart"/>
    <dgm:cxn modelId="{6C774537-FF84-4A97-967F-430FFC95624B}" type="presParOf" srcId="{220573FA-6625-475D-94D8-557E2EF9BC03}" destId="{2EAE41F0-901C-47E0-AB40-0C2FC1201E38}" srcOrd="0" destOrd="0" presId="urn:microsoft.com/office/officeart/2008/layout/NameandTitleOrganizationalChart"/>
    <dgm:cxn modelId="{42D8CADA-1D6B-4F8C-882C-77232DB2F28F}" type="presParOf" srcId="{220573FA-6625-475D-94D8-557E2EF9BC03}" destId="{E0DD0F86-8CAD-483C-98F0-C6E45A2154E8}" srcOrd="1" destOrd="0" presId="urn:microsoft.com/office/officeart/2008/layout/NameandTitleOrganizationalChart"/>
    <dgm:cxn modelId="{53AA538F-EA4F-411A-B201-82858E8201ED}" type="presParOf" srcId="{220573FA-6625-475D-94D8-557E2EF9BC03}" destId="{A7D5D95F-0527-4DA6-A3AF-058BC8C5030F}" srcOrd="2" destOrd="0" presId="urn:microsoft.com/office/officeart/2008/layout/NameandTitleOrganizationalChart"/>
    <dgm:cxn modelId="{65C446F6-7219-4D6D-949B-0F48F3A546A4}" type="presParOf" srcId="{527D7646-9AA1-498C-B817-290B17B3CFE0}" destId="{C7543BB6-1335-408C-8A43-F7820D4D6EBA}" srcOrd="1" destOrd="0" presId="urn:microsoft.com/office/officeart/2008/layout/NameandTitleOrganizationalChart"/>
    <dgm:cxn modelId="{97F6E0F3-1E2E-4324-8B54-F6A7F112D0DA}" type="presParOf" srcId="{527D7646-9AA1-498C-B817-290B17B3CFE0}" destId="{8F00E0C6-E6D7-475A-BF2D-EC5C86ABD351}" srcOrd="2" destOrd="0" presId="urn:microsoft.com/office/officeart/2008/layout/NameandTitleOrganizationalChart"/>
    <dgm:cxn modelId="{E2F8492A-61A5-45D1-B018-95F716044775}" type="presParOf" srcId="{E4A79CB6-4587-4266-BE66-8AF6F64EBDAE}" destId="{349E4B20-27E4-4E71-A2D6-0B54D9D5AFAE}" srcOrd="2" destOrd="0" presId="urn:microsoft.com/office/officeart/2008/layout/NameandTitleOrganizationalChart"/>
    <dgm:cxn modelId="{BF70B3C9-3554-43A7-AF11-D607B484770D}" type="presParOf" srcId="{906B4734-EFAA-463B-A796-C9A7BB211290}" destId="{A2F66C9E-DA13-42AE-BAFB-B7BD464EB344}" srcOrd="2" destOrd="0" presId="urn:microsoft.com/office/officeart/2008/layout/NameandTitleOrganizationalChart"/>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7E8FC79B-76F0-41F5-A012-3187A9AC115C}" type="doc">
      <dgm:prSet loTypeId="urn:microsoft.com/office/officeart/2008/layout/NameandTitleOrganizationalChart" loCatId="hierarchy" qsTypeId="urn:microsoft.com/office/officeart/2005/8/quickstyle/simple1" qsCatId="simple" csTypeId="urn:microsoft.com/office/officeart/2005/8/colors/accent1_2" csCatId="accent1" phldr="1"/>
      <dgm:spPr/>
      <dgm:t>
        <a:bodyPr/>
        <a:lstStyle/>
        <a:p>
          <a:endParaRPr lang="ru-RU"/>
        </a:p>
      </dgm:t>
    </dgm:pt>
    <dgm:pt modelId="{F1654C6F-1BCD-47E6-96F0-4A8D2BF55594}">
      <dgm:prSet phldrT="[Текст]"/>
      <dgm:spPr/>
      <dgm:t>
        <a:bodyPr/>
        <a:lstStyle/>
        <a:p>
          <a:r>
            <a:rPr lang="en-US"/>
            <a:t>Navy</a:t>
          </a:r>
          <a:endParaRPr lang="ru-RU"/>
        </a:p>
      </dgm:t>
    </dgm:pt>
    <dgm:pt modelId="{4CE9B61C-568F-43E8-AB96-40EE191856F6}" type="parTrans" cxnId="{CC0B8882-9725-42FD-9C16-54C75F2DE13D}">
      <dgm:prSet/>
      <dgm:spPr/>
      <dgm:t>
        <a:bodyPr/>
        <a:lstStyle/>
        <a:p>
          <a:endParaRPr lang="ru-RU"/>
        </a:p>
      </dgm:t>
    </dgm:pt>
    <dgm:pt modelId="{735989BA-7323-449A-96EE-97D89A4D71DB}" type="sibTrans" cxnId="{CC0B8882-9725-42FD-9C16-54C75F2DE13D}">
      <dgm:prSet/>
      <dgm:spPr/>
      <dgm:t>
        <a:bodyPr/>
        <a:lstStyle/>
        <a:p>
          <a:endParaRPr lang="ru-RU"/>
        </a:p>
      </dgm:t>
    </dgm:pt>
    <dgm:pt modelId="{727E455D-E88A-4DFB-B24F-D6A498317184}">
      <dgm:prSet phldrT="[Текст]"/>
      <dgm:spPr/>
      <dgm:t>
        <a:bodyPr/>
        <a:lstStyle/>
        <a:p>
          <a:r>
            <a:rPr lang="en-US"/>
            <a:t>Suzail Fleet</a:t>
          </a:r>
          <a:endParaRPr lang="ru-RU"/>
        </a:p>
      </dgm:t>
    </dgm:pt>
    <dgm:pt modelId="{BDBC6950-F7AB-4F56-8B83-4D814DE532CC}" type="parTrans" cxnId="{6D04BE88-3F33-471B-BE40-5B94A42C6CF9}">
      <dgm:prSet/>
      <dgm:spPr/>
      <dgm:t>
        <a:bodyPr/>
        <a:lstStyle/>
        <a:p>
          <a:endParaRPr lang="ru-RU"/>
        </a:p>
      </dgm:t>
    </dgm:pt>
    <dgm:pt modelId="{3053ACE6-D7D7-473E-B21D-3A2FEC13D5F0}" type="sibTrans" cxnId="{6D04BE88-3F33-471B-BE40-5B94A42C6CF9}">
      <dgm:prSet/>
      <dgm:spPr/>
      <dgm:t>
        <a:bodyPr/>
        <a:lstStyle/>
        <a:p>
          <a:endParaRPr lang="ru-RU"/>
        </a:p>
      </dgm:t>
    </dgm:pt>
    <dgm:pt modelId="{11953D8A-6EAC-4E7A-AD95-EB292D54A892}">
      <dgm:prSet phldrT="[Текст]"/>
      <dgm:spPr/>
      <dgm:t>
        <a:bodyPr/>
        <a:lstStyle/>
        <a:p>
          <a:r>
            <a:rPr lang="en-US"/>
            <a:t>Marsember Fleet</a:t>
          </a:r>
          <a:endParaRPr lang="ru-RU"/>
        </a:p>
      </dgm:t>
    </dgm:pt>
    <dgm:pt modelId="{DF3B1DC3-9201-4EED-951D-5726E1303F11}" type="parTrans" cxnId="{3F1F3FE6-1C0B-434E-A350-9EE17A26FDB6}">
      <dgm:prSet/>
      <dgm:spPr/>
      <dgm:t>
        <a:bodyPr/>
        <a:lstStyle/>
        <a:p>
          <a:endParaRPr lang="ru-RU"/>
        </a:p>
      </dgm:t>
    </dgm:pt>
    <dgm:pt modelId="{7E7D5A36-99D7-499C-AE9B-1B77F7291EF2}" type="sibTrans" cxnId="{3F1F3FE6-1C0B-434E-A350-9EE17A26FDB6}">
      <dgm:prSet/>
      <dgm:spPr/>
      <dgm:t>
        <a:bodyPr/>
        <a:lstStyle/>
        <a:p>
          <a:endParaRPr lang="ru-RU"/>
        </a:p>
      </dgm:t>
    </dgm:pt>
    <dgm:pt modelId="{6BBBEDFC-16B6-4F94-8A24-1672C160C7C8}">
      <dgm:prSet phldrT="[Текст]"/>
      <dgm:spPr/>
      <dgm:t>
        <a:bodyPr/>
        <a:lstStyle/>
        <a:p>
          <a:r>
            <a:rPr lang="en-US"/>
            <a:t>Dawngleam Fleet</a:t>
          </a:r>
          <a:endParaRPr lang="ru-RU"/>
        </a:p>
      </dgm:t>
    </dgm:pt>
    <dgm:pt modelId="{14076670-5B22-4D8B-BE56-D538804E1A23}" type="parTrans" cxnId="{11BC50B5-A49E-4182-B378-2996AA1E7CC3}">
      <dgm:prSet/>
      <dgm:spPr/>
      <dgm:t>
        <a:bodyPr/>
        <a:lstStyle/>
        <a:p>
          <a:endParaRPr lang="ru-RU"/>
        </a:p>
      </dgm:t>
    </dgm:pt>
    <dgm:pt modelId="{77F6E827-1A02-4370-9B9C-07F44C03C9A9}" type="sibTrans" cxnId="{11BC50B5-A49E-4182-B378-2996AA1E7CC3}">
      <dgm:prSet/>
      <dgm:spPr/>
      <dgm:t>
        <a:bodyPr/>
        <a:lstStyle/>
        <a:p>
          <a:endParaRPr lang="ru-RU"/>
        </a:p>
      </dgm:t>
    </dgm:pt>
    <dgm:pt modelId="{CE17AF00-C362-4AAD-B419-AFEED7EBD340}" type="asst">
      <dgm:prSet/>
      <dgm:spPr/>
      <dgm:t>
        <a:bodyPr/>
        <a:lstStyle/>
        <a:p>
          <a:r>
            <a:rPr lang="en-US"/>
            <a:t>6 Squadron</a:t>
          </a:r>
          <a:endParaRPr lang="ru-RU"/>
        </a:p>
      </dgm:t>
    </dgm:pt>
    <dgm:pt modelId="{6DDC9699-6ED4-4599-90BC-1787E5B9D759}" type="parTrans" cxnId="{995B4D18-FB85-49CF-94DE-99BF4726B2F5}">
      <dgm:prSet/>
      <dgm:spPr/>
      <dgm:t>
        <a:bodyPr/>
        <a:lstStyle/>
        <a:p>
          <a:endParaRPr lang="ru-RU"/>
        </a:p>
      </dgm:t>
    </dgm:pt>
    <dgm:pt modelId="{22B17A02-EB59-430D-8F2D-EAA86288C4BD}" type="sibTrans" cxnId="{995B4D18-FB85-49CF-94DE-99BF4726B2F5}">
      <dgm:prSet/>
      <dgm:spPr/>
      <dgm:t>
        <a:bodyPr/>
        <a:lstStyle/>
        <a:p>
          <a:endParaRPr lang="ru-RU"/>
        </a:p>
      </dgm:t>
    </dgm:pt>
    <dgm:pt modelId="{138F9918-DA42-4656-9F0E-FED203FE44E2}">
      <dgm:prSet/>
      <dgm:spPr/>
      <dgm:t>
        <a:bodyPr/>
        <a:lstStyle/>
        <a:p>
          <a:r>
            <a:rPr lang="en-US"/>
            <a:t>1st Squadron</a:t>
          </a:r>
          <a:endParaRPr lang="ru-RU"/>
        </a:p>
      </dgm:t>
    </dgm:pt>
    <dgm:pt modelId="{5DA6C0B1-11A5-47B7-B6F9-F42DC4B133E4}" type="parTrans" cxnId="{812EB078-C9D6-479B-BCB9-F2420E627186}">
      <dgm:prSet/>
      <dgm:spPr/>
      <dgm:t>
        <a:bodyPr/>
        <a:lstStyle/>
        <a:p>
          <a:endParaRPr lang="ru-RU"/>
        </a:p>
      </dgm:t>
    </dgm:pt>
    <dgm:pt modelId="{391AC4E5-B898-46B2-B0F3-777182E071C7}" type="sibTrans" cxnId="{812EB078-C9D6-479B-BCB9-F2420E627186}">
      <dgm:prSet/>
      <dgm:spPr/>
      <dgm:t>
        <a:bodyPr/>
        <a:lstStyle/>
        <a:p>
          <a:endParaRPr lang="ru-RU"/>
        </a:p>
      </dgm:t>
    </dgm:pt>
    <dgm:pt modelId="{0E678B1D-CA7A-44BE-96D9-7C879A76AD2A}">
      <dgm:prSet/>
      <dgm:spPr/>
      <dgm:t>
        <a:bodyPr/>
        <a:lstStyle/>
        <a:p>
          <a:r>
            <a:rPr lang="en-US"/>
            <a:t>2nd Squadron</a:t>
          </a:r>
          <a:endParaRPr lang="ru-RU"/>
        </a:p>
      </dgm:t>
    </dgm:pt>
    <dgm:pt modelId="{07C11DA3-3B8C-47F3-82C9-2B9835BA9CFE}" type="parTrans" cxnId="{77BC9CCB-F56F-435D-9763-1CF0548BFB5C}">
      <dgm:prSet/>
      <dgm:spPr/>
      <dgm:t>
        <a:bodyPr/>
        <a:lstStyle/>
        <a:p>
          <a:endParaRPr lang="ru-RU"/>
        </a:p>
      </dgm:t>
    </dgm:pt>
    <dgm:pt modelId="{086F9518-64B4-4320-B00E-F08546F93515}" type="sibTrans" cxnId="{77BC9CCB-F56F-435D-9763-1CF0548BFB5C}">
      <dgm:prSet/>
      <dgm:spPr/>
      <dgm:t>
        <a:bodyPr/>
        <a:lstStyle/>
        <a:p>
          <a:endParaRPr lang="ru-RU"/>
        </a:p>
      </dgm:t>
    </dgm:pt>
    <dgm:pt modelId="{78C8840C-70B7-4CF7-BA4E-DE17C1DDBB80}">
      <dgm:prSet/>
      <dgm:spPr/>
      <dgm:t>
        <a:bodyPr/>
        <a:lstStyle/>
        <a:p>
          <a:r>
            <a:rPr lang="en-US"/>
            <a:t>3rd Squadron</a:t>
          </a:r>
          <a:endParaRPr lang="ru-RU"/>
        </a:p>
      </dgm:t>
    </dgm:pt>
    <dgm:pt modelId="{A1602992-DC71-4329-B7B5-638E30ECA561}" type="parTrans" cxnId="{7477D1FE-3189-467C-90E9-206AC7B6F1E9}">
      <dgm:prSet/>
      <dgm:spPr/>
      <dgm:t>
        <a:bodyPr/>
        <a:lstStyle/>
        <a:p>
          <a:endParaRPr lang="ru-RU"/>
        </a:p>
      </dgm:t>
    </dgm:pt>
    <dgm:pt modelId="{B7A1435E-2B8E-4853-8C1A-3DF880396857}" type="sibTrans" cxnId="{7477D1FE-3189-467C-90E9-206AC7B6F1E9}">
      <dgm:prSet/>
      <dgm:spPr/>
      <dgm:t>
        <a:bodyPr/>
        <a:lstStyle/>
        <a:p>
          <a:endParaRPr lang="ru-RU"/>
        </a:p>
      </dgm:t>
    </dgm:pt>
    <dgm:pt modelId="{35744798-F8E7-45C5-8A66-513833856EAB}">
      <dgm:prSet phldrT="[Текст]"/>
      <dgm:spPr/>
      <dgm:t>
        <a:bodyPr/>
        <a:lstStyle/>
        <a:p>
          <a:r>
            <a:rPr lang="en-US"/>
            <a:t>4 Squadron</a:t>
          </a:r>
          <a:endParaRPr lang="ru-RU"/>
        </a:p>
      </dgm:t>
    </dgm:pt>
    <dgm:pt modelId="{2B8F8450-49D5-4D3C-9E6D-424054820BBE}" type="parTrans" cxnId="{25BB86EA-8373-4D0F-B050-6F9AD501731B}">
      <dgm:prSet/>
      <dgm:spPr/>
      <dgm:t>
        <a:bodyPr/>
        <a:lstStyle/>
        <a:p>
          <a:endParaRPr lang="ru-RU"/>
        </a:p>
      </dgm:t>
    </dgm:pt>
    <dgm:pt modelId="{AA703480-1A17-4BCC-ABD0-7108BF384347}" type="sibTrans" cxnId="{25BB86EA-8373-4D0F-B050-6F9AD501731B}">
      <dgm:prSet/>
      <dgm:spPr/>
      <dgm:t>
        <a:bodyPr/>
        <a:lstStyle/>
        <a:p>
          <a:endParaRPr lang="ru-RU"/>
        </a:p>
      </dgm:t>
    </dgm:pt>
    <dgm:pt modelId="{10E72BEC-3226-4401-BF29-1B348A3CD7E7}">
      <dgm:prSet phldrT="[Текст]"/>
      <dgm:spPr/>
      <dgm:t>
        <a:bodyPr/>
        <a:lstStyle/>
        <a:p>
          <a:r>
            <a:rPr lang="en-US"/>
            <a:t>5 Squadron</a:t>
          </a:r>
          <a:endParaRPr lang="ru-RU"/>
        </a:p>
      </dgm:t>
    </dgm:pt>
    <dgm:pt modelId="{00DB5D1C-9548-488C-A254-2D1C08BF18E7}" type="parTrans" cxnId="{0BFED71D-56D8-402C-837F-3DBAFAEF70CA}">
      <dgm:prSet/>
      <dgm:spPr/>
      <dgm:t>
        <a:bodyPr/>
        <a:lstStyle/>
        <a:p>
          <a:endParaRPr lang="ru-RU"/>
        </a:p>
      </dgm:t>
    </dgm:pt>
    <dgm:pt modelId="{BEE46344-EE54-4BAD-BF32-AE5629A1684A}" type="sibTrans" cxnId="{0BFED71D-56D8-402C-837F-3DBAFAEF70CA}">
      <dgm:prSet/>
      <dgm:spPr/>
      <dgm:t>
        <a:bodyPr/>
        <a:lstStyle/>
        <a:p>
          <a:endParaRPr lang="ru-RU"/>
        </a:p>
      </dgm:t>
    </dgm:pt>
    <dgm:pt modelId="{C1445725-D6B2-42B1-866B-840AD260B3B3}">
      <dgm:prSet phldrT="[Текст]"/>
      <dgm:spPr/>
      <dgm:t>
        <a:bodyPr/>
        <a:lstStyle/>
        <a:p>
          <a:r>
            <a:rPr lang="en-US"/>
            <a:t>Training Squadron</a:t>
          </a:r>
          <a:endParaRPr lang="ru-RU"/>
        </a:p>
      </dgm:t>
    </dgm:pt>
    <dgm:pt modelId="{07A0371C-38D4-491B-BC1A-F8DB1ECA7AB0}" type="parTrans" cxnId="{9A9376AA-3C32-42B9-85F9-163BE46720A0}">
      <dgm:prSet/>
      <dgm:spPr/>
      <dgm:t>
        <a:bodyPr/>
        <a:lstStyle/>
        <a:p>
          <a:endParaRPr lang="ru-RU"/>
        </a:p>
      </dgm:t>
    </dgm:pt>
    <dgm:pt modelId="{20D21282-5816-47C4-AB63-4C21E41FDC2A}" type="sibTrans" cxnId="{9A9376AA-3C32-42B9-85F9-163BE46720A0}">
      <dgm:prSet/>
      <dgm:spPr/>
      <dgm:t>
        <a:bodyPr/>
        <a:lstStyle/>
        <a:p>
          <a:endParaRPr lang="ru-RU"/>
        </a:p>
      </dgm:t>
    </dgm:pt>
    <dgm:pt modelId="{CDC1C333-31D5-4E80-9ED7-6EBE06399FED}" type="asst">
      <dgm:prSet/>
      <dgm:spPr/>
      <dgm:t>
        <a:bodyPr/>
        <a:lstStyle/>
        <a:p>
          <a:r>
            <a:rPr lang="en-US"/>
            <a:t>7 Squadron</a:t>
          </a:r>
          <a:endParaRPr lang="ru-RU"/>
        </a:p>
      </dgm:t>
    </dgm:pt>
    <dgm:pt modelId="{E38461A3-4A23-453E-811E-BE847976849C}" type="parTrans" cxnId="{065A4557-92A1-431A-B54C-6C303BC827EF}">
      <dgm:prSet/>
      <dgm:spPr/>
      <dgm:t>
        <a:bodyPr/>
        <a:lstStyle/>
        <a:p>
          <a:endParaRPr lang="ru-RU"/>
        </a:p>
      </dgm:t>
    </dgm:pt>
    <dgm:pt modelId="{9F3D1EB5-2769-42EF-ADF6-8769EC34216C}" type="sibTrans" cxnId="{065A4557-92A1-431A-B54C-6C303BC827EF}">
      <dgm:prSet/>
      <dgm:spPr/>
      <dgm:t>
        <a:bodyPr/>
        <a:lstStyle/>
        <a:p>
          <a:endParaRPr lang="ru-RU"/>
        </a:p>
      </dgm:t>
    </dgm:pt>
    <dgm:pt modelId="{98CD0CC4-2547-4747-8DCB-DC543BCC9478}" type="pres">
      <dgm:prSet presAssocID="{7E8FC79B-76F0-41F5-A012-3187A9AC115C}" presName="hierChild1" presStyleCnt="0">
        <dgm:presLayoutVars>
          <dgm:orgChart val="1"/>
          <dgm:chPref val="1"/>
          <dgm:dir/>
          <dgm:animOne val="branch"/>
          <dgm:animLvl val="lvl"/>
          <dgm:resizeHandles/>
        </dgm:presLayoutVars>
      </dgm:prSet>
      <dgm:spPr/>
    </dgm:pt>
    <dgm:pt modelId="{B2DCB7DE-B050-4D78-8560-B87EBED7F358}" type="pres">
      <dgm:prSet presAssocID="{F1654C6F-1BCD-47E6-96F0-4A8D2BF55594}" presName="hierRoot1" presStyleCnt="0">
        <dgm:presLayoutVars>
          <dgm:hierBranch val="init"/>
        </dgm:presLayoutVars>
      </dgm:prSet>
      <dgm:spPr/>
    </dgm:pt>
    <dgm:pt modelId="{6005FF58-0E92-4DBE-8757-F0501C18BADE}" type="pres">
      <dgm:prSet presAssocID="{F1654C6F-1BCD-47E6-96F0-4A8D2BF55594}" presName="rootComposite1" presStyleCnt="0"/>
      <dgm:spPr/>
    </dgm:pt>
    <dgm:pt modelId="{C63475E5-49FE-41EA-B82E-C38629E1BE06}" type="pres">
      <dgm:prSet presAssocID="{F1654C6F-1BCD-47E6-96F0-4A8D2BF55594}" presName="rootText1" presStyleLbl="node0" presStyleIdx="0" presStyleCnt="1">
        <dgm:presLayoutVars>
          <dgm:chMax/>
          <dgm:chPref val="3"/>
        </dgm:presLayoutVars>
      </dgm:prSet>
      <dgm:spPr/>
    </dgm:pt>
    <dgm:pt modelId="{DC5A80F1-077C-4B03-8FED-F735DA16440B}" type="pres">
      <dgm:prSet presAssocID="{F1654C6F-1BCD-47E6-96F0-4A8D2BF55594}" presName="titleText1" presStyleLbl="fgAcc0" presStyleIdx="0" presStyleCnt="1">
        <dgm:presLayoutVars>
          <dgm:chMax val="0"/>
          <dgm:chPref val="0"/>
        </dgm:presLayoutVars>
      </dgm:prSet>
      <dgm:spPr/>
    </dgm:pt>
    <dgm:pt modelId="{9EAB8E64-8D51-4164-AB25-33BDE35EDF86}" type="pres">
      <dgm:prSet presAssocID="{F1654C6F-1BCD-47E6-96F0-4A8D2BF55594}" presName="rootConnector1" presStyleLbl="node1" presStyleIdx="0" presStyleCnt="9"/>
      <dgm:spPr/>
    </dgm:pt>
    <dgm:pt modelId="{4347FBD9-ACEC-419F-905E-41A795A064C2}" type="pres">
      <dgm:prSet presAssocID="{F1654C6F-1BCD-47E6-96F0-4A8D2BF55594}" presName="hierChild2" presStyleCnt="0"/>
      <dgm:spPr/>
    </dgm:pt>
    <dgm:pt modelId="{135FA63C-52BD-4F9E-ACBE-7DD5EFADF3D6}" type="pres">
      <dgm:prSet presAssocID="{BDBC6950-F7AB-4F56-8B83-4D814DE532CC}" presName="Name37" presStyleLbl="parChTrans1D2" presStyleIdx="0" presStyleCnt="3"/>
      <dgm:spPr/>
    </dgm:pt>
    <dgm:pt modelId="{97DE2D07-524C-4DB0-A1C9-BDA946160321}" type="pres">
      <dgm:prSet presAssocID="{727E455D-E88A-4DFB-B24F-D6A498317184}" presName="hierRoot2" presStyleCnt="0">
        <dgm:presLayoutVars>
          <dgm:hierBranch val="l"/>
        </dgm:presLayoutVars>
      </dgm:prSet>
      <dgm:spPr/>
    </dgm:pt>
    <dgm:pt modelId="{06158DD7-E4D0-45B3-A8F6-92E1348B9ACC}" type="pres">
      <dgm:prSet presAssocID="{727E455D-E88A-4DFB-B24F-D6A498317184}" presName="rootComposite" presStyleCnt="0"/>
      <dgm:spPr/>
    </dgm:pt>
    <dgm:pt modelId="{D2181851-053A-42E5-940F-FA681969B15D}" type="pres">
      <dgm:prSet presAssocID="{727E455D-E88A-4DFB-B24F-D6A498317184}" presName="rootText" presStyleLbl="node1" presStyleIdx="0" presStyleCnt="9">
        <dgm:presLayoutVars>
          <dgm:chMax/>
          <dgm:chPref val="3"/>
        </dgm:presLayoutVars>
      </dgm:prSet>
      <dgm:spPr/>
    </dgm:pt>
    <dgm:pt modelId="{04A7C3AF-0EC6-4B0D-B2A7-02514E86451F}" type="pres">
      <dgm:prSet presAssocID="{727E455D-E88A-4DFB-B24F-D6A498317184}" presName="titleText2" presStyleLbl="fgAcc1" presStyleIdx="0" presStyleCnt="9">
        <dgm:presLayoutVars>
          <dgm:chMax val="0"/>
          <dgm:chPref val="0"/>
        </dgm:presLayoutVars>
      </dgm:prSet>
      <dgm:spPr/>
    </dgm:pt>
    <dgm:pt modelId="{88AA96A9-0D90-4D67-9F8D-34BC042970FA}" type="pres">
      <dgm:prSet presAssocID="{727E455D-E88A-4DFB-B24F-D6A498317184}" presName="rootConnector" presStyleLbl="node2" presStyleIdx="0" presStyleCnt="0"/>
      <dgm:spPr/>
    </dgm:pt>
    <dgm:pt modelId="{82B17AE8-06C2-4756-8F48-789C55CD34AD}" type="pres">
      <dgm:prSet presAssocID="{727E455D-E88A-4DFB-B24F-D6A498317184}" presName="hierChild4" presStyleCnt="0"/>
      <dgm:spPr/>
    </dgm:pt>
    <dgm:pt modelId="{DD440C76-09A0-41E7-84D0-454F46A01260}" type="pres">
      <dgm:prSet presAssocID="{5DA6C0B1-11A5-47B7-B6F9-F42DC4B133E4}" presName="Name44" presStyleLbl="parChTrans1D3" presStyleIdx="0" presStyleCnt="8"/>
      <dgm:spPr/>
    </dgm:pt>
    <dgm:pt modelId="{DDBC1742-BDE4-4758-949E-6F58069C9E82}" type="pres">
      <dgm:prSet presAssocID="{138F9918-DA42-4656-9F0E-FED203FE44E2}" presName="hierRoot2" presStyleCnt="0">
        <dgm:presLayoutVars>
          <dgm:hierBranch val="init"/>
        </dgm:presLayoutVars>
      </dgm:prSet>
      <dgm:spPr/>
    </dgm:pt>
    <dgm:pt modelId="{89E7E7F3-1C6F-4A53-A50B-2E8C1BDD7D87}" type="pres">
      <dgm:prSet presAssocID="{138F9918-DA42-4656-9F0E-FED203FE44E2}" presName="rootComposite" presStyleCnt="0"/>
      <dgm:spPr/>
    </dgm:pt>
    <dgm:pt modelId="{C28D24AD-24D1-42B8-A6A6-31797DE9F4E4}" type="pres">
      <dgm:prSet presAssocID="{138F9918-DA42-4656-9F0E-FED203FE44E2}" presName="rootText" presStyleLbl="node1" presStyleIdx="1" presStyleCnt="9">
        <dgm:presLayoutVars>
          <dgm:chMax/>
          <dgm:chPref val="3"/>
        </dgm:presLayoutVars>
      </dgm:prSet>
      <dgm:spPr/>
    </dgm:pt>
    <dgm:pt modelId="{C8D7C9B5-5B36-4379-B872-A79AE5ACD0A3}" type="pres">
      <dgm:prSet presAssocID="{138F9918-DA42-4656-9F0E-FED203FE44E2}" presName="titleText2" presStyleLbl="fgAcc1" presStyleIdx="1" presStyleCnt="9">
        <dgm:presLayoutVars>
          <dgm:chMax val="0"/>
          <dgm:chPref val="0"/>
        </dgm:presLayoutVars>
      </dgm:prSet>
      <dgm:spPr/>
    </dgm:pt>
    <dgm:pt modelId="{6CA2D4AA-238E-4C99-836E-D68EBAE335BE}" type="pres">
      <dgm:prSet presAssocID="{138F9918-DA42-4656-9F0E-FED203FE44E2}" presName="rootConnector" presStyleLbl="node3" presStyleIdx="0" presStyleCnt="0"/>
      <dgm:spPr/>
    </dgm:pt>
    <dgm:pt modelId="{3F16FD19-87EC-46D7-9171-AC541F7AFF11}" type="pres">
      <dgm:prSet presAssocID="{138F9918-DA42-4656-9F0E-FED203FE44E2}" presName="hierChild4" presStyleCnt="0"/>
      <dgm:spPr/>
    </dgm:pt>
    <dgm:pt modelId="{69FD9384-D3BE-415C-86A8-539525EEC426}" type="pres">
      <dgm:prSet presAssocID="{138F9918-DA42-4656-9F0E-FED203FE44E2}" presName="hierChild5" presStyleCnt="0"/>
      <dgm:spPr/>
    </dgm:pt>
    <dgm:pt modelId="{DFA3C47A-C2DC-4E54-81D9-1506C411ABEC}" type="pres">
      <dgm:prSet presAssocID="{07C11DA3-3B8C-47F3-82C9-2B9835BA9CFE}" presName="Name44" presStyleLbl="parChTrans1D3" presStyleIdx="1" presStyleCnt="8"/>
      <dgm:spPr/>
    </dgm:pt>
    <dgm:pt modelId="{9A6EA603-95B8-4E60-971A-8FC69D756616}" type="pres">
      <dgm:prSet presAssocID="{0E678B1D-CA7A-44BE-96D9-7C879A76AD2A}" presName="hierRoot2" presStyleCnt="0">
        <dgm:presLayoutVars>
          <dgm:hierBranch val="init"/>
        </dgm:presLayoutVars>
      </dgm:prSet>
      <dgm:spPr/>
    </dgm:pt>
    <dgm:pt modelId="{40A1AB77-6934-4863-AC7C-9C1246C3274F}" type="pres">
      <dgm:prSet presAssocID="{0E678B1D-CA7A-44BE-96D9-7C879A76AD2A}" presName="rootComposite" presStyleCnt="0"/>
      <dgm:spPr/>
    </dgm:pt>
    <dgm:pt modelId="{67B62DB1-842A-4A3E-AAA6-69604899623A}" type="pres">
      <dgm:prSet presAssocID="{0E678B1D-CA7A-44BE-96D9-7C879A76AD2A}" presName="rootText" presStyleLbl="node1" presStyleIdx="2" presStyleCnt="9">
        <dgm:presLayoutVars>
          <dgm:chMax/>
          <dgm:chPref val="3"/>
        </dgm:presLayoutVars>
      </dgm:prSet>
      <dgm:spPr/>
    </dgm:pt>
    <dgm:pt modelId="{6AC56C02-EE51-43D7-87D6-16AB2F762F36}" type="pres">
      <dgm:prSet presAssocID="{0E678B1D-CA7A-44BE-96D9-7C879A76AD2A}" presName="titleText2" presStyleLbl="fgAcc1" presStyleIdx="2" presStyleCnt="9">
        <dgm:presLayoutVars>
          <dgm:chMax val="0"/>
          <dgm:chPref val="0"/>
        </dgm:presLayoutVars>
      </dgm:prSet>
      <dgm:spPr/>
    </dgm:pt>
    <dgm:pt modelId="{F4BFAC31-F85B-4AA9-875D-3E9E2E3F6DFA}" type="pres">
      <dgm:prSet presAssocID="{0E678B1D-CA7A-44BE-96D9-7C879A76AD2A}" presName="rootConnector" presStyleLbl="node3" presStyleIdx="0" presStyleCnt="0"/>
      <dgm:spPr/>
    </dgm:pt>
    <dgm:pt modelId="{8E7D61C7-12E7-4774-AA7E-FE54C131186B}" type="pres">
      <dgm:prSet presAssocID="{0E678B1D-CA7A-44BE-96D9-7C879A76AD2A}" presName="hierChild4" presStyleCnt="0"/>
      <dgm:spPr/>
    </dgm:pt>
    <dgm:pt modelId="{E1173454-2DB3-4DD4-8B51-0B6D8F284107}" type="pres">
      <dgm:prSet presAssocID="{0E678B1D-CA7A-44BE-96D9-7C879A76AD2A}" presName="hierChild5" presStyleCnt="0"/>
      <dgm:spPr/>
    </dgm:pt>
    <dgm:pt modelId="{DA980299-CFA9-4B1C-BE45-82F8C0CA8769}" type="pres">
      <dgm:prSet presAssocID="{A1602992-DC71-4329-B7B5-638E30ECA561}" presName="Name44" presStyleLbl="parChTrans1D3" presStyleIdx="2" presStyleCnt="8"/>
      <dgm:spPr/>
    </dgm:pt>
    <dgm:pt modelId="{C1F29118-E09E-493F-9D59-3A9C4892080C}" type="pres">
      <dgm:prSet presAssocID="{78C8840C-70B7-4CF7-BA4E-DE17C1DDBB80}" presName="hierRoot2" presStyleCnt="0">
        <dgm:presLayoutVars>
          <dgm:hierBranch val="init"/>
        </dgm:presLayoutVars>
      </dgm:prSet>
      <dgm:spPr/>
    </dgm:pt>
    <dgm:pt modelId="{3F3A12B6-BF22-4FB2-B894-D796E9DCC132}" type="pres">
      <dgm:prSet presAssocID="{78C8840C-70B7-4CF7-BA4E-DE17C1DDBB80}" presName="rootComposite" presStyleCnt="0"/>
      <dgm:spPr/>
    </dgm:pt>
    <dgm:pt modelId="{3E56EE88-6177-4D83-9AA4-6F0581F8F0F2}" type="pres">
      <dgm:prSet presAssocID="{78C8840C-70B7-4CF7-BA4E-DE17C1DDBB80}" presName="rootText" presStyleLbl="node1" presStyleIdx="3" presStyleCnt="9">
        <dgm:presLayoutVars>
          <dgm:chMax/>
          <dgm:chPref val="3"/>
        </dgm:presLayoutVars>
      </dgm:prSet>
      <dgm:spPr/>
    </dgm:pt>
    <dgm:pt modelId="{FBC08FFC-1062-4BE6-818D-A6B59324BFFA}" type="pres">
      <dgm:prSet presAssocID="{78C8840C-70B7-4CF7-BA4E-DE17C1DDBB80}" presName="titleText2" presStyleLbl="fgAcc1" presStyleIdx="3" presStyleCnt="9">
        <dgm:presLayoutVars>
          <dgm:chMax val="0"/>
          <dgm:chPref val="0"/>
        </dgm:presLayoutVars>
      </dgm:prSet>
      <dgm:spPr/>
    </dgm:pt>
    <dgm:pt modelId="{825D34BD-9AE9-403B-83BA-3E30CCDDA8D1}" type="pres">
      <dgm:prSet presAssocID="{78C8840C-70B7-4CF7-BA4E-DE17C1DDBB80}" presName="rootConnector" presStyleLbl="node3" presStyleIdx="0" presStyleCnt="0"/>
      <dgm:spPr/>
    </dgm:pt>
    <dgm:pt modelId="{B0332E70-20DB-4EB9-B6CA-87F4C2E4CB05}" type="pres">
      <dgm:prSet presAssocID="{78C8840C-70B7-4CF7-BA4E-DE17C1DDBB80}" presName="hierChild4" presStyleCnt="0"/>
      <dgm:spPr/>
    </dgm:pt>
    <dgm:pt modelId="{41D1420B-6E15-4DA6-BC57-90145B513151}" type="pres">
      <dgm:prSet presAssocID="{78C8840C-70B7-4CF7-BA4E-DE17C1DDBB80}" presName="hierChild5" presStyleCnt="0"/>
      <dgm:spPr/>
    </dgm:pt>
    <dgm:pt modelId="{A0321181-C970-4573-8639-0C8245BCE237}" type="pres">
      <dgm:prSet presAssocID="{727E455D-E88A-4DFB-B24F-D6A498317184}" presName="hierChild5" presStyleCnt="0"/>
      <dgm:spPr/>
    </dgm:pt>
    <dgm:pt modelId="{7DDDDEC9-2EA0-49B0-9D47-67345520EB38}" type="pres">
      <dgm:prSet presAssocID="{DF3B1DC3-9201-4EED-951D-5726E1303F11}" presName="Name37" presStyleLbl="parChTrans1D2" presStyleIdx="1" presStyleCnt="3"/>
      <dgm:spPr/>
    </dgm:pt>
    <dgm:pt modelId="{EFE0503B-6835-48C8-ADF5-FF302CFF4C83}" type="pres">
      <dgm:prSet presAssocID="{11953D8A-6EAC-4E7A-AD95-EB292D54A892}" presName="hierRoot2" presStyleCnt="0">
        <dgm:presLayoutVars>
          <dgm:hierBranch val="r"/>
        </dgm:presLayoutVars>
      </dgm:prSet>
      <dgm:spPr/>
    </dgm:pt>
    <dgm:pt modelId="{563EE255-826E-4399-99BA-2A24477E0941}" type="pres">
      <dgm:prSet presAssocID="{11953D8A-6EAC-4E7A-AD95-EB292D54A892}" presName="rootComposite" presStyleCnt="0"/>
      <dgm:spPr/>
    </dgm:pt>
    <dgm:pt modelId="{B336C763-2F89-4115-A9D4-36D6954E37D4}" type="pres">
      <dgm:prSet presAssocID="{11953D8A-6EAC-4E7A-AD95-EB292D54A892}" presName="rootText" presStyleLbl="node1" presStyleIdx="4" presStyleCnt="9">
        <dgm:presLayoutVars>
          <dgm:chMax/>
          <dgm:chPref val="3"/>
        </dgm:presLayoutVars>
      </dgm:prSet>
      <dgm:spPr/>
    </dgm:pt>
    <dgm:pt modelId="{AEAE10B4-D5D9-4C45-BB28-7A8B710C4C88}" type="pres">
      <dgm:prSet presAssocID="{11953D8A-6EAC-4E7A-AD95-EB292D54A892}" presName="titleText2" presStyleLbl="fgAcc1" presStyleIdx="4" presStyleCnt="9">
        <dgm:presLayoutVars>
          <dgm:chMax val="0"/>
          <dgm:chPref val="0"/>
        </dgm:presLayoutVars>
      </dgm:prSet>
      <dgm:spPr/>
    </dgm:pt>
    <dgm:pt modelId="{9D09EF6D-9317-48AE-856C-57C8442726A9}" type="pres">
      <dgm:prSet presAssocID="{11953D8A-6EAC-4E7A-AD95-EB292D54A892}" presName="rootConnector" presStyleLbl="node2" presStyleIdx="0" presStyleCnt="0"/>
      <dgm:spPr/>
    </dgm:pt>
    <dgm:pt modelId="{4719FF6F-3B8D-4FB0-8D54-629421F369F9}" type="pres">
      <dgm:prSet presAssocID="{11953D8A-6EAC-4E7A-AD95-EB292D54A892}" presName="hierChild4" presStyleCnt="0"/>
      <dgm:spPr/>
    </dgm:pt>
    <dgm:pt modelId="{E1BAD458-DA77-46F9-9C3F-7C9ADAB032A4}" type="pres">
      <dgm:prSet presAssocID="{2B8F8450-49D5-4D3C-9E6D-424054820BBE}" presName="Name44" presStyleLbl="parChTrans1D3" presStyleIdx="3" presStyleCnt="8"/>
      <dgm:spPr/>
    </dgm:pt>
    <dgm:pt modelId="{6367FDF3-2F89-4F4C-BBFE-B8B53F53F00E}" type="pres">
      <dgm:prSet presAssocID="{35744798-F8E7-45C5-8A66-513833856EAB}" presName="hierRoot2" presStyleCnt="0">
        <dgm:presLayoutVars>
          <dgm:hierBranch val="init"/>
        </dgm:presLayoutVars>
      </dgm:prSet>
      <dgm:spPr/>
    </dgm:pt>
    <dgm:pt modelId="{E7F0FF00-929C-4966-863F-0F19AA6B2771}" type="pres">
      <dgm:prSet presAssocID="{35744798-F8E7-45C5-8A66-513833856EAB}" presName="rootComposite" presStyleCnt="0"/>
      <dgm:spPr/>
    </dgm:pt>
    <dgm:pt modelId="{91A6E367-A5D6-4D07-BE88-21E1D945C91D}" type="pres">
      <dgm:prSet presAssocID="{35744798-F8E7-45C5-8A66-513833856EAB}" presName="rootText" presStyleLbl="node1" presStyleIdx="5" presStyleCnt="9">
        <dgm:presLayoutVars>
          <dgm:chMax/>
          <dgm:chPref val="3"/>
        </dgm:presLayoutVars>
      </dgm:prSet>
      <dgm:spPr/>
    </dgm:pt>
    <dgm:pt modelId="{B2E30EAD-3B9B-4B7A-9C76-A65F53E9B7EA}" type="pres">
      <dgm:prSet presAssocID="{35744798-F8E7-45C5-8A66-513833856EAB}" presName="titleText2" presStyleLbl="fgAcc1" presStyleIdx="5" presStyleCnt="9">
        <dgm:presLayoutVars>
          <dgm:chMax val="0"/>
          <dgm:chPref val="0"/>
        </dgm:presLayoutVars>
      </dgm:prSet>
      <dgm:spPr/>
    </dgm:pt>
    <dgm:pt modelId="{1AF18370-8A75-4A2B-AEE5-7E5C541BC082}" type="pres">
      <dgm:prSet presAssocID="{35744798-F8E7-45C5-8A66-513833856EAB}" presName="rootConnector" presStyleLbl="node3" presStyleIdx="0" presStyleCnt="0"/>
      <dgm:spPr/>
    </dgm:pt>
    <dgm:pt modelId="{C25DEC60-94EF-4E60-B798-17301B24ADA2}" type="pres">
      <dgm:prSet presAssocID="{35744798-F8E7-45C5-8A66-513833856EAB}" presName="hierChild4" presStyleCnt="0"/>
      <dgm:spPr/>
    </dgm:pt>
    <dgm:pt modelId="{6F008878-1568-44B7-A8F9-08EDB553D47C}" type="pres">
      <dgm:prSet presAssocID="{35744798-F8E7-45C5-8A66-513833856EAB}" presName="hierChild5" presStyleCnt="0"/>
      <dgm:spPr/>
    </dgm:pt>
    <dgm:pt modelId="{78E281D5-1471-4C50-AED8-78D2D8F7AAB6}" type="pres">
      <dgm:prSet presAssocID="{00DB5D1C-9548-488C-A254-2D1C08BF18E7}" presName="Name44" presStyleLbl="parChTrans1D3" presStyleIdx="4" presStyleCnt="8"/>
      <dgm:spPr/>
    </dgm:pt>
    <dgm:pt modelId="{3F193A1A-0A73-461B-85E8-6A35E617BE57}" type="pres">
      <dgm:prSet presAssocID="{10E72BEC-3226-4401-BF29-1B348A3CD7E7}" presName="hierRoot2" presStyleCnt="0">
        <dgm:presLayoutVars>
          <dgm:hierBranch val="init"/>
        </dgm:presLayoutVars>
      </dgm:prSet>
      <dgm:spPr/>
    </dgm:pt>
    <dgm:pt modelId="{05CE3F79-F6E8-471D-8960-27771B326039}" type="pres">
      <dgm:prSet presAssocID="{10E72BEC-3226-4401-BF29-1B348A3CD7E7}" presName="rootComposite" presStyleCnt="0"/>
      <dgm:spPr/>
    </dgm:pt>
    <dgm:pt modelId="{486EB147-7D30-49CE-8232-301A531AAF76}" type="pres">
      <dgm:prSet presAssocID="{10E72BEC-3226-4401-BF29-1B348A3CD7E7}" presName="rootText" presStyleLbl="node1" presStyleIdx="6" presStyleCnt="9">
        <dgm:presLayoutVars>
          <dgm:chMax/>
          <dgm:chPref val="3"/>
        </dgm:presLayoutVars>
      </dgm:prSet>
      <dgm:spPr/>
    </dgm:pt>
    <dgm:pt modelId="{AA576CF0-2021-4847-8D47-5A07496D22CA}" type="pres">
      <dgm:prSet presAssocID="{10E72BEC-3226-4401-BF29-1B348A3CD7E7}" presName="titleText2" presStyleLbl="fgAcc1" presStyleIdx="6" presStyleCnt="9">
        <dgm:presLayoutVars>
          <dgm:chMax val="0"/>
          <dgm:chPref val="0"/>
        </dgm:presLayoutVars>
      </dgm:prSet>
      <dgm:spPr/>
    </dgm:pt>
    <dgm:pt modelId="{820450CD-2C9B-4CAC-BA30-1D0C84C3E4C9}" type="pres">
      <dgm:prSet presAssocID="{10E72BEC-3226-4401-BF29-1B348A3CD7E7}" presName="rootConnector" presStyleLbl="node3" presStyleIdx="0" presStyleCnt="0"/>
      <dgm:spPr/>
    </dgm:pt>
    <dgm:pt modelId="{95F8109F-EAD7-4FE0-A147-421EBC2634D2}" type="pres">
      <dgm:prSet presAssocID="{10E72BEC-3226-4401-BF29-1B348A3CD7E7}" presName="hierChild4" presStyleCnt="0"/>
      <dgm:spPr/>
    </dgm:pt>
    <dgm:pt modelId="{0515F75C-EB1A-4A33-A626-41210DCE2850}" type="pres">
      <dgm:prSet presAssocID="{10E72BEC-3226-4401-BF29-1B348A3CD7E7}" presName="hierChild5" presStyleCnt="0"/>
      <dgm:spPr/>
    </dgm:pt>
    <dgm:pt modelId="{E64A6F5F-3F64-4673-B0DC-B498858564F6}" type="pres">
      <dgm:prSet presAssocID="{07A0371C-38D4-491B-BC1A-F8DB1ECA7AB0}" presName="Name44" presStyleLbl="parChTrans1D3" presStyleIdx="5" presStyleCnt="8"/>
      <dgm:spPr/>
    </dgm:pt>
    <dgm:pt modelId="{00D1B495-C4E4-47AF-9E71-9FDEDF729DC2}" type="pres">
      <dgm:prSet presAssocID="{C1445725-D6B2-42B1-866B-840AD260B3B3}" presName="hierRoot2" presStyleCnt="0">
        <dgm:presLayoutVars>
          <dgm:hierBranch val="init"/>
        </dgm:presLayoutVars>
      </dgm:prSet>
      <dgm:spPr/>
    </dgm:pt>
    <dgm:pt modelId="{E53F1BCA-3D60-4B5F-A0A8-395DB0FC62AC}" type="pres">
      <dgm:prSet presAssocID="{C1445725-D6B2-42B1-866B-840AD260B3B3}" presName="rootComposite" presStyleCnt="0"/>
      <dgm:spPr/>
    </dgm:pt>
    <dgm:pt modelId="{B59F5AF5-5BAF-4785-9653-32EEEA74C996}" type="pres">
      <dgm:prSet presAssocID="{C1445725-D6B2-42B1-866B-840AD260B3B3}" presName="rootText" presStyleLbl="node1" presStyleIdx="7" presStyleCnt="9">
        <dgm:presLayoutVars>
          <dgm:chMax/>
          <dgm:chPref val="3"/>
        </dgm:presLayoutVars>
      </dgm:prSet>
      <dgm:spPr/>
    </dgm:pt>
    <dgm:pt modelId="{267F1486-F00D-442F-BD73-742EC19E385F}" type="pres">
      <dgm:prSet presAssocID="{C1445725-D6B2-42B1-866B-840AD260B3B3}" presName="titleText2" presStyleLbl="fgAcc1" presStyleIdx="7" presStyleCnt="9">
        <dgm:presLayoutVars>
          <dgm:chMax val="0"/>
          <dgm:chPref val="0"/>
        </dgm:presLayoutVars>
      </dgm:prSet>
      <dgm:spPr/>
    </dgm:pt>
    <dgm:pt modelId="{52E37727-0DA9-47FE-85AA-8EBF285C83D3}" type="pres">
      <dgm:prSet presAssocID="{C1445725-D6B2-42B1-866B-840AD260B3B3}" presName="rootConnector" presStyleLbl="node3" presStyleIdx="0" presStyleCnt="0"/>
      <dgm:spPr/>
    </dgm:pt>
    <dgm:pt modelId="{34B4AA07-D526-4326-942C-F4AB4440FC27}" type="pres">
      <dgm:prSet presAssocID="{C1445725-D6B2-42B1-866B-840AD260B3B3}" presName="hierChild4" presStyleCnt="0"/>
      <dgm:spPr/>
    </dgm:pt>
    <dgm:pt modelId="{DF163A23-BC83-4131-8284-6BA732B79921}" type="pres">
      <dgm:prSet presAssocID="{C1445725-D6B2-42B1-866B-840AD260B3B3}" presName="hierChild5" presStyleCnt="0"/>
      <dgm:spPr/>
    </dgm:pt>
    <dgm:pt modelId="{B16A49EC-FA64-4CF8-9F73-134DE4669573}" type="pres">
      <dgm:prSet presAssocID="{11953D8A-6EAC-4E7A-AD95-EB292D54A892}" presName="hierChild5" presStyleCnt="0"/>
      <dgm:spPr/>
    </dgm:pt>
    <dgm:pt modelId="{C6DFEC26-61E7-4721-A81F-629E8A39C05B}" type="pres">
      <dgm:prSet presAssocID="{14076670-5B22-4D8B-BE56-D538804E1A23}" presName="Name37" presStyleLbl="parChTrans1D2" presStyleIdx="2" presStyleCnt="3"/>
      <dgm:spPr/>
    </dgm:pt>
    <dgm:pt modelId="{A8CF42C3-E930-4029-BE16-FBFD931DA1BA}" type="pres">
      <dgm:prSet presAssocID="{6BBBEDFC-16B6-4F94-8A24-1672C160C7C8}" presName="hierRoot2" presStyleCnt="0">
        <dgm:presLayoutVars>
          <dgm:hierBranch val="r"/>
        </dgm:presLayoutVars>
      </dgm:prSet>
      <dgm:spPr/>
    </dgm:pt>
    <dgm:pt modelId="{37F7DB77-44C3-4FF1-B66D-4FFA7C358D06}" type="pres">
      <dgm:prSet presAssocID="{6BBBEDFC-16B6-4F94-8A24-1672C160C7C8}" presName="rootComposite" presStyleCnt="0"/>
      <dgm:spPr/>
    </dgm:pt>
    <dgm:pt modelId="{F24A06B9-1E96-410C-B467-B29DBCDED2D7}" type="pres">
      <dgm:prSet presAssocID="{6BBBEDFC-16B6-4F94-8A24-1672C160C7C8}" presName="rootText" presStyleLbl="node1" presStyleIdx="8" presStyleCnt="9">
        <dgm:presLayoutVars>
          <dgm:chMax/>
          <dgm:chPref val="3"/>
        </dgm:presLayoutVars>
      </dgm:prSet>
      <dgm:spPr/>
    </dgm:pt>
    <dgm:pt modelId="{232251A2-E0BB-43B5-82DB-631055C6B5CE}" type="pres">
      <dgm:prSet presAssocID="{6BBBEDFC-16B6-4F94-8A24-1672C160C7C8}" presName="titleText2" presStyleLbl="fgAcc1" presStyleIdx="8" presStyleCnt="9">
        <dgm:presLayoutVars>
          <dgm:chMax val="0"/>
          <dgm:chPref val="0"/>
        </dgm:presLayoutVars>
      </dgm:prSet>
      <dgm:spPr/>
    </dgm:pt>
    <dgm:pt modelId="{8B7875DC-567A-4654-8CAC-7E48D84046E7}" type="pres">
      <dgm:prSet presAssocID="{6BBBEDFC-16B6-4F94-8A24-1672C160C7C8}" presName="rootConnector" presStyleLbl="node2" presStyleIdx="0" presStyleCnt="0"/>
      <dgm:spPr/>
    </dgm:pt>
    <dgm:pt modelId="{81B53E2A-29F0-460B-A118-A8F5820CBC2B}" type="pres">
      <dgm:prSet presAssocID="{6BBBEDFC-16B6-4F94-8A24-1672C160C7C8}" presName="hierChild4" presStyleCnt="0"/>
      <dgm:spPr/>
    </dgm:pt>
    <dgm:pt modelId="{3A826A3A-6618-40C2-A27E-26851B16BFA7}" type="pres">
      <dgm:prSet presAssocID="{6BBBEDFC-16B6-4F94-8A24-1672C160C7C8}" presName="hierChild5" presStyleCnt="0"/>
      <dgm:spPr/>
    </dgm:pt>
    <dgm:pt modelId="{B00DD25B-858F-40FD-9679-789071762E79}" type="pres">
      <dgm:prSet presAssocID="{6DDC9699-6ED4-4599-90BC-1787E5B9D759}" presName="Name96" presStyleLbl="parChTrans1D3" presStyleIdx="6" presStyleCnt="8"/>
      <dgm:spPr/>
    </dgm:pt>
    <dgm:pt modelId="{EE6F8988-4F8B-4963-92AE-F5412CE76EDE}" type="pres">
      <dgm:prSet presAssocID="{CE17AF00-C362-4AAD-B419-AFEED7EBD340}" presName="hierRoot3" presStyleCnt="0">
        <dgm:presLayoutVars>
          <dgm:hierBranch val="init"/>
        </dgm:presLayoutVars>
      </dgm:prSet>
      <dgm:spPr/>
    </dgm:pt>
    <dgm:pt modelId="{267268A0-C2D4-4256-BE3B-957585E33AD5}" type="pres">
      <dgm:prSet presAssocID="{CE17AF00-C362-4AAD-B419-AFEED7EBD340}" presName="rootComposite3" presStyleCnt="0"/>
      <dgm:spPr/>
    </dgm:pt>
    <dgm:pt modelId="{CEF3B549-D084-45E5-B726-04FF8ABFC1FD}" type="pres">
      <dgm:prSet presAssocID="{CE17AF00-C362-4AAD-B419-AFEED7EBD340}" presName="rootText3" presStyleLbl="asst1" presStyleIdx="0" presStyleCnt="2">
        <dgm:presLayoutVars>
          <dgm:chPref val="3"/>
        </dgm:presLayoutVars>
      </dgm:prSet>
      <dgm:spPr/>
    </dgm:pt>
    <dgm:pt modelId="{9DD619E1-EFBB-44CE-9D03-67534D360277}" type="pres">
      <dgm:prSet presAssocID="{CE17AF00-C362-4AAD-B419-AFEED7EBD340}" presName="titleText3" presStyleLbl="fgAcc2" presStyleIdx="0" presStyleCnt="2">
        <dgm:presLayoutVars>
          <dgm:chMax val="0"/>
          <dgm:chPref val="0"/>
        </dgm:presLayoutVars>
      </dgm:prSet>
      <dgm:spPr/>
    </dgm:pt>
    <dgm:pt modelId="{F57313CA-3D71-456A-A0B1-23D227DD8A48}" type="pres">
      <dgm:prSet presAssocID="{CE17AF00-C362-4AAD-B419-AFEED7EBD340}" presName="rootConnector3" presStyleLbl="asst2" presStyleIdx="0" presStyleCnt="0"/>
      <dgm:spPr/>
    </dgm:pt>
    <dgm:pt modelId="{1817DABB-FCFE-4716-8CB4-9031CD59ACE9}" type="pres">
      <dgm:prSet presAssocID="{CE17AF00-C362-4AAD-B419-AFEED7EBD340}" presName="hierChild6" presStyleCnt="0"/>
      <dgm:spPr/>
    </dgm:pt>
    <dgm:pt modelId="{430A3C9B-E241-46EA-AAB5-F1F7A2182670}" type="pres">
      <dgm:prSet presAssocID="{CE17AF00-C362-4AAD-B419-AFEED7EBD340}" presName="hierChild7" presStyleCnt="0"/>
      <dgm:spPr/>
    </dgm:pt>
    <dgm:pt modelId="{FB1ED469-91FF-49A1-8853-F6C591AB1C8B}" type="pres">
      <dgm:prSet presAssocID="{E38461A3-4A23-453E-811E-BE847976849C}" presName="Name96" presStyleLbl="parChTrans1D3" presStyleIdx="7" presStyleCnt="8"/>
      <dgm:spPr/>
    </dgm:pt>
    <dgm:pt modelId="{EB2F9F09-189B-4683-9AFE-A0143AD7A650}" type="pres">
      <dgm:prSet presAssocID="{CDC1C333-31D5-4E80-9ED7-6EBE06399FED}" presName="hierRoot3" presStyleCnt="0">
        <dgm:presLayoutVars>
          <dgm:hierBranch val="init"/>
        </dgm:presLayoutVars>
      </dgm:prSet>
      <dgm:spPr/>
    </dgm:pt>
    <dgm:pt modelId="{83A5B165-C392-4652-B602-F80E93520E80}" type="pres">
      <dgm:prSet presAssocID="{CDC1C333-31D5-4E80-9ED7-6EBE06399FED}" presName="rootComposite3" presStyleCnt="0"/>
      <dgm:spPr/>
    </dgm:pt>
    <dgm:pt modelId="{5BD07DC4-9743-4468-BA48-7C8EF9145C68}" type="pres">
      <dgm:prSet presAssocID="{CDC1C333-31D5-4E80-9ED7-6EBE06399FED}" presName="rootText3" presStyleLbl="asst1" presStyleIdx="1" presStyleCnt="2">
        <dgm:presLayoutVars>
          <dgm:chPref val="3"/>
        </dgm:presLayoutVars>
      </dgm:prSet>
      <dgm:spPr/>
    </dgm:pt>
    <dgm:pt modelId="{4988456E-44F7-475D-99B2-DF3BE760170C}" type="pres">
      <dgm:prSet presAssocID="{CDC1C333-31D5-4E80-9ED7-6EBE06399FED}" presName="titleText3" presStyleLbl="fgAcc2" presStyleIdx="1" presStyleCnt="2">
        <dgm:presLayoutVars>
          <dgm:chMax val="0"/>
          <dgm:chPref val="0"/>
        </dgm:presLayoutVars>
      </dgm:prSet>
      <dgm:spPr/>
    </dgm:pt>
    <dgm:pt modelId="{3487D449-2A7D-49EC-B16B-2124597A33F1}" type="pres">
      <dgm:prSet presAssocID="{CDC1C333-31D5-4E80-9ED7-6EBE06399FED}" presName="rootConnector3" presStyleLbl="asst2" presStyleIdx="0" presStyleCnt="0"/>
      <dgm:spPr/>
    </dgm:pt>
    <dgm:pt modelId="{980546F3-7B4F-487B-9BE2-F64F75F0FEA1}" type="pres">
      <dgm:prSet presAssocID="{CDC1C333-31D5-4E80-9ED7-6EBE06399FED}" presName="hierChild6" presStyleCnt="0"/>
      <dgm:spPr/>
    </dgm:pt>
    <dgm:pt modelId="{6B320D01-1DBA-48D1-9EE1-DFAF163873FA}" type="pres">
      <dgm:prSet presAssocID="{CDC1C333-31D5-4E80-9ED7-6EBE06399FED}" presName="hierChild7" presStyleCnt="0"/>
      <dgm:spPr/>
    </dgm:pt>
    <dgm:pt modelId="{F29F1333-3079-4F27-BBE5-927B268BBC73}" type="pres">
      <dgm:prSet presAssocID="{F1654C6F-1BCD-47E6-96F0-4A8D2BF55594}" presName="hierChild3" presStyleCnt="0"/>
      <dgm:spPr/>
    </dgm:pt>
  </dgm:ptLst>
  <dgm:cxnLst>
    <dgm:cxn modelId="{D1589503-3821-47E1-B7A9-8BD4EB601601}" type="presOf" srcId="{C1445725-D6B2-42B1-866B-840AD260B3B3}" destId="{B59F5AF5-5BAF-4785-9653-32EEEA74C996}" srcOrd="0" destOrd="0" presId="urn:microsoft.com/office/officeart/2008/layout/NameandTitleOrganizationalChart"/>
    <dgm:cxn modelId="{8EC66404-EDC1-4CF1-9CA9-D38EE25CDAD3}" type="presOf" srcId="{6BBBEDFC-16B6-4F94-8A24-1672C160C7C8}" destId="{F24A06B9-1E96-410C-B467-B29DBCDED2D7}" srcOrd="0" destOrd="0" presId="urn:microsoft.com/office/officeart/2008/layout/NameandTitleOrganizationalChart"/>
    <dgm:cxn modelId="{4080FD04-3169-4F3D-BA39-91B257417498}" type="presOf" srcId="{6DDC9699-6ED4-4599-90BC-1787E5B9D759}" destId="{B00DD25B-858F-40FD-9679-789071762E79}" srcOrd="0" destOrd="0" presId="urn:microsoft.com/office/officeart/2008/layout/NameandTitleOrganizationalChart"/>
    <dgm:cxn modelId="{2C0E630D-BB15-47AE-BA4C-DB2A6CF89AA1}" type="presOf" srcId="{5DA6C0B1-11A5-47B7-B6F9-F42DC4B133E4}" destId="{DD440C76-09A0-41E7-84D0-454F46A01260}" srcOrd="0" destOrd="0" presId="urn:microsoft.com/office/officeart/2008/layout/NameandTitleOrganizationalChart"/>
    <dgm:cxn modelId="{30CF2D16-7907-4002-9817-23AED351C290}" type="presOf" srcId="{CE17AF00-C362-4AAD-B419-AFEED7EBD340}" destId="{F57313CA-3D71-456A-A0B1-23D227DD8A48}" srcOrd="1" destOrd="0" presId="urn:microsoft.com/office/officeart/2008/layout/NameandTitleOrganizationalChart"/>
    <dgm:cxn modelId="{995B4D18-FB85-49CF-94DE-99BF4726B2F5}" srcId="{6BBBEDFC-16B6-4F94-8A24-1672C160C7C8}" destId="{CE17AF00-C362-4AAD-B419-AFEED7EBD340}" srcOrd="0" destOrd="0" parTransId="{6DDC9699-6ED4-4599-90BC-1787E5B9D759}" sibTransId="{22B17A02-EB59-430D-8F2D-EAA86288C4BD}"/>
    <dgm:cxn modelId="{DAE3F31B-396D-486C-A628-282FFF04D034}" type="presOf" srcId="{C1445725-D6B2-42B1-866B-840AD260B3B3}" destId="{52E37727-0DA9-47FE-85AA-8EBF285C83D3}" srcOrd="1" destOrd="0" presId="urn:microsoft.com/office/officeart/2008/layout/NameandTitleOrganizationalChart"/>
    <dgm:cxn modelId="{0BFED71D-56D8-402C-837F-3DBAFAEF70CA}" srcId="{11953D8A-6EAC-4E7A-AD95-EB292D54A892}" destId="{10E72BEC-3226-4401-BF29-1B348A3CD7E7}" srcOrd="1" destOrd="0" parTransId="{00DB5D1C-9548-488C-A254-2D1C08BF18E7}" sibTransId="{BEE46344-EE54-4BAD-BF32-AE5629A1684A}"/>
    <dgm:cxn modelId="{63DE4D1F-793E-4509-B902-C785D22652E5}" type="presOf" srcId="{78C8840C-70B7-4CF7-BA4E-DE17C1DDBB80}" destId="{825D34BD-9AE9-403B-83BA-3E30CCDDA8D1}" srcOrd="1" destOrd="0" presId="urn:microsoft.com/office/officeart/2008/layout/NameandTitleOrganizationalChart"/>
    <dgm:cxn modelId="{D411043B-F6B7-4ABC-AEA1-239D129D7B75}" type="presOf" srcId="{00DB5D1C-9548-488C-A254-2D1C08BF18E7}" destId="{78E281D5-1471-4C50-AED8-78D2D8F7AAB6}" srcOrd="0" destOrd="0" presId="urn:microsoft.com/office/officeart/2008/layout/NameandTitleOrganizationalChart"/>
    <dgm:cxn modelId="{E6AF8C40-9EE4-4F08-9F3D-26FA030AFC9A}" type="presOf" srcId="{735989BA-7323-449A-96EE-97D89A4D71DB}" destId="{DC5A80F1-077C-4B03-8FED-F735DA16440B}" srcOrd="0" destOrd="0" presId="urn:microsoft.com/office/officeart/2008/layout/NameandTitleOrganizationalChart"/>
    <dgm:cxn modelId="{052F1F5F-C5B5-4091-8F38-236D406783B8}" type="presOf" srcId="{78C8840C-70B7-4CF7-BA4E-DE17C1DDBB80}" destId="{3E56EE88-6177-4D83-9AA4-6F0581F8F0F2}" srcOrd="0" destOrd="0" presId="urn:microsoft.com/office/officeart/2008/layout/NameandTitleOrganizationalChart"/>
    <dgm:cxn modelId="{7F5D0161-6C75-47EC-9586-9245027ECAEB}" type="presOf" srcId="{11953D8A-6EAC-4E7A-AD95-EB292D54A892}" destId="{9D09EF6D-9317-48AE-856C-57C8442726A9}" srcOrd="1" destOrd="0" presId="urn:microsoft.com/office/officeart/2008/layout/NameandTitleOrganizationalChart"/>
    <dgm:cxn modelId="{5BD56B42-BE2B-49DD-BEDD-41DAD94C8C4B}" type="presOf" srcId="{77F6E827-1A02-4370-9B9C-07F44C03C9A9}" destId="{232251A2-E0BB-43B5-82DB-631055C6B5CE}" srcOrd="0" destOrd="0" presId="urn:microsoft.com/office/officeart/2008/layout/NameandTitleOrganizationalChart"/>
    <dgm:cxn modelId="{092A4248-8461-4C25-8223-B10A84BE0761}" type="presOf" srcId="{9F3D1EB5-2769-42EF-ADF6-8769EC34216C}" destId="{4988456E-44F7-475D-99B2-DF3BE760170C}" srcOrd="0" destOrd="0" presId="urn:microsoft.com/office/officeart/2008/layout/NameandTitleOrganizationalChart"/>
    <dgm:cxn modelId="{3B77CF48-41F0-480B-8742-163CFA55B83D}" type="presOf" srcId="{086F9518-64B4-4320-B00E-F08546F93515}" destId="{6AC56C02-EE51-43D7-87D6-16AB2F762F36}" srcOrd="0" destOrd="0" presId="urn:microsoft.com/office/officeart/2008/layout/NameandTitleOrganizationalChart"/>
    <dgm:cxn modelId="{74C8506B-5AE1-4645-BE60-3939465997C1}" type="presOf" srcId="{35744798-F8E7-45C5-8A66-513833856EAB}" destId="{91A6E367-A5D6-4D07-BE88-21E1D945C91D}" srcOrd="0" destOrd="0" presId="urn:microsoft.com/office/officeart/2008/layout/NameandTitleOrganizationalChart"/>
    <dgm:cxn modelId="{3C0E6870-FC0A-48A7-A109-1817FD4EF533}" type="presOf" srcId="{391AC4E5-B898-46B2-B0F3-777182E071C7}" destId="{C8D7C9B5-5B36-4379-B872-A79AE5ACD0A3}" srcOrd="0" destOrd="0" presId="urn:microsoft.com/office/officeart/2008/layout/NameandTitleOrganizationalChart"/>
    <dgm:cxn modelId="{7135CD51-0394-4B76-91EF-B48BA9B0313E}" type="presOf" srcId="{11953D8A-6EAC-4E7A-AD95-EB292D54A892}" destId="{B336C763-2F89-4115-A9D4-36D6954E37D4}" srcOrd="0" destOrd="0" presId="urn:microsoft.com/office/officeart/2008/layout/NameandTitleOrganizationalChart"/>
    <dgm:cxn modelId="{08A84D56-C7FF-4BC3-B526-1E6EB4B1CC82}" type="presOf" srcId="{2B8F8450-49D5-4D3C-9E6D-424054820BBE}" destId="{E1BAD458-DA77-46F9-9C3F-7C9ADAB032A4}" srcOrd="0" destOrd="0" presId="urn:microsoft.com/office/officeart/2008/layout/NameandTitleOrganizationalChart"/>
    <dgm:cxn modelId="{065A4557-92A1-431A-B54C-6C303BC827EF}" srcId="{6BBBEDFC-16B6-4F94-8A24-1672C160C7C8}" destId="{CDC1C333-31D5-4E80-9ED7-6EBE06399FED}" srcOrd="1" destOrd="0" parTransId="{E38461A3-4A23-453E-811E-BE847976849C}" sibTransId="{9F3D1EB5-2769-42EF-ADF6-8769EC34216C}"/>
    <dgm:cxn modelId="{A2F19377-2D44-4478-9772-6FFAF63F7C6A}" type="presOf" srcId="{138F9918-DA42-4656-9F0E-FED203FE44E2}" destId="{6CA2D4AA-238E-4C99-836E-D68EBAE335BE}" srcOrd="1" destOrd="0" presId="urn:microsoft.com/office/officeart/2008/layout/NameandTitleOrganizationalChart"/>
    <dgm:cxn modelId="{BFD4A377-D131-48E9-ABBD-DC552AAE5327}" type="presOf" srcId="{0E678B1D-CA7A-44BE-96D9-7C879A76AD2A}" destId="{F4BFAC31-F85B-4AA9-875D-3E9E2E3F6DFA}" srcOrd="1" destOrd="0" presId="urn:microsoft.com/office/officeart/2008/layout/NameandTitleOrganizationalChart"/>
    <dgm:cxn modelId="{7D975558-9CE8-4A8C-8A35-B39A07B34BFD}" type="presOf" srcId="{0E678B1D-CA7A-44BE-96D9-7C879A76AD2A}" destId="{67B62DB1-842A-4A3E-AAA6-69604899623A}" srcOrd="0" destOrd="0" presId="urn:microsoft.com/office/officeart/2008/layout/NameandTitleOrganizationalChart"/>
    <dgm:cxn modelId="{812EB078-C9D6-479B-BCB9-F2420E627186}" srcId="{727E455D-E88A-4DFB-B24F-D6A498317184}" destId="{138F9918-DA42-4656-9F0E-FED203FE44E2}" srcOrd="0" destOrd="0" parTransId="{5DA6C0B1-11A5-47B7-B6F9-F42DC4B133E4}" sibTransId="{391AC4E5-B898-46B2-B0F3-777182E071C7}"/>
    <dgm:cxn modelId="{A9C2AC7B-2B63-430D-88C4-075BE110ABFC}" type="presOf" srcId="{10E72BEC-3226-4401-BF29-1B348A3CD7E7}" destId="{486EB147-7D30-49CE-8232-301A531AAF76}" srcOrd="0" destOrd="0" presId="urn:microsoft.com/office/officeart/2008/layout/NameandTitleOrganizationalChart"/>
    <dgm:cxn modelId="{B46FA881-3BB8-4DD6-9C47-CF9831134DB7}" type="presOf" srcId="{A1602992-DC71-4329-B7B5-638E30ECA561}" destId="{DA980299-CFA9-4B1C-BE45-82F8C0CA8769}" srcOrd="0" destOrd="0" presId="urn:microsoft.com/office/officeart/2008/layout/NameandTitleOrganizationalChart"/>
    <dgm:cxn modelId="{CC0B8882-9725-42FD-9C16-54C75F2DE13D}" srcId="{7E8FC79B-76F0-41F5-A012-3187A9AC115C}" destId="{F1654C6F-1BCD-47E6-96F0-4A8D2BF55594}" srcOrd="0" destOrd="0" parTransId="{4CE9B61C-568F-43E8-AB96-40EE191856F6}" sibTransId="{735989BA-7323-449A-96EE-97D89A4D71DB}"/>
    <dgm:cxn modelId="{5FDC0187-C83E-422C-9C3E-E5037E680D95}" type="presOf" srcId="{E38461A3-4A23-453E-811E-BE847976849C}" destId="{FB1ED469-91FF-49A1-8853-F6C591AB1C8B}" srcOrd="0" destOrd="0" presId="urn:microsoft.com/office/officeart/2008/layout/NameandTitleOrganizationalChart"/>
    <dgm:cxn modelId="{6D04BE88-3F33-471B-BE40-5B94A42C6CF9}" srcId="{F1654C6F-1BCD-47E6-96F0-4A8D2BF55594}" destId="{727E455D-E88A-4DFB-B24F-D6A498317184}" srcOrd="0" destOrd="0" parTransId="{BDBC6950-F7AB-4F56-8B83-4D814DE532CC}" sibTransId="{3053ACE6-D7D7-473E-B21D-3A2FEC13D5F0}"/>
    <dgm:cxn modelId="{6719CA94-E5D0-44E2-9DF4-E6CB4CF036EF}" type="presOf" srcId="{CE17AF00-C362-4AAD-B419-AFEED7EBD340}" destId="{CEF3B549-D084-45E5-B726-04FF8ABFC1FD}" srcOrd="0" destOrd="0" presId="urn:microsoft.com/office/officeart/2008/layout/NameandTitleOrganizationalChart"/>
    <dgm:cxn modelId="{3B3D8796-D9C4-498B-BBC2-7CD52C1EE296}" type="presOf" srcId="{727E455D-E88A-4DFB-B24F-D6A498317184}" destId="{88AA96A9-0D90-4D67-9F8D-34BC042970FA}" srcOrd="1" destOrd="0" presId="urn:microsoft.com/office/officeart/2008/layout/NameandTitleOrganizationalChart"/>
    <dgm:cxn modelId="{4F51CB9B-BCE7-4106-809F-C056352C62F6}" type="presOf" srcId="{BDBC6950-F7AB-4F56-8B83-4D814DE532CC}" destId="{135FA63C-52BD-4F9E-ACBE-7DD5EFADF3D6}" srcOrd="0" destOrd="0" presId="urn:microsoft.com/office/officeart/2008/layout/NameandTitleOrganizationalChart"/>
    <dgm:cxn modelId="{40AABB9D-E3E6-45FA-BE38-5B350CF824EA}" type="presOf" srcId="{CDC1C333-31D5-4E80-9ED7-6EBE06399FED}" destId="{3487D449-2A7D-49EC-B16B-2124597A33F1}" srcOrd="1" destOrd="0" presId="urn:microsoft.com/office/officeart/2008/layout/NameandTitleOrganizationalChart"/>
    <dgm:cxn modelId="{5677DFA0-2368-46B3-B05C-738E7E0AABE9}" type="presOf" srcId="{727E455D-E88A-4DFB-B24F-D6A498317184}" destId="{D2181851-053A-42E5-940F-FA681969B15D}" srcOrd="0" destOrd="0" presId="urn:microsoft.com/office/officeart/2008/layout/NameandTitleOrganizationalChart"/>
    <dgm:cxn modelId="{52859BA2-81B5-41B5-A2DC-128999D23094}" type="presOf" srcId="{10E72BEC-3226-4401-BF29-1B348A3CD7E7}" destId="{820450CD-2C9B-4CAC-BA30-1D0C84C3E4C9}" srcOrd="1" destOrd="0" presId="urn:microsoft.com/office/officeart/2008/layout/NameandTitleOrganizationalChart"/>
    <dgm:cxn modelId="{9A9376AA-3C32-42B9-85F9-163BE46720A0}" srcId="{11953D8A-6EAC-4E7A-AD95-EB292D54A892}" destId="{C1445725-D6B2-42B1-866B-840AD260B3B3}" srcOrd="2" destOrd="0" parTransId="{07A0371C-38D4-491B-BC1A-F8DB1ECA7AB0}" sibTransId="{20D21282-5816-47C4-AB63-4C21E41FDC2A}"/>
    <dgm:cxn modelId="{11BC50B5-A49E-4182-B378-2996AA1E7CC3}" srcId="{F1654C6F-1BCD-47E6-96F0-4A8D2BF55594}" destId="{6BBBEDFC-16B6-4F94-8A24-1672C160C7C8}" srcOrd="2" destOrd="0" parTransId="{14076670-5B22-4D8B-BE56-D538804E1A23}" sibTransId="{77F6E827-1A02-4370-9B9C-07F44C03C9A9}"/>
    <dgm:cxn modelId="{A0C757B6-7194-49C4-97A4-A7FD3BA6401D}" type="presOf" srcId="{35744798-F8E7-45C5-8A66-513833856EAB}" destId="{1AF18370-8A75-4A2B-AEE5-7E5C541BC082}" srcOrd="1" destOrd="0" presId="urn:microsoft.com/office/officeart/2008/layout/NameandTitleOrganizationalChart"/>
    <dgm:cxn modelId="{BD24CABC-6470-44D1-B555-4FBB67E1E354}" type="presOf" srcId="{07C11DA3-3B8C-47F3-82C9-2B9835BA9CFE}" destId="{DFA3C47A-C2DC-4E54-81D9-1506C411ABEC}" srcOrd="0" destOrd="0" presId="urn:microsoft.com/office/officeart/2008/layout/NameandTitleOrganizationalChart"/>
    <dgm:cxn modelId="{BDE2B9BF-0E9E-4D4D-AAEA-1C893C3EAF42}" type="presOf" srcId="{7E7D5A36-99D7-499C-AE9B-1B77F7291EF2}" destId="{AEAE10B4-D5D9-4C45-BB28-7A8B710C4C88}" srcOrd="0" destOrd="0" presId="urn:microsoft.com/office/officeart/2008/layout/NameandTitleOrganizationalChart"/>
    <dgm:cxn modelId="{4AF3CBC0-8CA2-4881-BC48-687670F0D08E}" type="presOf" srcId="{138F9918-DA42-4656-9F0E-FED203FE44E2}" destId="{C28D24AD-24D1-42B8-A6A6-31797DE9F4E4}" srcOrd="0" destOrd="0" presId="urn:microsoft.com/office/officeart/2008/layout/NameandTitleOrganizationalChart"/>
    <dgm:cxn modelId="{65C21BC5-E8A9-4B38-86A3-FC45106E4A79}" type="presOf" srcId="{AA703480-1A17-4BCC-ABD0-7108BF384347}" destId="{B2E30EAD-3B9B-4B7A-9C76-A65F53E9B7EA}" srcOrd="0" destOrd="0" presId="urn:microsoft.com/office/officeart/2008/layout/NameandTitleOrganizationalChart"/>
    <dgm:cxn modelId="{1004EEC7-93DC-4D33-BB2E-AA9E62A3EA91}" type="presOf" srcId="{BEE46344-EE54-4BAD-BF32-AE5629A1684A}" destId="{AA576CF0-2021-4847-8D47-5A07496D22CA}" srcOrd="0" destOrd="0" presId="urn:microsoft.com/office/officeart/2008/layout/NameandTitleOrganizationalChart"/>
    <dgm:cxn modelId="{712A13C9-DD19-49F5-9ED8-E76A9B266750}" type="presOf" srcId="{7E8FC79B-76F0-41F5-A012-3187A9AC115C}" destId="{98CD0CC4-2547-4747-8DCB-DC543BCC9478}" srcOrd="0" destOrd="0" presId="urn:microsoft.com/office/officeart/2008/layout/NameandTitleOrganizationalChart"/>
    <dgm:cxn modelId="{49E661CB-0B89-437C-BBE5-3B14827FB6E3}" type="presOf" srcId="{6BBBEDFC-16B6-4F94-8A24-1672C160C7C8}" destId="{8B7875DC-567A-4654-8CAC-7E48D84046E7}" srcOrd="1" destOrd="0" presId="urn:microsoft.com/office/officeart/2008/layout/NameandTitleOrganizationalChart"/>
    <dgm:cxn modelId="{77BC9CCB-F56F-435D-9763-1CF0548BFB5C}" srcId="{727E455D-E88A-4DFB-B24F-D6A498317184}" destId="{0E678B1D-CA7A-44BE-96D9-7C879A76AD2A}" srcOrd="1" destOrd="0" parTransId="{07C11DA3-3B8C-47F3-82C9-2B9835BA9CFE}" sibTransId="{086F9518-64B4-4320-B00E-F08546F93515}"/>
    <dgm:cxn modelId="{B9FAB3CB-8FB1-402B-9222-D52D62492476}" type="presOf" srcId="{B7A1435E-2B8E-4853-8C1A-3DF880396857}" destId="{FBC08FFC-1062-4BE6-818D-A6B59324BFFA}" srcOrd="0" destOrd="0" presId="urn:microsoft.com/office/officeart/2008/layout/NameandTitleOrganizationalChart"/>
    <dgm:cxn modelId="{B782E8D4-5179-4B9E-A6B2-66FE3F638D5A}" type="presOf" srcId="{22B17A02-EB59-430D-8F2D-EAA86288C4BD}" destId="{9DD619E1-EFBB-44CE-9D03-67534D360277}" srcOrd="0" destOrd="0" presId="urn:microsoft.com/office/officeart/2008/layout/NameandTitleOrganizationalChart"/>
    <dgm:cxn modelId="{4934CDD6-0073-4A54-B47F-9D8105696459}" type="presOf" srcId="{3053ACE6-D7D7-473E-B21D-3A2FEC13D5F0}" destId="{04A7C3AF-0EC6-4B0D-B2A7-02514E86451F}" srcOrd="0" destOrd="0" presId="urn:microsoft.com/office/officeart/2008/layout/NameandTitleOrganizationalChart"/>
    <dgm:cxn modelId="{2F3ED3DF-6BD5-4B6B-9868-08F84FA181B6}" type="presOf" srcId="{14076670-5B22-4D8B-BE56-D538804E1A23}" destId="{C6DFEC26-61E7-4721-A81F-629E8A39C05B}" srcOrd="0" destOrd="0" presId="urn:microsoft.com/office/officeart/2008/layout/NameandTitleOrganizationalChart"/>
    <dgm:cxn modelId="{3F1F3FE6-1C0B-434E-A350-9EE17A26FDB6}" srcId="{F1654C6F-1BCD-47E6-96F0-4A8D2BF55594}" destId="{11953D8A-6EAC-4E7A-AD95-EB292D54A892}" srcOrd="1" destOrd="0" parTransId="{DF3B1DC3-9201-4EED-951D-5726E1303F11}" sibTransId="{7E7D5A36-99D7-499C-AE9B-1B77F7291EF2}"/>
    <dgm:cxn modelId="{1B89C3E6-4C9A-49C0-8F6F-E4F5B91C9998}" type="presOf" srcId="{F1654C6F-1BCD-47E6-96F0-4A8D2BF55594}" destId="{9EAB8E64-8D51-4164-AB25-33BDE35EDF86}" srcOrd="1" destOrd="0" presId="urn:microsoft.com/office/officeart/2008/layout/NameandTitleOrganizationalChart"/>
    <dgm:cxn modelId="{25BB86EA-8373-4D0F-B050-6F9AD501731B}" srcId="{11953D8A-6EAC-4E7A-AD95-EB292D54A892}" destId="{35744798-F8E7-45C5-8A66-513833856EAB}" srcOrd="0" destOrd="0" parTransId="{2B8F8450-49D5-4D3C-9E6D-424054820BBE}" sibTransId="{AA703480-1A17-4BCC-ABD0-7108BF384347}"/>
    <dgm:cxn modelId="{0DF985F4-94DF-41A6-AD41-00324F43A3E8}" type="presOf" srcId="{DF3B1DC3-9201-4EED-951D-5726E1303F11}" destId="{7DDDDEC9-2EA0-49B0-9D47-67345520EB38}" srcOrd="0" destOrd="0" presId="urn:microsoft.com/office/officeart/2008/layout/NameandTitleOrganizationalChart"/>
    <dgm:cxn modelId="{B8820AF6-F6C6-4665-9EE2-56F748A78879}" type="presOf" srcId="{07A0371C-38D4-491B-BC1A-F8DB1ECA7AB0}" destId="{E64A6F5F-3F64-4673-B0DC-B498858564F6}" srcOrd="0" destOrd="0" presId="urn:microsoft.com/office/officeart/2008/layout/NameandTitleOrganizationalChart"/>
    <dgm:cxn modelId="{E53A21F7-F57E-47AE-AA13-CB4568FC36D8}" type="presOf" srcId="{20D21282-5816-47C4-AB63-4C21E41FDC2A}" destId="{267F1486-F00D-442F-BD73-742EC19E385F}" srcOrd="0" destOrd="0" presId="urn:microsoft.com/office/officeart/2008/layout/NameandTitleOrganizationalChart"/>
    <dgm:cxn modelId="{D281ECFC-20F7-4897-817B-E514875F9EC2}" type="presOf" srcId="{CDC1C333-31D5-4E80-9ED7-6EBE06399FED}" destId="{5BD07DC4-9743-4468-BA48-7C8EF9145C68}" srcOrd="0" destOrd="0" presId="urn:microsoft.com/office/officeart/2008/layout/NameandTitleOrganizationalChart"/>
    <dgm:cxn modelId="{7477D1FE-3189-467C-90E9-206AC7B6F1E9}" srcId="{727E455D-E88A-4DFB-B24F-D6A498317184}" destId="{78C8840C-70B7-4CF7-BA4E-DE17C1DDBB80}" srcOrd="2" destOrd="0" parTransId="{A1602992-DC71-4329-B7B5-638E30ECA561}" sibTransId="{B7A1435E-2B8E-4853-8C1A-3DF880396857}"/>
    <dgm:cxn modelId="{239850FF-9AB3-4CC2-B0F0-776ED830B057}" type="presOf" srcId="{F1654C6F-1BCD-47E6-96F0-4A8D2BF55594}" destId="{C63475E5-49FE-41EA-B82E-C38629E1BE06}" srcOrd="0" destOrd="0" presId="urn:microsoft.com/office/officeart/2008/layout/NameandTitleOrganizationalChart"/>
    <dgm:cxn modelId="{21189A76-D232-40EB-9D99-AD3277CE44BA}" type="presParOf" srcId="{98CD0CC4-2547-4747-8DCB-DC543BCC9478}" destId="{B2DCB7DE-B050-4D78-8560-B87EBED7F358}" srcOrd="0" destOrd="0" presId="urn:microsoft.com/office/officeart/2008/layout/NameandTitleOrganizationalChart"/>
    <dgm:cxn modelId="{B6F45D09-C564-411D-A137-84336691B3CB}" type="presParOf" srcId="{B2DCB7DE-B050-4D78-8560-B87EBED7F358}" destId="{6005FF58-0E92-4DBE-8757-F0501C18BADE}" srcOrd="0" destOrd="0" presId="urn:microsoft.com/office/officeart/2008/layout/NameandTitleOrganizationalChart"/>
    <dgm:cxn modelId="{D1ED7E55-E5C6-4709-8E3B-FB8D5D9D47FA}" type="presParOf" srcId="{6005FF58-0E92-4DBE-8757-F0501C18BADE}" destId="{C63475E5-49FE-41EA-B82E-C38629E1BE06}" srcOrd="0" destOrd="0" presId="urn:microsoft.com/office/officeart/2008/layout/NameandTitleOrganizationalChart"/>
    <dgm:cxn modelId="{496653B4-8CF9-4388-8409-6FDED88CF529}" type="presParOf" srcId="{6005FF58-0E92-4DBE-8757-F0501C18BADE}" destId="{DC5A80F1-077C-4B03-8FED-F735DA16440B}" srcOrd="1" destOrd="0" presId="urn:microsoft.com/office/officeart/2008/layout/NameandTitleOrganizationalChart"/>
    <dgm:cxn modelId="{C732EBE9-8A98-41AD-A517-64539E595B12}" type="presParOf" srcId="{6005FF58-0E92-4DBE-8757-F0501C18BADE}" destId="{9EAB8E64-8D51-4164-AB25-33BDE35EDF86}" srcOrd="2" destOrd="0" presId="urn:microsoft.com/office/officeart/2008/layout/NameandTitleOrganizationalChart"/>
    <dgm:cxn modelId="{068A4DF7-ADFA-4663-A380-589D01FA1607}" type="presParOf" srcId="{B2DCB7DE-B050-4D78-8560-B87EBED7F358}" destId="{4347FBD9-ACEC-419F-905E-41A795A064C2}" srcOrd="1" destOrd="0" presId="urn:microsoft.com/office/officeart/2008/layout/NameandTitleOrganizationalChart"/>
    <dgm:cxn modelId="{1A0BD95D-70AD-428C-A5CF-F9EE2360475C}" type="presParOf" srcId="{4347FBD9-ACEC-419F-905E-41A795A064C2}" destId="{135FA63C-52BD-4F9E-ACBE-7DD5EFADF3D6}" srcOrd="0" destOrd="0" presId="urn:microsoft.com/office/officeart/2008/layout/NameandTitleOrganizationalChart"/>
    <dgm:cxn modelId="{FB8F355E-BD19-47E8-A800-15C7C42D0B81}" type="presParOf" srcId="{4347FBD9-ACEC-419F-905E-41A795A064C2}" destId="{97DE2D07-524C-4DB0-A1C9-BDA946160321}" srcOrd="1" destOrd="0" presId="urn:microsoft.com/office/officeart/2008/layout/NameandTitleOrganizationalChart"/>
    <dgm:cxn modelId="{FC59553A-13F7-40FB-B3E6-FFB74447B2DC}" type="presParOf" srcId="{97DE2D07-524C-4DB0-A1C9-BDA946160321}" destId="{06158DD7-E4D0-45B3-A8F6-92E1348B9ACC}" srcOrd="0" destOrd="0" presId="urn:microsoft.com/office/officeart/2008/layout/NameandTitleOrganizationalChart"/>
    <dgm:cxn modelId="{1E684C3F-A1A8-4C43-A85C-86B7E1C45D4A}" type="presParOf" srcId="{06158DD7-E4D0-45B3-A8F6-92E1348B9ACC}" destId="{D2181851-053A-42E5-940F-FA681969B15D}" srcOrd="0" destOrd="0" presId="urn:microsoft.com/office/officeart/2008/layout/NameandTitleOrganizationalChart"/>
    <dgm:cxn modelId="{3D9CC18F-354C-4A72-A8F6-9B826DE98D7B}" type="presParOf" srcId="{06158DD7-E4D0-45B3-A8F6-92E1348B9ACC}" destId="{04A7C3AF-0EC6-4B0D-B2A7-02514E86451F}" srcOrd="1" destOrd="0" presId="urn:microsoft.com/office/officeart/2008/layout/NameandTitleOrganizationalChart"/>
    <dgm:cxn modelId="{849C6282-C3FB-4C1C-82DB-8D9A365CBDF2}" type="presParOf" srcId="{06158DD7-E4D0-45B3-A8F6-92E1348B9ACC}" destId="{88AA96A9-0D90-4D67-9F8D-34BC042970FA}" srcOrd="2" destOrd="0" presId="urn:microsoft.com/office/officeart/2008/layout/NameandTitleOrganizationalChart"/>
    <dgm:cxn modelId="{07B8300A-39FF-45F2-A9FA-ED966D568C9B}" type="presParOf" srcId="{97DE2D07-524C-4DB0-A1C9-BDA946160321}" destId="{82B17AE8-06C2-4756-8F48-789C55CD34AD}" srcOrd="1" destOrd="0" presId="urn:microsoft.com/office/officeart/2008/layout/NameandTitleOrganizationalChart"/>
    <dgm:cxn modelId="{9BF52F74-18D6-4723-BB67-E990B799EFB4}" type="presParOf" srcId="{82B17AE8-06C2-4756-8F48-789C55CD34AD}" destId="{DD440C76-09A0-41E7-84D0-454F46A01260}" srcOrd="0" destOrd="0" presId="urn:microsoft.com/office/officeart/2008/layout/NameandTitleOrganizationalChart"/>
    <dgm:cxn modelId="{92501FA4-FB12-423B-8141-112C8A6746FA}" type="presParOf" srcId="{82B17AE8-06C2-4756-8F48-789C55CD34AD}" destId="{DDBC1742-BDE4-4758-949E-6F58069C9E82}" srcOrd="1" destOrd="0" presId="urn:microsoft.com/office/officeart/2008/layout/NameandTitleOrganizationalChart"/>
    <dgm:cxn modelId="{FC872B21-D87C-4C39-A289-90CAC6EAF07A}" type="presParOf" srcId="{DDBC1742-BDE4-4758-949E-6F58069C9E82}" destId="{89E7E7F3-1C6F-4A53-A50B-2E8C1BDD7D87}" srcOrd="0" destOrd="0" presId="urn:microsoft.com/office/officeart/2008/layout/NameandTitleOrganizationalChart"/>
    <dgm:cxn modelId="{B958F68A-B324-43CD-BB38-AEF28C4F6201}" type="presParOf" srcId="{89E7E7F3-1C6F-4A53-A50B-2E8C1BDD7D87}" destId="{C28D24AD-24D1-42B8-A6A6-31797DE9F4E4}" srcOrd="0" destOrd="0" presId="urn:microsoft.com/office/officeart/2008/layout/NameandTitleOrganizationalChart"/>
    <dgm:cxn modelId="{C0C04CFA-53E0-4523-A589-0588EFDF234D}" type="presParOf" srcId="{89E7E7F3-1C6F-4A53-A50B-2E8C1BDD7D87}" destId="{C8D7C9B5-5B36-4379-B872-A79AE5ACD0A3}" srcOrd="1" destOrd="0" presId="urn:microsoft.com/office/officeart/2008/layout/NameandTitleOrganizationalChart"/>
    <dgm:cxn modelId="{3D87FC88-A86E-4F20-827E-6AB0216F6FD9}" type="presParOf" srcId="{89E7E7F3-1C6F-4A53-A50B-2E8C1BDD7D87}" destId="{6CA2D4AA-238E-4C99-836E-D68EBAE335BE}" srcOrd="2" destOrd="0" presId="urn:microsoft.com/office/officeart/2008/layout/NameandTitleOrganizationalChart"/>
    <dgm:cxn modelId="{D2B537F0-0F11-44DF-9DEF-CDCF8F31E2C4}" type="presParOf" srcId="{DDBC1742-BDE4-4758-949E-6F58069C9E82}" destId="{3F16FD19-87EC-46D7-9171-AC541F7AFF11}" srcOrd="1" destOrd="0" presId="urn:microsoft.com/office/officeart/2008/layout/NameandTitleOrganizationalChart"/>
    <dgm:cxn modelId="{7FFD3289-97E1-4693-B1B0-2256E88B9331}" type="presParOf" srcId="{DDBC1742-BDE4-4758-949E-6F58069C9E82}" destId="{69FD9384-D3BE-415C-86A8-539525EEC426}" srcOrd="2" destOrd="0" presId="urn:microsoft.com/office/officeart/2008/layout/NameandTitleOrganizationalChart"/>
    <dgm:cxn modelId="{478DD784-2484-458E-8A69-E9353E25E289}" type="presParOf" srcId="{82B17AE8-06C2-4756-8F48-789C55CD34AD}" destId="{DFA3C47A-C2DC-4E54-81D9-1506C411ABEC}" srcOrd="2" destOrd="0" presId="urn:microsoft.com/office/officeart/2008/layout/NameandTitleOrganizationalChart"/>
    <dgm:cxn modelId="{1FD4A695-8CC3-4765-9761-68C1E7073794}" type="presParOf" srcId="{82B17AE8-06C2-4756-8F48-789C55CD34AD}" destId="{9A6EA603-95B8-4E60-971A-8FC69D756616}" srcOrd="3" destOrd="0" presId="urn:microsoft.com/office/officeart/2008/layout/NameandTitleOrganizationalChart"/>
    <dgm:cxn modelId="{3A316E35-99FA-4FCC-B59A-E130349E6081}" type="presParOf" srcId="{9A6EA603-95B8-4E60-971A-8FC69D756616}" destId="{40A1AB77-6934-4863-AC7C-9C1246C3274F}" srcOrd="0" destOrd="0" presId="urn:microsoft.com/office/officeart/2008/layout/NameandTitleOrganizationalChart"/>
    <dgm:cxn modelId="{5133F9E3-6278-45D1-B7D4-3B8196792705}" type="presParOf" srcId="{40A1AB77-6934-4863-AC7C-9C1246C3274F}" destId="{67B62DB1-842A-4A3E-AAA6-69604899623A}" srcOrd="0" destOrd="0" presId="urn:microsoft.com/office/officeart/2008/layout/NameandTitleOrganizationalChart"/>
    <dgm:cxn modelId="{9ECB1DC1-2C36-413A-9B18-FEF79D8DEEE7}" type="presParOf" srcId="{40A1AB77-6934-4863-AC7C-9C1246C3274F}" destId="{6AC56C02-EE51-43D7-87D6-16AB2F762F36}" srcOrd="1" destOrd="0" presId="urn:microsoft.com/office/officeart/2008/layout/NameandTitleOrganizationalChart"/>
    <dgm:cxn modelId="{612FDB26-9B22-45D8-91F5-8B9BECF3C14A}" type="presParOf" srcId="{40A1AB77-6934-4863-AC7C-9C1246C3274F}" destId="{F4BFAC31-F85B-4AA9-875D-3E9E2E3F6DFA}" srcOrd="2" destOrd="0" presId="urn:microsoft.com/office/officeart/2008/layout/NameandTitleOrganizationalChart"/>
    <dgm:cxn modelId="{1E500941-AC50-44D6-8AAF-3EA810EF8E7A}" type="presParOf" srcId="{9A6EA603-95B8-4E60-971A-8FC69D756616}" destId="{8E7D61C7-12E7-4774-AA7E-FE54C131186B}" srcOrd="1" destOrd="0" presId="urn:microsoft.com/office/officeart/2008/layout/NameandTitleOrganizationalChart"/>
    <dgm:cxn modelId="{F380AD93-063C-410E-B7A1-AC6F2A5256DD}" type="presParOf" srcId="{9A6EA603-95B8-4E60-971A-8FC69D756616}" destId="{E1173454-2DB3-4DD4-8B51-0B6D8F284107}" srcOrd="2" destOrd="0" presId="urn:microsoft.com/office/officeart/2008/layout/NameandTitleOrganizationalChart"/>
    <dgm:cxn modelId="{C5E6D885-73D5-4BA2-860F-65D4E928ED3B}" type="presParOf" srcId="{82B17AE8-06C2-4756-8F48-789C55CD34AD}" destId="{DA980299-CFA9-4B1C-BE45-82F8C0CA8769}" srcOrd="4" destOrd="0" presId="urn:microsoft.com/office/officeart/2008/layout/NameandTitleOrganizationalChart"/>
    <dgm:cxn modelId="{E2E6FE4D-AEE2-4666-924D-7C9FF17A4CE4}" type="presParOf" srcId="{82B17AE8-06C2-4756-8F48-789C55CD34AD}" destId="{C1F29118-E09E-493F-9D59-3A9C4892080C}" srcOrd="5" destOrd="0" presId="urn:microsoft.com/office/officeart/2008/layout/NameandTitleOrganizationalChart"/>
    <dgm:cxn modelId="{2410966C-3C88-4A9C-A9DB-4D6D638E1BE6}" type="presParOf" srcId="{C1F29118-E09E-493F-9D59-3A9C4892080C}" destId="{3F3A12B6-BF22-4FB2-B894-D796E9DCC132}" srcOrd="0" destOrd="0" presId="urn:microsoft.com/office/officeart/2008/layout/NameandTitleOrganizationalChart"/>
    <dgm:cxn modelId="{DAE41B1D-3DCC-4917-B473-AD68817F6276}" type="presParOf" srcId="{3F3A12B6-BF22-4FB2-B894-D796E9DCC132}" destId="{3E56EE88-6177-4D83-9AA4-6F0581F8F0F2}" srcOrd="0" destOrd="0" presId="urn:microsoft.com/office/officeart/2008/layout/NameandTitleOrganizationalChart"/>
    <dgm:cxn modelId="{5F3F3955-29B6-4D11-A5B2-CDFEE78D1A99}" type="presParOf" srcId="{3F3A12B6-BF22-4FB2-B894-D796E9DCC132}" destId="{FBC08FFC-1062-4BE6-818D-A6B59324BFFA}" srcOrd="1" destOrd="0" presId="urn:microsoft.com/office/officeart/2008/layout/NameandTitleOrganizationalChart"/>
    <dgm:cxn modelId="{85F64299-333B-4B3A-A2DB-6F48CF2B7B58}" type="presParOf" srcId="{3F3A12B6-BF22-4FB2-B894-D796E9DCC132}" destId="{825D34BD-9AE9-403B-83BA-3E30CCDDA8D1}" srcOrd="2" destOrd="0" presId="urn:microsoft.com/office/officeart/2008/layout/NameandTitleOrganizationalChart"/>
    <dgm:cxn modelId="{783141B7-780B-4B82-A75D-68FAB9A441F7}" type="presParOf" srcId="{C1F29118-E09E-493F-9D59-3A9C4892080C}" destId="{B0332E70-20DB-4EB9-B6CA-87F4C2E4CB05}" srcOrd="1" destOrd="0" presId="urn:microsoft.com/office/officeart/2008/layout/NameandTitleOrganizationalChart"/>
    <dgm:cxn modelId="{93760178-297D-420A-A4CC-23B6182AF4C1}" type="presParOf" srcId="{C1F29118-E09E-493F-9D59-3A9C4892080C}" destId="{41D1420B-6E15-4DA6-BC57-90145B513151}" srcOrd="2" destOrd="0" presId="urn:microsoft.com/office/officeart/2008/layout/NameandTitleOrganizationalChart"/>
    <dgm:cxn modelId="{AF25D79F-1D49-4075-BEDF-CD3510A0E5A4}" type="presParOf" srcId="{97DE2D07-524C-4DB0-A1C9-BDA946160321}" destId="{A0321181-C970-4573-8639-0C8245BCE237}" srcOrd="2" destOrd="0" presId="urn:microsoft.com/office/officeart/2008/layout/NameandTitleOrganizationalChart"/>
    <dgm:cxn modelId="{6690D3D4-93E2-4BB3-8FA7-2226648CDCD5}" type="presParOf" srcId="{4347FBD9-ACEC-419F-905E-41A795A064C2}" destId="{7DDDDEC9-2EA0-49B0-9D47-67345520EB38}" srcOrd="2" destOrd="0" presId="urn:microsoft.com/office/officeart/2008/layout/NameandTitleOrganizationalChart"/>
    <dgm:cxn modelId="{97988A11-28E9-4D29-AD27-60539A002E68}" type="presParOf" srcId="{4347FBD9-ACEC-419F-905E-41A795A064C2}" destId="{EFE0503B-6835-48C8-ADF5-FF302CFF4C83}" srcOrd="3" destOrd="0" presId="urn:microsoft.com/office/officeart/2008/layout/NameandTitleOrganizationalChart"/>
    <dgm:cxn modelId="{1F3654B0-5A3B-400D-8C94-829D8C3742A4}" type="presParOf" srcId="{EFE0503B-6835-48C8-ADF5-FF302CFF4C83}" destId="{563EE255-826E-4399-99BA-2A24477E0941}" srcOrd="0" destOrd="0" presId="urn:microsoft.com/office/officeart/2008/layout/NameandTitleOrganizationalChart"/>
    <dgm:cxn modelId="{08D82A22-3A41-4285-A9D2-3078E315E613}" type="presParOf" srcId="{563EE255-826E-4399-99BA-2A24477E0941}" destId="{B336C763-2F89-4115-A9D4-36D6954E37D4}" srcOrd="0" destOrd="0" presId="urn:microsoft.com/office/officeart/2008/layout/NameandTitleOrganizationalChart"/>
    <dgm:cxn modelId="{D7BFF728-0E47-4B98-8C4B-16B4956AE275}" type="presParOf" srcId="{563EE255-826E-4399-99BA-2A24477E0941}" destId="{AEAE10B4-D5D9-4C45-BB28-7A8B710C4C88}" srcOrd="1" destOrd="0" presId="urn:microsoft.com/office/officeart/2008/layout/NameandTitleOrganizationalChart"/>
    <dgm:cxn modelId="{8565E5B8-7584-42F1-A277-E5E0DD3BBF31}" type="presParOf" srcId="{563EE255-826E-4399-99BA-2A24477E0941}" destId="{9D09EF6D-9317-48AE-856C-57C8442726A9}" srcOrd="2" destOrd="0" presId="urn:microsoft.com/office/officeart/2008/layout/NameandTitleOrganizationalChart"/>
    <dgm:cxn modelId="{CF17AA07-5020-4A0A-84A6-D3025AA919F7}" type="presParOf" srcId="{EFE0503B-6835-48C8-ADF5-FF302CFF4C83}" destId="{4719FF6F-3B8D-4FB0-8D54-629421F369F9}" srcOrd="1" destOrd="0" presId="urn:microsoft.com/office/officeart/2008/layout/NameandTitleOrganizationalChart"/>
    <dgm:cxn modelId="{713BEC2B-CADD-4ED6-89C1-3C46B600DEC3}" type="presParOf" srcId="{4719FF6F-3B8D-4FB0-8D54-629421F369F9}" destId="{E1BAD458-DA77-46F9-9C3F-7C9ADAB032A4}" srcOrd="0" destOrd="0" presId="urn:microsoft.com/office/officeart/2008/layout/NameandTitleOrganizationalChart"/>
    <dgm:cxn modelId="{D4545122-F8BA-49A0-9D22-8A257244927A}" type="presParOf" srcId="{4719FF6F-3B8D-4FB0-8D54-629421F369F9}" destId="{6367FDF3-2F89-4F4C-BBFE-B8B53F53F00E}" srcOrd="1" destOrd="0" presId="urn:microsoft.com/office/officeart/2008/layout/NameandTitleOrganizationalChart"/>
    <dgm:cxn modelId="{908994A8-F0C2-4299-90DB-D8AA329EE7E9}" type="presParOf" srcId="{6367FDF3-2F89-4F4C-BBFE-B8B53F53F00E}" destId="{E7F0FF00-929C-4966-863F-0F19AA6B2771}" srcOrd="0" destOrd="0" presId="urn:microsoft.com/office/officeart/2008/layout/NameandTitleOrganizationalChart"/>
    <dgm:cxn modelId="{6B5767BC-FD0A-4056-966E-9433B42BFD67}" type="presParOf" srcId="{E7F0FF00-929C-4966-863F-0F19AA6B2771}" destId="{91A6E367-A5D6-4D07-BE88-21E1D945C91D}" srcOrd="0" destOrd="0" presId="urn:microsoft.com/office/officeart/2008/layout/NameandTitleOrganizationalChart"/>
    <dgm:cxn modelId="{A637F53E-B6EC-4AE5-B22E-DBB73AD6BDE5}" type="presParOf" srcId="{E7F0FF00-929C-4966-863F-0F19AA6B2771}" destId="{B2E30EAD-3B9B-4B7A-9C76-A65F53E9B7EA}" srcOrd="1" destOrd="0" presId="urn:microsoft.com/office/officeart/2008/layout/NameandTitleOrganizationalChart"/>
    <dgm:cxn modelId="{6BAA48BD-B397-4831-90D2-9662496C5382}" type="presParOf" srcId="{E7F0FF00-929C-4966-863F-0F19AA6B2771}" destId="{1AF18370-8A75-4A2B-AEE5-7E5C541BC082}" srcOrd="2" destOrd="0" presId="urn:microsoft.com/office/officeart/2008/layout/NameandTitleOrganizationalChart"/>
    <dgm:cxn modelId="{C3842E8D-45A4-40D4-B538-DEE64F5EF901}" type="presParOf" srcId="{6367FDF3-2F89-4F4C-BBFE-B8B53F53F00E}" destId="{C25DEC60-94EF-4E60-B798-17301B24ADA2}" srcOrd="1" destOrd="0" presId="urn:microsoft.com/office/officeart/2008/layout/NameandTitleOrganizationalChart"/>
    <dgm:cxn modelId="{65250027-50CE-4477-9168-FFD4DA84CD71}" type="presParOf" srcId="{6367FDF3-2F89-4F4C-BBFE-B8B53F53F00E}" destId="{6F008878-1568-44B7-A8F9-08EDB553D47C}" srcOrd="2" destOrd="0" presId="urn:microsoft.com/office/officeart/2008/layout/NameandTitleOrganizationalChart"/>
    <dgm:cxn modelId="{CA82ED56-13C5-4C2A-8522-7FB898AEFD4F}" type="presParOf" srcId="{4719FF6F-3B8D-4FB0-8D54-629421F369F9}" destId="{78E281D5-1471-4C50-AED8-78D2D8F7AAB6}" srcOrd="2" destOrd="0" presId="urn:microsoft.com/office/officeart/2008/layout/NameandTitleOrganizationalChart"/>
    <dgm:cxn modelId="{4DC64ECC-12F0-4FB4-AF02-EB95F9FB7EAB}" type="presParOf" srcId="{4719FF6F-3B8D-4FB0-8D54-629421F369F9}" destId="{3F193A1A-0A73-461B-85E8-6A35E617BE57}" srcOrd="3" destOrd="0" presId="urn:microsoft.com/office/officeart/2008/layout/NameandTitleOrganizationalChart"/>
    <dgm:cxn modelId="{364748EC-00DE-4DE1-8452-E4B43478B491}" type="presParOf" srcId="{3F193A1A-0A73-461B-85E8-6A35E617BE57}" destId="{05CE3F79-F6E8-471D-8960-27771B326039}" srcOrd="0" destOrd="0" presId="urn:microsoft.com/office/officeart/2008/layout/NameandTitleOrganizationalChart"/>
    <dgm:cxn modelId="{B5CDC2D0-0B55-4302-83AE-A3760B34C60B}" type="presParOf" srcId="{05CE3F79-F6E8-471D-8960-27771B326039}" destId="{486EB147-7D30-49CE-8232-301A531AAF76}" srcOrd="0" destOrd="0" presId="urn:microsoft.com/office/officeart/2008/layout/NameandTitleOrganizationalChart"/>
    <dgm:cxn modelId="{B6A20639-DCA6-4871-838D-D4FEB11AF7C8}" type="presParOf" srcId="{05CE3F79-F6E8-471D-8960-27771B326039}" destId="{AA576CF0-2021-4847-8D47-5A07496D22CA}" srcOrd="1" destOrd="0" presId="urn:microsoft.com/office/officeart/2008/layout/NameandTitleOrganizationalChart"/>
    <dgm:cxn modelId="{C669D175-7DE7-4DCF-9848-5A353126B61D}" type="presParOf" srcId="{05CE3F79-F6E8-471D-8960-27771B326039}" destId="{820450CD-2C9B-4CAC-BA30-1D0C84C3E4C9}" srcOrd="2" destOrd="0" presId="urn:microsoft.com/office/officeart/2008/layout/NameandTitleOrganizationalChart"/>
    <dgm:cxn modelId="{6610FC58-95C2-4BB1-8ED5-AECD8D2A5622}" type="presParOf" srcId="{3F193A1A-0A73-461B-85E8-6A35E617BE57}" destId="{95F8109F-EAD7-4FE0-A147-421EBC2634D2}" srcOrd="1" destOrd="0" presId="urn:microsoft.com/office/officeart/2008/layout/NameandTitleOrganizationalChart"/>
    <dgm:cxn modelId="{A53618F8-2D40-4140-B2B0-7C73AEBC8962}" type="presParOf" srcId="{3F193A1A-0A73-461B-85E8-6A35E617BE57}" destId="{0515F75C-EB1A-4A33-A626-41210DCE2850}" srcOrd="2" destOrd="0" presId="urn:microsoft.com/office/officeart/2008/layout/NameandTitleOrganizationalChart"/>
    <dgm:cxn modelId="{FAA9594C-3450-43B9-8FF3-A62079FCB66F}" type="presParOf" srcId="{4719FF6F-3B8D-4FB0-8D54-629421F369F9}" destId="{E64A6F5F-3F64-4673-B0DC-B498858564F6}" srcOrd="4" destOrd="0" presId="urn:microsoft.com/office/officeart/2008/layout/NameandTitleOrganizationalChart"/>
    <dgm:cxn modelId="{421F2999-D099-457B-8211-4010E8D5AE21}" type="presParOf" srcId="{4719FF6F-3B8D-4FB0-8D54-629421F369F9}" destId="{00D1B495-C4E4-47AF-9E71-9FDEDF729DC2}" srcOrd="5" destOrd="0" presId="urn:microsoft.com/office/officeart/2008/layout/NameandTitleOrganizationalChart"/>
    <dgm:cxn modelId="{73E34D77-EB78-4AB1-9801-1A2DBCE408B6}" type="presParOf" srcId="{00D1B495-C4E4-47AF-9E71-9FDEDF729DC2}" destId="{E53F1BCA-3D60-4B5F-A0A8-395DB0FC62AC}" srcOrd="0" destOrd="0" presId="urn:microsoft.com/office/officeart/2008/layout/NameandTitleOrganizationalChart"/>
    <dgm:cxn modelId="{13C5B02D-D110-4CA4-816B-711D0DA70B9F}" type="presParOf" srcId="{E53F1BCA-3D60-4B5F-A0A8-395DB0FC62AC}" destId="{B59F5AF5-5BAF-4785-9653-32EEEA74C996}" srcOrd="0" destOrd="0" presId="urn:microsoft.com/office/officeart/2008/layout/NameandTitleOrganizationalChart"/>
    <dgm:cxn modelId="{B0719A33-A799-458D-9C9A-B26D561105D8}" type="presParOf" srcId="{E53F1BCA-3D60-4B5F-A0A8-395DB0FC62AC}" destId="{267F1486-F00D-442F-BD73-742EC19E385F}" srcOrd="1" destOrd="0" presId="urn:microsoft.com/office/officeart/2008/layout/NameandTitleOrganizationalChart"/>
    <dgm:cxn modelId="{6A2CE47F-D8CE-41E4-A6C6-BCDBE6597CA4}" type="presParOf" srcId="{E53F1BCA-3D60-4B5F-A0A8-395DB0FC62AC}" destId="{52E37727-0DA9-47FE-85AA-8EBF285C83D3}" srcOrd="2" destOrd="0" presId="urn:microsoft.com/office/officeart/2008/layout/NameandTitleOrganizationalChart"/>
    <dgm:cxn modelId="{CDD8CF04-8A31-47C4-B5FD-831F4E050369}" type="presParOf" srcId="{00D1B495-C4E4-47AF-9E71-9FDEDF729DC2}" destId="{34B4AA07-D526-4326-942C-F4AB4440FC27}" srcOrd="1" destOrd="0" presId="urn:microsoft.com/office/officeart/2008/layout/NameandTitleOrganizationalChart"/>
    <dgm:cxn modelId="{F20FEE3A-5FD3-4E3D-BCC9-63428867A86A}" type="presParOf" srcId="{00D1B495-C4E4-47AF-9E71-9FDEDF729DC2}" destId="{DF163A23-BC83-4131-8284-6BA732B79921}" srcOrd="2" destOrd="0" presId="urn:microsoft.com/office/officeart/2008/layout/NameandTitleOrganizationalChart"/>
    <dgm:cxn modelId="{5B3F8A7B-05E2-4EFD-B6F1-F9B3FE6E2710}" type="presParOf" srcId="{EFE0503B-6835-48C8-ADF5-FF302CFF4C83}" destId="{B16A49EC-FA64-4CF8-9F73-134DE4669573}" srcOrd="2" destOrd="0" presId="urn:microsoft.com/office/officeart/2008/layout/NameandTitleOrganizationalChart"/>
    <dgm:cxn modelId="{E33FDCF8-570B-49EA-937B-28B3DE8A407C}" type="presParOf" srcId="{4347FBD9-ACEC-419F-905E-41A795A064C2}" destId="{C6DFEC26-61E7-4721-A81F-629E8A39C05B}" srcOrd="4" destOrd="0" presId="urn:microsoft.com/office/officeart/2008/layout/NameandTitleOrganizationalChart"/>
    <dgm:cxn modelId="{40867926-6956-4695-89F8-E63C5B318985}" type="presParOf" srcId="{4347FBD9-ACEC-419F-905E-41A795A064C2}" destId="{A8CF42C3-E930-4029-BE16-FBFD931DA1BA}" srcOrd="5" destOrd="0" presId="urn:microsoft.com/office/officeart/2008/layout/NameandTitleOrganizationalChart"/>
    <dgm:cxn modelId="{BC6F8A91-7D28-4650-B911-082D7EF1DBD0}" type="presParOf" srcId="{A8CF42C3-E930-4029-BE16-FBFD931DA1BA}" destId="{37F7DB77-44C3-4FF1-B66D-4FFA7C358D06}" srcOrd="0" destOrd="0" presId="urn:microsoft.com/office/officeart/2008/layout/NameandTitleOrganizationalChart"/>
    <dgm:cxn modelId="{3ED5F143-DB0E-472C-9082-621021E0B5C0}" type="presParOf" srcId="{37F7DB77-44C3-4FF1-B66D-4FFA7C358D06}" destId="{F24A06B9-1E96-410C-B467-B29DBCDED2D7}" srcOrd="0" destOrd="0" presId="urn:microsoft.com/office/officeart/2008/layout/NameandTitleOrganizationalChart"/>
    <dgm:cxn modelId="{BCCC5EAE-C535-4D80-BD09-33621521E228}" type="presParOf" srcId="{37F7DB77-44C3-4FF1-B66D-4FFA7C358D06}" destId="{232251A2-E0BB-43B5-82DB-631055C6B5CE}" srcOrd="1" destOrd="0" presId="urn:microsoft.com/office/officeart/2008/layout/NameandTitleOrganizationalChart"/>
    <dgm:cxn modelId="{44C10597-A899-45F9-B29B-74AE7EDD209C}" type="presParOf" srcId="{37F7DB77-44C3-4FF1-B66D-4FFA7C358D06}" destId="{8B7875DC-567A-4654-8CAC-7E48D84046E7}" srcOrd="2" destOrd="0" presId="urn:microsoft.com/office/officeart/2008/layout/NameandTitleOrganizationalChart"/>
    <dgm:cxn modelId="{1F02118C-6B47-4C2C-A405-4EFAEE5D55EE}" type="presParOf" srcId="{A8CF42C3-E930-4029-BE16-FBFD931DA1BA}" destId="{81B53E2A-29F0-460B-A118-A8F5820CBC2B}" srcOrd="1" destOrd="0" presId="urn:microsoft.com/office/officeart/2008/layout/NameandTitleOrganizationalChart"/>
    <dgm:cxn modelId="{96B8FC46-A247-40DD-AD92-4FBBB869FB7D}" type="presParOf" srcId="{A8CF42C3-E930-4029-BE16-FBFD931DA1BA}" destId="{3A826A3A-6618-40C2-A27E-26851B16BFA7}" srcOrd="2" destOrd="0" presId="urn:microsoft.com/office/officeart/2008/layout/NameandTitleOrganizationalChart"/>
    <dgm:cxn modelId="{AA46A328-F7D5-49AB-8917-A12A97B7F657}" type="presParOf" srcId="{3A826A3A-6618-40C2-A27E-26851B16BFA7}" destId="{B00DD25B-858F-40FD-9679-789071762E79}" srcOrd="0" destOrd="0" presId="urn:microsoft.com/office/officeart/2008/layout/NameandTitleOrganizationalChart"/>
    <dgm:cxn modelId="{81CC64EF-D691-4779-944A-6CAB5DB6D8F6}" type="presParOf" srcId="{3A826A3A-6618-40C2-A27E-26851B16BFA7}" destId="{EE6F8988-4F8B-4963-92AE-F5412CE76EDE}" srcOrd="1" destOrd="0" presId="urn:microsoft.com/office/officeart/2008/layout/NameandTitleOrganizationalChart"/>
    <dgm:cxn modelId="{180C0BEF-637F-40EF-A8CE-7186E2E764C7}" type="presParOf" srcId="{EE6F8988-4F8B-4963-92AE-F5412CE76EDE}" destId="{267268A0-C2D4-4256-BE3B-957585E33AD5}" srcOrd="0" destOrd="0" presId="urn:microsoft.com/office/officeart/2008/layout/NameandTitleOrganizationalChart"/>
    <dgm:cxn modelId="{37C0227E-216F-4159-9101-4C654CB981B8}" type="presParOf" srcId="{267268A0-C2D4-4256-BE3B-957585E33AD5}" destId="{CEF3B549-D084-45E5-B726-04FF8ABFC1FD}" srcOrd="0" destOrd="0" presId="urn:microsoft.com/office/officeart/2008/layout/NameandTitleOrganizationalChart"/>
    <dgm:cxn modelId="{B3100095-5533-47B2-A7E7-DA1C0E30F129}" type="presParOf" srcId="{267268A0-C2D4-4256-BE3B-957585E33AD5}" destId="{9DD619E1-EFBB-44CE-9D03-67534D360277}" srcOrd="1" destOrd="0" presId="urn:microsoft.com/office/officeart/2008/layout/NameandTitleOrganizationalChart"/>
    <dgm:cxn modelId="{19613948-D92C-4E05-B53A-68889506E354}" type="presParOf" srcId="{267268A0-C2D4-4256-BE3B-957585E33AD5}" destId="{F57313CA-3D71-456A-A0B1-23D227DD8A48}" srcOrd="2" destOrd="0" presId="urn:microsoft.com/office/officeart/2008/layout/NameandTitleOrganizationalChart"/>
    <dgm:cxn modelId="{675DF392-24D9-4AA2-8BB5-F234D915AC3A}" type="presParOf" srcId="{EE6F8988-4F8B-4963-92AE-F5412CE76EDE}" destId="{1817DABB-FCFE-4716-8CB4-9031CD59ACE9}" srcOrd="1" destOrd="0" presId="urn:microsoft.com/office/officeart/2008/layout/NameandTitleOrganizationalChart"/>
    <dgm:cxn modelId="{19A63FC3-B307-4286-8152-EB024BB99895}" type="presParOf" srcId="{EE6F8988-4F8B-4963-92AE-F5412CE76EDE}" destId="{430A3C9B-E241-46EA-AAB5-F1F7A2182670}" srcOrd="2" destOrd="0" presId="urn:microsoft.com/office/officeart/2008/layout/NameandTitleOrganizationalChart"/>
    <dgm:cxn modelId="{45930DA3-2A55-4C98-8ADA-13C0D1669E32}" type="presParOf" srcId="{3A826A3A-6618-40C2-A27E-26851B16BFA7}" destId="{FB1ED469-91FF-49A1-8853-F6C591AB1C8B}" srcOrd="2" destOrd="0" presId="urn:microsoft.com/office/officeart/2008/layout/NameandTitleOrganizationalChart"/>
    <dgm:cxn modelId="{66EFDD5A-F609-44EF-9191-F243FA14B0A2}" type="presParOf" srcId="{3A826A3A-6618-40C2-A27E-26851B16BFA7}" destId="{EB2F9F09-189B-4683-9AFE-A0143AD7A650}" srcOrd="3" destOrd="0" presId="urn:microsoft.com/office/officeart/2008/layout/NameandTitleOrganizationalChart"/>
    <dgm:cxn modelId="{970D4EA8-E3E3-48AD-8892-F13B35A5B282}" type="presParOf" srcId="{EB2F9F09-189B-4683-9AFE-A0143AD7A650}" destId="{83A5B165-C392-4652-B602-F80E93520E80}" srcOrd="0" destOrd="0" presId="urn:microsoft.com/office/officeart/2008/layout/NameandTitleOrganizationalChart"/>
    <dgm:cxn modelId="{5681A28E-2982-4D93-A140-304A8E64677D}" type="presParOf" srcId="{83A5B165-C392-4652-B602-F80E93520E80}" destId="{5BD07DC4-9743-4468-BA48-7C8EF9145C68}" srcOrd="0" destOrd="0" presId="urn:microsoft.com/office/officeart/2008/layout/NameandTitleOrganizationalChart"/>
    <dgm:cxn modelId="{E15D61DB-E67E-4529-9400-DABEF876A28A}" type="presParOf" srcId="{83A5B165-C392-4652-B602-F80E93520E80}" destId="{4988456E-44F7-475D-99B2-DF3BE760170C}" srcOrd="1" destOrd="0" presId="urn:microsoft.com/office/officeart/2008/layout/NameandTitleOrganizationalChart"/>
    <dgm:cxn modelId="{BBBE1CC4-AB61-4C50-BA37-5589054E690B}" type="presParOf" srcId="{83A5B165-C392-4652-B602-F80E93520E80}" destId="{3487D449-2A7D-49EC-B16B-2124597A33F1}" srcOrd="2" destOrd="0" presId="urn:microsoft.com/office/officeart/2008/layout/NameandTitleOrganizationalChart"/>
    <dgm:cxn modelId="{2F136E0A-77CB-40FA-80B3-FC0F6CDB4D30}" type="presParOf" srcId="{EB2F9F09-189B-4683-9AFE-A0143AD7A650}" destId="{980546F3-7B4F-487B-9BE2-F64F75F0FEA1}" srcOrd="1" destOrd="0" presId="urn:microsoft.com/office/officeart/2008/layout/NameandTitleOrganizationalChart"/>
    <dgm:cxn modelId="{3025C336-406B-4573-9F73-4C1E254E5031}" type="presParOf" srcId="{EB2F9F09-189B-4683-9AFE-A0143AD7A650}" destId="{6B320D01-1DBA-48D1-9EE1-DFAF163873FA}" srcOrd="2" destOrd="0" presId="urn:microsoft.com/office/officeart/2008/layout/NameandTitleOrganizationalChart"/>
    <dgm:cxn modelId="{E0A63A35-34C3-4C81-955A-39AA3DCC9E14}" type="presParOf" srcId="{B2DCB7DE-B050-4D78-8560-B87EBED7F358}" destId="{F29F1333-3079-4F27-BBE5-927B268BBC73}" srcOrd="2" destOrd="0" presId="urn:microsoft.com/office/officeart/2008/layout/NameandTitleOrganizational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54E037B-52D8-42BA-9F28-032DAAF22C58}">
      <dsp:nvSpPr>
        <dsp:cNvPr id="0" name=""/>
        <dsp:cNvSpPr/>
      </dsp:nvSpPr>
      <dsp:spPr>
        <a:xfrm>
          <a:off x="16304642"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379223F-F19F-44F6-A72F-F182B9DA6DB8}">
      <dsp:nvSpPr>
        <dsp:cNvPr id="0" name=""/>
        <dsp:cNvSpPr/>
      </dsp:nvSpPr>
      <dsp:spPr>
        <a:xfrm>
          <a:off x="16304642"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E83EE48-3A7A-4AE3-82F1-9F3B3A5A88E2}">
      <dsp:nvSpPr>
        <dsp:cNvPr id="0" name=""/>
        <dsp:cNvSpPr/>
      </dsp:nvSpPr>
      <dsp:spPr>
        <a:xfrm>
          <a:off x="15666100" y="2374675"/>
          <a:ext cx="953872" cy="165548"/>
        </a:xfrm>
        <a:custGeom>
          <a:avLst/>
          <a:gdLst/>
          <a:ahLst/>
          <a:cxnLst/>
          <a:rect l="0" t="0" r="0" b="0"/>
          <a:pathLst>
            <a:path>
              <a:moveTo>
                <a:pt x="0" y="0"/>
              </a:moveTo>
              <a:lnTo>
                <a:pt x="0" y="82774"/>
              </a:lnTo>
              <a:lnTo>
                <a:pt x="953872" y="82774"/>
              </a:lnTo>
              <a:lnTo>
                <a:pt x="953872"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DECD1F5-F2C5-4266-929C-14D9FA04730C}">
      <dsp:nvSpPr>
        <dsp:cNvPr id="0" name=""/>
        <dsp:cNvSpPr/>
      </dsp:nvSpPr>
      <dsp:spPr>
        <a:xfrm>
          <a:off x="15350770"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FF355BD-A8F2-4FB1-AA9E-109646CCB100}">
      <dsp:nvSpPr>
        <dsp:cNvPr id="0" name=""/>
        <dsp:cNvSpPr/>
      </dsp:nvSpPr>
      <dsp:spPr>
        <a:xfrm>
          <a:off x="15350770"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8734EF2-8F84-4F67-84C6-E67709381D99}">
      <dsp:nvSpPr>
        <dsp:cNvPr id="0" name=""/>
        <dsp:cNvSpPr/>
      </dsp:nvSpPr>
      <dsp:spPr>
        <a:xfrm>
          <a:off x="15620380" y="2374675"/>
          <a:ext cx="91440" cy="165548"/>
        </a:xfrm>
        <a:custGeom>
          <a:avLst/>
          <a:gdLst/>
          <a:ahLst/>
          <a:cxnLst/>
          <a:rect l="0" t="0" r="0" b="0"/>
          <a:pathLst>
            <a:path>
              <a:moveTo>
                <a:pt x="45720" y="0"/>
              </a:moveTo>
              <a:lnTo>
                <a:pt x="4572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E79C2C6-1510-450A-B3C5-1DD66E6735B9}">
      <dsp:nvSpPr>
        <dsp:cNvPr id="0" name=""/>
        <dsp:cNvSpPr/>
      </dsp:nvSpPr>
      <dsp:spPr>
        <a:xfrm>
          <a:off x="14396898"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AF25F53-E817-48CE-B539-B0EBE835022D}">
      <dsp:nvSpPr>
        <dsp:cNvPr id="0" name=""/>
        <dsp:cNvSpPr/>
      </dsp:nvSpPr>
      <dsp:spPr>
        <a:xfrm>
          <a:off x="14396898"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98C8F4E-B276-4E71-9197-ADCDF011346F}">
      <dsp:nvSpPr>
        <dsp:cNvPr id="0" name=""/>
        <dsp:cNvSpPr/>
      </dsp:nvSpPr>
      <dsp:spPr>
        <a:xfrm>
          <a:off x="14712228" y="2374675"/>
          <a:ext cx="953872" cy="165548"/>
        </a:xfrm>
        <a:custGeom>
          <a:avLst/>
          <a:gdLst/>
          <a:ahLst/>
          <a:cxnLst/>
          <a:rect l="0" t="0" r="0" b="0"/>
          <a:pathLst>
            <a:path>
              <a:moveTo>
                <a:pt x="953872" y="0"/>
              </a:moveTo>
              <a:lnTo>
                <a:pt x="953872" y="82774"/>
              </a:lnTo>
              <a:lnTo>
                <a:pt x="0" y="82774"/>
              </a:lnTo>
              <a:lnTo>
                <a:pt x="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106C85A-C057-4195-B90C-A20CE8907F10}">
      <dsp:nvSpPr>
        <dsp:cNvPr id="0" name=""/>
        <dsp:cNvSpPr/>
      </dsp:nvSpPr>
      <dsp:spPr>
        <a:xfrm>
          <a:off x="12804484" y="1814965"/>
          <a:ext cx="2861616" cy="165548"/>
        </a:xfrm>
        <a:custGeom>
          <a:avLst/>
          <a:gdLst/>
          <a:ahLst/>
          <a:cxnLst/>
          <a:rect l="0" t="0" r="0" b="0"/>
          <a:pathLst>
            <a:path>
              <a:moveTo>
                <a:pt x="0" y="0"/>
              </a:moveTo>
              <a:lnTo>
                <a:pt x="0" y="82774"/>
              </a:lnTo>
              <a:lnTo>
                <a:pt x="2861616" y="82774"/>
              </a:lnTo>
              <a:lnTo>
                <a:pt x="2861616"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C21B12F-238D-4F58-BC95-8D132D31114F}">
      <dsp:nvSpPr>
        <dsp:cNvPr id="0" name=""/>
        <dsp:cNvSpPr/>
      </dsp:nvSpPr>
      <dsp:spPr>
        <a:xfrm>
          <a:off x="13443026"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386C852-0131-4D27-AC84-8577E0286D67}">
      <dsp:nvSpPr>
        <dsp:cNvPr id="0" name=""/>
        <dsp:cNvSpPr/>
      </dsp:nvSpPr>
      <dsp:spPr>
        <a:xfrm>
          <a:off x="13443026"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6A46983-53AD-4A98-9D22-2EF842948286}">
      <dsp:nvSpPr>
        <dsp:cNvPr id="0" name=""/>
        <dsp:cNvSpPr/>
      </dsp:nvSpPr>
      <dsp:spPr>
        <a:xfrm>
          <a:off x="12804484" y="2374675"/>
          <a:ext cx="953872" cy="165548"/>
        </a:xfrm>
        <a:custGeom>
          <a:avLst/>
          <a:gdLst/>
          <a:ahLst/>
          <a:cxnLst/>
          <a:rect l="0" t="0" r="0" b="0"/>
          <a:pathLst>
            <a:path>
              <a:moveTo>
                <a:pt x="0" y="0"/>
              </a:moveTo>
              <a:lnTo>
                <a:pt x="0" y="82774"/>
              </a:lnTo>
              <a:lnTo>
                <a:pt x="953872" y="82774"/>
              </a:lnTo>
              <a:lnTo>
                <a:pt x="953872"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223331C-61AA-4ED6-A2EF-CF2FBCEECC42}">
      <dsp:nvSpPr>
        <dsp:cNvPr id="0" name=""/>
        <dsp:cNvSpPr/>
      </dsp:nvSpPr>
      <dsp:spPr>
        <a:xfrm>
          <a:off x="12489154"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FA8B016-193F-4865-A12E-7AAED3154C4C}">
      <dsp:nvSpPr>
        <dsp:cNvPr id="0" name=""/>
        <dsp:cNvSpPr/>
      </dsp:nvSpPr>
      <dsp:spPr>
        <a:xfrm>
          <a:off x="12489154"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15909BB-791C-426C-AD8D-9BF06830448F}">
      <dsp:nvSpPr>
        <dsp:cNvPr id="0" name=""/>
        <dsp:cNvSpPr/>
      </dsp:nvSpPr>
      <dsp:spPr>
        <a:xfrm>
          <a:off x="12758764" y="2374675"/>
          <a:ext cx="91440" cy="165548"/>
        </a:xfrm>
        <a:custGeom>
          <a:avLst/>
          <a:gdLst/>
          <a:ahLst/>
          <a:cxnLst/>
          <a:rect l="0" t="0" r="0" b="0"/>
          <a:pathLst>
            <a:path>
              <a:moveTo>
                <a:pt x="45720" y="0"/>
              </a:moveTo>
              <a:lnTo>
                <a:pt x="4572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4CBBD53-20B8-4C76-97AE-8083C8DD7DCE}">
      <dsp:nvSpPr>
        <dsp:cNvPr id="0" name=""/>
        <dsp:cNvSpPr/>
      </dsp:nvSpPr>
      <dsp:spPr>
        <a:xfrm>
          <a:off x="11535282"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BF46F81-C199-4D8A-91CE-35A064B8A7D9}">
      <dsp:nvSpPr>
        <dsp:cNvPr id="0" name=""/>
        <dsp:cNvSpPr/>
      </dsp:nvSpPr>
      <dsp:spPr>
        <a:xfrm>
          <a:off x="11535282"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B193FED-FF2D-4595-AB78-D7F834EA5F7B}">
      <dsp:nvSpPr>
        <dsp:cNvPr id="0" name=""/>
        <dsp:cNvSpPr/>
      </dsp:nvSpPr>
      <dsp:spPr>
        <a:xfrm>
          <a:off x="11850612" y="2374675"/>
          <a:ext cx="953872" cy="165548"/>
        </a:xfrm>
        <a:custGeom>
          <a:avLst/>
          <a:gdLst/>
          <a:ahLst/>
          <a:cxnLst/>
          <a:rect l="0" t="0" r="0" b="0"/>
          <a:pathLst>
            <a:path>
              <a:moveTo>
                <a:pt x="953872" y="0"/>
              </a:moveTo>
              <a:lnTo>
                <a:pt x="953872" y="82774"/>
              </a:lnTo>
              <a:lnTo>
                <a:pt x="0" y="82774"/>
              </a:lnTo>
              <a:lnTo>
                <a:pt x="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17A0485-2831-407C-B216-49B42596F59A}">
      <dsp:nvSpPr>
        <dsp:cNvPr id="0" name=""/>
        <dsp:cNvSpPr/>
      </dsp:nvSpPr>
      <dsp:spPr>
        <a:xfrm>
          <a:off x="12758764" y="1814965"/>
          <a:ext cx="91440" cy="165548"/>
        </a:xfrm>
        <a:custGeom>
          <a:avLst/>
          <a:gdLst/>
          <a:ahLst/>
          <a:cxnLst/>
          <a:rect l="0" t="0" r="0" b="0"/>
          <a:pathLst>
            <a:path>
              <a:moveTo>
                <a:pt x="45720" y="0"/>
              </a:moveTo>
              <a:lnTo>
                <a:pt x="4572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6CDD2AD-5637-4A4E-B19A-22161E8FF404}">
      <dsp:nvSpPr>
        <dsp:cNvPr id="0" name=""/>
        <dsp:cNvSpPr/>
      </dsp:nvSpPr>
      <dsp:spPr>
        <a:xfrm>
          <a:off x="10581410"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49E8928-A9F3-46CB-B0D7-714882F2D834}">
      <dsp:nvSpPr>
        <dsp:cNvPr id="0" name=""/>
        <dsp:cNvSpPr/>
      </dsp:nvSpPr>
      <dsp:spPr>
        <a:xfrm>
          <a:off x="10581410"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076F817-D235-4360-8C54-33BDEDE208AF}">
      <dsp:nvSpPr>
        <dsp:cNvPr id="0" name=""/>
        <dsp:cNvSpPr/>
      </dsp:nvSpPr>
      <dsp:spPr>
        <a:xfrm>
          <a:off x="9942868" y="2374675"/>
          <a:ext cx="953872" cy="165548"/>
        </a:xfrm>
        <a:custGeom>
          <a:avLst/>
          <a:gdLst/>
          <a:ahLst/>
          <a:cxnLst/>
          <a:rect l="0" t="0" r="0" b="0"/>
          <a:pathLst>
            <a:path>
              <a:moveTo>
                <a:pt x="0" y="0"/>
              </a:moveTo>
              <a:lnTo>
                <a:pt x="0" y="82774"/>
              </a:lnTo>
              <a:lnTo>
                <a:pt x="953872" y="82774"/>
              </a:lnTo>
              <a:lnTo>
                <a:pt x="953872"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05E4950-777F-41C1-A1EF-5AB02A3646B3}">
      <dsp:nvSpPr>
        <dsp:cNvPr id="0" name=""/>
        <dsp:cNvSpPr/>
      </dsp:nvSpPr>
      <dsp:spPr>
        <a:xfrm>
          <a:off x="9627538"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4EE9CC5-B172-444F-9F03-8F49BAC52D14}">
      <dsp:nvSpPr>
        <dsp:cNvPr id="0" name=""/>
        <dsp:cNvSpPr/>
      </dsp:nvSpPr>
      <dsp:spPr>
        <a:xfrm>
          <a:off x="9627538"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8390402-37C2-4C25-8C44-48FF00832E48}">
      <dsp:nvSpPr>
        <dsp:cNvPr id="0" name=""/>
        <dsp:cNvSpPr/>
      </dsp:nvSpPr>
      <dsp:spPr>
        <a:xfrm>
          <a:off x="9897148" y="2374675"/>
          <a:ext cx="91440" cy="165548"/>
        </a:xfrm>
        <a:custGeom>
          <a:avLst/>
          <a:gdLst/>
          <a:ahLst/>
          <a:cxnLst/>
          <a:rect l="0" t="0" r="0" b="0"/>
          <a:pathLst>
            <a:path>
              <a:moveTo>
                <a:pt x="45720" y="0"/>
              </a:moveTo>
              <a:lnTo>
                <a:pt x="4572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224B29F-FC90-4069-A9CA-C93C70D4E8E3}">
      <dsp:nvSpPr>
        <dsp:cNvPr id="0" name=""/>
        <dsp:cNvSpPr/>
      </dsp:nvSpPr>
      <dsp:spPr>
        <a:xfrm>
          <a:off x="8673666"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0675438-18A2-4112-9DFA-D9DFD8FA18EE}">
      <dsp:nvSpPr>
        <dsp:cNvPr id="0" name=""/>
        <dsp:cNvSpPr/>
      </dsp:nvSpPr>
      <dsp:spPr>
        <a:xfrm>
          <a:off x="8673666"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E5328D8-3148-4938-BFB4-B4BAD36D06B8}">
      <dsp:nvSpPr>
        <dsp:cNvPr id="0" name=""/>
        <dsp:cNvSpPr/>
      </dsp:nvSpPr>
      <dsp:spPr>
        <a:xfrm>
          <a:off x="8988996" y="2374675"/>
          <a:ext cx="953872" cy="165548"/>
        </a:xfrm>
        <a:custGeom>
          <a:avLst/>
          <a:gdLst/>
          <a:ahLst/>
          <a:cxnLst/>
          <a:rect l="0" t="0" r="0" b="0"/>
          <a:pathLst>
            <a:path>
              <a:moveTo>
                <a:pt x="953872" y="0"/>
              </a:moveTo>
              <a:lnTo>
                <a:pt x="953872" y="82774"/>
              </a:lnTo>
              <a:lnTo>
                <a:pt x="0" y="82774"/>
              </a:lnTo>
              <a:lnTo>
                <a:pt x="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CDF6B24-7D47-4586-A838-60B649393660}">
      <dsp:nvSpPr>
        <dsp:cNvPr id="0" name=""/>
        <dsp:cNvSpPr/>
      </dsp:nvSpPr>
      <dsp:spPr>
        <a:xfrm>
          <a:off x="9942868" y="1814965"/>
          <a:ext cx="2861616" cy="165548"/>
        </a:xfrm>
        <a:custGeom>
          <a:avLst/>
          <a:gdLst/>
          <a:ahLst/>
          <a:cxnLst/>
          <a:rect l="0" t="0" r="0" b="0"/>
          <a:pathLst>
            <a:path>
              <a:moveTo>
                <a:pt x="2861616" y="0"/>
              </a:moveTo>
              <a:lnTo>
                <a:pt x="2861616" y="82774"/>
              </a:lnTo>
              <a:lnTo>
                <a:pt x="0" y="82774"/>
              </a:lnTo>
              <a:lnTo>
                <a:pt x="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AD198CE-12B8-4979-9FFD-5FE6C8B5C40E}">
      <dsp:nvSpPr>
        <dsp:cNvPr id="0" name=""/>
        <dsp:cNvSpPr/>
      </dsp:nvSpPr>
      <dsp:spPr>
        <a:xfrm>
          <a:off x="8512059" y="1255255"/>
          <a:ext cx="4292424" cy="165548"/>
        </a:xfrm>
        <a:custGeom>
          <a:avLst/>
          <a:gdLst/>
          <a:ahLst/>
          <a:cxnLst/>
          <a:rect l="0" t="0" r="0" b="0"/>
          <a:pathLst>
            <a:path>
              <a:moveTo>
                <a:pt x="0" y="0"/>
              </a:moveTo>
              <a:lnTo>
                <a:pt x="0" y="82774"/>
              </a:lnTo>
              <a:lnTo>
                <a:pt x="4292424" y="82774"/>
              </a:lnTo>
              <a:lnTo>
                <a:pt x="4292424" y="165548"/>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B25D5BE-28CE-4D47-A9DE-823CC32C546A}">
      <dsp:nvSpPr>
        <dsp:cNvPr id="0" name=""/>
        <dsp:cNvSpPr/>
      </dsp:nvSpPr>
      <dsp:spPr>
        <a:xfrm>
          <a:off x="7719794"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F1D4EBB-230C-441E-8106-A065024816DA}">
      <dsp:nvSpPr>
        <dsp:cNvPr id="0" name=""/>
        <dsp:cNvSpPr/>
      </dsp:nvSpPr>
      <dsp:spPr>
        <a:xfrm>
          <a:off x="7719794"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066CF4F-844F-4EBC-B7E8-E29033E44570}">
      <dsp:nvSpPr>
        <dsp:cNvPr id="0" name=""/>
        <dsp:cNvSpPr/>
      </dsp:nvSpPr>
      <dsp:spPr>
        <a:xfrm>
          <a:off x="7081251" y="2374675"/>
          <a:ext cx="953872" cy="165548"/>
        </a:xfrm>
        <a:custGeom>
          <a:avLst/>
          <a:gdLst/>
          <a:ahLst/>
          <a:cxnLst/>
          <a:rect l="0" t="0" r="0" b="0"/>
          <a:pathLst>
            <a:path>
              <a:moveTo>
                <a:pt x="0" y="0"/>
              </a:moveTo>
              <a:lnTo>
                <a:pt x="0" y="82774"/>
              </a:lnTo>
              <a:lnTo>
                <a:pt x="953872" y="82774"/>
              </a:lnTo>
              <a:lnTo>
                <a:pt x="953872"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E845C3F-821D-4BCD-AC0B-73973FCC564D}">
      <dsp:nvSpPr>
        <dsp:cNvPr id="0" name=""/>
        <dsp:cNvSpPr/>
      </dsp:nvSpPr>
      <dsp:spPr>
        <a:xfrm>
          <a:off x="6765922"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42EBC9D-232C-4BA0-B849-7864C971DC59}">
      <dsp:nvSpPr>
        <dsp:cNvPr id="0" name=""/>
        <dsp:cNvSpPr/>
      </dsp:nvSpPr>
      <dsp:spPr>
        <a:xfrm>
          <a:off x="6765922"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E274D07-D34D-49FB-A891-96163CC94766}">
      <dsp:nvSpPr>
        <dsp:cNvPr id="0" name=""/>
        <dsp:cNvSpPr/>
      </dsp:nvSpPr>
      <dsp:spPr>
        <a:xfrm>
          <a:off x="7035531" y="2374675"/>
          <a:ext cx="91440" cy="165548"/>
        </a:xfrm>
        <a:custGeom>
          <a:avLst/>
          <a:gdLst/>
          <a:ahLst/>
          <a:cxnLst/>
          <a:rect l="0" t="0" r="0" b="0"/>
          <a:pathLst>
            <a:path>
              <a:moveTo>
                <a:pt x="45720" y="0"/>
              </a:moveTo>
              <a:lnTo>
                <a:pt x="4572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AA391DE-CE58-49EC-B415-B15568FC37E1}">
      <dsp:nvSpPr>
        <dsp:cNvPr id="0" name=""/>
        <dsp:cNvSpPr/>
      </dsp:nvSpPr>
      <dsp:spPr>
        <a:xfrm>
          <a:off x="5812050"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64790F7-7FBB-4913-A0AF-CFAC30A3E2FE}">
      <dsp:nvSpPr>
        <dsp:cNvPr id="0" name=""/>
        <dsp:cNvSpPr/>
      </dsp:nvSpPr>
      <dsp:spPr>
        <a:xfrm>
          <a:off x="5812050"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61B1870-383A-479F-8DEF-155630525509}">
      <dsp:nvSpPr>
        <dsp:cNvPr id="0" name=""/>
        <dsp:cNvSpPr/>
      </dsp:nvSpPr>
      <dsp:spPr>
        <a:xfrm>
          <a:off x="6127379" y="2374675"/>
          <a:ext cx="953872" cy="165548"/>
        </a:xfrm>
        <a:custGeom>
          <a:avLst/>
          <a:gdLst/>
          <a:ahLst/>
          <a:cxnLst/>
          <a:rect l="0" t="0" r="0" b="0"/>
          <a:pathLst>
            <a:path>
              <a:moveTo>
                <a:pt x="953872" y="0"/>
              </a:moveTo>
              <a:lnTo>
                <a:pt x="953872" y="82774"/>
              </a:lnTo>
              <a:lnTo>
                <a:pt x="0" y="82774"/>
              </a:lnTo>
              <a:lnTo>
                <a:pt x="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1E66863-D757-4BD2-8840-ECD363DD22AC}">
      <dsp:nvSpPr>
        <dsp:cNvPr id="0" name=""/>
        <dsp:cNvSpPr/>
      </dsp:nvSpPr>
      <dsp:spPr>
        <a:xfrm>
          <a:off x="4219635" y="1814965"/>
          <a:ext cx="2861616" cy="165548"/>
        </a:xfrm>
        <a:custGeom>
          <a:avLst/>
          <a:gdLst/>
          <a:ahLst/>
          <a:cxnLst/>
          <a:rect l="0" t="0" r="0" b="0"/>
          <a:pathLst>
            <a:path>
              <a:moveTo>
                <a:pt x="0" y="0"/>
              </a:moveTo>
              <a:lnTo>
                <a:pt x="0" y="82774"/>
              </a:lnTo>
              <a:lnTo>
                <a:pt x="2861616" y="82774"/>
              </a:lnTo>
              <a:lnTo>
                <a:pt x="2861616"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FA16796-F34B-4E74-8211-00E05B9DC25F}">
      <dsp:nvSpPr>
        <dsp:cNvPr id="0" name=""/>
        <dsp:cNvSpPr/>
      </dsp:nvSpPr>
      <dsp:spPr>
        <a:xfrm>
          <a:off x="4858178"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0D5EF48-E3EC-4649-973B-BC20D3B4ED90}">
      <dsp:nvSpPr>
        <dsp:cNvPr id="0" name=""/>
        <dsp:cNvSpPr/>
      </dsp:nvSpPr>
      <dsp:spPr>
        <a:xfrm>
          <a:off x="4858178"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27FFCDD-0AAC-40A5-888D-DAA9A17F3194}">
      <dsp:nvSpPr>
        <dsp:cNvPr id="0" name=""/>
        <dsp:cNvSpPr/>
      </dsp:nvSpPr>
      <dsp:spPr>
        <a:xfrm>
          <a:off x="4219635" y="2374675"/>
          <a:ext cx="953872" cy="165548"/>
        </a:xfrm>
        <a:custGeom>
          <a:avLst/>
          <a:gdLst/>
          <a:ahLst/>
          <a:cxnLst/>
          <a:rect l="0" t="0" r="0" b="0"/>
          <a:pathLst>
            <a:path>
              <a:moveTo>
                <a:pt x="0" y="0"/>
              </a:moveTo>
              <a:lnTo>
                <a:pt x="0" y="82774"/>
              </a:lnTo>
              <a:lnTo>
                <a:pt x="953872" y="82774"/>
              </a:lnTo>
              <a:lnTo>
                <a:pt x="953872"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FBBA250-F9B7-4765-8560-EB8D9FB7D023}">
      <dsp:nvSpPr>
        <dsp:cNvPr id="0" name=""/>
        <dsp:cNvSpPr/>
      </dsp:nvSpPr>
      <dsp:spPr>
        <a:xfrm>
          <a:off x="3904306"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C97C4C4-FBCE-4720-A0EB-94120AB28960}">
      <dsp:nvSpPr>
        <dsp:cNvPr id="0" name=""/>
        <dsp:cNvSpPr/>
      </dsp:nvSpPr>
      <dsp:spPr>
        <a:xfrm>
          <a:off x="3904306"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67D0202-22AE-418E-80EF-B0F9347B2824}">
      <dsp:nvSpPr>
        <dsp:cNvPr id="0" name=""/>
        <dsp:cNvSpPr/>
      </dsp:nvSpPr>
      <dsp:spPr>
        <a:xfrm>
          <a:off x="4173915" y="2374675"/>
          <a:ext cx="91440" cy="165548"/>
        </a:xfrm>
        <a:custGeom>
          <a:avLst/>
          <a:gdLst/>
          <a:ahLst/>
          <a:cxnLst/>
          <a:rect l="0" t="0" r="0" b="0"/>
          <a:pathLst>
            <a:path>
              <a:moveTo>
                <a:pt x="45720" y="0"/>
              </a:moveTo>
              <a:lnTo>
                <a:pt x="4572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6F114C9-E1A8-48C2-AB63-C1450CF809EC}">
      <dsp:nvSpPr>
        <dsp:cNvPr id="0" name=""/>
        <dsp:cNvSpPr/>
      </dsp:nvSpPr>
      <dsp:spPr>
        <a:xfrm>
          <a:off x="2950434"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73370E3-5DB4-4A6F-9ABA-4D8868B24640}">
      <dsp:nvSpPr>
        <dsp:cNvPr id="0" name=""/>
        <dsp:cNvSpPr/>
      </dsp:nvSpPr>
      <dsp:spPr>
        <a:xfrm>
          <a:off x="2950434"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591982C-FF01-4413-9F0B-34397A590457}">
      <dsp:nvSpPr>
        <dsp:cNvPr id="0" name=""/>
        <dsp:cNvSpPr/>
      </dsp:nvSpPr>
      <dsp:spPr>
        <a:xfrm>
          <a:off x="3265763" y="2374675"/>
          <a:ext cx="953872" cy="165548"/>
        </a:xfrm>
        <a:custGeom>
          <a:avLst/>
          <a:gdLst/>
          <a:ahLst/>
          <a:cxnLst/>
          <a:rect l="0" t="0" r="0" b="0"/>
          <a:pathLst>
            <a:path>
              <a:moveTo>
                <a:pt x="953872" y="0"/>
              </a:moveTo>
              <a:lnTo>
                <a:pt x="953872" y="82774"/>
              </a:lnTo>
              <a:lnTo>
                <a:pt x="0" y="82774"/>
              </a:lnTo>
              <a:lnTo>
                <a:pt x="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B4CC9B1-C29A-47C1-A1D9-3E4C261B5AA9}">
      <dsp:nvSpPr>
        <dsp:cNvPr id="0" name=""/>
        <dsp:cNvSpPr/>
      </dsp:nvSpPr>
      <dsp:spPr>
        <a:xfrm>
          <a:off x="4173915" y="1814965"/>
          <a:ext cx="91440" cy="165548"/>
        </a:xfrm>
        <a:custGeom>
          <a:avLst/>
          <a:gdLst/>
          <a:ahLst/>
          <a:cxnLst/>
          <a:rect l="0" t="0" r="0" b="0"/>
          <a:pathLst>
            <a:path>
              <a:moveTo>
                <a:pt x="45720" y="0"/>
              </a:moveTo>
              <a:lnTo>
                <a:pt x="4572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6466A80-EBB0-426C-A408-4ADDC5383464}">
      <dsp:nvSpPr>
        <dsp:cNvPr id="0" name=""/>
        <dsp:cNvSpPr/>
      </dsp:nvSpPr>
      <dsp:spPr>
        <a:xfrm>
          <a:off x="1996561"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D4F1958-646C-47C9-93AA-81A91AB12F23}">
      <dsp:nvSpPr>
        <dsp:cNvPr id="0" name=""/>
        <dsp:cNvSpPr/>
      </dsp:nvSpPr>
      <dsp:spPr>
        <a:xfrm>
          <a:off x="1996561"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2888007-0A94-414C-A140-11A521152679}">
      <dsp:nvSpPr>
        <dsp:cNvPr id="0" name=""/>
        <dsp:cNvSpPr/>
      </dsp:nvSpPr>
      <dsp:spPr>
        <a:xfrm>
          <a:off x="1358019" y="2374675"/>
          <a:ext cx="953872" cy="165548"/>
        </a:xfrm>
        <a:custGeom>
          <a:avLst/>
          <a:gdLst/>
          <a:ahLst/>
          <a:cxnLst/>
          <a:rect l="0" t="0" r="0" b="0"/>
          <a:pathLst>
            <a:path>
              <a:moveTo>
                <a:pt x="0" y="0"/>
              </a:moveTo>
              <a:lnTo>
                <a:pt x="0" y="82774"/>
              </a:lnTo>
              <a:lnTo>
                <a:pt x="953872" y="82774"/>
              </a:lnTo>
              <a:lnTo>
                <a:pt x="953872"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63E9CB0-C292-4827-92D9-66E6FE871279}">
      <dsp:nvSpPr>
        <dsp:cNvPr id="0" name=""/>
        <dsp:cNvSpPr/>
      </dsp:nvSpPr>
      <dsp:spPr>
        <a:xfrm>
          <a:off x="1042689"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F81555B-5D85-488A-82FE-20E63E752D1E}">
      <dsp:nvSpPr>
        <dsp:cNvPr id="0" name=""/>
        <dsp:cNvSpPr/>
      </dsp:nvSpPr>
      <dsp:spPr>
        <a:xfrm>
          <a:off x="1042689"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0794CE5-6BEC-4F3E-B241-B160E670AB89}">
      <dsp:nvSpPr>
        <dsp:cNvPr id="0" name=""/>
        <dsp:cNvSpPr/>
      </dsp:nvSpPr>
      <dsp:spPr>
        <a:xfrm>
          <a:off x="1312299" y="2374675"/>
          <a:ext cx="91440" cy="165548"/>
        </a:xfrm>
        <a:custGeom>
          <a:avLst/>
          <a:gdLst/>
          <a:ahLst/>
          <a:cxnLst/>
          <a:rect l="0" t="0" r="0" b="0"/>
          <a:pathLst>
            <a:path>
              <a:moveTo>
                <a:pt x="45720" y="0"/>
              </a:moveTo>
              <a:lnTo>
                <a:pt x="4572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C8B2E85-3219-4C8D-B062-03DBDC93516F}">
      <dsp:nvSpPr>
        <dsp:cNvPr id="0" name=""/>
        <dsp:cNvSpPr/>
      </dsp:nvSpPr>
      <dsp:spPr>
        <a:xfrm>
          <a:off x="88817" y="2934386"/>
          <a:ext cx="118248" cy="922339"/>
        </a:xfrm>
        <a:custGeom>
          <a:avLst/>
          <a:gdLst/>
          <a:ahLst/>
          <a:cxnLst/>
          <a:rect l="0" t="0" r="0" b="0"/>
          <a:pathLst>
            <a:path>
              <a:moveTo>
                <a:pt x="0" y="0"/>
              </a:moveTo>
              <a:lnTo>
                <a:pt x="0" y="922339"/>
              </a:lnTo>
              <a:lnTo>
                <a:pt x="118248" y="92233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5E6885F-8288-4964-B52F-EBD76874702A}">
      <dsp:nvSpPr>
        <dsp:cNvPr id="0" name=""/>
        <dsp:cNvSpPr/>
      </dsp:nvSpPr>
      <dsp:spPr>
        <a:xfrm>
          <a:off x="88817" y="2934386"/>
          <a:ext cx="118248" cy="362629"/>
        </a:xfrm>
        <a:custGeom>
          <a:avLst/>
          <a:gdLst/>
          <a:ahLst/>
          <a:cxnLst/>
          <a:rect l="0" t="0" r="0" b="0"/>
          <a:pathLst>
            <a:path>
              <a:moveTo>
                <a:pt x="0" y="0"/>
              </a:moveTo>
              <a:lnTo>
                <a:pt x="0" y="362629"/>
              </a:lnTo>
              <a:lnTo>
                <a:pt x="118248" y="362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764288C-9802-42B2-84AB-01FE30AAD382}">
      <dsp:nvSpPr>
        <dsp:cNvPr id="0" name=""/>
        <dsp:cNvSpPr/>
      </dsp:nvSpPr>
      <dsp:spPr>
        <a:xfrm>
          <a:off x="404147" y="2374675"/>
          <a:ext cx="953872" cy="165548"/>
        </a:xfrm>
        <a:custGeom>
          <a:avLst/>
          <a:gdLst/>
          <a:ahLst/>
          <a:cxnLst/>
          <a:rect l="0" t="0" r="0" b="0"/>
          <a:pathLst>
            <a:path>
              <a:moveTo>
                <a:pt x="953872" y="0"/>
              </a:moveTo>
              <a:lnTo>
                <a:pt x="953872" y="82774"/>
              </a:lnTo>
              <a:lnTo>
                <a:pt x="0" y="82774"/>
              </a:lnTo>
              <a:lnTo>
                <a:pt x="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B742695-7E94-43D4-ACEF-DFD48D01E945}">
      <dsp:nvSpPr>
        <dsp:cNvPr id="0" name=""/>
        <dsp:cNvSpPr/>
      </dsp:nvSpPr>
      <dsp:spPr>
        <a:xfrm>
          <a:off x="1358019" y="1814965"/>
          <a:ext cx="2861616" cy="165548"/>
        </a:xfrm>
        <a:custGeom>
          <a:avLst/>
          <a:gdLst/>
          <a:ahLst/>
          <a:cxnLst/>
          <a:rect l="0" t="0" r="0" b="0"/>
          <a:pathLst>
            <a:path>
              <a:moveTo>
                <a:pt x="2861616" y="0"/>
              </a:moveTo>
              <a:lnTo>
                <a:pt x="2861616" y="82774"/>
              </a:lnTo>
              <a:lnTo>
                <a:pt x="0" y="82774"/>
              </a:lnTo>
              <a:lnTo>
                <a:pt x="0" y="1655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486668B-BE18-4087-A97C-1F0F30E96DF6}">
      <dsp:nvSpPr>
        <dsp:cNvPr id="0" name=""/>
        <dsp:cNvSpPr/>
      </dsp:nvSpPr>
      <dsp:spPr>
        <a:xfrm>
          <a:off x="4219635" y="1255255"/>
          <a:ext cx="4292424" cy="165548"/>
        </a:xfrm>
        <a:custGeom>
          <a:avLst/>
          <a:gdLst/>
          <a:ahLst/>
          <a:cxnLst/>
          <a:rect l="0" t="0" r="0" b="0"/>
          <a:pathLst>
            <a:path>
              <a:moveTo>
                <a:pt x="4292424" y="0"/>
              </a:moveTo>
              <a:lnTo>
                <a:pt x="4292424" y="82774"/>
              </a:lnTo>
              <a:lnTo>
                <a:pt x="0" y="82774"/>
              </a:lnTo>
              <a:lnTo>
                <a:pt x="0" y="165548"/>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A950BF4-F26D-4ECC-BDE6-B0ED7CC0470F}">
      <dsp:nvSpPr>
        <dsp:cNvPr id="0" name=""/>
        <dsp:cNvSpPr/>
      </dsp:nvSpPr>
      <dsp:spPr>
        <a:xfrm>
          <a:off x="7827641" y="861093"/>
          <a:ext cx="1368837" cy="394162"/>
        </a:xfrm>
        <a:prstGeom prst="plaque">
          <a:avLst/>
        </a:prstGeom>
        <a:solidFill>
          <a:schemeClr val="bg1">
            <a:lumMod val="95000"/>
          </a:schemeClr>
        </a:solidFill>
        <a:ln w="28575" cap="flat" cmpd="sng" algn="ctr">
          <a:solidFill>
            <a:scrgbClr r="0" g="0" b="0"/>
          </a:solidFill>
          <a:prstDash val="sysDash"/>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tx1"/>
              </a:solidFill>
            </a:rPr>
            <a:t>Regiment</a:t>
          </a:r>
          <a:endParaRPr lang="ru-RU" sz="1400" kern="1200">
            <a:solidFill>
              <a:schemeClr val="tx1"/>
            </a:solidFill>
          </a:endParaRPr>
        </a:p>
      </dsp:txBody>
      <dsp:txXfrm>
        <a:off x="7874095" y="907547"/>
        <a:ext cx="1275929" cy="301254"/>
      </dsp:txXfrm>
    </dsp:sp>
    <dsp:sp modelId="{6385DC8D-AC33-47C6-97FA-65C8D3111526}">
      <dsp:nvSpPr>
        <dsp:cNvPr id="0" name=""/>
        <dsp:cNvSpPr/>
      </dsp:nvSpPr>
      <dsp:spPr>
        <a:xfrm>
          <a:off x="3535216" y="1420803"/>
          <a:ext cx="1368837" cy="394162"/>
        </a:xfrm>
        <a:prstGeom prst="plaque">
          <a:avLst/>
        </a:prstGeom>
        <a:solidFill>
          <a:schemeClr val="bg1">
            <a:lumMod val="95000"/>
          </a:schemeClr>
        </a:solidFill>
        <a:ln w="28575" cap="flat" cmpd="sng" algn="ctr">
          <a:solidFill>
            <a:scrgbClr r="0" g="0" b="0"/>
          </a:solidFill>
          <a:prstDash val="sysDash"/>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tx1"/>
              </a:solidFill>
            </a:rPr>
            <a:t>Battalion</a:t>
          </a:r>
          <a:endParaRPr lang="ru-RU" sz="1400" kern="1200">
            <a:solidFill>
              <a:schemeClr val="tx1"/>
            </a:solidFill>
          </a:endParaRPr>
        </a:p>
      </dsp:txBody>
      <dsp:txXfrm>
        <a:off x="3581670" y="1467257"/>
        <a:ext cx="1275929" cy="301254"/>
      </dsp:txXfrm>
    </dsp:sp>
    <dsp:sp modelId="{D59D8B61-4ABA-42AD-AD1F-875772DF6FF0}">
      <dsp:nvSpPr>
        <dsp:cNvPr id="0" name=""/>
        <dsp:cNvSpPr/>
      </dsp:nvSpPr>
      <dsp:spPr>
        <a:xfrm>
          <a:off x="963857" y="1980513"/>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Kadrath</a:t>
          </a:r>
          <a:endParaRPr lang="ru-RU" sz="1400" kern="1200"/>
        </a:p>
      </dsp:txBody>
      <dsp:txXfrm>
        <a:off x="963857" y="1980513"/>
        <a:ext cx="788324" cy="394162"/>
      </dsp:txXfrm>
    </dsp:sp>
    <dsp:sp modelId="{28B9FB4C-145E-452C-ADBE-15322BA8F90E}">
      <dsp:nvSpPr>
        <dsp:cNvPr id="0" name=""/>
        <dsp:cNvSpPr/>
      </dsp:nvSpPr>
      <dsp:spPr>
        <a:xfrm>
          <a:off x="9985"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9985" y="2540224"/>
        <a:ext cx="788324" cy="394162"/>
      </dsp:txXfrm>
    </dsp:sp>
    <dsp:sp modelId="{B18B549D-5D45-4E25-8D45-FDAAFC9B0031}">
      <dsp:nvSpPr>
        <dsp:cNvPr id="0" name=""/>
        <dsp:cNvSpPr/>
      </dsp:nvSpPr>
      <dsp:spPr>
        <a:xfrm>
          <a:off x="207066"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207066" y="3099934"/>
        <a:ext cx="788324" cy="394162"/>
      </dsp:txXfrm>
    </dsp:sp>
    <dsp:sp modelId="{0166B910-E438-42AE-BE8A-41F7C27518A5}">
      <dsp:nvSpPr>
        <dsp:cNvPr id="0" name=""/>
        <dsp:cNvSpPr/>
      </dsp:nvSpPr>
      <dsp:spPr>
        <a:xfrm>
          <a:off x="207066"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207066" y="3659644"/>
        <a:ext cx="788324" cy="394162"/>
      </dsp:txXfrm>
    </dsp:sp>
    <dsp:sp modelId="{3EA53D5B-FE9A-452D-BB9D-EA9B515017FB}">
      <dsp:nvSpPr>
        <dsp:cNvPr id="0" name=""/>
        <dsp:cNvSpPr/>
      </dsp:nvSpPr>
      <dsp:spPr>
        <a:xfrm>
          <a:off x="963857"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963857" y="2540224"/>
        <a:ext cx="788324" cy="394162"/>
      </dsp:txXfrm>
    </dsp:sp>
    <dsp:sp modelId="{5141672C-2102-48DA-BDC9-4F7588F335B0}">
      <dsp:nvSpPr>
        <dsp:cNvPr id="0" name=""/>
        <dsp:cNvSpPr/>
      </dsp:nvSpPr>
      <dsp:spPr>
        <a:xfrm>
          <a:off x="1160938"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160938" y="3099934"/>
        <a:ext cx="788324" cy="394162"/>
      </dsp:txXfrm>
    </dsp:sp>
    <dsp:sp modelId="{9FE2E507-BC55-4AFB-AB93-3A7D2D91D133}">
      <dsp:nvSpPr>
        <dsp:cNvPr id="0" name=""/>
        <dsp:cNvSpPr/>
      </dsp:nvSpPr>
      <dsp:spPr>
        <a:xfrm>
          <a:off x="1160938"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160938" y="3659644"/>
        <a:ext cx="788324" cy="394162"/>
      </dsp:txXfrm>
    </dsp:sp>
    <dsp:sp modelId="{B69008F6-AF9A-41DA-B220-782C86E1353F}">
      <dsp:nvSpPr>
        <dsp:cNvPr id="0" name=""/>
        <dsp:cNvSpPr/>
      </dsp:nvSpPr>
      <dsp:spPr>
        <a:xfrm>
          <a:off x="1917729"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1917729" y="2540224"/>
        <a:ext cx="788324" cy="394162"/>
      </dsp:txXfrm>
    </dsp:sp>
    <dsp:sp modelId="{C8A5E1B2-6295-43AA-922D-185174C2B736}">
      <dsp:nvSpPr>
        <dsp:cNvPr id="0" name=""/>
        <dsp:cNvSpPr/>
      </dsp:nvSpPr>
      <dsp:spPr>
        <a:xfrm>
          <a:off x="2114810"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2114810" y="3099934"/>
        <a:ext cx="788324" cy="394162"/>
      </dsp:txXfrm>
    </dsp:sp>
    <dsp:sp modelId="{CAE63F87-6FB2-4BCC-83D0-EBAE4CB28E7D}">
      <dsp:nvSpPr>
        <dsp:cNvPr id="0" name=""/>
        <dsp:cNvSpPr/>
      </dsp:nvSpPr>
      <dsp:spPr>
        <a:xfrm>
          <a:off x="2114810"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2114810" y="3659644"/>
        <a:ext cx="788324" cy="394162"/>
      </dsp:txXfrm>
    </dsp:sp>
    <dsp:sp modelId="{E731C67F-C594-468E-9986-EF39F7730EEC}">
      <dsp:nvSpPr>
        <dsp:cNvPr id="0" name=""/>
        <dsp:cNvSpPr/>
      </dsp:nvSpPr>
      <dsp:spPr>
        <a:xfrm>
          <a:off x="3825473" y="1980513"/>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Kadrath</a:t>
          </a:r>
          <a:endParaRPr lang="ru-RU" sz="1400" kern="1200"/>
        </a:p>
      </dsp:txBody>
      <dsp:txXfrm>
        <a:off x="3825473" y="1980513"/>
        <a:ext cx="788324" cy="394162"/>
      </dsp:txXfrm>
    </dsp:sp>
    <dsp:sp modelId="{420528EF-CAD5-4926-A866-C472DCB35EDC}">
      <dsp:nvSpPr>
        <dsp:cNvPr id="0" name=""/>
        <dsp:cNvSpPr/>
      </dsp:nvSpPr>
      <dsp:spPr>
        <a:xfrm>
          <a:off x="2871601"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2871601" y="2540224"/>
        <a:ext cx="788324" cy="394162"/>
      </dsp:txXfrm>
    </dsp:sp>
    <dsp:sp modelId="{27AF9AD5-56D7-427B-9FB1-204930088D3F}">
      <dsp:nvSpPr>
        <dsp:cNvPr id="0" name=""/>
        <dsp:cNvSpPr/>
      </dsp:nvSpPr>
      <dsp:spPr>
        <a:xfrm>
          <a:off x="3068682"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3068682" y="3099934"/>
        <a:ext cx="788324" cy="394162"/>
      </dsp:txXfrm>
    </dsp:sp>
    <dsp:sp modelId="{BFAB83D1-1A9C-49D7-BE4C-7E167D3DFF4B}">
      <dsp:nvSpPr>
        <dsp:cNvPr id="0" name=""/>
        <dsp:cNvSpPr/>
      </dsp:nvSpPr>
      <dsp:spPr>
        <a:xfrm>
          <a:off x="3068682"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3068682" y="3659644"/>
        <a:ext cx="788324" cy="394162"/>
      </dsp:txXfrm>
    </dsp:sp>
    <dsp:sp modelId="{460D4FC5-7430-47E1-B258-592A1E8F799F}">
      <dsp:nvSpPr>
        <dsp:cNvPr id="0" name=""/>
        <dsp:cNvSpPr/>
      </dsp:nvSpPr>
      <dsp:spPr>
        <a:xfrm>
          <a:off x="3825473"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3825473" y="2540224"/>
        <a:ext cx="788324" cy="394162"/>
      </dsp:txXfrm>
    </dsp:sp>
    <dsp:sp modelId="{AC3D2619-832D-4097-A9AC-C4428D646217}">
      <dsp:nvSpPr>
        <dsp:cNvPr id="0" name=""/>
        <dsp:cNvSpPr/>
      </dsp:nvSpPr>
      <dsp:spPr>
        <a:xfrm>
          <a:off x="4022554"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4022554" y="3099934"/>
        <a:ext cx="788324" cy="394162"/>
      </dsp:txXfrm>
    </dsp:sp>
    <dsp:sp modelId="{121D9BAE-1845-4EC6-8471-A5FC827E216A}">
      <dsp:nvSpPr>
        <dsp:cNvPr id="0" name=""/>
        <dsp:cNvSpPr/>
      </dsp:nvSpPr>
      <dsp:spPr>
        <a:xfrm>
          <a:off x="4022554"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4022554" y="3659644"/>
        <a:ext cx="788324" cy="394162"/>
      </dsp:txXfrm>
    </dsp:sp>
    <dsp:sp modelId="{99D24377-E7F3-413D-852A-D662844386DA}">
      <dsp:nvSpPr>
        <dsp:cNvPr id="0" name=""/>
        <dsp:cNvSpPr/>
      </dsp:nvSpPr>
      <dsp:spPr>
        <a:xfrm>
          <a:off x="4779345"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4779345" y="2540224"/>
        <a:ext cx="788324" cy="394162"/>
      </dsp:txXfrm>
    </dsp:sp>
    <dsp:sp modelId="{6E267D5A-19DF-435B-8835-363A841A70CC}">
      <dsp:nvSpPr>
        <dsp:cNvPr id="0" name=""/>
        <dsp:cNvSpPr/>
      </dsp:nvSpPr>
      <dsp:spPr>
        <a:xfrm>
          <a:off x="4976426"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4976426" y="3099934"/>
        <a:ext cx="788324" cy="394162"/>
      </dsp:txXfrm>
    </dsp:sp>
    <dsp:sp modelId="{B9DA33F7-0329-44AA-A530-E3F34113CE62}">
      <dsp:nvSpPr>
        <dsp:cNvPr id="0" name=""/>
        <dsp:cNvSpPr/>
      </dsp:nvSpPr>
      <dsp:spPr>
        <a:xfrm>
          <a:off x="4976426"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4976426" y="3659644"/>
        <a:ext cx="788324" cy="394162"/>
      </dsp:txXfrm>
    </dsp:sp>
    <dsp:sp modelId="{F57E82BD-BF45-4E41-B3C4-0BB2C83DBA86}">
      <dsp:nvSpPr>
        <dsp:cNvPr id="0" name=""/>
        <dsp:cNvSpPr/>
      </dsp:nvSpPr>
      <dsp:spPr>
        <a:xfrm>
          <a:off x="6687089" y="1980513"/>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Kadrath</a:t>
          </a:r>
          <a:endParaRPr lang="ru-RU" sz="1400" kern="1200"/>
        </a:p>
      </dsp:txBody>
      <dsp:txXfrm>
        <a:off x="6687089" y="1980513"/>
        <a:ext cx="788324" cy="394162"/>
      </dsp:txXfrm>
    </dsp:sp>
    <dsp:sp modelId="{0801A367-3AB8-4D84-96EB-B108BECA4AB1}">
      <dsp:nvSpPr>
        <dsp:cNvPr id="0" name=""/>
        <dsp:cNvSpPr/>
      </dsp:nvSpPr>
      <dsp:spPr>
        <a:xfrm>
          <a:off x="5733217"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5733217" y="2540224"/>
        <a:ext cx="788324" cy="394162"/>
      </dsp:txXfrm>
    </dsp:sp>
    <dsp:sp modelId="{8BF81CF0-2638-4B91-8A77-C4F4E277B8A1}">
      <dsp:nvSpPr>
        <dsp:cNvPr id="0" name=""/>
        <dsp:cNvSpPr/>
      </dsp:nvSpPr>
      <dsp:spPr>
        <a:xfrm>
          <a:off x="5930298"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5930298" y="3099934"/>
        <a:ext cx="788324" cy="394162"/>
      </dsp:txXfrm>
    </dsp:sp>
    <dsp:sp modelId="{A51C311F-3893-4B9B-A4CF-F7CC2053C2B7}">
      <dsp:nvSpPr>
        <dsp:cNvPr id="0" name=""/>
        <dsp:cNvSpPr/>
      </dsp:nvSpPr>
      <dsp:spPr>
        <a:xfrm>
          <a:off x="5930298"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5930298" y="3659644"/>
        <a:ext cx="788324" cy="394162"/>
      </dsp:txXfrm>
    </dsp:sp>
    <dsp:sp modelId="{739220A5-B424-4D00-BA09-DAE9C40B664F}">
      <dsp:nvSpPr>
        <dsp:cNvPr id="0" name=""/>
        <dsp:cNvSpPr/>
      </dsp:nvSpPr>
      <dsp:spPr>
        <a:xfrm>
          <a:off x="6687089"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6687089" y="2540224"/>
        <a:ext cx="788324" cy="394162"/>
      </dsp:txXfrm>
    </dsp:sp>
    <dsp:sp modelId="{507F5E94-027A-49B0-82A4-D73F3AB26436}">
      <dsp:nvSpPr>
        <dsp:cNvPr id="0" name=""/>
        <dsp:cNvSpPr/>
      </dsp:nvSpPr>
      <dsp:spPr>
        <a:xfrm>
          <a:off x="6884170"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6884170" y="3099934"/>
        <a:ext cx="788324" cy="394162"/>
      </dsp:txXfrm>
    </dsp:sp>
    <dsp:sp modelId="{DD8E6E22-BB23-4A36-8A30-39430B137B20}">
      <dsp:nvSpPr>
        <dsp:cNvPr id="0" name=""/>
        <dsp:cNvSpPr/>
      </dsp:nvSpPr>
      <dsp:spPr>
        <a:xfrm>
          <a:off x="6884170"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6884170" y="3659644"/>
        <a:ext cx="788324" cy="394162"/>
      </dsp:txXfrm>
    </dsp:sp>
    <dsp:sp modelId="{E83F509D-9B6E-41BE-8207-C0F77484A97A}">
      <dsp:nvSpPr>
        <dsp:cNvPr id="0" name=""/>
        <dsp:cNvSpPr/>
      </dsp:nvSpPr>
      <dsp:spPr>
        <a:xfrm>
          <a:off x="7640961"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7640961" y="2540224"/>
        <a:ext cx="788324" cy="394162"/>
      </dsp:txXfrm>
    </dsp:sp>
    <dsp:sp modelId="{D3FA45D9-6FE9-41BC-950C-84BBA00CDC7B}">
      <dsp:nvSpPr>
        <dsp:cNvPr id="0" name=""/>
        <dsp:cNvSpPr/>
      </dsp:nvSpPr>
      <dsp:spPr>
        <a:xfrm>
          <a:off x="7838042"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7838042" y="3099934"/>
        <a:ext cx="788324" cy="394162"/>
      </dsp:txXfrm>
    </dsp:sp>
    <dsp:sp modelId="{9FCDDB3B-B710-401F-92BF-9A89CFA4A2E5}">
      <dsp:nvSpPr>
        <dsp:cNvPr id="0" name=""/>
        <dsp:cNvSpPr/>
      </dsp:nvSpPr>
      <dsp:spPr>
        <a:xfrm>
          <a:off x="7838042"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7838042" y="3659644"/>
        <a:ext cx="788324" cy="394162"/>
      </dsp:txXfrm>
    </dsp:sp>
    <dsp:sp modelId="{D15AF9EA-FA2D-439E-BE40-01D5F390E996}">
      <dsp:nvSpPr>
        <dsp:cNvPr id="0" name=""/>
        <dsp:cNvSpPr/>
      </dsp:nvSpPr>
      <dsp:spPr>
        <a:xfrm>
          <a:off x="12120065" y="1420803"/>
          <a:ext cx="1368837" cy="394162"/>
        </a:xfrm>
        <a:prstGeom prst="plaque">
          <a:avLst/>
        </a:prstGeom>
        <a:solidFill>
          <a:schemeClr val="bg1">
            <a:lumMod val="95000"/>
          </a:schemeClr>
        </a:solidFill>
        <a:ln w="28575" cap="flat" cmpd="sng" algn="ctr">
          <a:solidFill>
            <a:scrgbClr r="0" g="0" b="0"/>
          </a:solidFill>
          <a:prstDash val="sysDash"/>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tx1"/>
              </a:solidFill>
            </a:rPr>
            <a:t>Battalion</a:t>
          </a:r>
          <a:endParaRPr lang="ru-RU" sz="1400" kern="1200">
            <a:solidFill>
              <a:schemeClr val="tx1"/>
            </a:solidFill>
          </a:endParaRPr>
        </a:p>
      </dsp:txBody>
      <dsp:txXfrm>
        <a:off x="12166519" y="1467257"/>
        <a:ext cx="1275929" cy="301254"/>
      </dsp:txXfrm>
    </dsp:sp>
    <dsp:sp modelId="{3D21CEB1-1732-422D-9DCB-A90226D8EF94}">
      <dsp:nvSpPr>
        <dsp:cNvPr id="0" name=""/>
        <dsp:cNvSpPr/>
      </dsp:nvSpPr>
      <dsp:spPr>
        <a:xfrm>
          <a:off x="9548706" y="1980513"/>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Kadrath</a:t>
          </a:r>
          <a:endParaRPr lang="ru-RU" sz="1400" kern="1200"/>
        </a:p>
      </dsp:txBody>
      <dsp:txXfrm>
        <a:off x="9548706" y="1980513"/>
        <a:ext cx="788324" cy="394162"/>
      </dsp:txXfrm>
    </dsp:sp>
    <dsp:sp modelId="{308EC26F-11CF-428E-BF5B-772AEFFA16FB}">
      <dsp:nvSpPr>
        <dsp:cNvPr id="0" name=""/>
        <dsp:cNvSpPr/>
      </dsp:nvSpPr>
      <dsp:spPr>
        <a:xfrm>
          <a:off x="8594834"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8594834" y="2540224"/>
        <a:ext cx="788324" cy="394162"/>
      </dsp:txXfrm>
    </dsp:sp>
    <dsp:sp modelId="{BB6E03EC-8B49-43C2-8A54-0E2A53D921ED}">
      <dsp:nvSpPr>
        <dsp:cNvPr id="0" name=""/>
        <dsp:cNvSpPr/>
      </dsp:nvSpPr>
      <dsp:spPr>
        <a:xfrm>
          <a:off x="8791915"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8791915" y="3099934"/>
        <a:ext cx="788324" cy="394162"/>
      </dsp:txXfrm>
    </dsp:sp>
    <dsp:sp modelId="{E24A6C78-28D8-489C-AE6C-934693B270DB}">
      <dsp:nvSpPr>
        <dsp:cNvPr id="0" name=""/>
        <dsp:cNvSpPr/>
      </dsp:nvSpPr>
      <dsp:spPr>
        <a:xfrm>
          <a:off x="8791915"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8791915" y="3659644"/>
        <a:ext cx="788324" cy="394162"/>
      </dsp:txXfrm>
    </dsp:sp>
    <dsp:sp modelId="{109D2A52-8718-4DD3-992F-CAB816BB7AD5}">
      <dsp:nvSpPr>
        <dsp:cNvPr id="0" name=""/>
        <dsp:cNvSpPr/>
      </dsp:nvSpPr>
      <dsp:spPr>
        <a:xfrm>
          <a:off x="9548706"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9548706" y="2540224"/>
        <a:ext cx="788324" cy="394162"/>
      </dsp:txXfrm>
    </dsp:sp>
    <dsp:sp modelId="{228042B0-60C3-4691-B0BA-0EE923AD05EB}">
      <dsp:nvSpPr>
        <dsp:cNvPr id="0" name=""/>
        <dsp:cNvSpPr/>
      </dsp:nvSpPr>
      <dsp:spPr>
        <a:xfrm>
          <a:off x="9745787"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9745787" y="3099934"/>
        <a:ext cx="788324" cy="394162"/>
      </dsp:txXfrm>
    </dsp:sp>
    <dsp:sp modelId="{4C05C56D-E193-410D-97AA-175DF4862606}">
      <dsp:nvSpPr>
        <dsp:cNvPr id="0" name=""/>
        <dsp:cNvSpPr/>
      </dsp:nvSpPr>
      <dsp:spPr>
        <a:xfrm>
          <a:off x="9745787"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9745787" y="3659644"/>
        <a:ext cx="788324" cy="394162"/>
      </dsp:txXfrm>
    </dsp:sp>
    <dsp:sp modelId="{5F2F2BC0-1450-48BA-A5D8-E10400E46CD7}">
      <dsp:nvSpPr>
        <dsp:cNvPr id="0" name=""/>
        <dsp:cNvSpPr/>
      </dsp:nvSpPr>
      <dsp:spPr>
        <a:xfrm>
          <a:off x="10502578"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10502578" y="2540224"/>
        <a:ext cx="788324" cy="394162"/>
      </dsp:txXfrm>
    </dsp:sp>
    <dsp:sp modelId="{4449885B-4833-4E35-BA13-423C07C7B30E}">
      <dsp:nvSpPr>
        <dsp:cNvPr id="0" name=""/>
        <dsp:cNvSpPr/>
      </dsp:nvSpPr>
      <dsp:spPr>
        <a:xfrm>
          <a:off x="10699659"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0699659" y="3099934"/>
        <a:ext cx="788324" cy="394162"/>
      </dsp:txXfrm>
    </dsp:sp>
    <dsp:sp modelId="{0A9BCA4B-F87A-4634-A762-6E29328F5902}">
      <dsp:nvSpPr>
        <dsp:cNvPr id="0" name=""/>
        <dsp:cNvSpPr/>
      </dsp:nvSpPr>
      <dsp:spPr>
        <a:xfrm>
          <a:off x="10699659"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0699659" y="3659644"/>
        <a:ext cx="788324" cy="394162"/>
      </dsp:txXfrm>
    </dsp:sp>
    <dsp:sp modelId="{724A632F-9C04-4B49-8E58-3C6E122F58C1}">
      <dsp:nvSpPr>
        <dsp:cNvPr id="0" name=""/>
        <dsp:cNvSpPr/>
      </dsp:nvSpPr>
      <dsp:spPr>
        <a:xfrm>
          <a:off x="12410322" y="1980513"/>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Kadrath</a:t>
          </a:r>
          <a:endParaRPr lang="ru-RU" sz="1400" kern="1200"/>
        </a:p>
      </dsp:txBody>
      <dsp:txXfrm>
        <a:off x="12410322" y="1980513"/>
        <a:ext cx="788324" cy="394162"/>
      </dsp:txXfrm>
    </dsp:sp>
    <dsp:sp modelId="{536CCF77-E8A3-46CB-81D8-C92AADAD0AC3}">
      <dsp:nvSpPr>
        <dsp:cNvPr id="0" name=""/>
        <dsp:cNvSpPr/>
      </dsp:nvSpPr>
      <dsp:spPr>
        <a:xfrm>
          <a:off x="11456450"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11456450" y="2540224"/>
        <a:ext cx="788324" cy="394162"/>
      </dsp:txXfrm>
    </dsp:sp>
    <dsp:sp modelId="{17AFA297-B6CD-4034-BE7B-D0B4274108C3}">
      <dsp:nvSpPr>
        <dsp:cNvPr id="0" name=""/>
        <dsp:cNvSpPr/>
      </dsp:nvSpPr>
      <dsp:spPr>
        <a:xfrm>
          <a:off x="11653531"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1653531" y="3099934"/>
        <a:ext cx="788324" cy="394162"/>
      </dsp:txXfrm>
    </dsp:sp>
    <dsp:sp modelId="{C4461497-94BC-4287-AD67-B89015F8E39F}">
      <dsp:nvSpPr>
        <dsp:cNvPr id="0" name=""/>
        <dsp:cNvSpPr/>
      </dsp:nvSpPr>
      <dsp:spPr>
        <a:xfrm>
          <a:off x="11653531"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1653531" y="3659644"/>
        <a:ext cx="788324" cy="394162"/>
      </dsp:txXfrm>
    </dsp:sp>
    <dsp:sp modelId="{DF99A980-A000-4BAE-A9D7-432879678797}">
      <dsp:nvSpPr>
        <dsp:cNvPr id="0" name=""/>
        <dsp:cNvSpPr/>
      </dsp:nvSpPr>
      <dsp:spPr>
        <a:xfrm>
          <a:off x="12410322"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12410322" y="2540224"/>
        <a:ext cx="788324" cy="394162"/>
      </dsp:txXfrm>
    </dsp:sp>
    <dsp:sp modelId="{F5F39E34-B9B1-4354-9A59-2B47FA3FD5AD}">
      <dsp:nvSpPr>
        <dsp:cNvPr id="0" name=""/>
        <dsp:cNvSpPr/>
      </dsp:nvSpPr>
      <dsp:spPr>
        <a:xfrm>
          <a:off x="12607403"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2607403" y="3099934"/>
        <a:ext cx="788324" cy="394162"/>
      </dsp:txXfrm>
    </dsp:sp>
    <dsp:sp modelId="{E3270322-3D9F-4F83-A18D-EA86F27A6C07}">
      <dsp:nvSpPr>
        <dsp:cNvPr id="0" name=""/>
        <dsp:cNvSpPr/>
      </dsp:nvSpPr>
      <dsp:spPr>
        <a:xfrm>
          <a:off x="12607403"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2607403" y="3659644"/>
        <a:ext cx="788324" cy="394162"/>
      </dsp:txXfrm>
    </dsp:sp>
    <dsp:sp modelId="{DBF52F38-4998-4B91-B8A9-F6F4FF08B57C}">
      <dsp:nvSpPr>
        <dsp:cNvPr id="0" name=""/>
        <dsp:cNvSpPr/>
      </dsp:nvSpPr>
      <dsp:spPr>
        <a:xfrm>
          <a:off x="13364194"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13364194" y="2540224"/>
        <a:ext cx="788324" cy="394162"/>
      </dsp:txXfrm>
    </dsp:sp>
    <dsp:sp modelId="{6402DFBD-362E-418A-8911-539AF0D0D05D}">
      <dsp:nvSpPr>
        <dsp:cNvPr id="0" name=""/>
        <dsp:cNvSpPr/>
      </dsp:nvSpPr>
      <dsp:spPr>
        <a:xfrm>
          <a:off x="13561275"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3561275" y="3099934"/>
        <a:ext cx="788324" cy="394162"/>
      </dsp:txXfrm>
    </dsp:sp>
    <dsp:sp modelId="{C147871B-96DF-4E48-8721-B37048427D48}">
      <dsp:nvSpPr>
        <dsp:cNvPr id="0" name=""/>
        <dsp:cNvSpPr/>
      </dsp:nvSpPr>
      <dsp:spPr>
        <a:xfrm>
          <a:off x="13561275"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3561275" y="3659644"/>
        <a:ext cx="788324" cy="394162"/>
      </dsp:txXfrm>
    </dsp:sp>
    <dsp:sp modelId="{1837E658-642F-43AA-B207-E77D6506A0BB}">
      <dsp:nvSpPr>
        <dsp:cNvPr id="0" name=""/>
        <dsp:cNvSpPr/>
      </dsp:nvSpPr>
      <dsp:spPr>
        <a:xfrm>
          <a:off x="15271938" y="1980513"/>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Kadrath</a:t>
          </a:r>
          <a:endParaRPr lang="ru-RU" sz="1400" kern="1200"/>
        </a:p>
      </dsp:txBody>
      <dsp:txXfrm>
        <a:off x="15271938" y="1980513"/>
        <a:ext cx="788324" cy="394162"/>
      </dsp:txXfrm>
    </dsp:sp>
    <dsp:sp modelId="{A9F81BD9-B6E6-4ACA-9625-7B65562C3C63}">
      <dsp:nvSpPr>
        <dsp:cNvPr id="0" name=""/>
        <dsp:cNvSpPr/>
      </dsp:nvSpPr>
      <dsp:spPr>
        <a:xfrm>
          <a:off x="14318066"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14318066" y="2540224"/>
        <a:ext cx="788324" cy="394162"/>
      </dsp:txXfrm>
    </dsp:sp>
    <dsp:sp modelId="{92900BBA-5ABE-4FF9-BB49-137BDFCD4D72}">
      <dsp:nvSpPr>
        <dsp:cNvPr id="0" name=""/>
        <dsp:cNvSpPr/>
      </dsp:nvSpPr>
      <dsp:spPr>
        <a:xfrm>
          <a:off x="14515147"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4515147" y="3099934"/>
        <a:ext cx="788324" cy="394162"/>
      </dsp:txXfrm>
    </dsp:sp>
    <dsp:sp modelId="{C2E2B921-DBF1-4270-94B4-11EB0E6C3568}">
      <dsp:nvSpPr>
        <dsp:cNvPr id="0" name=""/>
        <dsp:cNvSpPr/>
      </dsp:nvSpPr>
      <dsp:spPr>
        <a:xfrm>
          <a:off x="14515147"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4515147" y="3659644"/>
        <a:ext cx="788324" cy="394162"/>
      </dsp:txXfrm>
    </dsp:sp>
    <dsp:sp modelId="{A4F8B29E-90F9-48D1-98A0-BF9532000743}">
      <dsp:nvSpPr>
        <dsp:cNvPr id="0" name=""/>
        <dsp:cNvSpPr/>
      </dsp:nvSpPr>
      <dsp:spPr>
        <a:xfrm>
          <a:off x="15271938"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15271938" y="2540224"/>
        <a:ext cx="788324" cy="394162"/>
      </dsp:txXfrm>
    </dsp:sp>
    <dsp:sp modelId="{707A546A-B844-4605-8B34-D1375D327F0A}">
      <dsp:nvSpPr>
        <dsp:cNvPr id="0" name=""/>
        <dsp:cNvSpPr/>
      </dsp:nvSpPr>
      <dsp:spPr>
        <a:xfrm>
          <a:off x="15469019"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5469019" y="3099934"/>
        <a:ext cx="788324" cy="394162"/>
      </dsp:txXfrm>
    </dsp:sp>
    <dsp:sp modelId="{8C54CB1A-7C0F-4148-A2B0-0DDCB93F5B78}">
      <dsp:nvSpPr>
        <dsp:cNvPr id="0" name=""/>
        <dsp:cNvSpPr/>
      </dsp:nvSpPr>
      <dsp:spPr>
        <a:xfrm>
          <a:off x="15469019"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5469019" y="3659644"/>
        <a:ext cx="788324" cy="394162"/>
      </dsp:txXfrm>
    </dsp:sp>
    <dsp:sp modelId="{5B5464A4-2AC2-462C-93C0-7CDF7B8CCCF6}">
      <dsp:nvSpPr>
        <dsp:cNvPr id="0" name=""/>
        <dsp:cNvSpPr/>
      </dsp:nvSpPr>
      <dsp:spPr>
        <a:xfrm>
          <a:off x="16225810" y="254022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Company</a:t>
          </a:r>
          <a:endParaRPr lang="ru-RU" sz="1400" kern="1200"/>
        </a:p>
      </dsp:txBody>
      <dsp:txXfrm>
        <a:off x="16225810" y="2540224"/>
        <a:ext cx="788324" cy="394162"/>
      </dsp:txXfrm>
    </dsp:sp>
    <dsp:sp modelId="{9E75887E-9ADB-45B6-BDD2-39950D432A6E}">
      <dsp:nvSpPr>
        <dsp:cNvPr id="0" name=""/>
        <dsp:cNvSpPr/>
      </dsp:nvSpPr>
      <dsp:spPr>
        <a:xfrm>
          <a:off x="16422891" y="309993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6422891" y="3099934"/>
        <a:ext cx="788324" cy="394162"/>
      </dsp:txXfrm>
    </dsp:sp>
    <dsp:sp modelId="{0E6403D1-BFFC-4E30-BC32-69E214296962}">
      <dsp:nvSpPr>
        <dsp:cNvPr id="0" name=""/>
        <dsp:cNvSpPr/>
      </dsp:nvSpPr>
      <dsp:spPr>
        <a:xfrm>
          <a:off x="16422891" y="3659644"/>
          <a:ext cx="788324" cy="394162"/>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US" sz="1400" kern="1200"/>
            <a:t>Squad</a:t>
          </a:r>
          <a:endParaRPr lang="ru-RU" sz="1400" kern="1200"/>
        </a:p>
      </dsp:txBody>
      <dsp:txXfrm>
        <a:off x="16422891" y="3659644"/>
        <a:ext cx="788324" cy="39416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29154A0-5813-441D-B6EA-823569FBD7A8}">
      <dsp:nvSpPr>
        <dsp:cNvPr id="0" name=""/>
        <dsp:cNvSpPr/>
      </dsp:nvSpPr>
      <dsp:spPr>
        <a:xfrm>
          <a:off x="11127649"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586B6B4-CF1D-4A8D-B576-08231F4BD699}">
      <dsp:nvSpPr>
        <dsp:cNvPr id="0" name=""/>
        <dsp:cNvSpPr/>
      </dsp:nvSpPr>
      <dsp:spPr>
        <a:xfrm>
          <a:off x="11127649"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E32B0C2-D36B-447B-A38A-C139A1EB9B23}">
      <dsp:nvSpPr>
        <dsp:cNvPr id="0" name=""/>
        <dsp:cNvSpPr/>
      </dsp:nvSpPr>
      <dsp:spPr>
        <a:xfrm>
          <a:off x="11127649"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384E78B6-5C05-40C2-B4C8-34CBF53D09FD}">
      <dsp:nvSpPr>
        <dsp:cNvPr id="0" name=""/>
        <dsp:cNvSpPr/>
      </dsp:nvSpPr>
      <dsp:spPr>
        <a:xfrm>
          <a:off x="10735783" y="1123094"/>
          <a:ext cx="653676" cy="113448"/>
        </a:xfrm>
        <a:custGeom>
          <a:avLst/>
          <a:gdLst/>
          <a:ahLst/>
          <a:cxnLst/>
          <a:rect l="0" t="0" r="0" b="0"/>
          <a:pathLst>
            <a:path>
              <a:moveTo>
                <a:pt x="0" y="0"/>
              </a:moveTo>
              <a:lnTo>
                <a:pt x="0" y="56724"/>
              </a:lnTo>
              <a:lnTo>
                <a:pt x="653676" y="56724"/>
              </a:lnTo>
              <a:lnTo>
                <a:pt x="653676"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82333CC-A713-4C76-8A6B-4491741A45AE}">
      <dsp:nvSpPr>
        <dsp:cNvPr id="0" name=""/>
        <dsp:cNvSpPr/>
      </dsp:nvSpPr>
      <dsp:spPr>
        <a:xfrm>
          <a:off x="10473972"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0E5A209-2780-4CB2-BE2A-F93995DAF8D3}">
      <dsp:nvSpPr>
        <dsp:cNvPr id="0" name=""/>
        <dsp:cNvSpPr/>
      </dsp:nvSpPr>
      <dsp:spPr>
        <a:xfrm>
          <a:off x="10473972"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61699D9-CE96-42C6-96BD-3AA8D16E6A43}">
      <dsp:nvSpPr>
        <dsp:cNvPr id="0" name=""/>
        <dsp:cNvSpPr/>
      </dsp:nvSpPr>
      <dsp:spPr>
        <a:xfrm>
          <a:off x="10473972"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7DF0BE6-DAB8-4EAD-A125-AF41B477EDB7}">
      <dsp:nvSpPr>
        <dsp:cNvPr id="0" name=""/>
        <dsp:cNvSpPr/>
      </dsp:nvSpPr>
      <dsp:spPr>
        <a:xfrm>
          <a:off x="10690063" y="1123094"/>
          <a:ext cx="91440" cy="113448"/>
        </a:xfrm>
        <a:custGeom>
          <a:avLst/>
          <a:gdLst/>
          <a:ahLst/>
          <a:cxnLst/>
          <a:rect l="0" t="0" r="0" b="0"/>
          <a:pathLst>
            <a:path>
              <a:moveTo>
                <a:pt x="45720" y="0"/>
              </a:moveTo>
              <a:lnTo>
                <a:pt x="4572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D53B2F7-C277-4643-99B5-AD94E6EAF4D6}">
      <dsp:nvSpPr>
        <dsp:cNvPr id="0" name=""/>
        <dsp:cNvSpPr/>
      </dsp:nvSpPr>
      <dsp:spPr>
        <a:xfrm>
          <a:off x="9820295"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30C93E59-598E-47BD-9BA3-A1EAFA391425}">
      <dsp:nvSpPr>
        <dsp:cNvPr id="0" name=""/>
        <dsp:cNvSpPr/>
      </dsp:nvSpPr>
      <dsp:spPr>
        <a:xfrm>
          <a:off x="9820295"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5A5F61-883D-4718-8867-8B79DF074CA4}">
      <dsp:nvSpPr>
        <dsp:cNvPr id="0" name=""/>
        <dsp:cNvSpPr/>
      </dsp:nvSpPr>
      <dsp:spPr>
        <a:xfrm>
          <a:off x="9820295"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80717CC-84EF-4BAD-B0AB-251F9B869394}">
      <dsp:nvSpPr>
        <dsp:cNvPr id="0" name=""/>
        <dsp:cNvSpPr/>
      </dsp:nvSpPr>
      <dsp:spPr>
        <a:xfrm>
          <a:off x="10082107" y="1123094"/>
          <a:ext cx="653676" cy="113448"/>
        </a:xfrm>
        <a:custGeom>
          <a:avLst/>
          <a:gdLst/>
          <a:ahLst/>
          <a:cxnLst/>
          <a:rect l="0" t="0" r="0" b="0"/>
          <a:pathLst>
            <a:path>
              <a:moveTo>
                <a:pt x="653676" y="0"/>
              </a:moveTo>
              <a:lnTo>
                <a:pt x="653676" y="56724"/>
              </a:lnTo>
              <a:lnTo>
                <a:pt x="0" y="56724"/>
              </a:lnTo>
              <a:lnTo>
                <a:pt x="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BE02B26-6542-4776-BA9C-5F3660AFABD4}">
      <dsp:nvSpPr>
        <dsp:cNvPr id="0" name=""/>
        <dsp:cNvSpPr/>
      </dsp:nvSpPr>
      <dsp:spPr>
        <a:xfrm>
          <a:off x="8774753" y="739532"/>
          <a:ext cx="1961030" cy="113448"/>
        </a:xfrm>
        <a:custGeom>
          <a:avLst/>
          <a:gdLst/>
          <a:ahLst/>
          <a:cxnLst/>
          <a:rect l="0" t="0" r="0" b="0"/>
          <a:pathLst>
            <a:path>
              <a:moveTo>
                <a:pt x="0" y="0"/>
              </a:moveTo>
              <a:lnTo>
                <a:pt x="0" y="56724"/>
              </a:lnTo>
              <a:lnTo>
                <a:pt x="1961030" y="56724"/>
              </a:lnTo>
              <a:lnTo>
                <a:pt x="196103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6FAD5BF-7D70-430D-B305-0EFACB8C5C86}">
      <dsp:nvSpPr>
        <dsp:cNvPr id="0" name=""/>
        <dsp:cNvSpPr/>
      </dsp:nvSpPr>
      <dsp:spPr>
        <a:xfrm>
          <a:off x="9166619"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82DEA34-6A1F-42DC-824E-865386A60610}">
      <dsp:nvSpPr>
        <dsp:cNvPr id="0" name=""/>
        <dsp:cNvSpPr/>
      </dsp:nvSpPr>
      <dsp:spPr>
        <a:xfrm>
          <a:off x="9166619"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EE0FE7F-EBD4-40D2-B56F-271FCDA89BA1}">
      <dsp:nvSpPr>
        <dsp:cNvPr id="0" name=""/>
        <dsp:cNvSpPr/>
      </dsp:nvSpPr>
      <dsp:spPr>
        <a:xfrm>
          <a:off x="9166619"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8201BB0-4541-4766-B822-7FD249395CA9}">
      <dsp:nvSpPr>
        <dsp:cNvPr id="0" name=""/>
        <dsp:cNvSpPr/>
      </dsp:nvSpPr>
      <dsp:spPr>
        <a:xfrm>
          <a:off x="8774753" y="1123094"/>
          <a:ext cx="653676" cy="113448"/>
        </a:xfrm>
        <a:custGeom>
          <a:avLst/>
          <a:gdLst/>
          <a:ahLst/>
          <a:cxnLst/>
          <a:rect l="0" t="0" r="0" b="0"/>
          <a:pathLst>
            <a:path>
              <a:moveTo>
                <a:pt x="0" y="0"/>
              </a:moveTo>
              <a:lnTo>
                <a:pt x="0" y="56724"/>
              </a:lnTo>
              <a:lnTo>
                <a:pt x="653676" y="56724"/>
              </a:lnTo>
              <a:lnTo>
                <a:pt x="653676"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C30E651-E3E1-4A90-8F09-B4E5ACBBDCCE}">
      <dsp:nvSpPr>
        <dsp:cNvPr id="0" name=""/>
        <dsp:cNvSpPr/>
      </dsp:nvSpPr>
      <dsp:spPr>
        <a:xfrm>
          <a:off x="8512942"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CC99433-EC04-459A-98E1-837B8EE17D75}">
      <dsp:nvSpPr>
        <dsp:cNvPr id="0" name=""/>
        <dsp:cNvSpPr/>
      </dsp:nvSpPr>
      <dsp:spPr>
        <a:xfrm>
          <a:off x="8512942"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B621E09-21D4-4D51-A58D-89B7DB529254}">
      <dsp:nvSpPr>
        <dsp:cNvPr id="0" name=""/>
        <dsp:cNvSpPr/>
      </dsp:nvSpPr>
      <dsp:spPr>
        <a:xfrm>
          <a:off x="8512942"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C78FBC5-B545-42B1-B5E9-EC56D676D690}">
      <dsp:nvSpPr>
        <dsp:cNvPr id="0" name=""/>
        <dsp:cNvSpPr/>
      </dsp:nvSpPr>
      <dsp:spPr>
        <a:xfrm>
          <a:off x="8729033" y="1123094"/>
          <a:ext cx="91440" cy="113448"/>
        </a:xfrm>
        <a:custGeom>
          <a:avLst/>
          <a:gdLst/>
          <a:ahLst/>
          <a:cxnLst/>
          <a:rect l="0" t="0" r="0" b="0"/>
          <a:pathLst>
            <a:path>
              <a:moveTo>
                <a:pt x="45720" y="0"/>
              </a:moveTo>
              <a:lnTo>
                <a:pt x="4572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08FFC0E-A829-4EE0-8348-E36331CA4662}">
      <dsp:nvSpPr>
        <dsp:cNvPr id="0" name=""/>
        <dsp:cNvSpPr/>
      </dsp:nvSpPr>
      <dsp:spPr>
        <a:xfrm>
          <a:off x="7859265"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A79F97D-CE59-4D91-A4F3-97D379538E65}">
      <dsp:nvSpPr>
        <dsp:cNvPr id="0" name=""/>
        <dsp:cNvSpPr/>
      </dsp:nvSpPr>
      <dsp:spPr>
        <a:xfrm>
          <a:off x="7859265"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101E42C-1F98-4CCA-835D-886350D76600}">
      <dsp:nvSpPr>
        <dsp:cNvPr id="0" name=""/>
        <dsp:cNvSpPr/>
      </dsp:nvSpPr>
      <dsp:spPr>
        <a:xfrm>
          <a:off x="7859265"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F078016-7D7C-4CFF-9F9C-63555F2A56E1}">
      <dsp:nvSpPr>
        <dsp:cNvPr id="0" name=""/>
        <dsp:cNvSpPr/>
      </dsp:nvSpPr>
      <dsp:spPr>
        <a:xfrm>
          <a:off x="8121077" y="1123094"/>
          <a:ext cx="653676" cy="113448"/>
        </a:xfrm>
        <a:custGeom>
          <a:avLst/>
          <a:gdLst/>
          <a:ahLst/>
          <a:cxnLst/>
          <a:rect l="0" t="0" r="0" b="0"/>
          <a:pathLst>
            <a:path>
              <a:moveTo>
                <a:pt x="653676" y="0"/>
              </a:moveTo>
              <a:lnTo>
                <a:pt x="653676" y="56724"/>
              </a:lnTo>
              <a:lnTo>
                <a:pt x="0" y="56724"/>
              </a:lnTo>
              <a:lnTo>
                <a:pt x="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47BA72-88C1-4B69-B3F5-D02B3D8B750D}">
      <dsp:nvSpPr>
        <dsp:cNvPr id="0" name=""/>
        <dsp:cNvSpPr/>
      </dsp:nvSpPr>
      <dsp:spPr>
        <a:xfrm>
          <a:off x="8729033" y="739532"/>
          <a:ext cx="91440" cy="113448"/>
        </a:xfrm>
        <a:custGeom>
          <a:avLst/>
          <a:gdLst/>
          <a:ahLst/>
          <a:cxnLst/>
          <a:rect l="0" t="0" r="0" b="0"/>
          <a:pathLst>
            <a:path>
              <a:moveTo>
                <a:pt x="45720" y="0"/>
              </a:moveTo>
              <a:lnTo>
                <a:pt x="4572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BDA2F55-655E-48C8-BC65-DE70EECF077B}">
      <dsp:nvSpPr>
        <dsp:cNvPr id="0" name=""/>
        <dsp:cNvSpPr/>
      </dsp:nvSpPr>
      <dsp:spPr>
        <a:xfrm>
          <a:off x="7205589"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41A9B77-6294-4447-8DBE-99799DBDB4C5}">
      <dsp:nvSpPr>
        <dsp:cNvPr id="0" name=""/>
        <dsp:cNvSpPr/>
      </dsp:nvSpPr>
      <dsp:spPr>
        <a:xfrm>
          <a:off x="7205589"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BB9E70C-AC65-478E-B47E-4C95061FD7DD}">
      <dsp:nvSpPr>
        <dsp:cNvPr id="0" name=""/>
        <dsp:cNvSpPr/>
      </dsp:nvSpPr>
      <dsp:spPr>
        <a:xfrm>
          <a:off x="7205589"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2AFE134-3F00-46C7-AAC6-B6D5ED070B18}">
      <dsp:nvSpPr>
        <dsp:cNvPr id="0" name=""/>
        <dsp:cNvSpPr/>
      </dsp:nvSpPr>
      <dsp:spPr>
        <a:xfrm>
          <a:off x="6813723" y="1123094"/>
          <a:ext cx="653676" cy="113448"/>
        </a:xfrm>
        <a:custGeom>
          <a:avLst/>
          <a:gdLst/>
          <a:ahLst/>
          <a:cxnLst/>
          <a:rect l="0" t="0" r="0" b="0"/>
          <a:pathLst>
            <a:path>
              <a:moveTo>
                <a:pt x="0" y="0"/>
              </a:moveTo>
              <a:lnTo>
                <a:pt x="0" y="56724"/>
              </a:lnTo>
              <a:lnTo>
                <a:pt x="653676" y="56724"/>
              </a:lnTo>
              <a:lnTo>
                <a:pt x="653676"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891FAE5-EA73-48E8-B207-27FED46380A3}">
      <dsp:nvSpPr>
        <dsp:cNvPr id="0" name=""/>
        <dsp:cNvSpPr/>
      </dsp:nvSpPr>
      <dsp:spPr>
        <a:xfrm>
          <a:off x="6551912"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CD59D97-A0FE-446B-9D5D-B2C2DCF9395E}">
      <dsp:nvSpPr>
        <dsp:cNvPr id="0" name=""/>
        <dsp:cNvSpPr/>
      </dsp:nvSpPr>
      <dsp:spPr>
        <a:xfrm>
          <a:off x="6551912"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782239F-CE21-4464-B90C-854BCECF8D06}">
      <dsp:nvSpPr>
        <dsp:cNvPr id="0" name=""/>
        <dsp:cNvSpPr/>
      </dsp:nvSpPr>
      <dsp:spPr>
        <a:xfrm>
          <a:off x="6551912"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BC56D23-F9E0-40F5-8D2C-B479A09E0150}">
      <dsp:nvSpPr>
        <dsp:cNvPr id="0" name=""/>
        <dsp:cNvSpPr/>
      </dsp:nvSpPr>
      <dsp:spPr>
        <a:xfrm>
          <a:off x="6768003" y="1123094"/>
          <a:ext cx="91440" cy="113448"/>
        </a:xfrm>
        <a:custGeom>
          <a:avLst/>
          <a:gdLst/>
          <a:ahLst/>
          <a:cxnLst/>
          <a:rect l="0" t="0" r="0" b="0"/>
          <a:pathLst>
            <a:path>
              <a:moveTo>
                <a:pt x="45720" y="0"/>
              </a:moveTo>
              <a:lnTo>
                <a:pt x="4572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3B53198-3EC9-42F9-AC4D-94E12DEC3B0D}">
      <dsp:nvSpPr>
        <dsp:cNvPr id="0" name=""/>
        <dsp:cNvSpPr/>
      </dsp:nvSpPr>
      <dsp:spPr>
        <a:xfrm>
          <a:off x="5898235"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3C2BE05-C35B-4AD4-BB78-B9EFCD81AED6}">
      <dsp:nvSpPr>
        <dsp:cNvPr id="0" name=""/>
        <dsp:cNvSpPr/>
      </dsp:nvSpPr>
      <dsp:spPr>
        <a:xfrm>
          <a:off x="5898235"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C1AFAED-130A-4B91-A5C0-4AB1DF8E8F4C}">
      <dsp:nvSpPr>
        <dsp:cNvPr id="0" name=""/>
        <dsp:cNvSpPr/>
      </dsp:nvSpPr>
      <dsp:spPr>
        <a:xfrm>
          <a:off x="5898235"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37A81B5D-87BC-41C0-A2AC-2D6261846FB7}">
      <dsp:nvSpPr>
        <dsp:cNvPr id="0" name=""/>
        <dsp:cNvSpPr/>
      </dsp:nvSpPr>
      <dsp:spPr>
        <a:xfrm>
          <a:off x="6160047" y="1123094"/>
          <a:ext cx="653676" cy="113448"/>
        </a:xfrm>
        <a:custGeom>
          <a:avLst/>
          <a:gdLst/>
          <a:ahLst/>
          <a:cxnLst/>
          <a:rect l="0" t="0" r="0" b="0"/>
          <a:pathLst>
            <a:path>
              <a:moveTo>
                <a:pt x="653676" y="0"/>
              </a:moveTo>
              <a:lnTo>
                <a:pt x="653676" y="56724"/>
              </a:lnTo>
              <a:lnTo>
                <a:pt x="0" y="56724"/>
              </a:lnTo>
              <a:lnTo>
                <a:pt x="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156AF0A-3DD9-4420-AC49-A7B7F2AE43AF}">
      <dsp:nvSpPr>
        <dsp:cNvPr id="0" name=""/>
        <dsp:cNvSpPr/>
      </dsp:nvSpPr>
      <dsp:spPr>
        <a:xfrm>
          <a:off x="6813723" y="739532"/>
          <a:ext cx="1961030" cy="113448"/>
        </a:xfrm>
        <a:custGeom>
          <a:avLst/>
          <a:gdLst/>
          <a:ahLst/>
          <a:cxnLst/>
          <a:rect l="0" t="0" r="0" b="0"/>
          <a:pathLst>
            <a:path>
              <a:moveTo>
                <a:pt x="1961030" y="0"/>
              </a:moveTo>
              <a:lnTo>
                <a:pt x="1961030" y="56724"/>
              </a:lnTo>
              <a:lnTo>
                <a:pt x="0" y="56724"/>
              </a:lnTo>
              <a:lnTo>
                <a:pt x="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86399C1-8ED0-4A54-9AF5-1FC5987C4F2C}">
      <dsp:nvSpPr>
        <dsp:cNvPr id="0" name=""/>
        <dsp:cNvSpPr/>
      </dsp:nvSpPr>
      <dsp:spPr>
        <a:xfrm>
          <a:off x="5833208" y="355970"/>
          <a:ext cx="2941545" cy="113448"/>
        </a:xfrm>
        <a:custGeom>
          <a:avLst/>
          <a:gdLst/>
          <a:ahLst/>
          <a:cxnLst/>
          <a:rect l="0" t="0" r="0" b="0"/>
          <a:pathLst>
            <a:path>
              <a:moveTo>
                <a:pt x="0" y="0"/>
              </a:moveTo>
              <a:lnTo>
                <a:pt x="0" y="56724"/>
              </a:lnTo>
              <a:lnTo>
                <a:pt x="2941545" y="56724"/>
              </a:lnTo>
              <a:lnTo>
                <a:pt x="2941545" y="113448"/>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782AC97-AD25-4346-BB7D-FF8CBD10B02D}">
      <dsp:nvSpPr>
        <dsp:cNvPr id="0" name=""/>
        <dsp:cNvSpPr/>
      </dsp:nvSpPr>
      <dsp:spPr>
        <a:xfrm>
          <a:off x="5244559"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CBAD72B-9EB9-42DE-9D67-1DB50B3390E2}">
      <dsp:nvSpPr>
        <dsp:cNvPr id="0" name=""/>
        <dsp:cNvSpPr/>
      </dsp:nvSpPr>
      <dsp:spPr>
        <a:xfrm>
          <a:off x="5244559"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FCB27B3-33A2-4B94-8859-E0FEEDAEF0D9}">
      <dsp:nvSpPr>
        <dsp:cNvPr id="0" name=""/>
        <dsp:cNvSpPr/>
      </dsp:nvSpPr>
      <dsp:spPr>
        <a:xfrm>
          <a:off x="5244559"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3AAE1C5-3D41-421C-B82E-740788A84D19}">
      <dsp:nvSpPr>
        <dsp:cNvPr id="0" name=""/>
        <dsp:cNvSpPr/>
      </dsp:nvSpPr>
      <dsp:spPr>
        <a:xfrm>
          <a:off x="4852693" y="1123094"/>
          <a:ext cx="653676" cy="113448"/>
        </a:xfrm>
        <a:custGeom>
          <a:avLst/>
          <a:gdLst/>
          <a:ahLst/>
          <a:cxnLst/>
          <a:rect l="0" t="0" r="0" b="0"/>
          <a:pathLst>
            <a:path>
              <a:moveTo>
                <a:pt x="0" y="0"/>
              </a:moveTo>
              <a:lnTo>
                <a:pt x="0" y="56724"/>
              </a:lnTo>
              <a:lnTo>
                <a:pt x="653676" y="56724"/>
              </a:lnTo>
              <a:lnTo>
                <a:pt x="653676"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1DE3835-73F2-430A-A81E-EA9A9B4ACC43}">
      <dsp:nvSpPr>
        <dsp:cNvPr id="0" name=""/>
        <dsp:cNvSpPr/>
      </dsp:nvSpPr>
      <dsp:spPr>
        <a:xfrm>
          <a:off x="4590882"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A64D916-92EA-4300-BE27-2C559996A73F}">
      <dsp:nvSpPr>
        <dsp:cNvPr id="0" name=""/>
        <dsp:cNvSpPr/>
      </dsp:nvSpPr>
      <dsp:spPr>
        <a:xfrm>
          <a:off x="4590882"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DD821B2-31E0-4A42-B6E4-AF14CB1F4434}">
      <dsp:nvSpPr>
        <dsp:cNvPr id="0" name=""/>
        <dsp:cNvSpPr/>
      </dsp:nvSpPr>
      <dsp:spPr>
        <a:xfrm>
          <a:off x="4590882"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D75AD42-897C-4437-A9C1-D9F47115EF57}">
      <dsp:nvSpPr>
        <dsp:cNvPr id="0" name=""/>
        <dsp:cNvSpPr/>
      </dsp:nvSpPr>
      <dsp:spPr>
        <a:xfrm>
          <a:off x="4806973" y="1123094"/>
          <a:ext cx="91440" cy="113448"/>
        </a:xfrm>
        <a:custGeom>
          <a:avLst/>
          <a:gdLst/>
          <a:ahLst/>
          <a:cxnLst/>
          <a:rect l="0" t="0" r="0" b="0"/>
          <a:pathLst>
            <a:path>
              <a:moveTo>
                <a:pt x="45720" y="0"/>
              </a:moveTo>
              <a:lnTo>
                <a:pt x="4572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9F6DC67-3950-43CD-AB1B-CF05CEF4802A}">
      <dsp:nvSpPr>
        <dsp:cNvPr id="0" name=""/>
        <dsp:cNvSpPr/>
      </dsp:nvSpPr>
      <dsp:spPr>
        <a:xfrm>
          <a:off x="3937205"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772D8F1-A219-4D2D-AA6E-F55C18F3173F}">
      <dsp:nvSpPr>
        <dsp:cNvPr id="0" name=""/>
        <dsp:cNvSpPr/>
      </dsp:nvSpPr>
      <dsp:spPr>
        <a:xfrm>
          <a:off x="3937205"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E4E8E0C-6496-498A-9D6E-2EA473DD936F}">
      <dsp:nvSpPr>
        <dsp:cNvPr id="0" name=""/>
        <dsp:cNvSpPr/>
      </dsp:nvSpPr>
      <dsp:spPr>
        <a:xfrm>
          <a:off x="3937205"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C51E288-C09F-42DE-91CF-AAF606FB3824}">
      <dsp:nvSpPr>
        <dsp:cNvPr id="0" name=""/>
        <dsp:cNvSpPr/>
      </dsp:nvSpPr>
      <dsp:spPr>
        <a:xfrm>
          <a:off x="4199017" y="1123094"/>
          <a:ext cx="653676" cy="113448"/>
        </a:xfrm>
        <a:custGeom>
          <a:avLst/>
          <a:gdLst/>
          <a:ahLst/>
          <a:cxnLst/>
          <a:rect l="0" t="0" r="0" b="0"/>
          <a:pathLst>
            <a:path>
              <a:moveTo>
                <a:pt x="653676" y="0"/>
              </a:moveTo>
              <a:lnTo>
                <a:pt x="653676" y="56724"/>
              </a:lnTo>
              <a:lnTo>
                <a:pt x="0" y="56724"/>
              </a:lnTo>
              <a:lnTo>
                <a:pt x="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67B6ED4-5AE8-4063-BAD0-A9D6D37655CD}">
      <dsp:nvSpPr>
        <dsp:cNvPr id="0" name=""/>
        <dsp:cNvSpPr/>
      </dsp:nvSpPr>
      <dsp:spPr>
        <a:xfrm>
          <a:off x="2891663" y="739532"/>
          <a:ext cx="1961030" cy="113448"/>
        </a:xfrm>
        <a:custGeom>
          <a:avLst/>
          <a:gdLst/>
          <a:ahLst/>
          <a:cxnLst/>
          <a:rect l="0" t="0" r="0" b="0"/>
          <a:pathLst>
            <a:path>
              <a:moveTo>
                <a:pt x="0" y="0"/>
              </a:moveTo>
              <a:lnTo>
                <a:pt x="0" y="56724"/>
              </a:lnTo>
              <a:lnTo>
                <a:pt x="1961030" y="56724"/>
              </a:lnTo>
              <a:lnTo>
                <a:pt x="196103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86659EC-B161-487F-92F4-66839D1D51AB}">
      <dsp:nvSpPr>
        <dsp:cNvPr id="0" name=""/>
        <dsp:cNvSpPr/>
      </dsp:nvSpPr>
      <dsp:spPr>
        <a:xfrm>
          <a:off x="3283529"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6E54769-F860-4CA3-A50D-9842DBC65E1F}">
      <dsp:nvSpPr>
        <dsp:cNvPr id="0" name=""/>
        <dsp:cNvSpPr/>
      </dsp:nvSpPr>
      <dsp:spPr>
        <a:xfrm>
          <a:off x="3283529"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6A0C71F-4277-4308-92AC-A529299C06B1}">
      <dsp:nvSpPr>
        <dsp:cNvPr id="0" name=""/>
        <dsp:cNvSpPr/>
      </dsp:nvSpPr>
      <dsp:spPr>
        <a:xfrm>
          <a:off x="3283529"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E5AC264-4EC2-4965-BF3F-AE6E2FAD92CB}">
      <dsp:nvSpPr>
        <dsp:cNvPr id="0" name=""/>
        <dsp:cNvSpPr/>
      </dsp:nvSpPr>
      <dsp:spPr>
        <a:xfrm>
          <a:off x="2891663" y="1123094"/>
          <a:ext cx="653676" cy="113448"/>
        </a:xfrm>
        <a:custGeom>
          <a:avLst/>
          <a:gdLst/>
          <a:ahLst/>
          <a:cxnLst/>
          <a:rect l="0" t="0" r="0" b="0"/>
          <a:pathLst>
            <a:path>
              <a:moveTo>
                <a:pt x="0" y="0"/>
              </a:moveTo>
              <a:lnTo>
                <a:pt x="0" y="56724"/>
              </a:lnTo>
              <a:lnTo>
                <a:pt x="653676" y="56724"/>
              </a:lnTo>
              <a:lnTo>
                <a:pt x="653676"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D3FD84B-5362-4C62-AF42-8772B2A9B8F7}">
      <dsp:nvSpPr>
        <dsp:cNvPr id="0" name=""/>
        <dsp:cNvSpPr/>
      </dsp:nvSpPr>
      <dsp:spPr>
        <a:xfrm>
          <a:off x="2629852"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C5B2A49-AF59-48EA-B297-B574C6169DDB}">
      <dsp:nvSpPr>
        <dsp:cNvPr id="0" name=""/>
        <dsp:cNvSpPr/>
      </dsp:nvSpPr>
      <dsp:spPr>
        <a:xfrm>
          <a:off x="2629852"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AC65C22-F7BB-4EBF-9AA4-EE9C020FE9B0}">
      <dsp:nvSpPr>
        <dsp:cNvPr id="0" name=""/>
        <dsp:cNvSpPr/>
      </dsp:nvSpPr>
      <dsp:spPr>
        <a:xfrm>
          <a:off x="2629852"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3AA17879-C914-4581-9BBB-388E2912A16C}">
      <dsp:nvSpPr>
        <dsp:cNvPr id="0" name=""/>
        <dsp:cNvSpPr/>
      </dsp:nvSpPr>
      <dsp:spPr>
        <a:xfrm>
          <a:off x="2845943" y="1123094"/>
          <a:ext cx="91440" cy="113448"/>
        </a:xfrm>
        <a:custGeom>
          <a:avLst/>
          <a:gdLst/>
          <a:ahLst/>
          <a:cxnLst/>
          <a:rect l="0" t="0" r="0" b="0"/>
          <a:pathLst>
            <a:path>
              <a:moveTo>
                <a:pt x="45720" y="0"/>
              </a:moveTo>
              <a:lnTo>
                <a:pt x="4572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8E3623F-9221-495D-8B70-3F60784DAEC2}">
      <dsp:nvSpPr>
        <dsp:cNvPr id="0" name=""/>
        <dsp:cNvSpPr/>
      </dsp:nvSpPr>
      <dsp:spPr>
        <a:xfrm>
          <a:off x="1976175"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F388C55-8F26-4291-9A51-C70A6452512E}">
      <dsp:nvSpPr>
        <dsp:cNvPr id="0" name=""/>
        <dsp:cNvSpPr/>
      </dsp:nvSpPr>
      <dsp:spPr>
        <a:xfrm>
          <a:off x="1976175"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9CC0426-BE45-4223-A6F0-8D3A98884796}">
      <dsp:nvSpPr>
        <dsp:cNvPr id="0" name=""/>
        <dsp:cNvSpPr/>
      </dsp:nvSpPr>
      <dsp:spPr>
        <a:xfrm>
          <a:off x="1976175"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0B0ADA7-4514-4F5D-A013-1FF2AD6F611A}">
      <dsp:nvSpPr>
        <dsp:cNvPr id="0" name=""/>
        <dsp:cNvSpPr/>
      </dsp:nvSpPr>
      <dsp:spPr>
        <a:xfrm>
          <a:off x="2237987" y="1123094"/>
          <a:ext cx="653676" cy="113448"/>
        </a:xfrm>
        <a:custGeom>
          <a:avLst/>
          <a:gdLst/>
          <a:ahLst/>
          <a:cxnLst/>
          <a:rect l="0" t="0" r="0" b="0"/>
          <a:pathLst>
            <a:path>
              <a:moveTo>
                <a:pt x="653676" y="0"/>
              </a:moveTo>
              <a:lnTo>
                <a:pt x="653676" y="56724"/>
              </a:lnTo>
              <a:lnTo>
                <a:pt x="0" y="56724"/>
              </a:lnTo>
              <a:lnTo>
                <a:pt x="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B6A5882-2B2E-48C2-9723-A4A818CC6DB1}">
      <dsp:nvSpPr>
        <dsp:cNvPr id="0" name=""/>
        <dsp:cNvSpPr/>
      </dsp:nvSpPr>
      <dsp:spPr>
        <a:xfrm>
          <a:off x="2845943" y="739532"/>
          <a:ext cx="91440" cy="113448"/>
        </a:xfrm>
        <a:custGeom>
          <a:avLst/>
          <a:gdLst/>
          <a:ahLst/>
          <a:cxnLst/>
          <a:rect l="0" t="0" r="0" b="0"/>
          <a:pathLst>
            <a:path>
              <a:moveTo>
                <a:pt x="45720" y="0"/>
              </a:moveTo>
              <a:lnTo>
                <a:pt x="4572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71FC858-EAF1-4B68-9E08-F5D7C8FA313C}">
      <dsp:nvSpPr>
        <dsp:cNvPr id="0" name=""/>
        <dsp:cNvSpPr/>
      </dsp:nvSpPr>
      <dsp:spPr>
        <a:xfrm>
          <a:off x="1322499"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48466B2-76ED-46AB-9508-47B057357397}">
      <dsp:nvSpPr>
        <dsp:cNvPr id="0" name=""/>
        <dsp:cNvSpPr/>
      </dsp:nvSpPr>
      <dsp:spPr>
        <a:xfrm>
          <a:off x="1322499"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7D65219-A5C5-4B61-AEF3-07E184105F46}">
      <dsp:nvSpPr>
        <dsp:cNvPr id="0" name=""/>
        <dsp:cNvSpPr/>
      </dsp:nvSpPr>
      <dsp:spPr>
        <a:xfrm>
          <a:off x="1322499"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DA66AD9-8BF5-497B-A6A5-A04BF597FD7A}">
      <dsp:nvSpPr>
        <dsp:cNvPr id="0" name=""/>
        <dsp:cNvSpPr/>
      </dsp:nvSpPr>
      <dsp:spPr>
        <a:xfrm>
          <a:off x="930633" y="1123094"/>
          <a:ext cx="653676" cy="113448"/>
        </a:xfrm>
        <a:custGeom>
          <a:avLst/>
          <a:gdLst/>
          <a:ahLst/>
          <a:cxnLst/>
          <a:rect l="0" t="0" r="0" b="0"/>
          <a:pathLst>
            <a:path>
              <a:moveTo>
                <a:pt x="0" y="0"/>
              </a:moveTo>
              <a:lnTo>
                <a:pt x="0" y="56724"/>
              </a:lnTo>
              <a:lnTo>
                <a:pt x="653676" y="56724"/>
              </a:lnTo>
              <a:lnTo>
                <a:pt x="653676"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C096D07-183A-49F0-9532-E1053F71060F}">
      <dsp:nvSpPr>
        <dsp:cNvPr id="0" name=""/>
        <dsp:cNvSpPr/>
      </dsp:nvSpPr>
      <dsp:spPr>
        <a:xfrm>
          <a:off x="668822"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DB32151-A0A9-4E46-80FE-634AA75670D7}">
      <dsp:nvSpPr>
        <dsp:cNvPr id="0" name=""/>
        <dsp:cNvSpPr/>
      </dsp:nvSpPr>
      <dsp:spPr>
        <a:xfrm>
          <a:off x="668822"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30890395-E137-46A7-A44C-80516BD7A188}">
      <dsp:nvSpPr>
        <dsp:cNvPr id="0" name=""/>
        <dsp:cNvSpPr/>
      </dsp:nvSpPr>
      <dsp:spPr>
        <a:xfrm>
          <a:off x="668822"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9802AE4-EFCB-4650-AD3C-34C1CDC991AE}">
      <dsp:nvSpPr>
        <dsp:cNvPr id="0" name=""/>
        <dsp:cNvSpPr/>
      </dsp:nvSpPr>
      <dsp:spPr>
        <a:xfrm>
          <a:off x="884913" y="1123094"/>
          <a:ext cx="91440" cy="113448"/>
        </a:xfrm>
        <a:custGeom>
          <a:avLst/>
          <a:gdLst/>
          <a:ahLst/>
          <a:cxnLst/>
          <a:rect l="0" t="0" r="0" b="0"/>
          <a:pathLst>
            <a:path>
              <a:moveTo>
                <a:pt x="45720" y="0"/>
              </a:moveTo>
              <a:lnTo>
                <a:pt x="4572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AEEF72A-DACB-47E8-8AFC-3FC235E59E4A}">
      <dsp:nvSpPr>
        <dsp:cNvPr id="0" name=""/>
        <dsp:cNvSpPr/>
      </dsp:nvSpPr>
      <dsp:spPr>
        <a:xfrm>
          <a:off x="15145" y="1506657"/>
          <a:ext cx="91440" cy="1015629"/>
        </a:xfrm>
        <a:custGeom>
          <a:avLst/>
          <a:gdLst/>
          <a:ahLst/>
          <a:cxnLst/>
          <a:rect l="0" t="0" r="0" b="0"/>
          <a:pathLst>
            <a:path>
              <a:moveTo>
                <a:pt x="45720" y="0"/>
              </a:moveTo>
              <a:lnTo>
                <a:pt x="45720" y="1015629"/>
              </a:lnTo>
              <a:lnTo>
                <a:pt x="126754" y="101562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9F5C2C-CEE7-423F-8EEF-BA8A8528EA00}">
      <dsp:nvSpPr>
        <dsp:cNvPr id="0" name=""/>
        <dsp:cNvSpPr/>
      </dsp:nvSpPr>
      <dsp:spPr>
        <a:xfrm>
          <a:off x="15145" y="1506657"/>
          <a:ext cx="91440" cy="632067"/>
        </a:xfrm>
        <a:custGeom>
          <a:avLst/>
          <a:gdLst/>
          <a:ahLst/>
          <a:cxnLst/>
          <a:rect l="0" t="0" r="0" b="0"/>
          <a:pathLst>
            <a:path>
              <a:moveTo>
                <a:pt x="45720" y="0"/>
              </a:moveTo>
              <a:lnTo>
                <a:pt x="45720" y="632067"/>
              </a:lnTo>
              <a:lnTo>
                <a:pt x="126754" y="63206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AF1C2BB-D9CD-46E5-9DC1-C7CADCC353C5}">
      <dsp:nvSpPr>
        <dsp:cNvPr id="0" name=""/>
        <dsp:cNvSpPr/>
      </dsp:nvSpPr>
      <dsp:spPr>
        <a:xfrm>
          <a:off x="15145" y="1506657"/>
          <a:ext cx="91440" cy="248505"/>
        </a:xfrm>
        <a:custGeom>
          <a:avLst/>
          <a:gdLst/>
          <a:ahLst/>
          <a:cxnLst/>
          <a:rect l="0" t="0" r="0" b="0"/>
          <a:pathLst>
            <a:path>
              <a:moveTo>
                <a:pt x="45720" y="0"/>
              </a:moveTo>
              <a:lnTo>
                <a:pt x="45720" y="248505"/>
              </a:lnTo>
              <a:lnTo>
                <a:pt x="126754" y="24850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B419C15-658C-460B-8E6D-25F23CC0A168}">
      <dsp:nvSpPr>
        <dsp:cNvPr id="0" name=""/>
        <dsp:cNvSpPr/>
      </dsp:nvSpPr>
      <dsp:spPr>
        <a:xfrm>
          <a:off x="276957" y="1123094"/>
          <a:ext cx="653676" cy="113448"/>
        </a:xfrm>
        <a:custGeom>
          <a:avLst/>
          <a:gdLst/>
          <a:ahLst/>
          <a:cxnLst/>
          <a:rect l="0" t="0" r="0" b="0"/>
          <a:pathLst>
            <a:path>
              <a:moveTo>
                <a:pt x="653676" y="0"/>
              </a:moveTo>
              <a:lnTo>
                <a:pt x="653676" y="56724"/>
              </a:lnTo>
              <a:lnTo>
                <a:pt x="0" y="56724"/>
              </a:lnTo>
              <a:lnTo>
                <a:pt x="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84D39D-A914-45F8-9D27-4752C5209B20}">
      <dsp:nvSpPr>
        <dsp:cNvPr id="0" name=""/>
        <dsp:cNvSpPr/>
      </dsp:nvSpPr>
      <dsp:spPr>
        <a:xfrm>
          <a:off x="930633" y="739532"/>
          <a:ext cx="1961030" cy="113448"/>
        </a:xfrm>
        <a:custGeom>
          <a:avLst/>
          <a:gdLst/>
          <a:ahLst/>
          <a:cxnLst/>
          <a:rect l="0" t="0" r="0" b="0"/>
          <a:pathLst>
            <a:path>
              <a:moveTo>
                <a:pt x="1961030" y="0"/>
              </a:moveTo>
              <a:lnTo>
                <a:pt x="1961030" y="56724"/>
              </a:lnTo>
              <a:lnTo>
                <a:pt x="0" y="56724"/>
              </a:lnTo>
              <a:lnTo>
                <a:pt x="0" y="11344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A5EA0E6-0FFC-4C25-8BFB-379FE240D95E}">
      <dsp:nvSpPr>
        <dsp:cNvPr id="0" name=""/>
        <dsp:cNvSpPr/>
      </dsp:nvSpPr>
      <dsp:spPr>
        <a:xfrm>
          <a:off x="2891663" y="355970"/>
          <a:ext cx="2941545" cy="113448"/>
        </a:xfrm>
        <a:custGeom>
          <a:avLst/>
          <a:gdLst/>
          <a:ahLst/>
          <a:cxnLst/>
          <a:rect l="0" t="0" r="0" b="0"/>
          <a:pathLst>
            <a:path>
              <a:moveTo>
                <a:pt x="2941545" y="0"/>
              </a:moveTo>
              <a:lnTo>
                <a:pt x="2941545" y="56724"/>
              </a:lnTo>
              <a:lnTo>
                <a:pt x="0" y="56724"/>
              </a:lnTo>
              <a:lnTo>
                <a:pt x="0" y="113448"/>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F5C6106-DAA6-4813-B04F-4A6BFCBDFB41}">
      <dsp:nvSpPr>
        <dsp:cNvPr id="0" name=""/>
        <dsp:cNvSpPr/>
      </dsp:nvSpPr>
      <dsp:spPr>
        <a:xfrm>
          <a:off x="5563094" y="8585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Regiment</a:t>
          </a:r>
          <a:endParaRPr lang="ru-RU" sz="900" kern="1200"/>
        </a:p>
      </dsp:txBody>
      <dsp:txXfrm>
        <a:off x="5563094" y="85855"/>
        <a:ext cx="540228" cy="270114"/>
      </dsp:txXfrm>
    </dsp:sp>
    <dsp:sp modelId="{4FC9163F-818D-4FEB-A6B8-D497570FBB86}">
      <dsp:nvSpPr>
        <dsp:cNvPr id="0" name=""/>
        <dsp:cNvSpPr/>
      </dsp:nvSpPr>
      <dsp:spPr>
        <a:xfrm>
          <a:off x="2621549" y="469418"/>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Squadron</a:t>
          </a:r>
          <a:endParaRPr lang="ru-RU" sz="900" kern="1200"/>
        </a:p>
      </dsp:txBody>
      <dsp:txXfrm>
        <a:off x="2621549" y="469418"/>
        <a:ext cx="540228" cy="270114"/>
      </dsp:txXfrm>
    </dsp:sp>
    <dsp:sp modelId="{FC2D50F7-137F-410F-872D-7B63DF1EF388}">
      <dsp:nvSpPr>
        <dsp:cNvPr id="0" name=""/>
        <dsp:cNvSpPr/>
      </dsp:nvSpPr>
      <dsp:spPr>
        <a:xfrm>
          <a:off x="660519" y="852980"/>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Troop</a:t>
          </a:r>
        </a:p>
      </dsp:txBody>
      <dsp:txXfrm>
        <a:off x="660519" y="852980"/>
        <a:ext cx="540228" cy="270114"/>
      </dsp:txXfrm>
    </dsp:sp>
    <dsp:sp modelId="{4B8721A4-BB7E-4089-AA97-678B65835D75}">
      <dsp:nvSpPr>
        <dsp:cNvPr id="0" name=""/>
        <dsp:cNvSpPr/>
      </dsp:nvSpPr>
      <dsp:spPr>
        <a:xfrm>
          <a:off x="6842"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6842" y="1236542"/>
        <a:ext cx="540228" cy="270114"/>
      </dsp:txXfrm>
    </dsp:sp>
    <dsp:sp modelId="{6D16843C-181F-439C-A089-C4CB73874230}">
      <dsp:nvSpPr>
        <dsp:cNvPr id="0" name=""/>
        <dsp:cNvSpPr/>
      </dsp:nvSpPr>
      <dsp:spPr>
        <a:xfrm>
          <a:off x="141900"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141900" y="1620105"/>
        <a:ext cx="540228" cy="270114"/>
      </dsp:txXfrm>
    </dsp:sp>
    <dsp:sp modelId="{7CBAE40D-6F50-464C-BA60-28C5725F9B6D}">
      <dsp:nvSpPr>
        <dsp:cNvPr id="0" name=""/>
        <dsp:cNvSpPr/>
      </dsp:nvSpPr>
      <dsp:spPr>
        <a:xfrm>
          <a:off x="141900"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141900" y="2003667"/>
        <a:ext cx="540228" cy="270114"/>
      </dsp:txXfrm>
    </dsp:sp>
    <dsp:sp modelId="{80D59107-6804-44F1-8C67-47CD0CB32066}">
      <dsp:nvSpPr>
        <dsp:cNvPr id="0" name=""/>
        <dsp:cNvSpPr/>
      </dsp:nvSpPr>
      <dsp:spPr>
        <a:xfrm>
          <a:off x="141900"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141900" y="2387229"/>
        <a:ext cx="540228" cy="270114"/>
      </dsp:txXfrm>
    </dsp:sp>
    <dsp:sp modelId="{9EB75F2A-A7D2-4610-83B2-EE80E8016EE9}">
      <dsp:nvSpPr>
        <dsp:cNvPr id="0" name=""/>
        <dsp:cNvSpPr/>
      </dsp:nvSpPr>
      <dsp:spPr>
        <a:xfrm>
          <a:off x="660519"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660519" y="1236542"/>
        <a:ext cx="540228" cy="270114"/>
      </dsp:txXfrm>
    </dsp:sp>
    <dsp:sp modelId="{023555DD-FA7B-42AA-B472-DD5293330410}">
      <dsp:nvSpPr>
        <dsp:cNvPr id="0" name=""/>
        <dsp:cNvSpPr/>
      </dsp:nvSpPr>
      <dsp:spPr>
        <a:xfrm>
          <a:off x="795576"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p>
      </dsp:txBody>
      <dsp:txXfrm>
        <a:off x="795576" y="1620105"/>
        <a:ext cx="540228" cy="270114"/>
      </dsp:txXfrm>
    </dsp:sp>
    <dsp:sp modelId="{233975D0-50D5-4C77-B84B-292BA86270D3}">
      <dsp:nvSpPr>
        <dsp:cNvPr id="0" name=""/>
        <dsp:cNvSpPr/>
      </dsp:nvSpPr>
      <dsp:spPr>
        <a:xfrm>
          <a:off x="795576"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795576" y="2003667"/>
        <a:ext cx="540228" cy="270114"/>
      </dsp:txXfrm>
    </dsp:sp>
    <dsp:sp modelId="{4DD5A7B5-D316-4C83-A289-24088037425F}">
      <dsp:nvSpPr>
        <dsp:cNvPr id="0" name=""/>
        <dsp:cNvSpPr/>
      </dsp:nvSpPr>
      <dsp:spPr>
        <a:xfrm>
          <a:off x="795576"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795576" y="2387229"/>
        <a:ext cx="540228" cy="270114"/>
      </dsp:txXfrm>
    </dsp:sp>
    <dsp:sp modelId="{FA99CF7B-FA86-4A3E-8B92-AA6BF73D864D}">
      <dsp:nvSpPr>
        <dsp:cNvPr id="0" name=""/>
        <dsp:cNvSpPr/>
      </dsp:nvSpPr>
      <dsp:spPr>
        <a:xfrm>
          <a:off x="1314196"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1314196" y="1236542"/>
        <a:ext cx="540228" cy="270114"/>
      </dsp:txXfrm>
    </dsp:sp>
    <dsp:sp modelId="{B9803A68-B3EC-4770-AA98-5A888FC06D0F}">
      <dsp:nvSpPr>
        <dsp:cNvPr id="0" name=""/>
        <dsp:cNvSpPr/>
      </dsp:nvSpPr>
      <dsp:spPr>
        <a:xfrm>
          <a:off x="1449253"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1449253" y="1620105"/>
        <a:ext cx="540228" cy="270114"/>
      </dsp:txXfrm>
    </dsp:sp>
    <dsp:sp modelId="{0B38B8C5-00DD-4430-9FE0-5BBDB28DA3B4}">
      <dsp:nvSpPr>
        <dsp:cNvPr id="0" name=""/>
        <dsp:cNvSpPr/>
      </dsp:nvSpPr>
      <dsp:spPr>
        <a:xfrm>
          <a:off x="1449253"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1449253" y="2003667"/>
        <a:ext cx="540228" cy="270114"/>
      </dsp:txXfrm>
    </dsp:sp>
    <dsp:sp modelId="{C9BE0CCA-47F7-4020-B009-A5FFC8006110}">
      <dsp:nvSpPr>
        <dsp:cNvPr id="0" name=""/>
        <dsp:cNvSpPr/>
      </dsp:nvSpPr>
      <dsp:spPr>
        <a:xfrm>
          <a:off x="1449253"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p>
      </dsp:txBody>
      <dsp:txXfrm>
        <a:off x="1449253" y="2387229"/>
        <a:ext cx="540228" cy="270114"/>
      </dsp:txXfrm>
    </dsp:sp>
    <dsp:sp modelId="{298642DF-6598-46DE-8AE2-3D7740260D85}">
      <dsp:nvSpPr>
        <dsp:cNvPr id="0" name=""/>
        <dsp:cNvSpPr/>
      </dsp:nvSpPr>
      <dsp:spPr>
        <a:xfrm>
          <a:off x="2621549" y="852980"/>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Troop</a:t>
          </a:r>
          <a:endParaRPr lang="ru-RU" sz="900" kern="1200"/>
        </a:p>
      </dsp:txBody>
      <dsp:txXfrm>
        <a:off x="2621549" y="852980"/>
        <a:ext cx="540228" cy="270114"/>
      </dsp:txXfrm>
    </dsp:sp>
    <dsp:sp modelId="{6924E20D-25FE-4EB9-8E20-8B38008F4C4C}">
      <dsp:nvSpPr>
        <dsp:cNvPr id="0" name=""/>
        <dsp:cNvSpPr/>
      </dsp:nvSpPr>
      <dsp:spPr>
        <a:xfrm>
          <a:off x="1967872"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endParaRPr lang="ru-RU" sz="900" kern="1200"/>
        </a:p>
      </dsp:txBody>
      <dsp:txXfrm>
        <a:off x="1967872" y="1236542"/>
        <a:ext cx="540228" cy="270114"/>
      </dsp:txXfrm>
    </dsp:sp>
    <dsp:sp modelId="{76551651-8CF2-4241-86D6-E51AA52E72BB}">
      <dsp:nvSpPr>
        <dsp:cNvPr id="0" name=""/>
        <dsp:cNvSpPr/>
      </dsp:nvSpPr>
      <dsp:spPr>
        <a:xfrm>
          <a:off x="2102930"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2102930" y="1620105"/>
        <a:ext cx="540228" cy="270114"/>
      </dsp:txXfrm>
    </dsp:sp>
    <dsp:sp modelId="{E85E224A-B296-4E74-AEC2-805F556240A7}">
      <dsp:nvSpPr>
        <dsp:cNvPr id="0" name=""/>
        <dsp:cNvSpPr/>
      </dsp:nvSpPr>
      <dsp:spPr>
        <a:xfrm>
          <a:off x="2102930"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2102930" y="2003667"/>
        <a:ext cx="540228" cy="270114"/>
      </dsp:txXfrm>
    </dsp:sp>
    <dsp:sp modelId="{B7937A0F-8B63-4D05-B878-9731BCFD0FBA}">
      <dsp:nvSpPr>
        <dsp:cNvPr id="0" name=""/>
        <dsp:cNvSpPr/>
      </dsp:nvSpPr>
      <dsp:spPr>
        <a:xfrm>
          <a:off x="2102930"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2102930" y="2387229"/>
        <a:ext cx="540228" cy="270114"/>
      </dsp:txXfrm>
    </dsp:sp>
    <dsp:sp modelId="{6963A447-38F4-4D2B-8036-FC6851AC0783}">
      <dsp:nvSpPr>
        <dsp:cNvPr id="0" name=""/>
        <dsp:cNvSpPr/>
      </dsp:nvSpPr>
      <dsp:spPr>
        <a:xfrm>
          <a:off x="2621549"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2621549" y="1236542"/>
        <a:ext cx="540228" cy="270114"/>
      </dsp:txXfrm>
    </dsp:sp>
    <dsp:sp modelId="{802351DD-82B7-46DE-A769-F42615393AB5}">
      <dsp:nvSpPr>
        <dsp:cNvPr id="0" name=""/>
        <dsp:cNvSpPr/>
      </dsp:nvSpPr>
      <dsp:spPr>
        <a:xfrm>
          <a:off x="2756606"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p>
      </dsp:txBody>
      <dsp:txXfrm>
        <a:off x="2756606" y="1620105"/>
        <a:ext cx="540228" cy="270114"/>
      </dsp:txXfrm>
    </dsp:sp>
    <dsp:sp modelId="{366E6CFE-3494-467C-8E77-C3C2CC7D9F10}">
      <dsp:nvSpPr>
        <dsp:cNvPr id="0" name=""/>
        <dsp:cNvSpPr/>
      </dsp:nvSpPr>
      <dsp:spPr>
        <a:xfrm>
          <a:off x="2756606"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2756606" y="2003667"/>
        <a:ext cx="540228" cy="270114"/>
      </dsp:txXfrm>
    </dsp:sp>
    <dsp:sp modelId="{A9EC7FF8-F826-4A47-8314-1BDBBAF2B7CF}">
      <dsp:nvSpPr>
        <dsp:cNvPr id="0" name=""/>
        <dsp:cNvSpPr/>
      </dsp:nvSpPr>
      <dsp:spPr>
        <a:xfrm>
          <a:off x="2756606"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2756606" y="2387229"/>
        <a:ext cx="540228" cy="270114"/>
      </dsp:txXfrm>
    </dsp:sp>
    <dsp:sp modelId="{3619B705-A018-42CA-B14E-F71A5F6D1D35}">
      <dsp:nvSpPr>
        <dsp:cNvPr id="0" name=""/>
        <dsp:cNvSpPr/>
      </dsp:nvSpPr>
      <dsp:spPr>
        <a:xfrm>
          <a:off x="3275226"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3275226" y="1236542"/>
        <a:ext cx="540228" cy="270114"/>
      </dsp:txXfrm>
    </dsp:sp>
    <dsp:sp modelId="{28BC97AE-5FEF-426F-85DA-D2F6F585D96D}">
      <dsp:nvSpPr>
        <dsp:cNvPr id="0" name=""/>
        <dsp:cNvSpPr/>
      </dsp:nvSpPr>
      <dsp:spPr>
        <a:xfrm>
          <a:off x="3410283"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3410283" y="1620105"/>
        <a:ext cx="540228" cy="270114"/>
      </dsp:txXfrm>
    </dsp:sp>
    <dsp:sp modelId="{8F21FAFE-7B0C-4320-A01C-C630DF9FEB87}">
      <dsp:nvSpPr>
        <dsp:cNvPr id="0" name=""/>
        <dsp:cNvSpPr/>
      </dsp:nvSpPr>
      <dsp:spPr>
        <a:xfrm>
          <a:off x="3410283"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3410283" y="2003667"/>
        <a:ext cx="540228" cy="270114"/>
      </dsp:txXfrm>
    </dsp:sp>
    <dsp:sp modelId="{C0030FD4-83CB-4BF1-B5AB-72AAA436B7FF}">
      <dsp:nvSpPr>
        <dsp:cNvPr id="0" name=""/>
        <dsp:cNvSpPr/>
      </dsp:nvSpPr>
      <dsp:spPr>
        <a:xfrm>
          <a:off x="3410283"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3410283" y="2387229"/>
        <a:ext cx="540228" cy="270114"/>
      </dsp:txXfrm>
    </dsp:sp>
    <dsp:sp modelId="{8A2AE835-CBE3-48D9-B08C-DF86BF4E6895}">
      <dsp:nvSpPr>
        <dsp:cNvPr id="0" name=""/>
        <dsp:cNvSpPr/>
      </dsp:nvSpPr>
      <dsp:spPr>
        <a:xfrm>
          <a:off x="4582579" y="852980"/>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Troop</a:t>
          </a:r>
          <a:endParaRPr lang="ru-RU" sz="900" kern="1200"/>
        </a:p>
      </dsp:txBody>
      <dsp:txXfrm>
        <a:off x="4582579" y="852980"/>
        <a:ext cx="540228" cy="270114"/>
      </dsp:txXfrm>
    </dsp:sp>
    <dsp:sp modelId="{977A7031-CFAB-41CF-8B5D-89611399EB84}">
      <dsp:nvSpPr>
        <dsp:cNvPr id="0" name=""/>
        <dsp:cNvSpPr/>
      </dsp:nvSpPr>
      <dsp:spPr>
        <a:xfrm>
          <a:off x="3928902"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endParaRPr lang="ru-RU" sz="900" kern="1200"/>
        </a:p>
      </dsp:txBody>
      <dsp:txXfrm>
        <a:off x="3928902" y="1236542"/>
        <a:ext cx="540228" cy="270114"/>
      </dsp:txXfrm>
    </dsp:sp>
    <dsp:sp modelId="{FE6EDD3F-AA5B-4BAF-91A7-21973FA035CC}">
      <dsp:nvSpPr>
        <dsp:cNvPr id="0" name=""/>
        <dsp:cNvSpPr/>
      </dsp:nvSpPr>
      <dsp:spPr>
        <a:xfrm>
          <a:off x="4063960"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4063960" y="1620105"/>
        <a:ext cx="540228" cy="270114"/>
      </dsp:txXfrm>
    </dsp:sp>
    <dsp:sp modelId="{7611E691-936A-45D3-94BE-C7405602B970}">
      <dsp:nvSpPr>
        <dsp:cNvPr id="0" name=""/>
        <dsp:cNvSpPr/>
      </dsp:nvSpPr>
      <dsp:spPr>
        <a:xfrm>
          <a:off x="4063960"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4063960" y="2003667"/>
        <a:ext cx="540228" cy="270114"/>
      </dsp:txXfrm>
    </dsp:sp>
    <dsp:sp modelId="{803E7D20-7CB9-4D10-A3EF-C105BF6FD9CF}">
      <dsp:nvSpPr>
        <dsp:cNvPr id="0" name=""/>
        <dsp:cNvSpPr/>
      </dsp:nvSpPr>
      <dsp:spPr>
        <a:xfrm>
          <a:off x="4063960"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4063960" y="2387229"/>
        <a:ext cx="540228" cy="270114"/>
      </dsp:txXfrm>
    </dsp:sp>
    <dsp:sp modelId="{7F5D79C5-D9CF-41B4-B02E-4A350D09868D}">
      <dsp:nvSpPr>
        <dsp:cNvPr id="0" name=""/>
        <dsp:cNvSpPr/>
      </dsp:nvSpPr>
      <dsp:spPr>
        <a:xfrm>
          <a:off x="4582579"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4582579" y="1236542"/>
        <a:ext cx="540228" cy="270114"/>
      </dsp:txXfrm>
    </dsp:sp>
    <dsp:sp modelId="{E494FAAB-5079-4DFB-865F-57021C2221B3}">
      <dsp:nvSpPr>
        <dsp:cNvPr id="0" name=""/>
        <dsp:cNvSpPr/>
      </dsp:nvSpPr>
      <dsp:spPr>
        <a:xfrm>
          <a:off x="4717636"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p>
      </dsp:txBody>
      <dsp:txXfrm>
        <a:off x="4717636" y="1620105"/>
        <a:ext cx="540228" cy="270114"/>
      </dsp:txXfrm>
    </dsp:sp>
    <dsp:sp modelId="{312114D3-E5AD-40F0-AC45-9A8CE19AE9F2}">
      <dsp:nvSpPr>
        <dsp:cNvPr id="0" name=""/>
        <dsp:cNvSpPr/>
      </dsp:nvSpPr>
      <dsp:spPr>
        <a:xfrm>
          <a:off x="4717636"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4717636" y="2003667"/>
        <a:ext cx="540228" cy="270114"/>
      </dsp:txXfrm>
    </dsp:sp>
    <dsp:sp modelId="{2294BA43-0350-4EDF-B49E-18E9E41AD929}">
      <dsp:nvSpPr>
        <dsp:cNvPr id="0" name=""/>
        <dsp:cNvSpPr/>
      </dsp:nvSpPr>
      <dsp:spPr>
        <a:xfrm>
          <a:off x="4717636"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4717636" y="2387229"/>
        <a:ext cx="540228" cy="270114"/>
      </dsp:txXfrm>
    </dsp:sp>
    <dsp:sp modelId="{181EAA75-0067-4F86-A85E-EE55D0E50462}">
      <dsp:nvSpPr>
        <dsp:cNvPr id="0" name=""/>
        <dsp:cNvSpPr/>
      </dsp:nvSpPr>
      <dsp:spPr>
        <a:xfrm>
          <a:off x="5236256"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5236256" y="1236542"/>
        <a:ext cx="540228" cy="270114"/>
      </dsp:txXfrm>
    </dsp:sp>
    <dsp:sp modelId="{3E9461D6-BADC-419C-8CFB-49AC2E75AB50}">
      <dsp:nvSpPr>
        <dsp:cNvPr id="0" name=""/>
        <dsp:cNvSpPr/>
      </dsp:nvSpPr>
      <dsp:spPr>
        <a:xfrm>
          <a:off x="5371313"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5371313" y="1620105"/>
        <a:ext cx="540228" cy="270114"/>
      </dsp:txXfrm>
    </dsp:sp>
    <dsp:sp modelId="{619212CD-C2A4-475D-9AB7-C4528EB576C2}">
      <dsp:nvSpPr>
        <dsp:cNvPr id="0" name=""/>
        <dsp:cNvSpPr/>
      </dsp:nvSpPr>
      <dsp:spPr>
        <a:xfrm>
          <a:off x="5371313"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5371313" y="2003667"/>
        <a:ext cx="540228" cy="270114"/>
      </dsp:txXfrm>
    </dsp:sp>
    <dsp:sp modelId="{822E8CCF-2958-4C56-9FBC-EF69820F0ACC}">
      <dsp:nvSpPr>
        <dsp:cNvPr id="0" name=""/>
        <dsp:cNvSpPr/>
      </dsp:nvSpPr>
      <dsp:spPr>
        <a:xfrm>
          <a:off x="5371313"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5371313" y="2387229"/>
        <a:ext cx="540228" cy="270114"/>
      </dsp:txXfrm>
    </dsp:sp>
    <dsp:sp modelId="{95BD7773-FF0A-4D88-983F-E79D38248DFA}">
      <dsp:nvSpPr>
        <dsp:cNvPr id="0" name=""/>
        <dsp:cNvSpPr/>
      </dsp:nvSpPr>
      <dsp:spPr>
        <a:xfrm>
          <a:off x="8504639" y="469418"/>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Squadron</a:t>
          </a:r>
          <a:endParaRPr lang="ru-RU" sz="900" kern="1200"/>
        </a:p>
      </dsp:txBody>
      <dsp:txXfrm>
        <a:off x="8504639" y="469418"/>
        <a:ext cx="540228" cy="270114"/>
      </dsp:txXfrm>
    </dsp:sp>
    <dsp:sp modelId="{2A26043E-1200-42C3-B891-CC4E1CD2F661}">
      <dsp:nvSpPr>
        <dsp:cNvPr id="0" name=""/>
        <dsp:cNvSpPr/>
      </dsp:nvSpPr>
      <dsp:spPr>
        <a:xfrm>
          <a:off x="6543609" y="852980"/>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Troop</a:t>
          </a:r>
          <a:endParaRPr lang="ru-RU" sz="900" kern="1200"/>
        </a:p>
      </dsp:txBody>
      <dsp:txXfrm>
        <a:off x="6543609" y="852980"/>
        <a:ext cx="540228" cy="270114"/>
      </dsp:txXfrm>
    </dsp:sp>
    <dsp:sp modelId="{D0C71868-9975-47B5-9F17-4345280AC1E5}">
      <dsp:nvSpPr>
        <dsp:cNvPr id="0" name=""/>
        <dsp:cNvSpPr/>
      </dsp:nvSpPr>
      <dsp:spPr>
        <a:xfrm>
          <a:off x="5889932"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5889932" y="1236542"/>
        <a:ext cx="540228" cy="270114"/>
      </dsp:txXfrm>
    </dsp:sp>
    <dsp:sp modelId="{87882C02-E0DD-44C1-BFD6-1E3C54850E09}">
      <dsp:nvSpPr>
        <dsp:cNvPr id="0" name=""/>
        <dsp:cNvSpPr/>
      </dsp:nvSpPr>
      <dsp:spPr>
        <a:xfrm>
          <a:off x="6024990"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6024990" y="1620105"/>
        <a:ext cx="540228" cy="270114"/>
      </dsp:txXfrm>
    </dsp:sp>
    <dsp:sp modelId="{EE636212-E301-4E72-A651-4FA246C4D7FD}">
      <dsp:nvSpPr>
        <dsp:cNvPr id="0" name=""/>
        <dsp:cNvSpPr/>
      </dsp:nvSpPr>
      <dsp:spPr>
        <a:xfrm>
          <a:off x="6024990"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6024990" y="2003667"/>
        <a:ext cx="540228" cy="270114"/>
      </dsp:txXfrm>
    </dsp:sp>
    <dsp:sp modelId="{F752DC40-7B6E-44C1-A38A-94A2058E5BA7}">
      <dsp:nvSpPr>
        <dsp:cNvPr id="0" name=""/>
        <dsp:cNvSpPr/>
      </dsp:nvSpPr>
      <dsp:spPr>
        <a:xfrm>
          <a:off x="6024990"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6024990" y="2387229"/>
        <a:ext cx="540228" cy="270114"/>
      </dsp:txXfrm>
    </dsp:sp>
    <dsp:sp modelId="{DFBFB404-0D2D-4627-B0D7-4FB63471431F}">
      <dsp:nvSpPr>
        <dsp:cNvPr id="0" name=""/>
        <dsp:cNvSpPr/>
      </dsp:nvSpPr>
      <dsp:spPr>
        <a:xfrm>
          <a:off x="6543609"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6543609" y="1236542"/>
        <a:ext cx="540228" cy="270114"/>
      </dsp:txXfrm>
    </dsp:sp>
    <dsp:sp modelId="{84D2B172-B1E7-4A16-919E-63A72442E121}">
      <dsp:nvSpPr>
        <dsp:cNvPr id="0" name=""/>
        <dsp:cNvSpPr/>
      </dsp:nvSpPr>
      <dsp:spPr>
        <a:xfrm>
          <a:off x="6678666"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p>
      </dsp:txBody>
      <dsp:txXfrm>
        <a:off x="6678666" y="1620105"/>
        <a:ext cx="540228" cy="270114"/>
      </dsp:txXfrm>
    </dsp:sp>
    <dsp:sp modelId="{CD166102-5550-412E-9845-76D57E0D6481}">
      <dsp:nvSpPr>
        <dsp:cNvPr id="0" name=""/>
        <dsp:cNvSpPr/>
      </dsp:nvSpPr>
      <dsp:spPr>
        <a:xfrm>
          <a:off x="6678666"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6678666" y="2003667"/>
        <a:ext cx="540228" cy="270114"/>
      </dsp:txXfrm>
    </dsp:sp>
    <dsp:sp modelId="{049852A8-94EA-406A-A4A5-C348CF12A5FC}">
      <dsp:nvSpPr>
        <dsp:cNvPr id="0" name=""/>
        <dsp:cNvSpPr/>
      </dsp:nvSpPr>
      <dsp:spPr>
        <a:xfrm>
          <a:off x="6678666"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6678666" y="2387229"/>
        <a:ext cx="540228" cy="270114"/>
      </dsp:txXfrm>
    </dsp:sp>
    <dsp:sp modelId="{B4C86F6D-F3EE-4147-A06A-643F9BFC18C7}">
      <dsp:nvSpPr>
        <dsp:cNvPr id="0" name=""/>
        <dsp:cNvSpPr/>
      </dsp:nvSpPr>
      <dsp:spPr>
        <a:xfrm>
          <a:off x="7197286"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7197286" y="1236542"/>
        <a:ext cx="540228" cy="270114"/>
      </dsp:txXfrm>
    </dsp:sp>
    <dsp:sp modelId="{8244F71B-B85E-4709-BD94-0ABBFB562FFC}">
      <dsp:nvSpPr>
        <dsp:cNvPr id="0" name=""/>
        <dsp:cNvSpPr/>
      </dsp:nvSpPr>
      <dsp:spPr>
        <a:xfrm>
          <a:off x="7332343"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7332343" y="1620105"/>
        <a:ext cx="540228" cy="270114"/>
      </dsp:txXfrm>
    </dsp:sp>
    <dsp:sp modelId="{61571800-0A8D-4FC4-8D8D-547C885DB07E}">
      <dsp:nvSpPr>
        <dsp:cNvPr id="0" name=""/>
        <dsp:cNvSpPr/>
      </dsp:nvSpPr>
      <dsp:spPr>
        <a:xfrm>
          <a:off x="7332343"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7332343" y="2003667"/>
        <a:ext cx="540228" cy="270114"/>
      </dsp:txXfrm>
    </dsp:sp>
    <dsp:sp modelId="{368FB3DE-A623-4884-AA7E-90E551597398}">
      <dsp:nvSpPr>
        <dsp:cNvPr id="0" name=""/>
        <dsp:cNvSpPr/>
      </dsp:nvSpPr>
      <dsp:spPr>
        <a:xfrm>
          <a:off x="7332343"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p>
      </dsp:txBody>
      <dsp:txXfrm>
        <a:off x="7332343" y="2387229"/>
        <a:ext cx="540228" cy="270114"/>
      </dsp:txXfrm>
    </dsp:sp>
    <dsp:sp modelId="{081DE242-B243-4BEE-A2EF-F43AE0C5B242}">
      <dsp:nvSpPr>
        <dsp:cNvPr id="0" name=""/>
        <dsp:cNvSpPr/>
      </dsp:nvSpPr>
      <dsp:spPr>
        <a:xfrm>
          <a:off x="8504639" y="852980"/>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Troop</a:t>
          </a:r>
          <a:endParaRPr lang="ru-RU" sz="900" kern="1200"/>
        </a:p>
      </dsp:txBody>
      <dsp:txXfrm>
        <a:off x="8504639" y="852980"/>
        <a:ext cx="540228" cy="270114"/>
      </dsp:txXfrm>
    </dsp:sp>
    <dsp:sp modelId="{7CF15005-9BB4-4F6C-A5C5-7EE8E1F18C04}">
      <dsp:nvSpPr>
        <dsp:cNvPr id="0" name=""/>
        <dsp:cNvSpPr/>
      </dsp:nvSpPr>
      <dsp:spPr>
        <a:xfrm>
          <a:off x="7850962"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endParaRPr lang="ru-RU" sz="900" kern="1200"/>
        </a:p>
      </dsp:txBody>
      <dsp:txXfrm>
        <a:off x="7850962" y="1236542"/>
        <a:ext cx="540228" cy="270114"/>
      </dsp:txXfrm>
    </dsp:sp>
    <dsp:sp modelId="{39AEE0EC-0C8A-401D-8E43-4EA5285EF20E}">
      <dsp:nvSpPr>
        <dsp:cNvPr id="0" name=""/>
        <dsp:cNvSpPr/>
      </dsp:nvSpPr>
      <dsp:spPr>
        <a:xfrm>
          <a:off x="7986020"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7986020" y="1620105"/>
        <a:ext cx="540228" cy="270114"/>
      </dsp:txXfrm>
    </dsp:sp>
    <dsp:sp modelId="{894C4110-F916-4DF2-B14B-DF032E7E5027}">
      <dsp:nvSpPr>
        <dsp:cNvPr id="0" name=""/>
        <dsp:cNvSpPr/>
      </dsp:nvSpPr>
      <dsp:spPr>
        <a:xfrm>
          <a:off x="7986020"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7986020" y="2003667"/>
        <a:ext cx="540228" cy="270114"/>
      </dsp:txXfrm>
    </dsp:sp>
    <dsp:sp modelId="{00A20F84-DF18-4292-B27E-A9895C81FD8D}">
      <dsp:nvSpPr>
        <dsp:cNvPr id="0" name=""/>
        <dsp:cNvSpPr/>
      </dsp:nvSpPr>
      <dsp:spPr>
        <a:xfrm>
          <a:off x="7986020"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7986020" y="2387229"/>
        <a:ext cx="540228" cy="270114"/>
      </dsp:txXfrm>
    </dsp:sp>
    <dsp:sp modelId="{DB5A78A6-1F51-432B-9904-B8D6C62EA366}">
      <dsp:nvSpPr>
        <dsp:cNvPr id="0" name=""/>
        <dsp:cNvSpPr/>
      </dsp:nvSpPr>
      <dsp:spPr>
        <a:xfrm>
          <a:off x="8504639"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8504639" y="1236542"/>
        <a:ext cx="540228" cy="270114"/>
      </dsp:txXfrm>
    </dsp:sp>
    <dsp:sp modelId="{EFAD5058-4D50-47F4-B83A-9F3F3E1558AA}">
      <dsp:nvSpPr>
        <dsp:cNvPr id="0" name=""/>
        <dsp:cNvSpPr/>
      </dsp:nvSpPr>
      <dsp:spPr>
        <a:xfrm>
          <a:off x="8639696"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p>
      </dsp:txBody>
      <dsp:txXfrm>
        <a:off x="8639696" y="1620105"/>
        <a:ext cx="540228" cy="270114"/>
      </dsp:txXfrm>
    </dsp:sp>
    <dsp:sp modelId="{8B1EE9E8-4AA4-4299-B52C-B2A5137493E8}">
      <dsp:nvSpPr>
        <dsp:cNvPr id="0" name=""/>
        <dsp:cNvSpPr/>
      </dsp:nvSpPr>
      <dsp:spPr>
        <a:xfrm>
          <a:off x="8639696"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8639696" y="2003667"/>
        <a:ext cx="540228" cy="270114"/>
      </dsp:txXfrm>
    </dsp:sp>
    <dsp:sp modelId="{B93F9006-3CBE-475A-ACC6-BC0CCA77ADCD}">
      <dsp:nvSpPr>
        <dsp:cNvPr id="0" name=""/>
        <dsp:cNvSpPr/>
      </dsp:nvSpPr>
      <dsp:spPr>
        <a:xfrm>
          <a:off x="8639696"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8639696" y="2387229"/>
        <a:ext cx="540228" cy="270114"/>
      </dsp:txXfrm>
    </dsp:sp>
    <dsp:sp modelId="{4A90E2EC-7D16-442E-91A0-FD526A49AD5F}">
      <dsp:nvSpPr>
        <dsp:cNvPr id="0" name=""/>
        <dsp:cNvSpPr/>
      </dsp:nvSpPr>
      <dsp:spPr>
        <a:xfrm>
          <a:off x="9158316"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9158316" y="1236542"/>
        <a:ext cx="540228" cy="270114"/>
      </dsp:txXfrm>
    </dsp:sp>
    <dsp:sp modelId="{A548E1CE-63B5-4A32-BFE5-440930FDB850}">
      <dsp:nvSpPr>
        <dsp:cNvPr id="0" name=""/>
        <dsp:cNvSpPr/>
      </dsp:nvSpPr>
      <dsp:spPr>
        <a:xfrm>
          <a:off x="9293373"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9293373" y="1620105"/>
        <a:ext cx="540228" cy="270114"/>
      </dsp:txXfrm>
    </dsp:sp>
    <dsp:sp modelId="{39F005E2-7BA7-404E-B2C7-DBE1CCAE84A5}">
      <dsp:nvSpPr>
        <dsp:cNvPr id="0" name=""/>
        <dsp:cNvSpPr/>
      </dsp:nvSpPr>
      <dsp:spPr>
        <a:xfrm>
          <a:off x="9293373"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9293373" y="2003667"/>
        <a:ext cx="540228" cy="270114"/>
      </dsp:txXfrm>
    </dsp:sp>
    <dsp:sp modelId="{13F1099B-618A-48EF-8AE3-3F23152370A7}">
      <dsp:nvSpPr>
        <dsp:cNvPr id="0" name=""/>
        <dsp:cNvSpPr/>
      </dsp:nvSpPr>
      <dsp:spPr>
        <a:xfrm>
          <a:off x="9293373"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9293373" y="2387229"/>
        <a:ext cx="540228" cy="270114"/>
      </dsp:txXfrm>
    </dsp:sp>
    <dsp:sp modelId="{9E607834-BF76-46AA-ADC1-9B2951BB8EC8}">
      <dsp:nvSpPr>
        <dsp:cNvPr id="0" name=""/>
        <dsp:cNvSpPr/>
      </dsp:nvSpPr>
      <dsp:spPr>
        <a:xfrm>
          <a:off x="10465669" y="852980"/>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Troop</a:t>
          </a:r>
          <a:endParaRPr lang="ru-RU" sz="900" kern="1200"/>
        </a:p>
      </dsp:txBody>
      <dsp:txXfrm>
        <a:off x="10465669" y="852980"/>
        <a:ext cx="540228" cy="270114"/>
      </dsp:txXfrm>
    </dsp:sp>
    <dsp:sp modelId="{D73A272B-C984-4994-A87E-6072AC81FADC}">
      <dsp:nvSpPr>
        <dsp:cNvPr id="0" name=""/>
        <dsp:cNvSpPr/>
      </dsp:nvSpPr>
      <dsp:spPr>
        <a:xfrm>
          <a:off x="9811992"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endParaRPr lang="ru-RU" sz="900" kern="1200"/>
        </a:p>
      </dsp:txBody>
      <dsp:txXfrm>
        <a:off x="9811992" y="1236542"/>
        <a:ext cx="540228" cy="270114"/>
      </dsp:txXfrm>
    </dsp:sp>
    <dsp:sp modelId="{0C2C89EC-E878-4839-8364-01FD324FA024}">
      <dsp:nvSpPr>
        <dsp:cNvPr id="0" name=""/>
        <dsp:cNvSpPr/>
      </dsp:nvSpPr>
      <dsp:spPr>
        <a:xfrm>
          <a:off x="9947050"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9947050" y="1620105"/>
        <a:ext cx="540228" cy="270114"/>
      </dsp:txXfrm>
    </dsp:sp>
    <dsp:sp modelId="{6C205F5D-3437-4B08-B3E7-A473277808F5}">
      <dsp:nvSpPr>
        <dsp:cNvPr id="0" name=""/>
        <dsp:cNvSpPr/>
      </dsp:nvSpPr>
      <dsp:spPr>
        <a:xfrm>
          <a:off x="9947050"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9947050" y="2003667"/>
        <a:ext cx="540228" cy="270114"/>
      </dsp:txXfrm>
    </dsp:sp>
    <dsp:sp modelId="{25960CE6-FA34-45F0-9C59-706F7DDB20AF}">
      <dsp:nvSpPr>
        <dsp:cNvPr id="0" name=""/>
        <dsp:cNvSpPr/>
      </dsp:nvSpPr>
      <dsp:spPr>
        <a:xfrm>
          <a:off x="9947050"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9947050" y="2387229"/>
        <a:ext cx="540228" cy="270114"/>
      </dsp:txXfrm>
    </dsp:sp>
    <dsp:sp modelId="{8A6CE794-AD75-4953-A656-61142A7BB3AB}">
      <dsp:nvSpPr>
        <dsp:cNvPr id="0" name=""/>
        <dsp:cNvSpPr/>
      </dsp:nvSpPr>
      <dsp:spPr>
        <a:xfrm>
          <a:off x="10465669"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10465669" y="1236542"/>
        <a:ext cx="540228" cy="270114"/>
      </dsp:txXfrm>
    </dsp:sp>
    <dsp:sp modelId="{1AD6C78B-E3A9-4476-9D1A-F6DB79DEC553}">
      <dsp:nvSpPr>
        <dsp:cNvPr id="0" name=""/>
        <dsp:cNvSpPr/>
      </dsp:nvSpPr>
      <dsp:spPr>
        <a:xfrm>
          <a:off x="10600726"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p>
      </dsp:txBody>
      <dsp:txXfrm>
        <a:off x="10600726" y="1620105"/>
        <a:ext cx="540228" cy="270114"/>
      </dsp:txXfrm>
    </dsp:sp>
    <dsp:sp modelId="{62A8A185-E0B0-4960-ABAE-4BF4B19DCECD}">
      <dsp:nvSpPr>
        <dsp:cNvPr id="0" name=""/>
        <dsp:cNvSpPr/>
      </dsp:nvSpPr>
      <dsp:spPr>
        <a:xfrm>
          <a:off x="10600726"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10600726" y="2003667"/>
        <a:ext cx="540228" cy="270114"/>
      </dsp:txXfrm>
    </dsp:sp>
    <dsp:sp modelId="{AC29D5D2-2BC2-4328-8C86-803487281B55}">
      <dsp:nvSpPr>
        <dsp:cNvPr id="0" name=""/>
        <dsp:cNvSpPr/>
      </dsp:nvSpPr>
      <dsp:spPr>
        <a:xfrm>
          <a:off x="10600726"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10600726" y="2387229"/>
        <a:ext cx="540228" cy="270114"/>
      </dsp:txXfrm>
    </dsp:sp>
    <dsp:sp modelId="{71219005-0142-46A4-9435-188B1AC29646}">
      <dsp:nvSpPr>
        <dsp:cNvPr id="0" name=""/>
        <dsp:cNvSpPr/>
      </dsp:nvSpPr>
      <dsp:spPr>
        <a:xfrm>
          <a:off x="11119346" y="1236542"/>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Lance</a:t>
          </a:r>
        </a:p>
      </dsp:txBody>
      <dsp:txXfrm>
        <a:off x="11119346" y="1236542"/>
        <a:ext cx="540228" cy="270114"/>
      </dsp:txXfrm>
    </dsp:sp>
    <dsp:sp modelId="{8186C304-503F-45FF-80CA-F0821C57BE5D}">
      <dsp:nvSpPr>
        <dsp:cNvPr id="0" name=""/>
        <dsp:cNvSpPr/>
      </dsp:nvSpPr>
      <dsp:spPr>
        <a:xfrm>
          <a:off x="11254403" y="1620105"/>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11254403" y="1620105"/>
        <a:ext cx="540228" cy="270114"/>
      </dsp:txXfrm>
    </dsp:sp>
    <dsp:sp modelId="{02F3F345-16C5-45D8-8AF4-75810F5C7F58}">
      <dsp:nvSpPr>
        <dsp:cNvPr id="0" name=""/>
        <dsp:cNvSpPr/>
      </dsp:nvSpPr>
      <dsp:spPr>
        <a:xfrm>
          <a:off x="11254403" y="2003667"/>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11254403" y="2003667"/>
        <a:ext cx="540228" cy="270114"/>
      </dsp:txXfrm>
    </dsp:sp>
    <dsp:sp modelId="{94B61BB1-CB94-469F-9B79-36D99C81C1F1}">
      <dsp:nvSpPr>
        <dsp:cNvPr id="0" name=""/>
        <dsp:cNvSpPr/>
      </dsp:nvSpPr>
      <dsp:spPr>
        <a:xfrm>
          <a:off x="11254403" y="2387229"/>
          <a:ext cx="540228" cy="27011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a:t>Ride</a:t>
          </a:r>
          <a:endParaRPr lang="ru-RU" sz="900" kern="1200"/>
        </a:p>
      </dsp:txBody>
      <dsp:txXfrm>
        <a:off x="11254403" y="2387229"/>
        <a:ext cx="540228" cy="2701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0859264-FFF4-4E6D-B784-EE4FEA356548}">
      <dsp:nvSpPr>
        <dsp:cNvPr id="0" name=""/>
        <dsp:cNvSpPr/>
      </dsp:nvSpPr>
      <dsp:spPr>
        <a:xfrm>
          <a:off x="10874635" y="2792173"/>
          <a:ext cx="159234" cy="1242027"/>
        </a:xfrm>
        <a:custGeom>
          <a:avLst/>
          <a:gdLst/>
          <a:ahLst/>
          <a:cxnLst/>
          <a:rect l="0" t="0" r="0" b="0"/>
          <a:pathLst>
            <a:path>
              <a:moveTo>
                <a:pt x="0" y="0"/>
              </a:moveTo>
              <a:lnTo>
                <a:pt x="0" y="1242027"/>
              </a:lnTo>
              <a:lnTo>
                <a:pt x="159234" y="12420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418710F-22BB-4836-900B-8A89E45AD6B4}">
      <dsp:nvSpPr>
        <dsp:cNvPr id="0" name=""/>
        <dsp:cNvSpPr/>
      </dsp:nvSpPr>
      <dsp:spPr>
        <a:xfrm>
          <a:off x="10874635" y="2792173"/>
          <a:ext cx="159234" cy="488318"/>
        </a:xfrm>
        <a:custGeom>
          <a:avLst/>
          <a:gdLst/>
          <a:ahLst/>
          <a:cxnLst/>
          <a:rect l="0" t="0" r="0" b="0"/>
          <a:pathLst>
            <a:path>
              <a:moveTo>
                <a:pt x="0" y="0"/>
              </a:moveTo>
              <a:lnTo>
                <a:pt x="0" y="488318"/>
              </a:lnTo>
              <a:lnTo>
                <a:pt x="159234" y="48831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5FD16DD-8D75-427F-A777-8178DDC22B12}">
      <dsp:nvSpPr>
        <dsp:cNvPr id="0" name=""/>
        <dsp:cNvSpPr/>
      </dsp:nvSpPr>
      <dsp:spPr>
        <a:xfrm>
          <a:off x="10657014" y="2038464"/>
          <a:ext cx="642244" cy="222927"/>
        </a:xfrm>
        <a:custGeom>
          <a:avLst/>
          <a:gdLst/>
          <a:ahLst/>
          <a:cxnLst/>
          <a:rect l="0" t="0" r="0" b="0"/>
          <a:pathLst>
            <a:path>
              <a:moveTo>
                <a:pt x="0" y="0"/>
              </a:moveTo>
              <a:lnTo>
                <a:pt x="0" y="111463"/>
              </a:lnTo>
              <a:lnTo>
                <a:pt x="642244" y="111463"/>
              </a:lnTo>
              <a:lnTo>
                <a:pt x="642244" y="2229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DA8173B-D2A0-42C4-9E7C-FF03844F4D12}">
      <dsp:nvSpPr>
        <dsp:cNvPr id="0" name=""/>
        <dsp:cNvSpPr/>
      </dsp:nvSpPr>
      <dsp:spPr>
        <a:xfrm>
          <a:off x="9590145" y="2792173"/>
          <a:ext cx="159234" cy="1242027"/>
        </a:xfrm>
        <a:custGeom>
          <a:avLst/>
          <a:gdLst/>
          <a:ahLst/>
          <a:cxnLst/>
          <a:rect l="0" t="0" r="0" b="0"/>
          <a:pathLst>
            <a:path>
              <a:moveTo>
                <a:pt x="0" y="0"/>
              </a:moveTo>
              <a:lnTo>
                <a:pt x="0" y="1242027"/>
              </a:lnTo>
              <a:lnTo>
                <a:pt x="159234" y="12420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36944F8-B889-44C6-AD73-135CA00E8F70}">
      <dsp:nvSpPr>
        <dsp:cNvPr id="0" name=""/>
        <dsp:cNvSpPr/>
      </dsp:nvSpPr>
      <dsp:spPr>
        <a:xfrm>
          <a:off x="9590145" y="2792173"/>
          <a:ext cx="159234" cy="488318"/>
        </a:xfrm>
        <a:custGeom>
          <a:avLst/>
          <a:gdLst/>
          <a:ahLst/>
          <a:cxnLst/>
          <a:rect l="0" t="0" r="0" b="0"/>
          <a:pathLst>
            <a:path>
              <a:moveTo>
                <a:pt x="0" y="0"/>
              </a:moveTo>
              <a:lnTo>
                <a:pt x="0" y="488318"/>
              </a:lnTo>
              <a:lnTo>
                <a:pt x="159234" y="48831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FF0F3E5-56BF-4200-8D6A-D7984CF2CADA}">
      <dsp:nvSpPr>
        <dsp:cNvPr id="0" name=""/>
        <dsp:cNvSpPr/>
      </dsp:nvSpPr>
      <dsp:spPr>
        <a:xfrm>
          <a:off x="10014770" y="2038464"/>
          <a:ext cx="642244" cy="222927"/>
        </a:xfrm>
        <a:custGeom>
          <a:avLst/>
          <a:gdLst/>
          <a:ahLst/>
          <a:cxnLst/>
          <a:rect l="0" t="0" r="0" b="0"/>
          <a:pathLst>
            <a:path>
              <a:moveTo>
                <a:pt x="642244" y="0"/>
              </a:moveTo>
              <a:lnTo>
                <a:pt x="642244" y="111463"/>
              </a:lnTo>
              <a:lnTo>
                <a:pt x="0" y="111463"/>
              </a:lnTo>
              <a:lnTo>
                <a:pt x="0" y="2229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94F1C93-1557-48FD-94C5-A48AB566B524}">
      <dsp:nvSpPr>
        <dsp:cNvPr id="0" name=""/>
        <dsp:cNvSpPr/>
      </dsp:nvSpPr>
      <dsp:spPr>
        <a:xfrm>
          <a:off x="9372525" y="1284755"/>
          <a:ext cx="1284489" cy="222927"/>
        </a:xfrm>
        <a:custGeom>
          <a:avLst/>
          <a:gdLst/>
          <a:ahLst/>
          <a:cxnLst/>
          <a:rect l="0" t="0" r="0" b="0"/>
          <a:pathLst>
            <a:path>
              <a:moveTo>
                <a:pt x="0" y="0"/>
              </a:moveTo>
              <a:lnTo>
                <a:pt x="0" y="111463"/>
              </a:lnTo>
              <a:lnTo>
                <a:pt x="1284489" y="111463"/>
              </a:lnTo>
              <a:lnTo>
                <a:pt x="1284489" y="2229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A74D324-F41F-4DB4-8A73-25441A65D105}">
      <dsp:nvSpPr>
        <dsp:cNvPr id="0" name=""/>
        <dsp:cNvSpPr/>
      </dsp:nvSpPr>
      <dsp:spPr>
        <a:xfrm>
          <a:off x="8305655" y="2792173"/>
          <a:ext cx="159234" cy="1242027"/>
        </a:xfrm>
        <a:custGeom>
          <a:avLst/>
          <a:gdLst/>
          <a:ahLst/>
          <a:cxnLst/>
          <a:rect l="0" t="0" r="0" b="0"/>
          <a:pathLst>
            <a:path>
              <a:moveTo>
                <a:pt x="0" y="0"/>
              </a:moveTo>
              <a:lnTo>
                <a:pt x="0" y="1242027"/>
              </a:lnTo>
              <a:lnTo>
                <a:pt x="159234" y="12420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E3FA763-3C0F-4A22-9432-BA8E8B72553F}">
      <dsp:nvSpPr>
        <dsp:cNvPr id="0" name=""/>
        <dsp:cNvSpPr/>
      </dsp:nvSpPr>
      <dsp:spPr>
        <a:xfrm>
          <a:off x="8305655" y="2792173"/>
          <a:ext cx="159234" cy="488318"/>
        </a:xfrm>
        <a:custGeom>
          <a:avLst/>
          <a:gdLst/>
          <a:ahLst/>
          <a:cxnLst/>
          <a:rect l="0" t="0" r="0" b="0"/>
          <a:pathLst>
            <a:path>
              <a:moveTo>
                <a:pt x="0" y="0"/>
              </a:moveTo>
              <a:lnTo>
                <a:pt x="0" y="488318"/>
              </a:lnTo>
              <a:lnTo>
                <a:pt x="159234" y="48831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A28C576-E353-4D87-8CF7-B3B4A8516FC5}">
      <dsp:nvSpPr>
        <dsp:cNvPr id="0" name=""/>
        <dsp:cNvSpPr/>
      </dsp:nvSpPr>
      <dsp:spPr>
        <a:xfrm>
          <a:off x="8088035" y="2038464"/>
          <a:ext cx="642244" cy="222927"/>
        </a:xfrm>
        <a:custGeom>
          <a:avLst/>
          <a:gdLst/>
          <a:ahLst/>
          <a:cxnLst/>
          <a:rect l="0" t="0" r="0" b="0"/>
          <a:pathLst>
            <a:path>
              <a:moveTo>
                <a:pt x="0" y="0"/>
              </a:moveTo>
              <a:lnTo>
                <a:pt x="0" y="111463"/>
              </a:lnTo>
              <a:lnTo>
                <a:pt x="642244" y="111463"/>
              </a:lnTo>
              <a:lnTo>
                <a:pt x="642244" y="2229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1A736EA-532B-4461-B6ED-D5D89334380B}">
      <dsp:nvSpPr>
        <dsp:cNvPr id="0" name=""/>
        <dsp:cNvSpPr/>
      </dsp:nvSpPr>
      <dsp:spPr>
        <a:xfrm>
          <a:off x="7021166" y="2792173"/>
          <a:ext cx="159234" cy="1242027"/>
        </a:xfrm>
        <a:custGeom>
          <a:avLst/>
          <a:gdLst/>
          <a:ahLst/>
          <a:cxnLst/>
          <a:rect l="0" t="0" r="0" b="0"/>
          <a:pathLst>
            <a:path>
              <a:moveTo>
                <a:pt x="0" y="0"/>
              </a:moveTo>
              <a:lnTo>
                <a:pt x="0" y="1242027"/>
              </a:lnTo>
              <a:lnTo>
                <a:pt x="159234" y="12420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3C24304D-24B9-4776-970B-63CD1E3B1060}">
      <dsp:nvSpPr>
        <dsp:cNvPr id="0" name=""/>
        <dsp:cNvSpPr/>
      </dsp:nvSpPr>
      <dsp:spPr>
        <a:xfrm>
          <a:off x="7021166" y="2792173"/>
          <a:ext cx="159234" cy="488318"/>
        </a:xfrm>
        <a:custGeom>
          <a:avLst/>
          <a:gdLst/>
          <a:ahLst/>
          <a:cxnLst/>
          <a:rect l="0" t="0" r="0" b="0"/>
          <a:pathLst>
            <a:path>
              <a:moveTo>
                <a:pt x="0" y="0"/>
              </a:moveTo>
              <a:lnTo>
                <a:pt x="0" y="488318"/>
              </a:lnTo>
              <a:lnTo>
                <a:pt x="159234" y="48831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7066E8C-909C-49F7-8B48-3BFD71DF7979}">
      <dsp:nvSpPr>
        <dsp:cNvPr id="0" name=""/>
        <dsp:cNvSpPr/>
      </dsp:nvSpPr>
      <dsp:spPr>
        <a:xfrm>
          <a:off x="7445791" y="2038464"/>
          <a:ext cx="642244" cy="222927"/>
        </a:xfrm>
        <a:custGeom>
          <a:avLst/>
          <a:gdLst/>
          <a:ahLst/>
          <a:cxnLst/>
          <a:rect l="0" t="0" r="0" b="0"/>
          <a:pathLst>
            <a:path>
              <a:moveTo>
                <a:pt x="642244" y="0"/>
              </a:moveTo>
              <a:lnTo>
                <a:pt x="642244" y="111463"/>
              </a:lnTo>
              <a:lnTo>
                <a:pt x="0" y="111463"/>
              </a:lnTo>
              <a:lnTo>
                <a:pt x="0" y="2229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C21D237-3CFD-48C1-BC92-74E56504832B}">
      <dsp:nvSpPr>
        <dsp:cNvPr id="0" name=""/>
        <dsp:cNvSpPr/>
      </dsp:nvSpPr>
      <dsp:spPr>
        <a:xfrm>
          <a:off x="8088035" y="1284755"/>
          <a:ext cx="1284489" cy="222927"/>
        </a:xfrm>
        <a:custGeom>
          <a:avLst/>
          <a:gdLst/>
          <a:ahLst/>
          <a:cxnLst/>
          <a:rect l="0" t="0" r="0" b="0"/>
          <a:pathLst>
            <a:path>
              <a:moveTo>
                <a:pt x="1284489" y="0"/>
              </a:moveTo>
              <a:lnTo>
                <a:pt x="1284489" y="111463"/>
              </a:lnTo>
              <a:lnTo>
                <a:pt x="0" y="111463"/>
              </a:lnTo>
              <a:lnTo>
                <a:pt x="0" y="2229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F7A351A-A44F-4970-BB4D-D27AE4AF7EC9}">
      <dsp:nvSpPr>
        <dsp:cNvPr id="0" name=""/>
        <dsp:cNvSpPr/>
      </dsp:nvSpPr>
      <dsp:spPr>
        <a:xfrm>
          <a:off x="6803546" y="531047"/>
          <a:ext cx="2568979" cy="222927"/>
        </a:xfrm>
        <a:custGeom>
          <a:avLst/>
          <a:gdLst/>
          <a:ahLst/>
          <a:cxnLst/>
          <a:rect l="0" t="0" r="0" b="0"/>
          <a:pathLst>
            <a:path>
              <a:moveTo>
                <a:pt x="0" y="0"/>
              </a:moveTo>
              <a:lnTo>
                <a:pt x="0" y="111463"/>
              </a:lnTo>
              <a:lnTo>
                <a:pt x="2568979" y="111463"/>
              </a:lnTo>
              <a:lnTo>
                <a:pt x="2568979" y="222927"/>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66B7D2AE-D1C4-44F3-B79C-7465D804272E}">
      <dsp:nvSpPr>
        <dsp:cNvPr id="0" name=""/>
        <dsp:cNvSpPr/>
      </dsp:nvSpPr>
      <dsp:spPr>
        <a:xfrm>
          <a:off x="5736676" y="2792173"/>
          <a:ext cx="159234" cy="1242027"/>
        </a:xfrm>
        <a:custGeom>
          <a:avLst/>
          <a:gdLst/>
          <a:ahLst/>
          <a:cxnLst/>
          <a:rect l="0" t="0" r="0" b="0"/>
          <a:pathLst>
            <a:path>
              <a:moveTo>
                <a:pt x="0" y="0"/>
              </a:moveTo>
              <a:lnTo>
                <a:pt x="0" y="1242027"/>
              </a:lnTo>
              <a:lnTo>
                <a:pt x="159234" y="12420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0EF4D80-533C-424E-A87F-531E26EDFC33}">
      <dsp:nvSpPr>
        <dsp:cNvPr id="0" name=""/>
        <dsp:cNvSpPr/>
      </dsp:nvSpPr>
      <dsp:spPr>
        <a:xfrm>
          <a:off x="5736676" y="2792173"/>
          <a:ext cx="159234" cy="488318"/>
        </a:xfrm>
        <a:custGeom>
          <a:avLst/>
          <a:gdLst/>
          <a:ahLst/>
          <a:cxnLst/>
          <a:rect l="0" t="0" r="0" b="0"/>
          <a:pathLst>
            <a:path>
              <a:moveTo>
                <a:pt x="0" y="0"/>
              </a:moveTo>
              <a:lnTo>
                <a:pt x="0" y="488318"/>
              </a:lnTo>
              <a:lnTo>
                <a:pt x="159234" y="48831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6AD5E57-481A-4952-98B4-683B9463FA59}">
      <dsp:nvSpPr>
        <dsp:cNvPr id="0" name=""/>
        <dsp:cNvSpPr/>
      </dsp:nvSpPr>
      <dsp:spPr>
        <a:xfrm>
          <a:off x="5519056" y="2038464"/>
          <a:ext cx="642244" cy="222927"/>
        </a:xfrm>
        <a:custGeom>
          <a:avLst/>
          <a:gdLst/>
          <a:ahLst/>
          <a:cxnLst/>
          <a:rect l="0" t="0" r="0" b="0"/>
          <a:pathLst>
            <a:path>
              <a:moveTo>
                <a:pt x="0" y="0"/>
              </a:moveTo>
              <a:lnTo>
                <a:pt x="0" y="111463"/>
              </a:lnTo>
              <a:lnTo>
                <a:pt x="642244" y="111463"/>
              </a:lnTo>
              <a:lnTo>
                <a:pt x="642244" y="2229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0118304-005D-40E7-AD98-C308578BE48D}">
      <dsp:nvSpPr>
        <dsp:cNvPr id="0" name=""/>
        <dsp:cNvSpPr/>
      </dsp:nvSpPr>
      <dsp:spPr>
        <a:xfrm>
          <a:off x="4452187" y="2792173"/>
          <a:ext cx="159234" cy="1242027"/>
        </a:xfrm>
        <a:custGeom>
          <a:avLst/>
          <a:gdLst/>
          <a:ahLst/>
          <a:cxnLst/>
          <a:rect l="0" t="0" r="0" b="0"/>
          <a:pathLst>
            <a:path>
              <a:moveTo>
                <a:pt x="0" y="0"/>
              </a:moveTo>
              <a:lnTo>
                <a:pt x="0" y="1242027"/>
              </a:lnTo>
              <a:lnTo>
                <a:pt x="159234" y="12420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C4C0F44-791C-4A71-ADB0-6B0299D9E773}">
      <dsp:nvSpPr>
        <dsp:cNvPr id="0" name=""/>
        <dsp:cNvSpPr/>
      </dsp:nvSpPr>
      <dsp:spPr>
        <a:xfrm>
          <a:off x="4452187" y="2792173"/>
          <a:ext cx="159234" cy="488318"/>
        </a:xfrm>
        <a:custGeom>
          <a:avLst/>
          <a:gdLst/>
          <a:ahLst/>
          <a:cxnLst/>
          <a:rect l="0" t="0" r="0" b="0"/>
          <a:pathLst>
            <a:path>
              <a:moveTo>
                <a:pt x="0" y="0"/>
              </a:moveTo>
              <a:lnTo>
                <a:pt x="0" y="488318"/>
              </a:lnTo>
              <a:lnTo>
                <a:pt x="159234" y="48831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12F8E1B-2AFD-47FC-97A6-445EA05F1714}">
      <dsp:nvSpPr>
        <dsp:cNvPr id="0" name=""/>
        <dsp:cNvSpPr/>
      </dsp:nvSpPr>
      <dsp:spPr>
        <a:xfrm>
          <a:off x="4876811" y="2038464"/>
          <a:ext cx="642244" cy="222927"/>
        </a:xfrm>
        <a:custGeom>
          <a:avLst/>
          <a:gdLst/>
          <a:ahLst/>
          <a:cxnLst/>
          <a:rect l="0" t="0" r="0" b="0"/>
          <a:pathLst>
            <a:path>
              <a:moveTo>
                <a:pt x="642244" y="0"/>
              </a:moveTo>
              <a:lnTo>
                <a:pt x="642244" y="111463"/>
              </a:lnTo>
              <a:lnTo>
                <a:pt x="0" y="111463"/>
              </a:lnTo>
              <a:lnTo>
                <a:pt x="0" y="2229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202EF20-9A25-4228-876B-72EE418CDD7D}">
      <dsp:nvSpPr>
        <dsp:cNvPr id="0" name=""/>
        <dsp:cNvSpPr/>
      </dsp:nvSpPr>
      <dsp:spPr>
        <a:xfrm>
          <a:off x="4234567" y="1284755"/>
          <a:ext cx="1284489" cy="222927"/>
        </a:xfrm>
        <a:custGeom>
          <a:avLst/>
          <a:gdLst/>
          <a:ahLst/>
          <a:cxnLst/>
          <a:rect l="0" t="0" r="0" b="0"/>
          <a:pathLst>
            <a:path>
              <a:moveTo>
                <a:pt x="0" y="0"/>
              </a:moveTo>
              <a:lnTo>
                <a:pt x="0" y="111463"/>
              </a:lnTo>
              <a:lnTo>
                <a:pt x="1284489" y="111463"/>
              </a:lnTo>
              <a:lnTo>
                <a:pt x="1284489" y="2229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C4B53DD-74BA-4298-BBDD-BBFD90A60DE7}">
      <dsp:nvSpPr>
        <dsp:cNvPr id="0" name=""/>
        <dsp:cNvSpPr/>
      </dsp:nvSpPr>
      <dsp:spPr>
        <a:xfrm>
          <a:off x="3167697" y="2792173"/>
          <a:ext cx="159234" cy="1242027"/>
        </a:xfrm>
        <a:custGeom>
          <a:avLst/>
          <a:gdLst/>
          <a:ahLst/>
          <a:cxnLst/>
          <a:rect l="0" t="0" r="0" b="0"/>
          <a:pathLst>
            <a:path>
              <a:moveTo>
                <a:pt x="0" y="0"/>
              </a:moveTo>
              <a:lnTo>
                <a:pt x="0" y="1242027"/>
              </a:lnTo>
              <a:lnTo>
                <a:pt x="159234" y="12420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61BB91C-5C96-41EF-A934-1D06C88CA48F}">
      <dsp:nvSpPr>
        <dsp:cNvPr id="0" name=""/>
        <dsp:cNvSpPr/>
      </dsp:nvSpPr>
      <dsp:spPr>
        <a:xfrm>
          <a:off x="3167697" y="2792173"/>
          <a:ext cx="159234" cy="488318"/>
        </a:xfrm>
        <a:custGeom>
          <a:avLst/>
          <a:gdLst/>
          <a:ahLst/>
          <a:cxnLst/>
          <a:rect l="0" t="0" r="0" b="0"/>
          <a:pathLst>
            <a:path>
              <a:moveTo>
                <a:pt x="0" y="0"/>
              </a:moveTo>
              <a:lnTo>
                <a:pt x="0" y="488318"/>
              </a:lnTo>
              <a:lnTo>
                <a:pt x="159234" y="48831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06DFEF4-A0C5-4A7C-880E-2E83BE6EEF28}">
      <dsp:nvSpPr>
        <dsp:cNvPr id="0" name=""/>
        <dsp:cNvSpPr/>
      </dsp:nvSpPr>
      <dsp:spPr>
        <a:xfrm>
          <a:off x="2950077" y="2038464"/>
          <a:ext cx="642244" cy="222927"/>
        </a:xfrm>
        <a:custGeom>
          <a:avLst/>
          <a:gdLst/>
          <a:ahLst/>
          <a:cxnLst/>
          <a:rect l="0" t="0" r="0" b="0"/>
          <a:pathLst>
            <a:path>
              <a:moveTo>
                <a:pt x="0" y="0"/>
              </a:moveTo>
              <a:lnTo>
                <a:pt x="0" y="111463"/>
              </a:lnTo>
              <a:lnTo>
                <a:pt x="642244" y="111463"/>
              </a:lnTo>
              <a:lnTo>
                <a:pt x="642244" y="2229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55D14EB-7F6A-4167-97A6-4FFB994A8436}">
      <dsp:nvSpPr>
        <dsp:cNvPr id="0" name=""/>
        <dsp:cNvSpPr/>
      </dsp:nvSpPr>
      <dsp:spPr>
        <a:xfrm>
          <a:off x="1883208" y="2792173"/>
          <a:ext cx="159234" cy="1242027"/>
        </a:xfrm>
        <a:custGeom>
          <a:avLst/>
          <a:gdLst/>
          <a:ahLst/>
          <a:cxnLst/>
          <a:rect l="0" t="0" r="0" b="0"/>
          <a:pathLst>
            <a:path>
              <a:moveTo>
                <a:pt x="0" y="0"/>
              </a:moveTo>
              <a:lnTo>
                <a:pt x="0" y="1242027"/>
              </a:lnTo>
              <a:lnTo>
                <a:pt x="159234" y="12420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BC622FE-158D-4930-9FB3-8B850D8AFF79}">
      <dsp:nvSpPr>
        <dsp:cNvPr id="0" name=""/>
        <dsp:cNvSpPr/>
      </dsp:nvSpPr>
      <dsp:spPr>
        <a:xfrm>
          <a:off x="1883208" y="2792173"/>
          <a:ext cx="159234" cy="488318"/>
        </a:xfrm>
        <a:custGeom>
          <a:avLst/>
          <a:gdLst/>
          <a:ahLst/>
          <a:cxnLst/>
          <a:rect l="0" t="0" r="0" b="0"/>
          <a:pathLst>
            <a:path>
              <a:moveTo>
                <a:pt x="0" y="0"/>
              </a:moveTo>
              <a:lnTo>
                <a:pt x="0" y="488318"/>
              </a:lnTo>
              <a:lnTo>
                <a:pt x="159234" y="488318"/>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99E2C75-163E-495F-8CF5-DB25FE473903}">
      <dsp:nvSpPr>
        <dsp:cNvPr id="0" name=""/>
        <dsp:cNvSpPr/>
      </dsp:nvSpPr>
      <dsp:spPr>
        <a:xfrm>
          <a:off x="2307832" y="2038464"/>
          <a:ext cx="642244" cy="222927"/>
        </a:xfrm>
        <a:custGeom>
          <a:avLst/>
          <a:gdLst/>
          <a:ahLst/>
          <a:cxnLst/>
          <a:rect l="0" t="0" r="0" b="0"/>
          <a:pathLst>
            <a:path>
              <a:moveTo>
                <a:pt x="642244" y="0"/>
              </a:moveTo>
              <a:lnTo>
                <a:pt x="642244" y="111463"/>
              </a:lnTo>
              <a:lnTo>
                <a:pt x="0" y="111463"/>
              </a:lnTo>
              <a:lnTo>
                <a:pt x="0" y="2229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F236CAA-A658-41FC-9176-8CD8464974CD}">
      <dsp:nvSpPr>
        <dsp:cNvPr id="0" name=""/>
        <dsp:cNvSpPr/>
      </dsp:nvSpPr>
      <dsp:spPr>
        <a:xfrm>
          <a:off x="2950077" y="1284755"/>
          <a:ext cx="1284489" cy="222927"/>
        </a:xfrm>
        <a:custGeom>
          <a:avLst/>
          <a:gdLst/>
          <a:ahLst/>
          <a:cxnLst/>
          <a:rect l="0" t="0" r="0" b="0"/>
          <a:pathLst>
            <a:path>
              <a:moveTo>
                <a:pt x="1284489" y="0"/>
              </a:moveTo>
              <a:lnTo>
                <a:pt x="1284489" y="111463"/>
              </a:lnTo>
              <a:lnTo>
                <a:pt x="0" y="111463"/>
              </a:lnTo>
              <a:lnTo>
                <a:pt x="0" y="22292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86B5E43-E31D-432A-B2CB-2BAB27606FB7}">
      <dsp:nvSpPr>
        <dsp:cNvPr id="0" name=""/>
        <dsp:cNvSpPr/>
      </dsp:nvSpPr>
      <dsp:spPr>
        <a:xfrm>
          <a:off x="4234567" y="531047"/>
          <a:ext cx="2568979" cy="222927"/>
        </a:xfrm>
        <a:custGeom>
          <a:avLst/>
          <a:gdLst/>
          <a:ahLst/>
          <a:cxnLst/>
          <a:rect l="0" t="0" r="0" b="0"/>
          <a:pathLst>
            <a:path>
              <a:moveTo>
                <a:pt x="2568979" y="0"/>
              </a:moveTo>
              <a:lnTo>
                <a:pt x="2568979" y="111463"/>
              </a:lnTo>
              <a:lnTo>
                <a:pt x="0" y="111463"/>
              </a:lnTo>
              <a:lnTo>
                <a:pt x="0" y="222927"/>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5BAE11D-B35E-4464-BF3A-4DE606A0C10C}">
      <dsp:nvSpPr>
        <dsp:cNvPr id="0" name=""/>
        <dsp:cNvSpPr/>
      </dsp:nvSpPr>
      <dsp:spPr>
        <a:xfrm>
          <a:off x="6272765" y="266"/>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Regiment</a:t>
          </a:r>
          <a:endParaRPr lang="ru-RU" sz="1900" kern="1200"/>
        </a:p>
      </dsp:txBody>
      <dsp:txXfrm>
        <a:off x="6272765" y="266"/>
        <a:ext cx="1061561" cy="530780"/>
      </dsp:txXfrm>
    </dsp:sp>
    <dsp:sp modelId="{7323F203-452A-453B-88A5-61DDE839DD4A}">
      <dsp:nvSpPr>
        <dsp:cNvPr id="0" name=""/>
        <dsp:cNvSpPr/>
      </dsp:nvSpPr>
      <dsp:spPr>
        <a:xfrm>
          <a:off x="3703786" y="753974"/>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Squadron</a:t>
          </a:r>
          <a:endParaRPr lang="ru-RU" sz="1900" kern="1200"/>
        </a:p>
      </dsp:txBody>
      <dsp:txXfrm>
        <a:off x="3703786" y="753974"/>
        <a:ext cx="1061561" cy="530780"/>
      </dsp:txXfrm>
    </dsp:sp>
    <dsp:sp modelId="{E682B6DB-D18E-42C0-BE74-958C02A3F932}">
      <dsp:nvSpPr>
        <dsp:cNvPr id="0" name=""/>
        <dsp:cNvSpPr/>
      </dsp:nvSpPr>
      <dsp:spPr>
        <a:xfrm>
          <a:off x="2419296" y="1507683"/>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Flight</a:t>
          </a:r>
          <a:endParaRPr lang="ru-RU" sz="1900" kern="1200"/>
        </a:p>
      </dsp:txBody>
      <dsp:txXfrm>
        <a:off x="2419296" y="1507683"/>
        <a:ext cx="1061561" cy="530780"/>
      </dsp:txXfrm>
    </dsp:sp>
    <dsp:sp modelId="{E61898F2-4ED2-4276-A8DE-A45967AAFC08}">
      <dsp:nvSpPr>
        <dsp:cNvPr id="0" name=""/>
        <dsp:cNvSpPr/>
      </dsp:nvSpPr>
      <dsp:spPr>
        <a:xfrm>
          <a:off x="1777052" y="2261392"/>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Wing</a:t>
          </a:r>
        </a:p>
      </dsp:txBody>
      <dsp:txXfrm>
        <a:off x="1777052" y="2261392"/>
        <a:ext cx="1061561" cy="530780"/>
      </dsp:txXfrm>
    </dsp:sp>
    <dsp:sp modelId="{1F3F4162-EA91-4E32-ADBA-35C043B045F8}">
      <dsp:nvSpPr>
        <dsp:cNvPr id="0" name=""/>
        <dsp:cNvSpPr/>
      </dsp:nvSpPr>
      <dsp:spPr>
        <a:xfrm>
          <a:off x="2042442" y="3015101"/>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p>
      </dsp:txBody>
      <dsp:txXfrm>
        <a:off x="2042442" y="3015101"/>
        <a:ext cx="1061561" cy="530780"/>
      </dsp:txXfrm>
    </dsp:sp>
    <dsp:sp modelId="{88257131-F779-4588-B9D6-ED265ED7E41E}">
      <dsp:nvSpPr>
        <dsp:cNvPr id="0" name=""/>
        <dsp:cNvSpPr/>
      </dsp:nvSpPr>
      <dsp:spPr>
        <a:xfrm>
          <a:off x="2042442" y="3768809"/>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endParaRPr lang="ru-RU" sz="1900" kern="1200"/>
        </a:p>
      </dsp:txBody>
      <dsp:txXfrm>
        <a:off x="2042442" y="3768809"/>
        <a:ext cx="1061561" cy="530780"/>
      </dsp:txXfrm>
    </dsp:sp>
    <dsp:sp modelId="{D8A51828-D174-4E98-B2FE-15FDA1186EE9}">
      <dsp:nvSpPr>
        <dsp:cNvPr id="0" name=""/>
        <dsp:cNvSpPr/>
      </dsp:nvSpPr>
      <dsp:spPr>
        <a:xfrm>
          <a:off x="3061541" y="2261392"/>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Wing</a:t>
          </a:r>
          <a:endParaRPr lang="ru-RU" sz="1900" kern="1200"/>
        </a:p>
      </dsp:txBody>
      <dsp:txXfrm>
        <a:off x="3061541" y="2261392"/>
        <a:ext cx="1061561" cy="530780"/>
      </dsp:txXfrm>
    </dsp:sp>
    <dsp:sp modelId="{E40FD8A2-863C-41D5-A0BF-AB84A6F7F936}">
      <dsp:nvSpPr>
        <dsp:cNvPr id="0" name=""/>
        <dsp:cNvSpPr/>
      </dsp:nvSpPr>
      <dsp:spPr>
        <a:xfrm>
          <a:off x="3326931" y="3015101"/>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p>
      </dsp:txBody>
      <dsp:txXfrm>
        <a:off x="3326931" y="3015101"/>
        <a:ext cx="1061561" cy="530780"/>
      </dsp:txXfrm>
    </dsp:sp>
    <dsp:sp modelId="{2C9260C8-F2D9-4851-8D19-FB1F72E886BF}">
      <dsp:nvSpPr>
        <dsp:cNvPr id="0" name=""/>
        <dsp:cNvSpPr/>
      </dsp:nvSpPr>
      <dsp:spPr>
        <a:xfrm>
          <a:off x="3326931" y="3768809"/>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endParaRPr lang="ru-RU" sz="1900" kern="1200"/>
        </a:p>
      </dsp:txBody>
      <dsp:txXfrm>
        <a:off x="3326931" y="3768809"/>
        <a:ext cx="1061561" cy="530780"/>
      </dsp:txXfrm>
    </dsp:sp>
    <dsp:sp modelId="{80211277-C35F-400F-A026-B88A732399F5}">
      <dsp:nvSpPr>
        <dsp:cNvPr id="0" name=""/>
        <dsp:cNvSpPr/>
      </dsp:nvSpPr>
      <dsp:spPr>
        <a:xfrm>
          <a:off x="4988275" y="1507683"/>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Flight</a:t>
          </a:r>
        </a:p>
      </dsp:txBody>
      <dsp:txXfrm>
        <a:off x="4988275" y="1507683"/>
        <a:ext cx="1061561" cy="530780"/>
      </dsp:txXfrm>
    </dsp:sp>
    <dsp:sp modelId="{7D60B866-E8BC-4A70-9765-97F78A06E8BD}">
      <dsp:nvSpPr>
        <dsp:cNvPr id="0" name=""/>
        <dsp:cNvSpPr/>
      </dsp:nvSpPr>
      <dsp:spPr>
        <a:xfrm>
          <a:off x="4346031" y="2261392"/>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Wing</a:t>
          </a:r>
        </a:p>
      </dsp:txBody>
      <dsp:txXfrm>
        <a:off x="4346031" y="2261392"/>
        <a:ext cx="1061561" cy="530780"/>
      </dsp:txXfrm>
    </dsp:sp>
    <dsp:sp modelId="{73FC74B3-8D5B-44A6-9C30-5B7A85CC80CB}">
      <dsp:nvSpPr>
        <dsp:cNvPr id="0" name=""/>
        <dsp:cNvSpPr/>
      </dsp:nvSpPr>
      <dsp:spPr>
        <a:xfrm>
          <a:off x="4611421" y="3015101"/>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p>
      </dsp:txBody>
      <dsp:txXfrm>
        <a:off x="4611421" y="3015101"/>
        <a:ext cx="1061561" cy="530780"/>
      </dsp:txXfrm>
    </dsp:sp>
    <dsp:sp modelId="{7DA68643-048C-4014-9CEF-DB211B9A280F}">
      <dsp:nvSpPr>
        <dsp:cNvPr id="0" name=""/>
        <dsp:cNvSpPr/>
      </dsp:nvSpPr>
      <dsp:spPr>
        <a:xfrm>
          <a:off x="4611421" y="3768809"/>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endParaRPr lang="ru-RU" sz="1900" kern="1200"/>
        </a:p>
      </dsp:txBody>
      <dsp:txXfrm>
        <a:off x="4611421" y="3768809"/>
        <a:ext cx="1061561" cy="530780"/>
      </dsp:txXfrm>
    </dsp:sp>
    <dsp:sp modelId="{D046BF24-308F-4C8C-B915-A98E03D47ABE}">
      <dsp:nvSpPr>
        <dsp:cNvPr id="0" name=""/>
        <dsp:cNvSpPr/>
      </dsp:nvSpPr>
      <dsp:spPr>
        <a:xfrm>
          <a:off x="5630520" y="2261392"/>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Wing</a:t>
          </a:r>
          <a:endParaRPr lang="ru-RU" sz="1900" kern="1200"/>
        </a:p>
      </dsp:txBody>
      <dsp:txXfrm>
        <a:off x="5630520" y="2261392"/>
        <a:ext cx="1061561" cy="530780"/>
      </dsp:txXfrm>
    </dsp:sp>
    <dsp:sp modelId="{FB0C2BD3-C299-48DC-9012-230C6AE5BB88}">
      <dsp:nvSpPr>
        <dsp:cNvPr id="0" name=""/>
        <dsp:cNvSpPr/>
      </dsp:nvSpPr>
      <dsp:spPr>
        <a:xfrm>
          <a:off x="5895911" y="3015101"/>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p>
      </dsp:txBody>
      <dsp:txXfrm>
        <a:off x="5895911" y="3015101"/>
        <a:ext cx="1061561" cy="530780"/>
      </dsp:txXfrm>
    </dsp:sp>
    <dsp:sp modelId="{E000F014-F188-4861-9EF4-B3D50B88C96C}">
      <dsp:nvSpPr>
        <dsp:cNvPr id="0" name=""/>
        <dsp:cNvSpPr/>
      </dsp:nvSpPr>
      <dsp:spPr>
        <a:xfrm>
          <a:off x="5895911" y="3768809"/>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endParaRPr lang="ru-RU" sz="1900" kern="1200"/>
        </a:p>
      </dsp:txBody>
      <dsp:txXfrm>
        <a:off x="5895911" y="3768809"/>
        <a:ext cx="1061561" cy="530780"/>
      </dsp:txXfrm>
    </dsp:sp>
    <dsp:sp modelId="{D584481E-A523-4E83-AAC0-4DE5A27E8FA5}">
      <dsp:nvSpPr>
        <dsp:cNvPr id="0" name=""/>
        <dsp:cNvSpPr/>
      </dsp:nvSpPr>
      <dsp:spPr>
        <a:xfrm>
          <a:off x="8841744" y="753974"/>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Squadron</a:t>
          </a:r>
          <a:endParaRPr lang="ru-RU" sz="1900" kern="1200"/>
        </a:p>
      </dsp:txBody>
      <dsp:txXfrm>
        <a:off x="8841744" y="753974"/>
        <a:ext cx="1061561" cy="530780"/>
      </dsp:txXfrm>
    </dsp:sp>
    <dsp:sp modelId="{5F408EF7-A1E1-4839-882F-397AD40CD23F}">
      <dsp:nvSpPr>
        <dsp:cNvPr id="0" name=""/>
        <dsp:cNvSpPr/>
      </dsp:nvSpPr>
      <dsp:spPr>
        <a:xfrm>
          <a:off x="7557255" y="1507683"/>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Flight</a:t>
          </a:r>
          <a:endParaRPr lang="ru-RU" sz="1900" kern="1200"/>
        </a:p>
      </dsp:txBody>
      <dsp:txXfrm>
        <a:off x="7557255" y="1507683"/>
        <a:ext cx="1061561" cy="530780"/>
      </dsp:txXfrm>
    </dsp:sp>
    <dsp:sp modelId="{28EAB661-17E3-4B6C-83AB-07D29EB42C93}">
      <dsp:nvSpPr>
        <dsp:cNvPr id="0" name=""/>
        <dsp:cNvSpPr/>
      </dsp:nvSpPr>
      <dsp:spPr>
        <a:xfrm>
          <a:off x="6915010" y="2261392"/>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Wing</a:t>
          </a:r>
        </a:p>
      </dsp:txBody>
      <dsp:txXfrm>
        <a:off x="6915010" y="2261392"/>
        <a:ext cx="1061561" cy="530780"/>
      </dsp:txXfrm>
    </dsp:sp>
    <dsp:sp modelId="{32FE3AB5-7C3A-41D2-AEC9-CA925CCBA450}">
      <dsp:nvSpPr>
        <dsp:cNvPr id="0" name=""/>
        <dsp:cNvSpPr/>
      </dsp:nvSpPr>
      <dsp:spPr>
        <a:xfrm>
          <a:off x="7180400" y="3015101"/>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p>
      </dsp:txBody>
      <dsp:txXfrm>
        <a:off x="7180400" y="3015101"/>
        <a:ext cx="1061561" cy="530780"/>
      </dsp:txXfrm>
    </dsp:sp>
    <dsp:sp modelId="{03480235-45B1-4E12-90DC-B1CA87B40472}">
      <dsp:nvSpPr>
        <dsp:cNvPr id="0" name=""/>
        <dsp:cNvSpPr/>
      </dsp:nvSpPr>
      <dsp:spPr>
        <a:xfrm>
          <a:off x="7180400" y="3768809"/>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endParaRPr lang="ru-RU" sz="1900" kern="1200"/>
        </a:p>
      </dsp:txBody>
      <dsp:txXfrm>
        <a:off x="7180400" y="3768809"/>
        <a:ext cx="1061561" cy="530780"/>
      </dsp:txXfrm>
    </dsp:sp>
    <dsp:sp modelId="{3652B3FB-81D8-4A5C-AE8B-7FD8E7076447}">
      <dsp:nvSpPr>
        <dsp:cNvPr id="0" name=""/>
        <dsp:cNvSpPr/>
      </dsp:nvSpPr>
      <dsp:spPr>
        <a:xfrm>
          <a:off x="8199499" y="2261392"/>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Wing</a:t>
          </a:r>
          <a:endParaRPr lang="ru-RU" sz="1900" kern="1200"/>
        </a:p>
      </dsp:txBody>
      <dsp:txXfrm>
        <a:off x="8199499" y="2261392"/>
        <a:ext cx="1061561" cy="530780"/>
      </dsp:txXfrm>
    </dsp:sp>
    <dsp:sp modelId="{580C1471-E9F7-4DF1-B8E6-EBFCC0DD0A4E}">
      <dsp:nvSpPr>
        <dsp:cNvPr id="0" name=""/>
        <dsp:cNvSpPr/>
      </dsp:nvSpPr>
      <dsp:spPr>
        <a:xfrm>
          <a:off x="8464890" y="3015101"/>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p>
      </dsp:txBody>
      <dsp:txXfrm>
        <a:off x="8464890" y="3015101"/>
        <a:ext cx="1061561" cy="530780"/>
      </dsp:txXfrm>
    </dsp:sp>
    <dsp:sp modelId="{367506C1-0414-45D3-8975-2B4E4CC773D4}">
      <dsp:nvSpPr>
        <dsp:cNvPr id="0" name=""/>
        <dsp:cNvSpPr/>
      </dsp:nvSpPr>
      <dsp:spPr>
        <a:xfrm>
          <a:off x="8464890" y="3768809"/>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endParaRPr lang="ru-RU" sz="1900" kern="1200"/>
        </a:p>
      </dsp:txBody>
      <dsp:txXfrm>
        <a:off x="8464890" y="3768809"/>
        <a:ext cx="1061561" cy="530780"/>
      </dsp:txXfrm>
    </dsp:sp>
    <dsp:sp modelId="{1919432B-AC28-45FF-9B17-EF3BC6FBBCC0}">
      <dsp:nvSpPr>
        <dsp:cNvPr id="0" name=""/>
        <dsp:cNvSpPr/>
      </dsp:nvSpPr>
      <dsp:spPr>
        <a:xfrm>
          <a:off x="10126234" y="1507683"/>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Flight</a:t>
          </a:r>
        </a:p>
      </dsp:txBody>
      <dsp:txXfrm>
        <a:off x="10126234" y="1507683"/>
        <a:ext cx="1061561" cy="530780"/>
      </dsp:txXfrm>
    </dsp:sp>
    <dsp:sp modelId="{01F812D5-5A5B-40FB-9B1A-C2FB4296696F}">
      <dsp:nvSpPr>
        <dsp:cNvPr id="0" name=""/>
        <dsp:cNvSpPr/>
      </dsp:nvSpPr>
      <dsp:spPr>
        <a:xfrm>
          <a:off x="9483989" y="2261392"/>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Wing</a:t>
          </a:r>
        </a:p>
      </dsp:txBody>
      <dsp:txXfrm>
        <a:off x="9483989" y="2261392"/>
        <a:ext cx="1061561" cy="530780"/>
      </dsp:txXfrm>
    </dsp:sp>
    <dsp:sp modelId="{A2DF28E0-2105-4E14-8726-8D9ACEFF7119}">
      <dsp:nvSpPr>
        <dsp:cNvPr id="0" name=""/>
        <dsp:cNvSpPr/>
      </dsp:nvSpPr>
      <dsp:spPr>
        <a:xfrm>
          <a:off x="9749379" y="3015101"/>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p>
      </dsp:txBody>
      <dsp:txXfrm>
        <a:off x="9749379" y="3015101"/>
        <a:ext cx="1061561" cy="530780"/>
      </dsp:txXfrm>
    </dsp:sp>
    <dsp:sp modelId="{DA943CA7-C223-45DE-9BB7-03636206EAFD}">
      <dsp:nvSpPr>
        <dsp:cNvPr id="0" name=""/>
        <dsp:cNvSpPr/>
      </dsp:nvSpPr>
      <dsp:spPr>
        <a:xfrm>
          <a:off x="9749379" y="3768809"/>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endParaRPr lang="ru-RU" sz="1900" kern="1200"/>
        </a:p>
      </dsp:txBody>
      <dsp:txXfrm>
        <a:off x="9749379" y="3768809"/>
        <a:ext cx="1061561" cy="530780"/>
      </dsp:txXfrm>
    </dsp:sp>
    <dsp:sp modelId="{3FF6ECF9-3DDB-412B-AC9A-778C332E6E31}">
      <dsp:nvSpPr>
        <dsp:cNvPr id="0" name=""/>
        <dsp:cNvSpPr/>
      </dsp:nvSpPr>
      <dsp:spPr>
        <a:xfrm>
          <a:off x="10768478" y="2261392"/>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Wing</a:t>
          </a:r>
          <a:endParaRPr lang="ru-RU" sz="1900" kern="1200"/>
        </a:p>
      </dsp:txBody>
      <dsp:txXfrm>
        <a:off x="10768478" y="2261392"/>
        <a:ext cx="1061561" cy="530780"/>
      </dsp:txXfrm>
    </dsp:sp>
    <dsp:sp modelId="{BA4E3244-CDD6-40CC-A13E-2862D3CB73FE}">
      <dsp:nvSpPr>
        <dsp:cNvPr id="0" name=""/>
        <dsp:cNvSpPr/>
      </dsp:nvSpPr>
      <dsp:spPr>
        <a:xfrm>
          <a:off x="11033869" y="3015101"/>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p>
      </dsp:txBody>
      <dsp:txXfrm>
        <a:off x="11033869" y="3015101"/>
        <a:ext cx="1061561" cy="530780"/>
      </dsp:txXfrm>
    </dsp:sp>
    <dsp:sp modelId="{34B3CEFB-F877-478C-887C-19BE42469AEF}">
      <dsp:nvSpPr>
        <dsp:cNvPr id="0" name=""/>
        <dsp:cNvSpPr/>
      </dsp:nvSpPr>
      <dsp:spPr>
        <a:xfrm>
          <a:off x="11033869" y="3768809"/>
          <a:ext cx="1061561" cy="530780"/>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2065" tIns="12065" rIns="12065" bIns="12065" numCol="1" spcCol="1270" anchor="ctr" anchorCtr="0">
          <a:noAutofit/>
        </a:bodyPr>
        <a:lstStyle/>
        <a:p>
          <a:pPr marL="0" lvl="0" indent="0" algn="ctr" defTabSz="844550">
            <a:lnSpc>
              <a:spcPct val="90000"/>
            </a:lnSpc>
            <a:spcBef>
              <a:spcPct val="0"/>
            </a:spcBef>
            <a:spcAft>
              <a:spcPct val="35000"/>
            </a:spcAft>
            <a:buNone/>
          </a:pPr>
          <a:r>
            <a:rPr lang="en-US" sz="1900" kern="1200"/>
            <a:t>Talon</a:t>
          </a:r>
          <a:endParaRPr lang="ru-RU" sz="1900" kern="1200"/>
        </a:p>
      </dsp:txBody>
      <dsp:txXfrm>
        <a:off x="11033869" y="3768809"/>
        <a:ext cx="1061561" cy="53078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38E41C0-FA0A-4FCA-8A8B-7F21F92A66FD}">
      <dsp:nvSpPr>
        <dsp:cNvPr id="0" name=""/>
        <dsp:cNvSpPr/>
      </dsp:nvSpPr>
      <dsp:spPr>
        <a:xfrm>
          <a:off x="12396270" y="1251228"/>
          <a:ext cx="91440" cy="221975"/>
        </a:xfrm>
        <a:custGeom>
          <a:avLst/>
          <a:gdLst/>
          <a:ahLst/>
          <a:cxnLst/>
          <a:rect l="0" t="0" r="0" b="0"/>
          <a:pathLst>
            <a:path>
              <a:moveTo>
                <a:pt x="45720" y="0"/>
              </a:moveTo>
              <a:lnTo>
                <a:pt x="45720"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09F8590-1762-4E11-B05E-AA6840EBDED4}">
      <dsp:nvSpPr>
        <dsp:cNvPr id="0" name=""/>
        <dsp:cNvSpPr/>
      </dsp:nvSpPr>
      <dsp:spPr>
        <a:xfrm>
          <a:off x="7588843" y="645064"/>
          <a:ext cx="4853146" cy="221975"/>
        </a:xfrm>
        <a:custGeom>
          <a:avLst/>
          <a:gdLst/>
          <a:ahLst/>
          <a:cxnLst/>
          <a:rect l="0" t="0" r="0" b="0"/>
          <a:pathLst>
            <a:path>
              <a:moveTo>
                <a:pt x="0" y="0"/>
              </a:moveTo>
              <a:lnTo>
                <a:pt x="0" y="132331"/>
              </a:lnTo>
              <a:lnTo>
                <a:pt x="4853146" y="132331"/>
              </a:lnTo>
              <a:lnTo>
                <a:pt x="4853146" y="221975"/>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3B2737E-4806-4CA2-B9DF-A81FC19AE3A9}">
      <dsp:nvSpPr>
        <dsp:cNvPr id="0" name=""/>
        <dsp:cNvSpPr/>
      </dsp:nvSpPr>
      <dsp:spPr>
        <a:xfrm>
          <a:off x="9455438" y="1251228"/>
          <a:ext cx="1991034" cy="221975"/>
        </a:xfrm>
        <a:custGeom>
          <a:avLst/>
          <a:gdLst/>
          <a:ahLst/>
          <a:cxnLst/>
          <a:rect l="0" t="0" r="0" b="0"/>
          <a:pathLst>
            <a:path>
              <a:moveTo>
                <a:pt x="0" y="0"/>
              </a:moveTo>
              <a:lnTo>
                <a:pt x="0" y="132331"/>
              </a:lnTo>
              <a:lnTo>
                <a:pt x="1991034" y="132331"/>
              </a:lnTo>
              <a:lnTo>
                <a:pt x="1991034"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99E9AF3-7A99-4C95-85B0-7F47F4AD18B4}">
      <dsp:nvSpPr>
        <dsp:cNvPr id="0" name=""/>
        <dsp:cNvSpPr/>
      </dsp:nvSpPr>
      <dsp:spPr>
        <a:xfrm>
          <a:off x="10154145" y="1857392"/>
          <a:ext cx="129854" cy="2838725"/>
        </a:xfrm>
        <a:custGeom>
          <a:avLst/>
          <a:gdLst/>
          <a:ahLst/>
          <a:cxnLst/>
          <a:rect l="0" t="0" r="0" b="0"/>
          <a:pathLst>
            <a:path>
              <a:moveTo>
                <a:pt x="0" y="0"/>
              </a:moveTo>
              <a:lnTo>
                <a:pt x="0" y="2838725"/>
              </a:lnTo>
              <a:lnTo>
                <a:pt x="129854" y="283872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FBC367-DA40-467C-ADC9-BB5CB621FE6D}">
      <dsp:nvSpPr>
        <dsp:cNvPr id="0" name=""/>
        <dsp:cNvSpPr/>
      </dsp:nvSpPr>
      <dsp:spPr>
        <a:xfrm>
          <a:off x="10154145" y="1857392"/>
          <a:ext cx="129854" cy="2232561"/>
        </a:xfrm>
        <a:custGeom>
          <a:avLst/>
          <a:gdLst/>
          <a:ahLst/>
          <a:cxnLst/>
          <a:rect l="0" t="0" r="0" b="0"/>
          <a:pathLst>
            <a:path>
              <a:moveTo>
                <a:pt x="0" y="0"/>
              </a:moveTo>
              <a:lnTo>
                <a:pt x="0" y="2232561"/>
              </a:lnTo>
              <a:lnTo>
                <a:pt x="129854" y="2232561"/>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D9241F0-F46F-4849-8FD9-6CEDD626961B}">
      <dsp:nvSpPr>
        <dsp:cNvPr id="0" name=""/>
        <dsp:cNvSpPr/>
      </dsp:nvSpPr>
      <dsp:spPr>
        <a:xfrm>
          <a:off x="10154145" y="1857392"/>
          <a:ext cx="129854" cy="1626397"/>
        </a:xfrm>
        <a:custGeom>
          <a:avLst/>
          <a:gdLst/>
          <a:ahLst/>
          <a:cxnLst/>
          <a:rect l="0" t="0" r="0" b="0"/>
          <a:pathLst>
            <a:path>
              <a:moveTo>
                <a:pt x="0" y="0"/>
              </a:moveTo>
              <a:lnTo>
                <a:pt x="0" y="1626397"/>
              </a:lnTo>
              <a:lnTo>
                <a:pt x="129854" y="162639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8B219DF-8FE2-4FB9-A64B-F062D301D077}">
      <dsp:nvSpPr>
        <dsp:cNvPr id="0" name=""/>
        <dsp:cNvSpPr/>
      </dsp:nvSpPr>
      <dsp:spPr>
        <a:xfrm>
          <a:off x="10154145" y="1857392"/>
          <a:ext cx="129854" cy="1020233"/>
        </a:xfrm>
        <a:custGeom>
          <a:avLst/>
          <a:gdLst/>
          <a:ahLst/>
          <a:cxnLst/>
          <a:rect l="0" t="0" r="0" b="0"/>
          <a:pathLst>
            <a:path>
              <a:moveTo>
                <a:pt x="0" y="0"/>
              </a:moveTo>
              <a:lnTo>
                <a:pt x="0" y="1020233"/>
              </a:lnTo>
              <a:lnTo>
                <a:pt x="129854" y="102023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0DA88D1-3D92-4AD6-978B-B1AA19E850DD}">
      <dsp:nvSpPr>
        <dsp:cNvPr id="0" name=""/>
        <dsp:cNvSpPr/>
      </dsp:nvSpPr>
      <dsp:spPr>
        <a:xfrm>
          <a:off x="10154145" y="1857392"/>
          <a:ext cx="129854" cy="414069"/>
        </a:xfrm>
        <a:custGeom>
          <a:avLst/>
          <a:gdLst/>
          <a:ahLst/>
          <a:cxnLst/>
          <a:rect l="0" t="0" r="0" b="0"/>
          <a:pathLst>
            <a:path>
              <a:moveTo>
                <a:pt x="0" y="0"/>
              </a:moveTo>
              <a:lnTo>
                <a:pt x="0" y="414069"/>
              </a:lnTo>
              <a:lnTo>
                <a:pt x="129854" y="41406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E86D9E2-A71D-4E85-B491-00375E6F869D}">
      <dsp:nvSpPr>
        <dsp:cNvPr id="0" name=""/>
        <dsp:cNvSpPr/>
      </dsp:nvSpPr>
      <dsp:spPr>
        <a:xfrm>
          <a:off x="9455438" y="1251228"/>
          <a:ext cx="995517" cy="221975"/>
        </a:xfrm>
        <a:custGeom>
          <a:avLst/>
          <a:gdLst/>
          <a:ahLst/>
          <a:cxnLst/>
          <a:rect l="0" t="0" r="0" b="0"/>
          <a:pathLst>
            <a:path>
              <a:moveTo>
                <a:pt x="0" y="0"/>
              </a:moveTo>
              <a:lnTo>
                <a:pt x="0" y="132331"/>
              </a:lnTo>
              <a:lnTo>
                <a:pt x="995517" y="132331"/>
              </a:lnTo>
              <a:lnTo>
                <a:pt x="995517"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3B90242-3A34-42ED-8B7E-9D6782457C18}">
      <dsp:nvSpPr>
        <dsp:cNvPr id="0" name=""/>
        <dsp:cNvSpPr/>
      </dsp:nvSpPr>
      <dsp:spPr>
        <a:xfrm>
          <a:off x="9409718" y="1857392"/>
          <a:ext cx="91440" cy="221975"/>
        </a:xfrm>
        <a:custGeom>
          <a:avLst/>
          <a:gdLst/>
          <a:ahLst/>
          <a:cxnLst/>
          <a:rect l="0" t="0" r="0" b="0"/>
          <a:pathLst>
            <a:path>
              <a:moveTo>
                <a:pt x="45720" y="0"/>
              </a:moveTo>
              <a:lnTo>
                <a:pt x="45720"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F2029E6-4688-4E4A-930C-78819A801C6E}">
      <dsp:nvSpPr>
        <dsp:cNvPr id="0" name=""/>
        <dsp:cNvSpPr/>
      </dsp:nvSpPr>
      <dsp:spPr>
        <a:xfrm>
          <a:off x="9409718" y="1251228"/>
          <a:ext cx="91440" cy="221975"/>
        </a:xfrm>
        <a:custGeom>
          <a:avLst/>
          <a:gdLst/>
          <a:ahLst/>
          <a:cxnLst/>
          <a:rect l="0" t="0" r="0" b="0"/>
          <a:pathLst>
            <a:path>
              <a:moveTo>
                <a:pt x="45720" y="0"/>
              </a:moveTo>
              <a:lnTo>
                <a:pt x="45720"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2AAA880-5DAC-4A04-B8D6-C01D9612A6BA}">
      <dsp:nvSpPr>
        <dsp:cNvPr id="0" name=""/>
        <dsp:cNvSpPr/>
      </dsp:nvSpPr>
      <dsp:spPr>
        <a:xfrm>
          <a:off x="8459921" y="1251228"/>
          <a:ext cx="995517" cy="221975"/>
        </a:xfrm>
        <a:custGeom>
          <a:avLst/>
          <a:gdLst/>
          <a:ahLst/>
          <a:cxnLst/>
          <a:rect l="0" t="0" r="0" b="0"/>
          <a:pathLst>
            <a:path>
              <a:moveTo>
                <a:pt x="995517" y="0"/>
              </a:moveTo>
              <a:lnTo>
                <a:pt x="995517" y="132331"/>
              </a:lnTo>
              <a:lnTo>
                <a:pt x="0" y="132331"/>
              </a:lnTo>
              <a:lnTo>
                <a:pt x="0"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8C423A5-C532-4EBD-9AEB-031676824F60}">
      <dsp:nvSpPr>
        <dsp:cNvPr id="0" name=""/>
        <dsp:cNvSpPr/>
      </dsp:nvSpPr>
      <dsp:spPr>
        <a:xfrm>
          <a:off x="7167593" y="1857392"/>
          <a:ext cx="129854" cy="2232561"/>
        </a:xfrm>
        <a:custGeom>
          <a:avLst/>
          <a:gdLst/>
          <a:ahLst/>
          <a:cxnLst/>
          <a:rect l="0" t="0" r="0" b="0"/>
          <a:pathLst>
            <a:path>
              <a:moveTo>
                <a:pt x="0" y="0"/>
              </a:moveTo>
              <a:lnTo>
                <a:pt x="0" y="2232561"/>
              </a:lnTo>
              <a:lnTo>
                <a:pt x="129854" y="2232561"/>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E1EFB4D-268A-4A0E-B476-1A579A15F8B5}">
      <dsp:nvSpPr>
        <dsp:cNvPr id="0" name=""/>
        <dsp:cNvSpPr/>
      </dsp:nvSpPr>
      <dsp:spPr>
        <a:xfrm>
          <a:off x="7167593" y="1857392"/>
          <a:ext cx="129854" cy="1626397"/>
        </a:xfrm>
        <a:custGeom>
          <a:avLst/>
          <a:gdLst/>
          <a:ahLst/>
          <a:cxnLst/>
          <a:rect l="0" t="0" r="0" b="0"/>
          <a:pathLst>
            <a:path>
              <a:moveTo>
                <a:pt x="0" y="0"/>
              </a:moveTo>
              <a:lnTo>
                <a:pt x="0" y="1626397"/>
              </a:lnTo>
              <a:lnTo>
                <a:pt x="129854" y="162639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D07DC1F-C35D-4CEE-B564-0B104354C54F}">
      <dsp:nvSpPr>
        <dsp:cNvPr id="0" name=""/>
        <dsp:cNvSpPr/>
      </dsp:nvSpPr>
      <dsp:spPr>
        <a:xfrm>
          <a:off x="7167593" y="1857392"/>
          <a:ext cx="129854" cy="1020233"/>
        </a:xfrm>
        <a:custGeom>
          <a:avLst/>
          <a:gdLst/>
          <a:ahLst/>
          <a:cxnLst/>
          <a:rect l="0" t="0" r="0" b="0"/>
          <a:pathLst>
            <a:path>
              <a:moveTo>
                <a:pt x="0" y="0"/>
              </a:moveTo>
              <a:lnTo>
                <a:pt x="0" y="1020233"/>
              </a:lnTo>
              <a:lnTo>
                <a:pt x="129854" y="102023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1479A7A-F6B0-4568-97AA-570024CA2197}">
      <dsp:nvSpPr>
        <dsp:cNvPr id="0" name=""/>
        <dsp:cNvSpPr/>
      </dsp:nvSpPr>
      <dsp:spPr>
        <a:xfrm>
          <a:off x="7167593" y="1857392"/>
          <a:ext cx="129854" cy="414069"/>
        </a:xfrm>
        <a:custGeom>
          <a:avLst/>
          <a:gdLst/>
          <a:ahLst/>
          <a:cxnLst/>
          <a:rect l="0" t="0" r="0" b="0"/>
          <a:pathLst>
            <a:path>
              <a:moveTo>
                <a:pt x="0" y="0"/>
              </a:moveTo>
              <a:lnTo>
                <a:pt x="0" y="414069"/>
              </a:lnTo>
              <a:lnTo>
                <a:pt x="129854" y="41406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DEECE6A-2DC7-462C-B4D3-4FDA509FDDFE}">
      <dsp:nvSpPr>
        <dsp:cNvPr id="0" name=""/>
        <dsp:cNvSpPr/>
      </dsp:nvSpPr>
      <dsp:spPr>
        <a:xfrm>
          <a:off x="7464404" y="1251228"/>
          <a:ext cx="1991034" cy="221975"/>
        </a:xfrm>
        <a:custGeom>
          <a:avLst/>
          <a:gdLst/>
          <a:ahLst/>
          <a:cxnLst/>
          <a:rect l="0" t="0" r="0" b="0"/>
          <a:pathLst>
            <a:path>
              <a:moveTo>
                <a:pt x="1991034" y="0"/>
              </a:moveTo>
              <a:lnTo>
                <a:pt x="1991034" y="132331"/>
              </a:lnTo>
              <a:lnTo>
                <a:pt x="0" y="132331"/>
              </a:lnTo>
              <a:lnTo>
                <a:pt x="0"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E3B735-7102-43A0-A1E9-066BD01A6E5C}">
      <dsp:nvSpPr>
        <dsp:cNvPr id="0" name=""/>
        <dsp:cNvSpPr/>
      </dsp:nvSpPr>
      <dsp:spPr>
        <a:xfrm>
          <a:off x="7588843" y="645064"/>
          <a:ext cx="1866594" cy="221975"/>
        </a:xfrm>
        <a:custGeom>
          <a:avLst/>
          <a:gdLst/>
          <a:ahLst/>
          <a:cxnLst/>
          <a:rect l="0" t="0" r="0" b="0"/>
          <a:pathLst>
            <a:path>
              <a:moveTo>
                <a:pt x="0" y="0"/>
              </a:moveTo>
              <a:lnTo>
                <a:pt x="0" y="132331"/>
              </a:lnTo>
              <a:lnTo>
                <a:pt x="1866594" y="132331"/>
              </a:lnTo>
              <a:lnTo>
                <a:pt x="1866594" y="221975"/>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3170B44-4C49-46D1-BE51-BADB1752255A}">
      <dsp:nvSpPr>
        <dsp:cNvPr id="0" name=""/>
        <dsp:cNvSpPr/>
      </dsp:nvSpPr>
      <dsp:spPr>
        <a:xfrm>
          <a:off x="5971128" y="1251228"/>
          <a:ext cx="126745" cy="1626397"/>
        </a:xfrm>
        <a:custGeom>
          <a:avLst/>
          <a:gdLst/>
          <a:ahLst/>
          <a:cxnLst/>
          <a:rect l="0" t="0" r="0" b="0"/>
          <a:pathLst>
            <a:path>
              <a:moveTo>
                <a:pt x="0" y="0"/>
              </a:moveTo>
              <a:lnTo>
                <a:pt x="0" y="1626397"/>
              </a:lnTo>
              <a:lnTo>
                <a:pt x="126745" y="162639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4B25B85-D2E1-41E8-8612-F0F1274C95F0}">
      <dsp:nvSpPr>
        <dsp:cNvPr id="0" name=""/>
        <dsp:cNvSpPr/>
      </dsp:nvSpPr>
      <dsp:spPr>
        <a:xfrm>
          <a:off x="5427650" y="3069720"/>
          <a:ext cx="91440" cy="221975"/>
        </a:xfrm>
        <a:custGeom>
          <a:avLst/>
          <a:gdLst/>
          <a:ahLst/>
          <a:cxnLst/>
          <a:rect l="0" t="0" r="0" b="0"/>
          <a:pathLst>
            <a:path>
              <a:moveTo>
                <a:pt x="45720" y="0"/>
              </a:moveTo>
              <a:lnTo>
                <a:pt x="45720"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D476684-1BAD-40CB-932D-88D0398B2EAD}">
      <dsp:nvSpPr>
        <dsp:cNvPr id="0" name=""/>
        <dsp:cNvSpPr/>
      </dsp:nvSpPr>
      <dsp:spPr>
        <a:xfrm>
          <a:off x="5844383" y="1251228"/>
          <a:ext cx="126745" cy="1626397"/>
        </a:xfrm>
        <a:custGeom>
          <a:avLst/>
          <a:gdLst/>
          <a:ahLst/>
          <a:cxnLst/>
          <a:rect l="0" t="0" r="0" b="0"/>
          <a:pathLst>
            <a:path>
              <a:moveTo>
                <a:pt x="126745" y="0"/>
              </a:moveTo>
              <a:lnTo>
                <a:pt x="126745" y="1626397"/>
              </a:lnTo>
              <a:lnTo>
                <a:pt x="0" y="162639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F55F7A0-5262-4492-A421-74EE3244E2A7}">
      <dsp:nvSpPr>
        <dsp:cNvPr id="0" name=""/>
        <dsp:cNvSpPr/>
      </dsp:nvSpPr>
      <dsp:spPr>
        <a:xfrm>
          <a:off x="6423167" y="1857392"/>
          <a:ext cx="91440" cy="221975"/>
        </a:xfrm>
        <a:custGeom>
          <a:avLst/>
          <a:gdLst/>
          <a:ahLst/>
          <a:cxnLst/>
          <a:rect l="0" t="0" r="0" b="0"/>
          <a:pathLst>
            <a:path>
              <a:moveTo>
                <a:pt x="45720" y="0"/>
              </a:moveTo>
              <a:lnTo>
                <a:pt x="45720"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21DD6D6-FCEC-41D9-B348-B74C8086787F}">
      <dsp:nvSpPr>
        <dsp:cNvPr id="0" name=""/>
        <dsp:cNvSpPr/>
      </dsp:nvSpPr>
      <dsp:spPr>
        <a:xfrm>
          <a:off x="5971128" y="1251228"/>
          <a:ext cx="126745" cy="414069"/>
        </a:xfrm>
        <a:custGeom>
          <a:avLst/>
          <a:gdLst/>
          <a:ahLst/>
          <a:cxnLst/>
          <a:rect l="0" t="0" r="0" b="0"/>
          <a:pathLst>
            <a:path>
              <a:moveTo>
                <a:pt x="0" y="0"/>
              </a:moveTo>
              <a:lnTo>
                <a:pt x="0" y="414069"/>
              </a:lnTo>
              <a:lnTo>
                <a:pt x="126745" y="41406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B3B2737-FB14-4F34-9C32-D18254B8CF7E}">
      <dsp:nvSpPr>
        <dsp:cNvPr id="0" name=""/>
        <dsp:cNvSpPr/>
      </dsp:nvSpPr>
      <dsp:spPr>
        <a:xfrm>
          <a:off x="5427650" y="1857392"/>
          <a:ext cx="91440" cy="221975"/>
        </a:xfrm>
        <a:custGeom>
          <a:avLst/>
          <a:gdLst/>
          <a:ahLst/>
          <a:cxnLst/>
          <a:rect l="0" t="0" r="0" b="0"/>
          <a:pathLst>
            <a:path>
              <a:moveTo>
                <a:pt x="45720" y="0"/>
              </a:moveTo>
              <a:lnTo>
                <a:pt x="45720"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F4BBD4A-08BA-4925-8C99-6C66F75D79E7}">
      <dsp:nvSpPr>
        <dsp:cNvPr id="0" name=""/>
        <dsp:cNvSpPr/>
      </dsp:nvSpPr>
      <dsp:spPr>
        <a:xfrm>
          <a:off x="5844383" y="1251228"/>
          <a:ext cx="126745" cy="414069"/>
        </a:xfrm>
        <a:custGeom>
          <a:avLst/>
          <a:gdLst/>
          <a:ahLst/>
          <a:cxnLst/>
          <a:rect l="0" t="0" r="0" b="0"/>
          <a:pathLst>
            <a:path>
              <a:moveTo>
                <a:pt x="126745" y="0"/>
              </a:moveTo>
              <a:lnTo>
                <a:pt x="126745" y="414069"/>
              </a:lnTo>
              <a:lnTo>
                <a:pt x="0" y="41406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09FAE65-7840-485F-9390-5501F77F21C2}">
      <dsp:nvSpPr>
        <dsp:cNvPr id="0" name=""/>
        <dsp:cNvSpPr/>
      </dsp:nvSpPr>
      <dsp:spPr>
        <a:xfrm>
          <a:off x="5971128" y="645064"/>
          <a:ext cx="1617715" cy="221975"/>
        </a:xfrm>
        <a:custGeom>
          <a:avLst/>
          <a:gdLst/>
          <a:ahLst/>
          <a:cxnLst/>
          <a:rect l="0" t="0" r="0" b="0"/>
          <a:pathLst>
            <a:path>
              <a:moveTo>
                <a:pt x="1617715" y="0"/>
              </a:moveTo>
              <a:lnTo>
                <a:pt x="1617715" y="132331"/>
              </a:lnTo>
              <a:lnTo>
                <a:pt x="0" y="132331"/>
              </a:lnTo>
              <a:lnTo>
                <a:pt x="0" y="221975"/>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F7F1C17-88F0-49A1-B061-E5EA6660EE58}">
      <dsp:nvSpPr>
        <dsp:cNvPr id="0" name=""/>
        <dsp:cNvSpPr/>
      </dsp:nvSpPr>
      <dsp:spPr>
        <a:xfrm>
          <a:off x="2735697" y="1251228"/>
          <a:ext cx="1742155" cy="221975"/>
        </a:xfrm>
        <a:custGeom>
          <a:avLst/>
          <a:gdLst/>
          <a:ahLst/>
          <a:cxnLst/>
          <a:rect l="0" t="0" r="0" b="0"/>
          <a:pathLst>
            <a:path>
              <a:moveTo>
                <a:pt x="0" y="0"/>
              </a:moveTo>
              <a:lnTo>
                <a:pt x="0" y="132331"/>
              </a:lnTo>
              <a:lnTo>
                <a:pt x="1742155" y="132331"/>
              </a:lnTo>
              <a:lnTo>
                <a:pt x="1742155"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169BE2D-AC1B-4E1E-82B3-332B63F8DA99}">
      <dsp:nvSpPr>
        <dsp:cNvPr id="0" name=""/>
        <dsp:cNvSpPr/>
      </dsp:nvSpPr>
      <dsp:spPr>
        <a:xfrm>
          <a:off x="3417293" y="1857392"/>
          <a:ext cx="91440" cy="221975"/>
        </a:xfrm>
        <a:custGeom>
          <a:avLst/>
          <a:gdLst/>
          <a:ahLst/>
          <a:cxnLst/>
          <a:rect l="0" t="0" r="0" b="0"/>
          <a:pathLst>
            <a:path>
              <a:moveTo>
                <a:pt x="45720" y="0"/>
              </a:moveTo>
              <a:lnTo>
                <a:pt x="45720" y="132331"/>
              </a:lnTo>
              <a:lnTo>
                <a:pt x="48480" y="132331"/>
              </a:lnTo>
              <a:lnTo>
                <a:pt x="48480"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04D1964-9FA3-418A-9AA2-39CF8D327E59}">
      <dsp:nvSpPr>
        <dsp:cNvPr id="0" name=""/>
        <dsp:cNvSpPr/>
      </dsp:nvSpPr>
      <dsp:spPr>
        <a:xfrm>
          <a:off x="2735697" y="1251228"/>
          <a:ext cx="727315" cy="221975"/>
        </a:xfrm>
        <a:custGeom>
          <a:avLst/>
          <a:gdLst/>
          <a:ahLst/>
          <a:cxnLst/>
          <a:rect l="0" t="0" r="0" b="0"/>
          <a:pathLst>
            <a:path>
              <a:moveTo>
                <a:pt x="0" y="0"/>
              </a:moveTo>
              <a:lnTo>
                <a:pt x="0" y="132331"/>
              </a:lnTo>
              <a:lnTo>
                <a:pt x="727315" y="132331"/>
              </a:lnTo>
              <a:lnTo>
                <a:pt x="727315"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2A42D91-ED5F-47F4-98B3-6CD3C724CB23}">
      <dsp:nvSpPr>
        <dsp:cNvPr id="0" name=""/>
        <dsp:cNvSpPr/>
      </dsp:nvSpPr>
      <dsp:spPr>
        <a:xfrm>
          <a:off x="1985950" y="1857392"/>
          <a:ext cx="129854" cy="1626397"/>
        </a:xfrm>
        <a:custGeom>
          <a:avLst/>
          <a:gdLst/>
          <a:ahLst/>
          <a:cxnLst/>
          <a:rect l="0" t="0" r="0" b="0"/>
          <a:pathLst>
            <a:path>
              <a:moveTo>
                <a:pt x="0" y="0"/>
              </a:moveTo>
              <a:lnTo>
                <a:pt x="0" y="1626397"/>
              </a:lnTo>
              <a:lnTo>
                <a:pt x="129854" y="162639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6CDDB58-1BB9-4BE2-A1B8-7655683EDCCC}">
      <dsp:nvSpPr>
        <dsp:cNvPr id="0" name=""/>
        <dsp:cNvSpPr/>
      </dsp:nvSpPr>
      <dsp:spPr>
        <a:xfrm>
          <a:off x="1985950" y="1857392"/>
          <a:ext cx="129854" cy="1020233"/>
        </a:xfrm>
        <a:custGeom>
          <a:avLst/>
          <a:gdLst/>
          <a:ahLst/>
          <a:cxnLst/>
          <a:rect l="0" t="0" r="0" b="0"/>
          <a:pathLst>
            <a:path>
              <a:moveTo>
                <a:pt x="0" y="0"/>
              </a:moveTo>
              <a:lnTo>
                <a:pt x="0" y="1020233"/>
              </a:lnTo>
              <a:lnTo>
                <a:pt x="129854" y="102023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119D3AC-63DD-48A0-B22C-B15A76F98514}">
      <dsp:nvSpPr>
        <dsp:cNvPr id="0" name=""/>
        <dsp:cNvSpPr/>
      </dsp:nvSpPr>
      <dsp:spPr>
        <a:xfrm>
          <a:off x="1985950" y="1857392"/>
          <a:ext cx="129854" cy="414069"/>
        </a:xfrm>
        <a:custGeom>
          <a:avLst/>
          <a:gdLst/>
          <a:ahLst/>
          <a:cxnLst/>
          <a:rect l="0" t="0" r="0" b="0"/>
          <a:pathLst>
            <a:path>
              <a:moveTo>
                <a:pt x="0" y="0"/>
              </a:moveTo>
              <a:lnTo>
                <a:pt x="0" y="414069"/>
              </a:lnTo>
              <a:lnTo>
                <a:pt x="129854" y="41406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34D1D79C-E9EC-4928-9D09-43BB4377704D}">
      <dsp:nvSpPr>
        <dsp:cNvPr id="0" name=""/>
        <dsp:cNvSpPr/>
      </dsp:nvSpPr>
      <dsp:spPr>
        <a:xfrm>
          <a:off x="2282761" y="1251228"/>
          <a:ext cx="452936" cy="221975"/>
        </a:xfrm>
        <a:custGeom>
          <a:avLst/>
          <a:gdLst/>
          <a:ahLst/>
          <a:cxnLst/>
          <a:rect l="0" t="0" r="0" b="0"/>
          <a:pathLst>
            <a:path>
              <a:moveTo>
                <a:pt x="452936" y="0"/>
              </a:moveTo>
              <a:lnTo>
                <a:pt x="452936" y="132331"/>
              </a:lnTo>
              <a:lnTo>
                <a:pt x="0" y="132331"/>
              </a:lnTo>
              <a:lnTo>
                <a:pt x="0"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B92009-2DE0-41D1-89F9-862A29C03431}">
      <dsp:nvSpPr>
        <dsp:cNvPr id="0" name=""/>
        <dsp:cNvSpPr/>
      </dsp:nvSpPr>
      <dsp:spPr>
        <a:xfrm>
          <a:off x="866797" y="1857392"/>
          <a:ext cx="126745" cy="2232561"/>
        </a:xfrm>
        <a:custGeom>
          <a:avLst/>
          <a:gdLst/>
          <a:ahLst/>
          <a:cxnLst/>
          <a:rect l="0" t="0" r="0" b="0"/>
          <a:pathLst>
            <a:path>
              <a:moveTo>
                <a:pt x="126745" y="0"/>
              </a:moveTo>
              <a:lnTo>
                <a:pt x="126745" y="2232561"/>
              </a:lnTo>
              <a:lnTo>
                <a:pt x="0" y="2232561"/>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3DFA466-0E33-4527-9089-6C6C2C5EFDF8}">
      <dsp:nvSpPr>
        <dsp:cNvPr id="0" name=""/>
        <dsp:cNvSpPr/>
      </dsp:nvSpPr>
      <dsp:spPr>
        <a:xfrm>
          <a:off x="993542" y="1857392"/>
          <a:ext cx="126745" cy="1626397"/>
        </a:xfrm>
        <a:custGeom>
          <a:avLst/>
          <a:gdLst/>
          <a:ahLst/>
          <a:cxnLst/>
          <a:rect l="0" t="0" r="0" b="0"/>
          <a:pathLst>
            <a:path>
              <a:moveTo>
                <a:pt x="0" y="0"/>
              </a:moveTo>
              <a:lnTo>
                <a:pt x="0" y="1626397"/>
              </a:lnTo>
              <a:lnTo>
                <a:pt x="126745" y="162639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B32740C-8DC2-426F-B031-E2272990E064}">
      <dsp:nvSpPr>
        <dsp:cNvPr id="0" name=""/>
        <dsp:cNvSpPr/>
      </dsp:nvSpPr>
      <dsp:spPr>
        <a:xfrm>
          <a:off x="866797" y="1857392"/>
          <a:ext cx="126745" cy="1626397"/>
        </a:xfrm>
        <a:custGeom>
          <a:avLst/>
          <a:gdLst/>
          <a:ahLst/>
          <a:cxnLst/>
          <a:rect l="0" t="0" r="0" b="0"/>
          <a:pathLst>
            <a:path>
              <a:moveTo>
                <a:pt x="126745" y="0"/>
              </a:moveTo>
              <a:lnTo>
                <a:pt x="126745" y="1626397"/>
              </a:lnTo>
              <a:lnTo>
                <a:pt x="0" y="1626397"/>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D5D5120-7A69-4946-89D1-F27086829D97}">
      <dsp:nvSpPr>
        <dsp:cNvPr id="0" name=""/>
        <dsp:cNvSpPr/>
      </dsp:nvSpPr>
      <dsp:spPr>
        <a:xfrm>
          <a:off x="993542" y="1857392"/>
          <a:ext cx="126745" cy="1020233"/>
        </a:xfrm>
        <a:custGeom>
          <a:avLst/>
          <a:gdLst/>
          <a:ahLst/>
          <a:cxnLst/>
          <a:rect l="0" t="0" r="0" b="0"/>
          <a:pathLst>
            <a:path>
              <a:moveTo>
                <a:pt x="0" y="0"/>
              </a:moveTo>
              <a:lnTo>
                <a:pt x="0" y="1020233"/>
              </a:lnTo>
              <a:lnTo>
                <a:pt x="126745" y="102023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DD6DA7A-A100-4C22-9A9B-3DE29D7B3ACD}">
      <dsp:nvSpPr>
        <dsp:cNvPr id="0" name=""/>
        <dsp:cNvSpPr/>
      </dsp:nvSpPr>
      <dsp:spPr>
        <a:xfrm>
          <a:off x="866797" y="1857392"/>
          <a:ext cx="126745" cy="1020233"/>
        </a:xfrm>
        <a:custGeom>
          <a:avLst/>
          <a:gdLst/>
          <a:ahLst/>
          <a:cxnLst/>
          <a:rect l="0" t="0" r="0" b="0"/>
          <a:pathLst>
            <a:path>
              <a:moveTo>
                <a:pt x="126745" y="0"/>
              </a:moveTo>
              <a:lnTo>
                <a:pt x="126745" y="1020233"/>
              </a:lnTo>
              <a:lnTo>
                <a:pt x="0" y="1020233"/>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20E7F154-9C15-4CD6-BC79-681E2BD54E49}">
      <dsp:nvSpPr>
        <dsp:cNvPr id="0" name=""/>
        <dsp:cNvSpPr/>
      </dsp:nvSpPr>
      <dsp:spPr>
        <a:xfrm>
          <a:off x="993542" y="1857392"/>
          <a:ext cx="126745" cy="414069"/>
        </a:xfrm>
        <a:custGeom>
          <a:avLst/>
          <a:gdLst/>
          <a:ahLst/>
          <a:cxnLst/>
          <a:rect l="0" t="0" r="0" b="0"/>
          <a:pathLst>
            <a:path>
              <a:moveTo>
                <a:pt x="0" y="0"/>
              </a:moveTo>
              <a:lnTo>
                <a:pt x="0" y="414069"/>
              </a:lnTo>
              <a:lnTo>
                <a:pt x="126745" y="41406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6DC135A-6F27-4425-9A37-B7E67CEB6DB1}">
      <dsp:nvSpPr>
        <dsp:cNvPr id="0" name=""/>
        <dsp:cNvSpPr/>
      </dsp:nvSpPr>
      <dsp:spPr>
        <a:xfrm>
          <a:off x="866797" y="1857392"/>
          <a:ext cx="126745" cy="414069"/>
        </a:xfrm>
        <a:custGeom>
          <a:avLst/>
          <a:gdLst/>
          <a:ahLst/>
          <a:cxnLst/>
          <a:rect l="0" t="0" r="0" b="0"/>
          <a:pathLst>
            <a:path>
              <a:moveTo>
                <a:pt x="126745" y="0"/>
              </a:moveTo>
              <a:lnTo>
                <a:pt x="126745" y="414069"/>
              </a:lnTo>
              <a:lnTo>
                <a:pt x="0" y="414069"/>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4E72DE9-77E0-4F43-9A65-A6DC12A9FBD5}">
      <dsp:nvSpPr>
        <dsp:cNvPr id="0" name=""/>
        <dsp:cNvSpPr/>
      </dsp:nvSpPr>
      <dsp:spPr>
        <a:xfrm>
          <a:off x="993542" y="1251228"/>
          <a:ext cx="1742155" cy="221975"/>
        </a:xfrm>
        <a:custGeom>
          <a:avLst/>
          <a:gdLst/>
          <a:ahLst/>
          <a:cxnLst/>
          <a:rect l="0" t="0" r="0" b="0"/>
          <a:pathLst>
            <a:path>
              <a:moveTo>
                <a:pt x="1742155" y="0"/>
              </a:moveTo>
              <a:lnTo>
                <a:pt x="1742155" y="132331"/>
              </a:lnTo>
              <a:lnTo>
                <a:pt x="0" y="132331"/>
              </a:lnTo>
              <a:lnTo>
                <a:pt x="0" y="22197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CD91427-577B-441A-8166-134B6937CF4D}">
      <dsp:nvSpPr>
        <dsp:cNvPr id="0" name=""/>
        <dsp:cNvSpPr/>
      </dsp:nvSpPr>
      <dsp:spPr>
        <a:xfrm>
          <a:off x="2735697" y="645064"/>
          <a:ext cx="4853146" cy="221975"/>
        </a:xfrm>
        <a:custGeom>
          <a:avLst/>
          <a:gdLst/>
          <a:ahLst/>
          <a:cxnLst/>
          <a:rect l="0" t="0" r="0" b="0"/>
          <a:pathLst>
            <a:path>
              <a:moveTo>
                <a:pt x="4853146" y="0"/>
              </a:moveTo>
              <a:lnTo>
                <a:pt x="4853146" y="132331"/>
              </a:lnTo>
              <a:lnTo>
                <a:pt x="0" y="132331"/>
              </a:lnTo>
              <a:lnTo>
                <a:pt x="0" y="221975"/>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CB627A4-2C01-467D-9E2F-FFFEA7E2E616}">
      <dsp:nvSpPr>
        <dsp:cNvPr id="0" name=""/>
        <dsp:cNvSpPr/>
      </dsp:nvSpPr>
      <dsp:spPr>
        <a:xfrm>
          <a:off x="7217830" y="260876"/>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Military Forces</a:t>
          </a:r>
          <a:endParaRPr lang="ru-RU" sz="700" kern="1200"/>
        </a:p>
      </dsp:txBody>
      <dsp:txXfrm>
        <a:off x="7217830" y="260876"/>
        <a:ext cx="742026" cy="384188"/>
      </dsp:txXfrm>
    </dsp:sp>
    <dsp:sp modelId="{497F8702-6EA2-457B-A3A7-61F56827C5DD}">
      <dsp:nvSpPr>
        <dsp:cNvPr id="0" name=""/>
        <dsp:cNvSpPr/>
      </dsp:nvSpPr>
      <dsp:spPr>
        <a:xfrm>
          <a:off x="7366236" y="559689"/>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7366236" y="559689"/>
        <a:ext cx="667823" cy="128062"/>
      </dsp:txXfrm>
    </dsp:sp>
    <dsp:sp modelId="{998ED5B5-C615-4F9E-8587-33B954BC6870}">
      <dsp:nvSpPr>
        <dsp:cNvPr id="0" name=""/>
        <dsp:cNvSpPr/>
      </dsp:nvSpPr>
      <dsp:spPr>
        <a:xfrm>
          <a:off x="2364684" y="867040"/>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0" kern="1200"/>
            <a:t>Army of the East</a:t>
          </a:r>
          <a:endParaRPr lang="ru-RU" sz="700" kern="1200"/>
        </a:p>
      </dsp:txBody>
      <dsp:txXfrm>
        <a:off x="2364684" y="867040"/>
        <a:ext cx="742026" cy="384188"/>
      </dsp:txXfrm>
    </dsp:sp>
    <dsp:sp modelId="{AB3696F1-3526-4C4D-924D-F80780FF4F0C}">
      <dsp:nvSpPr>
        <dsp:cNvPr id="0" name=""/>
        <dsp:cNvSpPr/>
      </dsp:nvSpPr>
      <dsp:spPr>
        <a:xfrm>
          <a:off x="2513089" y="1165853"/>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2513089" y="1165853"/>
        <a:ext cx="667823" cy="128062"/>
      </dsp:txXfrm>
    </dsp:sp>
    <dsp:sp modelId="{EB0CFA4B-190D-468F-BA87-622AC9D67C24}">
      <dsp:nvSpPr>
        <dsp:cNvPr id="0" name=""/>
        <dsp:cNvSpPr/>
      </dsp:nvSpPr>
      <dsp:spPr>
        <a:xfrm>
          <a:off x="622529" y="147320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Arabel</a:t>
          </a:r>
          <a:endParaRPr lang="ru-RU" sz="700" kern="1200"/>
        </a:p>
      </dsp:txBody>
      <dsp:txXfrm>
        <a:off x="622529" y="1473204"/>
        <a:ext cx="742026" cy="384188"/>
      </dsp:txXfrm>
    </dsp:sp>
    <dsp:sp modelId="{FD2C1B63-12C7-44D5-B35D-2DC830D2B419}">
      <dsp:nvSpPr>
        <dsp:cNvPr id="0" name=""/>
        <dsp:cNvSpPr/>
      </dsp:nvSpPr>
      <dsp:spPr>
        <a:xfrm>
          <a:off x="770934" y="177201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770934" y="1772017"/>
        <a:ext cx="667823" cy="128062"/>
      </dsp:txXfrm>
    </dsp:sp>
    <dsp:sp modelId="{DEA1CC30-36FD-43BC-A88E-53406C1EF371}">
      <dsp:nvSpPr>
        <dsp:cNvPr id="0" name=""/>
        <dsp:cNvSpPr/>
      </dsp:nvSpPr>
      <dsp:spPr>
        <a:xfrm>
          <a:off x="124770" y="2079368"/>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Redspring</a:t>
          </a:r>
          <a:endParaRPr lang="ru-RU" sz="700" kern="1200"/>
        </a:p>
      </dsp:txBody>
      <dsp:txXfrm>
        <a:off x="124770" y="2079368"/>
        <a:ext cx="742026" cy="384188"/>
      </dsp:txXfrm>
    </dsp:sp>
    <dsp:sp modelId="{388E1053-73E6-4237-90F0-BBF595B7573C}">
      <dsp:nvSpPr>
        <dsp:cNvPr id="0" name=""/>
        <dsp:cNvSpPr/>
      </dsp:nvSpPr>
      <dsp:spPr>
        <a:xfrm>
          <a:off x="273176" y="2378181"/>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273176" y="2378181"/>
        <a:ext cx="667823" cy="128062"/>
      </dsp:txXfrm>
    </dsp:sp>
    <dsp:sp modelId="{A98A12A0-375D-4106-ABCD-865408F0FABC}">
      <dsp:nvSpPr>
        <dsp:cNvPr id="0" name=""/>
        <dsp:cNvSpPr/>
      </dsp:nvSpPr>
      <dsp:spPr>
        <a:xfrm>
          <a:off x="1120288" y="2079368"/>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Goblin Mountain Outpost</a:t>
          </a:r>
          <a:endParaRPr lang="ru-RU" sz="700" kern="1200"/>
        </a:p>
      </dsp:txBody>
      <dsp:txXfrm>
        <a:off x="1120288" y="2079368"/>
        <a:ext cx="742026" cy="384188"/>
      </dsp:txXfrm>
    </dsp:sp>
    <dsp:sp modelId="{AEBDC091-F9F7-462C-AE0C-3B1BA757064D}">
      <dsp:nvSpPr>
        <dsp:cNvPr id="0" name=""/>
        <dsp:cNvSpPr/>
      </dsp:nvSpPr>
      <dsp:spPr>
        <a:xfrm>
          <a:off x="1268693" y="2378181"/>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268693" y="2378181"/>
        <a:ext cx="667823" cy="128062"/>
      </dsp:txXfrm>
    </dsp:sp>
    <dsp:sp modelId="{3B334248-BAB9-42CA-9871-E261EB326B22}">
      <dsp:nvSpPr>
        <dsp:cNvPr id="0" name=""/>
        <dsp:cNvSpPr/>
      </dsp:nvSpPr>
      <dsp:spPr>
        <a:xfrm>
          <a:off x="124770" y="2685532"/>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Thunder Gap border outpost</a:t>
          </a:r>
          <a:endParaRPr lang="ru-RU" sz="700" kern="1200"/>
        </a:p>
      </dsp:txBody>
      <dsp:txXfrm>
        <a:off x="124770" y="2685532"/>
        <a:ext cx="742026" cy="384188"/>
      </dsp:txXfrm>
    </dsp:sp>
    <dsp:sp modelId="{D2AFCE57-00AC-4173-BE7C-DED0062BD73A}">
      <dsp:nvSpPr>
        <dsp:cNvPr id="0" name=""/>
        <dsp:cNvSpPr/>
      </dsp:nvSpPr>
      <dsp:spPr>
        <a:xfrm>
          <a:off x="273176" y="2984345"/>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273176" y="2984345"/>
        <a:ext cx="667823" cy="128062"/>
      </dsp:txXfrm>
    </dsp:sp>
    <dsp:sp modelId="{3D027C5F-090F-4E8F-AE5E-A815B0C02A94}">
      <dsp:nvSpPr>
        <dsp:cNvPr id="0" name=""/>
        <dsp:cNvSpPr/>
      </dsp:nvSpPr>
      <dsp:spPr>
        <a:xfrm>
          <a:off x="1120288" y="2685532"/>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Masoner's Bridge waypost</a:t>
          </a:r>
          <a:endParaRPr lang="ru-RU" sz="700" kern="1200"/>
        </a:p>
      </dsp:txBody>
      <dsp:txXfrm>
        <a:off x="1120288" y="2685532"/>
        <a:ext cx="742026" cy="384188"/>
      </dsp:txXfrm>
    </dsp:sp>
    <dsp:sp modelId="{54A59613-1B04-48F2-9981-764D08BC337A}">
      <dsp:nvSpPr>
        <dsp:cNvPr id="0" name=""/>
        <dsp:cNvSpPr/>
      </dsp:nvSpPr>
      <dsp:spPr>
        <a:xfrm>
          <a:off x="1268693" y="2984345"/>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268693" y="2984345"/>
        <a:ext cx="667823" cy="128062"/>
      </dsp:txXfrm>
    </dsp:sp>
    <dsp:sp modelId="{8EE6926A-F0D8-4CB6-A2B6-C7034E7F9C30}">
      <dsp:nvSpPr>
        <dsp:cNvPr id="0" name=""/>
        <dsp:cNvSpPr/>
      </dsp:nvSpPr>
      <dsp:spPr>
        <a:xfrm>
          <a:off x="124770" y="3291696"/>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East Way waypost</a:t>
          </a:r>
          <a:endParaRPr lang="ru-RU" sz="700" kern="1200"/>
        </a:p>
      </dsp:txBody>
      <dsp:txXfrm>
        <a:off x="124770" y="3291696"/>
        <a:ext cx="742026" cy="384188"/>
      </dsp:txXfrm>
    </dsp:sp>
    <dsp:sp modelId="{94955614-EFFB-4FA8-B43D-F911E9710223}">
      <dsp:nvSpPr>
        <dsp:cNvPr id="0" name=""/>
        <dsp:cNvSpPr/>
      </dsp:nvSpPr>
      <dsp:spPr>
        <a:xfrm>
          <a:off x="273176" y="3590509"/>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273176" y="3590509"/>
        <a:ext cx="667823" cy="128062"/>
      </dsp:txXfrm>
    </dsp:sp>
    <dsp:sp modelId="{0324913E-DF24-4789-B17A-5497E9E7E66D}">
      <dsp:nvSpPr>
        <dsp:cNvPr id="0" name=""/>
        <dsp:cNvSpPr/>
      </dsp:nvSpPr>
      <dsp:spPr>
        <a:xfrm>
          <a:off x="1120288" y="3291696"/>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patrols into the Stonelands</a:t>
          </a:r>
          <a:endParaRPr lang="ru-RU" sz="700" kern="1200"/>
        </a:p>
      </dsp:txBody>
      <dsp:txXfrm>
        <a:off x="1120288" y="3291696"/>
        <a:ext cx="742026" cy="384188"/>
      </dsp:txXfrm>
    </dsp:sp>
    <dsp:sp modelId="{F0907E31-8957-458E-92D9-FCA15A43F1F2}">
      <dsp:nvSpPr>
        <dsp:cNvPr id="0" name=""/>
        <dsp:cNvSpPr/>
      </dsp:nvSpPr>
      <dsp:spPr>
        <a:xfrm>
          <a:off x="1268693" y="3590509"/>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268693" y="3590509"/>
        <a:ext cx="667823" cy="128062"/>
      </dsp:txXfrm>
    </dsp:sp>
    <dsp:sp modelId="{5B16D9B2-2665-4969-A326-41045BB72F81}">
      <dsp:nvSpPr>
        <dsp:cNvPr id="0" name=""/>
        <dsp:cNvSpPr/>
      </dsp:nvSpPr>
      <dsp:spPr>
        <a:xfrm>
          <a:off x="124770" y="3897860"/>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Yeoman Bridge</a:t>
          </a:r>
          <a:endParaRPr lang="en-US" sz="700" kern="1200"/>
        </a:p>
      </dsp:txBody>
      <dsp:txXfrm>
        <a:off x="124770" y="3897860"/>
        <a:ext cx="742026" cy="384188"/>
      </dsp:txXfrm>
    </dsp:sp>
    <dsp:sp modelId="{C11BC66F-72F6-4BD9-93AE-C4B82F062BF0}">
      <dsp:nvSpPr>
        <dsp:cNvPr id="0" name=""/>
        <dsp:cNvSpPr/>
      </dsp:nvSpPr>
      <dsp:spPr>
        <a:xfrm>
          <a:off x="273176" y="4196673"/>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273176" y="4196673"/>
        <a:ext cx="667823" cy="128062"/>
      </dsp:txXfrm>
    </dsp:sp>
    <dsp:sp modelId="{B90A13A0-98BD-41B8-9100-A41547601D22}">
      <dsp:nvSpPr>
        <dsp:cNvPr id="0" name=""/>
        <dsp:cNvSpPr/>
      </dsp:nvSpPr>
      <dsp:spPr>
        <a:xfrm>
          <a:off x="1911747" y="147320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Castle Crag</a:t>
          </a:r>
          <a:endParaRPr lang="ru-RU" sz="700" kern="1200"/>
        </a:p>
      </dsp:txBody>
      <dsp:txXfrm>
        <a:off x="1911747" y="1473204"/>
        <a:ext cx="742026" cy="384188"/>
      </dsp:txXfrm>
    </dsp:sp>
    <dsp:sp modelId="{848A0AD0-6DD4-43B2-936E-7528D55AD57C}">
      <dsp:nvSpPr>
        <dsp:cNvPr id="0" name=""/>
        <dsp:cNvSpPr/>
      </dsp:nvSpPr>
      <dsp:spPr>
        <a:xfrm>
          <a:off x="2060153" y="177201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2060153" y="1772017"/>
        <a:ext cx="667823" cy="128062"/>
      </dsp:txXfrm>
    </dsp:sp>
    <dsp:sp modelId="{F4D0F44D-12FD-4BFA-8D70-F7C6F3908375}">
      <dsp:nvSpPr>
        <dsp:cNvPr id="0" name=""/>
        <dsp:cNvSpPr/>
      </dsp:nvSpPr>
      <dsp:spPr>
        <a:xfrm>
          <a:off x="2115805" y="2079368"/>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Slingdyke</a:t>
          </a:r>
          <a:endParaRPr lang="ru-RU" sz="700" kern="1200"/>
        </a:p>
      </dsp:txBody>
      <dsp:txXfrm>
        <a:off x="2115805" y="2079368"/>
        <a:ext cx="742026" cy="384188"/>
      </dsp:txXfrm>
    </dsp:sp>
    <dsp:sp modelId="{AA23DE0C-5E08-40CB-92E0-0904D54AA9FB}">
      <dsp:nvSpPr>
        <dsp:cNvPr id="0" name=""/>
        <dsp:cNvSpPr/>
      </dsp:nvSpPr>
      <dsp:spPr>
        <a:xfrm>
          <a:off x="2264210" y="2378181"/>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2264210" y="2378181"/>
        <a:ext cx="667823" cy="128062"/>
      </dsp:txXfrm>
    </dsp:sp>
    <dsp:sp modelId="{8C2E6AA0-A6B8-47F0-A74C-7096EE0D8B0C}">
      <dsp:nvSpPr>
        <dsp:cNvPr id="0" name=""/>
        <dsp:cNvSpPr/>
      </dsp:nvSpPr>
      <dsp:spPr>
        <a:xfrm>
          <a:off x="2115805" y="2685532"/>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Hillmarch</a:t>
          </a:r>
          <a:endParaRPr lang="ru-RU" sz="700" kern="1200"/>
        </a:p>
      </dsp:txBody>
      <dsp:txXfrm>
        <a:off x="2115805" y="2685532"/>
        <a:ext cx="742026" cy="384188"/>
      </dsp:txXfrm>
    </dsp:sp>
    <dsp:sp modelId="{A0971A63-0F7A-4CC9-BA3B-5D4436355018}">
      <dsp:nvSpPr>
        <dsp:cNvPr id="0" name=""/>
        <dsp:cNvSpPr/>
      </dsp:nvSpPr>
      <dsp:spPr>
        <a:xfrm>
          <a:off x="2264210" y="2984345"/>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2264210" y="2984345"/>
        <a:ext cx="667823" cy="128062"/>
      </dsp:txXfrm>
    </dsp:sp>
    <dsp:sp modelId="{B9EC0917-8520-4865-ACE6-E26CFF0775A3}">
      <dsp:nvSpPr>
        <dsp:cNvPr id="0" name=""/>
        <dsp:cNvSpPr/>
      </dsp:nvSpPr>
      <dsp:spPr>
        <a:xfrm>
          <a:off x="2115805" y="3291696"/>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Gnollpost</a:t>
          </a:r>
          <a:endParaRPr lang="ru-RU" sz="700" kern="1200"/>
        </a:p>
      </dsp:txBody>
      <dsp:txXfrm>
        <a:off x="2115805" y="3291696"/>
        <a:ext cx="742026" cy="384188"/>
      </dsp:txXfrm>
    </dsp:sp>
    <dsp:sp modelId="{A6DCDDFB-87E5-490F-8079-086A0A43A36B}">
      <dsp:nvSpPr>
        <dsp:cNvPr id="0" name=""/>
        <dsp:cNvSpPr/>
      </dsp:nvSpPr>
      <dsp:spPr>
        <a:xfrm>
          <a:off x="2264210" y="3590509"/>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2264210" y="3590509"/>
        <a:ext cx="667823" cy="128062"/>
      </dsp:txXfrm>
    </dsp:sp>
    <dsp:sp modelId="{E8494AC8-C34C-4266-B228-2586A503492E}">
      <dsp:nvSpPr>
        <dsp:cNvPr id="0" name=""/>
        <dsp:cNvSpPr/>
      </dsp:nvSpPr>
      <dsp:spPr>
        <a:xfrm>
          <a:off x="3092000" y="147320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1" i="0" kern="1200"/>
            <a:t>Halfhap</a:t>
          </a:r>
          <a:endParaRPr lang="ru-RU" sz="700" kern="1200"/>
        </a:p>
      </dsp:txBody>
      <dsp:txXfrm>
        <a:off x="3092000" y="1473204"/>
        <a:ext cx="742026" cy="384188"/>
      </dsp:txXfrm>
    </dsp:sp>
    <dsp:sp modelId="{6A15F474-B874-4116-9C30-7BEC48E608D4}">
      <dsp:nvSpPr>
        <dsp:cNvPr id="0" name=""/>
        <dsp:cNvSpPr/>
      </dsp:nvSpPr>
      <dsp:spPr>
        <a:xfrm>
          <a:off x="3259727" y="177201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3259727" y="1772017"/>
        <a:ext cx="667823" cy="128062"/>
      </dsp:txXfrm>
    </dsp:sp>
    <dsp:sp modelId="{0FD57CB8-FF3E-4DB9-BA9D-377D67E7AC78}">
      <dsp:nvSpPr>
        <dsp:cNvPr id="0" name=""/>
        <dsp:cNvSpPr/>
      </dsp:nvSpPr>
      <dsp:spPr>
        <a:xfrm>
          <a:off x="3094760" y="2079368"/>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Mootpost</a:t>
          </a:r>
          <a:endParaRPr lang="ru-RU" sz="700" kern="1200"/>
        </a:p>
      </dsp:txBody>
      <dsp:txXfrm>
        <a:off x="3094760" y="2079368"/>
        <a:ext cx="742026" cy="384188"/>
      </dsp:txXfrm>
    </dsp:sp>
    <dsp:sp modelId="{1B96B8DA-0116-493D-8BEC-AF9251C326B3}">
      <dsp:nvSpPr>
        <dsp:cNvPr id="0" name=""/>
        <dsp:cNvSpPr/>
      </dsp:nvSpPr>
      <dsp:spPr>
        <a:xfrm>
          <a:off x="3259727" y="2378181"/>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3259727" y="2378181"/>
        <a:ext cx="667823" cy="128062"/>
      </dsp:txXfrm>
    </dsp:sp>
    <dsp:sp modelId="{D5C435F0-E006-4FCA-A00A-154E65584AD1}">
      <dsp:nvSpPr>
        <dsp:cNvPr id="0" name=""/>
        <dsp:cNvSpPr/>
      </dsp:nvSpPr>
      <dsp:spPr>
        <a:xfrm>
          <a:off x="4106839" y="147320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New Tilverton</a:t>
          </a:r>
          <a:endParaRPr lang="ru-RU" sz="700" kern="1200"/>
        </a:p>
      </dsp:txBody>
      <dsp:txXfrm>
        <a:off x="4106839" y="1473204"/>
        <a:ext cx="742026" cy="384188"/>
      </dsp:txXfrm>
    </dsp:sp>
    <dsp:sp modelId="{CA60510E-A1CB-4948-A061-117DBE5AEC08}">
      <dsp:nvSpPr>
        <dsp:cNvPr id="0" name=""/>
        <dsp:cNvSpPr/>
      </dsp:nvSpPr>
      <dsp:spPr>
        <a:xfrm>
          <a:off x="4255244" y="177201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4255244" y="1772017"/>
        <a:ext cx="667823" cy="128062"/>
      </dsp:txXfrm>
    </dsp:sp>
    <dsp:sp modelId="{80341BDE-F995-4D7F-8487-8233CAEF1DEE}">
      <dsp:nvSpPr>
        <dsp:cNvPr id="0" name=""/>
        <dsp:cNvSpPr/>
      </dsp:nvSpPr>
      <dsp:spPr>
        <a:xfrm>
          <a:off x="5600115" y="867040"/>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0" kern="1200"/>
            <a:t>Army of the West</a:t>
          </a:r>
          <a:endParaRPr lang="ru-RU" sz="700" kern="1200"/>
        </a:p>
      </dsp:txBody>
      <dsp:txXfrm>
        <a:off x="5600115" y="867040"/>
        <a:ext cx="742026" cy="384188"/>
      </dsp:txXfrm>
    </dsp:sp>
    <dsp:sp modelId="{DAA10A89-274A-46C3-823E-AE3B00B8A417}">
      <dsp:nvSpPr>
        <dsp:cNvPr id="0" name=""/>
        <dsp:cNvSpPr/>
      </dsp:nvSpPr>
      <dsp:spPr>
        <a:xfrm>
          <a:off x="5748520" y="1165853"/>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5748520" y="1165853"/>
        <a:ext cx="667823" cy="128062"/>
      </dsp:txXfrm>
    </dsp:sp>
    <dsp:sp modelId="{FEDAC8C2-250E-4B32-8532-855473263F13}">
      <dsp:nvSpPr>
        <dsp:cNvPr id="0" name=""/>
        <dsp:cNvSpPr/>
      </dsp:nvSpPr>
      <dsp:spPr>
        <a:xfrm>
          <a:off x="5102356" y="147320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1" i="0" kern="1200"/>
            <a:t>Eagle Peak</a:t>
          </a:r>
          <a:endParaRPr lang="ru-RU" sz="700" kern="1200"/>
        </a:p>
      </dsp:txBody>
      <dsp:txXfrm>
        <a:off x="5102356" y="1473204"/>
        <a:ext cx="742026" cy="384188"/>
      </dsp:txXfrm>
    </dsp:sp>
    <dsp:sp modelId="{656E15EF-04E1-41C4-A0E2-A1CAADE791E4}">
      <dsp:nvSpPr>
        <dsp:cNvPr id="0" name=""/>
        <dsp:cNvSpPr/>
      </dsp:nvSpPr>
      <dsp:spPr>
        <a:xfrm>
          <a:off x="5250762" y="177201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5250762" y="1772017"/>
        <a:ext cx="667823" cy="128062"/>
      </dsp:txXfrm>
    </dsp:sp>
    <dsp:sp modelId="{2DCEA40D-47E6-4BC8-B79E-5B9B8090F3E4}">
      <dsp:nvSpPr>
        <dsp:cNvPr id="0" name=""/>
        <dsp:cNvSpPr/>
      </dsp:nvSpPr>
      <dsp:spPr>
        <a:xfrm>
          <a:off x="5102356" y="2079368"/>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Castle Aris</a:t>
          </a:r>
          <a:endParaRPr lang="ru-RU" sz="700" kern="1200"/>
        </a:p>
      </dsp:txBody>
      <dsp:txXfrm>
        <a:off x="5102356" y="2079368"/>
        <a:ext cx="742026" cy="384188"/>
      </dsp:txXfrm>
    </dsp:sp>
    <dsp:sp modelId="{89D87073-DF77-46C5-BCFE-2C803C65B702}">
      <dsp:nvSpPr>
        <dsp:cNvPr id="0" name=""/>
        <dsp:cNvSpPr/>
      </dsp:nvSpPr>
      <dsp:spPr>
        <a:xfrm>
          <a:off x="5250762" y="2378181"/>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5250762" y="2378181"/>
        <a:ext cx="667823" cy="128062"/>
      </dsp:txXfrm>
    </dsp:sp>
    <dsp:sp modelId="{D5B37A4F-EF58-45F4-8276-218AE53A3C6F}">
      <dsp:nvSpPr>
        <dsp:cNvPr id="0" name=""/>
        <dsp:cNvSpPr/>
      </dsp:nvSpPr>
      <dsp:spPr>
        <a:xfrm>
          <a:off x="6097873" y="147320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1" i="0" kern="1200"/>
            <a:t>High Horn</a:t>
          </a:r>
          <a:endParaRPr lang="en-US" sz="700" i="0" kern="1200"/>
        </a:p>
      </dsp:txBody>
      <dsp:txXfrm>
        <a:off x="6097873" y="1473204"/>
        <a:ext cx="742026" cy="384188"/>
      </dsp:txXfrm>
    </dsp:sp>
    <dsp:sp modelId="{38BE10C7-FBDC-4133-91A6-59B93208FF60}">
      <dsp:nvSpPr>
        <dsp:cNvPr id="0" name=""/>
        <dsp:cNvSpPr/>
      </dsp:nvSpPr>
      <dsp:spPr>
        <a:xfrm>
          <a:off x="6246279" y="177201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6246279" y="1772017"/>
        <a:ext cx="667823" cy="128062"/>
      </dsp:txXfrm>
    </dsp:sp>
    <dsp:sp modelId="{019F7FFD-9036-42CB-B450-ABD033DC3880}">
      <dsp:nvSpPr>
        <dsp:cNvPr id="0" name=""/>
        <dsp:cNvSpPr/>
      </dsp:nvSpPr>
      <dsp:spPr>
        <a:xfrm>
          <a:off x="6097873" y="2079368"/>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0" kern="1200"/>
            <a:t>Tyrluk</a:t>
          </a:r>
          <a:endParaRPr lang="en-US" sz="700" i="0" kern="1200"/>
        </a:p>
      </dsp:txBody>
      <dsp:txXfrm>
        <a:off x="6097873" y="2079368"/>
        <a:ext cx="742026" cy="384188"/>
      </dsp:txXfrm>
    </dsp:sp>
    <dsp:sp modelId="{559352D2-DAA0-48CE-A551-A1FCE375E13C}">
      <dsp:nvSpPr>
        <dsp:cNvPr id="0" name=""/>
        <dsp:cNvSpPr/>
      </dsp:nvSpPr>
      <dsp:spPr>
        <a:xfrm>
          <a:off x="6246279" y="2378181"/>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6246279" y="2378181"/>
        <a:ext cx="667823" cy="128062"/>
      </dsp:txXfrm>
    </dsp:sp>
    <dsp:sp modelId="{1C8E0FDE-B596-4BE4-B9DE-1133B8437399}">
      <dsp:nvSpPr>
        <dsp:cNvPr id="0" name=""/>
        <dsp:cNvSpPr/>
      </dsp:nvSpPr>
      <dsp:spPr>
        <a:xfrm>
          <a:off x="5102356" y="2685532"/>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1" i="0" kern="1200"/>
            <a:t>Skull Crag</a:t>
          </a:r>
          <a:endParaRPr lang="en-US" sz="700" kern="1200"/>
        </a:p>
      </dsp:txBody>
      <dsp:txXfrm>
        <a:off x="5102356" y="2685532"/>
        <a:ext cx="742026" cy="384188"/>
      </dsp:txXfrm>
    </dsp:sp>
    <dsp:sp modelId="{44A4C9CE-925A-433F-8D8E-7EE62AF3AD4E}">
      <dsp:nvSpPr>
        <dsp:cNvPr id="0" name=""/>
        <dsp:cNvSpPr/>
      </dsp:nvSpPr>
      <dsp:spPr>
        <a:xfrm>
          <a:off x="5250762" y="2984345"/>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5250762" y="2984345"/>
        <a:ext cx="667823" cy="128062"/>
      </dsp:txXfrm>
    </dsp:sp>
    <dsp:sp modelId="{45D0B1BF-78E7-496B-84E7-12A2829B813F}">
      <dsp:nvSpPr>
        <dsp:cNvPr id="0" name=""/>
        <dsp:cNvSpPr/>
      </dsp:nvSpPr>
      <dsp:spPr>
        <a:xfrm>
          <a:off x="5102356" y="3291696"/>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0" kern="1200"/>
            <a:t>Greatgaunt</a:t>
          </a:r>
          <a:endParaRPr lang="en-US" sz="700" i="0" kern="1200"/>
        </a:p>
      </dsp:txBody>
      <dsp:txXfrm>
        <a:off x="5102356" y="3291696"/>
        <a:ext cx="742026" cy="384188"/>
      </dsp:txXfrm>
    </dsp:sp>
    <dsp:sp modelId="{F67D9200-4BF3-464E-BD3D-2EBEA7A12FC2}">
      <dsp:nvSpPr>
        <dsp:cNvPr id="0" name=""/>
        <dsp:cNvSpPr/>
      </dsp:nvSpPr>
      <dsp:spPr>
        <a:xfrm>
          <a:off x="5250762" y="3590509"/>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5250762" y="3590509"/>
        <a:ext cx="667823" cy="128062"/>
      </dsp:txXfrm>
    </dsp:sp>
    <dsp:sp modelId="{6F3EF441-777F-4A7D-A026-57867321C315}">
      <dsp:nvSpPr>
        <dsp:cNvPr id="0" name=""/>
        <dsp:cNvSpPr/>
      </dsp:nvSpPr>
      <dsp:spPr>
        <a:xfrm>
          <a:off x="6097873" y="2685532"/>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Proskur</a:t>
          </a:r>
          <a:endParaRPr lang="ru-RU" sz="700" kern="1200"/>
        </a:p>
      </dsp:txBody>
      <dsp:txXfrm>
        <a:off x="6097873" y="2685532"/>
        <a:ext cx="742026" cy="384188"/>
      </dsp:txXfrm>
    </dsp:sp>
    <dsp:sp modelId="{E8B83256-F6F6-412B-A9C6-663D1E7F00A7}">
      <dsp:nvSpPr>
        <dsp:cNvPr id="0" name=""/>
        <dsp:cNvSpPr/>
      </dsp:nvSpPr>
      <dsp:spPr>
        <a:xfrm>
          <a:off x="6246279" y="2984345"/>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6246279" y="2984345"/>
        <a:ext cx="667823" cy="128062"/>
      </dsp:txXfrm>
    </dsp:sp>
    <dsp:sp modelId="{07E26C17-29DF-4787-B788-D11E5789DF29}">
      <dsp:nvSpPr>
        <dsp:cNvPr id="0" name=""/>
        <dsp:cNvSpPr/>
      </dsp:nvSpPr>
      <dsp:spPr>
        <a:xfrm>
          <a:off x="9084425" y="867040"/>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0" kern="1200"/>
            <a:t>Army of the Heartlands</a:t>
          </a:r>
          <a:endParaRPr lang="ru-RU" sz="700" kern="1200"/>
        </a:p>
      </dsp:txBody>
      <dsp:txXfrm>
        <a:off x="9084425" y="867040"/>
        <a:ext cx="742026" cy="384188"/>
      </dsp:txXfrm>
    </dsp:sp>
    <dsp:sp modelId="{BB5B700F-496F-45E0-9351-B2DF026C420E}">
      <dsp:nvSpPr>
        <dsp:cNvPr id="0" name=""/>
        <dsp:cNvSpPr/>
      </dsp:nvSpPr>
      <dsp:spPr>
        <a:xfrm>
          <a:off x="9232830" y="1165853"/>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9232830" y="1165853"/>
        <a:ext cx="667823" cy="128062"/>
      </dsp:txXfrm>
    </dsp:sp>
    <dsp:sp modelId="{2A0BCD83-2C24-4BE1-B20B-A9DCDFF5B535}">
      <dsp:nvSpPr>
        <dsp:cNvPr id="0" name=""/>
        <dsp:cNvSpPr/>
      </dsp:nvSpPr>
      <dsp:spPr>
        <a:xfrm>
          <a:off x="7093391" y="147320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Suzail</a:t>
          </a:r>
        </a:p>
      </dsp:txBody>
      <dsp:txXfrm>
        <a:off x="7093391" y="1473204"/>
        <a:ext cx="742026" cy="384188"/>
      </dsp:txXfrm>
    </dsp:sp>
    <dsp:sp modelId="{C0264484-DC40-4C1C-9103-106977643F89}">
      <dsp:nvSpPr>
        <dsp:cNvPr id="0" name=""/>
        <dsp:cNvSpPr/>
      </dsp:nvSpPr>
      <dsp:spPr>
        <a:xfrm>
          <a:off x="7241796" y="177201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7241796" y="1772017"/>
        <a:ext cx="667823" cy="128062"/>
      </dsp:txXfrm>
    </dsp:sp>
    <dsp:sp modelId="{949B4D2A-B6A1-4788-A404-6175DEF28063}">
      <dsp:nvSpPr>
        <dsp:cNvPr id="0" name=""/>
        <dsp:cNvSpPr/>
      </dsp:nvSpPr>
      <dsp:spPr>
        <a:xfrm>
          <a:off x="7297448" y="2079368"/>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Waymoot</a:t>
          </a:r>
        </a:p>
      </dsp:txBody>
      <dsp:txXfrm>
        <a:off x="7297448" y="2079368"/>
        <a:ext cx="742026" cy="384188"/>
      </dsp:txXfrm>
    </dsp:sp>
    <dsp:sp modelId="{69D58FF6-F2A9-41A2-9D61-C9D202626D17}">
      <dsp:nvSpPr>
        <dsp:cNvPr id="0" name=""/>
        <dsp:cNvSpPr/>
      </dsp:nvSpPr>
      <dsp:spPr>
        <a:xfrm>
          <a:off x="7445853" y="2378181"/>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7445853" y="2378181"/>
        <a:ext cx="667823" cy="128062"/>
      </dsp:txXfrm>
    </dsp:sp>
    <dsp:sp modelId="{6EF8B4EE-6877-4512-B43B-3B1D377A41E4}">
      <dsp:nvSpPr>
        <dsp:cNvPr id="0" name=""/>
        <dsp:cNvSpPr/>
      </dsp:nvSpPr>
      <dsp:spPr>
        <a:xfrm>
          <a:off x="7297448" y="2685532"/>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Jester's Green</a:t>
          </a:r>
        </a:p>
      </dsp:txBody>
      <dsp:txXfrm>
        <a:off x="7297448" y="2685532"/>
        <a:ext cx="742026" cy="384188"/>
      </dsp:txXfrm>
    </dsp:sp>
    <dsp:sp modelId="{D141C697-C6D4-4357-8EEB-E87E399E76B2}">
      <dsp:nvSpPr>
        <dsp:cNvPr id="0" name=""/>
        <dsp:cNvSpPr/>
      </dsp:nvSpPr>
      <dsp:spPr>
        <a:xfrm>
          <a:off x="7445853" y="2984345"/>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7445853" y="2984345"/>
        <a:ext cx="667823" cy="128062"/>
      </dsp:txXfrm>
    </dsp:sp>
    <dsp:sp modelId="{CAB8B3C7-C8B8-46C1-8DDC-C9148F8110CA}">
      <dsp:nvSpPr>
        <dsp:cNvPr id="0" name=""/>
        <dsp:cNvSpPr/>
      </dsp:nvSpPr>
      <dsp:spPr>
        <a:xfrm>
          <a:off x="7297448" y="3291696"/>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Calantar's Bridge</a:t>
          </a:r>
        </a:p>
      </dsp:txBody>
      <dsp:txXfrm>
        <a:off x="7297448" y="3291696"/>
        <a:ext cx="742026" cy="384188"/>
      </dsp:txXfrm>
    </dsp:sp>
    <dsp:sp modelId="{9B3BA139-5F5B-4E30-889D-A2F706A2695B}">
      <dsp:nvSpPr>
        <dsp:cNvPr id="0" name=""/>
        <dsp:cNvSpPr/>
      </dsp:nvSpPr>
      <dsp:spPr>
        <a:xfrm>
          <a:off x="7445853" y="3590509"/>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7445853" y="3590509"/>
        <a:ext cx="667823" cy="128062"/>
      </dsp:txXfrm>
    </dsp:sp>
    <dsp:sp modelId="{DD735BF7-B1EF-4CE8-A9E6-CA9D795B98F8}">
      <dsp:nvSpPr>
        <dsp:cNvPr id="0" name=""/>
        <dsp:cNvSpPr/>
      </dsp:nvSpPr>
      <dsp:spPr>
        <a:xfrm>
          <a:off x="7297448" y="3897860"/>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Eveningstar</a:t>
          </a:r>
        </a:p>
      </dsp:txBody>
      <dsp:txXfrm>
        <a:off x="7297448" y="3897860"/>
        <a:ext cx="742026" cy="384188"/>
      </dsp:txXfrm>
    </dsp:sp>
    <dsp:sp modelId="{7D2D0C51-BDD6-4C8C-BB15-F85DE0902888}">
      <dsp:nvSpPr>
        <dsp:cNvPr id="0" name=""/>
        <dsp:cNvSpPr/>
      </dsp:nvSpPr>
      <dsp:spPr>
        <a:xfrm>
          <a:off x="7445853" y="4196673"/>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7445853" y="4196673"/>
        <a:ext cx="667823" cy="128062"/>
      </dsp:txXfrm>
    </dsp:sp>
    <dsp:sp modelId="{AFEDC19F-5E18-407A-91B8-4A37CB3005D9}">
      <dsp:nvSpPr>
        <dsp:cNvPr id="0" name=""/>
        <dsp:cNvSpPr/>
      </dsp:nvSpPr>
      <dsp:spPr>
        <a:xfrm>
          <a:off x="8088908" y="147320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Marsember</a:t>
          </a:r>
          <a:endParaRPr lang="ru-RU" sz="700" kern="1200"/>
        </a:p>
      </dsp:txBody>
      <dsp:txXfrm>
        <a:off x="8088908" y="1473204"/>
        <a:ext cx="742026" cy="384188"/>
      </dsp:txXfrm>
    </dsp:sp>
    <dsp:sp modelId="{2E0D561D-EF1C-4E03-8586-7217D3A1BA85}">
      <dsp:nvSpPr>
        <dsp:cNvPr id="0" name=""/>
        <dsp:cNvSpPr/>
      </dsp:nvSpPr>
      <dsp:spPr>
        <a:xfrm>
          <a:off x="8237313" y="177201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8237313" y="1772017"/>
        <a:ext cx="667823" cy="128062"/>
      </dsp:txXfrm>
    </dsp:sp>
    <dsp:sp modelId="{7439A715-7671-47C4-8F06-B4B3F7D2CAFF}">
      <dsp:nvSpPr>
        <dsp:cNvPr id="0" name=""/>
        <dsp:cNvSpPr/>
      </dsp:nvSpPr>
      <dsp:spPr>
        <a:xfrm>
          <a:off x="9084425" y="147320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Arabel</a:t>
          </a:r>
          <a:endParaRPr lang="ru-RU" sz="700" kern="1200"/>
        </a:p>
      </dsp:txBody>
      <dsp:txXfrm>
        <a:off x="9084425" y="1473204"/>
        <a:ext cx="742026" cy="384188"/>
      </dsp:txXfrm>
    </dsp:sp>
    <dsp:sp modelId="{CF40303A-144B-4634-9141-BA48ED9CC06F}">
      <dsp:nvSpPr>
        <dsp:cNvPr id="0" name=""/>
        <dsp:cNvSpPr/>
      </dsp:nvSpPr>
      <dsp:spPr>
        <a:xfrm>
          <a:off x="9232830" y="177201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9232830" y="1772017"/>
        <a:ext cx="667823" cy="128062"/>
      </dsp:txXfrm>
    </dsp:sp>
    <dsp:sp modelId="{0C9F8BBE-2D70-4EDF-BE84-1E97862A8D2D}">
      <dsp:nvSpPr>
        <dsp:cNvPr id="0" name=""/>
        <dsp:cNvSpPr/>
      </dsp:nvSpPr>
      <dsp:spPr>
        <a:xfrm>
          <a:off x="9084425" y="2079368"/>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Immersea</a:t>
          </a:r>
          <a:endParaRPr lang="ru-RU" sz="700" kern="1200"/>
        </a:p>
      </dsp:txBody>
      <dsp:txXfrm>
        <a:off x="9084425" y="2079368"/>
        <a:ext cx="742026" cy="384188"/>
      </dsp:txXfrm>
    </dsp:sp>
    <dsp:sp modelId="{03B94904-6BC5-4944-B998-9DA08457AB2D}">
      <dsp:nvSpPr>
        <dsp:cNvPr id="0" name=""/>
        <dsp:cNvSpPr/>
      </dsp:nvSpPr>
      <dsp:spPr>
        <a:xfrm>
          <a:off x="9232830" y="2378181"/>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9232830" y="2378181"/>
        <a:ext cx="667823" cy="128062"/>
      </dsp:txXfrm>
    </dsp:sp>
    <dsp:sp modelId="{4B35F7F9-45F9-459A-B5F2-1F7BB7C154DB}">
      <dsp:nvSpPr>
        <dsp:cNvPr id="0" name=""/>
        <dsp:cNvSpPr/>
      </dsp:nvSpPr>
      <dsp:spPr>
        <a:xfrm>
          <a:off x="10079942" y="147320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Wheelon</a:t>
          </a:r>
          <a:endParaRPr lang="ru-RU" sz="700" kern="1200"/>
        </a:p>
      </dsp:txBody>
      <dsp:txXfrm>
        <a:off x="10079942" y="1473204"/>
        <a:ext cx="742026" cy="384188"/>
      </dsp:txXfrm>
    </dsp:sp>
    <dsp:sp modelId="{55703F11-9F25-493F-BC19-BB4EC28CD8A6}">
      <dsp:nvSpPr>
        <dsp:cNvPr id="0" name=""/>
        <dsp:cNvSpPr/>
      </dsp:nvSpPr>
      <dsp:spPr>
        <a:xfrm>
          <a:off x="10228347" y="177201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0228347" y="1772017"/>
        <a:ext cx="667823" cy="128062"/>
      </dsp:txXfrm>
    </dsp:sp>
    <dsp:sp modelId="{407CA84F-7F26-4F8D-85E4-26D6112E50D0}">
      <dsp:nvSpPr>
        <dsp:cNvPr id="0" name=""/>
        <dsp:cNvSpPr/>
      </dsp:nvSpPr>
      <dsp:spPr>
        <a:xfrm>
          <a:off x="10283999" y="2079368"/>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Hultail</a:t>
          </a:r>
          <a:endParaRPr lang="en-US" sz="700" kern="1200"/>
        </a:p>
      </dsp:txBody>
      <dsp:txXfrm>
        <a:off x="10283999" y="2079368"/>
        <a:ext cx="742026" cy="384188"/>
      </dsp:txXfrm>
    </dsp:sp>
    <dsp:sp modelId="{F1ADF4D2-5BD1-4B1C-986D-BEFB19ED6475}">
      <dsp:nvSpPr>
        <dsp:cNvPr id="0" name=""/>
        <dsp:cNvSpPr/>
      </dsp:nvSpPr>
      <dsp:spPr>
        <a:xfrm>
          <a:off x="10432405" y="2378181"/>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0432405" y="2378181"/>
        <a:ext cx="667823" cy="128062"/>
      </dsp:txXfrm>
    </dsp:sp>
    <dsp:sp modelId="{DED1B4A9-A09B-463D-9097-C9D780CBCEB5}">
      <dsp:nvSpPr>
        <dsp:cNvPr id="0" name=""/>
        <dsp:cNvSpPr/>
      </dsp:nvSpPr>
      <dsp:spPr>
        <a:xfrm>
          <a:off x="10283999" y="2685532"/>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Ghars</a:t>
          </a:r>
          <a:endParaRPr lang="en-US" sz="700" kern="1200"/>
        </a:p>
      </dsp:txBody>
      <dsp:txXfrm>
        <a:off x="10283999" y="2685532"/>
        <a:ext cx="742026" cy="384188"/>
      </dsp:txXfrm>
    </dsp:sp>
    <dsp:sp modelId="{999C8EB7-F3F3-4881-8E2D-C941A99DD4F9}">
      <dsp:nvSpPr>
        <dsp:cNvPr id="0" name=""/>
        <dsp:cNvSpPr/>
      </dsp:nvSpPr>
      <dsp:spPr>
        <a:xfrm>
          <a:off x="10432405" y="2984345"/>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0432405" y="2984345"/>
        <a:ext cx="667823" cy="128062"/>
      </dsp:txXfrm>
    </dsp:sp>
    <dsp:sp modelId="{E85AC1B9-667E-429F-AAE4-DB16B38A802E}">
      <dsp:nvSpPr>
        <dsp:cNvPr id="0" name=""/>
        <dsp:cNvSpPr/>
      </dsp:nvSpPr>
      <dsp:spPr>
        <a:xfrm>
          <a:off x="10283999" y="3291696"/>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Battlerise</a:t>
          </a:r>
          <a:endParaRPr lang="en-US" sz="700" kern="1200"/>
        </a:p>
      </dsp:txBody>
      <dsp:txXfrm>
        <a:off x="10283999" y="3291696"/>
        <a:ext cx="742026" cy="384188"/>
      </dsp:txXfrm>
    </dsp:sp>
    <dsp:sp modelId="{8C6E2BA0-4419-4369-A683-78FC3BB7F6A7}">
      <dsp:nvSpPr>
        <dsp:cNvPr id="0" name=""/>
        <dsp:cNvSpPr/>
      </dsp:nvSpPr>
      <dsp:spPr>
        <a:xfrm>
          <a:off x="10432405" y="3590509"/>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0432405" y="3590509"/>
        <a:ext cx="667823" cy="128062"/>
      </dsp:txXfrm>
    </dsp:sp>
    <dsp:sp modelId="{3C264107-59F7-46E0-852A-C7DE39952C9D}">
      <dsp:nvSpPr>
        <dsp:cNvPr id="0" name=""/>
        <dsp:cNvSpPr/>
      </dsp:nvSpPr>
      <dsp:spPr>
        <a:xfrm>
          <a:off x="10283999" y="3897860"/>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Juniril</a:t>
          </a:r>
          <a:endParaRPr lang="en-US" sz="700" kern="1200"/>
        </a:p>
      </dsp:txBody>
      <dsp:txXfrm>
        <a:off x="10283999" y="3897860"/>
        <a:ext cx="742026" cy="384188"/>
      </dsp:txXfrm>
    </dsp:sp>
    <dsp:sp modelId="{F7DC6F0D-2E0D-407C-B403-86685822E51E}">
      <dsp:nvSpPr>
        <dsp:cNvPr id="0" name=""/>
        <dsp:cNvSpPr/>
      </dsp:nvSpPr>
      <dsp:spPr>
        <a:xfrm>
          <a:off x="10432405" y="4196673"/>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0432405" y="4196673"/>
        <a:ext cx="667823" cy="128062"/>
      </dsp:txXfrm>
    </dsp:sp>
    <dsp:sp modelId="{11E99FA4-EAAF-4CB3-A6A8-EBF087F801C0}">
      <dsp:nvSpPr>
        <dsp:cNvPr id="0" name=""/>
        <dsp:cNvSpPr/>
      </dsp:nvSpPr>
      <dsp:spPr>
        <a:xfrm>
          <a:off x="10283999" y="450402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1" kern="1200"/>
            <a:t>Kirinwood</a:t>
          </a:r>
          <a:endParaRPr lang="en-US" sz="700" kern="1200"/>
        </a:p>
      </dsp:txBody>
      <dsp:txXfrm>
        <a:off x="10283999" y="4504024"/>
        <a:ext cx="742026" cy="384188"/>
      </dsp:txXfrm>
    </dsp:sp>
    <dsp:sp modelId="{BB4B196B-FF06-4C54-A1B0-DA6A859E236E}">
      <dsp:nvSpPr>
        <dsp:cNvPr id="0" name=""/>
        <dsp:cNvSpPr/>
      </dsp:nvSpPr>
      <dsp:spPr>
        <a:xfrm>
          <a:off x="10432405" y="480283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0432405" y="4802837"/>
        <a:ext cx="667823" cy="128062"/>
      </dsp:txXfrm>
    </dsp:sp>
    <dsp:sp modelId="{7A2918B6-34D6-4CA2-8B3D-5D8F05884144}">
      <dsp:nvSpPr>
        <dsp:cNvPr id="0" name=""/>
        <dsp:cNvSpPr/>
      </dsp:nvSpPr>
      <dsp:spPr>
        <a:xfrm>
          <a:off x="11075459" y="147320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kern="1200"/>
            <a:t>Dawngleam</a:t>
          </a:r>
        </a:p>
      </dsp:txBody>
      <dsp:txXfrm>
        <a:off x="11075459" y="1473204"/>
        <a:ext cx="742026" cy="384188"/>
      </dsp:txXfrm>
    </dsp:sp>
    <dsp:sp modelId="{DF8B7B3B-A87A-4E99-A3ED-BCA449B777B5}">
      <dsp:nvSpPr>
        <dsp:cNvPr id="0" name=""/>
        <dsp:cNvSpPr/>
      </dsp:nvSpPr>
      <dsp:spPr>
        <a:xfrm>
          <a:off x="11223865" y="177201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1223865" y="1772017"/>
        <a:ext cx="667823" cy="128062"/>
      </dsp:txXfrm>
    </dsp:sp>
    <dsp:sp modelId="{855A593A-036B-4255-A61D-F4A276F609D7}">
      <dsp:nvSpPr>
        <dsp:cNvPr id="0" name=""/>
        <dsp:cNvSpPr/>
      </dsp:nvSpPr>
      <dsp:spPr>
        <a:xfrm>
          <a:off x="12070976" y="867040"/>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1" i="0" kern="1200"/>
            <a:t>Thunderstone</a:t>
          </a:r>
          <a:endParaRPr lang="ru-RU" sz="700" kern="1200"/>
        </a:p>
      </dsp:txBody>
      <dsp:txXfrm>
        <a:off x="12070976" y="867040"/>
        <a:ext cx="742026" cy="384188"/>
      </dsp:txXfrm>
    </dsp:sp>
    <dsp:sp modelId="{2006F91F-A590-446F-A53C-1077DD0B77D8}">
      <dsp:nvSpPr>
        <dsp:cNvPr id="0" name=""/>
        <dsp:cNvSpPr/>
      </dsp:nvSpPr>
      <dsp:spPr>
        <a:xfrm>
          <a:off x="12219382" y="1165853"/>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2219382" y="1165853"/>
        <a:ext cx="667823" cy="128062"/>
      </dsp:txXfrm>
    </dsp:sp>
    <dsp:sp modelId="{2EAE41F0-901C-47E0-AB40-0C2FC1201E38}">
      <dsp:nvSpPr>
        <dsp:cNvPr id="0" name=""/>
        <dsp:cNvSpPr/>
      </dsp:nvSpPr>
      <dsp:spPr>
        <a:xfrm>
          <a:off x="12070976" y="1473204"/>
          <a:ext cx="742026" cy="384188"/>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445" tIns="4445" rIns="4445" bIns="54213" numCol="1" spcCol="1270" anchor="ctr" anchorCtr="0">
          <a:noAutofit/>
        </a:bodyPr>
        <a:lstStyle/>
        <a:p>
          <a:pPr marL="0" lvl="0" indent="0" algn="ctr" defTabSz="311150">
            <a:lnSpc>
              <a:spcPct val="90000"/>
            </a:lnSpc>
            <a:spcBef>
              <a:spcPct val="0"/>
            </a:spcBef>
            <a:spcAft>
              <a:spcPct val="35000"/>
            </a:spcAft>
            <a:buNone/>
          </a:pPr>
          <a:r>
            <a:rPr lang="en-US" sz="700" b="0" i="0" kern="1200"/>
            <a:t>Royal Corps of Monster Hunters</a:t>
          </a:r>
          <a:endParaRPr lang="en-US" sz="700" kern="1200"/>
        </a:p>
      </dsp:txBody>
      <dsp:txXfrm>
        <a:off x="12070976" y="1473204"/>
        <a:ext cx="742026" cy="384188"/>
      </dsp:txXfrm>
    </dsp:sp>
    <dsp:sp modelId="{E0DD0F86-8CAD-483C-98F0-C6E45A2154E8}">
      <dsp:nvSpPr>
        <dsp:cNvPr id="0" name=""/>
        <dsp:cNvSpPr/>
      </dsp:nvSpPr>
      <dsp:spPr>
        <a:xfrm>
          <a:off x="12219382" y="1772017"/>
          <a:ext cx="667823" cy="128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2219382" y="1772017"/>
        <a:ext cx="667823" cy="128062"/>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B1ED469-91FF-49A1-8853-F6C591AB1C8B}">
      <dsp:nvSpPr>
        <dsp:cNvPr id="0" name=""/>
        <dsp:cNvSpPr/>
      </dsp:nvSpPr>
      <dsp:spPr>
        <a:xfrm>
          <a:off x="3403081" y="953188"/>
          <a:ext cx="121796" cy="397901"/>
        </a:xfrm>
        <a:custGeom>
          <a:avLst/>
          <a:gdLst/>
          <a:ahLst/>
          <a:cxnLst/>
          <a:rect l="0" t="0" r="0" b="0"/>
          <a:pathLst>
            <a:path>
              <a:moveTo>
                <a:pt x="0" y="0"/>
              </a:moveTo>
              <a:lnTo>
                <a:pt x="0" y="397901"/>
              </a:lnTo>
              <a:lnTo>
                <a:pt x="121796" y="397901"/>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00DD25B-858F-40FD-9679-789071762E79}">
      <dsp:nvSpPr>
        <dsp:cNvPr id="0" name=""/>
        <dsp:cNvSpPr/>
      </dsp:nvSpPr>
      <dsp:spPr>
        <a:xfrm>
          <a:off x="3281284" y="953188"/>
          <a:ext cx="121796" cy="397901"/>
        </a:xfrm>
        <a:custGeom>
          <a:avLst/>
          <a:gdLst/>
          <a:ahLst/>
          <a:cxnLst/>
          <a:rect l="0" t="0" r="0" b="0"/>
          <a:pathLst>
            <a:path>
              <a:moveTo>
                <a:pt x="121796" y="0"/>
              </a:moveTo>
              <a:lnTo>
                <a:pt x="121796" y="397901"/>
              </a:lnTo>
              <a:lnTo>
                <a:pt x="0" y="397901"/>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6DFEC26-61E7-4721-A81F-629E8A39C05B}">
      <dsp:nvSpPr>
        <dsp:cNvPr id="0" name=""/>
        <dsp:cNvSpPr/>
      </dsp:nvSpPr>
      <dsp:spPr>
        <a:xfrm>
          <a:off x="2109230" y="370693"/>
          <a:ext cx="1293850" cy="213307"/>
        </a:xfrm>
        <a:custGeom>
          <a:avLst/>
          <a:gdLst/>
          <a:ahLst/>
          <a:cxnLst/>
          <a:rect l="0" t="0" r="0" b="0"/>
          <a:pathLst>
            <a:path>
              <a:moveTo>
                <a:pt x="0" y="0"/>
              </a:moveTo>
              <a:lnTo>
                <a:pt x="0" y="127164"/>
              </a:lnTo>
              <a:lnTo>
                <a:pt x="1293850" y="127164"/>
              </a:lnTo>
              <a:lnTo>
                <a:pt x="1293850" y="213307"/>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64A6F5F-3F64-4673-B0DC-B498858564F6}">
      <dsp:nvSpPr>
        <dsp:cNvPr id="0" name=""/>
        <dsp:cNvSpPr/>
      </dsp:nvSpPr>
      <dsp:spPr>
        <a:xfrm>
          <a:off x="1486804" y="953188"/>
          <a:ext cx="124784" cy="1562890"/>
        </a:xfrm>
        <a:custGeom>
          <a:avLst/>
          <a:gdLst/>
          <a:ahLst/>
          <a:cxnLst/>
          <a:rect l="0" t="0" r="0" b="0"/>
          <a:pathLst>
            <a:path>
              <a:moveTo>
                <a:pt x="0" y="0"/>
              </a:moveTo>
              <a:lnTo>
                <a:pt x="0" y="1562890"/>
              </a:lnTo>
              <a:lnTo>
                <a:pt x="124784" y="1562890"/>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8E281D5-1471-4C50-AED8-78D2D8F7AAB6}">
      <dsp:nvSpPr>
        <dsp:cNvPr id="0" name=""/>
        <dsp:cNvSpPr/>
      </dsp:nvSpPr>
      <dsp:spPr>
        <a:xfrm>
          <a:off x="1486804" y="953188"/>
          <a:ext cx="124784" cy="980395"/>
        </a:xfrm>
        <a:custGeom>
          <a:avLst/>
          <a:gdLst/>
          <a:ahLst/>
          <a:cxnLst/>
          <a:rect l="0" t="0" r="0" b="0"/>
          <a:pathLst>
            <a:path>
              <a:moveTo>
                <a:pt x="0" y="0"/>
              </a:moveTo>
              <a:lnTo>
                <a:pt x="0" y="980395"/>
              </a:lnTo>
              <a:lnTo>
                <a:pt x="124784" y="98039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1BAD458-DA77-46F9-9C3F-7C9ADAB032A4}">
      <dsp:nvSpPr>
        <dsp:cNvPr id="0" name=""/>
        <dsp:cNvSpPr/>
      </dsp:nvSpPr>
      <dsp:spPr>
        <a:xfrm>
          <a:off x="1486804" y="953188"/>
          <a:ext cx="124784" cy="397901"/>
        </a:xfrm>
        <a:custGeom>
          <a:avLst/>
          <a:gdLst/>
          <a:ahLst/>
          <a:cxnLst/>
          <a:rect l="0" t="0" r="0" b="0"/>
          <a:pathLst>
            <a:path>
              <a:moveTo>
                <a:pt x="0" y="0"/>
              </a:moveTo>
              <a:lnTo>
                <a:pt x="0" y="397901"/>
              </a:lnTo>
              <a:lnTo>
                <a:pt x="124784" y="397901"/>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DDDDEC9-2EA0-49B0-9D47-67345520EB38}">
      <dsp:nvSpPr>
        <dsp:cNvPr id="0" name=""/>
        <dsp:cNvSpPr/>
      </dsp:nvSpPr>
      <dsp:spPr>
        <a:xfrm>
          <a:off x="1772025" y="370693"/>
          <a:ext cx="337205" cy="213307"/>
        </a:xfrm>
        <a:custGeom>
          <a:avLst/>
          <a:gdLst/>
          <a:ahLst/>
          <a:cxnLst/>
          <a:rect l="0" t="0" r="0" b="0"/>
          <a:pathLst>
            <a:path>
              <a:moveTo>
                <a:pt x="337205" y="0"/>
              </a:moveTo>
              <a:lnTo>
                <a:pt x="337205" y="127164"/>
              </a:lnTo>
              <a:lnTo>
                <a:pt x="0" y="127164"/>
              </a:lnTo>
              <a:lnTo>
                <a:pt x="0" y="213307"/>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A980299-CFA9-4B1C-BE45-82F8C0CA8769}">
      <dsp:nvSpPr>
        <dsp:cNvPr id="0" name=""/>
        <dsp:cNvSpPr/>
      </dsp:nvSpPr>
      <dsp:spPr>
        <a:xfrm>
          <a:off x="975817" y="953188"/>
          <a:ext cx="124784" cy="1562890"/>
        </a:xfrm>
        <a:custGeom>
          <a:avLst/>
          <a:gdLst/>
          <a:ahLst/>
          <a:cxnLst/>
          <a:rect l="0" t="0" r="0" b="0"/>
          <a:pathLst>
            <a:path>
              <a:moveTo>
                <a:pt x="124784" y="0"/>
              </a:moveTo>
              <a:lnTo>
                <a:pt x="124784" y="1562890"/>
              </a:lnTo>
              <a:lnTo>
                <a:pt x="0" y="1562890"/>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FA3C47A-C2DC-4E54-81D9-1506C411ABEC}">
      <dsp:nvSpPr>
        <dsp:cNvPr id="0" name=""/>
        <dsp:cNvSpPr/>
      </dsp:nvSpPr>
      <dsp:spPr>
        <a:xfrm>
          <a:off x="975817" y="953188"/>
          <a:ext cx="124784" cy="980395"/>
        </a:xfrm>
        <a:custGeom>
          <a:avLst/>
          <a:gdLst/>
          <a:ahLst/>
          <a:cxnLst/>
          <a:rect l="0" t="0" r="0" b="0"/>
          <a:pathLst>
            <a:path>
              <a:moveTo>
                <a:pt x="124784" y="0"/>
              </a:moveTo>
              <a:lnTo>
                <a:pt x="124784" y="980395"/>
              </a:lnTo>
              <a:lnTo>
                <a:pt x="0" y="980395"/>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D440C76-09A0-41E7-84D0-454F46A01260}">
      <dsp:nvSpPr>
        <dsp:cNvPr id="0" name=""/>
        <dsp:cNvSpPr/>
      </dsp:nvSpPr>
      <dsp:spPr>
        <a:xfrm>
          <a:off x="975817" y="953188"/>
          <a:ext cx="124784" cy="397901"/>
        </a:xfrm>
        <a:custGeom>
          <a:avLst/>
          <a:gdLst/>
          <a:ahLst/>
          <a:cxnLst/>
          <a:rect l="0" t="0" r="0" b="0"/>
          <a:pathLst>
            <a:path>
              <a:moveTo>
                <a:pt x="124784" y="0"/>
              </a:moveTo>
              <a:lnTo>
                <a:pt x="124784" y="397901"/>
              </a:lnTo>
              <a:lnTo>
                <a:pt x="0" y="397901"/>
              </a:lnTo>
            </a:path>
          </a:pathLst>
        </a:custGeom>
        <a:noFill/>
        <a:ln w="127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35FA63C-52BD-4F9E-ACBE-7DD5EFADF3D6}">
      <dsp:nvSpPr>
        <dsp:cNvPr id="0" name=""/>
        <dsp:cNvSpPr/>
      </dsp:nvSpPr>
      <dsp:spPr>
        <a:xfrm>
          <a:off x="815380" y="370693"/>
          <a:ext cx="1293850" cy="213307"/>
        </a:xfrm>
        <a:custGeom>
          <a:avLst/>
          <a:gdLst/>
          <a:ahLst/>
          <a:cxnLst/>
          <a:rect l="0" t="0" r="0" b="0"/>
          <a:pathLst>
            <a:path>
              <a:moveTo>
                <a:pt x="1293850" y="0"/>
              </a:moveTo>
              <a:lnTo>
                <a:pt x="1293850" y="127164"/>
              </a:lnTo>
              <a:lnTo>
                <a:pt x="0" y="127164"/>
              </a:lnTo>
              <a:lnTo>
                <a:pt x="0" y="213307"/>
              </a:lnTo>
            </a:path>
          </a:pathLst>
        </a:custGeom>
        <a:noFill/>
        <a:ln w="127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63475E5-49FE-41EA-B82E-C38629E1BE06}">
      <dsp:nvSpPr>
        <dsp:cNvPr id="0" name=""/>
        <dsp:cNvSpPr/>
      </dsp:nvSpPr>
      <dsp:spPr>
        <a:xfrm>
          <a:off x="1752704" y="1506"/>
          <a:ext cx="713052" cy="36918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52096" numCol="1" spcCol="1270" anchor="ctr" anchorCtr="0">
          <a:noAutofit/>
        </a:bodyPr>
        <a:lstStyle/>
        <a:p>
          <a:pPr marL="0" lvl="0" indent="0" algn="ctr" defTabSz="444500">
            <a:lnSpc>
              <a:spcPct val="90000"/>
            </a:lnSpc>
            <a:spcBef>
              <a:spcPct val="0"/>
            </a:spcBef>
            <a:spcAft>
              <a:spcPct val="35000"/>
            </a:spcAft>
            <a:buNone/>
          </a:pPr>
          <a:r>
            <a:rPr lang="en-US" sz="1000" kern="1200"/>
            <a:t>Navy</a:t>
          </a:r>
          <a:endParaRPr lang="ru-RU" sz="1000" kern="1200"/>
        </a:p>
      </dsp:txBody>
      <dsp:txXfrm>
        <a:off x="1752704" y="1506"/>
        <a:ext cx="713052" cy="369186"/>
      </dsp:txXfrm>
    </dsp:sp>
    <dsp:sp modelId="{DC5A80F1-077C-4B03-8FED-F735DA16440B}">
      <dsp:nvSpPr>
        <dsp:cNvPr id="0" name=""/>
        <dsp:cNvSpPr/>
      </dsp:nvSpPr>
      <dsp:spPr>
        <a:xfrm>
          <a:off x="1895315" y="288652"/>
          <a:ext cx="641746" cy="123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895315" y="288652"/>
        <a:ext cx="641746" cy="123062"/>
      </dsp:txXfrm>
    </dsp:sp>
    <dsp:sp modelId="{D2181851-053A-42E5-940F-FA681969B15D}">
      <dsp:nvSpPr>
        <dsp:cNvPr id="0" name=""/>
        <dsp:cNvSpPr/>
      </dsp:nvSpPr>
      <dsp:spPr>
        <a:xfrm>
          <a:off x="458854" y="584001"/>
          <a:ext cx="713052" cy="36918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52096" numCol="1" spcCol="1270" anchor="ctr" anchorCtr="0">
          <a:noAutofit/>
        </a:bodyPr>
        <a:lstStyle/>
        <a:p>
          <a:pPr marL="0" lvl="0" indent="0" algn="ctr" defTabSz="444500">
            <a:lnSpc>
              <a:spcPct val="90000"/>
            </a:lnSpc>
            <a:spcBef>
              <a:spcPct val="0"/>
            </a:spcBef>
            <a:spcAft>
              <a:spcPct val="35000"/>
            </a:spcAft>
            <a:buNone/>
          </a:pPr>
          <a:r>
            <a:rPr lang="en-US" sz="1000" kern="1200"/>
            <a:t>Suzail Fleet</a:t>
          </a:r>
          <a:endParaRPr lang="ru-RU" sz="1000" kern="1200"/>
        </a:p>
      </dsp:txBody>
      <dsp:txXfrm>
        <a:off x="458854" y="584001"/>
        <a:ext cx="713052" cy="369186"/>
      </dsp:txXfrm>
    </dsp:sp>
    <dsp:sp modelId="{04A7C3AF-0EC6-4B0D-B2A7-02514E86451F}">
      <dsp:nvSpPr>
        <dsp:cNvPr id="0" name=""/>
        <dsp:cNvSpPr/>
      </dsp:nvSpPr>
      <dsp:spPr>
        <a:xfrm>
          <a:off x="601465" y="871146"/>
          <a:ext cx="641746" cy="123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601465" y="871146"/>
        <a:ext cx="641746" cy="123062"/>
      </dsp:txXfrm>
    </dsp:sp>
    <dsp:sp modelId="{C28D24AD-24D1-42B8-A6A6-31797DE9F4E4}">
      <dsp:nvSpPr>
        <dsp:cNvPr id="0" name=""/>
        <dsp:cNvSpPr/>
      </dsp:nvSpPr>
      <dsp:spPr>
        <a:xfrm>
          <a:off x="262765" y="1166496"/>
          <a:ext cx="713052" cy="36918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52096" numCol="1" spcCol="1270" anchor="ctr" anchorCtr="0">
          <a:noAutofit/>
        </a:bodyPr>
        <a:lstStyle/>
        <a:p>
          <a:pPr marL="0" lvl="0" indent="0" algn="ctr" defTabSz="444500">
            <a:lnSpc>
              <a:spcPct val="90000"/>
            </a:lnSpc>
            <a:spcBef>
              <a:spcPct val="0"/>
            </a:spcBef>
            <a:spcAft>
              <a:spcPct val="35000"/>
            </a:spcAft>
            <a:buNone/>
          </a:pPr>
          <a:r>
            <a:rPr lang="en-US" sz="1000" kern="1200"/>
            <a:t>1st Squadron</a:t>
          </a:r>
          <a:endParaRPr lang="ru-RU" sz="1000" kern="1200"/>
        </a:p>
      </dsp:txBody>
      <dsp:txXfrm>
        <a:off x="262765" y="1166496"/>
        <a:ext cx="713052" cy="369186"/>
      </dsp:txXfrm>
    </dsp:sp>
    <dsp:sp modelId="{C8D7C9B5-5B36-4379-B872-A79AE5ACD0A3}">
      <dsp:nvSpPr>
        <dsp:cNvPr id="0" name=""/>
        <dsp:cNvSpPr/>
      </dsp:nvSpPr>
      <dsp:spPr>
        <a:xfrm>
          <a:off x="405375" y="1453641"/>
          <a:ext cx="641746" cy="123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405375" y="1453641"/>
        <a:ext cx="641746" cy="123062"/>
      </dsp:txXfrm>
    </dsp:sp>
    <dsp:sp modelId="{67B62DB1-842A-4A3E-AAA6-69604899623A}">
      <dsp:nvSpPr>
        <dsp:cNvPr id="0" name=""/>
        <dsp:cNvSpPr/>
      </dsp:nvSpPr>
      <dsp:spPr>
        <a:xfrm>
          <a:off x="262765" y="1748990"/>
          <a:ext cx="713052" cy="36918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52096" numCol="1" spcCol="1270" anchor="ctr" anchorCtr="0">
          <a:noAutofit/>
        </a:bodyPr>
        <a:lstStyle/>
        <a:p>
          <a:pPr marL="0" lvl="0" indent="0" algn="ctr" defTabSz="444500">
            <a:lnSpc>
              <a:spcPct val="90000"/>
            </a:lnSpc>
            <a:spcBef>
              <a:spcPct val="0"/>
            </a:spcBef>
            <a:spcAft>
              <a:spcPct val="35000"/>
            </a:spcAft>
            <a:buNone/>
          </a:pPr>
          <a:r>
            <a:rPr lang="en-US" sz="1000" kern="1200"/>
            <a:t>2nd Squadron</a:t>
          </a:r>
          <a:endParaRPr lang="ru-RU" sz="1000" kern="1200"/>
        </a:p>
      </dsp:txBody>
      <dsp:txXfrm>
        <a:off x="262765" y="1748990"/>
        <a:ext cx="713052" cy="369186"/>
      </dsp:txXfrm>
    </dsp:sp>
    <dsp:sp modelId="{6AC56C02-EE51-43D7-87D6-16AB2F762F36}">
      <dsp:nvSpPr>
        <dsp:cNvPr id="0" name=""/>
        <dsp:cNvSpPr/>
      </dsp:nvSpPr>
      <dsp:spPr>
        <a:xfrm>
          <a:off x="405375" y="2036136"/>
          <a:ext cx="641746" cy="123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405375" y="2036136"/>
        <a:ext cx="641746" cy="123062"/>
      </dsp:txXfrm>
    </dsp:sp>
    <dsp:sp modelId="{3E56EE88-6177-4D83-9AA4-6F0581F8F0F2}">
      <dsp:nvSpPr>
        <dsp:cNvPr id="0" name=""/>
        <dsp:cNvSpPr/>
      </dsp:nvSpPr>
      <dsp:spPr>
        <a:xfrm>
          <a:off x="262765" y="2331485"/>
          <a:ext cx="713052" cy="36918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52096" numCol="1" spcCol="1270" anchor="ctr" anchorCtr="0">
          <a:noAutofit/>
        </a:bodyPr>
        <a:lstStyle/>
        <a:p>
          <a:pPr marL="0" lvl="0" indent="0" algn="ctr" defTabSz="444500">
            <a:lnSpc>
              <a:spcPct val="90000"/>
            </a:lnSpc>
            <a:spcBef>
              <a:spcPct val="0"/>
            </a:spcBef>
            <a:spcAft>
              <a:spcPct val="35000"/>
            </a:spcAft>
            <a:buNone/>
          </a:pPr>
          <a:r>
            <a:rPr lang="en-US" sz="1000" kern="1200"/>
            <a:t>3rd Squadron</a:t>
          </a:r>
          <a:endParaRPr lang="ru-RU" sz="1000" kern="1200"/>
        </a:p>
      </dsp:txBody>
      <dsp:txXfrm>
        <a:off x="262765" y="2331485"/>
        <a:ext cx="713052" cy="369186"/>
      </dsp:txXfrm>
    </dsp:sp>
    <dsp:sp modelId="{FBC08FFC-1062-4BE6-818D-A6B59324BFFA}">
      <dsp:nvSpPr>
        <dsp:cNvPr id="0" name=""/>
        <dsp:cNvSpPr/>
      </dsp:nvSpPr>
      <dsp:spPr>
        <a:xfrm>
          <a:off x="405375" y="2618630"/>
          <a:ext cx="641746" cy="123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405375" y="2618630"/>
        <a:ext cx="641746" cy="123062"/>
      </dsp:txXfrm>
    </dsp:sp>
    <dsp:sp modelId="{B336C763-2F89-4115-A9D4-36D6954E37D4}">
      <dsp:nvSpPr>
        <dsp:cNvPr id="0" name=""/>
        <dsp:cNvSpPr/>
      </dsp:nvSpPr>
      <dsp:spPr>
        <a:xfrm>
          <a:off x="1415499" y="584001"/>
          <a:ext cx="713052" cy="36918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52096" numCol="1" spcCol="1270" anchor="ctr" anchorCtr="0">
          <a:noAutofit/>
        </a:bodyPr>
        <a:lstStyle/>
        <a:p>
          <a:pPr marL="0" lvl="0" indent="0" algn="ctr" defTabSz="444500">
            <a:lnSpc>
              <a:spcPct val="90000"/>
            </a:lnSpc>
            <a:spcBef>
              <a:spcPct val="0"/>
            </a:spcBef>
            <a:spcAft>
              <a:spcPct val="35000"/>
            </a:spcAft>
            <a:buNone/>
          </a:pPr>
          <a:r>
            <a:rPr lang="en-US" sz="1000" kern="1200"/>
            <a:t>Marsember Fleet</a:t>
          </a:r>
          <a:endParaRPr lang="ru-RU" sz="1000" kern="1200"/>
        </a:p>
      </dsp:txBody>
      <dsp:txXfrm>
        <a:off x="1415499" y="584001"/>
        <a:ext cx="713052" cy="369186"/>
      </dsp:txXfrm>
    </dsp:sp>
    <dsp:sp modelId="{AEAE10B4-D5D9-4C45-BB28-7A8B710C4C88}">
      <dsp:nvSpPr>
        <dsp:cNvPr id="0" name=""/>
        <dsp:cNvSpPr/>
      </dsp:nvSpPr>
      <dsp:spPr>
        <a:xfrm>
          <a:off x="1558109" y="871146"/>
          <a:ext cx="641746" cy="123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558109" y="871146"/>
        <a:ext cx="641746" cy="123062"/>
      </dsp:txXfrm>
    </dsp:sp>
    <dsp:sp modelId="{91A6E367-A5D6-4D07-BE88-21E1D945C91D}">
      <dsp:nvSpPr>
        <dsp:cNvPr id="0" name=""/>
        <dsp:cNvSpPr/>
      </dsp:nvSpPr>
      <dsp:spPr>
        <a:xfrm>
          <a:off x="1611588" y="1166496"/>
          <a:ext cx="713052" cy="36918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52096" numCol="1" spcCol="1270" anchor="ctr" anchorCtr="0">
          <a:noAutofit/>
        </a:bodyPr>
        <a:lstStyle/>
        <a:p>
          <a:pPr marL="0" lvl="0" indent="0" algn="ctr" defTabSz="444500">
            <a:lnSpc>
              <a:spcPct val="90000"/>
            </a:lnSpc>
            <a:spcBef>
              <a:spcPct val="0"/>
            </a:spcBef>
            <a:spcAft>
              <a:spcPct val="35000"/>
            </a:spcAft>
            <a:buNone/>
          </a:pPr>
          <a:r>
            <a:rPr lang="en-US" sz="1000" kern="1200"/>
            <a:t>4 Squadron</a:t>
          </a:r>
          <a:endParaRPr lang="ru-RU" sz="1000" kern="1200"/>
        </a:p>
      </dsp:txBody>
      <dsp:txXfrm>
        <a:off x="1611588" y="1166496"/>
        <a:ext cx="713052" cy="369186"/>
      </dsp:txXfrm>
    </dsp:sp>
    <dsp:sp modelId="{B2E30EAD-3B9B-4B7A-9C76-A65F53E9B7EA}">
      <dsp:nvSpPr>
        <dsp:cNvPr id="0" name=""/>
        <dsp:cNvSpPr/>
      </dsp:nvSpPr>
      <dsp:spPr>
        <a:xfrm>
          <a:off x="1754198" y="1453641"/>
          <a:ext cx="641746" cy="123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754198" y="1453641"/>
        <a:ext cx="641746" cy="123062"/>
      </dsp:txXfrm>
    </dsp:sp>
    <dsp:sp modelId="{486EB147-7D30-49CE-8232-301A531AAF76}">
      <dsp:nvSpPr>
        <dsp:cNvPr id="0" name=""/>
        <dsp:cNvSpPr/>
      </dsp:nvSpPr>
      <dsp:spPr>
        <a:xfrm>
          <a:off x="1611588" y="1748990"/>
          <a:ext cx="713052" cy="36918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52096" numCol="1" spcCol="1270" anchor="ctr" anchorCtr="0">
          <a:noAutofit/>
        </a:bodyPr>
        <a:lstStyle/>
        <a:p>
          <a:pPr marL="0" lvl="0" indent="0" algn="ctr" defTabSz="444500">
            <a:lnSpc>
              <a:spcPct val="90000"/>
            </a:lnSpc>
            <a:spcBef>
              <a:spcPct val="0"/>
            </a:spcBef>
            <a:spcAft>
              <a:spcPct val="35000"/>
            </a:spcAft>
            <a:buNone/>
          </a:pPr>
          <a:r>
            <a:rPr lang="en-US" sz="1000" kern="1200"/>
            <a:t>5 Squadron</a:t>
          </a:r>
          <a:endParaRPr lang="ru-RU" sz="1000" kern="1200"/>
        </a:p>
      </dsp:txBody>
      <dsp:txXfrm>
        <a:off x="1611588" y="1748990"/>
        <a:ext cx="713052" cy="369186"/>
      </dsp:txXfrm>
    </dsp:sp>
    <dsp:sp modelId="{AA576CF0-2021-4847-8D47-5A07496D22CA}">
      <dsp:nvSpPr>
        <dsp:cNvPr id="0" name=""/>
        <dsp:cNvSpPr/>
      </dsp:nvSpPr>
      <dsp:spPr>
        <a:xfrm>
          <a:off x="1754198" y="2036136"/>
          <a:ext cx="641746" cy="123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754198" y="2036136"/>
        <a:ext cx="641746" cy="123062"/>
      </dsp:txXfrm>
    </dsp:sp>
    <dsp:sp modelId="{B59F5AF5-5BAF-4785-9653-32EEEA74C996}">
      <dsp:nvSpPr>
        <dsp:cNvPr id="0" name=""/>
        <dsp:cNvSpPr/>
      </dsp:nvSpPr>
      <dsp:spPr>
        <a:xfrm>
          <a:off x="1611588" y="2331485"/>
          <a:ext cx="713052" cy="36918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52096" numCol="1" spcCol="1270" anchor="ctr" anchorCtr="0">
          <a:noAutofit/>
        </a:bodyPr>
        <a:lstStyle/>
        <a:p>
          <a:pPr marL="0" lvl="0" indent="0" algn="ctr" defTabSz="444500">
            <a:lnSpc>
              <a:spcPct val="90000"/>
            </a:lnSpc>
            <a:spcBef>
              <a:spcPct val="0"/>
            </a:spcBef>
            <a:spcAft>
              <a:spcPct val="35000"/>
            </a:spcAft>
            <a:buNone/>
          </a:pPr>
          <a:r>
            <a:rPr lang="en-US" sz="1000" kern="1200"/>
            <a:t>Training Squadron</a:t>
          </a:r>
          <a:endParaRPr lang="ru-RU" sz="1000" kern="1200"/>
        </a:p>
      </dsp:txBody>
      <dsp:txXfrm>
        <a:off x="1611588" y="2331485"/>
        <a:ext cx="713052" cy="369186"/>
      </dsp:txXfrm>
    </dsp:sp>
    <dsp:sp modelId="{267F1486-F00D-442F-BD73-742EC19E385F}">
      <dsp:nvSpPr>
        <dsp:cNvPr id="0" name=""/>
        <dsp:cNvSpPr/>
      </dsp:nvSpPr>
      <dsp:spPr>
        <a:xfrm>
          <a:off x="1754198" y="2618630"/>
          <a:ext cx="641746" cy="123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1754198" y="2618630"/>
        <a:ext cx="641746" cy="123062"/>
      </dsp:txXfrm>
    </dsp:sp>
    <dsp:sp modelId="{F24A06B9-1E96-410C-B467-B29DBCDED2D7}">
      <dsp:nvSpPr>
        <dsp:cNvPr id="0" name=""/>
        <dsp:cNvSpPr/>
      </dsp:nvSpPr>
      <dsp:spPr>
        <a:xfrm>
          <a:off x="3046555" y="584001"/>
          <a:ext cx="713052" cy="36918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52096" numCol="1" spcCol="1270" anchor="ctr" anchorCtr="0">
          <a:noAutofit/>
        </a:bodyPr>
        <a:lstStyle/>
        <a:p>
          <a:pPr marL="0" lvl="0" indent="0" algn="ctr" defTabSz="444500">
            <a:lnSpc>
              <a:spcPct val="90000"/>
            </a:lnSpc>
            <a:spcBef>
              <a:spcPct val="0"/>
            </a:spcBef>
            <a:spcAft>
              <a:spcPct val="35000"/>
            </a:spcAft>
            <a:buNone/>
          </a:pPr>
          <a:r>
            <a:rPr lang="en-US" sz="1000" kern="1200"/>
            <a:t>Dawngleam Fleet</a:t>
          </a:r>
          <a:endParaRPr lang="ru-RU" sz="1000" kern="1200"/>
        </a:p>
      </dsp:txBody>
      <dsp:txXfrm>
        <a:off x="3046555" y="584001"/>
        <a:ext cx="713052" cy="369186"/>
      </dsp:txXfrm>
    </dsp:sp>
    <dsp:sp modelId="{232251A2-E0BB-43B5-82DB-631055C6B5CE}">
      <dsp:nvSpPr>
        <dsp:cNvPr id="0" name=""/>
        <dsp:cNvSpPr/>
      </dsp:nvSpPr>
      <dsp:spPr>
        <a:xfrm>
          <a:off x="3189165" y="871146"/>
          <a:ext cx="641746" cy="123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3189165" y="871146"/>
        <a:ext cx="641746" cy="123062"/>
      </dsp:txXfrm>
    </dsp:sp>
    <dsp:sp modelId="{CEF3B549-D084-45E5-B726-04FF8ABFC1FD}">
      <dsp:nvSpPr>
        <dsp:cNvPr id="0" name=""/>
        <dsp:cNvSpPr/>
      </dsp:nvSpPr>
      <dsp:spPr>
        <a:xfrm>
          <a:off x="2568232" y="1166496"/>
          <a:ext cx="713052" cy="36918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52096" numCol="1" spcCol="1270" anchor="ctr" anchorCtr="0">
          <a:noAutofit/>
        </a:bodyPr>
        <a:lstStyle/>
        <a:p>
          <a:pPr marL="0" lvl="0" indent="0" algn="ctr" defTabSz="444500">
            <a:lnSpc>
              <a:spcPct val="90000"/>
            </a:lnSpc>
            <a:spcBef>
              <a:spcPct val="0"/>
            </a:spcBef>
            <a:spcAft>
              <a:spcPct val="35000"/>
            </a:spcAft>
            <a:buNone/>
          </a:pPr>
          <a:r>
            <a:rPr lang="en-US" sz="1000" kern="1200"/>
            <a:t>6 Squadron</a:t>
          </a:r>
          <a:endParaRPr lang="ru-RU" sz="1000" kern="1200"/>
        </a:p>
      </dsp:txBody>
      <dsp:txXfrm>
        <a:off x="2568232" y="1166496"/>
        <a:ext cx="713052" cy="369186"/>
      </dsp:txXfrm>
    </dsp:sp>
    <dsp:sp modelId="{9DD619E1-EFBB-44CE-9D03-67534D360277}">
      <dsp:nvSpPr>
        <dsp:cNvPr id="0" name=""/>
        <dsp:cNvSpPr/>
      </dsp:nvSpPr>
      <dsp:spPr>
        <a:xfrm>
          <a:off x="2710843" y="1453641"/>
          <a:ext cx="641746" cy="123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2710843" y="1453641"/>
        <a:ext cx="641746" cy="123062"/>
      </dsp:txXfrm>
    </dsp:sp>
    <dsp:sp modelId="{5BD07DC4-9743-4468-BA48-7C8EF9145C68}">
      <dsp:nvSpPr>
        <dsp:cNvPr id="0" name=""/>
        <dsp:cNvSpPr/>
      </dsp:nvSpPr>
      <dsp:spPr>
        <a:xfrm>
          <a:off x="3524877" y="1166496"/>
          <a:ext cx="713052" cy="369186"/>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350" tIns="6350" rIns="6350" bIns="52096" numCol="1" spcCol="1270" anchor="ctr" anchorCtr="0">
          <a:noAutofit/>
        </a:bodyPr>
        <a:lstStyle/>
        <a:p>
          <a:pPr marL="0" lvl="0" indent="0" algn="ctr" defTabSz="444500">
            <a:lnSpc>
              <a:spcPct val="90000"/>
            </a:lnSpc>
            <a:spcBef>
              <a:spcPct val="0"/>
            </a:spcBef>
            <a:spcAft>
              <a:spcPct val="35000"/>
            </a:spcAft>
            <a:buNone/>
          </a:pPr>
          <a:r>
            <a:rPr lang="en-US" sz="1000" kern="1200"/>
            <a:t>7 Squadron</a:t>
          </a:r>
          <a:endParaRPr lang="ru-RU" sz="1000" kern="1200"/>
        </a:p>
      </dsp:txBody>
      <dsp:txXfrm>
        <a:off x="3524877" y="1166496"/>
        <a:ext cx="713052" cy="369186"/>
      </dsp:txXfrm>
    </dsp:sp>
    <dsp:sp modelId="{4988456E-44F7-475D-99B2-DF3BE760170C}">
      <dsp:nvSpPr>
        <dsp:cNvPr id="0" name=""/>
        <dsp:cNvSpPr/>
      </dsp:nvSpPr>
      <dsp:spPr>
        <a:xfrm>
          <a:off x="3667487" y="1453641"/>
          <a:ext cx="641746" cy="123062"/>
        </a:xfrm>
        <a:prstGeom prst="rect">
          <a:avLst/>
        </a:prstGeom>
        <a:solidFill>
          <a:schemeClr val="lt1">
            <a:alpha val="90000"/>
            <a:hueOff val="0"/>
            <a:satOff val="0"/>
            <a:lumOff val="0"/>
            <a:alphaOff val="0"/>
          </a:schemeClr>
        </a:solidFill>
        <a:ln w="12700" cap="flat" cmpd="sng" algn="ctr">
          <a:solidFill>
            <a:schemeClr val="accen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endParaRPr lang="ru-RU" sz="800" kern="1200"/>
        </a:p>
      </dsp:txBody>
      <dsp:txXfrm>
        <a:off x="3667487" y="1453641"/>
        <a:ext cx="641746" cy="123062"/>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8/layout/NameandTitleOrganizationalChart">
  <dgm:title val=""/>
  <dgm:desc val=""/>
  <dgm:catLst>
    <dgm:cat type="hierarchy" pri="125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1" styleLbl="fgAcc0">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alg type="conn">
                            <dgm:param type="connRout" val="bend"/>
                            <dgm:param type="dim" val="1D"/>
                            <dgm:param type="endSty" val="noArr"/>
                            <dgm:param type="begPts" val="bCtr"/>
                            <dgm:param type="endPts" val="tCtr"/>
                            <dgm:param type="bendPt" val="end"/>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41" func="var" arg="hierBranch" op="equ" val="hang">
                    <dgm:layoutNode name="Name42">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3">
                    <dgm:layoutNode name="Name44">
                      <dgm:choose name="Name45">
                        <dgm:if name="Name46" axis="self" func="depth" op="lte" val="2">
                          <dgm:choose name="Name47">
                            <dgm:if name="Name48" axis="par ch" ptType="node asst" func="cnt" op="gte" val="1">
                              <dgm:alg type="conn">
                                <dgm:param type="connRout" val="bend"/>
                                <dgm:param type="dim" val="1D"/>
                                <dgm:param type="endSty" val="noArr"/>
                                <dgm:param type="begPts" val="bCtr"/>
                                <dgm:param type="endPts" val="midL midR"/>
                              </dgm:alg>
                            </dgm:if>
                            <dgm:else name="Name49">
                              <dgm:alg type="conn">
                                <dgm:param type="connRout" val="bend"/>
                                <dgm:param type="dim" val="1D"/>
                                <dgm:param type="endSty" val="noArr"/>
                                <dgm:param type="begPts" val="bCtr"/>
                                <dgm:param type="endPts" val="midL midR"/>
                                <dgm:param type="srcNode" val="rootConnector1"/>
                              </dgm:alg>
                            </dgm:else>
                          </dgm:choose>
                        </dgm:if>
                        <dgm:else name="Name50">
                          <dgm:choose name="Name51">
                            <dgm:if name="Name52" axis="par ch" ptType="node asst" func="cnt" op="gte" val="1">
                              <dgm:alg type="conn">
                                <dgm:param type="connRout" val="bend"/>
                                <dgm:param type="dim" val="1D"/>
                                <dgm:param type="endSty" val="noArr"/>
                                <dgm:param type="begPts" val="bCtr"/>
                                <dgm:param type="endPts" val="midL midR"/>
                              </dgm:alg>
                            </dgm:if>
                            <dgm:else name="Name53">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54">
                  <dgm:if name="Name55" func="var" arg="hierBranch" op="equ" val="l">
                    <dgm:choose name="Name56">
                      <dgm:if name="Name57"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58">
                        <dgm:alg type="hierRoot">
                          <dgm:param type="hierAlign" val="tR"/>
                        </dgm:alg>
                        <dgm:shape xmlns:r="http://schemas.openxmlformats.org/officeDocument/2006/relationships" r:blip="">
                          <dgm:adjLst/>
                        </dgm:shape>
                        <dgm:presOf/>
                        <dgm:constrLst>
                          <dgm:constr type="alignOff" val="0.25"/>
                        </dgm:constrLst>
                      </dgm:else>
                    </dgm:choose>
                  </dgm:if>
                  <dgm:if name="Name59" func="var" arg="hierBranch" op="equ" val="r">
                    <dgm:choose name="Name60">
                      <dgm:if name="Name61"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2">
                        <dgm:alg type="hierRoot">
                          <dgm:param type="hierAlign" val="tL"/>
                        </dgm:alg>
                        <dgm:shape xmlns:r="http://schemas.openxmlformats.org/officeDocument/2006/relationships" r:blip="">
                          <dgm:adjLst/>
                        </dgm:shape>
                        <dgm:presOf/>
                        <dgm:constrLst>
                          <dgm:constr type="alignOff" val="0.25"/>
                        </dgm:constrLst>
                      </dgm:else>
                    </dgm:choose>
                  </dgm:if>
                  <dgm:if name="Name63"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64"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65">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66">
                    <dgm:if name="Name67" func="var" arg="hierBranch" op="equ" val="init">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68" func="var" arg="hierBranch" op="equ" val="l">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69" func="var" arg="hierBranch" op="equ" val="r">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70">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styleLbl="node1">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2" styleLbl="fgAcc1">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71">
                    <dgm:if name="Name72" func="var" arg="hierBranch" op="equ" val="l">
                      <dgm:alg type="hierChild">
                        <dgm:param type="chAlign" val="r"/>
                        <dgm:param type="linDir" val="fromT"/>
                      </dgm:alg>
                    </dgm:if>
                    <dgm:if name="Name73" func="var" arg="hierBranch" op="equ" val="r">
                      <dgm:alg type="hierChild">
                        <dgm:param type="chAlign" val="l"/>
                        <dgm:param type="linDir" val="fromT"/>
                      </dgm:alg>
                    </dgm:if>
                    <dgm:if name="Name74" func="var" arg="hierBranch" op="equ" val="hang">
                      <dgm:choose name="Name75">
                        <dgm:if name="Name76" func="var" arg="dir" op="equ" val="norm">
                          <dgm:alg type="hierChild">
                            <dgm:param type="chAlign" val="l"/>
                            <dgm:param type="linDir" val="fromL"/>
                            <dgm:param type="secChAlign" val="t"/>
                            <dgm:param type="secLinDir" val="fromT"/>
                          </dgm:alg>
                        </dgm:if>
                        <dgm:else name="Name77">
                          <dgm:alg type="hierChild">
                            <dgm:param type="chAlign" val="l"/>
                            <dgm:param type="linDir" val="fromR"/>
                            <dgm:param type="secChAlign" val="t"/>
                            <dgm:param type="secLinDir" val="fromT"/>
                          </dgm:alg>
                        </dgm:else>
                      </dgm:choose>
                    </dgm:if>
                    <dgm:if name="Name78" func="var" arg="hierBranch" op="equ" val="std">
                      <dgm:choose name="Name79">
                        <dgm:if name="Name80" func="var" arg="dir" op="equ" val="norm">
                          <dgm:alg type="hierChild"/>
                        </dgm:if>
                        <dgm:else name="Name81">
                          <dgm:alg type="hierChild">
                            <dgm:param type="linDir" val="fromR"/>
                          </dgm:alg>
                        </dgm:else>
                      </dgm:choose>
                    </dgm:if>
                    <dgm:if name="Name82" func="var" arg="hierBranch" op="equ" val="init">
                      <dgm:choose name="Name83">
                        <dgm:if name="Name84" func="var" arg="dir" op="equ" val="norm">
                          <dgm:alg type="hierChild"/>
                        </dgm:if>
                        <dgm:else name="Name85">
                          <dgm:alg type="hierChild">
                            <dgm:param type="linDir" val="fromR"/>
                          </dgm:alg>
                        </dgm:else>
                      </dgm:choose>
                    </dgm:if>
                    <dgm:else name="Name86"/>
                  </dgm:choose>
                  <dgm:shape xmlns:r="http://schemas.openxmlformats.org/officeDocument/2006/relationships" r:blip="">
                    <dgm:adjLst/>
                  </dgm:shape>
                  <dgm:presOf/>
                  <dgm:constrLst/>
                  <dgm:ruleLst/>
                  <dgm:forEach name="Name87" ref="rep2a"/>
                </dgm:layoutNode>
                <dgm:layoutNode name="hierChild5">
                  <dgm:choose name="Name88">
                    <dgm:if name="Name89" func="var" arg="dir" op="equ" val="norm">
                      <dgm:alg type="hierChild">
                        <dgm:param type="chAlign" val="l"/>
                        <dgm:param type="linDir" val="fromL"/>
                        <dgm:param type="secChAlign" val="t"/>
                        <dgm:param type="secLinDir" val="fromT"/>
                      </dgm:alg>
                    </dgm:if>
                    <dgm:else name="Name90">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91" ref="rep2b"/>
                </dgm:layoutNode>
              </dgm:layoutNode>
            </dgm:forEach>
          </dgm:layoutNode>
          <dgm:layoutNode name="hierChild3">
            <dgm:choose name="Name92">
              <dgm:if name="Name93" func="var" arg="dir" op="equ" val="norm">
                <dgm:alg type="hierChild">
                  <dgm:param type="chAlign" val="l"/>
                  <dgm:param type="linDir" val="fromL"/>
                  <dgm:param type="secChAlign" val="t"/>
                  <dgm:param type="secLinDir" val="fromT"/>
                </dgm:alg>
              </dgm:if>
              <dgm:else name="Name94">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95" axis="precedSib" ptType="parTrans" st="-1" cnt="1">
                <dgm:layoutNode name="Name96">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97">
                  <dgm:if name="Name98" func="var" arg="hierBranch" op="equ" val="l">
                    <dgm:alg type="hierRoot">
                      <dgm:param type="hierAlign" val="tR"/>
                    </dgm:alg>
                    <dgm:shape xmlns:r="http://schemas.openxmlformats.org/officeDocument/2006/relationships" r:blip="">
                      <dgm:adjLst/>
                    </dgm:shape>
                    <dgm:presOf/>
                    <dgm:constrLst>
                      <dgm:constr type="alignOff" val="0.65"/>
                    </dgm:constrLst>
                  </dgm:if>
                  <dgm:if name="Name99" func="var" arg="hierBranch" op="equ" val="r">
                    <dgm:alg type="hierRoot">
                      <dgm:param type="hierAlign" val="tL"/>
                    </dgm:alg>
                    <dgm:shape xmlns:r="http://schemas.openxmlformats.org/officeDocument/2006/relationships" r:blip="">
                      <dgm:adjLst/>
                    </dgm:shape>
                    <dgm:presOf/>
                    <dgm:constrLst>
                      <dgm:constr type="alignOff" val="0.65"/>
                    </dgm:constrLst>
                  </dgm:if>
                  <dgm:if name="Name100" func="var" arg="hierBranch" op="equ" val="hang">
                    <dgm:alg type="hierRoot"/>
                    <dgm:shape xmlns:r="http://schemas.openxmlformats.org/officeDocument/2006/relationships" r:blip="">
                      <dgm:adjLst/>
                    </dgm:shape>
                    <dgm:presOf/>
                    <dgm:constrLst>
                      <dgm:constr type="alignOff" val="0.65"/>
                    </dgm:constrLst>
                  </dgm:if>
                  <dgm:if name="Name101"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02"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103"/>
                </dgm:choose>
                <dgm:ruleLst/>
                <dgm:layoutNode name="rootComposite3">
                  <dgm:alg type="composite"/>
                  <dgm:shape xmlns:r="http://schemas.openxmlformats.org/officeDocument/2006/relationships" r:blip="">
                    <dgm:adjLst/>
                  </dgm:shape>
                  <dgm:presOf axis="self" ptType="node" cnt="1"/>
                  <dgm:choose name="Name104">
                    <dgm:if name="Name105" func="var" arg="hierBranch" op="equ" val="init">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06" func="var" arg="hierBranch" op="equ" val="l">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07" func="var" arg="hierBranch" op="equ" val="r">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08">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styleLbl="asst1">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3" styleLbl="fgAcc2">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09">
                    <dgm:if name="Name110" func="var" arg="hierBranch" op="equ" val="l">
                      <dgm:alg type="hierChild">
                        <dgm:param type="chAlign" val="r"/>
                        <dgm:param type="linDir" val="fromT"/>
                      </dgm:alg>
                    </dgm:if>
                    <dgm:if name="Name111" func="var" arg="hierBranch" op="equ" val="r">
                      <dgm:alg type="hierChild">
                        <dgm:param type="chAlign" val="l"/>
                        <dgm:param type="linDir" val="fromT"/>
                      </dgm:alg>
                    </dgm:if>
                    <dgm:if name="Name112" func="var" arg="hierBranch" op="equ" val="hang">
                      <dgm:choose name="Name113">
                        <dgm:if name="Name114" func="var" arg="dir" op="equ" val="norm">
                          <dgm:alg type="hierChild">
                            <dgm:param type="chAlign" val="l"/>
                            <dgm:param type="linDir" val="fromL"/>
                            <dgm:param type="secChAlign" val="t"/>
                            <dgm:param type="secLinDir" val="fromT"/>
                          </dgm:alg>
                        </dgm:if>
                        <dgm:else name="Name115">
                          <dgm:alg type="hierChild">
                            <dgm:param type="chAlign" val="l"/>
                            <dgm:param type="linDir" val="fromR"/>
                            <dgm:param type="secChAlign" val="t"/>
                            <dgm:param type="secLinDir" val="fromT"/>
                          </dgm:alg>
                        </dgm:else>
                      </dgm:choose>
                    </dgm:if>
                    <dgm:if name="Name116" func="var" arg="hierBranch" op="equ" val="std">
                      <dgm:choose name="Name117">
                        <dgm:if name="Name118" func="var" arg="dir" op="equ" val="norm">
                          <dgm:alg type="hierChild"/>
                        </dgm:if>
                        <dgm:else name="Name119">
                          <dgm:alg type="hierChild">
                            <dgm:param type="linDir" val="fromR"/>
                          </dgm:alg>
                        </dgm:else>
                      </dgm:choose>
                    </dgm:if>
                    <dgm:if name="Name120" func="var" arg="hierBranch" op="equ" val="init">
                      <dgm:alg type="hierChild"/>
                    </dgm:if>
                    <dgm:else name="Name121"/>
                  </dgm:choose>
                  <dgm:shape xmlns:r="http://schemas.openxmlformats.org/officeDocument/2006/relationships" r:blip="">
                    <dgm:adjLst/>
                  </dgm:shape>
                  <dgm:presOf/>
                  <dgm:constrLst/>
                  <dgm:ruleLst/>
                  <dgm:forEach name="Name122" ref="rep2a"/>
                </dgm:layoutNode>
                <dgm:layoutNode name="hierChild7">
                  <dgm:choose name="Name123">
                    <dgm:if name="Name124" func="var" arg="dir" op="equ" val="norm">
                      <dgm:alg type="hierChild">
                        <dgm:param type="chAlign" val="l"/>
                        <dgm:param type="linDir" val="fromL"/>
                        <dgm:param type="secChAlign" val="t"/>
                        <dgm:param type="secLinDir" val="fromT"/>
                      </dgm:alg>
                    </dgm:if>
                    <dgm:else name="Name12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26" ref="rep2b"/>
                </dgm:layoutNode>
              </dgm:layoutNode>
            </dgm:forEach>
          </dgm:layoutNode>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8/layout/NameandTitleOrganizationalChart">
  <dgm:title val=""/>
  <dgm:desc val=""/>
  <dgm:catLst>
    <dgm:cat type="hierarchy" pri="125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1" styleLbl="fgAcc0">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alg type="conn">
                            <dgm:param type="connRout" val="bend"/>
                            <dgm:param type="dim" val="1D"/>
                            <dgm:param type="endSty" val="noArr"/>
                            <dgm:param type="begPts" val="bCtr"/>
                            <dgm:param type="endPts" val="tCtr"/>
                            <dgm:param type="bendPt" val="end"/>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41" func="var" arg="hierBranch" op="equ" val="hang">
                    <dgm:layoutNode name="Name42">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3">
                    <dgm:layoutNode name="Name44">
                      <dgm:choose name="Name45">
                        <dgm:if name="Name46" axis="self" func="depth" op="lte" val="2">
                          <dgm:choose name="Name47">
                            <dgm:if name="Name48" axis="par ch" ptType="node asst" func="cnt" op="gte" val="1">
                              <dgm:alg type="conn">
                                <dgm:param type="connRout" val="bend"/>
                                <dgm:param type="dim" val="1D"/>
                                <dgm:param type="endSty" val="noArr"/>
                                <dgm:param type="begPts" val="bCtr"/>
                                <dgm:param type="endPts" val="midL midR"/>
                              </dgm:alg>
                            </dgm:if>
                            <dgm:else name="Name49">
                              <dgm:alg type="conn">
                                <dgm:param type="connRout" val="bend"/>
                                <dgm:param type="dim" val="1D"/>
                                <dgm:param type="endSty" val="noArr"/>
                                <dgm:param type="begPts" val="bCtr"/>
                                <dgm:param type="endPts" val="midL midR"/>
                                <dgm:param type="srcNode" val="rootConnector1"/>
                              </dgm:alg>
                            </dgm:else>
                          </dgm:choose>
                        </dgm:if>
                        <dgm:else name="Name50">
                          <dgm:choose name="Name51">
                            <dgm:if name="Name52" axis="par ch" ptType="node asst" func="cnt" op="gte" val="1">
                              <dgm:alg type="conn">
                                <dgm:param type="connRout" val="bend"/>
                                <dgm:param type="dim" val="1D"/>
                                <dgm:param type="endSty" val="noArr"/>
                                <dgm:param type="begPts" val="bCtr"/>
                                <dgm:param type="endPts" val="midL midR"/>
                              </dgm:alg>
                            </dgm:if>
                            <dgm:else name="Name53">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54">
                  <dgm:if name="Name55" func="var" arg="hierBranch" op="equ" val="l">
                    <dgm:choose name="Name56">
                      <dgm:if name="Name57"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58">
                        <dgm:alg type="hierRoot">
                          <dgm:param type="hierAlign" val="tR"/>
                        </dgm:alg>
                        <dgm:shape xmlns:r="http://schemas.openxmlformats.org/officeDocument/2006/relationships" r:blip="">
                          <dgm:adjLst/>
                        </dgm:shape>
                        <dgm:presOf/>
                        <dgm:constrLst>
                          <dgm:constr type="alignOff" val="0.25"/>
                        </dgm:constrLst>
                      </dgm:else>
                    </dgm:choose>
                  </dgm:if>
                  <dgm:if name="Name59" func="var" arg="hierBranch" op="equ" val="r">
                    <dgm:choose name="Name60">
                      <dgm:if name="Name61"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2">
                        <dgm:alg type="hierRoot">
                          <dgm:param type="hierAlign" val="tL"/>
                        </dgm:alg>
                        <dgm:shape xmlns:r="http://schemas.openxmlformats.org/officeDocument/2006/relationships" r:blip="">
                          <dgm:adjLst/>
                        </dgm:shape>
                        <dgm:presOf/>
                        <dgm:constrLst>
                          <dgm:constr type="alignOff" val="0.25"/>
                        </dgm:constrLst>
                      </dgm:else>
                    </dgm:choose>
                  </dgm:if>
                  <dgm:if name="Name63"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64"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65">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66">
                    <dgm:if name="Name67" func="var" arg="hierBranch" op="equ" val="init">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68" func="var" arg="hierBranch" op="equ" val="l">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69" func="var" arg="hierBranch" op="equ" val="r">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70">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styleLbl="node1">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2" styleLbl="fgAcc1">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71">
                    <dgm:if name="Name72" func="var" arg="hierBranch" op="equ" val="l">
                      <dgm:alg type="hierChild">
                        <dgm:param type="chAlign" val="r"/>
                        <dgm:param type="linDir" val="fromT"/>
                      </dgm:alg>
                    </dgm:if>
                    <dgm:if name="Name73" func="var" arg="hierBranch" op="equ" val="r">
                      <dgm:alg type="hierChild">
                        <dgm:param type="chAlign" val="l"/>
                        <dgm:param type="linDir" val="fromT"/>
                      </dgm:alg>
                    </dgm:if>
                    <dgm:if name="Name74" func="var" arg="hierBranch" op="equ" val="hang">
                      <dgm:choose name="Name75">
                        <dgm:if name="Name76" func="var" arg="dir" op="equ" val="norm">
                          <dgm:alg type="hierChild">
                            <dgm:param type="chAlign" val="l"/>
                            <dgm:param type="linDir" val="fromL"/>
                            <dgm:param type="secChAlign" val="t"/>
                            <dgm:param type="secLinDir" val="fromT"/>
                          </dgm:alg>
                        </dgm:if>
                        <dgm:else name="Name77">
                          <dgm:alg type="hierChild">
                            <dgm:param type="chAlign" val="l"/>
                            <dgm:param type="linDir" val="fromR"/>
                            <dgm:param type="secChAlign" val="t"/>
                            <dgm:param type="secLinDir" val="fromT"/>
                          </dgm:alg>
                        </dgm:else>
                      </dgm:choose>
                    </dgm:if>
                    <dgm:if name="Name78" func="var" arg="hierBranch" op="equ" val="std">
                      <dgm:choose name="Name79">
                        <dgm:if name="Name80" func="var" arg="dir" op="equ" val="norm">
                          <dgm:alg type="hierChild"/>
                        </dgm:if>
                        <dgm:else name="Name81">
                          <dgm:alg type="hierChild">
                            <dgm:param type="linDir" val="fromR"/>
                          </dgm:alg>
                        </dgm:else>
                      </dgm:choose>
                    </dgm:if>
                    <dgm:if name="Name82" func="var" arg="hierBranch" op="equ" val="init">
                      <dgm:choose name="Name83">
                        <dgm:if name="Name84" func="var" arg="dir" op="equ" val="norm">
                          <dgm:alg type="hierChild"/>
                        </dgm:if>
                        <dgm:else name="Name85">
                          <dgm:alg type="hierChild">
                            <dgm:param type="linDir" val="fromR"/>
                          </dgm:alg>
                        </dgm:else>
                      </dgm:choose>
                    </dgm:if>
                    <dgm:else name="Name86"/>
                  </dgm:choose>
                  <dgm:shape xmlns:r="http://schemas.openxmlformats.org/officeDocument/2006/relationships" r:blip="">
                    <dgm:adjLst/>
                  </dgm:shape>
                  <dgm:presOf/>
                  <dgm:constrLst/>
                  <dgm:ruleLst/>
                  <dgm:forEach name="Name87" ref="rep2a"/>
                </dgm:layoutNode>
                <dgm:layoutNode name="hierChild5">
                  <dgm:choose name="Name88">
                    <dgm:if name="Name89" func="var" arg="dir" op="equ" val="norm">
                      <dgm:alg type="hierChild">
                        <dgm:param type="chAlign" val="l"/>
                        <dgm:param type="linDir" val="fromL"/>
                        <dgm:param type="secChAlign" val="t"/>
                        <dgm:param type="secLinDir" val="fromT"/>
                      </dgm:alg>
                    </dgm:if>
                    <dgm:else name="Name90">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91" ref="rep2b"/>
                </dgm:layoutNode>
              </dgm:layoutNode>
            </dgm:forEach>
          </dgm:layoutNode>
          <dgm:layoutNode name="hierChild3">
            <dgm:choose name="Name92">
              <dgm:if name="Name93" func="var" arg="dir" op="equ" val="norm">
                <dgm:alg type="hierChild">
                  <dgm:param type="chAlign" val="l"/>
                  <dgm:param type="linDir" val="fromL"/>
                  <dgm:param type="secChAlign" val="t"/>
                  <dgm:param type="secLinDir" val="fromT"/>
                </dgm:alg>
              </dgm:if>
              <dgm:else name="Name94">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95" axis="precedSib" ptType="parTrans" st="-1" cnt="1">
                <dgm:layoutNode name="Name96">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97">
                  <dgm:if name="Name98" func="var" arg="hierBranch" op="equ" val="l">
                    <dgm:alg type="hierRoot">
                      <dgm:param type="hierAlign" val="tR"/>
                    </dgm:alg>
                    <dgm:shape xmlns:r="http://schemas.openxmlformats.org/officeDocument/2006/relationships" r:blip="">
                      <dgm:adjLst/>
                    </dgm:shape>
                    <dgm:presOf/>
                    <dgm:constrLst>
                      <dgm:constr type="alignOff" val="0.65"/>
                    </dgm:constrLst>
                  </dgm:if>
                  <dgm:if name="Name99" func="var" arg="hierBranch" op="equ" val="r">
                    <dgm:alg type="hierRoot">
                      <dgm:param type="hierAlign" val="tL"/>
                    </dgm:alg>
                    <dgm:shape xmlns:r="http://schemas.openxmlformats.org/officeDocument/2006/relationships" r:blip="">
                      <dgm:adjLst/>
                    </dgm:shape>
                    <dgm:presOf/>
                    <dgm:constrLst>
                      <dgm:constr type="alignOff" val="0.65"/>
                    </dgm:constrLst>
                  </dgm:if>
                  <dgm:if name="Name100" func="var" arg="hierBranch" op="equ" val="hang">
                    <dgm:alg type="hierRoot"/>
                    <dgm:shape xmlns:r="http://schemas.openxmlformats.org/officeDocument/2006/relationships" r:blip="">
                      <dgm:adjLst/>
                    </dgm:shape>
                    <dgm:presOf/>
                    <dgm:constrLst>
                      <dgm:constr type="alignOff" val="0.65"/>
                    </dgm:constrLst>
                  </dgm:if>
                  <dgm:if name="Name101"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02"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103"/>
                </dgm:choose>
                <dgm:ruleLst/>
                <dgm:layoutNode name="rootComposite3">
                  <dgm:alg type="composite"/>
                  <dgm:shape xmlns:r="http://schemas.openxmlformats.org/officeDocument/2006/relationships" r:blip="">
                    <dgm:adjLst/>
                  </dgm:shape>
                  <dgm:presOf axis="self" ptType="node" cnt="1"/>
                  <dgm:choose name="Name104">
                    <dgm:if name="Name105" func="var" arg="hierBranch" op="equ" val="init">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06" func="var" arg="hierBranch" op="equ" val="l">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07" func="var" arg="hierBranch" op="equ" val="r">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08">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styleLbl="asst1">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3" styleLbl="fgAcc2">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09">
                    <dgm:if name="Name110" func="var" arg="hierBranch" op="equ" val="l">
                      <dgm:alg type="hierChild">
                        <dgm:param type="chAlign" val="r"/>
                        <dgm:param type="linDir" val="fromT"/>
                      </dgm:alg>
                    </dgm:if>
                    <dgm:if name="Name111" func="var" arg="hierBranch" op="equ" val="r">
                      <dgm:alg type="hierChild">
                        <dgm:param type="chAlign" val="l"/>
                        <dgm:param type="linDir" val="fromT"/>
                      </dgm:alg>
                    </dgm:if>
                    <dgm:if name="Name112" func="var" arg="hierBranch" op="equ" val="hang">
                      <dgm:choose name="Name113">
                        <dgm:if name="Name114" func="var" arg="dir" op="equ" val="norm">
                          <dgm:alg type="hierChild">
                            <dgm:param type="chAlign" val="l"/>
                            <dgm:param type="linDir" val="fromL"/>
                            <dgm:param type="secChAlign" val="t"/>
                            <dgm:param type="secLinDir" val="fromT"/>
                          </dgm:alg>
                        </dgm:if>
                        <dgm:else name="Name115">
                          <dgm:alg type="hierChild">
                            <dgm:param type="chAlign" val="l"/>
                            <dgm:param type="linDir" val="fromR"/>
                            <dgm:param type="secChAlign" val="t"/>
                            <dgm:param type="secLinDir" val="fromT"/>
                          </dgm:alg>
                        </dgm:else>
                      </dgm:choose>
                    </dgm:if>
                    <dgm:if name="Name116" func="var" arg="hierBranch" op="equ" val="std">
                      <dgm:choose name="Name117">
                        <dgm:if name="Name118" func="var" arg="dir" op="equ" val="norm">
                          <dgm:alg type="hierChild"/>
                        </dgm:if>
                        <dgm:else name="Name119">
                          <dgm:alg type="hierChild">
                            <dgm:param type="linDir" val="fromR"/>
                          </dgm:alg>
                        </dgm:else>
                      </dgm:choose>
                    </dgm:if>
                    <dgm:if name="Name120" func="var" arg="hierBranch" op="equ" val="init">
                      <dgm:alg type="hierChild"/>
                    </dgm:if>
                    <dgm:else name="Name121"/>
                  </dgm:choose>
                  <dgm:shape xmlns:r="http://schemas.openxmlformats.org/officeDocument/2006/relationships" r:blip="">
                    <dgm:adjLst/>
                  </dgm:shape>
                  <dgm:presOf/>
                  <dgm:constrLst/>
                  <dgm:ruleLst/>
                  <dgm:forEach name="Name122" ref="rep2a"/>
                </dgm:layoutNode>
                <dgm:layoutNode name="hierChild7">
                  <dgm:choose name="Name123">
                    <dgm:if name="Name124" func="var" arg="dir" op="equ" val="norm">
                      <dgm:alg type="hierChild">
                        <dgm:param type="chAlign" val="l"/>
                        <dgm:param type="linDir" val="fromL"/>
                        <dgm:param type="secChAlign" val="t"/>
                        <dgm:param type="secLinDir" val="fromT"/>
                      </dgm:alg>
                    </dgm:if>
                    <dgm:else name="Name12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26"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emf"/><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3.png"/><Relationship Id="rId2" Type="http://schemas.openxmlformats.org/officeDocument/2006/relationships/image" Target="../media/image19.png"/><Relationship Id="rId1" Type="http://schemas.openxmlformats.org/officeDocument/2006/relationships/image" Target="../media/image13.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8.xml.rels><?xml version="1.0" encoding="UTF-8" standalone="yes"?>
<Relationships xmlns="http://schemas.openxmlformats.org/package/2006/relationships"><Relationship Id="rId26" Type="http://schemas.openxmlformats.org/officeDocument/2006/relationships/image" Target="../media/image43.png"/><Relationship Id="rId117" Type="http://schemas.openxmlformats.org/officeDocument/2006/relationships/image" Target="../media/image128.png"/><Relationship Id="rId21" Type="http://schemas.openxmlformats.org/officeDocument/2006/relationships/image" Target="../media/image38.png"/><Relationship Id="rId42" Type="http://schemas.openxmlformats.org/officeDocument/2006/relationships/image" Target="../media/image59.png"/><Relationship Id="rId47" Type="http://schemas.openxmlformats.org/officeDocument/2006/relationships/image" Target="../media/image12.png"/><Relationship Id="rId63" Type="http://schemas.openxmlformats.org/officeDocument/2006/relationships/image" Target="../media/image76.png"/><Relationship Id="rId68" Type="http://schemas.openxmlformats.org/officeDocument/2006/relationships/image" Target="../media/image81.png"/><Relationship Id="rId84" Type="http://schemas.openxmlformats.org/officeDocument/2006/relationships/image" Target="../media/image96.png"/><Relationship Id="rId89" Type="http://schemas.openxmlformats.org/officeDocument/2006/relationships/image" Target="../media/image101.png"/><Relationship Id="rId112" Type="http://schemas.openxmlformats.org/officeDocument/2006/relationships/image" Target="../media/image123.png"/><Relationship Id="rId133" Type="http://schemas.openxmlformats.org/officeDocument/2006/relationships/image" Target="../media/image144.png"/><Relationship Id="rId138" Type="http://schemas.openxmlformats.org/officeDocument/2006/relationships/image" Target="../media/image149.png"/><Relationship Id="rId16" Type="http://schemas.openxmlformats.org/officeDocument/2006/relationships/image" Target="../media/image33.png"/><Relationship Id="rId107" Type="http://schemas.openxmlformats.org/officeDocument/2006/relationships/image" Target="../media/image118.png"/><Relationship Id="rId11" Type="http://schemas.openxmlformats.org/officeDocument/2006/relationships/image" Target="../media/image28.png"/><Relationship Id="rId32" Type="http://schemas.openxmlformats.org/officeDocument/2006/relationships/image" Target="../media/image49.png"/><Relationship Id="rId37" Type="http://schemas.openxmlformats.org/officeDocument/2006/relationships/image" Target="../media/image54.png"/><Relationship Id="rId53" Type="http://schemas.openxmlformats.org/officeDocument/2006/relationships/image" Target="../media/image67.png"/><Relationship Id="rId58" Type="http://schemas.openxmlformats.org/officeDocument/2006/relationships/image" Target="../media/image14.png"/><Relationship Id="rId74" Type="http://schemas.openxmlformats.org/officeDocument/2006/relationships/image" Target="../media/image87.png"/><Relationship Id="rId79" Type="http://schemas.openxmlformats.org/officeDocument/2006/relationships/image" Target="../media/image92.png"/><Relationship Id="rId102" Type="http://schemas.openxmlformats.org/officeDocument/2006/relationships/image" Target="../media/image113.png"/><Relationship Id="rId123" Type="http://schemas.openxmlformats.org/officeDocument/2006/relationships/image" Target="../media/image134.png"/><Relationship Id="rId128" Type="http://schemas.openxmlformats.org/officeDocument/2006/relationships/image" Target="../media/image139.png"/><Relationship Id="rId144" Type="http://schemas.openxmlformats.org/officeDocument/2006/relationships/image" Target="../media/image155.png"/><Relationship Id="rId5" Type="http://schemas.openxmlformats.org/officeDocument/2006/relationships/image" Target="../media/image20.png"/><Relationship Id="rId90" Type="http://schemas.openxmlformats.org/officeDocument/2006/relationships/image" Target="../media/image102.png"/><Relationship Id="rId95" Type="http://schemas.openxmlformats.org/officeDocument/2006/relationships/image" Target="../media/image107.png"/><Relationship Id="rId22" Type="http://schemas.openxmlformats.org/officeDocument/2006/relationships/image" Target="../media/image39.png"/><Relationship Id="rId27" Type="http://schemas.openxmlformats.org/officeDocument/2006/relationships/image" Target="../media/image44.png"/><Relationship Id="rId43" Type="http://schemas.openxmlformats.org/officeDocument/2006/relationships/image" Target="../media/image15.png"/><Relationship Id="rId48" Type="http://schemas.openxmlformats.org/officeDocument/2006/relationships/image" Target="../media/image62.png"/><Relationship Id="rId64" Type="http://schemas.openxmlformats.org/officeDocument/2006/relationships/image" Target="../media/image77.png"/><Relationship Id="rId69" Type="http://schemas.openxmlformats.org/officeDocument/2006/relationships/image" Target="../media/image82.png"/><Relationship Id="rId113" Type="http://schemas.openxmlformats.org/officeDocument/2006/relationships/image" Target="../media/image124.png"/><Relationship Id="rId118" Type="http://schemas.openxmlformats.org/officeDocument/2006/relationships/image" Target="../media/image129.png"/><Relationship Id="rId134" Type="http://schemas.openxmlformats.org/officeDocument/2006/relationships/image" Target="../media/image145.png"/><Relationship Id="rId139" Type="http://schemas.openxmlformats.org/officeDocument/2006/relationships/image" Target="../media/image150.png"/><Relationship Id="rId80" Type="http://schemas.openxmlformats.org/officeDocument/2006/relationships/image" Target="../media/image93.png"/><Relationship Id="rId85" Type="http://schemas.openxmlformats.org/officeDocument/2006/relationships/image" Target="../media/image97.png"/><Relationship Id="rId3" Type="http://schemas.openxmlformats.org/officeDocument/2006/relationships/image" Target="../media/image19.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33" Type="http://schemas.openxmlformats.org/officeDocument/2006/relationships/image" Target="../media/image50.png"/><Relationship Id="rId38" Type="http://schemas.openxmlformats.org/officeDocument/2006/relationships/image" Target="../media/image55.png"/><Relationship Id="rId46" Type="http://schemas.openxmlformats.org/officeDocument/2006/relationships/image" Target="../media/image61.png"/><Relationship Id="rId59" Type="http://schemas.openxmlformats.org/officeDocument/2006/relationships/image" Target="../media/image72.png"/><Relationship Id="rId67" Type="http://schemas.openxmlformats.org/officeDocument/2006/relationships/image" Target="../media/image80.png"/><Relationship Id="rId103" Type="http://schemas.openxmlformats.org/officeDocument/2006/relationships/image" Target="../media/image114.png"/><Relationship Id="rId108" Type="http://schemas.openxmlformats.org/officeDocument/2006/relationships/image" Target="../media/image119.png"/><Relationship Id="rId116" Type="http://schemas.openxmlformats.org/officeDocument/2006/relationships/image" Target="../media/image127.png"/><Relationship Id="rId124" Type="http://schemas.openxmlformats.org/officeDocument/2006/relationships/image" Target="../media/image135.png"/><Relationship Id="rId129" Type="http://schemas.openxmlformats.org/officeDocument/2006/relationships/image" Target="../media/image140.png"/><Relationship Id="rId137" Type="http://schemas.openxmlformats.org/officeDocument/2006/relationships/image" Target="../media/image148.png"/><Relationship Id="rId20" Type="http://schemas.openxmlformats.org/officeDocument/2006/relationships/image" Target="../media/image37.png"/><Relationship Id="rId41" Type="http://schemas.openxmlformats.org/officeDocument/2006/relationships/image" Target="../media/image58.png"/><Relationship Id="rId54" Type="http://schemas.openxmlformats.org/officeDocument/2006/relationships/image" Target="../media/image68.png"/><Relationship Id="rId62" Type="http://schemas.openxmlformats.org/officeDocument/2006/relationships/image" Target="../media/image75.png"/><Relationship Id="rId70" Type="http://schemas.openxmlformats.org/officeDocument/2006/relationships/image" Target="../media/image83.png"/><Relationship Id="rId75" Type="http://schemas.openxmlformats.org/officeDocument/2006/relationships/image" Target="../media/image88.png"/><Relationship Id="rId83" Type="http://schemas.openxmlformats.org/officeDocument/2006/relationships/image" Target="../media/image95.png"/><Relationship Id="rId88" Type="http://schemas.openxmlformats.org/officeDocument/2006/relationships/image" Target="../media/image100.png"/><Relationship Id="rId91" Type="http://schemas.openxmlformats.org/officeDocument/2006/relationships/image" Target="../media/image103.png"/><Relationship Id="rId96" Type="http://schemas.openxmlformats.org/officeDocument/2006/relationships/image" Target="../media/image108.png"/><Relationship Id="rId111" Type="http://schemas.openxmlformats.org/officeDocument/2006/relationships/image" Target="../media/image122.png"/><Relationship Id="rId132" Type="http://schemas.openxmlformats.org/officeDocument/2006/relationships/image" Target="../media/image143.png"/><Relationship Id="rId140" Type="http://schemas.openxmlformats.org/officeDocument/2006/relationships/image" Target="../media/image151.png"/><Relationship Id="rId145" Type="http://schemas.openxmlformats.org/officeDocument/2006/relationships/image" Target="../media/image156.png"/><Relationship Id="rId1" Type="http://schemas.openxmlformats.org/officeDocument/2006/relationships/image" Target="../media/image21.png"/><Relationship Id="rId6" Type="http://schemas.openxmlformats.org/officeDocument/2006/relationships/image" Target="../media/image24.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49" Type="http://schemas.openxmlformats.org/officeDocument/2006/relationships/image" Target="../media/image63.png"/><Relationship Id="rId57" Type="http://schemas.openxmlformats.org/officeDocument/2006/relationships/image" Target="../media/image71.png"/><Relationship Id="rId106" Type="http://schemas.openxmlformats.org/officeDocument/2006/relationships/image" Target="../media/image117.png"/><Relationship Id="rId114" Type="http://schemas.openxmlformats.org/officeDocument/2006/relationships/image" Target="../media/image125.png"/><Relationship Id="rId119" Type="http://schemas.openxmlformats.org/officeDocument/2006/relationships/image" Target="../media/image130.png"/><Relationship Id="rId127" Type="http://schemas.openxmlformats.org/officeDocument/2006/relationships/image" Target="../media/image138.png"/><Relationship Id="rId10" Type="http://schemas.openxmlformats.org/officeDocument/2006/relationships/image" Target="../media/image27.png"/><Relationship Id="rId31" Type="http://schemas.openxmlformats.org/officeDocument/2006/relationships/image" Target="../media/image48.png"/><Relationship Id="rId44" Type="http://schemas.openxmlformats.org/officeDocument/2006/relationships/image" Target="../media/image60.png"/><Relationship Id="rId52" Type="http://schemas.openxmlformats.org/officeDocument/2006/relationships/image" Target="../media/image66.png"/><Relationship Id="rId60" Type="http://schemas.openxmlformats.org/officeDocument/2006/relationships/image" Target="../media/image73.png"/><Relationship Id="rId65" Type="http://schemas.openxmlformats.org/officeDocument/2006/relationships/image" Target="../media/image78.png"/><Relationship Id="rId73" Type="http://schemas.openxmlformats.org/officeDocument/2006/relationships/image" Target="../media/image86.png"/><Relationship Id="rId78" Type="http://schemas.openxmlformats.org/officeDocument/2006/relationships/image" Target="../media/image91.png"/><Relationship Id="rId81" Type="http://schemas.openxmlformats.org/officeDocument/2006/relationships/image" Target="../media/image22.png"/><Relationship Id="rId86" Type="http://schemas.openxmlformats.org/officeDocument/2006/relationships/image" Target="../media/image98.png"/><Relationship Id="rId94" Type="http://schemas.openxmlformats.org/officeDocument/2006/relationships/image" Target="../media/image106.png"/><Relationship Id="rId99" Type="http://schemas.openxmlformats.org/officeDocument/2006/relationships/image" Target="../media/image110.png"/><Relationship Id="rId101" Type="http://schemas.openxmlformats.org/officeDocument/2006/relationships/image" Target="../media/image112.png"/><Relationship Id="rId122" Type="http://schemas.openxmlformats.org/officeDocument/2006/relationships/image" Target="../media/image133.png"/><Relationship Id="rId130" Type="http://schemas.openxmlformats.org/officeDocument/2006/relationships/image" Target="../media/image141.png"/><Relationship Id="rId135" Type="http://schemas.openxmlformats.org/officeDocument/2006/relationships/image" Target="../media/image146.png"/><Relationship Id="rId143" Type="http://schemas.openxmlformats.org/officeDocument/2006/relationships/image" Target="../media/image154.png"/><Relationship Id="rId4" Type="http://schemas.openxmlformats.org/officeDocument/2006/relationships/image" Target="../media/image16.png"/><Relationship Id="rId9" Type="http://schemas.openxmlformats.org/officeDocument/2006/relationships/image" Target="../media/image26.png"/><Relationship Id="rId13" Type="http://schemas.openxmlformats.org/officeDocument/2006/relationships/image" Target="../media/image30.png"/><Relationship Id="rId18" Type="http://schemas.openxmlformats.org/officeDocument/2006/relationships/image" Target="../media/image35.png"/><Relationship Id="rId39" Type="http://schemas.openxmlformats.org/officeDocument/2006/relationships/image" Target="../media/image56.png"/><Relationship Id="rId109" Type="http://schemas.openxmlformats.org/officeDocument/2006/relationships/image" Target="../media/image120.png"/><Relationship Id="rId34" Type="http://schemas.openxmlformats.org/officeDocument/2006/relationships/image" Target="../media/image51.png"/><Relationship Id="rId50" Type="http://schemas.openxmlformats.org/officeDocument/2006/relationships/image" Target="../media/image64.png"/><Relationship Id="rId55" Type="http://schemas.openxmlformats.org/officeDocument/2006/relationships/image" Target="../media/image69.png"/><Relationship Id="rId76" Type="http://schemas.openxmlformats.org/officeDocument/2006/relationships/image" Target="../media/image89.png"/><Relationship Id="rId97" Type="http://schemas.openxmlformats.org/officeDocument/2006/relationships/image" Target="../media/image23.png"/><Relationship Id="rId104" Type="http://schemas.openxmlformats.org/officeDocument/2006/relationships/image" Target="../media/image115.png"/><Relationship Id="rId120" Type="http://schemas.openxmlformats.org/officeDocument/2006/relationships/image" Target="../media/image131.png"/><Relationship Id="rId125" Type="http://schemas.openxmlformats.org/officeDocument/2006/relationships/image" Target="../media/image136.png"/><Relationship Id="rId141" Type="http://schemas.openxmlformats.org/officeDocument/2006/relationships/image" Target="../media/image152.png"/><Relationship Id="rId146" Type="http://schemas.openxmlformats.org/officeDocument/2006/relationships/image" Target="../media/image157.png"/><Relationship Id="rId7" Type="http://schemas.openxmlformats.org/officeDocument/2006/relationships/image" Target="../media/image17.png"/><Relationship Id="rId71" Type="http://schemas.openxmlformats.org/officeDocument/2006/relationships/image" Target="../media/image84.png"/><Relationship Id="rId92" Type="http://schemas.openxmlformats.org/officeDocument/2006/relationships/image" Target="../media/image104.png"/><Relationship Id="rId2" Type="http://schemas.openxmlformats.org/officeDocument/2006/relationships/image" Target="../media/image13.png"/><Relationship Id="rId29" Type="http://schemas.openxmlformats.org/officeDocument/2006/relationships/image" Target="../media/image46.png"/><Relationship Id="rId24" Type="http://schemas.openxmlformats.org/officeDocument/2006/relationships/image" Target="../media/image41.png"/><Relationship Id="rId40" Type="http://schemas.openxmlformats.org/officeDocument/2006/relationships/image" Target="../media/image57.png"/><Relationship Id="rId45" Type="http://schemas.openxmlformats.org/officeDocument/2006/relationships/image" Target="../media/image11.png"/><Relationship Id="rId66" Type="http://schemas.openxmlformats.org/officeDocument/2006/relationships/image" Target="../media/image79.png"/><Relationship Id="rId87" Type="http://schemas.openxmlformats.org/officeDocument/2006/relationships/image" Target="../media/image99.png"/><Relationship Id="rId110" Type="http://schemas.openxmlformats.org/officeDocument/2006/relationships/image" Target="../media/image121.png"/><Relationship Id="rId115" Type="http://schemas.openxmlformats.org/officeDocument/2006/relationships/image" Target="../media/image126.png"/><Relationship Id="rId131" Type="http://schemas.openxmlformats.org/officeDocument/2006/relationships/image" Target="../media/image142.png"/><Relationship Id="rId136" Type="http://schemas.openxmlformats.org/officeDocument/2006/relationships/image" Target="../media/image147.png"/><Relationship Id="rId61" Type="http://schemas.openxmlformats.org/officeDocument/2006/relationships/image" Target="../media/image74.png"/><Relationship Id="rId82" Type="http://schemas.openxmlformats.org/officeDocument/2006/relationships/image" Target="../media/image94.png"/><Relationship Id="rId19" Type="http://schemas.openxmlformats.org/officeDocument/2006/relationships/image" Target="../media/image36.png"/><Relationship Id="rId14" Type="http://schemas.openxmlformats.org/officeDocument/2006/relationships/image" Target="../media/image31.png"/><Relationship Id="rId30" Type="http://schemas.openxmlformats.org/officeDocument/2006/relationships/image" Target="../media/image47.png"/><Relationship Id="rId35" Type="http://schemas.openxmlformats.org/officeDocument/2006/relationships/image" Target="../media/image52.png"/><Relationship Id="rId56" Type="http://schemas.openxmlformats.org/officeDocument/2006/relationships/image" Target="../media/image70.png"/><Relationship Id="rId77" Type="http://schemas.openxmlformats.org/officeDocument/2006/relationships/image" Target="../media/image90.png"/><Relationship Id="rId100" Type="http://schemas.openxmlformats.org/officeDocument/2006/relationships/image" Target="../media/image111.png"/><Relationship Id="rId105" Type="http://schemas.openxmlformats.org/officeDocument/2006/relationships/image" Target="../media/image116.png"/><Relationship Id="rId126" Type="http://schemas.openxmlformats.org/officeDocument/2006/relationships/image" Target="../media/image137.png"/><Relationship Id="rId8" Type="http://schemas.openxmlformats.org/officeDocument/2006/relationships/image" Target="../media/image25.png"/><Relationship Id="rId51" Type="http://schemas.openxmlformats.org/officeDocument/2006/relationships/image" Target="../media/image65.png"/><Relationship Id="rId72" Type="http://schemas.openxmlformats.org/officeDocument/2006/relationships/image" Target="../media/image85.png"/><Relationship Id="rId93" Type="http://schemas.openxmlformats.org/officeDocument/2006/relationships/image" Target="../media/image105.png"/><Relationship Id="rId98" Type="http://schemas.openxmlformats.org/officeDocument/2006/relationships/image" Target="../media/image109.png"/><Relationship Id="rId121" Type="http://schemas.openxmlformats.org/officeDocument/2006/relationships/image" Target="../media/image132.png"/><Relationship Id="rId142" Type="http://schemas.openxmlformats.org/officeDocument/2006/relationships/image" Target="../media/image15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8.png"/></Relationships>
</file>

<file path=xl/drawings/_rels/drawing1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13.xml.rels><?xml version="1.0" encoding="UTF-8" standalone="yes"?>
<Relationships xmlns="http://schemas.openxmlformats.org/package/2006/relationships"><Relationship Id="rId3" Type="http://schemas.openxmlformats.org/officeDocument/2006/relationships/diagramQuickStyle" Target="../diagrams/quickStyle5.xml"/><Relationship Id="rId2" Type="http://schemas.openxmlformats.org/officeDocument/2006/relationships/diagramLayout" Target="../diagrams/layout5.xml"/><Relationship Id="rId1" Type="http://schemas.openxmlformats.org/officeDocument/2006/relationships/diagramData" Target="../diagrams/data5.xml"/><Relationship Id="rId5" Type="http://schemas.microsoft.com/office/2007/relationships/diagramDrawing" Target="../diagrams/drawing5.xml"/><Relationship Id="rId4" Type="http://schemas.openxmlformats.org/officeDocument/2006/relationships/diagramColors" Target="../diagrams/colors5.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59.png"/></Relationships>
</file>

<file path=xl/drawings/drawing1.xml><?xml version="1.0" encoding="utf-8"?>
<xdr:wsDr xmlns:xdr="http://schemas.openxmlformats.org/drawingml/2006/spreadsheetDrawing" xmlns:a="http://schemas.openxmlformats.org/drawingml/2006/main">
  <xdr:twoCellAnchor>
    <xdr:from>
      <xdr:col>0</xdr:col>
      <xdr:colOff>295274</xdr:colOff>
      <xdr:row>1</xdr:row>
      <xdr:rowOff>19050</xdr:rowOff>
    </xdr:from>
    <xdr:to>
      <xdr:col>20</xdr:col>
      <xdr:colOff>9525</xdr:colOff>
      <xdr:row>52</xdr:row>
      <xdr:rowOff>123826</xdr:rowOff>
    </xdr:to>
    <xdr:sp macro="" textlink="">
      <xdr:nvSpPr>
        <xdr:cNvPr id="2" name="TextBox 1">
          <a:extLst>
            <a:ext uri="{FF2B5EF4-FFF2-40B4-BE49-F238E27FC236}">
              <a16:creationId xmlns:a16="http://schemas.microsoft.com/office/drawing/2014/main" id="{B9045A60-36E8-440A-8C52-87A3FDBFAE14}"/>
            </a:ext>
          </a:extLst>
        </xdr:cNvPr>
        <xdr:cNvSpPr txBox="1"/>
      </xdr:nvSpPr>
      <xdr:spPr>
        <a:xfrm>
          <a:off x="295274" y="209550"/>
          <a:ext cx="11601451" cy="9820276"/>
        </a:xfrm>
        <a:prstGeom prst="rect">
          <a:avLst/>
        </a:prstGeom>
        <a:ln w="38100"/>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100" b="1" i="0" u="none" strike="noStrike" baseline="0">
              <a:solidFill>
                <a:schemeClr val="dk1"/>
              </a:solidFill>
              <a:latin typeface="+mn-lt"/>
              <a:ea typeface="+mn-ea"/>
              <a:cs typeface="+mn-cs"/>
            </a:rPr>
            <a:t>OPEN GAME LICENSE Version 1.0a </a:t>
          </a:r>
        </a:p>
        <a:p>
          <a:endParaRPr lang="en-AU" sz="1100" b="1" i="0" u="none" strike="noStrike" baseline="0">
            <a:solidFill>
              <a:schemeClr val="dk1"/>
            </a:solidFill>
            <a:latin typeface="+mn-lt"/>
            <a:ea typeface="+mn-ea"/>
            <a:cs typeface="+mn-cs"/>
          </a:endParaRPr>
        </a:p>
        <a:p>
          <a:r>
            <a:rPr lang="en-AU" sz="1100" b="0" i="0" u="none" strike="noStrike" baseline="0">
              <a:solidFill>
                <a:schemeClr val="dk1"/>
              </a:solidFill>
              <a:latin typeface="+mn-lt"/>
              <a:ea typeface="+mn-ea"/>
              <a:cs typeface="+mn-cs"/>
            </a:rPr>
            <a:t>The following text is the property of Wizards of the Coast, Inc. and is Copyright 2000 Wizards of the Coast, Inc ("Wizards"). All Rights Reserved. </a:t>
          </a:r>
        </a:p>
        <a:p>
          <a:r>
            <a:rPr lang="en-AU" sz="1100" b="0" i="0" u="none" strike="noStrike" baseline="0">
              <a:solidFill>
                <a:schemeClr val="dk1"/>
              </a:solidFill>
              <a:latin typeface="+mn-lt"/>
              <a:ea typeface="+mn-ea"/>
              <a:cs typeface="+mn-cs"/>
            </a:rPr>
            <a:t>1. Definitions: (a)"Contributors" means the copyright and/or trademark owners who have contributed Open Game Content; (b)"Derivative Material" means copyrighted material including derivative works and translations (including into other computer languages), potation, modification, correction, addition, extension, upgrade, improvement, compilation, abridgment or other form in which an existing work may be recast, transformed or adapted; (c) "Distribute" means to reproduce, license, rent, lease, sell, broadcast, publicly display, transmit or otherwise distribute; (d)"Open Game Content" means the game mechanic and includes the methods, procedures, processes and routines to the extent such content does not embody the Product Identity and is an enhancement over the prior art and any additional content clearly identified as Open Game Content by the Contributor, and means any work covered by this License, including translations and derivative works under copyright law, but specifically excludes Product Identity. (e) "Product Identity" means product and product line names, logos and identifying marks including trade dress; artifacts; creatures characters; stories, storylines, plots, thematic elements, dialogue, incidents, language, artwork, symbols, designs, depictions, likenesses, formats, poses, concepts, themes and graphic, photographic and other visual or audio representations; names and descriptions of characters, spells, enchantments, personalities, teams, personas, likenesses and special abilities; places, locations, environments, creatures, equipment, magical or supernatural abilities or effects, logos, symbols, or graphic designs; and any other trademark or registered trademark clearly identified as Product identity by the owner of the Product Identity, and which specifically excludes the Open Game Content; (f) "Trademark" means the logos, names, mark, sign, motto, designs that are used by a Contributor to identify itself or its products or the associated products contributed to the Open Game License by the Contributor (g) "Use", "Used" or "Using" means to use, Distribute, copy, edit, format, modify, translate and otherwise create Derivative Material of Open Game Content. (h) "You" or "Your" means the licensee in terms of this agreement. </a:t>
          </a:r>
        </a:p>
        <a:p>
          <a:r>
            <a:rPr lang="en-AU" sz="1100" b="0" i="0" u="none" strike="noStrike" baseline="0">
              <a:solidFill>
                <a:schemeClr val="dk1"/>
              </a:solidFill>
              <a:latin typeface="+mn-lt"/>
              <a:ea typeface="+mn-ea"/>
              <a:cs typeface="+mn-cs"/>
            </a:rPr>
            <a:t>2. The License: This License applies to any Open Game Content that contains a notice indicating that the Open Game Content may only be Used under and in terms of this License. You must affix such a notice to any Open Game Content that you Use. No terms may be added to or subtracted from this License except as described by the License itself. No other terms or conditions may be applied to any Open Game Content distributed using this License. </a:t>
          </a:r>
        </a:p>
        <a:p>
          <a:r>
            <a:rPr lang="en-AU" sz="1100" b="0" i="0" u="none" strike="noStrike" baseline="0">
              <a:solidFill>
                <a:schemeClr val="dk1"/>
              </a:solidFill>
              <a:latin typeface="+mn-lt"/>
              <a:ea typeface="+mn-ea"/>
              <a:cs typeface="+mn-cs"/>
            </a:rPr>
            <a:t>3.Offer and Acceptance: By Using the Open Game Content You indicate Your acceptance of the terms of this License. </a:t>
          </a:r>
        </a:p>
        <a:p>
          <a:r>
            <a:rPr lang="en-AU" sz="1100" b="0" i="0" u="none" strike="noStrike" baseline="0">
              <a:solidFill>
                <a:schemeClr val="dk1"/>
              </a:solidFill>
              <a:latin typeface="+mn-lt"/>
              <a:ea typeface="+mn-ea"/>
              <a:cs typeface="+mn-cs"/>
            </a:rPr>
            <a:t>4. Grant and Consideration: In consideration for agreeing to use this License, the Contributors grant You a perpetual, worldwide, royalty-free, non-exclusive license with the exact terms of this License to Use, the Open Game Content. Dusty Door </a:t>
          </a:r>
        </a:p>
        <a:p>
          <a:r>
            <a:rPr lang="en-AU" sz="1100" b="0" i="0" u="none" strike="noStrike" baseline="0">
              <a:solidFill>
                <a:schemeClr val="dk1"/>
              </a:solidFill>
              <a:latin typeface="+mn-lt"/>
              <a:ea typeface="+mn-ea"/>
              <a:cs typeface="+mn-cs"/>
            </a:rPr>
            <a:t>5.Representation of Authority to Contribute: If You are contributing original material as Open Game Content, You represent that Your Contributions are Your original creation and/or You have sufficient rights to grant the rights conveyed by this License. </a:t>
          </a:r>
        </a:p>
        <a:p>
          <a:r>
            <a:rPr lang="en-AU" sz="1100" b="0" i="0" u="none" strike="noStrike" baseline="0">
              <a:solidFill>
                <a:schemeClr val="dk1"/>
              </a:solidFill>
              <a:latin typeface="+mn-lt"/>
              <a:ea typeface="+mn-ea"/>
              <a:cs typeface="+mn-cs"/>
            </a:rPr>
            <a:t>6.Notice of License Copyright: You must update the COPYRIGHT NOTICE portion of this License to include the exact text of the COPYRIGHT NOTICE of any Open Game Content You are copying, modifying or distributing, and You must add the title, the copyright date, and the copyright holder's name to the COPYRIGHT NOTICE of any original Open Game Content you Distribute. </a:t>
          </a:r>
        </a:p>
        <a:p>
          <a:r>
            <a:rPr lang="en-AU" sz="1100" b="0" i="0" u="none" strike="noStrike" baseline="0">
              <a:solidFill>
                <a:schemeClr val="dk1"/>
              </a:solidFill>
              <a:latin typeface="+mn-lt"/>
              <a:ea typeface="+mn-ea"/>
              <a:cs typeface="+mn-cs"/>
            </a:rPr>
            <a:t>7. Use of Product Identity: You agree not to Use any Product Identity, including as an indication as to compatibility, except as expressly licensed in another, independent Agreement with the owner of each element of that Product Identity. You agree not to indicate compatibility or co-adaptability with any Trademark or Registered Trademark in conjunction with a work containing Open Game Content except as expressly licensed in another, independent Agreement with the owner of such Trademark or Registered Trademark. The use of any Product Identity in Open Game Content does not constitute a challenge to the ownership of that Product Identity. The owner of any Product Identity used in Open Game Content shall retain all rights, title and interest in and to that Product Identity. </a:t>
          </a:r>
        </a:p>
        <a:p>
          <a:r>
            <a:rPr lang="en-AU" sz="1100" b="0" i="0" u="none" strike="noStrike" baseline="0">
              <a:solidFill>
                <a:schemeClr val="dk1"/>
              </a:solidFill>
              <a:latin typeface="+mn-lt"/>
              <a:ea typeface="+mn-ea"/>
              <a:cs typeface="+mn-cs"/>
            </a:rPr>
            <a:t>8. Identification: If you distribute Open Game Content You must clearly indicate which portions of the work that you are distributing are Open Game Content. The following material is released as Open Game Content as per the terms of the Open Game License: All character and monster stats, all magic item abilities, all spells, trap mechanics and other items that describe game mechanics. All other content remains Product Identity. </a:t>
          </a:r>
        </a:p>
        <a:p>
          <a:r>
            <a:rPr lang="en-AU" sz="1100" b="0" i="0" u="none" strike="noStrike" baseline="0">
              <a:solidFill>
                <a:schemeClr val="dk1"/>
              </a:solidFill>
              <a:latin typeface="+mn-lt"/>
              <a:ea typeface="+mn-ea"/>
              <a:cs typeface="+mn-cs"/>
            </a:rPr>
            <a:t>9. Updating the License: Wizards or its designated Agents may publish updated versions of this License. You may use any authorized version of this License to copy, modify and distribute any Open Game Content originally distributed under any version of this License. </a:t>
          </a:r>
        </a:p>
        <a:p>
          <a:r>
            <a:rPr lang="en-AU" sz="1100" b="0" i="0" u="none" strike="noStrike" baseline="0">
              <a:solidFill>
                <a:schemeClr val="dk1"/>
              </a:solidFill>
              <a:latin typeface="+mn-lt"/>
              <a:ea typeface="+mn-ea"/>
              <a:cs typeface="+mn-cs"/>
            </a:rPr>
            <a:t>10 Copy of this License: You MUST include a copy of this License with every copy of the Open Game Content You Distribute. </a:t>
          </a:r>
        </a:p>
        <a:p>
          <a:r>
            <a:rPr lang="en-AU" sz="1100" b="0" i="0" u="none" strike="noStrike" baseline="0">
              <a:solidFill>
                <a:schemeClr val="dk1"/>
              </a:solidFill>
              <a:latin typeface="+mn-lt"/>
              <a:ea typeface="+mn-ea"/>
              <a:cs typeface="+mn-cs"/>
            </a:rPr>
            <a:t>11. Use of Contributor Credits: You may not market or advertise the Open Game Content using the name of any Contributor unless You have written permission from the Contributor to do so. </a:t>
          </a:r>
        </a:p>
        <a:p>
          <a:r>
            <a:rPr lang="en-AU" sz="1100" b="0" i="0" u="none" strike="noStrike" baseline="0">
              <a:solidFill>
                <a:schemeClr val="dk1"/>
              </a:solidFill>
              <a:latin typeface="+mn-lt"/>
              <a:ea typeface="+mn-ea"/>
              <a:cs typeface="+mn-cs"/>
            </a:rPr>
            <a:t>12 Inability to Comply: If it is impossible for You to comply with any of the terms of this License with respect to some or all of the Open Game Content due to statute, judicial order, or governmental regulation then You may not Use any Open Game Material so affected. </a:t>
          </a:r>
        </a:p>
        <a:p>
          <a:r>
            <a:rPr lang="en-AU" sz="1100" b="0" i="0" u="none" strike="noStrike" baseline="0">
              <a:solidFill>
                <a:schemeClr val="dk1"/>
              </a:solidFill>
              <a:latin typeface="+mn-lt"/>
              <a:ea typeface="+mn-ea"/>
              <a:cs typeface="+mn-cs"/>
            </a:rPr>
            <a:t>13 Termination: This License will terminate automatically if You fail to comply with all terms herein and fail to cure such breach within 30 days of becoming aware of the breach. All sublicenses shall survive the termination of this License. </a:t>
          </a:r>
        </a:p>
        <a:p>
          <a:r>
            <a:rPr lang="en-AU" sz="1100" b="0" i="0" u="none" strike="noStrike" baseline="0">
              <a:solidFill>
                <a:schemeClr val="dk1"/>
              </a:solidFill>
              <a:latin typeface="+mn-lt"/>
              <a:ea typeface="+mn-ea"/>
              <a:cs typeface="+mn-cs"/>
            </a:rPr>
            <a:t>14 Reformation: If any provision of this License is held to be unenforceable, such provision shall be reformed only to the extent necessary to make it enforceable. Dusty Door </a:t>
          </a:r>
        </a:p>
        <a:p>
          <a:r>
            <a:rPr lang="en-AU" sz="1100" b="0" i="0" u="none" strike="noStrike" baseline="0">
              <a:solidFill>
                <a:schemeClr val="dk1"/>
              </a:solidFill>
              <a:latin typeface="+mn-lt"/>
              <a:ea typeface="+mn-ea"/>
              <a:cs typeface="+mn-cs"/>
            </a:rPr>
            <a:t>15 COPYRIGHT NOTICE Open Game License v 1.0 Copyright 2000, Wizards of the Coast, Inc. </a:t>
          </a:r>
        </a:p>
        <a:p>
          <a:r>
            <a:rPr lang="en-AU" sz="1100" b="0" i="0" u="none" strike="noStrike" baseline="0">
              <a:solidFill>
                <a:schemeClr val="dk1"/>
              </a:solidFill>
              <a:latin typeface="+mn-lt"/>
              <a:ea typeface="+mn-ea"/>
              <a:cs typeface="+mn-cs"/>
            </a:rPr>
            <a:t>System Reference Document Copyright 2000, Wizards of the Coast, Inc.; Authors Jonathon Tweet, Monte Cook, Skip Williams, based on original material by E. Gary Gygax and Dave Arneson. System Reference Document Copyright 2000-2003, Wizards of the Coast, Inc.; Authors Jonathan Tweet, Monte Cook, Skip Williams, Rich Baker, Andy Collins, David Noonan, Rich Redman, Bruce R. Cordell, John D. Rateliff, Thomas Reid, James Wyatt, based on original material by E. Gary Gygax and Dave Arneson. </a:t>
          </a:r>
        </a:p>
        <a:p>
          <a:r>
            <a:rPr lang="en-AU" sz="1100" b="0" i="0" u="none" strike="noStrike" baseline="0">
              <a:solidFill>
                <a:schemeClr val="dk1"/>
              </a:solidFill>
              <a:latin typeface="+mn-lt"/>
              <a:ea typeface="+mn-ea"/>
              <a:cs typeface="+mn-cs"/>
            </a:rPr>
            <a:t>Modern System Reference Document Copyright 2002-2004, Wizards of the Coast, Inc.; Authors Bill Slavicsek, Jeff Grubb, Rich Redman, Charles Ryan, Eric Cagle, David Noonan, Stan!, Christopher Perkins, Rodney Thompson, and JD Wiker, based on material by Jonathan Tweet, Monte Cook, Skip Williams, Richard Baker, Peter Adkison, Bruce R. Cordell, John Tynes, Andy Collins, and JD Wiker. </a:t>
          </a:r>
        </a:p>
        <a:p>
          <a:r>
            <a:rPr lang="en-AU" sz="1100" b="0" i="0" u="none" strike="noStrike" baseline="0">
              <a:solidFill>
                <a:schemeClr val="dk1"/>
              </a:solidFill>
              <a:latin typeface="+mn-lt"/>
              <a:ea typeface="+mn-ea"/>
              <a:cs typeface="+mn-cs"/>
            </a:rPr>
            <a:t>Castles &amp; Crusades: Players Handbook, Copyright 2004, Troll Lord Games; Authors Davis Chenault and Mac Golden. </a:t>
          </a:r>
        </a:p>
        <a:p>
          <a:r>
            <a:rPr lang="en-AU" sz="1100" b="0" i="0" u="none" strike="noStrike" baseline="0">
              <a:solidFill>
                <a:schemeClr val="dk1"/>
              </a:solidFill>
              <a:latin typeface="+mn-lt"/>
              <a:ea typeface="+mn-ea"/>
              <a:cs typeface="+mn-cs"/>
            </a:rPr>
            <a:t>Cave Cricket from the Tome of Horrors, copyright 2002, Necromancer Games, Inc.; Authors Scott Greene and Clark Peterson, based on original material by Gary Gygax. </a:t>
          </a:r>
        </a:p>
        <a:p>
          <a:r>
            <a:rPr lang="en-AU" sz="1100" b="0" i="0" u="none" strike="noStrike" baseline="0">
              <a:solidFill>
                <a:schemeClr val="dk1"/>
              </a:solidFill>
              <a:latin typeface="+mn-lt"/>
              <a:ea typeface="+mn-ea"/>
              <a:cs typeface="+mn-cs"/>
            </a:rPr>
            <a:t>Crab, Monstrous from the Tome of Horrors, copyright 2002, Necromancer Games, Inc.; Author Scott Greene, based on original material by Gary Gygax. </a:t>
          </a:r>
        </a:p>
        <a:p>
          <a:r>
            <a:rPr lang="en-AU" sz="1100" b="0" i="0" u="none" strike="noStrike" baseline="0">
              <a:solidFill>
                <a:schemeClr val="dk1"/>
              </a:solidFill>
              <a:latin typeface="+mn-lt"/>
              <a:ea typeface="+mn-ea"/>
              <a:cs typeface="+mn-cs"/>
            </a:rPr>
            <a:t>Fly, Giant from the Tome of Horrors, copyright 2002, Necromancer Games, Inc.; Author Scott Greene, based on original material by Gary Gygax. </a:t>
          </a:r>
        </a:p>
        <a:p>
          <a:r>
            <a:rPr lang="en-AU" sz="1100" b="0" i="0" u="none" strike="noStrike" baseline="0">
              <a:solidFill>
                <a:schemeClr val="dk1"/>
              </a:solidFill>
              <a:latin typeface="+mn-lt"/>
              <a:ea typeface="+mn-ea"/>
              <a:cs typeface="+mn-cs"/>
            </a:rPr>
            <a:t>Golem, Wood from the Tome of Horrors, copyright 2002, Necromancer Games, Inc.; Authors Scott Greene and Patrick Lawinger. </a:t>
          </a:r>
        </a:p>
        <a:p>
          <a:r>
            <a:rPr lang="en-AU" sz="1100" b="0" i="0" u="none" strike="noStrike" baseline="0">
              <a:solidFill>
                <a:schemeClr val="dk1"/>
              </a:solidFill>
              <a:latin typeface="+mn-lt"/>
              <a:ea typeface="+mn-ea"/>
              <a:cs typeface="+mn-cs"/>
            </a:rPr>
            <a:t>Kamadan from the Tome of Horrors, copyright 2002, Necromancer Games, Inc.; Author Scott Greene, based on original material by Nick Louth. </a:t>
          </a:r>
        </a:p>
        <a:p>
          <a:r>
            <a:rPr lang="en-AU" sz="1100" b="0" i="0" u="none" strike="noStrike" baseline="0">
              <a:solidFill>
                <a:schemeClr val="dk1"/>
              </a:solidFill>
              <a:latin typeface="+mn-lt"/>
              <a:ea typeface="+mn-ea"/>
              <a:cs typeface="+mn-cs"/>
            </a:rPr>
            <a:t>Rot Grub from the Tome of Horrors , Copyright 2002, Necromancer Games, Inc.; Authors Scott Greene and Clark Peterson, based on original material by Gary Gygax </a:t>
          </a:r>
        </a:p>
        <a:p>
          <a:r>
            <a:rPr lang="en-AU" sz="1100" b="0" i="0" u="none" strike="noStrike" baseline="0">
              <a:solidFill>
                <a:schemeClr val="dk1"/>
              </a:solidFill>
              <a:latin typeface="+mn-lt"/>
              <a:ea typeface="+mn-ea"/>
              <a:cs typeface="+mn-cs"/>
            </a:rPr>
            <a:t>3 Toadstools Publishing Copyright 2018, Shane Ward. All Room Descriptions &amp; Story.</a:t>
          </a:r>
          <a:endParaRPr lang="en-GB"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227453</xdr:colOff>
      <xdr:row>301</xdr:row>
      <xdr:rowOff>71356</xdr:rowOff>
    </xdr:from>
    <xdr:to>
      <xdr:col>12</xdr:col>
      <xdr:colOff>354941</xdr:colOff>
      <xdr:row>308</xdr:row>
      <xdr:rowOff>147523</xdr:rowOff>
    </xdr:to>
    <xdr:pic>
      <xdr:nvPicPr>
        <xdr:cNvPr id="2" name="Рисунок 1">
          <a:extLst>
            <a:ext uri="{FF2B5EF4-FFF2-40B4-BE49-F238E27FC236}">
              <a16:creationId xmlns:a16="http://schemas.microsoft.com/office/drawing/2014/main" id="{442E3045-EA70-4D6F-8287-F11BD4009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14878" y="60488431"/>
          <a:ext cx="6404463" cy="149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1308653</xdr:colOff>
      <xdr:row>288</xdr:row>
      <xdr:rowOff>223630</xdr:rowOff>
    </xdr:from>
    <xdr:to>
      <xdr:col>6</xdr:col>
      <xdr:colOff>69575</xdr:colOff>
      <xdr:row>297</xdr:row>
      <xdr:rowOff>87540</xdr:rowOff>
    </xdr:to>
    <xdr:pic>
      <xdr:nvPicPr>
        <xdr:cNvPr id="3" name="Рисунок 2">
          <a:extLst>
            <a:ext uri="{FF2B5EF4-FFF2-40B4-BE49-F238E27FC236}">
              <a16:creationId xmlns:a16="http://schemas.microsoft.com/office/drawing/2014/main" id="{A7391FBB-060B-4B62-AABE-F19515B9DE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71478" y="57926080"/>
          <a:ext cx="6666672" cy="1634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650503</xdr:colOff>
      <xdr:row>0</xdr:row>
      <xdr:rowOff>73269</xdr:rowOff>
    </xdr:from>
    <xdr:to>
      <xdr:col>12</xdr:col>
      <xdr:colOff>616067</xdr:colOff>
      <xdr:row>21</xdr:row>
      <xdr:rowOff>131247</xdr:rowOff>
    </xdr:to>
    <xdr:pic>
      <xdr:nvPicPr>
        <xdr:cNvPr id="4" name="Рисунок 3">
          <a:extLst>
            <a:ext uri="{FF2B5EF4-FFF2-40B4-BE49-F238E27FC236}">
              <a16:creationId xmlns:a16="http://schemas.microsoft.com/office/drawing/2014/main" id="{99EFE0DD-28CD-47A4-BFF2-59E07381A3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19811" y="73269"/>
          <a:ext cx="5424121" cy="4043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170</xdr:col>
      <xdr:colOff>63211</xdr:colOff>
      <xdr:row>1</xdr:row>
      <xdr:rowOff>86590</xdr:rowOff>
    </xdr:from>
    <xdr:ext cx="561927" cy="498824"/>
    <xdr:pic>
      <xdr:nvPicPr>
        <xdr:cNvPr id="2" name="Picture 137">
          <a:extLst>
            <a:ext uri="{FF2B5EF4-FFF2-40B4-BE49-F238E27FC236}">
              <a16:creationId xmlns:a16="http://schemas.microsoft.com/office/drawing/2014/main" id="{790F5A99-B696-4001-8DD4-CA1A058A63C1}"/>
            </a:ext>
          </a:extLst>
        </xdr:cNvPr>
        <xdr:cNvPicPr>
          <a:picLocks noChangeAspect="1"/>
        </xdr:cNvPicPr>
      </xdr:nvPicPr>
      <xdr:blipFill>
        <a:blip xmlns:r="http://schemas.openxmlformats.org/officeDocument/2006/relationships" r:embed="rId1"/>
        <a:stretch>
          <a:fillRect/>
        </a:stretch>
      </xdr:blipFill>
      <xdr:spPr>
        <a:xfrm>
          <a:off x="16189036" y="181840"/>
          <a:ext cx="561927" cy="498824"/>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22</xdr:col>
      <xdr:colOff>133350</xdr:colOff>
      <xdr:row>23</xdr:row>
      <xdr:rowOff>95252</xdr:rowOff>
    </xdr:from>
    <xdr:ext cx="704850" cy="733425"/>
    <xdr:sp macro="" textlink="">
      <xdr:nvSpPr>
        <xdr:cNvPr id="3" name="Shape 4">
          <a:extLst>
            <a:ext uri="{FF2B5EF4-FFF2-40B4-BE49-F238E27FC236}">
              <a16:creationId xmlns:a16="http://schemas.microsoft.com/office/drawing/2014/main" id="{2A4D70A1-51AB-45F7-893C-B382B96D3D74}"/>
            </a:ext>
          </a:extLst>
        </xdr:cNvPr>
        <xdr:cNvSpPr/>
      </xdr:nvSpPr>
      <xdr:spPr>
        <a:xfrm rot="5400000">
          <a:off x="4348162" y="5167315"/>
          <a:ext cx="733425" cy="704850"/>
        </a:xfrm>
        <a:prstGeom prst="flowChartDelay">
          <a:avLst/>
        </a:prstGeom>
        <a:solidFill>
          <a:schemeClr val="dk1">
            <a:alpha val="24705"/>
          </a:schemeClr>
        </a:solidFill>
        <a:ln w="25400" cap="flat" cmpd="sng">
          <a:solidFill>
            <a:schemeClr val="dk1"/>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22</xdr:col>
      <xdr:colOff>161925</xdr:colOff>
      <xdr:row>29</xdr:row>
      <xdr:rowOff>9525</xdr:rowOff>
    </xdr:from>
    <xdr:ext cx="952500" cy="742950"/>
    <xdr:sp macro="" textlink="">
      <xdr:nvSpPr>
        <xdr:cNvPr id="2" name="Shape 3">
          <a:extLst>
            <a:ext uri="{FF2B5EF4-FFF2-40B4-BE49-F238E27FC236}">
              <a16:creationId xmlns:a16="http://schemas.microsoft.com/office/drawing/2014/main" id="{3E955880-1B23-4F68-A742-147D53D34C41}"/>
            </a:ext>
          </a:extLst>
        </xdr:cNvPr>
        <xdr:cNvSpPr/>
      </xdr:nvSpPr>
      <xdr:spPr>
        <a:xfrm>
          <a:off x="21326475" y="4705350"/>
          <a:ext cx="952500" cy="742950"/>
        </a:xfrm>
        <a:prstGeom prst="heart">
          <a:avLst/>
        </a:prstGeom>
        <a:solidFill>
          <a:srgbClr val="C00000">
            <a:alpha val="20000"/>
          </a:srgbClr>
        </a:solidFill>
        <a:ln w="25400" cap="flat" cmpd="sng">
          <a:solidFill>
            <a:srgbClr val="C00000"/>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rgbClr val="000000"/>
            </a:solidFill>
          </a:endParaRPr>
        </a:p>
      </xdr:txBody>
    </xdr:sp>
    <xdr:clientData fLocksWithSheet="0"/>
  </xdr:oneCellAnchor>
  <xdr:oneCellAnchor>
    <xdr:from>
      <xdr:col>10</xdr:col>
      <xdr:colOff>171450</xdr:colOff>
      <xdr:row>30</xdr:row>
      <xdr:rowOff>219075</xdr:rowOff>
    </xdr:from>
    <xdr:ext cx="1400175" cy="981075"/>
    <xdr:pic>
      <xdr:nvPicPr>
        <xdr:cNvPr id="4" name="image1.jpg" title="Image">
          <a:extLst>
            <a:ext uri="{FF2B5EF4-FFF2-40B4-BE49-F238E27FC236}">
              <a16:creationId xmlns:a16="http://schemas.microsoft.com/office/drawing/2014/main" id="{A38062FB-6B9C-4435-B1C9-5E73A6F04844}"/>
            </a:ext>
          </a:extLst>
        </xdr:cNvPr>
        <xdr:cNvPicPr preferRelativeResize="0"/>
      </xdr:nvPicPr>
      <xdr:blipFill>
        <a:blip xmlns:r="http://schemas.openxmlformats.org/officeDocument/2006/relationships" r:embed="rId1" cstate="print"/>
        <a:stretch>
          <a:fillRect/>
        </a:stretch>
      </xdr:blipFill>
      <xdr:spPr>
        <a:xfrm>
          <a:off x="9791700" y="5019675"/>
          <a:ext cx="1400175" cy="981075"/>
        </a:xfrm>
        <a:prstGeom prst="rect">
          <a:avLst/>
        </a:prstGeom>
        <a:noFill/>
      </xdr:spPr>
    </xdr:pic>
    <xdr:clientData fLocksWithSheet="0"/>
  </xdr:oneCellAnchor>
  <xdr:oneCellAnchor>
    <xdr:from>
      <xdr:col>10</xdr:col>
      <xdr:colOff>47625</xdr:colOff>
      <xdr:row>27</xdr:row>
      <xdr:rowOff>9525</xdr:rowOff>
    </xdr:from>
    <xdr:ext cx="323850" cy="361950"/>
    <xdr:pic>
      <xdr:nvPicPr>
        <xdr:cNvPr id="5" name="image5.png" title="Image">
          <a:extLst>
            <a:ext uri="{FF2B5EF4-FFF2-40B4-BE49-F238E27FC236}">
              <a16:creationId xmlns:a16="http://schemas.microsoft.com/office/drawing/2014/main" id="{83F5C259-6645-43D4-8DBA-6A5156B1DAF4}"/>
            </a:ext>
          </a:extLst>
        </xdr:cNvPr>
        <xdr:cNvPicPr preferRelativeResize="0"/>
      </xdr:nvPicPr>
      <xdr:blipFill>
        <a:blip xmlns:r="http://schemas.openxmlformats.org/officeDocument/2006/relationships" r:embed="rId2" cstate="print"/>
        <a:stretch>
          <a:fillRect/>
        </a:stretch>
      </xdr:blipFill>
      <xdr:spPr>
        <a:xfrm>
          <a:off x="9667875" y="4381500"/>
          <a:ext cx="323850" cy="361950"/>
        </a:xfrm>
        <a:prstGeom prst="rect">
          <a:avLst/>
        </a:prstGeom>
        <a:noFill/>
      </xdr:spPr>
    </xdr:pic>
    <xdr:clientData fLocksWithSheet="0"/>
  </xdr:oneCellAnchor>
  <xdr:oneCellAnchor>
    <xdr:from>
      <xdr:col>13</xdr:col>
      <xdr:colOff>28575</xdr:colOff>
      <xdr:row>27</xdr:row>
      <xdr:rowOff>9525</xdr:rowOff>
    </xdr:from>
    <xdr:ext cx="333375" cy="361950"/>
    <xdr:pic>
      <xdr:nvPicPr>
        <xdr:cNvPr id="6" name="image3.png" title="Image">
          <a:extLst>
            <a:ext uri="{FF2B5EF4-FFF2-40B4-BE49-F238E27FC236}">
              <a16:creationId xmlns:a16="http://schemas.microsoft.com/office/drawing/2014/main" id="{724AA930-399D-4A55-AD04-ECBBBB7A5E64}"/>
            </a:ext>
          </a:extLst>
        </xdr:cNvPr>
        <xdr:cNvPicPr preferRelativeResize="0"/>
      </xdr:nvPicPr>
      <xdr:blipFill>
        <a:blip xmlns:r="http://schemas.openxmlformats.org/officeDocument/2006/relationships" r:embed="rId3" cstate="print"/>
        <a:stretch>
          <a:fillRect/>
        </a:stretch>
      </xdr:blipFill>
      <xdr:spPr>
        <a:xfrm>
          <a:off x="12534900" y="4381500"/>
          <a:ext cx="333375" cy="361950"/>
        </a:xfrm>
        <a:prstGeom prst="rect">
          <a:avLst/>
        </a:prstGeom>
        <a:noFill/>
      </xdr:spPr>
    </xdr:pic>
    <xdr:clientData fLocksWithSheet="0"/>
  </xdr:oneCellAnchor>
  <xdr:oneCellAnchor>
    <xdr:from>
      <xdr:col>15</xdr:col>
      <xdr:colOff>190500</xdr:colOff>
      <xdr:row>26</xdr:row>
      <xdr:rowOff>200025</xdr:rowOff>
    </xdr:from>
    <xdr:ext cx="333375" cy="361950"/>
    <xdr:pic>
      <xdr:nvPicPr>
        <xdr:cNvPr id="7" name="image5.png" title="Image">
          <a:extLst>
            <a:ext uri="{FF2B5EF4-FFF2-40B4-BE49-F238E27FC236}">
              <a16:creationId xmlns:a16="http://schemas.microsoft.com/office/drawing/2014/main" id="{97F12782-CA8B-404D-AE8B-64E06596C466}"/>
            </a:ext>
          </a:extLst>
        </xdr:cNvPr>
        <xdr:cNvPicPr preferRelativeResize="0"/>
      </xdr:nvPicPr>
      <xdr:blipFill>
        <a:blip xmlns:r="http://schemas.openxmlformats.org/officeDocument/2006/relationships" r:embed="rId2" cstate="print"/>
        <a:stretch>
          <a:fillRect/>
        </a:stretch>
      </xdr:blipFill>
      <xdr:spPr>
        <a:xfrm>
          <a:off x="14620875" y="4371975"/>
          <a:ext cx="333375" cy="361950"/>
        </a:xfrm>
        <a:prstGeom prst="rect">
          <a:avLst/>
        </a:prstGeom>
        <a:noFill/>
      </xdr:spPr>
    </xdr:pic>
    <xdr:clientData fLocksWithSheet="0"/>
  </xdr:oneCellAnchor>
  <xdr:oneCellAnchor>
    <xdr:from>
      <xdr:col>15</xdr:col>
      <xdr:colOff>76200</xdr:colOff>
      <xdr:row>18</xdr:row>
      <xdr:rowOff>9525</xdr:rowOff>
    </xdr:from>
    <xdr:ext cx="638175" cy="733425"/>
    <xdr:pic>
      <xdr:nvPicPr>
        <xdr:cNvPr id="8" name="image4.png" title="Image">
          <a:extLst>
            <a:ext uri="{FF2B5EF4-FFF2-40B4-BE49-F238E27FC236}">
              <a16:creationId xmlns:a16="http://schemas.microsoft.com/office/drawing/2014/main" id="{716BD3C3-35DC-46DA-8929-D16EDD012056}"/>
            </a:ext>
          </a:extLst>
        </xdr:cNvPr>
        <xdr:cNvPicPr preferRelativeResize="0"/>
      </xdr:nvPicPr>
      <xdr:blipFill>
        <a:blip xmlns:r="http://schemas.openxmlformats.org/officeDocument/2006/relationships" r:embed="rId4" cstate="print"/>
        <a:stretch>
          <a:fillRect/>
        </a:stretch>
      </xdr:blipFill>
      <xdr:spPr>
        <a:xfrm>
          <a:off x="14506575" y="2924175"/>
          <a:ext cx="638175" cy="733425"/>
        </a:xfrm>
        <a:prstGeom prst="rect">
          <a:avLst/>
        </a:prstGeom>
        <a:noFill/>
      </xdr:spPr>
    </xdr:pic>
    <xdr:clientData fLocksWithSheet="0"/>
  </xdr:oneCellAnchor>
  <xdr:oneCellAnchor>
    <xdr:from>
      <xdr:col>10</xdr:col>
      <xdr:colOff>38100</xdr:colOff>
      <xdr:row>17</xdr:row>
      <xdr:rowOff>200025</xdr:rowOff>
    </xdr:from>
    <xdr:ext cx="723900" cy="723900"/>
    <xdr:pic>
      <xdr:nvPicPr>
        <xdr:cNvPr id="9" name="image2.png" title="Image">
          <a:extLst>
            <a:ext uri="{FF2B5EF4-FFF2-40B4-BE49-F238E27FC236}">
              <a16:creationId xmlns:a16="http://schemas.microsoft.com/office/drawing/2014/main" id="{0139581C-3CCB-489A-B369-06B88B34CCA0}"/>
            </a:ext>
          </a:extLst>
        </xdr:cNvPr>
        <xdr:cNvPicPr preferRelativeResize="0"/>
      </xdr:nvPicPr>
      <xdr:blipFill>
        <a:blip xmlns:r="http://schemas.openxmlformats.org/officeDocument/2006/relationships" r:embed="rId5" cstate="print"/>
        <a:stretch>
          <a:fillRect/>
        </a:stretch>
      </xdr:blipFill>
      <xdr:spPr>
        <a:xfrm>
          <a:off x="9658350" y="2914650"/>
          <a:ext cx="723900" cy="72390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xdr:from>
      <xdr:col>23</xdr:col>
      <xdr:colOff>110195</xdr:colOff>
      <xdr:row>8</xdr:row>
      <xdr:rowOff>7965</xdr:rowOff>
    </xdr:from>
    <xdr:to>
      <xdr:col>28</xdr:col>
      <xdr:colOff>52387</xdr:colOff>
      <xdr:row>8</xdr:row>
      <xdr:rowOff>12727</xdr:rowOff>
    </xdr:to>
    <xdr:cxnSp macro="">
      <xdr:nvCxnSpPr>
        <xdr:cNvPr id="2" name="Straight Connector 58">
          <a:extLst>
            <a:ext uri="{FF2B5EF4-FFF2-40B4-BE49-F238E27FC236}">
              <a16:creationId xmlns:a16="http://schemas.microsoft.com/office/drawing/2014/main" id="{60864D5B-387A-423A-BD5B-B814FD656427}"/>
            </a:ext>
          </a:extLst>
        </xdr:cNvPr>
        <xdr:cNvCxnSpPr>
          <a:stCxn id="4" idx="1"/>
        </xdr:cNvCxnSpPr>
      </xdr:nvCxnSpPr>
      <xdr:spPr>
        <a:xfrm flipH="1">
          <a:off x="4491695" y="1531965"/>
          <a:ext cx="894692" cy="4762"/>
        </a:xfrm>
        <a:prstGeom prst="line">
          <a:avLst/>
        </a:prstGeom>
        <a:ln w="53975">
          <a:prstDash val="sysDot"/>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45</xdr:col>
      <xdr:colOff>0</xdr:colOff>
      <xdr:row>36</xdr:row>
      <xdr:rowOff>1</xdr:rowOff>
    </xdr:from>
    <xdr:to>
      <xdr:col>45</xdr:col>
      <xdr:colOff>6095</xdr:colOff>
      <xdr:row>36</xdr:row>
      <xdr:rowOff>6096</xdr:rowOff>
    </xdr:to>
    <xdr:pic>
      <xdr:nvPicPr>
        <xdr:cNvPr id="3" name="Picture 1">
          <a:extLst>
            <a:ext uri="{FF2B5EF4-FFF2-40B4-BE49-F238E27FC236}">
              <a16:creationId xmlns:a16="http://schemas.microsoft.com/office/drawing/2014/main" id="{FBF3327B-F2F7-493D-87D8-726B3E8A5614}"/>
            </a:ext>
          </a:extLst>
        </xdr:cNvPr>
        <xdr:cNvPicPr>
          <a:picLocks noChangeAspect="1"/>
        </xdr:cNvPicPr>
      </xdr:nvPicPr>
      <xdr:blipFill>
        <a:blip xmlns:r="http://schemas.openxmlformats.org/officeDocument/2006/relationships" r:embed="rId1"/>
        <a:stretch>
          <a:fillRect/>
        </a:stretch>
      </xdr:blipFill>
      <xdr:spPr>
        <a:xfrm>
          <a:off x="8572500" y="6858001"/>
          <a:ext cx="6095" cy="6095"/>
        </a:xfrm>
        <a:prstGeom prst="rect">
          <a:avLst/>
        </a:prstGeom>
      </xdr:spPr>
    </xdr:pic>
    <xdr:clientData/>
  </xdr:twoCellAnchor>
  <xdr:twoCellAnchor editAs="oneCell">
    <xdr:from>
      <xdr:col>28</xdr:col>
      <xdr:colOff>52387</xdr:colOff>
      <xdr:row>7</xdr:row>
      <xdr:rowOff>54769</xdr:rowOff>
    </xdr:from>
    <xdr:to>
      <xdr:col>29</xdr:col>
      <xdr:colOff>93208</xdr:colOff>
      <xdr:row>8</xdr:row>
      <xdr:rowOff>150019</xdr:rowOff>
    </xdr:to>
    <xdr:pic>
      <xdr:nvPicPr>
        <xdr:cNvPr id="4" name="Picture 5">
          <a:extLst>
            <a:ext uri="{FF2B5EF4-FFF2-40B4-BE49-F238E27FC236}">
              <a16:creationId xmlns:a16="http://schemas.microsoft.com/office/drawing/2014/main" id="{AB54006B-79B6-42DA-AE83-174AC663849D}"/>
            </a:ext>
          </a:extLst>
        </xdr:cNvPr>
        <xdr:cNvPicPr>
          <a:picLocks noChangeAspect="1"/>
        </xdr:cNvPicPr>
      </xdr:nvPicPr>
      <xdr:blipFill>
        <a:blip xmlns:r="http://schemas.openxmlformats.org/officeDocument/2006/relationships" r:embed="rId2"/>
        <a:stretch>
          <a:fillRect/>
        </a:stretch>
      </xdr:blipFill>
      <xdr:spPr>
        <a:xfrm>
          <a:off x="5386387" y="1388269"/>
          <a:ext cx="285750" cy="285750"/>
        </a:xfrm>
        <a:prstGeom prst="rect">
          <a:avLst/>
        </a:prstGeom>
      </xdr:spPr>
    </xdr:pic>
    <xdr:clientData/>
  </xdr:twoCellAnchor>
  <xdr:twoCellAnchor editAs="oneCell">
    <xdr:from>
      <xdr:col>22</xdr:col>
      <xdr:colOff>47625</xdr:colOff>
      <xdr:row>7</xdr:row>
      <xdr:rowOff>52387</xdr:rowOff>
    </xdr:from>
    <xdr:to>
      <xdr:col>23</xdr:col>
      <xdr:colOff>88447</xdr:colOff>
      <xdr:row>8</xdr:row>
      <xdr:rowOff>147637</xdr:rowOff>
    </xdr:to>
    <xdr:pic>
      <xdr:nvPicPr>
        <xdr:cNvPr id="5" name="Picture 6">
          <a:extLst>
            <a:ext uri="{FF2B5EF4-FFF2-40B4-BE49-F238E27FC236}">
              <a16:creationId xmlns:a16="http://schemas.microsoft.com/office/drawing/2014/main" id="{284F14C9-867E-4F8F-94CB-29AEA250A49F}"/>
            </a:ext>
          </a:extLst>
        </xdr:cNvPr>
        <xdr:cNvPicPr>
          <a:picLocks noChangeAspect="1"/>
        </xdr:cNvPicPr>
      </xdr:nvPicPr>
      <xdr:blipFill>
        <a:blip xmlns:r="http://schemas.openxmlformats.org/officeDocument/2006/relationships" r:embed="rId2"/>
        <a:stretch>
          <a:fillRect/>
        </a:stretch>
      </xdr:blipFill>
      <xdr:spPr>
        <a:xfrm>
          <a:off x="4238625" y="1385887"/>
          <a:ext cx="285750" cy="285750"/>
        </a:xfrm>
        <a:prstGeom prst="rect">
          <a:avLst/>
        </a:prstGeom>
      </xdr:spPr>
    </xdr:pic>
    <xdr:clientData/>
  </xdr:twoCellAnchor>
  <xdr:twoCellAnchor editAs="oneCell">
    <xdr:from>
      <xdr:col>65</xdr:col>
      <xdr:colOff>118358</xdr:colOff>
      <xdr:row>83</xdr:row>
      <xdr:rowOff>2381</xdr:rowOff>
    </xdr:from>
    <xdr:to>
      <xdr:col>66</xdr:col>
      <xdr:colOff>32356</xdr:colOff>
      <xdr:row>85</xdr:row>
      <xdr:rowOff>0</xdr:rowOff>
    </xdr:to>
    <xdr:pic>
      <xdr:nvPicPr>
        <xdr:cNvPr id="6" name="Picture 7">
          <a:extLst>
            <a:ext uri="{FF2B5EF4-FFF2-40B4-BE49-F238E27FC236}">
              <a16:creationId xmlns:a16="http://schemas.microsoft.com/office/drawing/2014/main" id="{181EC3EC-98C9-4965-8177-AC0CC2DAF0CE}"/>
            </a:ext>
          </a:extLst>
        </xdr:cNvPr>
        <xdr:cNvPicPr>
          <a:picLocks noChangeAspect="1"/>
        </xdr:cNvPicPr>
      </xdr:nvPicPr>
      <xdr:blipFill>
        <a:blip xmlns:r="http://schemas.openxmlformats.org/officeDocument/2006/relationships" r:embed="rId3"/>
        <a:stretch>
          <a:fillRect/>
        </a:stretch>
      </xdr:blipFill>
      <xdr:spPr>
        <a:xfrm>
          <a:off x="12500858" y="15813881"/>
          <a:ext cx="158927" cy="378619"/>
        </a:xfrm>
        <a:prstGeom prst="rect">
          <a:avLst/>
        </a:prstGeom>
      </xdr:spPr>
    </xdr:pic>
    <xdr:clientData/>
  </xdr:twoCellAnchor>
  <xdr:twoCellAnchor editAs="oneCell">
    <xdr:from>
      <xdr:col>11</xdr:col>
      <xdr:colOff>106640</xdr:colOff>
      <xdr:row>43</xdr:row>
      <xdr:rowOff>71195</xdr:rowOff>
    </xdr:from>
    <xdr:to>
      <xdr:col>13</xdr:col>
      <xdr:colOff>167218</xdr:colOff>
      <xdr:row>44</xdr:row>
      <xdr:rowOff>119947</xdr:rowOff>
    </xdr:to>
    <xdr:pic>
      <xdr:nvPicPr>
        <xdr:cNvPr id="7" name="Picture 9">
          <a:extLst>
            <a:ext uri="{FF2B5EF4-FFF2-40B4-BE49-F238E27FC236}">
              <a16:creationId xmlns:a16="http://schemas.microsoft.com/office/drawing/2014/main" id="{1C4D127C-D4F7-448A-8540-BB68358E11F2}"/>
            </a:ext>
          </a:extLst>
        </xdr:cNvPr>
        <xdr:cNvPicPr>
          <a:picLocks noChangeAspect="1"/>
        </xdr:cNvPicPr>
      </xdr:nvPicPr>
      <xdr:blipFill>
        <a:blip xmlns:r="http://schemas.openxmlformats.org/officeDocument/2006/relationships" r:embed="rId3"/>
        <a:stretch>
          <a:fillRect/>
        </a:stretch>
      </xdr:blipFill>
      <xdr:spPr>
        <a:xfrm rot="18863275">
          <a:off x="2357732" y="8107103"/>
          <a:ext cx="239252" cy="550435"/>
        </a:xfrm>
        <a:prstGeom prst="rect">
          <a:avLst/>
        </a:prstGeom>
      </xdr:spPr>
    </xdr:pic>
    <xdr:clientData/>
  </xdr:twoCellAnchor>
  <xdr:twoCellAnchor editAs="oneCell">
    <xdr:from>
      <xdr:col>65</xdr:col>
      <xdr:colOff>120297</xdr:colOff>
      <xdr:row>73</xdr:row>
      <xdr:rowOff>2381</xdr:rowOff>
    </xdr:from>
    <xdr:to>
      <xdr:col>66</xdr:col>
      <xdr:colOff>57835</xdr:colOff>
      <xdr:row>75</xdr:row>
      <xdr:rowOff>1</xdr:rowOff>
    </xdr:to>
    <xdr:pic>
      <xdr:nvPicPr>
        <xdr:cNvPr id="8" name="Picture 12">
          <a:extLst>
            <a:ext uri="{FF2B5EF4-FFF2-40B4-BE49-F238E27FC236}">
              <a16:creationId xmlns:a16="http://schemas.microsoft.com/office/drawing/2014/main" id="{8A62837E-83E0-4F4D-A8B3-987F5A70ED4C}"/>
            </a:ext>
          </a:extLst>
        </xdr:cNvPr>
        <xdr:cNvPicPr>
          <a:picLocks noChangeAspect="1"/>
        </xdr:cNvPicPr>
      </xdr:nvPicPr>
      <xdr:blipFill>
        <a:blip xmlns:r="http://schemas.openxmlformats.org/officeDocument/2006/relationships" r:embed="rId4"/>
        <a:stretch>
          <a:fillRect/>
        </a:stretch>
      </xdr:blipFill>
      <xdr:spPr>
        <a:xfrm>
          <a:off x="12502797" y="13908881"/>
          <a:ext cx="182467" cy="378620"/>
        </a:xfrm>
        <a:prstGeom prst="rect">
          <a:avLst/>
        </a:prstGeom>
      </xdr:spPr>
    </xdr:pic>
    <xdr:clientData/>
  </xdr:twoCellAnchor>
  <xdr:twoCellAnchor editAs="oneCell">
    <xdr:from>
      <xdr:col>39</xdr:col>
      <xdr:colOff>154783</xdr:colOff>
      <xdr:row>59</xdr:row>
      <xdr:rowOff>2382</xdr:rowOff>
    </xdr:from>
    <xdr:to>
      <xdr:col>40</xdr:col>
      <xdr:colOff>340</xdr:colOff>
      <xdr:row>60</xdr:row>
      <xdr:rowOff>4288</xdr:rowOff>
    </xdr:to>
    <xdr:pic>
      <xdr:nvPicPr>
        <xdr:cNvPr id="9" name="Picture 14">
          <a:extLst>
            <a:ext uri="{FF2B5EF4-FFF2-40B4-BE49-F238E27FC236}">
              <a16:creationId xmlns:a16="http://schemas.microsoft.com/office/drawing/2014/main" id="{866CD699-917B-477E-8FC7-EA9E269C0EAD}"/>
            </a:ext>
          </a:extLst>
        </xdr:cNvPr>
        <xdr:cNvPicPr>
          <a:picLocks noChangeAspect="1"/>
        </xdr:cNvPicPr>
      </xdr:nvPicPr>
      <xdr:blipFill>
        <a:blip xmlns:r="http://schemas.openxmlformats.org/officeDocument/2006/relationships" r:embed="rId4"/>
        <a:stretch>
          <a:fillRect/>
        </a:stretch>
      </xdr:blipFill>
      <xdr:spPr>
        <a:xfrm>
          <a:off x="7584283" y="11241882"/>
          <a:ext cx="90486" cy="192406"/>
        </a:xfrm>
        <a:prstGeom prst="rect">
          <a:avLst/>
        </a:prstGeom>
      </xdr:spPr>
    </xdr:pic>
    <xdr:clientData/>
  </xdr:twoCellAnchor>
  <xdr:twoCellAnchor editAs="oneCell">
    <xdr:from>
      <xdr:col>40</xdr:col>
      <xdr:colOff>18246</xdr:colOff>
      <xdr:row>34</xdr:row>
      <xdr:rowOff>98435</xdr:rowOff>
    </xdr:from>
    <xdr:to>
      <xdr:col>41</xdr:col>
      <xdr:colOff>125743</xdr:colOff>
      <xdr:row>35</xdr:row>
      <xdr:rowOff>77778</xdr:rowOff>
    </xdr:to>
    <xdr:pic>
      <xdr:nvPicPr>
        <xdr:cNvPr id="10" name="Picture 16">
          <a:extLst>
            <a:ext uri="{FF2B5EF4-FFF2-40B4-BE49-F238E27FC236}">
              <a16:creationId xmlns:a16="http://schemas.microsoft.com/office/drawing/2014/main" id="{E42E8B11-EC68-4DE8-B68F-DD321EE959E5}"/>
            </a:ext>
          </a:extLst>
        </xdr:cNvPr>
        <xdr:cNvPicPr>
          <a:picLocks noChangeAspect="1"/>
        </xdr:cNvPicPr>
      </xdr:nvPicPr>
      <xdr:blipFill>
        <a:blip xmlns:r="http://schemas.openxmlformats.org/officeDocument/2006/relationships" r:embed="rId4"/>
        <a:stretch>
          <a:fillRect/>
        </a:stretch>
      </xdr:blipFill>
      <xdr:spPr>
        <a:xfrm rot="16200000">
          <a:off x="7729537" y="6484144"/>
          <a:ext cx="169843" cy="352425"/>
        </a:xfrm>
        <a:prstGeom prst="rect">
          <a:avLst/>
        </a:prstGeom>
      </xdr:spPr>
    </xdr:pic>
    <xdr:clientData/>
  </xdr:twoCellAnchor>
  <xdr:twoCellAnchor editAs="oneCell">
    <xdr:from>
      <xdr:col>48</xdr:col>
      <xdr:colOff>21430</xdr:colOff>
      <xdr:row>55</xdr:row>
      <xdr:rowOff>11906</xdr:rowOff>
    </xdr:from>
    <xdr:to>
      <xdr:col>49</xdr:col>
      <xdr:colOff>109876</xdr:colOff>
      <xdr:row>56</xdr:row>
      <xdr:rowOff>160072</xdr:rowOff>
    </xdr:to>
    <xdr:pic>
      <xdr:nvPicPr>
        <xdr:cNvPr id="11" name="Picture 17">
          <a:extLst>
            <a:ext uri="{FF2B5EF4-FFF2-40B4-BE49-F238E27FC236}">
              <a16:creationId xmlns:a16="http://schemas.microsoft.com/office/drawing/2014/main" id="{0636D39D-62C3-4EEE-A934-AB4EDCD2328B}"/>
            </a:ext>
          </a:extLst>
        </xdr:cNvPr>
        <xdr:cNvPicPr>
          <a:picLocks noChangeAspect="1"/>
        </xdr:cNvPicPr>
      </xdr:nvPicPr>
      <xdr:blipFill>
        <a:blip xmlns:r="http://schemas.openxmlformats.org/officeDocument/2006/relationships" r:embed="rId5"/>
        <a:stretch>
          <a:fillRect/>
        </a:stretch>
      </xdr:blipFill>
      <xdr:spPr>
        <a:xfrm>
          <a:off x="9165430" y="10489406"/>
          <a:ext cx="333375" cy="338666"/>
        </a:xfrm>
        <a:prstGeom prst="rect">
          <a:avLst/>
        </a:prstGeom>
      </xdr:spPr>
    </xdr:pic>
    <xdr:clientData/>
  </xdr:twoCellAnchor>
  <xdr:twoCellAnchor editAs="oneCell">
    <xdr:from>
      <xdr:col>19</xdr:col>
      <xdr:colOff>138112</xdr:colOff>
      <xdr:row>13</xdr:row>
      <xdr:rowOff>1888</xdr:rowOff>
    </xdr:from>
    <xdr:to>
      <xdr:col>20</xdr:col>
      <xdr:colOff>28915</xdr:colOff>
      <xdr:row>15</xdr:row>
      <xdr:rowOff>0</xdr:rowOff>
    </xdr:to>
    <xdr:pic>
      <xdr:nvPicPr>
        <xdr:cNvPr id="12" name="Picture 21">
          <a:extLst>
            <a:ext uri="{FF2B5EF4-FFF2-40B4-BE49-F238E27FC236}">
              <a16:creationId xmlns:a16="http://schemas.microsoft.com/office/drawing/2014/main" id="{D2B9CB93-B8F2-44EE-B612-F9E6356FC740}"/>
            </a:ext>
          </a:extLst>
        </xdr:cNvPr>
        <xdr:cNvPicPr>
          <a:picLocks noChangeAspect="1"/>
        </xdr:cNvPicPr>
      </xdr:nvPicPr>
      <xdr:blipFill>
        <a:blip xmlns:r="http://schemas.openxmlformats.org/officeDocument/2006/relationships" r:embed="rId6"/>
        <a:stretch>
          <a:fillRect/>
        </a:stretch>
      </xdr:blipFill>
      <xdr:spPr>
        <a:xfrm>
          <a:off x="3757612" y="2478388"/>
          <a:ext cx="135731" cy="379112"/>
        </a:xfrm>
        <a:prstGeom prst="rect">
          <a:avLst/>
        </a:prstGeom>
      </xdr:spPr>
    </xdr:pic>
    <xdr:clientData/>
  </xdr:twoCellAnchor>
  <xdr:twoCellAnchor editAs="oneCell">
    <xdr:from>
      <xdr:col>51</xdr:col>
      <xdr:colOff>123825</xdr:colOff>
      <xdr:row>33</xdr:row>
      <xdr:rowOff>2381</xdr:rowOff>
    </xdr:from>
    <xdr:to>
      <xdr:col>52</xdr:col>
      <xdr:colOff>18713</xdr:colOff>
      <xdr:row>35</xdr:row>
      <xdr:rowOff>11906</xdr:rowOff>
    </xdr:to>
    <xdr:pic>
      <xdr:nvPicPr>
        <xdr:cNvPr id="13" name="Picture 29">
          <a:extLst>
            <a:ext uri="{FF2B5EF4-FFF2-40B4-BE49-F238E27FC236}">
              <a16:creationId xmlns:a16="http://schemas.microsoft.com/office/drawing/2014/main" id="{E505FBB2-B2B1-476D-816C-5C3592D9153C}"/>
            </a:ext>
          </a:extLst>
        </xdr:cNvPr>
        <xdr:cNvPicPr>
          <a:picLocks noChangeAspect="1"/>
        </xdr:cNvPicPr>
      </xdr:nvPicPr>
      <xdr:blipFill>
        <a:blip xmlns:r="http://schemas.openxmlformats.org/officeDocument/2006/relationships" r:embed="rId6"/>
        <a:stretch>
          <a:fillRect/>
        </a:stretch>
      </xdr:blipFill>
      <xdr:spPr>
        <a:xfrm>
          <a:off x="9839325" y="6288881"/>
          <a:ext cx="139817" cy="390525"/>
        </a:xfrm>
        <a:prstGeom prst="rect">
          <a:avLst/>
        </a:prstGeom>
      </xdr:spPr>
    </xdr:pic>
    <xdr:clientData/>
  </xdr:twoCellAnchor>
  <xdr:twoCellAnchor editAs="oneCell">
    <xdr:from>
      <xdr:col>55</xdr:col>
      <xdr:colOff>123825</xdr:colOff>
      <xdr:row>33</xdr:row>
      <xdr:rowOff>2381</xdr:rowOff>
    </xdr:from>
    <xdr:to>
      <xdr:col>56</xdr:col>
      <xdr:colOff>18713</xdr:colOff>
      <xdr:row>35</xdr:row>
      <xdr:rowOff>11906</xdr:rowOff>
    </xdr:to>
    <xdr:pic>
      <xdr:nvPicPr>
        <xdr:cNvPr id="14" name="Picture 30">
          <a:extLst>
            <a:ext uri="{FF2B5EF4-FFF2-40B4-BE49-F238E27FC236}">
              <a16:creationId xmlns:a16="http://schemas.microsoft.com/office/drawing/2014/main" id="{D6E2D513-450E-4F94-BAB8-92169479B307}"/>
            </a:ext>
          </a:extLst>
        </xdr:cNvPr>
        <xdr:cNvPicPr>
          <a:picLocks noChangeAspect="1"/>
        </xdr:cNvPicPr>
      </xdr:nvPicPr>
      <xdr:blipFill>
        <a:blip xmlns:r="http://schemas.openxmlformats.org/officeDocument/2006/relationships" r:embed="rId6"/>
        <a:stretch>
          <a:fillRect/>
        </a:stretch>
      </xdr:blipFill>
      <xdr:spPr>
        <a:xfrm>
          <a:off x="10601325" y="6288881"/>
          <a:ext cx="139817" cy="390525"/>
        </a:xfrm>
        <a:prstGeom prst="rect">
          <a:avLst/>
        </a:prstGeom>
      </xdr:spPr>
    </xdr:pic>
    <xdr:clientData/>
  </xdr:twoCellAnchor>
  <xdr:twoCellAnchor editAs="oneCell">
    <xdr:from>
      <xdr:col>63</xdr:col>
      <xdr:colOff>107158</xdr:colOff>
      <xdr:row>47</xdr:row>
      <xdr:rowOff>2382</xdr:rowOff>
    </xdr:from>
    <xdr:to>
      <xdr:col>63</xdr:col>
      <xdr:colOff>242712</xdr:colOff>
      <xdr:row>49</xdr:row>
      <xdr:rowOff>0</xdr:rowOff>
    </xdr:to>
    <xdr:pic>
      <xdr:nvPicPr>
        <xdr:cNvPr id="15" name="Picture 31">
          <a:extLst>
            <a:ext uri="{FF2B5EF4-FFF2-40B4-BE49-F238E27FC236}">
              <a16:creationId xmlns:a16="http://schemas.microsoft.com/office/drawing/2014/main" id="{FA14E015-6855-4EEE-BDD1-86BB17775BA2}"/>
            </a:ext>
          </a:extLst>
        </xdr:cNvPr>
        <xdr:cNvPicPr>
          <a:picLocks noChangeAspect="1"/>
        </xdr:cNvPicPr>
      </xdr:nvPicPr>
      <xdr:blipFill>
        <a:blip xmlns:r="http://schemas.openxmlformats.org/officeDocument/2006/relationships" r:embed="rId6"/>
        <a:stretch>
          <a:fillRect/>
        </a:stretch>
      </xdr:blipFill>
      <xdr:spPr>
        <a:xfrm>
          <a:off x="12108658" y="8955882"/>
          <a:ext cx="135554" cy="378618"/>
        </a:xfrm>
        <a:prstGeom prst="rect">
          <a:avLst/>
        </a:prstGeom>
      </xdr:spPr>
    </xdr:pic>
    <xdr:clientData/>
  </xdr:twoCellAnchor>
  <xdr:twoCellAnchor editAs="oneCell">
    <xdr:from>
      <xdr:col>34</xdr:col>
      <xdr:colOff>3237</xdr:colOff>
      <xdr:row>30</xdr:row>
      <xdr:rowOff>139638</xdr:rowOff>
    </xdr:from>
    <xdr:to>
      <xdr:col>35</xdr:col>
      <xdr:colOff>136072</xdr:colOff>
      <xdr:row>31</xdr:row>
      <xdr:rowOff>86359</xdr:rowOff>
    </xdr:to>
    <xdr:pic>
      <xdr:nvPicPr>
        <xdr:cNvPr id="16" name="Picture 36">
          <a:extLst>
            <a:ext uri="{FF2B5EF4-FFF2-40B4-BE49-F238E27FC236}">
              <a16:creationId xmlns:a16="http://schemas.microsoft.com/office/drawing/2014/main" id="{3F4442A7-83BF-4F65-BCF7-A4EFD1A7D146}"/>
            </a:ext>
          </a:extLst>
        </xdr:cNvPr>
        <xdr:cNvPicPr>
          <a:picLocks noChangeAspect="1"/>
        </xdr:cNvPicPr>
      </xdr:nvPicPr>
      <xdr:blipFill>
        <a:blip xmlns:r="http://schemas.openxmlformats.org/officeDocument/2006/relationships" r:embed="rId6"/>
        <a:stretch>
          <a:fillRect/>
        </a:stretch>
      </xdr:blipFill>
      <xdr:spPr>
        <a:xfrm rot="16200000">
          <a:off x="6600508" y="5734367"/>
          <a:ext cx="137221" cy="377764"/>
        </a:xfrm>
        <a:prstGeom prst="rect">
          <a:avLst/>
        </a:prstGeom>
      </xdr:spPr>
    </xdr:pic>
    <xdr:clientData/>
  </xdr:twoCellAnchor>
  <xdr:twoCellAnchor editAs="oneCell">
    <xdr:from>
      <xdr:col>50</xdr:col>
      <xdr:colOff>9525</xdr:colOff>
      <xdr:row>36</xdr:row>
      <xdr:rowOff>103918</xdr:rowOff>
    </xdr:from>
    <xdr:to>
      <xdr:col>51</xdr:col>
      <xdr:colOff>139416</xdr:colOff>
      <xdr:row>37</xdr:row>
      <xdr:rowOff>53235</xdr:rowOff>
    </xdr:to>
    <xdr:pic>
      <xdr:nvPicPr>
        <xdr:cNvPr id="17" name="Picture 37">
          <a:extLst>
            <a:ext uri="{FF2B5EF4-FFF2-40B4-BE49-F238E27FC236}">
              <a16:creationId xmlns:a16="http://schemas.microsoft.com/office/drawing/2014/main" id="{0F615071-3A4B-47CC-A644-D9D6AE1E69A7}"/>
            </a:ext>
          </a:extLst>
        </xdr:cNvPr>
        <xdr:cNvPicPr>
          <a:picLocks noChangeAspect="1"/>
        </xdr:cNvPicPr>
      </xdr:nvPicPr>
      <xdr:blipFill>
        <a:blip xmlns:r="http://schemas.openxmlformats.org/officeDocument/2006/relationships" r:embed="rId6"/>
        <a:stretch>
          <a:fillRect/>
        </a:stretch>
      </xdr:blipFill>
      <xdr:spPr>
        <a:xfrm rot="16200000">
          <a:off x="9652026" y="6844417"/>
          <a:ext cx="139817" cy="374819"/>
        </a:xfrm>
        <a:prstGeom prst="rect">
          <a:avLst/>
        </a:prstGeom>
      </xdr:spPr>
    </xdr:pic>
    <xdr:clientData/>
  </xdr:twoCellAnchor>
  <xdr:twoCellAnchor editAs="oneCell">
    <xdr:from>
      <xdr:col>48</xdr:col>
      <xdr:colOff>3233</xdr:colOff>
      <xdr:row>36</xdr:row>
      <xdr:rowOff>106302</xdr:rowOff>
    </xdr:from>
    <xdr:to>
      <xdr:col>49</xdr:col>
      <xdr:colOff>138339</xdr:colOff>
      <xdr:row>37</xdr:row>
      <xdr:rowOff>55619</xdr:rowOff>
    </xdr:to>
    <xdr:pic>
      <xdr:nvPicPr>
        <xdr:cNvPr id="18" name="Picture 38">
          <a:extLst>
            <a:ext uri="{FF2B5EF4-FFF2-40B4-BE49-F238E27FC236}">
              <a16:creationId xmlns:a16="http://schemas.microsoft.com/office/drawing/2014/main" id="{CCFE2072-3E93-4EC8-B8E3-576F0B6C4904}"/>
            </a:ext>
          </a:extLst>
        </xdr:cNvPr>
        <xdr:cNvPicPr>
          <a:picLocks noChangeAspect="1"/>
        </xdr:cNvPicPr>
      </xdr:nvPicPr>
      <xdr:blipFill>
        <a:blip xmlns:r="http://schemas.openxmlformats.org/officeDocument/2006/relationships" r:embed="rId6"/>
        <a:stretch>
          <a:fillRect/>
        </a:stretch>
      </xdr:blipFill>
      <xdr:spPr>
        <a:xfrm rot="16200000">
          <a:off x="9267342" y="6844193"/>
          <a:ext cx="139817" cy="380035"/>
        </a:xfrm>
        <a:prstGeom prst="rect">
          <a:avLst/>
        </a:prstGeom>
      </xdr:spPr>
    </xdr:pic>
    <xdr:clientData/>
  </xdr:twoCellAnchor>
  <xdr:twoCellAnchor editAs="oneCell">
    <xdr:from>
      <xdr:col>70</xdr:col>
      <xdr:colOff>2381</xdr:colOff>
      <xdr:row>70</xdr:row>
      <xdr:rowOff>104773</xdr:rowOff>
    </xdr:from>
    <xdr:to>
      <xdr:col>71</xdr:col>
      <xdr:colOff>138019</xdr:colOff>
      <xdr:row>71</xdr:row>
      <xdr:rowOff>54090</xdr:rowOff>
    </xdr:to>
    <xdr:pic>
      <xdr:nvPicPr>
        <xdr:cNvPr id="19" name="Picture 42">
          <a:extLst>
            <a:ext uri="{FF2B5EF4-FFF2-40B4-BE49-F238E27FC236}">
              <a16:creationId xmlns:a16="http://schemas.microsoft.com/office/drawing/2014/main" id="{187E9B0F-DCDE-43DB-BD9F-2A3CB34FDD4E}"/>
            </a:ext>
          </a:extLst>
        </xdr:cNvPr>
        <xdr:cNvPicPr>
          <a:picLocks noChangeAspect="1"/>
        </xdr:cNvPicPr>
      </xdr:nvPicPr>
      <xdr:blipFill>
        <a:blip xmlns:r="http://schemas.openxmlformats.org/officeDocument/2006/relationships" r:embed="rId6"/>
        <a:stretch>
          <a:fillRect/>
        </a:stretch>
      </xdr:blipFill>
      <xdr:spPr>
        <a:xfrm rot="16200000">
          <a:off x="13457756" y="13319398"/>
          <a:ext cx="139817" cy="380567"/>
        </a:xfrm>
        <a:prstGeom prst="rect">
          <a:avLst/>
        </a:prstGeom>
      </xdr:spPr>
    </xdr:pic>
    <xdr:clientData/>
  </xdr:twoCellAnchor>
  <xdr:twoCellAnchor editAs="oneCell">
    <xdr:from>
      <xdr:col>35</xdr:col>
      <xdr:colOff>28575</xdr:colOff>
      <xdr:row>87</xdr:row>
      <xdr:rowOff>38100</xdr:rowOff>
    </xdr:from>
    <xdr:to>
      <xdr:col>35</xdr:col>
      <xdr:colOff>179239</xdr:colOff>
      <xdr:row>89</xdr:row>
      <xdr:rowOff>17100</xdr:rowOff>
    </xdr:to>
    <xdr:pic>
      <xdr:nvPicPr>
        <xdr:cNvPr id="20" name="Picture 44">
          <a:extLst>
            <a:ext uri="{FF2B5EF4-FFF2-40B4-BE49-F238E27FC236}">
              <a16:creationId xmlns:a16="http://schemas.microsoft.com/office/drawing/2014/main" id="{5B092868-01AD-4E53-A4CA-8AED83DAD7D3}"/>
            </a:ext>
          </a:extLst>
        </xdr:cNvPr>
        <xdr:cNvPicPr>
          <a:picLocks noChangeAspect="1"/>
        </xdr:cNvPicPr>
      </xdr:nvPicPr>
      <xdr:blipFill>
        <a:blip xmlns:r="http://schemas.openxmlformats.org/officeDocument/2006/relationships" r:embed="rId7"/>
        <a:stretch>
          <a:fillRect/>
        </a:stretch>
      </xdr:blipFill>
      <xdr:spPr>
        <a:xfrm rot="10800000">
          <a:off x="6696075" y="16611600"/>
          <a:ext cx="150664" cy="360000"/>
        </a:xfrm>
        <a:prstGeom prst="rect">
          <a:avLst/>
        </a:prstGeom>
      </xdr:spPr>
    </xdr:pic>
    <xdr:clientData/>
  </xdr:twoCellAnchor>
  <xdr:twoCellAnchor editAs="oneCell">
    <xdr:from>
      <xdr:col>36</xdr:col>
      <xdr:colOff>47732</xdr:colOff>
      <xdr:row>86</xdr:row>
      <xdr:rowOff>18943</xdr:rowOff>
    </xdr:from>
    <xdr:to>
      <xdr:col>37</xdr:col>
      <xdr:colOff>162804</xdr:colOff>
      <xdr:row>86</xdr:row>
      <xdr:rowOff>169607</xdr:rowOff>
    </xdr:to>
    <xdr:pic>
      <xdr:nvPicPr>
        <xdr:cNvPr id="21" name="Picture 45">
          <a:extLst>
            <a:ext uri="{FF2B5EF4-FFF2-40B4-BE49-F238E27FC236}">
              <a16:creationId xmlns:a16="http://schemas.microsoft.com/office/drawing/2014/main" id="{0759E4CC-CE65-4DE8-94EB-5E224810E3F7}"/>
            </a:ext>
          </a:extLst>
        </xdr:cNvPr>
        <xdr:cNvPicPr>
          <a:picLocks noChangeAspect="1"/>
        </xdr:cNvPicPr>
      </xdr:nvPicPr>
      <xdr:blipFill>
        <a:blip xmlns:r="http://schemas.openxmlformats.org/officeDocument/2006/relationships" r:embed="rId7"/>
        <a:stretch>
          <a:fillRect/>
        </a:stretch>
      </xdr:blipFill>
      <xdr:spPr>
        <a:xfrm rot="16200000">
          <a:off x="7010400" y="16297275"/>
          <a:ext cx="150664" cy="360000"/>
        </a:xfrm>
        <a:prstGeom prst="rect">
          <a:avLst/>
        </a:prstGeom>
      </xdr:spPr>
    </xdr:pic>
    <xdr:clientData/>
  </xdr:twoCellAnchor>
  <xdr:twoCellAnchor editAs="oneCell">
    <xdr:from>
      <xdr:col>25</xdr:col>
      <xdr:colOff>190499</xdr:colOff>
      <xdr:row>8</xdr:row>
      <xdr:rowOff>113960</xdr:rowOff>
    </xdr:from>
    <xdr:to>
      <xdr:col>27</xdr:col>
      <xdr:colOff>29255</xdr:colOff>
      <xdr:row>11</xdr:row>
      <xdr:rowOff>4398</xdr:rowOff>
    </xdr:to>
    <xdr:pic>
      <xdr:nvPicPr>
        <xdr:cNvPr id="22" name="Picture 48">
          <a:extLst>
            <a:ext uri="{FF2B5EF4-FFF2-40B4-BE49-F238E27FC236}">
              <a16:creationId xmlns:a16="http://schemas.microsoft.com/office/drawing/2014/main" id="{F82EABBF-979E-4AD4-BD94-ABDA98D61CC0}"/>
            </a:ext>
          </a:extLst>
        </xdr:cNvPr>
        <xdr:cNvPicPr>
          <a:picLocks noChangeAspect="1"/>
        </xdr:cNvPicPr>
      </xdr:nvPicPr>
      <xdr:blipFill>
        <a:blip xmlns:r="http://schemas.openxmlformats.org/officeDocument/2006/relationships" r:embed="rId7"/>
        <a:stretch>
          <a:fillRect/>
        </a:stretch>
      </xdr:blipFill>
      <xdr:spPr>
        <a:xfrm rot="10800000">
          <a:off x="4952999" y="1637960"/>
          <a:ext cx="328613" cy="461938"/>
        </a:xfrm>
        <a:prstGeom prst="rect">
          <a:avLst/>
        </a:prstGeom>
      </xdr:spPr>
    </xdr:pic>
    <xdr:clientData/>
  </xdr:twoCellAnchor>
  <xdr:twoCellAnchor editAs="oneCell">
    <xdr:from>
      <xdr:col>9</xdr:col>
      <xdr:colOff>107156</xdr:colOff>
      <xdr:row>73</xdr:row>
      <xdr:rowOff>2382</xdr:rowOff>
    </xdr:from>
    <xdr:to>
      <xdr:col>9</xdr:col>
      <xdr:colOff>242887</xdr:colOff>
      <xdr:row>75</xdr:row>
      <xdr:rowOff>494</xdr:rowOff>
    </xdr:to>
    <xdr:pic>
      <xdr:nvPicPr>
        <xdr:cNvPr id="23" name="Picture 50">
          <a:extLst>
            <a:ext uri="{FF2B5EF4-FFF2-40B4-BE49-F238E27FC236}">
              <a16:creationId xmlns:a16="http://schemas.microsoft.com/office/drawing/2014/main" id="{60713160-A071-424A-AB08-77BD151241F8}"/>
            </a:ext>
          </a:extLst>
        </xdr:cNvPr>
        <xdr:cNvPicPr>
          <a:picLocks noChangeAspect="1"/>
        </xdr:cNvPicPr>
      </xdr:nvPicPr>
      <xdr:blipFill>
        <a:blip xmlns:r="http://schemas.openxmlformats.org/officeDocument/2006/relationships" r:embed="rId6"/>
        <a:stretch>
          <a:fillRect/>
        </a:stretch>
      </xdr:blipFill>
      <xdr:spPr>
        <a:xfrm>
          <a:off x="1821656" y="13908882"/>
          <a:ext cx="135731" cy="379112"/>
        </a:xfrm>
        <a:prstGeom prst="rect">
          <a:avLst/>
        </a:prstGeom>
      </xdr:spPr>
    </xdr:pic>
    <xdr:clientData/>
  </xdr:twoCellAnchor>
  <xdr:twoCellAnchor editAs="oneCell">
    <xdr:from>
      <xdr:col>61</xdr:col>
      <xdr:colOff>109538</xdr:colOff>
      <xdr:row>75</xdr:row>
      <xdr:rowOff>2381</xdr:rowOff>
    </xdr:from>
    <xdr:to>
      <xdr:col>62</xdr:col>
      <xdr:colOff>341</xdr:colOff>
      <xdr:row>77</xdr:row>
      <xdr:rowOff>493</xdr:rowOff>
    </xdr:to>
    <xdr:pic>
      <xdr:nvPicPr>
        <xdr:cNvPr id="24" name="Picture 55">
          <a:extLst>
            <a:ext uri="{FF2B5EF4-FFF2-40B4-BE49-F238E27FC236}">
              <a16:creationId xmlns:a16="http://schemas.microsoft.com/office/drawing/2014/main" id="{5D47126A-1196-4567-B9DF-F99F2675646C}"/>
            </a:ext>
          </a:extLst>
        </xdr:cNvPr>
        <xdr:cNvPicPr>
          <a:picLocks noChangeAspect="1"/>
        </xdr:cNvPicPr>
      </xdr:nvPicPr>
      <xdr:blipFill>
        <a:blip xmlns:r="http://schemas.openxmlformats.org/officeDocument/2006/relationships" r:embed="rId6"/>
        <a:stretch>
          <a:fillRect/>
        </a:stretch>
      </xdr:blipFill>
      <xdr:spPr>
        <a:xfrm>
          <a:off x="11730038" y="14289881"/>
          <a:ext cx="135731" cy="379112"/>
        </a:xfrm>
        <a:prstGeom prst="rect">
          <a:avLst/>
        </a:prstGeom>
      </xdr:spPr>
    </xdr:pic>
    <xdr:clientData/>
  </xdr:twoCellAnchor>
  <xdr:twoCellAnchor editAs="oneCell">
    <xdr:from>
      <xdr:col>34</xdr:col>
      <xdr:colOff>3238</xdr:colOff>
      <xdr:row>28</xdr:row>
      <xdr:rowOff>139638</xdr:rowOff>
    </xdr:from>
    <xdr:to>
      <xdr:col>35</xdr:col>
      <xdr:colOff>136073</xdr:colOff>
      <xdr:row>29</xdr:row>
      <xdr:rowOff>86359</xdr:rowOff>
    </xdr:to>
    <xdr:pic>
      <xdr:nvPicPr>
        <xdr:cNvPr id="25" name="Picture 56">
          <a:extLst>
            <a:ext uri="{FF2B5EF4-FFF2-40B4-BE49-F238E27FC236}">
              <a16:creationId xmlns:a16="http://schemas.microsoft.com/office/drawing/2014/main" id="{86D1C63E-AA3A-419A-A2B0-8F029BDFDDD4}"/>
            </a:ext>
          </a:extLst>
        </xdr:cNvPr>
        <xdr:cNvPicPr>
          <a:picLocks noChangeAspect="1"/>
        </xdr:cNvPicPr>
      </xdr:nvPicPr>
      <xdr:blipFill>
        <a:blip xmlns:r="http://schemas.openxmlformats.org/officeDocument/2006/relationships" r:embed="rId6"/>
        <a:stretch>
          <a:fillRect/>
        </a:stretch>
      </xdr:blipFill>
      <xdr:spPr>
        <a:xfrm rot="16200000">
          <a:off x="6600509" y="5353367"/>
          <a:ext cx="137221" cy="377764"/>
        </a:xfrm>
        <a:prstGeom prst="rect">
          <a:avLst/>
        </a:prstGeom>
      </xdr:spPr>
    </xdr:pic>
    <xdr:clientData/>
  </xdr:twoCellAnchor>
  <xdr:twoCellAnchor editAs="oneCell">
    <xdr:from>
      <xdr:col>41</xdr:col>
      <xdr:colOff>108364</xdr:colOff>
      <xdr:row>17</xdr:row>
      <xdr:rowOff>3554</xdr:rowOff>
    </xdr:from>
    <xdr:to>
      <xdr:col>42</xdr:col>
      <xdr:colOff>656</xdr:colOff>
      <xdr:row>19</xdr:row>
      <xdr:rowOff>318</xdr:rowOff>
    </xdr:to>
    <xdr:pic>
      <xdr:nvPicPr>
        <xdr:cNvPr id="26" name="Picture 60">
          <a:extLst>
            <a:ext uri="{FF2B5EF4-FFF2-40B4-BE49-F238E27FC236}">
              <a16:creationId xmlns:a16="http://schemas.microsoft.com/office/drawing/2014/main" id="{6C3B0180-888C-4BB7-A419-F46F4DED7561}"/>
            </a:ext>
          </a:extLst>
        </xdr:cNvPr>
        <xdr:cNvPicPr>
          <a:picLocks noChangeAspect="1"/>
        </xdr:cNvPicPr>
      </xdr:nvPicPr>
      <xdr:blipFill>
        <a:blip xmlns:r="http://schemas.openxmlformats.org/officeDocument/2006/relationships" r:embed="rId6"/>
        <a:stretch>
          <a:fillRect/>
        </a:stretch>
      </xdr:blipFill>
      <xdr:spPr>
        <a:xfrm>
          <a:off x="7918864" y="3242054"/>
          <a:ext cx="137221" cy="377764"/>
        </a:xfrm>
        <a:prstGeom prst="rect">
          <a:avLst/>
        </a:prstGeom>
      </xdr:spPr>
    </xdr:pic>
    <xdr:clientData/>
  </xdr:twoCellAnchor>
  <xdr:twoCellAnchor editAs="oneCell">
    <xdr:from>
      <xdr:col>44</xdr:col>
      <xdr:colOff>3460</xdr:colOff>
      <xdr:row>40</xdr:row>
      <xdr:rowOff>135952</xdr:rowOff>
    </xdr:from>
    <xdr:to>
      <xdr:col>45</xdr:col>
      <xdr:colOff>136296</xdr:colOff>
      <xdr:row>41</xdr:row>
      <xdr:rowOff>82673</xdr:rowOff>
    </xdr:to>
    <xdr:pic>
      <xdr:nvPicPr>
        <xdr:cNvPr id="27" name="Picture 68">
          <a:extLst>
            <a:ext uri="{FF2B5EF4-FFF2-40B4-BE49-F238E27FC236}">
              <a16:creationId xmlns:a16="http://schemas.microsoft.com/office/drawing/2014/main" id="{5AE6249F-5EB4-4EBB-9780-3E646CDBCF55}"/>
            </a:ext>
          </a:extLst>
        </xdr:cNvPr>
        <xdr:cNvPicPr>
          <a:picLocks noChangeAspect="1"/>
        </xdr:cNvPicPr>
      </xdr:nvPicPr>
      <xdr:blipFill>
        <a:blip xmlns:r="http://schemas.openxmlformats.org/officeDocument/2006/relationships" r:embed="rId6"/>
        <a:stretch>
          <a:fillRect/>
        </a:stretch>
      </xdr:blipFill>
      <xdr:spPr>
        <a:xfrm rot="5400000">
          <a:off x="8505732" y="7635680"/>
          <a:ext cx="137221" cy="377765"/>
        </a:xfrm>
        <a:prstGeom prst="rect">
          <a:avLst/>
        </a:prstGeom>
      </xdr:spPr>
    </xdr:pic>
    <xdr:clientData/>
  </xdr:twoCellAnchor>
  <xdr:twoCellAnchor editAs="oneCell">
    <xdr:from>
      <xdr:col>37</xdr:col>
      <xdr:colOff>141514</xdr:colOff>
      <xdr:row>37</xdr:row>
      <xdr:rowOff>2722</xdr:rowOff>
    </xdr:from>
    <xdr:to>
      <xdr:col>38</xdr:col>
      <xdr:colOff>33806</xdr:colOff>
      <xdr:row>39</xdr:row>
      <xdr:rowOff>4132</xdr:rowOff>
    </xdr:to>
    <xdr:pic>
      <xdr:nvPicPr>
        <xdr:cNvPr id="28" name="Picture 69">
          <a:extLst>
            <a:ext uri="{FF2B5EF4-FFF2-40B4-BE49-F238E27FC236}">
              <a16:creationId xmlns:a16="http://schemas.microsoft.com/office/drawing/2014/main" id="{D8BD65E1-A79E-423C-B587-F86CE044F67A}"/>
            </a:ext>
          </a:extLst>
        </xdr:cNvPr>
        <xdr:cNvPicPr>
          <a:picLocks noChangeAspect="1"/>
        </xdr:cNvPicPr>
      </xdr:nvPicPr>
      <xdr:blipFill>
        <a:blip xmlns:r="http://schemas.openxmlformats.org/officeDocument/2006/relationships" r:embed="rId6"/>
        <a:stretch>
          <a:fillRect/>
        </a:stretch>
      </xdr:blipFill>
      <xdr:spPr>
        <a:xfrm>
          <a:off x="7190014" y="7051222"/>
          <a:ext cx="137221" cy="382410"/>
        </a:xfrm>
        <a:prstGeom prst="rect">
          <a:avLst/>
        </a:prstGeom>
      </xdr:spPr>
    </xdr:pic>
    <xdr:clientData/>
  </xdr:twoCellAnchor>
  <xdr:twoCellAnchor editAs="oneCell">
    <xdr:from>
      <xdr:col>46</xdr:col>
      <xdr:colOff>2193</xdr:colOff>
      <xdr:row>48</xdr:row>
      <xdr:rowOff>139322</xdr:rowOff>
    </xdr:from>
    <xdr:to>
      <xdr:col>47</xdr:col>
      <xdr:colOff>139674</xdr:colOff>
      <xdr:row>49</xdr:row>
      <xdr:rowOff>86043</xdr:rowOff>
    </xdr:to>
    <xdr:pic>
      <xdr:nvPicPr>
        <xdr:cNvPr id="29" name="Picture 70">
          <a:extLst>
            <a:ext uri="{FF2B5EF4-FFF2-40B4-BE49-F238E27FC236}">
              <a16:creationId xmlns:a16="http://schemas.microsoft.com/office/drawing/2014/main" id="{D0A61726-8503-4AFF-ADF6-96D2F9C336B7}"/>
            </a:ext>
          </a:extLst>
        </xdr:cNvPr>
        <xdr:cNvPicPr>
          <a:picLocks noChangeAspect="1"/>
        </xdr:cNvPicPr>
      </xdr:nvPicPr>
      <xdr:blipFill>
        <a:blip xmlns:r="http://schemas.openxmlformats.org/officeDocument/2006/relationships" r:embed="rId6"/>
        <a:stretch>
          <a:fillRect/>
        </a:stretch>
      </xdr:blipFill>
      <xdr:spPr>
        <a:xfrm rot="5400000">
          <a:off x="8887787" y="9160728"/>
          <a:ext cx="137221" cy="382410"/>
        </a:xfrm>
        <a:prstGeom prst="rect">
          <a:avLst/>
        </a:prstGeom>
      </xdr:spPr>
    </xdr:pic>
    <xdr:clientData/>
  </xdr:twoCellAnchor>
  <xdr:twoCellAnchor editAs="oneCell">
    <xdr:from>
      <xdr:col>51</xdr:col>
      <xdr:colOff>136071</xdr:colOff>
      <xdr:row>51</xdr:row>
      <xdr:rowOff>5443</xdr:rowOff>
    </xdr:from>
    <xdr:to>
      <xdr:col>52</xdr:col>
      <xdr:colOff>28363</xdr:colOff>
      <xdr:row>53</xdr:row>
      <xdr:rowOff>2207</xdr:rowOff>
    </xdr:to>
    <xdr:pic>
      <xdr:nvPicPr>
        <xdr:cNvPr id="30" name="Picture 71">
          <a:extLst>
            <a:ext uri="{FF2B5EF4-FFF2-40B4-BE49-F238E27FC236}">
              <a16:creationId xmlns:a16="http://schemas.microsoft.com/office/drawing/2014/main" id="{0C36A09B-B9EC-4572-8D3F-3732FE51F9F1}"/>
            </a:ext>
          </a:extLst>
        </xdr:cNvPr>
        <xdr:cNvPicPr>
          <a:picLocks noChangeAspect="1"/>
        </xdr:cNvPicPr>
      </xdr:nvPicPr>
      <xdr:blipFill>
        <a:blip xmlns:r="http://schemas.openxmlformats.org/officeDocument/2006/relationships" r:embed="rId6"/>
        <a:stretch>
          <a:fillRect/>
        </a:stretch>
      </xdr:blipFill>
      <xdr:spPr>
        <a:xfrm>
          <a:off x="9851571" y="9720943"/>
          <a:ext cx="137221" cy="377764"/>
        </a:xfrm>
        <a:prstGeom prst="rect">
          <a:avLst/>
        </a:prstGeom>
      </xdr:spPr>
    </xdr:pic>
    <xdr:clientData/>
  </xdr:twoCellAnchor>
  <xdr:twoCellAnchor editAs="oneCell">
    <xdr:from>
      <xdr:col>46</xdr:col>
      <xdr:colOff>3752</xdr:colOff>
      <xdr:row>66</xdr:row>
      <xdr:rowOff>151031</xdr:rowOff>
    </xdr:from>
    <xdr:to>
      <xdr:col>46</xdr:col>
      <xdr:colOff>191511</xdr:colOff>
      <xdr:row>67</xdr:row>
      <xdr:rowOff>51017</xdr:rowOff>
    </xdr:to>
    <xdr:pic>
      <xdr:nvPicPr>
        <xdr:cNvPr id="31" name="Picture 59">
          <a:extLst>
            <a:ext uri="{FF2B5EF4-FFF2-40B4-BE49-F238E27FC236}">
              <a16:creationId xmlns:a16="http://schemas.microsoft.com/office/drawing/2014/main" id="{68E3F766-5B31-4A3D-9311-AC8A99086B18}"/>
            </a:ext>
          </a:extLst>
        </xdr:cNvPr>
        <xdr:cNvPicPr>
          <a:picLocks noChangeAspect="1"/>
        </xdr:cNvPicPr>
      </xdr:nvPicPr>
      <xdr:blipFill>
        <a:blip xmlns:r="http://schemas.openxmlformats.org/officeDocument/2006/relationships" r:embed="rId4"/>
        <a:stretch>
          <a:fillRect/>
        </a:stretch>
      </xdr:blipFill>
      <xdr:spPr>
        <a:xfrm rot="16200000">
          <a:off x="8815389" y="12675394"/>
          <a:ext cx="90486" cy="187759"/>
        </a:xfrm>
        <a:prstGeom prst="rect">
          <a:avLst/>
        </a:prstGeom>
      </xdr:spPr>
    </xdr:pic>
    <xdr:clientData/>
  </xdr:twoCellAnchor>
  <xdr:twoCellAnchor editAs="oneCell">
    <xdr:from>
      <xdr:col>33</xdr:col>
      <xdr:colOff>107157</xdr:colOff>
      <xdr:row>3</xdr:row>
      <xdr:rowOff>2382</xdr:rowOff>
    </xdr:from>
    <xdr:to>
      <xdr:col>33</xdr:col>
      <xdr:colOff>242889</xdr:colOff>
      <xdr:row>5</xdr:row>
      <xdr:rowOff>7750</xdr:rowOff>
    </xdr:to>
    <xdr:pic>
      <xdr:nvPicPr>
        <xdr:cNvPr id="32" name="Picture 72">
          <a:extLst>
            <a:ext uri="{FF2B5EF4-FFF2-40B4-BE49-F238E27FC236}">
              <a16:creationId xmlns:a16="http://schemas.microsoft.com/office/drawing/2014/main" id="{AF917877-8213-4053-9D1A-09F51CEB8F44}"/>
            </a:ext>
          </a:extLst>
        </xdr:cNvPr>
        <xdr:cNvPicPr>
          <a:picLocks noChangeAspect="1"/>
        </xdr:cNvPicPr>
      </xdr:nvPicPr>
      <xdr:blipFill>
        <a:blip xmlns:r="http://schemas.openxmlformats.org/officeDocument/2006/relationships" r:embed="rId6"/>
        <a:stretch>
          <a:fillRect/>
        </a:stretch>
      </xdr:blipFill>
      <xdr:spPr>
        <a:xfrm>
          <a:off x="6393657" y="573882"/>
          <a:ext cx="135732" cy="386368"/>
        </a:xfrm>
        <a:prstGeom prst="rect">
          <a:avLst/>
        </a:prstGeom>
      </xdr:spPr>
    </xdr:pic>
    <xdr:clientData/>
  </xdr:twoCellAnchor>
  <xdr:twoCellAnchor editAs="oneCell">
    <xdr:from>
      <xdr:col>67</xdr:col>
      <xdr:colOff>89341</xdr:colOff>
      <xdr:row>73</xdr:row>
      <xdr:rowOff>2381</xdr:rowOff>
    </xdr:from>
    <xdr:to>
      <xdr:col>68</xdr:col>
      <xdr:colOff>26879</xdr:colOff>
      <xdr:row>75</xdr:row>
      <xdr:rowOff>1</xdr:rowOff>
    </xdr:to>
    <xdr:pic>
      <xdr:nvPicPr>
        <xdr:cNvPr id="33" name="Picture 76">
          <a:extLst>
            <a:ext uri="{FF2B5EF4-FFF2-40B4-BE49-F238E27FC236}">
              <a16:creationId xmlns:a16="http://schemas.microsoft.com/office/drawing/2014/main" id="{BACDE7AC-1D71-490F-A176-DA85674BDFEE}"/>
            </a:ext>
          </a:extLst>
        </xdr:cNvPr>
        <xdr:cNvPicPr>
          <a:picLocks noChangeAspect="1"/>
        </xdr:cNvPicPr>
      </xdr:nvPicPr>
      <xdr:blipFill>
        <a:blip xmlns:r="http://schemas.openxmlformats.org/officeDocument/2006/relationships" r:embed="rId4"/>
        <a:stretch>
          <a:fillRect/>
        </a:stretch>
      </xdr:blipFill>
      <xdr:spPr>
        <a:xfrm>
          <a:off x="12852841" y="13908881"/>
          <a:ext cx="182467" cy="378620"/>
        </a:xfrm>
        <a:prstGeom prst="rect">
          <a:avLst/>
        </a:prstGeom>
      </xdr:spPr>
    </xdr:pic>
    <xdr:clientData/>
  </xdr:twoCellAnchor>
  <xdr:twoCellAnchor editAs="oneCell">
    <xdr:from>
      <xdr:col>32</xdr:col>
      <xdr:colOff>2073</xdr:colOff>
      <xdr:row>14</xdr:row>
      <xdr:rowOff>128896</xdr:rowOff>
    </xdr:from>
    <xdr:to>
      <xdr:col>33</xdr:col>
      <xdr:colOff>140410</xdr:colOff>
      <xdr:row>15</xdr:row>
      <xdr:rowOff>97323</xdr:rowOff>
    </xdr:to>
    <xdr:pic>
      <xdr:nvPicPr>
        <xdr:cNvPr id="34" name="Picture 77">
          <a:extLst>
            <a:ext uri="{FF2B5EF4-FFF2-40B4-BE49-F238E27FC236}">
              <a16:creationId xmlns:a16="http://schemas.microsoft.com/office/drawing/2014/main" id="{421DF595-16A1-4218-851E-D118A5F80B64}"/>
            </a:ext>
          </a:extLst>
        </xdr:cNvPr>
        <xdr:cNvPicPr>
          <a:picLocks noChangeAspect="1"/>
        </xdr:cNvPicPr>
      </xdr:nvPicPr>
      <xdr:blipFill>
        <a:blip xmlns:r="http://schemas.openxmlformats.org/officeDocument/2006/relationships" r:embed="rId3"/>
        <a:stretch>
          <a:fillRect/>
        </a:stretch>
      </xdr:blipFill>
      <xdr:spPr>
        <a:xfrm rot="5400000">
          <a:off x="6210242" y="2683727"/>
          <a:ext cx="158927" cy="383266"/>
        </a:xfrm>
        <a:prstGeom prst="rect">
          <a:avLst/>
        </a:prstGeom>
      </xdr:spPr>
    </xdr:pic>
    <xdr:clientData/>
  </xdr:twoCellAnchor>
  <xdr:twoCellAnchor editAs="oneCell">
    <xdr:from>
      <xdr:col>26</xdr:col>
      <xdr:colOff>1716</xdr:colOff>
      <xdr:row>42</xdr:row>
      <xdr:rowOff>125504</xdr:rowOff>
    </xdr:from>
    <xdr:to>
      <xdr:col>27</xdr:col>
      <xdr:colOff>139337</xdr:colOff>
      <xdr:row>43</xdr:row>
      <xdr:rowOff>93600</xdr:rowOff>
    </xdr:to>
    <xdr:pic>
      <xdr:nvPicPr>
        <xdr:cNvPr id="35" name="Picture 78">
          <a:extLst>
            <a:ext uri="{FF2B5EF4-FFF2-40B4-BE49-F238E27FC236}">
              <a16:creationId xmlns:a16="http://schemas.microsoft.com/office/drawing/2014/main" id="{5A7300BD-3F74-4CE0-B25A-04A15F35C645}"/>
            </a:ext>
          </a:extLst>
        </xdr:cNvPr>
        <xdr:cNvPicPr>
          <a:picLocks noChangeAspect="1"/>
        </xdr:cNvPicPr>
      </xdr:nvPicPr>
      <xdr:blipFill>
        <a:blip xmlns:r="http://schemas.openxmlformats.org/officeDocument/2006/relationships" r:embed="rId3"/>
        <a:stretch>
          <a:fillRect/>
        </a:stretch>
      </xdr:blipFill>
      <xdr:spPr>
        <a:xfrm rot="16200000">
          <a:off x="5066693" y="8014527"/>
          <a:ext cx="158596" cy="382549"/>
        </a:xfrm>
        <a:prstGeom prst="rect">
          <a:avLst/>
        </a:prstGeom>
      </xdr:spPr>
    </xdr:pic>
    <xdr:clientData/>
  </xdr:twoCellAnchor>
  <xdr:twoCellAnchor>
    <xdr:from>
      <xdr:col>38</xdr:col>
      <xdr:colOff>48859</xdr:colOff>
      <xdr:row>72</xdr:row>
      <xdr:rowOff>178715</xdr:rowOff>
    </xdr:from>
    <xdr:to>
      <xdr:col>40</xdr:col>
      <xdr:colOff>104522</xdr:colOff>
      <xdr:row>80</xdr:row>
      <xdr:rowOff>110244</xdr:rowOff>
    </xdr:to>
    <xdr:sp macro="" textlink="">
      <xdr:nvSpPr>
        <xdr:cNvPr id="36" name="Trapezoid 2">
          <a:extLst>
            <a:ext uri="{FF2B5EF4-FFF2-40B4-BE49-F238E27FC236}">
              <a16:creationId xmlns:a16="http://schemas.microsoft.com/office/drawing/2014/main" id="{18DDD28C-2BAD-4878-B5BF-2A41791F7DD2}"/>
            </a:ext>
          </a:extLst>
        </xdr:cNvPr>
        <xdr:cNvSpPr/>
      </xdr:nvSpPr>
      <xdr:spPr>
        <a:xfrm rot="7804608">
          <a:off x="6778426" y="14404148"/>
          <a:ext cx="1455529" cy="43666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35</xdr:col>
      <xdr:colOff>96239</xdr:colOff>
      <xdr:row>71</xdr:row>
      <xdr:rowOff>139659</xdr:rowOff>
    </xdr:from>
    <xdr:to>
      <xdr:col>36</xdr:col>
      <xdr:colOff>138235</xdr:colOff>
      <xdr:row>79</xdr:row>
      <xdr:rowOff>92423</xdr:rowOff>
    </xdr:to>
    <xdr:sp macro="" textlink="">
      <xdr:nvSpPr>
        <xdr:cNvPr id="37" name="Trapezoid 79">
          <a:extLst>
            <a:ext uri="{FF2B5EF4-FFF2-40B4-BE49-F238E27FC236}">
              <a16:creationId xmlns:a16="http://schemas.microsoft.com/office/drawing/2014/main" id="{1B9D34FC-334A-4233-A5B6-63293A30DA25}"/>
            </a:ext>
          </a:extLst>
        </xdr:cNvPr>
        <xdr:cNvSpPr/>
      </xdr:nvSpPr>
      <xdr:spPr>
        <a:xfrm rot="18656535">
          <a:off x="6141605" y="14287293"/>
          <a:ext cx="1476764" cy="232496"/>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41</xdr:col>
      <xdr:colOff>19101</xdr:colOff>
      <xdr:row>83</xdr:row>
      <xdr:rowOff>156819</xdr:rowOff>
    </xdr:from>
    <xdr:to>
      <xdr:col>50</xdr:col>
      <xdr:colOff>17524</xdr:colOff>
      <xdr:row>86</xdr:row>
      <xdr:rowOff>21982</xdr:rowOff>
    </xdr:to>
    <xdr:sp macro="" textlink="">
      <xdr:nvSpPr>
        <xdr:cNvPr id="38" name="Trapezoid 80">
          <a:extLst>
            <a:ext uri="{FF2B5EF4-FFF2-40B4-BE49-F238E27FC236}">
              <a16:creationId xmlns:a16="http://schemas.microsoft.com/office/drawing/2014/main" id="{9ED4E979-E6A9-4D52-A3CF-EB041567D8E9}"/>
            </a:ext>
          </a:extLst>
        </xdr:cNvPr>
        <xdr:cNvSpPr/>
      </xdr:nvSpPr>
      <xdr:spPr>
        <a:xfrm rot="8166194">
          <a:off x="7829601" y="15968319"/>
          <a:ext cx="1712923" cy="43666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39</xdr:col>
      <xdr:colOff>41895</xdr:colOff>
      <xdr:row>81</xdr:row>
      <xdr:rowOff>101974</xdr:rowOff>
    </xdr:from>
    <xdr:to>
      <xdr:col>46</xdr:col>
      <xdr:colOff>43885</xdr:colOff>
      <xdr:row>83</xdr:row>
      <xdr:rowOff>157637</xdr:rowOff>
    </xdr:to>
    <xdr:sp macro="" textlink="">
      <xdr:nvSpPr>
        <xdr:cNvPr id="39" name="Trapezoid 82">
          <a:extLst>
            <a:ext uri="{FF2B5EF4-FFF2-40B4-BE49-F238E27FC236}">
              <a16:creationId xmlns:a16="http://schemas.microsoft.com/office/drawing/2014/main" id="{DBD7A99C-6339-49A8-910E-3D573C1B8A11}"/>
            </a:ext>
          </a:extLst>
        </xdr:cNvPr>
        <xdr:cNvSpPr/>
      </xdr:nvSpPr>
      <xdr:spPr>
        <a:xfrm rot="18966570">
          <a:off x="7471395" y="15532474"/>
          <a:ext cx="1335490" cy="436663"/>
        </a:xfrm>
        <a:prstGeom prst="trapezoid">
          <a:avLst>
            <a:gd name="adj" fmla="val 10257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47</xdr:col>
      <xdr:colOff>80353</xdr:colOff>
      <xdr:row>69</xdr:row>
      <xdr:rowOff>72004</xdr:rowOff>
    </xdr:from>
    <xdr:to>
      <xdr:col>48</xdr:col>
      <xdr:colOff>122349</xdr:colOff>
      <xdr:row>79</xdr:row>
      <xdr:rowOff>165800</xdr:rowOff>
    </xdr:to>
    <xdr:sp macro="" textlink="">
      <xdr:nvSpPr>
        <xdr:cNvPr id="40" name="Trapezoid 84">
          <a:extLst>
            <a:ext uri="{FF2B5EF4-FFF2-40B4-BE49-F238E27FC236}">
              <a16:creationId xmlns:a16="http://schemas.microsoft.com/office/drawing/2014/main" id="{74582BAB-AA50-4CC1-B8A9-C024B5ADECD4}"/>
            </a:ext>
          </a:extLst>
        </xdr:cNvPr>
        <xdr:cNvSpPr/>
      </xdr:nvSpPr>
      <xdr:spPr>
        <a:xfrm rot="18656535">
          <a:off x="8150703" y="14099654"/>
          <a:ext cx="1998796" cy="232496"/>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50</xdr:col>
      <xdr:colOff>3661</xdr:colOff>
      <xdr:row>71</xdr:row>
      <xdr:rowOff>60522</xdr:rowOff>
    </xdr:from>
    <xdr:to>
      <xdr:col>51</xdr:col>
      <xdr:colOff>3343</xdr:colOff>
      <xdr:row>80</xdr:row>
      <xdr:rowOff>61450</xdr:rowOff>
    </xdr:to>
    <xdr:sp macro="" textlink="">
      <xdr:nvSpPr>
        <xdr:cNvPr id="41" name="Trapezoid 85">
          <a:extLst>
            <a:ext uri="{FF2B5EF4-FFF2-40B4-BE49-F238E27FC236}">
              <a16:creationId xmlns:a16="http://schemas.microsoft.com/office/drawing/2014/main" id="{36EA335D-99D3-475A-A4EA-4CBB05AF6F07}"/>
            </a:ext>
          </a:extLst>
        </xdr:cNvPr>
        <xdr:cNvSpPr/>
      </xdr:nvSpPr>
      <xdr:spPr>
        <a:xfrm rot="7804608">
          <a:off x="8766038" y="14348645"/>
          <a:ext cx="1715428" cy="1901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35</xdr:col>
      <xdr:colOff>140494</xdr:colOff>
      <xdr:row>3</xdr:row>
      <xdr:rowOff>2382</xdr:rowOff>
    </xdr:from>
    <xdr:to>
      <xdr:col>36</xdr:col>
      <xdr:colOff>31297</xdr:colOff>
      <xdr:row>5</xdr:row>
      <xdr:rowOff>7750</xdr:rowOff>
    </xdr:to>
    <xdr:pic>
      <xdr:nvPicPr>
        <xdr:cNvPr id="42" name="Picture 86">
          <a:extLst>
            <a:ext uri="{FF2B5EF4-FFF2-40B4-BE49-F238E27FC236}">
              <a16:creationId xmlns:a16="http://schemas.microsoft.com/office/drawing/2014/main" id="{F41B11CF-AC0B-4EA5-93D9-50C2D8B60D37}"/>
            </a:ext>
          </a:extLst>
        </xdr:cNvPr>
        <xdr:cNvPicPr>
          <a:picLocks noChangeAspect="1"/>
        </xdr:cNvPicPr>
      </xdr:nvPicPr>
      <xdr:blipFill>
        <a:blip xmlns:r="http://schemas.openxmlformats.org/officeDocument/2006/relationships" r:embed="rId6"/>
        <a:stretch>
          <a:fillRect/>
        </a:stretch>
      </xdr:blipFill>
      <xdr:spPr>
        <a:xfrm>
          <a:off x="6807994" y="573882"/>
          <a:ext cx="135732" cy="386368"/>
        </a:xfrm>
        <a:prstGeom prst="rect">
          <a:avLst/>
        </a:prstGeom>
      </xdr:spPr>
    </xdr:pic>
    <xdr:clientData/>
  </xdr:twoCellAnchor>
  <xdr:twoCellAnchor editAs="oneCell">
    <xdr:from>
      <xdr:col>12</xdr:col>
      <xdr:colOff>58910</xdr:colOff>
      <xdr:row>35</xdr:row>
      <xdr:rowOff>122992</xdr:rowOff>
    </xdr:from>
    <xdr:to>
      <xdr:col>14</xdr:col>
      <xdr:colOff>143053</xdr:colOff>
      <xdr:row>37</xdr:row>
      <xdr:rowOff>125843</xdr:rowOff>
    </xdr:to>
    <xdr:pic>
      <xdr:nvPicPr>
        <xdr:cNvPr id="43" name="Picture 74">
          <a:extLst>
            <a:ext uri="{FF2B5EF4-FFF2-40B4-BE49-F238E27FC236}">
              <a16:creationId xmlns:a16="http://schemas.microsoft.com/office/drawing/2014/main" id="{76FB9E2E-1635-4C49-B6FC-D53CE3684310}"/>
            </a:ext>
          </a:extLst>
        </xdr:cNvPr>
        <xdr:cNvPicPr>
          <a:picLocks noChangeAspect="1"/>
        </xdr:cNvPicPr>
      </xdr:nvPicPr>
      <xdr:blipFill>
        <a:blip xmlns:r="http://schemas.openxmlformats.org/officeDocument/2006/relationships" r:embed="rId7"/>
        <a:stretch>
          <a:fillRect/>
        </a:stretch>
      </xdr:blipFill>
      <xdr:spPr>
        <a:xfrm rot="13538988">
          <a:off x="2439984" y="6695418"/>
          <a:ext cx="383851" cy="574000"/>
        </a:xfrm>
        <a:prstGeom prst="rect">
          <a:avLst/>
        </a:prstGeom>
      </xdr:spPr>
    </xdr:pic>
    <xdr:clientData/>
  </xdr:twoCellAnchor>
  <xdr:twoCellAnchor>
    <xdr:from>
      <xdr:col>6</xdr:col>
      <xdr:colOff>111399</xdr:colOff>
      <xdr:row>62</xdr:row>
      <xdr:rowOff>155725</xdr:rowOff>
    </xdr:from>
    <xdr:to>
      <xdr:col>12</xdr:col>
      <xdr:colOff>64192</xdr:colOff>
      <xdr:row>64</xdr:row>
      <xdr:rowOff>22186</xdr:rowOff>
    </xdr:to>
    <xdr:sp macro="" textlink="">
      <xdr:nvSpPr>
        <xdr:cNvPr id="44" name="Trapezoid 81">
          <a:extLst>
            <a:ext uri="{FF2B5EF4-FFF2-40B4-BE49-F238E27FC236}">
              <a16:creationId xmlns:a16="http://schemas.microsoft.com/office/drawing/2014/main" id="{5F43ACB5-9AFC-45F5-893B-23E29839B486}"/>
            </a:ext>
          </a:extLst>
        </xdr:cNvPr>
        <xdr:cNvSpPr/>
      </xdr:nvSpPr>
      <xdr:spPr>
        <a:xfrm rot="13483766">
          <a:off x="1254399" y="11966725"/>
          <a:ext cx="1095793" cy="247461"/>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124213</xdr:colOff>
      <xdr:row>61</xdr:row>
      <xdr:rowOff>189875</xdr:rowOff>
    </xdr:from>
    <xdr:to>
      <xdr:col>15</xdr:col>
      <xdr:colOff>43579</xdr:colOff>
      <xdr:row>63</xdr:row>
      <xdr:rowOff>20839</xdr:rowOff>
    </xdr:to>
    <xdr:sp macro="" textlink="">
      <xdr:nvSpPr>
        <xdr:cNvPr id="45" name="Trapezoid 83">
          <a:extLst>
            <a:ext uri="{FF2B5EF4-FFF2-40B4-BE49-F238E27FC236}">
              <a16:creationId xmlns:a16="http://schemas.microsoft.com/office/drawing/2014/main" id="{01985564-775B-49AA-BC0B-35A0A6103AB5}"/>
            </a:ext>
          </a:extLst>
        </xdr:cNvPr>
        <xdr:cNvSpPr/>
      </xdr:nvSpPr>
      <xdr:spPr>
        <a:xfrm rot="13483766" flipV="1">
          <a:off x="1838713" y="11810375"/>
          <a:ext cx="1062366" cy="211964"/>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159442</xdr:colOff>
      <xdr:row>67</xdr:row>
      <xdr:rowOff>99798</xdr:rowOff>
    </xdr:from>
    <xdr:to>
      <xdr:col>24</xdr:col>
      <xdr:colOff>2302</xdr:colOff>
      <xdr:row>68</xdr:row>
      <xdr:rowOff>120290</xdr:rowOff>
    </xdr:to>
    <xdr:sp macro="" textlink="">
      <xdr:nvSpPr>
        <xdr:cNvPr id="46" name="Trapezoid 87">
          <a:extLst>
            <a:ext uri="{FF2B5EF4-FFF2-40B4-BE49-F238E27FC236}">
              <a16:creationId xmlns:a16="http://schemas.microsoft.com/office/drawing/2014/main" id="{1D42871F-F350-4B14-97E4-30FE52B82886}"/>
            </a:ext>
          </a:extLst>
        </xdr:cNvPr>
        <xdr:cNvSpPr/>
      </xdr:nvSpPr>
      <xdr:spPr>
        <a:xfrm rot="13483766" flipV="1">
          <a:off x="3778942" y="12863298"/>
          <a:ext cx="795360" cy="21099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47355</xdr:colOff>
      <xdr:row>75</xdr:row>
      <xdr:rowOff>2442</xdr:rowOff>
    </xdr:from>
    <xdr:to>
      <xdr:col>33</xdr:col>
      <xdr:colOff>133113</xdr:colOff>
      <xdr:row>76</xdr:row>
      <xdr:rowOff>26685</xdr:rowOff>
    </xdr:to>
    <xdr:sp macro="" textlink="">
      <xdr:nvSpPr>
        <xdr:cNvPr id="47" name="Trapezoid 88">
          <a:extLst>
            <a:ext uri="{FF2B5EF4-FFF2-40B4-BE49-F238E27FC236}">
              <a16:creationId xmlns:a16="http://schemas.microsoft.com/office/drawing/2014/main" id="{3D9E6F86-77FF-4ED3-9FA5-0F362E246007}"/>
            </a:ext>
          </a:extLst>
        </xdr:cNvPr>
        <xdr:cNvSpPr/>
      </xdr:nvSpPr>
      <xdr:spPr>
        <a:xfrm rot="13483766" flipV="1">
          <a:off x="4809855" y="14289942"/>
          <a:ext cx="1609758" cy="21474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95544</xdr:colOff>
      <xdr:row>76</xdr:row>
      <xdr:rowOff>161694</xdr:rowOff>
    </xdr:from>
    <xdr:to>
      <xdr:col>32</xdr:col>
      <xdr:colOff>109185</xdr:colOff>
      <xdr:row>78</xdr:row>
      <xdr:rowOff>9767</xdr:rowOff>
    </xdr:to>
    <xdr:sp macro="" textlink="">
      <xdr:nvSpPr>
        <xdr:cNvPr id="48" name="Trapezoid 89">
          <a:extLst>
            <a:ext uri="{FF2B5EF4-FFF2-40B4-BE49-F238E27FC236}">
              <a16:creationId xmlns:a16="http://schemas.microsoft.com/office/drawing/2014/main" id="{BDD366D7-4B2B-4A15-92ED-86400C326B69}"/>
            </a:ext>
          </a:extLst>
        </xdr:cNvPr>
        <xdr:cNvSpPr/>
      </xdr:nvSpPr>
      <xdr:spPr>
        <a:xfrm rot="13483766">
          <a:off x="3524544" y="14639694"/>
          <a:ext cx="2680641" cy="22907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70</xdr:col>
      <xdr:colOff>22583</xdr:colOff>
      <xdr:row>80</xdr:row>
      <xdr:rowOff>100403</xdr:rowOff>
    </xdr:from>
    <xdr:to>
      <xdr:col>72</xdr:col>
      <xdr:colOff>119400</xdr:colOff>
      <xdr:row>81</xdr:row>
      <xdr:rowOff>100085</xdr:rowOff>
    </xdr:to>
    <xdr:sp macro="" textlink="">
      <xdr:nvSpPr>
        <xdr:cNvPr id="49" name="Trapezoid 103">
          <a:extLst>
            <a:ext uri="{FF2B5EF4-FFF2-40B4-BE49-F238E27FC236}">
              <a16:creationId xmlns:a16="http://schemas.microsoft.com/office/drawing/2014/main" id="{9D8B63DF-14D6-4909-99CE-CB88850E6B47}"/>
            </a:ext>
          </a:extLst>
        </xdr:cNvPr>
        <xdr:cNvSpPr/>
      </xdr:nvSpPr>
      <xdr:spPr>
        <a:xfrm rot="8814585">
          <a:off x="13357583" y="15340403"/>
          <a:ext cx="477817" cy="1901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119064</xdr:colOff>
      <xdr:row>76</xdr:row>
      <xdr:rowOff>47625</xdr:rowOff>
    </xdr:from>
    <xdr:to>
      <xdr:col>71</xdr:col>
      <xdr:colOff>157164</xdr:colOff>
      <xdr:row>81</xdr:row>
      <xdr:rowOff>54769</xdr:rowOff>
    </xdr:to>
    <xdr:sp macro="" textlink="">
      <xdr:nvSpPr>
        <xdr:cNvPr id="50" name="Oval 8">
          <a:extLst>
            <a:ext uri="{FF2B5EF4-FFF2-40B4-BE49-F238E27FC236}">
              <a16:creationId xmlns:a16="http://schemas.microsoft.com/office/drawing/2014/main" id="{39B29757-3898-42C8-8114-AC9FAD15AB9D}"/>
            </a:ext>
          </a:extLst>
        </xdr:cNvPr>
        <xdr:cNvSpPr/>
      </xdr:nvSpPr>
      <xdr:spPr>
        <a:xfrm>
          <a:off x="12692064" y="14525625"/>
          <a:ext cx="990600" cy="959644"/>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68</xdr:col>
      <xdr:colOff>14288</xdr:colOff>
      <xdr:row>80</xdr:row>
      <xdr:rowOff>185738</xdr:rowOff>
    </xdr:from>
    <xdr:to>
      <xdr:col>69</xdr:col>
      <xdr:colOff>176213</xdr:colOff>
      <xdr:row>81</xdr:row>
      <xdr:rowOff>61913</xdr:rowOff>
    </xdr:to>
    <xdr:sp macro="" textlink="">
      <xdr:nvSpPr>
        <xdr:cNvPr id="51" name="Rectangle 105">
          <a:extLst>
            <a:ext uri="{FF2B5EF4-FFF2-40B4-BE49-F238E27FC236}">
              <a16:creationId xmlns:a16="http://schemas.microsoft.com/office/drawing/2014/main" id="{DB423F0E-AD72-4432-A9D5-A8453C51E652}"/>
            </a:ext>
          </a:extLst>
        </xdr:cNvPr>
        <xdr:cNvSpPr/>
      </xdr:nvSpPr>
      <xdr:spPr>
        <a:xfrm>
          <a:off x="12968288" y="15425738"/>
          <a:ext cx="352425" cy="6667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13253</xdr:colOff>
      <xdr:row>79</xdr:row>
      <xdr:rowOff>16055</xdr:rowOff>
    </xdr:from>
    <xdr:to>
      <xdr:col>72</xdr:col>
      <xdr:colOff>12935</xdr:colOff>
      <xdr:row>82</xdr:row>
      <xdr:rowOff>112920</xdr:rowOff>
    </xdr:to>
    <xdr:sp macro="" textlink="">
      <xdr:nvSpPr>
        <xdr:cNvPr id="52" name="Trapezoid 106">
          <a:extLst>
            <a:ext uri="{FF2B5EF4-FFF2-40B4-BE49-F238E27FC236}">
              <a16:creationId xmlns:a16="http://schemas.microsoft.com/office/drawing/2014/main" id="{0AAEBE41-6489-4305-ACA8-FDAD050CF9B2}"/>
            </a:ext>
          </a:extLst>
        </xdr:cNvPr>
        <xdr:cNvSpPr/>
      </xdr:nvSpPr>
      <xdr:spPr>
        <a:xfrm rot="7754831">
          <a:off x="13299661" y="15304647"/>
          <a:ext cx="668365" cy="1901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160715</xdr:colOff>
      <xdr:row>78</xdr:row>
      <xdr:rowOff>5866</xdr:rowOff>
    </xdr:from>
    <xdr:to>
      <xdr:col>72</xdr:col>
      <xdr:colOff>157483</xdr:colOff>
      <xdr:row>80</xdr:row>
      <xdr:rowOff>102683</xdr:rowOff>
    </xdr:to>
    <xdr:sp macro="" textlink="">
      <xdr:nvSpPr>
        <xdr:cNvPr id="53" name="Trapezoid 107">
          <a:extLst>
            <a:ext uri="{FF2B5EF4-FFF2-40B4-BE49-F238E27FC236}">
              <a16:creationId xmlns:a16="http://schemas.microsoft.com/office/drawing/2014/main" id="{56E27DE3-7851-4F6E-B07F-14F56D2DAE70}"/>
            </a:ext>
          </a:extLst>
        </xdr:cNvPr>
        <xdr:cNvSpPr/>
      </xdr:nvSpPr>
      <xdr:spPr>
        <a:xfrm rot="6024354">
          <a:off x="13540940" y="15010141"/>
          <a:ext cx="477817"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133384</xdr:colOff>
      <xdr:row>75</xdr:row>
      <xdr:rowOff>101527</xdr:rowOff>
    </xdr:from>
    <xdr:to>
      <xdr:col>72</xdr:col>
      <xdr:colOff>130152</xdr:colOff>
      <xdr:row>78</xdr:row>
      <xdr:rowOff>177177</xdr:rowOff>
    </xdr:to>
    <xdr:sp macro="" textlink="">
      <xdr:nvSpPr>
        <xdr:cNvPr id="54" name="Trapezoid 108">
          <a:extLst>
            <a:ext uri="{FF2B5EF4-FFF2-40B4-BE49-F238E27FC236}">
              <a16:creationId xmlns:a16="http://schemas.microsoft.com/office/drawing/2014/main" id="{6B9ABA78-E126-45A5-BF9D-920BAD64BC0E}"/>
            </a:ext>
          </a:extLst>
        </xdr:cNvPr>
        <xdr:cNvSpPr/>
      </xdr:nvSpPr>
      <xdr:spPr>
        <a:xfrm rot="4965918">
          <a:off x="13428943" y="14618968"/>
          <a:ext cx="647150"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45277</xdr:colOff>
      <xdr:row>75</xdr:row>
      <xdr:rowOff>37233</xdr:rowOff>
    </xdr:from>
    <xdr:to>
      <xdr:col>72</xdr:col>
      <xdr:colOff>42045</xdr:colOff>
      <xdr:row>78</xdr:row>
      <xdr:rowOff>112883</xdr:rowOff>
    </xdr:to>
    <xdr:sp macro="" textlink="">
      <xdr:nvSpPr>
        <xdr:cNvPr id="55" name="Trapezoid 109">
          <a:extLst>
            <a:ext uri="{FF2B5EF4-FFF2-40B4-BE49-F238E27FC236}">
              <a16:creationId xmlns:a16="http://schemas.microsoft.com/office/drawing/2014/main" id="{EE3A170A-14EA-4212-AB5A-C42F54EB0CB2}"/>
            </a:ext>
          </a:extLst>
        </xdr:cNvPr>
        <xdr:cNvSpPr/>
      </xdr:nvSpPr>
      <xdr:spPr>
        <a:xfrm rot="3328633">
          <a:off x="13340836" y="14554674"/>
          <a:ext cx="647150"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69</xdr:col>
      <xdr:colOff>129946</xdr:colOff>
      <xdr:row>75</xdr:row>
      <xdr:rowOff>156162</xdr:rowOff>
    </xdr:from>
    <xdr:to>
      <xdr:col>72</xdr:col>
      <xdr:colOff>111046</xdr:colOff>
      <xdr:row>76</xdr:row>
      <xdr:rowOff>152930</xdr:rowOff>
    </xdr:to>
    <xdr:sp macro="" textlink="">
      <xdr:nvSpPr>
        <xdr:cNvPr id="56" name="Trapezoid 110">
          <a:extLst>
            <a:ext uri="{FF2B5EF4-FFF2-40B4-BE49-F238E27FC236}">
              <a16:creationId xmlns:a16="http://schemas.microsoft.com/office/drawing/2014/main" id="{8C86B236-DF0B-41A9-A193-6726503A2102}"/>
            </a:ext>
          </a:extLst>
        </xdr:cNvPr>
        <xdr:cNvSpPr/>
      </xdr:nvSpPr>
      <xdr:spPr>
        <a:xfrm rot="2098730">
          <a:off x="13274446" y="14443662"/>
          <a:ext cx="552600"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68</xdr:col>
      <xdr:colOff>54453</xdr:colOff>
      <xdr:row>75</xdr:row>
      <xdr:rowOff>97263</xdr:rowOff>
    </xdr:from>
    <xdr:to>
      <xdr:col>71</xdr:col>
      <xdr:colOff>35553</xdr:colOff>
      <xdr:row>76</xdr:row>
      <xdr:rowOff>37881</xdr:rowOff>
    </xdr:to>
    <xdr:sp macro="" textlink="">
      <xdr:nvSpPr>
        <xdr:cNvPr id="57" name="Trapezoid 111">
          <a:extLst>
            <a:ext uri="{FF2B5EF4-FFF2-40B4-BE49-F238E27FC236}">
              <a16:creationId xmlns:a16="http://schemas.microsoft.com/office/drawing/2014/main" id="{B89F3BEC-A57B-426C-A408-F7F21AB54F88}"/>
            </a:ext>
          </a:extLst>
        </xdr:cNvPr>
        <xdr:cNvSpPr/>
      </xdr:nvSpPr>
      <xdr:spPr>
        <a:xfrm rot="795312">
          <a:off x="13008453" y="14384763"/>
          <a:ext cx="552600" cy="13111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190460</xdr:colOff>
      <xdr:row>75</xdr:row>
      <xdr:rowOff>71459</xdr:rowOff>
    </xdr:from>
    <xdr:to>
      <xdr:col>69</xdr:col>
      <xdr:colOff>171560</xdr:colOff>
      <xdr:row>76</xdr:row>
      <xdr:rowOff>47531</xdr:rowOff>
    </xdr:to>
    <xdr:sp macro="" textlink="">
      <xdr:nvSpPr>
        <xdr:cNvPr id="58" name="Trapezoid 112">
          <a:extLst>
            <a:ext uri="{FF2B5EF4-FFF2-40B4-BE49-F238E27FC236}">
              <a16:creationId xmlns:a16="http://schemas.microsoft.com/office/drawing/2014/main" id="{6F53189B-510B-4CA4-984E-EBE2AB62F51B}"/>
            </a:ext>
          </a:extLst>
        </xdr:cNvPr>
        <xdr:cNvSpPr/>
      </xdr:nvSpPr>
      <xdr:spPr>
        <a:xfrm rot="21190718">
          <a:off x="12763460" y="14358959"/>
          <a:ext cx="552600"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104799</xdr:colOff>
      <xdr:row>76</xdr:row>
      <xdr:rowOff>10200</xdr:rowOff>
    </xdr:from>
    <xdr:to>
      <xdr:col>68</xdr:col>
      <xdr:colOff>98519</xdr:colOff>
      <xdr:row>76</xdr:row>
      <xdr:rowOff>176772</xdr:rowOff>
    </xdr:to>
    <xdr:sp macro="" textlink="">
      <xdr:nvSpPr>
        <xdr:cNvPr id="59" name="Trapezoid 113">
          <a:extLst>
            <a:ext uri="{FF2B5EF4-FFF2-40B4-BE49-F238E27FC236}">
              <a16:creationId xmlns:a16="http://schemas.microsoft.com/office/drawing/2014/main" id="{B0DBE277-4EB3-410E-A186-A999282CF195}"/>
            </a:ext>
          </a:extLst>
        </xdr:cNvPr>
        <xdr:cNvSpPr/>
      </xdr:nvSpPr>
      <xdr:spPr>
        <a:xfrm rot="19874883">
          <a:off x="12487299" y="14488200"/>
          <a:ext cx="565220"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182679</xdr:colOff>
      <xdr:row>75</xdr:row>
      <xdr:rowOff>156157</xdr:rowOff>
    </xdr:from>
    <xdr:to>
      <xdr:col>66</xdr:col>
      <xdr:colOff>158751</xdr:colOff>
      <xdr:row>78</xdr:row>
      <xdr:rowOff>149877</xdr:rowOff>
    </xdr:to>
    <xdr:sp macro="" textlink="">
      <xdr:nvSpPr>
        <xdr:cNvPr id="60" name="Trapezoid 114">
          <a:extLst>
            <a:ext uri="{FF2B5EF4-FFF2-40B4-BE49-F238E27FC236}">
              <a16:creationId xmlns:a16="http://schemas.microsoft.com/office/drawing/2014/main" id="{DEEAA169-B2B0-46F2-ABE6-CCE2F2628105}"/>
            </a:ext>
          </a:extLst>
        </xdr:cNvPr>
        <xdr:cNvSpPr/>
      </xdr:nvSpPr>
      <xdr:spPr>
        <a:xfrm rot="18649088">
          <a:off x="12365855" y="14642981"/>
          <a:ext cx="565220"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141952</xdr:colOff>
      <xdr:row>76</xdr:row>
      <xdr:rowOff>165880</xdr:rowOff>
    </xdr:from>
    <xdr:to>
      <xdr:col>66</xdr:col>
      <xdr:colOff>118024</xdr:colOff>
      <xdr:row>78</xdr:row>
      <xdr:rowOff>164826</xdr:rowOff>
    </xdr:to>
    <xdr:sp macro="" textlink="">
      <xdr:nvSpPr>
        <xdr:cNvPr id="61" name="Trapezoid 115">
          <a:extLst>
            <a:ext uri="{FF2B5EF4-FFF2-40B4-BE49-F238E27FC236}">
              <a16:creationId xmlns:a16="http://schemas.microsoft.com/office/drawing/2014/main" id="{FA183269-E3B6-40FD-8539-DDADD9DD5A0F}"/>
            </a:ext>
          </a:extLst>
        </xdr:cNvPr>
        <xdr:cNvSpPr/>
      </xdr:nvSpPr>
      <xdr:spPr>
        <a:xfrm rot="17844382">
          <a:off x="12417765" y="14750567"/>
          <a:ext cx="379946"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134809</xdr:colOff>
      <xdr:row>77</xdr:row>
      <xdr:rowOff>68248</xdr:rowOff>
    </xdr:from>
    <xdr:to>
      <xdr:col>66</xdr:col>
      <xdr:colOff>110881</xdr:colOff>
      <xdr:row>79</xdr:row>
      <xdr:rowOff>67194</xdr:rowOff>
    </xdr:to>
    <xdr:sp macro="" textlink="">
      <xdr:nvSpPr>
        <xdr:cNvPr id="62" name="Trapezoid 116">
          <a:extLst>
            <a:ext uri="{FF2B5EF4-FFF2-40B4-BE49-F238E27FC236}">
              <a16:creationId xmlns:a16="http://schemas.microsoft.com/office/drawing/2014/main" id="{DA22D6E0-2F78-4E15-B460-2BA9FCF06F2E}"/>
            </a:ext>
          </a:extLst>
        </xdr:cNvPr>
        <xdr:cNvSpPr/>
      </xdr:nvSpPr>
      <xdr:spPr>
        <a:xfrm rot="16615134">
          <a:off x="12410622" y="14843435"/>
          <a:ext cx="379946"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36836</xdr:colOff>
      <xdr:row>78</xdr:row>
      <xdr:rowOff>82849</xdr:rowOff>
    </xdr:from>
    <xdr:to>
      <xdr:col>66</xdr:col>
      <xdr:colOff>128776</xdr:colOff>
      <xdr:row>80</xdr:row>
      <xdr:rowOff>81795</xdr:rowOff>
    </xdr:to>
    <xdr:sp macro="" textlink="">
      <xdr:nvSpPr>
        <xdr:cNvPr id="63" name="Trapezoid 117">
          <a:extLst>
            <a:ext uri="{FF2B5EF4-FFF2-40B4-BE49-F238E27FC236}">
              <a16:creationId xmlns:a16="http://schemas.microsoft.com/office/drawing/2014/main" id="{10E3004D-19E6-4B8E-BC57-3933556A7237}"/>
            </a:ext>
          </a:extLst>
        </xdr:cNvPr>
        <xdr:cNvSpPr/>
      </xdr:nvSpPr>
      <xdr:spPr>
        <a:xfrm rot="15342494">
          <a:off x="12465833" y="15085852"/>
          <a:ext cx="379946" cy="91940"/>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11906</xdr:colOff>
      <xdr:row>78</xdr:row>
      <xdr:rowOff>2380</xdr:rowOff>
    </xdr:from>
    <xdr:to>
      <xdr:col>66</xdr:col>
      <xdr:colOff>90488</xdr:colOff>
      <xdr:row>81</xdr:row>
      <xdr:rowOff>76199</xdr:rowOff>
    </xdr:to>
    <xdr:sp macro="" textlink="">
      <xdr:nvSpPr>
        <xdr:cNvPr id="64" name="Trapezoid 118">
          <a:extLst>
            <a:ext uri="{FF2B5EF4-FFF2-40B4-BE49-F238E27FC236}">
              <a16:creationId xmlns:a16="http://schemas.microsoft.com/office/drawing/2014/main" id="{68079FF7-E2E0-4A8A-ABD3-3356FEF41F5D}"/>
            </a:ext>
          </a:extLst>
        </xdr:cNvPr>
        <xdr:cNvSpPr/>
      </xdr:nvSpPr>
      <xdr:spPr>
        <a:xfrm rot="5400000">
          <a:off x="12301537" y="15144749"/>
          <a:ext cx="645319" cy="785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188108</xdr:colOff>
      <xdr:row>80</xdr:row>
      <xdr:rowOff>69690</xdr:rowOff>
    </xdr:from>
    <xdr:to>
      <xdr:col>67</xdr:col>
      <xdr:colOff>187054</xdr:colOff>
      <xdr:row>80</xdr:row>
      <xdr:rowOff>161630</xdr:rowOff>
    </xdr:to>
    <xdr:sp macro="" textlink="">
      <xdr:nvSpPr>
        <xdr:cNvPr id="65" name="Trapezoid 119">
          <a:extLst>
            <a:ext uri="{FF2B5EF4-FFF2-40B4-BE49-F238E27FC236}">
              <a16:creationId xmlns:a16="http://schemas.microsoft.com/office/drawing/2014/main" id="{EDC9A957-FB89-4FA4-AACD-D7618333E9FF}"/>
            </a:ext>
          </a:extLst>
        </xdr:cNvPr>
        <xdr:cNvSpPr/>
      </xdr:nvSpPr>
      <xdr:spPr>
        <a:xfrm rot="13311987">
          <a:off x="12570608" y="15309690"/>
          <a:ext cx="379946" cy="91940"/>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70</xdr:col>
      <xdr:colOff>13055</xdr:colOff>
      <xdr:row>81</xdr:row>
      <xdr:rowOff>33341</xdr:rowOff>
    </xdr:from>
    <xdr:to>
      <xdr:col>71</xdr:col>
      <xdr:colOff>66674</xdr:colOff>
      <xdr:row>83</xdr:row>
      <xdr:rowOff>37436</xdr:rowOff>
    </xdr:to>
    <xdr:sp macro="" textlink="">
      <xdr:nvSpPr>
        <xdr:cNvPr id="66" name="Trapezoid 120">
          <a:extLst>
            <a:ext uri="{FF2B5EF4-FFF2-40B4-BE49-F238E27FC236}">
              <a16:creationId xmlns:a16="http://schemas.microsoft.com/office/drawing/2014/main" id="{E3B01D15-6861-402B-9763-3AB61247B01A}"/>
            </a:ext>
          </a:extLst>
        </xdr:cNvPr>
        <xdr:cNvSpPr/>
      </xdr:nvSpPr>
      <xdr:spPr>
        <a:xfrm rot="5400000">
          <a:off x="13277567" y="15534329"/>
          <a:ext cx="385095" cy="244119"/>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78053</xdr:colOff>
      <xdr:row>79</xdr:row>
      <xdr:rowOff>20051</xdr:rowOff>
    </xdr:from>
    <xdr:to>
      <xdr:col>72</xdr:col>
      <xdr:colOff>74821</xdr:colOff>
      <xdr:row>81</xdr:row>
      <xdr:rowOff>115267</xdr:rowOff>
    </xdr:to>
    <xdr:sp macro="" textlink="">
      <xdr:nvSpPr>
        <xdr:cNvPr id="67" name="Trapezoid 121">
          <a:extLst>
            <a:ext uri="{FF2B5EF4-FFF2-40B4-BE49-F238E27FC236}">
              <a16:creationId xmlns:a16="http://schemas.microsoft.com/office/drawing/2014/main" id="{DB74AD17-0BBD-4FF3-8C98-E32F0B689C89}"/>
            </a:ext>
          </a:extLst>
        </xdr:cNvPr>
        <xdr:cNvSpPr/>
      </xdr:nvSpPr>
      <xdr:spPr>
        <a:xfrm rot="7152657">
          <a:off x="13459079" y="15214025"/>
          <a:ext cx="476216"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49</xdr:col>
      <xdr:colOff>107157</xdr:colOff>
      <xdr:row>25</xdr:row>
      <xdr:rowOff>2381</xdr:rowOff>
    </xdr:from>
    <xdr:to>
      <xdr:col>49</xdr:col>
      <xdr:colOff>242888</xdr:colOff>
      <xdr:row>27</xdr:row>
      <xdr:rowOff>7746</xdr:rowOff>
    </xdr:to>
    <xdr:pic>
      <xdr:nvPicPr>
        <xdr:cNvPr id="68" name="Picture 75">
          <a:extLst>
            <a:ext uri="{FF2B5EF4-FFF2-40B4-BE49-F238E27FC236}">
              <a16:creationId xmlns:a16="http://schemas.microsoft.com/office/drawing/2014/main" id="{729DD590-9AF2-4C5D-9DDB-E047ACF62171}"/>
            </a:ext>
          </a:extLst>
        </xdr:cNvPr>
        <xdr:cNvPicPr>
          <a:picLocks noChangeAspect="1"/>
        </xdr:cNvPicPr>
      </xdr:nvPicPr>
      <xdr:blipFill>
        <a:blip xmlns:r="http://schemas.openxmlformats.org/officeDocument/2006/relationships" r:embed="rId6"/>
        <a:stretch>
          <a:fillRect/>
        </a:stretch>
      </xdr:blipFill>
      <xdr:spPr>
        <a:xfrm>
          <a:off x="9441657" y="4764881"/>
          <a:ext cx="135731" cy="386365"/>
        </a:xfrm>
        <a:prstGeom prst="rect">
          <a:avLst/>
        </a:prstGeom>
      </xdr:spPr>
    </xdr:pic>
    <xdr:clientData/>
  </xdr:twoCellAnchor>
  <xdr:twoCellAnchor editAs="oneCell">
    <xdr:from>
      <xdr:col>51</xdr:col>
      <xdr:colOff>138113</xdr:colOff>
      <xdr:row>23</xdr:row>
      <xdr:rowOff>2381</xdr:rowOff>
    </xdr:from>
    <xdr:to>
      <xdr:col>52</xdr:col>
      <xdr:colOff>28915</xdr:colOff>
      <xdr:row>25</xdr:row>
      <xdr:rowOff>7747</xdr:rowOff>
    </xdr:to>
    <xdr:pic>
      <xdr:nvPicPr>
        <xdr:cNvPr id="69" name="Picture 90">
          <a:extLst>
            <a:ext uri="{FF2B5EF4-FFF2-40B4-BE49-F238E27FC236}">
              <a16:creationId xmlns:a16="http://schemas.microsoft.com/office/drawing/2014/main" id="{5C15D570-E1C1-4230-8CC7-50B71AEF2025}"/>
            </a:ext>
          </a:extLst>
        </xdr:cNvPr>
        <xdr:cNvPicPr>
          <a:picLocks noChangeAspect="1"/>
        </xdr:cNvPicPr>
      </xdr:nvPicPr>
      <xdr:blipFill>
        <a:blip xmlns:r="http://schemas.openxmlformats.org/officeDocument/2006/relationships" r:embed="rId6"/>
        <a:stretch>
          <a:fillRect/>
        </a:stretch>
      </xdr:blipFill>
      <xdr:spPr>
        <a:xfrm>
          <a:off x="9853613" y="4383881"/>
          <a:ext cx="135731" cy="386366"/>
        </a:xfrm>
        <a:prstGeom prst="rect">
          <a:avLst/>
        </a:prstGeom>
      </xdr:spPr>
    </xdr:pic>
    <xdr:clientData/>
  </xdr:twoCellAnchor>
  <xdr:twoCellAnchor editAs="oneCell">
    <xdr:from>
      <xdr:col>49</xdr:col>
      <xdr:colOff>109536</xdr:colOff>
      <xdr:row>21</xdr:row>
      <xdr:rowOff>2382</xdr:rowOff>
    </xdr:from>
    <xdr:to>
      <xdr:col>50</xdr:col>
      <xdr:colOff>339</xdr:colOff>
      <xdr:row>23</xdr:row>
      <xdr:rowOff>7748</xdr:rowOff>
    </xdr:to>
    <xdr:pic>
      <xdr:nvPicPr>
        <xdr:cNvPr id="70" name="Picture 91">
          <a:extLst>
            <a:ext uri="{FF2B5EF4-FFF2-40B4-BE49-F238E27FC236}">
              <a16:creationId xmlns:a16="http://schemas.microsoft.com/office/drawing/2014/main" id="{070D529B-868E-4BAE-BADE-09731B81E9FD}"/>
            </a:ext>
          </a:extLst>
        </xdr:cNvPr>
        <xdr:cNvPicPr>
          <a:picLocks noChangeAspect="1"/>
        </xdr:cNvPicPr>
      </xdr:nvPicPr>
      <xdr:blipFill>
        <a:blip xmlns:r="http://schemas.openxmlformats.org/officeDocument/2006/relationships" r:embed="rId6"/>
        <a:stretch>
          <a:fillRect/>
        </a:stretch>
      </xdr:blipFill>
      <xdr:spPr>
        <a:xfrm>
          <a:off x="9444036" y="4002882"/>
          <a:ext cx="135732" cy="386366"/>
        </a:xfrm>
        <a:prstGeom prst="rect">
          <a:avLst/>
        </a:prstGeom>
      </xdr:spPr>
    </xdr:pic>
    <xdr:clientData/>
  </xdr:twoCellAnchor>
  <xdr:twoCellAnchor editAs="oneCell">
    <xdr:from>
      <xdr:col>51</xdr:col>
      <xdr:colOff>138112</xdr:colOff>
      <xdr:row>19</xdr:row>
      <xdr:rowOff>2381</xdr:rowOff>
    </xdr:from>
    <xdr:to>
      <xdr:col>52</xdr:col>
      <xdr:colOff>28914</xdr:colOff>
      <xdr:row>21</xdr:row>
      <xdr:rowOff>7746</xdr:rowOff>
    </xdr:to>
    <xdr:pic>
      <xdr:nvPicPr>
        <xdr:cNvPr id="71" name="Picture 92">
          <a:extLst>
            <a:ext uri="{FF2B5EF4-FFF2-40B4-BE49-F238E27FC236}">
              <a16:creationId xmlns:a16="http://schemas.microsoft.com/office/drawing/2014/main" id="{65CB3255-C212-4E93-B138-9BA0B565D4C3}"/>
            </a:ext>
          </a:extLst>
        </xdr:cNvPr>
        <xdr:cNvPicPr>
          <a:picLocks noChangeAspect="1"/>
        </xdr:cNvPicPr>
      </xdr:nvPicPr>
      <xdr:blipFill>
        <a:blip xmlns:r="http://schemas.openxmlformats.org/officeDocument/2006/relationships" r:embed="rId6"/>
        <a:stretch>
          <a:fillRect/>
        </a:stretch>
      </xdr:blipFill>
      <xdr:spPr>
        <a:xfrm>
          <a:off x="9853612" y="3621881"/>
          <a:ext cx="135731" cy="386365"/>
        </a:xfrm>
        <a:prstGeom prst="rect">
          <a:avLst/>
        </a:prstGeom>
      </xdr:spPr>
    </xdr:pic>
    <xdr:clientData/>
  </xdr:twoCellAnchor>
  <xdr:twoCellAnchor editAs="oneCell">
    <xdr:from>
      <xdr:col>49</xdr:col>
      <xdr:colOff>109538</xdr:colOff>
      <xdr:row>17</xdr:row>
      <xdr:rowOff>2381</xdr:rowOff>
    </xdr:from>
    <xdr:to>
      <xdr:col>50</xdr:col>
      <xdr:colOff>340</xdr:colOff>
      <xdr:row>19</xdr:row>
      <xdr:rowOff>7746</xdr:rowOff>
    </xdr:to>
    <xdr:pic>
      <xdr:nvPicPr>
        <xdr:cNvPr id="72" name="Picture 93">
          <a:extLst>
            <a:ext uri="{FF2B5EF4-FFF2-40B4-BE49-F238E27FC236}">
              <a16:creationId xmlns:a16="http://schemas.microsoft.com/office/drawing/2014/main" id="{15DB17C5-5D63-4B9B-AAA0-5C7DF49DAFBB}"/>
            </a:ext>
          </a:extLst>
        </xdr:cNvPr>
        <xdr:cNvPicPr>
          <a:picLocks noChangeAspect="1"/>
        </xdr:cNvPicPr>
      </xdr:nvPicPr>
      <xdr:blipFill>
        <a:blip xmlns:r="http://schemas.openxmlformats.org/officeDocument/2006/relationships" r:embed="rId6"/>
        <a:stretch>
          <a:fillRect/>
        </a:stretch>
      </xdr:blipFill>
      <xdr:spPr>
        <a:xfrm>
          <a:off x="9444038" y="3240881"/>
          <a:ext cx="135731" cy="386365"/>
        </a:xfrm>
        <a:prstGeom prst="rect">
          <a:avLst/>
        </a:prstGeom>
      </xdr:spPr>
    </xdr:pic>
    <xdr:clientData/>
  </xdr:twoCellAnchor>
  <xdr:twoCellAnchor editAs="oneCell">
    <xdr:from>
      <xdr:col>51</xdr:col>
      <xdr:colOff>138113</xdr:colOff>
      <xdr:row>15</xdr:row>
      <xdr:rowOff>2381</xdr:rowOff>
    </xdr:from>
    <xdr:to>
      <xdr:col>52</xdr:col>
      <xdr:colOff>28915</xdr:colOff>
      <xdr:row>17</xdr:row>
      <xdr:rowOff>7747</xdr:rowOff>
    </xdr:to>
    <xdr:pic>
      <xdr:nvPicPr>
        <xdr:cNvPr id="73" name="Picture 94">
          <a:extLst>
            <a:ext uri="{FF2B5EF4-FFF2-40B4-BE49-F238E27FC236}">
              <a16:creationId xmlns:a16="http://schemas.microsoft.com/office/drawing/2014/main" id="{E88F2F76-883A-40C0-A9B7-925F04230923}"/>
            </a:ext>
          </a:extLst>
        </xdr:cNvPr>
        <xdr:cNvPicPr>
          <a:picLocks noChangeAspect="1"/>
        </xdr:cNvPicPr>
      </xdr:nvPicPr>
      <xdr:blipFill>
        <a:blip xmlns:r="http://schemas.openxmlformats.org/officeDocument/2006/relationships" r:embed="rId6"/>
        <a:stretch>
          <a:fillRect/>
        </a:stretch>
      </xdr:blipFill>
      <xdr:spPr>
        <a:xfrm>
          <a:off x="9853613" y="2859881"/>
          <a:ext cx="135731" cy="386366"/>
        </a:xfrm>
        <a:prstGeom prst="rect">
          <a:avLst/>
        </a:prstGeom>
      </xdr:spPr>
    </xdr:pic>
    <xdr:clientData/>
  </xdr:twoCellAnchor>
  <xdr:twoCellAnchor>
    <xdr:from>
      <xdr:col>8</xdr:col>
      <xdr:colOff>140491</xdr:colOff>
      <xdr:row>76</xdr:row>
      <xdr:rowOff>168256</xdr:rowOff>
    </xdr:from>
    <xdr:to>
      <xdr:col>14</xdr:col>
      <xdr:colOff>93284</xdr:colOff>
      <xdr:row>78</xdr:row>
      <xdr:rowOff>34717</xdr:rowOff>
    </xdr:to>
    <xdr:sp macro="" textlink="">
      <xdr:nvSpPr>
        <xdr:cNvPr id="74" name="Trapezoid 95">
          <a:extLst>
            <a:ext uri="{FF2B5EF4-FFF2-40B4-BE49-F238E27FC236}">
              <a16:creationId xmlns:a16="http://schemas.microsoft.com/office/drawing/2014/main" id="{352F8301-5806-4B36-BC9C-013B55D602BC}"/>
            </a:ext>
          </a:extLst>
        </xdr:cNvPr>
        <xdr:cNvSpPr/>
      </xdr:nvSpPr>
      <xdr:spPr>
        <a:xfrm rot="13483766">
          <a:off x="1664491" y="14646256"/>
          <a:ext cx="1095793" cy="247461"/>
        </a:xfrm>
        <a:prstGeom prst="trapezoid">
          <a:avLst>
            <a:gd name="adj" fmla="val 112702"/>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124733</xdr:colOff>
      <xdr:row>74</xdr:row>
      <xdr:rowOff>2382</xdr:rowOff>
    </xdr:from>
    <xdr:to>
      <xdr:col>15</xdr:col>
      <xdr:colOff>44099</xdr:colOff>
      <xdr:row>75</xdr:row>
      <xdr:rowOff>23846</xdr:rowOff>
    </xdr:to>
    <xdr:sp macro="" textlink="">
      <xdr:nvSpPr>
        <xdr:cNvPr id="75" name="Trapezoid 96">
          <a:extLst>
            <a:ext uri="{FF2B5EF4-FFF2-40B4-BE49-F238E27FC236}">
              <a16:creationId xmlns:a16="http://schemas.microsoft.com/office/drawing/2014/main" id="{A0CE54BB-BB37-4B60-B20E-59BE8F58F536}"/>
            </a:ext>
          </a:extLst>
        </xdr:cNvPr>
        <xdr:cNvSpPr/>
      </xdr:nvSpPr>
      <xdr:spPr>
        <a:xfrm rot="13483766" flipV="1">
          <a:off x="1839233" y="14099382"/>
          <a:ext cx="1062366" cy="211964"/>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14</xdr:col>
      <xdr:colOff>45524</xdr:colOff>
      <xdr:row>33</xdr:row>
      <xdr:rowOff>143191</xdr:rowOff>
    </xdr:from>
    <xdr:to>
      <xdr:col>16</xdr:col>
      <xdr:colOff>129667</xdr:colOff>
      <xdr:row>35</xdr:row>
      <xdr:rowOff>146041</xdr:rowOff>
    </xdr:to>
    <xdr:pic>
      <xdr:nvPicPr>
        <xdr:cNvPr id="76" name="Picture 97">
          <a:extLst>
            <a:ext uri="{FF2B5EF4-FFF2-40B4-BE49-F238E27FC236}">
              <a16:creationId xmlns:a16="http://schemas.microsoft.com/office/drawing/2014/main" id="{B04C8C9F-C460-4A9F-82E6-D560D16E29AB}"/>
            </a:ext>
          </a:extLst>
        </xdr:cNvPr>
        <xdr:cNvPicPr>
          <a:picLocks noChangeAspect="1"/>
        </xdr:cNvPicPr>
      </xdr:nvPicPr>
      <xdr:blipFill>
        <a:blip xmlns:r="http://schemas.openxmlformats.org/officeDocument/2006/relationships" r:embed="rId7"/>
        <a:stretch>
          <a:fillRect/>
        </a:stretch>
      </xdr:blipFill>
      <xdr:spPr>
        <a:xfrm rot="13538988">
          <a:off x="2807599" y="6334616"/>
          <a:ext cx="383850" cy="574000"/>
        </a:xfrm>
        <a:prstGeom prst="rect">
          <a:avLst/>
        </a:prstGeom>
      </xdr:spPr>
    </xdr:pic>
    <xdr:clientData/>
  </xdr:twoCellAnchor>
  <xdr:twoCellAnchor>
    <xdr:from>
      <xdr:col>8</xdr:col>
      <xdr:colOff>3686</xdr:colOff>
      <xdr:row>40</xdr:row>
      <xdr:rowOff>163883</xdr:rowOff>
    </xdr:from>
    <xdr:to>
      <xdr:col>9</xdr:col>
      <xdr:colOff>30753</xdr:colOff>
      <xdr:row>46</xdr:row>
      <xdr:rowOff>88853</xdr:rowOff>
    </xdr:to>
    <xdr:sp macro="" textlink="">
      <xdr:nvSpPr>
        <xdr:cNvPr id="77" name="Trapezoid 98">
          <a:extLst>
            <a:ext uri="{FF2B5EF4-FFF2-40B4-BE49-F238E27FC236}">
              <a16:creationId xmlns:a16="http://schemas.microsoft.com/office/drawing/2014/main" id="{28624422-0D91-4C5D-9421-842968A4D505}"/>
            </a:ext>
          </a:extLst>
        </xdr:cNvPr>
        <xdr:cNvSpPr/>
      </xdr:nvSpPr>
      <xdr:spPr>
        <a:xfrm rot="7961508" flipV="1">
          <a:off x="1102485" y="8209084"/>
          <a:ext cx="1067970" cy="217567"/>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26</xdr:col>
      <xdr:colOff>0</xdr:colOff>
      <xdr:row>6</xdr:row>
      <xdr:rowOff>88106</xdr:rowOff>
    </xdr:from>
    <xdr:to>
      <xdr:col>27</xdr:col>
      <xdr:colOff>83685</xdr:colOff>
      <xdr:row>8</xdr:row>
      <xdr:rowOff>169044</xdr:rowOff>
    </xdr:to>
    <xdr:pic>
      <xdr:nvPicPr>
        <xdr:cNvPr id="78" name="Picture 102">
          <a:extLst>
            <a:ext uri="{FF2B5EF4-FFF2-40B4-BE49-F238E27FC236}">
              <a16:creationId xmlns:a16="http://schemas.microsoft.com/office/drawing/2014/main" id="{DED607E5-F692-41E9-AC81-BAA57ED33C22}"/>
            </a:ext>
          </a:extLst>
        </xdr:cNvPr>
        <xdr:cNvPicPr>
          <a:picLocks noChangeAspect="1"/>
        </xdr:cNvPicPr>
      </xdr:nvPicPr>
      <xdr:blipFill>
        <a:blip xmlns:r="http://schemas.openxmlformats.org/officeDocument/2006/relationships" r:embed="rId7"/>
        <a:stretch>
          <a:fillRect/>
        </a:stretch>
      </xdr:blipFill>
      <xdr:spPr>
        <a:xfrm rot="10800000">
          <a:off x="4953000" y="1231106"/>
          <a:ext cx="328613" cy="4619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23</xdr:col>
      <xdr:colOff>110195</xdr:colOff>
      <xdr:row>8</xdr:row>
      <xdr:rowOff>7965</xdr:rowOff>
    </xdr:from>
    <xdr:to>
      <xdr:col>28</xdr:col>
      <xdr:colOff>52387</xdr:colOff>
      <xdr:row>8</xdr:row>
      <xdr:rowOff>12727</xdr:rowOff>
    </xdr:to>
    <xdr:cxnSp macro="">
      <xdr:nvCxnSpPr>
        <xdr:cNvPr id="2" name="Straight Connector 1">
          <a:extLst>
            <a:ext uri="{FF2B5EF4-FFF2-40B4-BE49-F238E27FC236}">
              <a16:creationId xmlns:a16="http://schemas.microsoft.com/office/drawing/2014/main" id="{3664DC15-98AB-46C8-B440-7663A2057D12}"/>
            </a:ext>
          </a:extLst>
        </xdr:cNvPr>
        <xdr:cNvCxnSpPr>
          <a:stCxn id="4" idx="1"/>
        </xdr:cNvCxnSpPr>
      </xdr:nvCxnSpPr>
      <xdr:spPr>
        <a:xfrm flipH="1">
          <a:off x="4491695" y="1531965"/>
          <a:ext cx="894692" cy="4762"/>
        </a:xfrm>
        <a:prstGeom prst="line">
          <a:avLst/>
        </a:prstGeom>
        <a:ln w="53975">
          <a:prstDash val="sysDot"/>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45</xdr:col>
      <xdr:colOff>0</xdr:colOff>
      <xdr:row>36</xdr:row>
      <xdr:rowOff>1</xdr:rowOff>
    </xdr:from>
    <xdr:to>
      <xdr:col>45</xdr:col>
      <xdr:colOff>6095</xdr:colOff>
      <xdr:row>36</xdr:row>
      <xdr:rowOff>6096</xdr:rowOff>
    </xdr:to>
    <xdr:pic>
      <xdr:nvPicPr>
        <xdr:cNvPr id="3" name="Picture 2">
          <a:extLst>
            <a:ext uri="{FF2B5EF4-FFF2-40B4-BE49-F238E27FC236}">
              <a16:creationId xmlns:a16="http://schemas.microsoft.com/office/drawing/2014/main" id="{659A09CE-AEFB-4451-B695-A23A44661BF4}"/>
            </a:ext>
          </a:extLst>
        </xdr:cNvPr>
        <xdr:cNvPicPr>
          <a:picLocks noChangeAspect="1"/>
        </xdr:cNvPicPr>
      </xdr:nvPicPr>
      <xdr:blipFill>
        <a:blip xmlns:r="http://schemas.openxmlformats.org/officeDocument/2006/relationships" r:embed="rId1"/>
        <a:stretch>
          <a:fillRect/>
        </a:stretch>
      </xdr:blipFill>
      <xdr:spPr>
        <a:xfrm>
          <a:off x="8572500" y="6858001"/>
          <a:ext cx="6095" cy="6095"/>
        </a:xfrm>
        <a:prstGeom prst="rect">
          <a:avLst/>
        </a:prstGeom>
      </xdr:spPr>
    </xdr:pic>
    <xdr:clientData/>
  </xdr:twoCellAnchor>
  <xdr:twoCellAnchor editAs="oneCell">
    <xdr:from>
      <xdr:col>28</xdr:col>
      <xdr:colOff>52387</xdr:colOff>
      <xdr:row>7</xdr:row>
      <xdr:rowOff>54769</xdr:rowOff>
    </xdr:from>
    <xdr:to>
      <xdr:col>29</xdr:col>
      <xdr:colOff>93208</xdr:colOff>
      <xdr:row>8</xdr:row>
      <xdr:rowOff>150019</xdr:rowOff>
    </xdr:to>
    <xdr:pic>
      <xdr:nvPicPr>
        <xdr:cNvPr id="4" name="Picture 3">
          <a:extLst>
            <a:ext uri="{FF2B5EF4-FFF2-40B4-BE49-F238E27FC236}">
              <a16:creationId xmlns:a16="http://schemas.microsoft.com/office/drawing/2014/main" id="{CA4A6330-A5B9-4E6F-BA53-A7DA76496D70}"/>
            </a:ext>
          </a:extLst>
        </xdr:cNvPr>
        <xdr:cNvPicPr>
          <a:picLocks noChangeAspect="1"/>
        </xdr:cNvPicPr>
      </xdr:nvPicPr>
      <xdr:blipFill>
        <a:blip xmlns:r="http://schemas.openxmlformats.org/officeDocument/2006/relationships" r:embed="rId2"/>
        <a:stretch>
          <a:fillRect/>
        </a:stretch>
      </xdr:blipFill>
      <xdr:spPr>
        <a:xfrm>
          <a:off x="5386387" y="1388269"/>
          <a:ext cx="285750" cy="285750"/>
        </a:xfrm>
        <a:prstGeom prst="rect">
          <a:avLst/>
        </a:prstGeom>
      </xdr:spPr>
    </xdr:pic>
    <xdr:clientData/>
  </xdr:twoCellAnchor>
  <xdr:twoCellAnchor editAs="oneCell">
    <xdr:from>
      <xdr:col>22</xdr:col>
      <xdr:colOff>47625</xdr:colOff>
      <xdr:row>7</xdr:row>
      <xdr:rowOff>52387</xdr:rowOff>
    </xdr:from>
    <xdr:to>
      <xdr:col>23</xdr:col>
      <xdr:colOff>88447</xdr:colOff>
      <xdr:row>8</xdr:row>
      <xdr:rowOff>147637</xdr:rowOff>
    </xdr:to>
    <xdr:pic>
      <xdr:nvPicPr>
        <xdr:cNvPr id="5" name="Picture 4">
          <a:extLst>
            <a:ext uri="{FF2B5EF4-FFF2-40B4-BE49-F238E27FC236}">
              <a16:creationId xmlns:a16="http://schemas.microsoft.com/office/drawing/2014/main" id="{AF0A44FD-9B36-472A-B0D0-A612842732D9}"/>
            </a:ext>
          </a:extLst>
        </xdr:cNvPr>
        <xdr:cNvPicPr>
          <a:picLocks noChangeAspect="1"/>
        </xdr:cNvPicPr>
      </xdr:nvPicPr>
      <xdr:blipFill>
        <a:blip xmlns:r="http://schemas.openxmlformats.org/officeDocument/2006/relationships" r:embed="rId2"/>
        <a:stretch>
          <a:fillRect/>
        </a:stretch>
      </xdr:blipFill>
      <xdr:spPr>
        <a:xfrm>
          <a:off x="4238625" y="1385887"/>
          <a:ext cx="285750" cy="285750"/>
        </a:xfrm>
        <a:prstGeom prst="rect">
          <a:avLst/>
        </a:prstGeom>
      </xdr:spPr>
    </xdr:pic>
    <xdr:clientData/>
  </xdr:twoCellAnchor>
  <xdr:twoCellAnchor editAs="oneCell">
    <xdr:from>
      <xdr:col>65</xdr:col>
      <xdr:colOff>118358</xdr:colOff>
      <xdr:row>83</xdr:row>
      <xdr:rowOff>2381</xdr:rowOff>
    </xdr:from>
    <xdr:to>
      <xdr:col>66</xdr:col>
      <xdr:colOff>32356</xdr:colOff>
      <xdr:row>85</xdr:row>
      <xdr:rowOff>0</xdr:rowOff>
    </xdr:to>
    <xdr:pic>
      <xdr:nvPicPr>
        <xdr:cNvPr id="6" name="Picture 5">
          <a:extLst>
            <a:ext uri="{FF2B5EF4-FFF2-40B4-BE49-F238E27FC236}">
              <a16:creationId xmlns:a16="http://schemas.microsoft.com/office/drawing/2014/main" id="{7838C978-B25B-4A0D-BC30-22B0D69F87AB}"/>
            </a:ext>
          </a:extLst>
        </xdr:cNvPr>
        <xdr:cNvPicPr>
          <a:picLocks noChangeAspect="1"/>
        </xdr:cNvPicPr>
      </xdr:nvPicPr>
      <xdr:blipFill>
        <a:blip xmlns:r="http://schemas.openxmlformats.org/officeDocument/2006/relationships" r:embed="rId3"/>
        <a:stretch>
          <a:fillRect/>
        </a:stretch>
      </xdr:blipFill>
      <xdr:spPr>
        <a:xfrm>
          <a:off x="12500858" y="15813881"/>
          <a:ext cx="158927" cy="378619"/>
        </a:xfrm>
        <a:prstGeom prst="rect">
          <a:avLst/>
        </a:prstGeom>
      </xdr:spPr>
    </xdr:pic>
    <xdr:clientData/>
  </xdr:twoCellAnchor>
  <xdr:twoCellAnchor editAs="oneCell">
    <xdr:from>
      <xdr:col>11</xdr:col>
      <xdr:colOff>106640</xdr:colOff>
      <xdr:row>43</xdr:row>
      <xdr:rowOff>71195</xdr:rowOff>
    </xdr:from>
    <xdr:to>
      <xdr:col>13</xdr:col>
      <xdr:colOff>167218</xdr:colOff>
      <xdr:row>44</xdr:row>
      <xdr:rowOff>119947</xdr:rowOff>
    </xdr:to>
    <xdr:pic>
      <xdr:nvPicPr>
        <xdr:cNvPr id="7" name="Picture 6">
          <a:extLst>
            <a:ext uri="{FF2B5EF4-FFF2-40B4-BE49-F238E27FC236}">
              <a16:creationId xmlns:a16="http://schemas.microsoft.com/office/drawing/2014/main" id="{02288D3D-BC0A-4F3C-9E76-D2A1EF7BDD91}"/>
            </a:ext>
          </a:extLst>
        </xdr:cNvPr>
        <xdr:cNvPicPr>
          <a:picLocks noChangeAspect="1"/>
        </xdr:cNvPicPr>
      </xdr:nvPicPr>
      <xdr:blipFill>
        <a:blip xmlns:r="http://schemas.openxmlformats.org/officeDocument/2006/relationships" r:embed="rId3"/>
        <a:stretch>
          <a:fillRect/>
        </a:stretch>
      </xdr:blipFill>
      <xdr:spPr>
        <a:xfrm rot="18863275">
          <a:off x="2357732" y="8107103"/>
          <a:ext cx="239252" cy="550435"/>
        </a:xfrm>
        <a:prstGeom prst="rect">
          <a:avLst/>
        </a:prstGeom>
      </xdr:spPr>
    </xdr:pic>
    <xdr:clientData/>
  </xdr:twoCellAnchor>
  <xdr:twoCellAnchor editAs="oneCell">
    <xdr:from>
      <xdr:col>65</xdr:col>
      <xdr:colOff>120297</xdr:colOff>
      <xdr:row>73</xdr:row>
      <xdr:rowOff>2381</xdr:rowOff>
    </xdr:from>
    <xdr:to>
      <xdr:col>66</xdr:col>
      <xdr:colOff>57835</xdr:colOff>
      <xdr:row>75</xdr:row>
      <xdr:rowOff>0</xdr:rowOff>
    </xdr:to>
    <xdr:pic>
      <xdr:nvPicPr>
        <xdr:cNvPr id="8" name="Picture 7">
          <a:extLst>
            <a:ext uri="{FF2B5EF4-FFF2-40B4-BE49-F238E27FC236}">
              <a16:creationId xmlns:a16="http://schemas.microsoft.com/office/drawing/2014/main" id="{71FDB8E9-C37E-44ED-B349-99D485804584}"/>
            </a:ext>
          </a:extLst>
        </xdr:cNvPr>
        <xdr:cNvPicPr>
          <a:picLocks noChangeAspect="1"/>
        </xdr:cNvPicPr>
      </xdr:nvPicPr>
      <xdr:blipFill>
        <a:blip xmlns:r="http://schemas.openxmlformats.org/officeDocument/2006/relationships" r:embed="rId4"/>
        <a:stretch>
          <a:fillRect/>
        </a:stretch>
      </xdr:blipFill>
      <xdr:spPr>
        <a:xfrm>
          <a:off x="12502797" y="13908881"/>
          <a:ext cx="182467" cy="378619"/>
        </a:xfrm>
        <a:prstGeom prst="rect">
          <a:avLst/>
        </a:prstGeom>
      </xdr:spPr>
    </xdr:pic>
    <xdr:clientData/>
  </xdr:twoCellAnchor>
  <xdr:twoCellAnchor editAs="oneCell">
    <xdr:from>
      <xdr:col>39</xdr:col>
      <xdr:colOff>154783</xdr:colOff>
      <xdr:row>59</xdr:row>
      <xdr:rowOff>2382</xdr:rowOff>
    </xdr:from>
    <xdr:to>
      <xdr:col>40</xdr:col>
      <xdr:colOff>340</xdr:colOff>
      <xdr:row>60</xdr:row>
      <xdr:rowOff>4289</xdr:rowOff>
    </xdr:to>
    <xdr:pic>
      <xdr:nvPicPr>
        <xdr:cNvPr id="9" name="Picture 8">
          <a:extLst>
            <a:ext uri="{FF2B5EF4-FFF2-40B4-BE49-F238E27FC236}">
              <a16:creationId xmlns:a16="http://schemas.microsoft.com/office/drawing/2014/main" id="{5D4B6376-2D81-4ECF-B6D0-7BED482D0A9A}"/>
            </a:ext>
          </a:extLst>
        </xdr:cNvPr>
        <xdr:cNvPicPr>
          <a:picLocks noChangeAspect="1"/>
        </xdr:cNvPicPr>
      </xdr:nvPicPr>
      <xdr:blipFill>
        <a:blip xmlns:r="http://schemas.openxmlformats.org/officeDocument/2006/relationships" r:embed="rId4"/>
        <a:stretch>
          <a:fillRect/>
        </a:stretch>
      </xdr:blipFill>
      <xdr:spPr>
        <a:xfrm>
          <a:off x="7584283" y="11241882"/>
          <a:ext cx="90486" cy="192407"/>
        </a:xfrm>
        <a:prstGeom prst="rect">
          <a:avLst/>
        </a:prstGeom>
      </xdr:spPr>
    </xdr:pic>
    <xdr:clientData/>
  </xdr:twoCellAnchor>
  <xdr:twoCellAnchor editAs="oneCell">
    <xdr:from>
      <xdr:col>40</xdr:col>
      <xdr:colOff>18246</xdr:colOff>
      <xdr:row>34</xdr:row>
      <xdr:rowOff>98435</xdr:rowOff>
    </xdr:from>
    <xdr:to>
      <xdr:col>41</xdr:col>
      <xdr:colOff>125743</xdr:colOff>
      <xdr:row>35</xdr:row>
      <xdr:rowOff>77778</xdr:rowOff>
    </xdr:to>
    <xdr:pic>
      <xdr:nvPicPr>
        <xdr:cNvPr id="10" name="Picture 9">
          <a:extLst>
            <a:ext uri="{FF2B5EF4-FFF2-40B4-BE49-F238E27FC236}">
              <a16:creationId xmlns:a16="http://schemas.microsoft.com/office/drawing/2014/main" id="{C4E370D6-8B44-4646-A184-AB8345C433AC}"/>
            </a:ext>
          </a:extLst>
        </xdr:cNvPr>
        <xdr:cNvPicPr>
          <a:picLocks noChangeAspect="1"/>
        </xdr:cNvPicPr>
      </xdr:nvPicPr>
      <xdr:blipFill>
        <a:blip xmlns:r="http://schemas.openxmlformats.org/officeDocument/2006/relationships" r:embed="rId4"/>
        <a:stretch>
          <a:fillRect/>
        </a:stretch>
      </xdr:blipFill>
      <xdr:spPr>
        <a:xfrm rot="16200000">
          <a:off x="7729537" y="6484144"/>
          <a:ext cx="169843" cy="352425"/>
        </a:xfrm>
        <a:prstGeom prst="rect">
          <a:avLst/>
        </a:prstGeom>
      </xdr:spPr>
    </xdr:pic>
    <xdr:clientData/>
  </xdr:twoCellAnchor>
  <xdr:twoCellAnchor editAs="oneCell">
    <xdr:from>
      <xdr:col>48</xdr:col>
      <xdr:colOff>21430</xdr:colOff>
      <xdr:row>55</xdr:row>
      <xdr:rowOff>11906</xdr:rowOff>
    </xdr:from>
    <xdr:to>
      <xdr:col>49</xdr:col>
      <xdr:colOff>109876</xdr:colOff>
      <xdr:row>56</xdr:row>
      <xdr:rowOff>160072</xdr:rowOff>
    </xdr:to>
    <xdr:pic>
      <xdr:nvPicPr>
        <xdr:cNvPr id="11" name="Picture 10">
          <a:extLst>
            <a:ext uri="{FF2B5EF4-FFF2-40B4-BE49-F238E27FC236}">
              <a16:creationId xmlns:a16="http://schemas.microsoft.com/office/drawing/2014/main" id="{38BE6D8E-9F51-4C81-9D81-C82320C6295F}"/>
            </a:ext>
          </a:extLst>
        </xdr:cNvPr>
        <xdr:cNvPicPr>
          <a:picLocks noChangeAspect="1"/>
        </xdr:cNvPicPr>
      </xdr:nvPicPr>
      <xdr:blipFill>
        <a:blip xmlns:r="http://schemas.openxmlformats.org/officeDocument/2006/relationships" r:embed="rId5"/>
        <a:stretch>
          <a:fillRect/>
        </a:stretch>
      </xdr:blipFill>
      <xdr:spPr>
        <a:xfrm>
          <a:off x="9165430" y="10489406"/>
          <a:ext cx="333375" cy="338666"/>
        </a:xfrm>
        <a:prstGeom prst="rect">
          <a:avLst/>
        </a:prstGeom>
      </xdr:spPr>
    </xdr:pic>
    <xdr:clientData/>
  </xdr:twoCellAnchor>
  <xdr:twoCellAnchor editAs="oneCell">
    <xdr:from>
      <xdr:col>19</xdr:col>
      <xdr:colOff>138112</xdr:colOff>
      <xdr:row>13</xdr:row>
      <xdr:rowOff>1888</xdr:rowOff>
    </xdr:from>
    <xdr:to>
      <xdr:col>20</xdr:col>
      <xdr:colOff>28915</xdr:colOff>
      <xdr:row>15</xdr:row>
      <xdr:rowOff>0</xdr:rowOff>
    </xdr:to>
    <xdr:pic>
      <xdr:nvPicPr>
        <xdr:cNvPr id="12" name="Picture 11">
          <a:extLst>
            <a:ext uri="{FF2B5EF4-FFF2-40B4-BE49-F238E27FC236}">
              <a16:creationId xmlns:a16="http://schemas.microsoft.com/office/drawing/2014/main" id="{EB137DE2-0F18-4CD6-A114-5F0B674A2BDD}"/>
            </a:ext>
          </a:extLst>
        </xdr:cNvPr>
        <xdr:cNvPicPr>
          <a:picLocks noChangeAspect="1"/>
        </xdr:cNvPicPr>
      </xdr:nvPicPr>
      <xdr:blipFill>
        <a:blip xmlns:r="http://schemas.openxmlformats.org/officeDocument/2006/relationships" r:embed="rId6"/>
        <a:stretch>
          <a:fillRect/>
        </a:stretch>
      </xdr:blipFill>
      <xdr:spPr>
        <a:xfrm>
          <a:off x="3757612" y="2478388"/>
          <a:ext cx="135731" cy="379112"/>
        </a:xfrm>
        <a:prstGeom prst="rect">
          <a:avLst/>
        </a:prstGeom>
      </xdr:spPr>
    </xdr:pic>
    <xdr:clientData/>
  </xdr:twoCellAnchor>
  <xdr:twoCellAnchor editAs="oneCell">
    <xdr:from>
      <xdr:col>51</xdr:col>
      <xdr:colOff>123825</xdr:colOff>
      <xdr:row>33</xdr:row>
      <xdr:rowOff>2381</xdr:rowOff>
    </xdr:from>
    <xdr:to>
      <xdr:col>52</xdr:col>
      <xdr:colOff>18713</xdr:colOff>
      <xdr:row>35</xdr:row>
      <xdr:rowOff>11906</xdr:rowOff>
    </xdr:to>
    <xdr:pic>
      <xdr:nvPicPr>
        <xdr:cNvPr id="13" name="Picture 12">
          <a:extLst>
            <a:ext uri="{FF2B5EF4-FFF2-40B4-BE49-F238E27FC236}">
              <a16:creationId xmlns:a16="http://schemas.microsoft.com/office/drawing/2014/main" id="{27F8D172-58A8-4A72-A2A4-592EB34A85C4}"/>
            </a:ext>
          </a:extLst>
        </xdr:cNvPr>
        <xdr:cNvPicPr>
          <a:picLocks noChangeAspect="1"/>
        </xdr:cNvPicPr>
      </xdr:nvPicPr>
      <xdr:blipFill>
        <a:blip xmlns:r="http://schemas.openxmlformats.org/officeDocument/2006/relationships" r:embed="rId6"/>
        <a:stretch>
          <a:fillRect/>
        </a:stretch>
      </xdr:blipFill>
      <xdr:spPr>
        <a:xfrm>
          <a:off x="9839325" y="6288881"/>
          <a:ext cx="139817" cy="390525"/>
        </a:xfrm>
        <a:prstGeom prst="rect">
          <a:avLst/>
        </a:prstGeom>
      </xdr:spPr>
    </xdr:pic>
    <xdr:clientData/>
  </xdr:twoCellAnchor>
  <xdr:twoCellAnchor editAs="oneCell">
    <xdr:from>
      <xdr:col>55</xdr:col>
      <xdr:colOff>123825</xdr:colOff>
      <xdr:row>33</xdr:row>
      <xdr:rowOff>2381</xdr:rowOff>
    </xdr:from>
    <xdr:to>
      <xdr:col>56</xdr:col>
      <xdr:colOff>18713</xdr:colOff>
      <xdr:row>35</xdr:row>
      <xdr:rowOff>11906</xdr:rowOff>
    </xdr:to>
    <xdr:pic>
      <xdr:nvPicPr>
        <xdr:cNvPr id="14" name="Picture 13">
          <a:extLst>
            <a:ext uri="{FF2B5EF4-FFF2-40B4-BE49-F238E27FC236}">
              <a16:creationId xmlns:a16="http://schemas.microsoft.com/office/drawing/2014/main" id="{85DA0407-BE6E-4793-AA26-EF3A1A16272C}"/>
            </a:ext>
          </a:extLst>
        </xdr:cNvPr>
        <xdr:cNvPicPr>
          <a:picLocks noChangeAspect="1"/>
        </xdr:cNvPicPr>
      </xdr:nvPicPr>
      <xdr:blipFill>
        <a:blip xmlns:r="http://schemas.openxmlformats.org/officeDocument/2006/relationships" r:embed="rId6"/>
        <a:stretch>
          <a:fillRect/>
        </a:stretch>
      </xdr:blipFill>
      <xdr:spPr>
        <a:xfrm>
          <a:off x="10601325" y="6288881"/>
          <a:ext cx="139817" cy="390525"/>
        </a:xfrm>
        <a:prstGeom prst="rect">
          <a:avLst/>
        </a:prstGeom>
      </xdr:spPr>
    </xdr:pic>
    <xdr:clientData/>
  </xdr:twoCellAnchor>
  <xdr:twoCellAnchor editAs="oneCell">
    <xdr:from>
      <xdr:col>63</xdr:col>
      <xdr:colOff>107158</xdr:colOff>
      <xdr:row>47</xdr:row>
      <xdr:rowOff>2382</xdr:rowOff>
    </xdr:from>
    <xdr:to>
      <xdr:col>63</xdr:col>
      <xdr:colOff>242712</xdr:colOff>
      <xdr:row>49</xdr:row>
      <xdr:rowOff>814</xdr:rowOff>
    </xdr:to>
    <xdr:pic>
      <xdr:nvPicPr>
        <xdr:cNvPr id="15" name="Picture 14">
          <a:extLst>
            <a:ext uri="{FF2B5EF4-FFF2-40B4-BE49-F238E27FC236}">
              <a16:creationId xmlns:a16="http://schemas.microsoft.com/office/drawing/2014/main" id="{33D93D46-21AF-4A24-8788-E8FC4DBC0694}"/>
            </a:ext>
          </a:extLst>
        </xdr:cNvPr>
        <xdr:cNvPicPr>
          <a:picLocks noChangeAspect="1"/>
        </xdr:cNvPicPr>
      </xdr:nvPicPr>
      <xdr:blipFill>
        <a:blip xmlns:r="http://schemas.openxmlformats.org/officeDocument/2006/relationships" r:embed="rId6"/>
        <a:stretch>
          <a:fillRect/>
        </a:stretch>
      </xdr:blipFill>
      <xdr:spPr>
        <a:xfrm>
          <a:off x="12108658" y="8955882"/>
          <a:ext cx="135554" cy="379432"/>
        </a:xfrm>
        <a:prstGeom prst="rect">
          <a:avLst/>
        </a:prstGeom>
      </xdr:spPr>
    </xdr:pic>
    <xdr:clientData/>
  </xdr:twoCellAnchor>
  <xdr:twoCellAnchor editAs="oneCell">
    <xdr:from>
      <xdr:col>34</xdr:col>
      <xdr:colOff>3237</xdr:colOff>
      <xdr:row>30</xdr:row>
      <xdr:rowOff>139638</xdr:rowOff>
    </xdr:from>
    <xdr:to>
      <xdr:col>35</xdr:col>
      <xdr:colOff>136072</xdr:colOff>
      <xdr:row>31</xdr:row>
      <xdr:rowOff>86359</xdr:rowOff>
    </xdr:to>
    <xdr:pic>
      <xdr:nvPicPr>
        <xdr:cNvPr id="16" name="Picture 15">
          <a:extLst>
            <a:ext uri="{FF2B5EF4-FFF2-40B4-BE49-F238E27FC236}">
              <a16:creationId xmlns:a16="http://schemas.microsoft.com/office/drawing/2014/main" id="{72190B96-16F0-41D8-9C26-29261613FAA9}"/>
            </a:ext>
          </a:extLst>
        </xdr:cNvPr>
        <xdr:cNvPicPr>
          <a:picLocks noChangeAspect="1"/>
        </xdr:cNvPicPr>
      </xdr:nvPicPr>
      <xdr:blipFill>
        <a:blip xmlns:r="http://schemas.openxmlformats.org/officeDocument/2006/relationships" r:embed="rId6"/>
        <a:stretch>
          <a:fillRect/>
        </a:stretch>
      </xdr:blipFill>
      <xdr:spPr>
        <a:xfrm rot="16200000">
          <a:off x="6600508" y="5734367"/>
          <a:ext cx="137221" cy="377764"/>
        </a:xfrm>
        <a:prstGeom prst="rect">
          <a:avLst/>
        </a:prstGeom>
      </xdr:spPr>
    </xdr:pic>
    <xdr:clientData/>
  </xdr:twoCellAnchor>
  <xdr:twoCellAnchor editAs="oneCell">
    <xdr:from>
      <xdr:col>50</xdr:col>
      <xdr:colOff>9525</xdr:colOff>
      <xdr:row>36</xdr:row>
      <xdr:rowOff>103918</xdr:rowOff>
    </xdr:from>
    <xdr:to>
      <xdr:col>51</xdr:col>
      <xdr:colOff>131310</xdr:colOff>
      <xdr:row>37</xdr:row>
      <xdr:rowOff>53235</xdr:rowOff>
    </xdr:to>
    <xdr:pic>
      <xdr:nvPicPr>
        <xdr:cNvPr id="17" name="Picture 16">
          <a:extLst>
            <a:ext uri="{FF2B5EF4-FFF2-40B4-BE49-F238E27FC236}">
              <a16:creationId xmlns:a16="http://schemas.microsoft.com/office/drawing/2014/main" id="{5F2AF847-5C26-46CE-BEC2-955780F6597D}"/>
            </a:ext>
          </a:extLst>
        </xdr:cNvPr>
        <xdr:cNvPicPr>
          <a:picLocks noChangeAspect="1"/>
        </xdr:cNvPicPr>
      </xdr:nvPicPr>
      <xdr:blipFill>
        <a:blip xmlns:r="http://schemas.openxmlformats.org/officeDocument/2006/relationships" r:embed="rId6"/>
        <a:stretch>
          <a:fillRect/>
        </a:stretch>
      </xdr:blipFill>
      <xdr:spPr>
        <a:xfrm rot="16200000">
          <a:off x="9647973" y="6848470"/>
          <a:ext cx="139817" cy="366713"/>
        </a:xfrm>
        <a:prstGeom prst="rect">
          <a:avLst/>
        </a:prstGeom>
      </xdr:spPr>
    </xdr:pic>
    <xdr:clientData/>
  </xdr:twoCellAnchor>
  <xdr:twoCellAnchor editAs="oneCell">
    <xdr:from>
      <xdr:col>48</xdr:col>
      <xdr:colOff>3233</xdr:colOff>
      <xdr:row>36</xdr:row>
      <xdr:rowOff>106302</xdr:rowOff>
    </xdr:from>
    <xdr:to>
      <xdr:col>49</xdr:col>
      <xdr:colOff>138339</xdr:colOff>
      <xdr:row>37</xdr:row>
      <xdr:rowOff>55619</xdr:rowOff>
    </xdr:to>
    <xdr:pic>
      <xdr:nvPicPr>
        <xdr:cNvPr id="18" name="Picture 17">
          <a:extLst>
            <a:ext uri="{FF2B5EF4-FFF2-40B4-BE49-F238E27FC236}">
              <a16:creationId xmlns:a16="http://schemas.microsoft.com/office/drawing/2014/main" id="{28065428-CE8E-4338-B032-CB0FB4F7786D}"/>
            </a:ext>
          </a:extLst>
        </xdr:cNvPr>
        <xdr:cNvPicPr>
          <a:picLocks noChangeAspect="1"/>
        </xdr:cNvPicPr>
      </xdr:nvPicPr>
      <xdr:blipFill>
        <a:blip xmlns:r="http://schemas.openxmlformats.org/officeDocument/2006/relationships" r:embed="rId6"/>
        <a:stretch>
          <a:fillRect/>
        </a:stretch>
      </xdr:blipFill>
      <xdr:spPr>
        <a:xfrm rot="16200000">
          <a:off x="9267342" y="6844193"/>
          <a:ext cx="139817" cy="380035"/>
        </a:xfrm>
        <a:prstGeom prst="rect">
          <a:avLst/>
        </a:prstGeom>
      </xdr:spPr>
    </xdr:pic>
    <xdr:clientData/>
  </xdr:twoCellAnchor>
  <xdr:twoCellAnchor editAs="oneCell">
    <xdr:from>
      <xdr:col>70</xdr:col>
      <xdr:colOff>2381</xdr:colOff>
      <xdr:row>70</xdr:row>
      <xdr:rowOff>104773</xdr:rowOff>
    </xdr:from>
    <xdr:to>
      <xdr:col>71</xdr:col>
      <xdr:colOff>138019</xdr:colOff>
      <xdr:row>71</xdr:row>
      <xdr:rowOff>54090</xdr:rowOff>
    </xdr:to>
    <xdr:pic>
      <xdr:nvPicPr>
        <xdr:cNvPr id="19" name="Picture 18">
          <a:extLst>
            <a:ext uri="{FF2B5EF4-FFF2-40B4-BE49-F238E27FC236}">
              <a16:creationId xmlns:a16="http://schemas.microsoft.com/office/drawing/2014/main" id="{02D104F4-3421-4B69-ABF8-EAD822AF1955}"/>
            </a:ext>
          </a:extLst>
        </xdr:cNvPr>
        <xdr:cNvPicPr>
          <a:picLocks noChangeAspect="1"/>
        </xdr:cNvPicPr>
      </xdr:nvPicPr>
      <xdr:blipFill>
        <a:blip xmlns:r="http://schemas.openxmlformats.org/officeDocument/2006/relationships" r:embed="rId6"/>
        <a:stretch>
          <a:fillRect/>
        </a:stretch>
      </xdr:blipFill>
      <xdr:spPr>
        <a:xfrm rot="16200000">
          <a:off x="13457756" y="13319398"/>
          <a:ext cx="139817" cy="380567"/>
        </a:xfrm>
        <a:prstGeom prst="rect">
          <a:avLst/>
        </a:prstGeom>
      </xdr:spPr>
    </xdr:pic>
    <xdr:clientData/>
  </xdr:twoCellAnchor>
  <xdr:twoCellAnchor editAs="oneCell">
    <xdr:from>
      <xdr:col>35</xdr:col>
      <xdr:colOff>28575</xdr:colOff>
      <xdr:row>87</xdr:row>
      <xdr:rowOff>38100</xdr:rowOff>
    </xdr:from>
    <xdr:to>
      <xdr:col>35</xdr:col>
      <xdr:colOff>179239</xdr:colOff>
      <xdr:row>89</xdr:row>
      <xdr:rowOff>17100</xdr:rowOff>
    </xdr:to>
    <xdr:pic>
      <xdr:nvPicPr>
        <xdr:cNvPr id="20" name="Picture 19">
          <a:extLst>
            <a:ext uri="{FF2B5EF4-FFF2-40B4-BE49-F238E27FC236}">
              <a16:creationId xmlns:a16="http://schemas.microsoft.com/office/drawing/2014/main" id="{43B36519-3C2D-4653-9F37-97B6903B1268}"/>
            </a:ext>
          </a:extLst>
        </xdr:cNvPr>
        <xdr:cNvPicPr>
          <a:picLocks noChangeAspect="1"/>
        </xdr:cNvPicPr>
      </xdr:nvPicPr>
      <xdr:blipFill>
        <a:blip xmlns:r="http://schemas.openxmlformats.org/officeDocument/2006/relationships" r:embed="rId7"/>
        <a:stretch>
          <a:fillRect/>
        </a:stretch>
      </xdr:blipFill>
      <xdr:spPr>
        <a:xfrm rot="10800000">
          <a:off x="6696075" y="16611600"/>
          <a:ext cx="150664" cy="360000"/>
        </a:xfrm>
        <a:prstGeom prst="rect">
          <a:avLst/>
        </a:prstGeom>
      </xdr:spPr>
    </xdr:pic>
    <xdr:clientData/>
  </xdr:twoCellAnchor>
  <xdr:twoCellAnchor editAs="oneCell">
    <xdr:from>
      <xdr:col>36</xdr:col>
      <xdr:colOff>47732</xdr:colOff>
      <xdr:row>86</xdr:row>
      <xdr:rowOff>18943</xdr:rowOff>
    </xdr:from>
    <xdr:to>
      <xdr:col>37</xdr:col>
      <xdr:colOff>162804</xdr:colOff>
      <xdr:row>86</xdr:row>
      <xdr:rowOff>169607</xdr:rowOff>
    </xdr:to>
    <xdr:pic>
      <xdr:nvPicPr>
        <xdr:cNvPr id="21" name="Picture 20">
          <a:extLst>
            <a:ext uri="{FF2B5EF4-FFF2-40B4-BE49-F238E27FC236}">
              <a16:creationId xmlns:a16="http://schemas.microsoft.com/office/drawing/2014/main" id="{E28D5C72-C312-496E-8BCC-AEA7280B81D6}"/>
            </a:ext>
          </a:extLst>
        </xdr:cNvPr>
        <xdr:cNvPicPr>
          <a:picLocks noChangeAspect="1"/>
        </xdr:cNvPicPr>
      </xdr:nvPicPr>
      <xdr:blipFill>
        <a:blip xmlns:r="http://schemas.openxmlformats.org/officeDocument/2006/relationships" r:embed="rId7"/>
        <a:stretch>
          <a:fillRect/>
        </a:stretch>
      </xdr:blipFill>
      <xdr:spPr>
        <a:xfrm rot="16200000">
          <a:off x="7010400" y="16297275"/>
          <a:ext cx="150664" cy="360000"/>
        </a:xfrm>
        <a:prstGeom prst="rect">
          <a:avLst/>
        </a:prstGeom>
      </xdr:spPr>
    </xdr:pic>
    <xdr:clientData/>
  </xdr:twoCellAnchor>
  <xdr:twoCellAnchor editAs="oneCell">
    <xdr:from>
      <xdr:col>25</xdr:col>
      <xdr:colOff>190499</xdr:colOff>
      <xdr:row>8</xdr:row>
      <xdr:rowOff>113960</xdr:rowOff>
    </xdr:from>
    <xdr:to>
      <xdr:col>27</xdr:col>
      <xdr:colOff>29255</xdr:colOff>
      <xdr:row>11</xdr:row>
      <xdr:rowOff>4399</xdr:rowOff>
    </xdr:to>
    <xdr:pic>
      <xdr:nvPicPr>
        <xdr:cNvPr id="22" name="Picture 21">
          <a:extLst>
            <a:ext uri="{FF2B5EF4-FFF2-40B4-BE49-F238E27FC236}">
              <a16:creationId xmlns:a16="http://schemas.microsoft.com/office/drawing/2014/main" id="{BCA94F09-A27A-455E-B403-4F9465F86491}"/>
            </a:ext>
          </a:extLst>
        </xdr:cNvPr>
        <xdr:cNvPicPr>
          <a:picLocks noChangeAspect="1"/>
        </xdr:cNvPicPr>
      </xdr:nvPicPr>
      <xdr:blipFill>
        <a:blip xmlns:r="http://schemas.openxmlformats.org/officeDocument/2006/relationships" r:embed="rId7"/>
        <a:stretch>
          <a:fillRect/>
        </a:stretch>
      </xdr:blipFill>
      <xdr:spPr>
        <a:xfrm rot="10800000">
          <a:off x="4952999" y="1637960"/>
          <a:ext cx="328613" cy="461939"/>
        </a:xfrm>
        <a:prstGeom prst="rect">
          <a:avLst/>
        </a:prstGeom>
      </xdr:spPr>
    </xdr:pic>
    <xdr:clientData/>
  </xdr:twoCellAnchor>
  <xdr:twoCellAnchor editAs="oneCell">
    <xdr:from>
      <xdr:col>9</xdr:col>
      <xdr:colOff>107156</xdr:colOff>
      <xdr:row>73</xdr:row>
      <xdr:rowOff>2382</xdr:rowOff>
    </xdr:from>
    <xdr:to>
      <xdr:col>9</xdr:col>
      <xdr:colOff>242887</xdr:colOff>
      <xdr:row>75</xdr:row>
      <xdr:rowOff>493</xdr:rowOff>
    </xdr:to>
    <xdr:pic>
      <xdr:nvPicPr>
        <xdr:cNvPr id="23" name="Picture 22">
          <a:extLst>
            <a:ext uri="{FF2B5EF4-FFF2-40B4-BE49-F238E27FC236}">
              <a16:creationId xmlns:a16="http://schemas.microsoft.com/office/drawing/2014/main" id="{6D79F8B0-B637-4A30-8B73-4061EE9176ED}"/>
            </a:ext>
          </a:extLst>
        </xdr:cNvPr>
        <xdr:cNvPicPr>
          <a:picLocks noChangeAspect="1"/>
        </xdr:cNvPicPr>
      </xdr:nvPicPr>
      <xdr:blipFill>
        <a:blip xmlns:r="http://schemas.openxmlformats.org/officeDocument/2006/relationships" r:embed="rId6"/>
        <a:stretch>
          <a:fillRect/>
        </a:stretch>
      </xdr:blipFill>
      <xdr:spPr>
        <a:xfrm>
          <a:off x="1821656" y="13908882"/>
          <a:ext cx="135731" cy="379111"/>
        </a:xfrm>
        <a:prstGeom prst="rect">
          <a:avLst/>
        </a:prstGeom>
      </xdr:spPr>
    </xdr:pic>
    <xdr:clientData/>
  </xdr:twoCellAnchor>
  <xdr:twoCellAnchor editAs="oneCell">
    <xdr:from>
      <xdr:col>61</xdr:col>
      <xdr:colOff>109538</xdr:colOff>
      <xdr:row>75</xdr:row>
      <xdr:rowOff>2381</xdr:rowOff>
    </xdr:from>
    <xdr:to>
      <xdr:col>62</xdr:col>
      <xdr:colOff>341</xdr:colOff>
      <xdr:row>77</xdr:row>
      <xdr:rowOff>494</xdr:rowOff>
    </xdr:to>
    <xdr:pic>
      <xdr:nvPicPr>
        <xdr:cNvPr id="24" name="Picture 23">
          <a:extLst>
            <a:ext uri="{FF2B5EF4-FFF2-40B4-BE49-F238E27FC236}">
              <a16:creationId xmlns:a16="http://schemas.microsoft.com/office/drawing/2014/main" id="{C314AC8B-D978-4921-81EB-44C00AC263F5}"/>
            </a:ext>
          </a:extLst>
        </xdr:cNvPr>
        <xdr:cNvPicPr>
          <a:picLocks noChangeAspect="1"/>
        </xdr:cNvPicPr>
      </xdr:nvPicPr>
      <xdr:blipFill>
        <a:blip xmlns:r="http://schemas.openxmlformats.org/officeDocument/2006/relationships" r:embed="rId6"/>
        <a:stretch>
          <a:fillRect/>
        </a:stretch>
      </xdr:blipFill>
      <xdr:spPr>
        <a:xfrm>
          <a:off x="11730038" y="14289881"/>
          <a:ext cx="135731" cy="379113"/>
        </a:xfrm>
        <a:prstGeom prst="rect">
          <a:avLst/>
        </a:prstGeom>
      </xdr:spPr>
    </xdr:pic>
    <xdr:clientData/>
  </xdr:twoCellAnchor>
  <xdr:twoCellAnchor editAs="oneCell">
    <xdr:from>
      <xdr:col>34</xdr:col>
      <xdr:colOff>3238</xdr:colOff>
      <xdr:row>28</xdr:row>
      <xdr:rowOff>139638</xdr:rowOff>
    </xdr:from>
    <xdr:to>
      <xdr:col>35</xdr:col>
      <xdr:colOff>136073</xdr:colOff>
      <xdr:row>29</xdr:row>
      <xdr:rowOff>86359</xdr:rowOff>
    </xdr:to>
    <xdr:pic>
      <xdr:nvPicPr>
        <xdr:cNvPr id="25" name="Picture 24">
          <a:extLst>
            <a:ext uri="{FF2B5EF4-FFF2-40B4-BE49-F238E27FC236}">
              <a16:creationId xmlns:a16="http://schemas.microsoft.com/office/drawing/2014/main" id="{8ED4D899-F263-4268-A6AC-F4ABCF7884F5}"/>
            </a:ext>
          </a:extLst>
        </xdr:cNvPr>
        <xdr:cNvPicPr>
          <a:picLocks noChangeAspect="1"/>
        </xdr:cNvPicPr>
      </xdr:nvPicPr>
      <xdr:blipFill>
        <a:blip xmlns:r="http://schemas.openxmlformats.org/officeDocument/2006/relationships" r:embed="rId6"/>
        <a:stretch>
          <a:fillRect/>
        </a:stretch>
      </xdr:blipFill>
      <xdr:spPr>
        <a:xfrm rot="16200000">
          <a:off x="6600509" y="5353367"/>
          <a:ext cx="137221" cy="377764"/>
        </a:xfrm>
        <a:prstGeom prst="rect">
          <a:avLst/>
        </a:prstGeom>
      </xdr:spPr>
    </xdr:pic>
    <xdr:clientData/>
  </xdr:twoCellAnchor>
  <xdr:twoCellAnchor editAs="oneCell">
    <xdr:from>
      <xdr:col>41</xdr:col>
      <xdr:colOff>108364</xdr:colOff>
      <xdr:row>17</xdr:row>
      <xdr:rowOff>3554</xdr:rowOff>
    </xdr:from>
    <xdr:to>
      <xdr:col>42</xdr:col>
      <xdr:colOff>656</xdr:colOff>
      <xdr:row>19</xdr:row>
      <xdr:rowOff>318</xdr:rowOff>
    </xdr:to>
    <xdr:pic>
      <xdr:nvPicPr>
        <xdr:cNvPr id="26" name="Picture 25">
          <a:extLst>
            <a:ext uri="{FF2B5EF4-FFF2-40B4-BE49-F238E27FC236}">
              <a16:creationId xmlns:a16="http://schemas.microsoft.com/office/drawing/2014/main" id="{CD64A7E3-AA32-4035-83E6-7E243FCE9EB6}"/>
            </a:ext>
          </a:extLst>
        </xdr:cNvPr>
        <xdr:cNvPicPr>
          <a:picLocks noChangeAspect="1"/>
        </xdr:cNvPicPr>
      </xdr:nvPicPr>
      <xdr:blipFill>
        <a:blip xmlns:r="http://schemas.openxmlformats.org/officeDocument/2006/relationships" r:embed="rId6"/>
        <a:stretch>
          <a:fillRect/>
        </a:stretch>
      </xdr:blipFill>
      <xdr:spPr>
        <a:xfrm>
          <a:off x="7918864" y="3242054"/>
          <a:ext cx="137221" cy="377764"/>
        </a:xfrm>
        <a:prstGeom prst="rect">
          <a:avLst/>
        </a:prstGeom>
      </xdr:spPr>
    </xdr:pic>
    <xdr:clientData/>
  </xdr:twoCellAnchor>
  <xdr:twoCellAnchor editAs="oneCell">
    <xdr:from>
      <xdr:col>44</xdr:col>
      <xdr:colOff>3460</xdr:colOff>
      <xdr:row>40</xdr:row>
      <xdr:rowOff>135952</xdr:rowOff>
    </xdr:from>
    <xdr:to>
      <xdr:col>45</xdr:col>
      <xdr:colOff>136296</xdr:colOff>
      <xdr:row>41</xdr:row>
      <xdr:rowOff>82673</xdr:rowOff>
    </xdr:to>
    <xdr:pic>
      <xdr:nvPicPr>
        <xdr:cNvPr id="27" name="Picture 26">
          <a:extLst>
            <a:ext uri="{FF2B5EF4-FFF2-40B4-BE49-F238E27FC236}">
              <a16:creationId xmlns:a16="http://schemas.microsoft.com/office/drawing/2014/main" id="{C2FE5695-EAEC-4346-BDFE-7B33584646F5}"/>
            </a:ext>
          </a:extLst>
        </xdr:cNvPr>
        <xdr:cNvPicPr>
          <a:picLocks noChangeAspect="1"/>
        </xdr:cNvPicPr>
      </xdr:nvPicPr>
      <xdr:blipFill>
        <a:blip xmlns:r="http://schemas.openxmlformats.org/officeDocument/2006/relationships" r:embed="rId6"/>
        <a:stretch>
          <a:fillRect/>
        </a:stretch>
      </xdr:blipFill>
      <xdr:spPr>
        <a:xfrm rot="5400000">
          <a:off x="8505732" y="7635680"/>
          <a:ext cx="137221" cy="377765"/>
        </a:xfrm>
        <a:prstGeom prst="rect">
          <a:avLst/>
        </a:prstGeom>
      </xdr:spPr>
    </xdr:pic>
    <xdr:clientData/>
  </xdr:twoCellAnchor>
  <xdr:twoCellAnchor editAs="oneCell">
    <xdr:from>
      <xdr:col>37</xdr:col>
      <xdr:colOff>141514</xdr:colOff>
      <xdr:row>37</xdr:row>
      <xdr:rowOff>2722</xdr:rowOff>
    </xdr:from>
    <xdr:to>
      <xdr:col>38</xdr:col>
      <xdr:colOff>33806</xdr:colOff>
      <xdr:row>39</xdr:row>
      <xdr:rowOff>4132</xdr:rowOff>
    </xdr:to>
    <xdr:pic>
      <xdr:nvPicPr>
        <xdr:cNvPr id="28" name="Picture 27">
          <a:extLst>
            <a:ext uri="{FF2B5EF4-FFF2-40B4-BE49-F238E27FC236}">
              <a16:creationId xmlns:a16="http://schemas.microsoft.com/office/drawing/2014/main" id="{BBA643E7-156E-4C6E-9D1B-18F3FB152FBE}"/>
            </a:ext>
          </a:extLst>
        </xdr:cNvPr>
        <xdr:cNvPicPr>
          <a:picLocks noChangeAspect="1"/>
        </xdr:cNvPicPr>
      </xdr:nvPicPr>
      <xdr:blipFill>
        <a:blip xmlns:r="http://schemas.openxmlformats.org/officeDocument/2006/relationships" r:embed="rId6"/>
        <a:stretch>
          <a:fillRect/>
        </a:stretch>
      </xdr:blipFill>
      <xdr:spPr>
        <a:xfrm>
          <a:off x="7190014" y="7051222"/>
          <a:ext cx="137221" cy="382410"/>
        </a:xfrm>
        <a:prstGeom prst="rect">
          <a:avLst/>
        </a:prstGeom>
      </xdr:spPr>
    </xdr:pic>
    <xdr:clientData/>
  </xdr:twoCellAnchor>
  <xdr:twoCellAnchor editAs="oneCell">
    <xdr:from>
      <xdr:col>46</xdr:col>
      <xdr:colOff>2193</xdr:colOff>
      <xdr:row>48</xdr:row>
      <xdr:rowOff>139322</xdr:rowOff>
    </xdr:from>
    <xdr:to>
      <xdr:col>47</xdr:col>
      <xdr:colOff>139674</xdr:colOff>
      <xdr:row>49</xdr:row>
      <xdr:rowOff>86043</xdr:rowOff>
    </xdr:to>
    <xdr:pic>
      <xdr:nvPicPr>
        <xdr:cNvPr id="29" name="Picture 28">
          <a:extLst>
            <a:ext uri="{FF2B5EF4-FFF2-40B4-BE49-F238E27FC236}">
              <a16:creationId xmlns:a16="http://schemas.microsoft.com/office/drawing/2014/main" id="{45E31057-A6C0-4C34-8735-7521147F7DDC}"/>
            </a:ext>
          </a:extLst>
        </xdr:cNvPr>
        <xdr:cNvPicPr>
          <a:picLocks noChangeAspect="1"/>
        </xdr:cNvPicPr>
      </xdr:nvPicPr>
      <xdr:blipFill>
        <a:blip xmlns:r="http://schemas.openxmlformats.org/officeDocument/2006/relationships" r:embed="rId6"/>
        <a:stretch>
          <a:fillRect/>
        </a:stretch>
      </xdr:blipFill>
      <xdr:spPr>
        <a:xfrm rot="5400000">
          <a:off x="8887787" y="9160728"/>
          <a:ext cx="137221" cy="382410"/>
        </a:xfrm>
        <a:prstGeom prst="rect">
          <a:avLst/>
        </a:prstGeom>
      </xdr:spPr>
    </xdr:pic>
    <xdr:clientData/>
  </xdr:twoCellAnchor>
  <xdr:twoCellAnchor editAs="oneCell">
    <xdr:from>
      <xdr:col>51</xdr:col>
      <xdr:colOff>136071</xdr:colOff>
      <xdr:row>51</xdr:row>
      <xdr:rowOff>5443</xdr:rowOff>
    </xdr:from>
    <xdr:to>
      <xdr:col>52</xdr:col>
      <xdr:colOff>28363</xdr:colOff>
      <xdr:row>53</xdr:row>
      <xdr:rowOff>2207</xdr:rowOff>
    </xdr:to>
    <xdr:pic>
      <xdr:nvPicPr>
        <xdr:cNvPr id="30" name="Picture 29">
          <a:extLst>
            <a:ext uri="{FF2B5EF4-FFF2-40B4-BE49-F238E27FC236}">
              <a16:creationId xmlns:a16="http://schemas.microsoft.com/office/drawing/2014/main" id="{F17826B0-5057-41E0-8609-A38C769564E1}"/>
            </a:ext>
          </a:extLst>
        </xdr:cNvPr>
        <xdr:cNvPicPr>
          <a:picLocks noChangeAspect="1"/>
        </xdr:cNvPicPr>
      </xdr:nvPicPr>
      <xdr:blipFill>
        <a:blip xmlns:r="http://schemas.openxmlformats.org/officeDocument/2006/relationships" r:embed="rId6"/>
        <a:stretch>
          <a:fillRect/>
        </a:stretch>
      </xdr:blipFill>
      <xdr:spPr>
        <a:xfrm>
          <a:off x="9851571" y="9720943"/>
          <a:ext cx="137221" cy="377764"/>
        </a:xfrm>
        <a:prstGeom prst="rect">
          <a:avLst/>
        </a:prstGeom>
      </xdr:spPr>
    </xdr:pic>
    <xdr:clientData/>
  </xdr:twoCellAnchor>
  <xdr:twoCellAnchor editAs="oneCell">
    <xdr:from>
      <xdr:col>46</xdr:col>
      <xdr:colOff>3752</xdr:colOff>
      <xdr:row>66</xdr:row>
      <xdr:rowOff>151031</xdr:rowOff>
    </xdr:from>
    <xdr:to>
      <xdr:col>46</xdr:col>
      <xdr:colOff>191511</xdr:colOff>
      <xdr:row>67</xdr:row>
      <xdr:rowOff>51017</xdr:rowOff>
    </xdr:to>
    <xdr:pic>
      <xdr:nvPicPr>
        <xdr:cNvPr id="31" name="Picture 30">
          <a:extLst>
            <a:ext uri="{FF2B5EF4-FFF2-40B4-BE49-F238E27FC236}">
              <a16:creationId xmlns:a16="http://schemas.microsoft.com/office/drawing/2014/main" id="{BE870844-114F-401D-9650-59588A0FE3FB}"/>
            </a:ext>
          </a:extLst>
        </xdr:cNvPr>
        <xdr:cNvPicPr>
          <a:picLocks noChangeAspect="1"/>
        </xdr:cNvPicPr>
      </xdr:nvPicPr>
      <xdr:blipFill>
        <a:blip xmlns:r="http://schemas.openxmlformats.org/officeDocument/2006/relationships" r:embed="rId4"/>
        <a:stretch>
          <a:fillRect/>
        </a:stretch>
      </xdr:blipFill>
      <xdr:spPr>
        <a:xfrm rot="16200000">
          <a:off x="8815389" y="12675394"/>
          <a:ext cx="90486" cy="187759"/>
        </a:xfrm>
        <a:prstGeom prst="rect">
          <a:avLst/>
        </a:prstGeom>
      </xdr:spPr>
    </xdr:pic>
    <xdr:clientData/>
  </xdr:twoCellAnchor>
  <xdr:twoCellAnchor editAs="oneCell">
    <xdr:from>
      <xdr:col>33</xdr:col>
      <xdr:colOff>107157</xdr:colOff>
      <xdr:row>3</xdr:row>
      <xdr:rowOff>2382</xdr:rowOff>
    </xdr:from>
    <xdr:to>
      <xdr:col>33</xdr:col>
      <xdr:colOff>242889</xdr:colOff>
      <xdr:row>4</xdr:row>
      <xdr:rowOff>190144</xdr:rowOff>
    </xdr:to>
    <xdr:pic>
      <xdr:nvPicPr>
        <xdr:cNvPr id="32" name="Picture 31">
          <a:extLst>
            <a:ext uri="{FF2B5EF4-FFF2-40B4-BE49-F238E27FC236}">
              <a16:creationId xmlns:a16="http://schemas.microsoft.com/office/drawing/2014/main" id="{564AD1C5-C7E3-4081-B8A8-927208133C94}"/>
            </a:ext>
          </a:extLst>
        </xdr:cNvPr>
        <xdr:cNvPicPr>
          <a:picLocks noChangeAspect="1"/>
        </xdr:cNvPicPr>
      </xdr:nvPicPr>
      <xdr:blipFill>
        <a:blip xmlns:r="http://schemas.openxmlformats.org/officeDocument/2006/relationships" r:embed="rId6"/>
        <a:stretch>
          <a:fillRect/>
        </a:stretch>
      </xdr:blipFill>
      <xdr:spPr>
        <a:xfrm>
          <a:off x="6393657" y="573882"/>
          <a:ext cx="135732" cy="378262"/>
        </a:xfrm>
        <a:prstGeom prst="rect">
          <a:avLst/>
        </a:prstGeom>
      </xdr:spPr>
    </xdr:pic>
    <xdr:clientData/>
  </xdr:twoCellAnchor>
  <xdr:twoCellAnchor editAs="oneCell">
    <xdr:from>
      <xdr:col>67</xdr:col>
      <xdr:colOff>89341</xdr:colOff>
      <xdr:row>73</xdr:row>
      <xdr:rowOff>2381</xdr:rowOff>
    </xdr:from>
    <xdr:to>
      <xdr:col>68</xdr:col>
      <xdr:colOff>26879</xdr:colOff>
      <xdr:row>75</xdr:row>
      <xdr:rowOff>0</xdr:rowOff>
    </xdr:to>
    <xdr:pic>
      <xdr:nvPicPr>
        <xdr:cNvPr id="33" name="Picture 32">
          <a:extLst>
            <a:ext uri="{FF2B5EF4-FFF2-40B4-BE49-F238E27FC236}">
              <a16:creationId xmlns:a16="http://schemas.microsoft.com/office/drawing/2014/main" id="{0EE0F02E-35EF-46DC-9797-A85FC3494B2E}"/>
            </a:ext>
          </a:extLst>
        </xdr:cNvPr>
        <xdr:cNvPicPr>
          <a:picLocks noChangeAspect="1"/>
        </xdr:cNvPicPr>
      </xdr:nvPicPr>
      <xdr:blipFill>
        <a:blip xmlns:r="http://schemas.openxmlformats.org/officeDocument/2006/relationships" r:embed="rId4"/>
        <a:stretch>
          <a:fillRect/>
        </a:stretch>
      </xdr:blipFill>
      <xdr:spPr>
        <a:xfrm>
          <a:off x="12852841" y="13908881"/>
          <a:ext cx="182467" cy="378619"/>
        </a:xfrm>
        <a:prstGeom prst="rect">
          <a:avLst/>
        </a:prstGeom>
      </xdr:spPr>
    </xdr:pic>
    <xdr:clientData/>
  </xdr:twoCellAnchor>
  <xdr:twoCellAnchor editAs="oneCell">
    <xdr:from>
      <xdr:col>32</xdr:col>
      <xdr:colOff>2073</xdr:colOff>
      <xdr:row>14</xdr:row>
      <xdr:rowOff>128896</xdr:rowOff>
    </xdr:from>
    <xdr:to>
      <xdr:col>33</xdr:col>
      <xdr:colOff>140410</xdr:colOff>
      <xdr:row>15</xdr:row>
      <xdr:rowOff>97323</xdr:rowOff>
    </xdr:to>
    <xdr:pic>
      <xdr:nvPicPr>
        <xdr:cNvPr id="34" name="Picture 33">
          <a:extLst>
            <a:ext uri="{FF2B5EF4-FFF2-40B4-BE49-F238E27FC236}">
              <a16:creationId xmlns:a16="http://schemas.microsoft.com/office/drawing/2014/main" id="{5C2B7AD4-33C1-42BE-B99A-55F90A3704DC}"/>
            </a:ext>
          </a:extLst>
        </xdr:cNvPr>
        <xdr:cNvPicPr>
          <a:picLocks noChangeAspect="1"/>
        </xdr:cNvPicPr>
      </xdr:nvPicPr>
      <xdr:blipFill>
        <a:blip xmlns:r="http://schemas.openxmlformats.org/officeDocument/2006/relationships" r:embed="rId3"/>
        <a:stretch>
          <a:fillRect/>
        </a:stretch>
      </xdr:blipFill>
      <xdr:spPr>
        <a:xfrm rot="5400000">
          <a:off x="6210242" y="2683727"/>
          <a:ext cx="158927" cy="383266"/>
        </a:xfrm>
        <a:prstGeom prst="rect">
          <a:avLst/>
        </a:prstGeom>
      </xdr:spPr>
    </xdr:pic>
    <xdr:clientData/>
  </xdr:twoCellAnchor>
  <xdr:twoCellAnchor editAs="oneCell">
    <xdr:from>
      <xdr:col>26</xdr:col>
      <xdr:colOff>1716</xdr:colOff>
      <xdr:row>42</xdr:row>
      <xdr:rowOff>125504</xdr:rowOff>
    </xdr:from>
    <xdr:to>
      <xdr:col>27</xdr:col>
      <xdr:colOff>139337</xdr:colOff>
      <xdr:row>43</xdr:row>
      <xdr:rowOff>93601</xdr:rowOff>
    </xdr:to>
    <xdr:pic>
      <xdr:nvPicPr>
        <xdr:cNvPr id="35" name="Picture 34">
          <a:extLst>
            <a:ext uri="{FF2B5EF4-FFF2-40B4-BE49-F238E27FC236}">
              <a16:creationId xmlns:a16="http://schemas.microsoft.com/office/drawing/2014/main" id="{9D61A89C-A457-48A6-9DC0-1E68F46EDDDC}"/>
            </a:ext>
          </a:extLst>
        </xdr:cNvPr>
        <xdr:cNvPicPr>
          <a:picLocks noChangeAspect="1"/>
        </xdr:cNvPicPr>
      </xdr:nvPicPr>
      <xdr:blipFill>
        <a:blip xmlns:r="http://schemas.openxmlformats.org/officeDocument/2006/relationships" r:embed="rId3"/>
        <a:stretch>
          <a:fillRect/>
        </a:stretch>
      </xdr:blipFill>
      <xdr:spPr>
        <a:xfrm rot="16200000">
          <a:off x="5066692" y="8014528"/>
          <a:ext cx="158597" cy="382549"/>
        </a:xfrm>
        <a:prstGeom prst="rect">
          <a:avLst/>
        </a:prstGeom>
      </xdr:spPr>
    </xdr:pic>
    <xdr:clientData/>
  </xdr:twoCellAnchor>
  <xdr:twoCellAnchor>
    <xdr:from>
      <xdr:col>38</xdr:col>
      <xdr:colOff>48859</xdr:colOff>
      <xdr:row>72</xdr:row>
      <xdr:rowOff>178715</xdr:rowOff>
    </xdr:from>
    <xdr:to>
      <xdr:col>40</xdr:col>
      <xdr:colOff>104522</xdr:colOff>
      <xdr:row>80</xdr:row>
      <xdr:rowOff>110244</xdr:rowOff>
    </xdr:to>
    <xdr:sp macro="" textlink="">
      <xdr:nvSpPr>
        <xdr:cNvPr id="36" name="Trapezoid 35">
          <a:extLst>
            <a:ext uri="{FF2B5EF4-FFF2-40B4-BE49-F238E27FC236}">
              <a16:creationId xmlns:a16="http://schemas.microsoft.com/office/drawing/2014/main" id="{5433BBD4-F910-4C87-A338-8707616C7E14}"/>
            </a:ext>
          </a:extLst>
        </xdr:cNvPr>
        <xdr:cNvSpPr/>
      </xdr:nvSpPr>
      <xdr:spPr>
        <a:xfrm rot="7804608">
          <a:off x="6778426" y="14404148"/>
          <a:ext cx="1455529" cy="43666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35</xdr:col>
      <xdr:colOff>96239</xdr:colOff>
      <xdr:row>71</xdr:row>
      <xdr:rowOff>139659</xdr:rowOff>
    </xdr:from>
    <xdr:to>
      <xdr:col>36</xdr:col>
      <xdr:colOff>138235</xdr:colOff>
      <xdr:row>79</xdr:row>
      <xdr:rowOff>92423</xdr:rowOff>
    </xdr:to>
    <xdr:sp macro="" textlink="">
      <xdr:nvSpPr>
        <xdr:cNvPr id="37" name="Trapezoid 36">
          <a:extLst>
            <a:ext uri="{FF2B5EF4-FFF2-40B4-BE49-F238E27FC236}">
              <a16:creationId xmlns:a16="http://schemas.microsoft.com/office/drawing/2014/main" id="{46AD88D6-21F0-4301-A7F7-9A5EC946D0D4}"/>
            </a:ext>
          </a:extLst>
        </xdr:cNvPr>
        <xdr:cNvSpPr/>
      </xdr:nvSpPr>
      <xdr:spPr>
        <a:xfrm rot="18656535">
          <a:off x="6141605" y="14287293"/>
          <a:ext cx="1476764" cy="232496"/>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41</xdr:col>
      <xdr:colOff>19101</xdr:colOff>
      <xdr:row>83</xdr:row>
      <xdr:rowOff>156819</xdr:rowOff>
    </xdr:from>
    <xdr:to>
      <xdr:col>50</xdr:col>
      <xdr:colOff>17524</xdr:colOff>
      <xdr:row>86</xdr:row>
      <xdr:rowOff>21982</xdr:rowOff>
    </xdr:to>
    <xdr:sp macro="" textlink="">
      <xdr:nvSpPr>
        <xdr:cNvPr id="38" name="Trapezoid 37">
          <a:extLst>
            <a:ext uri="{FF2B5EF4-FFF2-40B4-BE49-F238E27FC236}">
              <a16:creationId xmlns:a16="http://schemas.microsoft.com/office/drawing/2014/main" id="{76012FA4-7BFD-47AA-BB6E-A236D202EE8F}"/>
            </a:ext>
          </a:extLst>
        </xdr:cNvPr>
        <xdr:cNvSpPr/>
      </xdr:nvSpPr>
      <xdr:spPr>
        <a:xfrm rot="8166194">
          <a:off x="7829601" y="15968319"/>
          <a:ext cx="1712923" cy="43666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39</xdr:col>
      <xdr:colOff>41895</xdr:colOff>
      <xdr:row>81</xdr:row>
      <xdr:rowOff>101974</xdr:rowOff>
    </xdr:from>
    <xdr:to>
      <xdr:col>46</xdr:col>
      <xdr:colOff>43885</xdr:colOff>
      <xdr:row>83</xdr:row>
      <xdr:rowOff>157637</xdr:rowOff>
    </xdr:to>
    <xdr:sp macro="" textlink="">
      <xdr:nvSpPr>
        <xdr:cNvPr id="39" name="Trapezoid 38">
          <a:extLst>
            <a:ext uri="{FF2B5EF4-FFF2-40B4-BE49-F238E27FC236}">
              <a16:creationId xmlns:a16="http://schemas.microsoft.com/office/drawing/2014/main" id="{F780F1AF-0A0D-4627-AD53-4ADF2E57DF86}"/>
            </a:ext>
          </a:extLst>
        </xdr:cNvPr>
        <xdr:cNvSpPr/>
      </xdr:nvSpPr>
      <xdr:spPr>
        <a:xfrm rot="18966570">
          <a:off x="7471395" y="15532474"/>
          <a:ext cx="1335490" cy="436663"/>
        </a:xfrm>
        <a:prstGeom prst="trapezoid">
          <a:avLst>
            <a:gd name="adj" fmla="val 10257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47</xdr:col>
      <xdr:colOff>80353</xdr:colOff>
      <xdr:row>69</xdr:row>
      <xdr:rowOff>72004</xdr:rowOff>
    </xdr:from>
    <xdr:to>
      <xdr:col>48</xdr:col>
      <xdr:colOff>122349</xdr:colOff>
      <xdr:row>79</xdr:row>
      <xdr:rowOff>165800</xdr:rowOff>
    </xdr:to>
    <xdr:sp macro="" textlink="">
      <xdr:nvSpPr>
        <xdr:cNvPr id="40" name="Trapezoid 39">
          <a:extLst>
            <a:ext uri="{FF2B5EF4-FFF2-40B4-BE49-F238E27FC236}">
              <a16:creationId xmlns:a16="http://schemas.microsoft.com/office/drawing/2014/main" id="{7E9309AB-4607-4CC6-84A1-7E788B381DF4}"/>
            </a:ext>
          </a:extLst>
        </xdr:cNvPr>
        <xdr:cNvSpPr/>
      </xdr:nvSpPr>
      <xdr:spPr>
        <a:xfrm rot="18656535">
          <a:off x="8150703" y="14099654"/>
          <a:ext cx="1998796" cy="232496"/>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50</xdr:col>
      <xdr:colOff>3661</xdr:colOff>
      <xdr:row>71</xdr:row>
      <xdr:rowOff>60522</xdr:rowOff>
    </xdr:from>
    <xdr:to>
      <xdr:col>51</xdr:col>
      <xdr:colOff>3343</xdr:colOff>
      <xdr:row>80</xdr:row>
      <xdr:rowOff>61450</xdr:rowOff>
    </xdr:to>
    <xdr:sp macro="" textlink="">
      <xdr:nvSpPr>
        <xdr:cNvPr id="41" name="Trapezoid 40">
          <a:extLst>
            <a:ext uri="{FF2B5EF4-FFF2-40B4-BE49-F238E27FC236}">
              <a16:creationId xmlns:a16="http://schemas.microsoft.com/office/drawing/2014/main" id="{F8916A53-9B3E-4BCC-A712-170B04354D9F}"/>
            </a:ext>
          </a:extLst>
        </xdr:cNvPr>
        <xdr:cNvSpPr/>
      </xdr:nvSpPr>
      <xdr:spPr>
        <a:xfrm rot="7804608">
          <a:off x="8766038" y="14348645"/>
          <a:ext cx="1715428" cy="1901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35</xdr:col>
      <xdr:colOff>140494</xdr:colOff>
      <xdr:row>3</xdr:row>
      <xdr:rowOff>2382</xdr:rowOff>
    </xdr:from>
    <xdr:to>
      <xdr:col>36</xdr:col>
      <xdr:colOff>31297</xdr:colOff>
      <xdr:row>4</xdr:row>
      <xdr:rowOff>190144</xdr:rowOff>
    </xdr:to>
    <xdr:pic>
      <xdr:nvPicPr>
        <xdr:cNvPr id="42" name="Picture 41">
          <a:extLst>
            <a:ext uri="{FF2B5EF4-FFF2-40B4-BE49-F238E27FC236}">
              <a16:creationId xmlns:a16="http://schemas.microsoft.com/office/drawing/2014/main" id="{15F4BFB6-E3F4-4128-A564-788ABB25A8AB}"/>
            </a:ext>
          </a:extLst>
        </xdr:cNvPr>
        <xdr:cNvPicPr>
          <a:picLocks noChangeAspect="1"/>
        </xdr:cNvPicPr>
      </xdr:nvPicPr>
      <xdr:blipFill>
        <a:blip xmlns:r="http://schemas.openxmlformats.org/officeDocument/2006/relationships" r:embed="rId6"/>
        <a:stretch>
          <a:fillRect/>
        </a:stretch>
      </xdr:blipFill>
      <xdr:spPr>
        <a:xfrm>
          <a:off x="6807994" y="573882"/>
          <a:ext cx="135732" cy="378262"/>
        </a:xfrm>
        <a:prstGeom prst="rect">
          <a:avLst/>
        </a:prstGeom>
      </xdr:spPr>
    </xdr:pic>
    <xdr:clientData/>
  </xdr:twoCellAnchor>
  <xdr:twoCellAnchor editAs="oneCell">
    <xdr:from>
      <xdr:col>12</xdr:col>
      <xdr:colOff>58910</xdr:colOff>
      <xdr:row>35</xdr:row>
      <xdr:rowOff>122992</xdr:rowOff>
    </xdr:from>
    <xdr:to>
      <xdr:col>14</xdr:col>
      <xdr:colOff>143053</xdr:colOff>
      <xdr:row>37</xdr:row>
      <xdr:rowOff>125843</xdr:rowOff>
    </xdr:to>
    <xdr:pic>
      <xdr:nvPicPr>
        <xdr:cNvPr id="43" name="Picture 42">
          <a:extLst>
            <a:ext uri="{FF2B5EF4-FFF2-40B4-BE49-F238E27FC236}">
              <a16:creationId xmlns:a16="http://schemas.microsoft.com/office/drawing/2014/main" id="{B6DB4476-422F-4E61-B7C8-117CB17FB15A}"/>
            </a:ext>
          </a:extLst>
        </xdr:cNvPr>
        <xdr:cNvPicPr>
          <a:picLocks noChangeAspect="1"/>
        </xdr:cNvPicPr>
      </xdr:nvPicPr>
      <xdr:blipFill>
        <a:blip xmlns:r="http://schemas.openxmlformats.org/officeDocument/2006/relationships" r:embed="rId7"/>
        <a:stretch>
          <a:fillRect/>
        </a:stretch>
      </xdr:blipFill>
      <xdr:spPr>
        <a:xfrm rot="13538988">
          <a:off x="2439984" y="6695418"/>
          <a:ext cx="383851" cy="574000"/>
        </a:xfrm>
        <a:prstGeom prst="rect">
          <a:avLst/>
        </a:prstGeom>
      </xdr:spPr>
    </xdr:pic>
    <xdr:clientData/>
  </xdr:twoCellAnchor>
  <xdr:twoCellAnchor>
    <xdr:from>
      <xdr:col>6</xdr:col>
      <xdr:colOff>111399</xdr:colOff>
      <xdr:row>62</xdr:row>
      <xdr:rowOff>155725</xdr:rowOff>
    </xdr:from>
    <xdr:to>
      <xdr:col>12</xdr:col>
      <xdr:colOff>64192</xdr:colOff>
      <xdr:row>64</xdr:row>
      <xdr:rowOff>22186</xdr:rowOff>
    </xdr:to>
    <xdr:sp macro="" textlink="">
      <xdr:nvSpPr>
        <xdr:cNvPr id="44" name="Trapezoid 43">
          <a:extLst>
            <a:ext uri="{FF2B5EF4-FFF2-40B4-BE49-F238E27FC236}">
              <a16:creationId xmlns:a16="http://schemas.microsoft.com/office/drawing/2014/main" id="{BA87B5E0-5F84-47DF-A46A-86E16F6618A1}"/>
            </a:ext>
          </a:extLst>
        </xdr:cNvPr>
        <xdr:cNvSpPr/>
      </xdr:nvSpPr>
      <xdr:spPr>
        <a:xfrm rot="13483766">
          <a:off x="1254399" y="11966725"/>
          <a:ext cx="1095793" cy="247461"/>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124213</xdr:colOff>
      <xdr:row>61</xdr:row>
      <xdr:rowOff>189875</xdr:rowOff>
    </xdr:from>
    <xdr:to>
      <xdr:col>15</xdr:col>
      <xdr:colOff>43579</xdr:colOff>
      <xdr:row>63</xdr:row>
      <xdr:rowOff>20839</xdr:rowOff>
    </xdr:to>
    <xdr:sp macro="" textlink="">
      <xdr:nvSpPr>
        <xdr:cNvPr id="45" name="Trapezoid 44">
          <a:extLst>
            <a:ext uri="{FF2B5EF4-FFF2-40B4-BE49-F238E27FC236}">
              <a16:creationId xmlns:a16="http://schemas.microsoft.com/office/drawing/2014/main" id="{25C26A44-BBE1-44AE-AC0F-039547A92E79}"/>
            </a:ext>
          </a:extLst>
        </xdr:cNvPr>
        <xdr:cNvSpPr/>
      </xdr:nvSpPr>
      <xdr:spPr>
        <a:xfrm rot="13483766" flipV="1">
          <a:off x="1838713" y="11810375"/>
          <a:ext cx="1062366" cy="211964"/>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159442</xdr:colOff>
      <xdr:row>67</xdr:row>
      <xdr:rowOff>99798</xdr:rowOff>
    </xdr:from>
    <xdr:to>
      <xdr:col>24</xdr:col>
      <xdr:colOff>2302</xdr:colOff>
      <xdr:row>68</xdr:row>
      <xdr:rowOff>120290</xdr:rowOff>
    </xdr:to>
    <xdr:sp macro="" textlink="">
      <xdr:nvSpPr>
        <xdr:cNvPr id="46" name="Trapezoid 45">
          <a:extLst>
            <a:ext uri="{FF2B5EF4-FFF2-40B4-BE49-F238E27FC236}">
              <a16:creationId xmlns:a16="http://schemas.microsoft.com/office/drawing/2014/main" id="{555B1769-2E0A-4A10-8DF0-8D1FA03E440D}"/>
            </a:ext>
          </a:extLst>
        </xdr:cNvPr>
        <xdr:cNvSpPr/>
      </xdr:nvSpPr>
      <xdr:spPr>
        <a:xfrm rot="13483766" flipV="1">
          <a:off x="3778942" y="12863298"/>
          <a:ext cx="795360" cy="21099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47355</xdr:colOff>
      <xdr:row>75</xdr:row>
      <xdr:rowOff>2442</xdr:rowOff>
    </xdr:from>
    <xdr:to>
      <xdr:col>33</xdr:col>
      <xdr:colOff>133113</xdr:colOff>
      <xdr:row>76</xdr:row>
      <xdr:rowOff>26685</xdr:rowOff>
    </xdr:to>
    <xdr:sp macro="" textlink="">
      <xdr:nvSpPr>
        <xdr:cNvPr id="47" name="Trapezoid 46">
          <a:extLst>
            <a:ext uri="{FF2B5EF4-FFF2-40B4-BE49-F238E27FC236}">
              <a16:creationId xmlns:a16="http://schemas.microsoft.com/office/drawing/2014/main" id="{995DC1F5-AF69-47DC-B7E4-3499A90A626A}"/>
            </a:ext>
          </a:extLst>
        </xdr:cNvPr>
        <xdr:cNvSpPr/>
      </xdr:nvSpPr>
      <xdr:spPr>
        <a:xfrm rot="13483766" flipV="1">
          <a:off x="4809855" y="14289942"/>
          <a:ext cx="1609758" cy="21474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95544</xdr:colOff>
      <xdr:row>76</xdr:row>
      <xdr:rowOff>161694</xdr:rowOff>
    </xdr:from>
    <xdr:to>
      <xdr:col>32</xdr:col>
      <xdr:colOff>109185</xdr:colOff>
      <xdr:row>78</xdr:row>
      <xdr:rowOff>9767</xdr:rowOff>
    </xdr:to>
    <xdr:sp macro="" textlink="">
      <xdr:nvSpPr>
        <xdr:cNvPr id="48" name="Trapezoid 47">
          <a:extLst>
            <a:ext uri="{FF2B5EF4-FFF2-40B4-BE49-F238E27FC236}">
              <a16:creationId xmlns:a16="http://schemas.microsoft.com/office/drawing/2014/main" id="{DD74B894-ACA6-49D9-A14F-F9930D926772}"/>
            </a:ext>
          </a:extLst>
        </xdr:cNvPr>
        <xdr:cNvSpPr/>
      </xdr:nvSpPr>
      <xdr:spPr>
        <a:xfrm rot="13483766">
          <a:off x="3524544" y="14639694"/>
          <a:ext cx="2680641" cy="22907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70</xdr:col>
      <xdr:colOff>22583</xdr:colOff>
      <xdr:row>80</xdr:row>
      <xdr:rowOff>100403</xdr:rowOff>
    </xdr:from>
    <xdr:to>
      <xdr:col>72</xdr:col>
      <xdr:colOff>119400</xdr:colOff>
      <xdr:row>81</xdr:row>
      <xdr:rowOff>100085</xdr:rowOff>
    </xdr:to>
    <xdr:sp macro="" textlink="">
      <xdr:nvSpPr>
        <xdr:cNvPr id="49" name="Trapezoid 48">
          <a:extLst>
            <a:ext uri="{FF2B5EF4-FFF2-40B4-BE49-F238E27FC236}">
              <a16:creationId xmlns:a16="http://schemas.microsoft.com/office/drawing/2014/main" id="{A57C0419-D9B2-49A4-AAD3-064719ECEC08}"/>
            </a:ext>
          </a:extLst>
        </xdr:cNvPr>
        <xdr:cNvSpPr/>
      </xdr:nvSpPr>
      <xdr:spPr>
        <a:xfrm rot="8814585">
          <a:off x="13357583" y="15340403"/>
          <a:ext cx="477817" cy="1901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119064</xdr:colOff>
      <xdr:row>76</xdr:row>
      <xdr:rowOff>47625</xdr:rowOff>
    </xdr:from>
    <xdr:to>
      <xdr:col>71</xdr:col>
      <xdr:colOff>157164</xdr:colOff>
      <xdr:row>81</xdr:row>
      <xdr:rowOff>54769</xdr:rowOff>
    </xdr:to>
    <xdr:sp macro="" textlink="">
      <xdr:nvSpPr>
        <xdr:cNvPr id="50" name="Oval 49">
          <a:extLst>
            <a:ext uri="{FF2B5EF4-FFF2-40B4-BE49-F238E27FC236}">
              <a16:creationId xmlns:a16="http://schemas.microsoft.com/office/drawing/2014/main" id="{CDB84DAB-E5EF-4016-9829-50EE46861920}"/>
            </a:ext>
          </a:extLst>
        </xdr:cNvPr>
        <xdr:cNvSpPr/>
      </xdr:nvSpPr>
      <xdr:spPr>
        <a:xfrm>
          <a:off x="12692064" y="14525625"/>
          <a:ext cx="990600" cy="959644"/>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68</xdr:col>
      <xdr:colOff>14288</xdr:colOff>
      <xdr:row>80</xdr:row>
      <xdr:rowOff>185738</xdr:rowOff>
    </xdr:from>
    <xdr:to>
      <xdr:col>69</xdr:col>
      <xdr:colOff>176213</xdr:colOff>
      <xdr:row>81</xdr:row>
      <xdr:rowOff>61913</xdr:rowOff>
    </xdr:to>
    <xdr:sp macro="" textlink="">
      <xdr:nvSpPr>
        <xdr:cNvPr id="51" name="Rectangle 50">
          <a:extLst>
            <a:ext uri="{FF2B5EF4-FFF2-40B4-BE49-F238E27FC236}">
              <a16:creationId xmlns:a16="http://schemas.microsoft.com/office/drawing/2014/main" id="{3325D162-BC88-4724-BE22-904F900F7B17}"/>
            </a:ext>
          </a:extLst>
        </xdr:cNvPr>
        <xdr:cNvSpPr/>
      </xdr:nvSpPr>
      <xdr:spPr>
        <a:xfrm>
          <a:off x="12968288" y="15425738"/>
          <a:ext cx="352425" cy="6667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13253</xdr:colOff>
      <xdr:row>79</xdr:row>
      <xdr:rowOff>16055</xdr:rowOff>
    </xdr:from>
    <xdr:to>
      <xdr:col>72</xdr:col>
      <xdr:colOff>12935</xdr:colOff>
      <xdr:row>82</xdr:row>
      <xdr:rowOff>112920</xdr:rowOff>
    </xdr:to>
    <xdr:sp macro="" textlink="">
      <xdr:nvSpPr>
        <xdr:cNvPr id="52" name="Trapezoid 51">
          <a:extLst>
            <a:ext uri="{FF2B5EF4-FFF2-40B4-BE49-F238E27FC236}">
              <a16:creationId xmlns:a16="http://schemas.microsoft.com/office/drawing/2014/main" id="{3ABB9356-3ACB-4511-9B8C-766BB9AC5E00}"/>
            </a:ext>
          </a:extLst>
        </xdr:cNvPr>
        <xdr:cNvSpPr/>
      </xdr:nvSpPr>
      <xdr:spPr>
        <a:xfrm rot="7754831">
          <a:off x="13299661" y="15304647"/>
          <a:ext cx="668365" cy="1901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160715</xdr:colOff>
      <xdr:row>78</xdr:row>
      <xdr:rowOff>5866</xdr:rowOff>
    </xdr:from>
    <xdr:to>
      <xdr:col>72</xdr:col>
      <xdr:colOff>157483</xdr:colOff>
      <xdr:row>80</xdr:row>
      <xdr:rowOff>102683</xdr:rowOff>
    </xdr:to>
    <xdr:sp macro="" textlink="">
      <xdr:nvSpPr>
        <xdr:cNvPr id="53" name="Trapezoid 52">
          <a:extLst>
            <a:ext uri="{FF2B5EF4-FFF2-40B4-BE49-F238E27FC236}">
              <a16:creationId xmlns:a16="http://schemas.microsoft.com/office/drawing/2014/main" id="{4CBA0C28-31FD-4E15-A10A-3C03DB815572}"/>
            </a:ext>
          </a:extLst>
        </xdr:cNvPr>
        <xdr:cNvSpPr/>
      </xdr:nvSpPr>
      <xdr:spPr>
        <a:xfrm rot="6024354">
          <a:off x="13540940" y="15010141"/>
          <a:ext cx="477817"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133384</xdr:colOff>
      <xdr:row>75</xdr:row>
      <xdr:rowOff>101527</xdr:rowOff>
    </xdr:from>
    <xdr:to>
      <xdr:col>72</xdr:col>
      <xdr:colOff>130152</xdr:colOff>
      <xdr:row>78</xdr:row>
      <xdr:rowOff>177177</xdr:rowOff>
    </xdr:to>
    <xdr:sp macro="" textlink="">
      <xdr:nvSpPr>
        <xdr:cNvPr id="54" name="Trapezoid 53">
          <a:extLst>
            <a:ext uri="{FF2B5EF4-FFF2-40B4-BE49-F238E27FC236}">
              <a16:creationId xmlns:a16="http://schemas.microsoft.com/office/drawing/2014/main" id="{E60CF9AB-82C4-487E-9A82-331A1BE0E9C4}"/>
            </a:ext>
          </a:extLst>
        </xdr:cNvPr>
        <xdr:cNvSpPr/>
      </xdr:nvSpPr>
      <xdr:spPr>
        <a:xfrm rot="4965918">
          <a:off x="13428943" y="14618968"/>
          <a:ext cx="647150"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45277</xdr:colOff>
      <xdr:row>75</xdr:row>
      <xdr:rowOff>37233</xdr:rowOff>
    </xdr:from>
    <xdr:to>
      <xdr:col>72</xdr:col>
      <xdr:colOff>42045</xdr:colOff>
      <xdr:row>78</xdr:row>
      <xdr:rowOff>112883</xdr:rowOff>
    </xdr:to>
    <xdr:sp macro="" textlink="">
      <xdr:nvSpPr>
        <xdr:cNvPr id="55" name="Trapezoid 54">
          <a:extLst>
            <a:ext uri="{FF2B5EF4-FFF2-40B4-BE49-F238E27FC236}">
              <a16:creationId xmlns:a16="http://schemas.microsoft.com/office/drawing/2014/main" id="{056F68C7-15E9-487A-87F5-4B7CCC70867D}"/>
            </a:ext>
          </a:extLst>
        </xdr:cNvPr>
        <xdr:cNvSpPr/>
      </xdr:nvSpPr>
      <xdr:spPr>
        <a:xfrm rot="3328633">
          <a:off x="13340836" y="14554674"/>
          <a:ext cx="647150"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69</xdr:col>
      <xdr:colOff>129946</xdr:colOff>
      <xdr:row>75</xdr:row>
      <xdr:rowOff>156162</xdr:rowOff>
    </xdr:from>
    <xdr:to>
      <xdr:col>72</xdr:col>
      <xdr:colOff>111046</xdr:colOff>
      <xdr:row>76</xdr:row>
      <xdr:rowOff>152930</xdr:rowOff>
    </xdr:to>
    <xdr:sp macro="" textlink="">
      <xdr:nvSpPr>
        <xdr:cNvPr id="56" name="Trapezoid 55">
          <a:extLst>
            <a:ext uri="{FF2B5EF4-FFF2-40B4-BE49-F238E27FC236}">
              <a16:creationId xmlns:a16="http://schemas.microsoft.com/office/drawing/2014/main" id="{44FEB301-595A-4A2E-9BF1-9115146B55C7}"/>
            </a:ext>
          </a:extLst>
        </xdr:cNvPr>
        <xdr:cNvSpPr/>
      </xdr:nvSpPr>
      <xdr:spPr>
        <a:xfrm rot="2098730">
          <a:off x="13274446" y="14443662"/>
          <a:ext cx="552600"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68</xdr:col>
      <xdr:colOff>54453</xdr:colOff>
      <xdr:row>75</xdr:row>
      <xdr:rowOff>97263</xdr:rowOff>
    </xdr:from>
    <xdr:to>
      <xdr:col>71</xdr:col>
      <xdr:colOff>35553</xdr:colOff>
      <xdr:row>76</xdr:row>
      <xdr:rowOff>37881</xdr:rowOff>
    </xdr:to>
    <xdr:sp macro="" textlink="">
      <xdr:nvSpPr>
        <xdr:cNvPr id="57" name="Trapezoid 56">
          <a:extLst>
            <a:ext uri="{FF2B5EF4-FFF2-40B4-BE49-F238E27FC236}">
              <a16:creationId xmlns:a16="http://schemas.microsoft.com/office/drawing/2014/main" id="{DC2FD833-0D5C-4E4B-B3CF-81D1D4EA4E18}"/>
            </a:ext>
          </a:extLst>
        </xdr:cNvPr>
        <xdr:cNvSpPr/>
      </xdr:nvSpPr>
      <xdr:spPr>
        <a:xfrm rot="795312">
          <a:off x="13008453" y="14384763"/>
          <a:ext cx="552600" cy="13111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190460</xdr:colOff>
      <xdr:row>75</xdr:row>
      <xdr:rowOff>71459</xdr:rowOff>
    </xdr:from>
    <xdr:to>
      <xdr:col>69</xdr:col>
      <xdr:colOff>171560</xdr:colOff>
      <xdr:row>76</xdr:row>
      <xdr:rowOff>47531</xdr:rowOff>
    </xdr:to>
    <xdr:sp macro="" textlink="">
      <xdr:nvSpPr>
        <xdr:cNvPr id="58" name="Trapezoid 57">
          <a:extLst>
            <a:ext uri="{FF2B5EF4-FFF2-40B4-BE49-F238E27FC236}">
              <a16:creationId xmlns:a16="http://schemas.microsoft.com/office/drawing/2014/main" id="{EDFD94B4-4822-407E-83D0-F555C8D36914}"/>
            </a:ext>
          </a:extLst>
        </xdr:cNvPr>
        <xdr:cNvSpPr/>
      </xdr:nvSpPr>
      <xdr:spPr>
        <a:xfrm rot="21190718">
          <a:off x="12763460" y="14358959"/>
          <a:ext cx="552600"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104799</xdr:colOff>
      <xdr:row>76</xdr:row>
      <xdr:rowOff>10200</xdr:rowOff>
    </xdr:from>
    <xdr:to>
      <xdr:col>68</xdr:col>
      <xdr:colOff>98519</xdr:colOff>
      <xdr:row>76</xdr:row>
      <xdr:rowOff>176772</xdr:rowOff>
    </xdr:to>
    <xdr:sp macro="" textlink="">
      <xdr:nvSpPr>
        <xdr:cNvPr id="59" name="Trapezoid 58">
          <a:extLst>
            <a:ext uri="{FF2B5EF4-FFF2-40B4-BE49-F238E27FC236}">
              <a16:creationId xmlns:a16="http://schemas.microsoft.com/office/drawing/2014/main" id="{0A98F72E-3515-4BAD-BFC2-EC5D623B8603}"/>
            </a:ext>
          </a:extLst>
        </xdr:cNvPr>
        <xdr:cNvSpPr/>
      </xdr:nvSpPr>
      <xdr:spPr>
        <a:xfrm rot="19874883">
          <a:off x="12487299" y="14488200"/>
          <a:ext cx="565220"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182679</xdr:colOff>
      <xdr:row>75</xdr:row>
      <xdr:rowOff>156157</xdr:rowOff>
    </xdr:from>
    <xdr:to>
      <xdr:col>66</xdr:col>
      <xdr:colOff>158751</xdr:colOff>
      <xdr:row>78</xdr:row>
      <xdr:rowOff>149877</xdr:rowOff>
    </xdr:to>
    <xdr:sp macro="" textlink="">
      <xdr:nvSpPr>
        <xdr:cNvPr id="60" name="Trapezoid 59">
          <a:extLst>
            <a:ext uri="{FF2B5EF4-FFF2-40B4-BE49-F238E27FC236}">
              <a16:creationId xmlns:a16="http://schemas.microsoft.com/office/drawing/2014/main" id="{D08B27EF-5D8A-44EA-B3E5-BD94CFB3D31C}"/>
            </a:ext>
          </a:extLst>
        </xdr:cNvPr>
        <xdr:cNvSpPr/>
      </xdr:nvSpPr>
      <xdr:spPr>
        <a:xfrm rot="18649088">
          <a:off x="12365855" y="14642981"/>
          <a:ext cx="565220"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141952</xdr:colOff>
      <xdr:row>76</xdr:row>
      <xdr:rowOff>165880</xdr:rowOff>
    </xdr:from>
    <xdr:to>
      <xdr:col>66</xdr:col>
      <xdr:colOff>118024</xdr:colOff>
      <xdr:row>78</xdr:row>
      <xdr:rowOff>164826</xdr:rowOff>
    </xdr:to>
    <xdr:sp macro="" textlink="">
      <xdr:nvSpPr>
        <xdr:cNvPr id="61" name="Trapezoid 60">
          <a:extLst>
            <a:ext uri="{FF2B5EF4-FFF2-40B4-BE49-F238E27FC236}">
              <a16:creationId xmlns:a16="http://schemas.microsoft.com/office/drawing/2014/main" id="{D18866C7-EB51-49DE-B1BD-BBE2FBE3AC76}"/>
            </a:ext>
          </a:extLst>
        </xdr:cNvPr>
        <xdr:cNvSpPr/>
      </xdr:nvSpPr>
      <xdr:spPr>
        <a:xfrm rot="17844382">
          <a:off x="12417765" y="14750567"/>
          <a:ext cx="379946"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134809</xdr:colOff>
      <xdr:row>77</xdr:row>
      <xdr:rowOff>68248</xdr:rowOff>
    </xdr:from>
    <xdr:to>
      <xdr:col>66</xdr:col>
      <xdr:colOff>110881</xdr:colOff>
      <xdr:row>79</xdr:row>
      <xdr:rowOff>67194</xdr:rowOff>
    </xdr:to>
    <xdr:sp macro="" textlink="">
      <xdr:nvSpPr>
        <xdr:cNvPr id="62" name="Trapezoid 61">
          <a:extLst>
            <a:ext uri="{FF2B5EF4-FFF2-40B4-BE49-F238E27FC236}">
              <a16:creationId xmlns:a16="http://schemas.microsoft.com/office/drawing/2014/main" id="{A7379EED-C078-4A62-B0E8-37ADC89EE774}"/>
            </a:ext>
          </a:extLst>
        </xdr:cNvPr>
        <xdr:cNvSpPr/>
      </xdr:nvSpPr>
      <xdr:spPr>
        <a:xfrm rot="16615134">
          <a:off x="12410622" y="14843435"/>
          <a:ext cx="379946"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36836</xdr:colOff>
      <xdr:row>78</xdr:row>
      <xdr:rowOff>82849</xdr:rowOff>
    </xdr:from>
    <xdr:to>
      <xdr:col>66</xdr:col>
      <xdr:colOff>128776</xdr:colOff>
      <xdr:row>80</xdr:row>
      <xdr:rowOff>81795</xdr:rowOff>
    </xdr:to>
    <xdr:sp macro="" textlink="">
      <xdr:nvSpPr>
        <xdr:cNvPr id="63" name="Trapezoid 62">
          <a:extLst>
            <a:ext uri="{FF2B5EF4-FFF2-40B4-BE49-F238E27FC236}">
              <a16:creationId xmlns:a16="http://schemas.microsoft.com/office/drawing/2014/main" id="{A8C70624-D3C7-439F-A06C-5585FC5CF2A5}"/>
            </a:ext>
          </a:extLst>
        </xdr:cNvPr>
        <xdr:cNvSpPr/>
      </xdr:nvSpPr>
      <xdr:spPr>
        <a:xfrm rot="15342494">
          <a:off x="12465833" y="15085852"/>
          <a:ext cx="379946" cy="91940"/>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11906</xdr:colOff>
      <xdr:row>78</xdr:row>
      <xdr:rowOff>2380</xdr:rowOff>
    </xdr:from>
    <xdr:to>
      <xdr:col>66</xdr:col>
      <xdr:colOff>90488</xdr:colOff>
      <xdr:row>81</xdr:row>
      <xdr:rowOff>76199</xdr:rowOff>
    </xdr:to>
    <xdr:sp macro="" textlink="">
      <xdr:nvSpPr>
        <xdr:cNvPr id="64" name="Trapezoid 63">
          <a:extLst>
            <a:ext uri="{FF2B5EF4-FFF2-40B4-BE49-F238E27FC236}">
              <a16:creationId xmlns:a16="http://schemas.microsoft.com/office/drawing/2014/main" id="{81C02E20-8199-4831-AA70-A3B8F16418BB}"/>
            </a:ext>
          </a:extLst>
        </xdr:cNvPr>
        <xdr:cNvSpPr/>
      </xdr:nvSpPr>
      <xdr:spPr>
        <a:xfrm rot="5400000">
          <a:off x="12301537" y="15144749"/>
          <a:ext cx="645319" cy="785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188108</xdr:colOff>
      <xdr:row>80</xdr:row>
      <xdr:rowOff>69690</xdr:rowOff>
    </xdr:from>
    <xdr:to>
      <xdr:col>67</xdr:col>
      <xdr:colOff>187054</xdr:colOff>
      <xdr:row>80</xdr:row>
      <xdr:rowOff>161630</xdr:rowOff>
    </xdr:to>
    <xdr:sp macro="" textlink="">
      <xdr:nvSpPr>
        <xdr:cNvPr id="65" name="Trapezoid 64">
          <a:extLst>
            <a:ext uri="{FF2B5EF4-FFF2-40B4-BE49-F238E27FC236}">
              <a16:creationId xmlns:a16="http://schemas.microsoft.com/office/drawing/2014/main" id="{E51B722A-8689-48A8-BF06-DBF578ADA38E}"/>
            </a:ext>
          </a:extLst>
        </xdr:cNvPr>
        <xdr:cNvSpPr/>
      </xdr:nvSpPr>
      <xdr:spPr>
        <a:xfrm rot="13311987">
          <a:off x="12570608" y="15309690"/>
          <a:ext cx="379946" cy="91940"/>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70</xdr:col>
      <xdr:colOff>13055</xdr:colOff>
      <xdr:row>81</xdr:row>
      <xdr:rowOff>33341</xdr:rowOff>
    </xdr:from>
    <xdr:to>
      <xdr:col>71</xdr:col>
      <xdr:colOff>66674</xdr:colOff>
      <xdr:row>83</xdr:row>
      <xdr:rowOff>37436</xdr:rowOff>
    </xdr:to>
    <xdr:sp macro="" textlink="">
      <xdr:nvSpPr>
        <xdr:cNvPr id="66" name="Trapezoid 65">
          <a:extLst>
            <a:ext uri="{FF2B5EF4-FFF2-40B4-BE49-F238E27FC236}">
              <a16:creationId xmlns:a16="http://schemas.microsoft.com/office/drawing/2014/main" id="{A9DA47A7-275C-44D9-868C-C9D7CC23BC01}"/>
            </a:ext>
          </a:extLst>
        </xdr:cNvPr>
        <xdr:cNvSpPr/>
      </xdr:nvSpPr>
      <xdr:spPr>
        <a:xfrm rot="5400000">
          <a:off x="13277567" y="15534329"/>
          <a:ext cx="385095" cy="244119"/>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78053</xdr:colOff>
      <xdr:row>79</xdr:row>
      <xdr:rowOff>20051</xdr:rowOff>
    </xdr:from>
    <xdr:to>
      <xdr:col>72</xdr:col>
      <xdr:colOff>74821</xdr:colOff>
      <xdr:row>81</xdr:row>
      <xdr:rowOff>115267</xdr:rowOff>
    </xdr:to>
    <xdr:sp macro="" textlink="">
      <xdr:nvSpPr>
        <xdr:cNvPr id="67" name="Trapezoid 66">
          <a:extLst>
            <a:ext uri="{FF2B5EF4-FFF2-40B4-BE49-F238E27FC236}">
              <a16:creationId xmlns:a16="http://schemas.microsoft.com/office/drawing/2014/main" id="{B44D387F-02DC-4049-8DDF-354086532CAB}"/>
            </a:ext>
          </a:extLst>
        </xdr:cNvPr>
        <xdr:cNvSpPr/>
      </xdr:nvSpPr>
      <xdr:spPr>
        <a:xfrm rot="7152657">
          <a:off x="13459079" y="15214025"/>
          <a:ext cx="476216"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49</xdr:col>
      <xdr:colOff>107157</xdr:colOff>
      <xdr:row>25</xdr:row>
      <xdr:rowOff>2381</xdr:rowOff>
    </xdr:from>
    <xdr:to>
      <xdr:col>49</xdr:col>
      <xdr:colOff>242888</xdr:colOff>
      <xdr:row>26</xdr:row>
      <xdr:rowOff>190141</xdr:rowOff>
    </xdr:to>
    <xdr:pic>
      <xdr:nvPicPr>
        <xdr:cNvPr id="68" name="Picture 67">
          <a:extLst>
            <a:ext uri="{FF2B5EF4-FFF2-40B4-BE49-F238E27FC236}">
              <a16:creationId xmlns:a16="http://schemas.microsoft.com/office/drawing/2014/main" id="{79AAAE22-560E-49B7-B167-C1A104F5DC98}"/>
            </a:ext>
          </a:extLst>
        </xdr:cNvPr>
        <xdr:cNvPicPr>
          <a:picLocks noChangeAspect="1"/>
        </xdr:cNvPicPr>
      </xdr:nvPicPr>
      <xdr:blipFill>
        <a:blip xmlns:r="http://schemas.openxmlformats.org/officeDocument/2006/relationships" r:embed="rId6"/>
        <a:stretch>
          <a:fillRect/>
        </a:stretch>
      </xdr:blipFill>
      <xdr:spPr>
        <a:xfrm>
          <a:off x="9441657" y="4764881"/>
          <a:ext cx="135731" cy="378260"/>
        </a:xfrm>
        <a:prstGeom prst="rect">
          <a:avLst/>
        </a:prstGeom>
      </xdr:spPr>
    </xdr:pic>
    <xdr:clientData/>
  </xdr:twoCellAnchor>
  <xdr:twoCellAnchor editAs="oneCell">
    <xdr:from>
      <xdr:col>51</xdr:col>
      <xdr:colOff>138113</xdr:colOff>
      <xdr:row>23</xdr:row>
      <xdr:rowOff>2381</xdr:rowOff>
    </xdr:from>
    <xdr:to>
      <xdr:col>52</xdr:col>
      <xdr:colOff>28915</xdr:colOff>
      <xdr:row>24</xdr:row>
      <xdr:rowOff>190140</xdr:rowOff>
    </xdr:to>
    <xdr:pic>
      <xdr:nvPicPr>
        <xdr:cNvPr id="69" name="Picture 68">
          <a:extLst>
            <a:ext uri="{FF2B5EF4-FFF2-40B4-BE49-F238E27FC236}">
              <a16:creationId xmlns:a16="http://schemas.microsoft.com/office/drawing/2014/main" id="{8DFEAE2E-70CD-41DA-B52B-1E22C4EC6F01}"/>
            </a:ext>
          </a:extLst>
        </xdr:cNvPr>
        <xdr:cNvPicPr>
          <a:picLocks noChangeAspect="1"/>
        </xdr:cNvPicPr>
      </xdr:nvPicPr>
      <xdr:blipFill>
        <a:blip xmlns:r="http://schemas.openxmlformats.org/officeDocument/2006/relationships" r:embed="rId6"/>
        <a:stretch>
          <a:fillRect/>
        </a:stretch>
      </xdr:blipFill>
      <xdr:spPr>
        <a:xfrm>
          <a:off x="9853613" y="4383881"/>
          <a:ext cx="135731" cy="378259"/>
        </a:xfrm>
        <a:prstGeom prst="rect">
          <a:avLst/>
        </a:prstGeom>
      </xdr:spPr>
    </xdr:pic>
    <xdr:clientData/>
  </xdr:twoCellAnchor>
  <xdr:twoCellAnchor editAs="oneCell">
    <xdr:from>
      <xdr:col>49</xdr:col>
      <xdr:colOff>109536</xdr:colOff>
      <xdr:row>21</xdr:row>
      <xdr:rowOff>2382</xdr:rowOff>
    </xdr:from>
    <xdr:to>
      <xdr:col>50</xdr:col>
      <xdr:colOff>339</xdr:colOff>
      <xdr:row>22</xdr:row>
      <xdr:rowOff>190142</xdr:rowOff>
    </xdr:to>
    <xdr:pic>
      <xdr:nvPicPr>
        <xdr:cNvPr id="70" name="Picture 69">
          <a:extLst>
            <a:ext uri="{FF2B5EF4-FFF2-40B4-BE49-F238E27FC236}">
              <a16:creationId xmlns:a16="http://schemas.microsoft.com/office/drawing/2014/main" id="{020B5627-D191-4518-A6BA-3FCCC67C982C}"/>
            </a:ext>
          </a:extLst>
        </xdr:cNvPr>
        <xdr:cNvPicPr>
          <a:picLocks noChangeAspect="1"/>
        </xdr:cNvPicPr>
      </xdr:nvPicPr>
      <xdr:blipFill>
        <a:blip xmlns:r="http://schemas.openxmlformats.org/officeDocument/2006/relationships" r:embed="rId6"/>
        <a:stretch>
          <a:fillRect/>
        </a:stretch>
      </xdr:blipFill>
      <xdr:spPr>
        <a:xfrm>
          <a:off x="9444036" y="4002882"/>
          <a:ext cx="135732" cy="378260"/>
        </a:xfrm>
        <a:prstGeom prst="rect">
          <a:avLst/>
        </a:prstGeom>
      </xdr:spPr>
    </xdr:pic>
    <xdr:clientData/>
  </xdr:twoCellAnchor>
  <xdr:twoCellAnchor editAs="oneCell">
    <xdr:from>
      <xdr:col>51</xdr:col>
      <xdr:colOff>138112</xdr:colOff>
      <xdr:row>19</xdr:row>
      <xdr:rowOff>2381</xdr:rowOff>
    </xdr:from>
    <xdr:to>
      <xdr:col>52</xdr:col>
      <xdr:colOff>28914</xdr:colOff>
      <xdr:row>20</xdr:row>
      <xdr:rowOff>190140</xdr:rowOff>
    </xdr:to>
    <xdr:pic>
      <xdr:nvPicPr>
        <xdr:cNvPr id="71" name="Picture 70">
          <a:extLst>
            <a:ext uri="{FF2B5EF4-FFF2-40B4-BE49-F238E27FC236}">
              <a16:creationId xmlns:a16="http://schemas.microsoft.com/office/drawing/2014/main" id="{693D6EBD-D738-4C00-BDEA-EBD3CAA105E6}"/>
            </a:ext>
          </a:extLst>
        </xdr:cNvPr>
        <xdr:cNvPicPr>
          <a:picLocks noChangeAspect="1"/>
        </xdr:cNvPicPr>
      </xdr:nvPicPr>
      <xdr:blipFill>
        <a:blip xmlns:r="http://schemas.openxmlformats.org/officeDocument/2006/relationships" r:embed="rId6"/>
        <a:stretch>
          <a:fillRect/>
        </a:stretch>
      </xdr:blipFill>
      <xdr:spPr>
        <a:xfrm>
          <a:off x="9853612" y="3621881"/>
          <a:ext cx="135731" cy="378259"/>
        </a:xfrm>
        <a:prstGeom prst="rect">
          <a:avLst/>
        </a:prstGeom>
      </xdr:spPr>
    </xdr:pic>
    <xdr:clientData/>
  </xdr:twoCellAnchor>
  <xdr:twoCellAnchor editAs="oneCell">
    <xdr:from>
      <xdr:col>49</xdr:col>
      <xdr:colOff>109538</xdr:colOff>
      <xdr:row>17</xdr:row>
      <xdr:rowOff>2381</xdr:rowOff>
    </xdr:from>
    <xdr:to>
      <xdr:col>50</xdr:col>
      <xdr:colOff>340</xdr:colOff>
      <xdr:row>18</xdr:row>
      <xdr:rowOff>190140</xdr:rowOff>
    </xdr:to>
    <xdr:pic>
      <xdr:nvPicPr>
        <xdr:cNvPr id="72" name="Picture 71">
          <a:extLst>
            <a:ext uri="{FF2B5EF4-FFF2-40B4-BE49-F238E27FC236}">
              <a16:creationId xmlns:a16="http://schemas.microsoft.com/office/drawing/2014/main" id="{3CD2DF15-E009-4569-AC85-F87EFE97EEAE}"/>
            </a:ext>
          </a:extLst>
        </xdr:cNvPr>
        <xdr:cNvPicPr>
          <a:picLocks noChangeAspect="1"/>
        </xdr:cNvPicPr>
      </xdr:nvPicPr>
      <xdr:blipFill>
        <a:blip xmlns:r="http://schemas.openxmlformats.org/officeDocument/2006/relationships" r:embed="rId6"/>
        <a:stretch>
          <a:fillRect/>
        </a:stretch>
      </xdr:blipFill>
      <xdr:spPr>
        <a:xfrm>
          <a:off x="9444038" y="3240881"/>
          <a:ext cx="135731" cy="378259"/>
        </a:xfrm>
        <a:prstGeom prst="rect">
          <a:avLst/>
        </a:prstGeom>
      </xdr:spPr>
    </xdr:pic>
    <xdr:clientData/>
  </xdr:twoCellAnchor>
  <xdr:twoCellAnchor editAs="oneCell">
    <xdr:from>
      <xdr:col>51</xdr:col>
      <xdr:colOff>138113</xdr:colOff>
      <xdr:row>15</xdr:row>
      <xdr:rowOff>2381</xdr:rowOff>
    </xdr:from>
    <xdr:to>
      <xdr:col>52</xdr:col>
      <xdr:colOff>28915</xdr:colOff>
      <xdr:row>16</xdr:row>
      <xdr:rowOff>190140</xdr:rowOff>
    </xdr:to>
    <xdr:pic>
      <xdr:nvPicPr>
        <xdr:cNvPr id="73" name="Picture 72">
          <a:extLst>
            <a:ext uri="{FF2B5EF4-FFF2-40B4-BE49-F238E27FC236}">
              <a16:creationId xmlns:a16="http://schemas.microsoft.com/office/drawing/2014/main" id="{72813594-313A-4252-901D-F71600A56B3A}"/>
            </a:ext>
          </a:extLst>
        </xdr:cNvPr>
        <xdr:cNvPicPr>
          <a:picLocks noChangeAspect="1"/>
        </xdr:cNvPicPr>
      </xdr:nvPicPr>
      <xdr:blipFill>
        <a:blip xmlns:r="http://schemas.openxmlformats.org/officeDocument/2006/relationships" r:embed="rId6"/>
        <a:stretch>
          <a:fillRect/>
        </a:stretch>
      </xdr:blipFill>
      <xdr:spPr>
        <a:xfrm>
          <a:off x="9853613" y="2859881"/>
          <a:ext cx="135731" cy="378259"/>
        </a:xfrm>
        <a:prstGeom prst="rect">
          <a:avLst/>
        </a:prstGeom>
      </xdr:spPr>
    </xdr:pic>
    <xdr:clientData/>
  </xdr:twoCellAnchor>
  <xdr:twoCellAnchor>
    <xdr:from>
      <xdr:col>8</xdr:col>
      <xdr:colOff>140491</xdr:colOff>
      <xdr:row>76</xdr:row>
      <xdr:rowOff>168256</xdr:rowOff>
    </xdr:from>
    <xdr:to>
      <xdr:col>14</xdr:col>
      <xdr:colOff>93284</xdr:colOff>
      <xdr:row>78</xdr:row>
      <xdr:rowOff>34717</xdr:rowOff>
    </xdr:to>
    <xdr:sp macro="" textlink="">
      <xdr:nvSpPr>
        <xdr:cNvPr id="74" name="Trapezoid 73">
          <a:extLst>
            <a:ext uri="{FF2B5EF4-FFF2-40B4-BE49-F238E27FC236}">
              <a16:creationId xmlns:a16="http://schemas.microsoft.com/office/drawing/2014/main" id="{BDB088FF-2928-4BA1-9A3C-F9EA0232F38A}"/>
            </a:ext>
          </a:extLst>
        </xdr:cNvPr>
        <xdr:cNvSpPr/>
      </xdr:nvSpPr>
      <xdr:spPr>
        <a:xfrm rot="13483766">
          <a:off x="1664491" y="14646256"/>
          <a:ext cx="1095793" cy="247461"/>
        </a:xfrm>
        <a:prstGeom prst="trapezoid">
          <a:avLst>
            <a:gd name="adj" fmla="val 112702"/>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124733</xdr:colOff>
      <xdr:row>74</xdr:row>
      <xdr:rowOff>2382</xdr:rowOff>
    </xdr:from>
    <xdr:to>
      <xdr:col>15</xdr:col>
      <xdr:colOff>44099</xdr:colOff>
      <xdr:row>75</xdr:row>
      <xdr:rowOff>23846</xdr:rowOff>
    </xdr:to>
    <xdr:sp macro="" textlink="">
      <xdr:nvSpPr>
        <xdr:cNvPr id="75" name="Trapezoid 74">
          <a:extLst>
            <a:ext uri="{FF2B5EF4-FFF2-40B4-BE49-F238E27FC236}">
              <a16:creationId xmlns:a16="http://schemas.microsoft.com/office/drawing/2014/main" id="{389F0FEB-9294-422B-8BC2-451A94C5FE16}"/>
            </a:ext>
          </a:extLst>
        </xdr:cNvPr>
        <xdr:cNvSpPr/>
      </xdr:nvSpPr>
      <xdr:spPr>
        <a:xfrm rot="13483766" flipV="1">
          <a:off x="1839233" y="14099382"/>
          <a:ext cx="1062366" cy="211964"/>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14</xdr:col>
      <xdr:colOff>45524</xdr:colOff>
      <xdr:row>33</xdr:row>
      <xdr:rowOff>143191</xdr:rowOff>
    </xdr:from>
    <xdr:to>
      <xdr:col>16</xdr:col>
      <xdr:colOff>129667</xdr:colOff>
      <xdr:row>35</xdr:row>
      <xdr:rowOff>146041</xdr:rowOff>
    </xdr:to>
    <xdr:pic>
      <xdr:nvPicPr>
        <xdr:cNvPr id="76" name="Picture 75">
          <a:extLst>
            <a:ext uri="{FF2B5EF4-FFF2-40B4-BE49-F238E27FC236}">
              <a16:creationId xmlns:a16="http://schemas.microsoft.com/office/drawing/2014/main" id="{6B85C27E-BFA4-4999-B457-4E54D15365D2}"/>
            </a:ext>
          </a:extLst>
        </xdr:cNvPr>
        <xdr:cNvPicPr>
          <a:picLocks noChangeAspect="1"/>
        </xdr:cNvPicPr>
      </xdr:nvPicPr>
      <xdr:blipFill>
        <a:blip xmlns:r="http://schemas.openxmlformats.org/officeDocument/2006/relationships" r:embed="rId7"/>
        <a:stretch>
          <a:fillRect/>
        </a:stretch>
      </xdr:blipFill>
      <xdr:spPr>
        <a:xfrm rot="13538988">
          <a:off x="2807599" y="6334616"/>
          <a:ext cx="383850" cy="574000"/>
        </a:xfrm>
        <a:prstGeom prst="rect">
          <a:avLst/>
        </a:prstGeom>
      </xdr:spPr>
    </xdr:pic>
    <xdr:clientData/>
  </xdr:twoCellAnchor>
  <xdr:twoCellAnchor>
    <xdr:from>
      <xdr:col>8</xdr:col>
      <xdr:colOff>3686</xdr:colOff>
      <xdr:row>40</xdr:row>
      <xdr:rowOff>163883</xdr:rowOff>
    </xdr:from>
    <xdr:to>
      <xdr:col>9</xdr:col>
      <xdr:colOff>30753</xdr:colOff>
      <xdr:row>46</xdr:row>
      <xdr:rowOff>88853</xdr:rowOff>
    </xdr:to>
    <xdr:sp macro="" textlink="">
      <xdr:nvSpPr>
        <xdr:cNvPr id="77" name="Trapezoid 76">
          <a:extLst>
            <a:ext uri="{FF2B5EF4-FFF2-40B4-BE49-F238E27FC236}">
              <a16:creationId xmlns:a16="http://schemas.microsoft.com/office/drawing/2014/main" id="{E4F4A729-400B-4BF1-BE28-EA029F260007}"/>
            </a:ext>
          </a:extLst>
        </xdr:cNvPr>
        <xdr:cNvSpPr/>
      </xdr:nvSpPr>
      <xdr:spPr>
        <a:xfrm rot="7961508" flipV="1">
          <a:off x="1102485" y="8209084"/>
          <a:ext cx="1067970" cy="217567"/>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26</xdr:col>
      <xdr:colOff>0</xdr:colOff>
      <xdr:row>6</xdr:row>
      <xdr:rowOff>88106</xdr:rowOff>
    </xdr:from>
    <xdr:to>
      <xdr:col>27</xdr:col>
      <xdr:colOff>83685</xdr:colOff>
      <xdr:row>8</xdr:row>
      <xdr:rowOff>169044</xdr:rowOff>
    </xdr:to>
    <xdr:pic>
      <xdr:nvPicPr>
        <xdr:cNvPr id="78" name="Picture 77">
          <a:extLst>
            <a:ext uri="{FF2B5EF4-FFF2-40B4-BE49-F238E27FC236}">
              <a16:creationId xmlns:a16="http://schemas.microsoft.com/office/drawing/2014/main" id="{F7C9137A-175C-4324-87F3-658C4AA2EBA7}"/>
            </a:ext>
          </a:extLst>
        </xdr:cNvPr>
        <xdr:cNvPicPr>
          <a:picLocks noChangeAspect="1"/>
        </xdr:cNvPicPr>
      </xdr:nvPicPr>
      <xdr:blipFill>
        <a:blip xmlns:r="http://schemas.openxmlformats.org/officeDocument/2006/relationships" r:embed="rId7"/>
        <a:stretch>
          <a:fillRect/>
        </a:stretch>
      </xdr:blipFill>
      <xdr:spPr>
        <a:xfrm rot="10800000">
          <a:off x="4953000" y="1231106"/>
          <a:ext cx="328613" cy="461938"/>
        </a:xfrm>
        <a:prstGeom prst="rect">
          <a:avLst/>
        </a:prstGeom>
      </xdr:spPr>
    </xdr:pic>
    <xdr:clientData/>
  </xdr:twoCellAnchor>
  <xdr:twoCellAnchor editAs="oneCell">
    <xdr:from>
      <xdr:col>34</xdr:col>
      <xdr:colOff>0</xdr:colOff>
      <xdr:row>80</xdr:row>
      <xdr:rowOff>0</xdr:rowOff>
    </xdr:from>
    <xdr:to>
      <xdr:col>34</xdr:col>
      <xdr:colOff>200025</xdr:colOff>
      <xdr:row>81</xdr:row>
      <xdr:rowOff>9525</xdr:rowOff>
    </xdr:to>
    <xdr:pic>
      <xdr:nvPicPr>
        <xdr:cNvPr id="79" name="Picture 78">
          <a:extLst>
            <a:ext uri="{FF2B5EF4-FFF2-40B4-BE49-F238E27FC236}">
              <a16:creationId xmlns:a16="http://schemas.microsoft.com/office/drawing/2014/main" id="{670B35D4-1768-49D7-BC1D-6ACF86EE37F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77000" y="15240000"/>
          <a:ext cx="2000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22</xdr:col>
      <xdr:colOff>169923</xdr:colOff>
      <xdr:row>17</xdr:row>
      <xdr:rowOff>209749</xdr:rowOff>
    </xdr:from>
    <xdr:to>
      <xdr:col>22</xdr:col>
      <xdr:colOff>238103</xdr:colOff>
      <xdr:row>18</xdr:row>
      <xdr:rowOff>208286</xdr:rowOff>
    </xdr:to>
    <xdr:pic>
      <xdr:nvPicPr>
        <xdr:cNvPr id="2" name="Picture 6">
          <a:extLst>
            <a:ext uri="{FF2B5EF4-FFF2-40B4-BE49-F238E27FC236}">
              <a16:creationId xmlns:a16="http://schemas.microsoft.com/office/drawing/2014/main" id="{FB9113EF-FAB3-4BD4-ACB7-D67CB477A8DB}"/>
            </a:ext>
          </a:extLst>
        </xdr:cNvPr>
        <xdr:cNvPicPr>
          <a:picLocks noChangeAspect="1"/>
        </xdr:cNvPicPr>
      </xdr:nvPicPr>
      <xdr:blipFill>
        <a:blip xmlns:r="http://schemas.openxmlformats.org/officeDocument/2006/relationships" r:embed="rId1"/>
        <a:stretch>
          <a:fillRect/>
        </a:stretch>
      </xdr:blipFill>
      <xdr:spPr>
        <a:xfrm>
          <a:off x="4360923" y="3772099"/>
          <a:ext cx="68180" cy="208087"/>
        </a:xfrm>
        <a:prstGeom prst="rect">
          <a:avLst/>
        </a:prstGeom>
      </xdr:spPr>
    </xdr:pic>
    <xdr:clientData/>
  </xdr:twoCellAnchor>
  <xdr:twoCellAnchor editAs="oneCell">
    <xdr:from>
      <xdr:col>23</xdr:col>
      <xdr:colOff>0</xdr:colOff>
      <xdr:row>19</xdr:row>
      <xdr:rowOff>172578</xdr:rowOff>
    </xdr:from>
    <xdr:to>
      <xdr:col>23</xdr:col>
      <xdr:colOff>189236</xdr:colOff>
      <xdr:row>20</xdr:row>
      <xdr:rowOff>60542</xdr:rowOff>
    </xdr:to>
    <xdr:pic>
      <xdr:nvPicPr>
        <xdr:cNvPr id="3" name="Picture 7">
          <a:extLst>
            <a:ext uri="{FF2B5EF4-FFF2-40B4-BE49-F238E27FC236}">
              <a16:creationId xmlns:a16="http://schemas.microsoft.com/office/drawing/2014/main" id="{9A8782E0-275F-4EC5-A84B-3EE917F9E4B7}"/>
            </a:ext>
          </a:extLst>
        </xdr:cNvPr>
        <xdr:cNvPicPr>
          <a:picLocks noChangeAspect="1"/>
        </xdr:cNvPicPr>
      </xdr:nvPicPr>
      <xdr:blipFill>
        <a:blip xmlns:r="http://schemas.openxmlformats.org/officeDocument/2006/relationships" r:embed="rId2"/>
        <a:stretch>
          <a:fillRect/>
        </a:stretch>
      </xdr:blipFill>
      <xdr:spPr>
        <a:xfrm>
          <a:off x="4381500" y="4154028"/>
          <a:ext cx="189236" cy="97514"/>
        </a:xfrm>
        <a:prstGeom prst="rect">
          <a:avLst/>
        </a:prstGeom>
      </xdr:spPr>
    </xdr:pic>
    <xdr:clientData/>
  </xdr:twoCellAnchor>
  <xdr:twoCellAnchor editAs="oneCell">
    <xdr:from>
      <xdr:col>25</xdr:col>
      <xdr:colOff>167269</xdr:colOff>
      <xdr:row>18</xdr:row>
      <xdr:rowOff>1328</xdr:rowOff>
    </xdr:from>
    <xdr:to>
      <xdr:col>25</xdr:col>
      <xdr:colOff>222591</xdr:colOff>
      <xdr:row>19</xdr:row>
      <xdr:rowOff>64</xdr:rowOff>
    </xdr:to>
    <xdr:pic>
      <xdr:nvPicPr>
        <xdr:cNvPr id="4" name="Picture 8">
          <a:extLst>
            <a:ext uri="{FF2B5EF4-FFF2-40B4-BE49-F238E27FC236}">
              <a16:creationId xmlns:a16="http://schemas.microsoft.com/office/drawing/2014/main" id="{96A5E0B1-B099-410C-A97D-9AD7215033C4}"/>
            </a:ext>
          </a:extLst>
        </xdr:cNvPr>
        <xdr:cNvPicPr>
          <a:picLocks noChangeAspect="1"/>
        </xdr:cNvPicPr>
      </xdr:nvPicPr>
      <xdr:blipFill>
        <a:blip xmlns:r="http://schemas.openxmlformats.org/officeDocument/2006/relationships" r:embed="rId3"/>
        <a:stretch>
          <a:fillRect/>
        </a:stretch>
      </xdr:blipFill>
      <xdr:spPr>
        <a:xfrm>
          <a:off x="4929769" y="3773228"/>
          <a:ext cx="55322" cy="208286"/>
        </a:xfrm>
        <a:prstGeom prst="rect">
          <a:avLst/>
        </a:prstGeom>
      </xdr:spPr>
    </xdr:pic>
    <xdr:clientData/>
  </xdr:twoCellAnchor>
  <xdr:twoCellAnchor editAs="oneCell">
    <xdr:from>
      <xdr:col>31</xdr:col>
      <xdr:colOff>209337</xdr:colOff>
      <xdr:row>16</xdr:row>
      <xdr:rowOff>168597</xdr:rowOff>
    </xdr:from>
    <xdr:to>
      <xdr:col>32</xdr:col>
      <xdr:colOff>150724</xdr:colOff>
      <xdr:row>17</xdr:row>
      <xdr:rowOff>33419</xdr:rowOff>
    </xdr:to>
    <xdr:pic>
      <xdr:nvPicPr>
        <xdr:cNvPr id="5" name="Picture 9">
          <a:extLst>
            <a:ext uri="{FF2B5EF4-FFF2-40B4-BE49-F238E27FC236}">
              <a16:creationId xmlns:a16="http://schemas.microsoft.com/office/drawing/2014/main" id="{A3CD449F-F97E-4DBB-82F5-0D1FD52C359B}"/>
            </a:ext>
          </a:extLst>
        </xdr:cNvPr>
        <xdr:cNvPicPr>
          <a:picLocks noChangeAspect="1"/>
        </xdr:cNvPicPr>
      </xdr:nvPicPr>
      <xdr:blipFill>
        <a:blip xmlns:r="http://schemas.openxmlformats.org/officeDocument/2006/relationships" r:embed="rId4"/>
        <a:stretch>
          <a:fillRect/>
        </a:stretch>
      </xdr:blipFill>
      <xdr:spPr>
        <a:xfrm>
          <a:off x="6095787" y="3521397"/>
          <a:ext cx="189037" cy="74372"/>
        </a:xfrm>
        <a:prstGeom prst="rect">
          <a:avLst/>
        </a:prstGeom>
      </xdr:spPr>
    </xdr:pic>
    <xdr:clientData/>
  </xdr:twoCellAnchor>
  <xdr:twoCellAnchor editAs="oneCell">
    <xdr:from>
      <xdr:col>15</xdr:col>
      <xdr:colOff>0</xdr:colOff>
      <xdr:row>8</xdr:row>
      <xdr:rowOff>0</xdr:rowOff>
    </xdr:from>
    <xdr:to>
      <xdr:col>15</xdr:col>
      <xdr:colOff>180000</xdr:colOff>
      <xdr:row>8</xdr:row>
      <xdr:rowOff>180000</xdr:rowOff>
    </xdr:to>
    <xdr:pic>
      <xdr:nvPicPr>
        <xdr:cNvPr id="6" name="Picture 10">
          <a:extLst>
            <a:ext uri="{FF2B5EF4-FFF2-40B4-BE49-F238E27FC236}">
              <a16:creationId xmlns:a16="http://schemas.microsoft.com/office/drawing/2014/main" id="{0E876ECD-D54C-4BA8-9EFC-108BB85395F0}"/>
            </a:ext>
          </a:extLst>
        </xdr:cNvPr>
        <xdr:cNvPicPr>
          <a:picLocks noChangeAspect="1"/>
        </xdr:cNvPicPr>
      </xdr:nvPicPr>
      <xdr:blipFill>
        <a:blip xmlns:r="http://schemas.openxmlformats.org/officeDocument/2006/relationships" r:embed="rId5"/>
        <a:stretch>
          <a:fillRect/>
        </a:stretch>
      </xdr:blipFill>
      <xdr:spPr>
        <a:xfrm>
          <a:off x="2857500" y="1676400"/>
          <a:ext cx="180000" cy="180000"/>
        </a:xfrm>
        <a:prstGeom prst="rect">
          <a:avLst/>
        </a:prstGeom>
      </xdr:spPr>
    </xdr:pic>
    <xdr:clientData/>
  </xdr:twoCellAnchor>
  <xdr:twoCellAnchor editAs="oneCell">
    <xdr:from>
      <xdr:col>22</xdr:col>
      <xdr:colOff>0</xdr:colOff>
      <xdr:row>25</xdr:row>
      <xdr:rowOff>0</xdr:rowOff>
    </xdr:from>
    <xdr:to>
      <xdr:col>22</xdr:col>
      <xdr:colOff>180000</xdr:colOff>
      <xdr:row>25</xdr:row>
      <xdr:rowOff>180000</xdr:rowOff>
    </xdr:to>
    <xdr:pic>
      <xdr:nvPicPr>
        <xdr:cNvPr id="7" name="Picture 12">
          <a:extLst>
            <a:ext uri="{FF2B5EF4-FFF2-40B4-BE49-F238E27FC236}">
              <a16:creationId xmlns:a16="http://schemas.microsoft.com/office/drawing/2014/main" id="{C05A7A15-7487-4B7B-9545-211A59CD26E9}"/>
            </a:ext>
          </a:extLst>
        </xdr:cNvPr>
        <xdr:cNvPicPr>
          <a:picLocks noChangeAspect="1"/>
        </xdr:cNvPicPr>
      </xdr:nvPicPr>
      <xdr:blipFill>
        <a:blip xmlns:r="http://schemas.openxmlformats.org/officeDocument/2006/relationships" r:embed="rId6"/>
        <a:stretch>
          <a:fillRect/>
        </a:stretch>
      </xdr:blipFill>
      <xdr:spPr>
        <a:xfrm>
          <a:off x="4191000" y="5238750"/>
          <a:ext cx="180000" cy="180000"/>
        </a:xfrm>
        <a:prstGeom prst="rect">
          <a:avLst/>
        </a:prstGeom>
      </xdr:spPr>
    </xdr:pic>
    <xdr:clientData/>
  </xdr:twoCellAnchor>
  <xdr:twoCellAnchor editAs="oneCell">
    <xdr:from>
      <xdr:col>4</xdr:col>
      <xdr:colOff>0</xdr:colOff>
      <xdr:row>16</xdr:row>
      <xdr:rowOff>0</xdr:rowOff>
    </xdr:from>
    <xdr:to>
      <xdr:col>4</xdr:col>
      <xdr:colOff>180000</xdr:colOff>
      <xdr:row>16</xdr:row>
      <xdr:rowOff>180000</xdr:rowOff>
    </xdr:to>
    <xdr:pic>
      <xdr:nvPicPr>
        <xdr:cNvPr id="8" name="Picture 13">
          <a:extLst>
            <a:ext uri="{FF2B5EF4-FFF2-40B4-BE49-F238E27FC236}">
              <a16:creationId xmlns:a16="http://schemas.microsoft.com/office/drawing/2014/main" id="{A61B8200-A8FC-4DF8-9987-0E5EB2F4CBF3}"/>
            </a:ext>
          </a:extLst>
        </xdr:cNvPr>
        <xdr:cNvPicPr>
          <a:picLocks noChangeAspect="1"/>
        </xdr:cNvPicPr>
      </xdr:nvPicPr>
      <xdr:blipFill>
        <a:blip xmlns:r="http://schemas.openxmlformats.org/officeDocument/2006/relationships" r:embed="rId7"/>
        <a:stretch>
          <a:fillRect/>
        </a:stretch>
      </xdr:blipFill>
      <xdr:spPr>
        <a:xfrm>
          <a:off x="762000" y="3352800"/>
          <a:ext cx="180000" cy="1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9494</xdr:colOff>
      <xdr:row>3</xdr:row>
      <xdr:rowOff>13054</xdr:rowOff>
    </xdr:from>
    <xdr:to>
      <xdr:col>18</xdr:col>
      <xdr:colOff>189494</xdr:colOff>
      <xdr:row>4</xdr:row>
      <xdr:rowOff>1960</xdr:rowOff>
    </xdr:to>
    <xdr:pic>
      <xdr:nvPicPr>
        <xdr:cNvPr id="2" name="Picture 53">
          <a:extLst>
            <a:ext uri="{FF2B5EF4-FFF2-40B4-BE49-F238E27FC236}">
              <a16:creationId xmlns:a16="http://schemas.microsoft.com/office/drawing/2014/main" id="{AA77A275-85FD-4F09-A2F6-CCBEDFC5CC23}"/>
            </a:ext>
          </a:extLst>
        </xdr:cNvPr>
        <xdr:cNvPicPr>
          <a:picLocks noChangeAspect="1"/>
        </xdr:cNvPicPr>
      </xdr:nvPicPr>
      <xdr:blipFill>
        <a:blip xmlns:r="http://schemas.openxmlformats.org/officeDocument/2006/relationships" r:embed="rId1"/>
        <a:stretch>
          <a:fillRect/>
        </a:stretch>
      </xdr:blipFill>
      <xdr:spPr>
        <a:xfrm>
          <a:off x="3438494" y="584554"/>
          <a:ext cx="180000" cy="179406"/>
        </a:xfrm>
        <a:prstGeom prst="rect">
          <a:avLst/>
        </a:prstGeom>
      </xdr:spPr>
    </xdr:pic>
    <xdr:clientData/>
  </xdr:twoCellAnchor>
  <xdr:twoCellAnchor editAs="oneCell">
    <xdr:from>
      <xdr:col>9</xdr:col>
      <xdr:colOff>60578</xdr:colOff>
      <xdr:row>26</xdr:row>
      <xdr:rowOff>170234</xdr:rowOff>
    </xdr:from>
    <xdr:to>
      <xdr:col>9</xdr:col>
      <xdr:colOff>148007</xdr:colOff>
      <xdr:row>27</xdr:row>
      <xdr:rowOff>188020</xdr:rowOff>
    </xdr:to>
    <xdr:pic>
      <xdr:nvPicPr>
        <xdr:cNvPr id="3" name="Picture 1">
          <a:extLst>
            <a:ext uri="{FF2B5EF4-FFF2-40B4-BE49-F238E27FC236}">
              <a16:creationId xmlns:a16="http://schemas.microsoft.com/office/drawing/2014/main" id="{52930139-31E8-4E74-9025-79793CDECB03}"/>
            </a:ext>
          </a:extLst>
        </xdr:cNvPr>
        <xdr:cNvPicPr>
          <a:picLocks noChangeAspect="1"/>
        </xdr:cNvPicPr>
      </xdr:nvPicPr>
      <xdr:blipFill>
        <a:blip xmlns:r="http://schemas.openxmlformats.org/officeDocument/2006/relationships" r:embed="rId2"/>
        <a:stretch>
          <a:fillRect/>
        </a:stretch>
      </xdr:blipFill>
      <xdr:spPr>
        <a:xfrm>
          <a:off x="1775078" y="5123234"/>
          <a:ext cx="87429" cy="208286"/>
        </a:xfrm>
        <a:prstGeom prst="rect">
          <a:avLst/>
        </a:prstGeom>
      </xdr:spPr>
    </xdr:pic>
    <xdr:clientData/>
  </xdr:twoCellAnchor>
  <xdr:twoCellAnchor editAs="oneCell">
    <xdr:from>
      <xdr:col>8</xdr:col>
      <xdr:colOff>184678</xdr:colOff>
      <xdr:row>26</xdr:row>
      <xdr:rowOff>63524</xdr:rowOff>
    </xdr:from>
    <xdr:to>
      <xdr:col>9</xdr:col>
      <xdr:colOff>127254</xdr:colOff>
      <xdr:row>26</xdr:row>
      <xdr:rowOff>161238</xdr:rowOff>
    </xdr:to>
    <xdr:pic>
      <xdr:nvPicPr>
        <xdr:cNvPr id="4" name="Picture 2">
          <a:extLst>
            <a:ext uri="{FF2B5EF4-FFF2-40B4-BE49-F238E27FC236}">
              <a16:creationId xmlns:a16="http://schemas.microsoft.com/office/drawing/2014/main" id="{36C1315D-0137-4C91-B376-6C5B4A72D2C1}"/>
            </a:ext>
          </a:extLst>
        </xdr:cNvPr>
        <xdr:cNvPicPr>
          <a:picLocks noChangeAspect="1"/>
        </xdr:cNvPicPr>
      </xdr:nvPicPr>
      <xdr:blipFill>
        <a:blip xmlns:r="http://schemas.openxmlformats.org/officeDocument/2006/relationships" r:embed="rId3"/>
        <a:stretch>
          <a:fillRect/>
        </a:stretch>
      </xdr:blipFill>
      <xdr:spPr>
        <a:xfrm>
          <a:off x="1708678" y="5016524"/>
          <a:ext cx="187504" cy="97714"/>
        </a:xfrm>
        <a:prstGeom prst="rect">
          <a:avLst/>
        </a:prstGeom>
      </xdr:spPr>
    </xdr:pic>
    <xdr:clientData/>
  </xdr:twoCellAnchor>
  <xdr:twoCellAnchor editAs="oneCell">
    <xdr:from>
      <xdr:col>7</xdr:col>
      <xdr:colOff>62168</xdr:colOff>
      <xdr:row>4</xdr:row>
      <xdr:rowOff>152855</xdr:rowOff>
    </xdr:from>
    <xdr:to>
      <xdr:col>7</xdr:col>
      <xdr:colOff>136739</xdr:colOff>
      <xdr:row>5</xdr:row>
      <xdr:rowOff>170641</xdr:rowOff>
    </xdr:to>
    <xdr:pic>
      <xdr:nvPicPr>
        <xdr:cNvPr id="5" name="Picture 3">
          <a:extLst>
            <a:ext uri="{FF2B5EF4-FFF2-40B4-BE49-F238E27FC236}">
              <a16:creationId xmlns:a16="http://schemas.microsoft.com/office/drawing/2014/main" id="{64DFBAAC-3B16-458B-91C5-90A22784F6FA}"/>
            </a:ext>
          </a:extLst>
        </xdr:cNvPr>
        <xdr:cNvPicPr>
          <a:picLocks noChangeAspect="1"/>
        </xdr:cNvPicPr>
      </xdr:nvPicPr>
      <xdr:blipFill>
        <a:blip xmlns:r="http://schemas.openxmlformats.org/officeDocument/2006/relationships" r:embed="rId4"/>
        <a:stretch>
          <a:fillRect/>
        </a:stretch>
      </xdr:blipFill>
      <xdr:spPr>
        <a:xfrm>
          <a:off x="1395668" y="914855"/>
          <a:ext cx="74571" cy="208286"/>
        </a:xfrm>
        <a:prstGeom prst="rect">
          <a:avLst/>
        </a:prstGeom>
      </xdr:spPr>
    </xdr:pic>
    <xdr:clientData/>
  </xdr:twoCellAnchor>
  <xdr:twoCellAnchor editAs="oneCell">
    <xdr:from>
      <xdr:col>9</xdr:col>
      <xdr:colOff>7371</xdr:colOff>
      <xdr:row>5</xdr:row>
      <xdr:rowOff>41925</xdr:rowOff>
    </xdr:from>
    <xdr:to>
      <xdr:col>9</xdr:col>
      <xdr:colOff>196607</xdr:colOff>
      <xdr:row>5</xdr:row>
      <xdr:rowOff>116496</xdr:rowOff>
    </xdr:to>
    <xdr:pic>
      <xdr:nvPicPr>
        <xdr:cNvPr id="6" name="Picture 4">
          <a:extLst>
            <a:ext uri="{FF2B5EF4-FFF2-40B4-BE49-F238E27FC236}">
              <a16:creationId xmlns:a16="http://schemas.microsoft.com/office/drawing/2014/main" id="{AC836131-FF95-45BD-A695-484F450EA765}"/>
            </a:ext>
          </a:extLst>
        </xdr:cNvPr>
        <xdr:cNvPicPr>
          <a:picLocks noChangeAspect="1"/>
        </xdr:cNvPicPr>
      </xdr:nvPicPr>
      <xdr:blipFill>
        <a:blip xmlns:r="http://schemas.openxmlformats.org/officeDocument/2006/relationships" r:embed="rId5"/>
        <a:stretch>
          <a:fillRect/>
        </a:stretch>
      </xdr:blipFill>
      <xdr:spPr>
        <a:xfrm>
          <a:off x="1721871" y="994425"/>
          <a:ext cx="189236" cy="74571"/>
        </a:xfrm>
        <a:prstGeom prst="rect">
          <a:avLst/>
        </a:prstGeom>
      </xdr:spPr>
    </xdr:pic>
    <xdr:clientData/>
  </xdr:twoCellAnchor>
  <xdr:twoCellAnchor editAs="oneCell">
    <xdr:from>
      <xdr:col>7</xdr:col>
      <xdr:colOff>4053</xdr:colOff>
      <xdr:row>9</xdr:row>
      <xdr:rowOff>101330</xdr:rowOff>
    </xdr:from>
    <xdr:to>
      <xdr:col>8</xdr:col>
      <xdr:colOff>99417</xdr:colOff>
      <xdr:row>10</xdr:row>
      <xdr:rowOff>80544</xdr:rowOff>
    </xdr:to>
    <xdr:pic>
      <xdr:nvPicPr>
        <xdr:cNvPr id="7" name="Picture 5">
          <a:extLst>
            <a:ext uri="{FF2B5EF4-FFF2-40B4-BE49-F238E27FC236}">
              <a16:creationId xmlns:a16="http://schemas.microsoft.com/office/drawing/2014/main" id="{5F2409AD-D8CF-4135-AC1B-DEDBF44FDCB9}"/>
            </a:ext>
          </a:extLst>
        </xdr:cNvPr>
        <xdr:cNvPicPr>
          <a:picLocks noChangeAspect="1"/>
        </xdr:cNvPicPr>
      </xdr:nvPicPr>
      <xdr:blipFill>
        <a:blip xmlns:r="http://schemas.openxmlformats.org/officeDocument/2006/relationships" r:embed="rId6"/>
        <a:stretch>
          <a:fillRect/>
        </a:stretch>
      </xdr:blipFill>
      <xdr:spPr>
        <a:xfrm>
          <a:off x="1337553" y="1815830"/>
          <a:ext cx="340293" cy="169714"/>
        </a:xfrm>
        <a:prstGeom prst="rect">
          <a:avLst/>
        </a:prstGeom>
      </xdr:spPr>
    </xdr:pic>
    <xdr:clientData/>
  </xdr:twoCellAnchor>
  <xdr:twoCellAnchor editAs="oneCell">
    <xdr:from>
      <xdr:col>5</xdr:col>
      <xdr:colOff>36479</xdr:colOff>
      <xdr:row>9</xdr:row>
      <xdr:rowOff>44585</xdr:rowOff>
    </xdr:from>
    <xdr:to>
      <xdr:col>5</xdr:col>
      <xdr:colOff>187143</xdr:colOff>
      <xdr:row>11</xdr:row>
      <xdr:rowOff>23585</xdr:rowOff>
    </xdr:to>
    <xdr:pic>
      <xdr:nvPicPr>
        <xdr:cNvPr id="8" name="Picture 6">
          <a:extLst>
            <a:ext uri="{FF2B5EF4-FFF2-40B4-BE49-F238E27FC236}">
              <a16:creationId xmlns:a16="http://schemas.microsoft.com/office/drawing/2014/main" id="{381FD295-6EE5-40BD-BFC9-88757C3345B1}"/>
            </a:ext>
          </a:extLst>
        </xdr:cNvPr>
        <xdr:cNvPicPr>
          <a:picLocks noChangeAspect="1"/>
        </xdr:cNvPicPr>
      </xdr:nvPicPr>
      <xdr:blipFill>
        <a:blip xmlns:r="http://schemas.openxmlformats.org/officeDocument/2006/relationships" r:embed="rId7"/>
        <a:stretch>
          <a:fillRect/>
        </a:stretch>
      </xdr:blipFill>
      <xdr:spPr>
        <a:xfrm>
          <a:off x="988979" y="1759085"/>
          <a:ext cx="150664" cy="360000"/>
        </a:xfrm>
        <a:prstGeom prst="rect">
          <a:avLst/>
        </a:prstGeom>
      </xdr:spPr>
    </xdr:pic>
    <xdr:clientData/>
  </xdr:twoCellAnchor>
  <xdr:twoCellAnchor editAs="oneCell">
    <xdr:from>
      <xdr:col>8</xdr:col>
      <xdr:colOff>206797</xdr:colOff>
      <xdr:row>9</xdr:row>
      <xdr:rowOff>76787</xdr:rowOff>
    </xdr:from>
    <xdr:to>
      <xdr:col>10</xdr:col>
      <xdr:colOff>56017</xdr:colOff>
      <xdr:row>10</xdr:row>
      <xdr:rowOff>56001</xdr:rowOff>
    </xdr:to>
    <xdr:pic>
      <xdr:nvPicPr>
        <xdr:cNvPr id="9" name="Picture 7">
          <a:extLst>
            <a:ext uri="{FF2B5EF4-FFF2-40B4-BE49-F238E27FC236}">
              <a16:creationId xmlns:a16="http://schemas.microsoft.com/office/drawing/2014/main" id="{925EC38B-89B1-4418-A2B9-98A1E762742D}"/>
            </a:ext>
          </a:extLst>
        </xdr:cNvPr>
        <xdr:cNvPicPr>
          <a:picLocks noChangeAspect="1"/>
        </xdr:cNvPicPr>
      </xdr:nvPicPr>
      <xdr:blipFill>
        <a:blip xmlns:r="http://schemas.openxmlformats.org/officeDocument/2006/relationships" r:embed="rId8"/>
        <a:stretch>
          <a:fillRect/>
        </a:stretch>
      </xdr:blipFill>
      <xdr:spPr>
        <a:xfrm>
          <a:off x="1711747" y="1791287"/>
          <a:ext cx="339077" cy="169714"/>
        </a:xfrm>
        <a:prstGeom prst="rect">
          <a:avLst/>
        </a:prstGeom>
      </xdr:spPr>
    </xdr:pic>
    <xdr:clientData/>
  </xdr:twoCellAnchor>
  <xdr:twoCellAnchor editAs="oneCell">
    <xdr:from>
      <xdr:col>3</xdr:col>
      <xdr:colOff>27925</xdr:colOff>
      <xdr:row>9</xdr:row>
      <xdr:rowOff>13166</xdr:rowOff>
    </xdr:from>
    <xdr:to>
      <xdr:col>3</xdr:col>
      <xdr:colOff>188114</xdr:colOff>
      <xdr:row>10</xdr:row>
      <xdr:rowOff>182666</xdr:rowOff>
    </xdr:to>
    <xdr:pic>
      <xdr:nvPicPr>
        <xdr:cNvPr id="10" name="Picture 8">
          <a:extLst>
            <a:ext uri="{FF2B5EF4-FFF2-40B4-BE49-F238E27FC236}">
              <a16:creationId xmlns:a16="http://schemas.microsoft.com/office/drawing/2014/main" id="{C0025F4A-349F-498D-ACB7-1E3786B2579A}"/>
            </a:ext>
          </a:extLst>
        </xdr:cNvPr>
        <xdr:cNvPicPr>
          <a:picLocks noChangeAspect="1"/>
        </xdr:cNvPicPr>
      </xdr:nvPicPr>
      <xdr:blipFill>
        <a:blip xmlns:r="http://schemas.openxmlformats.org/officeDocument/2006/relationships" r:embed="rId9"/>
        <a:stretch>
          <a:fillRect/>
        </a:stretch>
      </xdr:blipFill>
      <xdr:spPr>
        <a:xfrm>
          <a:off x="599425" y="1727666"/>
          <a:ext cx="160189" cy="360000"/>
        </a:xfrm>
        <a:prstGeom prst="rect">
          <a:avLst/>
        </a:prstGeom>
      </xdr:spPr>
    </xdr:pic>
    <xdr:clientData/>
  </xdr:twoCellAnchor>
  <xdr:twoCellAnchor editAs="oneCell">
    <xdr:from>
      <xdr:col>4</xdr:col>
      <xdr:colOff>206152</xdr:colOff>
      <xdr:row>7</xdr:row>
      <xdr:rowOff>16213</xdr:rowOff>
    </xdr:from>
    <xdr:to>
      <xdr:col>5</xdr:col>
      <xdr:colOff>132853</xdr:colOff>
      <xdr:row>7</xdr:row>
      <xdr:rowOff>185927</xdr:rowOff>
    </xdr:to>
    <xdr:pic>
      <xdr:nvPicPr>
        <xdr:cNvPr id="11" name="Picture 9">
          <a:extLst>
            <a:ext uri="{FF2B5EF4-FFF2-40B4-BE49-F238E27FC236}">
              <a16:creationId xmlns:a16="http://schemas.microsoft.com/office/drawing/2014/main" id="{B5AE7954-3402-4EC8-A6C1-79B0DA64E78C}"/>
            </a:ext>
          </a:extLst>
        </xdr:cNvPr>
        <xdr:cNvPicPr>
          <a:picLocks noChangeAspect="1"/>
        </xdr:cNvPicPr>
      </xdr:nvPicPr>
      <xdr:blipFill>
        <a:blip xmlns:r="http://schemas.openxmlformats.org/officeDocument/2006/relationships" r:embed="rId10"/>
        <a:stretch>
          <a:fillRect/>
        </a:stretch>
      </xdr:blipFill>
      <xdr:spPr>
        <a:xfrm>
          <a:off x="949102" y="1349713"/>
          <a:ext cx="171630" cy="169714"/>
        </a:xfrm>
        <a:prstGeom prst="rect">
          <a:avLst/>
        </a:prstGeom>
      </xdr:spPr>
    </xdr:pic>
    <xdr:clientData/>
  </xdr:twoCellAnchor>
  <xdr:twoCellAnchor editAs="oneCell">
    <xdr:from>
      <xdr:col>2</xdr:col>
      <xdr:colOff>210207</xdr:colOff>
      <xdr:row>7</xdr:row>
      <xdr:rowOff>0</xdr:rowOff>
    </xdr:from>
    <xdr:to>
      <xdr:col>3</xdr:col>
      <xdr:colOff>134335</xdr:colOff>
      <xdr:row>7</xdr:row>
      <xdr:rowOff>172286</xdr:rowOff>
    </xdr:to>
    <xdr:pic>
      <xdr:nvPicPr>
        <xdr:cNvPr id="12" name="Picture 10">
          <a:extLst>
            <a:ext uri="{FF2B5EF4-FFF2-40B4-BE49-F238E27FC236}">
              <a16:creationId xmlns:a16="http://schemas.microsoft.com/office/drawing/2014/main" id="{3D0B7E64-4B68-485B-8383-E2D82340232B}"/>
            </a:ext>
          </a:extLst>
        </xdr:cNvPr>
        <xdr:cNvPicPr>
          <a:picLocks noChangeAspect="1"/>
        </xdr:cNvPicPr>
      </xdr:nvPicPr>
      <xdr:blipFill>
        <a:blip xmlns:r="http://schemas.openxmlformats.org/officeDocument/2006/relationships" r:embed="rId11"/>
        <a:stretch>
          <a:fillRect/>
        </a:stretch>
      </xdr:blipFill>
      <xdr:spPr>
        <a:xfrm>
          <a:off x="572157" y="1333500"/>
          <a:ext cx="169057" cy="172286"/>
        </a:xfrm>
        <a:prstGeom prst="rect">
          <a:avLst/>
        </a:prstGeom>
      </xdr:spPr>
    </xdr:pic>
    <xdr:clientData/>
  </xdr:twoCellAnchor>
  <xdr:twoCellAnchor editAs="oneCell">
    <xdr:from>
      <xdr:col>7</xdr:col>
      <xdr:colOff>31866</xdr:colOff>
      <xdr:row>7</xdr:row>
      <xdr:rowOff>16213</xdr:rowOff>
    </xdr:from>
    <xdr:to>
      <xdr:col>7</xdr:col>
      <xdr:colOff>195186</xdr:colOff>
      <xdr:row>7</xdr:row>
      <xdr:rowOff>185927</xdr:rowOff>
    </xdr:to>
    <xdr:pic>
      <xdr:nvPicPr>
        <xdr:cNvPr id="13" name="Picture 11">
          <a:extLst>
            <a:ext uri="{FF2B5EF4-FFF2-40B4-BE49-F238E27FC236}">
              <a16:creationId xmlns:a16="http://schemas.microsoft.com/office/drawing/2014/main" id="{66CF1503-A0FC-49DF-AF6C-48F3FB7020C9}"/>
            </a:ext>
          </a:extLst>
        </xdr:cNvPr>
        <xdr:cNvPicPr>
          <a:picLocks noChangeAspect="1"/>
        </xdr:cNvPicPr>
      </xdr:nvPicPr>
      <xdr:blipFill>
        <a:blip xmlns:r="http://schemas.openxmlformats.org/officeDocument/2006/relationships" r:embed="rId12"/>
        <a:stretch>
          <a:fillRect/>
        </a:stretch>
      </xdr:blipFill>
      <xdr:spPr>
        <a:xfrm>
          <a:off x="1365366" y="1349713"/>
          <a:ext cx="163320" cy="169714"/>
        </a:xfrm>
        <a:prstGeom prst="rect">
          <a:avLst/>
        </a:prstGeom>
      </xdr:spPr>
    </xdr:pic>
    <xdr:clientData/>
  </xdr:twoCellAnchor>
  <xdr:twoCellAnchor editAs="oneCell">
    <xdr:from>
      <xdr:col>9</xdr:col>
      <xdr:colOff>27813</xdr:colOff>
      <xdr:row>7</xdr:row>
      <xdr:rowOff>36479</xdr:rowOff>
    </xdr:from>
    <xdr:to>
      <xdr:col>9</xdr:col>
      <xdr:colOff>188562</xdr:colOff>
      <xdr:row>8</xdr:row>
      <xdr:rowOff>18265</xdr:rowOff>
    </xdr:to>
    <xdr:pic>
      <xdr:nvPicPr>
        <xdr:cNvPr id="14" name="Picture 12">
          <a:extLst>
            <a:ext uri="{FF2B5EF4-FFF2-40B4-BE49-F238E27FC236}">
              <a16:creationId xmlns:a16="http://schemas.microsoft.com/office/drawing/2014/main" id="{06F26DCB-F845-4CB0-BC3F-66EFFD4DC016}"/>
            </a:ext>
          </a:extLst>
        </xdr:cNvPr>
        <xdr:cNvPicPr>
          <a:picLocks noChangeAspect="1"/>
        </xdr:cNvPicPr>
      </xdr:nvPicPr>
      <xdr:blipFill>
        <a:blip xmlns:r="http://schemas.openxmlformats.org/officeDocument/2006/relationships" r:embed="rId13"/>
        <a:stretch>
          <a:fillRect/>
        </a:stretch>
      </xdr:blipFill>
      <xdr:spPr>
        <a:xfrm>
          <a:off x="1742313" y="1369979"/>
          <a:ext cx="160749" cy="172286"/>
        </a:xfrm>
        <a:prstGeom prst="rect">
          <a:avLst/>
        </a:prstGeom>
      </xdr:spPr>
    </xdr:pic>
    <xdr:clientData/>
  </xdr:twoCellAnchor>
  <xdr:twoCellAnchor editAs="oneCell">
    <xdr:from>
      <xdr:col>7</xdr:col>
      <xdr:colOff>17192</xdr:colOff>
      <xdr:row>13</xdr:row>
      <xdr:rowOff>155112</xdr:rowOff>
    </xdr:from>
    <xdr:to>
      <xdr:col>7</xdr:col>
      <xdr:colOff>189478</xdr:colOff>
      <xdr:row>14</xdr:row>
      <xdr:rowOff>136898</xdr:rowOff>
    </xdr:to>
    <xdr:pic>
      <xdr:nvPicPr>
        <xdr:cNvPr id="15" name="Picture 13">
          <a:extLst>
            <a:ext uri="{FF2B5EF4-FFF2-40B4-BE49-F238E27FC236}">
              <a16:creationId xmlns:a16="http://schemas.microsoft.com/office/drawing/2014/main" id="{4548F516-915B-414B-87BD-210766C692C2}"/>
            </a:ext>
          </a:extLst>
        </xdr:cNvPr>
        <xdr:cNvPicPr>
          <a:picLocks noChangeAspect="1"/>
        </xdr:cNvPicPr>
      </xdr:nvPicPr>
      <xdr:blipFill>
        <a:blip xmlns:r="http://schemas.openxmlformats.org/officeDocument/2006/relationships" r:embed="rId14"/>
        <a:stretch>
          <a:fillRect/>
        </a:stretch>
      </xdr:blipFill>
      <xdr:spPr>
        <a:xfrm>
          <a:off x="1350692" y="2631612"/>
          <a:ext cx="172286" cy="172286"/>
        </a:xfrm>
        <a:prstGeom prst="rect">
          <a:avLst/>
        </a:prstGeom>
      </xdr:spPr>
    </xdr:pic>
    <xdr:clientData/>
  </xdr:twoCellAnchor>
  <xdr:twoCellAnchor editAs="oneCell">
    <xdr:from>
      <xdr:col>9</xdr:col>
      <xdr:colOff>34494</xdr:colOff>
      <xdr:row>13</xdr:row>
      <xdr:rowOff>44362</xdr:rowOff>
    </xdr:from>
    <xdr:to>
      <xdr:col>10</xdr:col>
      <xdr:colOff>137572</xdr:colOff>
      <xdr:row>15</xdr:row>
      <xdr:rowOff>25933</xdr:rowOff>
    </xdr:to>
    <xdr:pic>
      <xdr:nvPicPr>
        <xdr:cNvPr id="16" name="Picture 14">
          <a:extLst>
            <a:ext uri="{FF2B5EF4-FFF2-40B4-BE49-F238E27FC236}">
              <a16:creationId xmlns:a16="http://schemas.microsoft.com/office/drawing/2014/main" id="{F14845B9-69E8-45AF-820A-BE74AF9F07C5}"/>
            </a:ext>
          </a:extLst>
        </xdr:cNvPr>
        <xdr:cNvPicPr>
          <a:picLocks noChangeAspect="1"/>
        </xdr:cNvPicPr>
      </xdr:nvPicPr>
      <xdr:blipFill>
        <a:blip xmlns:r="http://schemas.openxmlformats.org/officeDocument/2006/relationships" r:embed="rId15"/>
        <a:stretch>
          <a:fillRect/>
        </a:stretch>
      </xdr:blipFill>
      <xdr:spPr>
        <a:xfrm>
          <a:off x="1748994" y="2520862"/>
          <a:ext cx="348007" cy="362571"/>
        </a:xfrm>
        <a:prstGeom prst="rect">
          <a:avLst/>
        </a:prstGeom>
      </xdr:spPr>
    </xdr:pic>
    <xdr:clientData/>
  </xdr:twoCellAnchor>
  <xdr:twoCellAnchor editAs="oneCell">
    <xdr:from>
      <xdr:col>2</xdr:col>
      <xdr:colOff>121596</xdr:colOff>
      <xdr:row>13</xdr:row>
      <xdr:rowOff>4053</xdr:rowOff>
    </xdr:from>
    <xdr:to>
      <xdr:col>3</xdr:col>
      <xdr:colOff>67817</xdr:colOff>
      <xdr:row>14</xdr:row>
      <xdr:rowOff>21839</xdr:rowOff>
    </xdr:to>
    <xdr:pic>
      <xdr:nvPicPr>
        <xdr:cNvPr id="17" name="Picture 15">
          <a:extLst>
            <a:ext uri="{FF2B5EF4-FFF2-40B4-BE49-F238E27FC236}">
              <a16:creationId xmlns:a16="http://schemas.microsoft.com/office/drawing/2014/main" id="{91E5AD03-40D4-4CD0-A793-CFAA2F3F8C82}"/>
            </a:ext>
          </a:extLst>
        </xdr:cNvPr>
        <xdr:cNvPicPr>
          <a:picLocks noChangeAspect="1"/>
        </xdr:cNvPicPr>
      </xdr:nvPicPr>
      <xdr:blipFill>
        <a:blip xmlns:r="http://schemas.openxmlformats.org/officeDocument/2006/relationships" r:embed="rId16"/>
        <a:stretch>
          <a:fillRect/>
        </a:stretch>
      </xdr:blipFill>
      <xdr:spPr>
        <a:xfrm>
          <a:off x="502596" y="2480553"/>
          <a:ext cx="191150" cy="208286"/>
        </a:xfrm>
        <a:prstGeom prst="rect">
          <a:avLst/>
        </a:prstGeom>
      </xdr:spPr>
    </xdr:pic>
    <xdr:clientData/>
  </xdr:twoCellAnchor>
  <xdr:twoCellAnchor editAs="oneCell">
    <xdr:from>
      <xdr:col>4</xdr:col>
      <xdr:colOff>121595</xdr:colOff>
      <xdr:row>13</xdr:row>
      <xdr:rowOff>4054</xdr:rowOff>
    </xdr:from>
    <xdr:to>
      <xdr:col>5</xdr:col>
      <xdr:colOff>64686</xdr:colOff>
      <xdr:row>14</xdr:row>
      <xdr:rowOff>24411</xdr:rowOff>
    </xdr:to>
    <xdr:pic>
      <xdr:nvPicPr>
        <xdr:cNvPr id="18" name="Picture 16">
          <a:extLst>
            <a:ext uri="{FF2B5EF4-FFF2-40B4-BE49-F238E27FC236}">
              <a16:creationId xmlns:a16="http://schemas.microsoft.com/office/drawing/2014/main" id="{1CEAE86B-1976-4259-AA33-FD961E26C98D}"/>
            </a:ext>
          </a:extLst>
        </xdr:cNvPr>
        <xdr:cNvPicPr>
          <a:picLocks noChangeAspect="1"/>
        </xdr:cNvPicPr>
      </xdr:nvPicPr>
      <xdr:blipFill>
        <a:blip xmlns:r="http://schemas.openxmlformats.org/officeDocument/2006/relationships" r:embed="rId17"/>
        <a:stretch>
          <a:fillRect/>
        </a:stretch>
      </xdr:blipFill>
      <xdr:spPr>
        <a:xfrm>
          <a:off x="883595" y="2480554"/>
          <a:ext cx="188020" cy="210857"/>
        </a:xfrm>
        <a:prstGeom prst="rect">
          <a:avLst/>
        </a:prstGeom>
      </xdr:spPr>
    </xdr:pic>
    <xdr:clientData/>
  </xdr:twoCellAnchor>
  <xdr:twoCellAnchor editAs="oneCell">
    <xdr:from>
      <xdr:col>4</xdr:col>
      <xdr:colOff>121596</xdr:colOff>
      <xdr:row>15</xdr:row>
      <xdr:rowOff>4053</xdr:rowOff>
    </xdr:from>
    <xdr:to>
      <xdr:col>5</xdr:col>
      <xdr:colOff>76284</xdr:colOff>
      <xdr:row>16</xdr:row>
      <xdr:rowOff>29553</xdr:rowOff>
    </xdr:to>
    <xdr:pic>
      <xdr:nvPicPr>
        <xdr:cNvPr id="19" name="Picture 17">
          <a:extLst>
            <a:ext uri="{FF2B5EF4-FFF2-40B4-BE49-F238E27FC236}">
              <a16:creationId xmlns:a16="http://schemas.microsoft.com/office/drawing/2014/main" id="{8FD290B1-1B09-46F2-BEF4-0099CC6E8687}"/>
            </a:ext>
          </a:extLst>
        </xdr:cNvPr>
        <xdr:cNvPicPr>
          <a:picLocks noChangeAspect="1"/>
        </xdr:cNvPicPr>
      </xdr:nvPicPr>
      <xdr:blipFill>
        <a:blip xmlns:r="http://schemas.openxmlformats.org/officeDocument/2006/relationships" r:embed="rId18"/>
        <a:stretch>
          <a:fillRect/>
        </a:stretch>
      </xdr:blipFill>
      <xdr:spPr>
        <a:xfrm>
          <a:off x="883596" y="2861553"/>
          <a:ext cx="199617" cy="216000"/>
        </a:xfrm>
        <a:prstGeom prst="rect">
          <a:avLst/>
        </a:prstGeom>
      </xdr:spPr>
    </xdr:pic>
    <xdr:clientData/>
  </xdr:twoCellAnchor>
  <xdr:twoCellAnchor editAs="oneCell">
    <xdr:from>
      <xdr:col>2</xdr:col>
      <xdr:colOff>121595</xdr:colOff>
      <xdr:row>15</xdr:row>
      <xdr:rowOff>4054</xdr:rowOff>
    </xdr:from>
    <xdr:to>
      <xdr:col>3</xdr:col>
      <xdr:colOff>64686</xdr:colOff>
      <xdr:row>16</xdr:row>
      <xdr:rowOff>24411</xdr:rowOff>
    </xdr:to>
    <xdr:pic>
      <xdr:nvPicPr>
        <xdr:cNvPr id="20" name="Picture 18">
          <a:extLst>
            <a:ext uri="{FF2B5EF4-FFF2-40B4-BE49-F238E27FC236}">
              <a16:creationId xmlns:a16="http://schemas.microsoft.com/office/drawing/2014/main" id="{2C39F89A-E86B-45EC-B766-28BB6DAE04C9}"/>
            </a:ext>
          </a:extLst>
        </xdr:cNvPr>
        <xdr:cNvPicPr>
          <a:picLocks noChangeAspect="1"/>
        </xdr:cNvPicPr>
      </xdr:nvPicPr>
      <xdr:blipFill>
        <a:blip xmlns:r="http://schemas.openxmlformats.org/officeDocument/2006/relationships" r:embed="rId19"/>
        <a:stretch>
          <a:fillRect/>
        </a:stretch>
      </xdr:blipFill>
      <xdr:spPr>
        <a:xfrm>
          <a:off x="502595" y="2861554"/>
          <a:ext cx="188020" cy="210857"/>
        </a:xfrm>
        <a:prstGeom prst="rect">
          <a:avLst/>
        </a:prstGeom>
      </xdr:spPr>
    </xdr:pic>
    <xdr:clientData/>
  </xdr:twoCellAnchor>
  <xdr:twoCellAnchor editAs="oneCell">
    <xdr:from>
      <xdr:col>2</xdr:col>
      <xdr:colOff>48639</xdr:colOff>
      <xdr:row>17</xdr:row>
      <xdr:rowOff>170234</xdr:rowOff>
    </xdr:from>
    <xdr:to>
      <xdr:col>3</xdr:col>
      <xdr:colOff>165537</xdr:colOff>
      <xdr:row>20</xdr:row>
      <xdr:rowOff>2448</xdr:rowOff>
    </xdr:to>
    <xdr:pic>
      <xdr:nvPicPr>
        <xdr:cNvPr id="21" name="Picture 19">
          <a:extLst>
            <a:ext uri="{FF2B5EF4-FFF2-40B4-BE49-F238E27FC236}">
              <a16:creationId xmlns:a16="http://schemas.microsoft.com/office/drawing/2014/main" id="{4E9620EB-972C-4C6A-87B2-EC36C0DF07E9}"/>
            </a:ext>
          </a:extLst>
        </xdr:cNvPr>
        <xdr:cNvPicPr>
          <a:picLocks noChangeAspect="1"/>
        </xdr:cNvPicPr>
      </xdr:nvPicPr>
      <xdr:blipFill>
        <a:blip xmlns:r="http://schemas.openxmlformats.org/officeDocument/2006/relationships" r:embed="rId20"/>
        <a:stretch>
          <a:fillRect/>
        </a:stretch>
      </xdr:blipFill>
      <xdr:spPr>
        <a:xfrm>
          <a:off x="429639" y="3408734"/>
          <a:ext cx="361827" cy="403714"/>
        </a:xfrm>
        <a:prstGeom prst="rect">
          <a:avLst/>
        </a:prstGeom>
      </xdr:spPr>
    </xdr:pic>
    <xdr:clientData/>
  </xdr:twoCellAnchor>
  <xdr:twoCellAnchor editAs="oneCell">
    <xdr:from>
      <xdr:col>5</xdr:col>
      <xdr:colOff>48638</xdr:colOff>
      <xdr:row>17</xdr:row>
      <xdr:rowOff>170235</xdr:rowOff>
    </xdr:from>
    <xdr:to>
      <xdr:col>6</xdr:col>
      <xdr:colOff>168108</xdr:colOff>
      <xdr:row>19</xdr:row>
      <xdr:rowOff>190378</xdr:rowOff>
    </xdr:to>
    <xdr:pic>
      <xdr:nvPicPr>
        <xdr:cNvPr id="22" name="Picture 20">
          <a:extLst>
            <a:ext uri="{FF2B5EF4-FFF2-40B4-BE49-F238E27FC236}">
              <a16:creationId xmlns:a16="http://schemas.microsoft.com/office/drawing/2014/main" id="{8BBFA75C-30AD-4536-A20C-F704445A49C0}"/>
            </a:ext>
          </a:extLst>
        </xdr:cNvPr>
        <xdr:cNvPicPr>
          <a:picLocks noChangeAspect="1"/>
        </xdr:cNvPicPr>
      </xdr:nvPicPr>
      <xdr:blipFill>
        <a:blip xmlns:r="http://schemas.openxmlformats.org/officeDocument/2006/relationships" r:embed="rId21"/>
        <a:stretch>
          <a:fillRect/>
        </a:stretch>
      </xdr:blipFill>
      <xdr:spPr>
        <a:xfrm>
          <a:off x="1001138" y="3408735"/>
          <a:ext cx="364398" cy="401143"/>
        </a:xfrm>
        <a:prstGeom prst="rect">
          <a:avLst/>
        </a:prstGeom>
      </xdr:spPr>
    </xdr:pic>
    <xdr:clientData/>
  </xdr:twoCellAnchor>
  <xdr:twoCellAnchor editAs="oneCell">
    <xdr:from>
      <xdr:col>5</xdr:col>
      <xdr:colOff>48639</xdr:colOff>
      <xdr:row>20</xdr:row>
      <xdr:rowOff>170234</xdr:rowOff>
    </xdr:from>
    <xdr:to>
      <xdr:col>6</xdr:col>
      <xdr:colOff>165538</xdr:colOff>
      <xdr:row>23</xdr:row>
      <xdr:rowOff>2448</xdr:rowOff>
    </xdr:to>
    <xdr:pic>
      <xdr:nvPicPr>
        <xdr:cNvPr id="23" name="Picture 21">
          <a:extLst>
            <a:ext uri="{FF2B5EF4-FFF2-40B4-BE49-F238E27FC236}">
              <a16:creationId xmlns:a16="http://schemas.microsoft.com/office/drawing/2014/main" id="{75C756E1-69D4-4EEE-A535-0FE93E3A8325}"/>
            </a:ext>
          </a:extLst>
        </xdr:cNvPr>
        <xdr:cNvPicPr>
          <a:picLocks noChangeAspect="1"/>
        </xdr:cNvPicPr>
      </xdr:nvPicPr>
      <xdr:blipFill>
        <a:blip xmlns:r="http://schemas.openxmlformats.org/officeDocument/2006/relationships" r:embed="rId22"/>
        <a:stretch>
          <a:fillRect/>
        </a:stretch>
      </xdr:blipFill>
      <xdr:spPr>
        <a:xfrm>
          <a:off x="1001139" y="3980234"/>
          <a:ext cx="361827" cy="403714"/>
        </a:xfrm>
        <a:prstGeom prst="rect">
          <a:avLst/>
        </a:prstGeom>
      </xdr:spPr>
    </xdr:pic>
    <xdr:clientData/>
  </xdr:twoCellAnchor>
  <xdr:twoCellAnchor editAs="oneCell">
    <xdr:from>
      <xdr:col>2</xdr:col>
      <xdr:colOff>48638</xdr:colOff>
      <xdr:row>20</xdr:row>
      <xdr:rowOff>170235</xdr:rowOff>
    </xdr:from>
    <xdr:to>
      <xdr:col>3</xdr:col>
      <xdr:colOff>168107</xdr:colOff>
      <xdr:row>22</xdr:row>
      <xdr:rowOff>190378</xdr:rowOff>
    </xdr:to>
    <xdr:pic>
      <xdr:nvPicPr>
        <xdr:cNvPr id="24" name="Picture 22">
          <a:extLst>
            <a:ext uri="{FF2B5EF4-FFF2-40B4-BE49-F238E27FC236}">
              <a16:creationId xmlns:a16="http://schemas.microsoft.com/office/drawing/2014/main" id="{5428F969-5986-4F61-B531-DDBD0E7611C4}"/>
            </a:ext>
          </a:extLst>
        </xdr:cNvPr>
        <xdr:cNvPicPr>
          <a:picLocks noChangeAspect="1"/>
        </xdr:cNvPicPr>
      </xdr:nvPicPr>
      <xdr:blipFill>
        <a:blip xmlns:r="http://schemas.openxmlformats.org/officeDocument/2006/relationships" r:embed="rId23"/>
        <a:stretch>
          <a:fillRect/>
        </a:stretch>
      </xdr:blipFill>
      <xdr:spPr>
        <a:xfrm>
          <a:off x="429638" y="3980235"/>
          <a:ext cx="364398" cy="401143"/>
        </a:xfrm>
        <a:prstGeom prst="rect">
          <a:avLst/>
        </a:prstGeom>
      </xdr:spPr>
    </xdr:pic>
    <xdr:clientData/>
  </xdr:twoCellAnchor>
  <xdr:twoCellAnchor editAs="oneCell">
    <xdr:from>
      <xdr:col>8</xdr:col>
      <xdr:colOff>16213</xdr:colOff>
      <xdr:row>19</xdr:row>
      <xdr:rowOff>0</xdr:rowOff>
    </xdr:from>
    <xdr:to>
      <xdr:col>8</xdr:col>
      <xdr:colOff>204233</xdr:colOff>
      <xdr:row>20</xdr:row>
      <xdr:rowOff>17786</xdr:rowOff>
    </xdr:to>
    <xdr:pic>
      <xdr:nvPicPr>
        <xdr:cNvPr id="25" name="Picture 23">
          <a:extLst>
            <a:ext uri="{FF2B5EF4-FFF2-40B4-BE49-F238E27FC236}">
              <a16:creationId xmlns:a16="http://schemas.microsoft.com/office/drawing/2014/main" id="{79A4BB15-2A6C-40BB-8DB0-9D0FCEA04F63}"/>
            </a:ext>
          </a:extLst>
        </xdr:cNvPr>
        <xdr:cNvPicPr>
          <a:picLocks noChangeAspect="1"/>
        </xdr:cNvPicPr>
      </xdr:nvPicPr>
      <xdr:blipFill>
        <a:blip xmlns:r="http://schemas.openxmlformats.org/officeDocument/2006/relationships" r:embed="rId24"/>
        <a:stretch>
          <a:fillRect/>
        </a:stretch>
      </xdr:blipFill>
      <xdr:spPr>
        <a:xfrm>
          <a:off x="1540213" y="3619500"/>
          <a:ext cx="188020" cy="208286"/>
        </a:xfrm>
        <a:prstGeom prst="rect">
          <a:avLst/>
        </a:prstGeom>
      </xdr:spPr>
    </xdr:pic>
    <xdr:clientData/>
  </xdr:twoCellAnchor>
  <xdr:twoCellAnchor editAs="oneCell">
    <xdr:from>
      <xdr:col>10</xdr:col>
      <xdr:colOff>16213</xdr:colOff>
      <xdr:row>19</xdr:row>
      <xdr:rowOff>0</xdr:rowOff>
    </xdr:from>
    <xdr:to>
      <xdr:col>10</xdr:col>
      <xdr:colOff>204233</xdr:colOff>
      <xdr:row>20</xdr:row>
      <xdr:rowOff>17786</xdr:rowOff>
    </xdr:to>
    <xdr:pic>
      <xdr:nvPicPr>
        <xdr:cNvPr id="26" name="Picture 24">
          <a:extLst>
            <a:ext uri="{FF2B5EF4-FFF2-40B4-BE49-F238E27FC236}">
              <a16:creationId xmlns:a16="http://schemas.microsoft.com/office/drawing/2014/main" id="{AC8369C6-4ED5-4719-80F5-063EB06FF077}"/>
            </a:ext>
          </a:extLst>
        </xdr:cNvPr>
        <xdr:cNvPicPr>
          <a:picLocks noChangeAspect="1"/>
        </xdr:cNvPicPr>
      </xdr:nvPicPr>
      <xdr:blipFill>
        <a:blip xmlns:r="http://schemas.openxmlformats.org/officeDocument/2006/relationships" r:embed="rId25"/>
        <a:stretch>
          <a:fillRect/>
        </a:stretch>
      </xdr:blipFill>
      <xdr:spPr>
        <a:xfrm>
          <a:off x="1921213" y="3619500"/>
          <a:ext cx="188020" cy="208286"/>
        </a:xfrm>
        <a:prstGeom prst="rect">
          <a:avLst/>
        </a:prstGeom>
      </xdr:spPr>
    </xdr:pic>
    <xdr:clientData/>
  </xdr:twoCellAnchor>
  <xdr:twoCellAnchor editAs="oneCell">
    <xdr:from>
      <xdr:col>10</xdr:col>
      <xdr:colOff>16213</xdr:colOff>
      <xdr:row>21</xdr:row>
      <xdr:rowOff>0</xdr:rowOff>
    </xdr:from>
    <xdr:to>
      <xdr:col>10</xdr:col>
      <xdr:colOff>204233</xdr:colOff>
      <xdr:row>22</xdr:row>
      <xdr:rowOff>17786</xdr:rowOff>
    </xdr:to>
    <xdr:pic>
      <xdr:nvPicPr>
        <xdr:cNvPr id="27" name="Picture 25">
          <a:extLst>
            <a:ext uri="{FF2B5EF4-FFF2-40B4-BE49-F238E27FC236}">
              <a16:creationId xmlns:a16="http://schemas.microsoft.com/office/drawing/2014/main" id="{86572CF3-B7B2-4286-A5F7-0BF781E874F1}"/>
            </a:ext>
          </a:extLst>
        </xdr:cNvPr>
        <xdr:cNvPicPr>
          <a:picLocks noChangeAspect="1"/>
        </xdr:cNvPicPr>
      </xdr:nvPicPr>
      <xdr:blipFill>
        <a:blip xmlns:r="http://schemas.openxmlformats.org/officeDocument/2006/relationships" r:embed="rId26"/>
        <a:stretch>
          <a:fillRect/>
        </a:stretch>
      </xdr:blipFill>
      <xdr:spPr>
        <a:xfrm>
          <a:off x="1921213" y="4000500"/>
          <a:ext cx="188020" cy="208286"/>
        </a:xfrm>
        <a:prstGeom prst="rect">
          <a:avLst/>
        </a:prstGeom>
      </xdr:spPr>
    </xdr:pic>
    <xdr:clientData/>
  </xdr:twoCellAnchor>
  <xdr:twoCellAnchor editAs="oneCell">
    <xdr:from>
      <xdr:col>8</xdr:col>
      <xdr:colOff>16213</xdr:colOff>
      <xdr:row>21</xdr:row>
      <xdr:rowOff>0</xdr:rowOff>
    </xdr:from>
    <xdr:to>
      <xdr:col>8</xdr:col>
      <xdr:colOff>204233</xdr:colOff>
      <xdr:row>22</xdr:row>
      <xdr:rowOff>17786</xdr:rowOff>
    </xdr:to>
    <xdr:pic>
      <xdr:nvPicPr>
        <xdr:cNvPr id="28" name="Picture 26">
          <a:extLst>
            <a:ext uri="{FF2B5EF4-FFF2-40B4-BE49-F238E27FC236}">
              <a16:creationId xmlns:a16="http://schemas.microsoft.com/office/drawing/2014/main" id="{D6925C98-D667-46C8-AEFF-3E5F2ECE1797}"/>
            </a:ext>
          </a:extLst>
        </xdr:cNvPr>
        <xdr:cNvPicPr>
          <a:picLocks noChangeAspect="1"/>
        </xdr:cNvPicPr>
      </xdr:nvPicPr>
      <xdr:blipFill>
        <a:blip xmlns:r="http://schemas.openxmlformats.org/officeDocument/2006/relationships" r:embed="rId27"/>
        <a:stretch>
          <a:fillRect/>
        </a:stretch>
      </xdr:blipFill>
      <xdr:spPr>
        <a:xfrm>
          <a:off x="1540213" y="4000500"/>
          <a:ext cx="188020" cy="208286"/>
        </a:xfrm>
        <a:prstGeom prst="rect">
          <a:avLst/>
        </a:prstGeom>
      </xdr:spPr>
    </xdr:pic>
    <xdr:clientData/>
  </xdr:twoCellAnchor>
  <xdr:twoCellAnchor editAs="oneCell">
    <xdr:from>
      <xdr:col>4</xdr:col>
      <xdr:colOff>72957</xdr:colOff>
      <xdr:row>27</xdr:row>
      <xdr:rowOff>12161</xdr:rowOff>
    </xdr:from>
    <xdr:to>
      <xdr:col>4</xdr:col>
      <xdr:colOff>134671</xdr:colOff>
      <xdr:row>27</xdr:row>
      <xdr:rowOff>176732</xdr:rowOff>
    </xdr:to>
    <xdr:pic>
      <xdr:nvPicPr>
        <xdr:cNvPr id="29" name="Picture 27">
          <a:extLst>
            <a:ext uri="{FF2B5EF4-FFF2-40B4-BE49-F238E27FC236}">
              <a16:creationId xmlns:a16="http://schemas.microsoft.com/office/drawing/2014/main" id="{568BE32F-A8B6-4951-B406-B78DF349E7EA}"/>
            </a:ext>
          </a:extLst>
        </xdr:cNvPr>
        <xdr:cNvPicPr>
          <a:picLocks noChangeAspect="1"/>
        </xdr:cNvPicPr>
      </xdr:nvPicPr>
      <xdr:blipFill>
        <a:blip xmlns:r="http://schemas.openxmlformats.org/officeDocument/2006/relationships" r:embed="rId28"/>
        <a:stretch>
          <a:fillRect/>
        </a:stretch>
      </xdr:blipFill>
      <xdr:spPr>
        <a:xfrm>
          <a:off x="834957" y="5155661"/>
          <a:ext cx="61714" cy="164571"/>
        </a:xfrm>
        <a:prstGeom prst="rect">
          <a:avLst/>
        </a:prstGeom>
      </xdr:spPr>
    </xdr:pic>
    <xdr:clientData/>
  </xdr:twoCellAnchor>
  <xdr:twoCellAnchor editAs="oneCell">
    <xdr:from>
      <xdr:col>4</xdr:col>
      <xdr:colOff>12161</xdr:colOff>
      <xdr:row>26</xdr:row>
      <xdr:rowOff>60798</xdr:rowOff>
    </xdr:from>
    <xdr:to>
      <xdr:col>4</xdr:col>
      <xdr:colOff>176732</xdr:colOff>
      <xdr:row>26</xdr:row>
      <xdr:rowOff>122512</xdr:rowOff>
    </xdr:to>
    <xdr:pic>
      <xdr:nvPicPr>
        <xdr:cNvPr id="30" name="Picture 28">
          <a:extLst>
            <a:ext uri="{FF2B5EF4-FFF2-40B4-BE49-F238E27FC236}">
              <a16:creationId xmlns:a16="http://schemas.microsoft.com/office/drawing/2014/main" id="{A5FBD7E2-30B9-4E89-8468-A0C2F602D11D}"/>
            </a:ext>
          </a:extLst>
        </xdr:cNvPr>
        <xdr:cNvPicPr>
          <a:picLocks noChangeAspect="1"/>
        </xdr:cNvPicPr>
      </xdr:nvPicPr>
      <xdr:blipFill>
        <a:blip xmlns:r="http://schemas.openxmlformats.org/officeDocument/2006/relationships" r:embed="rId29"/>
        <a:stretch>
          <a:fillRect/>
        </a:stretch>
      </xdr:blipFill>
      <xdr:spPr>
        <a:xfrm>
          <a:off x="774161" y="5013798"/>
          <a:ext cx="164571" cy="61714"/>
        </a:xfrm>
        <a:prstGeom prst="rect">
          <a:avLst/>
        </a:prstGeom>
      </xdr:spPr>
    </xdr:pic>
    <xdr:clientData/>
  </xdr:twoCellAnchor>
  <xdr:twoCellAnchor editAs="oneCell">
    <xdr:from>
      <xdr:col>4</xdr:col>
      <xdr:colOff>52692</xdr:colOff>
      <xdr:row>24</xdr:row>
      <xdr:rowOff>186447</xdr:rowOff>
    </xdr:from>
    <xdr:to>
      <xdr:col>4</xdr:col>
      <xdr:colOff>109263</xdr:colOff>
      <xdr:row>25</xdr:row>
      <xdr:rowOff>165661</xdr:rowOff>
    </xdr:to>
    <xdr:pic>
      <xdr:nvPicPr>
        <xdr:cNvPr id="31" name="Picture 29">
          <a:extLst>
            <a:ext uri="{FF2B5EF4-FFF2-40B4-BE49-F238E27FC236}">
              <a16:creationId xmlns:a16="http://schemas.microsoft.com/office/drawing/2014/main" id="{CEE2AC5C-8A74-488A-A3AD-188E01555BFB}"/>
            </a:ext>
          </a:extLst>
        </xdr:cNvPr>
        <xdr:cNvPicPr>
          <a:picLocks noChangeAspect="1"/>
        </xdr:cNvPicPr>
      </xdr:nvPicPr>
      <xdr:blipFill>
        <a:blip xmlns:r="http://schemas.openxmlformats.org/officeDocument/2006/relationships" r:embed="rId30"/>
        <a:stretch>
          <a:fillRect/>
        </a:stretch>
      </xdr:blipFill>
      <xdr:spPr>
        <a:xfrm>
          <a:off x="814692" y="4758447"/>
          <a:ext cx="56571" cy="169714"/>
        </a:xfrm>
        <a:prstGeom prst="rect">
          <a:avLst/>
        </a:prstGeom>
      </xdr:spPr>
    </xdr:pic>
    <xdr:clientData/>
  </xdr:twoCellAnchor>
  <xdr:twoCellAnchor editAs="oneCell">
    <xdr:from>
      <xdr:col>4</xdr:col>
      <xdr:colOff>24319</xdr:colOff>
      <xdr:row>24</xdr:row>
      <xdr:rowOff>48640</xdr:rowOff>
    </xdr:from>
    <xdr:to>
      <xdr:col>4</xdr:col>
      <xdr:colOff>194033</xdr:colOff>
      <xdr:row>24</xdr:row>
      <xdr:rowOff>105211</xdr:rowOff>
    </xdr:to>
    <xdr:pic>
      <xdr:nvPicPr>
        <xdr:cNvPr id="32" name="Picture 30">
          <a:extLst>
            <a:ext uri="{FF2B5EF4-FFF2-40B4-BE49-F238E27FC236}">
              <a16:creationId xmlns:a16="http://schemas.microsoft.com/office/drawing/2014/main" id="{E533262A-38D1-45F4-B551-02B1DD927318}"/>
            </a:ext>
          </a:extLst>
        </xdr:cNvPr>
        <xdr:cNvPicPr>
          <a:picLocks noChangeAspect="1"/>
        </xdr:cNvPicPr>
      </xdr:nvPicPr>
      <xdr:blipFill>
        <a:blip xmlns:r="http://schemas.openxmlformats.org/officeDocument/2006/relationships" r:embed="rId31"/>
        <a:stretch>
          <a:fillRect/>
        </a:stretch>
      </xdr:blipFill>
      <xdr:spPr>
        <a:xfrm>
          <a:off x="786319" y="4620640"/>
          <a:ext cx="169714" cy="56571"/>
        </a:xfrm>
        <a:prstGeom prst="rect">
          <a:avLst/>
        </a:prstGeom>
      </xdr:spPr>
    </xdr:pic>
    <xdr:clientData/>
  </xdr:twoCellAnchor>
  <xdr:twoCellAnchor editAs="oneCell">
    <xdr:from>
      <xdr:col>6</xdr:col>
      <xdr:colOff>0</xdr:colOff>
      <xdr:row>24</xdr:row>
      <xdr:rowOff>1</xdr:rowOff>
    </xdr:from>
    <xdr:to>
      <xdr:col>6</xdr:col>
      <xdr:colOff>169714</xdr:colOff>
      <xdr:row>24</xdr:row>
      <xdr:rowOff>167144</xdr:rowOff>
    </xdr:to>
    <xdr:pic>
      <xdr:nvPicPr>
        <xdr:cNvPr id="33" name="Picture 31">
          <a:extLst>
            <a:ext uri="{FF2B5EF4-FFF2-40B4-BE49-F238E27FC236}">
              <a16:creationId xmlns:a16="http://schemas.microsoft.com/office/drawing/2014/main" id="{4016294E-2EC6-4268-B42F-32DDF1F6BABC}"/>
            </a:ext>
          </a:extLst>
        </xdr:cNvPr>
        <xdr:cNvPicPr>
          <a:picLocks noChangeAspect="1"/>
        </xdr:cNvPicPr>
      </xdr:nvPicPr>
      <xdr:blipFill>
        <a:blip xmlns:r="http://schemas.openxmlformats.org/officeDocument/2006/relationships" r:embed="rId32"/>
        <a:stretch>
          <a:fillRect/>
        </a:stretch>
      </xdr:blipFill>
      <xdr:spPr>
        <a:xfrm>
          <a:off x="1143000" y="4572001"/>
          <a:ext cx="169714" cy="167143"/>
        </a:xfrm>
        <a:prstGeom prst="rect">
          <a:avLst/>
        </a:prstGeom>
      </xdr:spPr>
    </xdr:pic>
    <xdr:clientData/>
  </xdr:twoCellAnchor>
  <xdr:twoCellAnchor editAs="oneCell">
    <xdr:from>
      <xdr:col>7</xdr:col>
      <xdr:colOff>0</xdr:colOff>
      <xdr:row>24</xdr:row>
      <xdr:rowOff>1</xdr:rowOff>
    </xdr:from>
    <xdr:to>
      <xdr:col>7</xdr:col>
      <xdr:colOff>169714</xdr:colOff>
      <xdr:row>24</xdr:row>
      <xdr:rowOff>167144</xdr:rowOff>
    </xdr:to>
    <xdr:pic>
      <xdr:nvPicPr>
        <xdr:cNvPr id="34" name="Picture 32">
          <a:extLst>
            <a:ext uri="{FF2B5EF4-FFF2-40B4-BE49-F238E27FC236}">
              <a16:creationId xmlns:a16="http://schemas.microsoft.com/office/drawing/2014/main" id="{A03C49AA-050A-4D73-9BF1-CB21E91F5B1B}"/>
            </a:ext>
          </a:extLst>
        </xdr:cNvPr>
        <xdr:cNvPicPr>
          <a:picLocks noChangeAspect="1"/>
        </xdr:cNvPicPr>
      </xdr:nvPicPr>
      <xdr:blipFill>
        <a:blip xmlns:r="http://schemas.openxmlformats.org/officeDocument/2006/relationships" r:embed="rId33"/>
        <a:stretch>
          <a:fillRect/>
        </a:stretch>
      </xdr:blipFill>
      <xdr:spPr>
        <a:xfrm>
          <a:off x="1333500" y="4572001"/>
          <a:ext cx="169714" cy="167143"/>
        </a:xfrm>
        <a:prstGeom prst="rect">
          <a:avLst/>
        </a:prstGeom>
      </xdr:spPr>
    </xdr:pic>
    <xdr:clientData/>
  </xdr:twoCellAnchor>
  <xdr:twoCellAnchor editAs="oneCell">
    <xdr:from>
      <xdr:col>8</xdr:col>
      <xdr:colOff>0</xdr:colOff>
      <xdr:row>24</xdr:row>
      <xdr:rowOff>0</xdr:rowOff>
    </xdr:from>
    <xdr:to>
      <xdr:col>8</xdr:col>
      <xdr:colOff>172286</xdr:colOff>
      <xdr:row>24</xdr:row>
      <xdr:rowOff>172286</xdr:rowOff>
    </xdr:to>
    <xdr:pic>
      <xdr:nvPicPr>
        <xdr:cNvPr id="35" name="Picture 33">
          <a:extLst>
            <a:ext uri="{FF2B5EF4-FFF2-40B4-BE49-F238E27FC236}">
              <a16:creationId xmlns:a16="http://schemas.microsoft.com/office/drawing/2014/main" id="{62A46770-E6F1-4378-BC36-668E4A3A67D2}"/>
            </a:ext>
          </a:extLst>
        </xdr:cNvPr>
        <xdr:cNvPicPr>
          <a:picLocks noChangeAspect="1"/>
        </xdr:cNvPicPr>
      </xdr:nvPicPr>
      <xdr:blipFill>
        <a:blip xmlns:r="http://schemas.openxmlformats.org/officeDocument/2006/relationships" r:embed="rId34"/>
        <a:stretch>
          <a:fillRect/>
        </a:stretch>
      </xdr:blipFill>
      <xdr:spPr>
        <a:xfrm>
          <a:off x="1524000" y="4572000"/>
          <a:ext cx="172286" cy="172286"/>
        </a:xfrm>
        <a:prstGeom prst="rect">
          <a:avLst/>
        </a:prstGeom>
      </xdr:spPr>
    </xdr:pic>
    <xdr:clientData/>
  </xdr:twoCellAnchor>
  <xdr:twoCellAnchor editAs="oneCell">
    <xdr:from>
      <xdr:col>5</xdr:col>
      <xdr:colOff>0</xdr:colOff>
      <xdr:row>25</xdr:row>
      <xdr:rowOff>1</xdr:rowOff>
    </xdr:from>
    <xdr:to>
      <xdr:col>5</xdr:col>
      <xdr:colOff>169714</xdr:colOff>
      <xdr:row>25</xdr:row>
      <xdr:rowOff>167144</xdr:rowOff>
    </xdr:to>
    <xdr:pic>
      <xdr:nvPicPr>
        <xdr:cNvPr id="36" name="Picture 34">
          <a:extLst>
            <a:ext uri="{FF2B5EF4-FFF2-40B4-BE49-F238E27FC236}">
              <a16:creationId xmlns:a16="http://schemas.microsoft.com/office/drawing/2014/main" id="{B65612FD-90CB-4AD6-910B-E158460BF084}"/>
            </a:ext>
          </a:extLst>
        </xdr:cNvPr>
        <xdr:cNvPicPr>
          <a:picLocks noChangeAspect="1"/>
        </xdr:cNvPicPr>
      </xdr:nvPicPr>
      <xdr:blipFill>
        <a:blip xmlns:r="http://schemas.openxmlformats.org/officeDocument/2006/relationships" r:embed="rId35"/>
        <a:stretch>
          <a:fillRect/>
        </a:stretch>
      </xdr:blipFill>
      <xdr:spPr>
        <a:xfrm>
          <a:off x="952500" y="4762501"/>
          <a:ext cx="169714" cy="167143"/>
        </a:xfrm>
        <a:prstGeom prst="rect">
          <a:avLst/>
        </a:prstGeom>
      </xdr:spPr>
    </xdr:pic>
    <xdr:clientData/>
  </xdr:twoCellAnchor>
  <xdr:twoCellAnchor editAs="oneCell">
    <xdr:from>
      <xdr:col>6</xdr:col>
      <xdr:colOff>0</xdr:colOff>
      <xdr:row>25</xdr:row>
      <xdr:rowOff>0</xdr:rowOff>
    </xdr:from>
    <xdr:to>
      <xdr:col>6</xdr:col>
      <xdr:colOff>169714</xdr:colOff>
      <xdr:row>25</xdr:row>
      <xdr:rowOff>169714</xdr:rowOff>
    </xdr:to>
    <xdr:pic>
      <xdr:nvPicPr>
        <xdr:cNvPr id="37" name="Picture 35">
          <a:extLst>
            <a:ext uri="{FF2B5EF4-FFF2-40B4-BE49-F238E27FC236}">
              <a16:creationId xmlns:a16="http://schemas.microsoft.com/office/drawing/2014/main" id="{8D898656-7801-451F-B79B-8FE35E14FD16}"/>
            </a:ext>
          </a:extLst>
        </xdr:cNvPr>
        <xdr:cNvPicPr>
          <a:picLocks noChangeAspect="1"/>
        </xdr:cNvPicPr>
      </xdr:nvPicPr>
      <xdr:blipFill>
        <a:blip xmlns:r="http://schemas.openxmlformats.org/officeDocument/2006/relationships" r:embed="rId36"/>
        <a:stretch>
          <a:fillRect/>
        </a:stretch>
      </xdr:blipFill>
      <xdr:spPr>
        <a:xfrm>
          <a:off x="1143000" y="4762500"/>
          <a:ext cx="169714" cy="169714"/>
        </a:xfrm>
        <a:prstGeom prst="rect">
          <a:avLst/>
        </a:prstGeom>
      </xdr:spPr>
    </xdr:pic>
    <xdr:clientData/>
  </xdr:twoCellAnchor>
  <xdr:twoCellAnchor editAs="oneCell">
    <xdr:from>
      <xdr:col>7</xdr:col>
      <xdr:colOff>0</xdr:colOff>
      <xdr:row>25</xdr:row>
      <xdr:rowOff>0</xdr:rowOff>
    </xdr:from>
    <xdr:to>
      <xdr:col>7</xdr:col>
      <xdr:colOff>169714</xdr:colOff>
      <xdr:row>25</xdr:row>
      <xdr:rowOff>172286</xdr:rowOff>
    </xdr:to>
    <xdr:pic>
      <xdr:nvPicPr>
        <xdr:cNvPr id="38" name="Picture 36">
          <a:extLst>
            <a:ext uri="{FF2B5EF4-FFF2-40B4-BE49-F238E27FC236}">
              <a16:creationId xmlns:a16="http://schemas.microsoft.com/office/drawing/2014/main" id="{11E5CE2D-A443-4965-88DC-90968CB35FCF}"/>
            </a:ext>
          </a:extLst>
        </xdr:cNvPr>
        <xdr:cNvPicPr>
          <a:picLocks noChangeAspect="1"/>
        </xdr:cNvPicPr>
      </xdr:nvPicPr>
      <xdr:blipFill>
        <a:blip xmlns:r="http://schemas.openxmlformats.org/officeDocument/2006/relationships" r:embed="rId37"/>
        <a:stretch>
          <a:fillRect/>
        </a:stretch>
      </xdr:blipFill>
      <xdr:spPr>
        <a:xfrm>
          <a:off x="1333500" y="4762500"/>
          <a:ext cx="169714" cy="172286"/>
        </a:xfrm>
        <a:prstGeom prst="rect">
          <a:avLst/>
        </a:prstGeom>
      </xdr:spPr>
    </xdr:pic>
    <xdr:clientData/>
  </xdr:twoCellAnchor>
  <xdr:twoCellAnchor editAs="oneCell">
    <xdr:from>
      <xdr:col>8</xdr:col>
      <xdr:colOff>1</xdr:colOff>
      <xdr:row>25</xdr:row>
      <xdr:rowOff>1</xdr:rowOff>
    </xdr:from>
    <xdr:to>
      <xdr:col>8</xdr:col>
      <xdr:colOff>167144</xdr:colOff>
      <xdr:row>25</xdr:row>
      <xdr:rowOff>167144</xdr:rowOff>
    </xdr:to>
    <xdr:pic>
      <xdr:nvPicPr>
        <xdr:cNvPr id="39" name="Picture 37">
          <a:extLst>
            <a:ext uri="{FF2B5EF4-FFF2-40B4-BE49-F238E27FC236}">
              <a16:creationId xmlns:a16="http://schemas.microsoft.com/office/drawing/2014/main" id="{897D46B2-0E4E-4B72-AE56-02E7BEEBEB2A}"/>
            </a:ext>
          </a:extLst>
        </xdr:cNvPr>
        <xdr:cNvPicPr>
          <a:picLocks noChangeAspect="1"/>
        </xdr:cNvPicPr>
      </xdr:nvPicPr>
      <xdr:blipFill>
        <a:blip xmlns:r="http://schemas.openxmlformats.org/officeDocument/2006/relationships" r:embed="rId38"/>
        <a:stretch>
          <a:fillRect/>
        </a:stretch>
      </xdr:blipFill>
      <xdr:spPr>
        <a:xfrm>
          <a:off x="1524001" y="4762501"/>
          <a:ext cx="167143" cy="167143"/>
        </a:xfrm>
        <a:prstGeom prst="rect">
          <a:avLst/>
        </a:prstGeom>
      </xdr:spPr>
    </xdr:pic>
    <xdr:clientData/>
  </xdr:twoCellAnchor>
  <xdr:twoCellAnchor editAs="oneCell">
    <xdr:from>
      <xdr:col>5</xdr:col>
      <xdr:colOff>1</xdr:colOff>
      <xdr:row>26</xdr:row>
      <xdr:rowOff>1</xdr:rowOff>
    </xdr:from>
    <xdr:to>
      <xdr:col>5</xdr:col>
      <xdr:colOff>164572</xdr:colOff>
      <xdr:row>26</xdr:row>
      <xdr:rowOff>164572</xdr:rowOff>
    </xdr:to>
    <xdr:pic>
      <xdr:nvPicPr>
        <xdr:cNvPr id="40" name="Picture 38">
          <a:extLst>
            <a:ext uri="{FF2B5EF4-FFF2-40B4-BE49-F238E27FC236}">
              <a16:creationId xmlns:a16="http://schemas.microsoft.com/office/drawing/2014/main" id="{17773C4C-7122-492E-98A9-69E291DB5509}"/>
            </a:ext>
          </a:extLst>
        </xdr:cNvPr>
        <xdr:cNvPicPr>
          <a:picLocks noChangeAspect="1"/>
        </xdr:cNvPicPr>
      </xdr:nvPicPr>
      <xdr:blipFill>
        <a:blip xmlns:r="http://schemas.openxmlformats.org/officeDocument/2006/relationships" r:embed="rId39"/>
        <a:stretch>
          <a:fillRect/>
        </a:stretch>
      </xdr:blipFill>
      <xdr:spPr>
        <a:xfrm>
          <a:off x="952501" y="4953001"/>
          <a:ext cx="164571" cy="164571"/>
        </a:xfrm>
        <a:prstGeom prst="rect">
          <a:avLst/>
        </a:prstGeom>
      </xdr:spPr>
    </xdr:pic>
    <xdr:clientData/>
  </xdr:twoCellAnchor>
  <xdr:twoCellAnchor editAs="oneCell">
    <xdr:from>
      <xdr:col>6</xdr:col>
      <xdr:colOff>1</xdr:colOff>
      <xdr:row>26</xdr:row>
      <xdr:rowOff>1</xdr:rowOff>
    </xdr:from>
    <xdr:to>
      <xdr:col>6</xdr:col>
      <xdr:colOff>164572</xdr:colOff>
      <xdr:row>26</xdr:row>
      <xdr:rowOff>167144</xdr:rowOff>
    </xdr:to>
    <xdr:pic>
      <xdr:nvPicPr>
        <xdr:cNvPr id="41" name="Picture 39">
          <a:extLst>
            <a:ext uri="{FF2B5EF4-FFF2-40B4-BE49-F238E27FC236}">
              <a16:creationId xmlns:a16="http://schemas.microsoft.com/office/drawing/2014/main" id="{02D12004-7A4C-4E9F-B884-FEEC74744B9D}"/>
            </a:ext>
          </a:extLst>
        </xdr:cNvPr>
        <xdr:cNvPicPr>
          <a:picLocks noChangeAspect="1"/>
        </xdr:cNvPicPr>
      </xdr:nvPicPr>
      <xdr:blipFill>
        <a:blip xmlns:r="http://schemas.openxmlformats.org/officeDocument/2006/relationships" r:embed="rId40"/>
        <a:stretch>
          <a:fillRect/>
        </a:stretch>
      </xdr:blipFill>
      <xdr:spPr>
        <a:xfrm>
          <a:off x="1143001" y="4953001"/>
          <a:ext cx="164571" cy="167143"/>
        </a:xfrm>
        <a:prstGeom prst="rect">
          <a:avLst/>
        </a:prstGeom>
      </xdr:spPr>
    </xdr:pic>
    <xdr:clientData/>
  </xdr:twoCellAnchor>
  <xdr:twoCellAnchor editAs="oneCell">
    <xdr:from>
      <xdr:col>7</xdr:col>
      <xdr:colOff>1</xdr:colOff>
      <xdr:row>26</xdr:row>
      <xdr:rowOff>1</xdr:rowOff>
    </xdr:from>
    <xdr:to>
      <xdr:col>7</xdr:col>
      <xdr:colOff>167144</xdr:colOff>
      <xdr:row>26</xdr:row>
      <xdr:rowOff>167144</xdr:rowOff>
    </xdr:to>
    <xdr:pic>
      <xdr:nvPicPr>
        <xdr:cNvPr id="42" name="Picture 40">
          <a:extLst>
            <a:ext uri="{FF2B5EF4-FFF2-40B4-BE49-F238E27FC236}">
              <a16:creationId xmlns:a16="http://schemas.microsoft.com/office/drawing/2014/main" id="{69C1086F-1873-490E-93D4-00DEF24DF7B6}"/>
            </a:ext>
          </a:extLst>
        </xdr:cNvPr>
        <xdr:cNvPicPr>
          <a:picLocks noChangeAspect="1"/>
        </xdr:cNvPicPr>
      </xdr:nvPicPr>
      <xdr:blipFill>
        <a:blip xmlns:r="http://schemas.openxmlformats.org/officeDocument/2006/relationships" r:embed="rId41"/>
        <a:stretch>
          <a:fillRect/>
        </a:stretch>
      </xdr:blipFill>
      <xdr:spPr>
        <a:xfrm>
          <a:off x="1333501" y="4953001"/>
          <a:ext cx="167143" cy="167143"/>
        </a:xfrm>
        <a:prstGeom prst="rect">
          <a:avLst/>
        </a:prstGeom>
      </xdr:spPr>
    </xdr:pic>
    <xdr:clientData/>
  </xdr:twoCellAnchor>
  <xdr:twoCellAnchor editAs="oneCell">
    <xdr:from>
      <xdr:col>5</xdr:col>
      <xdr:colOff>1</xdr:colOff>
      <xdr:row>27</xdr:row>
      <xdr:rowOff>1</xdr:rowOff>
    </xdr:from>
    <xdr:to>
      <xdr:col>5</xdr:col>
      <xdr:colOff>164572</xdr:colOff>
      <xdr:row>27</xdr:row>
      <xdr:rowOff>167144</xdr:rowOff>
    </xdr:to>
    <xdr:pic>
      <xdr:nvPicPr>
        <xdr:cNvPr id="43" name="Picture 41">
          <a:extLst>
            <a:ext uri="{FF2B5EF4-FFF2-40B4-BE49-F238E27FC236}">
              <a16:creationId xmlns:a16="http://schemas.microsoft.com/office/drawing/2014/main" id="{074B354E-9EDA-4231-9152-7B8655F7D088}"/>
            </a:ext>
          </a:extLst>
        </xdr:cNvPr>
        <xdr:cNvPicPr>
          <a:picLocks noChangeAspect="1"/>
        </xdr:cNvPicPr>
      </xdr:nvPicPr>
      <xdr:blipFill>
        <a:blip xmlns:r="http://schemas.openxmlformats.org/officeDocument/2006/relationships" r:embed="rId42"/>
        <a:stretch>
          <a:fillRect/>
        </a:stretch>
      </xdr:blipFill>
      <xdr:spPr>
        <a:xfrm>
          <a:off x="952501" y="5143501"/>
          <a:ext cx="164571" cy="167143"/>
        </a:xfrm>
        <a:prstGeom prst="rect">
          <a:avLst/>
        </a:prstGeom>
      </xdr:spPr>
    </xdr:pic>
    <xdr:clientData/>
  </xdr:twoCellAnchor>
  <xdr:twoCellAnchor editAs="oneCell">
    <xdr:from>
      <xdr:col>6</xdr:col>
      <xdr:colOff>0</xdr:colOff>
      <xdr:row>27</xdr:row>
      <xdr:rowOff>1</xdr:rowOff>
    </xdr:from>
    <xdr:to>
      <xdr:col>6</xdr:col>
      <xdr:colOff>162000</xdr:colOff>
      <xdr:row>27</xdr:row>
      <xdr:rowOff>164572</xdr:rowOff>
    </xdr:to>
    <xdr:pic>
      <xdr:nvPicPr>
        <xdr:cNvPr id="44" name="Picture 42">
          <a:extLst>
            <a:ext uri="{FF2B5EF4-FFF2-40B4-BE49-F238E27FC236}">
              <a16:creationId xmlns:a16="http://schemas.microsoft.com/office/drawing/2014/main" id="{C40B25C4-9DF3-4E77-A76C-64668A75F343}"/>
            </a:ext>
          </a:extLst>
        </xdr:cNvPr>
        <xdr:cNvPicPr>
          <a:picLocks noChangeAspect="1"/>
        </xdr:cNvPicPr>
      </xdr:nvPicPr>
      <xdr:blipFill>
        <a:blip xmlns:r="http://schemas.openxmlformats.org/officeDocument/2006/relationships" r:embed="rId43"/>
        <a:stretch>
          <a:fillRect/>
        </a:stretch>
      </xdr:blipFill>
      <xdr:spPr>
        <a:xfrm>
          <a:off x="1143000" y="5143501"/>
          <a:ext cx="162000" cy="164571"/>
        </a:xfrm>
        <a:prstGeom prst="rect">
          <a:avLst/>
        </a:prstGeom>
      </xdr:spPr>
    </xdr:pic>
    <xdr:clientData/>
  </xdr:twoCellAnchor>
  <xdr:twoCellAnchor editAs="oneCell">
    <xdr:from>
      <xdr:col>7</xdr:col>
      <xdr:colOff>1</xdr:colOff>
      <xdr:row>27</xdr:row>
      <xdr:rowOff>1</xdr:rowOff>
    </xdr:from>
    <xdr:to>
      <xdr:col>7</xdr:col>
      <xdr:colOff>167144</xdr:colOff>
      <xdr:row>27</xdr:row>
      <xdr:rowOff>167144</xdr:rowOff>
    </xdr:to>
    <xdr:pic>
      <xdr:nvPicPr>
        <xdr:cNvPr id="45" name="Picture 43">
          <a:extLst>
            <a:ext uri="{FF2B5EF4-FFF2-40B4-BE49-F238E27FC236}">
              <a16:creationId xmlns:a16="http://schemas.microsoft.com/office/drawing/2014/main" id="{0F2E386B-41B4-4744-ABA8-3B9630E61462}"/>
            </a:ext>
          </a:extLst>
        </xdr:cNvPr>
        <xdr:cNvPicPr>
          <a:picLocks noChangeAspect="1"/>
        </xdr:cNvPicPr>
      </xdr:nvPicPr>
      <xdr:blipFill>
        <a:blip xmlns:r="http://schemas.openxmlformats.org/officeDocument/2006/relationships" r:embed="rId44"/>
        <a:stretch>
          <a:fillRect/>
        </a:stretch>
      </xdr:blipFill>
      <xdr:spPr>
        <a:xfrm>
          <a:off x="1333501" y="5143501"/>
          <a:ext cx="167143" cy="167143"/>
        </a:xfrm>
        <a:prstGeom prst="rect">
          <a:avLst/>
        </a:prstGeom>
      </xdr:spPr>
    </xdr:pic>
    <xdr:clientData/>
  </xdr:twoCellAnchor>
  <xdr:twoCellAnchor editAs="oneCell">
    <xdr:from>
      <xdr:col>5</xdr:col>
      <xdr:colOff>1</xdr:colOff>
      <xdr:row>28</xdr:row>
      <xdr:rowOff>1</xdr:rowOff>
    </xdr:from>
    <xdr:to>
      <xdr:col>5</xdr:col>
      <xdr:colOff>164572</xdr:colOff>
      <xdr:row>28</xdr:row>
      <xdr:rowOff>164572</xdr:rowOff>
    </xdr:to>
    <xdr:pic>
      <xdr:nvPicPr>
        <xdr:cNvPr id="46" name="Picture 44">
          <a:extLst>
            <a:ext uri="{FF2B5EF4-FFF2-40B4-BE49-F238E27FC236}">
              <a16:creationId xmlns:a16="http://schemas.microsoft.com/office/drawing/2014/main" id="{F2CABE90-F40D-4941-B62D-0AE43924D0D6}"/>
            </a:ext>
          </a:extLst>
        </xdr:cNvPr>
        <xdr:cNvPicPr>
          <a:picLocks noChangeAspect="1"/>
        </xdr:cNvPicPr>
      </xdr:nvPicPr>
      <xdr:blipFill>
        <a:blip xmlns:r="http://schemas.openxmlformats.org/officeDocument/2006/relationships" r:embed="rId45"/>
        <a:stretch>
          <a:fillRect/>
        </a:stretch>
      </xdr:blipFill>
      <xdr:spPr>
        <a:xfrm>
          <a:off x="952501" y="5334001"/>
          <a:ext cx="164571" cy="164571"/>
        </a:xfrm>
        <a:prstGeom prst="rect">
          <a:avLst/>
        </a:prstGeom>
      </xdr:spPr>
    </xdr:pic>
    <xdr:clientData/>
  </xdr:twoCellAnchor>
  <xdr:twoCellAnchor editAs="oneCell">
    <xdr:from>
      <xdr:col>6</xdr:col>
      <xdr:colOff>1</xdr:colOff>
      <xdr:row>28</xdr:row>
      <xdr:rowOff>1</xdr:rowOff>
    </xdr:from>
    <xdr:to>
      <xdr:col>6</xdr:col>
      <xdr:colOff>6096</xdr:colOff>
      <xdr:row>28</xdr:row>
      <xdr:rowOff>6096</xdr:rowOff>
    </xdr:to>
    <xdr:pic>
      <xdr:nvPicPr>
        <xdr:cNvPr id="47" name="Picture 45">
          <a:extLst>
            <a:ext uri="{FF2B5EF4-FFF2-40B4-BE49-F238E27FC236}">
              <a16:creationId xmlns:a16="http://schemas.microsoft.com/office/drawing/2014/main" id="{8C1B321E-5D6E-44C4-AA6E-C049C819F08B}"/>
            </a:ext>
          </a:extLst>
        </xdr:cNvPr>
        <xdr:cNvPicPr>
          <a:picLocks noChangeAspect="1"/>
        </xdr:cNvPicPr>
      </xdr:nvPicPr>
      <xdr:blipFill>
        <a:blip xmlns:r="http://schemas.openxmlformats.org/officeDocument/2006/relationships" r:embed="rId45"/>
        <a:stretch>
          <a:fillRect/>
        </a:stretch>
      </xdr:blipFill>
      <xdr:spPr>
        <a:xfrm>
          <a:off x="1143001" y="5334001"/>
          <a:ext cx="6095" cy="6095"/>
        </a:xfrm>
        <a:prstGeom prst="rect">
          <a:avLst/>
        </a:prstGeom>
      </xdr:spPr>
    </xdr:pic>
    <xdr:clientData/>
  </xdr:twoCellAnchor>
  <xdr:twoCellAnchor editAs="oneCell">
    <xdr:from>
      <xdr:col>6</xdr:col>
      <xdr:colOff>1</xdr:colOff>
      <xdr:row>28</xdr:row>
      <xdr:rowOff>1</xdr:rowOff>
    </xdr:from>
    <xdr:to>
      <xdr:col>6</xdr:col>
      <xdr:colOff>164572</xdr:colOff>
      <xdr:row>28</xdr:row>
      <xdr:rowOff>164572</xdr:rowOff>
    </xdr:to>
    <xdr:pic>
      <xdr:nvPicPr>
        <xdr:cNvPr id="48" name="Picture 46">
          <a:extLst>
            <a:ext uri="{FF2B5EF4-FFF2-40B4-BE49-F238E27FC236}">
              <a16:creationId xmlns:a16="http://schemas.microsoft.com/office/drawing/2014/main" id="{B0DC00ED-33E5-43FD-8549-2EA92D83E972}"/>
            </a:ext>
          </a:extLst>
        </xdr:cNvPr>
        <xdr:cNvPicPr>
          <a:picLocks noChangeAspect="1"/>
        </xdr:cNvPicPr>
      </xdr:nvPicPr>
      <xdr:blipFill>
        <a:blip xmlns:r="http://schemas.openxmlformats.org/officeDocument/2006/relationships" r:embed="rId46"/>
        <a:stretch>
          <a:fillRect/>
        </a:stretch>
      </xdr:blipFill>
      <xdr:spPr>
        <a:xfrm>
          <a:off x="1143001" y="5334001"/>
          <a:ext cx="164571" cy="164571"/>
        </a:xfrm>
        <a:prstGeom prst="rect">
          <a:avLst/>
        </a:prstGeom>
      </xdr:spPr>
    </xdr:pic>
    <xdr:clientData/>
  </xdr:twoCellAnchor>
  <xdr:twoCellAnchor editAs="oneCell">
    <xdr:from>
      <xdr:col>7</xdr:col>
      <xdr:colOff>0</xdr:colOff>
      <xdr:row>28</xdr:row>
      <xdr:rowOff>0</xdr:rowOff>
    </xdr:from>
    <xdr:to>
      <xdr:col>7</xdr:col>
      <xdr:colOff>162000</xdr:colOff>
      <xdr:row>28</xdr:row>
      <xdr:rowOff>162000</xdr:rowOff>
    </xdr:to>
    <xdr:pic>
      <xdr:nvPicPr>
        <xdr:cNvPr id="49" name="Picture 47">
          <a:extLst>
            <a:ext uri="{FF2B5EF4-FFF2-40B4-BE49-F238E27FC236}">
              <a16:creationId xmlns:a16="http://schemas.microsoft.com/office/drawing/2014/main" id="{6B745210-DB9E-4D6D-A865-E5249BD662D6}"/>
            </a:ext>
          </a:extLst>
        </xdr:cNvPr>
        <xdr:cNvPicPr>
          <a:picLocks noChangeAspect="1"/>
        </xdr:cNvPicPr>
      </xdr:nvPicPr>
      <xdr:blipFill>
        <a:blip xmlns:r="http://schemas.openxmlformats.org/officeDocument/2006/relationships" r:embed="rId47"/>
        <a:stretch>
          <a:fillRect/>
        </a:stretch>
      </xdr:blipFill>
      <xdr:spPr>
        <a:xfrm>
          <a:off x="1333500" y="5334000"/>
          <a:ext cx="162000" cy="162000"/>
        </a:xfrm>
        <a:prstGeom prst="rect">
          <a:avLst/>
        </a:prstGeom>
      </xdr:spPr>
    </xdr:pic>
    <xdr:clientData/>
  </xdr:twoCellAnchor>
  <xdr:twoCellAnchor editAs="oneCell">
    <xdr:from>
      <xdr:col>8</xdr:col>
      <xdr:colOff>1</xdr:colOff>
      <xdr:row>26</xdr:row>
      <xdr:rowOff>0</xdr:rowOff>
    </xdr:from>
    <xdr:to>
      <xdr:col>8</xdr:col>
      <xdr:colOff>167144</xdr:colOff>
      <xdr:row>26</xdr:row>
      <xdr:rowOff>162000</xdr:rowOff>
    </xdr:to>
    <xdr:pic>
      <xdr:nvPicPr>
        <xdr:cNvPr id="50" name="Picture 48">
          <a:extLst>
            <a:ext uri="{FF2B5EF4-FFF2-40B4-BE49-F238E27FC236}">
              <a16:creationId xmlns:a16="http://schemas.microsoft.com/office/drawing/2014/main" id="{6BB352CC-305D-4F18-A67E-FBD7AD08AE1D}"/>
            </a:ext>
          </a:extLst>
        </xdr:cNvPr>
        <xdr:cNvPicPr>
          <a:picLocks noChangeAspect="1"/>
        </xdr:cNvPicPr>
      </xdr:nvPicPr>
      <xdr:blipFill>
        <a:blip xmlns:r="http://schemas.openxmlformats.org/officeDocument/2006/relationships" r:embed="rId48"/>
        <a:stretch>
          <a:fillRect/>
        </a:stretch>
      </xdr:blipFill>
      <xdr:spPr>
        <a:xfrm>
          <a:off x="1524001" y="4953000"/>
          <a:ext cx="167143" cy="162000"/>
        </a:xfrm>
        <a:prstGeom prst="rect">
          <a:avLst/>
        </a:prstGeom>
      </xdr:spPr>
    </xdr:pic>
    <xdr:clientData/>
  </xdr:twoCellAnchor>
  <xdr:twoCellAnchor editAs="oneCell">
    <xdr:from>
      <xdr:col>8</xdr:col>
      <xdr:colOff>1</xdr:colOff>
      <xdr:row>27</xdr:row>
      <xdr:rowOff>1</xdr:rowOff>
    </xdr:from>
    <xdr:to>
      <xdr:col>8</xdr:col>
      <xdr:colOff>167144</xdr:colOff>
      <xdr:row>27</xdr:row>
      <xdr:rowOff>167144</xdr:rowOff>
    </xdr:to>
    <xdr:pic>
      <xdr:nvPicPr>
        <xdr:cNvPr id="51" name="Picture 49">
          <a:extLst>
            <a:ext uri="{FF2B5EF4-FFF2-40B4-BE49-F238E27FC236}">
              <a16:creationId xmlns:a16="http://schemas.microsoft.com/office/drawing/2014/main" id="{A8EC7F2F-9C27-48B4-B83D-A308A1FA7818}"/>
            </a:ext>
          </a:extLst>
        </xdr:cNvPr>
        <xdr:cNvPicPr>
          <a:picLocks noChangeAspect="1"/>
        </xdr:cNvPicPr>
      </xdr:nvPicPr>
      <xdr:blipFill>
        <a:blip xmlns:r="http://schemas.openxmlformats.org/officeDocument/2006/relationships" r:embed="rId49"/>
        <a:stretch>
          <a:fillRect/>
        </a:stretch>
      </xdr:blipFill>
      <xdr:spPr>
        <a:xfrm>
          <a:off x="1524001" y="5143501"/>
          <a:ext cx="167143" cy="167143"/>
        </a:xfrm>
        <a:prstGeom prst="rect">
          <a:avLst/>
        </a:prstGeom>
      </xdr:spPr>
    </xdr:pic>
    <xdr:clientData/>
  </xdr:twoCellAnchor>
  <xdr:twoCellAnchor editAs="oneCell">
    <xdr:from>
      <xdr:col>8</xdr:col>
      <xdr:colOff>1</xdr:colOff>
      <xdr:row>28</xdr:row>
      <xdr:rowOff>1</xdr:rowOff>
    </xdr:from>
    <xdr:to>
      <xdr:col>8</xdr:col>
      <xdr:colOff>164572</xdr:colOff>
      <xdr:row>28</xdr:row>
      <xdr:rowOff>164572</xdr:rowOff>
    </xdr:to>
    <xdr:pic>
      <xdr:nvPicPr>
        <xdr:cNvPr id="52" name="Picture 50">
          <a:extLst>
            <a:ext uri="{FF2B5EF4-FFF2-40B4-BE49-F238E27FC236}">
              <a16:creationId xmlns:a16="http://schemas.microsoft.com/office/drawing/2014/main" id="{232DCA83-E930-468B-BBB7-0A5F1CB66520}"/>
            </a:ext>
          </a:extLst>
        </xdr:cNvPr>
        <xdr:cNvPicPr>
          <a:picLocks noChangeAspect="1"/>
        </xdr:cNvPicPr>
      </xdr:nvPicPr>
      <xdr:blipFill>
        <a:blip xmlns:r="http://schemas.openxmlformats.org/officeDocument/2006/relationships" r:embed="rId50"/>
        <a:stretch>
          <a:fillRect/>
        </a:stretch>
      </xdr:blipFill>
      <xdr:spPr>
        <a:xfrm>
          <a:off x="1524001" y="5334001"/>
          <a:ext cx="164571" cy="164571"/>
        </a:xfrm>
        <a:prstGeom prst="rect">
          <a:avLst/>
        </a:prstGeom>
      </xdr:spPr>
    </xdr:pic>
    <xdr:clientData/>
  </xdr:twoCellAnchor>
  <xdr:twoCellAnchor editAs="oneCell">
    <xdr:from>
      <xdr:col>7</xdr:col>
      <xdr:colOff>42610</xdr:colOff>
      <xdr:row>1</xdr:row>
      <xdr:rowOff>178823</xdr:rowOff>
    </xdr:from>
    <xdr:to>
      <xdr:col>7</xdr:col>
      <xdr:colOff>135181</xdr:colOff>
      <xdr:row>4</xdr:row>
      <xdr:rowOff>8466</xdr:rowOff>
    </xdr:to>
    <xdr:pic>
      <xdr:nvPicPr>
        <xdr:cNvPr id="53" name="Picture 51">
          <a:extLst>
            <a:ext uri="{FF2B5EF4-FFF2-40B4-BE49-F238E27FC236}">
              <a16:creationId xmlns:a16="http://schemas.microsoft.com/office/drawing/2014/main" id="{700C6794-D6F4-4F51-8F12-C709A67C95E1}"/>
            </a:ext>
          </a:extLst>
        </xdr:cNvPr>
        <xdr:cNvPicPr>
          <a:picLocks noChangeAspect="1"/>
        </xdr:cNvPicPr>
      </xdr:nvPicPr>
      <xdr:blipFill>
        <a:blip xmlns:r="http://schemas.openxmlformats.org/officeDocument/2006/relationships" r:embed="rId51"/>
        <a:stretch>
          <a:fillRect/>
        </a:stretch>
      </xdr:blipFill>
      <xdr:spPr>
        <a:xfrm>
          <a:off x="1376110" y="369323"/>
          <a:ext cx="92571" cy="401143"/>
        </a:xfrm>
        <a:prstGeom prst="rect">
          <a:avLst/>
        </a:prstGeom>
      </xdr:spPr>
    </xdr:pic>
    <xdr:clientData/>
  </xdr:twoCellAnchor>
  <xdr:twoCellAnchor editAs="oneCell">
    <xdr:from>
      <xdr:col>8</xdr:col>
      <xdr:colOff>64699</xdr:colOff>
      <xdr:row>3</xdr:row>
      <xdr:rowOff>42407</xdr:rowOff>
    </xdr:from>
    <xdr:to>
      <xdr:col>9</xdr:col>
      <xdr:colOff>182814</xdr:colOff>
      <xdr:row>3</xdr:row>
      <xdr:rowOff>134978</xdr:rowOff>
    </xdr:to>
    <xdr:pic>
      <xdr:nvPicPr>
        <xdr:cNvPr id="54" name="Picture 52">
          <a:extLst>
            <a:ext uri="{FF2B5EF4-FFF2-40B4-BE49-F238E27FC236}">
              <a16:creationId xmlns:a16="http://schemas.microsoft.com/office/drawing/2014/main" id="{6F8DE209-1864-4598-977F-1372C82DC030}"/>
            </a:ext>
          </a:extLst>
        </xdr:cNvPr>
        <xdr:cNvPicPr>
          <a:picLocks noChangeAspect="1"/>
        </xdr:cNvPicPr>
      </xdr:nvPicPr>
      <xdr:blipFill>
        <a:blip xmlns:r="http://schemas.openxmlformats.org/officeDocument/2006/relationships" r:embed="rId52"/>
        <a:stretch>
          <a:fillRect/>
        </a:stretch>
      </xdr:blipFill>
      <xdr:spPr>
        <a:xfrm>
          <a:off x="1588699" y="613907"/>
          <a:ext cx="363043" cy="92571"/>
        </a:xfrm>
        <a:prstGeom prst="rect">
          <a:avLst/>
        </a:prstGeom>
      </xdr:spPr>
    </xdr:pic>
    <xdr:clientData/>
  </xdr:twoCellAnchor>
  <xdr:twoCellAnchor editAs="oneCell">
    <xdr:from>
      <xdr:col>9</xdr:col>
      <xdr:colOff>28099</xdr:colOff>
      <xdr:row>28</xdr:row>
      <xdr:rowOff>46672</xdr:rowOff>
    </xdr:from>
    <xdr:to>
      <xdr:col>9</xdr:col>
      <xdr:colOff>159242</xdr:colOff>
      <xdr:row>28</xdr:row>
      <xdr:rowOff>141815</xdr:rowOff>
    </xdr:to>
    <xdr:pic>
      <xdr:nvPicPr>
        <xdr:cNvPr id="55" name="Picture 54">
          <a:extLst>
            <a:ext uri="{FF2B5EF4-FFF2-40B4-BE49-F238E27FC236}">
              <a16:creationId xmlns:a16="http://schemas.microsoft.com/office/drawing/2014/main" id="{5090208F-FF95-40AA-9417-C4E237F3B79D}"/>
            </a:ext>
          </a:extLst>
        </xdr:cNvPr>
        <xdr:cNvPicPr>
          <a:picLocks noChangeAspect="1"/>
        </xdr:cNvPicPr>
      </xdr:nvPicPr>
      <xdr:blipFill>
        <a:blip xmlns:r="http://schemas.openxmlformats.org/officeDocument/2006/relationships" r:embed="rId53"/>
        <a:stretch>
          <a:fillRect/>
        </a:stretch>
      </xdr:blipFill>
      <xdr:spPr>
        <a:xfrm>
          <a:off x="1742599" y="5380672"/>
          <a:ext cx="131143" cy="95143"/>
        </a:xfrm>
        <a:prstGeom prst="rect">
          <a:avLst/>
        </a:prstGeom>
      </xdr:spPr>
    </xdr:pic>
    <xdr:clientData/>
  </xdr:twoCellAnchor>
  <xdr:twoCellAnchor editAs="oneCell">
    <xdr:from>
      <xdr:col>5</xdr:col>
      <xdr:colOff>54517</xdr:colOff>
      <xdr:row>3</xdr:row>
      <xdr:rowOff>6435</xdr:rowOff>
    </xdr:from>
    <xdr:to>
      <xdr:col>5</xdr:col>
      <xdr:colOff>113660</xdr:colOff>
      <xdr:row>4</xdr:row>
      <xdr:rowOff>6221</xdr:rowOff>
    </xdr:to>
    <xdr:pic>
      <xdr:nvPicPr>
        <xdr:cNvPr id="56" name="Picture 55">
          <a:extLst>
            <a:ext uri="{FF2B5EF4-FFF2-40B4-BE49-F238E27FC236}">
              <a16:creationId xmlns:a16="http://schemas.microsoft.com/office/drawing/2014/main" id="{B8D7FDDC-07DC-440F-AEC1-097F2085D79E}"/>
            </a:ext>
          </a:extLst>
        </xdr:cNvPr>
        <xdr:cNvPicPr>
          <a:picLocks noChangeAspect="1"/>
        </xdr:cNvPicPr>
      </xdr:nvPicPr>
      <xdr:blipFill>
        <a:blip xmlns:r="http://schemas.openxmlformats.org/officeDocument/2006/relationships" r:embed="rId54"/>
        <a:stretch>
          <a:fillRect/>
        </a:stretch>
      </xdr:blipFill>
      <xdr:spPr>
        <a:xfrm>
          <a:off x="1007017" y="577935"/>
          <a:ext cx="59143" cy="190286"/>
        </a:xfrm>
        <a:prstGeom prst="rect">
          <a:avLst/>
        </a:prstGeom>
      </xdr:spPr>
    </xdr:pic>
    <xdr:clientData/>
  </xdr:twoCellAnchor>
  <xdr:twoCellAnchor editAs="oneCell">
    <xdr:from>
      <xdr:col>4</xdr:col>
      <xdr:colOff>202407</xdr:colOff>
      <xdr:row>5</xdr:row>
      <xdr:rowOff>66219</xdr:rowOff>
    </xdr:from>
    <xdr:to>
      <xdr:col>5</xdr:col>
      <xdr:colOff>137023</xdr:colOff>
      <xdr:row>5</xdr:row>
      <xdr:rowOff>125362</xdr:rowOff>
    </xdr:to>
    <xdr:pic>
      <xdr:nvPicPr>
        <xdr:cNvPr id="57" name="Picture 56">
          <a:extLst>
            <a:ext uri="{FF2B5EF4-FFF2-40B4-BE49-F238E27FC236}">
              <a16:creationId xmlns:a16="http://schemas.microsoft.com/office/drawing/2014/main" id="{5F7D68DD-2554-4C09-9A84-461E8677EF0A}"/>
            </a:ext>
          </a:extLst>
        </xdr:cNvPr>
        <xdr:cNvPicPr>
          <a:picLocks noChangeAspect="1"/>
        </xdr:cNvPicPr>
      </xdr:nvPicPr>
      <xdr:blipFill>
        <a:blip xmlns:r="http://schemas.openxmlformats.org/officeDocument/2006/relationships" r:embed="rId55"/>
        <a:stretch>
          <a:fillRect/>
        </a:stretch>
      </xdr:blipFill>
      <xdr:spPr>
        <a:xfrm>
          <a:off x="954882" y="1018719"/>
          <a:ext cx="179545" cy="59143"/>
        </a:xfrm>
        <a:prstGeom prst="rect">
          <a:avLst/>
        </a:prstGeom>
      </xdr:spPr>
    </xdr:pic>
    <xdr:clientData/>
  </xdr:twoCellAnchor>
  <xdr:twoCellAnchor editAs="oneCell">
    <xdr:from>
      <xdr:col>3</xdr:col>
      <xdr:colOff>81064</xdr:colOff>
      <xdr:row>2</xdr:row>
      <xdr:rowOff>178341</xdr:rowOff>
    </xdr:from>
    <xdr:to>
      <xdr:col>3</xdr:col>
      <xdr:colOff>135064</xdr:colOff>
      <xdr:row>4</xdr:row>
      <xdr:rowOff>10770</xdr:rowOff>
    </xdr:to>
    <xdr:pic>
      <xdr:nvPicPr>
        <xdr:cNvPr id="58" name="Picture 57">
          <a:extLst>
            <a:ext uri="{FF2B5EF4-FFF2-40B4-BE49-F238E27FC236}">
              <a16:creationId xmlns:a16="http://schemas.microsoft.com/office/drawing/2014/main" id="{075CA83B-AB20-40D2-8635-B2A792C555A2}"/>
            </a:ext>
          </a:extLst>
        </xdr:cNvPr>
        <xdr:cNvPicPr>
          <a:picLocks noChangeAspect="1"/>
        </xdr:cNvPicPr>
      </xdr:nvPicPr>
      <xdr:blipFill>
        <a:blip xmlns:r="http://schemas.openxmlformats.org/officeDocument/2006/relationships" r:embed="rId56"/>
        <a:stretch>
          <a:fillRect/>
        </a:stretch>
      </xdr:blipFill>
      <xdr:spPr>
        <a:xfrm>
          <a:off x="652564" y="559341"/>
          <a:ext cx="54000" cy="213429"/>
        </a:xfrm>
        <a:prstGeom prst="rect">
          <a:avLst/>
        </a:prstGeom>
      </xdr:spPr>
    </xdr:pic>
    <xdr:clientData/>
  </xdr:twoCellAnchor>
  <xdr:twoCellAnchor editAs="oneCell">
    <xdr:from>
      <xdr:col>2</xdr:col>
      <xdr:colOff>204788</xdr:colOff>
      <xdr:row>5</xdr:row>
      <xdr:rowOff>52362</xdr:rowOff>
    </xdr:from>
    <xdr:to>
      <xdr:col>3</xdr:col>
      <xdr:colOff>154238</xdr:colOff>
      <xdr:row>5</xdr:row>
      <xdr:rowOff>106362</xdr:rowOff>
    </xdr:to>
    <xdr:pic>
      <xdr:nvPicPr>
        <xdr:cNvPr id="59" name="Picture 58">
          <a:extLst>
            <a:ext uri="{FF2B5EF4-FFF2-40B4-BE49-F238E27FC236}">
              <a16:creationId xmlns:a16="http://schemas.microsoft.com/office/drawing/2014/main" id="{046C78AA-2772-4798-9AD9-D131DACC5CDB}"/>
            </a:ext>
          </a:extLst>
        </xdr:cNvPr>
        <xdr:cNvPicPr>
          <a:picLocks noChangeAspect="1"/>
        </xdr:cNvPicPr>
      </xdr:nvPicPr>
      <xdr:blipFill>
        <a:blip xmlns:r="http://schemas.openxmlformats.org/officeDocument/2006/relationships" r:embed="rId57"/>
        <a:stretch>
          <a:fillRect/>
        </a:stretch>
      </xdr:blipFill>
      <xdr:spPr>
        <a:xfrm>
          <a:off x="566738" y="1004862"/>
          <a:ext cx="194379" cy="54000"/>
        </a:xfrm>
        <a:prstGeom prst="rect">
          <a:avLst/>
        </a:prstGeom>
      </xdr:spPr>
    </xdr:pic>
    <xdr:clientData/>
  </xdr:twoCellAnchor>
  <xdr:twoCellAnchor editAs="oneCell">
    <xdr:from>
      <xdr:col>9</xdr:col>
      <xdr:colOff>1</xdr:colOff>
      <xdr:row>24</xdr:row>
      <xdr:rowOff>1</xdr:rowOff>
    </xdr:from>
    <xdr:to>
      <xdr:col>9</xdr:col>
      <xdr:colOff>102858</xdr:colOff>
      <xdr:row>25</xdr:row>
      <xdr:rowOff>22930</xdr:rowOff>
    </xdr:to>
    <xdr:pic>
      <xdr:nvPicPr>
        <xdr:cNvPr id="60" name="Picture 59">
          <a:extLst>
            <a:ext uri="{FF2B5EF4-FFF2-40B4-BE49-F238E27FC236}">
              <a16:creationId xmlns:a16="http://schemas.microsoft.com/office/drawing/2014/main" id="{B8AABA59-7F0E-4E72-B851-1EDF0975E4AC}"/>
            </a:ext>
          </a:extLst>
        </xdr:cNvPr>
        <xdr:cNvPicPr>
          <a:picLocks noChangeAspect="1"/>
        </xdr:cNvPicPr>
      </xdr:nvPicPr>
      <xdr:blipFill>
        <a:blip xmlns:r="http://schemas.openxmlformats.org/officeDocument/2006/relationships" r:embed="rId58"/>
        <a:stretch>
          <a:fillRect/>
        </a:stretch>
      </xdr:blipFill>
      <xdr:spPr>
        <a:xfrm>
          <a:off x="1714501" y="4572001"/>
          <a:ext cx="102857" cy="213429"/>
        </a:xfrm>
        <a:prstGeom prst="rect">
          <a:avLst/>
        </a:prstGeom>
      </xdr:spPr>
    </xdr:pic>
    <xdr:clientData/>
  </xdr:twoCellAnchor>
  <xdr:twoCellAnchor editAs="oneCell">
    <xdr:from>
      <xdr:col>9</xdr:col>
      <xdr:colOff>1</xdr:colOff>
      <xdr:row>25</xdr:row>
      <xdr:rowOff>1</xdr:rowOff>
    </xdr:from>
    <xdr:to>
      <xdr:col>9</xdr:col>
      <xdr:colOff>194380</xdr:colOff>
      <xdr:row>25</xdr:row>
      <xdr:rowOff>102858</xdr:rowOff>
    </xdr:to>
    <xdr:pic>
      <xdr:nvPicPr>
        <xdr:cNvPr id="61" name="Picture 60">
          <a:extLst>
            <a:ext uri="{FF2B5EF4-FFF2-40B4-BE49-F238E27FC236}">
              <a16:creationId xmlns:a16="http://schemas.microsoft.com/office/drawing/2014/main" id="{DEBC498A-7FFC-43BB-A78C-C904FD2CF713}"/>
            </a:ext>
          </a:extLst>
        </xdr:cNvPr>
        <xdr:cNvPicPr>
          <a:picLocks noChangeAspect="1"/>
        </xdr:cNvPicPr>
      </xdr:nvPicPr>
      <xdr:blipFill>
        <a:blip xmlns:r="http://schemas.openxmlformats.org/officeDocument/2006/relationships" r:embed="rId59"/>
        <a:stretch>
          <a:fillRect/>
        </a:stretch>
      </xdr:blipFill>
      <xdr:spPr>
        <a:xfrm>
          <a:off x="1714501" y="4762501"/>
          <a:ext cx="194379" cy="102857"/>
        </a:xfrm>
        <a:prstGeom prst="rect">
          <a:avLst/>
        </a:prstGeom>
      </xdr:spPr>
    </xdr:pic>
    <xdr:clientData/>
  </xdr:twoCellAnchor>
  <xdr:twoCellAnchor editAs="oneCell">
    <xdr:from>
      <xdr:col>18</xdr:col>
      <xdr:colOff>0</xdr:colOff>
      <xdr:row>5</xdr:row>
      <xdr:rowOff>0</xdr:rowOff>
    </xdr:from>
    <xdr:to>
      <xdr:col>18</xdr:col>
      <xdr:colOff>180000</xdr:colOff>
      <xdr:row>5</xdr:row>
      <xdr:rowOff>180000</xdr:rowOff>
    </xdr:to>
    <xdr:pic>
      <xdr:nvPicPr>
        <xdr:cNvPr id="62" name="Picture 61">
          <a:extLst>
            <a:ext uri="{FF2B5EF4-FFF2-40B4-BE49-F238E27FC236}">
              <a16:creationId xmlns:a16="http://schemas.microsoft.com/office/drawing/2014/main" id="{3A765A18-727A-4451-BA6D-2A7613FCD05D}"/>
            </a:ext>
          </a:extLst>
        </xdr:cNvPr>
        <xdr:cNvPicPr>
          <a:picLocks noChangeAspect="1"/>
        </xdr:cNvPicPr>
      </xdr:nvPicPr>
      <xdr:blipFill>
        <a:blip xmlns:r="http://schemas.openxmlformats.org/officeDocument/2006/relationships" r:embed="rId60"/>
        <a:stretch>
          <a:fillRect/>
        </a:stretch>
      </xdr:blipFill>
      <xdr:spPr>
        <a:xfrm>
          <a:off x="3429000" y="952500"/>
          <a:ext cx="180000" cy="180000"/>
        </a:xfrm>
        <a:prstGeom prst="rect">
          <a:avLst/>
        </a:prstGeom>
      </xdr:spPr>
    </xdr:pic>
    <xdr:clientData/>
  </xdr:twoCellAnchor>
  <xdr:twoCellAnchor editAs="oneCell">
    <xdr:from>
      <xdr:col>18</xdr:col>
      <xdr:colOff>0</xdr:colOff>
      <xdr:row>9</xdr:row>
      <xdr:rowOff>0</xdr:rowOff>
    </xdr:from>
    <xdr:to>
      <xdr:col>18</xdr:col>
      <xdr:colOff>180000</xdr:colOff>
      <xdr:row>9</xdr:row>
      <xdr:rowOff>180000</xdr:rowOff>
    </xdr:to>
    <xdr:pic>
      <xdr:nvPicPr>
        <xdr:cNvPr id="63" name="Picture 62">
          <a:extLst>
            <a:ext uri="{FF2B5EF4-FFF2-40B4-BE49-F238E27FC236}">
              <a16:creationId xmlns:a16="http://schemas.microsoft.com/office/drawing/2014/main" id="{FAA11201-CB0A-4CC0-8D03-33A56A3C6D88}"/>
            </a:ext>
          </a:extLst>
        </xdr:cNvPr>
        <xdr:cNvPicPr>
          <a:picLocks noChangeAspect="1"/>
        </xdr:cNvPicPr>
      </xdr:nvPicPr>
      <xdr:blipFill>
        <a:blip xmlns:r="http://schemas.openxmlformats.org/officeDocument/2006/relationships" r:embed="rId61"/>
        <a:stretch>
          <a:fillRect/>
        </a:stretch>
      </xdr:blipFill>
      <xdr:spPr>
        <a:xfrm>
          <a:off x="4408714" y="1714500"/>
          <a:ext cx="180000" cy="180000"/>
        </a:xfrm>
        <a:prstGeom prst="rect">
          <a:avLst/>
        </a:prstGeom>
      </xdr:spPr>
    </xdr:pic>
    <xdr:clientData/>
  </xdr:twoCellAnchor>
  <xdr:twoCellAnchor editAs="oneCell">
    <xdr:from>
      <xdr:col>19</xdr:col>
      <xdr:colOff>0</xdr:colOff>
      <xdr:row>9</xdr:row>
      <xdr:rowOff>0</xdr:rowOff>
    </xdr:from>
    <xdr:to>
      <xdr:col>19</xdr:col>
      <xdr:colOff>180000</xdr:colOff>
      <xdr:row>9</xdr:row>
      <xdr:rowOff>180000</xdr:rowOff>
    </xdr:to>
    <xdr:pic>
      <xdr:nvPicPr>
        <xdr:cNvPr id="64" name="Picture 63">
          <a:extLst>
            <a:ext uri="{FF2B5EF4-FFF2-40B4-BE49-F238E27FC236}">
              <a16:creationId xmlns:a16="http://schemas.microsoft.com/office/drawing/2014/main" id="{03EE670D-181C-4A7F-A9A1-519255797018}"/>
            </a:ext>
          </a:extLst>
        </xdr:cNvPr>
        <xdr:cNvPicPr>
          <a:picLocks noChangeAspect="1"/>
        </xdr:cNvPicPr>
      </xdr:nvPicPr>
      <xdr:blipFill>
        <a:blip xmlns:r="http://schemas.openxmlformats.org/officeDocument/2006/relationships" r:embed="rId62"/>
        <a:stretch>
          <a:fillRect/>
        </a:stretch>
      </xdr:blipFill>
      <xdr:spPr>
        <a:xfrm>
          <a:off x="3619500" y="1714500"/>
          <a:ext cx="180000" cy="180000"/>
        </a:xfrm>
        <a:prstGeom prst="rect">
          <a:avLst/>
        </a:prstGeom>
      </xdr:spPr>
    </xdr:pic>
    <xdr:clientData/>
  </xdr:twoCellAnchor>
  <xdr:twoCellAnchor editAs="oneCell">
    <xdr:from>
      <xdr:col>20</xdr:col>
      <xdr:colOff>0</xdr:colOff>
      <xdr:row>9</xdr:row>
      <xdr:rowOff>0</xdr:rowOff>
    </xdr:from>
    <xdr:to>
      <xdr:col>20</xdr:col>
      <xdr:colOff>180000</xdr:colOff>
      <xdr:row>9</xdr:row>
      <xdr:rowOff>180000</xdr:rowOff>
    </xdr:to>
    <xdr:pic>
      <xdr:nvPicPr>
        <xdr:cNvPr id="65" name="Picture 64">
          <a:extLst>
            <a:ext uri="{FF2B5EF4-FFF2-40B4-BE49-F238E27FC236}">
              <a16:creationId xmlns:a16="http://schemas.microsoft.com/office/drawing/2014/main" id="{D3F3681C-2690-4F50-8A85-ADC3F04CE48E}"/>
            </a:ext>
          </a:extLst>
        </xdr:cNvPr>
        <xdr:cNvPicPr>
          <a:picLocks noChangeAspect="1"/>
        </xdr:cNvPicPr>
      </xdr:nvPicPr>
      <xdr:blipFill>
        <a:blip xmlns:r="http://schemas.openxmlformats.org/officeDocument/2006/relationships" r:embed="rId63"/>
        <a:stretch>
          <a:fillRect/>
        </a:stretch>
      </xdr:blipFill>
      <xdr:spPr>
        <a:xfrm>
          <a:off x="3810000" y="1714500"/>
          <a:ext cx="180000" cy="180000"/>
        </a:xfrm>
        <a:prstGeom prst="rect">
          <a:avLst/>
        </a:prstGeom>
      </xdr:spPr>
    </xdr:pic>
    <xdr:clientData/>
  </xdr:twoCellAnchor>
  <xdr:twoCellAnchor editAs="oneCell">
    <xdr:from>
      <xdr:col>18</xdr:col>
      <xdr:colOff>0</xdr:colOff>
      <xdr:row>11</xdr:row>
      <xdr:rowOff>0</xdr:rowOff>
    </xdr:from>
    <xdr:to>
      <xdr:col>18</xdr:col>
      <xdr:colOff>180000</xdr:colOff>
      <xdr:row>11</xdr:row>
      <xdr:rowOff>180000</xdr:rowOff>
    </xdr:to>
    <xdr:pic>
      <xdr:nvPicPr>
        <xdr:cNvPr id="66" name="Picture 65">
          <a:extLst>
            <a:ext uri="{FF2B5EF4-FFF2-40B4-BE49-F238E27FC236}">
              <a16:creationId xmlns:a16="http://schemas.microsoft.com/office/drawing/2014/main" id="{F44BEBCF-B7AD-4FC0-BBCD-D74ACD5BCC22}"/>
            </a:ext>
          </a:extLst>
        </xdr:cNvPr>
        <xdr:cNvPicPr>
          <a:picLocks noChangeAspect="1"/>
        </xdr:cNvPicPr>
      </xdr:nvPicPr>
      <xdr:blipFill>
        <a:blip xmlns:r="http://schemas.openxmlformats.org/officeDocument/2006/relationships" r:embed="rId64"/>
        <a:stretch>
          <a:fillRect/>
        </a:stretch>
      </xdr:blipFill>
      <xdr:spPr>
        <a:xfrm>
          <a:off x="3429000" y="2095500"/>
          <a:ext cx="180000" cy="180000"/>
        </a:xfrm>
        <a:prstGeom prst="rect">
          <a:avLst/>
        </a:prstGeom>
      </xdr:spPr>
    </xdr:pic>
    <xdr:clientData/>
  </xdr:twoCellAnchor>
  <xdr:twoCellAnchor editAs="oneCell">
    <xdr:from>
      <xdr:col>18</xdr:col>
      <xdr:colOff>0</xdr:colOff>
      <xdr:row>7</xdr:row>
      <xdr:rowOff>0</xdr:rowOff>
    </xdr:from>
    <xdr:to>
      <xdr:col>18</xdr:col>
      <xdr:colOff>180000</xdr:colOff>
      <xdr:row>7</xdr:row>
      <xdr:rowOff>180000</xdr:rowOff>
    </xdr:to>
    <xdr:pic>
      <xdr:nvPicPr>
        <xdr:cNvPr id="67" name="Picture 66">
          <a:extLst>
            <a:ext uri="{FF2B5EF4-FFF2-40B4-BE49-F238E27FC236}">
              <a16:creationId xmlns:a16="http://schemas.microsoft.com/office/drawing/2014/main" id="{B4CF9C10-E083-4A87-B713-107D4D7636A2}"/>
            </a:ext>
          </a:extLst>
        </xdr:cNvPr>
        <xdr:cNvPicPr>
          <a:picLocks noChangeAspect="1"/>
        </xdr:cNvPicPr>
      </xdr:nvPicPr>
      <xdr:blipFill>
        <a:blip xmlns:r="http://schemas.openxmlformats.org/officeDocument/2006/relationships" r:embed="rId65"/>
        <a:stretch>
          <a:fillRect/>
        </a:stretch>
      </xdr:blipFill>
      <xdr:spPr>
        <a:xfrm>
          <a:off x="3429000" y="1333500"/>
          <a:ext cx="180000" cy="180000"/>
        </a:xfrm>
        <a:prstGeom prst="rect">
          <a:avLst/>
        </a:prstGeom>
      </xdr:spPr>
    </xdr:pic>
    <xdr:clientData/>
  </xdr:twoCellAnchor>
  <xdr:twoCellAnchor editAs="oneCell">
    <xdr:from>
      <xdr:col>19</xdr:col>
      <xdr:colOff>0</xdr:colOff>
      <xdr:row>5</xdr:row>
      <xdr:rowOff>0</xdr:rowOff>
    </xdr:from>
    <xdr:to>
      <xdr:col>19</xdr:col>
      <xdr:colOff>180000</xdr:colOff>
      <xdr:row>5</xdr:row>
      <xdr:rowOff>180000</xdr:rowOff>
    </xdr:to>
    <xdr:pic>
      <xdr:nvPicPr>
        <xdr:cNvPr id="68" name="Picture 67">
          <a:extLst>
            <a:ext uri="{FF2B5EF4-FFF2-40B4-BE49-F238E27FC236}">
              <a16:creationId xmlns:a16="http://schemas.microsoft.com/office/drawing/2014/main" id="{7A22A45C-A05A-4D11-A22F-FD3096660B4F}"/>
            </a:ext>
          </a:extLst>
        </xdr:cNvPr>
        <xdr:cNvPicPr>
          <a:picLocks noChangeAspect="1"/>
        </xdr:cNvPicPr>
      </xdr:nvPicPr>
      <xdr:blipFill>
        <a:blip xmlns:r="http://schemas.openxmlformats.org/officeDocument/2006/relationships" r:embed="rId66"/>
        <a:stretch>
          <a:fillRect/>
        </a:stretch>
      </xdr:blipFill>
      <xdr:spPr>
        <a:xfrm>
          <a:off x="3619500" y="952500"/>
          <a:ext cx="180000" cy="180000"/>
        </a:xfrm>
        <a:prstGeom prst="rect">
          <a:avLst/>
        </a:prstGeom>
      </xdr:spPr>
    </xdr:pic>
    <xdr:clientData/>
  </xdr:twoCellAnchor>
  <xdr:twoCellAnchor editAs="oneCell">
    <xdr:from>
      <xdr:col>20</xdr:col>
      <xdr:colOff>0</xdr:colOff>
      <xdr:row>5</xdr:row>
      <xdr:rowOff>0</xdr:rowOff>
    </xdr:from>
    <xdr:to>
      <xdr:col>20</xdr:col>
      <xdr:colOff>180000</xdr:colOff>
      <xdr:row>5</xdr:row>
      <xdr:rowOff>180000</xdr:rowOff>
    </xdr:to>
    <xdr:pic>
      <xdr:nvPicPr>
        <xdr:cNvPr id="69" name="Picture 68">
          <a:extLst>
            <a:ext uri="{FF2B5EF4-FFF2-40B4-BE49-F238E27FC236}">
              <a16:creationId xmlns:a16="http://schemas.microsoft.com/office/drawing/2014/main" id="{1CED4E2D-42C3-4475-961E-30333767A23D}"/>
            </a:ext>
          </a:extLst>
        </xdr:cNvPr>
        <xdr:cNvPicPr>
          <a:picLocks noChangeAspect="1"/>
        </xdr:cNvPicPr>
      </xdr:nvPicPr>
      <xdr:blipFill>
        <a:blip xmlns:r="http://schemas.openxmlformats.org/officeDocument/2006/relationships" r:embed="rId67"/>
        <a:stretch>
          <a:fillRect/>
        </a:stretch>
      </xdr:blipFill>
      <xdr:spPr>
        <a:xfrm>
          <a:off x="3810000" y="952500"/>
          <a:ext cx="180000" cy="180000"/>
        </a:xfrm>
        <a:prstGeom prst="rect">
          <a:avLst/>
        </a:prstGeom>
      </xdr:spPr>
    </xdr:pic>
    <xdr:clientData/>
  </xdr:twoCellAnchor>
  <xdr:twoCellAnchor editAs="oneCell">
    <xdr:from>
      <xdr:col>19</xdr:col>
      <xdr:colOff>0</xdr:colOff>
      <xdr:row>3</xdr:row>
      <xdr:rowOff>0</xdr:rowOff>
    </xdr:from>
    <xdr:to>
      <xdr:col>19</xdr:col>
      <xdr:colOff>180000</xdr:colOff>
      <xdr:row>3</xdr:row>
      <xdr:rowOff>180000</xdr:rowOff>
    </xdr:to>
    <xdr:pic>
      <xdr:nvPicPr>
        <xdr:cNvPr id="70" name="Picture 69">
          <a:extLst>
            <a:ext uri="{FF2B5EF4-FFF2-40B4-BE49-F238E27FC236}">
              <a16:creationId xmlns:a16="http://schemas.microsoft.com/office/drawing/2014/main" id="{542F185A-030F-4F0D-9F62-D6372B608B23}"/>
            </a:ext>
          </a:extLst>
        </xdr:cNvPr>
        <xdr:cNvPicPr>
          <a:picLocks noChangeAspect="1"/>
        </xdr:cNvPicPr>
      </xdr:nvPicPr>
      <xdr:blipFill>
        <a:blip xmlns:r="http://schemas.openxmlformats.org/officeDocument/2006/relationships" r:embed="rId68"/>
        <a:stretch>
          <a:fillRect/>
        </a:stretch>
      </xdr:blipFill>
      <xdr:spPr>
        <a:xfrm>
          <a:off x="3619500" y="571500"/>
          <a:ext cx="180000" cy="180000"/>
        </a:xfrm>
        <a:prstGeom prst="rect">
          <a:avLst/>
        </a:prstGeom>
      </xdr:spPr>
    </xdr:pic>
    <xdr:clientData/>
  </xdr:twoCellAnchor>
  <xdr:twoCellAnchor editAs="oneCell">
    <xdr:from>
      <xdr:col>20</xdr:col>
      <xdr:colOff>0</xdr:colOff>
      <xdr:row>3</xdr:row>
      <xdr:rowOff>0</xdr:rowOff>
    </xdr:from>
    <xdr:to>
      <xdr:col>20</xdr:col>
      <xdr:colOff>180000</xdr:colOff>
      <xdr:row>3</xdr:row>
      <xdr:rowOff>180000</xdr:rowOff>
    </xdr:to>
    <xdr:pic>
      <xdr:nvPicPr>
        <xdr:cNvPr id="71" name="Picture 70">
          <a:extLst>
            <a:ext uri="{FF2B5EF4-FFF2-40B4-BE49-F238E27FC236}">
              <a16:creationId xmlns:a16="http://schemas.microsoft.com/office/drawing/2014/main" id="{F7C389F5-4EC6-4C10-84E6-0687AEB4070A}"/>
            </a:ext>
          </a:extLst>
        </xdr:cNvPr>
        <xdr:cNvPicPr>
          <a:picLocks noChangeAspect="1"/>
        </xdr:cNvPicPr>
      </xdr:nvPicPr>
      <xdr:blipFill>
        <a:blip xmlns:r="http://schemas.openxmlformats.org/officeDocument/2006/relationships" r:embed="rId69"/>
        <a:stretch>
          <a:fillRect/>
        </a:stretch>
      </xdr:blipFill>
      <xdr:spPr>
        <a:xfrm>
          <a:off x="3810000" y="571500"/>
          <a:ext cx="180000" cy="180000"/>
        </a:xfrm>
        <a:prstGeom prst="rect">
          <a:avLst/>
        </a:prstGeom>
      </xdr:spPr>
    </xdr:pic>
    <xdr:clientData/>
  </xdr:twoCellAnchor>
  <xdr:twoCellAnchor editAs="oneCell">
    <xdr:from>
      <xdr:col>21</xdr:col>
      <xdr:colOff>0</xdr:colOff>
      <xdr:row>3</xdr:row>
      <xdr:rowOff>0</xdr:rowOff>
    </xdr:from>
    <xdr:to>
      <xdr:col>21</xdr:col>
      <xdr:colOff>180000</xdr:colOff>
      <xdr:row>3</xdr:row>
      <xdr:rowOff>180000</xdr:rowOff>
    </xdr:to>
    <xdr:pic>
      <xdr:nvPicPr>
        <xdr:cNvPr id="72" name="Picture 71">
          <a:extLst>
            <a:ext uri="{FF2B5EF4-FFF2-40B4-BE49-F238E27FC236}">
              <a16:creationId xmlns:a16="http://schemas.microsoft.com/office/drawing/2014/main" id="{2A2196B7-D43B-4137-9209-1F47AFAF4836}"/>
            </a:ext>
          </a:extLst>
        </xdr:cNvPr>
        <xdr:cNvPicPr>
          <a:picLocks noChangeAspect="1"/>
        </xdr:cNvPicPr>
      </xdr:nvPicPr>
      <xdr:blipFill>
        <a:blip xmlns:r="http://schemas.openxmlformats.org/officeDocument/2006/relationships" r:embed="rId70"/>
        <a:stretch>
          <a:fillRect/>
        </a:stretch>
      </xdr:blipFill>
      <xdr:spPr>
        <a:xfrm>
          <a:off x="4000500" y="571500"/>
          <a:ext cx="180000" cy="180000"/>
        </a:xfrm>
        <a:prstGeom prst="rect">
          <a:avLst/>
        </a:prstGeom>
      </xdr:spPr>
    </xdr:pic>
    <xdr:clientData/>
  </xdr:twoCellAnchor>
  <xdr:twoCellAnchor editAs="oneCell">
    <xdr:from>
      <xdr:col>19</xdr:col>
      <xdr:colOff>0</xdr:colOff>
      <xdr:row>11</xdr:row>
      <xdr:rowOff>0</xdr:rowOff>
    </xdr:from>
    <xdr:to>
      <xdr:col>19</xdr:col>
      <xdr:colOff>180000</xdr:colOff>
      <xdr:row>11</xdr:row>
      <xdr:rowOff>180000</xdr:rowOff>
    </xdr:to>
    <xdr:pic>
      <xdr:nvPicPr>
        <xdr:cNvPr id="73" name="Picture 72">
          <a:extLst>
            <a:ext uri="{FF2B5EF4-FFF2-40B4-BE49-F238E27FC236}">
              <a16:creationId xmlns:a16="http://schemas.microsoft.com/office/drawing/2014/main" id="{CB4338A9-3E11-4C00-8000-5E929271B08C}"/>
            </a:ext>
          </a:extLst>
        </xdr:cNvPr>
        <xdr:cNvPicPr>
          <a:picLocks noChangeAspect="1"/>
        </xdr:cNvPicPr>
      </xdr:nvPicPr>
      <xdr:blipFill>
        <a:blip xmlns:r="http://schemas.openxmlformats.org/officeDocument/2006/relationships" r:embed="rId71"/>
        <a:stretch>
          <a:fillRect/>
        </a:stretch>
      </xdr:blipFill>
      <xdr:spPr>
        <a:xfrm>
          <a:off x="3619500" y="2095500"/>
          <a:ext cx="180000" cy="180000"/>
        </a:xfrm>
        <a:prstGeom prst="rect">
          <a:avLst/>
        </a:prstGeom>
      </xdr:spPr>
    </xdr:pic>
    <xdr:clientData/>
  </xdr:twoCellAnchor>
  <xdr:twoCellAnchor editAs="oneCell">
    <xdr:from>
      <xdr:col>21</xdr:col>
      <xdr:colOff>0</xdr:colOff>
      <xdr:row>9</xdr:row>
      <xdr:rowOff>0</xdr:rowOff>
    </xdr:from>
    <xdr:to>
      <xdr:col>21</xdr:col>
      <xdr:colOff>180000</xdr:colOff>
      <xdr:row>9</xdr:row>
      <xdr:rowOff>180000</xdr:rowOff>
    </xdr:to>
    <xdr:pic>
      <xdr:nvPicPr>
        <xdr:cNvPr id="74" name="Picture 73">
          <a:extLst>
            <a:ext uri="{FF2B5EF4-FFF2-40B4-BE49-F238E27FC236}">
              <a16:creationId xmlns:a16="http://schemas.microsoft.com/office/drawing/2014/main" id="{0A0C57BE-4FE5-4A61-BBCD-D52FD52163D1}"/>
            </a:ext>
          </a:extLst>
        </xdr:cNvPr>
        <xdr:cNvPicPr>
          <a:picLocks noChangeAspect="1"/>
        </xdr:cNvPicPr>
      </xdr:nvPicPr>
      <xdr:blipFill>
        <a:blip xmlns:r="http://schemas.openxmlformats.org/officeDocument/2006/relationships" r:embed="rId72"/>
        <a:stretch>
          <a:fillRect/>
        </a:stretch>
      </xdr:blipFill>
      <xdr:spPr>
        <a:xfrm>
          <a:off x="4000500" y="1714500"/>
          <a:ext cx="180000" cy="180000"/>
        </a:xfrm>
        <a:prstGeom prst="rect">
          <a:avLst/>
        </a:prstGeom>
      </xdr:spPr>
    </xdr:pic>
    <xdr:clientData/>
  </xdr:twoCellAnchor>
  <xdr:twoCellAnchor editAs="oneCell">
    <xdr:from>
      <xdr:col>19</xdr:col>
      <xdr:colOff>0</xdr:colOff>
      <xdr:row>7</xdr:row>
      <xdr:rowOff>0</xdr:rowOff>
    </xdr:from>
    <xdr:to>
      <xdr:col>19</xdr:col>
      <xdr:colOff>180000</xdr:colOff>
      <xdr:row>7</xdr:row>
      <xdr:rowOff>180000</xdr:rowOff>
    </xdr:to>
    <xdr:pic>
      <xdr:nvPicPr>
        <xdr:cNvPr id="75" name="Picture 74">
          <a:extLst>
            <a:ext uri="{FF2B5EF4-FFF2-40B4-BE49-F238E27FC236}">
              <a16:creationId xmlns:a16="http://schemas.microsoft.com/office/drawing/2014/main" id="{008D98E7-51FF-4C55-AD7B-0E93B48DBC9E}"/>
            </a:ext>
          </a:extLst>
        </xdr:cNvPr>
        <xdr:cNvPicPr>
          <a:picLocks noChangeAspect="1"/>
        </xdr:cNvPicPr>
      </xdr:nvPicPr>
      <xdr:blipFill>
        <a:blip xmlns:r="http://schemas.openxmlformats.org/officeDocument/2006/relationships" r:embed="rId73"/>
        <a:stretch>
          <a:fillRect/>
        </a:stretch>
      </xdr:blipFill>
      <xdr:spPr>
        <a:xfrm>
          <a:off x="3619500" y="1333500"/>
          <a:ext cx="180000" cy="180000"/>
        </a:xfrm>
        <a:prstGeom prst="rect">
          <a:avLst/>
        </a:prstGeom>
      </xdr:spPr>
    </xdr:pic>
    <xdr:clientData/>
  </xdr:twoCellAnchor>
  <xdr:twoCellAnchor editAs="oneCell">
    <xdr:from>
      <xdr:col>21</xdr:col>
      <xdr:colOff>0</xdr:colOff>
      <xdr:row>5</xdr:row>
      <xdr:rowOff>0</xdr:rowOff>
    </xdr:from>
    <xdr:to>
      <xdr:col>21</xdr:col>
      <xdr:colOff>180000</xdr:colOff>
      <xdr:row>5</xdr:row>
      <xdr:rowOff>180000</xdr:rowOff>
    </xdr:to>
    <xdr:pic>
      <xdr:nvPicPr>
        <xdr:cNvPr id="76" name="Picture 75">
          <a:extLst>
            <a:ext uri="{FF2B5EF4-FFF2-40B4-BE49-F238E27FC236}">
              <a16:creationId xmlns:a16="http://schemas.microsoft.com/office/drawing/2014/main" id="{6A808840-8C6A-4374-9A28-E1AB5F832CA6}"/>
            </a:ext>
          </a:extLst>
        </xdr:cNvPr>
        <xdr:cNvPicPr>
          <a:picLocks noChangeAspect="1"/>
        </xdr:cNvPicPr>
      </xdr:nvPicPr>
      <xdr:blipFill>
        <a:blip xmlns:r="http://schemas.openxmlformats.org/officeDocument/2006/relationships" r:embed="rId74"/>
        <a:stretch>
          <a:fillRect/>
        </a:stretch>
      </xdr:blipFill>
      <xdr:spPr>
        <a:xfrm>
          <a:off x="4000500" y="952500"/>
          <a:ext cx="180000" cy="180000"/>
        </a:xfrm>
        <a:prstGeom prst="rect">
          <a:avLst/>
        </a:prstGeom>
      </xdr:spPr>
    </xdr:pic>
    <xdr:clientData/>
  </xdr:twoCellAnchor>
  <xdr:twoCellAnchor editAs="oneCell">
    <xdr:from>
      <xdr:col>20</xdr:col>
      <xdr:colOff>0</xdr:colOff>
      <xdr:row>7</xdr:row>
      <xdr:rowOff>0</xdr:rowOff>
    </xdr:from>
    <xdr:to>
      <xdr:col>20</xdr:col>
      <xdr:colOff>180000</xdr:colOff>
      <xdr:row>7</xdr:row>
      <xdr:rowOff>180000</xdr:rowOff>
    </xdr:to>
    <xdr:pic>
      <xdr:nvPicPr>
        <xdr:cNvPr id="77" name="Picture 76">
          <a:extLst>
            <a:ext uri="{FF2B5EF4-FFF2-40B4-BE49-F238E27FC236}">
              <a16:creationId xmlns:a16="http://schemas.microsoft.com/office/drawing/2014/main" id="{EA5C4165-247C-4724-A8FF-B55E5EB7825C}"/>
            </a:ext>
          </a:extLst>
        </xdr:cNvPr>
        <xdr:cNvPicPr>
          <a:picLocks noChangeAspect="1"/>
        </xdr:cNvPicPr>
      </xdr:nvPicPr>
      <xdr:blipFill>
        <a:blip xmlns:r="http://schemas.openxmlformats.org/officeDocument/2006/relationships" r:embed="rId75"/>
        <a:stretch>
          <a:fillRect/>
        </a:stretch>
      </xdr:blipFill>
      <xdr:spPr>
        <a:xfrm>
          <a:off x="3810000" y="1333500"/>
          <a:ext cx="180000" cy="180000"/>
        </a:xfrm>
        <a:prstGeom prst="rect">
          <a:avLst/>
        </a:prstGeom>
      </xdr:spPr>
    </xdr:pic>
    <xdr:clientData/>
  </xdr:twoCellAnchor>
  <xdr:twoCellAnchor editAs="oneCell">
    <xdr:from>
      <xdr:col>22</xdr:col>
      <xdr:colOff>0</xdr:colOff>
      <xdr:row>9</xdr:row>
      <xdr:rowOff>0</xdr:rowOff>
    </xdr:from>
    <xdr:to>
      <xdr:col>22</xdr:col>
      <xdr:colOff>180000</xdr:colOff>
      <xdr:row>9</xdr:row>
      <xdr:rowOff>180000</xdr:rowOff>
    </xdr:to>
    <xdr:pic>
      <xdr:nvPicPr>
        <xdr:cNvPr id="78" name="Picture 77">
          <a:extLst>
            <a:ext uri="{FF2B5EF4-FFF2-40B4-BE49-F238E27FC236}">
              <a16:creationId xmlns:a16="http://schemas.microsoft.com/office/drawing/2014/main" id="{3F0BB379-FB3E-4A10-8022-F64B2A0B8DC2}"/>
            </a:ext>
          </a:extLst>
        </xdr:cNvPr>
        <xdr:cNvPicPr>
          <a:picLocks noChangeAspect="1"/>
        </xdr:cNvPicPr>
      </xdr:nvPicPr>
      <xdr:blipFill>
        <a:blip xmlns:r="http://schemas.openxmlformats.org/officeDocument/2006/relationships" r:embed="rId76"/>
        <a:stretch>
          <a:fillRect/>
        </a:stretch>
      </xdr:blipFill>
      <xdr:spPr>
        <a:xfrm>
          <a:off x="4191000" y="1714500"/>
          <a:ext cx="180000" cy="180000"/>
        </a:xfrm>
        <a:prstGeom prst="rect">
          <a:avLst/>
        </a:prstGeom>
      </xdr:spPr>
    </xdr:pic>
    <xdr:clientData/>
  </xdr:twoCellAnchor>
  <xdr:twoCellAnchor editAs="oneCell">
    <xdr:from>
      <xdr:col>22</xdr:col>
      <xdr:colOff>0</xdr:colOff>
      <xdr:row>3</xdr:row>
      <xdr:rowOff>0</xdr:rowOff>
    </xdr:from>
    <xdr:to>
      <xdr:col>22</xdr:col>
      <xdr:colOff>180000</xdr:colOff>
      <xdr:row>3</xdr:row>
      <xdr:rowOff>180000</xdr:rowOff>
    </xdr:to>
    <xdr:pic>
      <xdr:nvPicPr>
        <xdr:cNvPr id="79" name="Picture 78">
          <a:extLst>
            <a:ext uri="{FF2B5EF4-FFF2-40B4-BE49-F238E27FC236}">
              <a16:creationId xmlns:a16="http://schemas.microsoft.com/office/drawing/2014/main" id="{C3732892-0A35-4319-ABBC-324D138CEC45}"/>
            </a:ext>
          </a:extLst>
        </xdr:cNvPr>
        <xdr:cNvPicPr>
          <a:picLocks noChangeAspect="1"/>
        </xdr:cNvPicPr>
      </xdr:nvPicPr>
      <xdr:blipFill>
        <a:blip xmlns:r="http://schemas.openxmlformats.org/officeDocument/2006/relationships" r:embed="rId77"/>
        <a:stretch>
          <a:fillRect/>
        </a:stretch>
      </xdr:blipFill>
      <xdr:spPr>
        <a:xfrm>
          <a:off x="4191000" y="571500"/>
          <a:ext cx="180000" cy="180000"/>
        </a:xfrm>
        <a:prstGeom prst="rect">
          <a:avLst/>
        </a:prstGeom>
      </xdr:spPr>
    </xdr:pic>
    <xdr:clientData/>
  </xdr:twoCellAnchor>
  <xdr:twoCellAnchor editAs="oneCell">
    <xdr:from>
      <xdr:col>20</xdr:col>
      <xdr:colOff>0</xdr:colOff>
      <xdr:row>11</xdr:row>
      <xdr:rowOff>0</xdr:rowOff>
    </xdr:from>
    <xdr:to>
      <xdr:col>20</xdr:col>
      <xdr:colOff>180000</xdr:colOff>
      <xdr:row>11</xdr:row>
      <xdr:rowOff>180000</xdr:rowOff>
    </xdr:to>
    <xdr:pic>
      <xdr:nvPicPr>
        <xdr:cNvPr id="80" name="Picture 79">
          <a:extLst>
            <a:ext uri="{FF2B5EF4-FFF2-40B4-BE49-F238E27FC236}">
              <a16:creationId xmlns:a16="http://schemas.microsoft.com/office/drawing/2014/main" id="{7E786E6E-86B6-4159-A3E5-5B4A024D4E80}"/>
            </a:ext>
          </a:extLst>
        </xdr:cNvPr>
        <xdr:cNvPicPr>
          <a:picLocks noChangeAspect="1"/>
        </xdr:cNvPicPr>
      </xdr:nvPicPr>
      <xdr:blipFill>
        <a:blip xmlns:r="http://schemas.openxmlformats.org/officeDocument/2006/relationships" r:embed="rId78"/>
        <a:stretch>
          <a:fillRect/>
        </a:stretch>
      </xdr:blipFill>
      <xdr:spPr>
        <a:xfrm>
          <a:off x="3810000" y="2095500"/>
          <a:ext cx="180000" cy="180000"/>
        </a:xfrm>
        <a:prstGeom prst="rect">
          <a:avLst/>
        </a:prstGeom>
      </xdr:spPr>
    </xdr:pic>
    <xdr:clientData/>
  </xdr:twoCellAnchor>
  <xdr:twoCellAnchor editAs="oneCell">
    <xdr:from>
      <xdr:col>22</xdr:col>
      <xdr:colOff>0</xdr:colOff>
      <xdr:row>5</xdr:row>
      <xdr:rowOff>0</xdr:rowOff>
    </xdr:from>
    <xdr:to>
      <xdr:col>22</xdr:col>
      <xdr:colOff>180000</xdr:colOff>
      <xdr:row>5</xdr:row>
      <xdr:rowOff>180000</xdr:rowOff>
    </xdr:to>
    <xdr:pic>
      <xdr:nvPicPr>
        <xdr:cNvPr id="81" name="Picture 80">
          <a:extLst>
            <a:ext uri="{FF2B5EF4-FFF2-40B4-BE49-F238E27FC236}">
              <a16:creationId xmlns:a16="http://schemas.microsoft.com/office/drawing/2014/main" id="{E8906F40-5FF7-4B43-948F-31F63BDB840C}"/>
            </a:ext>
          </a:extLst>
        </xdr:cNvPr>
        <xdr:cNvPicPr>
          <a:picLocks noChangeAspect="1"/>
        </xdr:cNvPicPr>
      </xdr:nvPicPr>
      <xdr:blipFill>
        <a:blip xmlns:r="http://schemas.openxmlformats.org/officeDocument/2006/relationships" r:embed="rId79"/>
        <a:stretch>
          <a:fillRect/>
        </a:stretch>
      </xdr:blipFill>
      <xdr:spPr>
        <a:xfrm>
          <a:off x="4191000" y="952500"/>
          <a:ext cx="180000" cy="180000"/>
        </a:xfrm>
        <a:prstGeom prst="rect">
          <a:avLst/>
        </a:prstGeom>
      </xdr:spPr>
    </xdr:pic>
    <xdr:clientData/>
  </xdr:twoCellAnchor>
  <xdr:twoCellAnchor editAs="oneCell">
    <xdr:from>
      <xdr:col>23</xdr:col>
      <xdr:colOff>0</xdr:colOff>
      <xdr:row>5</xdr:row>
      <xdr:rowOff>0</xdr:rowOff>
    </xdr:from>
    <xdr:to>
      <xdr:col>23</xdr:col>
      <xdr:colOff>180000</xdr:colOff>
      <xdr:row>5</xdr:row>
      <xdr:rowOff>180000</xdr:rowOff>
    </xdr:to>
    <xdr:pic>
      <xdr:nvPicPr>
        <xdr:cNvPr id="82" name="Picture 81">
          <a:extLst>
            <a:ext uri="{FF2B5EF4-FFF2-40B4-BE49-F238E27FC236}">
              <a16:creationId xmlns:a16="http://schemas.microsoft.com/office/drawing/2014/main" id="{17AB500F-BE8B-4BCD-8E3D-06146BC5BC60}"/>
            </a:ext>
          </a:extLst>
        </xdr:cNvPr>
        <xdr:cNvPicPr>
          <a:picLocks noChangeAspect="1"/>
        </xdr:cNvPicPr>
      </xdr:nvPicPr>
      <xdr:blipFill>
        <a:blip xmlns:r="http://schemas.openxmlformats.org/officeDocument/2006/relationships" r:embed="rId80"/>
        <a:stretch>
          <a:fillRect/>
        </a:stretch>
      </xdr:blipFill>
      <xdr:spPr>
        <a:xfrm>
          <a:off x="4381500" y="952500"/>
          <a:ext cx="180000" cy="180000"/>
        </a:xfrm>
        <a:prstGeom prst="rect">
          <a:avLst/>
        </a:prstGeom>
      </xdr:spPr>
    </xdr:pic>
    <xdr:clientData/>
  </xdr:twoCellAnchor>
  <xdr:twoCellAnchor editAs="oneCell">
    <xdr:from>
      <xdr:col>23</xdr:col>
      <xdr:colOff>0</xdr:colOff>
      <xdr:row>9</xdr:row>
      <xdr:rowOff>0</xdr:rowOff>
    </xdr:from>
    <xdr:to>
      <xdr:col>23</xdr:col>
      <xdr:colOff>180000</xdr:colOff>
      <xdr:row>9</xdr:row>
      <xdr:rowOff>180000</xdr:rowOff>
    </xdr:to>
    <xdr:pic>
      <xdr:nvPicPr>
        <xdr:cNvPr id="83" name="Picture 82">
          <a:extLst>
            <a:ext uri="{FF2B5EF4-FFF2-40B4-BE49-F238E27FC236}">
              <a16:creationId xmlns:a16="http://schemas.microsoft.com/office/drawing/2014/main" id="{721191B3-6B98-431E-932C-00E2608A6E81}"/>
            </a:ext>
          </a:extLst>
        </xdr:cNvPr>
        <xdr:cNvPicPr>
          <a:picLocks noChangeAspect="1"/>
        </xdr:cNvPicPr>
      </xdr:nvPicPr>
      <xdr:blipFill>
        <a:blip xmlns:r="http://schemas.openxmlformats.org/officeDocument/2006/relationships" r:embed="rId81"/>
        <a:stretch>
          <a:fillRect/>
        </a:stretch>
      </xdr:blipFill>
      <xdr:spPr>
        <a:xfrm>
          <a:off x="4381500" y="1714500"/>
          <a:ext cx="180000" cy="180000"/>
        </a:xfrm>
        <a:prstGeom prst="rect">
          <a:avLst/>
        </a:prstGeom>
      </xdr:spPr>
    </xdr:pic>
    <xdr:clientData/>
  </xdr:twoCellAnchor>
  <xdr:twoCellAnchor editAs="oneCell">
    <xdr:from>
      <xdr:col>23</xdr:col>
      <xdr:colOff>0</xdr:colOff>
      <xdr:row>3</xdr:row>
      <xdr:rowOff>0</xdr:rowOff>
    </xdr:from>
    <xdr:to>
      <xdr:col>23</xdr:col>
      <xdr:colOff>180000</xdr:colOff>
      <xdr:row>3</xdr:row>
      <xdr:rowOff>180000</xdr:rowOff>
    </xdr:to>
    <xdr:pic>
      <xdr:nvPicPr>
        <xdr:cNvPr id="84" name="Picture 83">
          <a:extLst>
            <a:ext uri="{FF2B5EF4-FFF2-40B4-BE49-F238E27FC236}">
              <a16:creationId xmlns:a16="http://schemas.microsoft.com/office/drawing/2014/main" id="{F45F4027-D08F-4A89-9182-0B3B916F9E31}"/>
            </a:ext>
          </a:extLst>
        </xdr:cNvPr>
        <xdr:cNvPicPr>
          <a:picLocks noChangeAspect="1"/>
        </xdr:cNvPicPr>
      </xdr:nvPicPr>
      <xdr:blipFill>
        <a:blip xmlns:r="http://schemas.openxmlformats.org/officeDocument/2006/relationships" r:embed="rId82"/>
        <a:stretch>
          <a:fillRect/>
        </a:stretch>
      </xdr:blipFill>
      <xdr:spPr>
        <a:xfrm>
          <a:off x="4381500" y="571500"/>
          <a:ext cx="180000" cy="180000"/>
        </a:xfrm>
        <a:prstGeom prst="rect">
          <a:avLst/>
        </a:prstGeom>
      </xdr:spPr>
    </xdr:pic>
    <xdr:clientData/>
  </xdr:twoCellAnchor>
  <xdr:twoCellAnchor editAs="oneCell">
    <xdr:from>
      <xdr:col>21</xdr:col>
      <xdr:colOff>0</xdr:colOff>
      <xdr:row>7</xdr:row>
      <xdr:rowOff>0</xdr:rowOff>
    </xdr:from>
    <xdr:to>
      <xdr:col>21</xdr:col>
      <xdr:colOff>180000</xdr:colOff>
      <xdr:row>7</xdr:row>
      <xdr:rowOff>180000</xdr:rowOff>
    </xdr:to>
    <xdr:pic>
      <xdr:nvPicPr>
        <xdr:cNvPr id="85" name="Picture 84">
          <a:extLst>
            <a:ext uri="{FF2B5EF4-FFF2-40B4-BE49-F238E27FC236}">
              <a16:creationId xmlns:a16="http://schemas.microsoft.com/office/drawing/2014/main" id="{055C3A0B-6698-41F4-98C3-259905498C37}"/>
            </a:ext>
          </a:extLst>
        </xdr:cNvPr>
        <xdr:cNvPicPr>
          <a:picLocks noChangeAspect="1"/>
        </xdr:cNvPicPr>
      </xdr:nvPicPr>
      <xdr:blipFill>
        <a:blip xmlns:r="http://schemas.openxmlformats.org/officeDocument/2006/relationships" r:embed="rId83"/>
        <a:stretch>
          <a:fillRect/>
        </a:stretch>
      </xdr:blipFill>
      <xdr:spPr>
        <a:xfrm>
          <a:off x="4000500" y="1333500"/>
          <a:ext cx="180000" cy="180000"/>
        </a:xfrm>
        <a:prstGeom prst="rect">
          <a:avLst/>
        </a:prstGeom>
      </xdr:spPr>
    </xdr:pic>
    <xdr:clientData/>
  </xdr:twoCellAnchor>
  <xdr:twoCellAnchor editAs="oneCell">
    <xdr:from>
      <xdr:col>22</xdr:col>
      <xdr:colOff>0</xdr:colOff>
      <xdr:row>7</xdr:row>
      <xdr:rowOff>0</xdr:rowOff>
    </xdr:from>
    <xdr:to>
      <xdr:col>22</xdr:col>
      <xdr:colOff>180000</xdr:colOff>
      <xdr:row>7</xdr:row>
      <xdr:rowOff>180000</xdr:rowOff>
    </xdr:to>
    <xdr:pic>
      <xdr:nvPicPr>
        <xdr:cNvPr id="86" name="Picture 85">
          <a:extLst>
            <a:ext uri="{FF2B5EF4-FFF2-40B4-BE49-F238E27FC236}">
              <a16:creationId xmlns:a16="http://schemas.microsoft.com/office/drawing/2014/main" id="{062E1F89-44A7-472D-B888-EA23EA0D38BA}"/>
            </a:ext>
          </a:extLst>
        </xdr:cNvPr>
        <xdr:cNvPicPr>
          <a:picLocks noChangeAspect="1"/>
        </xdr:cNvPicPr>
      </xdr:nvPicPr>
      <xdr:blipFill>
        <a:blip xmlns:r="http://schemas.openxmlformats.org/officeDocument/2006/relationships" r:embed="rId84"/>
        <a:stretch>
          <a:fillRect/>
        </a:stretch>
      </xdr:blipFill>
      <xdr:spPr>
        <a:xfrm>
          <a:off x="4191000" y="1333500"/>
          <a:ext cx="180000" cy="180000"/>
        </a:xfrm>
        <a:prstGeom prst="rect">
          <a:avLst/>
        </a:prstGeom>
      </xdr:spPr>
    </xdr:pic>
    <xdr:clientData/>
  </xdr:twoCellAnchor>
  <xdr:twoCellAnchor editAs="oneCell">
    <xdr:from>
      <xdr:col>24</xdr:col>
      <xdr:colOff>0</xdr:colOff>
      <xdr:row>5</xdr:row>
      <xdr:rowOff>0</xdr:rowOff>
    </xdr:from>
    <xdr:to>
      <xdr:col>24</xdr:col>
      <xdr:colOff>180000</xdr:colOff>
      <xdr:row>5</xdr:row>
      <xdr:rowOff>180000</xdr:rowOff>
    </xdr:to>
    <xdr:pic>
      <xdr:nvPicPr>
        <xdr:cNvPr id="87" name="Picture 86">
          <a:extLst>
            <a:ext uri="{FF2B5EF4-FFF2-40B4-BE49-F238E27FC236}">
              <a16:creationId xmlns:a16="http://schemas.microsoft.com/office/drawing/2014/main" id="{00347505-6F99-407D-B1D9-78F143FAD016}"/>
            </a:ext>
          </a:extLst>
        </xdr:cNvPr>
        <xdr:cNvPicPr>
          <a:picLocks noChangeAspect="1"/>
        </xdr:cNvPicPr>
      </xdr:nvPicPr>
      <xdr:blipFill>
        <a:blip xmlns:r="http://schemas.openxmlformats.org/officeDocument/2006/relationships" r:embed="rId85"/>
        <a:stretch>
          <a:fillRect/>
        </a:stretch>
      </xdr:blipFill>
      <xdr:spPr>
        <a:xfrm>
          <a:off x="4572000" y="952500"/>
          <a:ext cx="180000" cy="180000"/>
        </a:xfrm>
        <a:prstGeom prst="rect">
          <a:avLst/>
        </a:prstGeom>
      </xdr:spPr>
    </xdr:pic>
    <xdr:clientData/>
  </xdr:twoCellAnchor>
  <xdr:twoCellAnchor editAs="oneCell">
    <xdr:from>
      <xdr:col>24</xdr:col>
      <xdr:colOff>0</xdr:colOff>
      <xdr:row>9</xdr:row>
      <xdr:rowOff>0</xdr:rowOff>
    </xdr:from>
    <xdr:to>
      <xdr:col>24</xdr:col>
      <xdr:colOff>180000</xdr:colOff>
      <xdr:row>9</xdr:row>
      <xdr:rowOff>180000</xdr:rowOff>
    </xdr:to>
    <xdr:pic>
      <xdr:nvPicPr>
        <xdr:cNvPr id="88" name="Picture 87">
          <a:extLst>
            <a:ext uri="{FF2B5EF4-FFF2-40B4-BE49-F238E27FC236}">
              <a16:creationId xmlns:a16="http://schemas.microsoft.com/office/drawing/2014/main" id="{D0A2D224-F97F-4FD4-9B02-EAE48E943963}"/>
            </a:ext>
          </a:extLst>
        </xdr:cNvPr>
        <xdr:cNvPicPr>
          <a:picLocks noChangeAspect="1"/>
        </xdr:cNvPicPr>
      </xdr:nvPicPr>
      <xdr:blipFill>
        <a:blip xmlns:r="http://schemas.openxmlformats.org/officeDocument/2006/relationships" r:embed="rId86"/>
        <a:stretch>
          <a:fillRect/>
        </a:stretch>
      </xdr:blipFill>
      <xdr:spPr>
        <a:xfrm>
          <a:off x="4572000" y="1714500"/>
          <a:ext cx="180000" cy="180000"/>
        </a:xfrm>
        <a:prstGeom prst="rect">
          <a:avLst/>
        </a:prstGeom>
      </xdr:spPr>
    </xdr:pic>
    <xdr:clientData/>
  </xdr:twoCellAnchor>
  <xdr:twoCellAnchor editAs="oneCell">
    <xdr:from>
      <xdr:col>23</xdr:col>
      <xdr:colOff>0</xdr:colOff>
      <xdr:row>7</xdr:row>
      <xdr:rowOff>0</xdr:rowOff>
    </xdr:from>
    <xdr:to>
      <xdr:col>23</xdr:col>
      <xdr:colOff>180000</xdr:colOff>
      <xdr:row>7</xdr:row>
      <xdr:rowOff>180000</xdr:rowOff>
    </xdr:to>
    <xdr:pic>
      <xdr:nvPicPr>
        <xdr:cNvPr id="89" name="Picture 88">
          <a:extLst>
            <a:ext uri="{FF2B5EF4-FFF2-40B4-BE49-F238E27FC236}">
              <a16:creationId xmlns:a16="http://schemas.microsoft.com/office/drawing/2014/main" id="{BA93FFDC-7CD5-4D14-8F8E-AF316FA06D04}"/>
            </a:ext>
          </a:extLst>
        </xdr:cNvPr>
        <xdr:cNvPicPr>
          <a:picLocks noChangeAspect="1"/>
        </xdr:cNvPicPr>
      </xdr:nvPicPr>
      <xdr:blipFill>
        <a:blip xmlns:r="http://schemas.openxmlformats.org/officeDocument/2006/relationships" r:embed="rId87"/>
        <a:stretch>
          <a:fillRect/>
        </a:stretch>
      </xdr:blipFill>
      <xdr:spPr>
        <a:xfrm>
          <a:off x="4381500" y="1333500"/>
          <a:ext cx="180000" cy="180000"/>
        </a:xfrm>
        <a:prstGeom prst="rect">
          <a:avLst/>
        </a:prstGeom>
      </xdr:spPr>
    </xdr:pic>
    <xdr:clientData/>
  </xdr:twoCellAnchor>
  <xdr:twoCellAnchor editAs="oneCell">
    <xdr:from>
      <xdr:col>24</xdr:col>
      <xdr:colOff>0</xdr:colOff>
      <xdr:row>7</xdr:row>
      <xdr:rowOff>0</xdr:rowOff>
    </xdr:from>
    <xdr:to>
      <xdr:col>24</xdr:col>
      <xdr:colOff>180000</xdr:colOff>
      <xdr:row>7</xdr:row>
      <xdr:rowOff>180000</xdr:rowOff>
    </xdr:to>
    <xdr:pic>
      <xdr:nvPicPr>
        <xdr:cNvPr id="90" name="Picture 89">
          <a:extLst>
            <a:ext uri="{FF2B5EF4-FFF2-40B4-BE49-F238E27FC236}">
              <a16:creationId xmlns:a16="http://schemas.microsoft.com/office/drawing/2014/main" id="{04C19BE3-5FAD-42CF-8B20-AE7BDB89F710}"/>
            </a:ext>
          </a:extLst>
        </xdr:cNvPr>
        <xdr:cNvPicPr>
          <a:picLocks noChangeAspect="1"/>
        </xdr:cNvPicPr>
      </xdr:nvPicPr>
      <xdr:blipFill>
        <a:blip xmlns:r="http://schemas.openxmlformats.org/officeDocument/2006/relationships" r:embed="rId88"/>
        <a:stretch>
          <a:fillRect/>
        </a:stretch>
      </xdr:blipFill>
      <xdr:spPr>
        <a:xfrm>
          <a:off x="4572000" y="1333500"/>
          <a:ext cx="180000" cy="180000"/>
        </a:xfrm>
        <a:prstGeom prst="rect">
          <a:avLst/>
        </a:prstGeom>
      </xdr:spPr>
    </xdr:pic>
    <xdr:clientData/>
  </xdr:twoCellAnchor>
  <xdr:twoCellAnchor editAs="oneCell">
    <xdr:from>
      <xdr:col>24</xdr:col>
      <xdr:colOff>0</xdr:colOff>
      <xdr:row>3</xdr:row>
      <xdr:rowOff>0</xdr:rowOff>
    </xdr:from>
    <xdr:to>
      <xdr:col>24</xdr:col>
      <xdr:colOff>180000</xdr:colOff>
      <xdr:row>3</xdr:row>
      <xdr:rowOff>180000</xdr:rowOff>
    </xdr:to>
    <xdr:pic>
      <xdr:nvPicPr>
        <xdr:cNvPr id="91" name="Picture 90">
          <a:extLst>
            <a:ext uri="{FF2B5EF4-FFF2-40B4-BE49-F238E27FC236}">
              <a16:creationId xmlns:a16="http://schemas.microsoft.com/office/drawing/2014/main" id="{F580D29C-C32D-4C29-BF2E-3832AB6CB4ED}"/>
            </a:ext>
          </a:extLst>
        </xdr:cNvPr>
        <xdr:cNvPicPr>
          <a:picLocks noChangeAspect="1"/>
        </xdr:cNvPicPr>
      </xdr:nvPicPr>
      <xdr:blipFill>
        <a:blip xmlns:r="http://schemas.openxmlformats.org/officeDocument/2006/relationships" r:embed="rId89"/>
        <a:stretch>
          <a:fillRect/>
        </a:stretch>
      </xdr:blipFill>
      <xdr:spPr>
        <a:xfrm>
          <a:off x="4572000" y="571500"/>
          <a:ext cx="180000" cy="180000"/>
        </a:xfrm>
        <a:prstGeom prst="rect">
          <a:avLst/>
        </a:prstGeom>
      </xdr:spPr>
    </xdr:pic>
    <xdr:clientData/>
  </xdr:twoCellAnchor>
  <xdr:twoCellAnchor editAs="oneCell">
    <xdr:from>
      <xdr:col>25</xdr:col>
      <xdr:colOff>0</xdr:colOff>
      <xdr:row>3</xdr:row>
      <xdr:rowOff>0</xdr:rowOff>
    </xdr:from>
    <xdr:to>
      <xdr:col>25</xdr:col>
      <xdr:colOff>180000</xdr:colOff>
      <xdr:row>3</xdr:row>
      <xdr:rowOff>180000</xdr:rowOff>
    </xdr:to>
    <xdr:pic>
      <xdr:nvPicPr>
        <xdr:cNvPr id="92" name="Picture 91">
          <a:extLst>
            <a:ext uri="{FF2B5EF4-FFF2-40B4-BE49-F238E27FC236}">
              <a16:creationId xmlns:a16="http://schemas.microsoft.com/office/drawing/2014/main" id="{525C6B39-C587-4CE5-AE63-BDC8FB8C2D05}"/>
            </a:ext>
          </a:extLst>
        </xdr:cNvPr>
        <xdr:cNvPicPr>
          <a:picLocks noChangeAspect="1"/>
        </xdr:cNvPicPr>
      </xdr:nvPicPr>
      <xdr:blipFill>
        <a:blip xmlns:r="http://schemas.openxmlformats.org/officeDocument/2006/relationships" r:embed="rId90"/>
        <a:stretch>
          <a:fillRect/>
        </a:stretch>
      </xdr:blipFill>
      <xdr:spPr>
        <a:xfrm>
          <a:off x="4762500" y="571500"/>
          <a:ext cx="180000" cy="180000"/>
        </a:xfrm>
        <a:prstGeom prst="rect">
          <a:avLst/>
        </a:prstGeom>
      </xdr:spPr>
    </xdr:pic>
    <xdr:clientData/>
  </xdr:twoCellAnchor>
  <xdr:twoCellAnchor editAs="oneCell">
    <xdr:from>
      <xdr:col>26</xdr:col>
      <xdr:colOff>0</xdr:colOff>
      <xdr:row>3</xdr:row>
      <xdr:rowOff>0</xdr:rowOff>
    </xdr:from>
    <xdr:to>
      <xdr:col>26</xdr:col>
      <xdr:colOff>180000</xdr:colOff>
      <xdr:row>3</xdr:row>
      <xdr:rowOff>180000</xdr:rowOff>
    </xdr:to>
    <xdr:pic>
      <xdr:nvPicPr>
        <xdr:cNvPr id="93" name="Picture 92">
          <a:extLst>
            <a:ext uri="{FF2B5EF4-FFF2-40B4-BE49-F238E27FC236}">
              <a16:creationId xmlns:a16="http://schemas.microsoft.com/office/drawing/2014/main" id="{73D5303A-CD64-438D-B0BF-DD57EA80EC3D}"/>
            </a:ext>
          </a:extLst>
        </xdr:cNvPr>
        <xdr:cNvPicPr>
          <a:picLocks noChangeAspect="1"/>
        </xdr:cNvPicPr>
      </xdr:nvPicPr>
      <xdr:blipFill>
        <a:blip xmlns:r="http://schemas.openxmlformats.org/officeDocument/2006/relationships" r:embed="rId91"/>
        <a:stretch>
          <a:fillRect/>
        </a:stretch>
      </xdr:blipFill>
      <xdr:spPr>
        <a:xfrm>
          <a:off x="4953000" y="571500"/>
          <a:ext cx="180000" cy="180000"/>
        </a:xfrm>
        <a:prstGeom prst="rect">
          <a:avLst/>
        </a:prstGeom>
      </xdr:spPr>
    </xdr:pic>
    <xdr:clientData/>
  </xdr:twoCellAnchor>
  <xdr:twoCellAnchor editAs="oneCell">
    <xdr:from>
      <xdr:col>27</xdr:col>
      <xdr:colOff>0</xdr:colOff>
      <xdr:row>3</xdr:row>
      <xdr:rowOff>0</xdr:rowOff>
    </xdr:from>
    <xdr:to>
      <xdr:col>27</xdr:col>
      <xdr:colOff>180000</xdr:colOff>
      <xdr:row>3</xdr:row>
      <xdr:rowOff>180000</xdr:rowOff>
    </xdr:to>
    <xdr:pic>
      <xdr:nvPicPr>
        <xdr:cNvPr id="94" name="Picture 93">
          <a:extLst>
            <a:ext uri="{FF2B5EF4-FFF2-40B4-BE49-F238E27FC236}">
              <a16:creationId xmlns:a16="http://schemas.microsoft.com/office/drawing/2014/main" id="{8DED32AB-AD6F-4241-BA95-9704F9AC65C7}"/>
            </a:ext>
          </a:extLst>
        </xdr:cNvPr>
        <xdr:cNvPicPr>
          <a:picLocks noChangeAspect="1"/>
        </xdr:cNvPicPr>
      </xdr:nvPicPr>
      <xdr:blipFill>
        <a:blip xmlns:r="http://schemas.openxmlformats.org/officeDocument/2006/relationships" r:embed="rId92"/>
        <a:stretch>
          <a:fillRect/>
        </a:stretch>
      </xdr:blipFill>
      <xdr:spPr>
        <a:xfrm>
          <a:off x="5143500" y="571500"/>
          <a:ext cx="180000" cy="180000"/>
        </a:xfrm>
        <a:prstGeom prst="rect">
          <a:avLst/>
        </a:prstGeom>
      </xdr:spPr>
    </xdr:pic>
    <xdr:clientData/>
  </xdr:twoCellAnchor>
  <xdr:twoCellAnchor editAs="oneCell">
    <xdr:from>
      <xdr:col>25</xdr:col>
      <xdr:colOff>0</xdr:colOff>
      <xdr:row>5</xdr:row>
      <xdr:rowOff>0</xdr:rowOff>
    </xdr:from>
    <xdr:to>
      <xdr:col>25</xdr:col>
      <xdr:colOff>180000</xdr:colOff>
      <xdr:row>5</xdr:row>
      <xdr:rowOff>180000</xdr:rowOff>
    </xdr:to>
    <xdr:pic>
      <xdr:nvPicPr>
        <xdr:cNvPr id="95" name="Picture 94">
          <a:extLst>
            <a:ext uri="{FF2B5EF4-FFF2-40B4-BE49-F238E27FC236}">
              <a16:creationId xmlns:a16="http://schemas.microsoft.com/office/drawing/2014/main" id="{6D501298-BD26-4268-A7D1-ED64D138FDC1}"/>
            </a:ext>
          </a:extLst>
        </xdr:cNvPr>
        <xdr:cNvPicPr>
          <a:picLocks noChangeAspect="1"/>
        </xdr:cNvPicPr>
      </xdr:nvPicPr>
      <xdr:blipFill>
        <a:blip xmlns:r="http://schemas.openxmlformats.org/officeDocument/2006/relationships" r:embed="rId93"/>
        <a:stretch>
          <a:fillRect/>
        </a:stretch>
      </xdr:blipFill>
      <xdr:spPr>
        <a:xfrm>
          <a:off x="4762500" y="952500"/>
          <a:ext cx="180000" cy="180000"/>
        </a:xfrm>
        <a:prstGeom prst="rect">
          <a:avLst/>
        </a:prstGeom>
      </xdr:spPr>
    </xdr:pic>
    <xdr:clientData/>
  </xdr:twoCellAnchor>
  <xdr:twoCellAnchor editAs="oneCell">
    <xdr:from>
      <xdr:col>28</xdr:col>
      <xdr:colOff>0</xdr:colOff>
      <xdr:row>3</xdr:row>
      <xdr:rowOff>0</xdr:rowOff>
    </xdr:from>
    <xdr:to>
      <xdr:col>28</xdr:col>
      <xdr:colOff>180000</xdr:colOff>
      <xdr:row>3</xdr:row>
      <xdr:rowOff>180000</xdr:rowOff>
    </xdr:to>
    <xdr:pic>
      <xdr:nvPicPr>
        <xdr:cNvPr id="96" name="Picture 95">
          <a:extLst>
            <a:ext uri="{FF2B5EF4-FFF2-40B4-BE49-F238E27FC236}">
              <a16:creationId xmlns:a16="http://schemas.microsoft.com/office/drawing/2014/main" id="{E2859DBB-AEF1-4EF2-8BAA-3F7C10C4C59B}"/>
            </a:ext>
          </a:extLst>
        </xdr:cNvPr>
        <xdr:cNvPicPr>
          <a:picLocks noChangeAspect="1"/>
        </xdr:cNvPicPr>
      </xdr:nvPicPr>
      <xdr:blipFill>
        <a:blip xmlns:r="http://schemas.openxmlformats.org/officeDocument/2006/relationships" r:embed="rId94"/>
        <a:stretch>
          <a:fillRect/>
        </a:stretch>
      </xdr:blipFill>
      <xdr:spPr>
        <a:xfrm>
          <a:off x="5334000" y="571500"/>
          <a:ext cx="180000" cy="180000"/>
        </a:xfrm>
        <a:prstGeom prst="rect">
          <a:avLst/>
        </a:prstGeom>
      </xdr:spPr>
    </xdr:pic>
    <xdr:clientData/>
  </xdr:twoCellAnchor>
  <xdr:twoCellAnchor editAs="oneCell">
    <xdr:from>
      <xdr:col>25</xdr:col>
      <xdr:colOff>0</xdr:colOff>
      <xdr:row>9</xdr:row>
      <xdr:rowOff>0</xdr:rowOff>
    </xdr:from>
    <xdr:to>
      <xdr:col>25</xdr:col>
      <xdr:colOff>180000</xdr:colOff>
      <xdr:row>9</xdr:row>
      <xdr:rowOff>180000</xdr:rowOff>
    </xdr:to>
    <xdr:pic>
      <xdr:nvPicPr>
        <xdr:cNvPr id="97" name="Picture 96">
          <a:extLst>
            <a:ext uri="{FF2B5EF4-FFF2-40B4-BE49-F238E27FC236}">
              <a16:creationId xmlns:a16="http://schemas.microsoft.com/office/drawing/2014/main" id="{E5E258BC-2DC5-4429-A132-9CF376416598}"/>
            </a:ext>
          </a:extLst>
        </xdr:cNvPr>
        <xdr:cNvPicPr>
          <a:picLocks noChangeAspect="1"/>
        </xdr:cNvPicPr>
      </xdr:nvPicPr>
      <xdr:blipFill>
        <a:blip xmlns:r="http://schemas.openxmlformats.org/officeDocument/2006/relationships" r:embed="rId95"/>
        <a:stretch>
          <a:fillRect/>
        </a:stretch>
      </xdr:blipFill>
      <xdr:spPr>
        <a:xfrm>
          <a:off x="4762500" y="1714500"/>
          <a:ext cx="180000" cy="180000"/>
        </a:xfrm>
        <a:prstGeom prst="rect">
          <a:avLst/>
        </a:prstGeom>
      </xdr:spPr>
    </xdr:pic>
    <xdr:clientData/>
  </xdr:twoCellAnchor>
  <xdr:twoCellAnchor editAs="oneCell">
    <xdr:from>
      <xdr:col>25</xdr:col>
      <xdr:colOff>0</xdr:colOff>
      <xdr:row>7</xdr:row>
      <xdr:rowOff>0</xdr:rowOff>
    </xdr:from>
    <xdr:to>
      <xdr:col>25</xdr:col>
      <xdr:colOff>180000</xdr:colOff>
      <xdr:row>7</xdr:row>
      <xdr:rowOff>180000</xdr:rowOff>
    </xdr:to>
    <xdr:pic>
      <xdr:nvPicPr>
        <xdr:cNvPr id="98" name="Picture 97">
          <a:extLst>
            <a:ext uri="{FF2B5EF4-FFF2-40B4-BE49-F238E27FC236}">
              <a16:creationId xmlns:a16="http://schemas.microsoft.com/office/drawing/2014/main" id="{16C6E2BE-046B-4AA7-A749-929B5F59EEC5}"/>
            </a:ext>
          </a:extLst>
        </xdr:cNvPr>
        <xdr:cNvPicPr>
          <a:picLocks noChangeAspect="1"/>
        </xdr:cNvPicPr>
      </xdr:nvPicPr>
      <xdr:blipFill>
        <a:blip xmlns:r="http://schemas.openxmlformats.org/officeDocument/2006/relationships" r:embed="rId96"/>
        <a:stretch>
          <a:fillRect/>
        </a:stretch>
      </xdr:blipFill>
      <xdr:spPr>
        <a:xfrm>
          <a:off x="4762500" y="1333500"/>
          <a:ext cx="180000" cy="180000"/>
        </a:xfrm>
        <a:prstGeom prst="rect">
          <a:avLst/>
        </a:prstGeom>
      </xdr:spPr>
    </xdr:pic>
    <xdr:clientData/>
  </xdr:twoCellAnchor>
  <xdr:twoCellAnchor editAs="oneCell">
    <xdr:from>
      <xdr:col>26</xdr:col>
      <xdr:colOff>0</xdr:colOff>
      <xdr:row>7</xdr:row>
      <xdr:rowOff>0</xdr:rowOff>
    </xdr:from>
    <xdr:to>
      <xdr:col>26</xdr:col>
      <xdr:colOff>180000</xdr:colOff>
      <xdr:row>7</xdr:row>
      <xdr:rowOff>180000</xdr:rowOff>
    </xdr:to>
    <xdr:pic>
      <xdr:nvPicPr>
        <xdr:cNvPr id="99" name="Picture 98">
          <a:extLst>
            <a:ext uri="{FF2B5EF4-FFF2-40B4-BE49-F238E27FC236}">
              <a16:creationId xmlns:a16="http://schemas.microsoft.com/office/drawing/2014/main" id="{D839D34C-CC07-4609-A4EB-A6EF7C4F088C}"/>
            </a:ext>
          </a:extLst>
        </xdr:cNvPr>
        <xdr:cNvPicPr>
          <a:picLocks noChangeAspect="1"/>
        </xdr:cNvPicPr>
      </xdr:nvPicPr>
      <xdr:blipFill>
        <a:blip xmlns:r="http://schemas.openxmlformats.org/officeDocument/2006/relationships" r:embed="rId97"/>
        <a:stretch>
          <a:fillRect/>
        </a:stretch>
      </xdr:blipFill>
      <xdr:spPr>
        <a:xfrm>
          <a:off x="4953000" y="1333500"/>
          <a:ext cx="180000" cy="180000"/>
        </a:xfrm>
        <a:prstGeom prst="rect">
          <a:avLst/>
        </a:prstGeom>
      </xdr:spPr>
    </xdr:pic>
    <xdr:clientData/>
  </xdr:twoCellAnchor>
  <xdr:twoCellAnchor editAs="oneCell">
    <xdr:from>
      <xdr:col>26</xdr:col>
      <xdr:colOff>0</xdr:colOff>
      <xdr:row>9</xdr:row>
      <xdr:rowOff>0</xdr:rowOff>
    </xdr:from>
    <xdr:to>
      <xdr:col>26</xdr:col>
      <xdr:colOff>180000</xdr:colOff>
      <xdr:row>9</xdr:row>
      <xdr:rowOff>180000</xdr:rowOff>
    </xdr:to>
    <xdr:pic>
      <xdr:nvPicPr>
        <xdr:cNvPr id="100" name="Picture 99">
          <a:extLst>
            <a:ext uri="{FF2B5EF4-FFF2-40B4-BE49-F238E27FC236}">
              <a16:creationId xmlns:a16="http://schemas.microsoft.com/office/drawing/2014/main" id="{0335BEC4-28AA-4BFC-B863-AC2F359FA1AF}"/>
            </a:ext>
          </a:extLst>
        </xdr:cNvPr>
        <xdr:cNvPicPr>
          <a:picLocks noChangeAspect="1"/>
        </xdr:cNvPicPr>
      </xdr:nvPicPr>
      <xdr:blipFill>
        <a:blip xmlns:r="http://schemas.openxmlformats.org/officeDocument/2006/relationships" r:embed="rId98"/>
        <a:stretch>
          <a:fillRect/>
        </a:stretch>
      </xdr:blipFill>
      <xdr:spPr>
        <a:xfrm>
          <a:off x="4953000" y="1714500"/>
          <a:ext cx="180000" cy="180000"/>
        </a:xfrm>
        <a:prstGeom prst="rect">
          <a:avLst/>
        </a:prstGeom>
      </xdr:spPr>
    </xdr:pic>
    <xdr:clientData/>
  </xdr:twoCellAnchor>
  <xdr:twoCellAnchor editAs="oneCell">
    <xdr:from>
      <xdr:col>26</xdr:col>
      <xdr:colOff>0</xdr:colOff>
      <xdr:row>5</xdr:row>
      <xdr:rowOff>0</xdr:rowOff>
    </xdr:from>
    <xdr:to>
      <xdr:col>26</xdr:col>
      <xdr:colOff>180000</xdr:colOff>
      <xdr:row>5</xdr:row>
      <xdr:rowOff>180000</xdr:rowOff>
    </xdr:to>
    <xdr:pic>
      <xdr:nvPicPr>
        <xdr:cNvPr id="101" name="Picture 100">
          <a:extLst>
            <a:ext uri="{FF2B5EF4-FFF2-40B4-BE49-F238E27FC236}">
              <a16:creationId xmlns:a16="http://schemas.microsoft.com/office/drawing/2014/main" id="{94C497BC-847D-4142-BB5F-CEF74C1AF21E}"/>
            </a:ext>
          </a:extLst>
        </xdr:cNvPr>
        <xdr:cNvPicPr>
          <a:picLocks noChangeAspect="1"/>
        </xdr:cNvPicPr>
      </xdr:nvPicPr>
      <xdr:blipFill>
        <a:blip xmlns:r="http://schemas.openxmlformats.org/officeDocument/2006/relationships" r:embed="rId99"/>
        <a:stretch>
          <a:fillRect/>
        </a:stretch>
      </xdr:blipFill>
      <xdr:spPr>
        <a:xfrm>
          <a:off x="4953000" y="952500"/>
          <a:ext cx="180000" cy="180000"/>
        </a:xfrm>
        <a:prstGeom prst="rect">
          <a:avLst/>
        </a:prstGeom>
      </xdr:spPr>
    </xdr:pic>
    <xdr:clientData/>
  </xdr:twoCellAnchor>
  <xdr:twoCellAnchor editAs="oneCell">
    <xdr:from>
      <xdr:col>27</xdr:col>
      <xdr:colOff>0</xdr:colOff>
      <xdr:row>7</xdr:row>
      <xdr:rowOff>0</xdr:rowOff>
    </xdr:from>
    <xdr:to>
      <xdr:col>27</xdr:col>
      <xdr:colOff>180000</xdr:colOff>
      <xdr:row>7</xdr:row>
      <xdr:rowOff>180000</xdr:rowOff>
    </xdr:to>
    <xdr:pic>
      <xdr:nvPicPr>
        <xdr:cNvPr id="102" name="Picture 101">
          <a:extLst>
            <a:ext uri="{FF2B5EF4-FFF2-40B4-BE49-F238E27FC236}">
              <a16:creationId xmlns:a16="http://schemas.microsoft.com/office/drawing/2014/main" id="{65A54BE7-D10B-46FB-A580-9953429A817B}"/>
            </a:ext>
          </a:extLst>
        </xdr:cNvPr>
        <xdr:cNvPicPr>
          <a:picLocks noChangeAspect="1"/>
        </xdr:cNvPicPr>
      </xdr:nvPicPr>
      <xdr:blipFill>
        <a:blip xmlns:r="http://schemas.openxmlformats.org/officeDocument/2006/relationships" r:embed="rId100"/>
        <a:stretch>
          <a:fillRect/>
        </a:stretch>
      </xdr:blipFill>
      <xdr:spPr>
        <a:xfrm>
          <a:off x="5143500" y="1333500"/>
          <a:ext cx="180000" cy="180000"/>
        </a:xfrm>
        <a:prstGeom prst="rect">
          <a:avLst/>
        </a:prstGeom>
      </xdr:spPr>
    </xdr:pic>
    <xdr:clientData/>
  </xdr:twoCellAnchor>
  <xdr:twoCellAnchor editAs="oneCell">
    <xdr:from>
      <xdr:col>27</xdr:col>
      <xdr:colOff>0</xdr:colOff>
      <xdr:row>9</xdr:row>
      <xdr:rowOff>0</xdr:rowOff>
    </xdr:from>
    <xdr:to>
      <xdr:col>27</xdr:col>
      <xdr:colOff>180000</xdr:colOff>
      <xdr:row>9</xdr:row>
      <xdr:rowOff>180000</xdr:rowOff>
    </xdr:to>
    <xdr:pic>
      <xdr:nvPicPr>
        <xdr:cNvPr id="103" name="Picture 103">
          <a:extLst>
            <a:ext uri="{FF2B5EF4-FFF2-40B4-BE49-F238E27FC236}">
              <a16:creationId xmlns:a16="http://schemas.microsoft.com/office/drawing/2014/main" id="{027B9204-D91C-4875-8DE8-41D7B804BE00}"/>
            </a:ext>
          </a:extLst>
        </xdr:cNvPr>
        <xdr:cNvPicPr>
          <a:picLocks noChangeAspect="1"/>
        </xdr:cNvPicPr>
      </xdr:nvPicPr>
      <xdr:blipFill>
        <a:blip xmlns:r="http://schemas.openxmlformats.org/officeDocument/2006/relationships" r:embed="rId101"/>
        <a:stretch>
          <a:fillRect/>
        </a:stretch>
      </xdr:blipFill>
      <xdr:spPr>
        <a:xfrm>
          <a:off x="5143500" y="1714500"/>
          <a:ext cx="180000" cy="180000"/>
        </a:xfrm>
        <a:prstGeom prst="rect">
          <a:avLst/>
        </a:prstGeom>
      </xdr:spPr>
    </xdr:pic>
    <xdr:clientData/>
  </xdr:twoCellAnchor>
  <xdr:twoCellAnchor editAs="oneCell">
    <xdr:from>
      <xdr:col>28</xdr:col>
      <xdr:colOff>0</xdr:colOff>
      <xdr:row>9</xdr:row>
      <xdr:rowOff>0</xdr:rowOff>
    </xdr:from>
    <xdr:to>
      <xdr:col>28</xdr:col>
      <xdr:colOff>180000</xdr:colOff>
      <xdr:row>9</xdr:row>
      <xdr:rowOff>180000</xdr:rowOff>
    </xdr:to>
    <xdr:pic>
      <xdr:nvPicPr>
        <xdr:cNvPr id="104" name="Picture 104">
          <a:extLst>
            <a:ext uri="{FF2B5EF4-FFF2-40B4-BE49-F238E27FC236}">
              <a16:creationId xmlns:a16="http://schemas.microsoft.com/office/drawing/2014/main" id="{2FA51B76-93A7-4669-9963-73073ECF8579}"/>
            </a:ext>
          </a:extLst>
        </xdr:cNvPr>
        <xdr:cNvPicPr>
          <a:picLocks noChangeAspect="1"/>
        </xdr:cNvPicPr>
      </xdr:nvPicPr>
      <xdr:blipFill>
        <a:blip xmlns:r="http://schemas.openxmlformats.org/officeDocument/2006/relationships" r:embed="rId102"/>
        <a:stretch>
          <a:fillRect/>
        </a:stretch>
      </xdr:blipFill>
      <xdr:spPr>
        <a:xfrm>
          <a:off x="5334000" y="1714500"/>
          <a:ext cx="180000" cy="180000"/>
        </a:xfrm>
        <a:prstGeom prst="rect">
          <a:avLst/>
        </a:prstGeom>
      </xdr:spPr>
    </xdr:pic>
    <xdr:clientData/>
  </xdr:twoCellAnchor>
  <xdr:twoCellAnchor editAs="oneCell">
    <xdr:from>
      <xdr:col>28</xdr:col>
      <xdr:colOff>0</xdr:colOff>
      <xdr:row>5</xdr:row>
      <xdr:rowOff>0</xdr:rowOff>
    </xdr:from>
    <xdr:to>
      <xdr:col>28</xdr:col>
      <xdr:colOff>180000</xdr:colOff>
      <xdr:row>5</xdr:row>
      <xdr:rowOff>180000</xdr:rowOff>
    </xdr:to>
    <xdr:pic>
      <xdr:nvPicPr>
        <xdr:cNvPr id="105" name="Picture 106">
          <a:extLst>
            <a:ext uri="{FF2B5EF4-FFF2-40B4-BE49-F238E27FC236}">
              <a16:creationId xmlns:a16="http://schemas.microsoft.com/office/drawing/2014/main" id="{86FCE73E-AF79-4FF7-BD22-60A9C27C7CE1}"/>
            </a:ext>
          </a:extLst>
        </xdr:cNvPr>
        <xdr:cNvPicPr>
          <a:picLocks noChangeAspect="1"/>
        </xdr:cNvPicPr>
      </xdr:nvPicPr>
      <xdr:blipFill>
        <a:blip xmlns:r="http://schemas.openxmlformats.org/officeDocument/2006/relationships" r:embed="rId103"/>
        <a:stretch>
          <a:fillRect/>
        </a:stretch>
      </xdr:blipFill>
      <xdr:spPr>
        <a:xfrm>
          <a:off x="5334000" y="952500"/>
          <a:ext cx="180000" cy="180000"/>
        </a:xfrm>
        <a:prstGeom prst="rect">
          <a:avLst/>
        </a:prstGeom>
      </xdr:spPr>
    </xdr:pic>
    <xdr:clientData/>
  </xdr:twoCellAnchor>
  <xdr:twoCellAnchor editAs="oneCell">
    <xdr:from>
      <xdr:col>18</xdr:col>
      <xdr:colOff>0</xdr:colOff>
      <xdr:row>13</xdr:row>
      <xdr:rowOff>0</xdr:rowOff>
    </xdr:from>
    <xdr:to>
      <xdr:col>18</xdr:col>
      <xdr:colOff>180000</xdr:colOff>
      <xdr:row>13</xdr:row>
      <xdr:rowOff>180000</xdr:rowOff>
    </xdr:to>
    <xdr:pic>
      <xdr:nvPicPr>
        <xdr:cNvPr id="106" name="Picture 107">
          <a:extLst>
            <a:ext uri="{FF2B5EF4-FFF2-40B4-BE49-F238E27FC236}">
              <a16:creationId xmlns:a16="http://schemas.microsoft.com/office/drawing/2014/main" id="{D9BCD32E-B2D7-4684-A6D9-9B19DA3EB07B}"/>
            </a:ext>
          </a:extLst>
        </xdr:cNvPr>
        <xdr:cNvPicPr>
          <a:picLocks noChangeAspect="1"/>
        </xdr:cNvPicPr>
      </xdr:nvPicPr>
      <xdr:blipFill>
        <a:blip xmlns:r="http://schemas.openxmlformats.org/officeDocument/2006/relationships" r:embed="rId104"/>
        <a:stretch>
          <a:fillRect/>
        </a:stretch>
      </xdr:blipFill>
      <xdr:spPr>
        <a:xfrm>
          <a:off x="3429000" y="2476500"/>
          <a:ext cx="180000" cy="180000"/>
        </a:xfrm>
        <a:prstGeom prst="rect">
          <a:avLst/>
        </a:prstGeom>
      </xdr:spPr>
    </xdr:pic>
    <xdr:clientData/>
  </xdr:twoCellAnchor>
  <xdr:twoCellAnchor editAs="oneCell">
    <xdr:from>
      <xdr:col>21</xdr:col>
      <xdr:colOff>0</xdr:colOff>
      <xdr:row>11</xdr:row>
      <xdr:rowOff>0</xdr:rowOff>
    </xdr:from>
    <xdr:to>
      <xdr:col>21</xdr:col>
      <xdr:colOff>180000</xdr:colOff>
      <xdr:row>11</xdr:row>
      <xdr:rowOff>180000</xdr:rowOff>
    </xdr:to>
    <xdr:pic>
      <xdr:nvPicPr>
        <xdr:cNvPr id="107" name="Picture 108">
          <a:extLst>
            <a:ext uri="{FF2B5EF4-FFF2-40B4-BE49-F238E27FC236}">
              <a16:creationId xmlns:a16="http://schemas.microsoft.com/office/drawing/2014/main" id="{1D783AA0-8785-4C4A-8A46-F935EC4E3CBB}"/>
            </a:ext>
          </a:extLst>
        </xdr:cNvPr>
        <xdr:cNvPicPr>
          <a:picLocks noChangeAspect="1"/>
        </xdr:cNvPicPr>
      </xdr:nvPicPr>
      <xdr:blipFill>
        <a:blip xmlns:r="http://schemas.openxmlformats.org/officeDocument/2006/relationships" r:embed="rId105"/>
        <a:stretch>
          <a:fillRect/>
        </a:stretch>
      </xdr:blipFill>
      <xdr:spPr>
        <a:xfrm>
          <a:off x="4000500" y="2095500"/>
          <a:ext cx="180000" cy="180000"/>
        </a:xfrm>
        <a:prstGeom prst="rect">
          <a:avLst/>
        </a:prstGeom>
      </xdr:spPr>
    </xdr:pic>
    <xdr:clientData/>
  </xdr:twoCellAnchor>
  <xdr:twoCellAnchor editAs="oneCell">
    <xdr:from>
      <xdr:col>19</xdr:col>
      <xdr:colOff>0</xdr:colOff>
      <xdr:row>13</xdr:row>
      <xdr:rowOff>0</xdr:rowOff>
    </xdr:from>
    <xdr:to>
      <xdr:col>19</xdr:col>
      <xdr:colOff>180000</xdr:colOff>
      <xdr:row>13</xdr:row>
      <xdr:rowOff>180000</xdr:rowOff>
    </xdr:to>
    <xdr:pic>
      <xdr:nvPicPr>
        <xdr:cNvPr id="108" name="Picture 109">
          <a:extLst>
            <a:ext uri="{FF2B5EF4-FFF2-40B4-BE49-F238E27FC236}">
              <a16:creationId xmlns:a16="http://schemas.microsoft.com/office/drawing/2014/main" id="{41C37AED-998C-4E1B-9B84-87340B9ACAF1}"/>
            </a:ext>
          </a:extLst>
        </xdr:cNvPr>
        <xdr:cNvPicPr>
          <a:picLocks noChangeAspect="1"/>
        </xdr:cNvPicPr>
      </xdr:nvPicPr>
      <xdr:blipFill>
        <a:blip xmlns:r="http://schemas.openxmlformats.org/officeDocument/2006/relationships" r:embed="rId106"/>
        <a:stretch>
          <a:fillRect/>
        </a:stretch>
      </xdr:blipFill>
      <xdr:spPr>
        <a:xfrm>
          <a:off x="3619500" y="2476500"/>
          <a:ext cx="180000" cy="180000"/>
        </a:xfrm>
        <a:prstGeom prst="rect">
          <a:avLst/>
        </a:prstGeom>
      </xdr:spPr>
    </xdr:pic>
    <xdr:clientData/>
  </xdr:twoCellAnchor>
  <xdr:twoCellAnchor editAs="oneCell">
    <xdr:from>
      <xdr:col>20</xdr:col>
      <xdr:colOff>0</xdr:colOff>
      <xdr:row>13</xdr:row>
      <xdr:rowOff>0</xdr:rowOff>
    </xdr:from>
    <xdr:to>
      <xdr:col>20</xdr:col>
      <xdr:colOff>180000</xdr:colOff>
      <xdr:row>13</xdr:row>
      <xdr:rowOff>180000</xdr:rowOff>
    </xdr:to>
    <xdr:pic>
      <xdr:nvPicPr>
        <xdr:cNvPr id="109" name="Picture 110">
          <a:extLst>
            <a:ext uri="{FF2B5EF4-FFF2-40B4-BE49-F238E27FC236}">
              <a16:creationId xmlns:a16="http://schemas.microsoft.com/office/drawing/2014/main" id="{17CF323C-3C19-4D6C-BB17-1312AE0067EE}"/>
            </a:ext>
          </a:extLst>
        </xdr:cNvPr>
        <xdr:cNvPicPr>
          <a:picLocks noChangeAspect="1"/>
        </xdr:cNvPicPr>
      </xdr:nvPicPr>
      <xdr:blipFill>
        <a:blip xmlns:r="http://schemas.openxmlformats.org/officeDocument/2006/relationships" r:embed="rId107"/>
        <a:stretch>
          <a:fillRect/>
        </a:stretch>
      </xdr:blipFill>
      <xdr:spPr>
        <a:xfrm>
          <a:off x="3810000" y="2476500"/>
          <a:ext cx="180000" cy="180000"/>
        </a:xfrm>
        <a:prstGeom prst="rect">
          <a:avLst/>
        </a:prstGeom>
      </xdr:spPr>
    </xdr:pic>
    <xdr:clientData/>
  </xdr:twoCellAnchor>
  <xdr:twoCellAnchor editAs="oneCell">
    <xdr:from>
      <xdr:col>22</xdr:col>
      <xdr:colOff>0</xdr:colOff>
      <xdr:row>11</xdr:row>
      <xdr:rowOff>0</xdr:rowOff>
    </xdr:from>
    <xdr:to>
      <xdr:col>22</xdr:col>
      <xdr:colOff>180000</xdr:colOff>
      <xdr:row>11</xdr:row>
      <xdr:rowOff>180000</xdr:rowOff>
    </xdr:to>
    <xdr:pic>
      <xdr:nvPicPr>
        <xdr:cNvPr id="110" name="Picture 111">
          <a:extLst>
            <a:ext uri="{FF2B5EF4-FFF2-40B4-BE49-F238E27FC236}">
              <a16:creationId xmlns:a16="http://schemas.microsoft.com/office/drawing/2014/main" id="{A723CEF5-F5F1-413C-A6A5-87C68AA7929D}"/>
            </a:ext>
          </a:extLst>
        </xdr:cNvPr>
        <xdr:cNvPicPr>
          <a:picLocks noChangeAspect="1"/>
        </xdr:cNvPicPr>
      </xdr:nvPicPr>
      <xdr:blipFill>
        <a:blip xmlns:r="http://schemas.openxmlformats.org/officeDocument/2006/relationships" r:embed="rId108"/>
        <a:stretch>
          <a:fillRect/>
        </a:stretch>
      </xdr:blipFill>
      <xdr:spPr>
        <a:xfrm>
          <a:off x="4191000" y="2095500"/>
          <a:ext cx="180000" cy="180000"/>
        </a:xfrm>
        <a:prstGeom prst="rect">
          <a:avLst/>
        </a:prstGeom>
      </xdr:spPr>
    </xdr:pic>
    <xdr:clientData/>
  </xdr:twoCellAnchor>
  <xdr:twoCellAnchor editAs="oneCell">
    <xdr:from>
      <xdr:col>23</xdr:col>
      <xdr:colOff>0</xdr:colOff>
      <xdr:row>11</xdr:row>
      <xdr:rowOff>0</xdr:rowOff>
    </xdr:from>
    <xdr:to>
      <xdr:col>23</xdr:col>
      <xdr:colOff>180000</xdr:colOff>
      <xdr:row>11</xdr:row>
      <xdr:rowOff>180000</xdr:rowOff>
    </xdr:to>
    <xdr:pic>
      <xdr:nvPicPr>
        <xdr:cNvPr id="111" name="Picture 112">
          <a:extLst>
            <a:ext uri="{FF2B5EF4-FFF2-40B4-BE49-F238E27FC236}">
              <a16:creationId xmlns:a16="http://schemas.microsoft.com/office/drawing/2014/main" id="{B7D734F2-AB18-4988-BC5C-0DC39928D063}"/>
            </a:ext>
          </a:extLst>
        </xdr:cNvPr>
        <xdr:cNvPicPr>
          <a:picLocks noChangeAspect="1"/>
        </xdr:cNvPicPr>
      </xdr:nvPicPr>
      <xdr:blipFill>
        <a:blip xmlns:r="http://schemas.openxmlformats.org/officeDocument/2006/relationships" r:embed="rId109"/>
        <a:stretch>
          <a:fillRect/>
        </a:stretch>
      </xdr:blipFill>
      <xdr:spPr>
        <a:xfrm>
          <a:off x="4381500" y="2095500"/>
          <a:ext cx="180000" cy="180000"/>
        </a:xfrm>
        <a:prstGeom prst="rect">
          <a:avLst/>
        </a:prstGeom>
      </xdr:spPr>
    </xdr:pic>
    <xdr:clientData/>
  </xdr:twoCellAnchor>
  <xdr:twoCellAnchor editAs="oneCell">
    <xdr:from>
      <xdr:col>24</xdr:col>
      <xdr:colOff>0</xdr:colOff>
      <xdr:row>11</xdr:row>
      <xdr:rowOff>0</xdr:rowOff>
    </xdr:from>
    <xdr:to>
      <xdr:col>24</xdr:col>
      <xdr:colOff>180000</xdr:colOff>
      <xdr:row>11</xdr:row>
      <xdr:rowOff>180000</xdr:rowOff>
    </xdr:to>
    <xdr:pic>
      <xdr:nvPicPr>
        <xdr:cNvPr id="112" name="Picture 113">
          <a:extLst>
            <a:ext uri="{FF2B5EF4-FFF2-40B4-BE49-F238E27FC236}">
              <a16:creationId xmlns:a16="http://schemas.microsoft.com/office/drawing/2014/main" id="{502464BD-39BB-45C4-88E0-120B85A5CE5D}"/>
            </a:ext>
          </a:extLst>
        </xdr:cNvPr>
        <xdr:cNvPicPr>
          <a:picLocks noChangeAspect="1"/>
        </xdr:cNvPicPr>
      </xdr:nvPicPr>
      <xdr:blipFill>
        <a:blip xmlns:r="http://schemas.openxmlformats.org/officeDocument/2006/relationships" r:embed="rId110"/>
        <a:stretch>
          <a:fillRect/>
        </a:stretch>
      </xdr:blipFill>
      <xdr:spPr>
        <a:xfrm>
          <a:off x="4572000" y="2095500"/>
          <a:ext cx="180000" cy="180000"/>
        </a:xfrm>
        <a:prstGeom prst="rect">
          <a:avLst/>
        </a:prstGeom>
      </xdr:spPr>
    </xdr:pic>
    <xdr:clientData/>
  </xdr:twoCellAnchor>
  <xdr:twoCellAnchor editAs="oneCell">
    <xdr:from>
      <xdr:col>25</xdr:col>
      <xdr:colOff>0</xdr:colOff>
      <xdr:row>11</xdr:row>
      <xdr:rowOff>0</xdr:rowOff>
    </xdr:from>
    <xdr:to>
      <xdr:col>25</xdr:col>
      <xdr:colOff>180000</xdr:colOff>
      <xdr:row>11</xdr:row>
      <xdr:rowOff>180000</xdr:rowOff>
    </xdr:to>
    <xdr:pic>
      <xdr:nvPicPr>
        <xdr:cNvPr id="113" name="Picture 114">
          <a:extLst>
            <a:ext uri="{FF2B5EF4-FFF2-40B4-BE49-F238E27FC236}">
              <a16:creationId xmlns:a16="http://schemas.microsoft.com/office/drawing/2014/main" id="{012B2CF5-80DB-467A-AF04-134E032E2473}"/>
            </a:ext>
          </a:extLst>
        </xdr:cNvPr>
        <xdr:cNvPicPr>
          <a:picLocks noChangeAspect="1"/>
        </xdr:cNvPicPr>
      </xdr:nvPicPr>
      <xdr:blipFill>
        <a:blip xmlns:r="http://schemas.openxmlformats.org/officeDocument/2006/relationships" r:embed="rId111"/>
        <a:stretch>
          <a:fillRect/>
        </a:stretch>
      </xdr:blipFill>
      <xdr:spPr>
        <a:xfrm>
          <a:off x="4762500" y="2095500"/>
          <a:ext cx="180000" cy="180000"/>
        </a:xfrm>
        <a:prstGeom prst="rect">
          <a:avLst/>
        </a:prstGeom>
      </xdr:spPr>
    </xdr:pic>
    <xdr:clientData/>
  </xdr:twoCellAnchor>
  <xdr:twoCellAnchor editAs="oneCell">
    <xdr:from>
      <xdr:col>26</xdr:col>
      <xdr:colOff>0</xdr:colOff>
      <xdr:row>11</xdr:row>
      <xdr:rowOff>0</xdr:rowOff>
    </xdr:from>
    <xdr:to>
      <xdr:col>26</xdr:col>
      <xdr:colOff>180000</xdr:colOff>
      <xdr:row>11</xdr:row>
      <xdr:rowOff>180000</xdr:rowOff>
    </xdr:to>
    <xdr:pic>
      <xdr:nvPicPr>
        <xdr:cNvPr id="114" name="Picture 115">
          <a:extLst>
            <a:ext uri="{FF2B5EF4-FFF2-40B4-BE49-F238E27FC236}">
              <a16:creationId xmlns:a16="http://schemas.microsoft.com/office/drawing/2014/main" id="{32DC8CE1-90E5-443E-B16D-D9B0BA773E22}"/>
            </a:ext>
          </a:extLst>
        </xdr:cNvPr>
        <xdr:cNvPicPr>
          <a:picLocks noChangeAspect="1"/>
        </xdr:cNvPicPr>
      </xdr:nvPicPr>
      <xdr:blipFill>
        <a:blip xmlns:r="http://schemas.openxmlformats.org/officeDocument/2006/relationships" r:embed="rId112"/>
        <a:stretch>
          <a:fillRect/>
        </a:stretch>
      </xdr:blipFill>
      <xdr:spPr>
        <a:xfrm>
          <a:off x="4953000" y="2095500"/>
          <a:ext cx="180000" cy="180000"/>
        </a:xfrm>
        <a:prstGeom prst="rect">
          <a:avLst/>
        </a:prstGeom>
      </xdr:spPr>
    </xdr:pic>
    <xdr:clientData/>
  </xdr:twoCellAnchor>
  <xdr:twoCellAnchor editAs="oneCell">
    <xdr:from>
      <xdr:col>21</xdr:col>
      <xdr:colOff>0</xdr:colOff>
      <xdr:row>13</xdr:row>
      <xdr:rowOff>0</xdr:rowOff>
    </xdr:from>
    <xdr:to>
      <xdr:col>21</xdr:col>
      <xdr:colOff>180000</xdr:colOff>
      <xdr:row>13</xdr:row>
      <xdr:rowOff>180000</xdr:rowOff>
    </xdr:to>
    <xdr:pic>
      <xdr:nvPicPr>
        <xdr:cNvPr id="115" name="Picture 116">
          <a:extLst>
            <a:ext uri="{FF2B5EF4-FFF2-40B4-BE49-F238E27FC236}">
              <a16:creationId xmlns:a16="http://schemas.microsoft.com/office/drawing/2014/main" id="{FD4B6098-AF35-4DB1-8B39-00F70E01E5BB}"/>
            </a:ext>
          </a:extLst>
        </xdr:cNvPr>
        <xdr:cNvPicPr>
          <a:picLocks noChangeAspect="1"/>
        </xdr:cNvPicPr>
      </xdr:nvPicPr>
      <xdr:blipFill>
        <a:blip xmlns:r="http://schemas.openxmlformats.org/officeDocument/2006/relationships" r:embed="rId113"/>
        <a:stretch>
          <a:fillRect/>
        </a:stretch>
      </xdr:blipFill>
      <xdr:spPr>
        <a:xfrm>
          <a:off x="4000500" y="2476500"/>
          <a:ext cx="180000" cy="180000"/>
        </a:xfrm>
        <a:prstGeom prst="rect">
          <a:avLst/>
        </a:prstGeom>
      </xdr:spPr>
    </xdr:pic>
    <xdr:clientData/>
  </xdr:twoCellAnchor>
  <xdr:twoCellAnchor editAs="oneCell">
    <xdr:from>
      <xdr:col>27</xdr:col>
      <xdr:colOff>0</xdr:colOff>
      <xdr:row>11</xdr:row>
      <xdr:rowOff>0</xdr:rowOff>
    </xdr:from>
    <xdr:to>
      <xdr:col>27</xdr:col>
      <xdr:colOff>180000</xdr:colOff>
      <xdr:row>11</xdr:row>
      <xdr:rowOff>180000</xdr:rowOff>
    </xdr:to>
    <xdr:pic>
      <xdr:nvPicPr>
        <xdr:cNvPr id="116" name="Picture 117">
          <a:extLst>
            <a:ext uri="{FF2B5EF4-FFF2-40B4-BE49-F238E27FC236}">
              <a16:creationId xmlns:a16="http://schemas.microsoft.com/office/drawing/2014/main" id="{A0748BE2-66F4-4870-8E14-1D4E894E7272}"/>
            </a:ext>
          </a:extLst>
        </xdr:cNvPr>
        <xdr:cNvPicPr>
          <a:picLocks noChangeAspect="1"/>
        </xdr:cNvPicPr>
      </xdr:nvPicPr>
      <xdr:blipFill>
        <a:blip xmlns:r="http://schemas.openxmlformats.org/officeDocument/2006/relationships" r:embed="rId114"/>
        <a:stretch>
          <a:fillRect/>
        </a:stretch>
      </xdr:blipFill>
      <xdr:spPr>
        <a:xfrm>
          <a:off x="5143500" y="2095500"/>
          <a:ext cx="180000" cy="180000"/>
        </a:xfrm>
        <a:prstGeom prst="rect">
          <a:avLst/>
        </a:prstGeom>
      </xdr:spPr>
    </xdr:pic>
    <xdr:clientData/>
  </xdr:twoCellAnchor>
  <xdr:twoCellAnchor editAs="oneCell">
    <xdr:from>
      <xdr:col>28</xdr:col>
      <xdr:colOff>0</xdr:colOff>
      <xdr:row>11</xdr:row>
      <xdr:rowOff>0</xdr:rowOff>
    </xdr:from>
    <xdr:to>
      <xdr:col>28</xdr:col>
      <xdr:colOff>180000</xdr:colOff>
      <xdr:row>11</xdr:row>
      <xdr:rowOff>180000</xdr:rowOff>
    </xdr:to>
    <xdr:pic>
      <xdr:nvPicPr>
        <xdr:cNvPr id="117" name="Picture 118">
          <a:extLst>
            <a:ext uri="{FF2B5EF4-FFF2-40B4-BE49-F238E27FC236}">
              <a16:creationId xmlns:a16="http://schemas.microsoft.com/office/drawing/2014/main" id="{09ACF6DC-1717-4E25-9141-FCC60DE23F20}"/>
            </a:ext>
          </a:extLst>
        </xdr:cNvPr>
        <xdr:cNvPicPr>
          <a:picLocks noChangeAspect="1"/>
        </xdr:cNvPicPr>
      </xdr:nvPicPr>
      <xdr:blipFill>
        <a:blip xmlns:r="http://schemas.openxmlformats.org/officeDocument/2006/relationships" r:embed="rId115"/>
        <a:stretch>
          <a:fillRect/>
        </a:stretch>
      </xdr:blipFill>
      <xdr:spPr>
        <a:xfrm>
          <a:off x="5334000" y="2095500"/>
          <a:ext cx="180000" cy="180000"/>
        </a:xfrm>
        <a:prstGeom prst="rect">
          <a:avLst/>
        </a:prstGeom>
      </xdr:spPr>
    </xdr:pic>
    <xdr:clientData/>
  </xdr:twoCellAnchor>
  <xdr:twoCellAnchor editAs="oneCell">
    <xdr:from>
      <xdr:col>22</xdr:col>
      <xdr:colOff>0</xdr:colOff>
      <xdr:row>13</xdr:row>
      <xdr:rowOff>0</xdr:rowOff>
    </xdr:from>
    <xdr:to>
      <xdr:col>22</xdr:col>
      <xdr:colOff>180000</xdr:colOff>
      <xdr:row>13</xdr:row>
      <xdr:rowOff>180000</xdr:rowOff>
    </xdr:to>
    <xdr:pic>
      <xdr:nvPicPr>
        <xdr:cNvPr id="118" name="Picture 119">
          <a:extLst>
            <a:ext uri="{FF2B5EF4-FFF2-40B4-BE49-F238E27FC236}">
              <a16:creationId xmlns:a16="http://schemas.microsoft.com/office/drawing/2014/main" id="{49B4F14F-2303-474F-BD97-34CA85FA5CA6}"/>
            </a:ext>
          </a:extLst>
        </xdr:cNvPr>
        <xdr:cNvPicPr>
          <a:picLocks noChangeAspect="1"/>
        </xdr:cNvPicPr>
      </xdr:nvPicPr>
      <xdr:blipFill>
        <a:blip xmlns:r="http://schemas.openxmlformats.org/officeDocument/2006/relationships" r:embed="rId116"/>
        <a:stretch>
          <a:fillRect/>
        </a:stretch>
      </xdr:blipFill>
      <xdr:spPr>
        <a:xfrm>
          <a:off x="4191000" y="2476500"/>
          <a:ext cx="180000" cy="180000"/>
        </a:xfrm>
        <a:prstGeom prst="rect">
          <a:avLst/>
        </a:prstGeom>
      </xdr:spPr>
    </xdr:pic>
    <xdr:clientData/>
  </xdr:twoCellAnchor>
  <xdr:twoCellAnchor editAs="oneCell">
    <xdr:from>
      <xdr:col>27</xdr:col>
      <xdr:colOff>0</xdr:colOff>
      <xdr:row>5</xdr:row>
      <xdr:rowOff>0</xdr:rowOff>
    </xdr:from>
    <xdr:to>
      <xdr:col>27</xdr:col>
      <xdr:colOff>180000</xdr:colOff>
      <xdr:row>5</xdr:row>
      <xdr:rowOff>180000</xdr:rowOff>
    </xdr:to>
    <xdr:pic>
      <xdr:nvPicPr>
        <xdr:cNvPr id="119" name="Picture 120">
          <a:extLst>
            <a:ext uri="{FF2B5EF4-FFF2-40B4-BE49-F238E27FC236}">
              <a16:creationId xmlns:a16="http://schemas.microsoft.com/office/drawing/2014/main" id="{F1709A79-19C0-4AB2-AA74-399679B0B0C2}"/>
            </a:ext>
          </a:extLst>
        </xdr:cNvPr>
        <xdr:cNvPicPr>
          <a:picLocks noChangeAspect="1"/>
        </xdr:cNvPicPr>
      </xdr:nvPicPr>
      <xdr:blipFill>
        <a:blip xmlns:r="http://schemas.openxmlformats.org/officeDocument/2006/relationships" r:embed="rId117"/>
        <a:stretch>
          <a:fillRect/>
        </a:stretch>
      </xdr:blipFill>
      <xdr:spPr>
        <a:xfrm>
          <a:off x="5143500" y="952500"/>
          <a:ext cx="180000" cy="180000"/>
        </a:xfrm>
        <a:prstGeom prst="rect">
          <a:avLst/>
        </a:prstGeom>
      </xdr:spPr>
    </xdr:pic>
    <xdr:clientData/>
  </xdr:twoCellAnchor>
  <xdr:twoCellAnchor editAs="oneCell">
    <xdr:from>
      <xdr:col>23</xdr:col>
      <xdr:colOff>0</xdr:colOff>
      <xdr:row>13</xdr:row>
      <xdr:rowOff>0</xdr:rowOff>
    </xdr:from>
    <xdr:to>
      <xdr:col>23</xdr:col>
      <xdr:colOff>180000</xdr:colOff>
      <xdr:row>13</xdr:row>
      <xdr:rowOff>180000</xdr:rowOff>
    </xdr:to>
    <xdr:pic>
      <xdr:nvPicPr>
        <xdr:cNvPr id="120" name="Picture 121">
          <a:extLst>
            <a:ext uri="{FF2B5EF4-FFF2-40B4-BE49-F238E27FC236}">
              <a16:creationId xmlns:a16="http://schemas.microsoft.com/office/drawing/2014/main" id="{F034C28B-D5BD-4580-B37E-3E6F7AD4BE1A}"/>
            </a:ext>
          </a:extLst>
        </xdr:cNvPr>
        <xdr:cNvPicPr>
          <a:picLocks noChangeAspect="1"/>
        </xdr:cNvPicPr>
      </xdr:nvPicPr>
      <xdr:blipFill>
        <a:blip xmlns:r="http://schemas.openxmlformats.org/officeDocument/2006/relationships" r:embed="rId118"/>
        <a:stretch>
          <a:fillRect/>
        </a:stretch>
      </xdr:blipFill>
      <xdr:spPr>
        <a:xfrm>
          <a:off x="4381500" y="2476500"/>
          <a:ext cx="180000" cy="180000"/>
        </a:xfrm>
        <a:prstGeom prst="rect">
          <a:avLst/>
        </a:prstGeom>
      </xdr:spPr>
    </xdr:pic>
    <xdr:clientData/>
  </xdr:twoCellAnchor>
  <xdr:twoCellAnchor editAs="oneCell">
    <xdr:from>
      <xdr:col>24</xdr:col>
      <xdr:colOff>0</xdr:colOff>
      <xdr:row>13</xdr:row>
      <xdr:rowOff>0</xdr:rowOff>
    </xdr:from>
    <xdr:to>
      <xdr:col>24</xdr:col>
      <xdr:colOff>180000</xdr:colOff>
      <xdr:row>13</xdr:row>
      <xdr:rowOff>180000</xdr:rowOff>
    </xdr:to>
    <xdr:pic>
      <xdr:nvPicPr>
        <xdr:cNvPr id="121" name="Picture 122">
          <a:extLst>
            <a:ext uri="{FF2B5EF4-FFF2-40B4-BE49-F238E27FC236}">
              <a16:creationId xmlns:a16="http://schemas.microsoft.com/office/drawing/2014/main" id="{528B8441-6465-4F6E-9EC6-B5A08793CAE6}"/>
            </a:ext>
          </a:extLst>
        </xdr:cNvPr>
        <xdr:cNvPicPr>
          <a:picLocks noChangeAspect="1"/>
        </xdr:cNvPicPr>
      </xdr:nvPicPr>
      <xdr:blipFill>
        <a:blip xmlns:r="http://schemas.openxmlformats.org/officeDocument/2006/relationships" r:embed="rId119"/>
        <a:stretch>
          <a:fillRect/>
        </a:stretch>
      </xdr:blipFill>
      <xdr:spPr>
        <a:xfrm>
          <a:off x="4572000" y="2476500"/>
          <a:ext cx="180000" cy="180000"/>
        </a:xfrm>
        <a:prstGeom prst="rect">
          <a:avLst/>
        </a:prstGeom>
      </xdr:spPr>
    </xdr:pic>
    <xdr:clientData/>
  </xdr:twoCellAnchor>
  <xdr:twoCellAnchor editAs="oneCell">
    <xdr:from>
      <xdr:col>25</xdr:col>
      <xdr:colOff>0</xdr:colOff>
      <xdr:row>13</xdr:row>
      <xdr:rowOff>0</xdr:rowOff>
    </xdr:from>
    <xdr:to>
      <xdr:col>25</xdr:col>
      <xdr:colOff>180000</xdr:colOff>
      <xdr:row>13</xdr:row>
      <xdr:rowOff>180000</xdr:rowOff>
    </xdr:to>
    <xdr:pic>
      <xdr:nvPicPr>
        <xdr:cNvPr id="122" name="Picture 123">
          <a:extLst>
            <a:ext uri="{FF2B5EF4-FFF2-40B4-BE49-F238E27FC236}">
              <a16:creationId xmlns:a16="http://schemas.microsoft.com/office/drawing/2014/main" id="{93E829AC-A096-4CF8-BA91-194431362941}"/>
            </a:ext>
          </a:extLst>
        </xdr:cNvPr>
        <xdr:cNvPicPr>
          <a:picLocks noChangeAspect="1"/>
        </xdr:cNvPicPr>
      </xdr:nvPicPr>
      <xdr:blipFill>
        <a:blip xmlns:r="http://schemas.openxmlformats.org/officeDocument/2006/relationships" r:embed="rId120"/>
        <a:stretch>
          <a:fillRect/>
        </a:stretch>
      </xdr:blipFill>
      <xdr:spPr>
        <a:xfrm>
          <a:off x="4762500" y="2476500"/>
          <a:ext cx="180000" cy="180000"/>
        </a:xfrm>
        <a:prstGeom prst="rect">
          <a:avLst/>
        </a:prstGeom>
      </xdr:spPr>
    </xdr:pic>
    <xdr:clientData/>
  </xdr:twoCellAnchor>
  <xdr:twoCellAnchor editAs="oneCell">
    <xdr:from>
      <xdr:col>26</xdr:col>
      <xdr:colOff>0</xdr:colOff>
      <xdr:row>13</xdr:row>
      <xdr:rowOff>0</xdr:rowOff>
    </xdr:from>
    <xdr:to>
      <xdr:col>26</xdr:col>
      <xdr:colOff>180000</xdr:colOff>
      <xdr:row>13</xdr:row>
      <xdr:rowOff>180000</xdr:rowOff>
    </xdr:to>
    <xdr:pic>
      <xdr:nvPicPr>
        <xdr:cNvPr id="123" name="Picture 124">
          <a:extLst>
            <a:ext uri="{FF2B5EF4-FFF2-40B4-BE49-F238E27FC236}">
              <a16:creationId xmlns:a16="http://schemas.microsoft.com/office/drawing/2014/main" id="{1F509B07-C4EA-47C4-A749-D39A3EA925A8}"/>
            </a:ext>
          </a:extLst>
        </xdr:cNvPr>
        <xdr:cNvPicPr>
          <a:picLocks noChangeAspect="1"/>
        </xdr:cNvPicPr>
      </xdr:nvPicPr>
      <xdr:blipFill>
        <a:blip xmlns:r="http://schemas.openxmlformats.org/officeDocument/2006/relationships" r:embed="rId121"/>
        <a:stretch>
          <a:fillRect/>
        </a:stretch>
      </xdr:blipFill>
      <xdr:spPr>
        <a:xfrm>
          <a:off x="4953000" y="2476500"/>
          <a:ext cx="180000" cy="180000"/>
        </a:xfrm>
        <a:prstGeom prst="rect">
          <a:avLst/>
        </a:prstGeom>
      </xdr:spPr>
    </xdr:pic>
    <xdr:clientData/>
  </xdr:twoCellAnchor>
  <xdr:twoCellAnchor editAs="oneCell">
    <xdr:from>
      <xdr:col>27</xdr:col>
      <xdr:colOff>0</xdr:colOff>
      <xdr:row>13</xdr:row>
      <xdr:rowOff>0</xdr:rowOff>
    </xdr:from>
    <xdr:to>
      <xdr:col>27</xdr:col>
      <xdr:colOff>180000</xdr:colOff>
      <xdr:row>13</xdr:row>
      <xdr:rowOff>180000</xdr:rowOff>
    </xdr:to>
    <xdr:pic>
      <xdr:nvPicPr>
        <xdr:cNvPr id="124" name="Picture 125">
          <a:extLst>
            <a:ext uri="{FF2B5EF4-FFF2-40B4-BE49-F238E27FC236}">
              <a16:creationId xmlns:a16="http://schemas.microsoft.com/office/drawing/2014/main" id="{B31382AD-3741-45E1-BC19-3F463B01AFA6}"/>
            </a:ext>
          </a:extLst>
        </xdr:cNvPr>
        <xdr:cNvPicPr>
          <a:picLocks noChangeAspect="1"/>
        </xdr:cNvPicPr>
      </xdr:nvPicPr>
      <xdr:blipFill>
        <a:blip xmlns:r="http://schemas.openxmlformats.org/officeDocument/2006/relationships" r:embed="rId122"/>
        <a:stretch>
          <a:fillRect/>
        </a:stretch>
      </xdr:blipFill>
      <xdr:spPr>
        <a:xfrm>
          <a:off x="5143500" y="2476500"/>
          <a:ext cx="180000" cy="180000"/>
        </a:xfrm>
        <a:prstGeom prst="rect">
          <a:avLst/>
        </a:prstGeom>
      </xdr:spPr>
    </xdr:pic>
    <xdr:clientData/>
  </xdr:twoCellAnchor>
  <xdr:twoCellAnchor editAs="oneCell">
    <xdr:from>
      <xdr:col>28</xdr:col>
      <xdr:colOff>0</xdr:colOff>
      <xdr:row>13</xdr:row>
      <xdr:rowOff>0</xdr:rowOff>
    </xdr:from>
    <xdr:to>
      <xdr:col>28</xdr:col>
      <xdr:colOff>180000</xdr:colOff>
      <xdr:row>13</xdr:row>
      <xdr:rowOff>180000</xdr:rowOff>
    </xdr:to>
    <xdr:pic>
      <xdr:nvPicPr>
        <xdr:cNvPr id="125" name="Picture 126">
          <a:extLst>
            <a:ext uri="{FF2B5EF4-FFF2-40B4-BE49-F238E27FC236}">
              <a16:creationId xmlns:a16="http://schemas.microsoft.com/office/drawing/2014/main" id="{32518FD4-AB9A-4DE5-B719-1A9F98F49A42}"/>
            </a:ext>
          </a:extLst>
        </xdr:cNvPr>
        <xdr:cNvPicPr>
          <a:picLocks noChangeAspect="1"/>
        </xdr:cNvPicPr>
      </xdr:nvPicPr>
      <xdr:blipFill>
        <a:blip xmlns:r="http://schemas.openxmlformats.org/officeDocument/2006/relationships" r:embed="rId123"/>
        <a:stretch>
          <a:fillRect/>
        </a:stretch>
      </xdr:blipFill>
      <xdr:spPr>
        <a:xfrm>
          <a:off x="5334000" y="2476500"/>
          <a:ext cx="180000" cy="180000"/>
        </a:xfrm>
        <a:prstGeom prst="rect">
          <a:avLst/>
        </a:prstGeom>
      </xdr:spPr>
    </xdr:pic>
    <xdr:clientData/>
  </xdr:twoCellAnchor>
  <xdr:twoCellAnchor editAs="oneCell">
    <xdr:from>
      <xdr:col>18</xdr:col>
      <xdr:colOff>0</xdr:colOff>
      <xdr:row>15</xdr:row>
      <xdr:rowOff>0</xdr:rowOff>
    </xdr:from>
    <xdr:to>
      <xdr:col>18</xdr:col>
      <xdr:colOff>180000</xdr:colOff>
      <xdr:row>15</xdr:row>
      <xdr:rowOff>180000</xdr:rowOff>
    </xdr:to>
    <xdr:pic>
      <xdr:nvPicPr>
        <xdr:cNvPr id="126" name="Picture 127">
          <a:extLst>
            <a:ext uri="{FF2B5EF4-FFF2-40B4-BE49-F238E27FC236}">
              <a16:creationId xmlns:a16="http://schemas.microsoft.com/office/drawing/2014/main" id="{08DD101C-D21B-45B6-A197-87615235DACC}"/>
            </a:ext>
          </a:extLst>
        </xdr:cNvPr>
        <xdr:cNvPicPr>
          <a:picLocks noChangeAspect="1"/>
        </xdr:cNvPicPr>
      </xdr:nvPicPr>
      <xdr:blipFill>
        <a:blip xmlns:r="http://schemas.openxmlformats.org/officeDocument/2006/relationships" r:embed="rId124"/>
        <a:stretch>
          <a:fillRect/>
        </a:stretch>
      </xdr:blipFill>
      <xdr:spPr>
        <a:xfrm>
          <a:off x="3429000" y="2857500"/>
          <a:ext cx="180000" cy="180000"/>
        </a:xfrm>
        <a:prstGeom prst="rect">
          <a:avLst/>
        </a:prstGeom>
      </xdr:spPr>
    </xdr:pic>
    <xdr:clientData/>
  </xdr:twoCellAnchor>
  <xdr:twoCellAnchor editAs="oneCell">
    <xdr:from>
      <xdr:col>19</xdr:col>
      <xdr:colOff>0</xdr:colOff>
      <xdr:row>15</xdr:row>
      <xdr:rowOff>0</xdr:rowOff>
    </xdr:from>
    <xdr:to>
      <xdr:col>19</xdr:col>
      <xdr:colOff>180000</xdr:colOff>
      <xdr:row>15</xdr:row>
      <xdr:rowOff>180000</xdr:rowOff>
    </xdr:to>
    <xdr:pic>
      <xdr:nvPicPr>
        <xdr:cNvPr id="127" name="Picture 128">
          <a:extLst>
            <a:ext uri="{FF2B5EF4-FFF2-40B4-BE49-F238E27FC236}">
              <a16:creationId xmlns:a16="http://schemas.microsoft.com/office/drawing/2014/main" id="{D2F66637-9B69-4902-9BE2-17CBA52F289B}"/>
            </a:ext>
          </a:extLst>
        </xdr:cNvPr>
        <xdr:cNvPicPr>
          <a:picLocks noChangeAspect="1"/>
        </xdr:cNvPicPr>
      </xdr:nvPicPr>
      <xdr:blipFill>
        <a:blip xmlns:r="http://schemas.openxmlformats.org/officeDocument/2006/relationships" r:embed="rId125"/>
        <a:stretch>
          <a:fillRect/>
        </a:stretch>
      </xdr:blipFill>
      <xdr:spPr>
        <a:xfrm>
          <a:off x="3619500" y="2857500"/>
          <a:ext cx="180000" cy="180000"/>
        </a:xfrm>
        <a:prstGeom prst="rect">
          <a:avLst/>
        </a:prstGeom>
      </xdr:spPr>
    </xdr:pic>
    <xdr:clientData/>
  </xdr:twoCellAnchor>
  <xdr:twoCellAnchor editAs="oneCell">
    <xdr:from>
      <xdr:col>20</xdr:col>
      <xdr:colOff>0</xdr:colOff>
      <xdr:row>15</xdr:row>
      <xdr:rowOff>0</xdr:rowOff>
    </xdr:from>
    <xdr:to>
      <xdr:col>20</xdr:col>
      <xdr:colOff>180000</xdr:colOff>
      <xdr:row>15</xdr:row>
      <xdr:rowOff>180000</xdr:rowOff>
    </xdr:to>
    <xdr:pic>
      <xdr:nvPicPr>
        <xdr:cNvPr id="128" name="Picture 129">
          <a:extLst>
            <a:ext uri="{FF2B5EF4-FFF2-40B4-BE49-F238E27FC236}">
              <a16:creationId xmlns:a16="http://schemas.microsoft.com/office/drawing/2014/main" id="{CB7EF200-DD06-453C-9859-BC1AB8C66543}"/>
            </a:ext>
          </a:extLst>
        </xdr:cNvPr>
        <xdr:cNvPicPr>
          <a:picLocks noChangeAspect="1"/>
        </xdr:cNvPicPr>
      </xdr:nvPicPr>
      <xdr:blipFill>
        <a:blip xmlns:r="http://schemas.openxmlformats.org/officeDocument/2006/relationships" r:embed="rId126"/>
        <a:stretch>
          <a:fillRect/>
        </a:stretch>
      </xdr:blipFill>
      <xdr:spPr>
        <a:xfrm>
          <a:off x="3810000" y="2857500"/>
          <a:ext cx="180000" cy="180000"/>
        </a:xfrm>
        <a:prstGeom prst="rect">
          <a:avLst/>
        </a:prstGeom>
      </xdr:spPr>
    </xdr:pic>
    <xdr:clientData/>
  </xdr:twoCellAnchor>
  <xdr:twoCellAnchor editAs="oneCell">
    <xdr:from>
      <xdr:col>21</xdr:col>
      <xdr:colOff>0</xdr:colOff>
      <xdr:row>15</xdr:row>
      <xdr:rowOff>0</xdr:rowOff>
    </xdr:from>
    <xdr:to>
      <xdr:col>21</xdr:col>
      <xdr:colOff>180000</xdr:colOff>
      <xdr:row>15</xdr:row>
      <xdr:rowOff>180000</xdr:rowOff>
    </xdr:to>
    <xdr:pic>
      <xdr:nvPicPr>
        <xdr:cNvPr id="129" name="Picture 130">
          <a:extLst>
            <a:ext uri="{FF2B5EF4-FFF2-40B4-BE49-F238E27FC236}">
              <a16:creationId xmlns:a16="http://schemas.microsoft.com/office/drawing/2014/main" id="{A8D230E4-CD08-47E1-B057-5862CD9DC0C5}"/>
            </a:ext>
          </a:extLst>
        </xdr:cNvPr>
        <xdr:cNvPicPr>
          <a:picLocks noChangeAspect="1"/>
        </xdr:cNvPicPr>
      </xdr:nvPicPr>
      <xdr:blipFill>
        <a:blip xmlns:r="http://schemas.openxmlformats.org/officeDocument/2006/relationships" r:embed="rId127"/>
        <a:stretch>
          <a:fillRect/>
        </a:stretch>
      </xdr:blipFill>
      <xdr:spPr>
        <a:xfrm>
          <a:off x="4000500" y="2857500"/>
          <a:ext cx="180000" cy="180000"/>
        </a:xfrm>
        <a:prstGeom prst="rect">
          <a:avLst/>
        </a:prstGeom>
      </xdr:spPr>
    </xdr:pic>
    <xdr:clientData/>
  </xdr:twoCellAnchor>
  <xdr:twoCellAnchor editAs="oneCell">
    <xdr:from>
      <xdr:col>22</xdr:col>
      <xdr:colOff>0</xdr:colOff>
      <xdr:row>15</xdr:row>
      <xdr:rowOff>0</xdr:rowOff>
    </xdr:from>
    <xdr:to>
      <xdr:col>22</xdr:col>
      <xdr:colOff>180000</xdr:colOff>
      <xdr:row>15</xdr:row>
      <xdr:rowOff>180000</xdr:rowOff>
    </xdr:to>
    <xdr:pic>
      <xdr:nvPicPr>
        <xdr:cNvPr id="130" name="Picture 131">
          <a:extLst>
            <a:ext uri="{FF2B5EF4-FFF2-40B4-BE49-F238E27FC236}">
              <a16:creationId xmlns:a16="http://schemas.microsoft.com/office/drawing/2014/main" id="{FEE81C35-3FF0-45C1-BC3F-2EAB3DA773F4}"/>
            </a:ext>
          </a:extLst>
        </xdr:cNvPr>
        <xdr:cNvPicPr>
          <a:picLocks noChangeAspect="1"/>
        </xdr:cNvPicPr>
      </xdr:nvPicPr>
      <xdr:blipFill>
        <a:blip xmlns:r="http://schemas.openxmlformats.org/officeDocument/2006/relationships" r:embed="rId128"/>
        <a:stretch>
          <a:fillRect/>
        </a:stretch>
      </xdr:blipFill>
      <xdr:spPr>
        <a:xfrm>
          <a:off x="4191000" y="2857500"/>
          <a:ext cx="180000" cy="180000"/>
        </a:xfrm>
        <a:prstGeom prst="rect">
          <a:avLst/>
        </a:prstGeom>
      </xdr:spPr>
    </xdr:pic>
    <xdr:clientData/>
  </xdr:twoCellAnchor>
  <xdr:twoCellAnchor editAs="oneCell">
    <xdr:from>
      <xdr:col>23</xdr:col>
      <xdr:colOff>0</xdr:colOff>
      <xdr:row>15</xdr:row>
      <xdr:rowOff>0</xdr:rowOff>
    </xdr:from>
    <xdr:to>
      <xdr:col>23</xdr:col>
      <xdr:colOff>180000</xdr:colOff>
      <xdr:row>15</xdr:row>
      <xdr:rowOff>180000</xdr:rowOff>
    </xdr:to>
    <xdr:pic>
      <xdr:nvPicPr>
        <xdr:cNvPr id="131" name="Picture 132">
          <a:extLst>
            <a:ext uri="{FF2B5EF4-FFF2-40B4-BE49-F238E27FC236}">
              <a16:creationId xmlns:a16="http://schemas.microsoft.com/office/drawing/2014/main" id="{9BD8EA59-53A5-42D6-9FC8-3D979CD40FB6}"/>
            </a:ext>
          </a:extLst>
        </xdr:cNvPr>
        <xdr:cNvPicPr>
          <a:picLocks noChangeAspect="1"/>
        </xdr:cNvPicPr>
      </xdr:nvPicPr>
      <xdr:blipFill>
        <a:blip xmlns:r="http://schemas.openxmlformats.org/officeDocument/2006/relationships" r:embed="rId129"/>
        <a:stretch>
          <a:fillRect/>
        </a:stretch>
      </xdr:blipFill>
      <xdr:spPr>
        <a:xfrm>
          <a:off x="4381500" y="2857500"/>
          <a:ext cx="180000" cy="180000"/>
        </a:xfrm>
        <a:prstGeom prst="rect">
          <a:avLst/>
        </a:prstGeom>
      </xdr:spPr>
    </xdr:pic>
    <xdr:clientData/>
  </xdr:twoCellAnchor>
  <xdr:twoCellAnchor editAs="oneCell">
    <xdr:from>
      <xdr:col>24</xdr:col>
      <xdr:colOff>0</xdr:colOff>
      <xdr:row>15</xdr:row>
      <xdr:rowOff>0</xdr:rowOff>
    </xdr:from>
    <xdr:to>
      <xdr:col>24</xdr:col>
      <xdr:colOff>180000</xdr:colOff>
      <xdr:row>15</xdr:row>
      <xdr:rowOff>180000</xdr:rowOff>
    </xdr:to>
    <xdr:pic>
      <xdr:nvPicPr>
        <xdr:cNvPr id="132" name="Picture 133">
          <a:extLst>
            <a:ext uri="{FF2B5EF4-FFF2-40B4-BE49-F238E27FC236}">
              <a16:creationId xmlns:a16="http://schemas.microsoft.com/office/drawing/2014/main" id="{9E57AB3D-8609-44E7-BB72-0C37BC5E4101}"/>
            </a:ext>
          </a:extLst>
        </xdr:cNvPr>
        <xdr:cNvPicPr>
          <a:picLocks noChangeAspect="1"/>
        </xdr:cNvPicPr>
      </xdr:nvPicPr>
      <xdr:blipFill>
        <a:blip xmlns:r="http://schemas.openxmlformats.org/officeDocument/2006/relationships" r:embed="rId130"/>
        <a:stretch>
          <a:fillRect/>
        </a:stretch>
      </xdr:blipFill>
      <xdr:spPr>
        <a:xfrm>
          <a:off x="4572000" y="2857500"/>
          <a:ext cx="180000" cy="180000"/>
        </a:xfrm>
        <a:prstGeom prst="rect">
          <a:avLst/>
        </a:prstGeom>
      </xdr:spPr>
    </xdr:pic>
    <xdr:clientData/>
  </xdr:twoCellAnchor>
  <xdr:twoCellAnchor editAs="oneCell">
    <xdr:from>
      <xdr:col>25</xdr:col>
      <xdr:colOff>0</xdr:colOff>
      <xdr:row>15</xdr:row>
      <xdr:rowOff>0</xdr:rowOff>
    </xdr:from>
    <xdr:to>
      <xdr:col>25</xdr:col>
      <xdr:colOff>180000</xdr:colOff>
      <xdr:row>15</xdr:row>
      <xdr:rowOff>180000</xdr:rowOff>
    </xdr:to>
    <xdr:pic>
      <xdr:nvPicPr>
        <xdr:cNvPr id="133" name="Picture 134">
          <a:extLst>
            <a:ext uri="{FF2B5EF4-FFF2-40B4-BE49-F238E27FC236}">
              <a16:creationId xmlns:a16="http://schemas.microsoft.com/office/drawing/2014/main" id="{81921C80-DADE-40C6-863E-9B31061FAFAA}"/>
            </a:ext>
          </a:extLst>
        </xdr:cNvPr>
        <xdr:cNvPicPr>
          <a:picLocks noChangeAspect="1"/>
        </xdr:cNvPicPr>
      </xdr:nvPicPr>
      <xdr:blipFill>
        <a:blip xmlns:r="http://schemas.openxmlformats.org/officeDocument/2006/relationships" r:embed="rId131"/>
        <a:stretch>
          <a:fillRect/>
        </a:stretch>
      </xdr:blipFill>
      <xdr:spPr>
        <a:xfrm>
          <a:off x="4762500" y="2857500"/>
          <a:ext cx="180000" cy="180000"/>
        </a:xfrm>
        <a:prstGeom prst="rect">
          <a:avLst/>
        </a:prstGeom>
      </xdr:spPr>
    </xdr:pic>
    <xdr:clientData/>
  </xdr:twoCellAnchor>
  <xdr:twoCellAnchor editAs="oneCell">
    <xdr:from>
      <xdr:col>26</xdr:col>
      <xdr:colOff>0</xdr:colOff>
      <xdr:row>15</xdr:row>
      <xdr:rowOff>0</xdr:rowOff>
    </xdr:from>
    <xdr:to>
      <xdr:col>26</xdr:col>
      <xdr:colOff>180000</xdr:colOff>
      <xdr:row>15</xdr:row>
      <xdr:rowOff>180000</xdr:rowOff>
    </xdr:to>
    <xdr:pic>
      <xdr:nvPicPr>
        <xdr:cNvPr id="134" name="Picture 135">
          <a:extLst>
            <a:ext uri="{FF2B5EF4-FFF2-40B4-BE49-F238E27FC236}">
              <a16:creationId xmlns:a16="http://schemas.microsoft.com/office/drawing/2014/main" id="{448C6D2E-BDAE-4328-AFF2-D2EA9204BE18}"/>
            </a:ext>
          </a:extLst>
        </xdr:cNvPr>
        <xdr:cNvPicPr>
          <a:picLocks noChangeAspect="1"/>
        </xdr:cNvPicPr>
      </xdr:nvPicPr>
      <xdr:blipFill>
        <a:blip xmlns:r="http://schemas.openxmlformats.org/officeDocument/2006/relationships" r:embed="rId132"/>
        <a:stretch>
          <a:fillRect/>
        </a:stretch>
      </xdr:blipFill>
      <xdr:spPr>
        <a:xfrm>
          <a:off x="4953000" y="2857500"/>
          <a:ext cx="180000" cy="180000"/>
        </a:xfrm>
        <a:prstGeom prst="rect">
          <a:avLst/>
        </a:prstGeom>
      </xdr:spPr>
    </xdr:pic>
    <xdr:clientData/>
  </xdr:twoCellAnchor>
  <xdr:twoCellAnchor editAs="oneCell">
    <xdr:from>
      <xdr:col>27</xdr:col>
      <xdr:colOff>0</xdr:colOff>
      <xdr:row>15</xdr:row>
      <xdr:rowOff>0</xdr:rowOff>
    </xdr:from>
    <xdr:to>
      <xdr:col>27</xdr:col>
      <xdr:colOff>180000</xdr:colOff>
      <xdr:row>15</xdr:row>
      <xdr:rowOff>180000</xdr:rowOff>
    </xdr:to>
    <xdr:pic>
      <xdr:nvPicPr>
        <xdr:cNvPr id="135" name="Picture 136">
          <a:extLst>
            <a:ext uri="{FF2B5EF4-FFF2-40B4-BE49-F238E27FC236}">
              <a16:creationId xmlns:a16="http://schemas.microsoft.com/office/drawing/2014/main" id="{3E5D05E5-72F8-4587-A2A2-5E994F2A62E9}"/>
            </a:ext>
          </a:extLst>
        </xdr:cNvPr>
        <xdr:cNvPicPr>
          <a:picLocks noChangeAspect="1"/>
        </xdr:cNvPicPr>
      </xdr:nvPicPr>
      <xdr:blipFill>
        <a:blip xmlns:r="http://schemas.openxmlformats.org/officeDocument/2006/relationships" r:embed="rId133"/>
        <a:stretch>
          <a:fillRect/>
        </a:stretch>
      </xdr:blipFill>
      <xdr:spPr>
        <a:xfrm>
          <a:off x="5143500" y="2857500"/>
          <a:ext cx="180000" cy="180000"/>
        </a:xfrm>
        <a:prstGeom prst="rect">
          <a:avLst/>
        </a:prstGeom>
      </xdr:spPr>
    </xdr:pic>
    <xdr:clientData/>
  </xdr:twoCellAnchor>
  <xdr:twoCellAnchor editAs="oneCell">
    <xdr:from>
      <xdr:col>28</xdr:col>
      <xdr:colOff>0</xdr:colOff>
      <xdr:row>7</xdr:row>
      <xdr:rowOff>0</xdr:rowOff>
    </xdr:from>
    <xdr:to>
      <xdr:col>28</xdr:col>
      <xdr:colOff>180000</xdr:colOff>
      <xdr:row>7</xdr:row>
      <xdr:rowOff>180000</xdr:rowOff>
    </xdr:to>
    <xdr:pic>
      <xdr:nvPicPr>
        <xdr:cNvPr id="136" name="Picture 138">
          <a:extLst>
            <a:ext uri="{FF2B5EF4-FFF2-40B4-BE49-F238E27FC236}">
              <a16:creationId xmlns:a16="http://schemas.microsoft.com/office/drawing/2014/main" id="{BC15C7F3-4F89-4557-9DDF-62C5EF2F0316}"/>
            </a:ext>
          </a:extLst>
        </xdr:cNvPr>
        <xdr:cNvPicPr>
          <a:picLocks noChangeAspect="1"/>
        </xdr:cNvPicPr>
      </xdr:nvPicPr>
      <xdr:blipFill>
        <a:blip xmlns:r="http://schemas.openxmlformats.org/officeDocument/2006/relationships" r:embed="rId134"/>
        <a:stretch>
          <a:fillRect/>
        </a:stretch>
      </xdr:blipFill>
      <xdr:spPr>
        <a:xfrm>
          <a:off x="5334000" y="1333500"/>
          <a:ext cx="180000" cy="180000"/>
        </a:xfrm>
        <a:prstGeom prst="rect">
          <a:avLst/>
        </a:prstGeom>
      </xdr:spPr>
    </xdr:pic>
    <xdr:clientData/>
  </xdr:twoCellAnchor>
  <xdr:twoCellAnchor editAs="oneCell">
    <xdr:from>
      <xdr:col>18</xdr:col>
      <xdr:colOff>0</xdr:colOff>
      <xdr:row>17</xdr:row>
      <xdr:rowOff>0</xdr:rowOff>
    </xdr:from>
    <xdr:to>
      <xdr:col>18</xdr:col>
      <xdr:colOff>180000</xdr:colOff>
      <xdr:row>17</xdr:row>
      <xdr:rowOff>180000</xdr:rowOff>
    </xdr:to>
    <xdr:pic>
      <xdr:nvPicPr>
        <xdr:cNvPr id="137" name="Picture 139">
          <a:extLst>
            <a:ext uri="{FF2B5EF4-FFF2-40B4-BE49-F238E27FC236}">
              <a16:creationId xmlns:a16="http://schemas.microsoft.com/office/drawing/2014/main" id="{A5F991F9-8495-4DB9-9853-76FD3A2B6CF0}"/>
            </a:ext>
          </a:extLst>
        </xdr:cNvPr>
        <xdr:cNvPicPr>
          <a:picLocks noChangeAspect="1"/>
        </xdr:cNvPicPr>
      </xdr:nvPicPr>
      <xdr:blipFill>
        <a:blip xmlns:r="http://schemas.openxmlformats.org/officeDocument/2006/relationships" r:embed="rId135"/>
        <a:stretch>
          <a:fillRect/>
        </a:stretch>
      </xdr:blipFill>
      <xdr:spPr>
        <a:xfrm>
          <a:off x="3429000" y="3238500"/>
          <a:ext cx="180000" cy="180000"/>
        </a:xfrm>
        <a:prstGeom prst="rect">
          <a:avLst/>
        </a:prstGeom>
      </xdr:spPr>
    </xdr:pic>
    <xdr:clientData/>
  </xdr:twoCellAnchor>
  <xdr:twoCellAnchor editAs="oneCell">
    <xdr:from>
      <xdr:col>19</xdr:col>
      <xdr:colOff>0</xdr:colOff>
      <xdr:row>17</xdr:row>
      <xdr:rowOff>0</xdr:rowOff>
    </xdr:from>
    <xdr:to>
      <xdr:col>19</xdr:col>
      <xdr:colOff>180000</xdr:colOff>
      <xdr:row>17</xdr:row>
      <xdr:rowOff>180000</xdr:rowOff>
    </xdr:to>
    <xdr:pic>
      <xdr:nvPicPr>
        <xdr:cNvPr id="138" name="Picture 140">
          <a:extLst>
            <a:ext uri="{FF2B5EF4-FFF2-40B4-BE49-F238E27FC236}">
              <a16:creationId xmlns:a16="http://schemas.microsoft.com/office/drawing/2014/main" id="{0D8EB4C0-9358-4782-BE4A-E72AF8A65FA3}"/>
            </a:ext>
          </a:extLst>
        </xdr:cNvPr>
        <xdr:cNvPicPr>
          <a:picLocks noChangeAspect="1"/>
        </xdr:cNvPicPr>
      </xdr:nvPicPr>
      <xdr:blipFill>
        <a:blip xmlns:r="http://schemas.openxmlformats.org/officeDocument/2006/relationships" r:embed="rId136"/>
        <a:stretch>
          <a:fillRect/>
        </a:stretch>
      </xdr:blipFill>
      <xdr:spPr>
        <a:xfrm>
          <a:off x="3619500" y="3238500"/>
          <a:ext cx="180000" cy="180000"/>
        </a:xfrm>
        <a:prstGeom prst="rect">
          <a:avLst/>
        </a:prstGeom>
      </xdr:spPr>
    </xdr:pic>
    <xdr:clientData/>
  </xdr:twoCellAnchor>
  <xdr:twoCellAnchor editAs="oneCell">
    <xdr:from>
      <xdr:col>20</xdr:col>
      <xdr:colOff>0</xdr:colOff>
      <xdr:row>17</xdr:row>
      <xdr:rowOff>0</xdr:rowOff>
    </xdr:from>
    <xdr:to>
      <xdr:col>20</xdr:col>
      <xdr:colOff>180000</xdr:colOff>
      <xdr:row>17</xdr:row>
      <xdr:rowOff>180000</xdr:rowOff>
    </xdr:to>
    <xdr:pic>
      <xdr:nvPicPr>
        <xdr:cNvPr id="139" name="Picture 141">
          <a:extLst>
            <a:ext uri="{FF2B5EF4-FFF2-40B4-BE49-F238E27FC236}">
              <a16:creationId xmlns:a16="http://schemas.microsoft.com/office/drawing/2014/main" id="{47BED3BC-153E-4A29-B7B2-541AF4CAE950}"/>
            </a:ext>
          </a:extLst>
        </xdr:cNvPr>
        <xdr:cNvPicPr>
          <a:picLocks noChangeAspect="1"/>
        </xdr:cNvPicPr>
      </xdr:nvPicPr>
      <xdr:blipFill>
        <a:blip xmlns:r="http://schemas.openxmlformats.org/officeDocument/2006/relationships" r:embed="rId137"/>
        <a:stretch>
          <a:fillRect/>
        </a:stretch>
      </xdr:blipFill>
      <xdr:spPr>
        <a:xfrm>
          <a:off x="3810000" y="3238500"/>
          <a:ext cx="180000" cy="180000"/>
        </a:xfrm>
        <a:prstGeom prst="rect">
          <a:avLst/>
        </a:prstGeom>
      </xdr:spPr>
    </xdr:pic>
    <xdr:clientData/>
  </xdr:twoCellAnchor>
  <xdr:twoCellAnchor editAs="oneCell">
    <xdr:from>
      <xdr:col>21</xdr:col>
      <xdr:colOff>0</xdr:colOff>
      <xdr:row>17</xdr:row>
      <xdr:rowOff>0</xdr:rowOff>
    </xdr:from>
    <xdr:to>
      <xdr:col>21</xdr:col>
      <xdr:colOff>180000</xdr:colOff>
      <xdr:row>17</xdr:row>
      <xdr:rowOff>180000</xdr:rowOff>
    </xdr:to>
    <xdr:pic>
      <xdr:nvPicPr>
        <xdr:cNvPr id="140" name="Picture 142">
          <a:extLst>
            <a:ext uri="{FF2B5EF4-FFF2-40B4-BE49-F238E27FC236}">
              <a16:creationId xmlns:a16="http://schemas.microsoft.com/office/drawing/2014/main" id="{CC4297B3-B330-4DC3-8539-E14A7810195D}"/>
            </a:ext>
          </a:extLst>
        </xdr:cNvPr>
        <xdr:cNvPicPr>
          <a:picLocks noChangeAspect="1"/>
        </xdr:cNvPicPr>
      </xdr:nvPicPr>
      <xdr:blipFill>
        <a:blip xmlns:r="http://schemas.openxmlformats.org/officeDocument/2006/relationships" r:embed="rId138"/>
        <a:stretch>
          <a:fillRect/>
        </a:stretch>
      </xdr:blipFill>
      <xdr:spPr>
        <a:xfrm>
          <a:off x="4000500" y="3238500"/>
          <a:ext cx="180000" cy="180000"/>
        </a:xfrm>
        <a:prstGeom prst="rect">
          <a:avLst/>
        </a:prstGeom>
      </xdr:spPr>
    </xdr:pic>
    <xdr:clientData/>
  </xdr:twoCellAnchor>
  <xdr:twoCellAnchor editAs="oneCell">
    <xdr:from>
      <xdr:col>22</xdr:col>
      <xdr:colOff>0</xdr:colOff>
      <xdr:row>17</xdr:row>
      <xdr:rowOff>0</xdr:rowOff>
    </xdr:from>
    <xdr:to>
      <xdr:col>22</xdr:col>
      <xdr:colOff>180000</xdr:colOff>
      <xdr:row>17</xdr:row>
      <xdr:rowOff>180000</xdr:rowOff>
    </xdr:to>
    <xdr:pic>
      <xdr:nvPicPr>
        <xdr:cNvPr id="141" name="Picture 143">
          <a:extLst>
            <a:ext uri="{FF2B5EF4-FFF2-40B4-BE49-F238E27FC236}">
              <a16:creationId xmlns:a16="http://schemas.microsoft.com/office/drawing/2014/main" id="{C174E4D3-A4FD-4586-96F7-72CE1F5F41DD}"/>
            </a:ext>
          </a:extLst>
        </xdr:cNvPr>
        <xdr:cNvPicPr>
          <a:picLocks noChangeAspect="1"/>
        </xdr:cNvPicPr>
      </xdr:nvPicPr>
      <xdr:blipFill>
        <a:blip xmlns:r="http://schemas.openxmlformats.org/officeDocument/2006/relationships" r:embed="rId139"/>
        <a:stretch>
          <a:fillRect/>
        </a:stretch>
      </xdr:blipFill>
      <xdr:spPr>
        <a:xfrm>
          <a:off x="4191000" y="3238500"/>
          <a:ext cx="180000" cy="180000"/>
        </a:xfrm>
        <a:prstGeom prst="rect">
          <a:avLst/>
        </a:prstGeom>
      </xdr:spPr>
    </xdr:pic>
    <xdr:clientData/>
  </xdr:twoCellAnchor>
  <xdr:twoCellAnchor editAs="oneCell">
    <xdr:from>
      <xdr:col>23</xdr:col>
      <xdr:colOff>0</xdr:colOff>
      <xdr:row>17</xdr:row>
      <xdr:rowOff>0</xdr:rowOff>
    </xdr:from>
    <xdr:to>
      <xdr:col>23</xdr:col>
      <xdr:colOff>180000</xdr:colOff>
      <xdr:row>17</xdr:row>
      <xdr:rowOff>180000</xdr:rowOff>
    </xdr:to>
    <xdr:pic>
      <xdr:nvPicPr>
        <xdr:cNvPr id="142" name="Picture 144">
          <a:extLst>
            <a:ext uri="{FF2B5EF4-FFF2-40B4-BE49-F238E27FC236}">
              <a16:creationId xmlns:a16="http://schemas.microsoft.com/office/drawing/2014/main" id="{E9CB71F6-12BF-4CE8-A12B-915566EC1EB1}"/>
            </a:ext>
          </a:extLst>
        </xdr:cNvPr>
        <xdr:cNvPicPr>
          <a:picLocks noChangeAspect="1"/>
        </xdr:cNvPicPr>
      </xdr:nvPicPr>
      <xdr:blipFill>
        <a:blip xmlns:r="http://schemas.openxmlformats.org/officeDocument/2006/relationships" r:embed="rId140"/>
        <a:stretch>
          <a:fillRect/>
        </a:stretch>
      </xdr:blipFill>
      <xdr:spPr>
        <a:xfrm>
          <a:off x="4381500" y="3238500"/>
          <a:ext cx="180000" cy="180000"/>
        </a:xfrm>
        <a:prstGeom prst="rect">
          <a:avLst/>
        </a:prstGeom>
      </xdr:spPr>
    </xdr:pic>
    <xdr:clientData/>
  </xdr:twoCellAnchor>
  <xdr:twoCellAnchor editAs="oneCell">
    <xdr:from>
      <xdr:col>24</xdr:col>
      <xdr:colOff>0</xdr:colOff>
      <xdr:row>17</xdr:row>
      <xdr:rowOff>0</xdr:rowOff>
    </xdr:from>
    <xdr:to>
      <xdr:col>24</xdr:col>
      <xdr:colOff>180000</xdr:colOff>
      <xdr:row>17</xdr:row>
      <xdr:rowOff>180000</xdr:rowOff>
    </xdr:to>
    <xdr:pic>
      <xdr:nvPicPr>
        <xdr:cNvPr id="143" name="Picture 145">
          <a:extLst>
            <a:ext uri="{FF2B5EF4-FFF2-40B4-BE49-F238E27FC236}">
              <a16:creationId xmlns:a16="http://schemas.microsoft.com/office/drawing/2014/main" id="{A6C1FB4B-ABD0-40B1-A964-3C821C89E2DC}"/>
            </a:ext>
          </a:extLst>
        </xdr:cNvPr>
        <xdr:cNvPicPr>
          <a:picLocks noChangeAspect="1"/>
        </xdr:cNvPicPr>
      </xdr:nvPicPr>
      <xdr:blipFill>
        <a:blip xmlns:r="http://schemas.openxmlformats.org/officeDocument/2006/relationships" r:embed="rId141"/>
        <a:stretch>
          <a:fillRect/>
        </a:stretch>
      </xdr:blipFill>
      <xdr:spPr>
        <a:xfrm>
          <a:off x="4572000" y="3238500"/>
          <a:ext cx="180000" cy="180000"/>
        </a:xfrm>
        <a:prstGeom prst="rect">
          <a:avLst/>
        </a:prstGeom>
      </xdr:spPr>
    </xdr:pic>
    <xdr:clientData/>
  </xdr:twoCellAnchor>
  <xdr:twoCellAnchor editAs="oneCell">
    <xdr:from>
      <xdr:col>28</xdr:col>
      <xdr:colOff>0</xdr:colOff>
      <xdr:row>15</xdr:row>
      <xdr:rowOff>0</xdr:rowOff>
    </xdr:from>
    <xdr:to>
      <xdr:col>28</xdr:col>
      <xdr:colOff>180000</xdr:colOff>
      <xdr:row>15</xdr:row>
      <xdr:rowOff>180000</xdr:rowOff>
    </xdr:to>
    <xdr:pic>
      <xdr:nvPicPr>
        <xdr:cNvPr id="144" name="Picture 146">
          <a:extLst>
            <a:ext uri="{FF2B5EF4-FFF2-40B4-BE49-F238E27FC236}">
              <a16:creationId xmlns:a16="http://schemas.microsoft.com/office/drawing/2014/main" id="{24B81E28-C3D2-4B6F-A6B2-335155BB537C}"/>
            </a:ext>
          </a:extLst>
        </xdr:cNvPr>
        <xdr:cNvPicPr>
          <a:picLocks noChangeAspect="1"/>
        </xdr:cNvPicPr>
      </xdr:nvPicPr>
      <xdr:blipFill>
        <a:blip xmlns:r="http://schemas.openxmlformats.org/officeDocument/2006/relationships" r:embed="rId142"/>
        <a:stretch>
          <a:fillRect/>
        </a:stretch>
      </xdr:blipFill>
      <xdr:spPr>
        <a:xfrm>
          <a:off x="5334000" y="2857500"/>
          <a:ext cx="180000" cy="180000"/>
        </a:xfrm>
        <a:prstGeom prst="rect">
          <a:avLst/>
        </a:prstGeom>
      </xdr:spPr>
    </xdr:pic>
    <xdr:clientData/>
  </xdr:twoCellAnchor>
  <xdr:twoCellAnchor editAs="oneCell">
    <xdr:from>
      <xdr:col>25</xdr:col>
      <xdr:colOff>0</xdr:colOff>
      <xdr:row>17</xdr:row>
      <xdr:rowOff>0</xdr:rowOff>
    </xdr:from>
    <xdr:to>
      <xdr:col>25</xdr:col>
      <xdr:colOff>180000</xdr:colOff>
      <xdr:row>17</xdr:row>
      <xdr:rowOff>180000</xdr:rowOff>
    </xdr:to>
    <xdr:pic>
      <xdr:nvPicPr>
        <xdr:cNvPr id="145" name="Picture 147">
          <a:extLst>
            <a:ext uri="{FF2B5EF4-FFF2-40B4-BE49-F238E27FC236}">
              <a16:creationId xmlns:a16="http://schemas.microsoft.com/office/drawing/2014/main" id="{27A90B5D-7EB8-43F6-B051-6437AD3E2FFB}"/>
            </a:ext>
          </a:extLst>
        </xdr:cNvPr>
        <xdr:cNvPicPr>
          <a:picLocks noChangeAspect="1"/>
        </xdr:cNvPicPr>
      </xdr:nvPicPr>
      <xdr:blipFill>
        <a:blip xmlns:r="http://schemas.openxmlformats.org/officeDocument/2006/relationships" r:embed="rId143"/>
        <a:stretch>
          <a:fillRect/>
        </a:stretch>
      </xdr:blipFill>
      <xdr:spPr>
        <a:xfrm>
          <a:off x="4762500" y="3238500"/>
          <a:ext cx="180000" cy="180000"/>
        </a:xfrm>
        <a:prstGeom prst="rect">
          <a:avLst/>
        </a:prstGeom>
      </xdr:spPr>
    </xdr:pic>
    <xdr:clientData/>
  </xdr:twoCellAnchor>
  <xdr:twoCellAnchor editAs="oneCell">
    <xdr:from>
      <xdr:col>26</xdr:col>
      <xdr:colOff>0</xdr:colOff>
      <xdr:row>17</xdr:row>
      <xdr:rowOff>0</xdr:rowOff>
    </xdr:from>
    <xdr:to>
      <xdr:col>26</xdr:col>
      <xdr:colOff>180000</xdr:colOff>
      <xdr:row>17</xdr:row>
      <xdr:rowOff>180000</xdr:rowOff>
    </xdr:to>
    <xdr:pic>
      <xdr:nvPicPr>
        <xdr:cNvPr id="146" name="Picture 148">
          <a:extLst>
            <a:ext uri="{FF2B5EF4-FFF2-40B4-BE49-F238E27FC236}">
              <a16:creationId xmlns:a16="http://schemas.microsoft.com/office/drawing/2014/main" id="{09B5775B-3AC8-4982-B49F-0CCD4305B07C}"/>
            </a:ext>
          </a:extLst>
        </xdr:cNvPr>
        <xdr:cNvPicPr>
          <a:picLocks noChangeAspect="1"/>
        </xdr:cNvPicPr>
      </xdr:nvPicPr>
      <xdr:blipFill>
        <a:blip xmlns:r="http://schemas.openxmlformats.org/officeDocument/2006/relationships" r:embed="rId144"/>
        <a:stretch>
          <a:fillRect/>
        </a:stretch>
      </xdr:blipFill>
      <xdr:spPr>
        <a:xfrm>
          <a:off x="4953000" y="3238500"/>
          <a:ext cx="180000" cy="180000"/>
        </a:xfrm>
        <a:prstGeom prst="rect">
          <a:avLst/>
        </a:prstGeom>
      </xdr:spPr>
    </xdr:pic>
    <xdr:clientData/>
  </xdr:twoCellAnchor>
  <xdr:twoCellAnchor>
    <xdr:from>
      <xdr:col>26</xdr:col>
      <xdr:colOff>244928</xdr:colOff>
      <xdr:row>17</xdr:row>
      <xdr:rowOff>0</xdr:rowOff>
    </xdr:from>
    <xdr:to>
      <xdr:col>28</xdr:col>
      <xdr:colOff>180000</xdr:colOff>
      <xdr:row>17</xdr:row>
      <xdr:rowOff>180000</xdr:rowOff>
    </xdr:to>
    <xdr:grpSp>
      <xdr:nvGrpSpPr>
        <xdr:cNvPr id="149" name="Групувати 148">
          <a:extLst>
            <a:ext uri="{FF2B5EF4-FFF2-40B4-BE49-F238E27FC236}">
              <a16:creationId xmlns:a16="http://schemas.microsoft.com/office/drawing/2014/main" id="{7B71C772-D2AB-4D0D-A51E-F991222CD0FA}"/>
            </a:ext>
          </a:extLst>
        </xdr:cNvPr>
        <xdr:cNvGrpSpPr/>
      </xdr:nvGrpSpPr>
      <xdr:grpSpPr>
        <a:xfrm>
          <a:off x="6613071" y="3238500"/>
          <a:ext cx="424929" cy="180000"/>
          <a:chOff x="6613071" y="3238500"/>
          <a:chExt cx="424929" cy="180000"/>
        </a:xfrm>
      </xdr:grpSpPr>
      <xdr:pic>
        <xdr:nvPicPr>
          <xdr:cNvPr id="147" name="Picture 149">
            <a:extLst>
              <a:ext uri="{FF2B5EF4-FFF2-40B4-BE49-F238E27FC236}">
                <a16:creationId xmlns:a16="http://schemas.microsoft.com/office/drawing/2014/main" id="{22BAB33A-5ABC-4B5D-A8DA-C0D1C8290885}"/>
              </a:ext>
            </a:extLst>
          </xdr:cNvPr>
          <xdr:cNvPicPr>
            <a:picLocks noChangeAspect="1"/>
          </xdr:cNvPicPr>
        </xdr:nvPicPr>
        <xdr:blipFill>
          <a:blip xmlns:r="http://schemas.openxmlformats.org/officeDocument/2006/relationships" r:embed="rId145"/>
          <a:stretch>
            <a:fillRect/>
          </a:stretch>
        </xdr:blipFill>
        <xdr:spPr>
          <a:xfrm>
            <a:off x="6613071" y="3238500"/>
            <a:ext cx="180000" cy="180000"/>
          </a:xfrm>
          <a:prstGeom prst="rect">
            <a:avLst/>
          </a:prstGeom>
        </xdr:spPr>
      </xdr:pic>
      <xdr:pic>
        <xdr:nvPicPr>
          <xdr:cNvPr id="148" name="Picture 150">
            <a:extLst>
              <a:ext uri="{FF2B5EF4-FFF2-40B4-BE49-F238E27FC236}">
                <a16:creationId xmlns:a16="http://schemas.microsoft.com/office/drawing/2014/main" id="{B57F3F57-1E86-47AD-978D-68B264F0565B}"/>
              </a:ext>
            </a:extLst>
          </xdr:cNvPr>
          <xdr:cNvPicPr>
            <a:picLocks noChangeAspect="1"/>
          </xdr:cNvPicPr>
        </xdr:nvPicPr>
        <xdr:blipFill>
          <a:blip xmlns:r="http://schemas.openxmlformats.org/officeDocument/2006/relationships" r:embed="rId146"/>
          <a:stretch>
            <a:fillRect/>
          </a:stretch>
        </xdr:blipFill>
        <xdr:spPr>
          <a:xfrm>
            <a:off x="6858000" y="3238500"/>
            <a:ext cx="180000" cy="180000"/>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xdr:from>
      <xdr:col>33</xdr:col>
      <xdr:colOff>0</xdr:colOff>
      <xdr:row>0</xdr:row>
      <xdr:rowOff>0</xdr:rowOff>
    </xdr:from>
    <xdr:to>
      <xdr:col>42</xdr:col>
      <xdr:colOff>152400</xdr:colOff>
      <xdr:row>3</xdr:row>
      <xdr:rowOff>95250</xdr:rowOff>
    </xdr:to>
    <xdr:sp macro="" textlink="">
      <xdr:nvSpPr>
        <xdr:cNvPr id="4" name="TextBox 3">
          <a:extLst>
            <a:ext uri="{FF2B5EF4-FFF2-40B4-BE49-F238E27FC236}">
              <a16:creationId xmlns:a16="http://schemas.microsoft.com/office/drawing/2014/main" id="{8B303DCC-882E-4FEE-AD4C-CD24C5A95433}"/>
            </a:ext>
          </a:extLst>
        </xdr:cNvPr>
        <xdr:cNvSpPr txBox="1"/>
      </xdr:nvSpPr>
      <xdr:spPr>
        <a:xfrm>
          <a:off x="27946350" y="0"/>
          <a:ext cx="632460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This loot generator is the product of many hours of thought, whilst it may not be perfect I encourage its use for the purpose of the campaign "the city". Feel free to use it on any other campaigns that you would see fit. In this first page(sheet3) I will teach you the basics of using this program.</a:t>
          </a:r>
        </a:p>
      </xdr:txBody>
    </xdr:sp>
    <xdr:clientData/>
  </xdr:twoCellAnchor>
  <xdr:twoCellAnchor>
    <xdr:from>
      <xdr:col>33</xdr:col>
      <xdr:colOff>0</xdr:colOff>
      <xdr:row>4</xdr:row>
      <xdr:rowOff>0</xdr:rowOff>
    </xdr:from>
    <xdr:to>
      <xdr:col>40</xdr:col>
      <xdr:colOff>628650</xdr:colOff>
      <xdr:row>70</xdr:row>
      <xdr:rowOff>104777</xdr:rowOff>
    </xdr:to>
    <xdr:sp macro="" textlink="">
      <xdr:nvSpPr>
        <xdr:cNvPr id="5" name="TextBox 4">
          <a:extLst>
            <a:ext uri="{FF2B5EF4-FFF2-40B4-BE49-F238E27FC236}">
              <a16:creationId xmlns:a16="http://schemas.microsoft.com/office/drawing/2014/main" id="{40799263-50CF-4E83-A20C-A5B91DE8A7E7}"/>
            </a:ext>
          </a:extLst>
        </xdr:cNvPr>
        <xdr:cNvSpPr txBox="1"/>
      </xdr:nvSpPr>
      <xdr:spPr>
        <a:xfrm>
          <a:off x="27946350" y="838200"/>
          <a:ext cx="5429250" cy="139350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The loot generator; (sheet1)</a:t>
          </a:r>
        </a:p>
        <a:p>
          <a:r>
            <a:rPr lang="en-AU" sz="1100">
              <a:solidFill>
                <a:schemeClr val="dk1"/>
              </a:solidFill>
              <a:effectLst/>
              <a:latin typeface="+mn-lt"/>
              <a:ea typeface="+mn-ea"/>
              <a:cs typeface="+mn-cs"/>
            </a:rPr>
            <a:t>	As I could not seem to make a refresh button simply hit </a:t>
          </a:r>
          <a:r>
            <a:rPr lang="en-AU" sz="1100" i="1">
              <a:solidFill>
                <a:schemeClr val="dk1"/>
              </a:solidFill>
              <a:effectLst/>
              <a:latin typeface="+mn-lt"/>
              <a:ea typeface="+mn-ea"/>
              <a:cs typeface="+mn-cs"/>
            </a:rPr>
            <a:t>F9</a:t>
          </a:r>
          <a:r>
            <a:rPr lang="en-AU" sz="1100">
              <a:solidFill>
                <a:schemeClr val="dk1"/>
              </a:solidFill>
              <a:effectLst/>
              <a:latin typeface="+mn-lt"/>
              <a:ea typeface="+mn-ea"/>
              <a:cs typeface="+mn-cs"/>
            </a:rPr>
            <a:t>. This will refresh the page and the numbers accordingly.</a:t>
          </a:r>
        </a:p>
        <a:p>
          <a:r>
            <a:rPr lang="en-AU" sz="1100">
              <a:solidFill>
                <a:schemeClr val="dk1"/>
              </a:solidFill>
              <a:effectLst/>
              <a:latin typeface="+mn-lt"/>
              <a:ea typeface="+mn-ea"/>
              <a:cs typeface="+mn-cs"/>
            </a:rPr>
            <a:t>The prompts for the looting are incorporated within the tables, however some discretion will need to be used when ascertaining whether or not the item will be useful and how so, for example;</a:t>
          </a:r>
        </a:p>
        <a:p>
          <a:r>
            <a:rPr lang="en-AU" sz="1100">
              <a:solidFill>
                <a:schemeClr val="dk1"/>
              </a:solidFill>
              <a:effectLst/>
              <a:latin typeface="+mn-lt"/>
              <a:ea typeface="+mn-ea"/>
              <a:cs typeface="+mn-cs"/>
            </a:rPr>
            <a:t>	Player rolls on the poor table, the results are;</a:t>
          </a:r>
        </a:p>
        <a:p>
          <a:r>
            <a:rPr lang="en-AU" sz="1100">
              <a:solidFill>
                <a:schemeClr val="dk1"/>
              </a:solidFill>
              <a:effectLst/>
              <a:latin typeface="+mn-lt"/>
              <a:ea typeface="+mn-ea"/>
              <a:cs typeface="+mn-cs"/>
            </a:rPr>
            <a:t>	Gold }  5 </a:t>
          </a:r>
        </a:p>
        <a:p>
          <a:r>
            <a:rPr lang="en-AU" sz="1100">
              <a:solidFill>
                <a:schemeClr val="dk1"/>
              </a:solidFill>
              <a:effectLst/>
              <a:latin typeface="+mn-lt"/>
              <a:ea typeface="+mn-ea"/>
              <a:cs typeface="+mn-cs"/>
            </a:rPr>
            <a:t>	Magic loot } trade tools Of illusion </a:t>
          </a:r>
        </a:p>
        <a:p>
          <a:r>
            <a:rPr lang="en-AU" sz="1100">
              <a:solidFill>
                <a:schemeClr val="dk1"/>
              </a:solidFill>
              <a:effectLst/>
              <a:latin typeface="+mn-lt"/>
              <a:ea typeface="+mn-ea"/>
              <a:cs typeface="+mn-cs"/>
            </a:rPr>
            <a:t>	Item quality} 47 </a:t>
          </a:r>
        </a:p>
        <a:p>
          <a:r>
            <a:rPr lang="en-AU" sz="1100">
              <a:solidFill>
                <a:schemeClr val="dk1"/>
              </a:solidFill>
              <a:effectLst/>
              <a:latin typeface="+mn-lt"/>
              <a:ea typeface="+mn-ea"/>
              <a:cs typeface="+mn-cs"/>
            </a:rPr>
            <a:t>Now because these tools of illusion are between 31-70 they are good items, no negative effects. with this, as the DM, you could say;</a:t>
          </a:r>
        </a:p>
        <a:p>
          <a:r>
            <a:rPr lang="en-AU" sz="1100">
              <a:solidFill>
                <a:schemeClr val="dk1"/>
              </a:solidFill>
              <a:effectLst/>
              <a:latin typeface="+mn-lt"/>
              <a:ea typeface="+mn-ea"/>
              <a:cs typeface="+mn-cs"/>
            </a:rPr>
            <a:t>"these trade tools (we will make them thieves tools) give off an illusion while using them that makes it harder for you to be seen. They create the illusion that you are simply standing by the door, not doing anything that would cause suspicion."</a:t>
          </a:r>
        </a:p>
        <a:p>
          <a:r>
            <a:rPr lang="en-AU" sz="1100">
              <a:solidFill>
                <a:schemeClr val="dk1"/>
              </a:solidFill>
              <a:effectLst/>
              <a:latin typeface="+mn-lt"/>
              <a:ea typeface="+mn-ea"/>
              <a:cs typeface="+mn-cs"/>
            </a:rPr>
            <a:t>with this you can then add in the bonuses to the usage of these tools.</a:t>
          </a:r>
        </a:p>
        <a:p>
          <a:r>
            <a:rPr lang="en-AU" sz="1100">
              <a:solidFill>
                <a:schemeClr val="dk1"/>
              </a:solidFill>
              <a:effectLst/>
              <a:latin typeface="+mn-lt"/>
              <a:ea typeface="+mn-ea"/>
              <a:cs typeface="+mn-cs"/>
            </a:rPr>
            <a:t>	Or as a bad result, for example;</a:t>
          </a:r>
        </a:p>
        <a:p>
          <a:r>
            <a:rPr lang="en-AU" sz="1100">
              <a:solidFill>
                <a:schemeClr val="dk1"/>
              </a:solidFill>
              <a:effectLst/>
              <a:latin typeface="+mn-lt"/>
              <a:ea typeface="+mn-ea"/>
              <a:cs typeface="+mn-cs"/>
            </a:rPr>
            <a:t>	Gold}   19</a:t>
          </a:r>
        </a:p>
        <a:p>
          <a:r>
            <a:rPr lang="en-AU" sz="1100">
              <a:solidFill>
                <a:schemeClr val="dk1"/>
              </a:solidFill>
              <a:effectLst/>
              <a:latin typeface="+mn-lt"/>
              <a:ea typeface="+mn-ea"/>
              <a:cs typeface="+mn-cs"/>
            </a:rPr>
            <a:t>	Magic loot}  gloves Of ac</a:t>
          </a:r>
        </a:p>
        <a:p>
          <a:r>
            <a:rPr lang="en-AU" sz="1100">
              <a:solidFill>
                <a:schemeClr val="dk1"/>
              </a:solidFill>
              <a:effectLst/>
              <a:latin typeface="+mn-lt"/>
              <a:ea typeface="+mn-ea"/>
              <a:cs typeface="+mn-cs"/>
            </a:rPr>
            <a:t> 	Item quality}   16 </a:t>
          </a:r>
        </a:p>
        <a:p>
          <a:r>
            <a:rPr lang="en-AU" sz="1100">
              <a:solidFill>
                <a:schemeClr val="dk1"/>
              </a:solidFill>
              <a:effectLst/>
              <a:latin typeface="+mn-lt"/>
              <a:ea typeface="+mn-ea"/>
              <a:cs typeface="+mn-cs"/>
            </a:rPr>
            <a:t>"these gloves give an AC bonus alright, but only to </a:t>
          </a:r>
          <a:r>
            <a:rPr lang="en-AU" sz="1100" i="1">
              <a:solidFill>
                <a:schemeClr val="dk1"/>
              </a:solidFill>
              <a:effectLst/>
              <a:latin typeface="+mn-lt"/>
              <a:ea typeface="+mn-ea"/>
              <a:cs typeface="+mn-cs"/>
            </a:rPr>
            <a:t>accidently-banging-your-fingers-with-a-hammer-while-holding-a-nail-in-place</a:t>
          </a:r>
          <a:r>
            <a:rPr lang="en-AU" sz="1100">
              <a:solidFill>
                <a:schemeClr val="dk1"/>
              </a:solidFill>
              <a:effectLst/>
              <a:latin typeface="+mn-lt"/>
              <a:ea typeface="+mn-ea"/>
              <a:cs typeface="+mn-cs"/>
            </a:rPr>
            <a:t>". Or if you are feeling less creative or cruel, they give a -1 to AC and require a remove curse or something similar.</a:t>
          </a:r>
        </a:p>
        <a:p>
          <a:r>
            <a:rPr lang="en-AU" sz="1100">
              <a:solidFill>
                <a:schemeClr val="dk1"/>
              </a:solidFill>
              <a:effectLst/>
              <a:latin typeface="+mn-lt"/>
              <a:ea typeface="+mn-ea"/>
              <a:cs typeface="+mn-cs"/>
            </a:rPr>
            <a:t>The term, epic, would be a greater result. this will either be a +2/higher level/upgraded dice, etc.</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The</a:t>
          </a:r>
          <a:r>
            <a:rPr lang="en-AU" sz="1100" i="1">
              <a:solidFill>
                <a:schemeClr val="dk1"/>
              </a:solidFill>
              <a:effectLst/>
              <a:latin typeface="+mn-lt"/>
              <a:ea typeface="+mn-ea"/>
              <a:cs typeface="+mn-cs"/>
            </a:rPr>
            <a:t> others </a:t>
          </a:r>
          <a:r>
            <a:rPr lang="en-AU" sz="1100">
              <a:solidFill>
                <a:schemeClr val="dk1"/>
              </a:solidFill>
              <a:effectLst/>
              <a:latin typeface="+mn-lt"/>
              <a:ea typeface="+mn-ea"/>
              <a:cs typeface="+mn-cs"/>
            </a:rPr>
            <a:t>tab is for the associated enchantments, the prompts should be enough to go by, but here is an example anyway;</a:t>
          </a:r>
        </a:p>
        <a:p>
          <a:r>
            <a:rPr lang="en-AU" sz="1100">
              <a:solidFill>
                <a:schemeClr val="dk1"/>
              </a:solidFill>
              <a:effectLst/>
              <a:latin typeface="+mn-lt"/>
              <a:ea typeface="+mn-ea"/>
              <a:cs typeface="+mn-cs"/>
            </a:rPr>
            <a:t>	Rich districts</a:t>
          </a:r>
        </a:p>
        <a:p>
          <a:r>
            <a:rPr lang="en-AU" sz="1100">
              <a:solidFill>
                <a:schemeClr val="dk1"/>
              </a:solidFill>
              <a:effectLst/>
              <a:latin typeface="+mn-lt"/>
              <a:ea typeface="+mn-ea"/>
              <a:cs typeface="+mn-cs"/>
            </a:rPr>
            <a:t>	Gold}   35 </a:t>
          </a:r>
        </a:p>
        <a:p>
          <a:r>
            <a:rPr lang="en-AU" sz="1100">
              <a:solidFill>
                <a:schemeClr val="dk1"/>
              </a:solidFill>
              <a:effectLst/>
              <a:latin typeface="+mn-lt"/>
              <a:ea typeface="+mn-ea"/>
              <a:cs typeface="+mn-cs"/>
            </a:rPr>
            <a:t>	Magic loot}   instruments Of and elemental 1d4</a:t>
          </a:r>
        </a:p>
        <a:p>
          <a:r>
            <a:rPr lang="en-AU" sz="1100">
              <a:solidFill>
                <a:schemeClr val="dk1"/>
              </a:solidFill>
              <a:effectLst/>
              <a:latin typeface="+mn-lt"/>
              <a:ea typeface="+mn-ea"/>
              <a:cs typeface="+mn-cs"/>
            </a:rPr>
            <a:t>	and	quarterstaff Of sentience </a:t>
          </a:r>
        </a:p>
        <a:p>
          <a:r>
            <a:rPr lang="en-AU" sz="1100">
              <a:solidFill>
                <a:schemeClr val="dk1"/>
              </a:solidFill>
              <a:effectLst/>
              <a:latin typeface="+mn-lt"/>
              <a:ea typeface="+mn-ea"/>
              <a:cs typeface="+mn-cs"/>
            </a:rPr>
            <a:t>	Item quality} 71 </a:t>
          </a:r>
        </a:p>
        <a:p>
          <a:r>
            <a:rPr lang="en-AU" sz="1100">
              <a:solidFill>
                <a:schemeClr val="dk1"/>
              </a:solidFill>
              <a:effectLst/>
              <a:latin typeface="+mn-lt"/>
              <a:ea typeface="+mn-ea"/>
              <a:cs typeface="+mn-cs"/>
            </a:rPr>
            <a:t>then using the chart;</a:t>
          </a:r>
        </a:p>
        <a:p>
          <a:r>
            <a:rPr lang="en-AU" sz="1100">
              <a:solidFill>
                <a:schemeClr val="dk1"/>
              </a:solidFill>
              <a:effectLst/>
              <a:latin typeface="+mn-lt"/>
              <a:ea typeface="+mn-ea"/>
              <a:cs typeface="+mn-cs"/>
            </a:rPr>
            <a:t>	sentience trait} good </a:t>
          </a:r>
        </a:p>
        <a:p>
          <a:r>
            <a:rPr lang="en-AU" sz="1100">
              <a:solidFill>
                <a:schemeClr val="dk1"/>
              </a:solidFill>
              <a:effectLst/>
              <a:latin typeface="+mn-lt"/>
              <a:ea typeface="+mn-ea"/>
              <a:cs typeface="+mn-cs"/>
            </a:rPr>
            <a:t>	resistance type} exhaustion </a:t>
          </a:r>
        </a:p>
        <a:p>
          <a:r>
            <a:rPr lang="en-AU" sz="1100">
              <a:solidFill>
                <a:schemeClr val="dk1"/>
              </a:solidFill>
              <a:effectLst/>
              <a:latin typeface="+mn-lt"/>
              <a:ea typeface="+mn-ea"/>
              <a:cs typeface="+mn-cs"/>
            </a:rPr>
            <a:t>	elemental type} cold </a:t>
          </a:r>
        </a:p>
        <a:p>
          <a:r>
            <a:rPr lang="en-AU" sz="1100">
              <a:solidFill>
                <a:schemeClr val="dk1"/>
              </a:solidFill>
              <a:effectLst/>
              <a:latin typeface="+mn-lt"/>
              <a:ea typeface="+mn-ea"/>
              <a:cs typeface="+mn-cs"/>
            </a:rPr>
            <a:t>We can tell that the instrument, when played, will invoke a 1d4 of cold damage to the opponent (as it is a superior quality item). Using this we can also see that the Quarterstaff is sentient who's trait is a good aligned character.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The looting</a:t>
          </a:r>
          <a:r>
            <a:rPr lang="en-AU" sz="1100" baseline="0">
              <a:solidFill>
                <a:schemeClr val="dk1"/>
              </a:solidFill>
              <a:effectLst/>
              <a:latin typeface="+mn-lt"/>
              <a:ea typeface="+mn-ea"/>
              <a:cs typeface="+mn-cs"/>
            </a:rPr>
            <a:t> total has also been added to the bottom of the tables, this will determine how many rooms can be searched, this number will change every refresh, so keep the number aside when rerolling the tables.</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 </a:t>
          </a:r>
        </a:p>
        <a:p>
          <a:r>
            <a:rPr lang="en-AU" sz="1100" u="sng">
              <a:solidFill>
                <a:schemeClr val="dk1"/>
              </a:solidFill>
              <a:effectLst/>
              <a:latin typeface="+mn-lt"/>
              <a:ea typeface="+mn-ea"/>
              <a:cs typeface="+mn-cs"/>
            </a:rPr>
            <a:t>The shops.</a:t>
          </a:r>
        </a:p>
        <a:p>
          <a:r>
            <a:rPr lang="en-AU" sz="1100">
              <a:solidFill>
                <a:schemeClr val="dk1"/>
              </a:solidFill>
              <a:effectLst/>
              <a:latin typeface="+mn-lt"/>
              <a:ea typeface="+mn-ea"/>
              <a:cs typeface="+mn-cs"/>
            </a:rPr>
            <a:t>	These zones have been sub-categorized into basic types and amounts. The resources/lbs or items found simply indicate how much/many of something can be found. The zones are open for interpretation but are as such.</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Small goods. </a:t>
          </a:r>
          <a:r>
            <a:rPr lang="en-AU" sz="1100">
              <a:solidFill>
                <a:schemeClr val="dk1"/>
              </a:solidFill>
              <a:effectLst/>
              <a:latin typeface="+mn-lt"/>
              <a:ea typeface="+mn-ea"/>
              <a:cs typeface="+mn-cs"/>
            </a:rPr>
            <a:t>"from trinkets to amulets and potions in-between, this place has everything for every occasion." rolling through this place would be on the mundane tables, unless the player rolls high for investigation or similar.</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Leather works</a:t>
          </a:r>
          <a:r>
            <a:rPr lang="en-AU" sz="1100">
              <a:solidFill>
                <a:schemeClr val="dk1"/>
              </a:solidFill>
              <a:effectLst/>
              <a:latin typeface="+mn-lt"/>
              <a:ea typeface="+mn-ea"/>
              <a:cs typeface="+mn-cs"/>
            </a:rPr>
            <a:t>. "saddles, bags and armour oh my!" yeah, as the names suggests. anything that can be made from these tanners would be here, if the players are trolling for tackle, armour or fittings these places can deliver.</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Food shops. </a:t>
          </a:r>
          <a:r>
            <a:rPr lang="en-AU" sz="1100">
              <a:solidFill>
                <a:schemeClr val="dk1"/>
              </a:solidFill>
              <a:effectLst/>
              <a:latin typeface="+mn-lt"/>
              <a:ea typeface="+mn-ea"/>
              <a:cs typeface="+mn-cs"/>
            </a:rPr>
            <a:t>"yum." you would imagine that after 10 years the places would be full of rotten food, but with the amount of magical crap in this city, it is not hard to imagine that they would have food storage. bakeries, butchers and fruit and veg joints aplenty here</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Smith. </a:t>
          </a:r>
          <a:r>
            <a:rPr lang="en-AU" sz="1100">
              <a:solidFill>
                <a:schemeClr val="dk1"/>
              </a:solidFill>
              <a:effectLst/>
              <a:latin typeface="+mn-lt"/>
              <a:ea typeface="+mn-ea"/>
              <a:cs typeface="+mn-cs"/>
            </a:rPr>
            <a:t>"There is nothing a man cannot do with a hot forge and a solid anvil." here you have it all, there is a good chance at having pre-made gear, but also the chance at the raw goods, this will allow players to try for thier own specialty gear, if they are casters.</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Bank. </a:t>
          </a:r>
          <a:r>
            <a:rPr lang="en-AU" sz="1100">
              <a:solidFill>
                <a:schemeClr val="dk1"/>
              </a:solidFill>
              <a:effectLst/>
              <a:latin typeface="+mn-lt"/>
              <a:ea typeface="+mn-ea"/>
              <a:cs typeface="+mn-cs"/>
            </a:rPr>
            <a:t>"Well, I mean... it was just sitting there all alone." a quote from any rogue. The amount of lootable gold here is massive, and so it should be, because, its a bank...there will also be a decent chance at having epic loot. Roll a few times and see what you come up with for that.</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Stables</a:t>
          </a:r>
          <a:r>
            <a:rPr lang="en-AU" sz="1100">
              <a:solidFill>
                <a:schemeClr val="dk1"/>
              </a:solidFill>
              <a:effectLst/>
              <a:latin typeface="+mn-lt"/>
              <a:ea typeface="+mn-ea"/>
              <a:cs typeface="+mn-cs"/>
            </a:rPr>
            <a:t>. "smells like a barn in here...." this place can find any animal that are found in the common section of the players handbook, or your imagination. Feed and water is always regenerated.</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Magic emporia</a:t>
          </a:r>
          <a:r>
            <a:rPr lang="en-AU" sz="1100">
              <a:solidFill>
                <a:schemeClr val="dk1"/>
              </a:solidFill>
              <a:effectLst/>
              <a:latin typeface="+mn-lt"/>
              <a:ea typeface="+mn-ea"/>
              <a:cs typeface="+mn-cs"/>
            </a:rPr>
            <a:t>. "there's like, everything here. shame most of it has been looted." roll once on each table for the amount of items generated for stuff you find in the debris.</a:t>
          </a:r>
        </a:p>
        <a:p>
          <a:endParaRPr lang="en-AU" sz="1100" baseline="0"/>
        </a:p>
        <a:p>
          <a:r>
            <a:rPr lang="en-AU" sz="1100" baseline="0"/>
            <a:t>	</a:t>
          </a:r>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552450</xdr:colOff>
      <xdr:row>2</xdr:row>
      <xdr:rowOff>19050</xdr:rowOff>
    </xdr:from>
    <xdr:to>
      <xdr:col>13</xdr:col>
      <xdr:colOff>190500</xdr:colOff>
      <xdr:row>4</xdr:row>
      <xdr:rowOff>95250</xdr:rowOff>
    </xdr:to>
    <xdr:sp macro="" textlink="">
      <xdr:nvSpPr>
        <xdr:cNvPr id="3" name="Text Box 2">
          <a:extLst>
            <a:ext uri="{FF2B5EF4-FFF2-40B4-BE49-F238E27FC236}">
              <a16:creationId xmlns:a16="http://schemas.microsoft.com/office/drawing/2014/main" id="{0FC471D5-3F33-411C-9820-B871F62CE405}"/>
            </a:ext>
          </a:extLst>
        </xdr:cNvPr>
        <xdr:cNvSpPr txBox="1">
          <a:spLocks noChangeArrowheads="1"/>
        </xdr:cNvSpPr>
      </xdr:nvSpPr>
      <xdr:spPr bwMode="auto">
        <a:xfrm>
          <a:off x="10239375" y="342900"/>
          <a:ext cx="1466850" cy="4000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FF0000"/>
              </a:solidFill>
              <a:latin typeface="Arial"/>
              <a:cs typeface="Arial"/>
            </a:rPr>
            <a:t>Crown tax is for stuff PC sell</a:t>
          </a:r>
        </a:p>
        <a:p>
          <a:pPr algn="l" rtl="0">
            <a:defRPr sz="1000"/>
          </a:pPr>
          <a:r>
            <a:rPr lang="ru-RU" sz="800" b="0" i="0" u="none" strike="noStrike" baseline="0">
              <a:solidFill>
                <a:srgbClr val="FF0000"/>
              </a:solidFill>
              <a:latin typeface="Arial"/>
              <a:cs typeface="Arial"/>
            </a:rPr>
            <a:t>Sales tax is on stuff they buy</a:t>
          </a:r>
        </a:p>
        <a:p>
          <a:pPr algn="l" rtl="0">
            <a:defRPr sz="1000"/>
          </a:pPr>
          <a:endParaRPr lang="ru-RU" sz="800" b="0" i="0" u="none" strike="noStrike" baseline="0">
            <a:solidFill>
              <a:srgbClr val="FF0000"/>
            </a:solidFill>
            <a:latin typeface="Arial"/>
            <a:cs typeface="Arial"/>
          </a:endParaRPr>
        </a:p>
      </xdr:txBody>
    </xdr:sp>
    <xdr:clientData/>
  </xdr:twoCellAnchor>
  <xdr:twoCellAnchor>
    <xdr:from>
      <xdr:col>5</xdr:col>
      <xdr:colOff>57150</xdr:colOff>
      <xdr:row>92</xdr:row>
      <xdr:rowOff>28575</xdr:rowOff>
    </xdr:from>
    <xdr:to>
      <xdr:col>7</xdr:col>
      <xdr:colOff>419100</xdr:colOff>
      <xdr:row>97</xdr:row>
      <xdr:rowOff>0</xdr:rowOff>
    </xdr:to>
    <xdr:sp macro="" textlink="">
      <xdr:nvSpPr>
        <xdr:cNvPr id="4" name="Text Box 3">
          <a:extLst>
            <a:ext uri="{FF2B5EF4-FFF2-40B4-BE49-F238E27FC236}">
              <a16:creationId xmlns:a16="http://schemas.microsoft.com/office/drawing/2014/main" id="{EE26B7EF-0E5D-42B4-A60A-10D8A2FD4608}"/>
            </a:ext>
          </a:extLst>
        </xdr:cNvPr>
        <xdr:cNvSpPr txBox="1">
          <a:spLocks noChangeArrowheads="1"/>
        </xdr:cNvSpPr>
      </xdr:nvSpPr>
      <xdr:spPr bwMode="auto">
        <a:xfrm>
          <a:off x="6924675" y="15049500"/>
          <a:ext cx="1476375" cy="7810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.10</a:t>
          </a:r>
        </a:p>
        <a:p>
          <a:pPr algn="l" rtl="0">
            <a:defRPr sz="1000"/>
          </a:pPr>
          <a:r>
            <a:rPr lang="ru-RU" sz="800" b="0" i="0" u="none" strike="noStrike" baseline="0">
              <a:solidFill>
                <a:srgbClr val="000000"/>
              </a:solidFill>
              <a:latin typeface="Arial"/>
              <a:cs typeface="Arial"/>
            </a:rPr>
            <a:t>Sales Tax: .15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66675</xdr:colOff>
      <xdr:row>105</xdr:row>
      <xdr:rowOff>47625</xdr:rowOff>
    </xdr:from>
    <xdr:to>
      <xdr:col>7</xdr:col>
      <xdr:colOff>409575</xdr:colOff>
      <xdr:row>109</xdr:row>
      <xdr:rowOff>114300</xdr:rowOff>
    </xdr:to>
    <xdr:sp macro="" textlink="">
      <xdr:nvSpPr>
        <xdr:cNvPr id="5" name="Text Box 4">
          <a:extLst>
            <a:ext uri="{FF2B5EF4-FFF2-40B4-BE49-F238E27FC236}">
              <a16:creationId xmlns:a16="http://schemas.microsoft.com/office/drawing/2014/main" id="{24A83B2D-8A87-42CD-8908-AE756314CEF6}"/>
            </a:ext>
          </a:extLst>
        </xdr:cNvPr>
        <xdr:cNvSpPr txBox="1">
          <a:spLocks noChangeArrowheads="1"/>
        </xdr:cNvSpPr>
      </xdr:nvSpPr>
      <xdr:spPr bwMode="auto">
        <a:xfrm>
          <a:off x="6934200" y="17173575"/>
          <a:ext cx="1457325" cy="7143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.10</a:t>
          </a:r>
        </a:p>
        <a:p>
          <a:pPr algn="l" rtl="0">
            <a:defRPr sz="1000"/>
          </a:pPr>
          <a:r>
            <a:rPr lang="ru-RU" sz="800" b="0" i="0" u="none" strike="noStrike" baseline="0">
              <a:solidFill>
                <a:srgbClr val="000000"/>
              </a:solidFill>
              <a:latin typeface="Arial"/>
              <a:cs typeface="Arial"/>
            </a:rPr>
            <a:t>Sales Tax: .15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57150</xdr:colOff>
      <xdr:row>114</xdr:row>
      <xdr:rowOff>57150</xdr:rowOff>
    </xdr:from>
    <xdr:to>
      <xdr:col>7</xdr:col>
      <xdr:colOff>409575</xdr:colOff>
      <xdr:row>118</xdr:row>
      <xdr:rowOff>133350</xdr:rowOff>
    </xdr:to>
    <xdr:sp macro="" textlink="">
      <xdr:nvSpPr>
        <xdr:cNvPr id="6" name="Text Box 5">
          <a:extLst>
            <a:ext uri="{FF2B5EF4-FFF2-40B4-BE49-F238E27FC236}">
              <a16:creationId xmlns:a16="http://schemas.microsoft.com/office/drawing/2014/main" id="{E2E02D9A-CBB4-4E09-A2D6-F950F7693058}"/>
            </a:ext>
          </a:extLst>
        </xdr:cNvPr>
        <xdr:cNvSpPr txBox="1">
          <a:spLocks noChangeArrowheads="1"/>
        </xdr:cNvSpPr>
      </xdr:nvSpPr>
      <xdr:spPr bwMode="auto">
        <a:xfrm>
          <a:off x="6924675" y="18640425"/>
          <a:ext cx="1466850" cy="7239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.10</a:t>
          </a:r>
        </a:p>
        <a:p>
          <a:pPr algn="l" rtl="0">
            <a:defRPr sz="1000"/>
          </a:pPr>
          <a:r>
            <a:rPr lang="ru-RU" sz="800" b="0" i="0" u="none" strike="noStrike" baseline="0">
              <a:solidFill>
                <a:srgbClr val="000000"/>
              </a:solidFill>
              <a:latin typeface="Arial"/>
              <a:cs typeface="Arial"/>
            </a:rPr>
            <a:t>Sales Tax: .15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47625</xdr:colOff>
      <xdr:row>129</xdr:row>
      <xdr:rowOff>28575</xdr:rowOff>
    </xdr:from>
    <xdr:to>
      <xdr:col>7</xdr:col>
      <xdr:colOff>419100</xdr:colOff>
      <xdr:row>133</xdr:row>
      <xdr:rowOff>123825</xdr:rowOff>
    </xdr:to>
    <xdr:sp macro="" textlink="">
      <xdr:nvSpPr>
        <xdr:cNvPr id="7" name="Text Box 6">
          <a:extLst>
            <a:ext uri="{FF2B5EF4-FFF2-40B4-BE49-F238E27FC236}">
              <a16:creationId xmlns:a16="http://schemas.microsoft.com/office/drawing/2014/main" id="{B3404170-53F2-4215-BF86-6F014542EF86}"/>
            </a:ext>
          </a:extLst>
        </xdr:cNvPr>
        <xdr:cNvSpPr txBox="1">
          <a:spLocks noChangeArrowheads="1"/>
        </xdr:cNvSpPr>
      </xdr:nvSpPr>
      <xdr:spPr bwMode="auto">
        <a:xfrm>
          <a:off x="6915150" y="21040725"/>
          <a:ext cx="1485900" cy="7429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.30</a:t>
          </a:r>
        </a:p>
        <a:p>
          <a:pPr algn="l" rtl="0">
            <a:defRPr sz="1000"/>
          </a:pPr>
          <a:r>
            <a:rPr lang="ru-RU" sz="800" b="0" i="0" u="none" strike="noStrike" baseline="0">
              <a:solidFill>
                <a:srgbClr val="000000"/>
              </a:solidFill>
              <a:latin typeface="Arial"/>
              <a:cs typeface="Arial"/>
            </a:rPr>
            <a:t>Sales Tax: .35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47625</xdr:colOff>
      <xdr:row>139</xdr:row>
      <xdr:rowOff>19050</xdr:rowOff>
    </xdr:from>
    <xdr:to>
      <xdr:col>7</xdr:col>
      <xdr:colOff>419100</xdr:colOff>
      <xdr:row>141</xdr:row>
      <xdr:rowOff>0</xdr:rowOff>
    </xdr:to>
    <xdr:sp macro="" textlink="">
      <xdr:nvSpPr>
        <xdr:cNvPr id="8" name="Text Box 7">
          <a:extLst>
            <a:ext uri="{FF2B5EF4-FFF2-40B4-BE49-F238E27FC236}">
              <a16:creationId xmlns:a16="http://schemas.microsoft.com/office/drawing/2014/main" id="{AEA9A393-1DD6-401B-8EFF-B0844DB6A4E0}"/>
            </a:ext>
          </a:extLst>
        </xdr:cNvPr>
        <xdr:cNvSpPr txBox="1">
          <a:spLocks noChangeArrowheads="1"/>
        </xdr:cNvSpPr>
      </xdr:nvSpPr>
      <xdr:spPr bwMode="auto">
        <a:xfrm>
          <a:off x="6915150" y="22650450"/>
          <a:ext cx="1485900" cy="3048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FF0000"/>
              </a:solidFill>
              <a:latin typeface="Arial"/>
              <a:cs typeface="Arial"/>
            </a:rPr>
            <a:t>Mining is unlawful; except by </a:t>
          </a:r>
        </a:p>
        <a:p>
          <a:pPr algn="l" rtl="0">
            <a:defRPr sz="1000"/>
          </a:pPr>
          <a:r>
            <a:rPr lang="ru-RU" sz="800" b="0" i="0" u="none" strike="noStrike" baseline="0">
              <a:solidFill>
                <a:srgbClr val="FF0000"/>
              </a:solidFill>
              <a:latin typeface="Arial"/>
              <a:cs typeface="Arial"/>
            </a:rPr>
            <a:t>the Crown's Permit</a:t>
          </a:r>
        </a:p>
      </xdr:txBody>
    </xdr:sp>
    <xdr:clientData/>
  </xdr:twoCellAnchor>
  <xdr:twoCellAnchor>
    <xdr:from>
      <xdr:col>5</xdr:col>
      <xdr:colOff>47625</xdr:colOff>
      <xdr:row>153</xdr:row>
      <xdr:rowOff>38100</xdr:rowOff>
    </xdr:from>
    <xdr:to>
      <xdr:col>7</xdr:col>
      <xdr:colOff>438150</xdr:colOff>
      <xdr:row>158</xdr:row>
      <xdr:rowOff>28575</xdr:rowOff>
    </xdr:to>
    <xdr:sp macro="" textlink="">
      <xdr:nvSpPr>
        <xdr:cNvPr id="9" name="Text Box 8">
          <a:extLst>
            <a:ext uri="{FF2B5EF4-FFF2-40B4-BE49-F238E27FC236}">
              <a16:creationId xmlns:a16="http://schemas.microsoft.com/office/drawing/2014/main" id="{C5A0E773-BDFE-4F62-A218-06A7B201F14C}"/>
            </a:ext>
          </a:extLst>
        </xdr:cNvPr>
        <xdr:cNvSpPr txBox="1">
          <a:spLocks noChangeArrowheads="1"/>
        </xdr:cNvSpPr>
      </xdr:nvSpPr>
      <xdr:spPr bwMode="auto">
        <a:xfrm>
          <a:off x="6915150" y="24936450"/>
          <a:ext cx="1504950" cy="8001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.23</a:t>
          </a:r>
        </a:p>
        <a:p>
          <a:pPr algn="l" rtl="0">
            <a:defRPr sz="1000"/>
          </a:pPr>
          <a:r>
            <a:rPr lang="ru-RU" sz="800" b="0" i="0" u="none" strike="noStrike" baseline="0">
              <a:solidFill>
                <a:srgbClr val="000000"/>
              </a:solidFill>
              <a:latin typeface="Arial"/>
              <a:cs typeface="Arial"/>
            </a:rPr>
            <a:t>Sales Tax: .25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57150</xdr:colOff>
      <xdr:row>184</xdr:row>
      <xdr:rowOff>9525</xdr:rowOff>
    </xdr:from>
    <xdr:to>
      <xdr:col>7</xdr:col>
      <xdr:colOff>409575</xdr:colOff>
      <xdr:row>188</xdr:row>
      <xdr:rowOff>57150</xdr:rowOff>
    </xdr:to>
    <xdr:sp macro="" textlink="">
      <xdr:nvSpPr>
        <xdr:cNvPr id="10" name="Text Box 9">
          <a:extLst>
            <a:ext uri="{FF2B5EF4-FFF2-40B4-BE49-F238E27FC236}">
              <a16:creationId xmlns:a16="http://schemas.microsoft.com/office/drawing/2014/main" id="{B463FAE8-D8A1-42C2-9E06-412C0BBA7603}"/>
            </a:ext>
          </a:extLst>
        </xdr:cNvPr>
        <xdr:cNvSpPr txBox="1">
          <a:spLocks noChangeArrowheads="1"/>
        </xdr:cNvSpPr>
      </xdr:nvSpPr>
      <xdr:spPr bwMode="auto">
        <a:xfrm>
          <a:off x="6924675" y="29927550"/>
          <a:ext cx="1466850" cy="695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.23</a:t>
          </a:r>
        </a:p>
        <a:p>
          <a:pPr algn="l" rtl="0">
            <a:defRPr sz="1000"/>
          </a:pPr>
          <a:r>
            <a:rPr lang="ru-RU" sz="800" b="0" i="0" u="none" strike="noStrike" baseline="0">
              <a:solidFill>
                <a:srgbClr val="000000"/>
              </a:solidFill>
              <a:latin typeface="Arial"/>
              <a:cs typeface="Arial"/>
            </a:rPr>
            <a:t>Sales Tax: .25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47625</xdr:colOff>
      <xdr:row>212</xdr:row>
      <xdr:rowOff>47625</xdr:rowOff>
    </xdr:from>
    <xdr:to>
      <xdr:col>7</xdr:col>
      <xdr:colOff>419100</xdr:colOff>
      <xdr:row>217</xdr:row>
      <xdr:rowOff>0</xdr:rowOff>
    </xdr:to>
    <xdr:sp macro="" textlink="">
      <xdr:nvSpPr>
        <xdr:cNvPr id="11" name="Text Box 10">
          <a:extLst>
            <a:ext uri="{FF2B5EF4-FFF2-40B4-BE49-F238E27FC236}">
              <a16:creationId xmlns:a16="http://schemas.microsoft.com/office/drawing/2014/main" id="{70485656-4E44-41D0-951F-4C7F8E6886F9}"/>
            </a:ext>
          </a:extLst>
        </xdr:cNvPr>
        <xdr:cNvSpPr txBox="1">
          <a:spLocks noChangeArrowheads="1"/>
        </xdr:cNvSpPr>
      </xdr:nvSpPr>
      <xdr:spPr bwMode="auto">
        <a:xfrm>
          <a:off x="6915150" y="34499550"/>
          <a:ext cx="1485900" cy="7620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.23</a:t>
          </a:r>
        </a:p>
        <a:p>
          <a:pPr algn="l" rtl="0">
            <a:defRPr sz="1000"/>
          </a:pPr>
          <a:r>
            <a:rPr lang="ru-RU" sz="800" b="0" i="0" u="none" strike="noStrike" baseline="0">
              <a:solidFill>
                <a:srgbClr val="000000"/>
              </a:solidFill>
              <a:latin typeface="Arial"/>
              <a:cs typeface="Arial"/>
            </a:rPr>
            <a:t>Sales Tax: .25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38100</xdr:colOff>
      <xdr:row>283</xdr:row>
      <xdr:rowOff>19050</xdr:rowOff>
    </xdr:from>
    <xdr:to>
      <xdr:col>7</xdr:col>
      <xdr:colOff>457200</xdr:colOff>
      <xdr:row>286</xdr:row>
      <xdr:rowOff>57150</xdr:rowOff>
    </xdr:to>
    <xdr:sp macro="" textlink="">
      <xdr:nvSpPr>
        <xdr:cNvPr id="12" name="Text Box 11">
          <a:extLst>
            <a:ext uri="{FF2B5EF4-FFF2-40B4-BE49-F238E27FC236}">
              <a16:creationId xmlns:a16="http://schemas.microsoft.com/office/drawing/2014/main" id="{D501A2AD-F820-404A-831F-4CBADBE9C6CC}"/>
            </a:ext>
          </a:extLst>
        </xdr:cNvPr>
        <xdr:cNvSpPr txBox="1">
          <a:spLocks noChangeArrowheads="1"/>
        </xdr:cNvSpPr>
      </xdr:nvSpPr>
      <xdr:spPr bwMode="auto">
        <a:xfrm>
          <a:off x="6905625" y="46091475"/>
          <a:ext cx="1533525" cy="5238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FF0000"/>
              </a:solidFill>
              <a:latin typeface="Arial"/>
              <a:cs typeface="Arial"/>
            </a:rPr>
            <a:t>These monks keep idle travellers away but are open to aiding people</a:t>
          </a:r>
        </a:p>
      </xdr:txBody>
    </xdr:sp>
    <xdr:clientData/>
  </xdr:twoCellAnchor>
  <xdr:twoCellAnchor>
    <xdr:from>
      <xdr:col>5</xdr:col>
      <xdr:colOff>47625</xdr:colOff>
      <xdr:row>290</xdr:row>
      <xdr:rowOff>19050</xdr:rowOff>
    </xdr:from>
    <xdr:to>
      <xdr:col>7</xdr:col>
      <xdr:colOff>428625</xdr:colOff>
      <xdr:row>293</xdr:row>
      <xdr:rowOff>9525</xdr:rowOff>
    </xdr:to>
    <xdr:sp macro="" textlink="">
      <xdr:nvSpPr>
        <xdr:cNvPr id="13" name="Text Box 12">
          <a:extLst>
            <a:ext uri="{FF2B5EF4-FFF2-40B4-BE49-F238E27FC236}">
              <a16:creationId xmlns:a16="http://schemas.microsoft.com/office/drawing/2014/main" id="{203A5756-9954-4A22-A827-0B3E67A4907B}"/>
            </a:ext>
          </a:extLst>
        </xdr:cNvPr>
        <xdr:cNvSpPr txBox="1">
          <a:spLocks noChangeArrowheads="1"/>
        </xdr:cNvSpPr>
      </xdr:nvSpPr>
      <xdr:spPr bwMode="auto">
        <a:xfrm>
          <a:off x="6915150" y="47224950"/>
          <a:ext cx="1495425" cy="4762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FF0000"/>
              </a:solidFill>
              <a:latin typeface="Arial"/>
              <a:cs typeface="Arial"/>
            </a:rPr>
            <a:t>Elven goods are subject to an extra tax of 1.2</a:t>
          </a:r>
        </a:p>
      </xdr:txBody>
    </xdr:sp>
    <xdr:clientData/>
  </xdr:twoCellAnchor>
  <xdr:twoCellAnchor>
    <xdr:from>
      <xdr:col>5</xdr:col>
      <xdr:colOff>47625</xdr:colOff>
      <xdr:row>436</xdr:row>
      <xdr:rowOff>28575</xdr:rowOff>
    </xdr:from>
    <xdr:to>
      <xdr:col>7</xdr:col>
      <xdr:colOff>438150</xdr:colOff>
      <xdr:row>441</xdr:row>
      <xdr:rowOff>123825</xdr:rowOff>
    </xdr:to>
    <xdr:sp macro="" textlink="">
      <xdr:nvSpPr>
        <xdr:cNvPr id="14" name="Text Box 13">
          <a:extLst>
            <a:ext uri="{FF2B5EF4-FFF2-40B4-BE49-F238E27FC236}">
              <a16:creationId xmlns:a16="http://schemas.microsoft.com/office/drawing/2014/main" id="{A5E68A40-78D4-4730-9B58-B22AC2C2A4AF}"/>
            </a:ext>
          </a:extLst>
        </xdr:cNvPr>
        <xdr:cNvSpPr txBox="1">
          <a:spLocks noChangeArrowheads="1"/>
        </xdr:cNvSpPr>
      </xdr:nvSpPr>
      <xdr:spPr bwMode="auto">
        <a:xfrm>
          <a:off x="6915150" y="71247000"/>
          <a:ext cx="1504950" cy="9048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.18</a:t>
          </a:r>
        </a:p>
        <a:p>
          <a:pPr algn="l" rtl="0">
            <a:defRPr sz="1000"/>
          </a:pPr>
          <a:r>
            <a:rPr lang="ru-RU" sz="800" b="0" i="0" u="none" strike="noStrike" baseline="0">
              <a:solidFill>
                <a:srgbClr val="000000"/>
              </a:solidFill>
              <a:latin typeface="Arial"/>
              <a:cs typeface="Arial"/>
            </a:rPr>
            <a:t>Sales Tax: .21</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38100</xdr:colOff>
      <xdr:row>447</xdr:row>
      <xdr:rowOff>38100</xdr:rowOff>
    </xdr:from>
    <xdr:to>
      <xdr:col>7</xdr:col>
      <xdr:colOff>428625</xdr:colOff>
      <xdr:row>452</xdr:row>
      <xdr:rowOff>123825</xdr:rowOff>
    </xdr:to>
    <xdr:sp macro="" textlink="">
      <xdr:nvSpPr>
        <xdr:cNvPr id="15" name="Text Box 14">
          <a:extLst>
            <a:ext uri="{FF2B5EF4-FFF2-40B4-BE49-F238E27FC236}">
              <a16:creationId xmlns:a16="http://schemas.microsoft.com/office/drawing/2014/main" id="{C5910F2C-4596-4B6D-A2B8-AFA8AC1C82D1}"/>
            </a:ext>
          </a:extLst>
        </xdr:cNvPr>
        <xdr:cNvSpPr txBox="1">
          <a:spLocks noChangeArrowheads="1"/>
        </xdr:cNvSpPr>
      </xdr:nvSpPr>
      <xdr:spPr bwMode="auto">
        <a:xfrm>
          <a:off x="6905625" y="73037700"/>
          <a:ext cx="1504950" cy="895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.23</a:t>
          </a:r>
        </a:p>
        <a:p>
          <a:pPr algn="l" rtl="0">
            <a:defRPr sz="1000"/>
          </a:pPr>
          <a:r>
            <a:rPr lang="ru-RU" sz="800" b="0" i="0" u="none" strike="noStrike" baseline="0">
              <a:solidFill>
                <a:srgbClr val="000000"/>
              </a:solidFill>
              <a:latin typeface="Arial"/>
              <a:cs typeface="Arial"/>
            </a:rPr>
            <a:t>Sales Tax: .25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38100</xdr:colOff>
      <xdr:row>419</xdr:row>
      <xdr:rowOff>47625</xdr:rowOff>
    </xdr:from>
    <xdr:to>
      <xdr:col>7</xdr:col>
      <xdr:colOff>390525</xdr:colOff>
      <xdr:row>423</xdr:row>
      <xdr:rowOff>95250</xdr:rowOff>
    </xdr:to>
    <xdr:sp macro="" textlink="">
      <xdr:nvSpPr>
        <xdr:cNvPr id="16" name="Text Box 15">
          <a:extLst>
            <a:ext uri="{FF2B5EF4-FFF2-40B4-BE49-F238E27FC236}">
              <a16:creationId xmlns:a16="http://schemas.microsoft.com/office/drawing/2014/main" id="{29306A5C-8403-425D-BEDF-D4C5ACF8580C}"/>
            </a:ext>
          </a:extLst>
        </xdr:cNvPr>
        <xdr:cNvSpPr txBox="1">
          <a:spLocks noChangeArrowheads="1"/>
        </xdr:cNvSpPr>
      </xdr:nvSpPr>
      <xdr:spPr bwMode="auto">
        <a:xfrm>
          <a:off x="6905625" y="68513325"/>
          <a:ext cx="1466850" cy="695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.28</a:t>
          </a:r>
        </a:p>
        <a:p>
          <a:pPr algn="l" rtl="0">
            <a:defRPr sz="1000"/>
          </a:pPr>
          <a:r>
            <a:rPr lang="ru-RU" sz="800" b="0" i="0" u="none" strike="noStrike" baseline="0">
              <a:solidFill>
                <a:srgbClr val="000000"/>
              </a:solidFill>
              <a:latin typeface="Arial"/>
              <a:cs typeface="Arial"/>
            </a:rPr>
            <a:t>Sales Tax: .36</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38100</xdr:colOff>
      <xdr:row>409</xdr:row>
      <xdr:rowOff>38100</xdr:rowOff>
    </xdr:from>
    <xdr:to>
      <xdr:col>7</xdr:col>
      <xdr:colOff>447675</xdr:colOff>
      <xdr:row>413</xdr:row>
      <xdr:rowOff>114300</xdr:rowOff>
    </xdr:to>
    <xdr:sp macro="" textlink="">
      <xdr:nvSpPr>
        <xdr:cNvPr id="17" name="Text Box 16">
          <a:extLst>
            <a:ext uri="{FF2B5EF4-FFF2-40B4-BE49-F238E27FC236}">
              <a16:creationId xmlns:a16="http://schemas.microsoft.com/office/drawing/2014/main" id="{4FA7A755-F069-47EC-8B1C-87FF7FD46AFC}"/>
            </a:ext>
          </a:extLst>
        </xdr:cNvPr>
        <xdr:cNvSpPr txBox="1">
          <a:spLocks noChangeArrowheads="1"/>
        </xdr:cNvSpPr>
      </xdr:nvSpPr>
      <xdr:spPr bwMode="auto">
        <a:xfrm>
          <a:off x="6905625" y="66884550"/>
          <a:ext cx="1524000" cy="7239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.18</a:t>
          </a:r>
        </a:p>
        <a:p>
          <a:pPr algn="l" rtl="0">
            <a:defRPr sz="1000"/>
          </a:pPr>
          <a:r>
            <a:rPr lang="ru-RU" sz="800" b="0" i="0" u="none" strike="noStrike" baseline="0">
              <a:solidFill>
                <a:srgbClr val="000000"/>
              </a:solidFill>
              <a:latin typeface="Arial"/>
              <a:cs typeface="Arial"/>
            </a:rPr>
            <a:t>Sales Tax: .21</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65942</xdr:colOff>
      <xdr:row>0</xdr:row>
      <xdr:rowOff>0</xdr:rowOff>
    </xdr:from>
    <xdr:to>
      <xdr:col>98</xdr:col>
      <xdr:colOff>141323</xdr:colOff>
      <xdr:row>123</xdr:row>
      <xdr:rowOff>47623</xdr:rowOff>
    </xdr:to>
    <xdr:pic>
      <xdr:nvPicPr>
        <xdr:cNvPr id="2" name="Рисунок 1">
          <a:extLst>
            <a:ext uri="{FF2B5EF4-FFF2-40B4-BE49-F238E27FC236}">
              <a16:creationId xmlns:a16="http://schemas.microsoft.com/office/drawing/2014/main" id="{36F4E6A5-BAE5-4E8E-B01D-49CFCDF4A99E}"/>
            </a:ext>
          </a:extLst>
        </xdr:cNvPr>
        <xdr:cNvPicPr>
          <a:picLocks/>
        </xdr:cNvPicPr>
      </xdr:nvPicPr>
      <xdr:blipFill>
        <a:blip xmlns:r="http://schemas.openxmlformats.org/officeDocument/2006/relationships" r:embed="rId1">
          <a:alphaModFix amt="22000"/>
        </a:blip>
        <a:stretch>
          <a:fillRect/>
        </a:stretch>
      </xdr:blipFill>
      <xdr:spPr>
        <a:xfrm>
          <a:off x="65942" y="0"/>
          <a:ext cx="15872227" cy="207754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6</xdr:col>
      <xdr:colOff>257175</xdr:colOff>
      <xdr:row>3</xdr:row>
      <xdr:rowOff>47625</xdr:rowOff>
    </xdr:from>
    <xdr:to>
      <xdr:col>9</xdr:col>
      <xdr:colOff>304800</xdr:colOff>
      <xdr:row>6</xdr:row>
      <xdr:rowOff>104775</xdr:rowOff>
    </xdr:to>
    <xdr:sp macro="" textlink="">
      <xdr:nvSpPr>
        <xdr:cNvPr id="2" name="Табличка 1">
          <a:extLst>
            <a:ext uri="{FF2B5EF4-FFF2-40B4-BE49-F238E27FC236}">
              <a16:creationId xmlns:a16="http://schemas.microsoft.com/office/drawing/2014/main" id="{19EEEB04-6A1A-43C8-8B5E-DD53204484FF}"/>
            </a:ext>
          </a:extLst>
        </xdr:cNvPr>
        <xdr:cNvSpPr/>
      </xdr:nvSpPr>
      <xdr:spPr>
        <a:xfrm>
          <a:off x="4829175" y="590550"/>
          <a:ext cx="2333625" cy="600075"/>
        </a:xfrm>
        <a:prstGeom prst="plaqu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495299</xdr:colOff>
      <xdr:row>12</xdr:row>
      <xdr:rowOff>123825</xdr:rowOff>
    </xdr:from>
    <xdr:to>
      <xdr:col>31</xdr:col>
      <xdr:colOff>190500</xdr:colOff>
      <xdr:row>39</xdr:row>
      <xdr:rowOff>152400</xdr:rowOff>
    </xdr:to>
    <xdr:graphicFrame macro="">
      <xdr:nvGraphicFramePr>
        <xdr:cNvPr id="3" name="Схема 2">
          <a:extLst>
            <a:ext uri="{FF2B5EF4-FFF2-40B4-BE49-F238E27FC236}">
              <a16:creationId xmlns:a16="http://schemas.microsoft.com/office/drawing/2014/main" id="{94F23A85-0724-4109-93EA-3AC3C5A084D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8</xdr:col>
      <xdr:colOff>66674</xdr:colOff>
      <xdr:row>36</xdr:row>
      <xdr:rowOff>161925</xdr:rowOff>
    </xdr:from>
    <xdr:to>
      <xdr:col>23</xdr:col>
      <xdr:colOff>438149</xdr:colOff>
      <xdr:row>52</xdr:row>
      <xdr:rowOff>9525</xdr:rowOff>
    </xdr:to>
    <xdr:graphicFrame macro="">
      <xdr:nvGraphicFramePr>
        <xdr:cNvPr id="4" name="Схема 3">
          <a:extLst>
            <a:ext uri="{FF2B5EF4-FFF2-40B4-BE49-F238E27FC236}">
              <a16:creationId xmlns:a16="http://schemas.microsoft.com/office/drawing/2014/main" id="{BACED4A0-4BB4-4DAC-B6F5-26474B08441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551088</xdr:colOff>
      <xdr:row>55</xdr:row>
      <xdr:rowOff>166007</xdr:rowOff>
    </xdr:from>
    <xdr:to>
      <xdr:col>23</xdr:col>
      <xdr:colOff>707571</xdr:colOff>
      <xdr:row>79</xdr:row>
      <xdr:rowOff>122464</xdr:rowOff>
    </xdr:to>
    <xdr:graphicFrame macro="">
      <xdr:nvGraphicFramePr>
        <xdr:cNvPr id="5" name="Схема 4">
          <a:extLst>
            <a:ext uri="{FF2B5EF4-FFF2-40B4-BE49-F238E27FC236}">
              <a16:creationId xmlns:a16="http://schemas.microsoft.com/office/drawing/2014/main" id="{DD0CD857-724C-4C55-84C3-D003AE6A802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4</xdr:col>
      <xdr:colOff>298174</xdr:colOff>
      <xdr:row>84</xdr:row>
      <xdr:rowOff>16327</xdr:rowOff>
    </xdr:from>
    <xdr:to>
      <xdr:col>21</xdr:col>
      <xdr:colOff>356151</xdr:colOff>
      <xdr:row>112</xdr:row>
      <xdr:rowOff>140804</xdr:rowOff>
    </xdr:to>
    <xdr:graphicFrame macro="">
      <xdr:nvGraphicFramePr>
        <xdr:cNvPr id="6" name="Схема 5">
          <a:extLst>
            <a:ext uri="{FF2B5EF4-FFF2-40B4-BE49-F238E27FC236}">
              <a16:creationId xmlns:a16="http://schemas.microsoft.com/office/drawing/2014/main" id="{67CBBB7D-7AB9-49BE-BA8F-A744AAD8BDE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8</xdr:col>
      <xdr:colOff>495300</xdr:colOff>
      <xdr:row>5</xdr:row>
      <xdr:rowOff>28575</xdr:rowOff>
    </xdr:from>
    <xdr:to>
      <xdr:col>14</xdr:col>
      <xdr:colOff>495300</xdr:colOff>
      <xdr:row>20</xdr:row>
      <xdr:rowOff>57150</xdr:rowOff>
    </xdr:to>
    <xdr:graphicFrame macro="">
      <xdr:nvGraphicFramePr>
        <xdr:cNvPr id="2" name="Схема 1">
          <a:extLst>
            <a:ext uri="{FF2B5EF4-FFF2-40B4-BE49-F238E27FC236}">
              <a16:creationId xmlns:a16="http://schemas.microsoft.com/office/drawing/2014/main" id="{A57B7E42-5822-4E3F-8DF9-F5A3880C33DB}"/>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57150</xdr:colOff>
      <xdr:row>3</xdr:row>
      <xdr:rowOff>123825</xdr:rowOff>
    </xdr:from>
    <xdr:to>
      <xdr:col>15</xdr:col>
      <xdr:colOff>66675</xdr:colOff>
      <xdr:row>19</xdr:row>
      <xdr:rowOff>85725</xdr:rowOff>
    </xdr:to>
    <xdr:pic>
      <xdr:nvPicPr>
        <xdr:cNvPr id="2" name="Рисунок 1">
          <a:extLst>
            <a:ext uri="{FF2B5EF4-FFF2-40B4-BE49-F238E27FC236}">
              <a16:creationId xmlns:a16="http://schemas.microsoft.com/office/drawing/2014/main" id="{936EE33A-E2FD-401C-B2DF-8DD66EB91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400" y="828675"/>
          <a:ext cx="310515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0</xdr:colOff>
      <xdr:row>3</xdr:row>
      <xdr:rowOff>0</xdr:rowOff>
    </xdr:from>
    <xdr:to>
      <xdr:col>27</xdr:col>
      <xdr:colOff>533400</xdr:colOff>
      <xdr:row>16</xdr:row>
      <xdr:rowOff>152401</xdr:rowOff>
    </xdr:to>
    <xdr:sp macro="" textlink="">
      <xdr:nvSpPr>
        <xdr:cNvPr id="3" name="TextBox 2">
          <a:extLst>
            <a:ext uri="{FF2B5EF4-FFF2-40B4-BE49-F238E27FC236}">
              <a16:creationId xmlns:a16="http://schemas.microsoft.com/office/drawing/2014/main" id="{590FEA9C-EF7B-4974-8806-D562B27725B5}"/>
            </a:ext>
          </a:extLst>
        </xdr:cNvPr>
        <xdr:cNvSpPr txBox="1"/>
      </xdr:nvSpPr>
      <xdr:spPr>
        <a:xfrm>
          <a:off x="7572375" y="704850"/>
          <a:ext cx="3581400" cy="2505076"/>
        </a:xfrm>
        <a:prstGeom prst="rect">
          <a:avLst/>
        </a:prstGeom>
        <a:ln w="38100"/>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endParaRPr lang="en-GB" sz="1600" b="1">
            <a:solidFill>
              <a:schemeClr val="dk1"/>
            </a:solidFill>
            <a:effectLst/>
            <a:latin typeface="+mn-lt"/>
            <a:ea typeface="+mn-ea"/>
            <a:cs typeface="+mn-cs"/>
          </a:endParaRPr>
        </a:p>
        <a:p>
          <a:pPr algn="ctr"/>
          <a:r>
            <a:rPr lang="en-US" sz="1600" b="1">
              <a:solidFill>
                <a:schemeClr val="dk1"/>
              </a:solidFill>
              <a:effectLst/>
              <a:latin typeface="+mn-lt"/>
              <a:ea typeface="+mn-ea"/>
              <a:cs typeface="+mn-cs"/>
            </a:rPr>
            <a:t>Cormyr in tables</a:t>
          </a:r>
          <a:endParaRPr lang="en-AU" sz="1600" b="1" i="0" u="none" strike="noStrike">
            <a:solidFill>
              <a:schemeClr val="dk1"/>
            </a:solidFill>
            <a:effectLst/>
            <a:latin typeface="+mn-lt"/>
            <a:ea typeface="+mn-ea"/>
            <a:cs typeface="+mn-cs"/>
          </a:endParaRPr>
        </a:p>
        <a:p>
          <a:pPr algn="ctr"/>
          <a:endParaRPr lang="en-AU" sz="1100" b="1" i="0" u="none" strike="noStrike">
            <a:solidFill>
              <a:schemeClr val="dk1"/>
            </a:solidFill>
            <a:effectLst/>
            <a:latin typeface="+mn-lt"/>
            <a:ea typeface="+mn-ea"/>
            <a:cs typeface="+mn-cs"/>
          </a:endParaRPr>
        </a:p>
        <a:p>
          <a:pPr algn="ctr"/>
          <a:r>
            <a:rPr lang="en-GB" sz="1100" b="0">
              <a:solidFill>
                <a:schemeClr val="dk1"/>
              </a:solidFill>
              <a:effectLst/>
              <a:latin typeface="+mn-lt"/>
              <a:ea typeface="+mn-ea"/>
              <a:cs typeface="+mn-cs"/>
            </a:rPr>
            <a:t>Gamemaster</a:t>
          </a:r>
          <a:r>
            <a:rPr lang="en-GB" sz="1100" b="0" baseline="0">
              <a:solidFill>
                <a:schemeClr val="dk1"/>
              </a:solidFill>
              <a:effectLst/>
              <a:latin typeface="+mn-lt"/>
              <a:ea typeface="+mn-ea"/>
              <a:cs typeface="+mn-cs"/>
            </a:rPr>
            <a:t> Screen in Spreadsheet format</a:t>
          </a:r>
          <a:endParaRPr lang="en-GB" sz="1100" b="1">
            <a:solidFill>
              <a:schemeClr val="dk1"/>
            </a:solidFill>
            <a:effectLst/>
            <a:latin typeface="+mn-lt"/>
            <a:ea typeface="+mn-ea"/>
            <a:cs typeface="+mn-cs"/>
          </a:endParaRPr>
        </a:p>
        <a:p>
          <a:pPr algn="ctr"/>
          <a:endParaRPr lang="en-GB" sz="1100" b="1">
            <a:solidFill>
              <a:schemeClr val="dk1"/>
            </a:solidFill>
            <a:effectLst/>
            <a:latin typeface="+mn-lt"/>
            <a:ea typeface="+mn-ea"/>
            <a:cs typeface="+mn-cs"/>
          </a:endParaRPr>
        </a:p>
        <a:p>
          <a:pPr algn="ctr"/>
          <a:endParaRPr lang="en-GB" sz="1100" baseline="0">
            <a:solidFill>
              <a:schemeClr val="dk1"/>
            </a:solidFill>
            <a:effectLst/>
            <a:latin typeface="+mn-lt"/>
            <a:ea typeface="+mn-ea"/>
            <a:cs typeface="+mn-cs"/>
          </a:endParaRPr>
        </a:p>
        <a:p>
          <a:pPr algn="ctr"/>
          <a:endParaRPr lang="en-GB" sz="1100">
            <a:solidFill>
              <a:schemeClr val="dk1"/>
            </a:solidFill>
            <a:effectLst/>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Palant\Onedrive\TRPG\ZZ_TOOLS\0_DEVELOPMENT\004%20Excel%20online%20resources\dnd-5e-random-character-generator-v97%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4050d6280c872bd7/TRPG/ZZ_TOOLS/0_DEVELOPMENT/EBERR/ORACLE%20OF%20WAR/SALVAGE%20BASES%20AND%20MISSIONS%20GENER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4050d6280c872bd7/TRPG/ZZ_TOOLS/0_DEVELOPMENT/051_EQUIPMENT/EQUIPMENT%20DnD%205e%20FR%20Palant%20v12%201208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4050d6280c872bd7/TRPG/ZZ_TOOLS/temp/PALANT%20DM%20BO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4050d6280c872bd7/TRPG/ZZ_TOOLS/0_DEVELOPMENT/032_WATERDEEP%20IN%20TABLES/waterdeep_tables_v.0.9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SHEET"/>
      <sheetName val="USER"/>
      <sheetName val="USER SPELLS"/>
      <sheetName val="STAT BLOCK"/>
      <sheetName val="MATH"/>
      <sheetName val="NAME"/>
      <sheetName val="ABILITIES"/>
      <sheetName val="RACE"/>
      <sheetName val="DESCRIPTION"/>
      <sheetName val="BACKGROUNDS"/>
      <sheetName val="CLASS"/>
      <sheetName val="SKILLS"/>
      <sheetName val="SPELLS"/>
      <sheetName val="SPELLBOOK"/>
      <sheetName val="FEATS-PETS"/>
      <sheetName val="GEAR"/>
      <sheetName val="EQUIPMENT"/>
      <sheetName val="PANTHEON"/>
      <sheetName val="WEAPONS ARMOR"/>
      <sheetName val="TREASURE"/>
      <sheetName val="MAGIC ITEMS"/>
      <sheetName val="BETA"/>
      <sheetName val="dnd-5e-random-character-generat"/>
    </sheetNames>
    <sheetDataSet>
      <sheetData sheetId="0">
        <row r="31">
          <cell r="C31">
            <v>3</v>
          </cell>
        </row>
        <row r="97">
          <cell r="Y97" t="str">
            <v xml:space="preserve">Dagger  | 1d4 | Finesse, light, thrown (range 20/60) </v>
          </cell>
        </row>
      </sheetData>
      <sheetData sheetId="1">
        <row r="6">
          <cell r="C6">
            <v>0</v>
          </cell>
          <cell r="F6">
            <v>0</v>
          </cell>
          <cell r="I6">
            <v>0</v>
          </cell>
          <cell r="L6">
            <v>0</v>
          </cell>
          <cell r="R6">
            <v>0</v>
          </cell>
          <cell r="U6">
            <v>0</v>
          </cell>
          <cell r="X6">
            <v>0</v>
          </cell>
          <cell r="AA6">
            <v>0</v>
          </cell>
          <cell r="AD6">
            <v>0</v>
          </cell>
          <cell r="AH6">
            <v>0</v>
          </cell>
          <cell r="AL6">
            <v>2</v>
          </cell>
          <cell r="AO6">
            <v>0</v>
          </cell>
        </row>
        <row r="9">
          <cell r="K9">
            <v>0</v>
          </cell>
          <cell r="L9" t="str">
            <v>Rolled</v>
          </cell>
          <cell r="Z9">
            <v>0</v>
          </cell>
          <cell r="AA9" t="str">
            <v>Random Alignment</v>
          </cell>
          <cell r="AC9">
            <v>0</v>
          </cell>
          <cell r="AD9" t="str">
            <v>Random Pantheon</v>
          </cell>
          <cell r="AK9">
            <v>0</v>
          </cell>
          <cell r="AL9" t="str">
            <v>Yes, level and magic items</v>
          </cell>
        </row>
        <row r="10">
          <cell r="K10">
            <v>1</v>
          </cell>
          <cell r="L10" t="str">
            <v>Point Buy</v>
          </cell>
          <cell r="Z10">
            <v>1</v>
          </cell>
          <cell r="AA10" t="str">
            <v>Lawful Good</v>
          </cell>
          <cell r="AC10">
            <v>1</v>
          </cell>
          <cell r="AD10" t="str">
            <v>Greyhawk</v>
          </cell>
          <cell r="AK10">
            <v>1</v>
          </cell>
          <cell r="AL10" t="str">
            <v>No-just random starting wealth</v>
          </cell>
        </row>
        <row r="11">
          <cell r="K11">
            <v>2</v>
          </cell>
          <cell r="L11" t="str">
            <v>AL Standard Array</v>
          </cell>
          <cell r="Z11">
            <v>2</v>
          </cell>
          <cell r="AA11" t="str">
            <v>Lawful Neutral</v>
          </cell>
          <cell r="AC11">
            <v>2</v>
          </cell>
          <cell r="AD11" t="str">
            <v>Forgotten Realms</v>
          </cell>
          <cell r="AK11">
            <v>2</v>
          </cell>
          <cell r="AL11" t="str">
            <v>No-just Max Starting Wealth</v>
          </cell>
        </row>
        <row r="12">
          <cell r="K12">
            <v>3</v>
          </cell>
          <cell r="L12" t="str">
            <v>Custom</v>
          </cell>
          <cell r="X12">
            <v>0</v>
          </cell>
          <cell r="Z12">
            <v>3</v>
          </cell>
          <cell r="AA12" t="str">
            <v>Neutral Good</v>
          </cell>
          <cell r="AC12">
            <v>3</v>
          </cell>
          <cell r="AD12" t="str">
            <v>Dragonlance</v>
          </cell>
        </row>
        <row r="13">
          <cell r="Z13">
            <v>4</v>
          </cell>
          <cell r="AA13" t="str">
            <v>Neutral</v>
          </cell>
          <cell r="AC13">
            <v>4</v>
          </cell>
          <cell r="AD13" t="str">
            <v>Eberron</v>
          </cell>
          <cell r="AL13">
            <v>0</v>
          </cell>
        </row>
        <row r="14">
          <cell r="Z14">
            <v>5</v>
          </cell>
          <cell r="AA14" t="str">
            <v>Chaotic Good</v>
          </cell>
          <cell r="AC14">
            <v>5</v>
          </cell>
          <cell r="AD14" t="str">
            <v>Nonhuman</v>
          </cell>
          <cell r="AL14">
            <v>0</v>
          </cell>
        </row>
        <row r="15">
          <cell r="W15">
            <v>0</v>
          </cell>
          <cell r="Z15">
            <v>6</v>
          </cell>
          <cell r="AA15" t="str">
            <v>Chaotic Neutral</v>
          </cell>
          <cell r="AC15">
            <v>6</v>
          </cell>
          <cell r="AD15" t="str">
            <v>Celtic</v>
          </cell>
        </row>
        <row r="16">
          <cell r="Z16">
            <v>7</v>
          </cell>
          <cell r="AA16" t="str">
            <v>Lawful Evil</v>
          </cell>
          <cell r="AC16">
            <v>7</v>
          </cell>
          <cell r="AD16" t="str">
            <v>Greek</v>
          </cell>
        </row>
        <row r="17">
          <cell r="Z17">
            <v>8</v>
          </cell>
          <cell r="AA17" t="str">
            <v>Neutral Evil</v>
          </cell>
          <cell r="AC17">
            <v>8</v>
          </cell>
          <cell r="AD17" t="str">
            <v>Egyptian</v>
          </cell>
        </row>
        <row r="18">
          <cell r="Z18">
            <v>9</v>
          </cell>
          <cell r="AA18" t="str">
            <v>Chaotic Evil</v>
          </cell>
          <cell r="AC18">
            <v>9</v>
          </cell>
          <cell r="AD18" t="str">
            <v>Norse</v>
          </cell>
        </row>
        <row r="19">
          <cell r="X19">
            <v>0</v>
          </cell>
          <cell r="Z19">
            <v>10</v>
          </cell>
          <cell r="AA19" t="str">
            <v>Non-Evil Random</v>
          </cell>
          <cell r="AC19">
            <v>10</v>
          </cell>
          <cell r="AD19" t="str">
            <v>Metaphysical</v>
          </cell>
        </row>
        <row r="20">
          <cell r="AC20">
            <v>11</v>
          </cell>
          <cell r="AD20" t="str">
            <v>None</v>
          </cell>
        </row>
        <row r="27">
          <cell r="X27">
            <v>1</v>
          </cell>
        </row>
        <row r="31">
          <cell r="AO31">
            <v>0</v>
          </cell>
        </row>
        <row r="40">
          <cell r="AL40">
            <v>0</v>
          </cell>
        </row>
      </sheetData>
      <sheetData sheetId="2">
        <row r="7">
          <cell r="O7" t="str">
            <v>Cleric</v>
          </cell>
          <cell r="P7" t="str">
            <v>Cleric_Cantrip</v>
          </cell>
          <cell r="Q7" t="str">
            <v>Cleric_First</v>
          </cell>
        </row>
        <row r="8">
          <cell r="O8" t="str">
            <v>Bard</v>
          </cell>
          <cell r="P8" t="str">
            <v>Bard_Cantrip</v>
          </cell>
          <cell r="Q8" t="str">
            <v>Bard_First</v>
          </cell>
        </row>
        <row r="9">
          <cell r="O9" t="str">
            <v>Druid</v>
          </cell>
          <cell r="P9" t="str">
            <v>Druid_Cantrip</v>
          </cell>
          <cell r="Q9" t="str">
            <v>Druid_First</v>
          </cell>
        </row>
      </sheetData>
      <sheetData sheetId="3" refreshError="1"/>
      <sheetData sheetId="4">
        <row r="5">
          <cell r="C5">
            <v>7</v>
          </cell>
          <cell r="D5">
            <v>7</v>
          </cell>
        </row>
        <row r="8">
          <cell r="C8">
            <v>4</v>
          </cell>
          <cell r="D8" t="str">
            <v>Wizard</v>
          </cell>
        </row>
        <row r="9">
          <cell r="C9">
            <v>10</v>
          </cell>
          <cell r="D9" t="str">
            <v>(War Magic)</v>
          </cell>
        </row>
        <row r="10">
          <cell r="C10">
            <v>5</v>
          </cell>
        </row>
        <row r="11">
          <cell r="C11">
            <v>21</v>
          </cell>
          <cell r="D11" t="str">
            <v>Tiefling</v>
          </cell>
        </row>
        <row r="13">
          <cell r="C13">
            <v>6</v>
          </cell>
          <cell r="D13" t="str">
            <v>Soldier</v>
          </cell>
        </row>
        <row r="21">
          <cell r="G21" t="str">
            <v/>
          </cell>
        </row>
        <row r="22">
          <cell r="G22" t="str">
            <v/>
          </cell>
        </row>
        <row r="23">
          <cell r="G23" t="str">
            <v>Religion</v>
          </cell>
        </row>
        <row r="25">
          <cell r="G25" t="str">
            <v/>
          </cell>
        </row>
        <row r="26">
          <cell r="G26" t="str">
            <v/>
          </cell>
        </row>
        <row r="32">
          <cell r="C32">
            <v>6</v>
          </cell>
          <cell r="D32" t="str">
            <v>Celtic</v>
          </cell>
        </row>
        <row r="46">
          <cell r="C46">
            <v>3</v>
          </cell>
        </row>
        <row r="55">
          <cell r="C55" t="str">
            <v>Quarterstaff</v>
          </cell>
        </row>
        <row r="61">
          <cell r="C61" t="str">
            <v>Lgt. X-bow</v>
          </cell>
        </row>
        <row r="78">
          <cell r="C78" t="str">
            <v>Wizard</v>
          </cell>
        </row>
        <row r="79">
          <cell r="C79" t="str">
            <v>(War Magic)</v>
          </cell>
        </row>
      </sheetData>
      <sheetData sheetId="5" refreshError="1"/>
      <sheetData sheetId="6">
        <row r="3">
          <cell r="Z3">
            <v>1</v>
          </cell>
          <cell r="AA3">
            <v>-5</v>
          </cell>
        </row>
        <row r="4">
          <cell r="Z4">
            <v>2</v>
          </cell>
          <cell r="AA4">
            <v>-4</v>
          </cell>
        </row>
        <row r="5">
          <cell r="Z5">
            <v>3</v>
          </cell>
          <cell r="AA5">
            <v>-4</v>
          </cell>
        </row>
        <row r="6">
          <cell r="Z6">
            <v>4</v>
          </cell>
          <cell r="AA6">
            <v>-3</v>
          </cell>
        </row>
        <row r="7">
          <cell r="Z7">
            <v>5</v>
          </cell>
          <cell r="AA7">
            <v>-3</v>
          </cell>
        </row>
        <row r="8">
          <cell r="Z8">
            <v>6</v>
          </cell>
          <cell r="AA8">
            <v>-2</v>
          </cell>
        </row>
        <row r="9">
          <cell r="Z9">
            <v>7</v>
          </cell>
          <cell r="AA9">
            <v>-2</v>
          </cell>
        </row>
        <row r="10">
          <cell r="Z10">
            <v>8</v>
          </cell>
          <cell r="AA10">
            <v>-1</v>
          </cell>
        </row>
        <row r="11">
          <cell r="Z11">
            <v>9</v>
          </cell>
          <cell r="AA11">
            <v>-1</v>
          </cell>
        </row>
        <row r="12">
          <cell r="Z12">
            <v>10</v>
          </cell>
          <cell r="AA12">
            <v>0</v>
          </cell>
        </row>
        <row r="13">
          <cell r="Z13">
            <v>11</v>
          </cell>
          <cell r="AA13">
            <v>0</v>
          </cell>
        </row>
        <row r="14">
          <cell r="Z14">
            <v>12</v>
          </cell>
          <cell r="AA14">
            <v>1</v>
          </cell>
        </row>
        <row r="15">
          <cell r="Z15">
            <v>13</v>
          </cell>
          <cell r="AA15">
            <v>1</v>
          </cell>
        </row>
        <row r="16">
          <cell r="Z16">
            <v>14</v>
          </cell>
          <cell r="AA16">
            <v>2</v>
          </cell>
        </row>
        <row r="17">
          <cell r="Z17">
            <v>15</v>
          </cell>
          <cell r="AA17">
            <v>2</v>
          </cell>
        </row>
        <row r="18">
          <cell r="Z18">
            <v>16</v>
          </cell>
          <cell r="AA18">
            <v>3</v>
          </cell>
        </row>
        <row r="19">
          <cell r="Z19">
            <v>17</v>
          </cell>
          <cell r="AA19">
            <v>3</v>
          </cell>
        </row>
        <row r="20">
          <cell r="Z20">
            <v>18</v>
          </cell>
          <cell r="AA20">
            <v>4</v>
          </cell>
        </row>
        <row r="21">
          <cell r="Z21">
            <v>19</v>
          </cell>
          <cell r="AA21">
            <v>4</v>
          </cell>
        </row>
        <row r="22">
          <cell r="Z22">
            <v>20</v>
          </cell>
          <cell r="AA22">
            <v>5</v>
          </cell>
        </row>
        <row r="23">
          <cell r="Z23">
            <v>21</v>
          </cell>
          <cell r="AA23">
            <v>5</v>
          </cell>
        </row>
        <row r="24">
          <cell r="D24">
            <v>13.010917186970582</v>
          </cell>
          <cell r="P24" t="str">
            <v>Str</v>
          </cell>
          <cell r="Q24">
            <v>13.010917186970582</v>
          </cell>
          <cell r="R24">
            <v>1</v>
          </cell>
          <cell r="T24">
            <v>1</v>
          </cell>
          <cell r="Z24">
            <v>22</v>
          </cell>
          <cell r="AA24">
            <v>6</v>
          </cell>
        </row>
        <row r="25">
          <cell r="D25">
            <v>16.014217381078286</v>
          </cell>
          <cell r="P25" t="str">
            <v>Dex</v>
          </cell>
          <cell r="Q25">
            <v>16.014217381078286</v>
          </cell>
          <cell r="R25">
            <v>3</v>
          </cell>
          <cell r="T25">
            <v>3</v>
          </cell>
        </row>
        <row r="26">
          <cell r="D26">
            <v>15.009468397344969</v>
          </cell>
          <cell r="P26" t="str">
            <v>Con</v>
          </cell>
          <cell r="Q26">
            <v>15.009468397344969</v>
          </cell>
          <cell r="R26">
            <v>2</v>
          </cell>
          <cell r="T26">
            <v>2</v>
          </cell>
        </row>
        <row r="27">
          <cell r="D27">
            <v>16.019143666433976</v>
          </cell>
          <cell r="P27" t="str">
            <v>Int</v>
          </cell>
          <cell r="Q27">
            <v>19.019143666433976</v>
          </cell>
          <cell r="R27">
            <v>4</v>
          </cell>
          <cell r="T27">
            <v>7</v>
          </cell>
        </row>
        <row r="28">
          <cell r="D28">
            <v>10.013455674536051</v>
          </cell>
          <cell r="P28" t="str">
            <v>Wis</v>
          </cell>
          <cell r="Q28">
            <v>10.013455674536051</v>
          </cell>
          <cell r="R28">
            <v>0</v>
          </cell>
          <cell r="T28">
            <v>3</v>
          </cell>
        </row>
        <row r="29">
          <cell r="D29">
            <v>12.022116237486282</v>
          </cell>
          <cell r="P29" t="str">
            <v>Cha</v>
          </cell>
          <cell r="Q29">
            <v>14.022116237486282</v>
          </cell>
          <cell r="R29">
            <v>2</v>
          </cell>
          <cell r="T29">
            <v>2</v>
          </cell>
        </row>
        <row r="36">
          <cell r="H36">
            <v>16.019143666433976</v>
          </cell>
        </row>
        <row r="37">
          <cell r="H37">
            <v>16.014217381078286</v>
          </cell>
        </row>
        <row r="38">
          <cell r="H38">
            <v>15.009468397344969</v>
          </cell>
        </row>
        <row r="39">
          <cell r="H39">
            <v>13.010917186970582</v>
          </cell>
        </row>
        <row r="40">
          <cell r="H40">
            <v>12.022116237486282</v>
          </cell>
        </row>
        <row r="41">
          <cell r="H41">
            <v>10.013455674536051</v>
          </cell>
        </row>
      </sheetData>
      <sheetData sheetId="7">
        <row r="4">
          <cell r="B4">
            <v>32</v>
          </cell>
        </row>
        <row r="6">
          <cell r="B6">
            <v>1</v>
          </cell>
          <cell r="C6" t="str">
            <v>Hill Dwarf</v>
          </cell>
          <cell r="D6" t="str">
            <v>Orsik  Loderr</v>
          </cell>
          <cell r="E6">
            <v>0</v>
          </cell>
          <cell r="F6">
            <v>0</v>
          </cell>
          <cell r="G6">
            <v>2</v>
          </cell>
          <cell r="H6">
            <v>0</v>
          </cell>
          <cell r="I6">
            <v>1</v>
          </cell>
          <cell r="J6">
            <v>0</v>
          </cell>
          <cell r="L6">
            <v>1</v>
          </cell>
          <cell r="M6">
            <v>3</v>
          </cell>
          <cell r="O6" t="str">
            <v>Battleaxe, handaxe, thr.Hammer, Warhammer</v>
          </cell>
          <cell r="P6" t="str">
            <v xml:space="preserve"> </v>
          </cell>
          <cell r="Q6" t="str">
            <v>Brewer's supplies</v>
          </cell>
          <cell r="R6">
            <v>4</v>
          </cell>
          <cell r="S6">
            <v>44</v>
          </cell>
          <cell r="T6">
            <v>48</v>
          </cell>
          <cell r="U6">
            <v>115</v>
          </cell>
          <cell r="V6">
            <v>6</v>
          </cell>
          <cell r="W6">
            <v>139</v>
          </cell>
          <cell r="X6">
            <v>25</v>
          </cell>
          <cell r="Y6" t="str">
            <v xml:space="preserve"> </v>
          </cell>
          <cell r="Z6" t="str">
            <v xml:space="preserve"> </v>
          </cell>
          <cell r="AA6" t="str">
            <v>Darkvision, Dwarven Resilience, Dw.Combat Training, Tool Proficiency, Stonecunning.</v>
          </cell>
          <cell r="AB6" t="str">
            <v>N/A</v>
          </cell>
          <cell r="AD6" t="str">
            <v>(Removed Common)</v>
          </cell>
          <cell r="AE6" t="str">
            <v>Poison</v>
          </cell>
          <cell r="AF6" t="str">
            <v>Darkvision: see in dim light within 60' as bright light, and in darkness as dim light. | Dw. Resilience: Advantage on saves vs. poison, and resistance vs. poison damage. | Stonecunning: Intelligence(History) check for stonework doubles proficiency bonus.</v>
          </cell>
        </row>
        <row r="7">
          <cell r="B7">
            <v>2</v>
          </cell>
          <cell r="C7" t="str">
            <v>Mountain Dwarf</v>
          </cell>
          <cell r="D7" t="str">
            <v>Orsik  Loderr</v>
          </cell>
          <cell r="E7">
            <v>2</v>
          </cell>
          <cell r="F7">
            <v>0</v>
          </cell>
          <cell r="G7">
            <v>2</v>
          </cell>
          <cell r="H7">
            <v>0</v>
          </cell>
          <cell r="I7">
            <v>0</v>
          </cell>
          <cell r="J7">
            <v>0</v>
          </cell>
          <cell r="L7">
            <v>1</v>
          </cell>
          <cell r="M7">
            <v>3</v>
          </cell>
          <cell r="O7" t="str">
            <v>Battleaxe, handaxe, thr.Hammer, Warhammer</v>
          </cell>
          <cell r="P7" t="str">
            <v>Light, Medium armor</v>
          </cell>
          <cell r="Q7" t="str">
            <v>Brewer's supplies</v>
          </cell>
          <cell r="R7">
            <v>7</v>
          </cell>
          <cell r="S7">
            <v>48</v>
          </cell>
          <cell r="T7">
            <v>55</v>
          </cell>
          <cell r="U7">
            <v>130</v>
          </cell>
          <cell r="V7">
            <v>11</v>
          </cell>
          <cell r="W7">
            <v>207</v>
          </cell>
          <cell r="X7">
            <v>25</v>
          </cell>
          <cell r="Y7" t="str">
            <v xml:space="preserve"> </v>
          </cell>
          <cell r="Z7" t="str">
            <v xml:space="preserve"> </v>
          </cell>
          <cell r="AA7" t="str">
            <v>Darkvision, Dwarf Resilience, Dw.Combat Training, Stonecunning, &amp; Dw.Armor Training.</v>
          </cell>
          <cell r="AB7" t="str">
            <v>N/A</v>
          </cell>
          <cell r="AC7">
            <v>0.74759955229633712</v>
          </cell>
          <cell r="AD7" t="str">
            <v>Dwarvish</v>
          </cell>
          <cell r="AE7" t="str">
            <v>Poison</v>
          </cell>
          <cell r="AF7" t="str">
            <v>Darkvision: see in dim light within 60' as bright light, and in darkness as dim light. | Dw. Resilience: Advantage on saves vs. poison, and resistance vs. poison damage. | Stonecunning: Intelligence(History) check for stonework doubles proficiency bonus.</v>
          </cell>
        </row>
        <row r="8">
          <cell r="B8">
            <v>3</v>
          </cell>
          <cell r="C8" t="str">
            <v>High Elf</v>
          </cell>
          <cell r="D8" t="str">
            <v>Tharivol  Xiloscient(Goldpetal)</v>
          </cell>
          <cell r="E8">
            <v>0</v>
          </cell>
          <cell r="F8">
            <v>2</v>
          </cell>
          <cell r="G8">
            <v>0</v>
          </cell>
          <cell r="H8">
            <v>1</v>
          </cell>
          <cell r="I8">
            <v>0</v>
          </cell>
          <cell r="J8">
            <v>0</v>
          </cell>
          <cell r="L8">
            <v>1</v>
          </cell>
          <cell r="M8">
            <v>2</v>
          </cell>
          <cell r="N8">
            <v>13</v>
          </cell>
          <cell r="O8" t="str">
            <v>Longsword, Shortsword, Shortbow, Longbow</v>
          </cell>
          <cell r="P8" t="str">
            <v xml:space="preserve"> </v>
          </cell>
          <cell r="R8">
            <v>18</v>
          </cell>
          <cell r="S8">
            <v>54</v>
          </cell>
          <cell r="T8">
            <v>72</v>
          </cell>
          <cell r="U8">
            <v>90</v>
          </cell>
          <cell r="V8">
            <v>4</v>
          </cell>
          <cell r="W8">
            <v>162</v>
          </cell>
          <cell r="X8">
            <v>30</v>
          </cell>
          <cell r="Y8" t="str">
            <v>Perception</v>
          </cell>
          <cell r="Z8" t="str">
            <v xml:space="preserve"> </v>
          </cell>
          <cell r="AA8" t="str">
            <v>Darkvision, Fey Ancestry, Trance, Elf Weapon Training, and bonus Cantrip.</v>
          </cell>
          <cell r="AB8" t="str">
            <v>Light (High Elf cantrip)</v>
          </cell>
          <cell r="AC8">
            <v>0.97485265291820022</v>
          </cell>
          <cell r="AD8" t="str">
            <v>Elvish</v>
          </cell>
          <cell r="AE8" t="str">
            <v>Charm, Immune to Sleep</v>
          </cell>
          <cell r="AF8" t="str">
            <v xml:space="preserve">Darkvision: see in dim light within 60' as bright light, and in darkness as dim light. | Fey Ancestry: Adv on saves vs charm and immune to sleep magic. | Trance: Do not need sleep. Semiconscious meditation for 4 hours counts as 8 hours sleep. </v>
          </cell>
        </row>
        <row r="9">
          <cell r="B9">
            <v>4</v>
          </cell>
          <cell r="C9" t="str">
            <v>Wood Elf</v>
          </cell>
          <cell r="D9" t="str">
            <v>Tharivol  Xiloscient(Goldpetal)</v>
          </cell>
          <cell r="E9">
            <v>0</v>
          </cell>
          <cell r="F9">
            <v>2</v>
          </cell>
          <cell r="G9">
            <v>0</v>
          </cell>
          <cell r="H9">
            <v>0</v>
          </cell>
          <cell r="I9">
            <v>1</v>
          </cell>
          <cell r="J9">
            <v>0</v>
          </cell>
          <cell r="L9">
            <v>1</v>
          </cell>
          <cell r="M9">
            <v>2</v>
          </cell>
          <cell r="O9" t="str">
            <v>Longsword, Shortsword, Shortbow, Longbow</v>
          </cell>
          <cell r="P9" t="str">
            <v xml:space="preserve"> </v>
          </cell>
          <cell r="R9">
            <v>17</v>
          </cell>
          <cell r="S9">
            <v>54</v>
          </cell>
          <cell r="T9">
            <v>71</v>
          </cell>
          <cell r="U9">
            <v>100</v>
          </cell>
          <cell r="V9">
            <v>2</v>
          </cell>
          <cell r="W9">
            <v>134</v>
          </cell>
          <cell r="X9">
            <v>35</v>
          </cell>
          <cell r="Y9" t="str">
            <v>Perception</v>
          </cell>
          <cell r="Z9" t="str">
            <v xml:space="preserve"> </v>
          </cell>
          <cell r="AA9" t="str">
            <v>Darkvision, Fey Ancestry, Trance, Elf Weapon Training, and Mask of the Wild.</v>
          </cell>
          <cell r="AB9" t="str">
            <v>N/A</v>
          </cell>
          <cell r="AC9">
            <v>0.26112571539910445</v>
          </cell>
          <cell r="AD9" t="str">
            <v>Giant</v>
          </cell>
          <cell r="AE9" t="str">
            <v>Charm, Immune to Sleep</v>
          </cell>
          <cell r="AF9" t="str">
            <v>Darkvision: see in dim light within 60' as bright light, and in darkness as dim light. | Fey Ancestry: Adv on saves vs charm and immune to sleep magic. | Trance: Do not need sleep. Semiconscious meditation for 4 hours counts as 8 hours sleep. | Mask of the Wild: May hide even in only lightly obscuring natural phenomena.</v>
          </cell>
        </row>
        <row r="10">
          <cell r="B10">
            <v>5</v>
          </cell>
          <cell r="C10" t="str">
            <v>Lightfoot Halfling</v>
          </cell>
          <cell r="D10" t="str">
            <v>Finnan  High-hill</v>
          </cell>
          <cell r="E10">
            <v>0</v>
          </cell>
          <cell r="F10">
            <v>2</v>
          </cell>
          <cell r="G10">
            <v>0</v>
          </cell>
          <cell r="H10">
            <v>0</v>
          </cell>
          <cell r="I10">
            <v>0</v>
          </cell>
          <cell r="J10">
            <v>1</v>
          </cell>
          <cell r="L10">
            <v>1</v>
          </cell>
          <cell r="M10">
            <v>7</v>
          </cell>
          <cell r="O10" t="str">
            <v xml:space="preserve"> </v>
          </cell>
          <cell r="P10" t="str">
            <v xml:space="preserve"> </v>
          </cell>
          <cell r="R10">
            <v>6</v>
          </cell>
          <cell r="S10">
            <v>31</v>
          </cell>
          <cell r="T10">
            <v>37</v>
          </cell>
          <cell r="U10">
            <v>35</v>
          </cell>
          <cell r="V10">
            <v>1</v>
          </cell>
          <cell r="W10">
            <v>41</v>
          </cell>
          <cell r="X10">
            <v>30</v>
          </cell>
          <cell r="Y10" t="str">
            <v xml:space="preserve"> </v>
          </cell>
          <cell r="Z10" t="str">
            <v xml:space="preserve"> </v>
          </cell>
          <cell r="AA10" t="str">
            <v>Lucky, Brave, Halfling Nimbleness, Naturally Stealthy</v>
          </cell>
          <cell r="AB10" t="str">
            <v>N/A</v>
          </cell>
          <cell r="AC10">
            <v>0.42698319946463181</v>
          </cell>
          <cell r="AD10" t="str">
            <v>Gnomish</v>
          </cell>
          <cell r="AE10" t="str">
            <v>Fright</v>
          </cell>
          <cell r="AF10" t="str">
            <v>Lucky: May re-roll a 1 on attack, ability, or save but must take new roll. | Brave: Advantage on saves vs. being frightened. | Halfling Nimbleness: Can move through the space of any creature that is a size larger. | Naturally Stealthy:  Can attempt to hide even when obscured only by a creature one size larger.</v>
          </cell>
        </row>
        <row r="11">
          <cell r="B11">
            <v>6</v>
          </cell>
          <cell r="C11" t="str">
            <v>Stout Halfling</v>
          </cell>
          <cell r="D11" t="str">
            <v>Finnan  High-hill</v>
          </cell>
          <cell r="E11">
            <v>0</v>
          </cell>
          <cell r="F11">
            <v>2</v>
          </cell>
          <cell r="G11">
            <v>1</v>
          </cell>
          <cell r="H11">
            <v>0</v>
          </cell>
          <cell r="I11">
            <v>0</v>
          </cell>
          <cell r="J11">
            <v>0</v>
          </cell>
          <cell r="L11">
            <v>1</v>
          </cell>
          <cell r="M11">
            <v>7</v>
          </cell>
          <cell r="O11" t="str">
            <v xml:space="preserve"> </v>
          </cell>
          <cell r="P11" t="str">
            <v xml:space="preserve"> </v>
          </cell>
          <cell r="R11">
            <v>4</v>
          </cell>
          <cell r="S11">
            <v>31</v>
          </cell>
          <cell r="T11">
            <v>35</v>
          </cell>
          <cell r="U11">
            <v>35</v>
          </cell>
          <cell r="V11">
            <v>1</v>
          </cell>
          <cell r="W11">
            <v>39</v>
          </cell>
          <cell r="X11">
            <v>25</v>
          </cell>
          <cell r="Y11" t="str">
            <v xml:space="preserve"> </v>
          </cell>
          <cell r="Z11" t="str">
            <v xml:space="preserve"> </v>
          </cell>
          <cell r="AA11" t="str">
            <v>Lucky, Brave, Halfling Nimbleness, Stout Resilience</v>
          </cell>
          <cell r="AB11" t="str">
            <v>N/A</v>
          </cell>
          <cell r="AC11">
            <v>0.13968617548571072</v>
          </cell>
          <cell r="AD11" t="str">
            <v>Goblin</v>
          </cell>
          <cell r="AE11" t="str">
            <v>Fright, Poison</v>
          </cell>
          <cell r="AF11" t="str">
            <v>Lucky: May re-roll a 1 on attack, ability, or save but must take new roll. | Brave: Advantage on saves vs. being frightened. | Halfling Nimbleness: Can move through the space of any creature that is a size larger. | Stout Resilience: Advantage on saves vs. poison, and resistance vs. poison.</v>
          </cell>
        </row>
        <row r="12">
          <cell r="B12">
            <v>7</v>
          </cell>
          <cell r="C12" t="str">
            <v>Human (Calishite)</v>
          </cell>
          <cell r="D12" t="str">
            <v>Haseid  Khalid</v>
          </cell>
          <cell r="E12">
            <v>1</v>
          </cell>
          <cell r="F12">
            <v>1</v>
          </cell>
          <cell r="G12">
            <v>1</v>
          </cell>
          <cell r="H12">
            <v>1</v>
          </cell>
          <cell r="I12">
            <v>1</v>
          </cell>
          <cell r="J12">
            <v>1</v>
          </cell>
          <cell r="L12">
            <v>1</v>
          </cell>
          <cell r="M12">
            <v>2</v>
          </cell>
          <cell r="O12" t="str">
            <v xml:space="preserve"> </v>
          </cell>
          <cell r="P12" t="str">
            <v xml:space="preserve"> </v>
          </cell>
          <cell r="R12">
            <v>14</v>
          </cell>
          <cell r="S12">
            <v>56</v>
          </cell>
          <cell r="T12">
            <v>70</v>
          </cell>
          <cell r="U12">
            <v>110</v>
          </cell>
          <cell r="V12">
            <v>8</v>
          </cell>
          <cell r="W12">
            <v>222</v>
          </cell>
          <cell r="X12">
            <v>25</v>
          </cell>
          <cell r="Y12" t="str">
            <v xml:space="preserve"> </v>
          </cell>
          <cell r="Z12" t="str">
            <v xml:space="preserve"> </v>
          </cell>
          <cell r="AA12" t="str">
            <v>-</v>
          </cell>
          <cell r="AB12" t="str">
            <v>N/A</v>
          </cell>
          <cell r="AC12">
            <v>0.59612249785237925</v>
          </cell>
          <cell r="AD12" t="str">
            <v>Halfing</v>
          </cell>
          <cell r="AF12" t="str">
            <v>Human</v>
          </cell>
        </row>
        <row r="13">
          <cell r="B13">
            <v>8</v>
          </cell>
          <cell r="C13" t="str">
            <v>Human (Chondathan)</v>
          </cell>
          <cell r="D13" t="str">
            <v>Grim  Dundragon</v>
          </cell>
          <cell r="E13">
            <v>1</v>
          </cell>
          <cell r="F13">
            <v>1</v>
          </cell>
          <cell r="G13">
            <v>1</v>
          </cell>
          <cell r="H13">
            <v>1</v>
          </cell>
          <cell r="I13">
            <v>1</v>
          </cell>
          <cell r="J13">
            <v>1</v>
          </cell>
          <cell r="L13">
            <v>1</v>
          </cell>
          <cell r="M13">
            <v>9</v>
          </cell>
          <cell r="O13" t="str">
            <v xml:space="preserve"> </v>
          </cell>
          <cell r="P13" t="str">
            <v xml:space="preserve"> </v>
          </cell>
          <cell r="R13">
            <v>5</v>
          </cell>
          <cell r="S13">
            <v>56</v>
          </cell>
          <cell r="T13">
            <v>61</v>
          </cell>
          <cell r="U13">
            <v>110</v>
          </cell>
          <cell r="V13">
            <v>3</v>
          </cell>
          <cell r="W13">
            <v>125</v>
          </cell>
          <cell r="X13">
            <v>30</v>
          </cell>
          <cell r="Y13" t="str">
            <v xml:space="preserve"> </v>
          </cell>
          <cell r="Z13" t="str">
            <v xml:space="preserve"> </v>
          </cell>
          <cell r="AA13" t="str">
            <v>-</v>
          </cell>
          <cell r="AB13" t="str">
            <v>N/A</v>
          </cell>
          <cell r="AC13">
            <v>0.24304563413319114</v>
          </cell>
          <cell r="AD13" t="str">
            <v>Orc</v>
          </cell>
          <cell r="AF13" t="str">
            <v>Human</v>
          </cell>
        </row>
        <row r="14">
          <cell r="B14">
            <v>9</v>
          </cell>
          <cell r="C14" t="str">
            <v>Human (Damaran)</v>
          </cell>
          <cell r="D14" t="str">
            <v>Sergor  Marsk</v>
          </cell>
          <cell r="E14">
            <v>1</v>
          </cell>
          <cell r="F14">
            <v>1</v>
          </cell>
          <cell r="G14">
            <v>1</v>
          </cell>
          <cell r="H14">
            <v>1</v>
          </cell>
          <cell r="I14">
            <v>1</v>
          </cell>
          <cell r="J14">
            <v>1</v>
          </cell>
          <cell r="L14">
            <v>1</v>
          </cell>
          <cell r="M14">
            <v>8</v>
          </cell>
          <cell r="O14" t="str">
            <v xml:space="preserve"> </v>
          </cell>
          <cell r="P14" t="str">
            <v xml:space="preserve"> </v>
          </cell>
          <cell r="R14">
            <v>9</v>
          </cell>
          <cell r="S14">
            <v>56</v>
          </cell>
          <cell r="T14">
            <v>65</v>
          </cell>
          <cell r="U14">
            <v>110</v>
          </cell>
          <cell r="V14">
            <v>5</v>
          </cell>
          <cell r="W14">
            <v>155</v>
          </cell>
          <cell r="X14">
            <v>30</v>
          </cell>
          <cell r="Y14" t="str">
            <v xml:space="preserve"> </v>
          </cell>
          <cell r="Z14" t="str">
            <v xml:space="preserve"> </v>
          </cell>
          <cell r="AA14" t="str">
            <v>-</v>
          </cell>
          <cell r="AB14" t="str">
            <v>N/A</v>
          </cell>
          <cell r="AC14">
            <v>0.57364611303176516</v>
          </cell>
          <cell r="AD14" t="str">
            <v>Abyssal</v>
          </cell>
          <cell r="AF14" t="str">
            <v>Human</v>
          </cell>
        </row>
        <row r="15">
          <cell r="B15">
            <v>10</v>
          </cell>
          <cell r="C15" t="str">
            <v>Human (Illuskan)</v>
          </cell>
          <cell r="D15" t="str">
            <v>Malcer  Lackman</v>
          </cell>
          <cell r="E15">
            <v>1</v>
          </cell>
          <cell r="F15">
            <v>1</v>
          </cell>
          <cell r="G15">
            <v>1</v>
          </cell>
          <cell r="H15">
            <v>1</v>
          </cell>
          <cell r="I15">
            <v>1</v>
          </cell>
          <cell r="J15">
            <v>1</v>
          </cell>
          <cell r="L15">
            <v>1</v>
          </cell>
          <cell r="M15">
            <v>11</v>
          </cell>
          <cell r="O15" t="str">
            <v xml:space="preserve"> </v>
          </cell>
          <cell r="P15" t="str">
            <v xml:space="preserve"> </v>
          </cell>
          <cell r="R15">
            <v>7</v>
          </cell>
          <cell r="S15">
            <v>56</v>
          </cell>
          <cell r="T15">
            <v>63</v>
          </cell>
          <cell r="U15">
            <v>110</v>
          </cell>
          <cell r="V15">
            <v>2</v>
          </cell>
          <cell r="W15">
            <v>124</v>
          </cell>
          <cell r="X15">
            <v>30</v>
          </cell>
          <cell r="Y15" t="str">
            <v xml:space="preserve"> </v>
          </cell>
          <cell r="Z15" t="str">
            <v xml:space="preserve"> </v>
          </cell>
          <cell r="AA15" t="str">
            <v>-</v>
          </cell>
          <cell r="AB15" t="str">
            <v>N/A</v>
          </cell>
          <cell r="AC15">
            <v>4.0665216710401242E-2</v>
          </cell>
          <cell r="AD15" t="str">
            <v>Celestial</v>
          </cell>
          <cell r="AF15" t="str">
            <v>Human</v>
          </cell>
        </row>
        <row r="16">
          <cell r="B16">
            <v>11</v>
          </cell>
          <cell r="C16" t="str">
            <v>Human (Mulan)</v>
          </cell>
          <cell r="D16" t="str">
            <v>Ramas  Fezim</v>
          </cell>
          <cell r="E16">
            <v>1</v>
          </cell>
          <cell r="F16">
            <v>1</v>
          </cell>
          <cell r="G16">
            <v>1</v>
          </cell>
          <cell r="H16">
            <v>1</v>
          </cell>
          <cell r="I16">
            <v>1</v>
          </cell>
          <cell r="J16">
            <v>1</v>
          </cell>
          <cell r="L16">
            <v>1</v>
          </cell>
          <cell r="M16">
            <v>13</v>
          </cell>
          <cell r="O16" t="str">
            <v xml:space="preserve"> </v>
          </cell>
          <cell r="P16" t="str">
            <v xml:space="preserve"> </v>
          </cell>
          <cell r="R16">
            <v>7</v>
          </cell>
          <cell r="S16">
            <v>56</v>
          </cell>
          <cell r="T16">
            <v>63</v>
          </cell>
          <cell r="U16">
            <v>110</v>
          </cell>
          <cell r="V16">
            <v>4</v>
          </cell>
          <cell r="W16">
            <v>138</v>
          </cell>
          <cell r="X16">
            <v>30</v>
          </cell>
          <cell r="Y16" t="str">
            <v xml:space="preserve"> </v>
          </cell>
          <cell r="Z16" t="str">
            <v xml:space="preserve"> </v>
          </cell>
          <cell r="AA16" t="str">
            <v>-</v>
          </cell>
          <cell r="AB16" t="str">
            <v>N/A</v>
          </cell>
          <cell r="AC16">
            <v>0.1531290777447758</v>
          </cell>
          <cell r="AD16" t="str">
            <v>Draconic</v>
          </cell>
          <cell r="AF16" t="str">
            <v>Human</v>
          </cell>
        </row>
        <row r="17">
          <cell r="B17">
            <v>12</v>
          </cell>
          <cell r="C17" t="str">
            <v>Human (Rashemi)</v>
          </cell>
          <cell r="D17" t="str">
            <v>Ralmevik  Murnyethara</v>
          </cell>
          <cell r="E17">
            <v>1</v>
          </cell>
          <cell r="F17">
            <v>1</v>
          </cell>
          <cell r="G17">
            <v>1</v>
          </cell>
          <cell r="H17">
            <v>1</v>
          </cell>
          <cell r="I17">
            <v>1</v>
          </cell>
          <cell r="J17">
            <v>1</v>
          </cell>
          <cell r="L17">
            <v>1</v>
          </cell>
          <cell r="M17">
            <v>4</v>
          </cell>
          <cell r="O17" t="str">
            <v xml:space="preserve"> </v>
          </cell>
          <cell r="P17" t="str">
            <v xml:space="preserve"> </v>
          </cell>
          <cell r="R17">
            <v>10</v>
          </cell>
          <cell r="S17">
            <v>56</v>
          </cell>
          <cell r="T17">
            <v>66</v>
          </cell>
          <cell r="U17">
            <v>110</v>
          </cell>
          <cell r="V17">
            <v>5</v>
          </cell>
          <cell r="W17">
            <v>160</v>
          </cell>
          <cell r="X17">
            <v>30</v>
          </cell>
          <cell r="Y17" t="str">
            <v xml:space="preserve"> </v>
          </cell>
          <cell r="Z17" t="str">
            <v xml:space="preserve"> </v>
          </cell>
          <cell r="AA17" t="str">
            <v>-</v>
          </cell>
          <cell r="AB17" t="str">
            <v>N/A</v>
          </cell>
          <cell r="AC17">
            <v>0.65245697191625818</v>
          </cell>
          <cell r="AD17" t="str">
            <v>Deep Speech</v>
          </cell>
          <cell r="AF17" t="str">
            <v>Human</v>
          </cell>
        </row>
        <row r="18">
          <cell r="B18">
            <v>13</v>
          </cell>
          <cell r="C18" t="str">
            <v>Human (Shou)</v>
          </cell>
          <cell r="D18" t="str">
            <v>On  Tan</v>
          </cell>
          <cell r="E18">
            <v>1</v>
          </cell>
          <cell r="F18">
            <v>1</v>
          </cell>
          <cell r="G18">
            <v>1</v>
          </cell>
          <cell r="H18">
            <v>1</v>
          </cell>
          <cell r="I18">
            <v>1</v>
          </cell>
          <cell r="J18">
            <v>1</v>
          </cell>
          <cell r="L18">
            <v>1</v>
          </cell>
          <cell r="M18">
            <v>15</v>
          </cell>
          <cell r="O18" t="str">
            <v xml:space="preserve"> </v>
          </cell>
          <cell r="P18" t="str">
            <v xml:space="preserve"> </v>
          </cell>
          <cell r="R18">
            <v>13</v>
          </cell>
          <cell r="S18">
            <v>56</v>
          </cell>
          <cell r="T18">
            <v>69</v>
          </cell>
          <cell r="U18">
            <v>110</v>
          </cell>
          <cell r="V18">
            <v>5</v>
          </cell>
          <cell r="W18">
            <v>175</v>
          </cell>
          <cell r="X18">
            <v>30</v>
          </cell>
          <cell r="Y18" t="str">
            <v xml:space="preserve"> </v>
          </cell>
          <cell r="Z18" t="str">
            <v xml:space="preserve"> </v>
          </cell>
          <cell r="AA18" t="str">
            <v>-</v>
          </cell>
          <cell r="AB18" t="str">
            <v>N/A</v>
          </cell>
          <cell r="AC18">
            <v>0.49167337666957422</v>
          </cell>
          <cell r="AD18" t="str">
            <v>Infernal</v>
          </cell>
          <cell r="AF18" t="str">
            <v>Human</v>
          </cell>
        </row>
        <row r="19">
          <cell r="B19">
            <v>14</v>
          </cell>
          <cell r="C19" t="str">
            <v>Human (Teth'-Chondath')</v>
          </cell>
          <cell r="D19" t="str">
            <v>Malark  Dundragon</v>
          </cell>
          <cell r="E19">
            <v>1</v>
          </cell>
          <cell r="F19">
            <v>1</v>
          </cell>
          <cell r="G19">
            <v>1</v>
          </cell>
          <cell r="H19">
            <v>1</v>
          </cell>
          <cell r="I19">
            <v>1</v>
          </cell>
          <cell r="J19">
            <v>1</v>
          </cell>
          <cell r="L19">
            <v>1</v>
          </cell>
          <cell r="M19">
            <v>8</v>
          </cell>
          <cell r="O19" t="str">
            <v xml:space="preserve"> </v>
          </cell>
          <cell r="P19" t="str">
            <v xml:space="preserve"> </v>
          </cell>
          <cell r="R19">
            <v>15</v>
          </cell>
          <cell r="S19">
            <v>56</v>
          </cell>
          <cell r="T19">
            <v>71</v>
          </cell>
          <cell r="U19">
            <v>110</v>
          </cell>
          <cell r="V19">
            <v>8</v>
          </cell>
          <cell r="W19">
            <v>230</v>
          </cell>
          <cell r="X19">
            <v>30</v>
          </cell>
          <cell r="Y19" t="str">
            <v xml:space="preserve"> </v>
          </cell>
          <cell r="Z19" t="str">
            <v xml:space="preserve"> </v>
          </cell>
          <cell r="AA19" t="str">
            <v>-</v>
          </cell>
          <cell r="AB19" t="str">
            <v>N/A</v>
          </cell>
          <cell r="AC19">
            <v>9.5542555739496215E-2</v>
          </cell>
          <cell r="AD19" t="str">
            <v>Primordial</v>
          </cell>
          <cell r="AF19" t="str">
            <v>Human</v>
          </cell>
        </row>
        <row r="20">
          <cell r="B20">
            <v>15</v>
          </cell>
          <cell r="C20" t="str">
            <v>Human (Turami)</v>
          </cell>
          <cell r="D20" t="str">
            <v>Marcon  Marivaldi</v>
          </cell>
          <cell r="E20">
            <v>1</v>
          </cell>
          <cell r="F20">
            <v>1</v>
          </cell>
          <cell r="G20">
            <v>1</v>
          </cell>
          <cell r="H20">
            <v>1</v>
          </cell>
          <cell r="I20">
            <v>1</v>
          </cell>
          <cell r="J20">
            <v>1</v>
          </cell>
          <cell r="L20">
            <v>1</v>
          </cell>
          <cell r="M20">
            <v>13</v>
          </cell>
          <cell r="O20" t="str">
            <v xml:space="preserve"> </v>
          </cell>
          <cell r="P20" t="str">
            <v xml:space="preserve"> </v>
          </cell>
          <cell r="R20">
            <v>13</v>
          </cell>
          <cell r="S20">
            <v>56</v>
          </cell>
          <cell r="T20">
            <v>69</v>
          </cell>
          <cell r="U20">
            <v>110</v>
          </cell>
          <cell r="V20">
            <v>4</v>
          </cell>
          <cell r="W20">
            <v>162</v>
          </cell>
          <cell r="X20">
            <v>30</v>
          </cell>
          <cell r="Y20" t="str">
            <v xml:space="preserve"> </v>
          </cell>
          <cell r="Z20" t="str">
            <v xml:space="preserve"> </v>
          </cell>
          <cell r="AA20" t="str">
            <v>-</v>
          </cell>
          <cell r="AB20" t="str">
            <v>N/A</v>
          </cell>
          <cell r="AC20">
            <v>0.67645014244885515</v>
          </cell>
          <cell r="AD20" t="str">
            <v>Sylvan</v>
          </cell>
          <cell r="AF20" t="str">
            <v>Human</v>
          </cell>
        </row>
        <row r="21">
          <cell r="B21">
            <v>16</v>
          </cell>
          <cell r="C21" t="str">
            <v>Human (Variant)</v>
          </cell>
          <cell r="D21" t="str">
            <v>Malark  Dundragon</v>
          </cell>
          <cell r="E21">
            <v>1</v>
          </cell>
          <cell r="F21">
            <v>0</v>
          </cell>
          <cell r="G21">
            <v>0</v>
          </cell>
          <cell r="H21">
            <v>0</v>
          </cell>
          <cell r="I21">
            <v>0</v>
          </cell>
          <cell r="J21">
            <v>1</v>
          </cell>
          <cell r="L21">
            <v>1</v>
          </cell>
          <cell r="M21">
            <v>10</v>
          </cell>
          <cell r="R21">
            <v>10</v>
          </cell>
          <cell r="S21">
            <v>56</v>
          </cell>
          <cell r="T21">
            <v>66</v>
          </cell>
          <cell r="U21">
            <v>110</v>
          </cell>
          <cell r="V21">
            <v>8</v>
          </cell>
          <cell r="W21">
            <v>190</v>
          </cell>
          <cell r="X21">
            <v>30</v>
          </cell>
          <cell r="Y21" t="str">
            <v>Intimidation</v>
          </cell>
          <cell r="Z21" t="str">
            <v xml:space="preserve"> </v>
          </cell>
          <cell r="AA21" t="str">
            <v>Sharpshooter</v>
          </cell>
          <cell r="AB21" t="str">
            <v>N/A</v>
          </cell>
          <cell r="AC21">
            <v>0.84499752957688956</v>
          </cell>
          <cell r="AD21" t="str">
            <v>Undercommon</v>
          </cell>
          <cell r="AF21" t="str">
            <v>Bonus Feat</v>
          </cell>
        </row>
        <row r="22">
          <cell r="B22">
            <v>17</v>
          </cell>
          <cell r="C22" t="str">
            <v>Forest Gnome</v>
          </cell>
          <cell r="D22" t="str">
            <v>Kellen  Nackle</v>
          </cell>
          <cell r="E22">
            <v>0</v>
          </cell>
          <cell r="F22">
            <v>0</v>
          </cell>
          <cell r="G22">
            <v>0</v>
          </cell>
          <cell r="H22">
            <v>2</v>
          </cell>
          <cell r="I22">
            <v>0</v>
          </cell>
          <cell r="J22">
            <v>0</v>
          </cell>
          <cell r="L22">
            <v>1</v>
          </cell>
          <cell r="M22">
            <v>5</v>
          </cell>
          <cell r="R22">
            <v>6</v>
          </cell>
          <cell r="S22">
            <v>35</v>
          </cell>
          <cell r="T22">
            <v>41</v>
          </cell>
          <cell r="U22">
            <v>35</v>
          </cell>
          <cell r="V22">
            <v>1</v>
          </cell>
          <cell r="W22">
            <v>41</v>
          </cell>
          <cell r="X22">
            <v>25</v>
          </cell>
          <cell r="Y22" t="str">
            <v xml:space="preserve"> </v>
          </cell>
          <cell r="Z22" t="str">
            <v xml:space="preserve"> </v>
          </cell>
          <cell r="AA22" t="str">
            <v>Darkvision, Gnome Cunning, Natural Illusionist, Speak with Small Beasts</v>
          </cell>
          <cell r="AB22" t="str">
            <v>Minor Illusion (gnome cantrip)</v>
          </cell>
          <cell r="AF22" t="str">
            <v>Darkvision: see in dim light within 60' as bright light, and in darkness as dim light. | Gnome Cunning: Advantage on all Int, Wis, and Cha saves vs. magic. | Speak with Small Beasts: Can communicate simple ideas with small or smaller beasts.</v>
          </cell>
        </row>
        <row r="23">
          <cell r="B23">
            <v>18</v>
          </cell>
          <cell r="C23" t="str">
            <v>Rock Gnome</v>
          </cell>
          <cell r="D23" t="str">
            <v>Kellen  Nackle</v>
          </cell>
          <cell r="E23">
            <v>0</v>
          </cell>
          <cell r="F23">
            <v>0</v>
          </cell>
          <cell r="G23">
            <v>0</v>
          </cell>
          <cell r="H23">
            <v>2</v>
          </cell>
          <cell r="I23">
            <v>0</v>
          </cell>
          <cell r="J23">
            <v>0</v>
          </cell>
          <cell r="L23">
            <v>1</v>
          </cell>
          <cell r="M23">
            <v>5</v>
          </cell>
          <cell r="R23">
            <v>4</v>
          </cell>
          <cell r="S23">
            <v>35</v>
          </cell>
          <cell r="T23">
            <v>39</v>
          </cell>
          <cell r="U23">
            <v>35</v>
          </cell>
          <cell r="V23">
            <v>1</v>
          </cell>
          <cell r="W23">
            <v>39</v>
          </cell>
          <cell r="X23">
            <v>25</v>
          </cell>
          <cell r="Y23" t="str">
            <v xml:space="preserve"> </v>
          </cell>
          <cell r="Z23" t="str">
            <v xml:space="preserve"> </v>
          </cell>
          <cell r="AA23" t="str">
            <v>Darkvision, Gnome Cunning, Artificer's Lore, Tinker.</v>
          </cell>
          <cell r="AB23" t="str">
            <v>N/A</v>
          </cell>
          <cell r="AC23">
            <v>0.84499752957688956</v>
          </cell>
          <cell r="AD23" t="str">
            <v>Undercommon</v>
          </cell>
          <cell r="AF23" t="str">
            <v>Darkvision: see in dim light within 60' as bright light, and in darkness as dim light. | Gnome Cunning: Advantage on all Int, Wis, and Cha saves vs. magic. | Artificer’s Lore: Add 2x proficiency bonus to Intelligence (History) checks related to magic items, alchemical objects, or tech devices. | Tinker: May construct tiny clockwork device (PHB p.37). |</v>
          </cell>
        </row>
        <row r="24">
          <cell r="B24">
            <v>19</v>
          </cell>
          <cell r="C24" t="str">
            <v>Half-elf</v>
          </cell>
          <cell r="D24" t="str">
            <v>Malark  Dundragon</v>
          </cell>
          <cell r="E24">
            <v>1</v>
          </cell>
          <cell r="F24">
            <v>0</v>
          </cell>
          <cell r="G24">
            <v>1</v>
          </cell>
          <cell r="H24">
            <v>0</v>
          </cell>
          <cell r="I24">
            <v>0</v>
          </cell>
          <cell r="J24">
            <v>2</v>
          </cell>
          <cell r="L24">
            <v>1</v>
          </cell>
          <cell r="M24">
            <v>2</v>
          </cell>
          <cell r="N24">
            <v>13</v>
          </cell>
          <cell r="R24">
            <v>7</v>
          </cell>
          <cell r="S24">
            <v>57</v>
          </cell>
          <cell r="T24">
            <v>64</v>
          </cell>
          <cell r="U24">
            <v>110</v>
          </cell>
          <cell r="V24">
            <v>6</v>
          </cell>
          <cell r="W24">
            <v>152</v>
          </cell>
          <cell r="X24">
            <v>30</v>
          </cell>
          <cell r="Y24" t="str">
            <v>Intimidation</v>
          </cell>
          <cell r="Z24" t="str">
            <v>Persuasion</v>
          </cell>
          <cell r="AA24" t="str">
            <v>Darkvision, Fey Ancestry, (2) Bonus skill proficiencies</v>
          </cell>
          <cell r="AB24" t="str">
            <v>N/A</v>
          </cell>
          <cell r="AC24">
            <v>0.74759955229633712</v>
          </cell>
          <cell r="AD24" t="str">
            <v>Dwarvish</v>
          </cell>
          <cell r="AF24" t="str">
            <v xml:space="preserve">Darkvision: see in dim light within 60' as bright light, and in darkness as dim light. | Fey Ancestry: Adv on saves vs charm and immune to sleep magic. </v>
          </cell>
        </row>
        <row r="25">
          <cell r="B25">
            <v>20</v>
          </cell>
          <cell r="C25" t="str">
            <v>Half-orc</v>
          </cell>
          <cell r="D25" t="str">
            <v>Holg  Badger</v>
          </cell>
          <cell r="E25">
            <v>2</v>
          </cell>
          <cell r="F25">
            <v>0</v>
          </cell>
          <cell r="G25">
            <v>1</v>
          </cell>
          <cell r="H25">
            <v>0</v>
          </cell>
          <cell r="I25">
            <v>0</v>
          </cell>
          <cell r="J25">
            <v>0</v>
          </cell>
          <cell r="L25">
            <v>1</v>
          </cell>
          <cell r="M25">
            <v>8</v>
          </cell>
          <cell r="R25">
            <v>11</v>
          </cell>
          <cell r="S25">
            <v>58</v>
          </cell>
          <cell r="T25">
            <v>69</v>
          </cell>
          <cell r="U25">
            <v>140</v>
          </cell>
          <cell r="V25">
            <v>9</v>
          </cell>
          <cell r="W25">
            <v>239</v>
          </cell>
          <cell r="X25">
            <v>30</v>
          </cell>
          <cell r="Y25" t="str">
            <v>Intimidation</v>
          </cell>
          <cell r="Z25" t="str">
            <v xml:space="preserve"> </v>
          </cell>
          <cell r="AA25" t="str">
            <v>Darkvision, Relentless Endurance, Savage Attacks.</v>
          </cell>
          <cell r="AB25" t="str">
            <v>N/A</v>
          </cell>
          <cell r="AC25">
            <v>0.67645014244885515</v>
          </cell>
          <cell r="AD25" t="str">
            <v>Sylvan</v>
          </cell>
          <cell r="AF25" t="str">
            <v xml:space="preserve">Darkvision: see in dim light within 60' as bright light, and in darkness as dim light. | Relentless Endurance: If reduced to 0 hp, may raise it to 1 hp once until next long rest. | Savage Attacks: Roll an additional damage die on a melee critical. | </v>
          </cell>
        </row>
        <row r="26">
          <cell r="B26">
            <v>21</v>
          </cell>
          <cell r="C26" t="str">
            <v>Tiefling</v>
          </cell>
          <cell r="D26" t="str">
            <v>Leucis  Hope</v>
          </cell>
          <cell r="E26">
            <v>0</v>
          </cell>
          <cell r="F26">
            <v>0</v>
          </cell>
          <cell r="G26">
            <v>0</v>
          </cell>
          <cell r="H26">
            <v>1</v>
          </cell>
          <cell r="I26">
            <v>0</v>
          </cell>
          <cell r="J26">
            <v>2</v>
          </cell>
          <cell r="L26">
            <v>1</v>
          </cell>
          <cell r="M26">
            <v>13</v>
          </cell>
          <cell r="R26">
            <v>7</v>
          </cell>
          <cell r="S26">
            <v>57</v>
          </cell>
          <cell r="T26">
            <v>64</v>
          </cell>
          <cell r="U26">
            <v>110</v>
          </cell>
          <cell r="V26">
            <v>6</v>
          </cell>
          <cell r="W26">
            <v>152</v>
          </cell>
          <cell r="X26">
            <v>30</v>
          </cell>
          <cell r="Y26" t="str">
            <v xml:space="preserve"> </v>
          </cell>
          <cell r="Z26" t="str">
            <v xml:space="preserve"> </v>
          </cell>
          <cell r="AA26" t="str">
            <v>Darkvision, Hellish Resistance, Infernal Legacy.</v>
          </cell>
          <cell r="AB26" t="str">
            <v>Thaumaturgy (tiefling cantrip)</v>
          </cell>
          <cell r="AC26">
            <v>0.65245697191625818</v>
          </cell>
          <cell r="AD26" t="str">
            <v>Deep Speech</v>
          </cell>
          <cell r="AE26" t="str">
            <v>Fire</v>
          </cell>
          <cell r="AF26" t="str">
            <v xml:space="preserve">Darkvision: see in dim light within 60' as bright light, and in darkness as dim light. | Hellish Resistance: resistance to fire damage. | Infernal Legacy thaumaturgy (see p.43). | </v>
          </cell>
        </row>
        <row r="27">
          <cell r="B27">
            <v>22</v>
          </cell>
          <cell r="C27" t="str">
            <v>Dragonborn (Red)</v>
          </cell>
          <cell r="D27" t="str">
            <v>Kriv  Linxakasendalor</v>
          </cell>
          <cell r="E27">
            <v>2</v>
          </cell>
          <cell r="F27">
            <v>0</v>
          </cell>
          <cell r="G27">
            <v>0</v>
          </cell>
          <cell r="H27">
            <v>0</v>
          </cell>
          <cell r="I27">
            <v>0</v>
          </cell>
          <cell r="J27">
            <v>1</v>
          </cell>
          <cell r="L27">
            <v>1</v>
          </cell>
          <cell r="M27">
            <v>11</v>
          </cell>
          <cell r="R27">
            <v>7</v>
          </cell>
          <cell r="S27">
            <v>66</v>
          </cell>
          <cell r="T27">
            <v>73</v>
          </cell>
          <cell r="U27">
            <v>175</v>
          </cell>
          <cell r="V27">
            <v>7</v>
          </cell>
          <cell r="W27">
            <v>224</v>
          </cell>
          <cell r="X27">
            <v>30</v>
          </cell>
          <cell r="Y27" t="str">
            <v xml:space="preserve"> </v>
          </cell>
          <cell r="Z27" t="str">
            <v xml:space="preserve"> </v>
          </cell>
          <cell r="AA27" t="str">
            <v>Draconic Ancestry, Breath Weapon, Damage Resistance.</v>
          </cell>
          <cell r="AB27" t="str">
            <v>N/A</v>
          </cell>
          <cell r="AE27" t="str">
            <v>Damage type</v>
          </cell>
          <cell r="AF27" t="str">
            <v>Breath Weapon: (phb P.34). | Damage Resistance: vs. type associated with ancestry.</v>
          </cell>
        </row>
        <row r="28">
          <cell r="B28">
            <v>23</v>
          </cell>
          <cell r="C28" t="str">
            <v>Dark Elf</v>
          </cell>
          <cell r="D28" t="str">
            <v>Micarlin  Yauntyrr</v>
          </cell>
          <cell r="E28">
            <v>0</v>
          </cell>
          <cell r="F28">
            <v>2</v>
          </cell>
          <cell r="G28">
            <v>0</v>
          </cell>
          <cell r="H28">
            <v>0</v>
          </cell>
          <cell r="I28">
            <v>0</v>
          </cell>
          <cell r="J28">
            <v>1</v>
          </cell>
          <cell r="L28">
            <v>1</v>
          </cell>
          <cell r="M28">
            <v>2</v>
          </cell>
          <cell r="O28" t="str">
            <v>Rapier, Shortsword, Hand Crossbow</v>
          </cell>
          <cell r="R28">
            <v>9</v>
          </cell>
          <cell r="S28">
            <v>53</v>
          </cell>
          <cell r="T28">
            <v>62</v>
          </cell>
          <cell r="U28">
            <v>75</v>
          </cell>
          <cell r="V28">
            <v>2</v>
          </cell>
          <cell r="W28">
            <v>93</v>
          </cell>
          <cell r="X28">
            <v>30</v>
          </cell>
          <cell r="Y28" t="str">
            <v>Perception</v>
          </cell>
          <cell r="Z28" t="str">
            <v xml:space="preserve"> </v>
          </cell>
          <cell r="AA28" t="str">
            <v>Sup. Darkvision, Fey Ancestry, Trance, Sun Sensitivity, Drow Magic, Drow Weapon Training.</v>
          </cell>
          <cell r="AB28" t="str">
            <v>Dancing Lights (dark elf cantrip)</v>
          </cell>
          <cell r="AF28" t="str">
            <v>Superior Darkvision: see in dim light within 120' as bright light, and in darkness as dim light. | Sunlight Sensitivity: Disadvantage on attacks and Perception checks that rely on sight when in direct sunlight. | Fey Ancestry: Adv on saves vs charm and immune to sleep magic. | Trance: Do not need sleep. Semiconscious meditation for 4 hours counts as 8 hours sleep. |</v>
          </cell>
        </row>
        <row r="29">
          <cell r="B29">
            <v>24</v>
          </cell>
          <cell r="C29" t="str">
            <v>Eladrin Elf (DMG)</v>
          </cell>
          <cell r="D29" t="str">
            <v>Tharivol  Xiloscient(Goldpetal)</v>
          </cell>
          <cell r="E29">
            <v>0</v>
          </cell>
          <cell r="F29">
            <v>2</v>
          </cell>
          <cell r="G29">
            <v>0</v>
          </cell>
          <cell r="H29">
            <v>1</v>
          </cell>
          <cell r="I29">
            <v>0</v>
          </cell>
          <cell r="J29">
            <v>0</v>
          </cell>
          <cell r="L29">
            <v>1</v>
          </cell>
          <cell r="M29">
            <v>2</v>
          </cell>
          <cell r="N29">
            <v>9</v>
          </cell>
          <cell r="O29" t="str">
            <v>Longsword, Shortsword, Shortbow, Longbow</v>
          </cell>
          <cell r="P29" t="str">
            <v xml:space="preserve"> </v>
          </cell>
          <cell r="R29">
            <v>12</v>
          </cell>
          <cell r="S29">
            <v>54</v>
          </cell>
          <cell r="T29">
            <v>66</v>
          </cell>
          <cell r="U29">
            <v>90</v>
          </cell>
          <cell r="V29">
            <v>4</v>
          </cell>
          <cell r="W29">
            <v>138</v>
          </cell>
          <cell r="X29">
            <v>30</v>
          </cell>
          <cell r="Y29" t="str">
            <v>Perception</v>
          </cell>
          <cell r="Z29" t="str">
            <v xml:space="preserve"> </v>
          </cell>
          <cell r="AA29" t="str">
            <v>Darkvision, Fey Ancestry, Trance, Elf Weapon Training, and bonus Cantrip.</v>
          </cell>
          <cell r="AB29" t="str">
            <v>Fey Step (Misty Step)</v>
          </cell>
          <cell r="AC29">
            <v>2.9205272727890197E-3</v>
          </cell>
          <cell r="AD29" t="str">
            <v>Elvish</v>
          </cell>
          <cell r="AF29" t="str">
            <v>Darkvision: see in dim light within 60' as bright light, and in darkness as dim light. | Fey Ancestry: Adv on saves vs charm and immune to sleep magic. | Trance: Do not need sleep. Semiconscious meditation for 4 hours counts as 8 hours sleep. | Fey Step: may cast Misty Step once until next long rest. |</v>
          </cell>
        </row>
        <row r="30">
          <cell r="B30">
            <v>25</v>
          </cell>
          <cell r="C30" t="str">
            <v>Aasimar (DMG)</v>
          </cell>
          <cell r="D30" t="str">
            <v>Malark  Dundragon</v>
          </cell>
          <cell r="E30">
            <v>0</v>
          </cell>
          <cell r="F30">
            <v>0</v>
          </cell>
          <cell r="G30">
            <v>0</v>
          </cell>
          <cell r="H30">
            <v>0</v>
          </cell>
          <cell r="I30">
            <v>1</v>
          </cell>
          <cell r="J30">
            <v>2</v>
          </cell>
          <cell r="L30">
            <v>1</v>
          </cell>
          <cell r="M30">
            <v>10</v>
          </cell>
          <cell r="R30">
            <v>14</v>
          </cell>
          <cell r="S30">
            <v>56</v>
          </cell>
          <cell r="T30">
            <v>70</v>
          </cell>
          <cell r="U30">
            <v>110</v>
          </cell>
          <cell r="V30">
            <v>3</v>
          </cell>
          <cell r="W30">
            <v>152</v>
          </cell>
          <cell r="X30">
            <v>30</v>
          </cell>
          <cell r="AA30" t="str">
            <v>Darkvision, Celestial Radiance, Celestial Legacy</v>
          </cell>
          <cell r="AB30" t="str">
            <v>N/A</v>
          </cell>
          <cell r="AC30">
            <v>0.56322659708881817</v>
          </cell>
          <cell r="AD30" t="str">
            <v>Celestial</v>
          </cell>
          <cell r="AF30" t="str">
            <v>Darkvision: see in dim light within 60' as bright light, and in darkness as dim light. | Celestial Resistance: resistance to Necrotic damage and Radiant damage. | Celestial Legacy (see DMG p.287).</v>
          </cell>
        </row>
        <row r="31">
          <cell r="B31">
            <v>26</v>
          </cell>
          <cell r="C31" t="str">
            <v>Air Genasi</v>
          </cell>
          <cell r="D31" t="str">
            <v>Sontro'vhi  the Distressed</v>
          </cell>
          <cell r="E31">
            <v>0</v>
          </cell>
          <cell r="F31">
            <v>1</v>
          </cell>
          <cell r="G31">
            <v>2</v>
          </cell>
          <cell r="H31">
            <v>0</v>
          </cell>
          <cell r="I31">
            <v>0</v>
          </cell>
          <cell r="J31">
            <v>0</v>
          </cell>
          <cell r="L31">
            <v>1</v>
          </cell>
          <cell r="M31">
            <v>14</v>
          </cell>
          <cell r="R31">
            <v>13</v>
          </cell>
          <cell r="S31">
            <v>56</v>
          </cell>
          <cell r="T31">
            <v>69</v>
          </cell>
          <cell r="U31">
            <v>110</v>
          </cell>
          <cell r="V31">
            <v>4</v>
          </cell>
          <cell r="W31">
            <v>162</v>
          </cell>
          <cell r="X31">
            <v>30</v>
          </cell>
          <cell r="AA31" t="str">
            <v>Unending Breath, Mingle with the Wind</v>
          </cell>
          <cell r="AB31" t="str">
            <v>N/A</v>
          </cell>
          <cell r="AF31" t="str">
            <v>See Elemental Evil Player's Guide (genasi)</v>
          </cell>
        </row>
        <row r="32">
          <cell r="B32">
            <v>27</v>
          </cell>
          <cell r="C32" t="str">
            <v>Earth Genasi</v>
          </cell>
          <cell r="D32" t="str">
            <v>Sontro'vhi  the Distressed</v>
          </cell>
          <cell r="E32">
            <v>1</v>
          </cell>
          <cell r="F32">
            <v>0</v>
          </cell>
          <cell r="G32">
            <v>2</v>
          </cell>
          <cell r="H32">
            <v>0</v>
          </cell>
          <cell r="I32">
            <v>0</v>
          </cell>
          <cell r="J32">
            <v>0</v>
          </cell>
          <cell r="L32">
            <v>1</v>
          </cell>
          <cell r="M32">
            <v>14</v>
          </cell>
          <cell r="R32">
            <v>12</v>
          </cell>
          <cell r="S32">
            <v>56</v>
          </cell>
          <cell r="T32">
            <v>68</v>
          </cell>
          <cell r="U32">
            <v>110</v>
          </cell>
          <cell r="V32">
            <v>6</v>
          </cell>
          <cell r="W32">
            <v>182</v>
          </cell>
          <cell r="X32">
            <v>30</v>
          </cell>
          <cell r="AA32" t="str">
            <v>Earth Walk, Merge with Stone</v>
          </cell>
          <cell r="AB32" t="str">
            <v>N/A</v>
          </cell>
          <cell r="AF32" t="str">
            <v>See Elemental Evil Player's Guide (genasi)</v>
          </cell>
        </row>
        <row r="33">
          <cell r="B33">
            <v>28</v>
          </cell>
          <cell r="C33" t="str">
            <v>Fire Genasi</v>
          </cell>
          <cell r="D33" t="str">
            <v>Sontro'vhi  the Distressed</v>
          </cell>
          <cell r="E33">
            <v>0</v>
          </cell>
          <cell r="F33">
            <v>0</v>
          </cell>
          <cell r="G33">
            <v>2</v>
          </cell>
          <cell r="H33">
            <v>1</v>
          </cell>
          <cell r="I33">
            <v>0</v>
          </cell>
          <cell r="J33">
            <v>0</v>
          </cell>
          <cell r="L33">
            <v>1</v>
          </cell>
          <cell r="M33">
            <v>14</v>
          </cell>
          <cell r="R33">
            <v>18</v>
          </cell>
          <cell r="S33">
            <v>56</v>
          </cell>
          <cell r="T33">
            <v>74</v>
          </cell>
          <cell r="U33">
            <v>110</v>
          </cell>
          <cell r="V33">
            <v>6</v>
          </cell>
          <cell r="W33">
            <v>218</v>
          </cell>
          <cell r="X33">
            <v>30</v>
          </cell>
          <cell r="AA33" t="str">
            <v>Darkvision, Fire Resistance, Reach to the Blaze</v>
          </cell>
          <cell r="AB33" t="str">
            <v>N/A</v>
          </cell>
          <cell r="AF33" t="str">
            <v>See Elemental Evil Player's Guide (genasi)</v>
          </cell>
        </row>
        <row r="34">
          <cell r="B34">
            <v>29</v>
          </cell>
          <cell r="C34" t="str">
            <v>Water Genasi</v>
          </cell>
          <cell r="D34" t="str">
            <v>Sontro'vhi  the Distressed</v>
          </cell>
          <cell r="E34">
            <v>0</v>
          </cell>
          <cell r="F34">
            <v>0</v>
          </cell>
          <cell r="G34">
            <v>2</v>
          </cell>
          <cell r="H34">
            <v>0</v>
          </cell>
          <cell r="I34">
            <v>1</v>
          </cell>
          <cell r="J34">
            <v>0</v>
          </cell>
          <cell r="L34">
            <v>1</v>
          </cell>
          <cell r="M34">
            <v>14</v>
          </cell>
          <cell r="R34">
            <v>13</v>
          </cell>
          <cell r="S34">
            <v>56</v>
          </cell>
          <cell r="T34">
            <v>69</v>
          </cell>
          <cell r="U34">
            <v>110</v>
          </cell>
          <cell r="V34">
            <v>6</v>
          </cell>
          <cell r="W34">
            <v>188</v>
          </cell>
          <cell r="X34">
            <v>30</v>
          </cell>
          <cell r="AA34" t="str">
            <v>Acid Resistance, Amphibious, Swim, Call to the Wave</v>
          </cell>
          <cell r="AB34" t="str">
            <v>N/A</v>
          </cell>
          <cell r="AF34" t="str">
            <v>See Elemental Evil Player's Guide (genasi)</v>
          </cell>
        </row>
        <row r="35">
          <cell r="B35">
            <v>30</v>
          </cell>
          <cell r="C35" t="str">
            <v>Duergar</v>
          </cell>
          <cell r="D35" t="str">
            <v>Orsik  Loderr</v>
          </cell>
          <cell r="E35">
            <v>1</v>
          </cell>
          <cell r="F35">
            <v>0</v>
          </cell>
          <cell r="G35">
            <v>2</v>
          </cell>
          <cell r="H35">
            <v>0</v>
          </cell>
          <cell r="I35">
            <v>0</v>
          </cell>
          <cell r="J35">
            <v>0</v>
          </cell>
          <cell r="L35">
            <v>3</v>
          </cell>
          <cell r="M35">
            <v>16</v>
          </cell>
          <cell r="N35">
            <v>1</v>
          </cell>
          <cell r="O35" t="str">
            <v>Battleaxe, handaxe, thr.Hammer, Warhammer</v>
          </cell>
          <cell r="P35" t="str">
            <v>Light, Medium armor</v>
          </cell>
          <cell r="Q35" t="str">
            <v>Brewer's supplies</v>
          </cell>
          <cell r="R35">
            <v>4</v>
          </cell>
          <cell r="S35">
            <v>48</v>
          </cell>
          <cell r="T35">
            <v>52</v>
          </cell>
          <cell r="U35">
            <v>115</v>
          </cell>
          <cell r="V35">
            <v>10</v>
          </cell>
          <cell r="W35">
            <v>172</v>
          </cell>
          <cell r="X35">
            <v>25</v>
          </cell>
          <cell r="AA35" t="str">
            <v>Superior Darkvision, Dwarven Resilience, Dw.Combat Training, Tool Proficiency, Stonecunning, Duergar Resilience (SCAG p.104), Duergar Magic, Sunlight Sensitivity.</v>
          </cell>
          <cell r="AB35" t="str">
            <v>N/A</v>
          </cell>
          <cell r="AF35" t="str">
            <v>Dw. Resilience: Adv saves vs. poison, resistance vs. poison damage. | Stonecunning: Int(History) check for stonework doubles prof bonus. | Superior Darkvision: see in dim light within 120' as bright light, and in darkness as dim light. | Sunlight Sensitivity: Disadvantage on attacks &amp; Perception checks of sight in direct sunlight. | Duergar Resilience: advantage on saves v.s illusions, charms, and paralysis. | Duergar Magic (SCAG p.104).</v>
          </cell>
        </row>
        <row r="36">
          <cell r="B36">
            <v>31</v>
          </cell>
          <cell r="C36" t="str">
            <v>Deep Gnome (Svirfneblin)</v>
          </cell>
          <cell r="D36" t="str">
            <v>Kellen  Nackle</v>
          </cell>
          <cell r="F36">
            <v>1</v>
          </cell>
          <cell r="H36">
            <v>0</v>
          </cell>
          <cell r="L36">
            <v>5</v>
          </cell>
          <cell r="M36">
            <v>16</v>
          </cell>
          <cell r="N36">
            <v>1</v>
          </cell>
          <cell r="R36">
            <v>4</v>
          </cell>
          <cell r="S36">
            <v>48</v>
          </cell>
          <cell r="T36">
            <v>39</v>
          </cell>
          <cell r="U36">
            <v>80</v>
          </cell>
          <cell r="V36">
            <v>9</v>
          </cell>
          <cell r="W36">
            <v>89</v>
          </cell>
          <cell r="X36">
            <v>25</v>
          </cell>
          <cell r="AA36" t="str">
            <v>Superior Darkvision, Gnome Cunning,  Stone Camouflage</v>
          </cell>
          <cell r="AB36" t="str">
            <v>N/A</v>
          </cell>
          <cell r="AF36" t="str">
            <v>Superior Darkvision: see in dim light within 120' as bright light, and in darkness as dim light. | Stone Camouflage: advantage to Dex (Stealth) checks in rocky terrain. | Darkvision: see in dim light within 60' as bright light, and in darkness as dim light. | Gnome Cunning: Advantage on all Int, Wis, and Cha saves vs. magic. (SCAG p.115)</v>
          </cell>
        </row>
        <row r="37">
          <cell r="B37">
            <v>32</v>
          </cell>
          <cell r="C37" t="str">
            <v>Ghostwise Halfling</v>
          </cell>
          <cell r="D37" t="str">
            <v>Finnan  High-hill</v>
          </cell>
          <cell r="F37">
            <v>2</v>
          </cell>
          <cell r="I37">
            <v>1</v>
          </cell>
          <cell r="L37">
            <v>1</v>
          </cell>
          <cell r="M37">
            <v>7</v>
          </cell>
          <cell r="R37">
            <v>6</v>
          </cell>
          <cell r="S37">
            <v>31</v>
          </cell>
          <cell r="T37">
            <v>37</v>
          </cell>
          <cell r="U37">
            <v>35</v>
          </cell>
          <cell r="V37">
            <v>1</v>
          </cell>
          <cell r="W37">
            <v>41</v>
          </cell>
          <cell r="X37">
            <v>30</v>
          </cell>
          <cell r="AA37" t="str">
            <v>Lucky, Brave, Halfling Nimbleness, Silent Speech</v>
          </cell>
          <cell r="AB37" t="str">
            <v>N/A</v>
          </cell>
          <cell r="AD37" t="str">
            <v>Gnomish</v>
          </cell>
          <cell r="AE37" t="str">
            <v>Fright</v>
          </cell>
          <cell r="AF37" t="str">
            <v>Lucky: May re-roll a 1 on attack, ability, or save but must take new roll. | Brave: Advantage on saves vs. being frightened. | Halfling Nimbleness: Can move through the space of any creature that is a size larger. | Silent Speech. May speak telepathically to any one creature within 30 feet with whom you share a language. (SCAG p.110)</v>
          </cell>
        </row>
        <row r="38">
          <cell r="C38" t="str">
            <v xml:space="preserve">  </v>
          </cell>
          <cell r="AA38" t="str">
            <v xml:space="preserve">  </v>
          </cell>
          <cell r="AB38" t="str">
            <v>N/A</v>
          </cell>
        </row>
        <row r="39">
          <cell r="AB39" t="str">
            <v>N/A</v>
          </cell>
        </row>
        <row r="40">
          <cell r="AB40" t="str">
            <v>N/A</v>
          </cell>
        </row>
        <row r="41">
          <cell r="AB41" t="str">
            <v>N/A</v>
          </cell>
        </row>
      </sheetData>
      <sheetData sheetId="8">
        <row r="3">
          <cell r="C3" t="str">
            <v>Formal</v>
          </cell>
          <cell r="D3" t="str">
            <v>Distressed</v>
          </cell>
          <cell r="E3" t="str">
            <v xml:space="preserve">Triumphant </v>
          </cell>
          <cell r="F3" t="str">
            <v xml:space="preserve">Proud </v>
          </cell>
          <cell r="G3" t="str">
            <v>Honeyed Blonde</v>
          </cell>
          <cell r="H3" t="str">
            <v>Cowlick</v>
          </cell>
          <cell r="I3" t="str">
            <v>Ecru</v>
          </cell>
          <cell r="J3" t="str">
            <v xml:space="preserve">Green </v>
          </cell>
          <cell r="K3" t="str">
            <v>Older Looking</v>
          </cell>
          <cell r="L3" t="str">
            <v>Adult</v>
          </cell>
          <cell r="N3" t="str">
            <v xml:space="preserve">On the seafood diet: if they see food, they eat it </v>
          </cell>
          <cell r="O3" t="str">
            <v>Neutral Good</v>
          </cell>
        </row>
        <row r="4">
          <cell r="D4" t="str">
            <v>Trait</v>
          </cell>
          <cell r="E4" t="str">
            <v>Mood</v>
          </cell>
          <cell r="F4" t="str">
            <v>Attitude</v>
          </cell>
        </row>
        <row r="7">
          <cell r="B7">
            <v>1</v>
          </cell>
          <cell r="C7" t="str">
            <v>Athletic</v>
          </cell>
          <cell r="D7" t="str">
            <v>Able</v>
          </cell>
          <cell r="E7" t="str">
            <v xml:space="preserve">Adventurous </v>
          </cell>
          <cell r="F7" t="str">
            <v xml:space="preserve">Aggressive </v>
          </cell>
          <cell r="G7" t="str">
            <v>Red</v>
          </cell>
          <cell r="H7" t="str">
            <v>Braided</v>
          </cell>
          <cell r="I7" t="str">
            <v>Alabaster</v>
          </cell>
          <cell r="J7" t="str">
            <v xml:space="preserve">Aquamarine </v>
          </cell>
          <cell r="K7" t="str">
            <v>Younger Looking</v>
          </cell>
          <cell r="L7" t="str">
            <v>Young Adult</v>
          </cell>
          <cell r="M7" t="str">
            <v>(open)</v>
          </cell>
          <cell r="N7" t="str">
            <v xml:space="preserve">Absently calls people by different names when speaking with them </v>
          </cell>
          <cell r="O7" t="str">
            <v>Lawful Good</v>
          </cell>
        </row>
        <row r="8">
          <cell r="B8">
            <v>2</v>
          </cell>
          <cell r="C8" t="str">
            <v>Business</v>
          </cell>
          <cell r="D8" t="str">
            <v>Abrasive</v>
          </cell>
          <cell r="E8" t="str">
            <v xml:space="preserve">Angry </v>
          </cell>
          <cell r="F8" t="str">
            <v xml:space="preserve">Aloof </v>
          </cell>
          <cell r="G8" t="str">
            <v>Auburn Red</v>
          </cell>
          <cell r="H8" t="str">
            <v>Tumbles</v>
          </cell>
          <cell r="I8" t="str">
            <v>Amber</v>
          </cell>
          <cell r="J8" t="str">
            <v xml:space="preserve">Blue </v>
          </cell>
          <cell r="K8" t="str">
            <v>Mature Looking</v>
          </cell>
          <cell r="L8" t="str">
            <v>Young Adult</v>
          </cell>
          <cell r="N8" t="str">
            <v xml:space="preserve">Absent minded </v>
          </cell>
          <cell r="O8" t="str">
            <v>Lawful Neutral</v>
          </cell>
        </row>
        <row r="9">
          <cell r="B9">
            <v>3</v>
          </cell>
          <cell r="C9" t="str">
            <v>Fashionable</v>
          </cell>
          <cell r="D9" t="str">
            <v>Abrupt</v>
          </cell>
          <cell r="E9" t="str">
            <v xml:space="preserve">Animated </v>
          </cell>
          <cell r="F9" t="str">
            <v xml:space="preserve">Cheerful </v>
          </cell>
          <cell r="G9" t="str">
            <v>Intense Auburn</v>
          </cell>
          <cell r="H9" t="str">
            <v>Crashing</v>
          </cell>
          <cell r="I9" t="str">
            <v>Bay</v>
          </cell>
          <cell r="J9" t="str">
            <v xml:space="preserve">Cocoa </v>
          </cell>
          <cell r="K9" t="str">
            <v>Older Looking</v>
          </cell>
          <cell r="L9" t="str">
            <v>Adult</v>
          </cell>
          <cell r="N9" t="str">
            <v>Always adds a bit of powder to</v>
          </cell>
          <cell r="O9" t="str">
            <v>Neutral Good</v>
          </cell>
        </row>
        <row r="10">
          <cell r="B10">
            <v>4</v>
          </cell>
          <cell r="C10" t="str">
            <v>Formal</v>
          </cell>
          <cell r="D10" t="str">
            <v>Absent Minded</v>
          </cell>
          <cell r="E10" t="str">
            <v xml:space="preserve">Annoyed </v>
          </cell>
          <cell r="F10" t="str">
            <v xml:space="preserve">Cocky </v>
          </cell>
          <cell r="G10" t="str">
            <v>Light Red</v>
          </cell>
          <cell r="H10" t="str">
            <v>Spiraling</v>
          </cell>
          <cell r="I10" t="str">
            <v>Bisque</v>
          </cell>
          <cell r="J10" t="str">
            <v xml:space="preserve">Copper </v>
          </cell>
          <cell r="K10" t="str">
            <v>Younger Looking</v>
          </cell>
          <cell r="L10" t="str">
            <v>Adult</v>
          </cell>
          <cell r="N10" t="str">
            <v>their beverages (and claims it is a</v>
          </cell>
          <cell r="O10" t="str">
            <v>Neutral</v>
          </cell>
        </row>
        <row r="11">
          <cell r="B11">
            <v>5</v>
          </cell>
          <cell r="C11" t="str">
            <v>Laborers, Clean</v>
          </cell>
          <cell r="D11" t="str">
            <v>Abusive</v>
          </cell>
          <cell r="E11" t="str">
            <v xml:space="preserve">Anxious </v>
          </cell>
          <cell r="F11" t="str">
            <v xml:space="preserve">Easy Going </v>
          </cell>
          <cell r="G11" t="str">
            <v>Light Auburn</v>
          </cell>
          <cell r="H11" t="str">
            <v>Plummeting</v>
          </cell>
          <cell r="I11" t="str">
            <v>Bistre</v>
          </cell>
          <cell r="J11" t="str">
            <v xml:space="preserve">Dark Brown </v>
          </cell>
          <cell r="K11" t="str">
            <v>Older Looking</v>
          </cell>
          <cell r="L11" t="str">
            <v>Adult</v>
          </cell>
          <cell r="N11" t="str">
            <v xml:space="preserve">health tonic) </v>
          </cell>
          <cell r="O11" t="str">
            <v>Chaotic Good</v>
          </cell>
        </row>
        <row r="12">
          <cell r="B12">
            <v>6</v>
          </cell>
          <cell r="C12" t="str">
            <v>Laborers, Dirty</v>
          </cell>
          <cell r="D12" t="str">
            <v>Accepting</v>
          </cell>
          <cell r="E12" t="str">
            <v xml:space="preserve">Belligerent </v>
          </cell>
          <cell r="F12" t="str">
            <v xml:space="preserve">Emotionless </v>
          </cell>
          <cell r="G12" t="str">
            <v>Burgundy Red</v>
          </cell>
          <cell r="H12" t="str">
            <v>Cascading</v>
          </cell>
          <cell r="I12" t="str">
            <v>Bronzed</v>
          </cell>
          <cell r="J12" t="str">
            <v xml:space="preserve">Emerald </v>
          </cell>
          <cell r="K12" t="str">
            <v>Younger Looking</v>
          </cell>
          <cell r="L12" t="str">
            <v>Adult</v>
          </cell>
          <cell r="N12" t="str">
            <v xml:space="preserve">Always agrees with everything </v>
          </cell>
          <cell r="O12" t="str">
            <v>Chaotic Neutral</v>
          </cell>
        </row>
        <row r="13">
          <cell r="B13">
            <v>7</v>
          </cell>
          <cell r="C13" t="str">
            <v>Leather, Fashionable</v>
          </cell>
          <cell r="D13" t="str">
            <v>Accident Prone</v>
          </cell>
          <cell r="E13" t="str">
            <v xml:space="preserve">Bitter </v>
          </cell>
          <cell r="F13" t="str">
            <v xml:space="preserve">Friendly </v>
          </cell>
          <cell r="G13" t="str">
            <v>Cardinal Red</v>
          </cell>
          <cell r="H13" t="str">
            <v>Flowing</v>
          </cell>
          <cell r="I13" t="str">
            <v>Burnt Sienna</v>
          </cell>
          <cell r="J13" t="str">
            <v xml:space="preserve">Forest Green </v>
          </cell>
          <cell r="K13" t="str">
            <v>Older Looking</v>
          </cell>
          <cell r="L13" t="str">
            <v>Mature Adult</v>
          </cell>
          <cell r="N13" t="str">
            <v xml:space="preserve">Always conscious of the time </v>
          </cell>
          <cell r="O13" t="str">
            <v>Lawful Evil</v>
          </cell>
        </row>
        <row r="14">
          <cell r="B14">
            <v>8</v>
          </cell>
          <cell r="C14" t="str">
            <v>Leather, Tough</v>
          </cell>
          <cell r="D14" t="str">
            <v>Accommodating</v>
          </cell>
          <cell r="E14" t="str">
            <v xml:space="preserve">Blissful </v>
          </cell>
          <cell r="F14" t="str">
            <v xml:space="preserve">Furtive </v>
          </cell>
          <cell r="G14" t="str">
            <v>Carmine Red</v>
          </cell>
          <cell r="H14" t="str">
            <v>Plunging</v>
          </cell>
          <cell r="I14" t="str">
            <v>Butterscotch</v>
          </cell>
          <cell r="J14" t="str">
            <v xml:space="preserve">Golden Brown </v>
          </cell>
          <cell r="K14" t="str">
            <v>Standard Looking</v>
          </cell>
          <cell r="L14" t="str">
            <v>Mature Adult</v>
          </cell>
          <cell r="N14" t="str">
            <v xml:space="preserve">Always correcting others as they speak </v>
          </cell>
          <cell r="O14" t="str">
            <v>Neutral Evil</v>
          </cell>
        </row>
        <row r="15">
          <cell r="B15">
            <v>9</v>
          </cell>
          <cell r="C15" t="str">
            <v>Loose, Casual</v>
          </cell>
          <cell r="D15" t="str">
            <v>Accomplished</v>
          </cell>
          <cell r="E15" t="str">
            <v xml:space="preserve">Blithe </v>
          </cell>
          <cell r="F15" t="str">
            <v xml:space="preserve">Haughty </v>
          </cell>
          <cell r="G15" t="str">
            <v>Chestnut Red</v>
          </cell>
          <cell r="H15" t="str">
            <v>Toppling</v>
          </cell>
          <cell r="I15" t="str">
            <v>Chestnut</v>
          </cell>
          <cell r="J15" t="str">
            <v xml:space="preserve">Gray </v>
          </cell>
          <cell r="K15" t="str">
            <v>Standard Looking</v>
          </cell>
          <cell r="L15" t="str">
            <v>Older Adult</v>
          </cell>
          <cell r="N15" t="str">
            <v xml:space="preserve">Always dresses in one-color outfits </v>
          </cell>
          <cell r="O15" t="str">
            <v>Chaotic Evil</v>
          </cell>
        </row>
      </sheetData>
      <sheetData sheetId="9">
        <row r="4">
          <cell r="B4">
            <v>6</v>
          </cell>
          <cell r="C4">
            <v>6</v>
          </cell>
          <cell r="F4" t="str">
            <v>Athletics</v>
          </cell>
          <cell r="H4" t="str">
            <v>One type of gaming set, vehicles (land)</v>
          </cell>
        </row>
        <row r="5">
          <cell r="B5">
            <v>1</v>
          </cell>
          <cell r="C5" t="str">
            <v>Acolyte</v>
          </cell>
          <cell r="D5">
            <v>7</v>
          </cell>
          <cell r="E5">
            <v>15</v>
          </cell>
        </row>
        <row r="6">
          <cell r="B6">
            <v>2</v>
          </cell>
          <cell r="C6" t="str">
            <v>Criminal</v>
          </cell>
          <cell r="D6">
            <v>5</v>
          </cell>
          <cell r="E6">
            <v>17</v>
          </cell>
        </row>
        <row r="7">
          <cell r="B7">
            <v>3</v>
          </cell>
          <cell r="C7" t="str">
            <v>Folk Hero</v>
          </cell>
          <cell r="D7">
            <v>2</v>
          </cell>
          <cell r="E7">
            <v>18</v>
          </cell>
        </row>
        <row r="8">
          <cell r="B8">
            <v>4</v>
          </cell>
          <cell r="C8" t="str">
            <v>Noble</v>
          </cell>
          <cell r="D8">
            <v>6</v>
          </cell>
          <cell r="E8">
            <v>14</v>
          </cell>
        </row>
        <row r="9">
          <cell r="B9">
            <v>5</v>
          </cell>
          <cell r="C9" t="str">
            <v>Sage</v>
          </cell>
          <cell r="D9">
            <v>3</v>
          </cell>
          <cell r="E9">
            <v>6</v>
          </cell>
        </row>
        <row r="10">
          <cell r="B10">
            <v>6</v>
          </cell>
          <cell r="C10" t="str">
            <v>Soldier</v>
          </cell>
          <cell r="D10">
            <v>4</v>
          </cell>
          <cell r="E10">
            <v>8</v>
          </cell>
        </row>
        <row r="11">
          <cell r="B11">
            <v>7</v>
          </cell>
          <cell r="C11" t="str">
            <v>Charlatan</v>
          </cell>
          <cell r="D11">
            <v>5</v>
          </cell>
          <cell r="E11">
            <v>16</v>
          </cell>
        </row>
        <row r="12">
          <cell r="B12">
            <v>8</v>
          </cell>
          <cell r="C12" t="str">
            <v>Entertainer</v>
          </cell>
          <cell r="D12">
            <v>1</v>
          </cell>
          <cell r="E12">
            <v>13</v>
          </cell>
        </row>
        <row r="13">
          <cell r="B13">
            <v>9</v>
          </cell>
          <cell r="C13" t="str">
            <v>Guild Artisan</v>
          </cell>
          <cell r="D13">
            <v>7</v>
          </cell>
          <cell r="E13">
            <v>14</v>
          </cell>
        </row>
        <row r="14">
          <cell r="B14">
            <v>10</v>
          </cell>
          <cell r="C14" t="str">
            <v>Hermit</v>
          </cell>
          <cell r="D14">
            <v>10</v>
          </cell>
          <cell r="E14">
            <v>15</v>
          </cell>
        </row>
        <row r="15">
          <cell r="B15">
            <v>11</v>
          </cell>
          <cell r="C15" t="str">
            <v>Outlander</v>
          </cell>
          <cell r="D15">
            <v>4</v>
          </cell>
          <cell r="E15">
            <v>18</v>
          </cell>
        </row>
        <row r="16">
          <cell r="B16">
            <v>12</v>
          </cell>
          <cell r="C16" t="str">
            <v>Sailor</v>
          </cell>
          <cell r="D16">
            <v>4</v>
          </cell>
          <cell r="E16">
            <v>12</v>
          </cell>
        </row>
        <row r="17">
          <cell r="B17">
            <v>13</v>
          </cell>
          <cell r="C17" t="str">
            <v>Urchin</v>
          </cell>
          <cell r="D17">
            <v>16</v>
          </cell>
          <cell r="E17">
            <v>17</v>
          </cell>
        </row>
        <row r="18">
          <cell r="B18">
            <v>14</v>
          </cell>
          <cell r="C18" t="str">
            <v>City Watch</v>
          </cell>
          <cell r="D18">
            <v>4</v>
          </cell>
          <cell r="E18">
            <v>7</v>
          </cell>
        </row>
        <row r="19">
          <cell r="B19">
            <v>15</v>
          </cell>
          <cell r="C19" t="str">
            <v>Clan Crafter</v>
          </cell>
          <cell r="D19">
            <v>6</v>
          </cell>
          <cell r="E19">
            <v>7</v>
          </cell>
        </row>
        <row r="20">
          <cell r="B20">
            <v>16</v>
          </cell>
          <cell r="C20" t="str">
            <v>Cloistered Scholar</v>
          </cell>
          <cell r="D20">
            <v>6</v>
          </cell>
          <cell r="E20">
            <v>15</v>
          </cell>
        </row>
        <row r="21">
          <cell r="B21">
            <v>17</v>
          </cell>
          <cell r="C21" t="str">
            <v>Courtier</v>
          </cell>
          <cell r="D21">
            <v>7</v>
          </cell>
          <cell r="E21">
            <v>14</v>
          </cell>
        </row>
        <row r="22">
          <cell r="B22">
            <v>18</v>
          </cell>
          <cell r="C22" t="str">
            <v>Faction Agent</v>
          </cell>
          <cell r="D22">
            <v>7</v>
          </cell>
          <cell r="E22">
            <v>8</v>
          </cell>
        </row>
        <row r="23">
          <cell r="B23">
            <v>19</v>
          </cell>
          <cell r="C23" t="str">
            <v>Far Traveler</v>
          </cell>
          <cell r="D23">
            <v>7</v>
          </cell>
          <cell r="E23">
            <v>12</v>
          </cell>
        </row>
        <row r="24">
          <cell r="B24">
            <v>20</v>
          </cell>
          <cell r="C24" t="str">
            <v>Inheritor</v>
          </cell>
          <cell r="D24">
            <v>18</v>
          </cell>
          <cell r="E24">
            <v>15</v>
          </cell>
        </row>
        <row r="25">
          <cell r="B25">
            <v>21</v>
          </cell>
          <cell r="C25" t="str">
            <v>Knight of the Order</v>
          </cell>
          <cell r="D25">
            <v>14</v>
          </cell>
          <cell r="E25">
            <v>3</v>
          </cell>
        </row>
        <row r="26">
          <cell r="B26">
            <v>22</v>
          </cell>
          <cell r="C26" t="str">
            <v>Mercenary Veteran</v>
          </cell>
          <cell r="D26">
            <v>4</v>
          </cell>
          <cell r="E26">
            <v>14</v>
          </cell>
        </row>
        <row r="27">
          <cell r="B27">
            <v>23</v>
          </cell>
          <cell r="C27" t="str">
            <v>Urban Bounty Hunter</v>
          </cell>
          <cell r="D27">
            <v>7</v>
          </cell>
          <cell r="E27">
            <v>5</v>
          </cell>
        </row>
        <row r="28">
          <cell r="B28">
            <v>24</v>
          </cell>
          <cell r="C28" t="str">
            <v>Uthgardt Tribe Member</v>
          </cell>
          <cell r="D28">
            <v>4</v>
          </cell>
          <cell r="E28">
            <v>18</v>
          </cell>
        </row>
        <row r="29">
          <cell r="B29">
            <v>25</v>
          </cell>
          <cell r="C29" t="str">
            <v>Watherdhavian Noble</v>
          </cell>
          <cell r="D29">
            <v>6</v>
          </cell>
          <cell r="E29">
            <v>14</v>
          </cell>
        </row>
        <row r="40">
          <cell r="E40" t="str">
            <v>I misuse long words in an attempt to sound smarter.</v>
          </cell>
        </row>
        <row r="41">
          <cell r="E41" t="str">
            <v>I enjoy being strong and like breaking things.</v>
          </cell>
        </row>
        <row r="62">
          <cell r="G62" t="str">
            <v>Greater Good. Our lot is to lay down our lives in defense of others. (Good)</v>
          </cell>
        </row>
        <row r="77">
          <cell r="G77" t="str">
            <v>I fight for those who cannot fight for themselves.</v>
          </cell>
        </row>
        <row r="92">
          <cell r="G92" t="str">
            <v>My hatred of my enemies is blind and unreasoning.</v>
          </cell>
        </row>
      </sheetData>
      <sheetData sheetId="10">
        <row r="5">
          <cell r="C5">
            <v>13</v>
          </cell>
        </row>
        <row r="6">
          <cell r="B6">
            <v>1</v>
          </cell>
          <cell r="C6" t="str">
            <v>Cleric</v>
          </cell>
          <cell r="E6">
            <v>8</v>
          </cell>
          <cell r="F6" t="str">
            <v>Wis</v>
          </cell>
          <cell r="G6" t="str">
            <v>Con</v>
          </cell>
          <cell r="H6" t="str">
            <v>Str</v>
          </cell>
          <cell r="I6">
            <v>15.009468397344969</v>
          </cell>
          <cell r="J6">
            <v>13.010917186970582</v>
          </cell>
          <cell r="K6">
            <v>16.014217381078286</v>
          </cell>
          <cell r="L6">
            <v>10.013455674536051</v>
          </cell>
          <cell r="M6">
            <v>16.019143666433976</v>
          </cell>
          <cell r="N6">
            <v>12.022116237486282</v>
          </cell>
          <cell r="O6" t="str">
            <v>Religion</v>
          </cell>
          <cell r="P6" t="str">
            <v>Insight</v>
          </cell>
          <cell r="Q6" t="str">
            <v xml:space="preserve"> </v>
          </cell>
          <cell r="R6" t="str">
            <v xml:space="preserve"> </v>
          </cell>
          <cell r="S6" t="str">
            <v/>
          </cell>
          <cell r="T6" t="str">
            <v/>
          </cell>
          <cell r="U6">
            <v>3</v>
          </cell>
          <cell r="V6" t="str">
            <v>Simple Weapons</v>
          </cell>
          <cell r="W6" t="str">
            <v>Light &amp; Medium armor, Shields</v>
          </cell>
          <cell r="X6" t="str">
            <v>None</v>
          </cell>
          <cell r="Y6" t="str">
            <v>Wis</v>
          </cell>
          <cell r="Z6" t="str">
            <v>Wis</v>
          </cell>
          <cell r="AA6" t="str">
            <v>Cha</v>
          </cell>
        </row>
        <row r="7">
          <cell r="B7">
            <v>2</v>
          </cell>
          <cell r="C7" t="str">
            <v>Fighter</v>
          </cell>
          <cell r="D7" t="str">
            <v/>
          </cell>
          <cell r="E7">
            <v>10</v>
          </cell>
          <cell r="F7" t="str">
            <v>Str</v>
          </cell>
          <cell r="G7" t="str">
            <v>Con</v>
          </cell>
          <cell r="H7" t="str">
            <v>Dex</v>
          </cell>
          <cell r="I7">
            <v>16.019143666433976</v>
          </cell>
          <cell r="J7">
            <v>15.009468397344969</v>
          </cell>
          <cell r="K7">
            <v>16.014217381078286</v>
          </cell>
          <cell r="L7">
            <v>10.013455674536051</v>
          </cell>
          <cell r="M7">
            <v>12.022116237486282</v>
          </cell>
          <cell r="N7">
            <v>13.010917186970582</v>
          </cell>
          <cell r="O7" t="str">
            <v>Perception</v>
          </cell>
          <cell r="P7" t="str">
            <v>Intimidation</v>
          </cell>
          <cell r="Q7" t="str">
            <v xml:space="preserve"> </v>
          </cell>
          <cell r="R7" t="str">
            <v xml:space="preserve"> </v>
          </cell>
          <cell r="S7" t="str">
            <v/>
          </cell>
          <cell r="T7" t="str">
            <v/>
          </cell>
          <cell r="U7">
            <v>3</v>
          </cell>
          <cell r="V7" t="str">
            <v>Simple and martial weapons</v>
          </cell>
          <cell r="W7" t="str">
            <v>All armor, Shields</v>
          </cell>
          <cell r="X7" t="str">
            <v>None</v>
          </cell>
          <cell r="Y7" t="str">
            <v>Int</v>
          </cell>
          <cell r="Z7" t="str">
            <v>Str</v>
          </cell>
          <cell r="AA7" t="str">
            <v>Con</v>
          </cell>
        </row>
        <row r="8">
          <cell r="B8">
            <v>3</v>
          </cell>
          <cell r="C8" t="str">
            <v>Rogue</v>
          </cell>
          <cell r="D8" t="str">
            <v/>
          </cell>
          <cell r="E8">
            <v>8</v>
          </cell>
          <cell r="F8" t="str">
            <v>Dex</v>
          </cell>
          <cell r="G8" t="str">
            <v>Con</v>
          </cell>
          <cell r="H8" t="str">
            <v>Int</v>
          </cell>
          <cell r="I8">
            <v>12.022116237486282</v>
          </cell>
          <cell r="J8">
            <v>16.019143666433976</v>
          </cell>
          <cell r="K8">
            <v>16.014217381078286</v>
          </cell>
          <cell r="L8">
            <v>15.009468397344969</v>
          </cell>
          <cell r="M8">
            <v>10.013455674536051</v>
          </cell>
          <cell r="N8">
            <v>13.010917186970582</v>
          </cell>
          <cell r="O8" t="str">
            <v>Perception</v>
          </cell>
          <cell r="P8" t="str">
            <v>Investigation</v>
          </cell>
          <cell r="Q8" t="str">
            <v>Intimidation</v>
          </cell>
          <cell r="R8" t="str">
            <v>Persuasion</v>
          </cell>
          <cell r="S8" t="str">
            <v/>
          </cell>
          <cell r="T8" t="str">
            <v/>
          </cell>
          <cell r="U8">
            <v>3</v>
          </cell>
          <cell r="V8" t="str">
            <v>Simple weapons, hand crossbow, longsword, rapier, shorts word</v>
          </cell>
          <cell r="W8" t="str">
            <v>Light armor</v>
          </cell>
          <cell r="X8" t="str">
            <v>Thieves' tools</v>
          </cell>
          <cell r="Y8" t="str">
            <v>Int</v>
          </cell>
          <cell r="Z8" t="str">
            <v>Dex</v>
          </cell>
          <cell r="AA8" t="str">
            <v>Int</v>
          </cell>
        </row>
        <row r="9">
          <cell r="B9">
            <v>4</v>
          </cell>
          <cell r="C9" t="str">
            <v>Wizard</v>
          </cell>
          <cell r="D9" t="str">
            <v xml:space="preserve"> </v>
          </cell>
          <cell r="E9">
            <v>6</v>
          </cell>
          <cell r="F9" t="str">
            <v>Int</v>
          </cell>
          <cell r="G9" t="str">
            <v>Con</v>
          </cell>
          <cell r="H9" t="str">
            <v>Dex</v>
          </cell>
          <cell r="I9">
            <v>10.013455674536051</v>
          </cell>
          <cell r="J9">
            <v>15.009468397344969</v>
          </cell>
          <cell r="K9">
            <v>16.014217381078286</v>
          </cell>
          <cell r="L9">
            <v>16.019143666433976</v>
          </cell>
          <cell r="M9">
            <v>12.022116237486282</v>
          </cell>
          <cell r="N9">
            <v>13.010917186970582</v>
          </cell>
          <cell r="O9" t="str">
            <v>Religion</v>
          </cell>
          <cell r="P9" t="str">
            <v>Medicine</v>
          </cell>
          <cell r="Q9" t="str">
            <v xml:space="preserve"> </v>
          </cell>
          <cell r="R9" t="str">
            <v xml:space="preserve"> </v>
          </cell>
          <cell r="S9" t="str">
            <v/>
          </cell>
          <cell r="T9" t="str">
            <v/>
          </cell>
          <cell r="U9">
            <v>3</v>
          </cell>
          <cell r="V9" t="str">
            <v>Dagger, dart, sling, quarterstaff, light crossbow</v>
          </cell>
          <cell r="W9" t="str">
            <v>None</v>
          </cell>
          <cell r="X9" t="str">
            <v>None</v>
          </cell>
          <cell r="Y9" t="str">
            <v>Int</v>
          </cell>
          <cell r="Z9" t="str">
            <v>Int</v>
          </cell>
          <cell r="AA9" t="str">
            <v>Wis</v>
          </cell>
        </row>
        <row r="10">
          <cell r="B10">
            <v>5</v>
          </cell>
          <cell r="C10" t="str">
            <v>Barbarian</v>
          </cell>
          <cell r="D10" t="str">
            <v xml:space="preserve"> </v>
          </cell>
          <cell r="E10">
            <v>12</v>
          </cell>
          <cell r="F10" t="str">
            <v>Str</v>
          </cell>
          <cell r="G10" t="str">
            <v>Con</v>
          </cell>
          <cell r="H10" t="str">
            <v>Dex</v>
          </cell>
          <cell r="I10">
            <v>16.019143666433976</v>
          </cell>
          <cell r="J10">
            <v>15.009468397344969</v>
          </cell>
          <cell r="K10">
            <v>16.014217381078286</v>
          </cell>
          <cell r="L10">
            <v>10.013455674536051</v>
          </cell>
          <cell r="M10">
            <v>13.010917186970582</v>
          </cell>
          <cell r="N10">
            <v>12.022116237486282</v>
          </cell>
          <cell r="O10" t="str">
            <v>Survival</v>
          </cell>
          <cell r="P10" t="str">
            <v>Perception</v>
          </cell>
          <cell r="Q10" t="str">
            <v xml:space="preserve"> </v>
          </cell>
          <cell r="R10" t="str">
            <v xml:space="preserve"> </v>
          </cell>
          <cell r="S10" t="str">
            <v/>
          </cell>
          <cell r="T10" t="str">
            <v/>
          </cell>
          <cell r="U10">
            <v>3</v>
          </cell>
          <cell r="V10" t="str">
            <v>Simple &amp; martial weapons</v>
          </cell>
          <cell r="W10" t="str">
            <v>Light &amp; Medium armor, Shields</v>
          </cell>
          <cell r="X10" t="str">
            <v>None</v>
          </cell>
          <cell r="Y10" t="str">
            <v>---</v>
          </cell>
          <cell r="Z10" t="str">
            <v>Str</v>
          </cell>
          <cell r="AA10" t="str">
            <v>Con</v>
          </cell>
        </row>
        <row r="11">
          <cell r="B11">
            <v>6</v>
          </cell>
          <cell r="C11" t="str">
            <v>Bard</v>
          </cell>
          <cell r="D11" t="str">
            <v xml:space="preserve"> </v>
          </cell>
          <cell r="E11">
            <v>8</v>
          </cell>
          <cell r="F11" t="str">
            <v>Cha</v>
          </cell>
          <cell r="G11" t="str">
            <v>Dex</v>
          </cell>
          <cell r="H11" t="str">
            <v>Con</v>
          </cell>
          <cell r="I11">
            <v>13.010917186970582</v>
          </cell>
          <cell r="J11">
            <v>16.014217381078286</v>
          </cell>
          <cell r="K11">
            <v>15.009468397344969</v>
          </cell>
          <cell r="L11">
            <v>10.013455674536051</v>
          </cell>
          <cell r="M11">
            <v>12.022116237486282</v>
          </cell>
          <cell r="N11">
            <v>16.019143666433976</v>
          </cell>
          <cell r="O11" t="str">
            <v>Intimidation</v>
          </cell>
          <cell r="P11" t="str">
            <v>Persuasion</v>
          </cell>
          <cell r="Q11" t="str">
            <v>Perception</v>
          </cell>
          <cell r="R11" t="str">
            <v xml:space="preserve"> </v>
          </cell>
          <cell r="S11" t="str">
            <v/>
          </cell>
          <cell r="T11" t="str">
            <v/>
          </cell>
          <cell r="U11">
            <v>3</v>
          </cell>
          <cell r="V11" t="str">
            <v>Simple weapons, hand crossbow, longsword, rapier, shorts word</v>
          </cell>
          <cell r="W11" t="str">
            <v>Light armor</v>
          </cell>
          <cell r="X11" t="str">
            <v>3 Musical Instruments</v>
          </cell>
          <cell r="Y11" t="str">
            <v>Cha</v>
          </cell>
          <cell r="Z11" t="str">
            <v>Dex</v>
          </cell>
          <cell r="AA11" t="str">
            <v>Cha</v>
          </cell>
        </row>
        <row r="12">
          <cell r="B12">
            <v>7</v>
          </cell>
          <cell r="C12" t="str">
            <v>Druid</v>
          </cell>
          <cell r="D12" t="str">
            <v xml:space="preserve"> </v>
          </cell>
          <cell r="E12">
            <v>8</v>
          </cell>
          <cell r="F12" t="str">
            <v>Wis</v>
          </cell>
          <cell r="G12" t="str">
            <v>Con</v>
          </cell>
          <cell r="H12" t="str">
            <v>Dex</v>
          </cell>
          <cell r="I12">
            <v>13.010917186970582</v>
          </cell>
          <cell r="J12">
            <v>15.009468397344969</v>
          </cell>
          <cell r="K12">
            <v>16.014217381078286</v>
          </cell>
          <cell r="L12">
            <v>10.013455674536051</v>
          </cell>
          <cell r="M12">
            <v>16.019143666433976</v>
          </cell>
          <cell r="N12">
            <v>12.022116237486282</v>
          </cell>
          <cell r="O12" t="str">
            <v>Religion</v>
          </cell>
          <cell r="P12" t="str">
            <v>Perception</v>
          </cell>
          <cell r="Q12" t="str">
            <v xml:space="preserve"> </v>
          </cell>
          <cell r="R12" t="str">
            <v xml:space="preserve"> </v>
          </cell>
          <cell r="S12" t="str">
            <v/>
          </cell>
          <cell r="T12" t="str">
            <v/>
          </cell>
          <cell r="U12">
            <v>3</v>
          </cell>
          <cell r="V12" t="str">
            <v>Club, dagger, dart, javelin, mace, quarterstaff, scimitar, sickle, sling, spear</v>
          </cell>
          <cell r="W12" t="str">
            <v>Nonmetal light &amp; medium armor &amp; shields</v>
          </cell>
          <cell r="X12" t="str">
            <v>Herbalism Kit</v>
          </cell>
          <cell r="Y12" t="str">
            <v>Wis</v>
          </cell>
          <cell r="Z12" t="str">
            <v>Int</v>
          </cell>
          <cell r="AA12" t="str">
            <v>Wis</v>
          </cell>
        </row>
        <row r="13">
          <cell r="B13">
            <v>8</v>
          </cell>
          <cell r="C13" t="str">
            <v>Monk</v>
          </cell>
          <cell r="D13" t="str">
            <v xml:space="preserve"> </v>
          </cell>
          <cell r="E13">
            <v>8</v>
          </cell>
          <cell r="F13" t="str">
            <v>Dex</v>
          </cell>
          <cell r="G13" t="str">
            <v>Wis</v>
          </cell>
          <cell r="H13" t="str">
            <v>Con</v>
          </cell>
          <cell r="I13">
            <v>13.010917186970582</v>
          </cell>
          <cell r="J13">
            <v>16.019143666433976</v>
          </cell>
          <cell r="K13">
            <v>15.009468397344969</v>
          </cell>
          <cell r="L13">
            <v>10.013455674536051</v>
          </cell>
          <cell r="M13">
            <v>16.014217381078286</v>
          </cell>
          <cell r="N13">
            <v>12.022116237486282</v>
          </cell>
          <cell r="O13" t="str">
            <v>Stealth</v>
          </cell>
          <cell r="P13" t="str">
            <v>Religion</v>
          </cell>
          <cell r="Q13" t="str">
            <v xml:space="preserve"> </v>
          </cell>
          <cell r="R13" t="str">
            <v xml:space="preserve"> </v>
          </cell>
          <cell r="S13" t="str">
            <v/>
          </cell>
          <cell r="T13" t="str">
            <v/>
          </cell>
          <cell r="U13">
            <v>3</v>
          </cell>
          <cell r="V13" t="str">
            <v>Simple weapons, Shortsword</v>
          </cell>
          <cell r="W13" t="str">
            <v>None</v>
          </cell>
          <cell r="X13" t="str">
            <v>Artisan's tools or Musical instrument</v>
          </cell>
          <cell r="Y13" t="str">
            <v>---</v>
          </cell>
          <cell r="Z13" t="str">
            <v>Str</v>
          </cell>
          <cell r="AA13" t="str">
            <v>Dex</v>
          </cell>
        </row>
        <row r="14">
          <cell r="B14">
            <v>9</v>
          </cell>
          <cell r="C14" t="str">
            <v>Paladin</v>
          </cell>
          <cell r="E14">
            <v>10</v>
          </cell>
          <cell r="F14" t="str">
            <v>Str</v>
          </cell>
          <cell r="G14" t="str">
            <v>Cha</v>
          </cell>
          <cell r="H14" t="str">
            <v>Con</v>
          </cell>
          <cell r="I14">
            <v>16.019143666433976</v>
          </cell>
          <cell r="J14">
            <v>13.010917186970582</v>
          </cell>
          <cell r="K14">
            <v>15.009468397344969</v>
          </cell>
          <cell r="L14">
            <v>10.013455674536051</v>
          </cell>
          <cell r="M14">
            <v>12.022116237486282</v>
          </cell>
          <cell r="N14">
            <v>16.014217381078286</v>
          </cell>
          <cell r="O14" t="str">
            <v>Religion</v>
          </cell>
          <cell r="P14" t="str">
            <v>Persuasion</v>
          </cell>
          <cell r="Q14" t="str">
            <v xml:space="preserve"> </v>
          </cell>
          <cell r="R14" t="str">
            <v xml:space="preserve"> </v>
          </cell>
          <cell r="S14" t="str">
            <v/>
          </cell>
          <cell r="T14" t="str">
            <v/>
          </cell>
          <cell r="U14">
            <v>3</v>
          </cell>
          <cell r="V14" t="str">
            <v>All simple &amp; martial weapons</v>
          </cell>
          <cell r="W14" t="str">
            <v>All armor and shields</v>
          </cell>
          <cell r="X14" t="str">
            <v>None</v>
          </cell>
          <cell r="Y14" t="str">
            <v>Cha</v>
          </cell>
          <cell r="Z14" t="str">
            <v>Wis</v>
          </cell>
          <cell r="AA14" t="str">
            <v>Cha</v>
          </cell>
        </row>
        <row r="15">
          <cell r="B15">
            <v>10</v>
          </cell>
          <cell r="C15" t="str">
            <v>Ranger</v>
          </cell>
          <cell r="D15" t="str">
            <v/>
          </cell>
          <cell r="E15">
            <v>10</v>
          </cell>
          <cell r="F15" t="str">
            <v>Dex</v>
          </cell>
          <cell r="G15" t="str">
            <v>Wis</v>
          </cell>
          <cell r="H15" t="str">
            <v>Con</v>
          </cell>
          <cell r="I15">
            <v>13.010917186970582</v>
          </cell>
          <cell r="J15">
            <v>16.019143666433976</v>
          </cell>
          <cell r="K15">
            <v>15.009468397344969</v>
          </cell>
          <cell r="L15">
            <v>10.013455674536051</v>
          </cell>
          <cell r="M15">
            <v>16.014217381078286</v>
          </cell>
          <cell r="N15">
            <v>12.022116237486282</v>
          </cell>
          <cell r="O15" t="str">
            <v>Stealth</v>
          </cell>
          <cell r="P15" t="str">
            <v>Perception</v>
          </cell>
          <cell r="Q15" t="str">
            <v>Nature</v>
          </cell>
          <cell r="R15" t="str">
            <v xml:space="preserve"> </v>
          </cell>
          <cell r="S15" t="str">
            <v/>
          </cell>
          <cell r="T15" t="str">
            <v/>
          </cell>
          <cell r="U15">
            <v>3</v>
          </cell>
          <cell r="V15" t="str">
            <v>Simple and martial weapons</v>
          </cell>
          <cell r="W15" t="str">
            <v>Light &amp; Medium armor, shields</v>
          </cell>
          <cell r="X15" t="str">
            <v>None</v>
          </cell>
          <cell r="Y15" t="str">
            <v>Wis</v>
          </cell>
          <cell r="Z15" t="str">
            <v>Str</v>
          </cell>
          <cell r="AA15" t="str">
            <v>Dex</v>
          </cell>
        </row>
        <row r="16">
          <cell r="B16">
            <v>11</v>
          </cell>
          <cell r="C16" t="str">
            <v>Sorcerer</v>
          </cell>
          <cell r="D16" t="str">
            <v>Draconic (Red)</v>
          </cell>
          <cell r="E16">
            <v>6</v>
          </cell>
          <cell r="F16" t="str">
            <v>Cha</v>
          </cell>
          <cell r="G16" t="str">
            <v>Con</v>
          </cell>
          <cell r="H16" t="str">
            <v>Dex</v>
          </cell>
          <cell r="I16">
            <v>10.013455674536051</v>
          </cell>
          <cell r="J16">
            <v>15.009468397344969</v>
          </cell>
          <cell r="K16">
            <v>16.014217381078286</v>
          </cell>
          <cell r="L16">
            <v>13.010917186970582</v>
          </cell>
          <cell r="M16">
            <v>12.022116237486282</v>
          </cell>
          <cell r="N16">
            <v>16.019143666433976</v>
          </cell>
          <cell r="O16" t="str">
            <v>Religion</v>
          </cell>
          <cell r="P16" t="str">
            <v>Persuasion</v>
          </cell>
          <cell r="Q16" t="str">
            <v xml:space="preserve"> </v>
          </cell>
          <cell r="R16" t="str">
            <v xml:space="preserve"> </v>
          </cell>
          <cell r="S16" t="str">
            <v/>
          </cell>
          <cell r="T16" t="str">
            <v/>
          </cell>
          <cell r="U16">
            <v>3</v>
          </cell>
          <cell r="V16" t="str">
            <v>Dagger, dart, sling, quarterstaff, light crossbow</v>
          </cell>
          <cell r="W16" t="str">
            <v>None</v>
          </cell>
          <cell r="X16" t="str">
            <v>None</v>
          </cell>
          <cell r="Y16" t="str">
            <v>Cha</v>
          </cell>
          <cell r="Z16" t="str">
            <v>Con</v>
          </cell>
          <cell r="AA16" t="str">
            <v>Cha</v>
          </cell>
        </row>
        <row r="17">
          <cell r="B17">
            <v>12</v>
          </cell>
          <cell r="C17" t="str">
            <v>Warlock</v>
          </cell>
          <cell r="D17" t="str">
            <v>Archfey Pact</v>
          </cell>
          <cell r="E17">
            <v>6</v>
          </cell>
          <cell r="F17" t="str">
            <v>Cha</v>
          </cell>
          <cell r="G17" t="str">
            <v>Con</v>
          </cell>
          <cell r="H17" t="str">
            <v>Dex</v>
          </cell>
          <cell r="I17">
            <v>10.013455674536051</v>
          </cell>
          <cell r="J17">
            <v>15.009468397344969</v>
          </cell>
          <cell r="K17">
            <v>16.014217381078286</v>
          </cell>
          <cell r="L17">
            <v>13.010917186970582</v>
          </cell>
          <cell r="M17">
            <v>12.022116237486282</v>
          </cell>
          <cell r="N17">
            <v>16.019143666433976</v>
          </cell>
          <cell r="O17" t="str">
            <v>Religion</v>
          </cell>
          <cell r="P17" t="str">
            <v>Nature</v>
          </cell>
          <cell r="Q17" t="str">
            <v xml:space="preserve"> </v>
          </cell>
          <cell r="R17" t="str">
            <v xml:space="preserve"> </v>
          </cell>
          <cell r="S17" t="str">
            <v/>
          </cell>
          <cell r="T17" t="str">
            <v/>
          </cell>
          <cell r="U17">
            <v>3</v>
          </cell>
          <cell r="V17" t="str">
            <v>Dagger, dart, sling, quarterstaff, light crossbow</v>
          </cell>
          <cell r="W17" t="str">
            <v>None</v>
          </cell>
          <cell r="X17" t="str">
            <v>None</v>
          </cell>
          <cell r="Y17" t="str">
            <v>Cha</v>
          </cell>
          <cell r="Z17" t="str">
            <v>Wis</v>
          </cell>
          <cell r="AA17" t="str">
            <v>Cha</v>
          </cell>
        </row>
        <row r="18">
          <cell r="B18">
            <v>13</v>
          </cell>
          <cell r="C18" t="str">
            <v>Mystic</v>
          </cell>
          <cell r="D18" t="str">
            <v>Order of the Avatar</v>
          </cell>
          <cell r="E18">
            <v>8</v>
          </cell>
          <cell r="F18" t="str">
            <v>Int</v>
          </cell>
          <cell r="G18" t="str">
            <v>Dex</v>
          </cell>
          <cell r="H18" t="str">
            <v>Con</v>
          </cell>
          <cell r="I18">
            <v>13.010917186970582</v>
          </cell>
          <cell r="J18">
            <v>16.014217381078286</v>
          </cell>
          <cell r="K18">
            <v>15.009468397344969</v>
          </cell>
          <cell r="L18">
            <v>16.019143666433976</v>
          </cell>
          <cell r="M18">
            <v>12.022116237486282</v>
          </cell>
          <cell r="N18">
            <v>10.013455674536051</v>
          </cell>
          <cell r="O18" t="str">
            <v>Religion</v>
          </cell>
          <cell r="P18" t="str">
            <v>Perception</v>
          </cell>
          <cell r="Q18" t="str">
            <v xml:space="preserve"> </v>
          </cell>
          <cell r="R18" t="str">
            <v xml:space="preserve"> </v>
          </cell>
          <cell r="S18" t="str">
            <v/>
          </cell>
          <cell r="T18" t="str">
            <v/>
          </cell>
          <cell r="U18">
            <v>3</v>
          </cell>
          <cell r="V18" t="str">
            <v>Simple Weapons</v>
          </cell>
          <cell r="W18" t="str">
            <v>Light armor</v>
          </cell>
          <cell r="X18" t="str">
            <v>None</v>
          </cell>
          <cell r="Y18" t="str">
            <v>Int</v>
          </cell>
          <cell r="Z18" t="str">
            <v>Int</v>
          </cell>
          <cell r="AA18" t="str">
            <v>Wis</v>
          </cell>
        </row>
        <row r="24">
          <cell r="R24">
            <v>1</v>
          </cell>
          <cell r="S24">
            <v>0</v>
          </cell>
        </row>
        <row r="25">
          <cell r="R25">
            <v>2</v>
          </cell>
          <cell r="S25">
            <v>300</v>
          </cell>
        </row>
        <row r="26">
          <cell r="R26">
            <v>3</v>
          </cell>
          <cell r="S26">
            <v>900</v>
          </cell>
        </row>
        <row r="27">
          <cell r="R27">
            <v>4</v>
          </cell>
          <cell r="S27">
            <v>2700</v>
          </cell>
        </row>
        <row r="28">
          <cell r="R28">
            <v>5</v>
          </cell>
          <cell r="S28">
            <v>6500</v>
          </cell>
        </row>
        <row r="29">
          <cell r="R29">
            <v>6</v>
          </cell>
          <cell r="S29">
            <v>14000</v>
          </cell>
        </row>
        <row r="30">
          <cell r="R30">
            <v>7</v>
          </cell>
          <cell r="S30">
            <v>23000</v>
          </cell>
        </row>
        <row r="31">
          <cell r="R31">
            <v>8</v>
          </cell>
          <cell r="S31">
            <v>34000</v>
          </cell>
        </row>
        <row r="32">
          <cell r="R32">
            <v>9</v>
          </cell>
          <cell r="S32">
            <v>48000</v>
          </cell>
        </row>
        <row r="33">
          <cell r="R33">
            <v>10</v>
          </cell>
          <cell r="S33">
            <v>64000</v>
          </cell>
        </row>
        <row r="34">
          <cell r="R34">
            <v>11</v>
          </cell>
          <cell r="S34">
            <v>85000</v>
          </cell>
        </row>
        <row r="35">
          <cell r="R35">
            <v>12</v>
          </cell>
          <cell r="S35">
            <v>100000</v>
          </cell>
        </row>
        <row r="36">
          <cell r="R36">
            <v>13</v>
          </cell>
          <cell r="S36">
            <v>120000</v>
          </cell>
        </row>
        <row r="37">
          <cell r="R37">
            <v>14</v>
          </cell>
          <cell r="S37">
            <v>140000</v>
          </cell>
        </row>
        <row r="38">
          <cell r="R38">
            <v>15</v>
          </cell>
          <cell r="S38">
            <v>165000</v>
          </cell>
        </row>
        <row r="39">
          <cell r="R39">
            <v>16</v>
          </cell>
          <cell r="S39">
            <v>195000</v>
          </cell>
        </row>
        <row r="40">
          <cell r="R40">
            <v>17</v>
          </cell>
          <cell r="S40">
            <v>225000</v>
          </cell>
        </row>
        <row r="41">
          <cell r="R41">
            <v>18</v>
          </cell>
          <cell r="S41">
            <v>265000</v>
          </cell>
        </row>
        <row r="42">
          <cell r="R42">
            <v>19</v>
          </cell>
          <cell r="S42">
            <v>305000</v>
          </cell>
        </row>
        <row r="43">
          <cell r="R43">
            <v>20</v>
          </cell>
          <cell r="S43">
            <v>355000</v>
          </cell>
        </row>
        <row r="44">
          <cell r="W44">
            <v>3</v>
          </cell>
        </row>
        <row r="63">
          <cell r="C63">
            <v>1</v>
          </cell>
          <cell r="D63">
            <v>2</v>
          </cell>
          <cell r="E63">
            <v>3</v>
          </cell>
          <cell r="F63">
            <v>4</v>
          </cell>
          <cell r="G63">
            <v>5</v>
          </cell>
          <cell r="H63">
            <v>6</v>
          </cell>
          <cell r="I63">
            <v>7</v>
          </cell>
          <cell r="J63">
            <v>8</v>
          </cell>
          <cell r="K63">
            <v>9</v>
          </cell>
          <cell r="L63">
            <v>10</v>
          </cell>
          <cell r="M63">
            <v>11</v>
          </cell>
          <cell r="N63">
            <v>12</v>
          </cell>
          <cell r="O63">
            <v>13</v>
          </cell>
          <cell r="P63">
            <v>14</v>
          </cell>
        </row>
        <row r="64">
          <cell r="C64" t="str">
            <v>(War)</v>
          </cell>
          <cell r="D64" t="str">
            <v>Samurai</v>
          </cell>
          <cell r="E64" t="str">
            <v>Scout</v>
          </cell>
          <cell r="F64" t="str">
            <v>(War Magic)</v>
          </cell>
          <cell r="G64" t="str">
            <v>Berserker</v>
          </cell>
          <cell r="H64" t="str">
            <v>College of Swords</v>
          </cell>
          <cell r="I64" t="str">
            <v>Circle of Dreams</v>
          </cell>
          <cell r="J64" t="str">
            <v>Way of the Kensei</v>
          </cell>
          <cell r="K64" t="str">
            <v>Oath of Redemption</v>
          </cell>
          <cell r="L64" t="str">
            <v>Horizon Walker</v>
          </cell>
          <cell r="M64" t="str">
            <v>Storm Sorcery</v>
          </cell>
          <cell r="N64" t="str">
            <v>Archfey Pact</v>
          </cell>
          <cell r="O64" t="str">
            <v>Order of the Avatar</v>
          </cell>
          <cell r="P64" t="str">
            <v>(Red)</v>
          </cell>
        </row>
        <row r="65">
          <cell r="C65" t="str">
            <v>CLERIC</v>
          </cell>
          <cell r="D65" t="str">
            <v>FIGHTER</v>
          </cell>
          <cell r="E65" t="str">
            <v>ROGUE</v>
          </cell>
          <cell r="F65" t="str">
            <v>WIZARD</v>
          </cell>
          <cell r="G65" t="str">
            <v>BARBARIAN</v>
          </cell>
          <cell r="H65" t="str">
            <v>BARD</v>
          </cell>
          <cell r="I65" t="str">
            <v>DRUID</v>
          </cell>
          <cell r="J65" t="str">
            <v>MONK</v>
          </cell>
          <cell r="K65" t="str">
            <v>PALADIN</v>
          </cell>
          <cell r="L65" t="str">
            <v>RANGER</v>
          </cell>
          <cell r="M65" t="str">
            <v>SORCERER</v>
          </cell>
          <cell r="N65" t="str">
            <v>WARLOCK</v>
          </cell>
          <cell r="O65" t="str">
            <v>MYSTIC</v>
          </cell>
        </row>
        <row r="66">
          <cell r="C66" t="str">
            <v>DOMAIN-1st</v>
          </cell>
          <cell r="D66" t="str">
            <v>ARCHETYPE-3RD</v>
          </cell>
          <cell r="E66" t="str">
            <v>Archetype-3rd</v>
          </cell>
          <cell r="F66" t="str">
            <v>SCHOOL</v>
          </cell>
          <cell r="G66" t="str">
            <v>PATH-3rd</v>
          </cell>
          <cell r="H66" t="str">
            <v>COLLEGE-3rd</v>
          </cell>
          <cell r="I66" t="str">
            <v>CIRCLE-2</v>
          </cell>
          <cell r="J66" t="str">
            <v>Traditon-3rd</v>
          </cell>
          <cell r="K66" t="str">
            <v>Oath-3rd</v>
          </cell>
          <cell r="L66" t="str">
            <v>Archetype-3rd</v>
          </cell>
          <cell r="M66" t="str">
            <v>Origin-1st</v>
          </cell>
          <cell r="N66" t="str">
            <v>Patron-1st</v>
          </cell>
          <cell r="O66" t="str">
            <v>???</v>
          </cell>
        </row>
        <row r="67">
          <cell r="C67">
            <v>7</v>
          </cell>
          <cell r="D67">
            <v>7</v>
          </cell>
          <cell r="E67">
            <v>7</v>
          </cell>
          <cell r="F67">
            <v>10</v>
          </cell>
          <cell r="G67">
            <v>1</v>
          </cell>
          <cell r="H67">
            <v>4</v>
          </cell>
          <cell r="I67">
            <v>3</v>
          </cell>
          <cell r="J67">
            <v>7</v>
          </cell>
          <cell r="K67">
            <v>6</v>
          </cell>
          <cell r="L67">
            <v>3</v>
          </cell>
          <cell r="M67">
            <v>6</v>
          </cell>
          <cell r="N67">
            <v>1</v>
          </cell>
          <cell r="O67">
            <v>1</v>
          </cell>
        </row>
        <row r="69">
          <cell r="B69">
            <v>1</v>
          </cell>
          <cell r="C69" t="str">
            <v>(Knowledge)</v>
          </cell>
          <cell r="D69" t="str">
            <v>Champion</v>
          </cell>
          <cell r="E69" t="str">
            <v>Thief</v>
          </cell>
          <cell r="F69" t="str">
            <v>(Abjuration)</v>
          </cell>
          <cell r="G69" t="str">
            <v>Berserker</v>
          </cell>
          <cell r="H69" t="str">
            <v>College of Lore</v>
          </cell>
          <cell r="I69" t="str">
            <v>Circle of the Land</v>
          </cell>
          <cell r="J69" t="str">
            <v>Way  of the Open Hand</v>
          </cell>
          <cell r="K69" t="str">
            <v>Oath of Devotion</v>
          </cell>
          <cell r="L69" t="str">
            <v>Hunter</v>
          </cell>
          <cell r="M69" t="str">
            <v>Draconic (Red)</v>
          </cell>
          <cell r="N69" t="str">
            <v>Archfey Pact</v>
          </cell>
          <cell r="O69" t="str">
            <v>Order of the Avatar</v>
          </cell>
          <cell r="P69" t="str">
            <v>(Black)</v>
          </cell>
        </row>
        <row r="70">
          <cell r="B70">
            <v>2</v>
          </cell>
          <cell r="C70" t="str">
            <v>(Life)</v>
          </cell>
          <cell r="D70" t="str">
            <v>Battle Master</v>
          </cell>
          <cell r="E70" t="str">
            <v>Assassin</v>
          </cell>
          <cell r="F70" t="str">
            <v>(Conjuration)</v>
          </cell>
          <cell r="G70" t="str">
            <v>Totem: Elk</v>
          </cell>
          <cell r="H70" t="str">
            <v>College of Valor</v>
          </cell>
          <cell r="I70" t="str">
            <v>Circle of the Moon</v>
          </cell>
          <cell r="J70" t="str">
            <v>Way of the Shadow</v>
          </cell>
          <cell r="K70" t="str">
            <v>Oath of the Ancients</v>
          </cell>
          <cell r="L70" t="str">
            <v>Beastmaster</v>
          </cell>
          <cell r="M70" t="str">
            <v>Wild Magic</v>
          </cell>
          <cell r="N70" t="str">
            <v>Fiend Pact</v>
          </cell>
          <cell r="O70" t="str">
            <v>Order of the Awakened</v>
          </cell>
          <cell r="P70" t="str">
            <v>(Blue)</v>
          </cell>
        </row>
        <row r="71">
          <cell r="B71">
            <v>3</v>
          </cell>
          <cell r="C71" t="str">
            <v>(Light)</v>
          </cell>
          <cell r="D71" t="str">
            <v>Eldritch Knight</v>
          </cell>
          <cell r="E71" t="str">
            <v>Arcane Trickster</v>
          </cell>
          <cell r="F71" t="str">
            <v>(Divination)</v>
          </cell>
          <cell r="G71" t="str">
            <v>Battlerager</v>
          </cell>
          <cell r="H71" t="str">
            <v>College of Blamour</v>
          </cell>
          <cell r="I71" t="str">
            <v>Circle of Dreams</v>
          </cell>
          <cell r="J71" t="str">
            <v>Way of the Four Elements</v>
          </cell>
          <cell r="K71" t="str">
            <v>Oath of Vengeance</v>
          </cell>
          <cell r="L71" t="str">
            <v>Horizon Walker</v>
          </cell>
          <cell r="M71" t="str">
            <v>Storm Sorcery</v>
          </cell>
          <cell r="N71" t="str">
            <v>Great Old One Pact</v>
          </cell>
          <cell r="O71" t="str">
            <v>Order of the Immortal</v>
          </cell>
          <cell r="P71" t="str">
            <v>(Brass)</v>
          </cell>
        </row>
        <row r="72">
          <cell r="B72">
            <v>4</v>
          </cell>
          <cell r="C72" t="str">
            <v>(Nature)</v>
          </cell>
          <cell r="D72" t="str">
            <v>Purple Dragon Knight</v>
          </cell>
          <cell r="E72" t="str">
            <v>Mastermind</v>
          </cell>
          <cell r="F72" t="str">
            <v>(Enchantment)</v>
          </cell>
          <cell r="G72" t="str">
            <v>Ancestral Guardian</v>
          </cell>
          <cell r="H72" t="str">
            <v>College of Swords</v>
          </cell>
          <cell r="I72" t="str">
            <v>Circle of the Shepherd</v>
          </cell>
          <cell r="J72" t="str">
            <v>Way of the Long Death</v>
          </cell>
          <cell r="K72" t="str">
            <v>Oath of the Crown</v>
          </cell>
          <cell r="L72" t="str">
            <v>Monster Slayer</v>
          </cell>
          <cell r="M72" t="str">
            <v>Divine Soul</v>
          </cell>
          <cell r="N72" t="str">
            <v>The Undying</v>
          </cell>
          <cell r="O72" t="str">
            <v>Order of the Nomad</v>
          </cell>
          <cell r="P72" t="str">
            <v>(Bronze)</v>
          </cell>
        </row>
        <row r="73">
          <cell r="B73">
            <v>5</v>
          </cell>
          <cell r="C73" t="str">
            <v>(Tempest)</v>
          </cell>
          <cell r="D73" t="str">
            <v>Arcane Archer</v>
          </cell>
          <cell r="E73" t="str">
            <v>Swashbuckler</v>
          </cell>
          <cell r="F73" t="str">
            <v>(Evocation)</v>
          </cell>
          <cell r="G73" t="str">
            <v>Storm Herld</v>
          </cell>
          <cell r="H73" t="str">
            <v>College of Whispers</v>
          </cell>
          <cell r="J73" t="str">
            <v>Way of the Sun Soul</v>
          </cell>
          <cell r="K73" t="str">
            <v>Oath of Conquest</v>
          </cell>
          <cell r="M73" t="str">
            <v>Shadow Magic</v>
          </cell>
          <cell r="N73" t="str">
            <v>The Celestial</v>
          </cell>
          <cell r="O73" t="str">
            <v>Order of the Soul Knife</v>
          </cell>
          <cell r="P73" t="str">
            <v>(Copper)</v>
          </cell>
        </row>
        <row r="74">
          <cell r="B74">
            <v>6</v>
          </cell>
          <cell r="C74" t="str">
            <v>(Trickery)</v>
          </cell>
          <cell r="D74" t="str">
            <v>Cavalier</v>
          </cell>
          <cell r="E74" t="str">
            <v>Inquisitive</v>
          </cell>
          <cell r="F74" t="str">
            <v>(Illusion)</v>
          </cell>
          <cell r="J74" t="str">
            <v>Way of the Drunken Master</v>
          </cell>
          <cell r="K74" t="str">
            <v>Oath of Redemption</v>
          </cell>
          <cell r="M74" t="str">
            <v>Storm Sorcery</v>
          </cell>
          <cell r="N74" t="str">
            <v>The Hexblade</v>
          </cell>
          <cell r="O74" t="str">
            <v>Order of the Wu Jen</v>
          </cell>
          <cell r="P74" t="str">
            <v>(Gold)</v>
          </cell>
        </row>
        <row r="75">
          <cell r="B75">
            <v>7</v>
          </cell>
          <cell r="C75" t="str">
            <v>(War)</v>
          </cell>
          <cell r="D75" t="str">
            <v>Samurai</v>
          </cell>
          <cell r="E75" t="str">
            <v>Scout</v>
          </cell>
          <cell r="F75" t="str">
            <v>(Necromancy)</v>
          </cell>
          <cell r="J75" t="str">
            <v>Way of the Kensei</v>
          </cell>
          <cell r="P75" t="str">
            <v>(Green)</v>
          </cell>
        </row>
        <row r="76">
          <cell r="B76">
            <v>8</v>
          </cell>
          <cell r="C76" t="str">
            <v>(Arcana)</v>
          </cell>
          <cell r="F76" t="str">
            <v>(Transmutation)</v>
          </cell>
          <cell r="P76" t="str">
            <v>(Red)</v>
          </cell>
        </row>
        <row r="77">
          <cell r="B77">
            <v>9</v>
          </cell>
          <cell r="C77" t="str">
            <v>(Forge)</v>
          </cell>
          <cell r="F77" t="str">
            <v>(Bladesinging)</v>
          </cell>
          <cell r="P77" t="str">
            <v>(Silver)</v>
          </cell>
        </row>
        <row r="78">
          <cell r="B78">
            <v>10</v>
          </cell>
          <cell r="C78" t="str">
            <v>(Grave)</v>
          </cell>
          <cell r="F78" t="str">
            <v>(War Magic)</v>
          </cell>
          <cell r="P78" t="str">
            <v>(White)</v>
          </cell>
        </row>
        <row r="79">
          <cell r="B79">
            <v>11</v>
          </cell>
        </row>
        <row r="80">
          <cell r="B80">
            <v>12</v>
          </cell>
        </row>
        <row r="83">
          <cell r="D83" t="str">
            <v/>
          </cell>
          <cell r="E83" t="str">
            <v/>
          </cell>
          <cell r="F83" t="str">
            <v/>
          </cell>
          <cell r="G83" t="str">
            <v>Totem: Elk</v>
          </cell>
          <cell r="I83" t="e">
            <v>#N/A</v>
          </cell>
          <cell r="K83" t="str">
            <v/>
          </cell>
          <cell r="L83" t="str">
            <v/>
          </cell>
          <cell r="M83" t="str">
            <v/>
          </cell>
          <cell r="N83" t="str">
            <v/>
          </cell>
          <cell r="O83" t="str">
            <v/>
          </cell>
        </row>
        <row r="84">
          <cell r="C84" t="str">
            <v>CLERIC</v>
          </cell>
          <cell r="D84" t="str">
            <v>FIGHTER</v>
          </cell>
          <cell r="E84" t="str">
            <v>ROGUE</v>
          </cell>
          <cell r="F84" t="str">
            <v>WIZARD</v>
          </cell>
          <cell r="G84" t="str">
            <v>BARBARIAN</v>
          </cell>
          <cell r="H84" t="str">
            <v>BARD</v>
          </cell>
          <cell r="I84" t="str">
            <v>DRUID</v>
          </cell>
          <cell r="J84" t="str">
            <v>MONK</v>
          </cell>
          <cell r="K84" t="str">
            <v>PALADIN</v>
          </cell>
          <cell r="L84" t="str">
            <v>RANGER</v>
          </cell>
          <cell r="M84" t="str">
            <v>SORCERER</v>
          </cell>
          <cell r="N84" t="str">
            <v>WARLOCK</v>
          </cell>
          <cell r="O84" t="str">
            <v>MYSTIC</v>
          </cell>
        </row>
        <row r="85">
          <cell r="D85" t="str">
            <v>FIGHTING STYLE</v>
          </cell>
          <cell r="E85" t="str">
            <v>ARC TRX SPELL</v>
          </cell>
          <cell r="F85" t="str">
            <v>???</v>
          </cell>
          <cell r="G85" t="str">
            <v>TOTEM</v>
          </cell>
          <cell r="H85" t="str">
            <v>???</v>
          </cell>
          <cell r="I85" t="str">
            <v>Ld Crcle Type</v>
          </cell>
          <cell r="J85" t="str">
            <v>???</v>
          </cell>
          <cell r="K85" t="str">
            <v>Fight style @-2nd</v>
          </cell>
          <cell r="L85" t="str">
            <v>fight style @</v>
          </cell>
          <cell r="M85" t="str">
            <v>???</v>
          </cell>
          <cell r="N85" t="str">
            <v>PACT</v>
          </cell>
          <cell r="O85" t="str">
            <v>???</v>
          </cell>
        </row>
        <row r="86">
          <cell r="C86">
            <v>2</v>
          </cell>
          <cell r="D86">
            <v>3</v>
          </cell>
          <cell r="E86">
            <v>4</v>
          </cell>
          <cell r="F86">
            <v>5</v>
          </cell>
          <cell r="G86">
            <v>6</v>
          </cell>
          <cell r="H86">
            <v>7</v>
          </cell>
          <cell r="I86">
            <v>8</v>
          </cell>
          <cell r="J86">
            <v>9</v>
          </cell>
          <cell r="K86">
            <v>10</v>
          </cell>
          <cell r="L86">
            <v>11</v>
          </cell>
          <cell r="M86">
            <v>12</v>
          </cell>
          <cell r="N86">
            <v>13</v>
          </cell>
          <cell r="O86">
            <v>14</v>
          </cell>
        </row>
        <row r="87">
          <cell r="D87">
            <v>6</v>
          </cell>
          <cell r="E87">
            <v>1</v>
          </cell>
          <cell r="F87">
            <v>0</v>
          </cell>
          <cell r="G87">
            <v>4</v>
          </cell>
          <cell r="H87">
            <v>0</v>
          </cell>
          <cell r="I87">
            <v>3</v>
          </cell>
          <cell r="J87">
            <v>0</v>
          </cell>
          <cell r="K87">
            <v>4</v>
          </cell>
          <cell r="L87">
            <v>4</v>
          </cell>
          <cell r="M87">
            <v>0</v>
          </cell>
          <cell r="N87">
            <v>3</v>
          </cell>
        </row>
        <row r="88">
          <cell r="O88" t="str">
            <v>You write down the name of each creature you slay, and name ones that are unnamed.</v>
          </cell>
        </row>
        <row r="89">
          <cell r="O89" t="str">
            <v>You sleep on bare earth.</v>
          </cell>
        </row>
        <row r="108">
          <cell r="B108">
            <v>2</v>
          </cell>
          <cell r="C108" t="str">
            <v>Fighter</v>
          </cell>
          <cell r="D108" t="str">
            <v>Precision Attack</v>
          </cell>
          <cell r="E108" t="str">
            <v>Feinting Attack</v>
          </cell>
          <cell r="F108" t="str">
            <v>Disarming Attack</v>
          </cell>
          <cell r="G108" t="str">
            <v>Sweeping Attack</v>
          </cell>
          <cell r="H108" t="str">
            <v>Distracting Strike</v>
          </cell>
          <cell r="I108" t="str">
            <v/>
          </cell>
          <cell r="J108" t="str">
            <v/>
          </cell>
          <cell r="K108" t="str">
            <v/>
          </cell>
          <cell r="L108" t="str">
            <v/>
          </cell>
        </row>
        <row r="109">
          <cell r="B109">
            <v>8</v>
          </cell>
          <cell r="C109" t="str">
            <v>Monk</v>
          </cell>
          <cell r="D109" t="str">
            <v>Flurry of Blows</v>
          </cell>
          <cell r="E109" t="str">
            <v>Patient Defense</v>
          </cell>
          <cell r="F109" t="str">
            <v>Step of the Wind</v>
          </cell>
          <cell r="G109" t="str">
            <v/>
          </cell>
          <cell r="H109" t="str">
            <v/>
          </cell>
          <cell r="I109" t="str">
            <v/>
          </cell>
          <cell r="J109" t="str">
            <v/>
          </cell>
          <cell r="K109" t="str">
            <v/>
          </cell>
        </row>
        <row r="110">
          <cell r="B110">
            <v>9</v>
          </cell>
          <cell r="C110" t="str">
            <v>Paladin</v>
          </cell>
          <cell r="D110" t="str">
            <v/>
          </cell>
          <cell r="E110" t="str">
            <v/>
          </cell>
          <cell r="F110" t="str">
            <v/>
          </cell>
          <cell r="G110" t="str">
            <v/>
          </cell>
          <cell r="H110" t="str">
            <v/>
          </cell>
        </row>
        <row r="111">
          <cell r="B111">
            <v>12</v>
          </cell>
          <cell r="C111" t="str">
            <v>Warlock</v>
          </cell>
          <cell r="D111" t="e">
            <v>#N/A</v>
          </cell>
          <cell r="E111" t="e">
            <v>#N/A</v>
          </cell>
          <cell r="F111" t="e">
            <v>#N/A</v>
          </cell>
          <cell r="G111" t="str">
            <v>Beast Speech</v>
          </cell>
          <cell r="H111" t="str">
            <v/>
          </cell>
          <cell r="I111" t="str">
            <v/>
          </cell>
          <cell r="J111" t="str">
            <v/>
          </cell>
          <cell r="K111" t="str">
            <v/>
          </cell>
        </row>
        <row r="112">
          <cell r="B112">
            <v>13</v>
          </cell>
          <cell r="C112" t="str">
            <v>Mystic</v>
          </cell>
          <cell r="D112" t="e">
            <v>#N/A</v>
          </cell>
          <cell r="E112" t="str">
            <v>Psychic Inquisition</v>
          </cell>
          <cell r="F112" t="str">
            <v>Mastery of Water</v>
          </cell>
          <cell r="G112" t="str">
            <v>Intellect Fortress</v>
          </cell>
          <cell r="H112" t="str">
            <v/>
          </cell>
          <cell r="I112" t="str">
            <v/>
          </cell>
          <cell r="J112" t="str">
            <v/>
          </cell>
          <cell r="K112" t="str">
            <v/>
          </cell>
        </row>
        <row r="151">
          <cell r="E151" t="str">
            <v>Mantle of Majesty</v>
          </cell>
        </row>
        <row r="158">
          <cell r="E158" t="str">
            <v>Arcane Trickster</v>
          </cell>
        </row>
        <row r="242">
          <cell r="O242">
            <v>11</v>
          </cell>
        </row>
        <row r="262">
          <cell r="M262" t="str">
            <v/>
          </cell>
          <cell r="N262" t="str">
            <v/>
          </cell>
        </row>
        <row r="274">
          <cell r="C274" t="str">
            <v>Undead</v>
          </cell>
          <cell r="D274" t="str">
            <v/>
          </cell>
        </row>
        <row r="275">
          <cell r="C275" t="str">
            <v>Aarakocra</v>
          </cell>
          <cell r="D275" t="str">
            <v>Kobold</v>
          </cell>
        </row>
        <row r="276">
          <cell r="C276" t="str">
            <v>Plants</v>
          </cell>
          <cell r="D276" t="str">
            <v/>
          </cell>
        </row>
        <row r="371">
          <cell r="G371" t="str">
            <v>Delusion</v>
          </cell>
        </row>
        <row r="373">
          <cell r="G373" t="str">
            <v/>
          </cell>
        </row>
      </sheetData>
      <sheetData sheetId="11">
        <row r="3">
          <cell r="B3">
            <v>1</v>
          </cell>
          <cell r="C3">
            <v>0.42643139311971689</v>
          </cell>
          <cell r="D3" t="str">
            <v>Acrobatics</v>
          </cell>
          <cell r="L3" t="str">
            <v>Survival</v>
          </cell>
          <cell r="P3" t="str">
            <v>Intimidation</v>
          </cell>
          <cell r="T3" t="str">
            <v>Religion</v>
          </cell>
          <cell r="X3" t="str">
            <v>Religion</v>
          </cell>
          <cell r="AB3" t="str">
            <v>Perception</v>
          </cell>
          <cell r="AF3" t="str">
            <v>Stealth</v>
          </cell>
          <cell r="AJ3" t="str">
            <v>Religion</v>
          </cell>
          <cell r="AN3" t="str">
            <v>Stealth</v>
          </cell>
          <cell r="AR3" t="str">
            <v>Perception</v>
          </cell>
          <cell r="AV3" t="str">
            <v>Religion</v>
          </cell>
          <cell r="AZ3" t="str">
            <v>Religion</v>
          </cell>
          <cell r="BD3" t="str">
            <v>Religion</v>
          </cell>
          <cell r="BH3" t="str">
            <v>Religion</v>
          </cell>
        </row>
        <row r="4">
          <cell r="B4">
            <v>2</v>
          </cell>
          <cell r="C4">
            <v>0.33233887167455356</v>
          </cell>
          <cell r="D4" t="str">
            <v>Animal Handling</v>
          </cell>
          <cell r="L4" t="str">
            <v>Perception</v>
          </cell>
          <cell r="P4" t="str">
            <v>Persuasion</v>
          </cell>
          <cell r="T4" t="str">
            <v>Insight</v>
          </cell>
          <cell r="X4" t="str">
            <v>Perception</v>
          </cell>
          <cell r="AB4" t="str">
            <v>Intimidation</v>
          </cell>
          <cell r="AF4" t="str">
            <v>Religion</v>
          </cell>
          <cell r="AJ4" t="str">
            <v>Persuasion</v>
          </cell>
          <cell r="AN4" t="str">
            <v>Perception</v>
          </cell>
          <cell r="AR4" t="str">
            <v>Investigation</v>
          </cell>
          <cell r="AV4" t="str">
            <v>Persuasion</v>
          </cell>
          <cell r="AZ4" t="str">
            <v>Nature</v>
          </cell>
          <cell r="BD4" t="str">
            <v>Medicine</v>
          </cell>
          <cell r="BH4" t="str">
            <v>Perception</v>
          </cell>
        </row>
        <row r="5">
          <cell r="B5">
            <v>3</v>
          </cell>
          <cell r="C5">
            <v>0.57344323794037477</v>
          </cell>
          <cell r="D5" t="str">
            <v>Arcana</v>
          </cell>
          <cell r="P5" t="str">
            <v>Perception</v>
          </cell>
          <cell r="AN5" t="str">
            <v>Nature</v>
          </cell>
          <cell r="AR5" t="str">
            <v>Intimidation</v>
          </cell>
        </row>
        <row r="6">
          <cell r="B6">
            <v>4</v>
          </cell>
          <cell r="C6">
            <v>0.81759316966772821</v>
          </cell>
          <cell r="D6" t="str">
            <v>Athletics</v>
          </cell>
          <cell r="AR6" t="str">
            <v>Persuasion</v>
          </cell>
        </row>
        <row r="7">
          <cell r="B7">
            <v>5</v>
          </cell>
          <cell r="C7">
            <v>0.17136303308335876</v>
          </cell>
          <cell r="D7" t="str">
            <v>Deception</v>
          </cell>
        </row>
        <row r="8">
          <cell r="B8">
            <v>6</v>
          </cell>
          <cell r="C8">
            <v>6.7323210453007043E-2</v>
          </cell>
          <cell r="D8" t="str">
            <v>History</v>
          </cell>
        </row>
        <row r="9">
          <cell r="B9">
            <v>7</v>
          </cell>
          <cell r="C9">
            <v>3.7515066288008492E-2</v>
          </cell>
          <cell r="D9" t="str">
            <v>Insight</v>
          </cell>
        </row>
        <row r="10">
          <cell r="B10">
            <v>8</v>
          </cell>
          <cell r="C10">
            <v>0.86704570616688947</v>
          </cell>
          <cell r="D10" t="str">
            <v>Intimidation</v>
          </cell>
        </row>
        <row r="11">
          <cell r="B11">
            <v>9</v>
          </cell>
          <cell r="C11">
            <v>0.32502372657229195</v>
          </cell>
          <cell r="D11" t="str">
            <v>Investigation</v>
          </cell>
        </row>
        <row r="12">
          <cell r="B12">
            <v>10</v>
          </cell>
          <cell r="C12">
            <v>0.76710886106416931</v>
          </cell>
          <cell r="D12" t="str">
            <v>Medicine</v>
          </cell>
        </row>
        <row r="13">
          <cell r="B13">
            <v>11</v>
          </cell>
          <cell r="C13">
            <v>0.61516722641930666</v>
          </cell>
          <cell r="D13" t="str">
            <v>Nature</v>
          </cell>
        </row>
        <row r="14">
          <cell r="B14">
            <v>12</v>
          </cell>
          <cell r="C14">
            <v>0.8386354536394266</v>
          </cell>
          <cell r="D14" t="str">
            <v>Perception</v>
          </cell>
        </row>
        <row r="15">
          <cell r="B15">
            <v>13</v>
          </cell>
          <cell r="C15">
            <v>0.80894587376954186</v>
          </cell>
          <cell r="D15" t="str">
            <v>Performance</v>
          </cell>
        </row>
        <row r="16">
          <cell r="B16">
            <v>14</v>
          </cell>
          <cell r="C16">
            <v>0.85195650876329554</v>
          </cell>
          <cell r="D16" t="str">
            <v>Persuasion</v>
          </cell>
        </row>
        <row r="17">
          <cell r="B17">
            <v>15</v>
          </cell>
          <cell r="C17">
            <v>0.73173733690172249</v>
          </cell>
          <cell r="D17" t="str">
            <v>Religion</v>
          </cell>
        </row>
        <row r="18">
          <cell r="B18">
            <v>16</v>
          </cell>
          <cell r="C18">
            <v>0.27467608989441417</v>
          </cell>
          <cell r="D18" t="str">
            <v>Sleight of Hand</v>
          </cell>
        </row>
        <row r="19">
          <cell r="B19">
            <v>17</v>
          </cell>
          <cell r="C19">
            <v>4.2941947235538014E-2</v>
          </cell>
          <cell r="D19" t="str">
            <v>Stealth</v>
          </cell>
        </row>
        <row r="20">
          <cell r="B20">
            <v>18</v>
          </cell>
          <cell r="C20">
            <v>0.45891667509525991</v>
          </cell>
          <cell r="D20" t="str">
            <v>Survival</v>
          </cell>
        </row>
        <row r="26">
          <cell r="AJ26">
            <v>1</v>
          </cell>
          <cell r="AK26">
            <v>2</v>
          </cell>
          <cell r="AL26">
            <v>3</v>
          </cell>
          <cell r="AM26">
            <v>4</v>
          </cell>
          <cell r="AN26">
            <v>5</v>
          </cell>
          <cell r="AO26">
            <v>6</v>
          </cell>
          <cell r="AP26">
            <v>7</v>
          </cell>
          <cell r="AQ26">
            <v>8</v>
          </cell>
          <cell r="AR26">
            <v>9</v>
          </cell>
          <cell r="AS26">
            <v>10</v>
          </cell>
          <cell r="AT26">
            <v>11</v>
          </cell>
          <cell r="AU26">
            <v>12</v>
          </cell>
          <cell r="AV26">
            <v>13</v>
          </cell>
          <cell r="AW26">
            <v>14</v>
          </cell>
          <cell r="AX26">
            <v>15</v>
          </cell>
          <cell r="AY26">
            <v>16</v>
          </cell>
          <cell r="AZ26">
            <v>17</v>
          </cell>
          <cell r="BA26">
            <v>18</v>
          </cell>
          <cell r="BB26">
            <v>19</v>
          </cell>
          <cell r="BC26">
            <v>20</v>
          </cell>
          <cell r="BD26">
            <v>21</v>
          </cell>
          <cell r="BE26">
            <v>22</v>
          </cell>
          <cell r="BF26">
            <v>23</v>
          </cell>
          <cell r="BG26">
            <v>24</v>
          </cell>
          <cell r="BH26">
            <v>25</v>
          </cell>
          <cell r="BI26">
            <v>26</v>
          </cell>
          <cell r="BJ26">
            <v>27</v>
          </cell>
          <cell r="BK26">
            <v>28</v>
          </cell>
          <cell r="BL26">
            <v>29</v>
          </cell>
          <cell r="BM26">
            <v>30</v>
          </cell>
          <cell r="BN26">
            <v>31</v>
          </cell>
          <cell r="BO26">
            <v>32</v>
          </cell>
          <cell r="BP26">
            <v>33</v>
          </cell>
          <cell r="BQ26">
            <v>34</v>
          </cell>
          <cell r="BR26">
            <v>35</v>
          </cell>
          <cell r="BS26">
            <v>36</v>
          </cell>
          <cell r="BT26">
            <v>37</v>
          </cell>
          <cell r="BU26">
            <v>38</v>
          </cell>
        </row>
        <row r="27">
          <cell r="A27">
            <v>1</v>
          </cell>
          <cell r="B27" t="str">
            <v>Acrobatics</v>
          </cell>
          <cell r="C27">
            <v>3</v>
          </cell>
          <cell r="D27" t="str">
            <v/>
          </cell>
          <cell r="E27" t="str">
            <v/>
          </cell>
          <cell r="F27" t="str">
            <v/>
          </cell>
          <cell r="G27">
            <v>0</v>
          </cell>
          <cell r="I27">
            <v>3</v>
          </cell>
          <cell r="AJ27" t="str">
            <v>Club</v>
          </cell>
          <cell r="AK27" t="str">
            <v>Dagger</v>
          </cell>
          <cell r="AL27" t="str">
            <v>Greatclub</v>
          </cell>
          <cell r="AM27" t="str">
            <v>Handaxe</v>
          </cell>
          <cell r="AN27" t="str">
            <v>Javelin</v>
          </cell>
          <cell r="AO27" t="str">
            <v>Lgt. Hammer</v>
          </cell>
          <cell r="AP27" t="str">
            <v>Mace</v>
          </cell>
          <cell r="AQ27" t="str">
            <v>Quarterstaff</v>
          </cell>
          <cell r="AR27" t="str">
            <v>Sickle</v>
          </cell>
          <cell r="AS27" t="str">
            <v>Spear</v>
          </cell>
          <cell r="AT27" t="str">
            <v>Unarmed</v>
          </cell>
          <cell r="AU27" t="str">
            <v>Lgt. X-bow</v>
          </cell>
          <cell r="AV27" t="str">
            <v>Dart</v>
          </cell>
          <cell r="AW27" t="str">
            <v>Shortbow</v>
          </cell>
          <cell r="AX27" t="str">
            <v>Sling</v>
          </cell>
          <cell r="AY27" t="str">
            <v>Battleaxe</v>
          </cell>
          <cell r="AZ27" t="str">
            <v>Flail</v>
          </cell>
          <cell r="BA27" t="str">
            <v>Glaive</v>
          </cell>
          <cell r="BB27" t="str">
            <v>Greataxe</v>
          </cell>
          <cell r="BC27" t="str">
            <v>Greatsword</v>
          </cell>
          <cell r="BD27" t="str">
            <v>Halberd</v>
          </cell>
          <cell r="BE27" t="str">
            <v>Lance</v>
          </cell>
          <cell r="BF27" t="str">
            <v>Longsword</v>
          </cell>
          <cell r="BG27" t="str">
            <v>Maul</v>
          </cell>
          <cell r="BH27" t="str">
            <v>Morningstar</v>
          </cell>
          <cell r="BI27" t="str">
            <v>Pike</v>
          </cell>
          <cell r="BJ27" t="str">
            <v>Rapier</v>
          </cell>
          <cell r="BK27" t="str">
            <v>Scimitar</v>
          </cell>
          <cell r="BL27" t="str">
            <v>Shortsword</v>
          </cell>
          <cell r="BM27" t="str">
            <v>Trident</v>
          </cell>
          <cell r="BN27" t="str">
            <v>War Pick</v>
          </cell>
          <cell r="BO27" t="str">
            <v>Warhammer</v>
          </cell>
          <cell r="BP27" t="str">
            <v>Whip</v>
          </cell>
          <cell r="BQ27" t="str">
            <v>Blowgun</v>
          </cell>
          <cell r="BR27" t="str">
            <v>Hand X-bow</v>
          </cell>
          <cell r="BS27" t="str">
            <v>Heavy X-bow</v>
          </cell>
          <cell r="BT27" t="str">
            <v>Longbow</v>
          </cell>
          <cell r="BU27" t="str">
            <v>Net</v>
          </cell>
        </row>
        <row r="28">
          <cell r="A28">
            <v>2</v>
          </cell>
          <cell r="B28" t="str">
            <v>Animal Handling</v>
          </cell>
          <cell r="C28">
            <v>0</v>
          </cell>
          <cell r="D28" t="str">
            <v/>
          </cell>
          <cell r="E28" t="str">
            <v/>
          </cell>
          <cell r="F28" t="str">
            <v/>
          </cell>
          <cell r="G28">
            <v>0</v>
          </cell>
          <cell r="I28">
            <v>0</v>
          </cell>
        </row>
        <row r="29">
          <cell r="A29">
            <v>3</v>
          </cell>
          <cell r="B29" t="str">
            <v>Arcana</v>
          </cell>
          <cell r="C29">
            <v>4</v>
          </cell>
          <cell r="D29" t="str">
            <v/>
          </cell>
          <cell r="E29" t="str">
            <v/>
          </cell>
          <cell r="F29" t="str">
            <v/>
          </cell>
          <cell r="G29">
            <v>0</v>
          </cell>
          <cell r="I29">
            <v>4</v>
          </cell>
        </row>
        <row r="30">
          <cell r="A30">
            <v>4</v>
          </cell>
          <cell r="B30" t="str">
            <v>Athletics</v>
          </cell>
          <cell r="C30">
            <v>1</v>
          </cell>
          <cell r="D30" t="str">
            <v/>
          </cell>
          <cell r="E30" t="str">
            <v/>
          </cell>
          <cell r="F30">
            <v>3</v>
          </cell>
          <cell r="G30">
            <v>3</v>
          </cell>
          <cell r="I30">
            <v>4</v>
          </cell>
        </row>
        <row r="31">
          <cell r="A31">
            <v>5</v>
          </cell>
          <cell r="B31" t="str">
            <v>Deception</v>
          </cell>
          <cell r="C31">
            <v>2</v>
          </cell>
          <cell r="D31" t="str">
            <v/>
          </cell>
          <cell r="E31" t="str">
            <v/>
          </cell>
          <cell r="F31" t="str">
            <v/>
          </cell>
          <cell r="G31">
            <v>0</v>
          </cell>
          <cell r="I31">
            <v>2</v>
          </cell>
        </row>
        <row r="32">
          <cell r="A32">
            <v>6</v>
          </cell>
          <cell r="B32" t="str">
            <v>History</v>
          </cell>
          <cell r="C32">
            <v>4</v>
          </cell>
          <cell r="D32" t="str">
            <v/>
          </cell>
          <cell r="E32" t="str">
            <v/>
          </cell>
          <cell r="F32" t="str">
            <v/>
          </cell>
          <cell r="G32">
            <v>0</v>
          </cell>
          <cell r="I32">
            <v>4</v>
          </cell>
        </row>
        <row r="33">
          <cell r="A33">
            <v>7</v>
          </cell>
          <cell r="B33" t="str">
            <v>Insight</v>
          </cell>
          <cell r="C33">
            <v>0</v>
          </cell>
          <cell r="D33" t="str">
            <v/>
          </cell>
          <cell r="E33" t="str">
            <v/>
          </cell>
          <cell r="F33" t="str">
            <v/>
          </cell>
          <cell r="G33">
            <v>0</v>
          </cell>
          <cell r="I33">
            <v>0</v>
          </cell>
        </row>
        <row r="34">
          <cell r="A34">
            <v>8</v>
          </cell>
          <cell r="B34" t="str">
            <v>Indimidation</v>
          </cell>
          <cell r="C34">
            <v>2</v>
          </cell>
          <cell r="D34" t="str">
            <v/>
          </cell>
          <cell r="E34" t="str">
            <v/>
          </cell>
          <cell r="F34">
            <v>3</v>
          </cell>
          <cell r="G34">
            <v>3</v>
          </cell>
          <cell r="I34">
            <v>5</v>
          </cell>
        </row>
        <row r="35">
          <cell r="A35">
            <v>9</v>
          </cell>
          <cell r="B35" t="str">
            <v>Investigation</v>
          </cell>
          <cell r="C35">
            <v>4</v>
          </cell>
          <cell r="D35" t="str">
            <v/>
          </cell>
          <cell r="E35" t="str">
            <v/>
          </cell>
          <cell r="F35" t="str">
            <v/>
          </cell>
          <cell r="G35">
            <v>0</v>
          </cell>
          <cell r="I35">
            <v>4</v>
          </cell>
        </row>
        <row r="36">
          <cell r="A36">
            <v>10</v>
          </cell>
          <cell r="B36" t="str">
            <v>Medicine</v>
          </cell>
          <cell r="C36">
            <v>0</v>
          </cell>
          <cell r="D36">
            <v>3</v>
          </cell>
          <cell r="E36" t="str">
            <v/>
          </cell>
          <cell r="F36" t="str">
            <v/>
          </cell>
          <cell r="G36">
            <v>3</v>
          </cell>
          <cell r="I36">
            <v>3</v>
          </cell>
        </row>
        <row r="37">
          <cell r="A37">
            <v>11</v>
          </cell>
          <cell r="B37" t="str">
            <v>Nature</v>
          </cell>
          <cell r="C37">
            <v>4</v>
          </cell>
          <cell r="D37" t="str">
            <v/>
          </cell>
          <cell r="E37" t="str">
            <v/>
          </cell>
          <cell r="F37" t="str">
            <v/>
          </cell>
          <cell r="G37">
            <v>0</v>
          </cell>
          <cell r="I37">
            <v>4</v>
          </cell>
        </row>
        <row r="38">
          <cell r="A38">
            <v>12</v>
          </cell>
          <cell r="B38" t="str">
            <v>Perception</v>
          </cell>
          <cell r="C38">
            <v>0</v>
          </cell>
          <cell r="D38" t="str">
            <v/>
          </cell>
          <cell r="E38" t="str">
            <v/>
          </cell>
          <cell r="F38" t="str">
            <v/>
          </cell>
          <cell r="G38">
            <v>0</v>
          </cell>
          <cell r="I38">
            <v>0</v>
          </cell>
        </row>
        <row r="39">
          <cell r="A39">
            <v>13</v>
          </cell>
          <cell r="B39" t="str">
            <v>Performance</v>
          </cell>
          <cell r="C39">
            <v>2</v>
          </cell>
          <cell r="D39">
            <v>0</v>
          </cell>
          <cell r="E39" t="str">
            <v/>
          </cell>
          <cell r="F39" t="str">
            <v/>
          </cell>
          <cell r="G39">
            <v>0</v>
          </cell>
          <cell r="I39">
            <v>2</v>
          </cell>
        </row>
        <row r="40">
          <cell r="A40">
            <v>14</v>
          </cell>
          <cell r="B40" t="str">
            <v>Persuasion</v>
          </cell>
          <cell r="C40">
            <v>2</v>
          </cell>
          <cell r="D40" t="str">
            <v/>
          </cell>
          <cell r="E40" t="str">
            <v/>
          </cell>
          <cell r="F40" t="str">
            <v/>
          </cell>
          <cell r="G40">
            <v>0</v>
          </cell>
          <cell r="I40">
            <v>2</v>
          </cell>
        </row>
        <row r="41">
          <cell r="A41">
            <v>15</v>
          </cell>
          <cell r="B41" t="str">
            <v>Religion</v>
          </cell>
          <cell r="C41">
            <v>4</v>
          </cell>
          <cell r="D41">
            <v>3</v>
          </cell>
          <cell r="E41" t="str">
            <v/>
          </cell>
          <cell r="F41" t="str">
            <v/>
          </cell>
          <cell r="G41">
            <v>3</v>
          </cell>
          <cell r="I41">
            <v>7</v>
          </cell>
        </row>
        <row r="42">
          <cell r="A42">
            <v>16</v>
          </cell>
          <cell r="B42" t="str">
            <v>Sleight of Hand</v>
          </cell>
          <cell r="C42">
            <v>3</v>
          </cell>
          <cell r="D42" t="str">
            <v/>
          </cell>
          <cell r="E42" t="str">
            <v/>
          </cell>
          <cell r="F42" t="str">
            <v/>
          </cell>
          <cell r="G42">
            <v>0</v>
          </cell>
          <cell r="I42">
            <v>3</v>
          </cell>
        </row>
        <row r="43">
          <cell r="A43">
            <v>17</v>
          </cell>
          <cell r="B43" t="str">
            <v>Stealth</v>
          </cell>
          <cell r="C43">
            <v>3</v>
          </cell>
          <cell r="D43" t="str">
            <v/>
          </cell>
          <cell r="E43" t="str">
            <v/>
          </cell>
          <cell r="F43" t="str">
            <v/>
          </cell>
          <cell r="G43">
            <v>0</v>
          </cell>
          <cell r="I43">
            <v>3</v>
          </cell>
        </row>
        <row r="44">
          <cell r="A44">
            <v>18</v>
          </cell>
          <cell r="B44" t="str">
            <v>Survival</v>
          </cell>
          <cell r="C44">
            <v>0</v>
          </cell>
          <cell r="D44" t="str">
            <v/>
          </cell>
          <cell r="E44" t="str">
            <v/>
          </cell>
          <cell r="F44" t="str">
            <v/>
          </cell>
          <cell r="G44">
            <v>0</v>
          </cell>
          <cell r="I44">
            <v>0</v>
          </cell>
        </row>
        <row r="57">
          <cell r="C57">
            <v>0</v>
          </cell>
        </row>
        <row r="59">
          <cell r="C59" t="str">
            <v/>
          </cell>
        </row>
        <row r="60">
          <cell r="R60">
            <v>4</v>
          </cell>
          <cell r="AA60" t="str">
            <v>Common</v>
          </cell>
        </row>
        <row r="61">
          <cell r="R61">
            <v>8</v>
          </cell>
          <cell r="AA61" t="str">
            <v>Infernal</v>
          </cell>
        </row>
        <row r="62">
          <cell r="R62" t="str">
            <v/>
          </cell>
          <cell r="AA62" t="str">
            <v/>
          </cell>
        </row>
        <row r="63">
          <cell r="R63" t="str">
            <v/>
          </cell>
          <cell r="Z63">
            <v>0</v>
          </cell>
          <cell r="AA63" t="str">
            <v/>
          </cell>
        </row>
        <row r="64">
          <cell r="R64">
            <v>15</v>
          </cell>
          <cell r="Z64">
            <v>0</v>
          </cell>
          <cell r="AA64" t="str">
            <v/>
          </cell>
        </row>
        <row r="65">
          <cell r="R65">
            <v>10</v>
          </cell>
          <cell r="AA65" t="str">
            <v/>
          </cell>
        </row>
        <row r="66">
          <cell r="R66" t="str">
            <v/>
          </cell>
          <cell r="AA66" t="str">
            <v/>
          </cell>
        </row>
        <row r="67">
          <cell r="R67" t="str">
            <v/>
          </cell>
          <cell r="AA67" t="str">
            <v/>
          </cell>
        </row>
        <row r="68">
          <cell r="AA68" t="str">
            <v/>
          </cell>
        </row>
        <row r="69">
          <cell r="AA69" t="str">
            <v/>
          </cell>
        </row>
        <row r="70">
          <cell r="AA70" t="str">
            <v/>
          </cell>
        </row>
        <row r="74">
          <cell r="D74" t="str">
            <v>Quarterstaff</v>
          </cell>
          <cell r="I74" t="str">
            <v>YES</v>
          </cell>
        </row>
        <row r="76">
          <cell r="D76" t="str">
            <v>Unarmed</v>
          </cell>
          <cell r="I76" t="str">
            <v/>
          </cell>
        </row>
        <row r="78">
          <cell r="D78" t="str">
            <v>Lgt. X-bow</v>
          </cell>
          <cell r="I78" t="str">
            <v>YES</v>
          </cell>
        </row>
        <row r="80">
          <cell r="D80" t="str">
            <v>Scimitar</v>
          </cell>
          <cell r="I80" t="str">
            <v/>
          </cell>
        </row>
        <row r="82">
          <cell r="D82" t="str">
            <v>Hand X-bow</v>
          </cell>
          <cell r="I82" t="str">
            <v/>
          </cell>
        </row>
      </sheetData>
      <sheetData sheetId="12">
        <row r="3">
          <cell r="AE3">
            <v>11</v>
          </cell>
        </row>
        <row r="5">
          <cell r="AA5">
            <v>4</v>
          </cell>
        </row>
        <row r="6">
          <cell r="AA6">
            <v>4</v>
          </cell>
          <cell r="AB6">
            <v>8</v>
          </cell>
        </row>
        <row r="7">
          <cell r="AA7">
            <v>3</v>
          </cell>
        </row>
        <row r="8">
          <cell r="AA8">
            <v>3</v>
          </cell>
        </row>
        <row r="9">
          <cell r="AA9">
            <v>1</v>
          </cell>
        </row>
        <row r="10">
          <cell r="AA10">
            <v>0</v>
          </cell>
        </row>
        <row r="11">
          <cell r="AA11">
            <v>0</v>
          </cell>
        </row>
        <row r="12">
          <cell r="AA12">
            <v>0</v>
          </cell>
        </row>
        <row r="13">
          <cell r="AA13">
            <v>0</v>
          </cell>
        </row>
        <row r="14">
          <cell r="AA14">
            <v>0</v>
          </cell>
        </row>
      </sheetData>
      <sheetData sheetId="13">
        <row r="19">
          <cell r="F19" t="str">
            <v>Blade Ward</v>
          </cell>
          <cell r="G19" t="str">
            <v>Mage hand</v>
          </cell>
          <cell r="H19">
            <v>1</v>
          </cell>
          <cell r="I19">
            <v>0.38569099634214932</v>
          </cell>
          <cell r="K19" t="str">
            <v>Animal Friendship</v>
          </cell>
          <cell r="L19" t="str">
            <v>Earth Tremors</v>
          </cell>
          <cell r="M19">
            <v>1</v>
          </cell>
          <cell r="N19">
            <v>0.82701046815018719</v>
          </cell>
          <cell r="P19" t="str">
            <v>Animal Messenger</v>
          </cell>
          <cell r="Q19" t="str">
            <v>Heat Metal</v>
          </cell>
          <cell r="R19">
            <v>1</v>
          </cell>
          <cell r="S19">
            <v>9.5466118745982986E-2</v>
          </cell>
          <cell r="V19" t="str">
            <v>Fear</v>
          </cell>
          <cell r="X19">
            <v>0.59264651426549386</v>
          </cell>
          <cell r="Y19">
            <v>6</v>
          </cell>
          <cell r="Z19" t="str">
            <v>Compulsion</v>
          </cell>
          <cell r="AA19" t="str">
            <v>Hallucinatory Terrain</v>
          </cell>
          <cell r="AF19" t="str">
            <v>Animate Object</v>
          </cell>
          <cell r="AG19">
            <v>1</v>
          </cell>
          <cell r="AH19">
            <v>0.41369654536356337</v>
          </cell>
          <cell r="AI19">
            <v>3</v>
          </cell>
          <cell r="AJ19" t="str">
            <v>Eyebite</v>
          </cell>
          <cell r="AN19">
            <v>7</v>
          </cell>
          <cell r="AO19" t="str">
            <v>Etherealness</v>
          </cell>
          <cell r="AP19" t="str">
            <v>Mordekainen's Magnificent Mansion</v>
          </cell>
          <cell r="AQ19">
            <v>1</v>
          </cell>
          <cell r="AU19" t="str">
            <v>Glibness</v>
          </cell>
          <cell r="AZ19" t="str">
            <v>True Polymorph</v>
          </cell>
        </row>
        <row r="20">
          <cell r="F20" t="str">
            <v>Dancing Lights</v>
          </cell>
          <cell r="G20" t="str">
            <v>Thunder Clap</v>
          </cell>
          <cell r="H20">
            <v>2</v>
          </cell>
          <cell r="I20">
            <v>0.88553676246198254</v>
          </cell>
          <cell r="K20" t="str">
            <v>Bane</v>
          </cell>
          <cell r="L20" t="str">
            <v>Detect Magic</v>
          </cell>
          <cell r="M20">
            <v>2</v>
          </cell>
          <cell r="N20">
            <v>0.43378999379419725</v>
          </cell>
          <cell r="P20" t="str">
            <v>Blindness/Deafness</v>
          </cell>
          <cell r="Q20" t="str">
            <v>Lesser Restoration</v>
          </cell>
          <cell r="R20">
            <v>2</v>
          </cell>
          <cell r="S20">
            <v>0.66166238821702728</v>
          </cell>
          <cell r="V20" t="str">
            <v>Dispel Magic</v>
          </cell>
          <cell r="X20">
            <v>0.46431633395184935</v>
          </cell>
          <cell r="Y20">
            <v>7</v>
          </cell>
          <cell r="Z20" t="str">
            <v>Confusion</v>
          </cell>
          <cell r="AA20" t="str">
            <v>Polymorph</v>
          </cell>
          <cell r="AF20" t="str">
            <v>Dominate Person</v>
          </cell>
          <cell r="AG20">
            <v>2</v>
          </cell>
          <cell r="AH20">
            <v>2.556003587124267E-3</v>
          </cell>
          <cell r="AI20">
            <v>7</v>
          </cell>
          <cell r="AJ20" t="str">
            <v>Find the Path</v>
          </cell>
          <cell r="AN20">
            <v>2</v>
          </cell>
          <cell r="AO20" t="str">
            <v>Forcecage</v>
          </cell>
          <cell r="AP20" t="str">
            <v>Forcecage</v>
          </cell>
          <cell r="AQ20">
            <v>2</v>
          </cell>
        </row>
        <row r="21">
          <cell r="F21" t="str">
            <v>Friends</v>
          </cell>
          <cell r="G21" t="str">
            <v>Dancing Lights</v>
          </cell>
          <cell r="H21">
            <v>3</v>
          </cell>
          <cell r="I21">
            <v>0.91464999396610347</v>
          </cell>
          <cell r="K21" t="str">
            <v>Charm Person</v>
          </cell>
          <cell r="L21" t="str">
            <v>Charm Person</v>
          </cell>
          <cell r="M21">
            <v>3</v>
          </cell>
          <cell r="N21">
            <v>0.66292274760746472</v>
          </cell>
          <cell r="P21" t="str">
            <v>Calm Emotions</v>
          </cell>
          <cell r="Q21" t="str">
            <v>Cloud of Daggers</v>
          </cell>
          <cell r="R21">
            <v>3</v>
          </cell>
          <cell r="S21">
            <v>0.67835013404277689</v>
          </cell>
          <cell r="V21" t="str">
            <v>Clairvoyance</v>
          </cell>
          <cell r="X21">
            <v>0.6832933548365111</v>
          </cell>
          <cell r="Y21">
            <v>4</v>
          </cell>
          <cell r="Z21" t="str">
            <v>Dimension Door</v>
          </cell>
          <cell r="AA21" t="str">
            <v>Locate Creature</v>
          </cell>
          <cell r="AF21" t="str">
            <v>Seeming</v>
          </cell>
          <cell r="AG21">
            <v>3</v>
          </cell>
          <cell r="AH21">
            <v>0.79353580596813633</v>
          </cell>
          <cell r="AI21">
            <v>1</v>
          </cell>
          <cell r="AN21">
            <v>4</v>
          </cell>
          <cell r="AO21" t="str">
            <v>Mirage Arcane</v>
          </cell>
          <cell r="AP21" t="str">
            <v>Resurrection</v>
          </cell>
          <cell r="AQ21">
            <v>3</v>
          </cell>
        </row>
        <row r="22">
          <cell r="F22" t="str">
            <v>Light</v>
          </cell>
          <cell r="G22" t="str">
            <v>True Strike</v>
          </cell>
          <cell r="H22">
            <v>4</v>
          </cell>
          <cell r="I22">
            <v>0.3386243521711586</v>
          </cell>
          <cell r="K22" t="str">
            <v>Comprehend Languages</v>
          </cell>
          <cell r="L22" t="str">
            <v>Identify</v>
          </cell>
          <cell r="M22">
            <v>4</v>
          </cell>
          <cell r="N22">
            <v>0.8837415983341036</v>
          </cell>
          <cell r="P22" t="str">
            <v>Cloud of Daggers</v>
          </cell>
          <cell r="Q22" t="str">
            <v>Detect Thoughts</v>
          </cell>
          <cell r="R22">
            <v>4</v>
          </cell>
          <cell r="S22">
            <v>0.81499418405439894</v>
          </cell>
          <cell r="X22">
            <v>0.24835321852317194</v>
          </cell>
          <cell r="Y22">
            <v>8</v>
          </cell>
          <cell r="Z22" t="str">
            <v>Freedom of Movement</v>
          </cell>
          <cell r="AA22" t="str">
            <v>Dimension Door</v>
          </cell>
          <cell r="AF22" t="str">
            <v>Dream</v>
          </cell>
          <cell r="AG22">
            <v>4</v>
          </cell>
          <cell r="AH22">
            <v>0.18951449747473048</v>
          </cell>
          <cell r="AI22">
            <v>5</v>
          </cell>
          <cell r="AN22">
            <v>1</v>
          </cell>
          <cell r="AO22" t="str">
            <v>Mordekainen's Magnificent Mansion</v>
          </cell>
          <cell r="AP22" t="str">
            <v>Mirage Arcane</v>
          </cell>
          <cell r="AQ22">
            <v>4</v>
          </cell>
        </row>
        <row r="23">
          <cell r="F23" t="str">
            <v>Mage hand</v>
          </cell>
          <cell r="G23" t="str">
            <v>Vicious Mockery</v>
          </cell>
          <cell r="H23">
            <v>5</v>
          </cell>
          <cell r="I23">
            <v>0.61131692828367024</v>
          </cell>
          <cell r="K23" t="str">
            <v>Cure Wounds</v>
          </cell>
          <cell r="L23" t="str">
            <v>Bane</v>
          </cell>
          <cell r="M23">
            <v>5</v>
          </cell>
          <cell r="N23">
            <v>0.1074763058480056</v>
          </cell>
          <cell r="P23" t="str">
            <v>Crown of Madness</v>
          </cell>
          <cell r="Q23" t="str">
            <v>Animal Messenger</v>
          </cell>
          <cell r="R23">
            <v>5</v>
          </cell>
          <cell r="S23">
            <v>0.18824440937619014</v>
          </cell>
          <cell r="X23">
            <v>0.64980084424677897</v>
          </cell>
          <cell r="Y23">
            <v>5</v>
          </cell>
          <cell r="Z23" t="str">
            <v>Greater Invisibility</v>
          </cell>
          <cell r="AA23" t="str">
            <v>Greater Invisibility</v>
          </cell>
          <cell r="AF23" t="str">
            <v>Mass Cure Wounds</v>
          </cell>
          <cell r="AG23">
            <v>5</v>
          </cell>
          <cell r="AH23">
            <v>0.26037570519175501</v>
          </cell>
          <cell r="AI23">
            <v>4</v>
          </cell>
          <cell r="AN23">
            <v>9</v>
          </cell>
          <cell r="AO23" t="str">
            <v>Mordekainen's Sword</v>
          </cell>
          <cell r="AP23" t="str">
            <v>Regenerate</v>
          </cell>
          <cell r="AQ23">
            <v>5</v>
          </cell>
        </row>
        <row r="24">
          <cell r="F24" t="str">
            <v>Mending</v>
          </cell>
          <cell r="G24" t="str">
            <v>Light</v>
          </cell>
          <cell r="H24">
            <v>6</v>
          </cell>
          <cell r="I24">
            <v>0.98105856546849513</v>
          </cell>
          <cell r="K24" t="str">
            <v>Detect Magic</v>
          </cell>
          <cell r="L24" t="str">
            <v>Silent Image</v>
          </cell>
          <cell r="M24">
            <v>6</v>
          </cell>
          <cell r="N24">
            <v>0.83542389139140694</v>
          </cell>
          <cell r="P24" t="str">
            <v>Detect Thoughts</v>
          </cell>
          <cell r="Q24" t="str">
            <v>Pyrotechnics</v>
          </cell>
          <cell r="R24">
            <v>6</v>
          </cell>
          <cell r="S24">
            <v>0.57696921635515752</v>
          </cell>
          <cell r="X24">
            <v>0.9773237717294585</v>
          </cell>
          <cell r="Y24">
            <v>1</v>
          </cell>
          <cell r="Z24" t="str">
            <v>Hallucinatory Terrain</v>
          </cell>
          <cell r="AA24" t="str">
            <v>Compulsion</v>
          </cell>
          <cell r="AF24" t="str">
            <v>Modify Memory</v>
          </cell>
          <cell r="AG24">
            <v>6</v>
          </cell>
          <cell r="AH24">
            <v>9.8100481245619875E-3</v>
          </cell>
          <cell r="AI24">
            <v>6</v>
          </cell>
          <cell r="AN24">
            <v>10</v>
          </cell>
          <cell r="AO24" t="str">
            <v>Project Image</v>
          </cell>
          <cell r="AP24" t="str">
            <v>Teleport</v>
          </cell>
        </row>
        <row r="25">
          <cell r="F25" t="str">
            <v>Message</v>
          </cell>
          <cell r="G25" t="str">
            <v>Friends</v>
          </cell>
          <cell r="H25">
            <v>7</v>
          </cell>
          <cell r="I25">
            <v>0.30197703140319987</v>
          </cell>
          <cell r="K25" t="str">
            <v>Disguise Self</v>
          </cell>
          <cell r="L25" t="str">
            <v>Unseen Servant</v>
          </cell>
          <cell r="M25">
            <v>7</v>
          </cell>
          <cell r="N25">
            <v>4.7776059070982035E-2</v>
          </cell>
          <cell r="P25" t="str">
            <v>Enhance Ability</v>
          </cell>
          <cell r="Q25" t="str">
            <v>Calm Emotions</v>
          </cell>
          <cell r="R25">
            <v>7</v>
          </cell>
          <cell r="S25">
            <v>0.27448543550733084</v>
          </cell>
          <cell r="X25">
            <v>0.91266122078170353</v>
          </cell>
          <cell r="Y25">
            <v>3</v>
          </cell>
          <cell r="Z25" t="str">
            <v>Locate Creature</v>
          </cell>
          <cell r="AA25" t="str">
            <v>Confusion</v>
          </cell>
          <cell r="AF25" t="str">
            <v>Geas</v>
          </cell>
          <cell r="AG25">
            <v>7</v>
          </cell>
          <cell r="AH25">
            <v>0.50315691361599069</v>
          </cell>
          <cell r="AI25">
            <v>2</v>
          </cell>
          <cell r="AN25">
            <v>5</v>
          </cell>
          <cell r="AO25" t="str">
            <v>Regenerate</v>
          </cell>
          <cell r="AP25" t="str">
            <v>Etherealness</v>
          </cell>
        </row>
        <row r="26">
          <cell r="F26" t="str">
            <v>Minor Illusion</v>
          </cell>
          <cell r="G26" t="str">
            <v>Message</v>
          </cell>
          <cell r="H26">
            <v>8</v>
          </cell>
          <cell r="I26">
            <v>0.72672384340477081</v>
          </cell>
          <cell r="K26" t="str">
            <v>Dissonant Whispers</v>
          </cell>
          <cell r="L26" t="str">
            <v>Dissonant Whispers</v>
          </cell>
          <cell r="M26">
            <v>8</v>
          </cell>
          <cell r="N26">
            <v>6.1953755799167287E-2</v>
          </cell>
          <cell r="P26" t="str">
            <v>Enthrall</v>
          </cell>
          <cell r="Q26" t="str">
            <v>Invisibility</v>
          </cell>
          <cell r="R26">
            <v>8</v>
          </cell>
          <cell r="S26">
            <v>0.23310163934405925</v>
          </cell>
          <cell r="X26">
            <v>0.91980922968010392</v>
          </cell>
          <cell r="Y26">
            <v>2</v>
          </cell>
          <cell r="Z26" t="str">
            <v>Polymorph</v>
          </cell>
          <cell r="AA26" t="str">
            <v>Freedom of Movement</v>
          </cell>
          <cell r="AF26" t="str">
            <v>Awaken</v>
          </cell>
          <cell r="AN26">
            <v>3</v>
          </cell>
          <cell r="AO26" t="str">
            <v>Resurrection</v>
          </cell>
          <cell r="AP26" t="str">
            <v>Symbol</v>
          </cell>
        </row>
        <row r="27">
          <cell r="F27" t="str">
            <v>Prestidgitation</v>
          </cell>
          <cell r="G27" t="str">
            <v>Blade Ward</v>
          </cell>
          <cell r="H27">
            <v>9</v>
          </cell>
          <cell r="I27">
            <v>0.9871583217334492</v>
          </cell>
          <cell r="K27" t="str">
            <v>Earth Tremors</v>
          </cell>
          <cell r="L27" t="str">
            <v>Speak with Animals</v>
          </cell>
          <cell r="M27">
            <v>9</v>
          </cell>
          <cell r="N27">
            <v>0.99043024903642274</v>
          </cell>
          <cell r="P27" t="str">
            <v>Heat Metal</v>
          </cell>
          <cell r="Q27" t="str">
            <v>Shatter</v>
          </cell>
          <cell r="R27">
            <v>9</v>
          </cell>
          <cell r="S27">
            <v>0.25959789675134304</v>
          </cell>
          <cell r="AN27">
            <v>8</v>
          </cell>
          <cell r="AO27" t="str">
            <v>Symbol</v>
          </cell>
          <cell r="AP27" t="str">
            <v>Mordekainen's Sword</v>
          </cell>
        </row>
        <row r="28">
          <cell r="F28" t="str">
            <v>Thunder Clap</v>
          </cell>
          <cell r="G28" t="str">
            <v>Minor Illusion</v>
          </cell>
          <cell r="H28">
            <v>10</v>
          </cell>
          <cell r="I28">
            <v>0.6502782398293161</v>
          </cell>
          <cell r="K28" t="str">
            <v>Faerie Fire</v>
          </cell>
          <cell r="L28" t="str">
            <v>Heroism</v>
          </cell>
          <cell r="M28">
            <v>10</v>
          </cell>
          <cell r="N28">
            <v>0.28583673981074509</v>
          </cell>
          <cell r="P28" t="str">
            <v>Hold Person</v>
          </cell>
          <cell r="Q28" t="str">
            <v>Suggestion</v>
          </cell>
          <cell r="R28">
            <v>10</v>
          </cell>
          <cell r="S28">
            <v>0.47888563841788789</v>
          </cell>
          <cell r="AN28">
            <v>6</v>
          </cell>
          <cell r="AO28" t="str">
            <v>Teleport</v>
          </cell>
          <cell r="AP28" t="str">
            <v>Project Image</v>
          </cell>
        </row>
        <row r="29">
          <cell r="F29" t="str">
            <v>True Strike</v>
          </cell>
          <cell r="G29" t="str">
            <v>Prestidgitation</v>
          </cell>
          <cell r="H29">
            <v>11</v>
          </cell>
          <cell r="I29">
            <v>0.15963852671662238</v>
          </cell>
          <cell r="K29" t="str">
            <v>Feather Fall</v>
          </cell>
          <cell r="L29" t="str">
            <v>Faerie Fire</v>
          </cell>
          <cell r="M29">
            <v>11</v>
          </cell>
          <cell r="N29">
            <v>0.63685471247920455</v>
          </cell>
          <cell r="P29" t="str">
            <v>Invisibility</v>
          </cell>
          <cell r="Q29" t="str">
            <v>Blindness/Deafness</v>
          </cell>
          <cell r="R29">
            <v>11</v>
          </cell>
          <cell r="S29">
            <v>8.5188813006343622E-2</v>
          </cell>
        </row>
        <row r="30">
          <cell r="K30" t="str">
            <v>Healing Word</v>
          </cell>
          <cell r="L30" t="str">
            <v>Cure Wounds</v>
          </cell>
          <cell r="M30">
            <v>12</v>
          </cell>
          <cell r="N30">
            <v>0.20368292241764352</v>
          </cell>
          <cell r="P30" t="str">
            <v>Knock</v>
          </cell>
          <cell r="Q30" t="str">
            <v>Silence</v>
          </cell>
          <cell r="R30">
            <v>12</v>
          </cell>
          <cell r="S30">
            <v>7.288256064267451E-2</v>
          </cell>
        </row>
        <row r="31">
          <cell r="K31" t="str">
            <v>Heroism</v>
          </cell>
          <cell r="L31" t="str">
            <v>Sleep</v>
          </cell>
          <cell r="M31">
            <v>13</v>
          </cell>
          <cell r="N31">
            <v>0.9551494616874826</v>
          </cell>
          <cell r="P31" t="str">
            <v>Lesser Restoration</v>
          </cell>
          <cell r="Q31" t="str">
            <v>Warding Wind</v>
          </cell>
          <cell r="R31">
            <v>13</v>
          </cell>
          <cell r="S31">
            <v>0.21512183808637009</v>
          </cell>
        </row>
        <row r="32">
          <cell r="K32" t="str">
            <v>Identify</v>
          </cell>
          <cell r="L32" t="str">
            <v>Thunderwave</v>
          </cell>
          <cell r="M32">
            <v>14</v>
          </cell>
          <cell r="N32">
            <v>4.0818462309488934E-2</v>
          </cell>
          <cell r="P32" t="str">
            <v>Locate Animals or Plants</v>
          </cell>
          <cell r="Q32" t="str">
            <v>Locate Object</v>
          </cell>
          <cell r="R32">
            <v>14</v>
          </cell>
          <cell r="S32">
            <v>0.1111877071896229</v>
          </cell>
        </row>
        <row r="33">
          <cell r="K33" t="str">
            <v>Illusory Script</v>
          </cell>
          <cell r="L33" t="str">
            <v>Illusory Script</v>
          </cell>
          <cell r="M33">
            <v>15</v>
          </cell>
          <cell r="N33">
            <v>0.32562178140247855</v>
          </cell>
          <cell r="P33" t="str">
            <v>Locate Object</v>
          </cell>
          <cell r="Q33" t="str">
            <v>Hold Person</v>
          </cell>
          <cell r="R33">
            <v>15</v>
          </cell>
          <cell r="S33">
            <v>3.6024008870180979E-2</v>
          </cell>
        </row>
        <row r="34">
          <cell r="K34" t="str">
            <v>Longstrider</v>
          </cell>
          <cell r="L34" t="str">
            <v>Tasha's Hideous Laughter</v>
          </cell>
          <cell r="M34">
            <v>16</v>
          </cell>
          <cell r="N34">
            <v>0.18669792131414231</v>
          </cell>
          <cell r="P34" t="str">
            <v>Magic Mouth</v>
          </cell>
          <cell r="Q34" t="str">
            <v>Skywrite</v>
          </cell>
          <cell r="R34">
            <v>16</v>
          </cell>
          <cell r="S34">
            <v>0.28273801649204922</v>
          </cell>
        </row>
        <row r="35">
          <cell r="K35" t="str">
            <v>Silent Image</v>
          </cell>
          <cell r="L35" t="str">
            <v>Animal Friendship</v>
          </cell>
          <cell r="M35">
            <v>17</v>
          </cell>
          <cell r="N35">
            <v>1.5857110965949106E-2</v>
          </cell>
          <cell r="P35" t="str">
            <v>Phantasmal Force</v>
          </cell>
          <cell r="Q35" t="str">
            <v>Knock</v>
          </cell>
        </row>
        <row r="36">
          <cell r="K36" t="str">
            <v>Sleep</v>
          </cell>
          <cell r="L36" t="str">
            <v>Comprehend Languages</v>
          </cell>
          <cell r="M36">
            <v>18</v>
          </cell>
          <cell r="N36">
            <v>0.76881776754748965</v>
          </cell>
          <cell r="P36" t="str">
            <v>Pyrotechnics</v>
          </cell>
          <cell r="Q36" t="str">
            <v>Magic Mouth</v>
          </cell>
        </row>
        <row r="37">
          <cell r="K37" t="str">
            <v>Speak with Animals</v>
          </cell>
          <cell r="L37" t="str">
            <v>Longstrider</v>
          </cell>
          <cell r="M37">
            <v>19</v>
          </cell>
          <cell r="N37">
            <v>0.1515566465475362</v>
          </cell>
          <cell r="P37" t="str">
            <v>See Invisibility</v>
          </cell>
          <cell r="Q37" t="str">
            <v>See Invisibility</v>
          </cell>
        </row>
        <row r="38">
          <cell r="K38" t="str">
            <v>Tasha's Hideous Laughter</v>
          </cell>
          <cell r="L38" t="str">
            <v>Disguise Self</v>
          </cell>
          <cell r="M38">
            <v>20</v>
          </cell>
          <cell r="N38">
            <v>0.58073698448006428</v>
          </cell>
          <cell r="P38" t="str">
            <v>Shatter</v>
          </cell>
          <cell r="Q38" t="str">
            <v>Crown of Madness</v>
          </cell>
        </row>
        <row r="39">
          <cell r="K39" t="str">
            <v>Thunderwave</v>
          </cell>
          <cell r="L39" t="str">
            <v>Feather Fall</v>
          </cell>
          <cell r="M39">
            <v>21</v>
          </cell>
          <cell r="N39">
            <v>0.39057957176351932</v>
          </cell>
          <cell r="P39" t="str">
            <v>Silence</v>
          </cell>
          <cell r="Q39" t="str">
            <v>Enthrall</v>
          </cell>
        </row>
        <row r="40">
          <cell r="P40" t="str">
            <v>Skywrite</v>
          </cell>
          <cell r="Q40" t="str">
            <v>Enhance Ability</v>
          </cell>
        </row>
        <row r="50">
          <cell r="F50">
            <v>1</v>
          </cell>
          <cell r="G50">
            <v>0.40102151641621608</v>
          </cell>
          <cell r="H50">
            <v>4</v>
          </cell>
          <cell r="I50" t="str">
            <v>Guidance</v>
          </cell>
          <cell r="J50" t="str">
            <v>Light</v>
          </cell>
          <cell r="K50" t="str">
            <v>Divine Favor</v>
          </cell>
          <cell r="L50" t="str">
            <v>Bane</v>
          </cell>
          <cell r="R50" t="str">
            <v>Divine Favor</v>
          </cell>
          <cell r="Z50" t="str">
            <v>Magic Weapon</v>
          </cell>
          <cell r="AH50" t="str">
            <v>Crusader's Mantle</v>
          </cell>
          <cell r="AP50" t="str">
            <v>Freedom of Movement</v>
          </cell>
          <cell r="AX50" t="str">
            <v>Flame Strike</v>
          </cell>
          <cell r="BC50" t="str">
            <v>Find the Path</v>
          </cell>
          <cell r="BH50" t="str">
            <v>Fire Storm</v>
          </cell>
          <cell r="BM50" t="str">
            <v>Earthquake</v>
          </cell>
          <cell r="BR50" t="str">
            <v>Mass Heal</v>
          </cell>
        </row>
        <row r="51">
          <cell r="F51">
            <v>2</v>
          </cell>
          <cell r="G51">
            <v>0.89713042436337431</v>
          </cell>
          <cell r="H51">
            <v>1</v>
          </cell>
          <cell r="I51" t="str">
            <v>Light</v>
          </cell>
          <cell r="J51" t="str">
            <v>Sacred Flame</v>
          </cell>
          <cell r="K51" t="str">
            <v>Shield of Faith</v>
          </cell>
          <cell r="L51" t="str">
            <v>Bless</v>
          </cell>
          <cell r="R51" t="str">
            <v>Shield of Faith</v>
          </cell>
          <cell r="Z51" t="str">
            <v>SpirItual Weapon</v>
          </cell>
          <cell r="AH51" t="str">
            <v>Spirit Guardian</v>
          </cell>
          <cell r="AP51" t="str">
            <v>Stoneskin</v>
          </cell>
          <cell r="AX51" t="str">
            <v>Hold Monster</v>
          </cell>
          <cell r="BC51" t="str">
            <v>Planar Ally</v>
          </cell>
          <cell r="BH51" t="str">
            <v>Regenerate</v>
          </cell>
        </row>
        <row r="52">
          <cell r="F52">
            <v>3</v>
          </cell>
          <cell r="G52">
            <v>0.39083358047053285</v>
          </cell>
          <cell r="H52">
            <v>5</v>
          </cell>
          <cell r="I52" t="str">
            <v>Mending</v>
          </cell>
          <cell r="J52" t="str">
            <v>Resistance</v>
          </cell>
          <cell r="L52" t="str">
            <v>Command</v>
          </cell>
          <cell r="R52" t="str">
            <v>Bane</v>
          </cell>
          <cell r="V52">
            <v>1</v>
          </cell>
          <cell r="W52">
            <v>0.41512847897202532</v>
          </cell>
          <cell r="X52">
            <v>9</v>
          </cell>
          <cell r="Y52" t="str">
            <v>Aid</v>
          </cell>
          <cell r="Z52" t="str">
            <v>Augury</v>
          </cell>
          <cell r="AD52">
            <v>1</v>
          </cell>
          <cell r="AE52">
            <v>0.92937201677526549</v>
          </cell>
          <cell r="AF52">
            <v>2</v>
          </cell>
          <cell r="AG52" t="str">
            <v>Animate Dead</v>
          </cell>
          <cell r="AH52" t="str">
            <v>Water Walk</v>
          </cell>
          <cell r="AL52">
            <v>1</v>
          </cell>
          <cell r="AM52">
            <v>0.30711955751961628</v>
          </cell>
          <cell r="AN52">
            <v>6</v>
          </cell>
          <cell r="AO52" t="str">
            <v>Banishment</v>
          </cell>
          <cell r="AP52" t="str">
            <v>Control Water</v>
          </cell>
          <cell r="AT52">
            <v>1</v>
          </cell>
          <cell r="AU52">
            <v>0.6131922230878657</v>
          </cell>
          <cell r="AV52">
            <v>5</v>
          </cell>
          <cell r="AW52" t="str">
            <v>Commune</v>
          </cell>
          <cell r="AX52" t="str">
            <v>Dispel Evil and Good</v>
          </cell>
        </row>
        <row r="53">
          <cell r="F53">
            <v>4</v>
          </cell>
          <cell r="G53">
            <v>0.44194114504623128</v>
          </cell>
          <cell r="H53">
            <v>3</v>
          </cell>
          <cell r="I53" t="str">
            <v>Resistance</v>
          </cell>
          <cell r="J53" t="str">
            <v>Guidance</v>
          </cell>
          <cell r="L53" t="str">
            <v>Create or Destroy Water</v>
          </cell>
          <cell r="R53" t="str">
            <v>Cure Wounds</v>
          </cell>
          <cell r="V53">
            <v>2</v>
          </cell>
          <cell r="W53">
            <v>0.9606693919723811</v>
          </cell>
          <cell r="X53">
            <v>1</v>
          </cell>
          <cell r="Y53" t="str">
            <v>Augury</v>
          </cell>
          <cell r="Z53" t="str">
            <v>Enhance Ability</v>
          </cell>
          <cell r="AD53">
            <v>2</v>
          </cell>
          <cell r="AE53">
            <v>0.25895247603901161</v>
          </cell>
          <cell r="AF53">
            <v>9</v>
          </cell>
          <cell r="AG53" t="str">
            <v>Beacon of Hope</v>
          </cell>
          <cell r="AH53" t="str">
            <v>Animate Dead</v>
          </cell>
          <cell r="AL53">
            <v>2</v>
          </cell>
          <cell r="AM53">
            <v>0.98868112118201212</v>
          </cell>
          <cell r="AN53">
            <v>1</v>
          </cell>
          <cell r="AO53" t="str">
            <v>Control Water</v>
          </cell>
          <cell r="AP53" t="str">
            <v>Divination</v>
          </cell>
          <cell r="AT53">
            <v>2</v>
          </cell>
          <cell r="AU53">
            <v>0.64910552717108649</v>
          </cell>
          <cell r="AV53">
            <v>4</v>
          </cell>
          <cell r="AW53" t="str">
            <v>Contagion</v>
          </cell>
          <cell r="AX53" t="str">
            <v>Greater Restoration</v>
          </cell>
        </row>
        <row r="54">
          <cell r="F54">
            <v>5</v>
          </cell>
          <cell r="G54">
            <v>0.89205577030197769</v>
          </cell>
          <cell r="H54">
            <v>2</v>
          </cell>
          <cell r="I54" t="str">
            <v>Sacred Flame</v>
          </cell>
          <cell r="J54" t="str">
            <v>Mending</v>
          </cell>
          <cell r="L54" t="str">
            <v>Cure Wounds</v>
          </cell>
          <cell r="R54" t="str">
            <v>Detect Poison and Disease</v>
          </cell>
          <cell r="V54">
            <v>3</v>
          </cell>
          <cell r="W54">
            <v>0.86334156684350327</v>
          </cell>
          <cell r="X54">
            <v>3</v>
          </cell>
          <cell r="Y54" t="str">
            <v>Blindness/Deafness</v>
          </cell>
          <cell r="Z54" t="str">
            <v>Blindness/Deafness</v>
          </cell>
          <cell r="AD54">
            <v>3</v>
          </cell>
          <cell r="AE54">
            <v>0.16148567026426797</v>
          </cell>
          <cell r="AF54">
            <v>11</v>
          </cell>
          <cell r="AG54" t="str">
            <v>Bestow Curse</v>
          </cell>
          <cell r="AH54" t="str">
            <v>Meld Into Stone</v>
          </cell>
          <cell r="AL54">
            <v>3</v>
          </cell>
          <cell r="AM54">
            <v>0.75365048305978211</v>
          </cell>
          <cell r="AN54">
            <v>4</v>
          </cell>
          <cell r="AO54" t="str">
            <v>Death Ward</v>
          </cell>
          <cell r="AP54" t="str">
            <v>Locate Creature</v>
          </cell>
          <cell r="AT54">
            <v>3</v>
          </cell>
          <cell r="AU54">
            <v>0.95530282029190061</v>
          </cell>
          <cell r="AV54">
            <v>1</v>
          </cell>
          <cell r="AW54" t="str">
            <v>Dispel Evil and Good</v>
          </cell>
          <cell r="AX54" t="str">
            <v>Scrying</v>
          </cell>
        </row>
        <row r="55">
          <cell r="F55">
            <v>6</v>
          </cell>
          <cell r="G55">
            <v>0.25317093332782747</v>
          </cell>
          <cell r="H55">
            <v>7</v>
          </cell>
          <cell r="I55" t="str">
            <v>Spare the Dying</v>
          </cell>
          <cell r="L55" t="str">
            <v>Detect Evil and Good</v>
          </cell>
          <cell r="R55" t="str">
            <v>Command</v>
          </cell>
          <cell r="V55">
            <v>4</v>
          </cell>
          <cell r="W55">
            <v>0.14314523027988246</v>
          </cell>
          <cell r="X55">
            <v>13</v>
          </cell>
          <cell r="Y55" t="str">
            <v>Calm Emotions</v>
          </cell>
          <cell r="AD55">
            <v>4</v>
          </cell>
          <cell r="AE55">
            <v>9.9119461498175188E-2</v>
          </cell>
          <cell r="AF55">
            <v>13</v>
          </cell>
          <cell r="AG55" t="str">
            <v>Clairvoyance</v>
          </cell>
          <cell r="AL55">
            <v>4</v>
          </cell>
          <cell r="AM55">
            <v>0.96434352749715435</v>
          </cell>
          <cell r="AN55">
            <v>2</v>
          </cell>
          <cell r="AO55" t="str">
            <v>Divination</v>
          </cell>
          <cell r="AT55">
            <v>4</v>
          </cell>
          <cell r="AU55">
            <v>0.24338709283173565</v>
          </cell>
          <cell r="AV55">
            <v>9</v>
          </cell>
          <cell r="AW55" t="str">
            <v>Geas</v>
          </cell>
        </row>
        <row r="56">
          <cell r="F56">
            <v>7</v>
          </cell>
          <cell r="G56">
            <v>0.32937413536598026</v>
          </cell>
          <cell r="H56">
            <v>6</v>
          </cell>
          <cell r="I56" t="str">
            <v>Thaumaturgy</v>
          </cell>
          <cell r="L56" t="str">
            <v>Detect Magic</v>
          </cell>
          <cell r="V56">
            <v>5</v>
          </cell>
          <cell r="W56">
            <v>7.3314864473649322E-2</v>
          </cell>
          <cell r="X56">
            <v>16</v>
          </cell>
          <cell r="Y56" t="str">
            <v>Continual Flame</v>
          </cell>
          <cell r="AD56">
            <v>5</v>
          </cell>
          <cell r="AE56">
            <v>5.7356547370415734E-2</v>
          </cell>
          <cell r="AF56">
            <v>16</v>
          </cell>
          <cell r="AG56" t="str">
            <v>Create Food and Water</v>
          </cell>
          <cell r="AL56">
            <v>5</v>
          </cell>
          <cell r="AM56">
            <v>0.16185075081402656</v>
          </cell>
          <cell r="AN56">
            <v>7</v>
          </cell>
          <cell r="AO56" t="str">
            <v>Guardian of Faith</v>
          </cell>
          <cell r="AT56">
            <v>5</v>
          </cell>
          <cell r="AU56">
            <v>0.89224885121575781</v>
          </cell>
          <cell r="AV56">
            <v>2</v>
          </cell>
          <cell r="AW56" t="str">
            <v>Greater Restoration</v>
          </cell>
        </row>
        <row r="57">
          <cell r="L57" t="str">
            <v>Detect Poison and Disease</v>
          </cell>
          <cell r="V57">
            <v>6</v>
          </cell>
          <cell r="W57">
            <v>0.91556213193861813</v>
          </cell>
          <cell r="X57">
            <v>2</v>
          </cell>
          <cell r="Y57" t="str">
            <v>Enhance Ability</v>
          </cell>
          <cell r="AD57">
            <v>6</v>
          </cell>
          <cell r="AE57">
            <v>9.7239128628969662E-2</v>
          </cell>
          <cell r="AF57">
            <v>14</v>
          </cell>
          <cell r="AG57" t="str">
            <v>Daylight</v>
          </cell>
          <cell r="AL57">
            <v>6</v>
          </cell>
          <cell r="AM57">
            <v>0.76591567330287946</v>
          </cell>
          <cell r="AN57">
            <v>3</v>
          </cell>
          <cell r="AO57" t="str">
            <v>Locate Creature</v>
          </cell>
          <cell r="AT57">
            <v>6</v>
          </cell>
          <cell r="AU57">
            <v>0.37176415819755726</v>
          </cell>
          <cell r="AV57">
            <v>7</v>
          </cell>
          <cell r="AW57" t="str">
            <v>Hallow</v>
          </cell>
        </row>
        <row r="58">
          <cell r="L58" t="str">
            <v>Guiding Bolt</v>
          </cell>
          <cell r="V58">
            <v>7</v>
          </cell>
          <cell r="W58">
            <v>0.70955041912397732</v>
          </cell>
          <cell r="X58">
            <v>6</v>
          </cell>
          <cell r="Y58" t="str">
            <v>Find Traps</v>
          </cell>
          <cell r="AD58">
            <v>7</v>
          </cell>
          <cell r="AE58">
            <v>0.87444211672476513</v>
          </cell>
          <cell r="AF58">
            <v>4</v>
          </cell>
          <cell r="AG58" t="str">
            <v>Dispel Magic</v>
          </cell>
          <cell r="AL58">
            <v>7</v>
          </cell>
          <cell r="AM58">
            <v>0.38872014485193906</v>
          </cell>
          <cell r="AN58">
            <v>5</v>
          </cell>
          <cell r="AO58" t="str">
            <v>Stone Shape</v>
          </cell>
          <cell r="AT58">
            <v>7</v>
          </cell>
          <cell r="AU58">
            <v>0.33469139450836538</v>
          </cell>
          <cell r="AV58">
            <v>8</v>
          </cell>
          <cell r="AW58" t="str">
            <v>Insect Plague</v>
          </cell>
        </row>
        <row r="59">
          <cell r="L59" t="str">
            <v>Healing Word</v>
          </cell>
          <cell r="V59">
            <v>8</v>
          </cell>
          <cell r="W59">
            <v>0.56355042410368672</v>
          </cell>
          <cell r="X59">
            <v>8</v>
          </cell>
          <cell r="Y59" t="str">
            <v>Gentle Repose</v>
          </cell>
          <cell r="AD59">
            <v>8</v>
          </cell>
          <cell r="AE59">
            <v>2.8543101869427656E-2</v>
          </cell>
          <cell r="AF59">
            <v>19</v>
          </cell>
          <cell r="AG59" t="str">
            <v>Feign Death</v>
          </cell>
          <cell r="AL59" t="str">
            <v/>
          </cell>
          <cell r="AM59" t="str">
            <v/>
          </cell>
          <cell r="AN59" t="str">
            <v/>
          </cell>
          <cell r="AO59" t="str">
            <v/>
          </cell>
          <cell r="AT59">
            <v>8</v>
          </cell>
          <cell r="AU59">
            <v>6.2438111924380424E-2</v>
          </cell>
          <cell r="AV59">
            <v>11</v>
          </cell>
          <cell r="AW59" t="str">
            <v>Legend Lore</v>
          </cell>
        </row>
        <row r="60">
          <cell r="L60" t="str">
            <v>Inflict Wounds</v>
          </cell>
          <cell r="V60">
            <v>9</v>
          </cell>
          <cell r="W60">
            <v>0.22019634486877337</v>
          </cell>
          <cell r="X60">
            <v>11</v>
          </cell>
          <cell r="Y60" t="str">
            <v>Hold Person</v>
          </cell>
          <cell r="AD60">
            <v>9</v>
          </cell>
          <cell r="AE60">
            <v>4.1521433008603781E-2</v>
          </cell>
          <cell r="AF60">
            <v>17</v>
          </cell>
          <cell r="AG60" t="str">
            <v>Glyph of Warding</v>
          </cell>
          <cell r="AT60">
            <v>9</v>
          </cell>
          <cell r="AU60">
            <v>2.7127598870781533E-2</v>
          </cell>
          <cell r="AV60">
            <v>12</v>
          </cell>
          <cell r="AW60" t="str">
            <v>Mass Cure Wounds</v>
          </cell>
        </row>
        <row r="61">
          <cell r="L61" t="str">
            <v>Protection From Evil and Good</v>
          </cell>
          <cell r="V61">
            <v>10</v>
          </cell>
          <cell r="W61">
            <v>8.3035443189437563E-2</v>
          </cell>
          <cell r="X61">
            <v>14</v>
          </cell>
          <cell r="Y61" t="str">
            <v>Lesser Restoration</v>
          </cell>
          <cell r="AD61">
            <v>10</v>
          </cell>
          <cell r="AE61">
            <v>0.18354567805210054</v>
          </cell>
          <cell r="AF61">
            <v>10</v>
          </cell>
          <cell r="AG61" t="str">
            <v>Magic Circle</v>
          </cell>
          <cell r="AT61">
            <v>10</v>
          </cell>
          <cell r="AU61">
            <v>0.48008653648698518</v>
          </cell>
          <cell r="AV61">
            <v>6</v>
          </cell>
          <cell r="AW61" t="str">
            <v>Planar Binding</v>
          </cell>
        </row>
        <row r="62">
          <cell r="L62" t="str">
            <v>Purify Food and Drink</v>
          </cell>
          <cell r="V62">
            <v>11</v>
          </cell>
          <cell r="W62">
            <v>0.76321089395880493</v>
          </cell>
          <cell r="X62">
            <v>5</v>
          </cell>
          <cell r="Y62" t="str">
            <v>Locate Object</v>
          </cell>
          <cell r="AD62">
            <v>11</v>
          </cell>
          <cell r="AE62">
            <v>6.8808792635893234E-2</v>
          </cell>
          <cell r="AF62">
            <v>15</v>
          </cell>
          <cell r="AG62" t="str">
            <v>Mass Healing Word</v>
          </cell>
          <cell r="AT62">
            <v>11</v>
          </cell>
          <cell r="AU62">
            <v>0.15243571005569845</v>
          </cell>
          <cell r="AV62">
            <v>10</v>
          </cell>
          <cell r="AW62" t="str">
            <v>Raise Dead</v>
          </cell>
        </row>
        <row r="63">
          <cell r="L63" t="str">
            <v>Sanctuary</v>
          </cell>
          <cell r="V63">
            <v>12</v>
          </cell>
          <cell r="W63">
            <v>0.22438984247012761</v>
          </cell>
          <cell r="X63">
            <v>10</v>
          </cell>
          <cell r="Y63" t="str">
            <v>Prayer of Healing</v>
          </cell>
          <cell r="AD63">
            <v>12</v>
          </cell>
          <cell r="AE63">
            <v>0.90183658809792644</v>
          </cell>
          <cell r="AF63">
            <v>3</v>
          </cell>
          <cell r="AG63" t="str">
            <v>Meld Into Stone</v>
          </cell>
          <cell r="AT63">
            <v>12</v>
          </cell>
          <cell r="AU63">
            <v>0.71025787206610469</v>
          </cell>
          <cell r="AV63">
            <v>3</v>
          </cell>
          <cell r="AW63" t="str">
            <v>Scrying</v>
          </cell>
        </row>
        <row r="64">
          <cell r="L64" t="str">
            <v>Shield of Faith</v>
          </cell>
          <cell r="V64">
            <v>13</v>
          </cell>
          <cell r="W64">
            <v>0.17505078496102755</v>
          </cell>
          <cell r="X64">
            <v>12</v>
          </cell>
          <cell r="Y64" t="str">
            <v>Protection From Poison</v>
          </cell>
          <cell r="AD64">
            <v>13</v>
          </cell>
          <cell r="AE64">
            <v>0.27167702944270444</v>
          </cell>
          <cell r="AF64">
            <v>8</v>
          </cell>
          <cell r="AG64" t="str">
            <v>Protection From Energy</v>
          </cell>
        </row>
        <row r="65">
          <cell r="V65">
            <v>14</v>
          </cell>
          <cell r="W65">
            <v>0.62240024153722495</v>
          </cell>
          <cell r="X65">
            <v>7</v>
          </cell>
          <cell r="Y65" t="str">
            <v>Silence</v>
          </cell>
          <cell r="AD65">
            <v>14</v>
          </cell>
          <cell r="AE65">
            <v>0.6133839153944306</v>
          </cell>
          <cell r="AF65">
            <v>6</v>
          </cell>
          <cell r="AG65" t="str">
            <v>Remove Curse</v>
          </cell>
        </row>
        <row r="66">
          <cell r="V66">
            <v>15</v>
          </cell>
          <cell r="W66">
            <v>0.78299873120581787</v>
          </cell>
          <cell r="X66">
            <v>4</v>
          </cell>
          <cell r="Y66" t="str">
            <v>Warding Bond</v>
          </cell>
          <cell r="AD66">
            <v>15</v>
          </cell>
          <cell r="AE66">
            <v>0.15198488610765248</v>
          </cell>
          <cell r="AF66">
            <v>12</v>
          </cell>
          <cell r="AG66" t="str">
            <v>Revivify</v>
          </cell>
        </row>
        <row r="67">
          <cell r="V67">
            <v>16</v>
          </cell>
          <cell r="W67">
            <v>8.1501663499942811E-2</v>
          </cell>
          <cell r="X67">
            <v>15</v>
          </cell>
          <cell r="Y67" t="str">
            <v>Zone of Truth</v>
          </cell>
          <cell r="AD67">
            <v>16</v>
          </cell>
          <cell r="AE67">
            <v>3.6462225185390107E-2</v>
          </cell>
          <cell r="AF67">
            <v>18</v>
          </cell>
          <cell r="AG67" t="str">
            <v>Sending</v>
          </cell>
        </row>
        <row r="68">
          <cell r="V68" t="str">
            <v/>
          </cell>
          <cell r="W68" t="str">
            <v/>
          </cell>
          <cell r="X68" t="str">
            <v/>
          </cell>
          <cell r="Y68" t="str">
            <v/>
          </cell>
          <cell r="AD68">
            <v>17</v>
          </cell>
          <cell r="AE68">
            <v>0.38583062417301361</v>
          </cell>
          <cell r="AF68">
            <v>7</v>
          </cell>
          <cell r="AG68" t="str">
            <v>Speak with Dead</v>
          </cell>
        </row>
        <row r="69">
          <cell r="AD69">
            <v>18</v>
          </cell>
          <cell r="AE69">
            <v>0.79873729731482979</v>
          </cell>
          <cell r="AF69">
            <v>5</v>
          </cell>
          <cell r="AG69" t="str">
            <v>Tongues</v>
          </cell>
        </row>
        <row r="78">
          <cell r="J78" t="str">
            <v>Gust</v>
          </cell>
          <cell r="R78" t="str">
            <v>Thunderwave</v>
          </cell>
          <cell r="S78" t="str">
            <v/>
          </cell>
          <cell r="Z78" t="str">
            <v>Pass without Trace</v>
          </cell>
          <cell r="AA78" t="str">
            <v/>
          </cell>
          <cell r="AH78" t="str">
            <v>Call Lightning</v>
          </cell>
          <cell r="AI78" t="str">
            <v/>
          </cell>
          <cell r="AP78" t="str">
            <v>Ice Storm</v>
          </cell>
          <cell r="AQ78" t="str">
            <v/>
          </cell>
          <cell r="AX78" t="str">
            <v>Wall of Stone</v>
          </cell>
          <cell r="BC78" t="str">
            <v>Bones of the Earth</v>
          </cell>
          <cell r="BH78" t="str">
            <v>Whirlwind</v>
          </cell>
          <cell r="BM78" t="str">
            <v>Earthquake</v>
          </cell>
          <cell r="BR78" t="str">
            <v>Shapechange</v>
          </cell>
        </row>
        <row r="79">
          <cell r="J79" t="str">
            <v>Shape Water</v>
          </cell>
          <cell r="R79" t="str">
            <v>Fog Cloud</v>
          </cell>
          <cell r="S79" t="str">
            <v/>
          </cell>
          <cell r="Z79" t="str">
            <v>Protection from Poison</v>
          </cell>
          <cell r="AA79" t="str">
            <v/>
          </cell>
          <cell r="AH79" t="str">
            <v>Conjure Animals</v>
          </cell>
          <cell r="AI79" t="str">
            <v/>
          </cell>
          <cell r="AP79" t="str">
            <v>Watery Sphere</v>
          </cell>
          <cell r="AQ79" t="str">
            <v/>
          </cell>
          <cell r="AX79" t="str">
            <v>Control Winds</v>
          </cell>
          <cell r="BC79" t="str">
            <v>Wind Walk</v>
          </cell>
          <cell r="BH79" t="str">
            <v>Plane Shift</v>
          </cell>
        </row>
        <row r="80">
          <cell r="J80" t="str">
            <v>Magic Stone</v>
          </cell>
          <cell r="R80" t="str">
            <v>Healing Word</v>
          </cell>
          <cell r="Z80" t="str">
            <v>Locate Object</v>
          </cell>
          <cell r="AH80" t="str">
            <v>Wind Wall</v>
          </cell>
          <cell r="AP80" t="str">
            <v>Locate Creature</v>
          </cell>
          <cell r="AX80" t="str">
            <v>Scrying</v>
          </cell>
          <cell r="AY80">
            <v>3</v>
          </cell>
          <cell r="AZ80">
            <v>0.3042162849488883</v>
          </cell>
        </row>
        <row r="81">
          <cell r="J81" t="str">
            <v>Thorn Whip</v>
          </cell>
          <cell r="R81" t="str">
            <v>Cure Wounds</v>
          </cell>
        </row>
        <row r="82">
          <cell r="J82" t="str">
            <v>Thunderclap</v>
          </cell>
        </row>
        <row r="106">
          <cell r="F106">
            <v>1</v>
          </cell>
          <cell r="G106">
            <v>0.96390365005314682</v>
          </cell>
          <cell r="H106">
            <v>1</v>
          </cell>
          <cell r="I106" t="str">
            <v>Blade Ward</v>
          </cell>
          <cell r="J106" t="str">
            <v>Blade Ward</v>
          </cell>
          <cell r="K106">
            <v>1</v>
          </cell>
          <cell r="L106" t="str">
            <v>Absorb Elements</v>
          </cell>
          <cell r="M106">
            <v>11</v>
          </cell>
          <cell r="N106">
            <v>1</v>
          </cell>
          <cell r="R106" t="str">
            <v>Earth Tremor</v>
          </cell>
          <cell r="V106">
            <v>1</v>
          </cell>
          <cell r="W106">
            <v>0.39817673970059075</v>
          </cell>
          <cell r="X106">
            <v>4</v>
          </cell>
          <cell r="Y106" t="str">
            <v>Aganazzar's Scorcher</v>
          </cell>
          <cell r="Z106" t="str">
            <v>Shatter</v>
          </cell>
          <cell r="AD106">
            <v>1</v>
          </cell>
          <cell r="AE106">
            <v>0.48573259683618886</v>
          </cell>
          <cell r="AF106">
            <v>8</v>
          </cell>
          <cell r="AG106" t="str">
            <v>Counterspell</v>
          </cell>
          <cell r="AH106" t="str">
            <v>Sending</v>
          </cell>
          <cell r="AL106">
            <v>1</v>
          </cell>
          <cell r="AM106">
            <v>0.79181014664001736</v>
          </cell>
          <cell r="AN106">
            <v>3</v>
          </cell>
          <cell r="AO106" t="str">
            <v>Banishment</v>
          </cell>
          <cell r="AP106" t="str">
            <v>Stoneskin</v>
          </cell>
        </row>
        <row r="107">
          <cell r="F107">
            <v>2</v>
          </cell>
          <cell r="G107">
            <v>0.52746303819064155</v>
          </cell>
          <cell r="H107">
            <v>6</v>
          </cell>
          <cell r="I107" t="str">
            <v>Dancing Lights</v>
          </cell>
          <cell r="J107" t="str">
            <v>Shocking Grasp</v>
          </cell>
          <cell r="K107">
            <v>2</v>
          </cell>
          <cell r="L107" t="str">
            <v>Alarm</v>
          </cell>
          <cell r="N107">
            <v>2</v>
          </cell>
          <cell r="R107" t="str">
            <v>Alarm</v>
          </cell>
          <cell r="V107">
            <v>2</v>
          </cell>
          <cell r="W107">
            <v>0.15522070843676339</v>
          </cell>
          <cell r="X107">
            <v>8</v>
          </cell>
          <cell r="Y107" t="str">
            <v>Arcane Lock</v>
          </cell>
          <cell r="Z107" t="str">
            <v>Snilloc's Snowball Swarm</v>
          </cell>
          <cell r="AD107">
            <v>2</v>
          </cell>
          <cell r="AE107">
            <v>6.5341015504573829E-2</v>
          </cell>
          <cell r="AF107">
            <v>13</v>
          </cell>
          <cell r="AG107" t="str">
            <v>Dispel Magic</v>
          </cell>
          <cell r="AH107" t="str">
            <v>Wall of Sand</v>
          </cell>
          <cell r="AL107">
            <v>2</v>
          </cell>
          <cell r="AM107">
            <v>0.63737302325226219</v>
          </cell>
          <cell r="AN107">
            <v>4</v>
          </cell>
          <cell r="AO107" t="str">
            <v>Fire Shield</v>
          </cell>
        </row>
        <row r="108">
          <cell r="F108">
            <v>3</v>
          </cell>
          <cell r="G108">
            <v>3.9455035614092138E-2</v>
          </cell>
          <cell r="H108">
            <v>8</v>
          </cell>
          <cell r="I108" t="str">
            <v>Fire Bolt</v>
          </cell>
          <cell r="J108" t="str">
            <v>Frostbite</v>
          </cell>
          <cell r="K108">
            <v>3</v>
          </cell>
          <cell r="L108" t="str">
            <v>Burning Hands</v>
          </cell>
          <cell r="N108">
            <v>3</v>
          </cell>
          <cell r="R108" t="str">
            <v>Shield</v>
          </cell>
          <cell r="V108">
            <v>3</v>
          </cell>
          <cell r="W108">
            <v>0.24581541176183141</v>
          </cell>
          <cell r="X108">
            <v>6</v>
          </cell>
          <cell r="Y108" t="str">
            <v>Continual Flame</v>
          </cell>
          <cell r="Z108" t="str">
            <v>Scorching Ray</v>
          </cell>
          <cell r="AD108">
            <v>3</v>
          </cell>
          <cell r="AE108">
            <v>0.74087219692770867</v>
          </cell>
          <cell r="AF108">
            <v>4</v>
          </cell>
          <cell r="AG108" t="str">
            <v>Fireball</v>
          </cell>
          <cell r="AH108" t="str">
            <v>Glyph of Warding</v>
          </cell>
          <cell r="AL108">
            <v>3</v>
          </cell>
          <cell r="AM108">
            <v>0.58750943393369592</v>
          </cell>
          <cell r="AN108">
            <v>5</v>
          </cell>
          <cell r="AO108" t="str">
            <v>Ice Storm</v>
          </cell>
        </row>
        <row r="109">
          <cell r="F109">
            <v>4</v>
          </cell>
          <cell r="G109">
            <v>0.80744282901387976</v>
          </cell>
          <cell r="H109">
            <v>3</v>
          </cell>
          <cell r="I109" t="str">
            <v>Frostbite</v>
          </cell>
          <cell r="K109">
            <v>4</v>
          </cell>
          <cell r="L109" t="str">
            <v>Chromatic Orb</v>
          </cell>
          <cell r="N109">
            <v>4</v>
          </cell>
          <cell r="R109" t="str">
            <v>Chromatic Orb</v>
          </cell>
          <cell r="V109">
            <v>4</v>
          </cell>
          <cell r="W109">
            <v>0.17034043155971224</v>
          </cell>
          <cell r="X109">
            <v>7</v>
          </cell>
          <cell r="Y109" t="str">
            <v>Darkness</v>
          </cell>
          <cell r="AD109">
            <v>4</v>
          </cell>
          <cell r="AE109">
            <v>0.74702363261673033</v>
          </cell>
          <cell r="AF109">
            <v>3</v>
          </cell>
          <cell r="AG109" t="str">
            <v>Glyph of Warding</v>
          </cell>
          <cell r="AL109">
            <v>4</v>
          </cell>
          <cell r="AM109">
            <v>0.43107277513091369</v>
          </cell>
          <cell r="AN109">
            <v>7</v>
          </cell>
          <cell r="AO109" t="str">
            <v>Mordenkainen's Private Sanctum</v>
          </cell>
        </row>
        <row r="110">
          <cell r="F110">
            <v>5</v>
          </cell>
          <cell r="G110">
            <v>0.60904613146042863</v>
          </cell>
          <cell r="H110">
            <v>4</v>
          </cell>
          <cell r="I110" t="str">
            <v>Light</v>
          </cell>
          <cell r="K110">
            <v>5</v>
          </cell>
          <cell r="L110" t="str">
            <v>Earth Tremor</v>
          </cell>
          <cell r="N110">
            <v>5</v>
          </cell>
          <cell r="V110">
            <v>5</v>
          </cell>
          <cell r="W110">
            <v>0.38569379422502048</v>
          </cell>
          <cell r="X110">
            <v>5</v>
          </cell>
          <cell r="Y110" t="str">
            <v>Gust of Wind</v>
          </cell>
          <cell r="AD110">
            <v>5</v>
          </cell>
          <cell r="AE110">
            <v>0.37848472725267124</v>
          </cell>
          <cell r="AF110">
            <v>9</v>
          </cell>
          <cell r="AG110" t="str">
            <v>Leomund's Tiny Hut</v>
          </cell>
          <cell r="AL110">
            <v>5</v>
          </cell>
          <cell r="AM110">
            <v>0.92377427247382204</v>
          </cell>
          <cell r="AN110">
            <v>2</v>
          </cell>
          <cell r="AO110" t="str">
            <v>Otiluke's Resilient Sphere</v>
          </cell>
        </row>
        <row r="111">
          <cell r="F111">
            <v>6</v>
          </cell>
          <cell r="G111">
            <v>0.60590669816897302</v>
          </cell>
          <cell r="H111">
            <v>5</v>
          </cell>
          <cell r="I111" t="str">
            <v>Ray of Frost</v>
          </cell>
          <cell r="K111">
            <v>6</v>
          </cell>
          <cell r="L111" t="str">
            <v>Mage Armor</v>
          </cell>
          <cell r="N111">
            <v>6</v>
          </cell>
          <cell r="V111">
            <v>6</v>
          </cell>
          <cell r="W111">
            <v>8.5006585344833852E-2</v>
          </cell>
          <cell r="X111">
            <v>9</v>
          </cell>
          <cell r="Y111" t="str">
            <v>Melf's Acid Arrow</v>
          </cell>
          <cell r="AD111">
            <v>6</v>
          </cell>
          <cell r="AE111">
            <v>0.6284743305129058</v>
          </cell>
          <cell r="AF111">
            <v>5</v>
          </cell>
          <cell r="AG111" t="str">
            <v>Lightning Bolt</v>
          </cell>
          <cell r="AL111">
            <v>6</v>
          </cell>
          <cell r="AM111">
            <v>0.92391347659229972</v>
          </cell>
          <cell r="AN111">
            <v>1</v>
          </cell>
          <cell r="AO111" t="str">
            <v>Stoneskin</v>
          </cell>
        </row>
        <row r="112">
          <cell r="F112">
            <v>7</v>
          </cell>
          <cell r="G112">
            <v>0.9128616588272922</v>
          </cell>
          <cell r="H112">
            <v>2</v>
          </cell>
          <cell r="I112" t="str">
            <v>Shocking Grasp</v>
          </cell>
          <cell r="K112">
            <v>7</v>
          </cell>
          <cell r="L112" t="str">
            <v>Magic Missile</v>
          </cell>
          <cell r="N112">
            <v>7</v>
          </cell>
          <cell r="V112">
            <v>7</v>
          </cell>
          <cell r="W112">
            <v>0.55843607692885688</v>
          </cell>
          <cell r="X112">
            <v>3</v>
          </cell>
          <cell r="Y112" t="str">
            <v>Scorching Ray</v>
          </cell>
          <cell r="AD112">
            <v>7</v>
          </cell>
          <cell r="AE112">
            <v>0.51978811286483451</v>
          </cell>
          <cell r="AF112">
            <v>7</v>
          </cell>
          <cell r="AG112" t="str">
            <v>Magic Circle</v>
          </cell>
          <cell r="AL112">
            <v>7</v>
          </cell>
          <cell r="AM112">
            <v>0.3545094253583343</v>
          </cell>
          <cell r="AN112">
            <v>8</v>
          </cell>
          <cell r="AO112" t="str">
            <v>Storm Sphere</v>
          </cell>
        </row>
        <row r="113">
          <cell r="F113">
            <v>8</v>
          </cell>
          <cell r="G113">
            <v>0.18659040638129076</v>
          </cell>
          <cell r="H113">
            <v>7</v>
          </cell>
          <cell r="I113" t="str">
            <v>Thunderclap</v>
          </cell>
          <cell r="K113">
            <v>8</v>
          </cell>
          <cell r="L113" t="str">
            <v>Protection from Evil and Good</v>
          </cell>
          <cell r="N113">
            <v>8</v>
          </cell>
          <cell r="V113">
            <v>8</v>
          </cell>
          <cell r="W113">
            <v>0.85423163990740958</v>
          </cell>
          <cell r="X113">
            <v>1</v>
          </cell>
          <cell r="Y113" t="str">
            <v>Shatter</v>
          </cell>
          <cell r="AD113">
            <v>8</v>
          </cell>
          <cell r="AE113">
            <v>0.20670944337565544</v>
          </cell>
          <cell r="AF113">
            <v>12</v>
          </cell>
          <cell r="AG113" t="str">
            <v>Melf's Minute Meteors</v>
          </cell>
          <cell r="AL113">
            <v>8</v>
          </cell>
          <cell r="AM113">
            <v>0.48910675986047358</v>
          </cell>
          <cell r="AN113">
            <v>6</v>
          </cell>
          <cell r="AO113" t="str">
            <v>Vitriolic Sphere</v>
          </cell>
        </row>
        <row r="114">
          <cell r="K114">
            <v>9</v>
          </cell>
          <cell r="L114" t="str">
            <v>Shield</v>
          </cell>
          <cell r="N114">
            <v>9</v>
          </cell>
          <cell r="V114">
            <v>9</v>
          </cell>
          <cell r="W114">
            <v>0.76162890639816649</v>
          </cell>
          <cell r="X114">
            <v>2</v>
          </cell>
          <cell r="Y114" t="str">
            <v>Snilloc's Snowball Swarm</v>
          </cell>
          <cell r="AD114">
            <v>9</v>
          </cell>
          <cell r="AE114">
            <v>0.27511519196372602</v>
          </cell>
          <cell r="AF114">
            <v>10</v>
          </cell>
          <cell r="AG114" t="str">
            <v>Nondetection</v>
          </cell>
          <cell r="AL114">
            <v>9</v>
          </cell>
          <cell r="AM114">
            <v>0.10781733737206456</v>
          </cell>
          <cell r="AN114">
            <v>9</v>
          </cell>
          <cell r="AO114" t="str">
            <v>Wall of Fire</v>
          </cell>
        </row>
        <row r="115">
          <cell r="K115">
            <v>10</v>
          </cell>
          <cell r="L115" t="str">
            <v>Thunderwave</v>
          </cell>
          <cell r="N115">
            <v>10</v>
          </cell>
          <cell r="V115" t="str">
            <v/>
          </cell>
          <cell r="W115" t="str">
            <v/>
          </cell>
          <cell r="X115" t="str">
            <v/>
          </cell>
          <cell r="AD115">
            <v>10</v>
          </cell>
          <cell r="AE115">
            <v>0.61470044898337228</v>
          </cell>
          <cell r="AF115">
            <v>6</v>
          </cell>
          <cell r="AG115" t="str">
            <v>Protection from Energy</v>
          </cell>
          <cell r="AL115" t="str">
            <v/>
          </cell>
          <cell r="AM115" t="str">
            <v/>
          </cell>
          <cell r="AN115" t="str">
            <v/>
          </cell>
        </row>
        <row r="116">
          <cell r="K116">
            <v>11</v>
          </cell>
          <cell r="L116" t="str">
            <v>Witch Bolt</v>
          </cell>
          <cell r="N116">
            <v>11</v>
          </cell>
          <cell r="V116" t="str">
            <v/>
          </cell>
          <cell r="W116" t="str">
            <v/>
          </cell>
          <cell r="X116" t="str">
            <v/>
          </cell>
          <cell r="AD116">
            <v>11</v>
          </cell>
          <cell r="AE116">
            <v>2.7854936675124842E-2</v>
          </cell>
          <cell r="AF116">
            <v>14</v>
          </cell>
          <cell r="AG116" t="str">
            <v>Remove Curse</v>
          </cell>
          <cell r="AL116" t="str">
            <v/>
          </cell>
          <cell r="AM116" t="str">
            <v/>
          </cell>
          <cell r="AN116" t="str">
            <v/>
          </cell>
        </row>
        <row r="117">
          <cell r="N117" t="str">
            <v/>
          </cell>
          <cell r="V117" t="str">
            <v/>
          </cell>
          <cell r="W117" t="str">
            <v/>
          </cell>
          <cell r="X117" t="str">
            <v/>
          </cell>
          <cell r="AD117">
            <v>12</v>
          </cell>
          <cell r="AE117">
            <v>0.80349512034078452</v>
          </cell>
          <cell r="AF117">
            <v>1</v>
          </cell>
          <cell r="AG117" t="str">
            <v>Sending</v>
          </cell>
          <cell r="AL117" t="str">
            <v/>
          </cell>
          <cell r="AM117" t="str">
            <v/>
          </cell>
          <cell r="AN117" t="str">
            <v/>
          </cell>
        </row>
        <row r="118">
          <cell r="N118" t="str">
            <v/>
          </cell>
          <cell r="V118" t="str">
            <v/>
          </cell>
          <cell r="W118" t="str">
            <v/>
          </cell>
          <cell r="X118" t="str">
            <v/>
          </cell>
          <cell r="AD118">
            <v>13</v>
          </cell>
          <cell r="AE118">
            <v>0.76205336028305404</v>
          </cell>
          <cell r="AF118">
            <v>2</v>
          </cell>
          <cell r="AG118" t="str">
            <v>Wall of Sand</v>
          </cell>
          <cell r="AL118" t="str">
            <v/>
          </cell>
          <cell r="AM118" t="str">
            <v/>
          </cell>
          <cell r="AN118" t="str">
            <v/>
          </cell>
        </row>
        <row r="119">
          <cell r="N119" t="str">
            <v/>
          </cell>
          <cell r="V119" t="str">
            <v/>
          </cell>
          <cell r="W119" t="str">
            <v/>
          </cell>
          <cell r="X119" t="str">
            <v/>
          </cell>
          <cell r="AL119" t="str">
            <v/>
          </cell>
          <cell r="AM119" t="str">
            <v/>
          </cell>
          <cell r="AN119" t="str">
            <v/>
          </cell>
        </row>
        <row r="120">
          <cell r="N120" t="str">
            <v/>
          </cell>
          <cell r="V120" t="str">
            <v/>
          </cell>
          <cell r="W120" t="str">
            <v/>
          </cell>
          <cell r="X120" t="str">
            <v/>
          </cell>
          <cell r="AL120" t="str">
            <v/>
          </cell>
          <cell r="AM120" t="str">
            <v/>
          </cell>
          <cell r="AN120" t="str">
            <v/>
          </cell>
        </row>
        <row r="121">
          <cell r="N121" t="str">
            <v/>
          </cell>
          <cell r="V121" t="str">
            <v/>
          </cell>
          <cell r="W121" t="str">
            <v/>
          </cell>
          <cell r="X121" t="str">
            <v/>
          </cell>
          <cell r="AL121" t="str">
            <v/>
          </cell>
          <cell r="AM121" t="str">
            <v/>
          </cell>
          <cell r="AN121" t="str">
            <v/>
          </cell>
        </row>
        <row r="122">
          <cell r="V122" t="str">
            <v/>
          </cell>
          <cell r="W122" t="str">
            <v/>
          </cell>
          <cell r="X122" t="str">
            <v/>
          </cell>
        </row>
        <row r="123">
          <cell r="V123" t="str">
            <v/>
          </cell>
          <cell r="W123" t="str">
            <v/>
          </cell>
          <cell r="X123" t="str">
            <v/>
          </cell>
        </row>
        <row r="130">
          <cell r="C130" t="str">
            <v/>
          </cell>
          <cell r="D130" t="str">
            <v>Bless</v>
          </cell>
          <cell r="E130">
            <v>15</v>
          </cell>
          <cell r="F130">
            <v>1</v>
          </cell>
          <cell r="J130" t="str">
            <v/>
          </cell>
          <cell r="N130">
            <v>1</v>
          </cell>
          <cell r="O130">
            <v>0.27561093060568431</v>
          </cell>
          <cell r="P130">
            <v>5</v>
          </cell>
          <cell r="Q130" t="str">
            <v>Aid</v>
          </cell>
          <cell r="R130" t="str">
            <v/>
          </cell>
          <cell r="V130">
            <v>1</v>
          </cell>
          <cell r="W130">
            <v>0.41270695372260702</v>
          </cell>
          <cell r="X130">
            <v>9</v>
          </cell>
          <cell r="Y130" t="str">
            <v>Aura of Vitality</v>
          </cell>
          <cell r="Z130" t="str">
            <v/>
          </cell>
          <cell r="AD130">
            <v>1</v>
          </cell>
          <cell r="AE130">
            <v>0.10095064890047389</v>
          </cell>
          <cell r="AF130">
            <v>6</v>
          </cell>
          <cell r="AG130" t="str">
            <v>Aura of Life</v>
          </cell>
          <cell r="AH130" t="str">
            <v/>
          </cell>
          <cell r="AL130">
            <v>1</v>
          </cell>
          <cell r="AM130">
            <v>0.61733144379071558</v>
          </cell>
          <cell r="AN130">
            <v>4</v>
          </cell>
          <cell r="AO130" t="str">
            <v>Banishing Smite</v>
          </cell>
          <cell r="AP130" t="str">
            <v/>
          </cell>
        </row>
        <row r="131">
          <cell r="C131" t="str">
            <v/>
          </cell>
          <cell r="D131" t="str">
            <v>Command</v>
          </cell>
          <cell r="F131">
            <v>2</v>
          </cell>
          <cell r="J131" t="str">
            <v/>
          </cell>
          <cell r="N131">
            <v>2</v>
          </cell>
          <cell r="O131">
            <v>0.4428855253323174</v>
          </cell>
          <cell r="P131">
            <v>3</v>
          </cell>
          <cell r="Q131" t="str">
            <v>Branding Smite</v>
          </cell>
          <cell r="R131" t="str">
            <v/>
          </cell>
          <cell r="V131">
            <v>2</v>
          </cell>
          <cell r="W131">
            <v>0.929596787040747</v>
          </cell>
          <cell r="X131">
            <v>1</v>
          </cell>
          <cell r="Y131" t="str">
            <v>Blinding Smite</v>
          </cell>
          <cell r="Z131" t="str">
            <v/>
          </cell>
          <cell r="AD131">
            <v>2</v>
          </cell>
          <cell r="AE131">
            <v>0.47896679260960107</v>
          </cell>
          <cell r="AF131">
            <v>3</v>
          </cell>
          <cell r="AG131" t="str">
            <v>Aura of Purity</v>
          </cell>
          <cell r="AH131" t="str">
            <v/>
          </cell>
          <cell r="AL131">
            <v>2</v>
          </cell>
          <cell r="AM131">
            <v>0.95469583124599933</v>
          </cell>
          <cell r="AN131">
            <v>2</v>
          </cell>
          <cell r="AO131" t="str">
            <v>Circle of Power</v>
          </cell>
          <cell r="AP131" t="str">
            <v/>
          </cell>
        </row>
        <row r="132">
          <cell r="D132" t="str">
            <v>Compelled Duel</v>
          </cell>
          <cell r="F132">
            <v>3</v>
          </cell>
          <cell r="J132" t="str">
            <v>Thunderous Smite</v>
          </cell>
          <cell r="N132">
            <v>3</v>
          </cell>
          <cell r="O132">
            <v>0.58581864751044477</v>
          </cell>
          <cell r="P132">
            <v>2</v>
          </cell>
          <cell r="Q132" t="str">
            <v>Find Steed</v>
          </cell>
          <cell r="R132" t="str">
            <v>Lesser Restoration</v>
          </cell>
          <cell r="V132">
            <v>3</v>
          </cell>
          <cell r="W132">
            <v>0.79911590357796558</v>
          </cell>
          <cell r="X132">
            <v>2</v>
          </cell>
          <cell r="Y132" t="str">
            <v>Create Food and Water</v>
          </cell>
          <cell r="Z132" t="str">
            <v>Dispel Magic</v>
          </cell>
          <cell r="AD132">
            <v>3</v>
          </cell>
          <cell r="AE132">
            <v>0.28124512863501838</v>
          </cell>
          <cell r="AF132">
            <v>5</v>
          </cell>
          <cell r="AG132" t="str">
            <v>Banishment</v>
          </cell>
          <cell r="AH132" t="str">
            <v>Aura of Purity</v>
          </cell>
          <cell r="AL132">
            <v>3</v>
          </cell>
          <cell r="AM132">
            <v>0.95975215257009017</v>
          </cell>
          <cell r="AN132">
            <v>1</v>
          </cell>
          <cell r="AO132" t="str">
            <v>Destructive Wave (Smite?)</v>
          </cell>
          <cell r="AP132" t="str">
            <v>Destructive Wave (Smite?)</v>
          </cell>
        </row>
        <row r="133">
          <cell r="D133" t="str">
            <v>Cure Wounds</v>
          </cell>
          <cell r="F133">
            <v>4</v>
          </cell>
          <cell r="J133" t="str">
            <v>Divine Favor</v>
          </cell>
          <cell r="N133">
            <v>4</v>
          </cell>
          <cell r="O133">
            <v>0.94073441134632341</v>
          </cell>
          <cell r="P133">
            <v>1</v>
          </cell>
          <cell r="Q133" t="str">
            <v>Lesser Restoration</v>
          </cell>
          <cell r="R133" t="str">
            <v>Find Steed</v>
          </cell>
          <cell r="V133">
            <v>4</v>
          </cell>
          <cell r="W133">
            <v>0.22916795143977886</v>
          </cell>
          <cell r="X133">
            <v>10</v>
          </cell>
          <cell r="Y133" t="str">
            <v>Crusader's Mantle</v>
          </cell>
          <cell r="Z133" t="str">
            <v>Elemental Weapon</v>
          </cell>
          <cell r="AD133">
            <v>4</v>
          </cell>
          <cell r="AE133">
            <v>0.82499253485165169</v>
          </cell>
          <cell r="AF133">
            <v>1</v>
          </cell>
          <cell r="AG133" t="str">
            <v>Death Ward</v>
          </cell>
          <cell r="AH133" t="str">
            <v>Locate Creature</v>
          </cell>
          <cell r="AL133">
            <v>4</v>
          </cell>
          <cell r="AM133">
            <v>8.1535329940948031E-2</v>
          </cell>
          <cell r="AN133">
            <v>6</v>
          </cell>
          <cell r="AO133" t="str">
            <v>Dispel Evil and Good</v>
          </cell>
          <cell r="AP133" t="str">
            <v>Circle of Power</v>
          </cell>
        </row>
        <row r="134">
          <cell r="D134" t="str">
            <v>Detect Evil and Good</v>
          </cell>
          <cell r="F134">
            <v>5</v>
          </cell>
          <cell r="J134" t="str">
            <v>Searing Smite</v>
          </cell>
          <cell r="N134">
            <v>5</v>
          </cell>
          <cell r="O134">
            <v>4.4215378166838404E-2</v>
          </cell>
          <cell r="P134">
            <v>8</v>
          </cell>
          <cell r="Q134" t="str">
            <v>Locate Object</v>
          </cell>
          <cell r="R134" t="str">
            <v>Branding Smite</v>
          </cell>
          <cell r="V134">
            <v>5</v>
          </cell>
          <cell r="W134">
            <v>0.581636035530954</v>
          </cell>
          <cell r="X134">
            <v>7</v>
          </cell>
          <cell r="Y134" t="str">
            <v>Daylight</v>
          </cell>
          <cell r="Z134" t="str">
            <v>Revivify</v>
          </cell>
          <cell r="AD134">
            <v>5</v>
          </cell>
          <cell r="AE134">
            <v>0.46324824968319367</v>
          </cell>
          <cell r="AF134">
            <v>4</v>
          </cell>
          <cell r="AG134" t="str">
            <v>Locate Creature</v>
          </cell>
          <cell r="AH134" t="str">
            <v>Banishment</v>
          </cell>
          <cell r="AL134">
            <v>5</v>
          </cell>
          <cell r="AM134">
            <v>0.25374391750348557</v>
          </cell>
          <cell r="AN134">
            <v>5</v>
          </cell>
          <cell r="AO134" t="str">
            <v>Geas</v>
          </cell>
        </row>
        <row r="135">
          <cell r="D135" t="str">
            <v>Detect Magic</v>
          </cell>
          <cell r="F135">
            <v>6</v>
          </cell>
          <cell r="J135" t="str">
            <v>Command</v>
          </cell>
          <cell r="N135">
            <v>6</v>
          </cell>
          <cell r="O135">
            <v>0.15252180153652817</v>
          </cell>
          <cell r="P135">
            <v>6</v>
          </cell>
          <cell r="Q135" t="str">
            <v>Magic Weapon</v>
          </cell>
          <cell r="V135">
            <v>6</v>
          </cell>
          <cell r="W135">
            <v>0.78591195261446956</v>
          </cell>
          <cell r="X135">
            <v>3</v>
          </cell>
          <cell r="Y135" t="str">
            <v>Dispel Magic</v>
          </cell>
          <cell r="AD135">
            <v>6</v>
          </cell>
          <cell r="AE135">
            <v>0.80561135512083204</v>
          </cell>
          <cell r="AF135">
            <v>2</v>
          </cell>
          <cell r="AG135" t="str">
            <v>Staggering Smite</v>
          </cell>
        </row>
        <row r="136">
          <cell r="D136" t="str">
            <v>Detect Poison and Disease</v>
          </cell>
          <cell r="F136">
            <v>7</v>
          </cell>
          <cell r="N136">
            <v>7</v>
          </cell>
          <cell r="O136">
            <v>0.30790429840082867</v>
          </cell>
          <cell r="P136">
            <v>4</v>
          </cell>
          <cell r="Q136" t="str">
            <v>Protection from Poison</v>
          </cell>
          <cell r="V136">
            <v>7</v>
          </cell>
          <cell r="W136">
            <v>0.6791897072040658</v>
          </cell>
          <cell r="X136">
            <v>4</v>
          </cell>
          <cell r="Y136" t="str">
            <v>Elemental Weapon</v>
          </cell>
        </row>
        <row r="137">
          <cell r="D137" t="str">
            <v>Divine Favor</v>
          </cell>
          <cell r="F137">
            <v>8</v>
          </cell>
          <cell r="N137">
            <v>8</v>
          </cell>
          <cell r="O137">
            <v>5.3838625448625943E-2</v>
          </cell>
          <cell r="P137">
            <v>7</v>
          </cell>
          <cell r="Q137" t="str">
            <v>Zone of Truth</v>
          </cell>
          <cell r="V137">
            <v>8</v>
          </cell>
          <cell r="W137">
            <v>0.46582425523670712</v>
          </cell>
          <cell r="X137">
            <v>8</v>
          </cell>
          <cell r="Y137" t="str">
            <v>Magic Circle</v>
          </cell>
        </row>
        <row r="138">
          <cell r="D138" t="str">
            <v>Heroism</v>
          </cell>
          <cell r="F138">
            <v>9</v>
          </cell>
          <cell r="V138">
            <v>9</v>
          </cell>
          <cell r="W138">
            <v>0.60071891734425409</v>
          </cell>
          <cell r="X138">
            <v>6</v>
          </cell>
          <cell r="Y138" t="str">
            <v>Remove Curse</v>
          </cell>
        </row>
        <row r="139">
          <cell r="D139" t="str">
            <v>Protection from Evil and Good</v>
          </cell>
          <cell r="F139">
            <v>10</v>
          </cell>
          <cell r="V139">
            <v>10</v>
          </cell>
          <cell r="W139">
            <v>0.65781225828088929</v>
          </cell>
          <cell r="X139">
            <v>5</v>
          </cell>
          <cell r="Y139" t="str">
            <v>Revivify</v>
          </cell>
        </row>
        <row r="140">
          <cell r="D140" t="str">
            <v>Purify Food and Drink</v>
          </cell>
          <cell r="F140">
            <v>11</v>
          </cell>
        </row>
        <row r="141">
          <cell r="D141" t="str">
            <v>Searing Smite</v>
          </cell>
          <cell r="F141">
            <v>12</v>
          </cell>
        </row>
        <row r="142">
          <cell r="D142" t="str">
            <v>Shield of Faith</v>
          </cell>
          <cell r="F142">
            <v>13</v>
          </cell>
        </row>
        <row r="143">
          <cell r="D143" t="str">
            <v>Thunderous Smite</v>
          </cell>
          <cell r="F143">
            <v>14</v>
          </cell>
        </row>
        <row r="144">
          <cell r="D144" t="str">
            <v>Wrathful Smite</v>
          </cell>
          <cell r="F144">
            <v>15</v>
          </cell>
        </row>
        <row r="146">
          <cell r="F146" t="str">
            <v/>
          </cell>
          <cell r="G146" t="str">
            <v/>
          </cell>
          <cell r="H146" t="str">
            <v/>
          </cell>
          <cell r="I146" t="str">
            <v/>
          </cell>
          <cell r="N146" t="str">
            <v/>
          </cell>
          <cell r="V146" t="str">
            <v/>
          </cell>
          <cell r="W146" t="str">
            <v/>
          </cell>
          <cell r="X146" t="str">
            <v/>
          </cell>
          <cell r="Y146" t="str">
            <v/>
          </cell>
          <cell r="AD146" t="str">
            <v/>
          </cell>
          <cell r="AE146" t="str">
            <v/>
          </cell>
          <cell r="AF146" t="str">
            <v/>
          </cell>
          <cell r="AG146" t="str">
            <v/>
          </cell>
          <cell r="AL146" t="str">
            <v/>
          </cell>
          <cell r="AM146" t="str">
            <v/>
          </cell>
          <cell r="AN146" t="str">
            <v/>
          </cell>
          <cell r="AO146" t="str">
            <v/>
          </cell>
        </row>
        <row r="151">
          <cell r="V151" t="str">
            <v>Spell Count</v>
          </cell>
          <cell r="W151" t="str">
            <v>Random</v>
          </cell>
          <cell r="X151" t="str">
            <v>Rank</v>
          </cell>
          <cell r="Y151" t="str">
            <v>ALL THIRD</v>
          </cell>
          <cell r="AD151" t="str">
            <v>Spell Count</v>
          </cell>
          <cell r="AE151" t="str">
            <v>Random</v>
          </cell>
          <cell r="AF151" t="str">
            <v>Rank</v>
          </cell>
          <cell r="AG151" t="str">
            <v>ALL FOURTH</v>
          </cell>
          <cell r="AL151" t="str">
            <v>Spell Count</v>
          </cell>
          <cell r="AM151" t="str">
            <v>Random</v>
          </cell>
          <cell r="AN151" t="str">
            <v>Rank</v>
          </cell>
          <cell r="AO151" t="str">
            <v>ALL FIFTH</v>
          </cell>
        </row>
        <row r="153">
          <cell r="J153" t="str">
            <v>Ensnaring Strike</v>
          </cell>
          <cell r="K153">
            <v>1</v>
          </cell>
          <cell r="L153" t="str">
            <v>Animal Messenger</v>
          </cell>
          <cell r="M153">
            <v>13</v>
          </cell>
          <cell r="N153">
            <v>1</v>
          </cell>
          <cell r="R153" t="str">
            <v>Protection From Poison</v>
          </cell>
          <cell r="V153">
            <v>1</v>
          </cell>
          <cell r="W153">
            <v>0.13134007426796601</v>
          </cell>
          <cell r="X153">
            <v>10</v>
          </cell>
          <cell r="Y153" t="str">
            <v>Conjure Animals</v>
          </cell>
          <cell r="Z153" t="str">
            <v>Water Breathing</v>
          </cell>
          <cell r="AD153">
            <v>1</v>
          </cell>
          <cell r="AE153">
            <v>0.60506011796570291</v>
          </cell>
          <cell r="AF153">
            <v>3</v>
          </cell>
          <cell r="AG153" t="str">
            <v>Conjure Woodland Beings</v>
          </cell>
          <cell r="AH153" t="str">
            <v>Locate Creature</v>
          </cell>
          <cell r="AL153">
            <v>1</v>
          </cell>
          <cell r="AM153">
            <v>0.16261840224048929</v>
          </cell>
          <cell r="AN153">
            <v>4</v>
          </cell>
          <cell r="AO153" t="str">
            <v>Commune with Nature</v>
          </cell>
          <cell r="AP153" t="str">
            <v>Conjure Volley</v>
          </cell>
        </row>
        <row r="154">
          <cell r="J154" t="str">
            <v>Hunter's Mark</v>
          </cell>
          <cell r="K154">
            <v>2</v>
          </cell>
          <cell r="L154" t="str">
            <v>Barkskin</v>
          </cell>
          <cell r="N154">
            <v>2</v>
          </cell>
          <cell r="R154" t="str">
            <v>Spike Growth</v>
          </cell>
          <cell r="V154">
            <v>2</v>
          </cell>
          <cell r="W154">
            <v>0.76891290659859179</v>
          </cell>
          <cell r="X154">
            <v>4</v>
          </cell>
          <cell r="Y154" t="str">
            <v>Conjure Barrage</v>
          </cell>
          <cell r="Z154" t="str">
            <v>Flame Arrows</v>
          </cell>
          <cell r="AD154">
            <v>2</v>
          </cell>
          <cell r="AE154">
            <v>0.78309727435172582</v>
          </cell>
          <cell r="AF154">
            <v>2</v>
          </cell>
          <cell r="AG154" t="str">
            <v>Freedom of Movement</v>
          </cell>
          <cell r="AH154" t="str">
            <v>Freedom of Movement</v>
          </cell>
          <cell r="AL154">
            <v>2</v>
          </cell>
          <cell r="AM154">
            <v>0.79637113047725716</v>
          </cell>
          <cell r="AN154">
            <v>1</v>
          </cell>
          <cell r="AO154" t="str">
            <v>Conjure Volley</v>
          </cell>
          <cell r="AP154" t="str">
            <v>Freedom of Movement</v>
          </cell>
        </row>
        <row r="155">
          <cell r="J155" t="str">
            <v>Jump</v>
          </cell>
          <cell r="K155">
            <v>3</v>
          </cell>
          <cell r="L155" t="str">
            <v>Beast Sense</v>
          </cell>
          <cell r="N155">
            <v>3</v>
          </cell>
          <cell r="R155" t="str">
            <v>Locate Object</v>
          </cell>
          <cell r="V155">
            <v>3</v>
          </cell>
          <cell r="W155">
            <v>0.38020089325232942</v>
          </cell>
          <cell r="X155">
            <v>7</v>
          </cell>
          <cell r="Y155" t="str">
            <v>Daylight</v>
          </cell>
          <cell r="Z155" t="str">
            <v>Nondetection</v>
          </cell>
          <cell r="AD155">
            <v>3</v>
          </cell>
          <cell r="AE155">
            <v>0.1412093111714029</v>
          </cell>
          <cell r="AF155">
            <v>5</v>
          </cell>
          <cell r="AG155" t="str">
            <v>Grasping Wine</v>
          </cell>
          <cell r="AH155" t="str">
            <v>Conjure Woodland Beings</v>
          </cell>
          <cell r="AL155">
            <v>3</v>
          </cell>
          <cell r="AM155">
            <v>0.56758792954322013</v>
          </cell>
          <cell r="AN155">
            <v>2</v>
          </cell>
          <cell r="AO155" t="str">
            <v>Swift Quiver</v>
          </cell>
        </row>
        <row r="156">
          <cell r="J156" t="str">
            <v>Detect Poison and Disease</v>
          </cell>
          <cell r="K156">
            <v>4</v>
          </cell>
          <cell r="L156" t="str">
            <v>Cordon of Arrows</v>
          </cell>
          <cell r="N156">
            <v>4</v>
          </cell>
          <cell r="V156">
            <v>4</v>
          </cell>
          <cell r="W156">
            <v>0.92045386909302751</v>
          </cell>
          <cell r="X156">
            <v>2</v>
          </cell>
          <cell r="Y156" t="str">
            <v>Flame Arrows</v>
          </cell>
          <cell r="AD156">
            <v>4</v>
          </cell>
          <cell r="AE156">
            <v>0.96145404105918786</v>
          </cell>
          <cell r="AF156">
            <v>1</v>
          </cell>
          <cell r="AG156" t="str">
            <v>Locate Creature</v>
          </cell>
          <cell r="AL156">
            <v>4</v>
          </cell>
          <cell r="AM156">
            <v>0.28299711438241693</v>
          </cell>
          <cell r="AN156">
            <v>3</v>
          </cell>
          <cell r="AO156" t="str">
            <v>Tree Stride</v>
          </cell>
        </row>
        <row r="157">
          <cell r="K157">
            <v>5</v>
          </cell>
          <cell r="L157" t="str">
            <v>Darkvision</v>
          </cell>
          <cell r="N157">
            <v>5</v>
          </cell>
          <cell r="V157">
            <v>5</v>
          </cell>
          <cell r="W157">
            <v>0.3380070576629679</v>
          </cell>
          <cell r="X157">
            <v>8</v>
          </cell>
          <cell r="Y157" t="str">
            <v>Lightning Arrow</v>
          </cell>
          <cell r="AD157">
            <v>5</v>
          </cell>
          <cell r="AE157">
            <v>0.32206517960190872</v>
          </cell>
          <cell r="AF157">
            <v>4</v>
          </cell>
          <cell r="AG157" t="str">
            <v>Stoneskin</v>
          </cell>
          <cell r="AL157" t="str">
            <v/>
          </cell>
          <cell r="AM157" t="str">
            <v/>
          </cell>
          <cell r="AN157" t="str">
            <v/>
          </cell>
        </row>
        <row r="158">
          <cell r="K158">
            <v>6</v>
          </cell>
          <cell r="L158" t="str">
            <v>Find Traps</v>
          </cell>
          <cell r="N158">
            <v>6</v>
          </cell>
          <cell r="V158">
            <v>6</v>
          </cell>
          <cell r="W158">
            <v>0.90180907322644499</v>
          </cell>
          <cell r="X158">
            <v>3</v>
          </cell>
          <cell r="Y158" t="str">
            <v>Nondetection</v>
          </cell>
          <cell r="AD158" t="str">
            <v/>
          </cell>
          <cell r="AE158" t="str">
            <v/>
          </cell>
          <cell r="AF158" t="str">
            <v/>
          </cell>
          <cell r="AL158" t="str">
            <v/>
          </cell>
          <cell r="AM158" t="str">
            <v/>
          </cell>
          <cell r="AN158" t="str">
            <v/>
          </cell>
        </row>
        <row r="159">
          <cell r="K159">
            <v>7</v>
          </cell>
          <cell r="L159" t="str">
            <v>Lesser Restoration</v>
          </cell>
          <cell r="N159">
            <v>7</v>
          </cell>
          <cell r="V159">
            <v>7</v>
          </cell>
          <cell r="W159">
            <v>9.8146727287051205E-2</v>
          </cell>
          <cell r="X159">
            <v>11</v>
          </cell>
          <cell r="Y159" t="str">
            <v>Plant Growth</v>
          </cell>
          <cell r="AD159" t="str">
            <v/>
          </cell>
          <cell r="AE159" t="str">
            <v/>
          </cell>
          <cell r="AF159" t="str">
            <v/>
          </cell>
          <cell r="AL159" t="str">
            <v/>
          </cell>
          <cell r="AM159" t="str">
            <v/>
          </cell>
          <cell r="AN159" t="str">
            <v/>
          </cell>
        </row>
        <row r="160">
          <cell r="K160">
            <v>8</v>
          </cell>
          <cell r="L160" t="str">
            <v>Locate Animals or Plants</v>
          </cell>
          <cell r="N160">
            <v>8</v>
          </cell>
          <cell r="V160">
            <v>8</v>
          </cell>
          <cell r="W160">
            <v>0.43631812420082272</v>
          </cell>
          <cell r="X160">
            <v>5</v>
          </cell>
          <cell r="Y160" t="str">
            <v>Protection From Energy</v>
          </cell>
          <cell r="AD160" t="str">
            <v/>
          </cell>
          <cell r="AE160" t="str">
            <v/>
          </cell>
          <cell r="AF160" t="str">
            <v/>
          </cell>
          <cell r="AL160" t="str">
            <v/>
          </cell>
          <cell r="AM160" t="str">
            <v/>
          </cell>
          <cell r="AN160" t="str">
            <v/>
          </cell>
        </row>
        <row r="161">
          <cell r="K161">
            <v>9</v>
          </cell>
          <cell r="L161" t="str">
            <v>Locate Object</v>
          </cell>
          <cell r="N161">
            <v>9</v>
          </cell>
          <cell r="V161">
            <v>9</v>
          </cell>
          <cell r="W161">
            <v>0.41977688755984843</v>
          </cell>
          <cell r="X161">
            <v>6</v>
          </cell>
          <cell r="Y161" t="str">
            <v>Speak with Plants</v>
          </cell>
          <cell r="AD161" t="str">
            <v/>
          </cell>
          <cell r="AE161" t="str">
            <v/>
          </cell>
          <cell r="AF161" t="str">
            <v/>
          </cell>
          <cell r="AL161" t="str">
            <v/>
          </cell>
          <cell r="AM161" t="str">
            <v/>
          </cell>
          <cell r="AN161" t="str">
            <v/>
          </cell>
        </row>
        <row r="162">
          <cell r="K162">
            <v>10</v>
          </cell>
          <cell r="L162" t="str">
            <v>Pass Without Trace</v>
          </cell>
          <cell r="N162">
            <v>10</v>
          </cell>
          <cell r="V162">
            <v>10</v>
          </cell>
          <cell r="W162">
            <v>0.92089701112991518</v>
          </cell>
          <cell r="X162">
            <v>1</v>
          </cell>
          <cell r="Y162" t="str">
            <v>Water Breathing</v>
          </cell>
          <cell r="AD162" t="str">
            <v/>
          </cell>
          <cell r="AE162" t="str">
            <v/>
          </cell>
          <cell r="AF162" t="str">
            <v/>
          </cell>
          <cell r="AL162" t="str">
            <v/>
          </cell>
          <cell r="AM162" t="str">
            <v/>
          </cell>
          <cell r="AN162" t="str">
            <v/>
          </cell>
        </row>
        <row r="163">
          <cell r="K163">
            <v>11</v>
          </cell>
          <cell r="L163" t="str">
            <v>Protection From Poison</v>
          </cell>
          <cell r="N163">
            <v>11</v>
          </cell>
          <cell r="V163">
            <v>11</v>
          </cell>
          <cell r="W163">
            <v>0.20411980433221277</v>
          </cell>
          <cell r="X163">
            <v>9</v>
          </cell>
          <cell r="Y163" t="str">
            <v>Water Walk</v>
          </cell>
          <cell r="AD163" t="str">
            <v/>
          </cell>
          <cell r="AE163" t="str">
            <v/>
          </cell>
          <cell r="AF163" t="str">
            <v/>
          </cell>
          <cell r="AL163" t="str">
            <v/>
          </cell>
          <cell r="AM163" t="str">
            <v/>
          </cell>
          <cell r="AN163" t="str">
            <v/>
          </cell>
        </row>
        <row r="164">
          <cell r="K164">
            <v>12</v>
          </cell>
          <cell r="L164" t="str">
            <v>Silence</v>
          </cell>
          <cell r="N164">
            <v>12</v>
          </cell>
          <cell r="V164">
            <v>12</v>
          </cell>
          <cell r="W164">
            <v>6.9746363380314147E-3</v>
          </cell>
          <cell r="X164">
            <v>12</v>
          </cell>
          <cell r="Y164" t="str">
            <v>Wind Wall</v>
          </cell>
          <cell r="AD164" t="str">
            <v/>
          </cell>
          <cell r="AE164" t="str">
            <v/>
          </cell>
          <cell r="AF164" t="str">
            <v/>
          </cell>
          <cell r="AL164" t="str">
            <v/>
          </cell>
          <cell r="AM164" t="str">
            <v/>
          </cell>
          <cell r="AN164" t="str">
            <v/>
          </cell>
        </row>
        <row r="165">
          <cell r="K165">
            <v>13</v>
          </cell>
          <cell r="L165" t="str">
            <v>Spike Growth</v>
          </cell>
          <cell r="N165">
            <v>13</v>
          </cell>
          <cell r="V165" t="str">
            <v/>
          </cell>
          <cell r="W165" t="str">
            <v/>
          </cell>
          <cell r="X165" t="str">
            <v/>
          </cell>
          <cell r="AD165" t="str">
            <v/>
          </cell>
          <cell r="AE165" t="str">
            <v/>
          </cell>
          <cell r="AF165" t="str">
            <v/>
          </cell>
        </row>
        <row r="166">
          <cell r="V166" t="str">
            <v/>
          </cell>
        </row>
        <row r="167">
          <cell r="V167" t="str">
            <v/>
          </cell>
          <cell r="W167" t="str">
            <v/>
          </cell>
          <cell r="X167" t="str">
            <v/>
          </cell>
        </row>
        <row r="172">
          <cell r="V172" t="str">
            <v>Spell Count</v>
          </cell>
          <cell r="W172" t="str">
            <v>Random</v>
          </cell>
          <cell r="X172" t="str">
            <v>Rank</v>
          </cell>
          <cell r="Y172" t="str">
            <v>SECOND</v>
          </cell>
        </row>
        <row r="174">
          <cell r="J174" t="str">
            <v>Mage Hand</v>
          </cell>
          <cell r="R174" t="str">
            <v>Disguise Self</v>
          </cell>
          <cell r="V174">
            <v>1</v>
          </cell>
          <cell r="W174">
            <v>0.43885306507271216</v>
          </cell>
          <cell r="X174">
            <v>17</v>
          </cell>
          <cell r="Y174" t="str">
            <v>Alter Self</v>
          </cell>
          <cell r="Z174" t="str">
            <v>Magic Weapon</v>
          </cell>
          <cell r="AH174" t="str">
            <v>Fear</v>
          </cell>
          <cell r="AP174" t="str">
            <v>Control Water</v>
          </cell>
        </row>
        <row r="175">
          <cell r="J175" t="str">
            <v>Minor Illusion</v>
          </cell>
          <cell r="R175" t="str">
            <v>Chromatic Orb</v>
          </cell>
          <cell r="V175">
            <v>2</v>
          </cell>
          <cell r="W175">
            <v>0.18554407679690332</v>
          </cell>
          <cell r="X175">
            <v>29</v>
          </cell>
          <cell r="Y175" t="str">
            <v>Arcane Lock</v>
          </cell>
          <cell r="Z175" t="str">
            <v>Nystul's Magic Aura</v>
          </cell>
          <cell r="AH175" t="str">
            <v>Protection From Energy</v>
          </cell>
        </row>
        <row r="176">
          <cell r="J176" t="str">
            <v>Dancing Lights</v>
          </cell>
          <cell r="R176" t="str">
            <v>Detect Magic</v>
          </cell>
          <cell r="V176">
            <v>3</v>
          </cell>
          <cell r="W176">
            <v>0.2134357987609431</v>
          </cell>
          <cell r="X176">
            <v>27</v>
          </cell>
          <cell r="Y176" t="str">
            <v>Blindness/Deafness</v>
          </cell>
          <cell r="Z176" t="str">
            <v>Darkness</v>
          </cell>
          <cell r="AH176" t="str">
            <v>Blink</v>
          </cell>
        </row>
        <row r="177">
          <cell r="J177" t="str">
            <v>Light</v>
          </cell>
          <cell r="R177" t="str">
            <v>Tasha's Hideous Laughter</v>
          </cell>
        </row>
        <row r="215">
          <cell r="G215" t="str">
            <v>Message</v>
          </cell>
          <cell r="L215" t="str">
            <v>Witch Bolt</v>
          </cell>
          <cell r="Q215" t="str">
            <v>Web</v>
          </cell>
          <cell r="V215" t="str">
            <v>Dispel Magic</v>
          </cell>
          <cell r="AA215" t="str">
            <v>Ice Storm</v>
          </cell>
          <cell r="AF215" t="str">
            <v>Wall of Stone</v>
          </cell>
          <cell r="AK215" t="str">
            <v>Chain Lightning</v>
          </cell>
          <cell r="AP215" t="str">
            <v>Prismatic Spray</v>
          </cell>
          <cell r="AU215" t="str">
            <v>Earthquake</v>
          </cell>
          <cell r="AZ215" t="str">
            <v>Meteor Swarm</v>
          </cell>
        </row>
        <row r="216">
          <cell r="G216" t="str">
            <v>Friends</v>
          </cell>
          <cell r="L216" t="str">
            <v>Burning Hands</v>
          </cell>
          <cell r="Q216" t="str">
            <v>Levitate</v>
          </cell>
          <cell r="V216" t="str">
            <v>Tongues</v>
          </cell>
          <cell r="AA216" t="str">
            <v>Stoneskin</v>
          </cell>
          <cell r="AF216" t="str">
            <v>Animate Object</v>
          </cell>
          <cell r="AK216" t="str">
            <v>Sunbeam</v>
          </cell>
          <cell r="AP216" t="str">
            <v>Fire Storm</v>
          </cell>
        </row>
        <row r="217">
          <cell r="G217" t="str">
            <v>True Strike</v>
          </cell>
          <cell r="L217" t="str">
            <v>Sleep</v>
          </cell>
          <cell r="Q217" t="str">
            <v>Blur</v>
          </cell>
          <cell r="V217" t="str">
            <v>Stinking Cloud</v>
          </cell>
          <cell r="AA217" t="str">
            <v>Dominate Beast</v>
          </cell>
          <cell r="AF217" t="str">
            <v>Cloudkill</v>
          </cell>
        </row>
        <row r="218">
          <cell r="G218" t="str">
            <v>Mendin</v>
          </cell>
        </row>
        <row r="219">
          <cell r="G219" t="str">
            <v>Light</v>
          </cell>
        </row>
        <row r="220">
          <cell r="G220" t="str">
            <v>Blade Ward</v>
          </cell>
        </row>
        <row r="223">
          <cell r="F223" t="str">
            <v>Mendin</v>
          </cell>
          <cell r="G223" t="str">
            <v>Poison Spray</v>
          </cell>
          <cell r="H223">
            <v>9</v>
          </cell>
          <cell r="I223">
            <v>0.51831590018263007</v>
          </cell>
          <cell r="K223" t="str">
            <v>False Life</v>
          </cell>
          <cell r="L223" t="str">
            <v>Expeditious Retreat</v>
          </cell>
          <cell r="M223">
            <v>9</v>
          </cell>
          <cell r="N223">
            <v>0.73387056058639333</v>
          </cell>
          <cell r="P223" t="str">
            <v>Enhance Ability</v>
          </cell>
          <cell r="Q223" t="str">
            <v>Enhance Ability</v>
          </cell>
          <cell r="R223">
            <v>9</v>
          </cell>
          <cell r="S223">
            <v>0.87552097567148268</v>
          </cell>
          <cell r="X223">
            <v>0.83788657009443457</v>
          </cell>
          <cell r="Y223">
            <v>2</v>
          </cell>
          <cell r="Z223" t="str">
            <v>Stoneskin</v>
          </cell>
          <cell r="AA223" t="str">
            <v>Blight</v>
          </cell>
          <cell r="AF223" t="str">
            <v>Dominate Person</v>
          </cell>
          <cell r="AG223">
            <v>9</v>
          </cell>
          <cell r="AH223">
            <v>0.94848346637215919</v>
          </cell>
          <cell r="AI223">
            <v>2</v>
          </cell>
          <cell r="AN223" t="str">
            <v/>
          </cell>
        </row>
        <row r="224">
          <cell r="F224" t="str">
            <v>Message</v>
          </cell>
          <cell r="G224" t="str">
            <v>Ray of Frost</v>
          </cell>
          <cell r="H224">
            <v>10</v>
          </cell>
          <cell r="I224">
            <v>0.24679361107694708</v>
          </cell>
          <cell r="K224" t="str">
            <v>Feather Fall</v>
          </cell>
          <cell r="L224" t="str">
            <v>False Life</v>
          </cell>
          <cell r="M224">
            <v>10</v>
          </cell>
          <cell r="N224">
            <v>0.5154211483579515</v>
          </cell>
          <cell r="P224" t="str">
            <v>Enlarge/Reduce</v>
          </cell>
          <cell r="Q224" t="str">
            <v>Alter Self</v>
          </cell>
          <cell r="R224">
            <v>10</v>
          </cell>
          <cell r="S224">
            <v>0.1152000170496037</v>
          </cell>
          <cell r="X224">
            <v>0.64758854920128284</v>
          </cell>
          <cell r="Y224">
            <v>4</v>
          </cell>
          <cell r="Z224" t="str">
            <v>Wall of Fire</v>
          </cell>
          <cell r="AA224" t="str">
            <v>Polymorph</v>
          </cell>
          <cell r="AF224" t="str">
            <v>Seeming</v>
          </cell>
          <cell r="AG224">
            <v>10</v>
          </cell>
          <cell r="AH224">
            <v>0.10936937029490312</v>
          </cell>
          <cell r="AI224">
            <v>8</v>
          </cell>
          <cell r="AN224" t="str">
            <v/>
          </cell>
        </row>
        <row r="225">
          <cell r="F225" t="str">
            <v>Minor Illusion</v>
          </cell>
          <cell r="G225" t="str">
            <v>Fire Bolt</v>
          </cell>
          <cell r="H225">
            <v>11</v>
          </cell>
          <cell r="I225">
            <v>0.27739298816915747</v>
          </cell>
          <cell r="K225" t="str">
            <v>Fog Cloud</v>
          </cell>
          <cell r="L225" t="str">
            <v>Mage Armor</v>
          </cell>
          <cell r="M225">
            <v>11</v>
          </cell>
          <cell r="N225">
            <v>0.16365983785612481</v>
          </cell>
          <cell r="P225" t="str">
            <v>Gust of Wind</v>
          </cell>
          <cell r="Q225" t="str">
            <v>Suggestion</v>
          </cell>
          <cell r="R225">
            <v>11</v>
          </cell>
          <cell r="S225">
            <v>0.88244070501301675</v>
          </cell>
          <cell r="X225" t="str">
            <v/>
          </cell>
          <cell r="Y225" t="str">
            <v/>
          </cell>
          <cell r="AF225" t="str">
            <v>Creation</v>
          </cell>
          <cell r="AH225" t="str">
            <v/>
          </cell>
          <cell r="AI225" t="str">
            <v/>
          </cell>
          <cell r="AN225" t="str">
            <v/>
          </cell>
        </row>
        <row r="226">
          <cell r="F226" t="str">
            <v>Poison Spray</v>
          </cell>
          <cell r="G226" t="str">
            <v>Minor Illusion</v>
          </cell>
          <cell r="H226">
            <v>12</v>
          </cell>
          <cell r="I226">
            <v>0.32074869136292972</v>
          </cell>
          <cell r="K226" t="str">
            <v>Jump</v>
          </cell>
          <cell r="L226" t="str">
            <v>Jump</v>
          </cell>
          <cell r="M226">
            <v>12</v>
          </cell>
          <cell r="N226">
            <v>0.12535485046347172</v>
          </cell>
          <cell r="P226" t="str">
            <v>Hold Person</v>
          </cell>
          <cell r="Q226" t="str">
            <v>Enlarge/Reduce</v>
          </cell>
          <cell r="R226">
            <v>12</v>
          </cell>
          <cell r="S226">
            <v>0.85153334552578552</v>
          </cell>
          <cell r="X226" t="str">
            <v/>
          </cell>
          <cell r="Y226" t="str">
            <v/>
          </cell>
          <cell r="AH226" t="str">
            <v/>
          </cell>
          <cell r="AI226" t="str">
            <v/>
          </cell>
          <cell r="AN226" t="str">
            <v/>
          </cell>
        </row>
        <row r="227">
          <cell r="F227" t="str">
            <v>Prestidigitation</v>
          </cell>
          <cell r="G227" t="str">
            <v>Dancing Lights</v>
          </cell>
          <cell r="H227">
            <v>13</v>
          </cell>
          <cell r="I227">
            <v>0.44134560768511266</v>
          </cell>
          <cell r="K227" t="str">
            <v>Mage Armor</v>
          </cell>
          <cell r="L227" t="str">
            <v>Comprehend Languages</v>
          </cell>
          <cell r="M227">
            <v>13</v>
          </cell>
          <cell r="N227">
            <v>0.75860111960688081</v>
          </cell>
          <cell r="P227" t="str">
            <v>Invisibility</v>
          </cell>
          <cell r="Q227" t="str">
            <v>Scorching Ray</v>
          </cell>
          <cell r="R227">
            <v>13</v>
          </cell>
          <cell r="S227">
            <v>0.26312175828681528</v>
          </cell>
          <cell r="X227" t="str">
            <v/>
          </cell>
          <cell r="Y227" t="str">
            <v/>
          </cell>
          <cell r="AH227" t="str">
            <v/>
          </cell>
          <cell r="AI227" t="str">
            <v/>
          </cell>
          <cell r="AN227" t="str">
            <v/>
          </cell>
        </row>
        <row r="228">
          <cell r="F228" t="str">
            <v>Ray of Frost</v>
          </cell>
          <cell r="G228" t="str">
            <v>Acid Splash</v>
          </cell>
          <cell r="H228">
            <v>14</v>
          </cell>
          <cell r="I228">
            <v>0.63045195647487273</v>
          </cell>
          <cell r="K228" t="str">
            <v>Magic Missile</v>
          </cell>
          <cell r="L228" t="str">
            <v>Disguise Self</v>
          </cell>
          <cell r="M228">
            <v>14</v>
          </cell>
          <cell r="N228">
            <v>0.20016266298902419</v>
          </cell>
          <cell r="P228" t="str">
            <v>Knock</v>
          </cell>
          <cell r="Q228" t="str">
            <v>Darkvision</v>
          </cell>
          <cell r="R228">
            <v>14</v>
          </cell>
          <cell r="S228">
            <v>1.1938412140055643E-4</v>
          </cell>
          <cell r="X228" t="str">
            <v/>
          </cell>
          <cell r="Y228" t="str">
            <v/>
          </cell>
          <cell r="AH228" t="str">
            <v/>
          </cell>
          <cell r="AI228" t="str">
            <v/>
          </cell>
          <cell r="AN228" t="str">
            <v/>
          </cell>
        </row>
        <row r="229">
          <cell r="F229" t="str">
            <v>Shocking Grasp</v>
          </cell>
          <cell r="G229" t="str">
            <v>Chill Touch</v>
          </cell>
          <cell r="H229">
            <v>15</v>
          </cell>
          <cell r="I229">
            <v>0.241275219344387</v>
          </cell>
          <cell r="K229" t="str">
            <v>Ray of Sickness</v>
          </cell>
          <cell r="L229" t="str">
            <v>Fog Cloud</v>
          </cell>
          <cell r="M229">
            <v>15</v>
          </cell>
          <cell r="N229">
            <v>0.94072831149094616</v>
          </cell>
          <cell r="P229" t="str">
            <v>Levitate</v>
          </cell>
          <cell r="Q229" t="str">
            <v>Spider Climb</v>
          </cell>
          <cell r="R229">
            <v>15</v>
          </cell>
          <cell r="S229">
            <v>0.653600756032515</v>
          </cell>
          <cell r="X229" t="str">
            <v/>
          </cell>
          <cell r="Y229" t="str">
            <v/>
          </cell>
          <cell r="AH229" t="str">
            <v/>
          </cell>
          <cell r="AI229" t="str">
            <v/>
          </cell>
          <cell r="AN229" t="str">
            <v/>
          </cell>
        </row>
        <row r="230">
          <cell r="F230" t="str">
            <v>True Strike</v>
          </cell>
          <cell r="G230" t="str">
            <v>Prestidigitation</v>
          </cell>
          <cell r="H230">
            <v>16</v>
          </cell>
          <cell r="I230">
            <v>0.20495295390280732</v>
          </cell>
          <cell r="K230" t="str">
            <v>Shield</v>
          </cell>
          <cell r="L230" t="str">
            <v>Feather Fall</v>
          </cell>
          <cell r="M230">
            <v>16</v>
          </cell>
          <cell r="N230">
            <v>0.77900793105947741</v>
          </cell>
          <cell r="P230" t="str">
            <v>Mirror Image</v>
          </cell>
          <cell r="Q230" t="str">
            <v>Cloud of Daggers</v>
          </cell>
          <cell r="R230">
            <v>16</v>
          </cell>
          <cell r="S230">
            <v>0.25792439220144892</v>
          </cell>
          <cell r="X230" t="str">
            <v/>
          </cell>
          <cell r="Y230" t="str">
            <v/>
          </cell>
          <cell r="AH230" t="str">
            <v/>
          </cell>
          <cell r="AI230" t="str">
            <v/>
          </cell>
          <cell r="AN230" t="str">
            <v/>
          </cell>
        </row>
        <row r="231">
          <cell r="H231">
            <v>17</v>
          </cell>
          <cell r="I231">
            <v>0.84005506566255206</v>
          </cell>
          <cell r="K231" t="str">
            <v>Silent Image</v>
          </cell>
          <cell r="L231" t="str">
            <v>Ray of Sickness</v>
          </cell>
          <cell r="M231">
            <v>17</v>
          </cell>
          <cell r="N231">
            <v>0.77562909893921606</v>
          </cell>
          <cell r="P231" t="str">
            <v>Misty Step</v>
          </cell>
          <cell r="Q231" t="str">
            <v>Shatter</v>
          </cell>
          <cell r="R231">
            <v>17</v>
          </cell>
          <cell r="S231">
            <v>0.90210431078494646</v>
          </cell>
          <cell r="X231" t="str">
            <v/>
          </cell>
          <cell r="Y231" t="str">
            <v/>
          </cell>
          <cell r="AH231" t="str">
            <v/>
          </cell>
          <cell r="AI231" t="str">
            <v/>
          </cell>
          <cell r="AN231" t="str">
            <v/>
          </cell>
        </row>
        <row r="232">
          <cell r="H232">
            <v>18</v>
          </cell>
          <cell r="I232">
            <v>0.86941492751728522</v>
          </cell>
          <cell r="K232" t="str">
            <v>Sleep</v>
          </cell>
          <cell r="L232" t="str">
            <v>Shield</v>
          </cell>
          <cell r="M232">
            <v>18</v>
          </cell>
          <cell r="N232">
            <v>8.2310321727787961E-2</v>
          </cell>
          <cell r="P232" t="str">
            <v>Phantasmal Force</v>
          </cell>
          <cell r="Q232" t="str">
            <v>Crown of Madness</v>
          </cell>
          <cell r="R232">
            <v>18</v>
          </cell>
          <cell r="S232">
            <v>0.93689229193779588</v>
          </cell>
          <cell r="X232" t="str">
            <v/>
          </cell>
          <cell r="Y232" t="str">
            <v/>
          </cell>
          <cell r="AH232" t="str">
            <v/>
          </cell>
          <cell r="AI232" t="str">
            <v/>
          </cell>
          <cell r="AN232" t="str">
            <v/>
          </cell>
        </row>
        <row r="233">
          <cell r="H233">
            <v>19</v>
          </cell>
          <cell r="I233">
            <v>0.16163487627166884</v>
          </cell>
          <cell r="K233" t="str">
            <v>Thunderwave</v>
          </cell>
          <cell r="L233" t="str">
            <v>Thunderwave</v>
          </cell>
          <cell r="M233">
            <v>19</v>
          </cell>
          <cell r="N233">
            <v>0.47142789473871949</v>
          </cell>
          <cell r="P233" t="str">
            <v>Scorching Ray</v>
          </cell>
          <cell r="Q233" t="str">
            <v>Knock</v>
          </cell>
          <cell r="R233">
            <v>19</v>
          </cell>
          <cell r="S233">
            <v>0.2900314509577111</v>
          </cell>
          <cell r="X233" t="str">
            <v/>
          </cell>
          <cell r="Y233" t="str">
            <v/>
          </cell>
          <cell r="AN233" t="str">
            <v/>
          </cell>
        </row>
        <row r="234">
          <cell r="H234">
            <v>20</v>
          </cell>
          <cell r="I234">
            <v>0.94374365868242005</v>
          </cell>
          <cell r="K234" t="str">
            <v>Witch Bolt</v>
          </cell>
          <cell r="L234" t="str">
            <v>Charm Person</v>
          </cell>
          <cell r="M234">
            <v>20</v>
          </cell>
          <cell r="N234">
            <v>1.4328215777960063E-3</v>
          </cell>
          <cell r="P234" t="str">
            <v>See Invisibility</v>
          </cell>
          <cell r="Q234" t="str">
            <v>Gust of Wind</v>
          </cell>
          <cell r="R234">
            <v>20</v>
          </cell>
          <cell r="S234">
            <v>0.12660420292267693</v>
          </cell>
          <cell r="X234" t="str">
            <v/>
          </cell>
          <cell r="Y234" t="str">
            <v/>
          </cell>
        </row>
        <row r="235">
          <cell r="H235" t="str">
            <v/>
          </cell>
          <cell r="I235" t="str">
            <v/>
          </cell>
          <cell r="M235">
            <v>21</v>
          </cell>
          <cell r="N235">
            <v>0.31514046893572056</v>
          </cell>
          <cell r="P235" t="str">
            <v>Shatter</v>
          </cell>
          <cell r="Q235" t="str">
            <v>Hold Person</v>
          </cell>
          <cell r="S235" t="str">
            <v/>
          </cell>
          <cell r="X235" t="str">
            <v/>
          </cell>
          <cell r="Y235" t="str">
            <v/>
          </cell>
        </row>
        <row r="236">
          <cell r="H236" t="str">
            <v/>
          </cell>
          <cell r="I236" t="str">
            <v/>
          </cell>
          <cell r="M236">
            <v>22</v>
          </cell>
          <cell r="N236">
            <v>0.41101089931527468</v>
          </cell>
          <cell r="P236" t="str">
            <v>Spider Climb</v>
          </cell>
          <cell r="Q236" t="str">
            <v>Phantasmal Force</v>
          </cell>
          <cell r="S236" t="str">
            <v/>
          </cell>
          <cell r="X236" t="str">
            <v/>
          </cell>
          <cell r="Y236" t="str">
            <v/>
          </cell>
        </row>
        <row r="237">
          <cell r="H237" t="str">
            <v/>
          </cell>
          <cell r="I237" t="str">
            <v/>
          </cell>
          <cell r="M237">
            <v>23</v>
          </cell>
          <cell r="N237">
            <v>0.69873077055562538</v>
          </cell>
          <cell r="P237" t="str">
            <v>Suggestion</v>
          </cell>
          <cell r="Q237" t="str">
            <v>Darkness</v>
          </cell>
          <cell r="S237" t="str">
            <v/>
          </cell>
          <cell r="X237" t="str">
            <v/>
          </cell>
          <cell r="Y237" t="str">
            <v/>
          </cell>
        </row>
        <row r="238">
          <cell r="H238" t="str">
            <v/>
          </cell>
          <cell r="I238" t="str">
            <v/>
          </cell>
          <cell r="M238">
            <v>24</v>
          </cell>
          <cell r="N238">
            <v>0.95943294006285196</v>
          </cell>
          <cell r="P238" t="str">
            <v>Web</v>
          </cell>
          <cell r="Q238" t="str">
            <v>See Invisibility</v>
          </cell>
          <cell r="S238" t="str">
            <v/>
          </cell>
          <cell r="X238" t="str">
            <v/>
          </cell>
          <cell r="Y238" t="str">
            <v/>
          </cell>
        </row>
        <row r="239">
          <cell r="M239" t="str">
            <v/>
          </cell>
          <cell r="N239" t="str">
            <v/>
          </cell>
          <cell r="R239" t="str">
            <v/>
          </cell>
          <cell r="S239" t="str">
            <v/>
          </cell>
          <cell r="X239" t="str">
            <v/>
          </cell>
          <cell r="Y239" t="str">
            <v/>
          </cell>
        </row>
        <row r="246">
          <cell r="G246" t="str">
            <v>Prestidigitation</v>
          </cell>
          <cell r="H246">
            <v>1</v>
          </cell>
          <cell r="I246">
            <v>0.59252295915124942</v>
          </cell>
          <cell r="J246">
            <v>5</v>
          </cell>
          <cell r="K246" t="str">
            <v>Armor of Agathys</v>
          </cell>
          <cell r="L246" t="str">
            <v>Comprehend Languages</v>
          </cell>
          <cell r="O246">
            <v>7</v>
          </cell>
          <cell r="P246" t="str">
            <v>Cloud of Daggers</v>
          </cell>
          <cell r="Q246" t="str">
            <v>Darkness</v>
          </cell>
          <cell r="T246">
            <v>1</v>
          </cell>
          <cell r="U246" t="str">
            <v>Counterspell</v>
          </cell>
          <cell r="V246" t="str">
            <v>Dispel Magic</v>
          </cell>
          <cell r="Y246">
            <v>1</v>
          </cell>
          <cell r="Z246" t="str">
            <v>Banishment</v>
          </cell>
          <cell r="AA246" t="str">
            <v/>
          </cell>
          <cell r="AF246" t="str">
            <v/>
          </cell>
          <cell r="AK246" t="str">
            <v/>
          </cell>
          <cell r="AP246" t="str">
            <v/>
          </cell>
          <cell r="AU246" t="str">
            <v/>
          </cell>
          <cell r="AZ246" t="str">
            <v/>
          </cell>
        </row>
        <row r="247">
          <cell r="G247" t="str">
            <v>Poison Spray</v>
          </cell>
          <cell r="H247">
            <v>2</v>
          </cell>
          <cell r="I247">
            <v>0.41645034240175738</v>
          </cell>
          <cell r="J247">
            <v>8</v>
          </cell>
          <cell r="K247" t="str">
            <v>Arms of Hadar</v>
          </cell>
          <cell r="L247" t="str">
            <v>Hex</v>
          </cell>
          <cell r="O247">
            <v>5</v>
          </cell>
          <cell r="P247" t="str">
            <v>Crown of Madness</v>
          </cell>
          <cell r="Q247" t="str">
            <v>Ray of Enfeeblement</v>
          </cell>
          <cell r="T247">
            <v>14</v>
          </cell>
          <cell r="U247" t="str">
            <v>Dispel Magic</v>
          </cell>
          <cell r="V247" t="str">
            <v>Tongues</v>
          </cell>
          <cell r="Y247">
            <v>4</v>
          </cell>
          <cell r="Z247" t="str">
            <v>Blight</v>
          </cell>
          <cell r="AA247" t="str">
            <v>Dimension Door</v>
          </cell>
          <cell r="AF247" t="str">
            <v/>
          </cell>
        </row>
        <row r="248">
          <cell r="G248" t="str">
            <v>Minor Illusion</v>
          </cell>
          <cell r="H248">
            <v>3</v>
          </cell>
          <cell r="I248">
            <v>4.7273640855315824E-2</v>
          </cell>
          <cell r="J248">
            <v>13</v>
          </cell>
          <cell r="K248" t="str">
            <v>Charm Person</v>
          </cell>
          <cell r="L248" t="str">
            <v>Protection from Evil &amp; Good</v>
          </cell>
          <cell r="O248">
            <v>9</v>
          </cell>
          <cell r="P248" t="str">
            <v>Darkness</v>
          </cell>
          <cell r="T248">
            <v>2</v>
          </cell>
          <cell r="U248" t="str">
            <v>Fear</v>
          </cell>
          <cell r="Y248">
            <v>6</v>
          </cell>
          <cell r="Z248" t="str">
            <v>Dimension Door</v>
          </cell>
        </row>
        <row r="249">
          <cell r="G249" t="str">
            <v>Blade Ward</v>
          </cell>
          <cell r="H249">
            <v>4</v>
          </cell>
          <cell r="I249">
            <v>0.50355746644768562</v>
          </cell>
          <cell r="J249">
            <v>7</v>
          </cell>
          <cell r="K249" t="str">
            <v>Comprehend Languages</v>
          </cell>
          <cell r="O249">
            <v>1</v>
          </cell>
          <cell r="P249" t="str">
            <v>Enthrall</v>
          </cell>
          <cell r="T249">
            <v>9</v>
          </cell>
          <cell r="U249" t="str">
            <v>Fly</v>
          </cell>
          <cell r="Y249">
            <v>2</v>
          </cell>
          <cell r="Z249" t="str">
            <v>Hallucinatory Terrain</v>
          </cell>
        </row>
        <row r="250">
          <cell r="G250" t="str">
            <v>True Strike</v>
          </cell>
          <cell r="H250">
            <v>5</v>
          </cell>
          <cell r="I250">
            <v>6.8967629923204488E-2</v>
          </cell>
          <cell r="J250">
            <v>12</v>
          </cell>
          <cell r="K250" t="str">
            <v>Expeditious Retreat</v>
          </cell>
          <cell r="O250">
            <v>12</v>
          </cell>
          <cell r="P250" t="str">
            <v>Hold Person</v>
          </cell>
        </row>
        <row r="251">
          <cell r="G251" t="str">
            <v>Eldritch Blast</v>
          </cell>
          <cell r="H251">
            <v>6</v>
          </cell>
          <cell r="I251">
            <v>0.76358867365384531</v>
          </cell>
          <cell r="J251">
            <v>2</v>
          </cell>
          <cell r="K251" t="str">
            <v>Hellish Rebuke</v>
          </cell>
          <cell r="O251">
            <v>4</v>
          </cell>
          <cell r="P251" t="str">
            <v>Invisibility</v>
          </cell>
        </row>
        <row r="252">
          <cell r="G252" t="str">
            <v>Friends</v>
          </cell>
          <cell r="H252">
            <v>7</v>
          </cell>
          <cell r="I252">
            <v>0.24336307784436562</v>
          </cell>
          <cell r="J252">
            <v>11</v>
          </cell>
          <cell r="K252" t="str">
            <v>Hex</v>
          </cell>
          <cell r="O252">
            <v>6</v>
          </cell>
          <cell r="P252" t="str">
            <v>Mirror Image</v>
          </cell>
        </row>
        <row r="253">
          <cell r="H253">
            <v>8</v>
          </cell>
          <cell r="I253">
            <v>0.54235593355058231</v>
          </cell>
          <cell r="J253">
            <v>6</v>
          </cell>
          <cell r="K253" t="str">
            <v>Illusory Script</v>
          </cell>
          <cell r="O253">
            <v>10</v>
          </cell>
          <cell r="P253" t="str">
            <v>Misty Step</v>
          </cell>
        </row>
        <row r="254">
          <cell r="H254">
            <v>9</v>
          </cell>
          <cell r="I254">
            <v>0.71960192720651195</v>
          </cell>
          <cell r="J254">
            <v>3</v>
          </cell>
          <cell r="K254" t="str">
            <v>Protection from Evil &amp; Good</v>
          </cell>
          <cell r="O254">
            <v>2</v>
          </cell>
          <cell r="P254" t="str">
            <v>Ray of Enfeeblement</v>
          </cell>
        </row>
        <row r="255">
          <cell r="H255">
            <v>10</v>
          </cell>
          <cell r="I255">
            <v>0.31934688035082559</v>
          </cell>
          <cell r="J255">
            <v>10</v>
          </cell>
          <cell r="K255" t="str">
            <v>Unseen Servant</v>
          </cell>
          <cell r="O255">
            <v>8</v>
          </cell>
          <cell r="P255" t="str">
            <v>Shatter</v>
          </cell>
        </row>
        <row r="256">
          <cell r="H256">
            <v>11</v>
          </cell>
          <cell r="I256">
            <v>0.36010703700067703</v>
          </cell>
          <cell r="J256">
            <v>9</v>
          </cell>
          <cell r="K256" t="str">
            <v>Witch Bolt</v>
          </cell>
          <cell r="O256">
            <v>3</v>
          </cell>
          <cell r="P256" t="str">
            <v>Spider Climb</v>
          </cell>
        </row>
        <row r="257">
          <cell r="J257">
            <v>4</v>
          </cell>
          <cell r="K257" t="str">
            <v/>
          </cell>
          <cell r="O257">
            <v>14</v>
          </cell>
          <cell r="P257" t="str">
            <v>Suggestion</v>
          </cell>
        </row>
        <row r="266">
          <cell r="G266" t="str">
            <v>Light</v>
          </cell>
          <cell r="L266" t="str">
            <v>Burning Hands</v>
          </cell>
          <cell r="Q266" t="str">
            <v>Gust of Wind</v>
          </cell>
          <cell r="V266" t="str">
            <v>Magic Circle</v>
          </cell>
          <cell r="AA266" t="str">
            <v>Evard's Black Tentacles</v>
          </cell>
          <cell r="AF266" t="str">
            <v>Creation</v>
          </cell>
          <cell r="AK266" t="str">
            <v>Eyebite</v>
          </cell>
          <cell r="AP266" t="str">
            <v>Mordekainen's Magnificent Mansion</v>
          </cell>
          <cell r="AU266" t="str">
            <v>Antimagic Field</v>
          </cell>
          <cell r="AZ266" t="str">
            <v>Imprisonment</v>
          </cell>
        </row>
        <row r="267">
          <cell r="F267" t="str">
            <v>Blade Ward</v>
          </cell>
          <cell r="G267" t="str">
            <v>Shocking Grasp</v>
          </cell>
          <cell r="H267">
            <v>2</v>
          </cell>
          <cell r="I267">
            <v>0.99229485404057516</v>
          </cell>
          <cell r="K267" t="str">
            <v>Burning Hands</v>
          </cell>
          <cell r="L267" t="str">
            <v>Protection from Evil &amp; Good</v>
          </cell>
          <cell r="M267">
            <v>2</v>
          </cell>
          <cell r="N267">
            <v>0.58577291195617065</v>
          </cell>
          <cell r="P267" t="str">
            <v>Arcane Lock</v>
          </cell>
          <cell r="Q267" t="str">
            <v>Mirror Image</v>
          </cell>
          <cell r="R267">
            <v>2</v>
          </cell>
          <cell r="S267">
            <v>0.6824067049207948</v>
          </cell>
          <cell r="V267" t="str">
            <v>Tongues</v>
          </cell>
          <cell r="X267">
            <v>0.17934355123411372</v>
          </cell>
          <cell r="Y267">
            <v>19</v>
          </cell>
          <cell r="Z267" t="str">
            <v>Banishment</v>
          </cell>
          <cell r="AA267" t="str">
            <v>Fabricate</v>
          </cell>
          <cell r="AF267" t="str">
            <v>Planar Binding</v>
          </cell>
          <cell r="AG267">
            <v>2</v>
          </cell>
          <cell r="AH267">
            <v>1.6324846853398078E-2</v>
          </cell>
          <cell r="AI267">
            <v>20</v>
          </cell>
          <cell r="AK267" t="str">
            <v>Drawmij's Instant Summon</v>
          </cell>
          <cell r="AN267">
            <v>3</v>
          </cell>
          <cell r="AO267" t="str">
            <v>Etherealness</v>
          </cell>
          <cell r="AP267" t="str">
            <v>Sequester</v>
          </cell>
          <cell r="AQ267">
            <v>2</v>
          </cell>
        </row>
        <row r="268">
          <cell r="F268" t="str">
            <v>Chill Touch</v>
          </cell>
          <cell r="G268" t="str">
            <v>Poison Spray</v>
          </cell>
          <cell r="H268">
            <v>3</v>
          </cell>
          <cell r="I268">
            <v>0.63135328724996342</v>
          </cell>
          <cell r="K268" t="str">
            <v>Charm Person</v>
          </cell>
          <cell r="L268" t="str">
            <v>Identify</v>
          </cell>
          <cell r="M268">
            <v>3</v>
          </cell>
          <cell r="N268">
            <v>0.83117918932953327</v>
          </cell>
          <cell r="P268" t="str">
            <v>Blindness/Deafness</v>
          </cell>
          <cell r="Q268" t="str">
            <v>Blindness/Deafness</v>
          </cell>
          <cell r="R268">
            <v>3</v>
          </cell>
          <cell r="S268">
            <v>0.92766056320509582</v>
          </cell>
          <cell r="V268" t="str">
            <v>Phantom Seed</v>
          </cell>
          <cell r="X268">
            <v>0.5995832024084482</v>
          </cell>
          <cell r="Y268">
            <v>8</v>
          </cell>
          <cell r="Z268" t="str">
            <v>Blight</v>
          </cell>
          <cell r="AA268" t="str">
            <v>Confusion</v>
          </cell>
          <cell r="AF268" t="str">
            <v>Passwall</v>
          </cell>
          <cell r="AG268">
            <v>3</v>
          </cell>
          <cell r="AH268">
            <v>0.39696691316102317</v>
          </cell>
          <cell r="AI268">
            <v>10</v>
          </cell>
          <cell r="AN268">
            <v>7</v>
          </cell>
          <cell r="AO268" t="str">
            <v>Finger of Death</v>
          </cell>
          <cell r="AP268" t="str">
            <v>Etherealness</v>
          </cell>
          <cell r="AQ268">
            <v>3</v>
          </cell>
        </row>
        <row r="269">
          <cell r="F269" t="str">
            <v>Dancing Lights</v>
          </cell>
          <cell r="G269" t="str">
            <v>Blade Ward</v>
          </cell>
          <cell r="H269">
            <v>4</v>
          </cell>
          <cell r="I269">
            <v>0.78465783018665824</v>
          </cell>
          <cell r="K269" t="str">
            <v>Chromatic Orb</v>
          </cell>
          <cell r="L269" t="str">
            <v>Jump</v>
          </cell>
          <cell r="M269">
            <v>4</v>
          </cell>
          <cell r="N269">
            <v>2.950532214509527E-2</v>
          </cell>
          <cell r="P269" t="str">
            <v>Blur</v>
          </cell>
          <cell r="Q269" t="str">
            <v>Phantasmal Force</v>
          </cell>
          <cell r="R269">
            <v>4</v>
          </cell>
          <cell r="S269">
            <v>0.74559942267414148</v>
          </cell>
          <cell r="X269">
            <v>0.82560093354485653</v>
          </cell>
          <cell r="Y269">
            <v>3</v>
          </cell>
          <cell r="Z269" t="str">
            <v>Confusion</v>
          </cell>
          <cell r="AA269" t="str">
            <v>Control Water</v>
          </cell>
          <cell r="AF269" t="str">
            <v>Dream</v>
          </cell>
          <cell r="AG269">
            <v>4</v>
          </cell>
          <cell r="AH269">
            <v>9.7460347836005323E-2</v>
          </cell>
          <cell r="AI269">
            <v>17</v>
          </cell>
          <cell r="AN269">
            <v>13</v>
          </cell>
          <cell r="AO269" t="str">
            <v>Forcecage</v>
          </cell>
          <cell r="AP269" t="str">
            <v>Teleport</v>
          </cell>
          <cell r="AQ269">
            <v>4</v>
          </cell>
        </row>
        <row r="270">
          <cell r="F270" t="str">
            <v>Fire Bolt</v>
          </cell>
          <cell r="G270" t="str">
            <v>Dancing Lights</v>
          </cell>
          <cell r="H270">
            <v>5</v>
          </cell>
          <cell r="I270">
            <v>0.11512114940088924</v>
          </cell>
          <cell r="K270" t="str">
            <v>Color Spray</v>
          </cell>
          <cell r="L270" t="str">
            <v>Chromatic Orb</v>
          </cell>
          <cell r="M270">
            <v>5</v>
          </cell>
          <cell r="N270">
            <v>4.9396119293876106E-2</v>
          </cell>
          <cell r="P270" t="str">
            <v>Cloud of Daggers</v>
          </cell>
          <cell r="Q270" t="str">
            <v>Shatter</v>
          </cell>
          <cell r="R270">
            <v>5</v>
          </cell>
          <cell r="S270">
            <v>0.16524302479596653</v>
          </cell>
          <cell r="X270">
            <v>0.69886848394118761</v>
          </cell>
          <cell r="Y270">
            <v>6</v>
          </cell>
          <cell r="Z270" t="str">
            <v>Conjure Minor Elementals</v>
          </cell>
          <cell r="AA270" t="str">
            <v>Mordekainen's Faithful Hound</v>
          </cell>
          <cell r="AF270" t="str">
            <v>Contact Other Plane</v>
          </cell>
          <cell r="AG270">
            <v>5</v>
          </cell>
          <cell r="AH270">
            <v>0.47154249062857534</v>
          </cell>
          <cell r="AI270">
            <v>9</v>
          </cell>
          <cell r="AN270">
            <v>6</v>
          </cell>
          <cell r="AO270" t="str">
            <v>Mirage Arcane</v>
          </cell>
          <cell r="AP270" t="str">
            <v>Mordekainen's Sword</v>
          </cell>
          <cell r="AQ270">
            <v>5</v>
          </cell>
        </row>
        <row r="271">
          <cell r="F271" t="str">
            <v>Friends</v>
          </cell>
          <cell r="G271" t="str">
            <v>Acid Splash</v>
          </cell>
          <cell r="H271">
            <v>6</v>
          </cell>
          <cell r="I271">
            <v>0.75750740631601221</v>
          </cell>
          <cell r="K271" t="str">
            <v>Comprehend Languages</v>
          </cell>
          <cell r="L271" t="str">
            <v>Comprehend Languages</v>
          </cell>
          <cell r="M271">
            <v>6</v>
          </cell>
          <cell r="N271">
            <v>0.24087489219360125</v>
          </cell>
          <cell r="P271" t="str">
            <v>Continual Flame</v>
          </cell>
          <cell r="Q271" t="str">
            <v>Enlarge/Reduce</v>
          </cell>
          <cell r="R271">
            <v>6</v>
          </cell>
          <cell r="S271">
            <v>0.90403811308244653</v>
          </cell>
          <cell r="X271">
            <v>0.787400854892786</v>
          </cell>
          <cell r="Y271">
            <v>4</v>
          </cell>
          <cell r="Z271" t="str">
            <v>Control Water</v>
          </cell>
          <cell r="AA271" t="str">
            <v>Conjure Minor Elementals</v>
          </cell>
          <cell r="AF271" t="str">
            <v>Cone of Cold</v>
          </cell>
          <cell r="AG271">
            <v>6</v>
          </cell>
          <cell r="AH271">
            <v>9.1573174192100093E-2</v>
          </cell>
          <cell r="AI271">
            <v>18</v>
          </cell>
          <cell r="AN271">
            <v>1</v>
          </cell>
          <cell r="AO271" t="str">
            <v>Mordekainen's Magnificent Mansion</v>
          </cell>
          <cell r="AP271" t="str">
            <v>Mirage Arcane</v>
          </cell>
          <cell r="AQ271">
            <v>6</v>
          </cell>
        </row>
        <row r="272">
          <cell r="F272" t="str">
            <v>Light</v>
          </cell>
          <cell r="G272" t="str">
            <v>True Strike</v>
          </cell>
          <cell r="H272">
            <v>7</v>
          </cell>
          <cell r="I272">
            <v>0.1851479073364658</v>
          </cell>
          <cell r="K272" t="str">
            <v>Detect Magic</v>
          </cell>
          <cell r="L272" t="str">
            <v>Find Familiar</v>
          </cell>
          <cell r="M272">
            <v>7</v>
          </cell>
          <cell r="N272">
            <v>0.30812293900437182</v>
          </cell>
          <cell r="P272" t="str">
            <v>Crown of Madness</v>
          </cell>
          <cell r="Q272" t="str">
            <v>Gentle Repose</v>
          </cell>
          <cell r="R272">
            <v>7</v>
          </cell>
          <cell r="S272">
            <v>0.34702682958614062</v>
          </cell>
          <cell r="X272">
            <v>0.50533427365878258</v>
          </cell>
          <cell r="Y272">
            <v>11</v>
          </cell>
          <cell r="Z272" t="str">
            <v>Dimension Door</v>
          </cell>
          <cell r="AA272" t="str">
            <v>Polymorph</v>
          </cell>
          <cell r="AF272" t="str">
            <v>Rary's Telepathic Bond</v>
          </cell>
          <cell r="AG272">
            <v>7</v>
          </cell>
          <cell r="AH272">
            <v>0.88840764777515635</v>
          </cell>
          <cell r="AI272">
            <v>2</v>
          </cell>
          <cell r="AN272">
            <v>5</v>
          </cell>
          <cell r="AO272" t="str">
            <v>Mordekainen's Sword</v>
          </cell>
          <cell r="AP272" t="str">
            <v>Finger of Death</v>
          </cell>
          <cell r="AQ272">
            <v>7</v>
          </cell>
        </row>
        <row r="273">
          <cell r="F273" t="str">
            <v>Mage Hand</v>
          </cell>
          <cell r="G273" t="str">
            <v>Prestidigitation</v>
          </cell>
          <cell r="H273">
            <v>8</v>
          </cell>
          <cell r="I273">
            <v>0.2959039101280081</v>
          </cell>
          <cell r="K273" t="str">
            <v>Disguise Self</v>
          </cell>
          <cell r="L273" t="str">
            <v>Mage Armor</v>
          </cell>
          <cell r="M273">
            <v>8</v>
          </cell>
          <cell r="N273">
            <v>0.65204221625535508</v>
          </cell>
          <cell r="P273" t="str">
            <v>Darkness</v>
          </cell>
          <cell r="Q273" t="str">
            <v>Magic Mouth</v>
          </cell>
          <cell r="R273">
            <v>8</v>
          </cell>
          <cell r="S273">
            <v>0.12344549275849137</v>
          </cell>
          <cell r="X273">
            <v>0.89467651409258964</v>
          </cell>
          <cell r="Y273">
            <v>1</v>
          </cell>
          <cell r="Z273" t="str">
            <v>Evard's Black Tentacles</v>
          </cell>
          <cell r="AA273" t="str">
            <v>Blight</v>
          </cell>
          <cell r="AF273" t="str">
            <v>Conjure Elemental</v>
          </cell>
          <cell r="AG273">
            <v>8</v>
          </cell>
          <cell r="AH273">
            <v>0.95922809046542734</v>
          </cell>
          <cell r="AI273">
            <v>1</v>
          </cell>
          <cell r="AN273">
            <v>9</v>
          </cell>
          <cell r="AO273" t="str">
            <v>Plane Shift</v>
          </cell>
          <cell r="AP273" t="str">
            <v>Project Image</v>
          </cell>
          <cell r="AQ273">
            <v>8</v>
          </cell>
        </row>
        <row r="274">
          <cell r="F274" t="str">
            <v>Mending</v>
          </cell>
          <cell r="G274" t="str">
            <v>Friends</v>
          </cell>
          <cell r="H274">
            <v>9</v>
          </cell>
          <cell r="I274">
            <v>0.12750285062690259</v>
          </cell>
          <cell r="K274" t="str">
            <v>Expeditious Retreat</v>
          </cell>
          <cell r="L274" t="str">
            <v>Ray of Sickness</v>
          </cell>
          <cell r="M274">
            <v>9</v>
          </cell>
          <cell r="N274">
            <v>0.10998327194186885</v>
          </cell>
          <cell r="P274" t="str">
            <v>Darkvision</v>
          </cell>
          <cell r="Q274" t="str">
            <v>Nystul's Magic Aura</v>
          </cell>
          <cell r="R274">
            <v>9</v>
          </cell>
          <cell r="S274">
            <v>0.24699180933952369</v>
          </cell>
          <cell r="X274">
            <v>0.88254557875131712</v>
          </cell>
          <cell r="Y274">
            <v>2</v>
          </cell>
          <cell r="Z274" t="str">
            <v>Fabricate</v>
          </cell>
          <cell r="AA274" t="str">
            <v>Mordekainen's Private Sanctum</v>
          </cell>
          <cell r="AF274" t="str">
            <v>Scrying</v>
          </cell>
          <cell r="AG274">
            <v>9</v>
          </cell>
          <cell r="AH274">
            <v>0.71789334306214037</v>
          </cell>
          <cell r="AI274">
            <v>4</v>
          </cell>
          <cell r="AN274">
            <v>10</v>
          </cell>
          <cell r="AO274" t="str">
            <v>Prismatic Spray</v>
          </cell>
          <cell r="AP274" t="str">
            <v>Plane Shift</v>
          </cell>
          <cell r="AQ274">
            <v>9</v>
          </cell>
        </row>
        <row r="275">
          <cell r="F275" t="str">
            <v>Message</v>
          </cell>
          <cell r="G275" t="str">
            <v>Fire Bolt</v>
          </cell>
          <cell r="H275">
            <v>10</v>
          </cell>
          <cell r="I275">
            <v>0.20435439467464611</v>
          </cell>
          <cell r="K275" t="str">
            <v>False Life</v>
          </cell>
          <cell r="L275" t="str">
            <v>Tasha's Hideous Laughter</v>
          </cell>
          <cell r="M275">
            <v>10</v>
          </cell>
          <cell r="N275">
            <v>0.23841638354034489</v>
          </cell>
          <cell r="P275" t="str">
            <v>Detect Thoughts</v>
          </cell>
          <cell r="Q275" t="str">
            <v>Darkness</v>
          </cell>
          <cell r="R275">
            <v>10</v>
          </cell>
          <cell r="S275">
            <v>0.29421997147184231</v>
          </cell>
          <cell r="X275">
            <v>0.14411755494051459</v>
          </cell>
          <cell r="Y275">
            <v>20</v>
          </cell>
          <cell r="Z275" t="str">
            <v>Fire Shield</v>
          </cell>
          <cell r="AA275" t="str">
            <v>Leomund's Secret Chest</v>
          </cell>
          <cell r="AF275" t="str">
            <v>Teleportation Circle</v>
          </cell>
          <cell r="AG275">
            <v>10</v>
          </cell>
          <cell r="AH275">
            <v>0.71275360198189908</v>
          </cell>
          <cell r="AI275">
            <v>5</v>
          </cell>
          <cell r="AN275">
            <v>8</v>
          </cell>
          <cell r="AO275" t="str">
            <v>Project Image</v>
          </cell>
          <cell r="AP275" t="str">
            <v>Prismatic Spray</v>
          </cell>
          <cell r="AQ275">
            <v>10</v>
          </cell>
        </row>
        <row r="276">
          <cell r="F276" t="str">
            <v>Minor Illusion</v>
          </cell>
          <cell r="G276" t="str">
            <v>Message</v>
          </cell>
          <cell r="H276">
            <v>11</v>
          </cell>
          <cell r="I276">
            <v>0.6482380975599793</v>
          </cell>
          <cell r="K276" t="str">
            <v>Feather Fall</v>
          </cell>
          <cell r="L276" t="str">
            <v>Feather Fall</v>
          </cell>
          <cell r="M276">
            <v>11</v>
          </cell>
          <cell r="N276">
            <v>0.7700438610637429</v>
          </cell>
          <cell r="P276" t="str">
            <v>Enlarge/Reduce</v>
          </cell>
          <cell r="Q276" t="str">
            <v>Invisibility</v>
          </cell>
          <cell r="R276">
            <v>11</v>
          </cell>
          <cell r="S276">
            <v>0.88231057397551138</v>
          </cell>
          <cell r="X276">
            <v>8.2271956575513561E-2</v>
          </cell>
          <cell r="Y276">
            <v>21</v>
          </cell>
          <cell r="Z276" t="str">
            <v>Greater Invisibility</v>
          </cell>
          <cell r="AA276" t="str">
            <v>Dimension Door</v>
          </cell>
          <cell r="AF276" t="str">
            <v>Mislead</v>
          </cell>
          <cell r="AG276">
            <v>11</v>
          </cell>
          <cell r="AH276">
            <v>0.61732621825972012</v>
          </cell>
          <cell r="AI276">
            <v>7</v>
          </cell>
          <cell r="AN276">
            <v>12</v>
          </cell>
          <cell r="AO276" t="str">
            <v>Reverse Gravity</v>
          </cell>
          <cell r="AP276" t="str">
            <v>Symbol</v>
          </cell>
          <cell r="AQ276">
            <v>11</v>
          </cell>
        </row>
        <row r="277">
          <cell r="F277" t="str">
            <v>Poison Spray</v>
          </cell>
          <cell r="G277" t="str">
            <v>Chill Touch</v>
          </cell>
          <cell r="H277">
            <v>12</v>
          </cell>
          <cell r="I277">
            <v>0.74098465327350171</v>
          </cell>
          <cell r="K277" t="str">
            <v>Find Familiar</v>
          </cell>
          <cell r="L277" t="str">
            <v>Charm Person</v>
          </cell>
          <cell r="M277">
            <v>12</v>
          </cell>
          <cell r="N277">
            <v>0.58063023564487215</v>
          </cell>
          <cell r="P277" t="str">
            <v>Flaming Sphere</v>
          </cell>
          <cell r="Q277" t="str">
            <v>Arcane Lock</v>
          </cell>
          <cell r="R277">
            <v>12</v>
          </cell>
          <cell r="S277">
            <v>0.43480459952627415</v>
          </cell>
          <cell r="X277">
            <v>0.45898621418049668</v>
          </cell>
          <cell r="Y277">
            <v>12</v>
          </cell>
          <cell r="Z277" t="str">
            <v>Hallucinatory Terrain</v>
          </cell>
          <cell r="AA277" t="str">
            <v>Hallucinatory Terrain</v>
          </cell>
          <cell r="AF277" t="str">
            <v>Animate Object</v>
          </cell>
          <cell r="AG277">
            <v>12</v>
          </cell>
          <cell r="AH277">
            <v>0.24984656713974984</v>
          </cell>
          <cell r="AI277">
            <v>14</v>
          </cell>
          <cell r="AN277">
            <v>2</v>
          </cell>
          <cell r="AO277" t="str">
            <v>Sequester</v>
          </cell>
          <cell r="AP277" t="str">
            <v>Reverse Gravity</v>
          </cell>
          <cell r="AQ277">
            <v>12</v>
          </cell>
        </row>
        <row r="278">
          <cell r="F278" t="str">
            <v>Prestidigitation</v>
          </cell>
          <cell r="G278" t="str">
            <v>Mending</v>
          </cell>
          <cell r="H278">
            <v>13</v>
          </cell>
          <cell r="I278">
            <v>0.5682107358967281</v>
          </cell>
          <cell r="K278" t="str">
            <v>Fog Cloud</v>
          </cell>
          <cell r="L278" t="str">
            <v>Tenser's Floating Disk</v>
          </cell>
          <cell r="M278">
            <v>13</v>
          </cell>
          <cell r="N278">
            <v>0.70541351265602248</v>
          </cell>
          <cell r="P278" t="str">
            <v>Gentle Repose</v>
          </cell>
          <cell r="Q278" t="str">
            <v>Flaming Sphere</v>
          </cell>
          <cell r="R278">
            <v>13</v>
          </cell>
          <cell r="S278">
            <v>0.66829603108149638</v>
          </cell>
          <cell r="X278">
            <v>0.34438844274844449</v>
          </cell>
          <cell r="Y278">
            <v>14</v>
          </cell>
          <cell r="Z278" t="str">
            <v>Ice Storm</v>
          </cell>
          <cell r="AA278" t="str">
            <v>Wall of Fire</v>
          </cell>
          <cell r="AF278" t="str">
            <v>Hold Monster</v>
          </cell>
          <cell r="AG278">
            <v>13</v>
          </cell>
          <cell r="AH278">
            <v>0.82142171521815222</v>
          </cell>
          <cell r="AI278">
            <v>3</v>
          </cell>
          <cell r="AN278">
            <v>15</v>
          </cell>
          <cell r="AO278" t="str">
            <v>Simulacrum</v>
          </cell>
          <cell r="AP278" t="str">
            <v>Forcecage</v>
          </cell>
          <cell r="AQ278">
            <v>13</v>
          </cell>
        </row>
        <row r="279">
          <cell r="F279" t="str">
            <v>Ray of Frost</v>
          </cell>
          <cell r="G279" t="str">
            <v>Ray of Frost</v>
          </cell>
          <cell r="H279">
            <v>14</v>
          </cell>
          <cell r="I279">
            <v>0.51309592705057583</v>
          </cell>
          <cell r="K279" t="str">
            <v>Grease</v>
          </cell>
          <cell r="L279" t="str">
            <v>Fog Cloud</v>
          </cell>
          <cell r="M279">
            <v>14</v>
          </cell>
          <cell r="N279">
            <v>0.87927237622341015</v>
          </cell>
          <cell r="P279" t="str">
            <v>Gust of Wind</v>
          </cell>
          <cell r="Q279" t="str">
            <v>Web</v>
          </cell>
          <cell r="R279">
            <v>14</v>
          </cell>
          <cell r="S279">
            <v>0.33838612950971581</v>
          </cell>
          <cell r="X279">
            <v>0.55496426934727117</v>
          </cell>
          <cell r="Y279">
            <v>10</v>
          </cell>
          <cell r="Z279" t="str">
            <v>Leomund's Secret Chest</v>
          </cell>
          <cell r="AA279" t="str">
            <v>Ice Storm</v>
          </cell>
          <cell r="AF279" t="str">
            <v>Bigby's Hand</v>
          </cell>
          <cell r="AG279">
            <v>14</v>
          </cell>
          <cell r="AH279">
            <v>0.28683151900320791</v>
          </cell>
          <cell r="AI279">
            <v>12</v>
          </cell>
          <cell r="AN279">
            <v>11</v>
          </cell>
          <cell r="AO279" t="str">
            <v>Symbol</v>
          </cell>
          <cell r="AP279" t="str">
            <v>Delayed Blast Fireball</v>
          </cell>
          <cell r="AQ279">
            <v>14</v>
          </cell>
        </row>
        <row r="280">
          <cell r="F280" t="str">
            <v>Shocking Grasp</v>
          </cell>
          <cell r="G280" t="str">
            <v>Mage Hand</v>
          </cell>
          <cell r="H280">
            <v>15</v>
          </cell>
          <cell r="I280">
            <v>0.9145765064613437</v>
          </cell>
          <cell r="K280" t="str">
            <v>Identify</v>
          </cell>
          <cell r="L280" t="str">
            <v>Thunderwave</v>
          </cell>
          <cell r="M280">
            <v>15</v>
          </cell>
          <cell r="N280">
            <v>0.25305006677609487</v>
          </cell>
          <cell r="P280" t="str">
            <v>Hold Person</v>
          </cell>
          <cell r="Q280" t="str">
            <v>Knock</v>
          </cell>
          <cell r="R280">
            <v>15</v>
          </cell>
          <cell r="S280">
            <v>0.65736875871077882</v>
          </cell>
          <cell r="X280">
            <v>0.29615024511756627</v>
          </cell>
          <cell r="Y280">
            <v>15</v>
          </cell>
          <cell r="Z280" t="str">
            <v>Locate Creature</v>
          </cell>
          <cell r="AA280" t="str">
            <v>Locate Creature</v>
          </cell>
          <cell r="AF280" t="str">
            <v>Dominate Person</v>
          </cell>
          <cell r="AG280">
            <v>15</v>
          </cell>
          <cell r="AH280">
            <v>0.21380456906063483</v>
          </cell>
          <cell r="AI280">
            <v>15</v>
          </cell>
          <cell r="AN280">
            <v>4</v>
          </cell>
          <cell r="AO280" t="str">
            <v>Teleport</v>
          </cell>
          <cell r="AP280" t="str">
            <v>Simulacrum</v>
          </cell>
        </row>
        <row r="281">
          <cell r="F281" t="str">
            <v>True Strike</v>
          </cell>
          <cell r="G281" t="str">
            <v>Minor Illusion</v>
          </cell>
          <cell r="H281">
            <v>16</v>
          </cell>
          <cell r="I281">
            <v>3.1087959798438147E-3</v>
          </cell>
          <cell r="K281" t="str">
            <v>Illusory Script</v>
          </cell>
          <cell r="L281" t="str">
            <v>Grease</v>
          </cell>
          <cell r="M281">
            <v>16</v>
          </cell>
          <cell r="N281">
            <v>0.60686533316815494</v>
          </cell>
          <cell r="P281" t="str">
            <v>Invisibility</v>
          </cell>
          <cell r="Q281" t="str">
            <v>Alter Self</v>
          </cell>
          <cell r="R281">
            <v>16</v>
          </cell>
          <cell r="S281">
            <v>0.2268796396666749</v>
          </cell>
          <cell r="X281">
            <v>0.7424923401514073</v>
          </cell>
          <cell r="Y281">
            <v>5</v>
          </cell>
          <cell r="Z281" t="str">
            <v>Mordekainen's Faithful Hound</v>
          </cell>
          <cell r="AA281" t="str">
            <v>Stone Shape</v>
          </cell>
          <cell r="AF281" t="str">
            <v>Wall of Force</v>
          </cell>
          <cell r="AG281">
            <v>16</v>
          </cell>
          <cell r="AH281">
            <v>0.25955119050122144</v>
          </cell>
          <cell r="AI281">
            <v>13</v>
          </cell>
          <cell r="AN281" t="str">
            <v/>
          </cell>
        </row>
        <row r="282">
          <cell r="G282" t="str">
            <v/>
          </cell>
          <cell r="H282">
            <v>17</v>
          </cell>
          <cell r="I282">
            <v>0.81950290760244637</v>
          </cell>
          <cell r="K282" t="str">
            <v>Jump</v>
          </cell>
          <cell r="L282" t="str">
            <v>Longstrider</v>
          </cell>
          <cell r="M282">
            <v>17</v>
          </cell>
          <cell r="N282">
            <v>0.42859793756174613</v>
          </cell>
          <cell r="P282" t="str">
            <v>Knock</v>
          </cell>
          <cell r="Q282" t="str">
            <v>Ray of Enfeeblement</v>
          </cell>
          <cell r="R282">
            <v>17</v>
          </cell>
          <cell r="S282">
            <v>0.9644867576705094</v>
          </cell>
          <cell r="X282">
            <v>0.58275422346211181</v>
          </cell>
          <cell r="Y282">
            <v>9</v>
          </cell>
          <cell r="Z282" t="str">
            <v>Mordekainen's Private Sanctum</v>
          </cell>
          <cell r="AA282" t="str">
            <v>Phantasmal Killer</v>
          </cell>
          <cell r="AF282" t="str">
            <v>Legend Lore</v>
          </cell>
          <cell r="AG282">
            <v>17</v>
          </cell>
          <cell r="AH282">
            <v>0.37374339547871482</v>
          </cell>
          <cell r="AI282">
            <v>11</v>
          </cell>
          <cell r="AN282" t="str">
            <v/>
          </cell>
        </row>
        <row r="283">
          <cell r="K283" t="str">
            <v>Longstrider</v>
          </cell>
          <cell r="L283" t="str">
            <v>Sleep</v>
          </cell>
          <cell r="M283">
            <v>18</v>
          </cell>
          <cell r="N283">
            <v>0.25361682206445646</v>
          </cell>
          <cell r="P283" t="str">
            <v>Levitate</v>
          </cell>
          <cell r="Q283" t="str">
            <v>Magic Weapon</v>
          </cell>
          <cell r="R283">
            <v>18</v>
          </cell>
          <cell r="S283">
            <v>0.22204330034611808</v>
          </cell>
          <cell r="X283">
            <v>0.2133185041909339</v>
          </cell>
          <cell r="Y283">
            <v>18</v>
          </cell>
          <cell r="Z283" t="str">
            <v>Otiluke resilient Sphere</v>
          </cell>
          <cell r="AA283" t="str">
            <v>Otiluke resilient Sphere</v>
          </cell>
          <cell r="AF283" t="str">
            <v>Geas</v>
          </cell>
          <cell r="AG283">
            <v>18</v>
          </cell>
          <cell r="AH283">
            <v>7.5172874134938783E-2</v>
          </cell>
          <cell r="AI283">
            <v>19</v>
          </cell>
          <cell r="AN283" t="str">
            <v/>
          </cell>
        </row>
        <row r="284">
          <cell r="K284" t="str">
            <v>Mage Armor</v>
          </cell>
          <cell r="L284" t="str">
            <v>Shield</v>
          </cell>
          <cell r="M284">
            <v>19</v>
          </cell>
          <cell r="N284">
            <v>0.17393048306378966</v>
          </cell>
          <cell r="P284" t="str">
            <v>Locate Object</v>
          </cell>
          <cell r="Q284" t="str">
            <v>Spider Climb</v>
          </cell>
          <cell r="R284">
            <v>19</v>
          </cell>
          <cell r="S284">
            <v>0.38367927373253885</v>
          </cell>
          <cell r="X284">
            <v>0.23728780407902639</v>
          </cell>
          <cell r="Y284">
            <v>17</v>
          </cell>
          <cell r="Z284" t="str">
            <v>Phantasmal Killer</v>
          </cell>
          <cell r="AA284" t="str">
            <v>Banishment</v>
          </cell>
          <cell r="AF284" t="str">
            <v>Telekinesis</v>
          </cell>
          <cell r="AG284">
            <v>19</v>
          </cell>
          <cell r="AH284">
            <v>0.61461209042568565</v>
          </cell>
          <cell r="AI284">
            <v>8</v>
          </cell>
          <cell r="AN284" t="str">
            <v/>
          </cell>
        </row>
        <row r="285">
          <cell r="K285" t="str">
            <v>Magic Missile</v>
          </cell>
          <cell r="L285" t="str">
            <v>Unseen Servant</v>
          </cell>
          <cell r="M285">
            <v>20</v>
          </cell>
          <cell r="N285">
            <v>0.68392721742934015</v>
          </cell>
          <cell r="P285" t="str">
            <v>Magic Mouth</v>
          </cell>
          <cell r="Q285" t="str">
            <v>Crown of Madness</v>
          </cell>
          <cell r="R285">
            <v>20</v>
          </cell>
          <cell r="S285">
            <v>0.92936358928684482</v>
          </cell>
          <cell r="X285">
            <v>0.6941348128801903</v>
          </cell>
          <cell r="Y285">
            <v>7</v>
          </cell>
          <cell r="Z285" t="str">
            <v>Polymorph</v>
          </cell>
          <cell r="AA285" t="str">
            <v>Fire Shield</v>
          </cell>
          <cell r="AF285" t="str">
            <v>Modify Memory</v>
          </cell>
          <cell r="AG285">
            <v>20</v>
          </cell>
          <cell r="AH285">
            <v>0.13113188516169783</v>
          </cell>
          <cell r="AI285">
            <v>16</v>
          </cell>
          <cell r="AN285" t="str">
            <v/>
          </cell>
        </row>
        <row r="286">
          <cell r="K286" t="str">
            <v>Protection from Evil &amp; Good</v>
          </cell>
          <cell r="L286" t="str">
            <v>Disguise Self</v>
          </cell>
          <cell r="M286">
            <v>21</v>
          </cell>
          <cell r="N286">
            <v>0.39150664412959502</v>
          </cell>
          <cell r="P286" t="str">
            <v>Magic Weapon</v>
          </cell>
          <cell r="Q286" t="str">
            <v>Scorching Ray</v>
          </cell>
          <cell r="R286">
            <v>21</v>
          </cell>
          <cell r="S286">
            <v>0.42354325974268114</v>
          </cell>
          <cell r="X286">
            <v>0.25173886658711175</v>
          </cell>
          <cell r="Y286">
            <v>16</v>
          </cell>
          <cell r="Z286" t="str">
            <v>Stone Shape</v>
          </cell>
          <cell r="AA286" t="str">
            <v>Greater Invisibility</v>
          </cell>
          <cell r="AF286" t="str">
            <v>Seeming</v>
          </cell>
          <cell r="AH286" t="str">
            <v/>
          </cell>
          <cell r="AI286" t="str">
            <v/>
          </cell>
          <cell r="AN286" t="str">
            <v/>
          </cell>
        </row>
        <row r="287">
          <cell r="K287" t="str">
            <v>Ray of Sickness</v>
          </cell>
          <cell r="L287" t="str">
            <v>Silent Image</v>
          </cell>
          <cell r="M287">
            <v>22</v>
          </cell>
          <cell r="N287">
            <v>0.14997494603006478</v>
          </cell>
          <cell r="P287" t="str">
            <v>Melf's Acid Arrow</v>
          </cell>
          <cell r="Q287" t="str">
            <v>Levitate</v>
          </cell>
          <cell r="R287">
            <v>22</v>
          </cell>
          <cell r="S287">
            <v>0.87757819235311574</v>
          </cell>
          <cell r="X287">
            <v>7.2986877253326199E-2</v>
          </cell>
          <cell r="Y287">
            <v>23</v>
          </cell>
          <cell r="Z287" t="str">
            <v>Stoneskin</v>
          </cell>
          <cell r="AA287" t="str">
            <v>Arcane Eye</v>
          </cell>
          <cell r="AF287" t="str">
            <v>Wall of Stone</v>
          </cell>
          <cell r="AH287" t="str">
            <v/>
          </cell>
          <cell r="AI287" t="str">
            <v/>
          </cell>
          <cell r="AN287" t="str">
            <v/>
          </cell>
        </row>
        <row r="288">
          <cell r="K288" t="str">
            <v>Shield</v>
          </cell>
          <cell r="L288" t="str">
            <v>False Life</v>
          </cell>
          <cell r="M288">
            <v>23</v>
          </cell>
          <cell r="N288">
            <v>0.85377030839505763</v>
          </cell>
          <cell r="P288" t="str">
            <v>Mirror Image</v>
          </cell>
          <cell r="Q288" t="str">
            <v>Hold Person</v>
          </cell>
          <cell r="R288">
            <v>23</v>
          </cell>
          <cell r="S288">
            <v>0.51041674893689659</v>
          </cell>
          <cell r="X288">
            <v>0.42122057521042244</v>
          </cell>
          <cell r="Y288">
            <v>13</v>
          </cell>
          <cell r="Z288" t="str">
            <v>Wall of Fire</v>
          </cell>
          <cell r="AA288" t="str">
            <v>Stoneskin</v>
          </cell>
          <cell r="AF288" t="str">
            <v>Cloudkill</v>
          </cell>
          <cell r="AH288" t="str">
            <v/>
          </cell>
          <cell r="AI288" t="str">
            <v/>
          </cell>
          <cell r="AN288" t="str">
            <v/>
          </cell>
        </row>
        <row r="289">
          <cell r="K289" t="str">
            <v>Silent Image</v>
          </cell>
          <cell r="L289" t="str">
            <v>Detect Magic</v>
          </cell>
          <cell r="M289">
            <v>24</v>
          </cell>
          <cell r="N289">
            <v>0.20324376286979151</v>
          </cell>
          <cell r="P289" t="str">
            <v>Misty Step</v>
          </cell>
          <cell r="Q289" t="str">
            <v>Continual Flame</v>
          </cell>
          <cell r="R289">
            <v>24</v>
          </cell>
          <cell r="S289">
            <v>0.25487426005706704</v>
          </cell>
          <cell r="X289" t="str">
            <v/>
          </cell>
          <cell r="Y289" t="str">
            <v/>
          </cell>
          <cell r="AH289" t="str">
            <v/>
          </cell>
          <cell r="AI289" t="str">
            <v/>
          </cell>
          <cell r="AN289" t="str">
            <v/>
          </cell>
        </row>
        <row r="290">
          <cell r="K290" t="str">
            <v>Sleep</v>
          </cell>
          <cell r="L290" t="str">
            <v>Witch Bolt</v>
          </cell>
          <cell r="M290">
            <v>25</v>
          </cell>
          <cell r="N290">
            <v>0.67119200261764833</v>
          </cell>
          <cell r="P290" t="str">
            <v>Nystul's Magic Aura</v>
          </cell>
          <cell r="Q290" t="str">
            <v>Detect Thoughts</v>
          </cell>
          <cell r="R290">
            <v>25</v>
          </cell>
          <cell r="S290">
            <v>0.77493032425506103</v>
          </cell>
          <cell r="X290" t="str">
            <v/>
          </cell>
          <cell r="Y290" t="str">
            <v/>
          </cell>
        </row>
        <row r="291">
          <cell r="K291" t="str">
            <v>Tasha's Hideous Laughter</v>
          </cell>
          <cell r="L291" t="str">
            <v>Expeditious Retreat</v>
          </cell>
          <cell r="M291">
            <v>26</v>
          </cell>
          <cell r="N291">
            <v>0.82868083587929808</v>
          </cell>
          <cell r="P291" t="str">
            <v>Phantasmal Force</v>
          </cell>
          <cell r="Q291" t="str">
            <v>Suggestion</v>
          </cell>
          <cell r="R291">
            <v>26</v>
          </cell>
          <cell r="S291">
            <v>7.7855611583835693E-2</v>
          </cell>
          <cell r="X291" t="str">
            <v/>
          </cell>
          <cell r="Y291" t="str">
            <v/>
          </cell>
        </row>
        <row r="292">
          <cell r="K292" t="str">
            <v>Tenser's Floating Disk</v>
          </cell>
          <cell r="L292" t="str">
            <v>Color Spray</v>
          </cell>
          <cell r="M292">
            <v>27</v>
          </cell>
          <cell r="N292">
            <v>0.39759087706721663</v>
          </cell>
          <cell r="P292" t="str">
            <v>Ray of Enfeeblement</v>
          </cell>
          <cell r="Q292" t="str">
            <v>Misty Step</v>
          </cell>
          <cell r="R292">
            <v>27</v>
          </cell>
          <cell r="S292">
            <v>0.93301321972931661</v>
          </cell>
          <cell r="X292" t="str">
            <v/>
          </cell>
          <cell r="Y292" t="str">
            <v/>
          </cell>
        </row>
        <row r="293">
          <cell r="K293" t="str">
            <v>Thunderwave</v>
          </cell>
          <cell r="L293" t="str">
            <v>Alarm</v>
          </cell>
          <cell r="M293">
            <v>28</v>
          </cell>
          <cell r="N293">
            <v>0.12612878948113593</v>
          </cell>
          <cell r="P293" t="str">
            <v>Rope Trick</v>
          </cell>
          <cell r="Q293" t="str">
            <v>Locate Object</v>
          </cell>
          <cell r="R293">
            <v>28</v>
          </cell>
          <cell r="S293">
            <v>4.7128861791284615E-3</v>
          </cell>
          <cell r="X293" t="str">
            <v/>
          </cell>
          <cell r="Y293" t="str">
            <v/>
          </cell>
        </row>
        <row r="294">
          <cell r="K294" t="str">
            <v>Unseen Servant</v>
          </cell>
          <cell r="L294" t="str">
            <v>Magic Missile</v>
          </cell>
          <cell r="M294">
            <v>29</v>
          </cell>
          <cell r="N294">
            <v>0.26263587714369552</v>
          </cell>
          <cell r="P294" t="str">
            <v>Scorching Ray</v>
          </cell>
          <cell r="Q294" t="str">
            <v>Melf's Acid Arrow</v>
          </cell>
          <cell r="R294">
            <v>29</v>
          </cell>
          <cell r="S294">
            <v>0.55307743331708625</v>
          </cell>
          <cell r="X294" t="str">
            <v/>
          </cell>
          <cell r="Y294" t="str">
            <v/>
          </cell>
        </row>
        <row r="295">
          <cell r="K295" t="str">
            <v>Witch Bolt</v>
          </cell>
          <cell r="L295" t="str">
            <v>Illusory Script</v>
          </cell>
          <cell r="M295">
            <v>30</v>
          </cell>
          <cell r="N295">
            <v>8.0054419073038563E-2</v>
          </cell>
          <cell r="P295" t="str">
            <v>See Invisibility</v>
          </cell>
          <cell r="Q295" t="str">
            <v>Rope Trick</v>
          </cell>
          <cell r="S295" t="str">
            <v/>
          </cell>
          <cell r="X295" t="str">
            <v/>
          </cell>
          <cell r="Y295" t="str">
            <v/>
          </cell>
        </row>
        <row r="296">
          <cell r="L296" t="str">
            <v/>
          </cell>
          <cell r="M296">
            <v>31</v>
          </cell>
          <cell r="N296">
            <v>0.82030068125010358</v>
          </cell>
          <cell r="P296" t="str">
            <v>Shatter</v>
          </cell>
          <cell r="Q296" t="str">
            <v>Darkvision</v>
          </cell>
          <cell r="S296" t="str">
            <v/>
          </cell>
        </row>
        <row r="297">
          <cell r="P297" t="str">
            <v>Spider Climb</v>
          </cell>
          <cell r="Q297" t="str">
            <v>See Invisibility</v>
          </cell>
          <cell r="S297" t="str">
            <v/>
          </cell>
        </row>
        <row r="298">
          <cell r="P298" t="str">
            <v>Suggestion</v>
          </cell>
          <cell r="Q298" t="str">
            <v>Cloud of Daggers</v>
          </cell>
          <cell r="S298" t="str">
            <v/>
          </cell>
        </row>
        <row r="299">
          <cell r="P299" t="str">
            <v>Web</v>
          </cell>
          <cell r="Q299" t="str">
            <v>Blur</v>
          </cell>
          <cell r="S299" t="str">
            <v/>
          </cell>
        </row>
        <row r="300">
          <cell r="Q300" t="str">
            <v/>
          </cell>
          <cell r="S300" t="str">
            <v/>
          </cell>
        </row>
      </sheetData>
      <sheetData sheetId="14">
        <row r="4">
          <cell r="F4" t="str">
            <v/>
          </cell>
          <cell r="G4" t="str">
            <v/>
          </cell>
          <cell r="H4" t="str">
            <v/>
          </cell>
          <cell r="P4" t="str">
            <v/>
          </cell>
          <cell r="Q4" t="str">
            <v/>
          </cell>
          <cell r="R4" t="str">
            <v/>
          </cell>
          <cell r="S4" t="str">
            <v/>
          </cell>
        </row>
      </sheetData>
      <sheetData sheetId="15">
        <row r="6">
          <cell r="C6" t="str">
            <v xml:space="preserve">Quarterstaff  | 1d6 | Versatile (1d8) </v>
          </cell>
        </row>
        <row r="7">
          <cell r="C7" t="str">
            <v xml:space="preserve">Dagger  | 1d4 | Finesse, light, thrown (range 20/60) </v>
          </cell>
        </row>
        <row r="8">
          <cell r="C8" t="str">
            <v xml:space="preserve">Dagger  | 1d4 | Finesse, light, thrown (range 20/60) </v>
          </cell>
        </row>
        <row r="12">
          <cell r="C12" t="str">
            <v xml:space="preserve">Dagger  | 1d4 | Finesse, light, thrown (range 20/60) </v>
          </cell>
        </row>
        <row r="13">
          <cell r="C13" t="str">
            <v>Lt Crossbow | 1d8 | Ammo (range 80/320), Loading, 2-hand</v>
          </cell>
        </row>
        <row r="17">
          <cell r="C17" t="str">
            <v>Explorer's pack</v>
          </cell>
        </row>
        <row r="22">
          <cell r="C22" t="str">
            <v>None</v>
          </cell>
        </row>
        <row r="28">
          <cell r="C28" t="str">
            <v>no</v>
          </cell>
        </row>
        <row r="32">
          <cell r="C32" t="str">
            <v>Spellbook, Arcane Focus: Staff</v>
          </cell>
        </row>
      </sheetData>
      <sheetData sheetId="16">
        <row r="4">
          <cell r="M4" t="str">
            <v>Lawful Good</v>
          </cell>
          <cell r="N4" t="str">
            <v>Lawful Neutral</v>
          </cell>
          <cell r="O4" t="str">
            <v>Lawful Evil</v>
          </cell>
          <cell r="P4" t="str">
            <v>Neutral Good</v>
          </cell>
          <cell r="Q4" t="str">
            <v>Neutral</v>
          </cell>
          <cell r="R4" t="str">
            <v>Neutral evil</v>
          </cell>
          <cell r="S4" t="str">
            <v>Chaotic Good</v>
          </cell>
          <cell r="T4" t="str">
            <v>Chaotic Neutral</v>
          </cell>
        </row>
        <row r="5">
          <cell r="M5" t="str">
            <v>Diancecht, god of medicine and healing LG</v>
          </cell>
          <cell r="N5" t="str">
            <v xml:space="preserve">Manannan mac Lir, god of oceans and sea creatures LN </v>
          </cell>
          <cell r="O5" t="str">
            <v>NONE</v>
          </cell>
          <cell r="P5" t="str">
            <v xml:space="preserve">Brigantia, goddess of rivers and livestock NG </v>
          </cell>
          <cell r="Q5" t="str">
            <v xml:space="preserve">Dunatis, god of mountains and peaks N </v>
          </cell>
          <cell r="R5" t="str">
            <v xml:space="preserve">Arawn, god of life and death NE </v>
          </cell>
          <cell r="S5" t="str">
            <v>The Daghdha, god of weather and crops CG</v>
          </cell>
          <cell r="T5" t="str">
            <v xml:space="preserve">Lugh, god of arts, travel, and commerce CN </v>
          </cell>
          <cell r="U5" t="str">
            <v xml:space="preserve">Morrigan, goddess of battle CE </v>
          </cell>
        </row>
      </sheetData>
      <sheetData sheetId="17" refreshError="1"/>
      <sheetData sheetId="18">
        <row r="4">
          <cell r="B4">
            <v>1</v>
          </cell>
          <cell r="C4" t="str">
            <v>Club</v>
          </cell>
          <cell r="D4" t="str">
            <v xml:space="preserve"> 1 sp </v>
          </cell>
          <cell r="E4" t="str">
            <v>1d4</v>
          </cell>
          <cell r="F4" t="str">
            <v xml:space="preserve"> 2 lb. </v>
          </cell>
          <cell r="G4" t="str">
            <v>B</v>
          </cell>
          <cell r="H4" t="str">
            <v xml:space="preserve">Light </v>
          </cell>
        </row>
        <row r="5">
          <cell r="C5" t="str">
            <v xml:space="preserve">Dagger </v>
          </cell>
          <cell r="D5" t="str">
            <v xml:space="preserve"> 2 gp </v>
          </cell>
          <cell r="E5" t="str">
            <v>1d4</v>
          </cell>
          <cell r="F5" t="str">
            <v xml:space="preserve"> 1 lb. </v>
          </cell>
          <cell r="G5" t="str">
            <v>P</v>
          </cell>
          <cell r="H5" t="str">
            <v xml:space="preserve">Finesse, light, thrown (range 20/60) </v>
          </cell>
        </row>
        <row r="6">
          <cell r="C6" t="str">
            <v xml:space="preserve">Greatclub </v>
          </cell>
          <cell r="D6" t="str">
            <v xml:space="preserve"> 2 sp </v>
          </cell>
          <cell r="E6" t="str">
            <v>1d8</v>
          </cell>
          <cell r="F6" t="str">
            <v xml:space="preserve"> 10 lb. </v>
          </cell>
          <cell r="G6" t="str">
            <v>B</v>
          </cell>
          <cell r="H6" t="str">
            <v xml:space="preserve">Two-handed </v>
          </cell>
        </row>
        <row r="7">
          <cell r="C7" t="str">
            <v xml:space="preserve">Handaxe </v>
          </cell>
          <cell r="D7" t="str">
            <v xml:space="preserve"> 5 gp </v>
          </cell>
          <cell r="E7" t="str">
            <v>1d6</v>
          </cell>
          <cell r="F7" t="str">
            <v xml:space="preserve"> 2 lb. </v>
          </cell>
          <cell r="G7" t="str">
            <v>S</v>
          </cell>
          <cell r="H7" t="str">
            <v xml:space="preserve">Light, Thrown (range 20/60) </v>
          </cell>
        </row>
        <row r="8">
          <cell r="C8" t="str">
            <v xml:space="preserve">Javelin </v>
          </cell>
          <cell r="D8" t="str">
            <v xml:space="preserve"> 5 sp </v>
          </cell>
          <cell r="E8" t="str">
            <v>1d6</v>
          </cell>
          <cell r="F8" t="str">
            <v xml:space="preserve"> 2 lb. </v>
          </cell>
          <cell r="G8" t="str">
            <v>P</v>
          </cell>
          <cell r="H8" t="str">
            <v xml:space="preserve">Thrown (range 30/120) </v>
          </cell>
        </row>
        <row r="9">
          <cell r="C9" t="str">
            <v>Lt Hammer</v>
          </cell>
          <cell r="D9" t="str">
            <v xml:space="preserve"> 2 gp </v>
          </cell>
          <cell r="E9" t="str">
            <v>1d4</v>
          </cell>
          <cell r="F9" t="str">
            <v xml:space="preserve"> 2 lb. </v>
          </cell>
          <cell r="G9" t="str">
            <v>B</v>
          </cell>
          <cell r="H9" t="str">
            <v xml:space="preserve">Light, Thrown (range 20/60) </v>
          </cell>
        </row>
        <row r="10">
          <cell r="C10" t="str">
            <v xml:space="preserve">Mace </v>
          </cell>
          <cell r="D10" t="str">
            <v xml:space="preserve"> 5 gp </v>
          </cell>
          <cell r="E10" t="str">
            <v>1d6</v>
          </cell>
          <cell r="F10" t="str">
            <v xml:space="preserve"> 4 lb. </v>
          </cell>
          <cell r="G10" t="str">
            <v>B</v>
          </cell>
          <cell r="H10" t="str">
            <v xml:space="preserve"> — </v>
          </cell>
        </row>
        <row r="11">
          <cell r="C11" t="str">
            <v xml:space="preserve">Quarterstaff </v>
          </cell>
          <cell r="D11" t="str">
            <v xml:space="preserve"> 2 sp </v>
          </cell>
          <cell r="E11" t="str">
            <v>1d6</v>
          </cell>
          <cell r="F11" t="str">
            <v xml:space="preserve"> 4 lb. </v>
          </cell>
          <cell r="G11" t="str">
            <v>B</v>
          </cell>
          <cell r="H11" t="str">
            <v xml:space="preserve">Versatile (1d8) </v>
          </cell>
        </row>
        <row r="12">
          <cell r="C12" t="str">
            <v xml:space="preserve">Sickle </v>
          </cell>
          <cell r="D12" t="str">
            <v xml:space="preserve"> 1 gp </v>
          </cell>
          <cell r="E12" t="str">
            <v>1d4</v>
          </cell>
          <cell r="F12" t="str">
            <v xml:space="preserve"> 2 lb. </v>
          </cell>
          <cell r="G12" t="str">
            <v>S</v>
          </cell>
          <cell r="H12" t="str">
            <v xml:space="preserve">Light </v>
          </cell>
        </row>
        <row r="13">
          <cell r="C13" t="str">
            <v xml:space="preserve">Spear </v>
          </cell>
          <cell r="D13" t="str">
            <v xml:space="preserve"> 1 gp </v>
          </cell>
          <cell r="E13" t="str">
            <v>1d6</v>
          </cell>
          <cell r="F13" t="str">
            <v xml:space="preserve"> 3 lb. </v>
          </cell>
          <cell r="G13" t="str">
            <v>P</v>
          </cell>
          <cell r="H13" t="str">
            <v xml:space="preserve">Thrown (range 20/60), Versatile (1d8) </v>
          </cell>
        </row>
        <row r="14">
          <cell r="C14" t="str">
            <v>Unarmed</v>
          </cell>
          <cell r="E14" t="str">
            <v>1 point</v>
          </cell>
          <cell r="G14" t="str">
            <v>B</v>
          </cell>
        </row>
        <row r="16">
          <cell r="C16" t="str">
            <v>SIMPLE RANGED WEAPONS</v>
          </cell>
          <cell r="D16" t="str">
            <v>COST</v>
          </cell>
          <cell r="E16" t="str">
            <v>DMG</v>
          </cell>
          <cell r="F16" t="str">
            <v>WEIGHT</v>
          </cell>
          <cell r="G16" t="str">
            <v>TYPE</v>
          </cell>
          <cell r="H16" t="str">
            <v>SPECIAL</v>
          </cell>
        </row>
        <row r="17">
          <cell r="C17" t="str">
            <v xml:space="preserve">Javelin </v>
          </cell>
          <cell r="D17" t="str">
            <v xml:space="preserve"> 5 sp </v>
          </cell>
          <cell r="E17" t="str">
            <v>1d6</v>
          </cell>
          <cell r="F17" t="str">
            <v xml:space="preserve"> 2 lb. </v>
          </cell>
          <cell r="G17" t="str">
            <v>P</v>
          </cell>
          <cell r="H17" t="str">
            <v xml:space="preserve">Thrown (range 30/120) </v>
          </cell>
        </row>
        <row r="18">
          <cell r="C18" t="str">
            <v xml:space="preserve">Dart </v>
          </cell>
          <cell r="D18" t="str">
            <v xml:space="preserve"> 5 cp </v>
          </cell>
          <cell r="E18" t="str">
            <v>1d4</v>
          </cell>
          <cell r="F18" t="str">
            <v xml:space="preserve"> 1/4 lb. </v>
          </cell>
          <cell r="G18" t="str">
            <v>P</v>
          </cell>
          <cell r="H18" t="str">
            <v xml:space="preserve">Finesse, Thrown (range 20/60) </v>
          </cell>
        </row>
        <row r="19">
          <cell r="C19" t="str">
            <v xml:space="preserve">Spear </v>
          </cell>
          <cell r="D19" t="str">
            <v xml:space="preserve"> 1 gp </v>
          </cell>
          <cell r="E19" t="str">
            <v>1d6</v>
          </cell>
          <cell r="F19" t="str">
            <v xml:space="preserve"> 3 lb. </v>
          </cell>
          <cell r="G19" t="str">
            <v>P</v>
          </cell>
          <cell r="H19" t="str">
            <v xml:space="preserve">Thrown (range 20/60), Versatile (1d8) </v>
          </cell>
        </row>
        <row r="20">
          <cell r="C20" t="str">
            <v xml:space="preserve">Sling </v>
          </cell>
          <cell r="D20" t="str">
            <v xml:space="preserve"> 1 sp </v>
          </cell>
          <cell r="E20" t="str">
            <v>1d4</v>
          </cell>
          <cell r="F20" t="str">
            <v xml:space="preserve"> — </v>
          </cell>
          <cell r="G20" t="str">
            <v>B</v>
          </cell>
          <cell r="H20" t="str">
            <v xml:space="preserve">Ammo (range 30/120) </v>
          </cell>
        </row>
        <row r="21">
          <cell r="C21" t="str">
            <v xml:space="preserve">Dagger </v>
          </cell>
          <cell r="D21" t="str">
            <v xml:space="preserve"> 2 gp </v>
          </cell>
          <cell r="E21" t="str">
            <v>1d4</v>
          </cell>
          <cell r="F21" t="str">
            <v xml:space="preserve"> 1 lb. </v>
          </cell>
          <cell r="G21" t="str">
            <v>P</v>
          </cell>
          <cell r="H21" t="str">
            <v xml:space="preserve">Finesse, Light, Thrown (range 20/60) </v>
          </cell>
        </row>
        <row r="22">
          <cell r="C22" t="str">
            <v xml:space="preserve">Handaxe </v>
          </cell>
          <cell r="D22" t="str">
            <v xml:space="preserve"> 5 gp </v>
          </cell>
          <cell r="E22" t="str">
            <v>1d6</v>
          </cell>
          <cell r="F22" t="str">
            <v xml:space="preserve"> 2 lb. </v>
          </cell>
          <cell r="G22" t="str">
            <v>S</v>
          </cell>
          <cell r="H22" t="str">
            <v xml:space="preserve">Light, Thrown (range 20/60) </v>
          </cell>
        </row>
        <row r="23">
          <cell r="C23" t="str">
            <v xml:space="preserve">Lt Hammer </v>
          </cell>
          <cell r="D23" t="str">
            <v xml:space="preserve"> 2 gp </v>
          </cell>
          <cell r="E23" t="str">
            <v>1d4</v>
          </cell>
          <cell r="F23" t="str">
            <v xml:space="preserve"> 2 lb. </v>
          </cell>
          <cell r="G23" t="str">
            <v>B</v>
          </cell>
          <cell r="H23" t="str">
            <v xml:space="preserve">Light, Thrown (range 20/60) </v>
          </cell>
          <cell r="M23" t="str">
            <v>Normal stealth</v>
          </cell>
          <cell r="R23">
            <v>10</v>
          </cell>
          <cell r="S23">
            <v>9</v>
          </cell>
        </row>
        <row r="24">
          <cell r="C24" t="str">
            <v>Lt Crossbow</v>
          </cell>
          <cell r="D24" t="str">
            <v xml:space="preserve"> 25 gp </v>
          </cell>
          <cell r="E24" t="str">
            <v>1d8</v>
          </cell>
          <cell r="F24" t="str">
            <v xml:space="preserve"> 5 lb. </v>
          </cell>
          <cell r="G24" t="str">
            <v>P</v>
          </cell>
          <cell r="H24" t="str">
            <v>Ammo (range 80/320), Loading, 2-hand</v>
          </cell>
        </row>
        <row r="25">
          <cell r="C25" t="str">
            <v xml:space="preserve">Shortbow </v>
          </cell>
          <cell r="D25" t="str">
            <v xml:space="preserve"> 25 gp </v>
          </cell>
          <cell r="E25" t="str">
            <v>1d6</v>
          </cell>
          <cell r="F25" t="str">
            <v xml:space="preserve"> 2 lb. </v>
          </cell>
          <cell r="G25" t="str">
            <v>P</v>
          </cell>
          <cell r="H25" t="str">
            <v xml:space="preserve">Ammo (range 80/320), Two-handed </v>
          </cell>
        </row>
        <row r="26">
          <cell r="C26" t="str">
            <v>Hand X-bow</v>
          </cell>
          <cell r="D26" t="str">
            <v xml:space="preserve"> 75 gp </v>
          </cell>
          <cell r="E26" t="str">
            <v>1d6</v>
          </cell>
          <cell r="F26" t="str">
            <v xml:space="preserve"> 3 lb. </v>
          </cell>
          <cell r="G26" t="str">
            <v>P</v>
          </cell>
          <cell r="H26" t="str">
            <v xml:space="preserve">Ammo (range 30/120), Light, Loading </v>
          </cell>
          <cell r="L26" t="str">
            <v>Modest (1 gp/d)</v>
          </cell>
          <cell r="P26" t="str">
            <v>Calligrapher's supplies</v>
          </cell>
        </row>
        <row r="27">
          <cell r="C27" t="str">
            <v>MARTIAL MELEE WEAPONS</v>
          </cell>
          <cell r="D27" t="str">
            <v>COST</v>
          </cell>
          <cell r="E27" t="str">
            <v>DMG</v>
          </cell>
          <cell r="F27" t="str">
            <v>WEIGHT</v>
          </cell>
          <cell r="G27" t="str">
            <v>TYPE</v>
          </cell>
          <cell r="H27" t="str">
            <v>SPECIAL</v>
          </cell>
        </row>
        <row r="28">
          <cell r="C28" t="str">
            <v>Battleaxe</v>
          </cell>
          <cell r="D28" t="str">
            <v xml:space="preserve"> 10 gp </v>
          </cell>
          <cell r="E28" t="str">
            <v>1d8</v>
          </cell>
          <cell r="F28" t="str">
            <v xml:space="preserve"> 4 lb. </v>
          </cell>
          <cell r="G28" t="str">
            <v>S</v>
          </cell>
          <cell r="H28" t="str">
            <v xml:space="preserve">Versatile (1d10) </v>
          </cell>
        </row>
        <row r="29">
          <cell r="C29" t="str">
            <v xml:space="preserve">Flail </v>
          </cell>
          <cell r="D29" t="str">
            <v xml:space="preserve"> 10 gp </v>
          </cell>
          <cell r="E29" t="str">
            <v>1d8</v>
          </cell>
          <cell r="F29" t="str">
            <v xml:space="preserve"> 2 lb. </v>
          </cell>
          <cell r="G29" t="str">
            <v>B</v>
          </cell>
          <cell r="H29" t="str">
            <v xml:space="preserve">— </v>
          </cell>
        </row>
        <row r="30">
          <cell r="C30" t="str">
            <v xml:space="preserve">Glaive </v>
          </cell>
          <cell r="D30" t="str">
            <v xml:space="preserve"> 20 gp </v>
          </cell>
          <cell r="E30" t="str">
            <v>1d10</v>
          </cell>
          <cell r="F30" t="str">
            <v xml:space="preserve"> 6 lb. </v>
          </cell>
          <cell r="G30" t="str">
            <v>S</v>
          </cell>
          <cell r="H30" t="str">
            <v xml:space="preserve">Heavy, Reach, Two-handed </v>
          </cell>
        </row>
        <row r="31">
          <cell r="C31" t="str">
            <v xml:space="preserve">Greataxe </v>
          </cell>
          <cell r="D31" t="str">
            <v xml:space="preserve"> 30 gp </v>
          </cell>
          <cell r="E31" t="str">
            <v>1d12</v>
          </cell>
          <cell r="F31" t="str">
            <v xml:space="preserve"> 7 lb. </v>
          </cell>
          <cell r="G31" t="str">
            <v>S</v>
          </cell>
          <cell r="H31" t="str">
            <v xml:space="preserve">Heavy, Two-handed </v>
          </cell>
        </row>
        <row r="32">
          <cell r="C32" t="str">
            <v xml:space="preserve">Greatsword </v>
          </cell>
          <cell r="D32" t="str">
            <v xml:space="preserve"> 50 gp </v>
          </cell>
          <cell r="E32" t="str">
            <v>2d6</v>
          </cell>
          <cell r="F32" t="str">
            <v xml:space="preserve"> 6 lb. </v>
          </cell>
          <cell r="G32" t="str">
            <v>S</v>
          </cell>
          <cell r="H32" t="str">
            <v xml:space="preserve">Heavy, Two-handed </v>
          </cell>
        </row>
        <row r="33">
          <cell r="C33" t="str">
            <v xml:space="preserve">Halberd </v>
          </cell>
          <cell r="D33" t="str">
            <v xml:space="preserve"> 20 gp </v>
          </cell>
          <cell r="E33" t="str">
            <v>1d10</v>
          </cell>
          <cell r="F33" t="str">
            <v xml:space="preserve"> 6 lb. </v>
          </cell>
          <cell r="G33" t="str">
            <v>S</v>
          </cell>
          <cell r="H33" t="str">
            <v xml:space="preserve">Heavy, Reach, Two-handed </v>
          </cell>
        </row>
        <row r="34">
          <cell r="C34" t="str">
            <v xml:space="preserve">Lance </v>
          </cell>
          <cell r="D34" t="str">
            <v xml:space="preserve"> 10 gp </v>
          </cell>
          <cell r="E34" t="str">
            <v>1d12</v>
          </cell>
          <cell r="F34" t="str">
            <v xml:space="preserve"> 6 lb. </v>
          </cell>
          <cell r="G34" t="str">
            <v>S</v>
          </cell>
          <cell r="H34" t="str">
            <v xml:space="preserve">Reach, Special </v>
          </cell>
        </row>
        <row r="35">
          <cell r="C35" t="str">
            <v xml:space="preserve">Longsword </v>
          </cell>
          <cell r="D35" t="str">
            <v xml:space="preserve"> 15 gp </v>
          </cell>
          <cell r="E35" t="str">
            <v>1d8</v>
          </cell>
          <cell r="F35" t="str">
            <v xml:space="preserve"> 3 lb. </v>
          </cell>
          <cell r="G35" t="str">
            <v>S</v>
          </cell>
          <cell r="H35" t="str">
            <v xml:space="preserve">Versatile (1d10) </v>
          </cell>
        </row>
        <row r="36">
          <cell r="C36" t="str">
            <v xml:space="preserve">Maul </v>
          </cell>
          <cell r="D36" t="str">
            <v xml:space="preserve"> 10 gp </v>
          </cell>
          <cell r="E36" t="str">
            <v>2d6</v>
          </cell>
          <cell r="F36" t="str">
            <v xml:space="preserve"> 10 lb. </v>
          </cell>
          <cell r="G36" t="str">
            <v>B</v>
          </cell>
          <cell r="H36" t="str">
            <v xml:space="preserve">Heavy, Two-handed </v>
          </cell>
        </row>
        <row r="37">
          <cell r="C37" t="str">
            <v xml:space="preserve">Morningstar </v>
          </cell>
          <cell r="D37" t="str">
            <v xml:space="preserve"> 15 gp </v>
          </cell>
          <cell r="E37" t="str">
            <v>1d8</v>
          </cell>
          <cell r="F37" t="str">
            <v xml:space="preserve"> 4 lb. </v>
          </cell>
          <cell r="G37" t="str">
            <v>P</v>
          </cell>
          <cell r="H37" t="str">
            <v xml:space="preserve">— </v>
          </cell>
        </row>
        <row r="38">
          <cell r="C38" t="str">
            <v xml:space="preserve">Pike </v>
          </cell>
          <cell r="D38" t="str">
            <v xml:space="preserve"> 5 gp </v>
          </cell>
          <cell r="E38" t="str">
            <v>1d10</v>
          </cell>
          <cell r="F38" t="str">
            <v xml:space="preserve"> 18 lb. </v>
          </cell>
          <cell r="G38" t="str">
            <v>P</v>
          </cell>
          <cell r="H38" t="str">
            <v xml:space="preserve">Heavy, Reach, Two-handed </v>
          </cell>
        </row>
        <row r="39">
          <cell r="C39" t="str">
            <v xml:space="preserve">Rapier </v>
          </cell>
          <cell r="D39" t="str">
            <v xml:space="preserve"> 25 gp </v>
          </cell>
          <cell r="E39" t="str">
            <v>1d8</v>
          </cell>
          <cell r="F39" t="str">
            <v xml:space="preserve"> 2 lb. </v>
          </cell>
          <cell r="G39" t="str">
            <v>P</v>
          </cell>
          <cell r="H39" t="str">
            <v xml:space="preserve">Finesse </v>
          </cell>
        </row>
        <row r="40">
          <cell r="C40" t="str">
            <v xml:space="preserve">Scimitar </v>
          </cell>
          <cell r="D40" t="str">
            <v xml:space="preserve"> 25 gp </v>
          </cell>
          <cell r="E40" t="str">
            <v>1d6</v>
          </cell>
          <cell r="F40" t="str">
            <v xml:space="preserve"> 3 lb. </v>
          </cell>
          <cell r="G40" t="str">
            <v>S</v>
          </cell>
          <cell r="H40" t="str">
            <v xml:space="preserve">Finesse, Light </v>
          </cell>
        </row>
        <row r="41">
          <cell r="C41" t="str">
            <v xml:space="preserve">Shortsword </v>
          </cell>
          <cell r="D41" t="str">
            <v xml:space="preserve"> 10 gp </v>
          </cell>
          <cell r="E41" t="str">
            <v>1d6</v>
          </cell>
          <cell r="F41" t="str">
            <v xml:space="preserve"> 2 lb.  </v>
          </cell>
          <cell r="G41" t="str">
            <v>P</v>
          </cell>
          <cell r="H41" t="str">
            <v xml:space="preserve">Finesse, Light </v>
          </cell>
        </row>
        <row r="42">
          <cell r="C42" t="str">
            <v xml:space="preserve">Trident </v>
          </cell>
          <cell r="D42" t="str">
            <v xml:space="preserve"> 5 gp </v>
          </cell>
          <cell r="E42" t="str">
            <v>1d6</v>
          </cell>
          <cell r="F42" t="str">
            <v xml:space="preserve"> 4 lb. </v>
          </cell>
          <cell r="G42" t="str">
            <v>P</v>
          </cell>
          <cell r="H42" t="str">
            <v xml:space="preserve">Thrown (Range 20/60), Versatile (1d8) </v>
          </cell>
        </row>
        <row r="43">
          <cell r="C43" t="str">
            <v xml:space="preserve">War pick </v>
          </cell>
          <cell r="D43" t="str">
            <v xml:space="preserve"> 5 gp </v>
          </cell>
          <cell r="E43" t="str">
            <v>1d8</v>
          </cell>
          <cell r="F43" t="str">
            <v xml:space="preserve"> 2 lb. </v>
          </cell>
          <cell r="G43" t="str">
            <v>P</v>
          </cell>
          <cell r="H43" t="str">
            <v xml:space="preserve"> — </v>
          </cell>
        </row>
        <row r="44">
          <cell r="C44" t="str">
            <v xml:space="preserve">Warhammer </v>
          </cell>
          <cell r="D44" t="str">
            <v xml:space="preserve"> 15 gp </v>
          </cell>
          <cell r="E44" t="str">
            <v>1d8</v>
          </cell>
          <cell r="F44" t="str">
            <v xml:space="preserve"> 2 lb. </v>
          </cell>
          <cell r="G44" t="str">
            <v>B</v>
          </cell>
          <cell r="H44" t="str">
            <v xml:space="preserve">Versatile (1d10) </v>
          </cell>
        </row>
        <row r="45">
          <cell r="C45" t="str">
            <v xml:space="preserve">Whip </v>
          </cell>
          <cell r="D45" t="str">
            <v xml:space="preserve"> 2 gp </v>
          </cell>
          <cell r="E45" t="str">
            <v>1d4</v>
          </cell>
          <cell r="F45" t="str">
            <v xml:space="preserve"> 3 lb. </v>
          </cell>
          <cell r="G45" t="str">
            <v>S</v>
          </cell>
          <cell r="H45" t="str">
            <v xml:space="preserve">Finesse, Reach </v>
          </cell>
        </row>
        <row r="47">
          <cell r="C47" t="str">
            <v>MARTIAL RANGED WEAPONS</v>
          </cell>
          <cell r="D47" t="str">
            <v>COST</v>
          </cell>
          <cell r="E47" t="str">
            <v>DMG</v>
          </cell>
          <cell r="F47" t="str">
            <v>WEIGHT</v>
          </cell>
          <cell r="G47" t="str">
            <v>TYPE</v>
          </cell>
          <cell r="H47" t="str">
            <v>SPECIAL</v>
          </cell>
        </row>
        <row r="48">
          <cell r="C48" t="str">
            <v xml:space="preserve">Blowgun </v>
          </cell>
          <cell r="D48" t="str">
            <v xml:space="preserve"> 10 gp </v>
          </cell>
          <cell r="E48">
            <v>1</v>
          </cell>
          <cell r="F48" t="str">
            <v xml:space="preserve"> 1 lb. </v>
          </cell>
          <cell r="G48" t="str">
            <v>P</v>
          </cell>
          <cell r="H48" t="str">
            <v xml:space="preserve">Ammo (range 25/100), Loading </v>
          </cell>
        </row>
        <row r="49">
          <cell r="C49" t="str">
            <v>Hand X-bow</v>
          </cell>
          <cell r="D49" t="str">
            <v xml:space="preserve"> 75 gp </v>
          </cell>
          <cell r="E49" t="str">
            <v>1d6</v>
          </cell>
          <cell r="F49" t="str">
            <v xml:space="preserve"> 3 lb. </v>
          </cell>
          <cell r="G49" t="str">
            <v>P</v>
          </cell>
          <cell r="H49" t="str">
            <v xml:space="preserve">Ammo (range 30/120), Light, Loading </v>
          </cell>
        </row>
        <row r="50">
          <cell r="C50" t="str">
            <v>Heavy X-bow</v>
          </cell>
          <cell r="D50" t="str">
            <v xml:space="preserve"> 50 gp </v>
          </cell>
          <cell r="E50" t="str">
            <v>1d10</v>
          </cell>
          <cell r="F50" t="str">
            <v xml:space="preserve"> 18 lb. </v>
          </cell>
          <cell r="G50" t="str">
            <v>P</v>
          </cell>
          <cell r="H50" t="str">
            <v xml:space="preserve">Ammo (range 100/400), Heavy, Load, 2-hand </v>
          </cell>
        </row>
        <row r="51">
          <cell r="C51" t="str">
            <v xml:space="preserve">Longbow </v>
          </cell>
          <cell r="D51" t="str">
            <v xml:space="preserve"> 50 gp </v>
          </cell>
          <cell r="E51" t="str">
            <v>1d8</v>
          </cell>
          <cell r="F51" t="str">
            <v xml:space="preserve"> 2 lb. </v>
          </cell>
          <cell r="G51" t="str">
            <v>P</v>
          </cell>
          <cell r="H51" t="str">
            <v xml:space="preserve">Ammo (range 150/600), Heavy, 2-hand </v>
          </cell>
        </row>
        <row r="52">
          <cell r="C52" t="str">
            <v xml:space="preserve">Net </v>
          </cell>
          <cell r="D52" t="str">
            <v xml:space="preserve"> 1 gp </v>
          </cell>
          <cell r="E52" t="str">
            <v>0d</v>
          </cell>
          <cell r="F52" t="str">
            <v xml:space="preserve"> 3 lb. </v>
          </cell>
          <cell r="G52" t="str">
            <v>E</v>
          </cell>
          <cell r="H52" t="str">
            <v xml:space="preserve">Special, Thrown (Range 5/15) </v>
          </cell>
        </row>
        <row r="53">
          <cell r="C53" t="str">
            <v xml:space="preserve">Trident </v>
          </cell>
          <cell r="D53" t="str">
            <v xml:space="preserve"> 5 gp </v>
          </cell>
          <cell r="E53" t="str">
            <v>1d6</v>
          </cell>
          <cell r="F53" t="str">
            <v xml:space="preserve"> 4 lb. </v>
          </cell>
          <cell r="G53" t="str">
            <v>P</v>
          </cell>
          <cell r="H53" t="str">
            <v xml:space="preserve">Thrown (range 20/60), Versatile (1d8) </v>
          </cell>
        </row>
      </sheetData>
      <sheetData sheetId="19">
        <row r="3">
          <cell r="J3" t="str">
            <v xml:space="preserve">A glass orb filled with moving smoke </v>
          </cell>
        </row>
      </sheetData>
      <sheetData sheetId="20">
        <row r="6">
          <cell r="M6" t="str">
            <v/>
          </cell>
          <cell r="N6" t="str">
            <v/>
          </cell>
          <cell r="O6" t="str">
            <v/>
          </cell>
          <cell r="P6" t="str">
            <v/>
          </cell>
        </row>
        <row r="7">
          <cell r="M7" t="str">
            <v/>
          </cell>
          <cell r="N7" t="str">
            <v/>
          </cell>
          <cell r="O7" t="str">
            <v/>
          </cell>
          <cell r="P7" t="str">
            <v/>
          </cell>
        </row>
        <row r="8">
          <cell r="M8" t="str">
            <v/>
          </cell>
          <cell r="N8" t="str">
            <v/>
          </cell>
          <cell r="O8" t="str">
            <v/>
          </cell>
          <cell r="P8" t="str">
            <v/>
          </cell>
        </row>
        <row r="9">
          <cell r="M9" t="str">
            <v/>
          </cell>
          <cell r="N9" t="str">
            <v/>
          </cell>
          <cell r="O9" t="str">
            <v/>
          </cell>
          <cell r="P9" t="str">
            <v/>
          </cell>
        </row>
        <row r="10">
          <cell r="M10" t="str">
            <v/>
          </cell>
          <cell r="N10" t="str">
            <v/>
          </cell>
          <cell r="O10" t="str">
            <v/>
          </cell>
          <cell r="P10" t="str">
            <v/>
          </cell>
        </row>
        <row r="11">
          <cell r="M11" t="str">
            <v/>
          </cell>
          <cell r="N11" t="str">
            <v/>
          </cell>
          <cell r="O11" t="str">
            <v/>
          </cell>
          <cell r="P11" t="str">
            <v/>
          </cell>
        </row>
        <row r="12">
          <cell r="M12" t="str">
            <v/>
          </cell>
          <cell r="N12" t="str">
            <v/>
          </cell>
          <cell r="O12" t="str">
            <v/>
          </cell>
          <cell r="P12" t="str">
            <v/>
          </cell>
        </row>
        <row r="17">
          <cell r="M17" t="str">
            <v/>
          </cell>
          <cell r="N17" t="str">
            <v/>
          </cell>
          <cell r="O17" t="str">
            <v/>
          </cell>
          <cell r="P17" t="str">
            <v/>
          </cell>
        </row>
        <row r="18">
          <cell r="M18" t="str">
            <v/>
          </cell>
          <cell r="N18" t="str">
            <v/>
          </cell>
          <cell r="O18" t="str">
            <v/>
          </cell>
          <cell r="P18" t="str">
            <v/>
          </cell>
        </row>
        <row r="19">
          <cell r="M19" t="str">
            <v/>
          </cell>
          <cell r="N19" t="str">
            <v/>
          </cell>
          <cell r="O19" t="str">
            <v/>
          </cell>
          <cell r="P19" t="str">
            <v/>
          </cell>
        </row>
        <row r="20">
          <cell r="M20" t="str">
            <v/>
          </cell>
          <cell r="N20" t="str">
            <v/>
          </cell>
          <cell r="O20" t="str">
            <v/>
          </cell>
          <cell r="P20" t="str">
            <v/>
          </cell>
        </row>
        <row r="21">
          <cell r="M21" t="str">
            <v/>
          </cell>
          <cell r="N21" t="str">
            <v/>
          </cell>
          <cell r="O21" t="str">
            <v/>
          </cell>
          <cell r="P21" t="str">
            <v/>
          </cell>
        </row>
        <row r="26">
          <cell r="M26" t="str">
            <v/>
          </cell>
          <cell r="N26" t="str">
            <v/>
          </cell>
          <cell r="O26" t="str">
            <v/>
          </cell>
          <cell r="P26" t="str">
            <v/>
          </cell>
        </row>
        <row r="27">
          <cell r="M27" t="str">
            <v/>
          </cell>
          <cell r="N27" t="str">
            <v/>
          </cell>
          <cell r="O27" t="str">
            <v/>
          </cell>
          <cell r="P27" t="str">
            <v/>
          </cell>
        </row>
        <row r="28">
          <cell r="M28" t="str">
            <v/>
          </cell>
          <cell r="N28" t="str">
            <v/>
          </cell>
          <cell r="O28" t="str">
            <v/>
          </cell>
          <cell r="P28" t="str">
            <v/>
          </cell>
        </row>
        <row r="33">
          <cell r="M33" t="str">
            <v/>
          </cell>
          <cell r="N33" t="str">
            <v/>
          </cell>
          <cell r="O33" t="str">
            <v/>
          </cell>
          <cell r="P33" t="str">
            <v/>
          </cell>
        </row>
      </sheetData>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Adventurers_base"/>
      <sheetName val="MOURNALND_EFFECTS"/>
      <sheetName val="Mission_generation"/>
      <sheetName val="Random_encounters"/>
    </sheetNames>
    <sheetDataSet>
      <sheetData sheetId="0">
        <row r="5">
          <cell r="G5" t="str">
            <v>1</v>
          </cell>
        </row>
      </sheetData>
      <sheetData sheetId="1"/>
      <sheetData sheetId="2" refreshError="1"/>
      <sheetData sheetId="3">
        <row r="2">
          <cell r="B2" t="str">
            <v>Retrieve one or more important objects from the Mournland.</v>
          </cell>
        </row>
        <row r="17">
          <cell r="B17" t="str">
            <v>The villains are fleeing from some larger danger (determined by the DM) and seek the base as shelter to get away from it.</v>
          </cell>
        </row>
        <row r="30">
          <cell r="B30" t="str">
            <v>The characters interrogate an enemy who tells them where the salvage is.</v>
          </cell>
        </row>
        <row r="39">
          <cell r="B39" t="str">
            <v>Enclave of a dragonmarked house of the DM’s choice</v>
          </cell>
        </row>
        <row r="62">
          <cell r="B62" t="str">
            <v>Lords of Dust</v>
          </cell>
        </row>
        <row r="79">
          <cell r="B79" t="str">
            <v>Unseen Meddler</v>
          </cell>
          <cell r="C79" t="str">
            <v>A stealthy, possibly invisible, creature stalks the characters as they go about the adventure and meddles in their plans. This creature’s motivations are yours. It might be a mischievous poltergeist, an assassin hired by the characters’ enemies trying to pick them off from afar, or a pixie driven mad by time spent in the Mournland looking to have some violent fun.</v>
          </cell>
        </row>
      </sheetData>
      <sheetData sheetId="4">
        <row r="3">
          <cell r="C3" t="str">
            <v>1 living lightning bolt (see Eberron: Risingfrom the Last War)</v>
          </cell>
          <cell r="G3" t="str">
            <v>1d2 ochre jellies</v>
          </cell>
          <cell r="K3" t="str">
            <v>1 saber-toothed tiger</v>
          </cell>
          <cell r="O3" t="str">
            <v>3d6 giant rats</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RBAL_BREW"/>
      <sheetName val="Reference (Herbs)"/>
      <sheetName val="HERBS_REGIONS"/>
      <sheetName val="HERBS"/>
      <sheetName val="Аркуш2"/>
      <sheetName val="Randomizer"/>
      <sheetName val="Spell List"/>
      <sheetName val="Mi_OUTPUIT"/>
      <sheetName val="MI_PRICES"/>
      <sheetName val="MI_A"/>
      <sheetName val="MI_COMPLICATIONS"/>
      <sheetName val="WEATHER_NORMAL"/>
      <sheetName val="WEATHER_CHULT"/>
      <sheetName val="Instructions"/>
      <sheetName val="Random NPC Generator"/>
      <sheetName val="NAMES_GENERATOR"/>
      <sheetName val="NAMES_DATA"/>
      <sheetName val="DMG (2)"/>
      <sheetName val="EQUIPMENT_PACKS"/>
      <sheetName val="DMG"/>
      <sheetName val="MARKET_CLASS"/>
      <sheetName val="ADVENTURER'S GEAR_REF"/>
      <sheetName val="1"/>
      <sheetName val="Sheet1 (2)"/>
      <sheetName val="Sheet1"/>
      <sheetName val="ACKS_REF"/>
      <sheetName val="SPELLS"/>
      <sheetName val="MAGIC ITEM PRICES AND RARITY"/>
      <sheetName val="MAdventuring Gear"/>
      <sheetName val="Alchemical Goods_modnar"/>
      <sheetName val="Armor_modnar"/>
      <sheetName val="AURORA'S CATALOG"/>
      <sheetName val="SUBSYSTEM"/>
      <sheetName val="Аркуш3"/>
      <sheetName val="Sheet1 (3)"/>
      <sheetName val="MAGIC_ITEM_TABLE"/>
      <sheetName val="Books"/>
      <sheetName val="ALCHEMY_ITEMS"/>
      <sheetName val="Аркуш5"/>
      <sheetName val="Materials"/>
      <sheetName val="ANIMALS_MOUNTS"/>
      <sheetName val="STORES"/>
      <sheetName val="TAVERNS"/>
      <sheetName val="MOUNTS"/>
      <sheetName val="ENCOUNTERS"/>
      <sheetName val="MSIC"/>
      <sheetName val="NPC"/>
      <sheetName val="COINAGE"/>
      <sheetName val="Colors"/>
      <sheetName val="CONTAINERS"/>
      <sheetName val="MINING"/>
      <sheetName val="CORE_MAGIC_ITEMS_COST"/>
      <sheetName val="DRUGS"/>
      <sheetName val="ENHANCEMENTS"/>
      <sheetName val="FoodDrinks_modnar"/>
      <sheetName val="GEMS_REF"/>
      <sheetName val="GOODS SERVICES"/>
      <sheetName val="equipment 35ed"/>
      <sheetName val="HIRELINGS"/>
      <sheetName val="0 STAFF"/>
      <sheetName val="SPECIAL NPCS"/>
      <sheetName val="Herbs Plants Fungis of Realms"/>
      <sheetName val="Herbs_concotion"/>
      <sheetName val="RUNESTONES_FR"/>
      <sheetName val="RUNETECH_MARWANG"/>
      <sheetName val="Herbs_3"/>
      <sheetName val="Material Components"/>
      <sheetName val="Monster Parts Harvesting"/>
      <sheetName val="poisons"/>
      <sheetName val="ORIGINAL_5E"/>
      <sheetName val="Poisons_1"/>
      <sheetName val="posions_2"/>
      <sheetName val="MEquipment Packs"/>
      <sheetName val="MPoisons_drugs"/>
      <sheetName val="MService"/>
      <sheetName val="Gemss"/>
      <sheetName val="SPELLCASTING_FOCUSES"/>
      <sheetName val="TOBACCO_REF"/>
      <sheetName val="TOOLS"/>
      <sheetName val="Trade Goods_modnar"/>
      <sheetName val="VEHICLES"/>
      <sheetName val="0ARMOR"/>
      <sheetName val="0WEAPONS"/>
      <sheetName val="Аркуш1"/>
      <sheetName val="0 SIEGE WEAPONS"/>
      <sheetName val="Crafting"/>
      <sheetName val="Clockworks"/>
      <sheetName val="Weapons_modnar"/>
      <sheetName val="Аркуш1 (2)"/>
      <sheetName val="Ингридиенты"/>
      <sheetName val="Материалы"/>
      <sheetName val="DOWNTIME ACTIVITIES"/>
      <sheetName val="рецепты"/>
      <sheetName val="Снаряжение"/>
      <sheetName val="VALIDATION"/>
      <sheetName val="SOUR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2">
          <cell r="G2" t="str">
            <v>Flame Tongue</v>
          </cell>
        </row>
        <row r="3">
          <cell r="G3" t="str">
            <v/>
          </cell>
        </row>
        <row r="4">
          <cell r="G4" t="str">
            <v/>
          </cell>
        </row>
        <row r="5">
          <cell r="G5" t="str">
            <v/>
          </cell>
        </row>
        <row r="6">
          <cell r="G6" t="str">
            <v/>
          </cell>
        </row>
        <row r="7">
          <cell r="G7" t="str">
            <v/>
          </cell>
        </row>
        <row r="8">
          <cell r="G8" t="str">
            <v/>
          </cell>
        </row>
        <row r="9">
          <cell r="G9" t="str">
            <v/>
          </cell>
        </row>
        <row r="10">
          <cell r="G10" t="str">
            <v/>
          </cell>
        </row>
        <row r="11">
          <cell r="G11" t="str">
            <v/>
          </cell>
        </row>
        <row r="12">
          <cell r="G12" t="str">
            <v/>
          </cell>
        </row>
        <row r="13">
          <cell r="G13" t="str">
            <v/>
          </cell>
        </row>
        <row r="14">
          <cell r="G14" t="str">
            <v/>
          </cell>
        </row>
        <row r="15">
          <cell r="G15" t="str">
            <v/>
          </cell>
        </row>
        <row r="16">
          <cell r="G16" t="str">
            <v/>
          </cell>
        </row>
        <row r="17">
          <cell r="G17" t="str">
            <v/>
          </cell>
        </row>
        <row r="18">
          <cell r="G18" t="str">
            <v/>
          </cell>
        </row>
        <row r="19">
          <cell r="G19" t="str">
            <v/>
          </cell>
        </row>
        <row r="20">
          <cell r="G20" t="str">
            <v/>
          </cell>
        </row>
        <row r="21">
          <cell r="G21" t="str">
            <v/>
          </cell>
        </row>
        <row r="22">
          <cell r="G22" t="str">
            <v/>
          </cell>
        </row>
        <row r="23">
          <cell r="G23" t="str">
            <v/>
          </cell>
        </row>
        <row r="24">
          <cell r="G24" t="str">
            <v/>
          </cell>
        </row>
        <row r="25">
          <cell r="G25" t="str">
            <v/>
          </cell>
        </row>
        <row r="26">
          <cell r="G26" t="str">
            <v/>
          </cell>
        </row>
        <row r="27">
          <cell r="G27" t="str">
            <v/>
          </cell>
        </row>
        <row r="28">
          <cell r="G28" t="str">
            <v/>
          </cell>
        </row>
        <row r="29">
          <cell r="G29" t="str">
            <v/>
          </cell>
        </row>
        <row r="30">
          <cell r="G30" t="str">
            <v/>
          </cell>
        </row>
        <row r="31">
          <cell r="G31" t="str">
            <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row r="105">
          <cell r="G105" t="str">
            <v/>
          </cell>
        </row>
        <row r="106">
          <cell r="G106" t="str">
            <v/>
          </cell>
        </row>
        <row r="107">
          <cell r="G107" t="str">
            <v/>
          </cell>
        </row>
        <row r="108">
          <cell r="G108" t="str">
            <v/>
          </cell>
        </row>
        <row r="109">
          <cell r="G109" t="str">
            <v/>
          </cell>
        </row>
        <row r="110">
          <cell r="G110" t="str">
            <v/>
          </cell>
        </row>
        <row r="111">
          <cell r="G111" t="str">
            <v/>
          </cell>
        </row>
        <row r="112">
          <cell r="G112" t="str">
            <v/>
          </cell>
        </row>
        <row r="113">
          <cell r="G113" t="str">
            <v/>
          </cell>
        </row>
        <row r="114">
          <cell r="G114" t="str">
            <v/>
          </cell>
        </row>
        <row r="115">
          <cell r="G115" t="str">
            <v/>
          </cell>
        </row>
        <row r="116">
          <cell r="G116" t="str">
            <v/>
          </cell>
        </row>
        <row r="117">
          <cell r="G117" t="str">
            <v/>
          </cell>
        </row>
        <row r="118">
          <cell r="G118" t="str">
            <v/>
          </cell>
        </row>
        <row r="119">
          <cell r="G119" t="str">
            <v/>
          </cell>
        </row>
        <row r="120">
          <cell r="G120" t="str">
            <v/>
          </cell>
        </row>
        <row r="121">
          <cell r="G121" t="str">
            <v/>
          </cell>
        </row>
        <row r="122">
          <cell r="G122" t="str">
            <v/>
          </cell>
        </row>
        <row r="123">
          <cell r="G123" t="str">
            <v/>
          </cell>
        </row>
        <row r="124">
          <cell r="G124" t="str">
            <v/>
          </cell>
        </row>
        <row r="125">
          <cell r="G125" t="str">
            <v/>
          </cell>
        </row>
        <row r="126">
          <cell r="G126" t="str">
            <v/>
          </cell>
        </row>
        <row r="127">
          <cell r="G127" t="str">
            <v/>
          </cell>
        </row>
        <row r="128">
          <cell r="G128" t="str">
            <v/>
          </cell>
        </row>
        <row r="129">
          <cell r="G129" t="str">
            <v/>
          </cell>
        </row>
        <row r="130">
          <cell r="G130" t="str">
            <v/>
          </cell>
        </row>
        <row r="131">
          <cell r="G131" t="str">
            <v/>
          </cell>
        </row>
        <row r="132">
          <cell r="G132" t="str">
            <v/>
          </cell>
        </row>
        <row r="133">
          <cell r="G133" t="str">
            <v/>
          </cell>
        </row>
        <row r="134">
          <cell r="G134" t="str">
            <v/>
          </cell>
        </row>
        <row r="135">
          <cell r="G135" t="str">
            <v/>
          </cell>
        </row>
        <row r="136">
          <cell r="G136" t="str">
            <v/>
          </cell>
        </row>
        <row r="137">
          <cell r="G137" t="str">
            <v/>
          </cell>
        </row>
        <row r="138">
          <cell r="G138" t="str">
            <v/>
          </cell>
        </row>
        <row r="139">
          <cell r="G139" t="str">
            <v/>
          </cell>
        </row>
        <row r="140">
          <cell r="G140" t="str">
            <v/>
          </cell>
        </row>
        <row r="141">
          <cell r="G141" t="str">
            <v/>
          </cell>
        </row>
        <row r="142">
          <cell r="G142" t="str">
            <v/>
          </cell>
        </row>
        <row r="143">
          <cell r="G143" t="str">
            <v/>
          </cell>
        </row>
        <row r="144">
          <cell r="G144" t="str">
            <v/>
          </cell>
        </row>
        <row r="145">
          <cell r="G145" t="str">
            <v/>
          </cell>
        </row>
        <row r="146">
          <cell r="G146" t="str">
            <v/>
          </cell>
        </row>
        <row r="147">
          <cell r="G147" t="str">
            <v/>
          </cell>
        </row>
        <row r="148">
          <cell r="G148" t="str">
            <v/>
          </cell>
        </row>
        <row r="149">
          <cell r="G149" t="str">
            <v/>
          </cell>
        </row>
        <row r="150">
          <cell r="G150" t="str">
            <v/>
          </cell>
        </row>
        <row r="151">
          <cell r="G151" t="str">
            <v/>
          </cell>
        </row>
        <row r="152">
          <cell r="G152" t="str">
            <v/>
          </cell>
        </row>
        <row r="153">
          <cell r="G153" t="str">
            <v/>
          </cell>
        </row>
        <row r="154">
          <cell r="G154" t="str">
            <v/>
          </cell>
        </row>
        <row r="155">
          <cell r="G155" t="str">
            <v/>
          </cell>
        </row>
        <row r="156">
          <cell r="G156" t="str">
            <v/>
          </cell>
        </row>
        <row r="157">
          <cell r="G157" t="str">
            <v/>
          </cell>
        </row>
        <row r="158">
          <cell r="G158" t="str">
            <v/>
          </cell>
        </row>
        <row r="159">
          <cell r="G159" t="str">
            <v/>
          </cell>
        </row>
        <row r="160">
          <cell r="G160" t="str">
            <v/>
          </cell>
        </row>
        <row r="161">
          <cell r="G161" t="str">
            <v/>
          </cell>
        </row>
        <row r="162">
          <cell r="G162" t="str">
            <v/>
          </cell>
        </row>
        <row r="163">
          <cell r="G163" t="str">
            <v/>
          </cell>
        </row>
        <row r="164">
          <cell r="G164" t="str">
            <v/>
          </cell>
        </row>
        <row r="165">
          <cell r="G165" t="str">
            <v/>
          </cell>
        </row>
        <row r="166">
          <cell r="G166" t="str">
            <v/>
          </cell>
        </row>
        <row r="167">
          <cell r="G167" t="str">
            <v/>
          </cell>
        </row>
        <row r="168">
          <cell r="G168" t="str">
            <v/>
          </cell>
        </row>
        <row r="169">
          <cell r="G169" t="str">
            <v/>
          </cell>
        </row>
        <row r="170">
          <cell r="G170" t="str">
            <v/>
          </cell>
        </row>
        <row r="171">
          <cell r="G171" t="str">
            <v/>
          </cell>
        </row>
        <row r="172">
          <cell r="G172" t="str">
            <v/>
          </cell>
        </row>
        <row r="173">
          <cell r="G173" t="str">
            <v/>
          </cell>
        </row>
        <row r="174">
          <cell r="G174" t="str">
            <v/>
          </cell>
        </row>
        <row r="175">
          <cell r="G175" t="str">
            <v/>
          </cell>
        </row>
        <row r="176">
          <cell r="G176" t="str">
            <v/>
          </cell>
        </row>
        <row r="177">
          <cell r="G177" t="str">
            <v/>
          </cell>
        </row>
        <row r="178">
          <cell r="G178" t="str">
            <v/>
          </cell>
        </row>
        <row r="179">
          <cell r="G179" t="str">
            <v/>
          </cell>
        </row>
        <row r="180">
          <cell r="G180" t="str">
            <v/>
          </cell>
        </row>
        <row r="181">
          <cell r="G181" t="str">
            <v/>
          </cell>
        </row>
        <row r="182">
          <cell r="G182" t="str">
            <v/>
          </cell>
        </row>
        <row r="183">
          <cell r="G183" t="str">
            <v/>
          </cell>
        </row>
        <row r="184">
          <cell r="G184" t="str">
            <v/>
          </cell>
        </row>
        <row r="185">
          <cell r="G185" t="str">
            <v/>
          </cell>
        </row>
        <row r="186">
          <cell r="G186" t="str">
            <v/>
          </cell>
        </row>
        <row r="187">
          <cell r="G187" t="str">
            <v/>
          </cell>
        </row>
        <row r="188">
          <cell r="G188" t="str">
            <v/>
          </cell>
        </row>
        <row r="189">
          <cell r="G189" t="str">
            <v/>
          </cell>
        </row>
        <row r="190">
          <cell r="G190" t="str">
            <v/>
          </cell>
        </row>
        <row r="191">
          <cell r="G191" t="str">
            <v/>
          </cell>
        </row>
        <row r="192">
          <cell r="G192" t="str">
            <v/>
          </cell>
        </row>
        <row r="193">
          <cell r="G193" t="str">
            <v/>
          </cell>
        </row>
        <row r="194">
          <cell r="G194" t="str">
            <v/>
          </cell>
        </row>
        <row r="195">
          <cell r="G195" t="str">
            <v/>
          </cell>
        </row>
        <row r="196">
          <cell r="G196" t="str">
            <v/>
          </cell>
        </row>
        <row r="197">
          <cell r="G197" t="str">
            <v/>
          </cell>
        </row>
        <row r="198">
          <cell r="G198" t="str">
            <v/>
          </cell>
        </row>
        <row r="199">
          <cell r="G199" t="str">
            <v/>
          </cell>
        </row>
        <row r="200">
          <cell r="G200" t="str">
            <v/>
          </cell>
        </row>
        <row r="201">
          <cell r="G201" t="str">
            <v/>
          </cell>
        </row>
        <row r="202">
          <cell r="G202" t="str">
            <v/>
          </cell>
        </row>
        <row r="203">
          <cell r="G203" t="str">
            <v/>
          </cell>
        </row>
        <row r="204">
          <cell r="G204" t="str">
            <v/>
          </cell>
        </row>
        <row r="205">
          <cell r="G205" t="str">
            <v/>
          </cell>
        </row>
        <row r="206">
          <cell r="G206" t="str">
            <v/>
          </cell>
        </row>
        <row r="207">
          <cell r="G207" t="str">
            <v/>
          </cell>
        </row>
        <row r="208">
          <cell r="G208" t="str">
            <v/>
          </cell>
        </row>
        <row r="209">
          <cell r="G209" t="str">
            <v/>
          </cell>
        </row>
        <row r="210">
          <cell r="G210" t="str">
            <v/>
          </cell>
        </row>
        <row r="211">
          <cell r="G211" t="str">
            <v/>
          </cell>
        </row>
        <row r="212">
          <cell r="G212" t="str">
            <v/>
          </cell>
        </row>
        <row r="213">
          <cell r="G213" t="str">
            <v/>
          </cell>
        </row>
        <row r="214">
          <cell r="G214" t="str">
            <v/>
          </cell>
        </row>
        <row r="215">
          <cell r="G215" t="str">
            <v/>
          </cell>
        </row>
        <row r="216">
          <cell r="G216" t="str">
            <v/>
          </cell>
        </row>
        <row r="217">
          <cell r="G217" t="str">
            <v/>
          </cell>
        </row>
        <row r="218">
          <cell r="G218" t="str">
            <v/>
          </cell>
        </row>
        <row r="219">
          <cell r="G219" t="str">
            <v/>
          </cell>
        </row>
        <row r="220">
          <cell r="G220" t="str">
            <v/>
          </cell>
        </row>
        <row r="221">
          <cell r="G221" t="str">
            <v/>
          </cell>
        </row>
        <row r="222">
          <cell r="G222" t="str">
            <v/>
          </cell>
        </row>
        <row r="223">
          <cell r="G223" t="str">
            <v/>
          </cell>
        </row>
        <row r="224">
          <cell r="G224" t="str">
            <v/>
          </cell>
        </row>
        <row r="225">
          <cell r="G225" t="str">
            <v/>
          </cell>
        </row>
        <row r="226">
          <cell r="G226" t="str">
            <v/>
          </cell>
        </row>
        <row r="227">
          <cell r="G227" t="str">
            <v/>
          </cell>
        </row>
        <row r="228">
          <cell r="G228" t="str">
            <v/>
          </cell>
        </row>
        <row r="229">
          <cell r="G229" t="str">
            <v/>
          </cell>
        </row>
        <row r="230">
          <cell r="G230" t="str">
            <v/>
          </cell>
        </row>
        <row r="231">
          <cell r="G231" t="str">
            <v/>
          </cell>
        </row>
        <row r="232">
          <cell r="G232" t="str">
            <v/>
          </cell>
        </row>
        <row r="233">
          <cell r="G233" t="str">
            <v/>
          </cell>
        </row>
        <row r="234">
          <cell r="G234" t="str">
            <v/>
          </cell>
        </row>
        <row r="235">
          <cell r="G235" t="str">
            <v/>
          </cell>
        </row>
        <row r="236">
          <cell r="G236" t="str">
            <v/>
          </cell>
        </row>
        <row r="237">
          <cell r="G237" t="str">
            <v/>
          </cell>
        </row>
        <row r="238">
          <cell r="G238" t="str">
            <v/>
          </cell>
        </row>
        <row r="239">
          <cell r="G239" t="str">
            <v/>
          </cell>
        </row>
        <row r="240">
          <cell r="G240" t="str">
            <v/>
          </cell>
        </row>
        <row r="241">
          <cell r="G241" t="str">
            <v/>
          </cell>
        </row>
        <row r="242">
          <cell r="G242" t="str">
            <v/>
          </cell>
        </row>
        <row r="243">
          <cell r="G243" t="str">
            <v/>
          </cell>
        </row>
        <row r="244">
          <cell r="G244" t="str">
            <v/>
          </cell>
        </row>
        <row r="245">
          <cell r="G245" t="str">
            <v/>
          </cell>
        </row>
        <row r="246">
          <cell r="G246" t="str">
            <v/>
          </cell>
        </row>
        <row r="247">
          <cell r="G247" t="str">
            <v/>
          </cell>
        </row>
        <row r="248">
          <cell r="G248" t="str">
            <v/>
          </cell>
        </row>
        <row r="249">
          <cell r="G249" t="str">
            <v/>
          </cell>
        </row>
        <row r="250">
          <cell r="G250" t="str">
            <v/>
          </cell>
        </row>
        <row r="251">
          <cell r="G251" t="str">
            <v/>
          </cell>
        </row>
        <row r="252">
          <cell r="G252" t="str">
            <v/>
          </cell>
        </row>
        <row r="253">
          <cell r="G253" t="str">
            <v/>
          </cell>
        </row>
        <row r="254">
          <cell r="G254" t="str">
            <v/>
          </cell>
        </row>
        <row r="255">
          <cell r="G255" t="str">
            <v/>
          </cell>
        </row>
        <row r="256">
          <cell r="G256" t="str">
            <v/>
          </cell>
        </row>
        <row r="257">
          <cell r="G257" t="str">
            <v/>
          </cell>
        </row>
        <row r="258">
          <cell r="G258" t="str">
            <v/>
          </cell>
        </row>
        <row r="259">
          <cell r="G259" t="str">
            <v/>
          </cell>
        </row>
        <row r="260">
          <cell r="G260" t="str">
            <v/>
          </cell>
        </row>
        <row r="261">
          <cell r="G261" t="str">
            <v/>
          </cell>
        </row>
        <row r="262">
          <cell r="G262" t="str">
            <v/>
          </cell>
        </row>
        <row r="263">
          <cell r="G263" t="str">
            <v/>
          </cell>
        </row>
        <row r="264">
          <cell r="G264" t="str">
            <v/>
          </cell>
        </row>
        <row r="265">
          <cell r="G265" t="str">
            <v/>
          </cell>
        </row>
        <row r="266">
          <cell r="G266" t="str">
            <v/>
          </cell>
        </row>
        <row r="267">
          <cell r="G267" t="str">
            <v/>
          </cell>
        </row>
        <row r="268">
          <cell r="G268" t="str">
            <v/>
          </cell>
        </row>
        <row r="269">
          <cell r="G269" t="str">
            <v/>
          </cell>
        </row>
        <row r="270">
          <cell r="G270" t="str">
            <v/>
          </cell>
        </row>
        <row r="271">
          <cell r="G271" t="str">
            <v/>
          </cell>
        </row>
        <row r="272">
          <cell r="G272" t="str">
            <v/>
          </cell>
        </row>
        <row r="273">
          <cell r="G273" t="str">
            <v/>
          </cell>
        </row>
        <row r="274">
          <cell r="G274" t="str">
            <v/>
          </cell>
        </row>
        <row r="275">
          <cell r="G275" t="str">
            <v/>
          </cell>
        </row>
        <row r="276">
          <cell r="G276" t="str">
            <v/>
          </cell>
        </row>
        <row r="277">
          <cell r="G277" t="str">
            <v/>
          </cell>
        </row>
        <row r="278">
          <cell r="G278" t="str">
            <v/>
          </cell>
        </row>
        <row r="279">
          <cell r="G279" t="str">
            <v/>
          </cell>
        </row>
        <row r="280">
          <cell r="G280" t="str">
            <v/>
          </cell>
        </row>
        <row r="281">
          <cell r="G281" t="str">
            <v/>
          </cell>
        </row>
        <row r="282">
          <cell r="G282" t="str">
            <v/>
          </cell>
        </row>
        <row r="283">
          <cell r="G283" t="str">
            <v/>
          </cell>
        </row>
        <row r="284">
          <cell r="G284" t="str">
            <v/>
          </cell>
        </row>
        <row r="285">
          <cell r="G285" t="str">
            <v/>
          </cell>
        </row>
        <row r="286">
          <cell r="G286" t="str">
            <v/>
          </cell>
        </row>
        <row r="287">
          <cell r="G287" t="str">
            <v/>
          </cell>
        </row>
        <row r="288">
          <cell r="G288" t="str">
            <v/>
          </cell>
        </row>
        <row r="289">
          <cell r="G289" t="str">
            <v/>
          </cell>
        </row>
        <row r="290">
          <cell r="G290" t="str">
            <v/>
          </cell>
        </row>
        <row r="291">
          <cell r="G291" t="str">
            <v/>
          </cell>
        </row>
        <row r="292">
          <cell r="G292" t="str">
            <v/>
          </cell>
        </row>
        <row r="293">
          <cell r="G293" t="str">
            <v/>
          </cell>
        </row>
        <row r="294">
          <cell r="G294" t="str">
            <v/>
          </cell>
        </row>
        <row r="295">
          <cell r="G295" t="str">
            <v/>
          </cell>
        </row>
        <row r="296">
          <cell r="G296" t="str">
            <v/>
          </cell>
        </row>
        <row r="297">
          <cell r="G297" t="str">
            <v/>
          </cell>
        </row>
        <row r="298">
          <cell r="G298" t="str">
            <v/>
          </cell>
        </row>
        <row r="299">
          <cell r="G299" t="str">
            <v/>
          </cell>
        </row>
        <row r="300">
          <cell r="G300" t="str">
            <v/>
          </cell>
        </row>
        <row r="301">
          <cell r="G301" t="str">
            <v/>
          </cell>
        </row>
        <row r="302">
          <cell r="G302" t="str">
            <v/>
          </cell>
        </row>
        <row r="303">
          <cell r="G303" t="str">
            <v/>
          </cell>
        </row>
        <row r="304">
          <cell r="G304" t="str">
            <v/>
          </cell>
        </row>
        <row r="305">
          <cell r="G305" t="str">
            <v/>
          </cell>
        </row>
        <row r="306">
          <cell r="G306" t="str">
            <v/>
          </cell>
        </row>
        <row r="307">
          <cell r="G307" t="str">
            <v/>
          </cell>
        </row>
        <row r="308">
          <cell r="G308" t="str">
            <v/>
          </cell>
        </row>
        <row r="309">
          <cell r="G309" t="str">
            <v/>
          </cell>
        </row>
        <row r="310">
          <cell r="G310" t="str">
            <v/>
          </cell>
        </row>
        <row r="311">
          <cell r="G311" t="str">
            <v/>
          </cell>
        </row>
        <row r="312">
          <cell r="G312" t="str">
            <v/>
          </cell>
        </row>
        <row r="313">
          <cell r="G313" t="str">
            <v/>
          </cell>
        </row>
        <row r="314">
          <cell r="G314" t="str">
            <v/>
          </cell>
        </row>
        <row r="315">
          <cell r="G315" t="str">
            <v/>
          </cell>
        </row>
        <row r="316">
          <cell r="G316" t="str">
            <v/>
          </cell>
        </row>
        <row r="317">
          <cell r="G317" t="str">
            <v/>
          </cell>
        </row>
        <row r="318">
          <cell r="G318" t="str">
            <v/>
          </cell>
        </row>
        <row r="319">
          <cell r="G319" t="str">
            <v/>
          </cell>
        </row>
        <row r="320">
          <cell r="G320" t="str">
            <v/>
          </cell>
        </row>
        <row r="321">
          <cell r="G321" t="str">
            <v/>
          </cell>
        </row>
        <row r="322">
          <cell r="G322" t="str">
            <v/>
          </cell>
        </row>
        <row r="323">
          <cell r="G323" t="str">
            <v/>
          </cell>
        </row>
        <row r="324">
          <cell r="G324" t="str">
            <v/>
          </cell>
        </row>
        <row r="325">
          <cell r="G325" t="str">
            <v/>
          </cell>
        </row>
        <row r="326">
          <cell r="G326" t="str">
            <v/>
          </cell>
        </row>
        <row r="327">
          <cell r="G327" t="str">
            <v/>
          </cell>
        </row>
        <row r="328">
          <cell r="G328" t="str">
            <v/>
          </cell>
        </row>
        <row r="329">
          <cell r="G329" t="str">
            <v/>
          </cell>
        </row>
        <row r="330">
          <cell r="G330" t="str">
            <v/>
          </cell>
        </row>
        <row r="331">
          <cell r="G331" t="str">
            <v/>
          </cell>
        </row>
        <row r="332">
          <cell r="G332" t="str">
            <v/>
          </cell>
        </row>
        <row r="333">
          <cell r="G333" t="str">
            <v/>
          </cell>
        </row>
        <row r="334">
          <cell r="G334" t="str">
            <v/>
          </cell>
        </row>
        <row r="335">
          <cell r="G335" t="str">
            <v/>
          </cell>
        </row>
        <row r="336">
          <cell r="G336" t="str">
            <v/>
          </cell>
        </row>
        <row r="337">
          <cell r="G337" t="str">
            <v/>
          </cell>
        </row>
        <row r="338">
          <cell r="G338" t="str">
            <v/>
          </cell>
        </row>
        <row r="339">
          <cell r="G339" t="str">
            <v/>
          </cell>
        </row>
        <row r="340">
          <cell r="G340" t="str">
            <v/>
          </cell>
        </row>
        <row r="341">
          <cell r="G341" t="str">
            <v/>
          </cell>
        </row>
        <row r="342">
          <cell r="G342" t="str">
            <v/>
          </cell>
        </row>
        <row r="343">
          <cell r="G343" t="str">
            <v/>
          </cell>
        </row>
        <row r="344">
          <cell r="G344" t="str">
            <v/>
          </cell>
        </row>
        <row r="345">
          <cell r="G345" t="str">
            <v/>
          </cell>
        </row>
        <row r="346">
          <cell r="G346" t="str">
            <v/>
          </cell>
        </row>
        <row r="347">
          <cell r="G347" t="str">
            <v/>
          </cell>
        </row>
        <row r="348">
          <cell r="G348" t="str">
            <v/>
          </cell>
        </row>
        <row r="349">
          <cell r="G349" t="str">
            <v/>
          </cell>
        </row>
        <row r="350">
          <cell r="G350" t="str">
            <v/>
          </cell>
        </row>
        <row r="351">
          <cell r="G351" t="str">
            <v/>
          </cell>
        </row>
        <row r="352">
          <cell r="G352" t="str">
            <v/>
          </cell>
        </row>
        <row r="353">
          <cell r="G353" t="str">
            <v/>
          </cell>
        </row>
        <row r="354">
          <cell r="G354" t="str">
            <v/>
          </cell>
        </row>
        <row r="355">
          <cell r="G355" t="str">
            <v/>
          </cell>
        </row>
        <row r="356">
          <cell r="G356" t="str">
            <v/>
          </cell>
        </row>
        <row r="357">
          <cell r="G357" t="str">
            <v/>
          </cell>
        </row>
        <row r="358">
          <cell r="G358" t="str">
            <v/>
          </cell>
        </row>
        <row r="359">
          <cell r="G359" t="str">
            <v/>
          </cell>
        </row>
        <row r="360">
          <cell r="G360" t="str">
            <v/>
          </cell>
        </row>
        <row r="361">
          <cell r="G361" t="str">
            <v/>
          </cell>
        </row>
        <row r="362">
          <cell r="G362" t="str">
            <v/>
          </cell>
        </row>
        <row r="363">
          <cell r="G363" t="str">
            <v/>
          </cell>
        </row>
        <row r="364">
          <cell r="G364" t="str">
            <v/>
          </cell>
        </row>
        <row r="365">
          <cell r="G365" t="str">
            <v/>
          </cell>
        </row>
        <row r="366">
          <cell r="G366" t="str">
            <v/>
          </cell>
        </row>
        <row r="367">
          <cell r="G367" t="str">
            <v/>
          </cell>
        </row>
        <row r="368">
          <cell r="G368" t="str">
            <v/>
          </cell>
        </row>
        <row r="369">
          <cell r="G369" t="str">
            <v/>
          </cell>
        </row>
        <row r="370">
          <cell r="G370" t="str">
            <v/>
          </cell>
        </row>
        <row r="371">
          <cell r="G371" t="str">
            <v/>
          </cell>
        </row>
        <row r="372">
          <cell r="G372" t="str">
            <v/>
          </cell>
        </row>
        <row r="373">
          <cell r="G373" t="str">
            <v/>
          </cell>
        </row>
        <row r="374">
          <cell r="G374" t="str">
            <v/>
          </cell>
        </row>
        <row r="375">
          <cell r="G375" t="str">
            <v/>
          </cell>
        </row>
        <row r="376">
          <cell r="G376" t="str">
            <v/>
          </cell>
        </row>
        <row r="377">
          <cell r="G377" t="str">
            <v/>
          </cell>
        </row>
        <row r="378">
          <cell r="G378" t="str">
            <v/>
          </cell>
        </row>
        <row r="379">
          <cell r="G379" t="str">
            <v/>
          </cell>
        </row>
        <row r="380">
          <cell r="G380" t="str">
            <v/>
          </cell>
        </row>
        <row r="381">
          <cell r="G381" t="str">
            <v/>
          </cell>
        </row>
        <row r="382">
          <cell r="G382" t="str">
            <v/>
          </cell>
        </row>
        <row r="383">
          <cell r="G383" t="str">
            <v/>
          </cell>
        </row>
        <row r="384">
          <cell r="G384" t="str">
            <v/>
          </cell>
        </row>
        <row r="385">
          <cell r="G385" t="str">
            <v/>
          </cell>
        </row>
        <row r="386">
          <cell r="G386" t="str">
            <v/>
          </cell>
        </row>
        <row r="387">
          <cell r="G387" t="str">
            <v/>
          </cell>
        </row>
        <row r="388">
          <cell r="G388" t="str">
            <v/>
          </cell>
        </row>
        <row r="389">
          <cell r="G389" t="str">
            <v/>
          </cell>
        </row>
        <row r="390">
          <cell r="G390" t="str">
            <v/>
          </cell>
        </row>
        <row r="391">
          <cell r="G391" t="str">
            <v/>
          </cell>
        </row>
        <row r="392">
          <cell r="G392" t="str">
            <v/>
          </cell>
        </row>
        <row r="393">
          <cell r="G393" t="str">
            <v/>
          </cell>
        </row>
        <row r="394">
          <cell r="G394" t="str">
            <v/>
          </cell>
        </row>
        <row r="395">
          <cell r="G395" t="str">
            <v/>
          </cell>
        </row>
        <row r="396">
          <cell r="G396" t="str">
            <v/>
          </cell>
        </row>
        <row r="397">
          <cell r="G397" t="str">
            <v/>
          </cell>
        </row>
        <row r="398">
          <cell r="G398" t="str">
            <v/>
          </cell>
        </row>
        <row r="399">
          <cell r="G399" t="str">
            <v/>
          </cell>
        </row>
        <row r="400">
          <cell r="G400" t="str">
            <v/>
          </cell>
        </row>
        <row r="401">
          <cell r="G401" t="str">
            <v/>
          </cell>
        </row>
        <row r="402">
          <cell r="G402" t="str">
            <v/>
          </cell>
        </row>
        <row r="403">
          <cell r="G403" t="str">
            <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ounter chances"/>
      <sheetName val="COVER_TOC"/>
      <sheetName val="DM SCREEN"/>
      <sheetName val="ORCS"/>
      <sheetName val="yuan-ti"/>
      <sheetName val="00"/>
      <sheetName val="HOBGOBLINS"/>
      <sheetName val="Аркуш2"/>
      <sheetName val="Аркуш4"/>
      <sheetName val="39"/>
      <sheetName val="RND ENC2"/>
      <sheetName val="RND ENC"/>
      <sheetName val="HOLIDAYS"/>
      <sheetName val="Moon_Calendar"/>
      <sheetName val="COINS"/>
      <sheetName val="LANGUAGES"/>
      <sheetName val="CALENDAR1"/>
      <sheetName val="CALENDAR2"/>
      <sheetName val="CALENDAR3"/>
      <sheetName val="CALENDAR4"/>
      <sheetName val="CALENDAR5"/>
      <sheetName val="COSTS"/>
      <sheetName val="TERRAIN"/>
      <sheetName val="CAMP"/>
      <sheetName val="34"/>
      <sheetName val="36"/>
      <sheetName val="RND MAGIC ITEM"/>
      <sheetName val="NPC"/>
      <sheetName val="non combat encounters"/>
      <sheetName val="14"/>
      <sheetName val="15"/>
      <sheetName val="16"/>
      <sheetName val="SILVER MARCHES"/>
      <sheetName val="Аркуш1"/>
      <sheetName val="LEADERSHIP"/>
      <sheetName val="HAGS_BEHOLDERS"/>
      <sheetName val="GNOLLS"/>
      <sheetName val="DEMIHUMAN"/>
      <sheetName val="DUERGAR"/>
      <sheetName val="DEMON"/>
      <sheetName val="DWARF"/>
      <sheetName val="DEMONIC CULT"/>
      <sheetName val="HIRELINGS"/>
      <sheetName val="17"/>
      <sheetName val="18"/>
      <sheetName val="19"/>
      <sheetName val="20"/>
      <sheetName val="21"/>
      <sheetName val="22"/>
      <sheetName val="23"/>
      <sheetName val="5"/>
      <sheetName val="6"/>
      <sheetName val="7"/>
      <sheetName val="8"/>
      <sheetName val="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_LUNAR_CYCLE"/>
      <sheetName val="Sheet1"/>
      <sheetName val="Calendar for 1492"/>
      <sheetName val="Randomizer"/>
      <sheetName val="Spell List"/>
      <sheetName val="WEATHER_NORMAL"/>
      <sheetName val="WEATHER_CHULT"/>
      <sheetName val="COINAGE (2)"/>
      <sheetName val="COVER_TOC"/>
      <sheetName val="DM_SCREEN"/>
      <sheetName val="CALENDAR1"/>
      <sheetName val="CALENDAR2"/>
      <sheetName val="Аркуш2"/>
      <sheetName val="CALENDAR3"/>
      <sheetName val="CALENDAR4"/>
      <sheetName val="CALENDAR5"/>
      <sheetName val="Moon_Calendar"/>
      <sheetName val="HOLIDAYS"/>
      <sheetName val="Wards"/>
      <sheetName val="Buildings"/>
      <sheetName val="Аркуш4"/>
      <sheetName val="ENVIRONS"/>
      <sheetName val="Nobles"/>
      <sheetName val="Organizations"/>
      <sheetName val="Folk"/>
      <sheetName val="Name Generator"/>
      <sheetName val="NOBLES 3E"/>
      <sheetName val="City Watch"/>
      <sheetName val="City Guard"/>
      <sheetName val="City Navy"/>
      <sheetName val="Armed Forces"/>
      <sheetName val="Spellcasting Services"/>
      <sheetName val="OPTIONAL CONTENT"/>
      <sheetName val="Ships"/>
      <sheetName val="02VG"/>
      <sheetName val="PRESS"/>
      <sheetName val="CODE"/>
      <sheetName val="COINAGE"/>
      <sheetName val="COSTS"/>
      <sheetName val="ARTS"/>
      <sheetName val="AURORA"/>
      <sheetName val="DRUGS"/>
      <sheetName val="WINES"/>
      <sheetName val="09_gang generator"/>
      <sheetName val="09_MATERIAL COMPONENTS"/>
      <sheetName val="RANDOMS_"/>
      <sheetName val="LANGUAGES"/>
      <sheetName val="MISC"/>
      <sheetName val="0Z__"/>
      <sheetName val="DGtT"/>
      <sheetName val="HISTORY"/>
      <sheetName val="Other products"/>
      <sheetName val="DRAGONS"/>
      <sheetName val="Waterdeep 14th century"/>
      <sheetName val="SOURCES"/>
      <sheetName val="waterdeep_tables_v.0.95"/>
    </sheetNames>
    <sheetDataSet>
      <sheetData sheetId="0"/>
      <sheetData sheetId="1">
        <row r="3">
          <cell r="G3" t="str">
            <v xml:space="preserve">BT (Blackstaff Tower &amp; Candelkeep-Forum replies by Steven E. Schend) </v>
          </cell>
        </row>
      </sheetData>
      <sheetData sheetId="2"/>
      <sheetData sheetId="3"/>
      <sheetData sheetId="4"/>
      <sheetData sheetId="5"/>
      <sheetData sheetId="6"/>
      <sheetData sheetId="7"/>
      <sheetData sheetId="8"/>
      <sheetData sheetId="9">
        <row r="28">
          <cell r="O28" t="str">
            <v>NORTH</v>
          </cell>
        </row>
      </sheetData>
      <sheetData sheetId="10">
        <row r="3">
          <cell r="D3" t="str">
            <v>Hammer</v>
          </cell>
        </row>
      </sheetData>
      <sheetData sheetId="11"/>
      <sheetData sheetId="12"/>
      <sheetData sheetId="13"/>
      <sheetData sheetId="14"/>
      <sheetData sheetId="15"/>
      <sheetData sheetId="16"/>
      <sheetData sheetId="17">
        <row r="19">
          <cell r="C19" t="str">
            <v>Feast of Love</v>
          </cell>
        </row>
      </sheetData>
      <sheetData sheetId="18"/>
      <sheetData sheetId="19"/>
      <sheetData sheetId="20"/>
      <sheetData sheetId="21"/>
      <sheetData sheetId="22"/>
      <sheetData sheetId="23"/>
      <sheetData sheetId="24"/>
      <sheetData sheetId="25"/>
      <sheetData sheetId="26"/>
      <sheetData sheetId="27">
        <row r="66">
          <cell r="X66" t="str">
            <v>ґ</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2">
          <cell r="K2" t="str">
            <v>1 commoner with 1d6 goats</v>
          </cell>
        </row>
      </sheetData>
      <sheetData sheetId="46"/>
      <sheetData sheetId="47"/>
      <sheetData sheetId="48"/>
      <sheetData sheetId="49"/>
      <sheetData sheetId="50"/>
      <sheetData sheetId="51"/>
      <sheetData sheetId="52"/>
      <sheetData sheetId="53"/>
      <sheetData sheetId="54"/>
      <sheetData sheetId="55"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1797819B-2569-4B65-B014-63A80717C99A}" name="Таблиця198" displayName="Таблиця198" ref="A3:F8" totalsRowShown="0">
  <autoFilter ref="A3:F8" xr:uid="{BF32155E-CFEF-42F2-8FE1-E2A60163469D}"/>
  <tableColumns count="6">
    <tableColumn id="1" xr3:uid="{A1FF8207-584A-4FFE-841F-466C60857021}" name="Предложение"/>
    <tableColumn id="2" xr3:uid="{276CEBAD-5D08-4736-AD84-39E215416C4D}" name="Спрос отсутствует" dataDxfId="875"/>
    <tableColumn id="3" xr3:uid="{CB97C44D-0661-4E73-BB68-3C29D04AFECD}" name="Спрос низкий" dataDxfId="874"/>
    <tableColumn id="4" xr3:uid="{9FCDE4E5-9E8F-4C90-A76F-41D6BB3D08D2}" name="Спрос базовый" dataDxfId="873"/>
    <tableColumn id="5" xr3:uid="{9EB0FC08-C7E4-4D2F-9423-AA391CF51352}" name="Спрос Высокий" dataDxfId="872"/>
    <tableColumn id="6" xr3:uid="{D1E71659-C202-49BC-85A0-85DBCD1738F3}" name="Спрос крайне высокий" dataDxfId="871"/>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83B95EA2-E106-4523-8838-BD3780F65618}" name="Таблиця199" displayName="Таблиця199" ref="A10:F16" totalsRowShown="0">
  <autoFilter ref="A10:F16" xr:uid="{FE87F62A-ECFA-47F4-9E7C-0797047303A9}"/>
  <tableColumns count="6">
    <tableColumn id="1" xr3:uid="{00FFCEDB-548D-4FF8-BDA8-46590667AC4B}" name="Спрос"/>
    <tableColumn id="2" xr3:uid="{FAE666F7-F44C-49B7-B41B-40C85AED78E2}" name="Поселок"/>
    <tableColumn id="3" xr3:uid="{7742AF61-5952-43C0-8667-B14009EAB59B}" name="Деревня"/>
    <tableColumn id="4" xr3:uid="{0567FD0C-3EF7-470D-8DC4-7594E9EA90E4}" name="Небольшой город"/>
    <tableColumn id="5" xr3:uid="{43232D05-E052-4BBF-BF2F-27F1C86DB9D0}" name="Город"/>
    <tableColumn id="6" xr3:uid="{1FAF3AD6-5850-4200-B724-989F0D82D487}" name="Мегаполис"/>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7241E284-2695-4AA3-83CB-F2A3F76C729F}" name="Таблиця200" displayName="Таблиця200" ref="A29:B44" totalsRowShown="0">
  <autoFilter ref="A29:B44" xr:uid="{C2C87D0E-BDCE-4A11-8AC0-29EDC25C1756}"/>
  <tableColumns count="2">
    <tableColumn id="1" xr3:uid="{1C96EC39-FE6A-4C48-A90A-7F887317D1E1}" name="D100"/>
    <tableColumn id="2" xr3:uid="{00FD3598-C344-49F7-82A8-CCE87D5BFB3A}" name="GOODS"/>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CCD85F9-015C-4332-A333-136A0AE6A383}" name="Таблиця201" displayName="Таблиця201" ref="D29:E44" totalsRowShown="0">
  <autoFilter ref="D29:E44" xr:uid="{209EFD34-F24A-4C3A-8F5E-FE979281B6AE}"/>
  <tableColumns count="2">
    <tableColumn id="1" xr3:uid="{40FC3B91-4557-495E-BE3C-E427843E3325}" name="D100"/>
    <tableColumn id="2" xr3:uid="{A9C1A458-F585-465F-865C-3DA3F20C09EF}" name="GOODS"/>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4D136F03-9DB6-444A-86C7-F8E20B60B231}" name="Таблиця202" displayName="Таблиця202" ref="A19:B25" totalsRowShown="0">
  <autoFilter ref="A19:B25" xr:uid="{AC29686B-FA39-407A-BCB1-2B766A9A3608}"/>
  <tableColumns count="2">
    <tableColumn id="1" xr3:uid="{A8E386AE-2633-42C0-B14B-BC9D9180FB47}" name="к6"/>
    <tableColumn id="2" xr3:uid="{D56C482B-FF84-441F-BB38-D1C010CA5293}" name="Осложнение"/>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1B811E58-AF7B-4D4B-A279-86EFED8ECC1B}" name="Таблиця108" displayName="Таблиця108" ref="A49:D57" totalsRowShown="0" headerRowDxfId="870" dataDxfId="868" headerRowBorderDxfId="869" tableBorderDxfId="867" totalsRowBorderDxfId="866">
  <autoFilter ref="A49:D57" xr:uid="{AD966446-2847-47A6-A6CF-5E7677BD9843}"/>
  <tableColumns count="4">
    <tableColumn id="1" xr3:uid="{4EA5D88D-8DCE-4F2B-AC0D-E732AA4FAB55}" name="TRADING STATUS" dataDxfId="865"/>
    <tableColumn id="2" xr3:uid="{0967F7D2-F41E-475E-9501-79371F76987E}" name="AVAILABILITY" dataDxfId="864"/>
    <tableColumn id="3" xr3:uid="{055FD99F-B82D-46CD-839F-54B4DE7E8537}" name="COST REGULATION" dataDxfId="863"/>
    <tableColumn id="4" xr3:uid="{82C47362-3891-450B-9819-2F66D9B34457}" name="DESCRIPTION" dataDxfId="862"/>
  </tableColumns>
  <tableStyleInfo name="TableStyleMedium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382B6D5A-BC6E-4A8D-9C5B-94208952206D}" name="Таблиця109" displayName="Таблиця109" ref="A61:H69" totalsRowShown="0">
  <autoFilter ref="A61:H69" xr:uid="{DA715EC6-37C5-4983-8339-FB3FE9E15DC8}"/>
  <tableColumns count="8">
    <tableColumn id="1" xr3:uid="{E1F27FE8-84C5-463B-9022-E95B95E9313E}" name="SETTLEMENT SIZE"/>
    <tableColumn id="8" xr3:uid="{33785C57-1BAC-4186-8837-4EBE47EB0692}" name="POPULATION LOW"/>
    <tableColumn id="2" xr3:uid="{4BB0EFD3-1A99-4368-82AC-DCB0C46293D8}" name="POPULATION HIGH"/>
    <tableColumn id="3" xr3:uid="{205AD277-6953-423C-B5F0-C173D4BAE93F}" name="GP LIMIT"/>
    <tableColumn id="4" xr3:uid="{5DE4AFF3-9F87-414C-9C97-361BB0FC3361}" name="MERCHANT WEALTH"/>
    <tableColumn id="5" xr3:uid="{A37A8749-BE50-40F3-8B05-4F453988B67B}" name="CARAVAN WEALTH"/>
    <tableColumn id="6" xr3:uid="{7CA5B917-EB78-45BE-BD85-E920EEF1243C}" name="DC"/>
    <tableColumn id="7" xr3:uid="{1424AF0F-2A4C-4BB3-84A9-EDF5C83835AC}" name="CARAVANGUARDS"/>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E7DE97F6-1872-4BEC-938E-E2D5C4F5FE11}" name="Таблиця203" displayName="Таблиця203" ref="A75:G81" totalsRowShown="0">
  <autoFilter ref="A75:G81" xr:uid="{BCB1955F-2EA7-4260-A458-8E6A2A30C2EE}"/>
  <tableColumns count="7">
    <tableColumn id="1" xr3:uid="{D4449F24-7F8D-423B-BD0A-A7249E59ABDA}" name="Market Class"/>
    <tableColumn id="2" xr3:uid="{2E6EB048-1FD5-45C8-B38A-F30CEB63A227}" name="Toll"/>
    <tableColumn id="3" xr3:uid="{EC21475E-4801-4481-A5B6-44E7C959E085}" name="Merchants"/>
    <tableColumn id="4" xr3:uid="{C1037E42-F723-4184-9934-7318C9F9D741}" name="Loads of Merchandise"/>
    <tableColumn id="5" xr3:uid="{5B875773-2CA7-4FDD-A4DB-1F88E423AF68}" name="Passengers"/>
    <tableColumn id="6" xr3:uid="{F7E590BB-E151-4B38-8D1E-64063FA61752}" name="Shipping Contracts"/>
    <tableColumn id="7" xr3:uid="{9F4BC0DE-D09A-4CA8-A1A8-D51A15F5E00A}" name="Cargo to be Shipped"/>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1994360C-5C97-4E84-A2DB-9F5C843A3035}" name="Таблиця204" displayName="Таблиця204" ref="A84:G90" totalsRowShown="0">
  <autoFilter ref="A84:G90" xr:uid="{0ECFE53D-1609-4E6C-A2C3-2DE80B02E4DC}"/>
  <tableColumns count="7">
    <tableColumn id="1" xr3:uid="{18529744-3E6A-4743-AE78-5F6397513FA8}" name="Ship/Caravan"/>
    <tableColumn id="2" xr3:uid="{35CC3BCC-A9D1-489F-A960-6AAE1E3588C5}" name="Upfront Cost"/>
    <tableColumn id="3" xr3:uid="{D2640BCD-F0C5-429F-A60C-766B021131FB}" name="Ship Crew / Caravaneers"/>
    <tableColumn id="4" xr3:uid="{362D2D81-E175-43ED-A2EF-C1746380A788}" name="Average Cargo Weight Carried"/>
    <tableColumn id="5" xr3:uid="{E6AEA21D-EF9C-4DCB-A3E5-EA04FA01CCA6}" name="Average Cargo Value Carried (Treasure Type)"/>
    <tableColumn id="6" xr3:uid="{73A1DE53-CAC3-4A4C-954B-452D0A8B689C}" name="Average Monthly Costs"/>
    <tableColumn id="7" xr3:uid="{7EB9EBA3-2F4D-4CB7-871E-08A9E3684410}" name="Average Monthly Profits"/>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D2B05C6D-B959-4306-8F1D-97665E89EF92}" name="Таблиця205" displayName="Таблиця205" ref="A93:E114" totalsRowShown="0" headerRowDxfId="861">
  <autoFilter ref="A93:E114" xr:uid="{C3A9C03C-2C01-4712-B6A5-56185E3B5ECF}"/>
  <tableColumns count="5">
    <tableColumn id="1" xr3:uid="{5F36BB2B-9FF7-4F15-ABED-760EC3E1778A}" name="Roll" dataDxfId="860"/>
    <tableColumn id="2" xr3:uid="{EA185AD3-B0AD-44A9-A1BC-1B42673A58F7}" name="Merchandise" dataDxfId="859"/>
    <tableColumn id="3" xr3:uid="{9446AF90-CFC0-402F-B8B9-62E26C2E185D}" name="1 Load" dataDxfId="858"/>
    <tableColumn id="4" xr3:uid="{CBC94D40-38A6-47C9-B61D-8C0BE9CB2C78}" name="Enc. per Load (stone)" dataDxfId="857"/>
    <tableColumn id="5" xr3:uid="{66F0AFBC-0892-4541-829A-A877ACE19A1A}" name="Base Price" dataDxfId="856"/>
  </tableColumns>
  <tableStyleInfo name="TableStyleMedium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A9CB7BB-41EF-4DF7-BB3E-5BC5E9EAB471}" name="Таблиця206" displayName="Таблиця206" ref="A119:E130" totalsRowShown="0" headerRowDxfId="855">
  <autoFilter ref="A119:E130" xr:uid="{87F8140F-9C2B-4EC7-B9D8-22E3F56C31AA}"/>
  <tableColumns count="5">
    <tableColumn id="1" xr3:uid="{1B6BA89E-23F5-4E44-972A-E62C10744F52}" name="Roll" dataDxfId="854"/>
    <tableColumn id="2" xr3:uid="{590AB288-00FF-40D3-BF77-1873A400FDE4}" name="Merchandise" dataDxfId="853"/>
    <tableColumn id="3" xr3:uid="{5233B9F7-EF38-4E7D-BFE2-E168FB4DA5DB}" name="1 Load" dataDxfId="852"/>
    <tableColumn id="4" xr3:uid="{5C66FFDC-8CFF-4B27-BC06-D3320DB88913}" name="Enc. per Load (stone)" dataDxfId="851"/>
    <tableColumn id="5" xr3:uid="{C1468F73-B4E3-4CE4-9C0D-1D3C5AC1AD1B}" name="Base Price" dataDxfId="850"/>
  </tableColumns>
  <tableStyleInfo name="TableStyleMedium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81C22D9E-75F4-406C-B230-95F175BFF891}" name="Таблиця207" displayName="Таблиця207" ref="A134:F141" totalsRowShown="0" headerRowDxfId="849">
  <autoFilter ref="A134:F141" xr:uid="{0DAC1663-BA86-40C5-99C3-33A9727C3716}"/>
  <tableColumns count="6">
    <tableColumn id="1" xr3:uid="{5E7ADB2F-B8AF-445F-9EE8-9537CB86FEF0}" name="Roll" dataDxfId="848"/>
    <tableColumn id="2" xr3:uid="{4404AE64-1EDE-40C2-B683-516FE9E50252}" name="Animal" dataDxfId="847"/>
    <tableColumn id="3" xr3:uid="{9AC8C727-2E84-430D-A5B4-04568A859BB6}" name="Encumbrance per Animal, stone" dataDxfId="846"/>
    <tableColumn id="4" xr3:uid="{D26D178D-741E-459E-B643-2FB9EDF8319E}" name="Animals per Load" dataDxfId="845"/>
    <tableColumn id="5" xr3:uid="{F803BF00-18AB-4AC1-B5CA-9673522EA326}" name="Fodder Cost per Load (10 stone)" dataDxfId="844"/>
    <tableColumn id="6" xr3:uid="{C50AB526-374C-4C02-8503-0FECE089468B}" name="Price per Load" dataDxfId="843"/>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4BDF7F3A-A248-4B23-8FC4-50A8792B2540}" name="Таблиця208" displayName="Таблиця208" ref="A171:D181" totalsRowShown="0">
  <autoFilter ref="A171:D181" xr:uid="{B6FC60DA-FD71-4EB9-B57C-63522CBB8BF6}"/>
  <tableColumns count="4">
    <tableColumn id="1" xr3:uid="{5E23E7B2-5BBD-4985-9915-0BC7030A85B8}" name="Spell Level"/>
    <tableColumn id="2" xr3:uid="{2807A265-87B0-4D11-A66F-12AC07B1A519}" name="Time" dataCellStyle="Ввід"/>
    <tableColumn id="3" xr3:uid="{93D13539-E5A4-4078-990B-4EA8E330BC8C}" name="Cost" dataCellStyle="Ввід"/>
    <tableColumn id="4" xr3:uid="{15C83842-447B-46A0-8550-D9F5C9067713}" name="SPECIAL COMPONENTS" dataCellStyle="Ввід"/>
  </tableColumns>
  <tableStyleInfo name="TableStyleMedium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136E73DE-B0A5-49C1-9E7C-B5D6D3BED29E}" name="Таблиця209" displayName="Таблиця209" ref="A215:C230" totalsRowShown="0">
  <autoFilter ref="A215:C230" xr:uid="{00D4DE49-738F-4E05-BFB4-D8B9214F7AC8}"/>
  <tableColumns count="3">
    <tableColumn id="1" xr3:uid="{28420E00-3450-42F9-8A0B-164DF605B187}" name="Item Type"/>
    <tableColumn id="2" xr3:uid="{E3ECDA04-4719-4D26-8729-2D189185EDD6}" name="Base Cost" dataCellStyle="Ввід"/>
    <tableColumn id="3" xr3:uid="{D51AB98B-2603-4ECD-B7E2-F2ACF078FD5E}" name="Time" dataCellStyle="Ввід"/>
  </tableColumns>
  <tableStyleInfo name="TableStyleMedium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5B07FE2F-B62E-48A6-8C1E-E5D7F244C94C}" name="Таблиця210" displayName="Таблиця210" ref="A232:D240" totalsRowShown="0">
  <autoFilter ref="A232:D240" xr:uid="{4E984DF5-E46E-4A80-89C0-B64AA9486D28}"/>
  <tableColumns count="4">
    <tableColumn id="1" xr3:uid="{3135D42D-4C88-4149-95AE-A53AD264CB15}" name="Item Type"/>
    <tableColumn id="2" xr3:uid="{00B01436-7858-4709-B374-EC73FF14D661}" name="Base Cost"/>
    <tableColumn id="3" xr3:uid="{2162382C-B4F9-49D7-AC6E-C6D4ED282931}" name="Time"/>
    <tableColumn id="4" xr3:uid="{8E0EF9E6-3714-4AE5-BA19-BC0F1A5C1B14}" name="Possible Special Components"/>
  </tableColumns>
  <tableStyleInfo name="TableStyleMedium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C6D1AB33-4677-4FA6-9EE2-C694CAFECEDC}" name="Таблиця211" displayName="Таблиця211" ref="A268:B274" totalsRowShown="0">
  <autoFilter ref="A268:B274" xr:uid="{8830A82A-A631-4302-8329-8B9F5F01F11C}"/>
  <tableColumns count="2">
    <tableColumn id="1" xr3:uid="{DD109584-017F-4DA2-98B9-6E01F88837AE}" name="d6"/>
    <tableColumn id="2" xr3:uid="{103CFE20-E732-41BE-99F2-B932F224C4AC}" name="Complication"/>
  </tableColumns>
  <tableStyleInfo name="TableStyleMedium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E8628D8C-3288-44AF-BE39-0AC031E06CC3}" name="Таблиця212" displayName="Таблиця212" ref="A260:D266" totalsRowShown="0">
  <autoFilter ref="A260:D266" xr:uid="{485B8D2A-1DA4-4927-AA01-8164722A043C}"/>
  <tableColumns count="4">
    <tableColumn id="1" xr3:uid="{364F366F-90F5-4DAA-B634-6024840FA982}" name="Item Rarity"/>
    <tableColumn id="2" xr3:uid="{5E6AABE3-204C-438F-A382-32725DE0D41F}" name="Days"/>
    <tableColumn id="3" xr3:uid="{BC31A660-6F02-4BCE-873C-4D5D63185554}" name="Cost*"/>
    <tableColumn id="4" xr3:uid="{7C6502DF-BAD4-40D9-9382-1A048D29D6CB}" name="Стовпець1"/>
  </tableColumns>
  <tableStyleInfo name="TableStyleMedium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DE3CFB3B-4869-4A42-888D-07A043356DDE}" name="Таблиця213" displayName="Таблиця213" ref="A252:C257" totalsRowShown="0">
  <autoFilter ref="A252:C257" xr:uid="{BC394FE2-68A9-4098-BE10-EBD9EA597DA2}"/>
  <tableColumns count="3">
    <tableColumn id="1" xr3:uid="{CBB09A52-34FE-4AEB-A52E-CEEB1E5938AF}" name="Item Rarity"/>
    <tableColumn id="2" xr3:uid="{BA2C28B6-5A69-4F81-8A08-18BD17C44720}" name="Days" dataCellStyle="Ввід"/>
    <tableColumn id="3" xr3:uid="{D84A83C0-F382-40BA-8A26-A471B8673450}" name="Minimum Skill bonus" dataCellStyle="Ввід"/>
  </tableColumns>
  <tableStyleInfo name="TableStyleMedium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78B46DA4-BC63-46EC-B318-A27DFDF9E0FD}" name="Таблиця214" displayName="Таблиця214" ref="A245:C250" totalsRowShown="0">
  <autoFilter ref="A245:C250" xr:uid="{4DA42CFE-8790-40CB-957D-78F581E0F38C}"/>
  <tableColumns count="3">
    <tableColumn id="1" xr3:uid="{F3A822C2-7386-474A-A9C3-0446BEF44803}" name="Item Rarity"/>
    <tableColumn id="2" xr3:uid="{E2EA54B7-FC18-4345-877E-C4D35306D480}" name="challenge, min" dataCellStyle="Ввід"/>
    <tableColumn id="3" xr3:uid="{48DE9185-22D5-42A3-9211-DC449164B927}" name="challenge, max" dataCellStyle="Ввід"/>
  </tableColumns>
  <tableStyleInfo name="TableStyleMedium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274DE29F-D990-41E3-B292-689E8A358099}" name="Таблиця215" displayName="Таблиця215" ref="A283:C289" totalsRowShown="0">
  <autoFilter ref="A283:C289" xr:uid="{A0DC6E2D-437A-4329-9212-E1DF9C72777D}"/>
  <tableColumns count="3">
    <tableColumn id="1" xr3:uid="{618BA547-C1DF-4BBE-8A8E-281EA31D8B11}" name="Type"/>
    <tableColumn id="2" xr3:uid="{FD9FB5BE-1CEE-47CE-BCA4-6E22301C2C31}" name="Time"/>
    <tableColumn id="3" xr3:uid="{01925F49-7CFB-475E-89B8-34FBE9E13630}" name="Cost"/>
  </tableColumns>
  <tableStyleInfo name="TableStyleMedium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5607EFA-6892-499E-AD88-E72D957A2C6D}" name="Таблиця216" displayName="Таблиця216" ref="A316:B322" totalsRowShown="0">
  <autoFilter ref="A316:B322" xr:uid="{25DE6FEE-1F79-44AC-A00A-51F6E7F2BB41}"/>
  <tableColumns count="2">
    <tableColumn id="1" xr3:uid="{54C97488-F30F-430A-846A-4D5A5327A365}" name="d6"/>
    <tableColumn id="2" xr3:uid="{7C77F0FB-C24D-4A84-8384-A61B84062C96}" name="Complication"/>
  </tableColumns>
  <tableStyleInfo name="TableStyleMedium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DCCAEFFD-804E-4F14-9AE8-5A0A801D7E1E}" name="Таблиця217" displayName="Таблиця217" ref="A303:E313" totalsRowShown="0">
  <autoFilter ref="A303:E313" xr:uid="{9051C7ED-53A9-4D7F-B0BA-C6DF47BE6DE1}"/>
  <tableColumns count="5">
    <tableColumn id="1" xr3:uid="{B7D46272-ABCF-40A1-9CBA-CE424DC8AC2C}" name="Spell Level"/>
    <tableColumn id="2" xr3:uid="{BCF3B89F-FE0F-421B-92CF-806ADA8F645C}" name="Time" dataCellStyle="Ввід"/>
    <tableColumn id="3" xr3:uid="{313BC4D6-71AF-4638-8F3B-5DF33B8EF4B5}" name="Cost" dataCellStyle="Ввід"/>
    <tableColumn id="4" xr3:uid="{055CCBEB-06B9-466E-9E60-58872621EC5A}" name="RARITY"/>
    <tableColumn id="5" xr3:uid="{0C3A0210-FA4A-423C-A994-7B6D61CD3BD1}" name="Стовпець1"/>
  </tableColumns>
  <tableStyleInfo name="TableStyleMedium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31C7A34C-6FD1-4A0A-B5B5-D2C1697EC289}" name="Таблиця218" displayName="Таблиця218" ref="A277:B281" totalsRowShown="0">
  <autoFilter ref="A277:B281" xr:uid="{1AD992BF-7C9A-4167-AC02-AEC3DE211593}"/>
  <tableColumns count="2">
    <tableColumn id="1" xr3:uid="{FC73AAB5-750F-4982-A6A2-81A3EF1ACC83}" name="Proficiency"/>
    <tableColumn id="2" xr3:uid="{31292F2F-3C3A-48CE-94DE-0EEB9093BC43}" name="Items"/>
  </tableColumns>
  <tableStyleInfo name="TableStyleMedium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C6C309E-1463-495C-8901-EAD1EF177A04}" name="Таблиця219" displayName="Таблиця219" ref="D268:E274" totalsRowShown="0">
  <autoFilter ref="D268:E274" xr:uid="{F723454D-34CD-4ED5-A730-E20A3914F9C2}"/>
  <tableColumns count="2">
    <tableColumn id="1" xr3:uid="{21BC47F1-B4DD-4068-97C5-F44BAEAB889D}" name="d6"/>
    <tableColumn id="2" xr3:uid="{5671F6B4-E11F-4EB1-BA2B-85EA7EFC6E35}" name="Complication"/>
  </tableColumns>
  <tableStyleInfo name="TableStyleMedium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CE2809F0-2AFF-4EAA-81ED-2CF54021E42D}" name="Таблиця220" displayName="Таблиця220" ref="A291:B297" totalsRowShown="0">
  <autoFilter ref="A291:B297" xr:uid="{C65C664D-63CC-4278-A056-A330404AA341}"/>
  <tableColumns count="2">
    <tableColumn id="1" xr3:uid="{39088A4C-DCDC-49AF-B722-C8CCDB1B060F}" name="d6"/>
    <tableColumn id="2" xr3:uid="{77BC7CF9-908D-495F-A6E2-EAABA66EAD8B}" name="Complication"/>
  </tableColumns>
  <tableStyleInfo name="TableStyleMedium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1CBD14EB-0D1A-4D65-9282-04686FA9F479}" name="Таблиця221" displayName="Таблиця221" ref="A193:B197" totalsRowShown="0">
  <autoFilter ref="A193:B197" xr:uid="{6C11738E-1CC8-462C-8659-F69342931520}"/>
  <tableColumns count="2">
    <tableColumn id="1" xr3:uid="{E9A5C370-B913-433C-8B55-E85A461E0DE6}" name="Library"/>
    <tableColumn id="2" xr3:uid="{046770E9-B01D-4C03-AB1A-E14719F89692}" name="VALUE" dataCellStyle="Ввід"/>
  </tableColumns>
  <tableStyleInfo name="TableStyleLight8"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47BE22E0-AF9A-42AB-9731-C15883AB6AC0}" name="Таблиця222" displayName="Таблиця222" ref="A200:B204" totalsRowShown="0">
  <autoFilter ref="A200:B204" xr:uid="{3AC5E57E-59D1-46DA-90AD-FE1DCA8B88B6}"/>
  <tableColumns count="2">
    <tableColumn id="1" xr3:uid="{0222CA11-684A-41EB-A891-F865B98D0F7C}" name="WORKSHOP"/>
    <tableColumn id="2" xr3:uid="{357F9AA0-20D0-41E7-BA2E-E6148D8529AE}" name="VALUE" dataCellStyle="Ввід"/>
  </tableColumns>
  <tableStyleInfo name="TableStyleMedium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2" xr:uid="{E236BAD3-CAB3-4DCD-AA73-9E92CA937A86}" name="Таблиця223" displayName="Таблиця223" ref="A186:D189" totalsRowShown="0">
  <autoFilter ref="A186:D189" xr:uid="{2F048B33-A025-4FE3-9677-D2F6E957472F}"/>
  <tableColumns count="4">
    <tableColumn id="1" xr3:uid="{96789788-1A94-4BEB-B716-45642C595E74}" name="TASK"/>
    <tableColumn id="2" xr3:uid="{DB4D991A-0BDE-46D4-A548-6005F3939B32}" name="Cost" dataCellStyle="Ввід"/>
    <tableColumn id="3" xr3:uid="{CACC901E-675F-4EF2-B488-0D0D523470AF}" name="TIME, PER SL" dataCellStyle="Ввід"/>
    <tableColumn id="4" xr3:uid="{B79126EA-A0D7-4AC7-90C7-01AA60F3700C}" name="DC" dataCellStyle="Ввід"/>
  </tableColumns>
  <tableStyleInfo name="TableStyleLight8"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D30F94B9-40BD-45BB-9ABA-E03E7B6F3D4E}" name="Таблиця224" displayName="Таблиця224" ref="E196:H205" totalsRowShown="0">
  <autoFilter ref="E196:H205" xr:uid="{A6F80A0E-D5CE-4911-9DD7-4084F749238E}"/>
  <tableColumns count="4">
    <tableColumn id="1" xr3:uid="{FC627531-29AE-4BA6-A964-89822CFA3EBB}" name="SPELL LEVEL"/>
    <tableColumn id="2" xr3:uid="{E67CA0F1-E31E-40D5-92A2-A26FA4A32723}" name="MINIMAL LIBRARY COST">
      <calculatedColumnFormula>+$B$196*(E197-$E$197)+$F$197</calculatedColumnFormula>
    </tableColumn>
    <tableColumn id="3" xr3:uid="{48DAD5F1-7474-42AE-8D8B-409C790DBE31}" name="RESEARCH COST">
      <calculatedColumnFormula>1000*E197</calculatedColumnFormula>
    </tableColumn>
    <tableColumn id="4" xr3:uid="{0CC24545-5D60-415C-A61A-CBD2146E53E0}" name="TIME">
      <calculatedColumnFormula>$C$187*E197</calculatedColumnFormula>
    </tableColumn>
  </tableColumns>
  <tableStyleInfo name="TableStyleMedium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B6415879-5962-478B-A37B-C969A617185C}" name="Таблиця226" displayName="Таблиця226" ref="A339:G344" totalsRowShown="0" tableBorderDxfId="842">
  <autoFilter ref="A339:G344" xr:uid="{EFFBF106-06D9-4B02-85A4-BCB5CAB2AE35}"/>
  <tableColumns count="7">
    <tableColumn id="1" xr3:uid="{6C9F6615-B849-4D0F-BB94-7405B09CF1AE}" name="RARITY" dataDxfId="841"/>
    <tableColumn id="2" xr3:uid="{3D5E2FE2-F72A-4481-8E55-478E55C8E6C3}" name="MATERIAL COST, GP" dataCellStyle="Ввід"/>
    <tableColumn id="3" xr3:uid="{AA69CF4F-CEA2-4108-9500-802094D88B2D}" name="LABOR COST, GP" dataCellStyle="Ввід"/>
    <tableColumn id="4" xr3:uid="{8149A8FE-6AB9-4441-BA48-BCBAFCDEBFCD}" name="MIN" dataCellStyle="Ввід"/>
    <tableColumn id="5" xr3:uid="{E7CACF04-BB45-4802-B664-708E81971A63}" name="MAX" dataCellStyle="Ввід"/>
    <tableColumn id="6" xr3:uid="{DC7875EB-ABE2-4F77-B475-AAE5AF48F189}" name="BASE PRICE" dataCellStyle="Ввід"/>
    <tableColumn id="7" xr3:uid="{0DAA6B4C-871A-4A35-BFF7-B90025CBC0B5}" name="BASE COMISSION PRICE" dataCellStyle="Ввід"/>
  </tableColumns>
  <tableStyleInfo name="TableStyleLight8"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77DE8044-4F7E-47A4-B437-52E3513CDCA6}" name="Таблиця227" displayName="Таблиця227" ref="A347:C351" totalsRowShown="0">
  <autoFilter ref="A347:C351" xr:uid="{672D6CB2-EE56-4DA2-83C9-2A91C3C9A678}"/>
  <tableColumns count="3">
    <tableColumn id="1" xr3:uid="{8171D5BA-7C37-47A6-880F-7AD515175E7E}" name="ABILITY"/>
    <tableColumn id="2" xr3:uid="{76D0785B-597A-4092-8465-30A27A79F157}" name="MINOR" dataCellStyle="Ввід"/>
    <tableColumn id="3" xr3:uid="{596387D9-7BB5-410B-A533-930293E3327C}" name="MAJOR" dataCellStyle="Ввід"/>
  </tableColumns>
  <tableStyleInfo name="TableStyleMedium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 xr:uid="{FE1F3DC7-139D-44A2-A1BD-1F28BBB9317A}" name="Таблиця228" displayName="Таблиця228" ref="A358:B383" totalsRowShown="0">
  <autoFilter ref="A358:B383" xr:uid="{399CE3FE-0B15-4829-9775-4BD38D19B0C3}"/>
  <sortState xmlns:xlrd2="http://schemas.microsoft.com/office/spreadsheetml/2017/richdata2" ref="A359:B383">
    <sortCondition ref="A358:A383"/>
  </sortState>
  <tableColumns count="2">
    <tableColumn id="1" xr3:uid="{014BE4AC-9EDA-4980-8A99-A22D92BCBAF9}" name="ITEM QUALITY"/>
    <tableColumn id="2" xr3:uid="{AB23D837-6C3D-4355-9BBD-8196B02FC2E3}" name="Стовпець1"/>
  </tableColumns>
  <tableStyleInfo name="TableStyleMedium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7" xr:uid="{72CCE21B-5F6F-417D-924B-98D38BAA41E2}" name="Таблиця229" displayName="Таблиця229" ref="F347:G358" totalsRowShown="0">
  <autoFilter ref="F347:G358" xr:uid="{477AF082-F537-4C68-8208-9EC2B48A4240}"/>
  <tableColumns count="2">
    <tableColumn id="1" xr3:uid="{C91450F3-6405-4758-962C-19E9508ACCB8}" name="Стовпець1"/>
    <tableColumn id="2" xr3:uid="{0034B3E5-CCA9-4E52-B32B-8033A457C627}" name="Стовпець2" dataDxfId="840"/>
  </tableColumns>
  <tableStyleInfo name="TableStyleMedium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8" xr:uid="{4052F2E9-11F7-44F1-8883-09419ADED4EC}" name="Таблиця230" displayName="Таблиця230" ref="A387:B694" totalsRowShown="0">
  <autoFilter ref="A387:B694" xr:uid="{03862BFA-7EC8-4855-933A-6130548EED26}"/>
  <tableColumns count="2">
    <tableColumn id="1" xr3:uid="{D79BFC08-B1B1-41E5-B99B-5237D0601E27}" name="Item"/>
    <tableColumn id="2" xr3:uid="{EE725675-4548-4855-A192-CC84A70951BE}" name="Price (gp)"/>
  </tableColumns>
  <tableStyleInfo name="TableStyleMedium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9" xr:uid="{7D2B8995-F6A2-4191-8076-91C7BFFBE0F4}" name="Таблиця88180" displayName="Таблиця88180" ref="A715:C722" totalsRowShown="0">
  <autoFilter ref="A715:C722" xr:uid="{52727C75-4805-43AD-9387-5643850867D4}"/>
  <tableColumns count="3">
    <tableColumn id="1" xr3:uid="{E5D1656F-B707-4B10-BF66-02EB960675E2}" name="Tier"/>
    <tableColumn id="2" xr3:uid="{F7442245-7E7E-4FDE-857C-9033FA3FCC88}" name="LEVELS" dataCellStyle="Ввід"/>
    <tableColumn id="3" xr3:uid="{8C564F94-E04C-49BC-9621-BD91A5964422}" name="Proficiency bonus"/>
  </tableColumns>
  <tableStyleInfo name="TableStyleMedium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0" xr:uid="{42C25DEC-F388-4086-9305-69C90550B09B}" name="Таблиця129" displayName="Таблиця129" ref="A724:C729" totalsRowShown="0" headerRowDxfId="839" headerRowBorderDxfId="838" tableBorderDxfId="837">
  <autoFilter ref="A724:C729" xr:uid="{5AD3E31F-1318-4838-BB2A-BFBCCDA96CC6}"/>
  <tableColumns count="3">
    <tableColumn id="1" xr3:uid="{A7CDBD4A-B173-40E1-A3E9-8C2D05374726}" name="Tier"/>
    <tableColumn id="2" xr3:uid="{8DD6008A-436B-4882-A00B-9C3DAC1495EE}" name="LEVELS" dataCellStyle="Ввід"/>
    <tableColumn id="3" xr3:uid="{EA5A82A2-1278-4998-8014-270B0139DF9A}" name="Proficiency bonus"/>
  </tableColumns>
  <tableStyleInfo name="TableStyleMedium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1" xr:uid="{C8E7FD83-4620-4363-A0D9-438B177D0A3A}" name="Таблиця153" displayName="Таблиця153" ref="A770:B776" totalsRowShown="0">
  <autoFilter ref="A770:B776" xr:uid="{654C31C3-1643-4EC6-8784-136FD588BB8A}"/>
  <tableColumns count="2">
    <tableColumn id="1" xr3:uid="{B5BC01A2-06F4-492A-AF0A-F5166C6AC5DB}" name="Обычные"/>
    <tableColumn id="2" xr3:uid="{8D8A19DA-20B3-43FB-ABF3-0C2B83C9FC5D}" name="Ремесленник знает все распространенные рецепты или схемы изготовления предметов"/>
  </tableColumns>
  <tableStyleInfo name="TableStyleLight8"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2" xr:uid="{FF65D2D3-0CDF-492D-B2E6-B5FA97C29492}" name="Таблиця186" displayName="Таблиця186" ref="A960:C979" totalsRowShown="0">
  <autoFilter ref="A960:C979" xr:uid="{1A58D764-0A6D-479D-B82E-00FCF7640014}"/>
  <tableColumns count="3">
    <tableColumn id="1" xr3:uid="{05F59409-A947-48F7-B4A8-F8A73CC2DC76}" name="MASTERCRAFT ARMOR, WEAPONS"/>
    <tableColumn id="2" xr3:uid="{223F77D8-7AB5-4A07-9789-BF49D4EB29AD}" name="GROUP"/>
    <tableColumn id="3" xr3:uid="{0EAB795A-B8BA-4660-AD1C-678AB7401F59}" name="DESCRIPTION"/>
  </tableColumns>
  <tableStyleInfo name="TableStyleMedium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3" xr:uid="{6353DEA7-1F67-40B9-B3BE-4826E8956A7F}" name="Таблиця187" displayName="Таблиця187" ref="A1001:G1075" totalsRowShown="0">
  <autoFilter ref="A1001:G1075" xr:uid="{F8E28240-EBFD-4A49-976C-3C346BD5722C}"/>
  <tableColumns count="7">
    <tableColumn id="1" xr3:uid="{6AED8FAB-18D9-4ABD-A176-F33E97854399}" name="Item"/>
    <tableColumn id="2" xr3:uid="{FB2BE17D-ECF9-4B4D-8ED2-CA029D926297}" name="Source"/>
    <tableColumn id="3" xr3:uid="{A236F817-CA3C-4EFE-B8EA-6D3313E7FC3F}" name="Monster"/>
    <tableColumn id="4" xr3:uid="{3679D913-AD65-46C4-9F77-5DE71AA1D055}" name="CR"/>
    <tableColumn id="5" xr3:uid="{234587CE-A18D-4291-B557-A40F0AF4DA75}" name="Rarity"/>
    <tableColumn id="6" xr3:uid="{3F010A2E-3617-4CB7-862C-58A498DEE6AE}" name="Cost"/>
    <tableColumn id="7" xr3:uid="{B9702987-3D23-4081-9502-1760469598C7}" name="DC/Dice"/>
  </tableColumns>
  <tableStyleInfo name="TableStyleLight8"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4" xr:uid="{6CF05B09-7012-4928-9E39-CB09C290E72E}" name="Таблиця188" displayName="Таблиця188" ref="A1078:C1108" totalsRowShown="0">
  <autoFilter ref="A1078:C1108" xr:uid="{BFB55907-F063-4F76-A611-2987A77A571C}"/>
  <tableColumns count="3">
    <tableColumn id="1" xr3:uid="{A176D217-F482-4C88-B496-F7CC6F341586}" name="Item"/>
    <tableColumn id="2" xr3:uid="{B4085352-213B-4EFE-A44B-4A4181D74133}" name="Rarity"/>
    <tableColumn id="3" xr3:uid="{F7FD74FA-FFC3-4025-A903-C756485F9632}" name="Cost"/>
  </tableColumns>
  <tableStyleInfo name="TableStyleLight8"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5" xr:uid="{25EA5545-1B47-431C-A1C1-2501F492214E}" name="Таблиця231" displayName="Таблиця231" ref="A1112:C1122" totalsRowShown="0">
  <autoFilter ref="A1112:C1122" xr:uid="{5640BABD-FE23-42BB-B7F5-E0E44523E161}"/>
  <tableColumns count="3">
    <tableColumn id="1" xr3:uid="{52D5C76F-BD8F-4B37-A676-E44F5AF9A56C}" name="Item"/>
    <tableColumn id="2" xr3:uid="{96654DEC-C40E-40B0-96C3-4329FE9C7A89}" name="Rarity"/>
    <tableColumn id="3" xr3:uid="{677F7BF0-5DC0-41E7-8A2C-12D684E985A5}" name="Cost"/>
  </tableColumns>
  <tableStyleInfo name="TableStyleLight8"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6" xr:uid="{C60F52AB-AEB4-40FB-AF60-78C875FC8454}" name="Таблиця232" displayName="Таблиця232" ref="A1125:C1171" totalsRowShown="0">
  <autoFilter ref="A1125:C1171" xr:uid="{9A3C535A-1DD3-450B-9321-0F1BC605D158}"/>
  <tableColumns count="3">
    <tableColumn id="1" xr3:uid="{D180DF59-FFCD-41DD-8F26-BF16BA85B953}" name="Item"/>
    <tableColumn id="2" xr3:uid="{29A9B68A-3D4D-4FFB-A5D0-D7178FB09467}" name="Cost"/>
    <tableColumn id="3" xr3:uid="{1BA3D11B-58D7-4180-B1F3-F37EA4D64038}" name="Weight"/>
  </tableColumns>
  <tableStyleInfo name="TableStyleLight8"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7" xr:uid="{E0E4EB74-82DB-469A-9AA1-32D84B018911}" name="Таблиця233" displayName="Таблиця233" ref="A1173:C1183" totalsRowShown="0">
  <autoFilter ref="A1173:C1183" xr:uid="{481A0DC5-EAFA-4761-8838-9CD7D8A19903}"/>
  <tableColumns count="3">
    <tableColumn id="1" xr3:uid="{FFF6E519-9FB4-4DBA-B27A-A27213FF3D5A}" name="Item"/>
    <tableColumn id="2" xr3:uid="{13B5DF5C-DFAB-4E72-98DC-B8E2667C51B0}" name="Rarity"/>
    <tableColumn id="3" xr3:uid="{CDCD3DA5-8047-4876-AE69-A5EE693E07D5}" name="Cost"/>
  </tableColumns>
  <tableStyleInfo name="TableStyleMedium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8" xr:uid="{2E578E5C-AF92-46DB-B4D1-A8E79697820B}" name="Таблиця65241" displayName="Таблиця65241" ref="A1194:C1200" totalsRowShown="0" headerRowDxfId="836" dataDxfId="835">
  <autoFilter ref="A1194:C1200" xr:uid="{B55A213F-D1DB-4BA5-8D7C-79F95F6A0F8A}"/>
  <tableColumns count="3">
    <tableColumn id="1" xr3:uid="{E06AA620-5CF9-461D-8D2A-D5E6EE974CCD}" name="Вид" dataDxfId="834"/>
    <tableColumn id="2" xr3:uid="{0CC3063F-F38C-40D8-A83D-DEB69CC65E11}" name="Описание" dataDxfId="833"/>
    <tableColumn id="3" xr3:uid="{B4AA6D0D-CB0A-4DE9-9A71-66A0F051987A}" name="Способ применения" dataDxfId="832"/>
  </tableColumns>
  <tableStyleInfo name="TableStyleMedium15"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9" xr:uid="{5CD99BE9-E952-4009-A487-F7A87DAB322A}" name="Таблиця244" displayName="Таблиця244" ref="A206:C211" totalsRowShown="0">
  <autoFilter ref="A206:C211" xr:uid="{B2196B09-F74A-431A-92EB-D0B4B8D6AE62}"/>
  <tableColumns count="3">
    <tableColumn id="1" xr3:uid="{45B01891-F018-4E54-8F01-17F9D80AE563}" name="Item Rarity"/>
    <tableColumn id="2" xr3:uid="{CEF98C14-4BC5-495F-9B6D-CBE8E83380D0}" name="Creation Cost" dataCellStyle="Ввід"/>
    <tableColumn id="3" xr3:uid="{114FED03-A896-4EF1-99F6-0F40BC120305}" name="Minimum Level" dataCellStyle="Ввід"/>
  </tableColumns>
  <tableStyleInfo name="TableStyleMedium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0" xr:uid="{7428B178-A73C-4D8C-AF68-C12F0E089EB8}" name="Таблиця245" displayName="Таблиця245" ref="A846:B853" totalsRowShown="0">
  <autoFilter ref="A846:B853" xr:uid="{C8AEA055-1BBB-4113-A4AE-982EE7B79D27}"/>
  <tableColumns count="2">
    <tableColumn id="1" xr3:uid="{F217F7A6-E6C6-4FA0-A3BA-8A105DF07A0A}" name="Предмет"/>
    <tableColumn id="2" xr3:uid="{2B94A58B-2A6E-48EA-963B-7B700D681ADD}" name="Время создания"/>
  </tableColumns>
  <tableStyleInfo name="TableStyleMedium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1" xr:uid="{05B77868-ED83-4B64-A177-D7E0FFD67EF1}" name="Таблиця246" displayName="Таблиця246" ref="A837:B842" totalsRowShown="0">
  <autoFilter ref="A837:B842" xr:uid="{D28074BC-30C1-431F-9223-6C3B5849E067}"/>
  <tableColumns count="2">
    <tableColumn id="1" xr3:uid="{F9686CFD-5F76-49EF-90C6-E19C42B64DD2}" name="Качество"/>
    <tableColumn id="2" xr3:uid="{B0FB145F-65BF-4734-B2EB-F3D3330B21DB}" name="УС изготовления*"/>
  </tableColumns>
  <tableStyleInfo name="TableStyleMedium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2" xr:uid="{48CC048B-6988-4181-BEF2-6E8A2BB44EFE}" name="Таблиця247" displayName="Таблиця247" ref="A825:D830" totalsRowShown="0">
  <autoFilter ref="A825:D830" xr:uid="{5C720AF1-9879-4197-93E0-30A71DC52CA7}"/>
  <tableColumns count="4">
    <tableColumn id="1" xr3:uid="{94DD7818-8841-4055-9540-92E73AC11049}" name="Предмет"/>
    <tableColumn id="2" xr3:uid="{BA3098DA-B2C6-415D-9868-6CC01805E4F2}" name="Старая цена"/>
    <tableColumn id="3" xr3:uid="{B45428E8-CAF7-469A-8686-BE79D08D882D}" name="Вес"/>
    <tableColumn id="4" xr3:uid="{A0F5406A-0E6D-463C-BA2E-B045BD298404}" name="Новая цена"/>
  </tableColumns>
  <tableStyleInfo name="TableStyleMedium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3" xr:uid="{8DF7ED6C-E194-497E-B910-EFC66841680A}" name="Таблиця248" displayName="Таблиця248" ref="A807:B812" totalsRowShown="0">
  <autoFilter ref="A807:B812" xr:uid="{C19BFAC7-326F-409C-BE4C-4A044DAD426D}"/>
  <tableColumns count="2">
    <tableColumn id="1" xr3:uid="{EDC9426D-190C-45D7-AD89-F694061F4CEB}" name="Редкость"/>
    <tableColumn id="2" xr3:uid="{22C43BB7-89BC-4D96-B2DA-FDD1CAEB463F}" name="УС нахождения"/>
  </tableColumns>
  <tableStyleInfo name="TableStyleMedium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4" xr:uid="{8CE4632F-D11C-43C4-BA28-B4D0E278FE58}" name="Таблиця249" displayName="Таблиця249" ref="A796:B804" totalsRowShown="0">
  <autoFilter ref="A796:B804" xr:uid="{79315A21-066D-4CC1-9A0B-37F8B3E0F4E5}"/>
  <tableColumns count="2">
    <tableColumn id="1" xr3:uid="{87C22E09-D4E9-4792-8713-D5771C7C763F}" name="Редкость"/>
    <tableColumn id="2" xr3:uid="{D8D64684-E9AA-4349-B96E-AEBA76EB7031}" name="УС нахождения"/>
  </tableColumns>
  <tableStyleInfo name="TableStyleMedium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5" xr:uid="{34FAD6BA-3470-420D-AFE4-FBA9F8FBDCBA}" name="Таблиця250" displayName="Таблиця250" ref="A786:B794" totalsRowShown="0">
  <autoFilter ref="A786:B794" xr:uid="{6CF43B1B-95A7-4990-A9BE-5D3F022146AA}"/>
  <tableColumns count="2">
    <tableColumn id="1" xr3:uid="{294BC9BA-7872-4EDC-BF45-2F48CF0AC43F}" name="Уровень опасности"/>
    <tableColumn id="2" xr3:uid="{6067553E-0CB7-4EF2-8AC8-4A7FC15A724E}" name="Редкость"/>
  </tableColumns>
  <tableStyleInfo name="TableStyleMedium1"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6" xr:uid="{DDF96B6F-704E-4187-95CA-436614ADE91D}" name="Таблиця251" displayName="Таблиця251" ref="A815:B822" totalsRowShown="0">
  <autoFilter ref="A815:B822" xr:uid="{69BE5B3C-302D-4FA3-A643-5A551D7379C4}"/>
  <tableColumns count="2">
    <tableColumn id="1" xr3:uid="{1C3A9A9C-AA0B-4207-B7C3-F68243531B9D}" name="Lifestyle"/>
    <tableColumn id="2" xr3:uid="{379EDF16-EDC0-4160-A054-82EDBFE46F07}" name="Price/Day"/>
  </tableColumns>
  <tableStyleInfo name="TableStyleMedium1"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7" xr:uid="{AEB01E2F-C116-427F-8133-3FA9049923AD}" name="Таблиця252" displayName="Таблиця252" ref="A856:B860" totalsRowShown="0">
  <autoFilter ref="A856:B860" xr:uid="{620C1557-4C9A-4C84-85C3-A5B1630EC1D2}"/>
  <tableColumns count="2">
    <tableColumn id="1" xr3:uid="{F1A34526-C165-4E66-94E8-14EFC958AA39}" name="Размер"/>
    <tableColumn id="2" xr3:uid="{C4AE79F4-90B0-4635-9F4C-63F23EAC04FC}" name="Вес"/>
  </tableColumns>
  <tableStyleInfo name="TableStyleMedium1"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8" xr:uid="{F4A4A333-662C-4BC1-9BB6-004C1FDF95E6}" name="Таблиця253" displayName="Таблиця253" ref="A864:C867" totalsRowShown="0">
  <autoFilter ref="A864:C867" xr:uid="{98F6212B-07A7-4896-BC64-5032EF22D820}"/>
  <tableColumns count="3">
    <tableColumn id="1" xr3:uid="{3DE6669A-CCA5-4FE5-8A84-CF3270E7829B}" name="Размер"/>
    <tableColumn id="2" xr3:uid="{A76C4469-3DC7-44AD-8B1C-9855CD428BF2}" name="Стоимость"/>
    <tableColumn id="3" xr3:uid="{3BCF5F8C-541E-4D9D-BE45-1F1A95E0E486}" name="Вес"/>
  </tableColumns>
  <tableStyleInfo name="TableStyleMedium1"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9" xr:uid="{445C9147-341F-4A7B-8D03-D0F6FC0B768D}" name="Таблиця254" displayName="Таблиця254" ref="A869:E874" totalsRowShown="0">
  <autoFilter ref="A869:E874" xr:uid="{51E72DD6-0A66-4617-8652-80E5F274ED7E}"/>
  <tableColumns count="5">
    <tableColumn id="1" xr3:uid="{7610B76C-1FC1-49FA-9C47-9AAF5D2E5C57}" name="Средний размер"/>
    <tableColumn id="2" xr3:uid="{EA92183F-1B24-4F0A-867E-FC575894FAF5}" name="Большой"/>
    <tableColumn id="3" xr3:uid="{91239779-9862-4B34-B2F5-204E5D1F332A}" name="Огромный"/>
    <tableColumn id="4" xr3:uid="{952FE81F-27D4-44DE-8834-38EB5689E10C}" name="Гигантский"/>
    <tableColumn id="5" xr3:uid="{5BDFEF05-7343-4418-A44A-499D0715B791}" name="Колоссальный"/>
  </tableColumns>
  <tableStyleInfo name="TableStyleMedium1"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0" xr:uid="{9D36585E-A799-445B-B0AB-14EEA5B0407E}" name="Таблиця255" displayName="Таблиця255" ref="A877:B881" totalsRowShown="0">
  <autoFilter ref="A877:B881" xr:uid="{1787CF7F-1495-48BE-B3CD-15C9BBA65E62}"/>
  <tableColumns count="2">
    <tableColumn id="1" xr3:uid="{4E210FAA-46C1-4A50-8365-32DD4DD963BE}" name="к6"/>
    <tableColumn id="2" xr3:uid="{FBAF35D0-20E5-401C-8BB0-50AE522FB20A}" name="влияние на оружие"/>
  </tableColumns>
  <tableStyleInfo name="TableStyleMedium1"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1" xr:uid="{817BF04D-AE09-476B-9101-A1A81A7663E6}" name="Таблиця256" displayName="Таблиця256" ref="A984:C998" totalsRowShown="0">
  <autoFilter ref="A984:C998" xr:uid="{2EE40322-85BA-4A96-AEEE-F8564EE80C2B}"/>
  <tableColumns count="3">
    <tableColumn id="1" xr3:uid="{94B2B3FE-B33D-4BCE-A17F-BEF22B77E26F}" name="Вид яда"/>
    <tableColumn id="2" xr3:uid="{5053F2CC-9C25-4690-A0E6-D1B1B41DCFEA}" name="Тип"/>
    <tableColumn id="3" xr3:uid="{15DB0C36-4AB6-46C1-9300-E982F3ED4622}" name="Цена 1 порции, зм"/>
  </tableColumns>
  <tableStyleInfo name="TableStyleMedium1"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84A18A6A-88B4-4EB4-80CF-47341256E626}" name="Таблиця120" displayName="Таблиця120" ref="O2:AB52" totalsRowShown="0" headerRowDxfId="831" headerRowBorderDxfId="830" tableBorderDxfId="829" totalsRowBorderDxfId="828">
  <autoFilter ref="O2:AB52" xr:uid="{43B4FCD0-2DF3-4F6A-9D3C-7B159DD17233}"/>
  <sortState xmlns:xlrd2="http://schemas.microsoft.com/office/spreadsheetml/2017/richdata2" ref="O3:AB52">
    <sortCondition ref="O2:O52"/>
  </sortState>
  <tableColumns count="14">
    <tableColumn id="1" xr3:uid="{F1E72221-6623-46DC-9166-57FD5D75F3F4}" name="CHARACTER" dataDxfId="827"/>
    <tableColumn id="2" xr3:uid="{D4187AB9-ED4D-41A0-A301-983DD12252E7}" name="Challenge" dataDxfId="826"/>
    <tableColumn id="8" xr3:uid="{8890955A-7838-48FE-A572-8273F8C85126}" name="ECL" dataDxfId="825"/>
    <tableColumn id="9" xr3:uid="{A9047064-2308-45E6-A8BA-A59E7A475304}" name="EQUIPMENT" dataDxfId="824"/>
    <tableColumn id="10" xr3:uid="{F1EBBABC-B9EC-477B-BC96-5F708CCB25F6}" name="EQUIPMENT COST (5E)" dataDxfId="823"/>
    <tableColumn id="3" xr3:uid="{5F714662-91A5-48D2-9A52-EA94B35B1D86}" name="DESCRIPTION" dataDxfId="822"/>
    <tableColumn id="4" xr3:uid="{B92EC1F0-B4A9-416F-863D-626546C80409}" name="LINK TO STATBLOCK" dataDxfId="821"/>
    <tableColumn id="14" xr3:uid="{0082267F-C1B5-48CD-A778-CFEFD1C6A5CC}" name="SOURCE" dataDxfId="820"/>
    <tableColumn id="5" xr3:uid="{E29EF381-44AD-4293-A230-86635BDDE680}" name="PAY PER DAY, GP" dataDxfId="819"/>
    <tableColumn id="13" xr3:uid="{C1A5164D-688B-4114-A589-5D28D0D232C0}" name="WAGES, GP"/>
    <tableColumn id="12" xr3:uid="{0C6E8185-4E17-49C0-8527-9F4A07AE3383}" name="UPKEEP, GP"/>
    <tableColumn id="11" xr3:uid="{3CF319A5-B1A3-4277-A2E6-F70167D4BB6F}" name="ONE JOB, GP"/>
    <tableColumn id="6" xr3:uid="{C2F8AE43-4A95-4319-B6FF-5979DF5FD6F4}" name="PAY PER MONTH, GP" dataDxfId="818">
      <calculatedColumnFormula>Таблиця120[[#This Row],[PAY PER DAY, GP]]*30</calculatedColumnFormula>
    </tableColumn>
    <tableColumn id="7" xr3:uid="{16B051C9-91C6-466D-8188-D860EA013F08}" name="PAY PER MONTH (IN GARRISON), GP" dataDxfId="817">
      <calculatedColumnFormula>Таблиця120[[#This Row],[PAY PER MONTH, GP]]/2</calculatedColumnFormula>
    </tableColumn>
  </tableColumns>
  <tableStyleInfo name="TableStyleMedium15"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A8F82AAA-8C0B-4187-ACA4-C7D807B89B61}" name="Таблиця121" displayName="Таблиця121" ref="AD2:AL28" totalsRowShown="0" headerRowBorderDxfId="816" tableBorderDxfId="815" totalsRowBorderDxfId="814">
  <autoFilter ref="AD2:AL28" xr:uid="{8707D99D-D176-4EF9-B46C-BA70574D13CC}"/>
  <sortState xmlns:xlrd2="http://schemas.microsoft.com/office/spreadsheetml/2017/richdata2" ref="AD3:AL28">
    <sortCondition ref="AD2:AD28"/>
  </sortState>
  <tableColumns count="9">
    <tableColumn id="1" xr3:uid="{EB76FA9E-4A7F-431B-A632-001789064A77}" name="NPC stat block" dataDxfId="813"/>
    <tableColumn id="2" xr3:uid="{BD62C419-3BF7-4B76-953C-BC812C0606DC}" name="CR" dataDxfId="812"/>
    <tableColumn id="8" xr3:uid="{DFF0F799-55C9-4A63-9F0B-F144CCDA5B49}" name="SPELLCASTING LEVEL" dataDxfId="811"/>
    <tableColumn id="3" xr3:uid="{FDD81265-B36F-44D1-9930-CE5886613FDC}" name="Описание" dataDxfId="810"/>
    <tableColumn id="4" xr3:uid="{B91158F9-F656-43D9-A85F-F355308408C3}" name="LINK TO STATBLOCK" dataDxfId="809"/>
    <tableColumn id="9" xr3:uid="{44C3B878-D43C-4D3A-98BF-5CD765E1B68F}" name="SOURCE" dataDxfId="808"/>
    <tableColumn id="5" xr3:uid="{A33BD5AF-4042-4858-979C-B1A760B5BEEA}" name="Pay per day, gp" dataDxfId="807"/>
    <tableColumn id="6" xr3:uid="{7DCFB4F2-D9B6-4FC0-8D98-76F047147D0A}" name="PAY PER MONTH, GP" dataDxfId="806">
      <calculatedColumnFormula>Таблиця121[[#This Row],[Pay per day, gp]]*30</calculatedColumnFormula>
    </tableColumn>
    <tableColumn id="7" xr3:uid="{AF0A1CDC-C159-4542-ABB7-659A82E77955}" name="PAY PER MONTH (IN GARRISON), GP"/>
  </tableColumns>
  <tableStyleInfo name="TableStyleMedium15"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7176204A-FD9A-4C9F-87E0-FB60779A26EA}" name="Таблиця161" displayName="Таблиця161" ref="BB10:BG14" totalsRowShown="0">
  <autoFilter ref="BB10:BG14" xr:uid="{89BBBE9A-F2B7-4962-BCDF-3D4BAEB73217}"/>
  <tableColumns count="6">
    <tableColumn id="1" xr3:uid="{154A5C6C-28DE-41BC-AF9C-188B6FAD6BC1}" name="Initial Attitude"/>
    <tableColumn id="2" xr3:uid="{55E0B4D8-1DB6-4D73-87B7-559FF6DC2A5F}" name="Hostile"/>
    <tableColumn id="3" xr3:uid="{1E161B2B-F95A-46BA-9C71-44942ED33003}" name="Unfriendly "/>
    <tableColumn id="4" xr3:uid="{7519D20D-9B46-4A60-9DFC-BF5B75AA19E2}" name="Indifferent"/>
    <tableColumn id="5" xr3:uid="{335DA769-ACA8-4908-BA5C-E73C64968E6C}" name="Friendly"/>
    <tableColumn id="6" xr3:uid="{F6ABD35F-EA45-4CBF-B785-33178BB4687B}" name="Helpful"/>
  </tableColumns>
  <tableStyleInfo name="TableStyleLight1"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DAD3239C-4EAD-4438-AFD5-B993142401E6}" name="Таблиця162" displayName="Таблиця162" ref="BB3:BD8" totalsRowShown="0">
  <autoFilter ref="BB3:BD8" xr:uid="{602EEA1F-3236-4DFD-A109-3B461EFE55FB}"/>
  <tableColumns count="3">
    <tableColumn id="1" xr3:uid="{75C9A507-EFAF-4010-823D-79F70FD45154}" name="Attitude"/>
    <tableColumn id="2" xr3:uid="{FA1233EA-B002-400B-9478-8B0BD99F1FC3}" name="Means"/>
    <tableColumn id="3" xr3:uid="{F7A1AD8B-E3AE-45A9-9C0B-C77E2524F27C}" name="Possible Actions"/>
  </tableColumns>
  <tableStyleInfo name="TableStyleLight1"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130CFE81-1E20-419E-BEB9-BBAFFE0CF92B}" name="Таблиця110" displayName="Таблиця110" ref="BO3:BP13" totalsRowShown="0" headerRowDxfId="805" dataDxfId="804">
  <autoFilter ref="BO3:BP13" xr:uid="{8F8781FF-8140-4BB2-9FD6-3643E1C8FF4F}"/>
  <tableColumns count="2">
    <tableColumn id="1" xr3:uid="{73FF4EE8-5C45-4D14-BDD6-3A877A35C1AE}" name="Enlistment Or Association" dataDxfId="803"/>
    <tableColumn id="2" xr3:uid="{FAD90649-7880-4113-B63E-1696088F98EA}" name="Modifier" dataDxfId="802"/>
  </tableColumns>
  <tableStyleInfo name="TableStyleMedium15"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9A8CF27B-130F-4CD3-A939-1FF9789A095D}" name="Таблиця111" displayName="Таблиця111" ref="BR3:BS9" totalsRowShown="0" headerRowDxfId="801" dataDxfId="799" headerRowBorderDxfId="800" tableBorderDxfId="798">
  <autoFilter ref="BR3:BS9" xr:uid="{BCBFF114-A71A-43A9-8CB0-313D990126EB}"/>
  <tableColumns count="2">
    <tableColumn id="1" xr3:uid="{7E4CFCAE-5E0B-4EAE-819C-B17DB271F75F}" name="Training Or Status Level" dataDxfId="797"/>
    <tableColumn id="2" xr3:uid="{F8BFEDFE-2FAD-431E-8A81-61E64DB02E62}" name="Modifier" dataDxfId="796"/>
  </tableColumns>
  <tableStyleInfo name="TableStyleMedium15"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1DE572E3-82DF-4693-BC76-BD87D35E8996}" name="Таблиця113" displayName="Таблиця113" ref="BU3:BV8" totalsRowShown="0" headerRowDxfId="795" dataDxfId="793" headerRowBorderDxfId="794" tableBorderDxfId="792">
  <autoFilter ref="BU3:BV8" xr:uid="{8D0DA7DC-B3FA-4CFE-8D90-AC7E00CBB068}"/>
  <tableColumns count="2">
    <tableColumn id="1" xr3:uid="{480BC8C2-EBFC-41B7-AC76-44945A27B11B}" name="Pay Or Treasure Shared" dataDxfId="791"/>
    <tableColumn id="2" xr3:uid="{1CD25F13-0027-4F6A-BC88-84EA4F054836}" name="Modifier" dataDxfId="790"/>
  </tableColumns>
  <tableStyleInfo name="TableStyleMedium15"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CA5DE22A-0F2F-4F9E-9342-1235244D3678}" name="Таблиця114" displayName="Таблиця114" ref="BX3:BY7" totalsRowShown="0" headerRowDxfId="789" dataDxfId="787" headerRowBorderDxfId="788" tableBorderDxfId="786">
  <autoFilter ref="BX3:BY7" xr:uid="{249BAC04-EB38-484E-A9C0-2D31FA74E562}"/>
  <tableColumns count="2">
    <tableColumn id="1" xr3:uid="{B7D944EB-CD45-4273-BFDC-ACAD1AA2E868}" name="Discipline/Activity" dataDxfId="785"/>
    <tableColumn id="2" xr3:uid="{7457D73C-758C-4671-8BA4-F638FFAD4613}" name="Modifier" dataDxfId="784"/>
  </tableColumns>
  <tableStyleInfo name="TableStyleMedium15"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90D61CBD-EBC0-4939-89A7-76E4A7AF5025}" name="Таблиця116" displayName="Таблиця116" ref="CA3:CB8" totalsRowShown="0" headerRowDxfId="783" dataDxfId="781" headerRowBorderDxfId="782" tableBorderDxfId="780">
  <autoFilter ref="CA3:CB8" xr:uid="{8977005B-BFAA-4AE7-928A-DC34F830B92F}"/>
  <tableColumns count="2">
    <tableColumn id="1" xr3:uid="{C8D19169-8A49-474B-A535-AD8FD865A1A2}" name="General Treatment By Liege" dataDxfId="779"/>
    <tableColumn id="2" xr3:uid="{DF675F17-D85B-4016-AD34-C8EA489532E1}" name="Modifier" dataDxfId="778"/>
  </tableColumns>
  <tableStyleInfo name="TableStyleMedium15"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E872A9E9-5270-4F9D-8B33-93D504C090AA}" name="Таблиця117" displayName="Таблиця117" ref="CD3:CE12" totalsRowShown="0" headerRowDxfId="777" dataDxfId="775" headerRowBorderDxfId="776" tableBorderDxfId="774">
  <autoFilter ref="CD3:CE12" xr:uid="{D4D66E4E-53AF-4DD8-BDB1-A94437E2CB8C}"/>
  <tableColumns count="2">
    <tableColumn id="1" xr3:uid="{418A3718-BC7C-4087-B019-CD3C131E9EE0}" name="Alignment of Liege" dataDxfId="773"/>
    <tableColumn id="2" xr3:uid="{7267D364-AD7C-4341-AE81-7F4830AD111A}" name="Modifier" dataDxfId="772"/>
  </tableColumns>
  <tableStyleInfo name="TableStyleMedium15"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D3C89B74-CC03-425D-958A-701E77674EDE}" name="Таблиця118" displayName="Таблиця118" ref="CG3:CH24" totalsRowShown="0" headerRowDxfId="771" dataDxfId="769" headerRowBorderDxfId="770" tableBorderDxfId="768">
  <autoFilter ref="CG3:CH24" xr:uid="{C7E5A59D-5F82-4E50-A40D-FC231B282B3B}"/>
  <tableColumns count="2">
    <tableColumn id="1" xr3:uid="{3F8617CF-4B00-4465-A73E-32AD0DA9A7D4}" name="Special Considerations" dataDxfId="767"/>
    <tableColumn id="2" xr3:uid="{B73C7D02-1022-4064-9B5D-A73324C2DED8}" name="Modifier" dataDxfId="766"/>
  </tableColumns>
  <tableStyleInfo name="TableStyleMedium15"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C4764AC4-33FE-401B-AD7A-3A6254FF7982}" name="Таблиця119" displayName="Таблиця119" ref="CJ3:CK12" totalsRowShown="0" headerRowDxfId="765" dataDxfId="763" headerRowBorderDxfId="764" tableBorderDxfId="762">
  <autoFilter ref="CJ3:CK12" xr:uid="{D6A9B863-BFE7-4D9C-8D02-EDB39DC3FC60}"/>
  <tableColumns count="2">
    <tableColumn id="1" xr3:uid="{3A11E5A6-9BF3-44D6-9A9E-B9337C0DC80C}" name="Situation Modifiers" dataDxfId="761"/>
    <tableColumn id="2" xr3:uid="{8D53DF86-11FC-4102-BDB0-D05B2E83D27E}" name="Modifier" dataDxfId="760"/>
  </tableColumns>
  <tableStyleInfo name="TableStyleMedium15"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2031EA02-EBCB-4508-BAFE-768B05BF74D1}" name="Таблиця15144" displayName="Таблиця15144" ref="BB16:BD22" totalsRowShown="0">
  <autoFilter ref="BB16:BD22" xr:uid="{F84F9693-DC54-4BFD-8B99-DCD780FFF748}"/>
  <tableColumns count="3">
    <tableColumn id="1" xr3:uid="{1ABA85A3-BAA0-4253-B412-50E8D8FC0F6C}" name="Adjusted Loyalty Score"/>
    <tableColumn id="2" xr3:uid="{F3ACBC52-C8A3-4576-B28F-DA2B1679506F}" name="Loyalty"/>
    <tableColumn id="3" xr3:uid="{50A7C582-6862-477A-967F-724E47E60F3E}" name="Behavior of henchmen or hireling"/>
  </tableColumns>
  <tableStyleInfo name="TableStyleLight1"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3C08B0BD-CA73-45F1-A1B1-CCCB84A35027}" name="Таблиця60" displayName="Таблиця60" ref="P5:R11" totalsRowShown="0">
  <autoFilter ref="P5:R11" xr:uid="{482CA0FE-CF44-4418-95D9-C8221444EC6D}"/>
  <tableColumns count="3">
    <tableColumn id="1" xr3:uid="{F903A41D-1CE8-458A-8DC6-3428B8C06B09}" name="Dice Score" dataDxfId="759"/>
    <tableColumn id="2" xr3:uid="{ED70BF4F-9BCC-4300-8F0F-9E1B3CE44981}" name="Minor Fields"/>
    <tableColumn id="3" xr3:uid="{582D39AA-0594-440F-BD74-A27973D0A395}" name="Special Categories In Major Field"/>
  </tableColumns>
  <tableStyleInfo name="TableStyleMedium15"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A3C800C9-5E90-418E-B2F8-FD6C7081DC39}" name="Таблиця62" displayName="Таблиця62" ref="S13:T19" totalsRowShown="0">
  <autoFilter ref="S13:T19" xr:uid="{9362326E-0D75-426D-B31A-6A27F4601293}"/>
  <tableColumns count="2">
    <tableColumn id="1" xr3:uid="{80A7BF5D-44AB-434F-88A6-09FC7EEC7605}" name="Field of Knowledge of Sage"/>
    <tableColumn id="2" xr3:uid="{78FA0963-6B07-4AF2-88A2-658836288955}" name="Probabilty"/>
  </tableColumns>
  <tableStyleInfo name="TableStyleMedium15"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B0282351-354C-44F5-80D6-F3B37FB7B9F9}" name="Таблиця63115" displayName="Таблиця63115" ref="P13:Q43" totalsRowShown="0" headerRowDxfId="758" dataDxfId="757">
  <autoFilter ref="P13:Q43" xr:uid="{7EC3186F-615C-4062-910A-4FB3AAFE2FA5}"/>
  <tableColumns count="2">
    <tableColumn id="1" xr3:uid="{AFD1CA52-8431-41ED-9344-C907CB96E1D9}" name="Field of Knowledge" dataDxfId="756"/>
    <tableColumn id="2" xr3:uid="{5E0A96A0-19C3-403D-BC98-A630029CDE71}" name="Category" dataDxfId="755"/>
  </tableColumns>
  <tableStyleInfo name="TableStyleMedium15"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D7E81B42-1DC0-4DE9-BDFD-6FD6E54AC554}" name="Таблиця140" displayName="Таблиця140" ref="A3:D8" totalsRowShown="0">
  <autoFilter ref="A3:D8" xr:uid="{8AC8A43A-273B-4678-AC6E-5B1D16E4EDBF}"/>
  <tableColumns count="4">
    <tableColumn id="1" xr3:uid="{4E374598-1444-43D1-B6EA-198DB39847E5}" name="Check"/>
    <tableColumn id="2" xr3:uid="{B65EEC16-87EE-40B4-BA71-8E01E2AE4A9D}" name="Min"/>
    <tableColumn id="3" xr3:uid="{21E980A1-BE2F-49A3-A82A-442F507D08A2}" name="Reaction2"/>
    <tableColumn id="4" xr3:uid="{3F12A5CE-10B1-4B6A-AE07-BB86CB47F0CA}" name="Price Modifier"/>
  </tableColumns>
  <tableStyleInfo name="TableStyleMedium1"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26EF034E-DEA5-4EAE-BE25-F9C3DEFE6445}" name="Таблиця142" displayName="Таблиця142" ref="A11:D15" totalsRowShown="0" headerRowDxfId="754" dataDxfId="753" tableBorderDxfId="752">
  <autoFilter ref="A11:D15" xr:uid="{A5F17817-2E7E-4E9E-B35D-7D84CEC4AF46}"/>
  <tableColumns count="4">
    <tableColumn id="1" xr3:uid="{6DABDAE7-7434-4B72-8500-F676313595BA}" name="Out of fields of expertise" dataDxfId="751"/>
    <tableColumn id="2" xr3:uid="{6B4C5142-B5F9-49F8-926E-05960C6D31A6}" name="General" dataDxfId="750"/>
    <tableColumn id="3" xr3:uid="{030AA238-2A4B-422D-B825-390AB918FADF}" name="Specific" dataDxfId="749"/>
    <tableColumn id="4" xr3:uid="{B8DD3504-6BBE-4D40-A3F0-5EB332D8E7FC}" name="Exacting" dataDxfId="748"/>
  </tableColumns>
  <tableStyleInfo name="TableStyleMedium1"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7AA46CF8-99A7-4826-9666-9EBD0C674CED}" name="Таблиця141" displayName="Таблиця141" ref="A18:C29" totalsRowShown="0">
  <autoFilter ref="A18:C29" xr:uid="{6A83454F-3612-4A7C-A113-5AA751955EBD}"/>
  <tableColumns count="3">
    <tableColumn id="1" xr3:uid="{60D58684-A66C-4D18-BC07-41403538CEC5}" name="2d6 roll"/>
    <tableColumn id="2" xr3:uid="{B4757F51-1917-489A-A18A-C01B9A0319D4}" name="Minor Expertise"/>
    <tableColumn id="3" xr3:uid="{36C69869-EFE4-4810-8663-B74BB21090DC}" name="Major Specialization"/>
  </tableColumns>
  <tableStyleInfo name="TableStyleMedium1"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6A3D0C26-E664-413C-931E-CEBCB1C9BA31}" name="Таблиця143" displayName="Таблиця143" ref="E22:F32" totalsRowShown="0" headerRowDxfId="747" dataDxfId="746">
  <autoFilter ref="E22:F32" xr:uid="{009C5577-2EF4-4540-AEA7-707743161B64}"/>
  <tableColumns count="2">
    <tableColumn id="1" xr3:uid="{498A77E8-87A7-4562-B934-A58FCF59C65C}" name="D10" dataDxfId="745"/>
    <tableColumn id="2" xr3:uid="{52A74473-3F63-4077-B36E-B2DB88952A1E}" name="FIELD" dataDxfId="744"/>
  </tableColumns>
  <tableStyleInfo name="TableStyleMedium1"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CA4D79C8-B0E0-4ED9-B11F-495D3D23CBDB}" name="Таблиця144" displayName="Таблиця144" ref="A71:B79" totalsRowShown="0" headerRowDxfId="743" dataDxfId="742">
  <autoFilter ref="A71:B79" xr:uid="{55013A9F-776D-43DC-8D5D-B68629079201}"/>
  <tableColumns count="2">
    <tableColumn id="1" xr3:uid="{36A49FC1-C6EF-42A2-BA7E-35AEC8AA8EB5}" name="D8" dataDxfId="741"/>
    <tableColumn id="2" xr3:uid="{F86A51EA-6727-4565-B069-2A491A9FDEB6}" name="FIELD" dataDxfId="740"/>
  </tableColumns>
  <tableStyleInfo name="TableStyleMedium1"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8292E928-B76B-456D-9CE1-7F38861DC23A}" name="Таблиця145" displayName="Таблиця145" ref="A82:B92" totalsRowShown="0" headerRowDxfId="739" dataDxfId="738">
  <autoFilter ref="A82:B92" xr:uid="{B2F5DF6B-CEBC-4ACD-A54C-B67ECFAE7675}"/>
  <tableColumns count="2">
    <tableColumn id="1" xr3:uid="{8B93CADC-4D2E-4DEA-A17D-303A373FC3AE}" name="D10" dataDxfId="737"/>
    <tableColumn id="2" xr3:uid="{80A5BB15-6B39-430B-BEAF-FA4AE2F42456}" name="FIELD" dataDxfId="736"/>
  </tableColumns>
  <tableStyleInfo name="TableStyleMedium1"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74486786-763B-4623-90BD-31F635180942}" name="Таблиця146" displayName="Таблиця146" ref="A95:B103" totalsRowShown="0" headerRowDxfId="735" dataDxfId="734">
  <autoFilter ref="A95:B103" xr:uid="{AB30BF9C-B270-44A5-ABDD-22B27A90CEDB}"/>
  <tableColumns count="2">
    <tableColumn id="1" xr3:uid="{BFE5771E-34AC-44FC-8782-903C598E18EE}" name="D8" dataDxfId="733"/>
    <tableColumn id="2" xr3:uid="{AB897B25-0DD8-40D5-A5A8-F694E1BE9600}" name="FIELD" dataDxfId="732"/>
  </tableColumns>
  <tableStyleInfo name="TableStyleMedium1"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725609EC-B25F-4FE7-B1EF-3D6425B445DA}" name="Таблиця147" displayName="Таблиця147" ref="A33:B53" totalsRowShown="0" headerRowDxfId="731" dataDxfId="730">
  <autoFilter ref="A33:B53" xr:uid="{310B170B-3A15-47DF-9B9A-D44EC8711CDE}"/>
  <tableColumns count="2">
    <tableColumn id="1" xr3:uid="{7A6DDCD0-729F-45F4-9FE9-535148381DCC}" name="D20" dataDxfId="729"/>
    <tableColumn id="2" xr3:uid="{0644C52B-4029-4DA3-AD48-7698816515AD}" name="FIELD" dataDxfId="728"/>
  </tableColumns>
  <tableStyleInfo name="TableStyleMedium1"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C07BCF01-33A8-4CF6-8FEB-CC5D8FAB1DEB}" name="Таблиця148" displayName="Таблиця148" ref="H19:J22" totalsRowShown="0">
  <autoFilter ref="H19:J22" xr:uid="{283F2A7C-EEB8-4904-98DF-9D12E733AA0D}"/>
  <tableColumns count="3">
    <tableColumn id="1" xr3:uid="{00CBD8EA-A1F0-4138-A39E-7626C81B0B0C}" name="#"/>
    <tableColumn id="2" xr3:uid="{E40379C0-95EC-4D22-9B8F-77DBBF37D4D2}" name="FIELD" dataDxfId="727">
      <calculatedColumnFormula array="1">INDEX(Таблиця143[FIELD],RANDBETWEEN(1,10))</calculatedColumnFormula>
    </tableColumn>
    <tableColumn id="3" xr3:uid="{4B3607D7-8B58-4E17-B67B-318186839736}" name="Стовпець1" dataDxfId="726">
      <calculatedColumnFormula>INDEX(I27:I44,MATCH(Таблиця148[[#This Row],[FIELD]],H27:H44,0),1)</calculatedColumnFormula>
    </tableColumn>
  </tableColumns>
  <tableStyleInfo name="TableStyleMedium1"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43CAD416-5BFB-4413-AD23-A6F4BC9BBBEE}" name="Таблиця149" displayName="Таблиця149" ref="L19:N24" totalsRowShown="0">
  <autoFilter ref="L19:N24" xr:uid="{0A35D1FC-35F9-4412-BDDC-9AE1EEECAA7A}"/>
  <tableColumns count="3">
    <tableColumn id="1" xr3:uid="{1E8883DB-18BC-4F8B-A192-80C124BA5BB6}" name="#"/>
    <tableColumn id="2" xr3:uid="{B963E66D-E36B-4A32-ABAF-421C84BBB87A}" name="FIELD" dataDxfId="725">
      <calculatedColumnFormula array="1">INDEX(Таблиця143[FIELD],RANDBETWEEN(1,10),1)</calculatedColumnFormula>
    </tableColumn>
    <tableColumn id="3" xr3:uid="{AA3207DF-C98D-4C0E-A555-49D04B82B894}" name="Стовпець1" dataDxfId="724">
      <calculatedColumnFormula>INDEX(E40:E69,MATCH(Таблиця149[[#This Row],[FIELD]],D40:D69,0),1)</calculatedColumnFormula>
    </tableColumn>
  </tableColumns>
  <tableStyleInfo name="TableStyleMedium1"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DB83846F-E701-484C-8F51-03D713456073}" name="Таблиця150" displayName="Таблиця150" ref="A56:B68" totalsRowShown="0" headerRowDxfId="723" dataDxfId="722">
  <autoFilter ref="A56:B68" xr:uid="{97414CE0-74B8-4B6F-B18F-53E0E2578FB9}"/>
  <tableColumns count="2">
    <tableColumn id="1" xr3:uid="{AF386F5A-3F62-4823-9327-A28EA7FE0A34}" name="d12" dataDxfId="721"/>
    <tableColumn id="2" xr3:uid="{9F406FBC-C6D5-4B00-B3D8-9D03CF7E45CC}" name="FIELD" dataDxfId="720"/>
  </tableColumns>
  <tableStyleInfo name="TableStyleMedium1"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61A99AD1-526B-47BD-BCB2-C6B735881525}" name="Таблиця58" displayName="Таблиця58" ref="Y2:Z32" totalsRowShown="0">
  <autoFilter ref="Y2:Z32" xr:uid="{33D79D99-1D54-4BE7-A639-CEFB9E5C09BA}"/>
  <tableColumns count="2">
    <tableColumn id="1" xr3:uid="{5AE95755-E31B-4E61-9E2A-5D1199FDE1FA}" name="fencer specialization" dataDxfId="719"/>
    <tableColumn id="2" xr3:uid="{508C06B0-843F-464E-91B1-E432FD05C4E8}" name="group"/>
  </tableColumns>
  <tableStyleInfo name="TableStyleMedium1"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3C3240A2-156E-4873-913A-8D93733E9056}" name="Таблиця90128" displayName="Таблиця90128" ref="AB3:AC15" totalsRowShown="0">
  <autoFilter ref="AB3:AC15" xr:uid="{7A8BCD71-80A7-4917-A3DF-A9239F2E5B34}"/>
  <tableColumns count="2">
    <tableColumn id="1" xr3:uid="{CEBA19A7-6CB8-48EA-855D-CE67060DCFEF}" name="d12"/>
    <tableColumn id="2" xr3:uid="{30662097-DF57-42BB-BD34-8DB4DD6BC0DF}" name="group"/>
  </tableColumns>
  <tableStyleInfo name="TableStyleMedium1"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86EB17EC-3264-4335-8895-3BAC2AE4855D}" name="Таблиця91129" displayName="Таблиця91129" ref="AE3:AF14" totalsRowShown="0">
  <autoFilter ref="AE3:AF14" xr:uid="{1A38E124-F41E-493E-A8E1-84E02A6E9F4A}"/>
  <tableColumns count="2">
    <tableColumn id="1" xr3:uid="{99D423B2-8C23-476A-AA58-DAF0C09B7646}" name="2d6"/>
    <tableColumn id="2" xr3:uid="{0BF37FB3-2F11-4E05-B0F8-260035470A88}" name="Cost" dataDxfId="718"/>
  </tableColumns>
  <tableStyleInfo name="TableStyleMedium1"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5832BE04-56A8-41EE-9658-4B364C6C4F42}" name="Таблиця151" displayName="Таблиця151" ref="AJ3:AL6" totalsRowShown="0">
  <autoFilter ref="AJ3:AL6" xr:uid="{E613784E-CA92-4F2A-B436-6FFCE8E6EDD0}"/>
  <tableColumns count="3">
    <tableColumn id="1" xr3:uid="{98B8150A-40CA-405B-B749-233AADEA6E3E}" name="#"/>
    <tableColumn id="2" xr3:uid="{90E444A8-F45D-465F-A009-CA1DE0DF784D}" name="FIELD" dataDxfId="717">
      <calculatedColumnFormula>IF($AL$2&gt;ROW()-4,'SPECIAL NPCS'!I20,"")</calculatedColumnFormula>
    </tableColumn>
    <tableColumn id="3" xr3:uid="{ECA1F80F-F4C8-4954-AA76-C043EEFBA91F}" name="SPECIALIZATION" dataDxfId="716">
      <calculatedColumnFormula>IF($AL$2&gt;ROW()-4,'SPECIAL NPCS'!J20,"")</calculatedColumnFormula>
    </tableColumn>
  </tableColumns>
  <tableStyleInfo name="TableStyleMedium1"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2BA74C80-7D32-4513-9B54-300B016ED848}" name="Таблиця152" displayName="Таблиця152" ref="AN3:AP8" totalsRowShown="0">
  <autoFilter ref="AN3:AP8" xr:uid="{44BF4DED-2DC7-4B2D-885C-4F8DA25AAF07}"/>
  <tableColumns count="3">
    <tableColumn id="1" xr3:uid="{1AD3EFF9-96D7-48D9-B52D-C4EDBDA1F4A8}" name="#"/>
    <tableColumn id="2" xr3:uid="{811A2820-5364-48F0-96C8-8FB105A670E8}" name="FIELD" dataDxfId="715">
      <calculatedColumnFormula>IF($AP$2&gt;ROW()-4,'SPECIAL NPCS'!M20,"")</calculatedColumnFormula>
    </tableColumn>
    <tableColumn id="3" xr3:uid="{47AC5372-8253-4A5F-8593-37A82C1C600A}" name="SPECIALIZATION" dataDxfId="714">
      <calculatedColumnFormula>IF($AP$2&gt;ROW()-4,'SPECIAL NPCS'!N20,"")</calculatedColumnFormula>
    </tableColumn>
  </tableColumns>
  <tableStyleInfo name="TableStyleMedium1"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64279DE9-8399-4126-B0FD-DFA4FB536876}" name="Таблиця63" displayName="Таблиця63" ref="A1:H8" totalsRowShown="0" headerRowDxfId="713" dataDxfId="711" headerRowBorderDxfId="712" tableBorderDxfId="710" totalsRowBorderDxfId="709">
  <autoFilter ref="A1:H8" xr:uid="{5F7FC5B7-6E01-42AB-88D1-CA1EFAAECBCC}"/>
  <tableColumns count="8">
    <tableColumn id="1" xr3:uid="{1186374D-C37E-4099-8F2E-A80E3F770DD9}" name="Survival (d20)" dataDxfId="708"/>
    <tableColumn id="2" xr3:uid="{86E16AF9-F44D-48FE-AE16-F604890CA79F}" name="Safety" dataDxfId="707"/>
    <tableColumn id="3" xr3:uid="{4F027279-F0E3-4021-877F-CCA655F2D6ED}" name="d6" dataDxfId="706"/>
    <tableColumn id="4" xr3:uid="{ABB3642D-7C5A-4A24-8D35-00A4C51012B7}" name="Feature" dataDxfId="705"/>
    <tableColumn id="5" xr3:uid="{C78BAAA2-CF8D-4516-AD70-ED3DE4E70CCA}" name="d6 + Safety (once for each)" dataDxfId="704"/>
    <tableColumn id="6" xr3:uid="{E5DFB43F-FF0A-4E7B-87DE-417056971CBD}" name="Water" dataDxfId="703"/>
    <tableColumn id="7" xr3:uid="{5B987F3E-42B4-4FCA-A1AD-F45C03EC0993}" name="Food" dataDxfId="702"/>
    <tableColumn id="8" xr3:uid="{CDBFAFD7-C4C5-4726-872D-2E7D30E8FD56}" name="Shelter" dataDxfId="701"/>
  </tableColumns>
  <tableStyleInfo name="TableStyleMedium15"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36BD6EED-9893-4A21-954E-93D01D7526BF}" name="Таблиця70" displayName="Таблиця70" ref="J1:U9" totalsRowShown="0" headerRowDxfId="700" dataDxfId="698" headerRowBorderDxfId="699" tableBorderDxfId="697" totalsRowBorderDxfId="696">
  <autoFilter ref="J1:U9" xr:uid="{1AFFC3FA-0EE0-414A-B3DF-49ED7B08FA4C}"/>
  <tableColumns count="12">
    <tableColumn id="1" xr3:uid="{4B7E3CA6-9A59-4BF6-AF20-8C7A4B86D9BB}" name="Encounter" dataDxfId="695"/>
    <tableColumn id="2" xr3:uid="{214BC4DD-7E6D-490D-89ED-AD5191E3A18F}" name="Size" dataDxfId="694"/>
    <tableColumn id="3" xr3:uid="{85057C52-C420-4626-827A-58C1D5F9F1EA}" name="Detail" dataDxfId="693"/>
    <tableColumn id="4" xr3:uid="{A0029A99-0A4C-4256-BB52-BC5F440F156F}" name="Number" dataDxfId="692"/>
    <tableColumn id="5" xr3:uid="{9AE42391-705A-4140-8321-C8AC1C9C4B45}" name="AC" dataDxfId="691"/>
    <tableColumn id="6" xr3:uid="{049676C8-8C70-4C26-9DF8-32156B7814B7}" name="HP" dataDxfId="690"/>
    <tableColumn id="7" xr3:uid="{0C2E7886-B6A9-42CE-A870-3558A6E8CD6D}" name="Speed" dataDxfId="689"/>
    <tableColumn id="8" xr3:uid="{8093AC55-7F1C-4CF3-8554-01AA857B06FE}" name="Actions" dataDxfId="688"/>
    <tableColumn id="9" xr3:uid="{C26CAB43-E67C-46EC-A43D-8019A6F2525A}" name="Traits" dataDxfId="687"/>
    <tableColumn id="10" xr3:uid="{4604B4D2-BF3B-46ED-90A0-A2B3BAE16F42}" name="Skills" dataDxfId="686"/>
    <tableColumn id="11" xr3:uid="{90BFD75B-0C32-4C7F-8E96-2A53EA5A387A}" name="XP" dataDxfId="685"/>
    <tableColumn id="12" xr3:uid="{17A2754A-BB57-4366-841D-F9F14E5AA902}" name="Treasure" dataDxfId="684"/>
  </tableColumns>
  <tableStyleInfo name="TableStyleMedium15"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961BFEDF-97F7-4E26-9DFA-ADED7CA6ACDE}" name="Таблиця23109" displayName="Таблиця23109" ref="A15:B22" totalsRowShown="0" headerRowCellStyle="Звичайний 2" dataCellStyle="Звичайний 2">
  <autoFilter ref="A15:B22" xr:uid="{B5A70126-79EC-42E5-8633-F63E714CF5ED}"/>
  <tableColumns count="2">
    <tableColumn id="1" xr3:uid="{40D4B986-1C9F-4800-A437-D55EF05760AD}" name="Survival (d20)" dataCellStyle="Звичайний 2"/>
    <tableColumn id="2" xr3:uid="{41F9FD8B-A9FA-4F9F-8BDF-525022AEBDDA}" name="Safety" dataCellStyle="Звичайний 2"/>
  </tableColumns>
  <tableStyleInfo name="TableStyleMedium8"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F60A1360-7052-454D-B68F-89BB4E0BD7F9}" name="Таблиця24110" displayName="Таблиця24110" ref="C15:D21" totalsRowShown="0" headerRowCellStyle="Звичайний 2" dataCellStyle="Звичайний 2">
  <autoFilter ref="C15:D21" xr:uid="{469426AB-C42B-4663-9C2D-A87B5F40B5D7}"/>
  <tableColumns count="2">
    <tableColumn id="1" xr3:uid="{349A4B82-2C9C-4480-900B-F765B89BA794}" name="d6" dataCellStyle="Звичайний 2"/>
    <tableColumn id="2" xr3:uid="{7CCB2447-D3D9-4023-BF31-F3DB9430CD97}" name="Feature" dataCellStyle="Звичайний 2"/>
  </tableColumns>
  <tableStyleInfo name="TableStyleMedium15"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EC1A6E2F-A2DE-4645-92C4-81C60EAC025F}" name="Таблиця25111" displayName="Таблиця25111" ref="E15:H21" totalsRowShown="0" headerRowCellStyle="Звичайний 2" dataCellStyle="Звичайний 2">
  <autoFilter ref="E15:H21" xr:uid="{0A75F938-D629-48B7-9EFA-3ED2A1151CD9}"/>
  <tableColumns count="4">
    <tableColumn id="1" xr3:uid="{750E8EE3-3598-4282-823F-46D98394E024}" name="d6 + Safety (once for each)" dataCellStyle="Звичайний 2"/>
    <tableColumn id="2" xr3:uid="{4E12DC51-3C3E-4933-8E1E-6FB95A18FF55}" name="Water" dataCellStyle="Звичайний 2"/>
    <tableColumn id="3" xr3:uid="{9047EE00-ACE6-488D-A736-27F6CCD52A86}" name="Food" dataCellStyle="Звичайний 2"/>
    <tableColumn id="4" xr3:uid="{3D0BF7BA-AA70-45EA-83AE-7945CB37FE26}" name="Shelter" dataCellStyle="Звичайний 2"/>
  </tableColumns>
  <tableStyleInfo name="TableStyleMedium16"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AB6BBAD3-9D8F-4F7D-9483-08021C544265}" name="Таблиця26112" displayName="Таблиця26112" ref="J15:U23" totalsRowShown="0" headerRowCellStyle="Звичайний 2" dataCellStyle="Звичайний 2">
  <autoFilter ref="J15:U23" xr:uid="{13E4A87A-76E4-42BE-94A2-EBF00C27F496}"/>
  <tableColumns count="12">
    <tableColumn id="1" xr3:uid="{1765613C-2564-45F0-9C21-99EA3CFE789C}" name="Encounter" dataCellStyle="Звичайний 2"/>
    <tableColumn id="2" xr3:uid="{07039F36-C885-4288-8004-741D0C3E5BAB}" name="Size" dataCellStyle="Звичайний 2"/>
    <tableColumn id="3" xr3:uid="{756F11CD-DEFD-47CC-9D0D-1F11C90CAEB6}" name="Detail" dataCellStyle="Звичайний 2"/>
    <tableColumn id="4" xr3:uid="{B2DE769C-BCE6-4A83-9690-EAA5F7E7FC47}" name="Number" dataCellStyle="Звичайний 2"/>
    <tableColumn id="5" xr3:uid="{AF10987B-C7E6-4DC4-B66A-789DBCD34BCE}" name="AC" dataCellStyle="Звичайний 2"/>
    <tableColumn id="6" xr3:uid="{85D99C6A-E039-4FAA-94D0-B7204B1A13C8}" name="HP" dataCellStyle="Звичайний 2"/>
    <tableColumn id="7" xr3:uid="{3418E959-1A29-4011-9CE0-F9F0261BB37A}" name="Speed" dataCellStyle="Звичайний 2"/>
    <tableColumn id="8" xr3:uid="{8B2842DF-14AC-4BD3-A999-5FE00CAF62E6}" name="Actions" dataCellStyle="Звичайний 2"/>
    <tableColumn id="9" xr3:uid="{69F6AC93-3396-4FB0-A14F-140AD14ED970}" name="Traits" dataCellStyle="Звичайний 2"/>
    <tableColumn id="10" xr3:uid="{C6BDB15F-3B46-4E13-9F9D-3E0777E5B520}" name="Skills" dataCellStyle="Звичайний 2"/>
    <tableColumn id="11" xr3:uid="{9B8C822E-44F1-4B91-ABA6-62EA1B0C221C}" name="XP" dataCellStyle="Звичайний 2"/>
    <tableColumn id="12" xr3:uid="{686D123A-A3F2-431F-8EB6-1087813B9306}" name="Treasure" dataCellStyle="Звичайний 2"/>
  </tableColumns>
  <tableStyleInfo name="TableStyleMedium8"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E7B0F4DF-8102-4441-BDA3-6DD97F02F08D}" name="Таблиця44" displayName="Таблиця44" ref="B5:F25" totalsRowShown="0" headerRowDxfId="683" dataDxfId="681" headerRowBorderDxfId="682" tableBorderDxfId="680" totalsRowBorderDxfId="679" headerRowCellStyle="Звичайний 2" dataCellStyle="Звичайний 2">
  <autoFilter ref="B5:F25" xr:uid="{B72426D2-A8A3-483D-98FD-2B6158CA5B1A}"/>
  <tableColumns count="5">
    <tableColumn id="1" xr3:uid="{B585B4C1-5118-4C4A-998B-96B756553D91}" name="d20" dataDxfId="678" dataCellStyle="Звичайний 2"/>
    <tableColumn id="2" xr3:uid="{C6280809-A28F-4283-81C8-71C93A5AF046}" name="Name Element 1" dataDxfId="677" dataCellStyle="Звичайний 2"/>
    <tableColumn id="3" xr3:uid="{DAA17593-7B25-4410-9405-3DE111F7BF1F}" name="Name Element 2" dataDxfId="676" dataCellStyle="Звичайний 2"/>
    <tableColumn id="4" xr3:uid="{9AA344F4-993E-433A-A753-1126F39BEA0D}" name="Name Element 3" dataDxfId="675" dataCellStyle="Звичайний 2"/>
    <tableColumn id="5" xr3:uid="{4403A2C1-712B-4B03-9EA5-777B77A7051C}" name="Name Element 4" dataDxfId="674" dataCellStyle="Звичайний 2"/>
  </tableColumns>
  <tableStyleInfo name="TableStyleMedium8"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A3BA5DD2-6FDB-4611-AC55-727FF705C256}" name="Таблиця45" displayName="Таблиця45" ref="H5:K25" totalsRowShown="0" headerRowDxfId="673" headerRowBorderDxfId="672" tableBorderDxfId="671" totalsRowBorderDxfId="670" headerRowCellStyle="Звичайний 2">
  <autoFilter ref="H5:K25" xr:uid="{3750B43F-A389-4F74-94C9-8BDAA41534D1}"/>
  <tableColumns count="4">
    <tableColumn id="1" xr3:uid="{C492BF74-69F6-427C-8F72-4E45F8137115}" name="d20" dataDxfId="669" dataCellStyle="Звичайний 2"/>
    <tableColumn id="2" xr3:uid="{6F268531-C211-4CC3-BE59-C4A84771123A}" name="Adjective" dataDxfId="668" dataCellStyle="Звичайний 2"/>
    <tableColumn id="3" xr3:uid="{E6F6A751-1CCE-4E68-87BD-9392E6F01B3A}" name="Footwork" dataDxfId="667" dataCellStyle="Звичайний 2"/>
    <tableColumn id="4" xr3:uid="{95485BB9-7590-46A2-AA40-CED2E504F81E}" name="Favored Combat Action" dataDxfId="666" dataCellStyle="Звичайний 2"/>
  </tableColumns>
  <tableStyleInfo name="TableStyleMedium8"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8DBB2599-B992-4CD3-B27D-9E324EE0497A}" name="Таблиця2352" displayName="Таблиця2352" ref="N7:O14" totalsRowShown="0" headerRowCellStyle="Звичайний 2" dataCellStyle="Звичайний 2">
  <autoFilter ref="N7:O14" xr:uid="{B5A70126-79EC-42E5-8633-F63E714CF5ED}"/>
  <tableColumns count="2">
    <tableColumn id="1" xr3:uid="{5B78D6B0-CF52-4313-A393-DBAA254B42F7}" name="Survival (d20)" dataCellStyle="Звичайний 2"/>
    <tableColumn id="2" xr3:uid="{949C0D60-FD02-404A-9840-7E490FA884EE}" name="Safety" dataCellStyle="Звичайний 2"/>
  </tableColumns>
  <tableStyleInfo name="TableStyleMedium8"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7471D79-9825-46D3-8A65-35B14F4595A7}" name="Таблиця2453" displayName="Таблиця2453" ref="P7:Q13" totalsRowShown="0" headerRowCellStyle="Звичайний 2" dataCellStyle="Звичайний 2">
  <autoFilter ref="P7:Q13" xr:uid="{469426AB-C42B-4663-9C2D-A87B5F40B5D7}"/>
  <tableColumns count="2">
    <tableColumn id="1" xr3:uid="{E53F2A73-0478-4980-967B-E8513311378B}" name="d6" dataCellStyle="Звичайний 2"/>
    <tableColumn id="2" xr3:uid="{13FF218A-F440-437B-8AD5-7C16DC292A8C}" name="Feature" dataCellStyle="Звичайний 2"/>
  </tableColumns>
  <tableStyleInfo name="TableStyleMedium15"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2A11421A-804A-4562-85B1-9945A2748793}" name="Таблиця2554" displayName="Таблиця2554" ref="R7:U13" totalsRowShown="0" headerRowCellStyle="Звичайний 2" dataCellStyle="Звичайний 2">
  <autoFilter ref="R7:U13" xr:uid="{0A75F938-D629-48B7-9EFA-3ED2A1151CD9}"/>
  <tableColumns count="4">
    <tableColumn id="1" xr3:uid="{2B67AEE6-909E-473B-8538-8E376E95E175}" name="d6 + Safety (once for each)" dataCellStyle="Звичайний 2"/>
    <tableColumn id="2" xr3:uid="{395CBEA2-2B03-4DDA-A780-C1952DD29972}" name="Water" dataCellStyle="Звичайний 2"/>
    <tableColumn id="3" xr3:uid="{49881988-3B64-418B-AD36-CBB7903069FE}" name="Food" dataCellStyle="Звичайний 2"/>
    <tableColumn id="4" xr3:uid="{9DC29EE6-4CBA-4512-B561-EEF6C1B5DDE7}" name="Shelter" dataCellStyle="Звичайний 2"/>
  </tableColumns>
  <tableStyleInfo name="TableStyleMedium16"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3C23D930-5275-4E9A-B7B2-960E370E1949}" name="Таблиця2655" displayName="Таблиця2655" ref="W7:AH15" totalsRowShown="0" headerRowCellStyle="Звичайний 2" dataCellStyle="Звичайний 2">
  <autoFilter ref="W7:AH15" xr:uid="{13E4A87A-76E4-42BE-94A2-EBF00C27F496}"/>
  <tableColumns count="12">
    <tableColumn id="1" xr3:uid="{140D82D8-94A7-49AB-99FC-FA28AB306B11}" name="Encounter" dataCellStyle="Звичайний 2"/>
    <tableColumn id="2" xr3:uid="{9287F05E-97DE-44A0-9281-60B54B05C074}" name="Size" dataCellStyle="Звичайний 2"/>
    <tableColumn id="3" xr3:uid="{B10C38A9-BD70-4555-AE2E-85FBCE601813}" name="Detail" dataCellStyle="Звичайний 2"/>
    <tableColumn id="4" xr3:uid="{5A4A697B-35E8-427C-A7A3-6F9511A0D317}" name="Number" dataCellStyle="Звичайний 2"/>
    <tableColumn id="5" xr3:uid="{34792C4A-8848-42B9-9350-A9DEA81CC554}" name="AC" dataCellStyle="Звичайний 2"/>
    <tableColumn id="6" xr3:uid="{D8B5E66B-247E-4894-81FD-F6B1B5C29BD1}" name="HP" dataCellStyle="Звичайний 2"/>
    <tableColumn id="7" xr3:uid="{6F0F2F8D-F133-4B72-8597-6EF5A4D55E89}" name="Speed" dataCellStyle="Звичайний 2"/>
    <tableColumn id="8" xr3:uid="{61DC5322-0B93-42B3-822F-DC7D43679FCE}" name="Actions" dataCellStyle="Звичайний 2"/>
    <tableColumn id="9" xr3:uid="{702BCB84-F1CC-4996-9788-98F74B0AE9DE}" name="Traits" dataCellStyle="Звичайний 2"/>
    <tableColumn id="10" xr3:uid="{6D76C201-CBC3-4F19-92BD-27F9579EDFC3}" name="Skills" dataCellStyle="Звичайний 2"/>
    <tableColumn id="11" xr3:uid="{27CB460E-2EC3-4552-85E5-1AFE74ED1691}" name="XP" dataCellStyle="Звичайний 2"/>
    <tableColumn id="12" xr3:uid="{F915B275-6EE8-4422-999C-A44477C2C633}" name="Treasure" dataCellStyle="Звичайний 2"/>
  </tableColumns>
  <tableStyleInfo name="TableStyleMedium8"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9B6EF76-F2C1-4186-8914-0D7864C78998}" name="Таблиця156" displayName="Таблиця156" ref="P54:Q64" totalsRowShown="0">
  <autoFilter ref="P54:Q64" xr:uid="{4CAE3569-8437-458C-9493-DFA9855F0C47}"/>
  <tableColumns count="2">
    <tableColumn id="1" xr3:uid="{57BA90F8-F50F-4D00-A9D7-9E8049A9287E}" name="d10"/>
    <tableColumn id="2" xr3:uid="{44BD854B-11E4-40BF-8A8A-F198B4C609B0}" name="Field of Lore"/>
  </tableColumns>
  <tableStyleInfo name="TableStyleMedium16"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859540A-E430-4327-BFAC-8D8036F21301}" name="Таблиця257" displayName="Таблиця257" ref="S54:T62" totalsRowShown="0">
  <autoFilter ref="S54:T62" xr:uid="{CCAF603B-E25D-4E3A-835B-29FA827ADEA6}"/>
  <tableColumns count="2">
    <tableColumn id="1" xr3:uid="{CB2C5DA9-4EA3-45A7-A507-690795C90AB5}" name="d8"/>
    <tableColumn id="2" xr3:uid="{5AF7C408-B4DC-4FD5-A10C-B34FB5104F15}" name="Flora"/>
  </tableColumns>
  <tableStyleInfo name="TableStyleMedium16"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4A767E59-8591-4C3F-8E17-D50C17B683C2}" name="Таблиця358" displayName="Таблиця358" ref="V54:W64" totalsRowShown="0">
  <autoFilter ref="V54:W64" xr:uid="{4325B872-7B7A-4679-8694-EDC08C7E3704}"/>
  <tableColumns count="2">
    <tableColumn id="1" xr3:uid="{12671483-DE63-4ADE-9E7A-FB3E6BC175D8}" name="d10"/>
    <tableColumn id="2" xr3:uid="{A3023F04-3126-4B87-9308-38D95D64207F}" name="Fauna"/>
  </tableColumns>
  <tableStyleInfo name="TableStyleMedium16"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9C79A3E-6279-40E2-B507-EC21D11FC9F7}" name="Таблиця459" displayName="Таблиця459" ref="Y54:Z62" totalsRowShown="0">
  <autoFilter ref="Y54:Z62" xr:uid="{FECF407D-E866-4B16-9FB5-105ECEBC3242}"/>
  <tableColumns count="2">
    <tableColumn id="1" xr3:uid="{DC5F5F2B-F2BB-492E-A5B8-337E9F33EF8E}" name="d8"/>
    <tableColumn id="2" xr3:uid="{EAAB907B-DB9A-41F9-A115-018745D12690}" name="Supernatural"/>
  </tableColumns>
  <tableStyleInfo name="TableStyleMedium16"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167851DE-941C-4C9F-8143-31ED8831A352}" name="Таблиця560" displayName="Таблиця560" ref="AB54:AC66" totalsRowShown="0">
  <autoFilter ref="AB54:AC66" xr:uid="{419D0D3F-641B-462A-942F-435706F67A54}"/>
  <tableColumns count="2">
    <tableColumn id="1" xr3:uid="{10F8E016-754D-4A5F-AB42-571726DE77B5}" name="d12"/>
    <tableColumn id="2" xr3:uid="{B48AFC64-D4AC-47FA-92DA-DD28ABAD493F}" name="Secular World"/>
  </tableColumns>
  <tableStyleInfo name="TableStyleMedium16"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B3243C9-7E28-4A07-9FF4-8251844ADCAA}" name="Таблиця47" displayName="Таблиця47" ref="P40:R51" totalsRowShown="0">
  <autoFilter ref="P40:R51" xr:uid="{1C19CCE1-4B70-4192-A09A-F9CA4903E9B0}"/>
  <tableColumns count="3">
    <tableColumn id="1" xr3:uid="{7A3006A2-29DC-47CC-8BAF-E53D86FEEB7F}" name="2d6 roll"/>
    <tableColumn id="2" xr3:uid="{FE6AC589-F32B-43C5-8757-3D7E50542F98}" name="Minor Expertise"/>
    <tableColumn id="3" xr3:uid="{39F5D5C4-0AE4-4348-8F38-BB3298B2D0A2}" name="Major Specialization"/>
  </tableColumns>
  <tableStyleInfo name="TableStyleMedium16"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9C4A0284-9010-44BA-89D9-0E2717E16D76}" name="Таблиця4862" displayName="Таблиця4862" ref="P34:S38" totalsRowShown="0">
  <autoFilter ref="P34:S38" xr:uid="{873591F4-27B4-4036-AF04-18D788FFE2A8}"/>
  <tableColumns count="4">
    <tableColumn id="1" xr3:uid="{51765A9D-3E94-4898-80DC-3ED3EC6D4DDA}" name="Стовпець1"/>
    <tableColumn id="2" xr3:uid="{AAA74F2F-7E47-425C-A61D-3357928AAF0F}" name="General"/>
    <tableColumn id="3" xr3:uid="{EE2E9538-78BF-4C00-9DF7-905EE891933C}" name="Specific"/>
    <tableColumn id="4" xr3:uid="{F2270A29-53B7-4AC4-A5BF-ADCBFC7ECA05}" name="Exacting"/>
  </tableColumns>
  <tableStyleInfo name="TableStyleMedium16"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4AA3CD1D-8811-4FF6-A676-06D97FA31A72}" name="Таблиця49" displayName="Таблиця49" ref="L34:N39" totalsRowShown="0">
  <autoFilter ref="L34:N39" xr:uid="{9F95FBBD-E7F1-4092-92F5-3F7612F54B15}"/>
  <tableColumns count="3">
    <tableColumn id="1" xr3:uid="{802373CF-B739-4611-A453-6198004132C6}" name="Check"/>
    <tableColumn id="2" xr3:uid="{4BC37464-5882-4BFE-8939-ED28F30E6B90}" name="Reaction"/>
    <tableColumn id="3" xr3:uid="{1E2729FF-48C4-4E2F-A217-AD4EC2199FE8}" name="Price Modifier"/>
  </tableColumns>
  <tableStyleInfo name="TableStyleMedium16"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BD589675-4284-466C-BD51-1AE74DFB505F}" name="Таблиця50" displayName="Таблиця50" ref="H34:J50" totalsRowShown="0">
  <autoFilter ref="H34:J50" xr:uid="{A64F9E9A-46F5-4B60-830C-341F6FAAA90D}"/>
  <tableColumns count="3">
    <tableColumn id="1" xr3:uid="{0C3765A1-1997-4927-9A3F-D53E3C2AF7E7}" name="Стовпець1"/>
    <tableColumn id="2" xr3:uid="{30BB4FE6-4B90-4926-9733-BEA55D846F96}" name="Стовпець2"/>
    <tableColumn id="3" xr3:uid="{788CB644-B402-422E-BC13-84DBCE5960DD}" name="Стовпець3"/>
  </tableColumns>
  <tableStyleInfo name="TableStyleMedium16"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44917120-0B41-46A6-B2C1-9052A07957B5}" name="Таблиця51" displayName="Таблиця51" ref="D34:E69" totalsRowShown="0">
  <autoFilter ref="D34:E69" xr:uid="{D90ABF18-5397-4A1A-B017-766E1722D513}"/>
  <tableColumns count="2">
    <tableColumn id="1" xr3:uid="{675776AE-559F-4030-9251-4A5F1B42913D}" name="HIRELING"/>
    <tableColumn id="2" xr3:uid="{FBDA4846-ECCD-4ED8-A7AE-23AEF1B0C309}" name="GP / MONTH"/>
  </tableColumns>
  <tableStyleInfo name="TableStyleMedium16"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85ADA9B4-4BA7-4EB5-9DE3-60E02C66BC76}" name="Таблиця53" displayName="Таблиця53" ref="D71:E84" totalsRowShown="0">
  <autoFilter ref="D71:E84" xr:uid="{B63F8343-B9E4-48B7-ADC6-18038399EFD8}"/>
  <tableColumns count="2">
    <tableColumn id="1" xr3:uid="{8C552133-7A31-47F8-BBED-B305333D8CA0}" name="HIRELING"/>
    <tableColumn id="2" xr3:uid="{714AC3B0-8CEB-482E-8A7E-6B4BC7FE27FB}" name="GP / MONTH"/>
  </tableColumns>
  <tableStyleInfo name="TableStyleMedium16"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23E0ADC-055B-47F8-A32E-595C0B673C0D}" name="Таблиця2167" displayName="Таблиця2167" ref="H54:K76" totalsRowShown="0">
  <autoFilter ref="H54:K76" xr:uid="{17197B6E-6556-4C0D-AF2D-F8F1747F746B}"/>
  <tableColumns count="4">
    <tableColumn id="1" xr3:uid="{6E3C118E-8635-432D-AF21-DFECEF8C6B74}" name="Challenge        "/>
    <tableColumn id="2" xr3:uid="{5FC786C3-A424-452D-A27F-27155E9DABC1}" name="GP / DAY"/>
    <tableColumn id="3" xr3:uid="{70631FD1-CEC3-4B9B-973B-9A509D2415AF}" name="GP / MONTH" dataDxfId="665">
      <calculatedColumnFormula>Таблиця2167[[#This Row],[GP / DAY]]*30</calculatedColumnFormula>
    </tableColumn>
    <tableColumn id="4" xr3:uid="{0D4AEE91-D882-4461-9A7A-DBB9C3A9999B}" name="Стовпець1"/>
  </tableColumns>
  <tableStyleInfo name="TableStyleMedium15"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29030EED-ECA5-405C-B309-CAE41D721C4B}" name="Таблиця54" displayName="Таблиця54" ref="E100:G111" totalsRowShown="0">
  <autoFilter ref="E100:G111" xr:uid="{112EABC2-68BA-4E09-A1F5-443584C59B22}"/>
  <tableColumns count="3">
    <tableColumn id="1" xr3:uid="{8B859B17-737B-4488-889C-65F229B7668F}" name="Improvements    "/>
    <tableColumn id="2" xr3:uid="{C0CEC1D8-77CE-4A66-AB40-06724EEECC6B}" name="Cost"/>
    <tableColumn id="3" xr3:uid="{D888A7B2-DC0A-498E-AEEA-F0E802CCAAAE}" name="Стовпець1"/>
  </tableColumns>
  <tableStyleInfo name="TableStyleMedium15"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49FB526E-79CD-44A3-83D8-982D5262DF4A}" name="Таблиця1668" displayName="Таблиця1668" ref="E138:G146" totalsRowShown="0">
  <autoFilter ref="E138:G146" xr:uid="{A841C83D-97D5-4266-A9E5-0345450E7824}"/>
  <tableColumns count="3">
    <tableColumn id="1" xr3:uid="{1AC8A768-1186-4156-87FF-03F308F11599}" name="Walls"/>
    <tableColumn id="2" xr3:uid="{127C80DE-7CD1-4ED5-A495-DDCBF9F0D112}" name="Cost"/>
    <tableColumn id="3" xr3:uid="{99F635E0-4E49-45A8-8CC7-1D94E674F1AF}" name="Dimensions LxHxW 10'X10'X1'"/>
  </tableColumns>
  <tableStyleInfo name="TableStyleMedium8"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A1431B33-3A6B-49C9-A5C8-02E739B8FE7E}" name="Таблиця1769" displayName="Таблиця1769" ref="I140:K145" totalsRowShown="0">
  <autoFilter ref="I140:K145" xr:uid="{BE21909A-EDE0-48D5-9C7B-BA079A2A39F9}"/>
  <tableColumns count="3">
    <tableColumn id="1" xr3:uid="{B15AA39C-59F3-401D-BFA4-6428EA367C42}" name="Earthen Works"/>
    <tableColumn id="2" xr3:uid="{370E2FFC-6A15-43D9-B152-9D911B9A7AB6}" name="Cost"/>
    <tableColumn id="3" xr3:uid="{C032A22B-490F-4507-B347-CAA67ABBED7F}" name="Dimensions LxH/DxW"/>
  </tableColumns>
  <tableStyleInfo name="TableStyleMedium8"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5DE6CD5D-607C-422B-850C-FA485450EF1B}" name="Таблиця18" displayName="Таблиця18" ref="E148:G159" totalsRowShown="0">
  <autoFilter ref="E148:G159" xr:uid="{609E7D85-AD6B-43F5-8FE1-C8490E3EA41B}"/>
  <tableColumns count="3">
    <tableColumn id="1" xr3:uid="{85B1A2E8-B3DC-43BC-972F-E618FEE2ADA8}" name="Buildings"/>
    <tableColumn id="2" xr3:uid="{5C2301BE-E4CF-4DC8-87F8-45EE4D488996}" name="Cost"/>
    <tableColumn id="3" xr3:uid="{152B8548-96D1-4D1D-9B68-EF374A9E5959}" name="Dimensions LxWxH "/>
  </tableColumns>
  <tableStyleInfo name="TableStyleMedium8"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F45515F6-A54A-4FDF-B71A-AFB9B6E5B768}" name="Таблиця1971" displayName="Таблиця1971" ref="I148:K164" totalsRowShown="0">
  <autoFilter ref="I148:K164" xr:uid="{7A7FA7B4-8B09-4B49-BD53-E22AAF313283}"/>
  <tableColumns count="3">
    <tableColumn id="1" xr3:uid="{0A12B3DB-A71C-465B-9130-66BFFF9AEB8F}" name="Underground/interior"/>
    <tableColumn id="2" xr3:uid="{24E3F238-DED5-4E66-9DC9-7E84452B7F0C}" name="Cost"/>
    <tableColumn id="3" xr3:uid="{6D2345B8-305C-4097-9EBD-0CF1236D14D2}" name="Dimension"/>
  </tableColumns>
  <tableStyleInfo name="TableStyleMedium8"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219F19A1-F2F1-4789-8A08-FB4877530F8C}" name="Таблиця3073" displayName="Таблиця3073" ref="P141:R162" totalsRowShown="0" headerRowCellStyle="Звичайний 2" dataCellStyle="Звичайний 2">
  <autoFilter ref="P141:R162" xr:uid="{C44FB05A-74A9-41D3-B215-AA8942C130B6}"/>
  <tableColumns count="3">
    <tableColumn id="1" xr3:uid="{7CFE3D4E-4C3D-4BE2-A17C-272E8E1903DE}" name="Стовпець1" dataCellStyle="Звичайний 2"/>
    <tableColumn id="2" xr3:uid="{B084DFC2-4026-4BDB-9A1A-828188D89F62}" name="Стовпець2" dataCellStyle="Звичайний 2"/>
    <tableColumn id="3" xr3:uid="{9F383F60-EE39-4050-850F-34BD602F3BE9}" name="Стовпець3" dataCellStyle="Звичайний 2"/>
  </tableColumns>
  <tableStyleInfo name="TableStyleMedium8"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D680B176-243E-4253-AEAC-79DAD0E9B2E9}" name="Таблиця3174" displayName="Таблиця3174" ref="T141:U151" totalsRowShown="0" headerRowCellStyle="Звичайний 2" dataCellStyle="Звичайний 2">
  <autoFilter ref="T141:U151" xr:uid="{A1E10D04-8B2E-40FF-904E-2299719E3C3B}"/>
  <tableColumns count="2">
    <tableColumn id="1" xr3:uid="{BF35BAE1-A049-4A4F-A495-0D168F9575DF}" name="1d10" dataCellStyle="Звичайний 2"/>
    <tableColumn id="2" xr3:uid="{A6440AAB-221A-4159-96A6-13C825617E26}" name="| Day Description" dataCellStyle="Звичайний 2"/>
  </tableColumns>
  <tableStyleInfo name="TableStyleMedium8"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8E7306B9-A7D9-4E1A-B5CC-44A9CD0B8466}" name="Таблиця3275" displayName="Таблиця3275" ref="V141:W151" totalsRowShown="0" headerRowCellStyle="Звичайний 2" dataCellStyle="Звичайний 2">
  <autoFilter ref="V141:W151" xr:uid="{042B4C32-0F81-4D73-91F3-45C4D4411274}"/>
  <tableColumns count="2">
    <tableColumn id="1" xr3:uid="{C166604A-147B-45C3-A149-D8B72885C2B1}" name="1d10" dataCellStyle="Звичайний 2"/>
    <tableColumn id="2" xr3:uid="{69CC3F46-99FC-4274-A3A3-654D65D029FD}" name="Night Description" dataCellStyle="Звичайний 2"/>
  </tableColumns>
  <tableStyleInfo name="TableStyleMedium8"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3C2D1E89-8188-47E9-83B9-9CAAF823BD3B}" name="Таблиця3376" displayName="Таблиця3376" ref="T154:W164" totalsRowShown="0" headerRowCellStyle="Звичайний 2" dataCellStyle="Звичайний 2">
  <autoFilter ref="T154:W164" xr:uid="{062EE337-2291-451B-9BB5-ACDF2A87C095}"/>
  <tableColumns count="4">
    <tableColumn id="1" xr3:uid="{4C986D15-C775-42BD-8631-C301E37A1272}" name="1d10" dataCellStyle="Звичайний 2"/>
    <tableColumn id="2" xr3:uid="{A55107B2-66CB-4AD4-9DAB-989AEB84B401}" name="Day Description" dataCellStyle="Звичайний 2"/>
    <tableColumn id="3" xr3:uid="{3CF892B4-46BF-4102-B858-24057ECAC708}" name="1d102" dataCellStyle="Звичайний 2"/>
    <tableColumn id="4" xr3:uid="{82C6717A-1165-41D7-8CE9-A0222A0F0CD7}" name="Night Description" dataCellStyle="Звичайний 2"/>
  </tableColumns>
  <tableStyleInfo name="TableStyleMedium15"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D4CE74B-EC09-403B-A144-E1B1C4E30B7D}" name="Таблиця3477" displayName="Таблиця3477" ref="T192:U202" totalsRowShown="0" headerRowCellStyle="Звичайний 2" dataCellStyle="Звичайний 2">
  <autoFilter ref="T192:U202" xr:uid="{2FD2941E-BD21-428F-9250-CBF064CCF574}"/>
  <tableColumns count="2">
    <tableColumn id="1" xr3:uid="{E3856CB5-96CB-4320-9CFD-C6B682A751D2}" name="1d10" dataCellStyle="Звичайний 2"/>
    <tableColumn id="2" xr3:uid="{3688513E-288A-44F9-B9CB-EA8E21304082}" name="| Day Description" dataCellStyle="Звичайний 2"/>
  </tableColumns>
  <tableStyleInfo name="TableStyleMedium8"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B77DC4F3-F1A1-44CB-A207-634084EF748C}" name="Таблиця3578" displayName="Таблиця3578" ref="V192:W202" totalsRowShown="0" headerRowCellStyle="Звичайний 2" dataCellStyle="Звичайний 2">
  <autoFilter ref="V192:W202" xr:uid="{3E60EC68-D5D6-4E50-85F1-27DFE2158C9F}"/>
  <tableColumns count="2">
    <tableColumn id="1" xr3:uid="{D6F944BA-218D-4A85-9135-B14A4F37BF59}" name="1d10" dataCellStyle="Звичайний 2"/>
    <tableColumn id="2" xr3:uid="{D4A42CB1-E9A0-408C-993C-300792D09C0D}" name="Night Description" dataCellStyle="Звичайний 2"/>
  </tableColumns>
  <tableStyleInfo name="TableStyleMedium8"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361D5A24-8A38-43BF-B9D3-B41665279A0C}" name="Таблиця3679" displayName="Таблиця3679" ref="V179:W189" totalsRowShown="0" headerRowCellStyle="Звичайний 2" dataCellStyle="Звичайний 2">
  <autoFilter ref="V179:W189" xr:uid="{94C3F88A-729E-4CF5-9CFD-0EA8E71BFE8E}"/>
  <tableColumns count="2">
    <tableColumn id="1" xr3:uid="{2B721F08-83E3-4DB6-91F5-7A881E9DD76C}" name="1d10" dataCellStyle="Звичайний 2"/>
    <tableColumn id="2" xr3:uid="{B43749AF-C10A-434F-B94C-C9FB48F884D8}" name="Night Description" dataCellStyle="Звичайний 2"/>
  </tableColumns>
  <tableStyleInfo name="TableStyleMedium8"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66A4930E-E7DF-4625-8E73-EBDD5324F13C}" name="Таблиця37" displayName="Таблиця37" ref="T179:U189" totalsRowShown="0" headerRowCellStyle="Звичайний 2" dataCellStyle="Звичайний 2">
  <autoFilter ref="T179:U189" xr:uid="{CC3A3768-CD7A-4B21-B1CD-7DDDDA660069}"/>
  <tableColumns count="2">
    <tableColumn id="1" xr3:uid="{4F2A40F3-BDED-4B70-A9C1-2F932768D28C}" name="1d10" dataCellStyle="Звичайний 2"/>
    <tableColumn id="2" xr3:uid="{045DA1A5-6A31-44BF-98A2-0977D4387642}" name="| Day Description" dataCellStyle="Звичайний 2"/>
  </tableColumns>
  <tableStyleInfo name="TableStyleMedium8"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22432C4D-4E43-440A-81B2-ECDEB77F1C82}" name="Таблиця38" displayName="Таблиця38" ref="T167:U177" totalsRowShown="0" headerRowCellStyle="Звичайний 2" dataCellStyle="Звичайний 2">
  <autoFilter ref="T167:U177" xr:uid="{4C9C561B-6BB2-494D-AA59-A8864D240E32}"/>
  <tableColumns count="2">
    <tableColumn id="1" xr3:uid="{86EBCDA1-B448-4397-9EA3-498975E860FB}" name="1d10" dataCellStyle="Звичайний 2"/>
    <tableColumn id="2" xr3:uid="{618CF509-DE90-435D-B505-B7B121D50C53}" name="| Day Description" dataCellStyle="Звичайний 2"/>
  </tableColumns>
  <tableStyleInfo name="TableStyleMedium8"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201620DB-9E97-46E0-9F47-82E57C252A3C}" name="Таблиця3982" displayName="Таблиця3982" ref="V167:W177" totalsRowShown="0" headerRowCellStyle="Звичайний 2" dataCellStyle="Звичайний 2">
  <autoFilter ref="V167:W177" xr:uid="{36DD7FEB-EC9B-4DB8-9B02-DFBAB3337D1B}"/>
  <tableColumns count="2">
    <tableColumn id="1" xr3:uid="{E9810217-B8C8-4DF7-8649-7EB9537807E5}" name="1d10" dataCellStyle="Звичайний 2"/>
    <tableColumn id="2" xr3:uid="{013C5554-5035-4FFF-9050-F6FF9BEFCF38}" name="Night Description" dataCellStyle="Звичайний 2"/>
  </tableColumns>
  <tableStyleInfo name="TableStyleMedium8"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1D428AB2-7DF3-49F9-9FBF-30F48272D286}" name="Таблиця4083" displayName="Таблиця4083" ref="T206:U216" totalsRowShown="0" headerRowCellStyle="Звичайний 2" dataCellStyle="Звичайний 2">
  <autoFilter ref="T206:U216" xr:uid="{4F348FC8-26B4-4F68-8EA5-9DAF85C9B47A}"/>
  <tableColumns count="2">
    <tableColumn id="1" xr3:uid="{EEDFFB5D-706C-4978-8DB7-2622C2E987CF}" name="1d10" dataCellStyle="Звичайний 2"/>
    <tableColumn id="2" xr3:uid="{B5BAD771-917A-4F4D-B1C3-EDCA6083567E}" name="| Day Description" dataCellStyle="Звичайний 2"/>
  </tableColumns>
  <tableStyleInfo name="TableStyleMedium8"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D0A322D1-D385-414D-967C-093107D113A2}" name="Таблиця41" displayName="Таблиця41" ref="V206:W216" totalsRowShown="0" headerRowCellStyle="Звичайний 2" dataCellStyle="Звичайний 2">
  <autoFilter ref="V206:W216" xr:uid="{3113067D-4257-49C4-B319-3F8F7A1CB707}"/>
  <tableColumns count="2">
    <tableColumn id="1" xr3:uid="{D8C059A0-275A-4825-BEC7-B5CB7756B238}" name="1d10" dataCellStyle="Звичайний 2"/>
    <tableColumn id="2" xr3:uid="{72FAA123-D1D5-47E4-AA58-D9660CA1F828}" name="Night Description" dataCellStyle="Звичайний 2"/>
  </tableColumns>
  <tableStyleInfo name="TableStyleMedium8"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E31DEF3A-F683-4063-9840-418EA2B09507}" name="Таблиця42" displayName="Таблиця42" ref="T219:U229" totalsRowShown="0" headerRowCellStyle="Звичайний 2" dataCellStyle="Звичайний 2">
  <autoFilter ref="T219:U229" xr:uid="{2805465B-ACD7-45A1-97ED-56DCC7D219BB}"/>
  <tableColumns count="2">
    <tableColumn id="1" xr3:uid="{137EB37C-2691-4DF2-9227-59B069111BD8}" name="1d10" dataCellStyle="Звичайний 2"/>
    <tableColumn id="2" xr3:uid="{7532B288-C071-4E84-9C2A-4424C399AE2B}" name="| Day Description" dataCellStyle="Звичайний 2"/>
  </tableColumns>
  <tableStyleInfo name="TableStyleMedium8"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EB64BEA-2B91-4723-A27B-1134D8B054C0}" name="Таблиця43" displayName="Таблиця43" ref="V219:W229" totalsRowShown="0" headerRowCellStyle="Звичайний 2" dataCellStyle="Звичайний 2">
  <autoFilter ref="V219:W229" xr:uid="{D0D590DB-3768-49B2-86C9-9F689E7BE566}"/>
  <tableColumns count="2">
    <tableColumn id="1" xr3:uid="{8821FD0F-37B1-4C5D-AC74-CE19E53D2117}" name="1d10" dataCellStyle="Звичайний 2"/>
    <tableColumn id="2" xr3:uid="{6DFB2916-BC33-4F1F-88E8-66E56AED8C3D}" name="Night Description" dataCellStyle="Звичайний 2"/>
  </tableColumns>
  <tableStyleInfo name="TableStyleMedium8"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E028AE45-8735-4EE3-96F1-8B8E867116A5}" name="Таблиця101" displayName="Таблиця101" ref="T41:U43" totalsRowShown="0" headerRowCellStyle="Звичайний 7" dataCellStyle="Звичайний 7">
  <autoFilter ref="T41:U43" xr:uid="{F451CD5E-CC58-4E4F-9C22-A51280EC7A4C}"/>
  <tableColumns count="2">
    <tableColumn id="1" xr3:uid="{7379A53C-86FE-4160-A9E8-F80BF97DCB16}" name="2d6 roll" dataCellStyle="Звичайний 7"/>
    <tableColumn id="2" xr3:uid="{FCF2C26B-F42B-4999-AB9B-1D2BDBE0A331}" name="10" dataCellStyle="Звичайний 7">
      <calculatedColumnFormula>INDEX(R40:R50,MATCH(U40,P40:P50,0),1)</calculatedColumnFormula>
    </tableColumn>
  </tableColumns>
  <tableStyleInfo name="TableStyleMedium1"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B8EA0F02-8E68-4B83-9246-411A7C4DD459}" name="Таблиця97" displayName="Таблиця97" ref="B3:I334" totalsRowShown="0">
  <autoFilter ref="B3:I334" xr:uid="{F843E010-E10E-4000-959C-56BA58E26DAE}"/>
  <tableColumns count="8">
    <tableColumn id="1" xr3:uid="{EE9EE556-3AB0-4D53-BB32-5F00F5BFD0D5}" name="Стовпець1"/>
    <tableColumn id="2" xr3:uid="{EA5D750B-912C-493D-9B5F-FA7CB15DF0FE}" name="Name"/>
    <tableColumn id="3" xr3:uid="{C4B11705-5B01-4EE5-835C-BEA1A4D5B4B0}" name="Type"/>
    <tableColumn id="4" xr3:uid="{C055A45E-9A42-412A-95BD-F00E688B587B}" name="Rarity"/>
    <tableColumn id="5" xr3:uid="{DBA6CB50-0100-4895-A621-21CEF0DEBBA3}" name="Attune"/>
    <tableColumn id="6" xr3:uid="{F1CC4ECF-5BCA-4337-8E08-783A6DCDA8C1}" name="Notes"/>
    <tableColumn id="7" xr3:uid="{B2239F25-A25A-4DF3-96EB-EB6F2605985D}" name="AC Bonus"/>
    <tableColumn id="8" xr3:uid="{C5283433-EB85-4692-B3EE-D3CA3FE5CC61}" name="Source"/>
  </tableColumns>
  <tableStyleInfo name="TableStyleMedium2"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474DF932-A61C-4FBE-B8E2-78D103DF5B2B}" name="Таблиця98" displayName="Таблиця98" ref="K35:L45" totalsRowShown="0">
  <autoFilter ref="K35:L45" xr:uid="{D79C5DE5-0F69-4D09-BEF0-749D30799013}"/>
  <tableColumns count="2">
    <tableColumn id="1" xr3:uid="{7AED24C8-EB27-41CE-97F7-560E57695E63}" name="#"/>
    <tableColumn id="2" xr3:uid="{97489DEA-FD84-4E23-998C-DB780DD192EE}" name="Reistance Potion"/>
  </tableColumns>
  <tableStyleInfo name="TableStyleMedium3"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AB5A9E0B-1BCB-4E7F-8FC0-C4AC7F7807B9}" name="Table3" displayName="Table3" ref="F17:F30" totalsRowShown="0" headerRowDxfId="664" dataDxfId="663" tableBorderDxfId="662">
  <autoFilter ref="F17:F30" xr:uid="{00000000-0009-0000-0100-000003000000}"/>
  <tableColumns count="1">
    <tableColumn id="1" xr3:uid="{36F92850-3726-4E1B-A780-7E425099BE15}" name="CANTRIPS" dataDxfId="661"/>
  </tableColumns>
  <tableStyleInfo name="TableStyleMedium9"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1C9F3986-226C-477A-95FD-5146110BAA7A}" name="Таблиця87" displayName="Таблиця87" ref="A1:CZ334" totalsRowShown="0">
  <autoFilter ref="A1:CZ334" xr:uid="{1A8C3CAE-F7FA-4BDF-A624-27EC5E94FEFC}"/>
  <tableColumns count="104">
    <tableColumn id="1" xr3:uid="{2052432D-5DF9-40EC-968A-38D05BCB244E}" name="1"/>
    <tableColumn id="2" xr3:uid="{CDC19597-BCEF-45E3-A184-A3807DE73ED9}" name="2"/>
    <tableColumn id="3" xr3:uid="{CE0BBDE0-81DA-4EB8-9001-6B9B7D9A967D}" name="3"/>
    <tableColumn id="4" xr3:uid="{D447E5A6-33AD-472A-AC4F-E810CCAE0AE3}" name="4"/>
    <tableColumn id="5" xr3:uid="{22F93B16-3ADA-483A-8708-FBF76F47C24E}" name="5"/>
    <tableColumn id="6" xr3:uid="{306B076C-B3E3-4D0A-819C-C0378294319F}" name="6"/>
    <tableColumn id="7" xr3:uid="{0273C278-0F8D-4ED8-8F85-C68FC8E6811D}" name="7"/>
    <tableColumn id="8" xr3:uid="{6D077ACC-7DF0-480F-9026-59423D14B08B}" name="8"/>
    <tableColumn id="9" xr3:uid="{583A2CCE-D669-48AF-B902-EFD3F402E4FB}" name="9"/>
    <tableColumn id="10" xr3:uid="{80D7D705-2003-4487-9A03-25D1038EC415}" name="10"/>
    <tableColumn id="11" xr3:uid="{9CB63647-C5EB-4D7E-AA13-609B4670CF1F}" name="11"/>
    <tableColumn id="12" xr3:uid="{4BBD09F8-D751-433B-BDF8-0C883705B351}" name="12"/>
    <tableColumn id="13" xr3:uid="{F2B9B6E0-9D8E-41D6-A913-16A561EB8D0E}" name="13"/>
    <tableColumn id="14" xr3:uid="{83F7093D-0586-4D75-BFE3-2515B5452137}" name="14"/>
    <tableColumn id="15" xr3:uid="{3C9EFB37-1080-40B6-9842-0D04936953DC}" name="15"/>
    <tableColumn id="16" xr3:uid="{593979D5-0027-4D95-B39B-52460756526D}" name="16"/>
    <tableColumn id="17" xr3:uid="{D1B697C4-16F2-4113-8AC4-6A9CC9B1E92A}" name="17"/>
    <tableColumn id="18" xr3:uid="{B16E92C8-9DDD-4E12-ADC7-C0F8933288A9}" name="18"/>
    <tableColumn id="19" xr3:uid="{E31DE52E-A904-4786-97A9-5FC74CD8E2A4}" name="19"/>
    <tableColumn id="20" xr3:uid="{AEAB49FC-CF6F-4DCE-8A03-A514DE369353}" name="20"/>
    <tableColumn id="21" xr3:uid="{B958C85F-87E2-4674-A200-09CC32592305}" name="21"/>
    <tableColumn id="22" xr3:uid="{FB87FB43-1A3F-42B2-8451-71357DC1957E}" name="22"/>
    <tableColumn id="23" xr3:uid="{90C2270A-34F4-4F18-AAAA-2BB09A8005F1}" name="23"/>
    <tableColumn id="24" xr3:uid="{B4696D4B-BD06-49CB-8E72-0D3C770B0AB9}" name="24"/>
    <tableColumn id="25" xr3:uid="{26931E1C-D0D9-45FE-A249-45AEE8673A68}" name="25"/>
    <tableColumn id="26" xr3:uid="{34DC7772-AD19-41C2-86B1-16492BAD37E1}" name="26"/>
    <tableColumn id="27" xr3:uid="{640684AE-E48E-4E84-AF54-E706155AAD49}" name="27"/>
    <tableColumn id="28" xr3:uid="{E81198BB-FF88-4957-8394-CD7E4AFA7126}" name="28"/>
    <tableColumn id="29" xr3:uid="{3A0B43A3-CD45-44F8-8A0F-A07732F134B3}" name="29"/>
    <tableColumn id="30" xr3:uid="{187A914C-0AE4-48AE-A4F6-68A871BE7C71}" name="30"/>
    <tableColumn id="31" xr3:uid="{4FFCAB80-EAD3-459F-BED7-CCE490AFFD59}" name="31"/>
    <tableColumn id="32" xr3:uid="{9AF9E659-AD36-425D-9800-57C94166947B}" name="32"/>
    <tableColumn id="33" xr3:uid="{CD79EFC6-4A50-4851-957A-4275AA3BA4B8}" name="33"/>
    <tableColumn id="34" xr3:uid="{57FDC579-969F-45C1-BB81-16C1A83B8ADD}" name="34"/>
    <tableColumn id="35" xr3:uid="{2C9154D8-B84B-446C-96DF-FE5F6EA19176}" name="35"/>
    <tableColumn id="36" xr3:uid="{C01B8452-642C-494B-9E15-DC491458CC74}" name="36"/>
    <tableColumn id="37" xr3:uid="{6D740211-4F89-445D-9C3F-E7AEB7173298}" name="37"/>
    <tableColumn id="38" xr3:uid="{831A3936-8952-4475-BC7E-0DA3BFD1A5A8}" name="38"/>
    <tableColumn id="39" xr3:uid="{D748E289-6B46-46EF-BFE5-E8DC8877E682}" name="39"/>
    <tableColumn id="40" xr3:uid="{72F860BD-EFD4-4BA5-B9F4-3BEB2DDDB88E}" name="40"/>
    <tableColumn id="41" xr3:uid="{882B1D83-5F3C-420C-8052-031A98A11F97}" name="41"/>
    <tableColumn id="42" xr3:uid="{149A283C-8AF2-4F1E-9477-E7B1FA8275A0}" name="42"/>
    <tableColumn id="43" xr3:uid="{B7294B26-C881-4845-82B9-EC55E0E31948}" name="43"/>
    <tableColumn id="44" xr3:uid="{B429F66B-0505-4D8D-B268-0316051BE26C}" name="44"/>
    <tableColumn id="45" xr3:uid="{D991A188-6CCA-4AD2-BF5D-3A41D655DF77}" name="45"/>
    <tableColumn id="46" xr3:uid="{2C4520B7-6498-4DE7-812C-3EC017F5B6B1}" name="46"/>
    <tableColumn id="47" xr3:uid="{5938B08D-8282-45D7-A38F-59C27511A118}" name="47"/>
    <tableColumn id="48" xr3:uid="{5BD0DEF5-0769-4473-9AC0-BA6FBAC9D000}" name="48"/>
    <tableColumn id="49" xr3:uid="{6DE8BDFD-EA95-4148-9EA9-253E5F222F39}" name="49"/>
    <tableColumn id="50" xr3:uid="{6BC5827D-7C90-4D58-BA51-77DCEFA5F876}" name="50"/>
    <tableColumn id="51" xr3:uid="{B65F8012-18EF-4D26-90A6-22BC297FD303}" name="51"/>
    <tableColumn id="52" xr3:uid="{259B1BC7-D9E8-41AF-B3BF-AC11817C056B}" name="52"/>
    <tableColumn id="53" xr3:uid="{120A05B8-335A-49D1-9225-B6DE5D4EB1EE}" name="53"/>
    <tableColumn id="54" xr3:uid="{6460FA4D-9FA4-4138-97F4-EFFF2DF038FA}" name="54"/>
    <tableColumn id="55" xr3:uid="{DA2E28C3-D79C-45FE-A231-DB793357221F}" name="55"/>
    <tableColumn id="56" xr3:uid="{96C7C4B4-04AB-42D7-B202-ABBBF7CEF3DF}" name="56"/>
    <tableColumn id="57" xr3:uid="{1B369C52-341D-4244-9868-CEE776164C21}" name="57"/>
    <tableColumn id="58" xr3:uid="{20E83D65-A64D-41FF-B659-15DF6B0F9EB1}" name="58"/>
    <tableColumn id="59" xr3:uid="{046C3722-8C84-47E9-9FA1-38E8411CE04C}" name="59"/>
    <tableColumn id="60" xr3:uid="{C1057F01-2538-4813-B5EA-25FDB41DACDD}" name="60"/>
    <tableColumn id="61" xr3:uid="{D31B336D-61E8-45C5-B462-11FE0DA0C233}" name="61"/>
    <tableColumn id="62" xr3:uid="{0B3E9A26-C4F9-4CE6-A1A4-E733AD5289D8}" name="62"/>
    <tableColumn id="63" xr3:uid="{0EDEC69A-49E7-4AA2-8E03-B30FA723920F}" name="63"/>
    <tableColumn id="64" xr3:uid="{E5138463-0EAD-48E5-8D77-20EC9181798A}" name="64"/>
    <tableColumn id="65" xr3:uid="{BE735930-87CD-475E-9E2F-265786DF9AAD}" name="65"/>
    <tableColumn id="66" xr3:uid="{1EB3CB46-56FA-4FB1-9730-2952EA62C8B8}" name="66"/>
    <tableColumn id="67" xr3:uid="{E27F0125-5EF7-4A9B-A9B7-8FD714733BD4}" name="67"/>
    <tableColumn id="68" xr3:uid="{41324E55-B949-4F1B-AEC0-055DEFD70E66}" name="68"/>
    <tableColumn id="69" xr3:uid="{6AFAF9AC-CBC4-4E0C-B832-FABCF7EC5F1D}" name="69"/>
    <tableColumn id="70" xr3:uid="{CFC5FCCD-F32F-49C1-9058-A878AFAD58A8}" name="70"/>
    <tableColumn id="71" xr3:uid="{DF005541-4BF7-4262-8413-03B14A048B1B}" name="71"/>
    <tableColumn id="72" xr3:uid="{AC6CDE44-21E6-4AC5-81D4-4F646CE11570}" name="72"/>
    <tableColumn id="73" xr3:uid="{F960B4DF-4627-4737-9A4A-50F72E9F2C8B}" name="73"/>
    <tableColumn id="74" xr3:uid="{5D15A0D6-B726-43C0-BC74-7A0AF29DAE3F}" name="74"/>
    <tableColumn id="75" xr3:uid="{D6673B80-051E-430A-AFCB-A454648E8B83}" name="75"/>
    <tableColumn id="76" xr3:uid="{358676AB-4EB1-4276-8E91-0A3FD8C7801B}" name="76"/>
    <tableColumn id="77" xr3:uid="{B5D93E49-8B13-4B85-ABA8-7521C6A452C6}" name="77"/>
    <tableColumn id="78" xr3:uid="{DA11F577-90DD-46B6-88FA-C20D34C02E34}" name="78"/>
    <tableColumn id="79" xr3:uid="{330C899B-57C5-4D97-A0CC-F8094F74395C}" name="79"/>
    <tableColumn id="80" xr3:uid="{9FA3E70A-9020-4BFF-8AB2-09445FC38714}" name="80"/>
    <tableColumn id="81" xr3:uid="{6679DC0D-0FB4-4351-AC07-9ACB8843125D}" name="81"/>
    <tableColumn id="82" xr3:uid="{004BD979-22CA-4CC2-890E-2E8F7E09D495}" name="82"/>
    <tableColumn id="83" xr3:uid="{0963E225-5CE4-4AAD-A31D-DB49CEA9C0A9}" name="83"/>
    <tableColumn id="84" xr3:uid="{FD07F8F6-47D6-4EEA-93FC-8A143BF54AA4}" name="84"/>
    <tableColumn id="85" xr3:uid="{D0F81891-DDDD-4587-834C-6D40EBBFC792}" name="85"/>
    <tableColumn id="86" xr3:uid="{AC275336-A10D-4864-9215-FF94DADC3136}" name="86"/>
    <tableColumn id="87" xr3:uid="{5E21CD22-215E-4A16-BAF8-2E822BFF7576}" name="87"/>
    <tableColumn id="88" xr3:uid="{5723A34E-6BAF-40EE-99FE-FF48D66B5695}" name="88"/>
    <tableColumn id="89" xr3:uid="{0206BDB9-E747-434C-AAE9-19E07B020049}" name="89"/>
    <tableColumn id="90" xr3:uid="{BC1884F4-CAE1-4989-8722-3D26DF08778F}" name="90"/>
    <tableColumn id="91" xr3:uid="{92E941C2-A76D-4E67-8073-74DEAB7F0AA5}" name="91"/>
    <tableColumn id="92" xr3:uid="{0A149C12-C942-4D9F-AB9C-33EB4DC35D78}" name="92"/>
    <tableColumn id="93" xr3:uid="{FA0DE485-7506-490D-9CA2-837463018B0B}" name="93"/>
    <tableColumn id="94" xr3:uid="{3FA11CCA-FE87-434F-B884-6017A05D7884}" name="94"/>
    <tableColumn id="95" xr3:uid="{9726627C-6B64-44E5-88AE-DF80C6719E22}" name="95"/>
    <tableColumn id="96" xr3:uid="{EB759AF4-F739-4596-AD31-B6D51B2B1E69}" name="96"/>
    <tableColumn id="97" xr3:uid="{A2238F88-EA94-4D2A-8BF1-6C66A929E714}" name="97"/>
    <tableColumn id="98" xr3:uid="{5B24F82B-256C-453A-BF92-4898B3E6520D}" name="98"/>
    <tableColumn id="99" xr3:uid="{72DCA41C-B3B4-4B00-94C1-5DC6471E70F4}" name="99"/>
    <tableColumn id="100" xr3:uid="{BECD2A6B-F093-4F08-9AF3-973358EA642C}" name="100"/>
    <tableColumn id="101" xr3:uid="{47DF46A8-7BFF-4169-92BB-E733D6386767}" name="101"/>
    <tableColumn id="102" xr3:uid="{82125524-7F48-40CD-9A3E-3669CE040752}" name="102"/>
    <tableColumn id="103" xr3:uid="{65402460-AC29-4E5A-81DC-44F0DD053DC8}" name="103"/>
    <tableColumn id="104" xr3:uid="{BA1C952D-E14C-423E-8BE4-C5BBC5BF1EDB}" name="104"/>
  </tableColumns>
  <tableStyleInfo name="TableStyleDark9"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3867DE4B-AF7B-4340-8C60-1781E49AFD7B}" name="Table2" displayName="Table2" ref="A2:L191" totalsRowShown="0" headerRowDxfId="660" dataDxfId="659">
  <sortState xmlns:xlrd2="http://schemas.microsoft.com/office/spreadsheetml/2017/richdata2" ref="A3:L189">
    <sortCondition descending="1" ref="B2:B189"/>
  </sortState>
  <tableColumns count="12">
    <tableColumn id="1" xr3:uid="{895FEA60-B2F7-46E3-9810-AD35FA43C3E2}" name="Name" dataDxfId="658"/>
    <tableColumn id="2" xr3:uid="{7CEAC785-5E08-4D41-886F-6550E3CDC522}" name=" Base Cost" dataDxfId="657"/>
    <tableColumn id="3" xr3:uid="{059EBEDF-4580-42F6-BED8-6F6C8709D38B}" name="Lbs" dataDxfId="656"/>
    <tableColumn id="4" xr3:uid="{581EBE05-061D-4631-B38E-F338D5E8FE53}" name="Your Price (gp)" dataDxfId="655">
      <calculatedColumnFormula>B3*$O$6</calculatedColumnFormula>
    </tableColumn>
    <tableColumn id="5" xr3:uid="{5793E655-5897-421E-9A89-9025F6D8B535}" name="=" dataDxfId="654"/>
    <tableColumn id="6" xr3:uid="{0CCAB7E7-1AD6-4608-91F0-3395F80EC9A1}" name="GP" dataDxfId="653">
      <calculatedColumnFormula>_xlfn.FLOOR.MATH(D3,1)</calculatedColumnFormula>
    </tableColumn>
    <tableColumn id="7" xr3:uid="{B4C5F17E-9BBF-4775-8FA9-87888EE42F40}" name="G" dataDxfId="652"/>
    <tableColumn id="8" xr3:uid="{E3269524-7B03-40F2-8ACD-A8948A3FC809}" name="SP" dataDxfId="651">
      <calculatedColumnFormula>_xlfn.FLOOR.MATH(((D3-F3)*10), 1)</calculatedColumnFormula>
    </tableColumn>
    <tableColumn id="9" xr3:uid="{6B3A16DC-09C4-4D65-91E3-FEA8F7837A1A}" name="S" dataDxfId="650"/>
    <tableColumn id="10" xr3:uid="{C41AB83F-735F-4FBB-BCF2-F5251D54F123}" name="CP" dataDxfId="649">
      <calculatedColumnFormula>((D3-F3)*10-H3)*10</calculatedColumnFormula>
    </tableColumn>
    <tableColumn id="11" xr3:uid="{C62384A3-2D42-4986-8B94-BBD42F0E0F22}" name="C" dataDxfId="648"/>
    <tableColumn id="12" xr3:uid="{7F480FCF-D276-466C-9ACE-392058A9FE0E}" name="Marks" dataDxfId="647"/>
  </tableColumns>
  <tableStyleInfo name="TableStyleLight7"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26FE8FAD-C6DA-43D2-9973-110AB5310422}" name="Table5" displayName="Table5" ref="X2:AH783" totalsRowShown="0" headerRowDxfId="646" dataDxfId="645">
  <sortState xmlns:xlrd2="http://schemas.microsoft.com/office/spreadsheetml/2017/richdata2" ref="X3:AH783">
    <sortCondition ref="X2:X783"/>
  </sortState>
  <tableColumns count="11">
    <tableColumn id="1" xr3:uid="{00000000-0010-0000-0300-000001000000}" name="Name" dataDxfId="644"/>
    <tableColumn id="2" xr3:uid="{00000000-0010-0000-0300-000002000000}" name=" Base Cost" dataDxfId="643"/>
    <tableColumn id="3" xr3:uid="{00000000-0010-0000-0300-000003000000}" name="Your Price (gp)" dataDxfId="642">
      <calculatedColumnFormula>Y3*$AK$6*$AK$11</calculatedColumnFormula>
    </tableColumn>
    <tableColumn id="4" xr3:uid="{00000000-0010-0000-0300-000004000000}" name="=" dataDxfId="641"/>
    <tableColumn id="5" xr3:uid="{00000000-0010-0000-0300-000005000000}" name="GP" dataDxfId="640">
      <calculatedColumnFormula>_xlfn.FLOOR.MATH(Z3,1)</calculatedColumnFormula>
    </tableColumn>
    <tableColumn id="6" xr3:uid="{00000000-0010-0000-0300-000006000000}" name="G" dataDxfId="639"/>
    <tableColumn id="7" xr3:uid="{00000000-0010-0000-0300-000007000000}" name="SP" dataDxfId="638">
      <calculatedColumnFormula>_xlfn.FLOOR.MATH(((Z3-AB3)*10), 1)</calculatedColumnFormula>
    </tableColumn>
    <tableColumn id="8" xr3:uid="{00000000-0010-0000-0300-000008000000}" name="S" dataDxfId="637"/>
    <tableColumn id="9" xr3:uid="{00000000-0010-0000-0300-000009000000}" name="CP" dataDxfId="636">
      <calculatedColumnFormula>((Z3-AB3)*10-AD3)*10</calculatedColumnFormula>
    </tableColumn>
    <tableColumn id="10" xr3:uid="{00000000-0010-0000-0300-00000A000000}" name="C" dataDxfId="635"/>
    <tableColumn id="11" xr3:uid="{00000000-0010-0000-0300-00000B000000}" name="Marks" dataDxfId="634"/>
  </tableColumns>
  <tableStyleInfo name="TableStyleLight7"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802B106-0A47-45D6-AD2B-114CE9304010}" name="Таблиця13" displayName="Таблиця13" ref="M1:AE59" totalsRowShown="0" headerRowDxfId="633">
  <autoFilter ref="M1:AE59" xr:uid="{B47334C6-7B03-42D3-9CE8-99FA8FD8F4A0}"/>
  <tableColumns count="19">
    <tableColumn id="1" xr3:uid="{07998D14-4D70-49D2-AF3B-998BB7A5B06E}" name="usless items"/>
    <tableColumn id="2" xr3:uid="{58910206-0A9C-471E-9C41-699A8FB79846}" name="full range"/>
    <tableColumn id="3" xr3:uid="{6D9C8406-725D-4889-A333-7D27904EFC96}" name="weapon exclusive"/>
    <tableColumn id="4" xr3:uid="{5557C5BF-3F23-4D25-A0C8-DDAFFFF2E066}" name="armour exclusive"/>
    <tableColumn id="5" xr3:uid="{5034DCAE-AAD0-470A-9F83-27961CC26348}" name="mundane"/>
    <tableColumn id="6" xr3:uid="{C5A0A97A-B684-4D9A-BE0C-19716DCD81D3}" name="full"/>
    <tableColumn id="7" xr3:uid="{B5F1D017-7D34-4140-869B-1B61E88F50B1}" name="amour"/>
    <tableColumn id="8" xr3:uid="{269B555F-7641-411E-B9A2-66356D75B3F0}" name="weapons"/>
    <tableColumn id="9" xr3:uid="{07F932DC-07BD-47F9-A8FD-96E6D3A063C5}" name="usless spells"/>
    <tableColumn id="10" xr3:uid="{D438776B-D4C7-4F13-A1DC-9E20D71D2AC0}" name="all spells"/>
    <tableColumn id="11" xr3:uid="{935ABB53-DAED-407B-9B2B-E6DF90D1F8AC}" name="comabt spells"/>
    <tableColumn id="12" xr3:uid="{E94CEBC3-1750-42A3-823F-147063231F75}" name="sentience"/>
    <tableColumn id="13" xr3:uid="{1E338130-4EA5-4659-8734-862985E2B432}" name="elements"/>
    <tableColumn id="14" xr3:uid="{8622EF3A-A687-4424-93E5-15460F737FBD}" name="`resistance"/>
    <tableColumn id="15" xr3:uid="{906C5C9B-AB82-456E-8F78-3DE924FFF76D}" name="gtrove"/>
    <tableColumn id="16" xr3:uid="{A07A953E-5067-44DD-84F0-6FD15CEEC52C}" name="t    Gear"/>
    <tableColumn id="17" xr3:uid="{22CEE9C2-3B20-4998-AFC4-EC7D15F8E941}" name="shops"/>
    <tableColumn id="18" xr3:uid="{D6FF21B0-B322-475C-8C8A-97AEC1ABD699}" name="race"/>
    <tableColumn id="19" xr3:uid="{0E87BFAF-37E6-4441-A003-B14A9C7F5B6C}" name="class"/>
  </tableColumns>
  <tableStyleInfo name="TableStyleMedium28"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3F39788-6E52-4EA4-A2F9-5BA530545FD5}" name="Таблиця14" displayName="Таблиця14" ref="F48:I52" totalsRowShown="0">
  <autoFilter ref="F48:I52" xr:uid="{F2670FBD-9F91-4A84-9E73-CAEACA91DA6F}"/>
  <tableColumns count="4">
    <tableColumn id="1" xr3:uid="{44264C31-3CA4-40E6-B989-00BFC7F16FAE}" name="d100"/>
    <tableColumn id="2" xr3:uid="{36DE954E-1979-4F2E-93A7-D6FC631DE915}" name="low range"/>
    <tableColumn id="3" xr3:uid="{B35564D5-C96C-4629-9A6A-81CFDEAD2408}" name="quality"/>
    <tableColumn id="4" xr3:uid="{06E47E47-4A6C-4A1F-9CA2-44FA5B1DD941}" name="Стовпець1" dataCellStyle="Звичайний 3"/>
  </tableColumns>
  <tableStyleInfo name="TableStyleDark1"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9DAB5B6B-4535-4818-9722-D388C6274657}" name="Таблиця86" displayName="Таблиця86" ref="AS1:AT21" totalsRowShown="0">
  <autoFilter ref="AS1:AT21" xr:uid="{15B3126A-9B97-47F3-B80B-C8541437D5FB}"/>
  <tableColumns count="2">
    <tableColumn id="1" xr3:uid="{4FE7373A-94B8-4087-A74B-1BC00C545D1E}" name="#"/>
    <tableColumn id="2" xr3:uid="{C1D8CBEF-EAAE-420A-B52E-0457CB4AD055}" name="ТРАВМА"/>
  </tableColumns>
  <tableStyleInfo name="TableStyleDark2"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8B1011B-1DC3-40BA-BB7B-385B054CCA3C}" name="Таблиця3" displayName="Таблиця3" ref="A3:R77" totalsRowShown="0" headerRowDxfId="632" dataDxfId="631">
  <autoFilter ref="A3:R77" xr:uid="{5AC08987-746A-490B-8BE8-291C94AC92CF}"/>
  <sortState xmlns:xlrd2="http://schemas.microsoft.com/office/spreadsheetml/2017/richdata2" ref="A4:R77">
    <sortCondition ref="A3:A77"/>
  </sortState>
  <tableColumns count="18">
    <tableColumn id="1" xr3:uid="{A4ACC790-18D1-4671-8FCF-BA645622B3A5}" name="SETTLEMENT" dataDxfId="630"/>
    <tableColumn id="18" xr3:uid="{E914DEA0-86A8-41CB-9A62-CB1C975DEA51}" name="Region" dataDxfId="629"/>
    <tableColumn id="12" xr3:uid="{F9B5C917-16C9-4AD7-9AE8-F10004FCA13E}" name="TYPE" dataDxfId="628"/>
    <tableColumn id="13" xr3:uid="{001A40F8-DC13-4960-A560-22686479900D}" name="MARKET CLASS" dataDxfId="627"/>
    <tableColumn id="2" xr3:uid="{F32B8687-8A65-46D0-9DC9-7C78D71EBEBA}" name="POPULATION" dataDxfId="626"/>
    <tableColumn id="15" xr3:uid="{2D76790C-F5EF-4A27-83F2-1CFF59E30A07}" name="GARRISON" dataDxfId="625"/>
    <tableColumn id="16" xr3:uid="{561C03DC-D45F-47B4-B694-82145037B6F3}" name="GARRISON size" dataDxfId="624"/>
    <tableColumn id="14" xr3:uid="{D43CA152-F5EC-4668-9F36-959D5EE40C47}" name="DEMOGRAPHICS" dataDxfId="623"/>
    <tableColumn id="17" xr3:uid="{376878CA-D018-4C81-BD7F-51AB407F8480}" name="Notes" dataDxfId="622"/>
    <tableColumn id="3" xr3:uid="{3C53F961-3EB0-475C-8984-21461BD00A77}" name="LORD" dataDxfId="621"/>
    <tableColumn id="4" xr3:uid="{9602E9D3-95A1-492B-A01D-5D9F6060A7A1}" name="Crown Tax" dataDxfId="620"/>
    <tableColumn id="5" xr3:uid="{1CB9073A-D7ED-4306-B363-B2CD685BECA0}" name="Sales Tax" dataDxfId="619">
      <calculatedColumnFormula>0.25</calculatedColumnFormula>
    </tableColumn>
    <tableColumn id="6" xr3:uid="{2247A877-D94A-4E6F-AE94-81A857BD26A1}" name="Adventure" dataDxfId="618"/>
    <tableColumn id="7" xr3:uid="{71440DBD-2B82-44E5-90A7-23335749B038}" name="Normal" dataDxfId="617"/>
    <tableColumn id="8" xr3:uid="{2713FD7E-404B-49D8-AFD3-EA87363BC297}" name="Luxury" dataDxfId="616"/>
    <tableColumn id="9" xr3:uid="{63F5DCB3-6998-4D0B-821C-E5CB17C52509}" name="Merchant Houses/Industry" dataDxfId="615"/>
    <tableColumn id="10" xr3:uid="{1752D0FB-93B0-495E-8A05-0BFD35A5B705}" name="Merchantile Goods" dataDxfId="614"/>
    <tableColumn id="11" xr3:uid="{30B07FD2-C922-48D1-9950-698D2FB66E97}" name="Nobles and lords" dataDxfId="613"/>
  </tableColumns>
  <tableStyleInfo name="TableStyleMedium8"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7" xr:uid="{26E913DB-3314-4A70-AEAB-AD4B9CC1E4C6}" name="Таблиця272" displayName="Таблиця272" ref="T3:T14" totalsRowShown="0" headerRowDxfId="612" dataDxfId="611">
  <autoFilter ref="T3:T14" xr:uid="{18BA8360-4150-4D80-9498-E275050E63D3}"/>
  <tableColumns count="1">
    <tableColumn id="1" xr3:uid="{930FA6AA-BB1D-4FE8-81DC-C8863C5F5873}" name="Region" dataDxfId="610"/>
  </tableColumns>
  <tableStyleInfo name="TableStyleMedium1"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0" xr:uid="{C31440E7-E299-4C9F-8074-F22DC3D866B9}" name="Таблиця258" displayName="Таблиця258" ref="D1:D80" totalsRowShown="0" headerRowCellStyle="Звичайний 2" dataCellStyle="Звичайний 2">
  <autoFilter ref="D1:D80" xr:uid="{57EE8DDC-2050-447A-BD29-5114D92E4F3E}"/>
  <tableColumns count="1">
    <tableColumn id="1" xr3:uid="{B82A4FED-365F-46B0-A254-925EFCCB2381}" name="Merchantile Goods" dataCellStyle="Звичайний 2"/>
  </tableColumns>
  <tableStyleInfo name="TableStyleLight9"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635DACF-9C40-4CDA-B606-D90AAC3F761A}" name="Таблиця17" displayName="Таблиця17" ref="A3:C14" totalsRowShown="0" headerRowDxfId="609" dataDxfId="608">
  <autoFilter ref="A3:C14" xr:uid="{AEBFD7EE-38DE-4951-94ED-63F0B2188725}"/>
  <tableColumns count="3">
    <tableColumn id="1" xr3:uid="{0C72D742-9BDE-490C-ADC4-DD9F91E58DAE}" name="#" dataDxfId="607"/>
    <tableColumn id="2" xr3:uid="{7A624998-823A-415A-8DD1-39861EC3BD2F}" name="Female" dataDxfId="606">
      <calculatedColumnFormula array="1">INDEX(CONFIG000!$B$3:$B$55,RANDBETWEEN(1,53),1)</calculatedColumnFormula>
    </tableColumn>
    <tableColumn id="3" xr3:uid="{AB31DCF0-C47E-4D66-B4D7-FEC4D29C7E1E}" name="Male" dataDxfId="605">
      <calculatedColumnFormula array="1">INDEX(CONFIG000!$D$3:$D$56,RANDBETWEEN(1,54),1)</calculatedColumnFormula>
    </tableColumn>
  </tableColumns>
  <tableStyleInfo name="TableStyleDark3"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11DF3181-4031-44FE-B34C-C219D0675D69}" name="Таблиця1719" displayName="Таблиця1719" ref="E3:G14" totalsRowShown="0" headerRowDxfId="604" dataDxfId="603">
  <autoFilter ref="E3:G14" xr:uid="{8D94251A-2EB5-46E3-91C0-4CAE0C6D521E}"/>
  <tableColumns count="3">
    <tableColumn id="1" xr3:uid="{FCF51B3D-8F54-4CDA-A3BB-D02CAF4F655D}" name="#" dataDxfId="602"/>
    <tableColumn id="2" xr3:uid="{B5D8EC24-E3CB-46BA-B243-CE0149A5B68A}" name="Female" dataDxfId="601">
      <calculatedColumnFormula array="1">INDEX(Таблиця15[Female],RANDBETWEEN(1,51),1)</calculatedColumnFormula>
    </tableColumn>
    <tableColumn id="3" xr3:uid="{1B01783A-C77B-4DA1-985D-A823FDB3AC8C}" name="Male" dataDxfId="600">
      <calculatedColumnFormula array="1">INDEX(Таблиця15[Male],RANDBETWEEN(1,51),1)</calculatedColumnFormula>
    </tableColumn>
  </tableColumns>
  <tableStyleInfo name="TableStyleDark2"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690189F1-CEEC-4A20-A2D3-EEB783093D40}" name="Таблиця48" displayName="Таблиця48" ref="T7:W16" totalsRowShown="0" headerRowDxfId="599" dataDxfId="598">
  <autoFilter ref="T7:W16" xr:uid="{A2997491-C2CC-4A3D-A2FE-0B08F3D04A3B}"/>
  <tableColumns count="4">
    <tableColumn id="1" xr3:uid="{BD411350-35D9-49C1-9C1D-1E10E46627CB}" name="Symbol" dataDxfId="597"/>
    <tableColumn id="2" xr3:uid="{9F7FAEE7-835E-4364-BCD0-528335410DD5}" name="period" dataDxfId="596"/>
    <tableColumn id="3" xr3:uid="{2CCF07BD-EC4D-47C1-9A61-29BA981FAF05}" name="%" dataDxfId="595"/>
    <tableColumn id="4" xr3:uid="{83EC8B6D-0D0D-45CA-A2F1-1E533FF2B992}" name="Roll" dataDxfId="594"/>
  </tableColumns>
  <tableStyleInfo name="TableStyleLight2"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14F1D6CE-4D83-4BDE-9BBE-E1768B0DEDB5}" name="Таблиця96" displayName="Таблиця96" ref="A24:B28" totalsRowShown="0" headerRowDxfId="593" dataDxfId="591" headerRowBorderDxfId="592" tableBorderDxfId="590" totalsRowBorderDxfId="589">
  <autoFilter ref="A24:B28" xr:uid="{E8E32A0A-3858-4172-9662-C263CF561319}"/>
  <tableColumns count="2">
    <tableColumn id="1" xr3:uid="{62C50B44-5BC7-4058-A47F-E173CA86BCC2}" name="PARAMETR" dataDxfId="588" dataCellStyle="Звичайний 6"/>
    <tableColumn id="2" xr3:uid="{E33642F6-5214-40E6-9BBD-40CE658F4312}" name="VALUE" dataDxfId="587"/>
  </tableColumns>
  <tableStyleInfo name="TableStyleDark2"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F2EC04F8-2B19-439B-90E1-C710D1D57B1F}" name="Таблиця95" displayName="Таблиця95" ref="A16:E22" totalsRowShown="0" headerRowDxfId="586" dataDxfId="585" tableBorderDxfId="584" headerRowCellStyle="Звичайний 6">
  <autoFilter ref="A16:E22" xr:uid="{EBF31E94-B6C6-4A57-A933-F8D4738B22E3}"/>
  <tableColumns count="5">
    <tableColumn id="1" xr3:uid="{5743E8B4-E1F4-4D4F-9A2D-55AF65B7E52E}" name="PARAMETR" dataDxfId="583" dataCellStyle="Звичайний 6"/>
    <tableColumn id="2" xr3:uid="{CB7D49E6-D075-4AAC-AA70-352D94E80B0C}" name="VALUE" dataDxfId="582" dataCellStyle="Звичайний 6"/>
    <tableColumn id="3" xr3:uid="{A9DC5C6D-F3FD-4987-BC6F-D4AEEDC9852E}" name="Speed Modifier" dataDxfId="581"/>
    <tableColumn id="4" xr3:uid="{5F60C886-675D-4D2F-8BEF-1AA21C93C62B}" name="Navigation DC Modifier" dataDxfId="580"/>
    <tableColumn id="5" xr3:uid="{88CE7456-0910-498B-99F3-237E4D5B612E}" name="Forage/Hunt DC Modifier" dataDxfId="579"/>
  </tableColumns>
  <tableStyleInfo name="TableStyleMedium16" showFirstColumn="1"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5" xr:uid="{D9558393-4116-4080-ACD5-86C4C7E86C99}" name="Таблиця235" displayName="Таблиця235" ref="A1:F37" totalsRowShown="0">
  <autoFilter ref="A1:F37" xr:uid="{AB99E6A1-7A31-42FC-A7F6-440ED65CCEDB}"/>
  <tableColumns count="6">
    <tableColumn id="1" xr3:uid="{7D0BF4F2-D4AA-4ABB-99E9-A46FCAD48100}" name="Organization name"/>
    <tableColumn id="2" xr3:uid="{59D5F824-8C40-46F3-BB86-29B5CE002A2A}" name="Type"/>
    <tableColumn id="3" xr3:uid="{50A1D31B-EE3B-447D-B02F-7167121B8514}" name="Description"/>
    <tableColumn id="4" xr3:uid="{6882EDB0-77D2-448B-9C6C-9F42A82611DF}" name="Leader"/>
    <tableColumn id="5" xr3:uid="{52C51B5A-E3CE-49F8-858D-7370F04C21F9}" name="Headquarter"/>
    <tableColumn id="6" xr3:uid="{723A25BB-5A50-4BFB-82E4-4DB4DD26BA81}" name="Activity"/>
  </tableColumns>
  <tableStyleInfo name="TableStyleMedium1"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C7E41E-4FD9-4699-944F-DF16576C5357}" name="Таблиця1" displayName="Таблиця1" ref="A1:J62" totalsRowShown="0" headerRowDxfId="578" dataDxfId="577">
  <autoFilter ref="A1:J62" xr:uid="{6C9945FC-91CC-4BB1-88C0-0C3D012CAAFC}"/>
  <tableColumns count="10">
    <tableColumn id="1" xr3:uid="{E134F5EF-F349-43F4-85D6-460E1A49D8CA}" name="Category" dataDxfId="576"/>
    <tableColumn id="2" xr3:uid="{BB7F054A-7624-4A37-A181-7BA6A3DDBEE4}" name="House" dataDxfId="575"/>
    <tableColumn id="3" xr3:uid="{1418118B-118F-4D5A-8E65-6ABEC8F223C0}" name="House Lord 3e" dataDxfId="574"/>
    <tableColumn id="10" xr3:uid="{C175B640-9F98-4B45-9A95-91A723AD36AC}" name="Lord 5e" dataDxfId="573"/>
    <tableColumn id="4" xr3:uid="{014D6DB3-DF1B-495B-99C0-C733937362C6}" name="Strongholds" dataDxfId="572"/>
    <tableColumn id="5" xr3:uid="{A8ACDB32-96C2-44E5-B924-1DFB04FC59C0}" name="Remarks" dataDxfId="571"/>
    <tableColumn id="6" xr3:uid="{B50FC5E7-0BC1-4AE4-AA80-20F5075FDF22}" name="Стовпець1" dataDxfId="480">
      <calculatedColumnFormula>MATCH(Таблиця1[[#This Row],[House]],Таблиця4[name],0)</calculatedColumnFormula>
    </tableColumn>
    <tableColumn id="7" xr3:uid="{43CCEC76-EAC8-478D-8356-9AF0AFFAA782}" name="Obarskyr" dataDxfId="570"/>
    <tableColumn id="8" xr3:uid="{EAE9D2DB-7C18-42E5-86B5-871A81E708B6}" name="Cormyr" dataDxfId="569"/>
    <tableColumn id="9" xr3:uid="{11E6431E-216F-4048-842A-B2E7E3AAB4D0}" name="Vangy" dataDxfId="568"/>
  </tableColumns>
  <tableStyleInfo name="TableStyleMedium21"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6599D1F-0963-499F-8387-0EE1C35A35A8}" name="Таблиця4" displayName="Таблиця4" ref="L1:N213" totalsRowShown="0" headerRowDxfId="567">
  <autoFilter ref="L1:N213" xr:uid="{CC2F4B24-8717-41CF-9F3F-BC75948FA5DF}"/>
  <sortState xmlns:xlrd2="http://schemas.microsoft.com/office/spreadsheetml/2017/richdata2" ref="L2:N213">
    <sortCondition ref="N1:N213"/>
  </sortState>
  <tableColumns count="3">
    <tableColumn id="1" xr3:uid="{F702E1C9-35EB-4DCF-ADC2-E97156234468}" name="category"/>
    <tableColumn id="2" xr3:uid="{AAA74563-C080-4528-A5CE-6661E634EC49}" name="name"/>
    <tableColumn id="3" xr3:uid="{ABB72550-76B5-4734-B5AB-D9D50A8CD31B}" name="Стовпець1"/>
  </tableColumns>
  <tableStyleInfo name="TableStyleMedium1"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2FED5E-C6A3-4E05-8D5F-D87ADBB7D1A0}" name="Таблиця2" displayName="Таблиця2" ref="A3:I18" totalsRowShown="0">
  <autoFilter ref="A3:I18" xr:uid="{F615FB61-2584-47F4-91C2-CC362E165C89}"/>
  <tableColumns count="9">
    <tableColumn id="1" xr3:uid="{74CF92ED-9741-4F0E-A81E-4E72CC458DB0}" name="Purple Dragon Rank" dataDxfId="566"/>
    <tableColumn id="2" xr3:uid="{E1F51928-1B7C-4A77-AF5C-200D1A99ECD1}" name="Earth Equivalent" dataDxfId="565"/>
    <tableColumn id="8" xr3:uid="{7C5AAF77-25EB-4F95-AD3B-B985932BC9FB}" name="Стовпець1"/>
    <tableColumn id="3" xr3:uid="{F2FBD0D1-54CD-4222-8C82-13E10A12EB90}" name="Tassle Color"/>
    <tableColumn id="4" xr3:uid="{337884DD-85D5-4646-86D5-8A758585ED74}" name="Suggested Pay (gp/month) ||| 1372 "/>
    <tableColumn id="5" xr3:uid="{BF9AEE78-C994-4A9C-89F4-6FEE91E0FEEA}" name="Description"/>
    <tableColumn id="6" xr3:uid="{1E08DDCF-D775-4C07-89F5-C581E8C437D2}" name="LEVEL"/>
    <tableColumn id="9" xr3:uid="{466B9F65-6C50-4367-BA45-9C347B827721}" name="PAYMENT"/>
    <tableColumn id="7" xr3:uid="{02A5DA7C-7B61-458B-B93E-36164C77EB52}" name="Стовпець3"/>
  </tableColumns>
  <tableStyleInfo name="TableStyleLight9"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D688199-0E96-4C00-87DC-299782DB052B}" name="Таблиця52" displayName="Таблиця52" ref="K37:L54" totalsRowShown="0" headerRowDxfId="564" dataDxfId="563">
  <autoFilter ref="K37:L54" xr:uid="{09965D16-55CB-4060-83C6-6B396EEB690F}"/>
  <tableColumns count="2">
    <tableColumn id="1" xr3:uid="{3DB98031-8572-4E37-BB01-1FB2DAC59A29}" name="Title" dataDxfId="562"/>
    <tableColumn id="2" xr3:uid="{4266B78F-A480-4EAF-8B29-604919BFC3F3}" name="Description" dataDxfId="561"/>
  </tableColumns>
  <tableStyleInfo name="TableStyleLight9"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10DD0603-40D9-46F9-AF1E-78951765F6A5}" name="Таблиця104" displayName="Таблиця104" ref="Q3:T9" totalsRowShown="0">
  <autoFilter ref="Q3:T9" xr:uid="{610E58B1-2458-483A-A3FB-2299E7A4D086}"/>
  <tableColumns count="4">
    <tableColumn id="1" xr3:uid="{995CFE7D-923D-4AE6-9659-124ED8F2EC2D}" name="Unit Type "/>
    <tableColumn id="2" xr3:uid="{97CAD0B0-0BF2-4E66-854C-09CEFF465775}" name="Abbr."/>
    <tableColumn id="3" xr3:uid="{0BD122DD-5A09-4210-8CDE-69620F2AB565}" name=" # Men "/>
    <tableColumn id="4" xr3:uid="{31017790-912F-40E0-B595-F273AAC0F060}" name="Composition"/>
  </tableColumns>
  <tableStyleInfo name="TableStyleMedium2"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1E1CF077-C401-4165-AE86-359030DF6040}" name="Таблиця105" displayName="Таблиця105" ref="K3:O19" totalsRowShown="0">
  <autoFilter ref="K3:O19" xr:uid="{117986A9-6E18-437A-B660-99F20CBCFCF4}"/>
  <tableColumns count="5">
    <tableColumn id="1" xr3:uid="{D47FDBA4-D06B-4FFA-9AF7-A057498774F4}" name="GROUP"/>
    <tableColumn id="2" xr3:uid="{47325D81-449F-4262-BAC1-D51E54D34245}" name="Unit Type "/>
    <tableColumn id="3" xr3:uid="{30A5C51D-BA54-4FD6-A556-5F627915F224}" name="# Units"/>
    <tableColumn id="4" xr3:uid="{542F384E-C468-4248-9802-4F8245D343A3}" name="Average # of soldiers"/>
    <tableColumn id="5" xr3:uid="{619C9338-88AA-47D2-9A0A-BA76E44261E6}" name="Total in Unit Type"/>
  </tableColumns>
  <tableStyleInfo name="TableStyleMedium2" showFirstColumn="0"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9" xr:uid="{EFBDA81A-9015-4CDC-8987-AC5DBF09ACE3}" name="Таблиця239" displayName="Таблиця239" ref="V3:W8" totalsRowShown="0">
  <autoFilter ref="V3:W8" xr:uid="{CAB9F01D-73FE-4AA5-885B-6DD4EA8788AB}"/>
  <tableColumns count="2">
    <tableColumn id="1" xr3:uid="{B3DDA614-35D8-456B-A4AA-719FB45090A6}" name="Officer"/>
    <tableColumn id="2" xr3:uid="{3CC3DADD-9CEB-4E61-A829-18D86CC2D297}" name="Number"/>
  </tableColumns>
  <tableStyleInfo name="TableStyleMedium2" showFirstColumn="0"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0" xr:uid="{54660162-FF2C-4B20-B5E3-D575F5AB2A25}" name="Таблиця240" displayName="Таблиця240" ref="Q10:T16" totalsRowShown="0">
  <autoFilter ref="Q10:T16" xr:uid="{36EEA3FD-3979-4611-860C-865EF32608FA}"/>
  <tableColumns count="4">
    <tableColumn id="1" xr3:uid="{1D2FD65C-0F50-460D-A25B-C7F7E33104E3}" name="Unit Type"/>
    <tableColumn id="2" xr3:uid="{759809CD-75CA-4699-96D8-456B7177AAAA}" name=" Abbr." dataDxfId="560"/>
    <tableColumn id="3" xr3:uid="{BB7BA6BA-6F48-4E7B-BFE7-928E0AA36826}" name=" # Men"/>
    <tableColumn id="4" xr3:uid="{26FADC87-CF30-4183-97E4-4895329A1EC8}" name="Composition"/>
  </tableColumns>
  <tableStyleInfo name="TableStyleLight9" showFirstColumn="0"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3" xr:uid="{A7F61E5B-623E-44C9-8157-DACBA43F0CF3}" name="Таблиця243" displayName="Таблиця243" ref="Q17:T23" totalsRowShown="0">
  <autoFilter ref="Q17:T23" xr:uid="{ABB2EA84-DD8A-4F66-AC6B-40BC4E99BC19}"/>
  <tableColumns count="4">
    <tableColumn id="1" xr3:uid="{5EBF4336-7788-490B-A19E-9E75734410B2}" name="Unit Type"/>
    <tableColumn id="2" xr3:uid="{17DCC98C-ECFB-469C-B815-687EC846B708}" name=" Abbr."/>
    <tableColumn id="3" xr3:uid="{490BE661-CBF0-44FD-BB92-D4B1AE61A717}" name=" # Men"/>
    <tableColumn id="4" xr3:uid="{BE32CD16-F5CD-4720-8362-5238D9DD045A}" name=" Composition"/>
  </tableColumns>
  <tableStyleInfo name="TableStyleMedium2" showFirstColumn="0"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5" xr:uid="{A4D6BC4A-F415-4FCA-8D05-26CE922C95A7}" name="Таблиця259" displayName="Таблиця259" ref="Q24:T26" totalsRowShown="0" headerRowDxfId="559" headerRowBorderDxfId="558" tableBorderDxfId="557">
  <autoFilter ref="Q24:T26" xr:uid="{DBFCCAF2-6ED3-41BB-8361-E20C51C33887}"/>
  <tableColumns count="4">
    <tableColumn id="1" xr3:uid="{706B6ABD-7584-4C7D-8468-453B08BF055D}" name="Unit Type"/>
    <tableColumn id="2" xr3:uid="{3EAD3834-1B92-4A8B-A8C3-3D55EBCA820E}" name=" Abbr."/>
    <tableColumn id="3" xr3:uid="{E7D59138-372C-43E2-8043-046DF53495A1}" name=" # Men"/>
    <tableColumn id="4" xr3:uid="{C59E2F8A-0F23-4D14-891A-6ACDC783EEE9}" name=" Composition"/>
  </tableColumns>
  <tableStyleInfo name="TableStyleMedium2" showFirstColumn="0"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7" xr:uid="{FB25FA2D-F2AB-4EDA-A275-265C17BC7BB7}" name="Таблиця241218" displayName="Таблиця241218" ref="A37:I58" totalsRowShown="0">
  <autoFilter ref="A37:I58" xr:uid="{3C96FDE7-2043-428B-B8F0-C1B38AD093EC}"/>
  <tableColumns count="9">
    <tableColumn id="1" xr3:uid="{D2A30F22-4363-4689-9A9A-B1C0E3FADB24}" name="Type" dataDxfId="556"/>
    <tableColumn id="2" xr3:uid="{A3950FB5-0A17-49C7-9F86-2FA82D18C072}" name="Rank"/>
    <tableColumn id="3" xr3:uid="{6149969B-FF5C-443F-A308-F14DE1CD922F}" name="Equipment"/>
    <tableColumn id="4" xr3:uid="{E487E4FF-7311-4BBB-9160-C7C84D5F8951}" name="Armor"/>
    <tableColumn id="5" xr3:uid="{342EAFD8-EF3C-47D8-AE78-A2BB701D5B11}" name="Weapons"/>
    <tableColumn id="6" xr3:uid="{08CE4776-E565-4444-9760-0ABFF8278413}" name="Special"/>
    <tableColumn id="7" xr3:uid="{8BF6BD35-8F8F-4452-A5EE-E0926B731E11}" name="Mount"/>
    <tableColumn id="8" xr3:uid="{C723827C-9381-4256-AC99-EAA90FB9EFAA}" name="Barding"/>
    <tableColumn id="9" xr3:uid="{8C95D187-F330-46BA-8873-4E2094AE5AE3}" name="Total Cost"/>
  </tableColumns>
  <tableStyleInfo name="TableStyleMedium1" showFirstColumn="0"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8" xr:uid="{E252EDB9-E7E1-4AE0-9AEC-20847C830A52}" name="Таблиця241" displayName="Таблиця241" ref="V10:W15" totalsRowShown="0" headerRowDxfId="555" headerRowBorderDxfId="554" tableBorderDxfId="553">
  <autoFilter ref="V10:W15" xr:uid="{579FB1B0-FBC1-4ACD-81C5-F1241063ABB4}"/>
  <tableColumns count="2">
    <tableColumn id="1" xr3:uid="{529C6B04-49F7-4C15-86AD-0D3D206DD6E8}" name="Officer"/>
    <tableColumn id="2" xr3:uid="{163A07E8-8FD2-4563-93B2-229B2BBE168F}" name="Number"/>
  </tableColumns>
  <tableStyleInfo name="TableStyleLight9" showFirstColumn="0"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9" xr:uid="{68475C49-2E09-464B-B906-3D08DF34FC26}" name="Таблиця242" displayName="Таблиця242" ref="V17:W22" totalsRowShown="0" headerRowDxfId="552" headerRowBorderDxfId="551" tableBorderDxfId="550">
  <autoFilter ref="V17:W22" xr:uid="{153F595A-EC3F-457C-9398-D2CE7CD47744}"/>
  <tableColumns count="2">
    <tableColumn id="1" xr3:uid="{8B58D5AB-2CC2-49F2-9BE0-3158833EB98A}" name="Officer"/>
    <tableColumn id="2" xr3:uid="{42D06EA4-E98F-42BF-90D4-082C57AE33D2}" name="Number"/>
  </tableColumns>
  <tableStyleInfo name="TableStyleLight9" showFirstColumn="0"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4" xr:uid="{38B1774A-0089-421C-83D5-2E2E6E8B814D}" name="Таблиця262" displayName="Таблиця262" ref="AB2:AE11" totalsRowShown="0">
  <autoFilter ref="AB2:AE11" xr:uid="{8A320D5E-D143-4723-B362-E68A159C6EAF}"/>
  <tableColumns count="4">
    <tableColumn id="1" xr3:uid="{AD965B7B-AA02-48C0-A4BD-36DB63153938}" name="Name" dataDxfId="549"/>
    <tableColumn id="2" xr3:uid="{3F9B234C-9CE5-459F-8280-4DC980691519}" name="Type" dataDxfId="548"/>
    <tableColumn id="3" xr3:uid="{84D994E3-630F-4D8E-B9FC-BCF7C3CD7D36}" name="Points"/>
    <tableColumn id="4" xr3:uid="{146DBF47-4B74-4725-AE51-63F643323930}" name="Group"/>
  </tableColumns>
  <tableStyleInfo name="TableStyleDark3" showFirstColumn="0"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6" xr:uid="{85ABD87A-B3A8-4463-B041-F9556D64B20C}" name="Таблиця236" displayName="Таблиця236" ref="Q28:T31" totalsRowShown="0" headerRowDxfId="547" headerRowBorderDxfId="546" tableBorderDxfId="545">
  <autoFilter ref="Q28:T31" xr:uid="{80E749A8-8062-4C0F-A682-56F68080928D}"/>
  <tableColumns count="4">
    <tableColumn id="1" xr3:uid="{F147A6D6-53AF-4DA9-8FAF-8B90964493DC}" name="Unit Type"/>
    <tableColumn id="2" xr3:uid="{E2602153-C629-4AEB-914F-2CD7B34A9E30}" name=" Abbr."/>
    <tableColumn id="3" xr3:uid="{FE486935-46A9-4699-97A1-C13B6C0E2F91}" name=" # Men"/>
    <tableColumn id="4" xr3:uid="{F13A360B-945C-48D5-B065-1EDA13AE2131}" name=" Composition"/>
  </tableColumns>
  <tableStyleInfo name="TableStyleMedium2" showFirstColumn="0"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6" xr:uid="{41DB243E-862A-467E-81CD-90BACFC97F29}" name="Таблиця265" displayName="Таблиця265" ref="Q34:T38" totalsRowShown="0">
  <autoFilter ref="Q34:T38" xr:uid="{716C0E90-3BD0-4B93-A0BA-E1B7AD5F1830}"/>
  <tableColumns count="4">
    <tableColumn id="1" xr3:uid="{A2D4FD34-B31B-46DF-9557-CFFA78D4439A}" name="Type"/>
    <tableColumn id="2" xr3:uid="{1B91B5BA-0D34-4670-98FE-EC83463FC39E}" name="Unit"/>
    <tableColumn id="3" xr3:uid="{39204E42-9587-4E91-9400-EFC3C7646DE2}" name="#"/>
    <tableColumn id="4" xr3:uid="{C7E3887B-5B46-48F6-9CC6-906A88C1C358}" name="Number"/>
  </tableColumns>
  <tableStyleInfo name="TableStyleMedium3" showFirstColumn="0"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2" xr:uid="{3FA2BE47-A61F-40F2-B132-51C5D68E08D1}" name="Таблиця266" displayName="Таблиця266" ref="E61:G64" totalsRowShown="0">
  <autoFilter ref="E61:G64" xr:uid="{F92D1328-2947-462A-A898-040251530B08}"/>
  <tableColumns count="3">
    <tableColumn id="1" xr3:uid="{52F99A0B-8B5F-401A-9412-A27F3702FF34}" name="Army"/>
    <tableColumn id="2" xr3:uid="{1FB5916F-24FD-43AF-854F-C187E93D6788}" name="Commander"/>
    <tableColumn id="3" xr3:uid="{7655F1B8-0C30-40F9-A96A-9638282A56CE}" name="HQ"/>
  </tableColumns>
  <tableStyleInfo name="TableStyleMedium1" showFirstColumn="0"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3" xr:uid="{54669071-A21B-4BEC-BBD4-73992E4A0110}" name="Таблиця267" displayName="Таблиця267" ref="D78:E89" totalsRowShown="0">
  <autoFilter ref="D78:E89" xr:uid="{EF8EB883-DD0A-4641-81A2-56545B161605}"/>
  <tableColumns count="2">
    <tableColumn id="1" xr3:uid="{81CC5349-3B52-4809-A5E1-AA2F4D91FD97}" name="Base"/>
    <tableColumn id="2" xr3:uid="{633F601E-E47C-4204-B172-54143C809D7C}" name="#"/>
  </tableColumns>
  <tableStyleInfo name="TableStyleMedium1" showFirstColumn="0"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4" xr:uid="{69845AF2-9DA3-4421-96DA-3F047C512483}" name="Таблиця268" displayName="Таблиця268" ref="N37:O40" totalsRowShown="0">
  <autoFilter ref="N37:O40" xr:uid="{D6F43CB0-AF57-4F80-8CFE-E0AF73064FAD}"/>
  <tableColumns count="2">
    <tableColumn id="1" xr3:uid="{274CD6A6-04B6-46D7-86AB-7F6E82CC3D5A}" name="Military Specialty"/>
    <tableColumn id="2" xr3:uid="{A859DDAC-D790-444F-A9E2-01AF9C524D8A}" name="Description" dataDxfId="544"/>
  </tableColumns>
  <tableStyleInfo name="TableStyleMedium2" showFirstColumn="0" showLastColumn="0"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A735CC8-4718-4CA0-9EBB-E3324F5B3453}" name="Таблиця6" displayName="Таблиця6" ref="A10:I328" totalsRowShown="0">
  <autoFilter ref="A10:I328" xr:uid="{B70C0211-FE31-41EF-96ED-698132D6C8D5}"/>
  <tableColumns count="9">
    <tableColumn id="1" xr3:uid="{D42377EF-7A44-4213-B484-A8D32CD102C1}" name="Circle"/>
    <tableColumn id="2" xr3:uid="{C7B1B14E-7708-422C-8A0A-3FF1F1CC5AF1}" name="Name"/>
    <tableColumn id="3" xr3:uid="{B8E7D439-EB1E-44CE-8157-BEDF2EDA23FD}" name="Стовпець1"/>
    <tableColumn id="4" xr3:uid="{DDBCEFFE-B9E8-4E41-A796-743E3CBA1AD6}" name="Level"/>
    <tableColumn id="5" xr3:uid="{82D77846-1B6F-4BB5-B285-412A731E1FC9}" name="Title"/>
    <tableColumn id="6" xr3:uid="{86E1590B-DDC4-4EBD-9DB8-5F68BBFC020A}" name="Diety"/>
    <tableColumn id="7" xr3:uid="{251F7B91-6BB3-4BBF-A890-55075399FAD9}" name="Algn"/>
    <tableColumn id="8" xr3:uid="{9D673331-08BC-4829-8DA0-6599D625E7FB}" name="City"/>
    <tableColumn id="9" xr3:uid="{77C83972-67F1-4687-9C1D-4CE0416BF091}" name="Rmks"/>
  </tableColumns>
  <tableStyleInfo name="TableStyleMedium6" showFirstColumn="0" showLastColumn="0" showRowStripes="1"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2" xr:uid="{95598722-1D7E-4875-8DFF-01456250B75D}" name="Таблиця225" displayName="Таблиця225" ref="A7:B22" totalsRowShown="0">
  <autoFilter ref="A7:B22" xr:uid="{96E20331-7BF8-4250-8E84-16B61C92C828}"/>
  <tableColumns count="2">
    <tableColumn id="1" xr3:uid="{720963DB-CF4B-4B19-926B-B19890DE27DB}" name="Title"/>
    <tableColumn id="2" xr3:uid="{0F01DDD2-EFAC-4782-96A0-77D29D2860C4}" name="Description"/>
  </tableColumns>
  <tableStyleInfo name="TableStyleMedium16" showFirstColumn="0" showLastColumn="0" showRowStripes="1"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3" xr:uid="{118EB87F-4C55-41E6-A02B-ACB3A0D1954A}" name="Таблиця234" displayName="Таблиця234" ref="D8:F19" totalsRowShown="0">
  <autoFilter ref="D8:F19" xr:uid="{08EF62B3-7798-459E-9F3D-E51F3F99B931}"/>
  <tableColumns count="3">
    <tableColumn id="1" xr3:uid="{AA1493D7-0577-45AA-8F34-A1199642CED6}" name="Rank"/>
    <tableColumn id="2" xr3:uid="{E9BC114E-157D-46FD-8618-407F07D1B95F}" name="Payment"/>
    <tableColumn id="3" xr3:uid="{99EC23CC-659E-409A-9A3B-882F4B4C5290}" name="Purple Dragons Equivalent"/>
  </tableColumns>
  <tableStyleInfo name="TableStyleMedium2" showFirstColumn="0" showLastColumn="0" showRowStripes="1"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8" xr:uid="{C63429E7-6C54-458D-942A-F06251A4D082}" name="Таблиця238" displayName="Таблиця238" ref="B58:G106" totalsRowShown="0">
  <autoFilter ref="B58:G106" xr:uid="{4575E9F6-29E5-445B-A051-F3C14A52944C}"/>
  <tableColumns count="6">
    <tableColumn id="1" xr3:uid="{4CF6AEBA-C04D-41EB-B36B-D215BAEEA113}" name="Name"/>
    <tableColumn id="2" xr3:uid="{1585FE20-2C87-4BDB-8BB0-B4775A6E91D6}" name="Ship Class"/>
    <tableColumn id="6" xr3:uid="{07B8FEA2-08BF-4B08-8AEA-9EBE7DECAD3A}" name="Ship Type"/>
    <tableColumn id="3" xr3:uid="{5D59E42F-3C3B-4EB2-B449-DA4CB0748C06}" name="Source"/>
    <tableColumn id="4" xr3:uid="{C196A334-D4F9-40AC-9F14-01F8EA4061EB}" name="Squadron"/>
    <tableColumn id="5" xr3:uid="{3933C4C4-F19D-4E00-B4C7-71941ED64403}" name="Base"/>
  </tableColumns>
  <tableStyleInfo name="TableStyleLight9" showFirstColumn="0" showLastColumn="0" showRowStripes="1"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1" xr:uid="{C9345FCB-E403-472B-AE67-C1FF81CEA407}" name="Таблиця261" displayName="Таблиця261" ref="A29:K39" totalsRowShown="0">
  <autoFilter ref="A29:K39" xr:uid="{F495B6E0-8B49-4ED0-A409-EB66721DD661}"/>
  <tableColumns count="11">
    <tableColumn id="1" xr3:uid="{73EF2063-059F-4889-AED7-B40F0077A3B3}" name="Ship Class"/>
    <tableColumn id="2" xr3:uid="{E7D07270-5ED6-41E0-819E-238FFCDEB3E8}" name="Ship Group"/>
    <tableColumn id="3" xr3:uid="{746A1892-B1DA-4AED-83ED-4556450C9806}" name="Total Crew"/>
    <tableColumn id="4" xr3:uid="{FE73FCAE-8DD8-4B15-B1C9-FE8776D14101}" name="Total Marines"/>
    <tableColumn id="5" xr3:uid="{391995F2-86E4-437C-A21F-1E5050341DCE}" name="Total">
      <calculatedColumnFormula>C30+D30</calculatedColumnFormula>
    </tableColumn>
    <tableColumn id="6" xr3:uid="{BD721AE5-789A-49CE-A73E-A332928FDDC3}" name="Notes"/>
    <tableColumn id="7" xr3:uid="{C7F0D492-6461-4FD5-9061-B997BD4CE023}" name="Length"/>
    <tableColumn id="8" xr3:uid="{E50DBA5E-9C7A-4DC1-A3F4-8CA2712FCEFA}" name="Beam"/>
    <tableColumn id="9" xr3:uid="{20B871F0-0C61-4A6E-91C6-8B1D5CFAF0DF}" name="Draft"/>
    <tableColumn id="10" xr3:uid="{AA24B819-72A1-499E-9966-144B7AD0A1EB}" name="Description"/>
    <tableColumn id="11" xr3:uid="{359DABDD-BA68-44F4-AD0D-BD0F8AA5323C}" name="Armaments"/>
  </tableColumns>
  <tableStyleInfo name="TableStyleLight9" showFirstColumn="0" showLastColumn="0" showRowStripes="1" showColumnStripes="0"/>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1" xr:uid="{EDDA01D0-F088-4E94-9825-AAFC5E68C8ED}" name="Таблиця260" displayName="Таблиця260" ref="H13:K17" totalsRowShown="0">
  <autoFilter ref="H13:K17" xr:uid="{D7EF8E56-C442-468D-9059-EEAE1F515660}"/>
  <tableColumns count="4">
    <tableColumn id="1" xr3:uid="{8F6AC44D-FCA3-4C61-9DEC-4FA598DFCFE3}" name="Unit"/>
    <tableColumn id="2" xr3:uid="{8A449A8C-1C64-4C0C-9216-36BACAC5F409}" name="Abbr"/>
    <tableColumn id="3" xr3:uid="{901FBD8A-1DD9-4A68-B632-78600C316739}" name="#"/>
    <tableColumn id="4" xr3:uid="{F5147C84-8160-4855-A2C3-1FAB06B063AC}" name="Composition"/>
  </tableColumns>
  <tableStyleInfo name="TableStyleMedium2" showFirstColumn="0" showLastColumn="0" showRowStripes="1" showColumnStripes="0"/>
</table>
</file>

<file path=xl/tables/table1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2" xr:uid="{7936C76E-3DB8-4A4D-9117-52EB4423348F}" name="Таблиця263" displayName="Таблиця263" ref="H7:J11" totalsRowShown="0" headerRowDxfId="543" headerRowBorderDxfId="542" tableBorderDxfId="541">
  <autoFilter ref="H7:J11" xr:uid="{18270F72-7A44-4514-AE24-4A9FBE0D98D2}"/>
  <tableColumns count="3">
    <tableColumn id="1" xr3:uid="{B7E6A53C-46E5-4D74-8384-091D1CE01D9C}" name="Rank"/>
    <tableColumn id="2" xr3:uid="{B3A5FE74-133A-4DFF-B83A-365F589E503E}" name="Sailor equivavelnt"/>
    <tableColumn id="3" xr3:uid="{EEE8897B-10E1-49C5-9292-0EBF72065A3B}" name="Payment"/>
  </tableColumns>
  <tableStyleInfo name="TableStyleMedium2" showFirstColumn="0" showLastColumn="0" showRowStripes="1" showColumnStripes="0"/>
</table>
</file>

<file path=xl/tables/table1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4" xr:uid="{35922F3C-E02D-407C-BACA-A1F6122974BF}" name="Таблиця264" displayName="Таблиця264" ref="I58:L62" totalsRowShown="0">
  <autoFilter ref="I58:L62" xr:uid="{2915A9C2-BC09-4802-859E-1531AF8E5A4B}"/>
  <tableColumns count="4">
    <tableColumn id="1" xr3:uid="{CE46DD11-D98F-44FA-9EC0-B36E71D0B2A8}" name="Base of Navy"/>
    <tableColumn id="2" xr3:uid="{CA19F36A-AF7D-4288-8EEE-84E114A7AB49}" name="Commander"/>
    <tableColumn id="3" xr3:uid="{579D5080-3164-4600-9405-A98575D9B92C}" name="Notes"/>
    <tableColumn id="4" xr3:uid="{DDB2563E-7743-49C1-B83C-18DA0A3B29F2}" name="Blue Dragons Garrison"/>
  </tableColumns>
  <tableStyleInfo name="TableStyleMedium2" showFirstColumn="0" showLastColumn="0" showRowStripes="1" showColumnStripes="0"/>
</table>
</file>

<file path=xl/tables/table1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AA77AD8-C1FE-46DE-8F15-AB9B96F9A2C3}" name="Таблиця5" displayName="Таблиця5" ref="A3:C23" totalsRowShown="0">
  <autoFilter ref="A3:C23" xr:uid="{99C57B16-41C5-497B-8B10-CAD7FDFBABB7}"/>
  <tableColumns count="3">
    <tableColumn id="1" xr3:uid="{9CBFB24D-CB0C-47A2-9A84-100E365F03C2}" name="Title"/>
    <tableColumn id="2" xr3:uid="{64E38492-9966-4DC3-948C-E902A34F48F0}" name="Duties"/>
    <tableColumn id="3" xr3:uid="{B9D716DC-FEC9-4B28-8633-879364A1CEC8}" name="Name"/>
  </tableColumns>
  <tableStyleInfo name="TableStyleMedium15" showFirstColumn="0" showLastColumn="0" showRowStripes="1" showColumnStripes="0"/>
</table>
</file>

<file path=xl/tables/table1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623910E-177A-49AF-8C08-2754A5D96B5A}" name="Таблиця7" displayName="Таблиця7" ref="U3:V103" totalsRowShown="0">
  <autoFilter ref="U3:V103" xr:uid="{C2AF2C65-3F26-408D-98E8-AA2D3BD57728}"/>
  <tableColumns count="2">
    <tableColumn id="1" xr3:uid="{434BF839-29D7-4FEC-8D43-CC2DBA381C6B}" name="Roll 1d100"/>
    <tableColumn id="2" xr3:uid="{774CF98E-DE7F-4400-B259-299B73F456CB}" name="What we learn about you"/>
  </tableColumns>
  <tableStyleInfo name="TableStyleDark7" showFirstColumn="0" showLastColumn="0" showRowStripes="1" showColumnStripes="0"/>
</table>
</file>

<file path=xl/tables/table1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FD616EC-0F86-487C-8EEF-C6F541753E09}" name="Таблиця8" displayName="Таблиця8" ref="R3:S23" totalsRowShown="0">
  <autoFilter ref="R3:S23" xr:uid="{D5021BFA-8A3D-408B-8E91-3B84B1F30864}"/>
  <tableColumns count="2">
    <tableColumn id="1" xr3:uid="{E0C72E26-728F-40F5-8DE1-BCCF6429F026}" name="Roll 1d20"/>
    <tableColumn id="2" xr3:uid="{E1FEB1BE-CC84-46C1-BF33-5EE84DCDDA24}" name="Interaction"/>
  </tableColumns>
  <tableStyleInfo name="TableStyleDark7" showFirstColumn="0" showLastColumn="0" showRowStripes="1" showColumnStripes="0"/>
</table>
</file>

<file path=xl/tables/table1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43E42A-8609-4B35-8FF8-7157F9CA32A2}" name="Таблиця9" displayName="Таблиця9" ref="A2:E56" totalsRowShown="0">
  <autoFilter ref="A2:E56" xr:uid="{394A7DDC-F24B-40A4-BA39-E4EA031B549C}"/>
  <tableColumns count="5">
    <tableColumn id="1" xr3:uid="{AB23B8E1-D7BB-4F0A-AC18-B271AE663E7B}" name="d"/>
    <tableColumn id="2" xr3:uid="{9DC29808-C4A7-4B27-B768-BBB92D4E473B}" name="Female"/>
    <tableColumn id="3" xr3:uid="{4A66A618-AC2C-4E68-9618-1BCA05833C9D}" name="Female Noble"/>
    <tableColumn id="4" xr3:uid="{D7361891-B9A2-4214-8C62-F0287178E6C6}" name="Male"/>
    <tableColumn id="5" xr3:uid="{449A2064-4892-4A3F-BF92-96C7F8BCB6B5}" name="Male Noble"/>
  </tableColumns>
  <tableStyleInfo name="TableStyleMedium1" showFirstColumn="0" showLastColumn="0" showRowStripes="1" showColumnStripes="0"/>
</table>
</file>

<file path=xl/tables/table1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282E748-A1C9-40B1-8C9F-EEAE5640F17B}" name="Таблиця10" displayName="Таблиця10" ref="O3:O186" totalsRowShown="0" headerRowDxfId="540" dataDxfId="539">
  <autoFilter ref="O3:O186" xr:uid="{94754976-F22D-4EB3-8550-89A2B6F540D3}"/>
  <tableColumns count="1">
    <tableColumn id="1" xr3:uid="{F0CE72B7-CF13-4D05-B834-F943BDAF2500}" name="#" dataDxfId="538"/>
  </tableColumns>
  <tableStyleInfo name="TableStyleMedium1" showFirstColumn="0" showLastColumn="0" showRowStripes="1" showColumnStripes="0"/>
</table>
</file>

<file path=xl/tables/table1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85ECB8B-135B-49EA-BB97-8391A7390180}" name="Таблиця1012" displayName="Таблиця1012" ref="P3:P186" totalsRowShown="0" headerRowDxfId="537" dataDxfId="536">
  <autoFilter ref="P3:P186" xr:uid="{56AED0C6-A3BA-41C5-AAD7-8AD29EC85F45}"/>
  <tableColumns count="1">
    <tableColumn id="1" xr3:uid="{34E7B62C-4F63-4B1A-AEE0-358BD035E796}" name="Noble Family" dataDxfId="535"/>
  </tableColumns>
  <tableStyleInfo name="TableStyleMedium1" showFirstColumn="0" showLastColumn="0" showRowStripes="1" showColumnStripes="0"/>
</table>
</file>

<file path=xl/tables/table1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BB7B579-432C-4BFA-BE99-E26C1B7B9892}" name="Таблиця15" displayName="Таблиця15" ref="G2:I53" totalsRowShown="0">
  <autoFilter ref="G2:I53" xr:uid="{E4120878-4B05-4AC6-AF8A-4C345871C803}"/>
  <tableColumns count="3">
    <tableColumn id="1" xr3:uid="{59D49FB3-6375-4966-A3A9-806956FFD270}" name="#"/>
    <tableColumn id="2" xr3:uid="{E5CCFD7D-E231-40D7-865D-A3E7B55A890F}" name="Female"/>
    <tableColumn id="3" xr3:uid="{35CF40B0-1C5D-42D2-8DC4-92DC029EFD19}" name="Male"/>
  </tableColumns>
  <tableStyleInfo name="TableStyleDark7" showFirstColumn="0" showLastColumn="0" showRowStripes="1" showColumnStripes="0"/>
</table>
</file>

<file path=xl/tables/table1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143E9DD-FCE5-4263-B607-1346050CD285}" name="Таблиця16" displayName="Таблиця16" ref="K2:L62" totalsRowShown="0" headerRowDxfId="534">
  <autoFilter ref="K2:L62" xr:uid="{CF720A57-6F68-4D47-A256-9CACDD5AC6CA}"/>
  <tableColumns count="2">
    <tableColumn id="1" xr3:uid="{2A0F9FD4-2222-493F-864E-98244341712A}" name="#"/>
    <tableColumn id="2" xr3:uid="{B8E7771B-E96A-40B7-9C18-42602BE2EA0F}" name="Noble Family"/>
  </tableColumns>
  <tableStyleInfo name="TableStyleDark7" showFirstColumn="0" showLastColumn="0" showRowStripes="1" showColumnStripes="0"/>
</table>
</file>

<file path=xl/tables/table1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82D34DEE-F9CD-431F-86DD-33D7027946B0}" name="Таблиця88" displayName="Таблиця88" ref="AB110:AC128" totalsRowShown="0">
  <autoFilter ref="AB110:AC128" xr:uid="{59FD619E-D4D5-4FC9-8F70-B1540CD7A37F}"/>
  <tableColumns count="2">
    <tableColumn id="1" xr3:uid="{325AA025-C065-4D24-93A4-FC73253050DF}" name="Source Short"/>
    <tableColumn id="2" xr3:uid="{8AE3294C-2EF8-4545-ACEB-5A8F7F17996F}" name="Source Long"/>
  </tableColumns>
  <tableStyleInfo name="TableStyleDark5" showFirstColumn="0" showLastColumn="0" showRowStripes="1" showColumnStripes="0"/>
</table>
</file>

<file path=xl/tables/table1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3E9384F2-66EE-4E6A-B7F1-E0EA6D224A2A}" name="Таблиця89" displayName="Таблиця89" ref="U135:V165" totalsRowShown="0" headerRowDxfId="533" dataDxfId="532" headerRowCellStyle="Звичайний 5" dataCellStyle="Звичайний 5">
  <autoFilter ref="U135:V165" xr:uid="{4CB5929F-ADA7-423B-ABFD-E533946F3409}"/>
  <tableColumns count="2">
    <tableColumn id="1" xr3:uid="{EB915802-0DD4-4B0A-B81C-64396240F6FF}" name="Score" dataDxfId="531" dataCellStyle="Звичайний 5"/>
    <tableColumn id="2" xr3:uid="{D283F3A4-9EC9-42AA-A7C8-50DDC2361F6A}" name="Modifier" dataDxfId="530" dataCellStyle="Звичайний 5">
      <calculatedColumnFormula>INT(U136/2)-5</calculatedColumnFormula>
    </tableColumn>
  </tableColumns>
  <tableStyleInfo name="TableStyleMedium1" showFirstColumn="0" showLastColumn="0" showRowStripes="1" showColumnStripes="0"/>
</table>
</file>

<file path=xl/tables/table1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2DCD2B15-A4A5-47FB-B533-B6B7D237B004}" name="Таблиця90" displayName="Таблиця90" ref="Z41:AA46" totalsRowShown="0" dataDxfId="529" tableBorderDxfId="528" dataCellStyle="Звичайний 5">
  <autoFilter ref="Z41:AA46" xr:uid="{BA49DC2D-303B-41DA-B954-30C6C83568DF}"/>
  <tableColumns count="2">
    <tableColumn id="1" xr3:uid="{5BC42364-EBD3-4BE4-8F8D-78DF5BE5A98A}" name="Size" dataDxfId="527" dataCellStyle="Звичайний 5"/>
    <tableColumn id="2" xr3:uid="{27661321-8659-45FA-AF42-75A4C8C60B3C}" name="Carry Mod" dataDxfId="526" dataCellStyle="Звичайний 5"/>
  </tableColumns>
  <tableStyleInfo name="TableStyleMedium3" showFirstColumn="0" showLastColumn="0" showRowStripes="1" showColumnStripes="0"/>
</table>
</file>

<file path=xl/tables/table1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1DDE4B0-EF8A-49D8-ACC6-27F9E87E47F5}" name="Таблиця91" displayName="Таблиця91" ref="Z8:AE39" totalsRowShown="0" headerRowDxfId="525" dataDxfId="524" tableBorderDxfId="523" headerRowCellStyle="Звичайний 5" dataCellStyle="Звичайний 5">
  <autoFilter ref="Z8:AE39" xr:uid="{56192AE0-E6E5-48B3-8BE7-C71D9D4078A8}"/>
  <tableColumns count="6">
    <tableColumn id="1" xr3:uid="{241D510E-C387-4DAC-9DAD-4CF71EAE4864}" name="Containers" dataDxfId="522" dataCellStyle="Звичайний 5"/>
    <tableColumn id="2" xr3:uid="{E13BADA5-58F7-413C-B4E1-A36FDEDF9FDF}" name="Link" dataDxfId="521" dataCellStyle="Звичайний 5"/>
    <tableColumn id="3" xr3:uid="{774FA73A-6E79-42C6-8DE9-5F0879F066CE}" name="Weight" dataDxfId="520" dataCellStyle="Звичайний 5"/>
    <tableColumn id="4" xr3:uid="{E205CC49-CD0F-43C9-962C-0C56EDD067A2}" name="Capacity" dataDxfId="519" dataCellStyle="Звичайний 5"/>
    <tableColumn id="5" xr3:uid="{530B9189-A33A-40DB-8772-A448481529B5}" name="Slots?" dataDxfId="518" dataCellStyle="Звичайний 5"/>
    <tableColumn id="6" xr3:uid="{8ED97E47-E56D-4775-887B-E7406D314119}" name="Extradim?" dataDxfId="517" dataCellStyle="Звичайний 5"/>
  </tableColumns>
  <tableStyleInfo name="TableStyleLight10" showFirstColumn="0" showLastColumn="0" showRowStripes="1" showColumnStripes="0"/>
</table>
</file>

<file path=xl/tables/table1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57D427FB-D8A6-4FF0-A3F7-C5020AEBAB13}" name="Таблиця99" displayName="Таблиця99" ref="BA6:BC19" totalsRowShown="0" tableBorderDxfId="516">
  <autoFilter ref="BA6:BC19" xr:uid="{4FC8D77C-E6BE-481C-9CAE-9BED2F96E532}"/>
  <tableColumns count="3">
    <tableColumn id="1" xr3:uid="{A841E634-1876-48CC-A685-474D945CE241}" name="Стовпець1" dataDxfId="515" dataCellStyle="Звичайний 3"/>
    <tableColumn id="2" xr3:uid="{75D5B1E8-F2AE-4578-88CB-CCB3632FF003}" name="Background" dataDxfId="514" dataCellStyle="Звичайний 3"/>
    <tableColumn id="3" xr3:uid="{23F94A31-EFB5-4FF4-9D61-A93F5BA8CF46}" name=" Starting Lifestyle" dataDxfId="513" dataCellStyle="Звичайний 3"/>
  </tableColumns>
  <tableStyleInfo name="TableStyleMedium1" showFirstColumn="0" showLastColumn="0" showRowStripes="1" showColumnStripes="0"/>
</table>
</file>

<file path=xl/tables/table1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460653A4-B462-4035-88AE-92AC6D974E0E}" name="Таблиця100" displayName="Таблиця100" ref="AU6:AY16" totalsRowShown="0" headerRowDxfId="512" dataDxfId="510" headerRowBorderDxfId="511" tableBorderDxfId="509" totalsRowBorderDxfId="508" headerRowCellStyle="Звичайний 3" dataCellStyle="Звичайний 3">
  <autoFilter ref="AU6:AY16" xr:uid="{CFA8044D-C262-4783-9AA8-FE2DD39BFFFD}"/>
  <tableColumns count="5">
    <tableColumn id="1" xr3:uid="{F0C0A186-7F67-4D2C-A385-B431313E1E58}" name="Стовпець1" dataDxfId="507" dataCellStyle="Звичайний 3"/>
    <tableColumn id="2" xr3:uid="{98E53495-EC80-44DE-82DD-E69A999F0281}" name="Faction" dataDxfId="506" dataCellStyle="Звичайний 3"/>
    <tableColumn id="3" xr3:uid="{E741ABD9-9C0C-429F-8134-17651A0E396E}" name="Insignia/Item" dataDxfId="505" dataCellStyle="Звичайний 3"/>
    <tableColumn id="4" xr3:uid="{2A37A25B-7045-45FC-AEC7-7ADA0F31E366}" name="Rank" dataDxfId="504" dataCellStyle="Звичайний 3"/>
    <tableColumn id="5" xr3:uid="{22401038-AA7C-4ED1-BF66-CA67AA9DC9F7}" name="Lifestyle (background)" dataDxfId="503" dataCellStyle="Звичайний 3"/>
  </tableColumns>
  <tableStyleInfo name="TableStyleMedium1" showFirstColumn="0" showLastColumn="0" showRowStripes="1" showColumnStripes="0"/>
</table>
</file>

<file path=xl/tables/table1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5AEF8B4-12DE-4D6A-997D-15076C306C01}" name="Таблиця12" displayName="Таблиця12" ref="BU10:BV15" totalsRowShown="0">
  <autoFilter ref="BU10:BV15" xr:uid="{F42B93A3-BB8A-4E4B-8987-F2FD6C32D766}"/>
  <tableColumns count="2">
    <tableColumn id="1" xr3:uid="{F4E47AEC-0A6B-472D-85F9-F20D4A9314EA}" name="Fighter Level"/>
    <tableColumn id="2" xr3:uid="{24B025C2-3634-400D-A228-5ACADB9113F6}" name="Feature"/>
  </tableColumns>
  <tableStyleInfo name="TableStyleMedium1" showFirstColumn="0" showLastColumn="0" showRowStripes="1" showColumnStripes="0"/>
</table>
</file>

<file path=xl/tables/table1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C905E53-C839-468D-8FED-455E7C8B8CF0}" name="Таблиця19" displayName="Таблиця19" ref="BM15:BN20" totalsRowShown="0">
  <autoFilter ref="BM15:BN20" xr:uid="{19C53C85-048F-41F1-BCF3-1821F31686B9}"/>
  <tableColumns count="2">
    <tableColumn id="1" xr3:uid="{33CBCC55-8DFA-4275-B1EE-CFE41B259C6B}" name="#"/>
    <tableColumn id="2" xr3:uid="{BB46CF56-49BC-4854-AE6B-7B9D85CE8A80}" name="1. Assault/Raid"/>
  </tableColumns>
  <tableStyleInfo name="TableStyleLight7" showFirstColumn="0" showLastColumn="0" showRowStripes="1" showColumnStripes="0"/>
</table>
</file>

<file path=xl/tables/table1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3CF8D29-970D-46E8-9BC4-2F7312B7613D}" name="Таблиця20" displayName="Таблиця20" ref="BM24:BN32" totalsRowShown="0">
  <autoFilter ref="BM24:BN32" xr:uid="{54585CBD-F99C-465E-AA7A-4D80349F7B5F}"/>
  <tableColumns count="2">
    <tableColumn id="1" xr3:uid="{F34325E7-129D-4C0E-9AEA-6C7FB8A1DA83}" name="#"/>
    <tableColumn id="2" xr3:uid="{07150DE2-83B0-4F3D-B5B4-6D838ACAAEDA}" name="1. Extraction (Voluntary/Involuntary)"/>
  </tableColumns>
  <tableStyleInfo name="TableStyleLight7" showFirstColumn="0" showLastColumn="0" showRowStripes="1" showColumnStripes="0"/>
</table>
</file>

<file path=xl/tables/table1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F0A07F5-27BE-4629-8476-C0595E6755D7}" name="Таблиця21" displayName="Таблиця21" ref="BM38:BN43" totalsRowShown="0">
  <autoFilter ref="BM38:BN43" xr:uid="{E27AE931-1BC3-4811-A8A0-920B06FE4E95}"/>
  <tableColumns count="2">
    <tableColumn id="1" xr3:uid="{698EAE7F-6C9F-485B-BCF8-FA3D1074E7A0}" name="#"/>
    <tableColumn id="2" xr3:uid="{74449FB3-5837-472D-A902-7E7633034EB7}" name="From"/>
  </tableColumns>
  <tableStyleInfo name="TableStyleLight7" showFirstColumn="0" showLastColumn="0" showRowStripes="1" showColumnStripes="0"/>
</table>
</file>

<file path=xl/tables/table1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1F961CF-0261-4A23-9957-4A625932FE19}" name="Таблиця22" displayName="Таблиця22" ref="BT47:BU53" totalsRowShown="0">
  <autoFilter ref="BT47:BU53" xr:uid="{725AB38B-46C4-4E10-946E-3FF7F9109D4D}"/>
  <tableColumns count="2">
    <tableColumn id="1" xr3:uid="{AD08A473-4697-4150-B653-8AD05ECC18D6}" name="#"/>
    <tableColumn id="2" xr3:uid="{C484B834-7A8E-4BD1-B015-6AFD0EE9FFA3}" name="1. Bounty" dataDxfId="502"/>
  </tableColumns>
  <tableStyleInfo name="TableStyleLight21" showFirstColumn="0" showLastColumn="0" showRowStripes="1" showColumnStripes="0"/>
</table>
</file>

<file path=xl/tables/table1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8C6C7A5B-CA11-4399-9A0F-F74189AAFB4C}" name="Таблиця23" displayName="Таблиця23" ref="BM47:BN54" totalsRowShown="0">
  <autoFilter ref="BM47:BN54" xr:uid="{A29D2522-DC32-4CE4-8E3E-C25A267AA375}"/>
  <tableColumns count="2">
    <tableColumn id="1" xr3:uid="{6F44E8F0-7845-417F-B6A4-F5B11875C35B}" name="#"/>
    <tableColumn id="2" xr3:uid="{CDA78C10-1E7D-4782-9DCC-952E1B5F17A7}" name="1. Theft"/>
  </tableColumns>
  <tableStyleInfo name="TableStyleLight7" showFirstColumn="0" showLastColumn="0" showRowStripes="1" showColumnStripes="0"/>
</table>
</file>

<file path=xl/tables/table1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3BA0638A-EA95-45DB-B366-19116C05B77F}" name="Таблиця24" displayName="Таблиця24" ref="BZ24:CA26" totalsRowShown="0">
  <autoFilter ref="BZ24:CA26" xr:uid="{222EA157-D6E5-439C-8C24-80C0EA92E3B7}"/>
  <tableColumns count="2">
    <tableColumn id="1" xr3:uid="{C11CC079-29F7-4773-9AA5-9BF88463E038}" name="#"/>
    <tableColumn id="2" xr3:uid="{07DB8B32-A499-42E6-A4A8-4B2B64677CAB}" name="2. Caravan"/>
  </tableColumns>
  <tableStyleInfo name="TableStyleLight7" showFirstColumn="0" showLastColumn="0" showRowStripes="1" showColumnStripes="0"/>
</table>
</file>

<file path=xl/tables/table2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A88FA6A-BD87-4DD5-9DF4-9D836FB107DE}" name="Таблиця25" displayName="Таблиця25" ref="BP15:BQ20" totalsRowShown="0">
  <autoFilter ref="BP15:BQ20" xr:uid="{4C873728-C2F6-4365-B3B2-442AAD32F9F7}"/>
  <tableColumns count="2">
    <tableColumn id="1" xr3:uid="{B1336AB1-3524-4028-B2C3-CCCFC263FEB3}" name="#"/>
    <tableColumn id="2" xr3:uid="{6DF849CA-2410-4C3B-A4B1-2F9584100706}" name="Assault/Raid: "/>
  </tableColumns>
  <tableStyleInfo name="TableStyleLight13" showFirstColumn="0" showLastColumn="0" showRowStripes="1" showColumnStripes="0"/>
</table>
</file>

<file path=xl/tables/table2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7732384-4A26-4095-B071-2921C36A19EB}" name="Таблиця26" displayName="Таблиця26" ref="BP24:BQ32" totalsRowShown="0">
  <autoFilter ref="BP24:BQ32" xr:uid="{95A97311-B441-4C8D-8C96-645B19749DC5}"/>
  <tableColumns count="2">
    <tableColumn id="1" xr3:uid="{04636525-376D-4A84-8281-C0D562DDEF61}" name="#"/>
    <tableColumn id="2" xr3:uid="{ABED0167-A749-48D8-A693-967C79A0E7D1}" name="Extraction:"/>
  </tableColumns>
  <tableStyleInfo name="TableStyleLight13" showFirstColumn="0" showLastColumn="0" showRowStripes="1" showColumnStripes="0"/>
</table>
</file>

<file path=xl/tables/table2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FF23FCE-A29E-4D53-83F4-3BD7B26AEE64}" name="Таблиця27" displayName="Таблиця27" ref="BZ44:CA50" totalsRowShown="0">
  <autoFilter ref="BZ44:CA50" xr:uid="{44921E29-8AFF-4581-8563-6673E39C6248}"/>
  <tableColumns count="2">
    <tableColumn id="1" xr3:uid="{2EAC36C2-2808-4DF2-93E2-C54D10C52E38}" name="#"/>
    <tableColumn id="2" xr3:uid="{16010F01-9A2B-4322-ACF9-8C66E59C4251}" name="Theft:"/>
  </tableColumns>
  <tableStyleInfo name="TableStyleLight13" showFirstColumn="0" showLastColumn="0" showRowStripes="1" showColumnStripes="0"/>
</table>
</file>

<file path=xl/tables/table2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F5C338-2E52-4DE8-AB35-BC23E86AE4D5}" name="Таблиця28" displayName="Таблиця28" ref="BW47:BX53" totalsRowShown="0">
  <autoFilter ref="BW47:BX53" xr:uid="{291EBE95-4233-4A9B-B014-33770E4CD855}"/>
  <tableColumns count="2">
    <tableColumn id="1" xr3:uid="{2D9AC811-9B51-4F3E-86DA-5D473FEC10A1}" name="#"/>
    <tableColumn id="2" xr3:uid="{0D99EDC2-8798-4165-BDE9-48C934745354}" name="Bounty:"/>
  </tableColumns>
  <tableStyleInfo name="TableStyleLight13" showFirstColumn="0" showLastColumn="0" showRowStripes="1" showColumnStripes="0"/>
</table>
</file>

<file path=xl/tables/table2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EC0CDB69-678D-481D-B8CC-F8F7B24BFA39}" name="Таблиця29" displayName="Таблиця29" ref="BZ62:CA67" totalsRowCount="1">
  <autoFilter ref="BZ62:CA66" xr:uid="{9ACCB86F-9C21-4A66-B315-59A662B0DE0B}"/>
  <tableColumns count="2">
    <tableColumn id="1" xr3:uid="{FDD9D4B9-AB6B-446A-9B58-83D4C9FAF350}" name="#" totalsRowDxfId="501"/>
    <tableColumn id="2" xr3:uid="{828CE9CA-9675-4A86-A4D4-99312872379E}" name="Escort:" totalsRowFunction="custom" totalsRowDxfId="500" totalsRowCellStyle="Результат">
      <totalsRowFormula array="1">INDEX(CA69:CA74,RANDBETWEEN(1,6),1)</totalsRowFormula>
    </tableColumn>
  </tableColumns>
  <tableStyleInfo name="TableStyleLight13" showFirstColumn="0" showLastColumn="0" showRowStripes="1" showColumnStripes="0"/>
</table>
</file>

<file path=xl/tables/table2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7E92D3C3-9599-4997-B603-4C0852ADB15F}" name="Таблиця30" displayName="Таблиця30" ref="BZ68:CA74" totalsRowShown="0">
  <autoFilter ref="BZ68:CA74" xr:uid="{1DDF93E8-2D69-4537-806A-0FEBB1397C3F}"/>
  <tableColumns count="2">
    <tableColumn id="1" xr3:uid="{1EF7DACC-2065-4705-BD48-54AD69C0A39C}" name="#"/>
    <tableColumn id="2" xr3:uid="{87101F54-E206-4255-99FE-3B9D54801FB4}" name="Coup d'eat:"/>
  </tableColumns>
  <tableStyleInfo name="TableStyleLight13" showFirstColumn="0" showLastColumn="0" showRowStripes="1" showColumnStripes="0"/>
</table>
</file>

<file path=xl/tables/table2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B66FF2C8-D129-4281-9E69-5515A420ABA7}" name="Таблиця31" displayName="Таблиця31" ref="BT79:BU85" totalsRowShown="0">
  <autoFilter ref="BT79:BU85" xr:uid="{ED4B0E86-C071-404D-A142-E42429E5D6E2}"/>
  <tableColumns count="2">
    <tableColumn id="1" xr3:uid="{EE3746EB-9BCE-4A78-B5E0-A92F9D701F95}" name="#"/>
    <tableColumn id="2" xr3:uid="{9527533B-33CF-45E1-A894-BC3CE9FB5AC1}" name="Duel/Contest:"/>
  </tableColumns>
  <tableStyleInfo name="TableStyleLight13" showFirstColumn="0" showLastColumn="0" showRowStripes="1" showColumnStripes="0"/>
</table>
</file>

<file path=xl/tables/table2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F59EE919-C847-4670-AFB9-0CC93D508491}" name="Таблиця32" displayName="Таблиця32" ref="BW78:BX84" totalsRowShown="0">
  <autoFilter ref="BW78:BX84" xr:uid="{B828C655-E8E9-491B-87F0-EAFC4095FD81}"/>
  <tableColumns count="2">
    <tableColumn id="1" xr3:uid="{B5F86593-F48C-49F7-A6B2-8F431FBBD577}" name="#"/>
    <tableColumn id="2" xr3:uid="{EDBDA908-2B08-4421-94BE-6DBB164C3B50}" name="Assassination:"/>
  </tableColumns>
  <tableStyleInfo name="TableStyleLight13" showFirstColumn="0" showLastColumn="0" showRowStripes="1" showColumnStripes="0"/>
</table>
</file>

<file path=xl/tables/table2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829B3605-3DD8-4F80-B6EA-E83A69AB18AB}" name="Таблиця33" displayName="Таблиця33" ref="BZ78:CA86" totalsRowCount="1">
  <autoFilter ref="BZ78:CA85" xr:uid="{69F11976-FEDA-4263-ADFF-62C7597F93E8}"/>
  <tableColumns count="2">
    <tableColumn id="1" xr3:uid="{6053775A-D555-4950-AD9F-F5BEFBA4DA84}" name="#" totalsRowDxfId="499"/>
    <tableColumn id="2" xr3:uid="{FB41BB55-D6FF-44EA-8D2B-B1136568D642}" name="Sabotage:" totalsRowFunction="custom" totalsRowDxfId="498" totalsRowCellStyle="Результат">
      <totalsRowFormula array="1">INDEX(CA88:CA92,RANDBETWEEN(1,5),1)</totalsRowFormula>
    </tableColumn>
  </tableColumns>
  <tableStyleInfo name="TableStyleLight13" showFirstColumn="0" showLastColumn="0" showRowStripes="1" showColumnStripes="0"/>
</table>
</file>

<file path=xl/tables/table2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FE7EC445-549C-4E7B-8A30-B523F58886D9}" name="Таблиця34" displayName="Таблиця34" ref="BT89:BU93" totalsRowShown="0">
  <autoFilter ref="BT89:BU93" xr:uid="{66ECD308-3D8B-4E2F-BA63-C0A66A061ACB}"/>
  <tableColumns count="2">
    <tableColumn id="1" xr3:uid="{500E0138-3199-43E0-A267-B3CADDCDC07C}" name="#"/>
    <tableColumn id="2" xr3:uid="{D19120BA-04CD-4B85-8A1B-479EB25FC2A2}" name="Exploration:"/>
  </tableColumns>
  <tableStyleInfo name="TableStyleLight13" showFirstColumn="0" showLastColumn="0" showRowStripes="1" showColumnStripes="0"/>
</table>
</file>

<file path=xl/tables/table2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C3BF2D2-9928-4BE1-817D-1E7DB0713744}" name="Таблиця35" displayName="Таблиця35" ref="BW97:BX102" totalsRowShown="0">
  <autoFilter ref="BW97:BX102" xr:uid="{362790E0-04FA-4552-9F5E-D6EDEEDC7FE3}"/>
  <tableColumns count="2">
    <tableColumn id="1" xr3:uid="{5B7F8ED2-46A4-4462-B312-DD6D6220A341}" name="#"/>
    <tableColumn id="2" xr3:uid="{380C2782-D247-4240-B07D-83A5032A5559}" name="Skill:"/>
  </tableColumns>
  <tableStyleInfo name="TableStyleLight13" showFirstColumn="0" showLastColumn="0" showRowStripes="1" showColumnStripes="0"/>
</table>
</file>

<file path=xl/tables/table2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7C7ED029-726F-4C8D-8039-783C0C6E020B}" name="Таблиця36" displayName="Таблиця36" ref="BZ87:CA92" totalsRowShown="0">
  <autoFilter ref="BZ87:CA92" xr:uid="{032ED50E-E02B-4DA8-8875-7EAD6FD9B9AC}"/>
  <tableColumns count="2">
    <tableColumn id="1" xr3:uid="{4970E11E-B16B-4333-B987-6117702DA3E7}" name="#"/>
    <tableColumn id="2" xr3:uid="{24DB3330-6D14-45A1-8156-37E388C24277}" name="Mysteries:"/>
  </tableColumns>
  <tableStyleInfo name="TableStyleLight13" showFirstColumn="0" showLastColumn="0" showRowStripes="1" showColumnStripes="0"/>
</table>
</file>

<file path=xl/tables/table2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8C06119D-5110-4975-91F4-B73A47F54FF7}" name="Таблиця39" displayName="Таблиця39" ref="BP38:BQ42" totalsRowShown="0">
  <autoFilter ref="BP38:BQ42" xr:uid="{B09D1572-063F-4D4D-A9F8-8BE23C652E6A}"/>
  <tableColumns count="2">
    <tableColumn id="1" xr3:uid="{9F0F4E54-E9A2-470C-BFF8-5C7E693C43F7}" name="#"/>
    <tableColumn id="2" xr3:uid="{870CCD19-C23B-469F-9D34-1006B6FF6379}" name="1. Skill (Cooking/Leatherworking, etc.)"/>
  </tableColumns>
  <tableStyleInfo name="TableStyleLight13" showFirstColumn="0" showLastColumn="0" showRowStripes="1" showColumnStripes="0"/>
</table>
</file>

<file path=xl/tables/table2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D6F85215-9458-47F3-A76A-2363938125C5}" name="Таблиця40" displayName="Таблиця40" ref="BU22:BV29" totalsRowShown="0">
  <autoFilter ref="BU22:BV29" xr:uid="{E714886F-347B-46D8-8DA3-48D209CB070C}"/>
  <tableColumns count="2">
    <tableColumn id="1" xr3:uid="{6EA9EF55-D059-4A9D-A813-AA64FCE13723}" name="#"/>
    <tableColumn id="2" xr3:uid="{DD3EE090-29E3-4AD1-BF7F-99BF28E8D701}" name="Стовпець1"/>
  </tableColumns>
  <tableStyleInfo name="TableStyleLight14" showFirstColumn="0" showLastColumn="0" showRowStripes="1" showColumnStripes="0"/>
</table>
</file>

<file path=xl/tables/table2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96EB21D6-C8C8-4605-A5D2-26439485E8BB}" name="Table_1" displayName="Table_1" ref="BM140:BP150">
  <tableColumns count="4">
    <tableColumn id="1" xr3:uid="{00000000-0010-0000-0000-000001000000}" name="Weather"/>
    <tableColumn id="2" xr3:uid="{00000000-0010-0000-0000-000002000000}" name="SpeedMod"/>
    <tableColumn id="3" xr3:uid="{00000000-0010-0000-0000-000003000000}" name="NavMod"/>
    <tableColumn id="4" xr3:uid="{00000000-0010-0000-0000-000004000000}" name="ForageHuntMod"/>
  </tableColumns>
  <tableStyleInfo name="TableStyleMedium16" showFirstColumn="1" showLastColumn="0" showRowStripes="1" showColumnStripes="0"/>
</table>
</file>

<file path=xl/tables/table2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627E7CB-1F24-4EC4-9FED-F9AA8B5E7382}" name="Table_2" displayName="Table_2" ref="BM170:BP175">
  <tableColumns count="4">
    <tableColumn id="1" xr3:uid="{00000000-0010-0000-0100-000001000000}" name="TravelEffort"/>
    <tableColumn id="2" xr3:uid="{00000000-0010-0000-0100-000002000000}" name="SpeedMod"/>
    <tableColumn id="3" xr3:uid="{00000000-0010-0000-0100-000003000000}" name="NavMod"/>
    <tableColumn id="4" xr3:uid="{00000000-0010-0000-0100-000004000000}" name="ForageHuntMod"/>
  </tableColumns>
  <tableStyleInfo name="TableStyleMedium16" showFirstColumn="1" showLastColumn="0" showRowStripes="1" showColumnStripes="0"/>
</table>
</file>

<file path=xl/tables/table2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3556E345-3BAC-4822-B7A0-FE271E74E538}" name="Table_3" displayName="Table_3" ref="BM152:BP168">
  <tableColumns count="4">
    <tableColumn id="1" xr3:uid="{00000000-0010-0000-0200-000001000000}" name="ModeOfTravel"/>
    <tableColumn id="2" xr3:uid="{00000000-0010-0000-0200-000002000000}" name="SpeedMod"/>
    <tableColumn id="3" xr3:uid="{00000000-0010-0000-0200-000003000000}" name="NavMod"/>
    <tableColumn id="4" xr3:uid="{00000000-0010-0000-0200-000004000000}" name="ForageHuntMod"/>
  </tableColumns>
  <tableStyleInfo name="TableStyleMedium16" showFirstColumn="1" showLastColumn="0" showRowStripes="1" showColumnStripes="0"/>
</table>
</file>

<file path=xl/tables/table2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5CA4C3B9-546F-4C5B-BB11-83C1D0407B3C}" name="Table_4" displayName="Table_4" ref="BM126:BR138">
  <tableColumns count="6">
    <tableColumn id="1" xr3:uid="{00000000-0010-0000-0300-000001000000}" name="TERRAIN"/>
    <tableColumn id="2" xr3:uid="{00000000-0010-0000-0300-000002000000}" name="HIGHWAY"/>
    <tableColumn id="3" xr3:uid="{00000000-0010-0000-0300-000003000000}" name="ROAD"/>
    <tableColumn id="4" xr3:uid="{00000000-0010-0000-0300-000004000000}" name="WILD"/>
    <tableColumn id="5" xr3:uid="{00000000-0010-0000-0300-000005000000}" name="NavDC"/>
    <tableColumn id="6" xr3:uid="{00000000-0010-0000-0300-000006000000}" name="ForageHuntDC"/>
  </tableColumns>
  <tableStyleInfo name="TableStyleMedium16" showFirstColumn="1" showLastColumn="0" showRowStripes="1" showColumnStripes="0"/>
</table>
</file>

<file path=xl/tables/table2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E5D2D54E-F285-409E-A1C0-AB6844442FFC}" name="Таблиця93" displayName="Таблиця93" ref="BT126:BT142" totalsRowShown="0" headerRowDxfId="497" dataDxfId="496" headerRowCellStyle="Звичайний 6" dataCellStyle="Звичайний 6">
  <autoFilter ref="BT126:BT142" xr:uid="{936028BF-933B-4016-9449-D7C3B6DBC917}"/>
  <tableColumns count="1">
    <tableColumn id="1" xr3:uid="{6D11AFC6-8A22-4D59-B97A-836CAB5594DA}" name="ModeofTravel" dataDxfId="495" dataCellStyle="Звичайний 6"/>
  </tableColumns>
  <tableStyleInfo name="TableStyleMedium6" showFirstColumn="0" showLastColumn="0" showRowStripes="1" showColumnStripes="0"/>
</table>
</file>

<file path=xl/tables/table2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D1E049A-6A5D-4802-BF7E-A70C5A51BC6C}" name="Таблиця94" displayName="Таблиця94" ref="BU126:BU131" totalsRowShown="0" headerRowDxfId="494" dataDxfId="493" headerRowCellStyle="Звичайний 6" dataCellStyle="Звичайний 6">
  <autoFilter ref="BU126:BU131" xr:uid="{A2684C9C-E7F0-48D5-9FC7-8CB4F480B3B7}"/>
  <tableColumns count="1">
    <tableColumn id="1" xr3:uid="{152B6B4A-9F91-4858-B5F4-82F351A2327E}" name="TravelEffort" dataDxfId="492" dataCellStyle="Звичайний 6"/>
  </tableColumns>
  <tableStyleInfo name="TableStyleMedium7" showFirstColumn="0" showLastColumn="0" showRowStripes="1" showColumnStripes="0"/>
</table>
</file>

<file path=xl/tables/table2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AA5F1E01-B3C1-41F8-A8AC-F047F54EFE98}" name="Таблиця92" displayName="Таблиця92" ref="CE124:CI130" totalsRowShown="0">
  <autoFilter ref="CE124:CI130" xr:uid="{851BCBE1-62B0-411C-B38C-524A74835D41}"/>
  <tableColumns count="5">
    <tableColumn id="1" xr3:uid="{218A9231-9874-48E3-B8A0-8483F686DCE9}" name="Weather d100"/>
    <tableColumn id="2" xr3:uid="{944F8FA3-221F-4EFE-9DAE-A916FC978262}" name="Weather"/>
    <tableColumn id="3" xr3:uid="{A91352CD-3265-461E-A8C9-E909554068D8}" name="Cold Climate"/>
    <tableColumn id="4" xr3:uid="{0495BE2A-8678-4E7B-BBD5-850BEE20698A}" name="Temperate Climate"/>
    <tableColumn id="5" xr3:uid="{9BB7D965-65D1-4750-B99C-CE6EE81C98EA}" name="Desert"/>
  </tableColumns>
  <tableStyleInfo name="TableStyleMedium16" showFirstColumn="1" showLastColumn="0" showRowStripes="1" showColumnStripes="0"/>
</table>
</file>

<file path=xl/tables/table2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42748B18-2C74-4A5E-AAC9-B548893DC666}" name="Таблиця102" displayName="Таблиця102" ref="AT33:AU34" totalsRowShown="0">
  <autoFilter ref="AT33:AU34" xr:uid="{F77032E2-FAF6-4FDD-97B4-5413EDBC8C5A}"/>
  <tableColumns count="2">
    <tableColumn id="1" xr3:uid="{7F34C617-BCEC-4CBC-84A3-2B5F13B5C6E7}" name="Eq. Mny Wt">
      <calculatedColumnFormula>IFERROR( IF( VLOOKUP( CoinContainer, Containers, 13, FALSE ) = "equipped", MoneyTotalWeight, 0 ),0)</calculatedColumnFormula>
    </tableColumn>
    <tableColumn id="2" xr3:uid="{58316109-76BE-46F3-8F50-4ABF54BFDC5F}" name="Mt. Mny Wt">
      <calculatedColumnFormula>IFERROR( IF( VLOOKUP( CoinContainer, Containers, 13, FALSE ) = "mount", MoneyTotalWeight, 0 ), 0)</calculatedColumnFormula>
    </tableColumn>
  </tableColumns>
  <tableStyleInfo name="TableStyleMedium2" showFirstColumn="0" showLastColumn="0" showRowStripes="1" showColumnStripes="0"/>
</table>
</file>

<file path=xl/tables/table2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BECA9B8C-3684-4D5E-A69E-3EAB6D861956}" name="Таблиця103" displayName="Таблиця103" ref="AT30:AU31" totalsRowShown="0">
  <autoFilter ref="AT30:AU31" xr:uid="{9AE55235-1DBA-4BAC-8C7E-D325CE3E3AF4}"/>
  <tableColumns count="2">
    <tableColumn id="1" xr3:uid="{502DBD85-75AF-4998-A01E-7DCAE920C8B2}" name="Total Money Wt">
      <calculatedColumnFormula>SUM(CoinTotalWeight,GemTotalWeight)</calculatedColumnFormula>
    </tableColumn>
    <tableColumn id="2" xr3:uid="{C9D5CD94-71CC-4B6C-BE85-B428E0CC9D20}" name="Total Mny Qty">
      <calculatedColumnFormula>SUM(TotalCoins,TotalGems)</calculatedColumnFormula>
    </tableColumn>
  </tableColumns>
  <tableStyleInfo name="TableStyleMedium2" showFirstColumn="0" showLastColumn="0" showRowStripes="1" showColumnStripes="0"/>
</table>
</file>

<file path=xl/tables/table2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D9DCAEA-8816-494C-9B4E-5A5BAA3EE897}" name="Таблиця270" displayName="Таблиця270" ref="AG57:AO63" totalsRowShown="0">
  <autoFilter ref="AG57:AO63" xr:uid="{679794C0-ADE4-459E-864A-3EF993FFF7D7}"/>
  <tableColumns count="9">
    <tableColumn id="1" xr3:uid="{BDCA09DA-6884-4DC6-8BD2-2F4D9C2FEBE4}" name="Market Class"/>
    <tableColumn id="2" xr3:uid="{6ACE0515-8EFA-49C1-AD2C-FF6ECD25CB96}" name="Toll"/>
    <tableColumn id="3" xr3:uid="{E0C68B88-1D34-41D5-B86A-4F986FF83674}" name="Merchants"/>
    <tableColumn id="4" xr3:uid="{F069F79E-AB1B-4B9A-84C0-7F9650E341F6}" name="Loads of Merchandise"/>
    <tableColumn id="5" xr3:uid="{8AC1E435-B022-4CBD-9E17-3C65DDAE2782}" name="Passengers"/>
    <tableColumn id="6" xr3:uid="{4799FB8D-AD59-4B81-AD19-A070E8022495}" name="Shipping Contracts"/>
    <tableColumn id="7" xr3:uid="{6D065100-4DDE-4E58-B900-38A722E2017C}" name="Cargo to be Shipped"/>
    <tableColumn id="8" xr3:uid="{883E7282-2820-45C0-BAD1-8890D3009CF8}" name="Range of Trade (Road)"/>
    <tableColumn id="9" xr3:uid="{B4553CA6-6715-428F-B335-4F7A109DE34E}" name="Range of Trade (Water)"/>
  </tableColumns>
  <tableStyleInfo name="TableStyleMedium2" showFirstColumn="0" showLastColumn="0" showRowStripes="1" showColumnStripes="0"/>
</table>
</file>

<file path=xl/tables/table2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5" xr:uid="{DB5F4C7D-391C-4A55-9BEE-ED39A18E5C50}" name="Таблиця269" displayName="Таблиця269" ref="N2:O4" totalsRowShown="0">
  <autoFilter ref="N2:O4" xr:uid="{2B5B8BC2-F156-4737-B70E-BB7BD4D1FFF3}"/>
  <tableColumns count="2">
    <tableColumn id="1" xr3:uid="{9AB852F7-AE44-45E9-A4AB-EBF34ECC9C93}" name="#"/>
    <tableColumn id="2" xr3:uid="{27120B25-8D25-4EA0-8B7A-C97FFA8F4274}" name="NAME"/>
  </tableColumns>
  <tableStyleInfo name="TableStyleDark11" showFirstColumn="0" showLastColumn="0" showRowStripes="1" showColumnStripes="0"/>
</table>
</file>

<file path=xl/tables/table2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6" xr:uid="{903DD36C-509C-4E41-879F-F5506CF77773}" name="Таблиця271" displayName="Таблиця271" ref="H1:K21" totalsRowShown="0">
  <autoFilter ref="H1:K21" xr:uid="{95E5E4B0-B653-4F4E-9C08-5DFD41B5FA4E}"/>
  <tableColumns count="4">
    <tableColumn id="1" xr3:uid="{0DEB8B99-A615-47DE-A6FA-A74F35C19CFE}" name="#"/>
    <tableColumn id="2" xr3:uid="{38A290DC-C9FD-4BBB-B63E-FA6A3F83309F}" name="ABBR"/>
    <tableColumn id="3" xr3:uid="{7440CA0B-63FB-4D18-B3B8-F9BDD6CBE335}" name="NAME"/>
    <tableColumn id="4" xr3:uid="{1D2E5081-9627-4490-AEFE-3320E9FC01DD}" name="LINK"/>
  </tableColumns>
  <tableStyleInfo name="TableStyleMedium28" showFirstColumn="0" showLastColumn="0" showRowStripes="1" showColumnStripes="0"/>
</table>
</file>

<file path=xl/tables/table2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9" xr:uid="{EC2ADFBE-BBDB-44BB-BAE6-210A22867D50}" name="Таблиця273" displayName="Таблиця273" ref="A8:B20" totalsRowShown="0">
  <autoFilter ref="A8:B20" xr:uid="{7CD68F4D-9B38-4C54-9415-F855BF5DF6A9}"/>
  <tableColumns count="2">
    <tableColumn id="1" xr3:uid="{C2554144-8CCA-40D3-8A45-C2FCE1F6F676}" name="TIME"/>
    <tableColumn id="2" xr3:uid="{32F49E18-0559-4A72-9E4D-7F18F1212912}" name="SYMBOL"/>
  </tableColumns>
  <tableStyleInfo name="TableStyleLight12" showFirstColumn="0" showLastColumn="0" showRowStripes="1" showColumnStripes="0"/>
</table>
</file>

<file path=xl/tables/table2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3B9A3C1-DCA7-48AA-812A-1A952916CD9A}" name="Таблиця46" displayName="Таблиця46" ref="A1:G85" totalsRowShown="0" headerRowDxfId="491" dataDxfId="490">
  <autoFilter ref="A1:G85" xr:uid="{88B5AFFE-25EE-4C7A-9830-717FDFFD1D5C}"/>
  <tableColumns count="7">
    <tableColumn id="1" xr3:uid="{4234CEAD-4F92-4B48-8F35-14ADE2CCDBA2}" name="ГОД" dataDxfId="477"/>
    <tableColumn id="6" xr3:uid="{90681BA5-39F6-4D00-8A5E-F2B1FBE2F00D}" name="NAME" dataDxfId="478"/>
    <tableColumn id="3" xr3:uid="{A004071B-B1C2-4EDF-A3BC-8FC19DB54A3E}" name="MONTH" dataDxfId="489"/>
    <tableColumn id="7" xr3:uid="{0E34AB73-DB68-4B1E-955C-58D79D35AC1A}" name="DAY" dataDxfId="479"/>
    <tableColumn id="4" xr3:uid="{688AF7A3-8941-4A48-BE25-695AB558009E}" name="REGION" dataDxfId="488"/>
    <tableColumn id="2" xr3:uid="{74CFDA93-0D10-4D3B-A756-469BDB9AE493}" name="СОБЫТИЕ/" dataDxfId="487"/>
    <tableColumn id="5" xr3:uid="{3A03FBFC-7E46-4DE4-9DC4-1142E8A229B8}" name="Стовпець3" dataDxfId="486"/>
  </tableColumns>
  <tableStyleInfo name="TableStyleDark8" showFirstColumn="0" showLastColumn="0" showRowStripes="1" showColumnStripes="0"/>
</table>
</file>

<file path=xl/tables/table2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7" xr:uid="{D448AE58-6340-4EDA-ACD9-848340BD37B2}" name="Таблиця237" displayName="Таблиця237" ref="M2:O170" totalsRowShown="0" headerRowDxfId="485" dataDxfId="484">
  <autoFilter ref="M2:O170" xr:uid="{3F4141F6-A0E1-436C-8C49-F25FA1CDB464}"/>
  <tableColumns count="3">
    <tableColumn id="1" xr3:uid="{0CA86E29-C95C-4F0A-B746-DD54B057199E}" name="YEAR" dataDxfId="483"/>
    <tableColumn id="2" xr3:uid="{8132BA0D-3800-4632-87F6-BE6330C68B40}" name="MONTH" dataDxfId="482"/>
    <tableColumn id="3" xr3:uid="{BA5A7AA3-EFA2-4158-A8FE-7CB1424BEC2F}" name="CLACK" dataDxfId="481"/>
  </tableColumns>
  <tableStyleInfo name="TableStyleMedium1" showFirstColumn="0" showLastColumn="0" showRowStripes="1" showColumnStripes="0"/>
</table>
</file>

<file path=xl/theme/theme1.xml><?xml version="1.0" encoding="utf-8"?>
<a:theme xmlns:a="http://schemas.openxmlformats.org/drawingml/2006/main" name="Туман">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Настроювані 1">
      <a:majorFont>
        <a:latin typeface="Philosopher"/>
        <a:ea typeface=""/>
        <a:cs typeface=""/>
      </a:majorFont>
      <a:minorFont>
        <a:latin typeface="Lato"/>
        <a:ea typeface=""/>
        <a:cs typeface=""/>
      </a:minorFont>
    </a:fontScheme>
    <a:fmtScheme name="Туман">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table" Target="../tables/table3.xml"/><Relationship Id="rId18" Type="http://schemas.openxmlformats.org/officeDocument/2006/relationships/table" Target="../tables/table8.xml"/><Relationship Id="rId26" Type="http://schemas.openxmlformats.org/officeDocument/2006/relationships/table" Target="../tables/table16.xml"/><Relationship Id="rId39" Type="http://schemas.openxmlformats.org/officeDocument/2006/relationships/table" Target="../tables/table29.xml"/><Relationship Id="rId21" Type="http://schemas.openxmlformats.org/officeDocument/2006/relationships/table" Target="../tables/table11.xml"/><Relationship Id="rId34" Type="http://schemas.openxmlformats.org/officeDocument/2006/relationships/table" Target="../tables/table24.xml"/><Relationship Id="rId42" Type="http://schemas.openxmlformats.org/officeDocument/2006/relationships/table" Target="../tables/table32.xml"/><Relationship Id="rId47" Type="http://schemas.openxmlformats.org/officeDocument/2006/relationships/table" Target="../tables/table37.xml"/><Relationship Id="rId50" Type="http://schemas.openxmlformats.org/officeDocument/2006/relationships/table" Target="../tables/table40.xml"/><Relationship Id="rId55" Type="http://schemas.openxmlformats.org/officeDocument/2006/relationships/table" Target="../tables/table45.xml"/><Relationship Id="rId63" Type="http://schemas.openxmlformats.org/officeDocument/2006/relationships/table" Target="../tables/table53.xml"/><Relationship Id="rId7" Type="http://schemas.openxmlformats.org/officeDocument/2006/relationships/hyperlink" Target="https://1drv.ms/w/s!Atcrhwwo1lBAyt9NoKs6gricDBbi-g?e=efViAd" TargetMode="External"/><Relationship Id="rId2" Type="http://schemas.openxmlformats.org/officeDocument/2006/relationships/hyperlink" Target="https://1drv.ms/w/s!Atcrhwwo1lBAyt9NoKs6gricDBbi-g?e=efViAd" TargetMode="External"/><Relationship Id="rId16" Type="http://schemas.openxmlformats.org/officeDocument/2006/relationships/table" Target="../tables/table6.xml"/><Relationship Id="rId29" Type="http://schemas.openxmlformats.org/officeDocument/2006/relationships/table" Target="../tables/table19.xml"/><Relationship Id="rId1" Type="http://schemas.openxmlformats.org/officeDocument/2006/relationships/hyperlink" Target="https://1drv.ms/w/s!Atcrhwwo1lBAyt9NoKs6gricDBbi-g?e=efViAd" TargetMode="External"/><Relationship Id="rId6" Type="http://schemas.openxmlformats.org/officeDocument/2006/relationships/hyperlink" Target="https://1drv.ms/w/s!Atcrhwwo1lBAyt9NoKs6gricDBbi-g?e=efViAd" TargetMode="External"/><Relationship Id="rId11" Type="http://schemas.openxmlformats.org/officeDocument/2006/relationships/table" Target="../tables/table1.xml"/><Relationship Id="rId24" Type="http://schemas.openxmlformats.org/officeDocument/2006/relationships/table" Target="../tables/table14.xml"/><Relationship Id="rId32" Type="http://schemas.openxmlformats.org/officeDocument/2006/relationships/table" Target="../tables/table22.xml"/><Relationship Id="rId37" Type="http://schemas.openxmlformats.org/officeDocument/2006/relationships/table" Target="../tables/table27.xml"/><Relationship Id="rId40" Type="http://schemas.openxmlformats.org/officeDocument/2006/relationships/table" Target="../tables/table30.xml"/><Relationship Id="rId45" Type="http://schemas.openxmlformats.org/officeDocument/2006/relationships/table" Target="../tables/table35.xml"/><Relationship Id="rId53" Type="http://schemas.openxmlformats.org/officeDocument/2006/relationships/table" Target="../tables/table43.xml"/><Relationship Id="rId58" Type="http://schemas.openxmlformats.org/officeDocument/2006/relationships/table" Target="../tables/table48.xml"/><Relationship Id="rId66" Type="http://schemas.openxmlformats.org/officeDocument/2006/relationships/table" Target="../tables/table56.xml"/><Relationship Id="rId5" Type="http://schemas.openxmlformats.org/officeDocument/2006/relationships/hyperlink" Target="https://1drv.ms/w/s!Atcrhwwo1lBAyt9NoKs6gricDBbi-g?e=efViAd" TargetMode="External"/><Relationship Id="rId15" Type="http://schemas.openxmlformats.org/officeDocument/2006/relationships/table" Target="../tables/table5.xml"/><Relationship Id="rId23" Type="http://schemas.openxmlformats.org/officeDocument/2006/relationships/table" Target="../tables/table13.xml"/><Relationship Id="rId28" Type="http://schemas.openxmlformats.org/officeDocument/2006/relationships/table" Target="../tables/table18.xml"/><Relationship Id="rId36" Type="http://schemas.openxmlformats.org/officeDocument/2006/relationships/table" Target="../tables/table26.xml"/><Relationship Id="rId49" Type="http://schemas.openxmlformats.org/officeDocument/2006/relationships/table" Target="../tables/table39.xml"/><Relationship Id="rId57" Type="http://schemas.openxmlformats.org/officeDocument/2006/relationships/table" Target="../tables/table47.xml"/><Relationship Id="rId61" Type="http://schemas.openxmlformats.org/officeDocument/2006/relationships/table" Target="../tables/table51.xml"/><Relationship Id="rId10" Type="http://schemas.openxmlformats.org/officeDocument/2006/relationships/drawing" Target="../drawings/drawing2.xml"/><Relationship Id="rId19" Type="http://schemas.openxmlformats.org/officeDocument/2006/relationships/table" Target="../tables/table9.xml"/><Relationship Id="rId31" Type="http://schemas.openxmlformats.org/officeDocument/2006/relationships/table" Target="../tables/table21.xml"/><Relationship Id="rId44" Type="http://schemas.openxmlformats.org/officeDocument/2006/relationships/table" Target="../tables/table34.xml"/><Relationship Id="rId52" Type="http://schemas.openxmlformats.org/officeDocument/2006/relationships/table" Target="../tables/table42.xml"/><Relationship Id="rId60" Type="http://schemas.openxmlformats.org/officeDocument/2006/relationships/table" Target="../tables/table50.xml"/><Relationship Id="rId65" Type="http://schemas.openxmlformats.org/officeDocument/2006/relationships/table" Target="../tables/table55.xml"/><Relationship Id="rId4" Type="http://schemas.openxmlformats.org/officeDocument/2006/relationships/hyperlink" Target="https://1drv.ms/w/s!Atcrhwwo1lBAyt9NoKs6gricDBbi-g?e=efViAd" TargetMode="External"/><Relationship Id="rId9" Type="http://schemas.openxmlformats.org/officeDocument/2006/relationships/printerSettings" Target="../printerSettings/printerSettings2.bin"/><Relationship Id="rId14" Type="http://schemas.openxmlformats.org/officeDocument/2006/relationships/table" Target="../tables/table4.xml"/><Relationship Id="rId22" Type="http://schemas.openxmlformats.org/officeDocument/2006/relationships/table" Target="../tables/table12.xml"/><Relationship Id="rId27" Type="http://schemas.openxmlformats.org/officeDocument/2006/relationships/table" Target="../tables/table17.xml"/><Relationship Id="rId30" Type="http://schemas.openxmlformats.org/officeDocument/2006/relationships/table" Target="../tables/table20.xml"/><Relationship Id="rId35" Type="http://schemas.openxmlformats.org/officeDocument/2006/relationships/table" Target="../tables/table25.xml"/><Relationship Id="rId43" Type="http://schemas.openxmlformats.org/officeDocument/2006/relationships/table" Target="../tables/table33.xml"/><Relationship Id="rId48" Type="http://schemas.openxmlformats.org/officeDocument/2006/relationships/table" Target="../tables/table38.xml"/><Relationship Id="rId56" Type="http://schemas.openxmlformats.org/officeDocument/2006/relationships/table" Target="../tables/table46.xml"/><Relationship Id="rId64" Type="http://schemas.openxmlformats.org/officeDocument/2006/relationships/table" Target="../tables/table54.xml"/><Relationship Id="rId8" Type="http://schemas.openxmlformats.org/officeDocument/2006/relationships/hyperlink" Target="https://drive.google.com/file/d/0B8XAiXpOfz9cMWt1RTBicmpmUDg/view" TargetMode="External"/><Relationship Id="rId51" Type="http://schemas.openxmlformats.org/officeDocument/2006/relationships/table" Target="../tables/table41.xml"/><Relationship Id="rId3" Type="http://schemas.openxmlformats.org/officeDocument/2006/relationships/hyperlink" Target="https://1drv.ms/w/s!Atcrhwwo1lBAyt9NoKs6gricDBbi-g?e=efViAd" TargetMode="External"/><Relationship Id="rId12" Type="http://schemas.openxmlformats.org/officeDocument/2006/relationships/table" Target="../tables/table2.xml"/><Relationship Id="rId17" Type="http://schemas.openxmlformats.org/officeDocument/2006/relationships/table" Target="../tables/table7.xml"/><Relationship Id="rId25" Type="http://schemas.openxmlformats.org/officeDocument/2006/relationships/table" Target="../tables/table15.xml"/><Relationship Id="rId33" Type="http://schemas.openxmlformats.org/officeDocument/2006/relationships/table" Target="../tables/table23.xml"/><Relationship Id="rId38" Type="http://schemas.openxmlformats.org/officeDocument/2006/relationships/table" Target="../tables/table28.xml"/><Relationship Id="rId46" Type="http://schemas.openxmlformats.org/officeDocument/2006/relationships/table" Target="../tables/table36.xml"/><Relationship Id="rId59" Type="http://schemas.openxmlformats.org/officeDocument/2006/relationships/table" Target="../tables/table49.xml"/><Relationship Id="rId67" Type="http://schemas.openxmlformats.org/officeDocument/2006/relationships/table" Target="../tables/table57.xml"/><Relationship Id="rId20" Type="http://schemas.openxmlformats.org/officeDocument/2006/relationships/table" Target="../tables/table10.xml"/><Relationship Id="rId41" Type="http://schemas.openxmlformats.org/officeDocument/2006/relationships/table" Target="../tables/table31.xml"/><Relationship Id="rId54" Type="http://schemas.openxmlformats.org/officeDocument/2006/relationships/table" Target="../tables/table44.xml"/><Relationship Id="rId62" Type="http://schemas.openxmlformats.org/officeDocument/2006/relationships/table" Target="../tables/table5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dndbeyond.com/monsters/bard" TargetMode="External"/><Relationship Id="rId13" Type="http://schemas.openxmlformats.org/officeDocument/2006/relationships/hyperlink" Target="https://www.dndbeyond.com/monsters/spy" TargetMode="External"/><Relationship Id="rId18" Type="http://schemas.openxmlformats.org/officeDocument/2006/relationships/hyperlink" Target="https://www.dndbeyond.com/monsters/knight" TargetMode="External"/><Relationship Id="rId26" Type="http://schemas.openxmlformats.org/officeDocument/2006/relationships/table" Target="../tables/table60.xml"/><Relationship Id="rId3" Type="http://schemas.openxmlformats.org/officeDocument/2006/relationships/hyperlink" Target="https://www.dndbeyond.com/monsters/priest" TargetMode="External"/><Relationship Id="rId21" Type="http://schemas.openxmlformats.org/officeDocument/2006/relationships/hyperlink" Target="https://www.dndbeyond.com/monsters/archer" TargetMode="External"/><Relationship Id="rId34" Type="http://schemas.openxmlformats.org/officeDocument/2006/relationships/table" Target="../tables/table68.xml"/><Relationship Id="rId7" Type="http://schemas.openxmlformats.org/officeDocument/2006/relationships/hyperlink" Target="https://www.dndbeyond.com/monsters/uthgardt-shaman" TargetMode="External"/><Relationship Id="rId12" Type="http://schemas.openxmlformats.org/officeDocument/2006/relationships/hyperlink" Target="https://www.dndbeyond.com/monsters/scout" TargetMode="External"/><Relationship Id="rId17" Type="http://schemas.openxmlformats.org/officeDocument/2006/relationships/hyperlink" Target="https://www.dndbeyond.com/monsters/swashbuckler" TargetMode="External"/><Relationship Id="rId25" Type="http://schemas.openxmlformats.org/officeDocument/2006/relationships/table" Target="../tables/table59.xml"/><Relationship Id="rId33" Type="http://schemas.openxmlformats.org/officeDocument/2006/relationships/table" Target="../tables/table67.xml"/><Relationship Id="rId2" Type="http://schemas.openxmlformats.org/officeDocument/2006/relationships/hyperlink" Target="https://www.dndbeyond.com/monsters/acolyte" TargetMode="External"/><Relationship Id="rId16" Type="http://schemas.openxmlformats.org/officeDocument/2006/relationships/hyperlink" Target="https://www.dndbeyond.com/monsters/veteran" TargetMode="External"/><Relationship Id="rId20" Type="http://schemas.openxmlformats.org/officeDocument/2006/relationships/hyperlink" Target="https://www.dndbeyond.com/monsters/master-thief" TargetMode="External"/><Relationship Id="rId29" Type="http://schemas.openxmlformats.org/officeDocument/2006/relationships/table" Target="../tables/table63.xml"/><Relationship Id="rId1" Type="http://schemas.openxmlformats.org/officeDocument/2006/relationships/hyperlink" Target="https://critterdb.com/" TargetMode="External"/><Relationship Id="rId6" Type="http://schemas.openxmlformats.org/officeDocument/2006/relationships/hyperlink" Target="https://www.dndbeyond.com/monsters/druid" TargetMode="External"/><Relationship Id="rId11" Type="http://schemas.openxmlformats.org/officeDocument/2006/relationships/hyperlink" Target="https://www.dndbeyond.com/monsters/thug" TargetMode="External"/><Relationship Id="rId24" Type="http://schemas.openxmlformats.org/officeDocument/2006/relationships/table" Target="../tables/table58.xml"/><Relationship Id="rId32" Type="http://schemas.openxmlformats.org/officeDocument/2006/relationships/table" Target="../tables/table66.xml"/><Relationship Id="rId5" Type="http://schemas.openxmlformats.org/officeDocument/2006/relationships/hyperlink" Target="https://www.dndbeyond.com/monsters/cult-fanatic" TargetMode="External"/><Relationship Id="rId15" Type="http://schemas.openxmlformats.org/officeDocument/2006/relationships/hyperlink" Target="https://www.dndbeyond.com/monsters/bandit-captain" TargetMode="External"/><Relationship Id="rId23" Type="http://schemas.openxmlformats.org/officeDocument/2006/relationships/hyperlink" Target="https://critterdb.com/" TargetMode="External"/><Relationship Id="rId28" Type="http://schemas.openxmlformats.org/officeDocument/2006/relationships/table" Target="../tables/table62.xml"/><Relationship Id="rId36" Type="http://schemas.openxmlformats.org/officeDocument/2006/relationships/table" Target="../tables/table70.xml"/><Relationship Id="rId10" Type="http://schemas.openxmlformats.org/officeDocument/2006/relationships/hyperlink" Target="https://www.dndbeyond.com/monsters/bandit" TargetMode="External"/><Relationship Id="rId19" Type="http://schemas.openxmlformats.org/officeDocument/2006/relationships/hyperlink" Target="https://www.dndbeyond.com/monsters/pirate-captain" TargetMode="External"/><Relationship Id="rId31" Type="http://schemas.openxmlformats.org/officeDocument/2006/relationships/table" Target="../tables/table65.xml"/><Relationship Id="rId4" Type="http://schemas.openxmlformats.org/officeDocument/2006/relationships/hyperlink" Target="https://www.dndbeyond.com/monsters/apprentice-wizard" TargetMode="External"/><Relationship Id="rId9" Type="http://schemas.openxmlformats.org/officeDocument/2006/relationships/hyperlink" Target="https://www.dndbeyond.com/monsters/guard" TargetMode="External"/><Relationship Id="rId14" Type="http://schemas.openxmlformats.org/officeDocument/2006/relationships/hyperlink" Target="https://www.dndbeyond.com/monsters/berserker" TargetMode="External"/><Relationship Id="rId22" Type="http://schemas.openxmlformats.org/officeDocument/2006/relationships/hyperlink" Target="https://critterdb.com/" TargetMode="External"/><Relationship Id="rId27" Type="http://schemas.openxmlformats.org/officeDocument/2006/relationships/table" Target="../tables/table61.xml"/><Relationship Id="rId30" Type="http://schemas.openxmlformats.org/officeDocument/2006/relationships/table" Target="../tables/table64.xml"/><Relationship Id="rId35" Type="http://schemas.openxmlformats.org/officeDocument/2006/relationships/table" Target="../tables/table69.xml"/></Relationships>
</file>

<file path=xl/worksheets/_rels/sheet4.xml.rels><?xml version="1.0" encoding="UTF-8" standalone="yes"?>
<Relationships xmlns="http://schemas.openxmlformats.org/package/2006/relationships"><Relationship Id="rId8" Type="http://schemas.openxmlformats.org/officeDocument/2006/relationships/table" Target="../tables/table78.xml"/><Relationship Id="rId13" Type="http://schemas.openxmlformats.org/officeDocument/2006/relationships/table" Target="../tables/table83.xml"/><Relationship Id="rId18" Type="http://schemas.openxmlformats.org/officeDocument/2006/relationships/table" Target="../tables/table88.xml"/><Relationship Id="rId3" Type="http://schemas.openxmlformats.org/officeDocument/2006/relationships/table" Target="../tables/table73.xml"/><Relationship Id="rId7" Type="http://schemas.openxmlformats.org/officeDocument/2006/relationships/table" Target="../tables/table77.xml"/><Relationship Id="rId12" Type="http://schemas.openxmlformats.org/officeDocument/2006/relationships/table" Target="../tables/table82.xml"/><Relationship Id="rId17" Type="http://schemas.openxmlformats.org/officeDocument/2006/relationships/table" Target="../tables/table87.xml"/><Relationship Id="rId2" Type="http://schemas.openxmlformats.org/officeDocument/2006/relationships/table" Target="../tables/table72.xml"/><Relationship Id="rId16" Type="http://schemas.openxmlformats.org/officeDocument/2006/relationships/table" Target="../tables/table86.xml"/><Relationship Id="rId1" Type="http://schemas.openxmlformats.org/officeDocument/2006/relationships/table" Target="../tables/table71.xml"/><Relationship Id="rId6" Type="http://schemas.openxmlformats.org/officeDocument/2006/relationships/table" Target="../tables/table76.xml"/><Relationship Id="rId11" Type="http://schemas.openxmlformats.org/officeDocument/2006/relationships/table" Target="../tables/table81.xml"/><Relationship Id="rId5" Type="http://schemas.openxmlformats.org/officeDocument/2006/relationships/table" Target="../tables/table75.xml"/><Relationship Id="rId15" Type="http://schemas.openxmlformats.org/officeDocument/2006/relationships/table" Target="../tables/table85.xml"/><Relationship Id="rId10" Type="http://schemas.openxmlformats.org/officeDocument/2006/relationships/table" Target="../tables/table80.xml"/><Relationship Id="rId19" Type="http://schemas.openxmlformats.org/officeDocument/2006/relationships/table" Target="../tables/table89.xml"/><Relationship Id="rId4" Type="http://schemas.openxmlformats.org/officeDocument/2006/relationships/table" Target="../tables/table74.xml"/><Relationship Id="rId9" Type="http://schemas.openxmlformats.org/officeDocument/2006/relationships/table" Target="../tables/table79.xml"/><Relationship Id="rId14" Type="http://schemas.openxmlformats.org/officeDocument/2006/relationships/table" Target="../tables/table8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91.xml"/><Relationship Id="rId7" Type="http://schemas.openxmlformats.org/officeDocument/2006/relationships/table" Target="../tables/table95.xml"/><Relationship Id="rId2" Type="http://schemas.openxmlformats.org/officeDocument/2006/relationships/table" Target="../tables/table90.xml"/><Relationship Id="rId1" Type="http://schemas.openxmlformats.org/officeDocument/2006/relationships/hyperlink" Target="http://cauldronsandclerics.blogspot.com/search/label/D%26D5E" TargetMode="External"/><Relationship Id="rId6" Type="http://schemas.openxmlformats.org/officeDocument/2006/relationships/table" Target="../tables/table94.xml"/><Relationship Id="rId5" Type="http://schemas.openxmlformats.org/officeDocument/2006/relationships/table" Target="../tables/table93.xml"/><Relationship Id="rId4" Type="http://schemas.openxmlformats.org/officeDocument/2006/relationships/table" Target="../tables/table92.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00.xml"/><Relationship Id="rId13" Type="http://schemas.openxmlformats.org/officeDocument/2006/relationships/table" Target="../tables/table105.xml"/><Relationship Id="rId18" Type="http://schemas.openxmlformats.org/officeDocument/2006/relationships/table" Target="../tables/table110.xml"/><Relationship Id="rId26" Type="http://schemas.openxmlformats.org/officeDocument/2006/relationships/table" Target="../tables/table118.xml"/><Relationship Id="rId39" Type="http://schemas.openxmlformats.org/officeDocument/2006/relationships/table" Target="../tables/table131.xml"/><Relationship Id="rId3" Type="http://schemas.openxmlformats.org/officeDocument/2006/relationships/hyperlink" Target="file:///C:\Users\avpal\AppData\Roaming\Microsoft\Excel\EBERR\on-downtime-and-demesnes-5th-edition-2019.docx" TargetMode="External"/><Relationship Id="rId21" Type="http://schemas.openxmlformats.org/officeDocument/2006/relationships/table" Target="../tables/table113.xml"/><Relationship Id="rId34" Type="http://schemas.openxmlformats.org/officeDocument/2006/relationships/table" Target="../tables/table126.xml"/><Relationship Id="rId7" Type="http://schemas.openxmlformats.org/officeDocument/2006/relationships/table" Target="../tables/table99.xml"/><Relationship Id="rId12" Type="http://schemas.openxmlformats.org/officeDocument/2006/relationships/table" Target="../tables/table104.xml"/><Relationship Id="rId17" Type="http://schemas.openxmlformats.org/officeDocument/2006/relationships/table" Target="../tables/table109.xml"/><Relationship Id="rId25" Type="http://schemas.openxmlformats.org/officeDocument/2006/relationships/table" Target="../tables/table117.xml"/><Relationship Id="rId33" Type="http://schemas.openxmlformats.org/officeDocument/2006/relationships/table" Target="../tables/table125.xml"/><Relationship Id="rId38" Type="http://schemas.openxmlformats.org/officeDocument/2006/relationships/table" Target="../tables/table130.xml"/><Relationship Id="rId2" Type="http://schemas.openxmlformats.org/officeDocument/2006/relationships/hyperlink" Target="file:///C:\Users\avpal\AppData\Roaming\Microsoft\Excel\EBERR\on-downtime-and-demesnes-5th-edition-2019.docx" TargetMode="External"/><Relationship Id="rId16" Type="http://schemas.openxmlformats.org/officeDocument/2006/relationships/table" Target="../tables/table108.xml"/><Relationship Id="rId20" Type="http://schemas.openxmlformats.org/officeDocument/2006/relationships/table" Target="../tables/table112.xml"/><Relationship Id="rId29" Type="http://schemas.openxmlformats.org/officeDocument/2006/relationships/table" Target="../tables/table121.xml"/><Relationship Id="rId41" Type="http://schemas.openxmlformats.org/officeDocument/2006/relationships/table" Target="../tables/table133.xml"/><Relationship Id="rId1" Type="http://schemas.openxmlformats.org/officeDocument/2006/relationships/hyperlink" Target="http://cauldronsandclerics.blogspot.com/search/label/D%26D5E" TargetMode="External"/><Relationship Id="rId6" Type="http://schemas.openxmlformats.org/officeDocument/2006/relationships/table" Target="../tables/table98.xml"/><Relationship Id="rId11" Type="http://schemas.openxmlformats.org/officeDocument/2006/relationships/table" Target="../tables/table103.xml"/><Relationship Id="rId24" Type="http://schemas.openxmlformats.org/officeDocument/2006/relationships/table" Target="../tables/table116.xml"/><Relationship Id="rId32" Type="http://schemas.openxmlformats.org/officeDocument/2006/relationships/table" Target="../tables/table124.xml"/><Relationship Id="rId37" Type="http://schemas.openxmlformats.org/officeDocument/2006/relationships/table" Target="../tables/table129.xml"/><Relationship Id="rId40" Type="http://schemas.openxmlformats.org/officeDocument/2006/relationships/table" Target="../tables/table132.xml"/><Relationship Id="rId5" Type="http://schemas.openxmlformats.org/officeDocument/2006/relationships/table" Target="../tables/table97.xml"/><Relationship Id="rId15" Type="http://schemas.openxmlformats.org/officeDocument/2006/relationships/table" Target="../tables/table107.xml"/><Relationship Id="rId23" Type="http://schemas.openxmlformats.org/officeDocument/2006/relationships/table" Target="../tables/table115.xml"/><Relationship Id="rId28" Type="http://schemas.openxmlformats.org/officeDocument/2006/relationships/table" Target="../tables/table120.xml"/><Relationship Id="rId36" Type="http://schemas.openxmlformats.org/officeDocument/2006/relationships/table" Target="../tables/table128.xml"/><Relationship Id="rId10" Type="http://schemas.openxmlformats.org/officeDocument/2006/relationships/table" Target="../tables/table102.xml"/><Relationship Id="rId19" Type="http://schemas.openxmlformats.org/officeDocument/2006/relationships/table" Target="../tables/table111.xml"/><Relationship Id="rId31" Type="http://schemas.openxmlformats.org/officeDocument/2006/relationships/table" Target="../tables/table123.xml"/><Relationship Id="rId4" Type="http://schemas.openxmlformats.org/officeDocument/2006/relationships/table" Target="../tables/table96.xml"/><Relationship Id="rId9" Type="http://schemas.openxmlformats.org/officeDocument/2006/relationships/table" Target="../tables/table101.xml"/><Relationship Id="rId14" Type="http://schemas.openxmlformats.org/officeDocument/2006/relationships/table" Target="../tables/table106.xml"/><Relationship Id="rId22" Type="http://schemas.openxmlformats.org/officeDocument/2006/relationships/table" Target="../tables/table114.xml"/><Relationship Id="rId27" Type="http://schemas.openxmlformats.org/officeDocument/2006/relationships/table" Target="../tables/table119.xml"/><Relationship Id="rId30" Type="http://schemas.openxmlformats.org/officeDocument/2006/relationships/table" Target="../tables/table122.xml"/><Relationship Id="rId35" Type="http://schemas.openxmlformats.org/officeDocument/2006/relationships/table" Target="../tables/table127.xm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13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5" Type="http://schemas.openxmlformats.org/officeDocument/2006/relationships/comments" Target="../comments4.xml"/><Relationship Id="rId4" Type="http://schemas.openxmlformats.org/officeDocument/2006/relationships/table" Target="../tables/table135.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136.xml"/><Relationship Id="rId2" Type="http://schemas.openxmlformats.org/officeDocument/2006/relationships/vmlDrawing" Target="../drawings/vmlDrawing8.vml"/><Relationship Id="rId1" Type="http://schemas.openxmlformats.org/officeDocument/2006/relationships/printerSettings" Target="../printerSettings/printerSettings12.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17" Type="http://schemas.openxmlformats.org/officeDocument/2006/relationships/hyperlink" Target="https://www.aidedd.org/dnd/monstres.php?vo=Ghoul" TargetMode="External"/><Relationship Id="rId299" Type="http://schemas.openxmlformats.org/officeDocument/2006/relationships/hyperlink" Target="https://www.aidedd.org/dnd/monstres.php?vo=Weasel" TargetMode="External"/><Relationship Id="rId303" Type="http://schemas.openxmlformats.org/officeDocument/2006/relationships/hyperlink" Target="https://www.aidedd.org/dnd/monstres.php?vo=Weretiger" TargetMode="External"/><Relationship Id="rId21" Type="http://schemas.openxmlformats.org/officeDocument/2006/relationships/hyperlink" Target="https://www.aidedd.org/dnd/monstres.php?vo=Ancient-Green-Dragon" TargetMode="External"/><Relationship Id="rId42" Type="http://schemas.openxmlformats.org/officeDocument/2006/relationships/hyperlink" Target="https://www.aidedd.org/dnd/monstres.php?vo=Barbed-Devil" TargetMode="External"/><Relationship Id="rId63" Type="http://schemas.openxmlformats.org/officeDocument/2006/relationships/hyperlink" Target="https://www.aidedd.org/dnd/monstres.php?vo=Centaur" TargetMode="External"/><Relationship Id="rId84" Type="http://schemas.openxmlformats.org/officeDocument/2006/relationships/hyperlink" Target="https://www.aidedd.org/dnd/monstres.php?vo=Deva" TargetMode="External"/><Relationship Id="rId138" Type="http://schemas.openxmlformats.org/officeDocument/2006/relationships/hyperlink" Target="https://www.aidedd.org/dnd/monstres.php?vo=Giant-Sea-Horse" TargetMode="External"/><Relationship Id="rId159" Type="http://schemas.openxmlformats.org/officeDocument/2006/relationships/hyperlink" Target="https://www.aidedd.org/dnd/monstres.php?vo=Grimlock" TargetMode="External"/><Relationship Id="rId324" Type="http://schemas.openxmlformats.org/officeDocument/2006/relationships/hyperlink" Target="https://www.aidedd.org/dnd/monstres.php?vo=Young-Red-Dragon" TargetMode="External"/><Relationship Id="rId170" Type="http://schemas.openxmlformats.org/officeDocument/2006/relationships/hyperlink" Target="https://www.aidedd.org/dnd/monstres.php?vo=Homunculus" TargetMode="External"/><Relationship Id="rId191" Type="http://schemas.openxmlformats.org/officeDocument/2006/relationships/hyperlink" Target="https://www.aidedd.org/dnd/monstres.php?vo=Mage" TargetMode="External"/><Relationship Id="rId205" Type="http://schemas.openxmlformats.org/officeDocument/2006/relationships/hyperlink" Target="https://www.aidedd.org/dnd/monstres.php?vo=Mule" TargetMode="External"/><Relationship Id="rId226" Type="http://schemas.openxmlformats.org/officeDocument/2006/relationships/hyperlink" Target="https://www.aidedd.org/dnd/monstres.php?vo=Plesiosaurus" TargetMode="External"/><Relationship Id="rId247" Type="http://schemas.openxmlformats.org/officeDocument/2006/relationships/hyperlink" Target="https://www.aidedd.org/dnd/monstres.php?vo=Rust-Monster" TargetMode="External"/><Relationship Id="rId107" Type="http://schemas.openxmlformats.org/officeDocument/2006/relationships/hyperlink" Target="https://www.aidedd.org/dnd/monstres.php?vo=Flameskull" TargetMode="External"/><Relationship Id="rId268" Type="http://schemas.openxmlformats.org/officeDocument/2006/relationships/hyperlink" Target="https://www.aidedd.org/dnd/monstres.php?vo=Spy" TargetMode="External"/><Relationship Id="rId289" Type="http://schemas.openxmlformats.org/officeDocument/2006/relationships/hyperlink" Target="https://www.aidedd.org/dnd/monstres.php?vo=Unicorn" TargetMode="External"/><Relationship Id="rId11" Type="http://schemas.openxmlformats.org/officeDocument/2006/relationships/hyperlink" Target="https://www.aidedd.org/dnd/monstres.php?vo=Adult-Silver-Dragon" TargetMode="External"/><Relationship Id="rId32" Type="http://schemas.openxmlformats.org/officeDocument/2006/relationships/hyperlink" Target="https://www.aidedd.org/dnd/monstres.php?vo=Awakened-Shrub" TargetMode="External"/><Relationship Id="rId53" Type="http://schemas.openxmlformats.org/officeDocument/2006/relationships/hyperlink" Target="https://www.aidedd.org/dnd/monstres.php?vo=Blue-Dragon-Wyrmling" TargetMode="External"/><Relationship Id="rId74" Type="http://schemas.openxmlformats.org/officeDocument/2006/relationships/hyperlink" Target="https://www.aidedd.org/dnd/monstres.php?vo=Couatl" TargetMode="External"/><Relationship Id="rId128" Type="http://schemas.openxmlformats.org/officeDocument/2006/relationships/hyperlink" Target="https://www.aidedd.org/dnd/monstres.php?vo=Giant-Fire-Beetle" TargetMode="External"/><Relationship Id="rId149" Type="http://schemas.openxmlformats.org/officeDocument/2006/relationships/hyperlink" Target="https://www.aidedd.org/dnd/monstres.php?vo=Gnoll" TargetMode="External"/><Relationship Id="rId314" Type="http://schemas.openxmlformats.org/officeDocument/2006/relationships/hyperlink" Target="https://www.aidedd.org/dnd/monstres.php?vo=Xorn" TargetMode="External"/><Relationship Id="rId5" Type="http://schemas.openxmlformats.org/officeDocument/2006/relationships/hyperlink" Target="https://www.aidedd.org/dnd/monstres.php?vo=Adult-Brass-Dragon" TargetMode="External"/><Relationship Id="rId95" Type="http://schemas.openxmlformats.org/officeDocument/2006/relationships/hyperlink" Target="https://www.aidedd.org/dnd/monstres.php?vo=Duergar" TargetMode="External"/><Relationship Id="rId160" Type="http://schemas.openxmlformats.org/officeDocument/2006/relationships/hyperlink" Target="https://www.aidedd.org/dnd/monstres.php?vo=Guard" TargetMode="External"/><Relationship Id="rId181" Type="http://schemas.openxmlformats.org/officeDocument/2006/relationships/hyperlink" Target="https://www.aidedd.org/dnd/monstres.php?vo=Killer-Whale" TargetMode="External"/><Relationship Id="rId216" Type="http://schemas.openxmlformats.org/officeDocument/2006/relationships/hyperlink" Target="https://www.aidedd.org/dnd/monstres.php?vo=Oni" TargetMode="External"/><Relationship Id="rId237" Type="http://schemas.openxmlformats.org/officeDocument/2006/relationships/hyperlink" Target="https://www.aidedd.org/dnd/monstres.php?vo=Rat" TargetMode="External"/><Relationship Id="rId258" Type="http://schemas.openxmlformats.org/officeDocument/2006/relationships/hyperlink" Target="https://www.aidedd.org/dnd/monstres.php?vo=Shield-Guardian" TargetMode="External"/><Relationship Id="rId279" Type="http://schemas.openxmlformats.org/officeDocument/2006/relationships/hyperlink" Target="https://www.aidedd.org/dnd/monstres.php?vo=Swarm-of-Ravens" TargetMode="External"/><Relationship Id="rId22" Type="http://schemas.openxmlformats.org/officeDocument/2006/relationships/hyperlink" Target="https://www.aidedd.org/dnd/monstres.php?vo=Ancient-Red-Dragon" TargetMode="External"/><Relationship Id="rId43" Type="http://schemas.openxmlformats.org/officeDocument/2006/relationships/hyperlink" Target="https://www.aidedd.org/dnd/monstres.php?vo=Basilisk" TargetMode="External"/><Relationship Id="rId64" Type="http://schemas.openxmlformats.org/officeDocument/2006/relationships/hyperlink" Target="https://www.aidedd.org/dnd/monstres.php?vo=Chain-Devil" TargetMode="External"/><Relationship Id="rId118" Type="http://schemas.openxmlformats.org/officeDocument/2006/relationships/hyperlink" Target="https://www.aidedd.org/dnd/monstres.php?vo=Giant-Ape" TargetMode="External"/><Relationship Id="rId139" Type="http://schemas.openxmlformats.org/officeDocument/2006/relationships/hyperlink" Target="https://www.aidedd.org/dnd/monstres.php?vo=Giant-Shark" TargetMode="External"/><Relationship Id="rId290" Type="http://schemas.openxmlformats.org/officeDocument/2006/relationships/hyperlink" Target="https://www.aidedd.org/dnd/monstres.php?vo=Vampire" TargetMode="External"/><Relationship Id="rId304" Type="http://schemas.openxmlformats.org/officeDocument/2006/relationships/hyperlink" Target="https://www.aidedd.org/dnd/monstres.php?vo=Werewolf" TargetMode="External"/><Relationship Id="rId325" Type="http://schemas.openxmlformats.org/officeDocument/2006/relationships/hyperlink" Target="https://www.aidedd.org/dnd/monstres.php?vo=Young-Silver-Dragon" TargetMode="External"/><Relationship Id="rId85" Type="http://schemas.openxmlformats.org/officeDocument/2006/relationships/hyperlink" Target="https://www.aidedd.org/dnd/monstres.php?vo=Dire-Wolf" TargetMode="External"/><Relationship Id="rId150" Type="http://schemas.openxmlformats.org/officeDocument/2006/relationships/hyperlink" Target="https://www.aidedd.org/dnd/monstres.php?vo=Goat" TargetMode="External"/><Relationship Id="rId171" Type="http://schemas.openxmlformats.org/officeDocument/2006/relationships/hyperlink" Target="https://www.aidedd.org/dnd/monstres.php?vo=Horned-Devil" TargetMode="External"/><Relationship Id="rId192" Type="http://schemas.openxmlformats.org/officeDocument/2006/relationships/hyperlink" Target="https://www.aidedd.org/dnd/monstres.php?vo=Magma-Mephit" TargetMode="External"/><Relationship Id="rId206" Type="http://schemas.openxmlformats.org/officeDocument/2006/relationships/hyperlink" Target="https://www.aidedd.org/dnd/monstres.php?vo=Mummy" TargetMode="External"/><Relationship Id="rId227" Type="http://schemas.openxmlformats.org/officeDocument/2006/relationships/hyperlink" Target="https://www.aidedd.org/dnd/monstres.php?vo=Poisonous-Snake" TargetMode="External"/><Relationship Id="rId248" Type="http://schemas.openxmlformats.org/officeDocument/2006/relationships/hyperlink" Target="https://www.aidedd.org/dnd/monstres.php?vo=Saber-Toothed-Tiger" TargetMode="External"/><Relationship Id="rId269" Type="http://schemas.openxmlformats.org/officeDocument/2006/relationships/hyperlink" Target="https://www.aidedd.org/dnd/monstres.php?vo=Steam-Mephit" TargetMode="External"/><Relationship Id="rId12" Type="http://schemas.openxmlformats.org/officeDocument/2006/relationships/hyperlink" Target="https://www.aidedd.org/dnd/monstres.php?vo=Adult-White-Dragon" TargetMode="External"/><Relationship Id="rId33" Type="http://schemas.openxmlformats.org/officeDocument/2006/relationships/hyperlink" Target="https://www.aidedd.org/dnd/monstres.php?vo=Awakened-Tree" TargetMode="External"/><Relationship Id="rId108" Type="http://schemas.openxmlformats.org/officeDocument/2006/relationships/hyperlink" Target="https://www.aidedd.org/dnd/monstres.php?vo=Flesh-Golem" TargetMode="External"/><Relationship Id="rId129" Type="http://schemas.openxmlformats.org/officeDocument/2006/relationships/hyperlink" Target="https://www.aidedd.org/dnd/monstres.php?vo=Giant-Frog" TargetMode="External"/><Relationship Id="rId280" Type="http://schemas.openxmlformats.org/officeDocument/2006/relationships/hyperlink" Target="https://www.aidedd.org/dnd/monstres.php?vo=Tarrasque" TargetMode="External"/><Relationship Id="rId315" Type="http://schemas.openxmlformats.org/officeDocument/2006/relationships/hyperlink" Target="https://www.aidedd.org/dnd/monstres.php?vo=Thug" TargetMode="External"/><Relationship Id="rId54" Type="http://schemas.openxmlformats.org/officeDocument/2006/relationships/hyperlink" Target="https://www.aidedd.org/dnd/monstres.php?vo=Boar" TargetMode="External"/><Relationship Id="rId75" Type="http://schemas.openxmlformats.org/officeDocument/2006/relationships/hyperlink" Target="https://www.aidedd.org/dnd/monstres.php?vo=Crab" TargetMode="External"/><Relationship Id="rId96" Type="http://schemas.openxmlformats.org/officeDocument/2006/relationships/hyperlink" Target="https://www.aidedd.org/dnd/monstres.php?vo=Dust-Mephit" TargetMode="External"/><Relationship Id="rId140" Type="http://schemas.openxmlformats.org/officeDocument/2006/relationships/hyperlink" Target="https://www.aidedd.org/dnd/monstres.php?vo=Giant-Spider" TargetMode="External"/><Relationship Id="rId161" Type="http://schemas.openxmlformats.org/officeDocument/2006/relationships/hyperlink" Target="https://www.aidedd.org/dnd/monstres.php?vo=Guardian-Naga" TargetMode="External"/><Relationship Id="rId182" Type="http://schemas.openxmlformats.org/officeDocument/2006/relationships/hyperlink" Target="https://www.aidedd.org/dnd/monstres.php?vo=Knight" TargetMode="External"/><Relationship Id="rId217" Type="http://schemas.openxmlformats.org/officeDocument/2006/relationships/hyperlink" Target="https://www.aidedd.org/dnd/monstres.php?vo=Orc" TargetMode="External"/><Relationship Id="rId6" Type="http://schemas.openxmlformats.org/officeDocument/2006/relationships/hyperlink" Target="https://www.aidedd.org/dnd/monstres.php?vo=Adult-Bronze-Dragon" TargetMode="External"/><Relationship Id="rId238" Type="http://schemas.openxmlformats.org/officeDocument/2006/relationships/hyperlink" Target="https://www.aidedd.org/dnd/monstres.php?vo=Raven" TargetMode="External"/><Relationship Id="rId259" Type="http://schemas.openxmlformats.org/officeDocument/2006/relationships/hyperlink" Target="https://www.aidedd.org/dnd/monstres.php?vo=Shrieker" TargetMode="External"/><Relationship Id="rId23" Type="http://schemas.openxmlformats.org/officeDocument/2006/relationships/hyperlink" Target="https://www.aidedd.org/dnd/monstres.php?vo=Ancient-Silver-Dragon" TargetMode="External"/><Relationship Id="rId119" Type="http://schemas.openxmlformats.org/officeDocument/2006/relationships/hyperlink" Target="https://www.aidedd.org/dnd/monstres.php?vo=Giant-Badger" TargetMode="External"/><Relationship Id="rId270" Type="http://schemas.openxmlformats.org/officeDocument/2006/relationships/hyperlink" Target="https://www.aidedd.org/dnd/monstres.php?vo=Stirge" TargetMode="External"/><Relationship Id="rId291" Type="http://schemas.openxmlformats.org/officeDocument/2006/relationships/hyperlink" Target="https://www.aidedd.org/dnd/monstres.php?vo=Vampire-Spawn" TargetMode="External"/><Relationship Id="rId305" Type="http://schemas.openxmlformats.org/officeDocument/2006/relationships/hyperlink" Target="https://www.aidedd.org/dnd/monstres.php?vo=White-Dragon-Wyrmling" TargetMode="External"/><Relationship Id="rId326" Type="http://schemas.openxmlformats.org/officeDocument/2006/relationships/hyperlink" Target="https://www.aidedd.org/dnd/monstres.php?vo=Young-White-Dragon" TargetMode="External"/><Relationship Id="rId44" Type="http://schemas.openxmlformats.org/officeDocument/2006/relationships/hyperlink" Target="https://www.aidedd.org/dnd/monstres.php?vo=Bat" TargetMode="External"/><Relationship Id="rId65" Type="http://schemas.openxmlformats.org/officeDocument/2006/relationships/hyperlink" Target="https://www.aidedd.org/dnd/monstres.php?vo=Chimera" TargetMode="External"/><Relationship Id="rId86" Type="http://schemas.openxmlformats.org/officeDocument/2006/relationships/hyperlink" Target="https://www.aidedd.org/dnd/monstres.php?vo=Djinni" TargetMode="External"/><Relationship Id="rId130" Type="http://schemas.openxmlformats.org/officeDocument/2006/relationships/hyperlink" Target="https://www.aidedd.org/dnd/monstres.php?vo=Giant-Goat" TargetMode="External"/><Relationship Id="rId151" Type="http://schemas.openxmlformats.org/officeDocument/2006/relationships/hyperlink" Target="https://www.aidedd.org/dnd/monstres.php?vo=Goblin" TargetMode="External"/><Relationship Id="rId172" Type="http://schemas.openxmlformats.org/officeDocument/2006/relationships/hyperlink" Target="https://www.aidedd.org/dnd/monstres.php?vo=Hunter-Shark" TargetMode="External"/><Relationship Id="rId193" Type="http://schemas.openxmlformats.org/officeDocument/2006/relationships/hyperlink" Target="https://www.aidedd.org/dnd/monstres.php?vo=Magmin" TargetMode="External"/><Relationship Id="rId207" Type="http://schemas.openxmlformats.org/officeDocument/2006/relationships/hyperlink" Target="https://www.aidedd.org/dnd/monstres.php?vo=Mummy-Lord" TargetMode="External"/><Relationship Id="rId228" Type="http://schemas.openxmlformats.org/officeDocument/2006/relationships/hyperlink" Target="https://www.aidedd.org/dnd/monstres.php?vo=Polar-Bear" TargetMode="External"/><Relationship Id="rId249" Type="http://schemas.openxmlformats.org/officeDocument/2006/relationships/hyperlink" Target="https://www.aidedd.org/dnd/monstres.php?vo=Sahuagin" TargetMode="External"/><Relationship Id="rId13" Type="http://schemas.openxmlformats.org/officeDocument/2006/relationships/hyperlink" Target="https://www.aidedd.org/dnd/monstres.php?vo=Air-Elemental" TargetMode="External"/><Relationship Id="rId109" Type="http://schemas.openxmlformats.org/officeDocument/2006/relationships/hyperlink" Target="https://www.aidedd.org/dnd/monstres.php?vo=Flying-Snake" TargetMode="External"/><Relationship Id="rId260" Type="http://schemas.openxmlformats.org/officeDocument/2006/relationships/hyperlink" Target="https://www.aidedd.org/dnd/monstres.php?vo=Silver-Dragon-Wyrmling" TargetMode="External"/><Relationship Id="rId281" Type="http://schemas.openxmlformats.org/officeDocument/2006/relationships/hyperlink" Target="https://www.aidedd.org/dnd/monstres.php?vo=Thug" TargetMode="External"/><Relationship Id="rId316" Type="http://schemas.openxmlformats.org/officeDocument/2006/relationships/hyperlink" Target="https://www.aidedd.org/dnd/monstres.php?vo=Yeti" TargetMode="External"/><Relationship Id="rId34" Type="http://schemas.openxmlformats.org/officeDocument/2006/relationships/hyperlink" Target="https://www.aidedd.org/dnd/monstres.php?vo=Axe-Beak" TargetMode="External"/><Relationship Id="rId55" Type="http://schemas.openxmlformats.org/officeDocument/2006/relationships/hyperlink" Target="https://www.aidedd.org/dnd/monstres.php?vo=Bone-Devil" TargetMode="External"/><Relationship Id="rId76" Type="http://schemas.openxmlformats.org/officeDocument/2006/relationships/hyperlink" Target="https://www.aidedd.org/dnd/monstres.php?vo=Crocodile" TargetMode="External"/><Relationship Id="rId97" Type="http://schemas.openxmlformats.org/officeDocument/2006/relationships/hyperlink" Target="https://www.aidedd.org/dnd/monstres.php?vo=Eagle" TargetMode="External"/><Relationship Id="rId120" Type="http://schemas.openxmlformats.org/officeDocument/2006/relationships/hyperlink" Target="https://www.aidedd.org/dnd/monstres.php?vo=Giant-Bat" TargetMode="External"/><Relationship Id="rId141" Type="http://schemas.openxmlformats.org/officeDocument/2006/relationships/hyperlink" Target="https://www.aidedd.org/dnd/monstres.php?vo=Giant-Toad" TargetMode="External"/><Relationship Id="rId7" Type="http://schemas.openxmlformats.org/officeDocument/2006/relationships/hyperlink" Target="https://www.aidedd.org/dnd/monstres.php?vo=Adult-Copper-Dragon" TargetMode="External"/><Relationship Id="rId162" Type="http://schemas.openxmlformats.org/officeDocument/2006/relationships/hyperlink" Target="https://www.aidedd.org/dnd/monstres.php?vo=Gynosphinx" TargetMode="External"/><Relationship Id="rId183" Type="http://schemas.openxmlformats.org/officeDocument/2006/relationships/hyperlink" Target="https://www.aidedd.org/dnd/monstres.php?vo=Kobold" TargetMode="External"/><Relationship Id="rId218" Type="http://schemas.openxmlformats.org/officeDocument/2006/relationships/hyperlink" Target="https://www.aidedd.org/dnd/monstres.php?vo=Otyugh" TargetMode="External"/><Relationship Id="rId239" Type="http://schemas.openxmlformats.org/officeDocument/2006/relationships/hyperlink" Target="https://www.aidedd.org/dnd/monstres.php?vo=Red-Dragon-Wyrmling" TargetMode="External"/><Relationship Id="rId250" Type="http://schemas.openxmlformats.org/officeDocument/2006/relationships/hyperlink" Target="https://www.aidedd.org/dnd/monstres.php?vo=Salamander" TargetMode="External"/><Relationship Id="rId271" Type="http://schemas.openxmlformats.org/officeDocument/2006/relationships/hyperlink" Target="https://www.aidedd.org/dnd/monstres.php?vo=Stone-Giant" TargetMode="External"/><Relationship Id="rId292" Type="http://schemas.openxmlformats.org/officeDocument/2006/relationships/hyperlink" Target="https://www.aidedd.org/dnd/monstres.php?vo=Veteran" TargetMode="External"/><Relationship Id="rId306" Type="http://schemas.openxmlformats.org/officeDocument/2006/relationships/hyperlink" Target="https://www.aidedd.org/dnd/monstres.php?vo=Wight" TargetMode="External"/><Relationship Id="rId24" Type="http://schemas.openxmlformats.org/officeDocument/2006/relationships/hyperlink" Target="https://www.aidedd.org/dnd/monstres.php?vo=Ancient-White-Dragon" TargetMode="External"/><Relationship Id="rId45" Type="http://schemas.openxmlformats.org/officeDocument/2006/relationships/hyperlink" Target="https://www.aidedd.org/dnd/monstres.php?vo=Bearded-Devil" TargetMode="External"/><Relationship Id="rId66" Type="http://schemas.openxmlformats.org/officeDocument/2006/relationships/hyperlink" Target="https://www.aidedd.org/dnd/monstres.php?vo=Chuul" TargetMode="External"/><Relationship Id="rId87" Type="http://schemas.openxmlformats.org/officeDocument/2006/relationships/hyperlink" Target="https://www.aidedd.org/dnd/monstres.php?vo=Doppelganger" TargetMode="External"/><Relationship Id="rId110" Type="http://schemas.openxmlformats.org/officeDocument/2006/relationships/hyperlink" Target="https://www.aidedd.org/dnd/monstres.php?vo=Flying-Sword" TargetMode="External"/><Relationship Id="rId131" Type="http://schemas.openxmlformats.org/officeDocument/2006/relationships/hyperlink" Target="https://www.aidedd.org/dnd/monstres.php?vo=Giant-Hyena" TargetMode="External"/><Relationship Id="rId327" Type="http://schemas.openxmlformats.org/officeDocument/2006/relationships/hyperlink" Target="https://www.aidedd.org/dnd/monstres.php?vo=Zombie" TargetMode="External"/><Relationship Id="rId152" Type="http://schemas.openxmlformats.org/officeDocument/2006/relationships/hyperlink" Target="https://www.aidedd.org/dnd/monstres.php?vo=Gold-Dragon-Wyrmling" TargetMode="External"/><Relationship Id="rId173" Type="http://schemas.openxmlformats.org/officeDocument/2006/relationships/hyperlink" Target="https://www.aidedd.org/dnd/monstres.php?vo=Hydra" TargetMode="External"/><Relationship Id="rId194" Type="http://schemas.openxmlformats.org/officeDocument/2006/relationships/hyperlink" Target="https://www.aidedd.org/dnd/monstres.php?vo=Mammoth" TargetMode="External"/><Relationship Id="rId208" Type="http://schemas.openxmlformats.org/officeDocument/2006/relationships/hyperlink" Target="https://www.aidedd.org/dnd/monstres.php?vo=Nalfeshnee" TargetMode="External"/><Relationship Id="rId229" Type="http://schemas.openxmlformats.org/officeDocument/2006/relationships/hyperlink" Target="https://www.aidedd.org/dnd/monstres.php?vo=Pony" TargetMode="External"/><Relationship Id="rId240" Type="http://schemas.openxmlformats.org/officeDocument/2006/relationships/hyperlink" Target="https://www.aidedd.org/dnd/monstres.php?vo=Reef-Shark" TargetMode="External"/><Relationship Id="rId261" Type="http://schemas.openxmlformats.org/officeDocument/2006/relationships/hyperlink" Target="https://www.aidedd.org/dnd/monstres.php?vo=Skeleton" TargetMode="External"/><Relationship Id="rId14" Type="http://schemas.openxmlformats.org/officeDocument/2006/relationships/hyperlink" Target="https://www.aidedd.org/dnd/monstres.php?vo=Allosaurus" TargetMode="External"/><Relationship Id="rId30" Type="http://schemas.openxmlformats.org/officeDocument/2006/relationships/hyperlink" Target="https://www.aidedd.org/dnd/monstres.php?vo=Archmage" TargetMode="External"/><Relationship Id="rId35" Type="http://schemas.openxmlformats.org/officeDocument/2006/relationships/hyperlink" Target="https://www.aidedd.org/dnd/monstres.php?vo=Azer" TargetMode="External"/><Relationship Id="rId56" Type="http://schemas.openxmlformats.org/officeDocument/2006/relationships/hyperlink" Target="https://www.aidedd.org/dnd/monstres.php?vo=Brass-Dragon-Wyrmling" TargetMode="External"/><Relationship Id="rId77" Type="http://schemas.openxmlformats.org/officeDocument/2006/relationships/hyperlink" Target="https://www.aidedd.org/dnd/monstres.php?vo=Cult-Fanatic" TargetMode="External"/><Relationship Id="rId100" Type="http://schemas.openxmlformats.org/officeDocument/2006/relationships/hyperlink" Target="https://www.aidedd.org/dnd/monstres.php?vo=Elephant" TargetMode="External"/><Relationship Id="rId105" Type="http://schemas.openxmlformats.org/officeDocument/2006/relationships/hyperlink" Target="https://www.aidedd.org/dnd/monstres.php?vo=Fire-Elemental" TargetMode="External"/><Relationship Id="rId126" Type="http://schemas.openxmlformats.org/officeDocument/2006/relationships/hyperlink" Target="https://www.aidedd.org/dnd/monstres.php?vo=Giant-Eagle" TargetMode="External"/><Relationship Id="rId147" Type="http://schemas.openxmlformats.org/officeDocument/2006/relationships/hyperlink" Target="https://www.aidedd.org/dnd/monstres.php?vo=Glabrezu" TargetMode="External"/><Relationship Id="rId168" Type="http://schemas.openxmlformats.org/officeDocument/2006/relationships/hyperlink" Target="https://www.aidedd.org/dnd/monstres.php?vo=Hippogriff" TargetMode="External"/><Relationship Id="rId282" Type="http://schemas.openxmlformats.org/officeDocument/2006/relationships/hyperlink" Target="https://www.aidedd.org/dnd/monstres.php?vo=Tiger" TargetMode="External"/><Relationship Id="rId312" Type="http://schemas.openxmlformats.org/officeDocument/2006/relationships/hyperlink" Target="https://www.aidedd.org/dnd/monstres.php?vo=Wyvern" TargetMode="External"/><Relationship Id="rId317" Type="http://schemas.openxmlformats.org/officeDocument/2006/relationships/hyperlink" Target="https://www.aidedd.org/dnd/monstres.php?vo=Young-Black-Dragon" TargetMode="External"/><Relationship Id="rId8" Type="http://schemas.openxmlformats.org/officeDocument/2006/relationships/hyperlink" Target="https://www.aidedd.org/dnd/monstres.php?vo=Adult-Gold-Dragon" TargetMode="External"/><Relationship Id="rId51" Type="http://schemas.openxmlformats.org/officeDocument/2006/relationships/hyperlink" Target="https://www.aidedd.org/dnd/monstres.php?vo=Blink-Dog" TargetMode="External"/><Relationship Id="rId72" Type="http://schemas.openxmlformats.org/officeDocument/2006/relationships/hyperlink" Target="https://www.aidedd.org/dnd/monstres.php?vo=Constrictor-Snake" TargetMode="External"/><Relationship Id="rId93" Type="http://schemas.openxmlformats.org/officeDocument/2006/relationships/hyperlink" Target="https://www.aidedd.org/dnd/monstres.php?vo=Druid" TargetMode="External"/><Relationship Id="rId98" Type="http://schemas.openxmlformats.org/officeDocument/2006/relationships/hyperlink" Target="https://www.aidedd.org/dnd/monstres.php?vo=Earth-Elemental" TargetMode="External"/><Relationship Id="rId121" Type="http://schemas.openxmlformats.org/officeDocument/2006/relationships/hyperlink" Target="https://www.aidedd.org/dnd/monstres.php?vo=Giant-Boar" TargetMode="External"/><Relationship Id="rId142" Type="http://schemas.openxmlformats.org/officeDocument/2006/relationships/hyperlink" Target="https://www.aidedd.org/dnd/monstres.php?vo=Giant-Vulture" TargetMode="External"/><Relationship Id="rId163" Type="http://schemas.openxmlformats.org/officeDocument/2006/relationships/hyperlink" Target="https://www.aidedd.org/dnd/monstres.php?vo=Harpy" TargetMode="External"/><Relationship Id="rId184" Type="http://schemas.openxmlformats.org/officeDocument/2006/relationships/hyperlink" Target="https://www.aidedd.org/dnd/monstres.php?vo=Kraken" TargetMode="External"/><Relationship Id="rId189" Type="http://schemas.openxmlformats.org/officeDocument/2006/relationships/hyperlink" Target="https://www.aidedd.org/dnd/monstres.php?vo=Lizard" TargetMode="External"/><Relationship Id="rId219" Type="http://schemas.openxmlformats.org/officeDocument/2006/relationships/hyperlink" Target="https://www.aidedd.org/dnd/monstres.php?vo=Owl" TargetMode="External"/><Relationship Id="rId3" Type="http://schemas.openxmlformats.org/officeDocument/2006/relationships/hyperlink" Target="https://www.aidedd.org/dnd/monstres.php?vo=Adult-Black-Dragon" TargetMode="External"/><Relationship Id="rId214" Type="http://schemas.openxmlformats.org/officeDocument/2006/relationships/hyperlink" Target="https://www.aidedd.org/dnd/monstres.php?vo=Ogre" TargetMode="External"/><Relationship Id="rId230" Type="http://schemas.openxmlformats.org/officeDocument/2006/relationships/hyperlink" Target="https://www.aidedd.org/dnd/monstres.php?vo=Priest" TargetMode="External"/><Relationship Id="rId235" Type="http://schemas.openxmlformats.org/officeDocument/2006/relationships/hyperlink" Target="https://www.aidedd.org/dnd/monstres.php?vo=Quipper" TargetMode="External"/><Relationship Id="rId251" Type="http://schemas.openxmlformats.org/officeDocument/2006/relationships/hyperlink" Target="https://www.aidedd.org/dnd/monstres.php?vo=Satyr" TargetMode="External"/><Relationship Id="rId256" Type="http://schemas.openxmlformats.org/officeDocument/2006/relationships/hyperlink" Target="https://www.aidedd.org/dnd/monstres.php?vo=Shadow" TargetMode="External"/><Relationship Id="rId277" Type="http://schemas.openxmlformats.org/officeDocument/2006/relationships/hyperlink" Target="https://www.aidedd.org/dnd/monstres.php?vo=Swarm-of-Quippers" TargetMode="External"/><Relationship Id="rId298" Type="http://schemas.openxmlformats.org/officeDocument/2006/relationships/hyperlink" Target="https://www.aidedd.org/dnd/monstres.php?vo=Water-Elemental" TargetMode="External"/><Relationship Id="rId25" Type="http://schemas.openxmlformats.org/officeDocument/2006/relationships/hyperlink" Target="https://www.aidedd.org/dnd/monstres.php?vo=Androsphinx" TargetMode="External"/><Relationship Id="rId46" Type="http://schemas.openxmlformats.org/officeDocument/2006/relationships/hyperlink" Target="https://www.aidedd.org/dnd/monstres.php?vo=Behir" TargetMode="External"/><Relationship Id="rId67" Type="http://schemas.openxmlformats.org/officeDocument/2006/relationships/hyperlink" Target="https://www.aidedd.org/dnd/monstres.php?vo=Clay-Golem" TargetMode="External"/><Relationship Id="rId116" Type="http://schemas.openxmlformats.org/officeDocument/2006/relationships/hyperlink" Target="https://www.aidedd.org/dnd/monstres.php?vo=Ghost" TargetMode="External"/><Relationship Id="rId137" Type="http://schemas.openxmlformats.org/officeDocument/2006/relationships/hyperlink" Target="https://www.aidedd.org/dnd/monstres.php?vo=Giant-Scorpion" TargetMode="External"/><Relationship Id="rId158" Type="http://schemas.openxmlformats.org/officeDocument/2006/relationships/hyperlink" Target="https://www.aidedd.org/dnd/monstres.php?vo=Griffon" TargetMode="External"/><Relationship Id="rId272" Type="http://schemas.openxmlformats.org/officeDocument/2006/relationships/hyperlink" Target="https://www.aidedd.org/dnd/monstres.php?vo=Stone-Golem" TargetMode="External"/><Relationship Id="rId293" Type="http://schemas.openxmlformats.org/officeDocument/2006/relationships/hyperlink" Target="https://www.aidedd.org/dnd/monstres.php?vo=Violet-Fungus" TargetMode="External"/><Relationship Id="rId302" Type="http://schemas.openxmlformats.org/officeDocument/2006/relationships/hyperlink" Target="https://www.aidedd.org/dnd/monstres.php?vo=Wererat" TargetMode="External"/><Relationship Id="rId307" Type="http://schemas.openxmlformats.org/officeDocument/2006/relationships/hyperlink" Target="https://www.aidedd.org/dnd/monstres.php?vo=Will-o'-Wisp" TargetMode="External"/><Relationship Id="rId323" Type="http://schemas.openxmlformats.org/officeDocument/2006/relationships/hyperlink" Target="https://www.aidedd.org/dnd/monstres.php?vo=Young-Green-Dragon" TargetMode="External"/><Relationship Id="rId328" Type="http://schemas.openxmlformats.org/officeDocument/2006/relationships/vmlDrawing" Target="../drawings/vmlDrawing12.vml"/><Relationship Id="rId20" Type="http://schemas.openxmlformats.org/officeDocument/2006/relationships/hyperlink" Target="https://www.aidedd.org/dnd/monstres.php?vo=Ancient-Gold-Dragon" TargetMode="External"/><Relationship Id="rId41" Type="http://schemas.openxmlformats.org/officeDocument/2006/relationships/hyperlink" Target="https://www.aidedd.org/dnd/monstres.php?vo=Banshee" TargetMode="External"/><Relationship Id="rId62" Type="http://schemas.openxmlformats.org/officeDocument/2006/relationships/hyperlink" Target="https://www.aidedd.org/dnd/monstres.php?vo=Cat" TargetMode="External"/><Relationship Id="rId83" Type="http://schemas.openxmlformats.org/officeDocument/2006/relationships/hyperlink" Target="https://www.aidedd.org/dnd/monstres.php?vo=Deer" TargetMode="External"/><Relationship Id="rId88" Type="http://schemas.openxmlformats.org/officeDocument/2006/relationships/hyperlink" Target="https://www.aidedd.org/dnd/monstres.php?vo=Draft-Horse" TargetMode="External"/><Relationship Id="rId111" Type="http://schemas.openxmlformats.org/officeDocument/2006/relationships/hyperlink" Target="https://www.aidedd.org/dnd/monstres.php?vo=Frog" TargetMode="External"/><Relationship Id="rId132" Type="http://schemas.openxmlformats.org/officeDocument/2006/relationships/hyperlink" Target="https://www.aidedd.org/dnd/monstres.php?vo=Giant-Lizard" TargetMode="External"/><Relationship Id="rId153" Type="http://schemas.openxmlformats.org/officeDocument/2006/relationships/hyperlink" Target="https://www.aidedd.org/dnd/monstres.php?vo=Gorgon" TargetMode="External"/><Relationship Id="rId174" Type="http://schemas.openxmlformats.org/officeDocument/2006/relationships/hyperlink" Target="https://www.aidedd.org/dnd/monstres.php?vo=Hyena" TargetMode="External"/><Relationship Id="rId179" Type="http://schemas.openxmlformats.org/officeDocument/2006/relationships/hyperlink" Target="https://www.aidedd.org/dnd/monstres.php?vo=Iron-Golem" TargetMode="External"/><Relationship Id="rId195" Type="http://schemas.openxmlformats.org/officeDocument/2006/relationships/hyperlink" Target="https://www.aidedd.org/dnd/monstres.php?vo=Manticore" TargetMode="External"/><Relationship Id="rId209" Type="http://schemas.openxmlformats.org/officeDocument/2006/relationships/hyperlink" Target="https://www.aidedd.org/dnd/monstres.php?vo=Night-Hag" TargetMode="External"/><Relationship Id="rId190" Type="http://schemas.openxmlformats.org/officeDocument/2006/relationships/hyperlink" Target="https://www.aidedd.org/dnd/monstres.php?vo=Lizardfolk" TargetMode="External"/><Relationship Id="rId204" Type="http://schemas.openxmlformats.org/officeDocument/2006/relationships/hyperlink" Target="https://www.aidedd.org/dnd/monstres.php?vo=Mud-Mephit" TargetMode="External"/><Relationship Id="rId220" Type="http://schemas.openxmlformats.org/officeDocument/2006/relationships/hyperlink" Target="https://www.aidedd.org/dnd/monstres.php?vo=Owlbear" TargetMode="External"/><Relationship Id="rId225" Type="http://schemas.openxmlformats.org/officeDocument/2006/relationships/hyperlink" Target="https://www.aidedd.org/dnd/monstres.php?vo=Planetar" TargetMode="External"/><Relationship Id="rId241" Type="http://schemas.openxmlformats.org/officeDocument/2006/relationships/hyperlink" Target="https://www.aidedd.org/dnd/monstres.php?vo=Remorhaz" TargetMode="External"/><Relationship Id="rId246" Type="http://schemas.openxmlformats.org/officeDocument/2006/relationships/hyperlink" Target="https://www.aidedd.org/dnd/monstres.php?vo=Rug-of-Smothering" TargetMode="External"/><Relationship Id="rId267" Type="http://schemas.openxmlformats.org/officeDocument/2006/relationships/hyperlink" Target="https://www.aidedd.org/dnd/monstres.php?vo=Sprite" TargetMode="External"/><Relationship Id="rId288" Type="http://schemas.openxmlformats.org/officeDocument/2006/relationships/hyperlink" Target="https://www.aidedd.org/dnd/monstres.php?vo=Tyrannosaurus-Rex" TargetMode="External"/><Relationship Id="rId15" Type="http://schemas.openxmlformats.org/officeDocument/2006/relationships/hyperlink" Target="https://www.aidedd.org/dnd/monstres.php?vo=Ancient-Black-Dragon" TargetMode="External"/><Relationship Id="rId36" Type="http://schemas.openxmlformats.org/officeDocument/2006/relationships/hyperlink" Target="https://www.aidedd.org/dnd/monstres.php?vo=Baboon" TargetMode="External"/><Relationship Id="rId57" Type="http://schemas.openxmlformats.org/officeDocument/2006/relationships/hyperlink" Target="https://www.aidedd.org/dnd/monstres.php?vo=Bronze-Dragon-Wyrmling" TargetMode="External"/><Relationship Id="rId106" Type="http://schemas.openxmlformats.org/officeDocument/2006/relationships/hyperlink" Target="https://www.aidedd.org/dnd/monstres.php?vo=Fire-Giant" TargetMode="External"/><Relationship Id="rId127" Type="http://schemas.openxmlformats.org/officeDocument/2006/relationships/hyperlink" Target="https://www.aidedd.org/dnd/monstres.php?vo=Giant-Elk" TargetMode="External"/><Relationship Id="rId262" Type="http://schemas.openxmlformats.org/officeDocument/2006/relationships/hyperlink" Target="https://www.aidedd.org/dnd/monstres.php?vo=Smoke-Mephit" TargetMode="External"/><Relationship Id="rId283" Type="http://schemas.openxmlformats.org/officeDocument/2006/relationships/hyperlink" Target="https://www.aidedd.org/dnd/monstres.php?vo=Treant" TargetMode="External"/><Relationship Id="rId313" Type="http://schemas.openxmlformats.org/officeDocument/2006/relationships/hyperlink" Target="https://www.aidedd.org/dnd/monstres.php?vo=Deep-Gnome-(Svirfneblin)" TargetMode="External"/><Relationship Id="rId318" Type="http://schemas.openxmlformats.org/officeDocument/2006/relationships/hyperlink" Target="https://www.aidedd.org/dnd/monstres.php?vo=Young-Blue-Dragon" TargetMode="External"/><Relationship Id="rId10" Type="http://schemas.openxmlformats.org/officeDocument/2006/relationships/hyperlink" Target="https://www.aidedd.org/dnd/monstres.php?vo=Adult-Red-Dragon" TargetMode="External"/><Relationship Id="rId31" Type="http://schemas.openxmlformats.org/officeDocument/2006/relationships/hyperlink" Target="https://www.aidedd.org/dnd/monstres.php?vo=Assassin" TargetMode="External"/><Relationship Id="rId52" Type="http://schemas.openxmlformats.org/officeDocument/2006/relationships/hyperlink" Target="https://www.aidedd.org/dnd/monstres.php?vo=Blood-Hawk" TargetMode="External"/><Relationship Id="rId73" Type="http://schemas.openxmlformats.org/officeDocument/2006/relationships/hyperlink" Target="https://www.aidedd.org/dnd/monstres.php?vo=Copper-Dragon-Wyrmling" TargetMode="External"/><Relationship Id="rId78" Type="http://schemas.openxmlformats.org/officeDocument/2006/relationships/hyperlink" Target="https://www.aidedd.org/dnd/monstres.php?vo=Cultist" TargetMode="External"/><Relationship Id="rId94" Type="http://schemas.openxmlformats.org/officeDocument/2006/relationships/hyperlink" Target="https://www.aidedd.org/dnd/monstres.php?vo=Dryad" TargetMode="External"/><Relationship Id="rId99" Type="http://schemas.openxmlformats.org/officeDocument/2006/relationships/hyperlink" Target="https://www.aidedd.org/dnd/monstres.php?vo=Efreeti" TargetMode="External"/><Relationship Id="rId101" Type="http://schemas.openxmlformats.org/officeDocument/2006/relationships/hyperlink" Target="https://www.aidedd.org/dnd/monstres.php?vo=Elk" TargetMode="External"/><Relationship Id="rId122" Type="http://schemas.openxmlformats.org/officeDocument/2006/relationships/hyperlink" Target="https://www.aidedd.org/dnd/monstres.php?vo=Giant-Centipede" TargetMode="External"/><Relationship Id="rId143" Type="http://schemas.openxmlformats.org/officeDocument/2006/relationships/hyperlink" Target="https://www.aidedd.org/dnd/monstres.php?vo=Giant-Wasp" TargetMode="External"/><Relationship Id="rId148" Type="http://schemas.openxmlformats.org/officeDocument/2006/relationships/hyperlink" Target="https://www.aidedd.org/dnd/monstres.php?vo=Gladiator" TargetMode="External"/><Relationship Id="rId164" Type="http://schemas.openxmlformats.org/officeDocument/2006/relationships/hyperlink" Target="https://www.aidedd.org/dnd/monstres.php?vo=Hawk" TargetMode="External"/><Relationship Id="rId169" Type="http://schemas.openxmlformats.org/officeDocument/2006/relationships/hyperlink" Target="https://www.aidedd.org/dnd/monstres.php?vo=Hobgoblin" TargetMode="External"/><Relationship Id="rId185" Type="http://schemas.openxmlformats.org/officeDocument/2006/relationships/hyperlink" Target="https://www.aidedd.org/dnd/monstres.php?vo=Lamia" TargetMode="External"/><Relationship Id="rId4" Type="http://schemas.openxmlformats.org/officeDocument/2006/relationships/hyperlink" Target="https://www.aidedd.org/dnd/monstres.php?vo=Adult-Blue-Dragon" TargetMode="External"/><Relationship Id="rId9" Type="http://schemas.openxmlformats.org/officeDocument/2006/relationships/hyperlink" Target="https://www.aidedd.org/dnd/monstres.php?vo=Adult-Green-Dragon" TargetMode="External"/><Relationship Id="rId180" Type="http://schemas.openxmlformats.org/officeDocument/2006/relationships/hyperlink" Target="https://www.aidedd.org/dnd/monstres.php?vo=Jackal" TargetMode="External"/><Relationship Id="rId210" Type="http://schemas.openxmlformats.org/officeDocument/2006/relationships/hyperlink" Target="https://www.aidedd.org/dnd/monstres.php?vo=Nightmare" TargetMode="External"/><Relationship Id="rId215" Type="http://schemas.openxmlformats.org/officeDocument/2006/relationships/hyperlink" Target="https://www.aidedd.org/dnd/monstres.php?vo=Ogre-Zombie" TargetMode="External"/><Relationship Id="rId236" Type="http://schemas.openxmlformats.org/officeDocument/2006/relationships/hyperlink" Target="https://www.aidedd.org/dnd/monstres.php?vo=Rakshasa" TargetMode="External"/><Relationship Id="rId257" Type="http://schemas.openxmlformats.org/officeDocument/2006/relationships/hyperlink" Target="https://www.aidedd.org/dnd/monstres.php?vo=Shambling-Mound" TargetMode="External"/><Relationship Id="rId278" Type="http://schemas.openxmlformats.org/officeDocument/2006/relationships/hyperlink" Target="https://www.aidedd.org/dnd/monstres.php?vo=Swarm-of-Rats" TargetMode="External"/><Relationship Id="rId26" Type="http://schemas.openxmlformats.org/officeDocument/2006/relationships/hyperlink" Target="https://www.aidedd.org/dnd/monstres.php?vo=Animated-Armor" TargetMode="External"/><Relationship Id="rId231" Type="http://schemas.openxmlformats.org/officeDocument/2006/relationships/hyperlink" Target="https://www.aidedd.org/dnd/monstres.php?vo=Pseudodragon" TargetMode="External"/><Relationship Id="rId252" Type="http://schemas.openxmlformats.org/officeDocument/2006/relationships/hyperlink" Target="https://www.aidedd.org/dnd/monstres.php?vo=Scorpion" TargetMode="External"/><Relationship Id="rId273" Type="http://schemas.openxmlformats.org/officeDocument/2006/relationships/hyperlink" Target="https://www.aidedd.org/dnd/monstres.php?vo=Storm-Giant" TargetMode="External"/><Relationship Id="rId294" Type="http://schemas.openxmlformats.org/officeDocument/2006/relationships/hyperlink" Target="https://www.aidedd.org/dnd/monstres.php?vo=Vrock" TargetMode="External"/><Relationship Id="rId308" Type="http://schemas.openxmlformats.org/officeDocument/2006/relationships/hyperlink" Target="https://www.aidedd.org/dnd/monstres.php?vo=Winter-Wolf" TargetMode="External"/><Relationship Id="rId329" Type="http://schemas.openxmlformats.org/officeDocument/2006/relationships/table" Target="../tables/table137.xml"/><Relationship Id="rId47" Type="http://schemas.openxmlformats.org/officeDocument/2006/relationships/hyperlink" Target="https://www.aidedd.org/dnd/monstres.php?vo=Berserker" TargetMode="External"/><Relationship Id="rId68" Type="http://schemas.openxmlformats.org/officeDocument/2006/relationships/hyperlink" Target="https://www.aidedd.org/dnd/monstres.php?vo=Cloaker" TargetMode="External"/><Relationship Id="rId89" Type="http://schemas.openxmlformats.org/officeDocument/2006/relationships/hyperlink" Target="https://www.aidedd.org/dnd/monstres.php?vo=Dragon-Turtle" TargetMode="External"/><Relationship Id="rId112" Type="http://schemas.openxmlformats.org/officeDocument/2006/relationships/hyperlink" Target="https://www.aidedd.org/dnd/monstres.php?vo=Frost-Giant" TargetMode="External"/><Relationship Id="rId133" Type="http://schemas.openxmlformats.org/officeDocument/2006/relationships/hyperlink" Target="https://www.aidedd.org/dnd/monstres.php?vo=Giant-Octopus" TargetMode="External"/><Relationship Id="rId154" Type="http://schemas.openxmlformats.org/officeDocument/2006/relationships/hyperlink" Target="https://www.aidedd.org/dnd/monstres.php?vo=Gray-Ooze" TargetMode="External"/><Relationship Id="rId175" Type="http://schemas.openxmlformats.org/officeDocument/2006/relationships/hyperlink" Target="https://www.aidedd.org/dnd/monstres.php?vo=Ice-Devil" TargetMode="External"/><Relationship Id="rId196" Type="http://schemas.openxmlformats.org/officeDocument/2006/relationships/hyperlink" Target="https://www.aidedd.org/dnd/monstres.php?vo=Marilith" TargetMode="External"/><Relationship Id="rId200" Type="http://schemas.openxmlformats.org/officeDocument/2006/relationships/hyperlink" Target="https://www.aidedd.org/dnd/monstres.php?vo=Merrow" TargetMode="External"/><Relationship Id="rId16" Type="http://schemas.openxmlformats.org/officeDocument/2006/relationships/hyperlink" Target="https://www.aidedd.org/dnd/monstres.php?vo=Ancient-Blue-Dragon" TargetMode="External"/><Relationship Id="rId221" Type="http://schemas.openxmlformats.org/officeDocument/2006/relationships/hyperlink" Target="https://www.aidedd.org/dnd/monstres.php?vo=Panther" TargetMode="External"/><Relationship Id="rId242" Type="http://schemas.openxmlformats.org/officeDocument/2006/relationships/hyperlink" Target="https://www.aidedd.org/dnd/monstres.php?vo=Rhinoceros" TargetMode="External"/><Relationship Id="rId263" Type="http://schemas.openxmlformats.org/officeDocument/2006/relationships/hyperlink" Target="https://www.aidedd.org/dnd/monstres.php?vo=Solar" TargetMode="External"/><Relationship Id="rId284" Type="http://schemas.openxmlformats.org/officeDocument/2006/relationships/hyperlink" Target="https://www.aidedd.org/dnd/monstres.php?vo=Tribal-Warrior" TargetMode="External"/><Relationship Id="rId319" Type="http://schemas.openxmlformats.org/officeDocument/2006/relationships/hyperlink" Target="https://www.aidedd.org/dnd/monstres.php?vo=Young-Brass-Dragon" TargetMode="External"/><Relationship Id="rId37" Type="http://schemas.openxmlformats.org/officeDocument/2006/relationships/hyperlink" Target="https://www.aidedd.org/dnd/monstres.php?vo=Badger" TargetMode="External"/><Relationship Id="rId58" Type="http://schemas.openxmlformats.org/officeDocument/2006/relationships/hyperlink" Target="https://www.aidedd.org/dnd/monstres.php?vo=Brown-Bear" TargetMode="External"/><Relationship Id="rId79" Type="http://schemas.openxmlformats.org/officeDocument/2006/relationships/hyperlink" Target="https://www.aidedd.org/dnd/monstres.php?vo=Cyclops" TargetMode="External"/><Relationship Id="rId102" Type="http://schemas.openxmlformats.org/officeDocument/2006/relationships/hyperlink" Target="https://www.aidedd.org/dnd/monstres.php?vo=Erinyes" TargetMode="External"/><Relationship Id="rId123" Type="http://schemas.openxmlformats.org/officeDocument/2006/relationships/hyperlink" Target="https://www.aidedd.org/dnd/monstres.php?vo=Giant-Constrictor-Snake" TargetMode="External"/><Relationship Id="rId144" Type="http://schemas.openxmlformats.org/officeDocument/2006/relationships/hyperlink" Target="https://www.aidedd.org/dnd/monstres.php?vo=Giant-Weasel" TargetMode="External"/><Relationship Id="rId330" Type="http://schemas.openxmlformats.org/officeDocument/2006/relationships/comments" Target="../comments12.xml"/><Relationship Id="rId90" Type="http://schemas.openxmlformats.org/officeDocument/2006/relationships/hyperlink" Target="https://www.aidedd.org/dnd/monstres.php?vo=Dretch" TargetMode="External"/><Relationship Id="rId165" Type="http://schemas.openxmlformats.org/officeDocument/2006/relationships/hyperlink" Target="https://www.aidedd.org/dnd/monstres.php?vo=Hell-Hound" TargetMode="External"/><Relationship Id="rId186" Type="http://schemas.openxmlformats.org/officeDocument/2006/relationships/hyperlink" Target="https://www.aidedd.org/dnd/monstres.php?vo=Lemure" TargetMode="External"/><Relationship Id="rId211" Type="http://schemas.openxmlformats.org/officeDocument/2006/relationships/hyperlink" Target="https://www.aidedd.org/dnd/monstres.php?vo=Noble" TargetMode="External"/><Relationship Id="rId232" Type="http://schemas.openxmlformats.org/officeDocument/2006/relationships/hyperlink" Target="https://www.aidedd.org/dnd/monstres.php?vo=Pteranodon" TargetMode="External"/><Relationship Id="rId253" Type="http://schemas.openxmlformats.org/officeDocument/2006/relationships/hyperlink" Target="https://www.aidedd.org/dnd/monstres.php?vo=Scout" TargetMode="External"/><Relationship Id="rId274" Type="http://schemas.openxmlformats.org/officeDocument/2006/relationships/hyperlink" Target="https://www.aidedd.org/dnd/monstres.php?vo=Swarm-of-Bats" TargetMode="External"/><Relationship Id="rId295" Type="http://schemas.openxmlformats.org/officeDocument/2006/relationships/hyperlink" Target="https://www.aidedd.org/dnd/monstres.php?vo=Vulture" TargetMode="External"/><Relationship Id="rId309" Type="http://schemas.openxmlformats.org/officeDocument/2006/relationships/hyperlink" Target="https://www.aidedd.org/dnd/monstres.php?vo=Wolf" TargetMode="External"/><Relationship Id="rId27" Type="http://schemas.openxmlformats.org/officeDocument/2006/relationships/hyperlink" Target="https://www.aidedd.org/dnd/monstres.php?vo=Ankheg" TargetMode="External"/><Relationship Id="rId48" Type="http://schemas.openxmlformats.org/officeDocument/2006/relationships/hyperlink" Target="https://www.aidedd.org/dnd/monstres.php?vo=Black-Bear" TargetMode="External"/><Relationship Id="rId69" Type="http://schemas.openxmlformats.org/officeDocument/2006/relationships/hyperlink" Target="https://www.aidedd.org/dnd/monstres.php?vo=Cloud-Giant" TargetMode="External"/><Relationship Id="rId113" Type="http://schemas.openxmlformats.org/officeDocument/2006/relationships/hyperlink" Target="https://www.aidedd.org/dnd/monstres.php?vo=Gargoyle" TargetMode="External"/><Relationship Id="rId134" Type="http://schemas.openxmlformats.org/officeDocument/2006/relationships/hyperlink" Target="https://www.aidedd.org/dnd/monstres.php?vo=Giant-Owl" TargetMode="External"/><Relationship Id="rId320" Type="http://schemas.openxmlformats.org/officeDocument/2006/relationships/hyperlink" Target="https://www.aidedd.org/dnd/monstres.php?vo=Young-Bronze-Dragon" TargetMode="External"/><Relationship Id="rId80" Type="http://schemas.openxmlformats.org/officeDocument/2006/relationships/hyperlink" Target="https://www.aidedd.org/dnd/monstres.php?vo=Darkmantle" TargetMode="External"/><Relationship Id="rId155" Type="http://schemas.openxmlformats.org/officeDocument/2006/relationships/hyperlink" Target="https://www.aidedd.org/dnd/monstres.php?vo=Green-Dragon-Wyrmling" TargetMode="External"/><Relationship Id="rId176" Type="http://schemas.openxmlformats.org/officeDocument/2006/relationships/hyperlink" Target="https://www.aidedd.org/dnd/monstres.php?vo=Ice-Mephit" TargetMode="External"/><Relationship Id="rId197" Type="http://schemas.openxmlformats.org/officeDocument/2006/relationships/hyperlink" Target="https://www.aidedd.org/dnd/monstres.php?vo=Mastiff" TargetMode="External"/><Relationship Id="rId201" Type="http://schemas.openxmlformats.org/officeDocument/2006/relationships/hyperlink" Target="https://www.aidedd.org/dnd/monstres.php?vo=Mimic" TargetMode="External"/><Relationship Id="rId222" Type="http://schemas.openxmlformats.org/officeDocument/2006/relationships/hyperlink" Target="https://www.aidedd.org/dnd/monstres.php?vo=Pegasus" TargetMode="External"/><Relationship Id="rId243" Type="http://schemas.openxmlformats.org/officeDocument/2006/relationships/hyperlink" Target="https://www.aidedd.org/dnd/monstres.php?vo=Riding-Horse" TargetMode="External"/><Relationship Id="rId264" Type="http://schemas.openxmlformats.org/officeDocument/2006/relationships/hyperlink" Target="https://www.aidedd.org/dnd/monstres.php?vo=Specter" TargetMode="External"/><Relationship Id="rId285" Type="http://schemas.openxmlformats.org/officeDocument/2006/relationships/hyperlink" Target="https://www.aidedd.org/dnd/monstres.php?vo=Triceratops" TargetMode="External"/><Relationship Id="rId17" Type="http://schemas.openxmlformats.org/officeDocument/2006/relationships/hyperlink" Target="https://www.aidedd.org/dnd/monstres.php?vo=Ancient-Brass-Dragon" TargetMode="External"/><Relationship Id="rId38" Type="http://schemas.openxmlformats.org/officeDocument/2006/relationships/hyperlink" Target="https://www.aidedd.org/dnd/monstres.php?vo=Balor" TargetMode="External"/><Relationship Id="rId59" Type="http://schemas.openxmlformats.org/officeDocument/2006/relationships/hyperlink" Target="https://www.aidedd.org/dnd/monstres.php?vo=Bugbear" TargetMode="External"/><Relationship Id="rId103" Type="http://schemas.openxmlformats.org/officeDocument/2006/relationships/hyperlink" Target="https://www.aidedd.org/dnd/monstres.php?vo=Ettercap" TargetMode="External"/><Relationship Id="rId124" Type="http://schemas.openxmlformats.org/officeDocument/2006/relationships/hyperlink" Target="https://www.aidedd.org/dnd/monstres.php?vo=Giant-Crab" TargetMode="External"/><Relationship Id="rId310" Type="http://schemas.openxmlformats.org/officeDocument/2006/relationships/hyperlink" Target="https://www.aidedd.org/dnd/monstres.php?vo=Worg" TargetMode="External"/><Relationship Id="rId70" Type="http://schemas.openxmlformats.org/officeDocument/2006/relationships/hyperlink" Target="https://www.aidedd.org/dnd/monstres.php?vo=Cockatrice" TargetMode="External"/><Relationship Id="rId91" Type="http://schemas.openxmlformats.org/officeDocument/2006/relationships/hyperlink" Target="https://www.aidedd.org/dnd/monstres.php?vo=Drider" TargetMode="External"/><Relationship Id="rId145" Type="http://schemas.openxmlformats.org/officeDocument/2006/relationships/hyperlink" Target="https://www.aidedd.org/dnd/monstres.php?vo=Giant-Wolf-Spider" TargetMode="External"/><Relationship Id="rId166" Type="http://schemas.openxmlformats.org/officeDocument/2006/relationships/hyperlink" Target="https://www.aidedd.org/dnd/monstres.php?vo=Hezrou" TargetMode="External"/><Relationship Id="rId187" Type="http://schemas.openxmlformats.org/officeDocument/2006/relationships/hyperlink" Target="https://www.aidedd.org/dnd/monstres.php?vo=Lich" TargetMode="External"/><Relationship Id="rId1" Type="http://schemas.openxmlformats.org/officeDocument/2006/relationships/hyperlink" Target="https://www.aidedd.org/dnd/monstres.php?vo=Aboleth" TargetMode="External"/><Relationship Id="rId212" Type="http://schemas.openxmlformats.org/officeDocument/2006/relationships/hyperlink" Target="https://www.aidedd.org/dnd/monstres.php?vo=Ochre-Jelly" TargetMode="External"/><Relationship Id="rId233" Type="http://schemas.openxmlformats.org/officeDocument/2006/relationships/hyperlink" Target="https://www.aidedd.org/dnd/monstres.php?vo=Purple-Worm" TargetMode="External"/><Relationship Id="rId254" Type="http://schemas.openxmlformats.org/officeDocument/2006/relationships/hyperlink" Target="https://www.aidedd.org/dnd/monstres.php?vo=Sea-Hag" TargetMode="External"/><Relationship Id="rId28" Type="http://schemas.openxmlformats.org/officeDocument/2006/relationships/hyperlink" Target="https://www.aidedd.org/dnd/monstres.php?vo=Ankylosaurus" TargetMode="External"/><Relationship Id="rId49" Type="http://schemas.openxmlformats.org/officeDocument/2006/relationships/hyperlink" Target="https://www.aidedd.org/dnd/monstres.php?vo=Black-Dragon-Wyrmling" TargetMode="External"/><Relationship Id="rId114" Type="http://schemas.openxmlformats.org/officeDocument/2006/relationships/hyperlink" Target="https://www.aidedd.org/dnd/monstres.php?vo=Gelatinous-Cube" TargetMode="External"/><Relationship Id="rId275" Type="http://schemas.openxmlformats.org/officeDocument/2006/relationships/hyperlink" Target="https://www.aidedd.org/dnd/monstres.php?vo=Swarm-of-Insects" TargetMode="External"/><Relationship Id="rId296" Type="http://schemas.openxmlformats.org/officeDocument/2006/relationships/hyperlink" Target="https://www.aidedd.org/dnd/monstres.php?vo=Warhorse" TargetMode="External"/><Relationship Id="rId300" Type="http://schemas.openxmlformats.org/officeDocument/2006/relationships/hyperlink" Target="https://www.aidedd.org/dnd/monstres.php?vo=Werebear" TargetMode="External"/><Relationship Id="rId60" Type="http://schemas.openxmlformats.org/officeDocument/2006/relationships/hyperlink" Target="https://www.aidedd.org/dnd/monstres.php?vo=Bulette" TargetMode="External"/><Relationship Id="rId81" Type="http://schemas.openxmlformats.org/officeDocument/2006/relationships/hyperlink" Target="https://www.aidedd.org/dnd/monstres.php?vo=Death-Dog" TargetMode="External"/><Relationship Id="rId135" Type="http://schemas.openxmlformats.org/officeDocument/2006/relationships/hyperlink" Target="https://www.aidedd.org/dnd/monstres.php?vo=Giant-Poisonous-Snake" TargetMode="External"/><Relationship Id="rId156" Type="http://schemas.openxmlformats.org/officeDocument/2006/relationships/hyperlink" Target="https://www.aidedd.org/dnd/monstres.php?vo=Green-Hag" TargetMode="External"/><Relationship Id="rId177" Type="http://schemas.openxmlformats.org/officeDocument/2006/relationships/hyperlink" Target="https://www.aidedd.org/dnd/monstres.php?vo=Imp" TargetMode="External"/><Relationship Id="rId198" Type="http://schemas.openxmlformats.org/officeDocument/2006/relationships/hyperlink" Target="https://www.aidedd.org/dnd/monstres.php?vo=Medusa" TargetMode="External"/><Relationship Id="rId321" Type="http://schemas.openxmlformats.org/officeDocument/2006/relationships/hyperlink" Target="https://www.aidedd.org/dnd/monstres.php?vo=Young-Copper-Dragon" TargetMode="External"/><Relationship Id="rId202" Type="http://schemas.openxmlformats.org/officeDocument/2006/relationships/hyperlink" Target="https://www.aidedd.org/dnd/monstres.php?vo=Minotaur" TargetMode="External"/><Relationship Id="rId223" Type="http://schemas.openxmlformats.org/officeDocument/2006/relationships/hyperlink" Target="https://www.aidedd.org/dnd/monstres.php?vo=Phase-Spider" TargetMode="External"/><Relationship Id="rId244" Type="http://schemas.openxmlformats.org/officeDocument/2006/relationships/hyperlink" Target="https://www.aidedd.org/dnd/monstres.php?vo=Roc" TargetMode="External"/><Relationship Id="rId18" Type="http://schemas.openxmlformats.org/officeDocument/2006/relationships/hyperlink" Target="https://www.aidedd.org/dnd/monstres.php?vo=Ancient-Bronze-Dragon" TargetMode="External"/><Relationship Id="rId39" Type="http://schemas.openxmlformats.org/officeDocument/2006/relationships/hyperlink" Target="https://www.aidedd.org/dnd/monstres.php?vo=Bandit" TargetMode="External"/><Relationship Id="rId265" Type="http://schemas.openxmlformats.org/officeDocument/2006/relationships/hyperlink" Target="https://www.aidedd.org/dnd/monstres.php?vo=Spider" TargetMode="External"/><Relationship Id="rId286" Type="http://schemas.openxmlformats.org/officeDocument/2006/relationships/hyperlink" Target="https://www.aidedd.org/dnd/monstres.php?vo=Troll" TargetMode="External"/><Relationship Id="rId50" Type="http://schemas.openxmlformats.org/officeDocument/2006/relationships/hyperlink" Target="https://www.aidedd.org/dnd/monstres.php?vo=Black-Pudding" TargetMode="External"/><Relationship Id="rId104" Type="http://schemas.openxmlformats.org/officeDocument/2006/relationships/hyperlink" Target="https://www.aidedd.org/dnd/monstres.php?vo=Ettin" TargetMode="External"/><Relationship Id="rId125" Type="http://schemas.openxmlformats.org/officeDocument/2006/relationships/hyperlink" Target="https://www.aidedd.org/dnd/monstres.php?vo=Giant-Crocodile" TargetMode="External"/><Relationship Id="rId146" Type="http://schemas.openxmlformats.org/officeDocument/2006/relationships/hyperlink" Target="https://www.aidedd.org/dnd/monstres.php?vo=Gibbering-Mouther" TargetMode="External"/><Relationship Id="rId167" Type="http://schemas.openxmlformats.org/officeDocument/2006/relationships/hyperlink" Target="https://www.aidedd.org/dnd/monstres.php?vo=Hill-Giant" TargetMode="External"/><Relationship Id="rId188" Type="http://schemas.openxmlformats.org/officeDocument/2006/relationships/hyperlink" Target="https://www.aidedd.org/dnd/monstres.php?vo=Lion" TargetMode="External"/><Relationship Id="rId311" Type="http://schemas.openxmlformats.org/officeDocument/2006/relationships/hyperlink" Target="https://www.aidedd.org/dnd/monstres.php?vo=Wraith" TargetMode="External"/><Relationship Id="rId71" Type="http://schemas.openxmlformats.org/officeDocument/2006/relationships/hyperlink" Target="https://www.aidedd.org/dnd/monstres.php?vo=Commoner" TargetMode="External"/><Relationship Id="rId92" Type="http://schemas.openxmlformats.org/officeDocument/2006/relationships/hyperlink" Target="https://www.aidedd.org/dnd/monstres.php?vo=Drow" TargetMode="External"/><Relationship Id="rId213" Type="http://schemas.openxmlformats.org/officeDocument/2006/relationships/hyperlink" Target="https://www.aidedd.org/dnd/monstres.php?vo=Octopus" TargetMode="External"/><Relationship Id="rId234" Type="http://schemas.openxmlformats.org/officeDocument/2006/relationships/hyperlink" Target="https://www.aidedd.org/dnd/monstres.php?vo=Quasit" TargetMode="External"/><Relationship Id="rId2" Type="http://schemas.openxmlformats.org/officeDocument/2006/relationships/hyperlink" Target="https://www.aidedd.org/dnd/monstres.php?vo=Acolyte" TargetMode="External"/><Relationship Id="rId29" Type="http://schemas.openxmlformats.org/officeDocument/2006/relationships/hyperlink" Target="https://www.aidedd.org/dnd/monstres.php?vo=Ape" TargetMode="External"/><Relationship Id="rId255" Type="http://schemas.openxmlformats.org/officeDocument/2006/relationships/hyperlink" Target="https://www.aidedd.org/dnd/monstres.php?vo=Sea-Horse" TargetMode="External"/><Relationship Id="rId276" Type="http://schemas.openxmlformats.org/officeDocument/2006/relationships/hyperlink" Target="https://www.aidedd.org/dnd/monstres.php?vo=Swarm-of-Poisonous-Snakes" TargetMode="External"/><Relationship Id="rId297" Type="http://schemas.openxmlformats.org/officeDocument/2006/relationships/hyperlink" Target="https://www.aidedd.org/dnd/monstres.php?vo=Warhorse-Skeleton" TargetMode="External"/><Relationship Id="rId40" Type="http://schemas.openxmlformats.org/officeDocument/2006/relationships/hyperlink" Target="https://www.aidedd.org/dnd/monstres.php?vo=Bandit-Captain" TargetMode="External"/><Relationship Id="rId115" Type="http://schemas.openxmlformats.org/officeDocument/2006/relationships/hyperlink" Target="https://www.aidedd.org/dnd/monstres.php?vo=Ghast" TargetMode="External"/><Relationship Id="rId136" Type="http://schemas.openxmlformats.org/officeDocument/2006/relationships/hyperlink" Target="https://www.aidedd.org/dnd/monstres.php?vo=Giant-Rat" TargetMode="External"/><Relationship Id="rId157" Type="http://schemas.openxmlformats.org/officeDocument/2006/relationships/hyperlink" Target="https://www.aidedd.org/dnd/monstres.php?vo=Grick" TargetMode="External"/><Relationship Id="rId178" Type="http://schemas.openxmlformats.org/officeDocument/2006/relationships/hyperlink" Target="https://www.aidedd.org/dnd/monstres.php?vo=Invisible-Stalker" TargetMode="External"/><Relationship Id="rId301" Type="http://schemas.openxmlformats.org/officeDocument/2006/relationships/hyperlink" Target="https://www.aidedd.org/dnd/monstres.php?vo=Wereboar" TargetMode="External"/><Relationship Id="rId322" Type="http://schemas.openxmlformats.org/officeDocument/2006/relationships/hyperlink" Target="https://www.aidedd.org/dnd/monstres.php?vo=Young-Gold-Dragon" TargetMode="External"/><Relationship Id="rId61" Type="http://schemas.openxmlformats.org/officeDocument/2006/relationships/hyperlink" Target="https://www.aidedd.org/dnd/monstres.php?vo=Camel" TargetMode="External"/><Relationship Id="rId82" Type="http://schemas.openxmlformats.org/officeDocument/2006/relationships/hyperlink" Target="https://www.aidedd.org/dnd/monstres.php?vo=Deep-Gnome-(Svirfneblin)" TargetMode="External"/><Relationship Id="rId199" Type="http://schemas.openxmlformats.org/officeDocument/2006/relationships/hyperlink" Target="https://www.aidedd.org/dnd/monstres.php?vo=Merfolk" TargetMode="External"/><Relationship Id="rId203" Type="http://schemas.openxmlformats.org/officeDocument/2006/relationships/hyperlink" Target="https://www.aidedd.org/dnd/monstres.php?vo=Minotaur-Skeleton" TargetMode="External"/><Relationship Id="rId19" Type="http://schemas.openxmlformats.org/officeDocument/2006/relationships/hyperlink" Target="https://www.aidedd.org/dnd/monstres.php?vo=Ancient-Copper-Dragon" TargetMode="External"/><Relationship Id="rId224" Type="http://schemas.openxmlformats.org/officeDocument/2006/relationships/hyperlink" Target="https://www.aidedd.org/dnd/monstres.php?vo=Pit-Fiend" TargetMode="External"/><Relationship Id="rId245" Type="http://schemas.openxmlformats.org/officeDocument/2006/relationships/hyperlink" Target="https://www.aidedd.org/dnd/monstres.php?vo=Roper" TargetMode="External"/><Relationship Id="rId266" Type="http://schemas.openxmlformats.org/officeDocument/2006/relationships/hyperlink" Target="https://www.aidedd.org/dnd/monstres.php?vo=Spirit-Naga" TargetMode="External"/><Relationship Id="rId287" Type="http://schemas.openxmlformats.org/officeDocument/2006/relationships/hyperlink" Target="https://www.aidedd.org/dnd/monstres.php?vo=Twig-Blight"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38.xml"/><Relationship Id="rId2" Type="http://schemas.openxmlformats.org/officeDocument/2006/relationships/vmlDrawing" Target="../drawings/vmlDrawing13.vml"/><Relationship Id="rId1" Type="http://schemas.openxmlformats.org/officeDocument/2006/relationships/printerSettings" Target="../printerSettings/printerSettings15.bin"/><Relationship Id="rId5" Type="http://schemas.openxmlformats.org/officeDocument/2006/relationships/comments" Target="../comments13.xml"/><Relationship Id="rId4" Type="http://schemas.openxmlformats.org/officeDocument/2006/relationships/table" Target="../tables/table139.xml"/></Relationships>
</file>

<file path=xl/worksheets/_rels/sheet2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vmlDrawing" Target="../drawings/vmlDrawing14.vml"/><Relationship Id="rId1" Type="http://schemas.openxmlformats.org/officeDocument/2006/relationships/printerSettings" Target="../printerSettings/printerSettings16.bin"/><Relationship Id="rId4" Type="http://schemas.openxmlformats.org/officeDocument/2006/relationships/comments" Target="../comments1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5.xml"/><Relationship Id="rId1" Type="http://schemas.openxmlformats.org/officeDocument/2006/relationships/printerSettings" Target="../printerSettings/printerSettings18.bin"/><Relationship Id="rId4" Type="http://schemas.openxmlformats.org/officeDocument/2006/relationships/comments" Target="../comments16.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goblinshenchman.wordpress.com/" TargetMode="External"/><Relationship Id="rId1" Type="http://schemas.openxmlformats.org/officeDocument/2006/relationships/hyperlink" Target="https://www.youtube.com/watch?v=X0P2uDtjLQc" TargetMode="External"/><Relationship Id="rId4" Type="http://schemas.openxmlformats.org/officeDocument/2006/relationships/drawing" Target="../drawings/drawing7.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1.bin"/><Relationship Id="rId1" Type="http://schemas.openxmlformats.org/officeDocument/2006/relationships/hyperlink" Target="https://game-icons.net/" TargetMode="External"/></Relationships>
</file>

<file path=xl/worksheets/_rels/sheet29.xml.rels><?xml version="1.0" encoding="UTF-8" standalone="yes"?>
<Relationships xmlns="http://schemas.openxmlformats.org/package/2006/relationships"><Relationship Id="rId3" Type="http://schemas.openxmlformats.org/officeDocument/2006/relationships/table" Target="../tables/table140.xml"/><Relationship Id="rId2" Type="http://schemas.openxmlformats.org/officeDocument/2006/relationships/drawing" Target="../drawings/drawing9.xml"/><Relationship Id="rId1" Type="http://schemas.openxmlformats.org/officeDocument/2006/relationships/printerSettings" Target="../printerSettings/printerSettings22.bin"/><Relationship Id="rId5" Type="http://schemas.openxmlformats.org/officeDocument/2006/relationships/table" Target="../tables/table142.xml"/><Relationship Id="rId4" Type="http://schemas.openxmlformats.org/officeDocument/2006/relationships/table" Target="../tables/table141.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144.xml"/><Relationship Id="rId2" Type="http://schemas.openxmlformats.org/officeDocument/2006/relationships/table" Target="../tables/table143.xml"/><Relationship Id="rId1" Type="http://schemas.openxmlformats.org/officeDocument/2006/relationships/vmlDrawing" Target="../drawings/vmlDrawing17.vml"/><Relationship Id="rId4" Type="http://schemas.openxmlformats.org/officeDocument/2006/relationships/comments" Target="../comments17.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145.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3.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148.xml"/><Relationship Id="rId2" Type="http://schemas.openxmlformats.org/officeDocument/2006/relationships/table" Target="../tables/table147.xml"/><Relationship Id="rId1" Type="http://schemas.openxmlformats.org/officeDocument/2006/relationships/table" Target="../tables/table146.xml"/><Relationship Id="rId5" Type="http://schemas.openxmlformats.org/officeDocument/2006/relationships/table" Target="../tables/table150.xml"/><Relationship Id="rId4" Type="http://schemas.openxmlformats.org/officeDocument/2006/relationships/table" Target="../tables/table149.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151.xml"/><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3" Type="http://schemas.openxmlformats.org/officeDocument/2006/relationships/table" Target="../tables/table153.xml"/><Relationship Id="rId2" Type="http://schemas.openxmlformats.org/officeDocument/2006/relationships/table" Target="../tables/table152.xml"/><Relationship Id="rId1" Type="http://schemas.openxmlformats.org/officeDocument/2006/relationships/printerSettings" Target="../printerSettings/printerSettings25.bin"/></Relationships>
</file>

<file path=xl/worksheets/_rels/sheet39.xml.rels><?xml version="1.0" encoding="UTF-8" standalone="yes"?>
<Relationships xmlns="http://schemas.openxmlformats.org/package/2006/relationships"><Relationship Id="rId8" Type="http://schemas.openxmlformats.org/officeDocument/2006/relationships/table" Target="../tables/table159.xml"/><Relationship Id="rId13" Type="http://schemas.openxmlformats.org/officeDocument/2006/relationships/table" Target="../tables/table164.xml"/><Relationship Id="rId18" Type="http://schemas.openxmlformats.org/officeDocument/2006/relationships/table" Target="../tables/table169.xml"/><Relationship Id="rId3" Type="http://schemas.openxmlformats.org/officeDocument/2006/relationships/table" Target="../tables/table154.xml"/><Relationship Id="rId7" Type="http://schemas.openxmlformats.org/officeDocument/2006/relationships/table" Target="../tables/table158.xml"/><Relationship Id="rId12" Type="http://schemas.openxmlformats.org/officeDocument/2006/relationships/table" Target="../tables/table163.xml"/><Relationship Id="rId17" Type="http://schemas.openxmlformats.org/officeDocument/2006/relationships/table" Target="../tables/table168.xml"/><Relationship Id="rId2" Type="http://schemas.openxmlformats.org/officeDocument/2006/relationships/vmlDrawing" Target="../drawings/vmlDrawing18.vml"/><Relationship Id="rId16" Type="http://schemas.openxmlformats.org/officeDocument/2006/relationships/table" Target="../tables/table167.xml"/><Relationship Id="rId20" Type="http://schemas.openxmlformats.org/officeDocument/2006/relationships/comments" Target="../comments18.xml"/><Relationship Id="rId1" Type="http://schemas.openxmlformats.org/officeDocument/2006/relationships/printerSettings" Target="../printerSettings/printerSettings26.bin"/><Relationship Id="rId6" Type="http://schemas.openxmlformats.org/officeDocument/2006/relationships/table" Target="../tables/table157.xml"/><Relationship Id="rId11" Type="http://schemas.openxmlformats.org/officeDocument/2006/relationships/table" Target="../tables/table162.xml"/><Relationship Id="rId5" Type="http://schemas.openxmlformats.org/officeDocument/2006/relationships/table" Target="../tables/table156.xml"/><Relationship Id="rId15" Type="http://schemas.openxmlformats.org/officeDocument/2006/relationships/table" Target="../tables/table166.xml"/><Relationship Id="rId10" Type="http://schemas.openxmlformats.org/officeDocument/2006/relationships/table" Target="../tables/table161.xml"/><Relationship Id="rId19" Type="http://schemas.openxmlformats.org/officeDocument/2006/relationships/table" Target="../tables/table170.xml"/><Relationship Id="rId4" Type="http://schemas.openxmlformats.org/officeDocument/2006/relationships/table" Target="../tables/table155.xml"/><Relationship Id="rId9" Type="http://schemas.openxmlformats.org/officeDocument/2006/relationships/table" Target="../tables/table160.xml"/><Relationship Id="rId14" Type="http://schemas.openxmlformats.org/officeDocument/2006/relationships/table" Target="../tables/table165.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12.xml"/></Relationships>
</file>

<file path=xl/worksheets/_rels/sheet41.xml.rels><?xml version="1.0" encoding="UTF-8" standalone="yes"?>
<Relationships xmlns="http://schemas.openxmlformats.org/package/2006/relationships"><Relationship Id="rId3" Type="http://schemas.openxmlformats.org/officeDocument/2006/relationships/hyperlink" Target="http://www.candlekeep.com/library/articles/warwiz2.htm" TargetMode="External"/><Relationship Id="rId2" Type="http://schemas.openxmlformats.org/officeDocument/2006/relationships/hyperlink" Target="http://www.candlekeep.com/library/articles/warwiz2.htm" TargetMode="External"/><Relationship Id="rId1" Type="http://schemas.openxmlformats.org/officeDocument/2006/relationships/hyperlink" Target="http://www.candlekeep.com/library/articles/warwiztab3ed.htm" TargetMode="External"/><Relationship Id="rId4" Type="http://schemas.openxmlformats.org/officeDocument/2006/relationships/table" Target="../tables/table171.xml"/></Relationships>
</file>

<file path=xl/worksheets/_rels/sheet43.xml.rels><?xml version="1.0" encoding="UTF-8" standalone="yes"?>
<Relationships xmlns="http://schemas.openxmlformats.org/package/2006/relationships"><Relationship Id="rId8" Type="http://schemas.openxmlformats.org/officeDocument/2006/relationships/table" Target="../tables/table178.xml"/><Relationship Id="rId3" Type="http://schemas.openxmlformats.org/officeDocument/2006/relationships/table" Target="../tables/table173.xml"/><Relationship Id="rId7" Type="http://schemas.openxmlformats.org/officeDocument/2006/relationships/table" Target="../tables/table177.xml"/><Relationship Id="rId2" Type="http://schemas.openxmlformats.org/officeDocument/2006/relationships/table" Target="../tables/table172.xml"/><Relationship Id="rId1" Type="http://schemas.openxmlformats.org/officeDocument/2006/relationships/printerSettings" Target="../printerSettings/printerSettings27.bin"/><Relationship Id="rId6" Type="http://schemas.openxmlformats.org/officeDocument/2006/relationships/table" Target="../tables/table176.xml"/><Relationship Id="rId5" Type="http://schemas.openxmlformats.org/officeDocument/2006/relationships/table" Target="../tables/table175.xml"/><Relationship Id="rId4" Type="http://schemas.openxmlformats.org/officeDocument/2006/relationships/table" Target="../tables/table174.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179.xml"/></Relationships>
</file>

<file path=xl/worksheets/_rels/sheet46.xml.rels><?xml version="1.0" encoding="UTF-8" standalone="yes"?>
<Relationships xmlns="http://schemas.openxmlformats.org/package/2006/relationships"><Relationship Id="rId13" Type="http://schemas.openxmlformats.org/officeDocument/2006/relationships/hyperlink" Target="https://www.dndbeyond.com/equipment/jug-or-pitcher" TargetMode="External"/><Relationship Id="rId18" Type="http://schemas.openxmlformats.org/officeDocument/2006/relationships/hyperlink" Target="https://www.dndbeyond.com/equipment/quiver" TargetMode="External"/><Relationship Id="rId26" Type="http://schemas.openxmlformats.org/officeDocument/2006/relationships/hyperlink" Target="https://www.dndbeyond.com/magic-items/efficient-quiver" TargetMode="External"/><Relationship Id="rId39" Type="http://schemas.openxmlformats.org/officeDocument/2006/relationships/table" Target="../tables/table185.xml"/><Relationship Id="rId21" Type="http://schemas.openxmlformats.org/officeDocument/2006/relationships/hyperlink" Target="https://www.dndbeyond.com/equipment/vial" TargetMode="External"/><Relationship Id="rId34" Type="http://schemas.openxmlformats.org/officeDocument/2006/relationships/table" Target="../tables/table180.xml"/><Relationship Id="rId42" Type="http://schemas.openxmlformats.org/officeDocument/2006/relationships/table" Target="../tables/table188.xml"/><Relationship Id="rId47" Type="http://schemas.openxmlformats.org/officeDocument/2006/relationships/table" Target="../tables/table193.xml"/><Relationship Id="rId50" Type="http://schemas.openxmlformats.org/officeDocument/2006/relationships/table" Target="../tables/table196.xml"/><Relationship Id="rId55" Type="http://schemas.openxmlformats.org/officeDocument/2006/relationships/table" Target="../tables/table201.xml"/><Relationship Id="rId63" Type="http://schemas.openxmlformats.org/officeDocument/2006/relationships/table" Target="../tables/table209.xml"/><Relationship Id="rId68" Type="http://schemas.openxmlformats.org/officeDocument/2006/relationships/table" Target="../tables/table214.xml"/><Relationship Id="rId76" Type="http://schemas.openxmlformats.org/officeDocument/2006/relationships/table" Target="../tables/table222.xml"/><Relationship Id="rId7" Type="http://schemas.openxmlformats.org/officeDocument/2006/relationships/hyperlink" Target="https://www.dndbeyond.com/equipment/bucket" TargetMode="External"/><Relationship Id="rId71" Type="http://schemas.openxmlformats.org/officeDocument/2006/relationships/table" Target="../tables/table217.xml"/><Relationship Id="rId2" Type="http://schemas.openxmlformats.org/officeDocument/2006/relationships/hyperlink" Target="https://www.dndbeyond.com/equipment/backpack" TargetMode="External"/><Relationship Id="rId16" Type="http://schemas.openxmlformats.org/officeDocument/2006/relationships/hyperlink" Target="https://www.dndbeyond.com/equipment/pouch" TargetMode="External"/><Relationship Id="rId29" Type="http://schemas.openxmlformats.org/officeDocument/2006/relationships/hyperlink" Target="https://www.dndbeyond.com/magic-items/handy-haversack" TargetMode="External"/><Relationship Id="rId11" Type="http://schemas.openxmlformats.org/officeDocument/2006/relationships/hyperlink" Target="https://www.dndbeyond.com/equipment/chest" TargetMode="External"/><Relationship Id="rId24" Type="http://schemas.openxmlformats.org/officeDocument/2006/relationships/hyperlink" Target="https://www.dndbeyond.com/magic-items/efficient-quiver" TargetMode="External"/><Relationship Id="rId32" Type="http://schemas.openxmlformats.org/officeDocument/2006/relationships/printerSettings" Target="../printerSettings/printerSettings28.bin"/><Relationship Id="rId37" Type="http://schemas.openxmlformats.org/officeDocument/2006/relationships/table" Target="../tables/table183.xml"/><Relationship Id="rId40" Type="http://schemas.openxmlformats.org/officeDocument/2006/relationships/table" Target="../tables/table186.xml"/><Relationship Id="rId45" Type="http://schemas.openxmlformats.org/officeDocument/2006/relationships/table" Target="../tables/table191.xml"/><Relationship Id="rId53" Type="http://schemas.openxmlformats.org/officeDocument/2006/relationships/table" Target="../tables/table199.xml"/><Relationship Id="rId58" Type="http://schemas.openxmlformats.org/officeDocument/2006/relationships/table" Target="../tables/table204.xml"/><Relationship Id="rId66" Type="http://schemas.openxmlformats.org/officeDocument/2006/relationships/table" Target="../tables/table212.xml"/><Relationship Id="rId74" Type="http://schemas.openxmlformats.org/officeDocument/2006/relationships/table" Target="../tables/table220.xml"/><Relationship Id="rId5" Type="http://schemas.openxmlformats.org/officeDocument/2006/relationships/hyperlink" Target="https://www.dndbeyond.com/equipment/basket" TargetMode="External"/><Relationship Id="rId15" Type="http://schemas.openxmlformats.org/officeDocument/2006/relationships/hyperlink" Target="https://www.dndbeyond.com/equipment/pouch" TargetMode="External"/><Relationship Id="rId23" Type="http://schemas.openxmlformats.org/officeDocument/2006/relationships/hyperlink" Target="https://www.dndbeyond.com/magic-items/bag-of-holding" TargetMode="External"/><Relationship Id="rId28" Type="http://schemas.openxmlformats.org/officeDocument/2006/relationships/hyperlink" Target="https://www.dndbeyond.com/magic-items/handy-haversack" TargetMode="External"/><Relationship Id="rId36" Type="http://schemas.openxmlformats.org/officeDocument/2006/relationships/table" Target="../tables/table182.xml"/><Relationship Id="rId49" Type="http://schemas.openxmlformats.org/officeDocument/2006/relationships/table" Target="../tables/table195.xml"/><Relationship Id="rId57" Type="http://schemas.openxmlformats.org/officeDocument/2006/relationships/table" Target="../tables/table203.xml"/><Relationship Id="rId61" Type="http://schemas.openxmlformats.org/officeDocument/2006/relationships/table" Target="../tables/table207.xml"/><Relationship Id="rId10" Type="http://schemas.openxmlformats.org/officeDocument/2006/relationships/hyperlink" Target="https://www.dndbeyond.com/equipment/case-map-or-scroll" TargetMode="External"/><Relationship Id="rId19" Type="http://schemas.openxmlformats.org/officeDocument/2006/relationships/hyperlink" Target="https://www.dndbeyond.com/equipment/sack" TargetMode="External"/><Relationship Id="rId31" Type="http://schemas.openxmlformats.org/officeDocument/2006/relationships/hyperlink" Target="https://hackslashmaster.blogspot.com/2013/09/on-generator-of-missions.html" TargetMode="External"/><Relationship Id="rId44" Type="http://schemas.openxmlformats.org/officeDocument/2006/relationships/table" Target="../tables/table190.xml"/><Relationship Id="rId52" Type="http://schemas.openxmlformats.org/officeDocument/2006/relationships/table" Target="../tables/table198.xml"/><Relationship Id="rId60" Type="http://schemas.openxmlformats.org/officeDocument/2006/relationships/table" Target="../tables/table206.xml"/><Relationship Id="rId65" Type="http://schemas.openxmlformats.org/officeDocument/2006/relationships/table" Target="../tables/table211.xml"/><Relationship Id="rId73" Type="http://schemas.openxmlformats.org/officeDocument/2006/relationships/table" Target="../tables/table219.xml"/><Relationship Id="rId78" Type="http://schemas.openxmlformats.org/officeDocument/2006/relationships/comments" Target="../comments20.xml"/><Relationship Id="rId4" Type="http://schemas.openxmlformats.org/officeDocument/2006/relationships/hyperlink" Target="https://www.dndbeyond.com/equipment/barrel" TargetMode="External"/><Relationship Id="rId9" Type="http://schemas.openxmlformats.org/officeDocument/2006/relationships/hyperlink" Target="https://www.dndbeyond.com/equipment/case-map-or-scroll" TargetMode="External"/><Relationship Id="rId14" Type="http://schemas.openxmlformats.org/officeDocument/2006/relationships/hyperlink" Target="https://www.dndbeyond.com/equipment/pot-iron" TargetMode="External"/><Relationship Id="rId22" Type="http://schemas.openxmlformats.org/officeDocument/2006/relationships/hyperlink" Target="https://www.dndbeyond.com/equipment/waterskin" TargetMode="External"/><Relationship Id="rId27" Type="http://schemas.openxmlformats.org/officeDocument/2006/relationships/hyperlink" Target="https://www.dndbeyond.com/magic-items/handy-haversack" TargetMode="External"/><Relationship Id="rId30" Type="http://schemas.openxmlformats.org/officeDocument/2006/relationships/hyperlink" Target="https://www.dndbeyond.com/magic-items/portable-hole" TargetMode="External"/><Relationship Id="rId35" Type="http://schemas.openxmlformats.org/officeDocument/2006/relationships/table" Target="../tables/table181.xml"/><Relationship Id="rId43" Type="http://schemas.openxmlformats.org/officeDocument/2006/relationships/table" Target="../tables/table189.xml"/><Relationship Id="rId48" Type="http://schemas.openxmlformats.org/officeDocument/2006/relationships/table" Target="../tables/table194.xml"/><Relationship Id="rId56" Type="http://schemas.openxmlformats.org/officeDocument/2006/relationships/table" Target="../tables/table202.xml"/><Relationship Id="rId64" Type="http://schemas.openxmlformats.org/officeDocument/2006/relationships/table" Target="../tables/table210.xml"/><Relationship Id="rId69" Type="http://schemas.openxmlformats.org/officeDocument/2006/relationships/table" Target="../tables/table215.xml"/><Relationship Id="rId77" Type="http://schemas.openxmlformats.org/officeDocument/2006/relationships/table" Target="../tables/table223.xml"/><Relationship Id="rId8" Type="http://schemas.openxmlformats.org/officeDocument/2006/relationships/hyperlink" Target="https://www.dndbeyond.com/equipment/case-crossbow-bolt" TargetMode="External"/><Relationship Id="rId51" Type="http://schemas.openxmlformats.org/officeDocument/2006/relationships/table" Target="../tables/table197.xml"/><Relationship Id="rId72" Type="http://schemas.openxmlformats.org/officeDocument/2006/relationships/table" Target="../tables/table218.xml"/><Relationship Id="rId3" Type="http://schemas.openxmlformats.org/officeDocument/2006/relationships/hyperlink" Target="https://www.dndbeyond.com/equipment/backpack" TargetMode="External"/><Relationship Id="rId12" Type="http://schemas.openxmlformats.org/officeDocument/2006/relationships/hyperlink" Target="https://www.dndbeyond.com/equipment/flask-or-tankard" TargetMode="External"/><Relationship Id="rId17" Type="http://schemas.openxmlformats.org/officeDocument/2006/relationships/hyperlink" Target="https://www.dndbeyond.com/equipment/pouch" TargetMode="External"/><Relationship Id="rId25" Type="http://schemas.openxmlformats.org/officeDocument/2006/relationships/hyperlink" Target="https://www.dndbeyond.com/magic-items/efficient-quiver" TargetMode="External"/><Relationship Id="rId33" Type="http://schemas.openxmlformats.org/officeDocument/2006/relationships/vmlDrawing" Target="../drawings/vmlDrawing20.vml"/><Relationship Id="rId38" Type="http://schemas.openxmlformats.org/officeDocument/2006/relationships/table" Target="../tables/table184.xml"/><Relationship Id="rId46" Type="http://schemas.openxmlformats.org/officeDocument/2006/relationships/table" Target="../tables/table192.xml"/><Relationship Id="rId59" Type="http://schemas.openxmlformats.org/officeDocument/2006/relationships/table" Target="../tables/table205.xml"/><Relationship Id="rId67" Type="http://schemas.openxmlformats.org/officeDocument/2006/relationships/table" Target="../tables/table213.xml"/><Relationship Id="rId20" Type="http://schemas.openxmlformats.org/officeDocument/2006/relationships/hyperlink" Target="https://www.dndbeyond.com/equipment/saddlebags" TargetMode="External"/><Relationship Id="rId41" Type="http://schemas.openxmlformats.org/officeDocument/2006/relationships/table" Target="../tables/table187.xml"/><Relationship Id="rId54" Type="http://schemas.openxmlformats.org/officeDocument/2006/relationships/table" Target="../tables/table200.xml"/><Relationship Id="rId62" Type="http://schemas.openxmlformats.org/officeDocument/2006/relationships/table" Target="../tables/table208.xml"/><Relationship Id="rId70" Type="http://schemas.openxmlformats.org/officeDocument/2006/relationships/table" Target="../tables/table216.xml"/><Relationship Id="rId75" Type="http://schemas.openxmlformats.org/officeDocument/2006/relationships/table" Target="../tables/table221.xml"/><Relationship Id="rId1" Type="http://schemas.openxmlformats.org/officeDocument/2006/relationships/hyperlink" Target="https://www.dndbeyond.com/equipment/backpack" TargetMode="External"/><Relationship Id="rId6" Type="http://schemas.openxmlformats.org/officeDocument/2006/relationships/hyperlink" Target="https://www.dndbeyond.com/equipment/bottle-glass" TargetMode="External"/></Relationships>
</file>

<file path=xl/worksheets/_rels/sheet47.xml.rels><?xml version="1.0" encoding="UTF-8" standalone="yes"?>
<Relationships xmlns="http://schemas.openxmlformats.org/package/2006/relationships"><Relationship Id="rId3" Type="http://schemas.openxmlformats.org/officeDocument/2006/relationships/table" Target="../tables/table226.xml"/><Relationship Id="rId2" Type="http://schemas.openxmlformats.org/officeDocument/2006/relationships/table" Target="../tables/table225.xml"/><Relationship Id="rId1" Type="http://schemas.openxmlformats.org/officeDocument/2006/relationships/table" Target="../tables/table224.xml"/></Relationships>
</file>

<file path=xl/worksheets/_rels/sheet48.xml.rels><?xml version="1.0" encoding="UTF-8" standalone="yes"?>
<Relationships xmlns="http://schemas.openxmlformats.org/package/2006/relationships"><Relationship Id="rId2" Type="http://schemas.openxmlformats.org/officeDocument/2006/relationships/table" Target="../tables/table228.xml"/><Relationship Id="rId1" Type="http://schemas.openxmlformats.org/officeDocument/2006/relationships/table" Target="../tables/table227.xml"/></Relationships>
</file>

<file path=xl/worksheets/_rels/sheet49.xml.rels><?xml version="1.0" encoding="UTF-8" standalone="yes"?>
<Relationships xmlns="http://schemas.openxmlformats.org/package/2006/relationships"><Relationship Id="rId3" Type="http://schemas.openxmlformats.org/officeDocument/2006/relationships/hyperlink" Target="https://www.youtube.com/c/%D0%90%D0%BD%D1%82%D0%BE%D0%BD%D0%9F%D0%B0%D0%BB%D0%B8%D1%85%D0%BE%D0%B2" TargetMode="External"/><Relationship Id="rId7" Type="http://schemas.openxmlformats.org/officeDocument/2006/relationships/comments" Target="../comments21.xml"/><Relationship Id="rId2" Type="http://schemas.openxmlformats.org/officeDocument/2006/relationships/hyperlink" Target="https://www.twitch.tv/palikhov" TargetMode="External"/><Relationship Id="rId1" Type="http://schemas.openxmlformats.org/officeDocument/2006/relationships/hyperlink" Target="https://cyborgsandmages.wordpress.com/" TargetMode="External"/><Relationship Id="rId6" Type="http://schemas.openxmlformats.org/officeDocument/2006/relationships/vmlDrawing" Target="../drawings/vmlDrawing21.vml"/><Relationship Id="rId5" Type="http://schemas.openxmlformats.org/officeDocument/2006/relationships/drawing" Target="../drawings/drawing14.xml"/><Relationship Id="rId4" Type="http://schemas.openxmlformats.org/officeDocument/2006/relationships/hyperlink" Target="https://www.facebook.com/groups/cyborgsandmag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3A13D-1407-41DA-9C04-716318347227}">
  <dimension ref="A1"/>
  <sheetViews>
    <sheetView topLeftCell="A36" workbookViewId="0"/>
  </sheetViews>
  <sheetFormatPr defaultRowHeight="14.25"/>
  <cols>
    <col min="1" max="1" width="3.5546875" style="2595" customWidth="1"/>
    <col min="2" max="16384" width="8.88671875" style="2595"/>
  </cols>
  <sheetData/>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6B131-4218-428E-AB97-D47AA83E28FD}">
  <sheetPr>
    <tabColor rgb="FF002060"/>
  </sheetPr>
  <dimension ref="A1:H1202"/>
  <sheetViews>
    <sheetView topLeftCell="A76" zoomScale="130" zoomScaleNormal="130" workbookViewId="0">
      <selection activeCell="B75" sqref="B75:B82"/>
    </sheetView>
  </sheetViews>
  <sheetFormatPr defaultRowHeight="14.25" outlineLevelRow="1"/>
  <cols>
    <col min="1" max="1" width="36.21875" style="1" customWidth="1"/>
    <col min="2" max="2" width="49.6640625" style="1" customWidth="1"/>
    <col min="3" max="3" width="16.44140625" style="1" customWidth="1"/>
    <col min="4" max="4" width="23.44140625" style="1" customWidth="1"/>
    <col min="5" max="5" width="33.88671875" style="1" customWidth="1"/>
    <col min="6" max="6" width="18.44140625" style="1" customWidth="1"/>
    <col min="7" max="7" width="19.21875" style="1" customWidth="1"/>
    <col min="8" max="16384" width="8.88671875" style="1"/>
  </cols>
  <sheetData>
    <row r="1" spans="1:6" ht="24.75" thickBot="1">
      <c r="A1" s="2569" t="s">
        <v>12310</v>
      </c>
      <c r="B1" s="2569"/>
      <c r="C1" s="2569"/>
      <c r="D1" s="2569"/>
      <c r="E1" s="2569"/>
      <c r="F1" s="2569"/>
    </row>
    <row r="2" spans="1:6" ht="15" outlineLevel="1" thickTop="1"/>
    <row r="3" spans="1:6" outlineLevel="1">
      <c r="A3" s="1" t="s">
        <v>12311</v>
      </c>
      <c r="B3" s="1" t="s">
        <v>12312</v>
      </c>
      <c r="C3" s="1" t="s">
        <v>12313</v>
      </c>
      <c r="D3" s="1" t="s">
        <v>12314</v>
      </c>
      <c r="E3" s="1" t="s">
        <v>12315</v>
      </c>
      <c r="F3" s="1" t="s">
        <v>12316</v>
      </c>
    </row>
    <row r="4" spans="1:6" outlineLevel="1">
      <c r="A4" s="1" t="s">
        <v>12317</v>
      </c>
      <c r="B4" s="2524">
        <v>1</v>
      </c>
      <c r="C4" s="2524">
        <v>0.1</v>
      </c>
      <c r="D4" s="2524">
        <v>0.5</v>
      </c>
      <c r="E4" s="2524">
        <v>1</v>
      </c>
      <c r="F4" s="2524">
        <v>2</v>
      </c>
    </row>
    <row r="5" spans="1:6" outlineLevel="1">
      <c r="A5" s="1" t="s">
        <v>12318</v>
      </c>
      <c r="B5" s="2524">
        <v>-0.1</v>
      </c>
      <c r="C5" s="2524">
        <v>1</v>
      </c>
      <c r="D5" s="2524">
        <v>0.1</v>
      </c>
      <c r="E5" s="2524">
        <v>0.5</v>
      </c>
      <c r="F5" s="2524">
        <v>1</v>
      </c>
    </row>
    <row r="6" spans="1:6" outlineLevel="1">
      <c r="A6" s="1" t="s">
        <v>12319</v>
      </c>
      <c r="B6" s="2524">
        <v>-0.25</v>
      </c>
      <c r="C6" s="2524">
        <v>-0.1</v>
      </c>
      <c r="D6" s="2524">
        <v>1</v>
      </c>
      <c r="E6" s="2524">
        <v>0.1</v>
      </c>
      <c r="F6" s="2524">
        <v>0.5</v>
      </c>
    </row>
    <row r="7" spans="1:6" outlineLevel="1">
      <c r="A7" s="1" t="s">
        <v>12320</v>
      </c>
      <c r="B7" s="2524">
        <v>-0.4</v>
      </c>
      <c r="C7" s="2524">
        <v>-0.25</v>
      </c>
      <c r="D7" s="2524">
        <v>-0.1</v>
      </c>
      <c r="E7" s="2524">
        <v>1</v>
      </c>
      <c r="F7" s="2524">
        <v>0.1</v>
      </c>
    </row>
    <row r="8" spans="1:6" outlineLevel="1">
      <c r="A8" s="1" t="s">
        <v>12321</v>
      </c>
      <c r="B8" s="2524">
        <v>-0.75</v>
      </c>
      <c r="C8" s="2524">
        <v>-0.4</v>
      </c>
      <c r="D8" s="2524">
        <v>-0.25</v>
      </c>
      <c r="E8" s="2524">
        <v>-0.1</v>
      </c>
      <c r="F8" s="2524">
        <v>1</v>
      </c>
    </row>
    <row r="9" spans="1:6" outlineLevel="1"/>
    <row r="10" spans="1:6" outlineLevel="1">
      <c r="A10" s="1" t="s">
        <v>12322</v>
      </c>
      <c r="B10" s="1" t="s">
        <v>12323</v>
      </c>
      <c r="C10" s="1" t="s">
        <v>12324</v>
      </c>
      <c r="D10" s="1" t="s">
        <v>12325</v>
      </c>
      <c r="E10" s="1" t="s">
        <v>12326</v>
      </c>
      <c r="F10" s="1" t="s">
        <v>12327</v>
      </c>
    </row>
    <row r="11" spans="1:6" outlineLevel="1">
      <c r="A11" s="1" t="s">
        <v>12328</v>
      </c>
      <c r="B11" s="1" t="s">
        <v>12329</v>
      </c>
      <c r="C11" s="1" t="s">
        <v>12330</v>
      </c>
      <c r="D11" s="1" t="s">
        <v>12331</v>
      </c>
      <c r="E11" s="1" t="s">
        <v>12332</v>
      </c>
      <c r="F11" s="1" t="s">
        <v>12333</v>
      </c>
    </row>
    <row r="12" spans="1:6" outlineLevel="1">
      <c r="A12" s="1" t="s">
        <v>12317</v>
      </c>
      <c r="B12" s="1">
        <v>500</v>
      </c>
      <c r="C12" s="1" t="s">
        <v>12334</v>
      </c>
      <c r="D12" s="1" t="s">
        <v>12334</v>
      </c>
      <c r="E12" s="1" t="s">
        <v>12334</v>
      </c>
      <c r="F12" s="1" t="s">
        <v>12334</v>
      </c>
    </row>
    <row r="13" spans="1:6" outlineLevel="1">
      <c r="A13" s="1" t="s">
        <v>12335</v>
      </c>
      <c r="B13" s="1" t="s">
        <v>12334</v>
      </c>
      <c r="C13" s="1">
        <v>5000</v>
      </c>
      <c r="D13" s="1" t="s">
        <v>12334</v>
      </c>
      <c r="E13" s="1" t="s">
        <v>12334</v>
      </c>
      <c r="F13" s="1" t="s">
        <v>12334</v>
      </c>
    </row>
    <row r="14" spans="1:6" outlineLevel="1">
      <c r="A14" s="1" t="s">
        <v>12336</v>
      </c>
      <c r="B14" s="1" t="s">
        <v>12334</v>
      </c>
      <c r="C14" s="1" t="s">
        <v>12334</v>
      </c>
      <c r="D14" s="1">
        <v>15000</v>
      </c>
      <c r="E14" s="1" t="s">
        <v>12334</v>
      </c>
      <c r="F14" s="1" t="s">
        <v>12334</v>
      </c>
    </row>
    <row r="15" spans="1:6" outlineLevel="1">
      <c r="A15" s="1" t="s">
        <v>12337</v>
      </c>
      <c r="B15" s="1" t="s">
        <v>12334</v>
      </c>
      <c r="C15" s="1" t="s">
        <v>12334</v>
      </c>
      <c r="D15" s="1" t="s">
        <v>12334</v>
      </c>
      <c r="E15" s="1">
        <v>25000</v>
      </c>
      <c r="F15" s="1" t="s">
        <v>12334</v>
      </c>
    </row>
    <row r="16" spans="1:6" outlineLevel="1">
      <c r="A16" s="1" t="s">
        <v>12338</v>
      </c>
      <c r="B16" s="1" t="s">
        <v>12334</v>
      </c>
      <c r="C16" s="1" t="s">
        <v>12334</v>
      </c>
      <c r="D16" s="1" t="s">
        <v>12334</v>
      </c>
      <c r="E16" s="1" t="s">
        <v>12334</v>
      </c>
      <c r="F16" s="1">
        <v>50000</v>
      </c>
    </row>
    <row r="17" spans="1:5" outlineLevel="1"/>
    <row r="18" spans="1:5" outlineLevel="1"/>
    <row r="19" spans="1:5" outlineLevel="1">
      <c r="A19" s="1" t="s">
        <v>12339</v>
      </c>
      <c r="B19" s="1" t="s">
        <v>12340</v>
      </c>
    </row>
    <row r="20" spans="1:5" outlineLevel="1">
      <c r="A20" s="1">
        <v>1</v>
      </c>
    </row>
    <row r="21" spans="1:5" outlineLevel="1">
      <c r="A21" s="1">
        <v>2</v>
      </c>
    </row>
    <row r="22" spans="1:5" outlineLevel="1">
      <c r="A22" s="1">
        <v>3</v>
      </c>
    </row>
    <row r="23" spans="1:5" outlineLevel="1">
      <c r="A23" s="1">
        <v>4</v>
      </c>
    </row>
    <row r="24" spans="1:5" outlineLevel="1">
      <c r="A24" s="1">
        <v>5</v>
      </c>
    </row>
    <row r="25" spans="1:5" outlineLevel="1">
      <c r="A25" s="1">
        <v>6</v>
      </c>
    </row>
    <row r="26" spans="1:5" outlineLevel="1"/>
    <row r="27" spans="1:5" outlineLevel="1"/>
    <row r="28" spans="1:5" outlineLevel="1">
      <c r="A28" s="2570" t="s">
        <v>12341</v>
      </c>
      <c r="D28" s="1" t="s">
        <v>12342</v>
      </c>
    </row>
    <row r="29" spans="1:5" outlineLevel="1">
      <c r="A29" s="1" t="s">
        <v>12343</v>
      </c>
      <c r="B29" s="1" t="s">
        <v>12344</v>
      </c>
      <c r="D29" s="1" t="s">
        <v>12343</v>
      </c>
      <c r="E29" s="1" t="s">
        <v>12344</v>
      </c>
    </row>
    <row r="30" spans="1:5" outlineLevel="1">
      <c r="A30" s="2568" t="s">
        <v>12345</v>
      </c>
      <c r="B30" s="1" t="s">
        <v>12346</v>
      </c>
      <c r="D30" s="24">
        <v>44166</v>
      </c>
      <c r="E30" s="1" t="s">
        <v>12347</v>
      </c>
    </row>
    <row r="31" spans="1:5" outlineLevel="1">
      <c r="A31" s="25">
        <v>43344</v>
      </c>
      <c r="B31" s="1" t="s">
        <v>12348</v>
      </c>
      <c r="D31" s="1" t="s">
        <v>12349</v>
      </c>
      <c r="E31" s="1" t="s">
        <v>12350</v>
      </c>
    </row>
    <row r="32" spans="1:5" outlineLevel="1">
      <c r="A32" s="1" t="s">
        <v>12351</v>
      </c>
      <c r="B32" s="1" t="s">
        <v>12352</v>
      </c>
      <c r="D32" s="1" t="s">
        <v>12353</v>
      </c>
      <c r="E32" s="1" t="s">
        <v>12354</v>
      </c>
    </row>
    <row r="33" spans="1:5" outlineLevel="1">
      <c r="A33" s="1" t="s">
        <v>12355</v>
      </c>
      <c r="B33" s="1" t="s">
        <v>12356</v>
      </c>
      <c r="D33" s="1" t="s">
        <v>11119</v>
      </c>
      <c r="E33" s="1" t="s">
        <v>12357</v>
      </c>
    </row>
    <row r="34" spans="1:5" outlineLevel="1">
      <c r="A34" s="1" t="s">
        <v>12358</v>
      </c>
      <c r="B34" s="1" t="s">
        <v>12359</v>
      </c>
      <c r="D34" s="1" t="s">
        <v>12360</v>
      </c>
      <c r="E34" s="1" t="s">
        <v>12361</v>
      </c>
    </row>
    <row r="35" spans="1:5" outlineLevel="1">
      <c r="A35" s="1" t="s">
        <v>12362</v>
      </c>
      <c r="B35" s="1" t="s">
        <v>12363</v>
      </c>
      <c r="D35" s="1" t="s">
        <v>12364</v>
      </c>
      <c r="E35" s="1" t="s">
        <v>8494</v>
      </c>
    </row>
    <row r="36" spans="1:5" outlineLevel="1">
      <c r="A36" s="1" t="s">
        <v>12365</v>
      </c>
      <c r="B36" s="1" t="s">
        <v>12366</v>
      </c>
      <c r="D36" s="1" t="s">
        <v>12367</v>
      </c>
      <c r="E36" s="1" t="s">
        <v>12368</v>
      </c>
    </row>
    <row r="37" spans="1:5" outlineLevel="1">
      <c r="A37" s="1" t="s">
        <v>12369</v>
      </c>
      <c r="B37" s="1" t="s">
        <v>12370</v>
      </c>
      <c r="D37" s="1" t="s">
        <v>11072</v>
      </c>
      <c r="E37" s="1" t="s">
        <v>12371</v>
      </c>
    </row>
    <row r="38" spans="1:5" outlineLevel="1">
      <c r="B38" s="1" t="s">
        <v>12372</v>
      </c>
      <c r="D38" s="1" t="s">
        <v>12373</v>
      </c>
      <c r="E38" s="1" t="s">
        <v>12374</v>
      </c>
    </row>
    <row r="39" spans="1:5" outlineLevel="1">
      <c r="A39" s="1" t="s">
        <v>12375</v>
      </c>
      <c r="B39" s="1" t="s">
        <v>12376</v>
      </c>
      <c r="D39" s="1" t="s">
        <v>12377</v>
      </c>
      <c r="E39" s="1" t="s">
        <v>12378</v>
      </c>
    </row>
    <row r="40" spans="1:5" outlineLevel="1">
      <c r="A40" s="1" t="s">
        <v>12379</v>
      </c>
      <c r="B40" s="1" t="s">
        <v>12380</v>
      </c>
      <c r="D40" s="1" t="s">
        <v>12381</v>
      </c>
      <c r="E40" s="1" t="s">
        <v>12382</v>
      </c>
    </row>
    <row r="41" spans="1:5" outlineLevel="1">
      <c r="A41" s="1" t="s">
        <v>12383</v>
      </c>
      <c r="B41" s="1" t="s">
        <v>12384</v>
      </c>
      <c r="D41" s="1" t="s">
        <v>12385</v>
      </c>
      <c r="E41" s="1" t="s">
        <v>12386</v>
      </c>
    </row>
    <row r="42" spans="1:5" outlineLevel="1">
      <c r="A42" s="1" t="s">
        <v>12387</v>
      </c>
      <c r="B42" s="1" t="s">
        <v>12388</v>
      </c>
      <c r="D42" s="1" t="s">
        <v>12389</v>
      </c>
      <c r="E42" s="1" t="s">
        <v>12390</v>
      </c>
    </row>
    <row r="43" spans="1:5" outlineLevel="1">
      <c r="B43" s="1" t="s">
        <v>12391</v>
      </c>
      <c r="D43" s="1" t="s">
        <v>12392</v>
      </c>
      <c r="E43" s="1" t="s">
        <v>12393</v>
      </c>
    </row>
    <row r="44" spans="1:5" outlineLevel="1">
      <c r="A44" s="1" t="s">
        <v>12394</v>
      </c>
      <c r="B44" s="1" t="s">
        <v>12395</v>
      </c>
      <c r="D44" s="1" t="s">
        <v>12396</v>
      </c>
      <c r="E44" s="1" t="s">
        <v>12397</v>
      </c>
    </row>
    <row r="45" spans="1:5" outlineLevel="1"/>
    <row r="46" spans="1:5" outlineLevel="1"/>
    <row r="47" spans="1:5" outlineLevel="1"/>
    <row r="48" spans="1:5" outlineLevel="1">
      <c r="A48" s="2684" t="s">
        <v>12398</v>
      </c>
      <c r="B48" s="2684"/>
      <c r="C48" s="2684"/>
      <c r="D48" s="2684"/>
    </row>
    <row r="49" spans="1:8" outlineLevel="1">
      <c r="A49" s="2520" t="s">
        <v>12398</v>
      </c>
      <c r="B49" s="2571" t="s">
        <v>12399</v>
      </c>
      <c r="C49" s="2571" t="s">
        <v>12400</v>
      </c>
      <c r="D49" s="2518" t="s">
        <v>12026</v>
      </c>
    </row>
    <row r="50" spans="1:8" outlineLevel="1">
      <c r="A50" s="2550" t="s">
        <v>12401</v>
      </c>
      <c r="B50" s="2551" t="s">
        <v>12402</v>
      </c>
      <c r="C50" s="2572">
        <v>-0.2</v>
      </c>
      <c r="D50" s="2553" t="s">
        <v>12403</v>
      </c>
    </row>
    <row r="51" spans="1:8" outlineLevel="1">
      <c r="A51" s="2550" t="s">
        <v>12404</v>
      </c>
      <c r="B51" s="2551" t="s">
        <v>12402</v>
      </c>
      <c r="C51" s="2572">
        <v>-0.1</v>
      </c>
      <c r="D51" s="2553" t="s">
        <v>12405</v>
      </c>
    </row>
    <row r="52" spans="1:8" outlineLevel="1">
      <c r="A52" s="2550" t="s">
        <v>12406</v>
      </c>
      <c r="B52" s="2551" t="s">
        <v>12407</v>
      </c>
      <c r="C52" s="2551" t="s">
        <v>12408</v>
      </c>
      <c r="D52" s="2553" t="s">
        <v>12409</v>
      </c>
    </row>
    <row r="53" spans="1:8" outlineLevel="1">
      <c r="A53" s="2550" t="s">
        <v>12410</v>
      </c>
      <c r="B53" s="2551" t="s">
        <v>12411</v>
      </c>
      <c r="C53" s="2572">
        <v>0.1</v>
      </c>
      <c r="D53" s="2553" t="s">
        <v>12412</v>
      </c>
    </row>
    <row r="54" spans="1:8" outlineLevel="1">
      <c r="A54" s="2550" t="s">
        <v>12413</v>
      </c>
      <c r="B54" s="2551" t="s">
        <v>12411</v>
      </c>
      <c r="C54" s="2572">
        <v>0.2</v>
      </c>
      <c r="D54" s="2553" t="s">
        <v>12414</v>
      </c>
    </row>
    <row r="55" spans="1:8" outlineLevel="1">
      <c r="A55" s="2550" t="s">
        <v>12415</v>
      </c>
      <c r="B55" s="2551" t="s">
        <v>12416</v>
      </c>
      <c r="C55" s="2551">
        <f>30%-40%</f>
        <v>-0.10000000000000003</v>
      </c>
      <c r="D55" s="2553" t="s">
        <v>12417</v>
      </c>
    </row>
    <row r="56" spans="1:8" outlineLevel="1">
      <c r="A56" s="2550" t="s">
        <v>12418</v>
      </c>
      <c r="B56" s="2551" t="s">
        <v>12416</v>
      </c>
      <c r="C56" s="2572">
        <v>0.5</v>
      </c>
      <c r="D56" s="2553" t="s">
        <v>12419</v>
      </c>
    </row>
    <row r="57" spans="1:8" outlineLevel="1">
      <c r="A57" s="2522" t="s">
        <v>12420</v>
      </c>
      <c r="B57" s="2563" t="s">
        <v>12421</v>
      </c>
      <c r="C57" s="2573">
        <v>1</v>
      </c>
      <c r="D57" s="2521" t="s">
        <v>12422</v>
      </c>
    </row>
    <row r="58" spans="1:8" outlineLevel="1"/>
    <row r="59" spans="1:8" outlineLevel="1"/>
    <row r="60" spans="1:8" outlineLevel="1">
      <c r="A60" s="2684" t="s">
        <v>12423</v>
      </c>
      <c r="B60" s="2684"/>
      <c r="C60" s="2684"/>
      <c r="D60" s="2684"/>
      <c r="E60" s="2684"/>
      <c r="F60" s="2684"/>
      <c r="G60" s="2684"/>
      <c r="H60" s="2684"/>
    </row>
    <row r="61" spans="1:8" outlineLevel="1">
      <c r="A61" s="1" t="s">
        <v>12424</v>
      </c>
      <c r="B61" s="1" t="s">
        <v>12425</v>
      </c>
      <c r="C61" s="1" t="s">
        <v>12426</v>
      </c>
      <c r="D61" s="1" t="s">
        <v>12427</v>
      </c>
      <c r="E61" s="1" t="s">
        <v>12428</v>
      </c>
      <c r="F61" s="1" t="s">
        <v>12429</v>
      </c>
      <c r="G61" s="1" t="s">
        <v>12430</v>
      </c>
      <c r="H61" s="1" t="s">
        <v>12431</v>
      </c>
    </row>
    <row r="62" spans="1:8" outlineLevel="1">
      <c r="A62" s="1" t="s">
        <v>12432</v>
      </c>
      <c r="B62" s="1">
        <v>20</v>
      </c>
      <c r="C62" s="1">
        <v>80</v>
      </c>
      <c r="D62" s="1">
        <v>40</v>
      </c>
      <c r="E62" s="1">
        <v>100</v>
      </c>
      <c r="F62" s="1">
        <v>100</v>
      </c>
      <c r="G62" s="1">
        <v>1</v>
      </c>
      <c r="H62" s="1" t="s">
        <v>12433</v>
      </c>
    </row>
    <row r="63" spans="1:8" outlineLevel="1">
      <c r="A63" s="1" t="s">
        <v>12434</v>
      </c>
      <c r="B63" s="1">
        <v>81</v>
      </c>
      <c r="C63" s="1">
        <v>200</v>
      </c>
      <c r="D63" s="1">
        <v>100</v>
      </c>
      <c r="E63" s="1">
        <v>200</v>
      </c>
      <c r="F63" s="1">
        <v>200</v>
      </c>
      <c r="G63" s="1">
        <v>1</v>
      </c>
      <c r="H63" s="1" t="s">
        <v>12433</v>
      </c>
    </row>
    <row r="64" spans="1:8" outlineLevel="1">
      <c r="A64" s="1" t="s">
        <v>1412</v>
      </c>
      <c r="B64" s="1">
        <v>201</v>
      </c>
      <c r="C64" s="1">
        <v>900</v>
      </c>
      <c r="D64" s="1">
        <v>200</v>
      </c>
      <c r="E64" s="1">
        <v>400</v>
      </c>
      <c r="F64" s="1">
        <v>400</v>
      </c>
      <c r="G64" s="1">
        <v>1</v>
      </c>
      <c r="H64" s="1" t="s">
        <v>12433</v>
      </c>
    </row>
    <row r="65" spans="1:8" outlineLevel="1">
      <c r="A65" s="1" t="s">
        <v>12435</v>
      </c>
      <c r="B65" s="1">
        <f>C64+1</f>
        <v>901</v>
      </c>
      <c r="C65" s="1">
        <v>2000</v>
      </c>
      <c r="D65" s="1">
        <v>800</v>
      </c>
      <c r="E65" s="1">
        <v>1.6</v>
      </c>
      <c r="F65" s="1">
        <v>1000</v>
      </c>
      <c r="G65" s="1">
        <v>4</v>
      </c>
      <c r="H65" s="1" t="s">
        <v>12436</v>
      </c>
    </row>
    <row r="66" spans="1:8" outlineLevel="1">
      <c r="A66" s="1" t="s">
        <v>12437</v>
      </c>
      <c r="B66" s="1">
        <f>C65+1</f>
        <v>2001</v>
      </c>
      <c r="C66" s="1">
        <v>5000</v>
      </c>
      <c r="D66" s="1">
        <v>3</v>
      </c>
      <c r="E66" s="1">
        <v>6</v>
      </c>
      <c r="F66" s="1">
        <v>3000</v>
      </c>
      <c r="G66" s="1">
        <v>8</v>
      </c>
      <c r="H66" s="1" t="s">
        <v>12438</v>
      </c>
    </row>
    <row r="67" spans="1:8" outlineLevel="1">
      <c r="A67" s="1" t="s">
        <v>12439</v>
      </c>
      <c r="B67" s="1">
        <f>C66+1</f>
        <v>5001</v>
      </c>
      <c r="C67" s="1">
        <v>12000</v>
      </c>
      <c r="D67" s="1">
        <v>15</v>
      </c>
      <c r="E67" s="1">
        <v>30</v>
      </c>
      <c r="F67" s="1">
        <v>10000</v>
      </c>
      <c r="G67" s="1">
        <v>12</v>
      </c>
      <c r="H67" s="1" t="s">
        <v>12440</v>
      </c>
    </row>
    <row r="68" spans="1:8" outlineLevel="1">
      <c r="A68" s="1" t="s">
        <v>12441</v>
      </c>
      <c r="B68" s="1">
        <f>C67+1</f>
        <v>12001</v>
      </c>
      <c r="C68" s="1">
        <v>25000</v>
      </c>
      <c r="D68" s="1">
        <v>40</v>
      </c>
      <c r="E68" s="1">
        <v>80</v>
      </c>
      <c r="F68" s="1">
        <v>20000</v>
      </c>
      <c r="G68" s="1">
        <v>15</v>
      </c>
      <c r="H68" s="1" t="s">
        <v>12442</v>
      </c>
    </row>
    <row r="69" spans="1:8" outlineLevel="1">
      <c r="A69" s="1" t="s">
        <v>12443</v>
      </c>
      <c r="B69" s="1">
        <f>C68+1</f>
        <v>25001</v>
      </c>
      <c r="D69" s="1">
        <v>100</v>
      </c>
      <c r="E69" s="1">
        <v>200</v>
      </c>
      <c r="F69" s="1">
        <v>50000</v>
      </c>
      <c r="G69" s="1">
        <v>18</v>
      </c>
      <c r="H69" s="2574" t="s">
        <v>12444</v>
      </c>
    </row>
    <row r="70" spans="1:8" outlineLevel="1"/>
    <row r="71" spans="1:8" outlineLevel="1"/>
    <row r="72" spans="1:8" outlineLevel="1"/>
    <row r="73" spans="1:8" outlineLevel="1"/>
    <row r="74" spans="1:8" outlineLevel="1">
      <c r="A74" s="1" t="s">
        <v>12445</v>
      </c>
    </row>
    <row r="75" spans="1:8" outlineLevel="1">
      <c r="A75" s="1" t="s">
        <v>12267</v>
      </c>
      <c r="B75" s="1" t="s">
        <v>12268</v>
      </c>
      <c r="C75" s="1" t="s">
        <v>12269</v>
      </c>
      <c r="D75" s="1" t="s">
        <v>12270</v>
      </c>
      <c r="E75" s="1" t="s">
        <v>12271</v>
      </c>
      <c r="F75" s="1" t="s">
        <v>12272</v>
      </c>
      <c r="G75" s="1" t="s">
        <v>12273</v>
      </c>
    </row>
    <row r="76" spans="1:8" outlineLevel="1">
      <c r="A76" s="1" t="s">
        <v>12276</v>
      </c>
      <c r="B76" s="1" t="s">
        <v>12277</v>
      </c>
      <c r="C76" s="1" t="s">
        <v>12278</v>
      </c>
      <c r="D76" s="1" t="s">
        <v>12279</v>
      </c>
      <c r="E76" s="1" t="s">
        <v>12280</v>
      </c>
      <c r="F76" s="1" t="s">
        <v>12278</v>
      </c>
      <c r="G76" s="1" t="s">
        <v>12279</v>
      </c>
    </row>
    <row r="77" spans="1:8" outlineLevel="1">
      <c r="A77" s="1" t="s">
        <v>12283</v>
      </c>
      <c r="B77" s="1" t="s">
        <v>12284</v>
      </c>
      <c r="C77" s="1" t="s">
        <v>12280</v>
      </c>
      <c r="D77" s="1" t="s">
        <v>12285</v>
      </c>
      <c r="E77" s="1" t="s">
        <v>12286</v>
      </c>
      <c r="F77" s="1" t="s">
        <v>12280</v>
      </c>
      <c r="G77" s="1" t="s">
        <v>12285</v>
      </c>
    </row>
    <row r="78" spans="1:8" outlineLevel="1">
      <c r="A78" s="1" t="s">
        <v>12289</v>
      </c>
      <c r="B78" s="1" t="s">
        <v>12290</v>
      </c>
      <c r="C78" s="1" t="s">
        <v>12286</v>
      </c>
      <c r="D78" s="1" t="s">
        <v>12291</v>
      </c>
      <c r="E78" s="1" t="s">
        <v>6605</v>
      </c>
      <c r="F78" s="1" t="s">
        <v>12286</v>
      </c>
      <c r="G78" s="1" t="s">
        <v>12291</v>
      </c>
    </row>
    <row r="79" spans="1:8" outlineLevel="1">
      <c r="A79" s="1" t="s">
        <v>12294</v>
      </c>
      <c r="B79" s="1" t="s">
        <v>12295</v>
      </c>
      <c r="C79" s="1" t="s">
        <v>6605</v>
      </c>
      <c r="D79" s="1" t="s">
        <v>12296</v>
      </c>
      <c r="E79" s="1" t="s">
        <v>12297</v>
      </c>
      <c r="F79" s="1" t="s">
        <v>6605</v>
      </c>
      <c r="G79" s="1" t="s">
        <v>12296</v>
      </c>
    </row>
    <row r="80" spans="1:8" outlineLevel="1">
      <c r="A80" s="1" t="s">
        <v>2009</v>
      </c>
      <c r="B80" s="1" t="s">
        <v>12300</v>
      </c>
      <c r="C80" s="1" t="s">
        <v>12297</v>
      </c>
      <c r="D80" s="1" t="s">
        <v>12301</v>
      </c>
      <c r="E80" s="1" t="s">
        <v>12302</v>
      </c>
      <c r="F80" s="1" t="s">
        <v>12297</v>
      </c>
      <c r="G80" s="1" t="s">
        <v>12301</v>
      </c>
    </row>
    <row r="81" spans="1:7" outlineLevel="1">
      <c r="A81" s="1" t="s">
        <v>12305</v>
      </c>
      <c r="B81" s="1" t="s">
        <v>12306</v>
      </c>
      <c r="C81" s="1" t="s">
        <v>12302</v>
      </c>
      <c r="D81" s="1" t="s">
        <v>12307</v>
      </c>
      <c r="E81" s="1" t="s">
        <v>12308</v>
      </c>
      <c r="F81" s="1" t="s">
        <v>12302</v>
      </c>
      <c r="G81" s="1" t="s">
        <v>12307</v>
      </c>
    </row>
    <row r="82" spans="1:7" outlineLevel="1"/>
    <row r="83" spans="1:7" outlineLevel="1"/>
    <row r="84" spans="1:7" outlineLevel="1">
      <c r="A84" s="1" t="s">
        <v>12446</v>
      </c>
      <c r="B84" s="1" t="s">
        <v>12447</v>
      </c>
      <c r="C84" s="1" t="s">
        <v>12448</v>
      </c>
      <c r="D84" s="1" t="s">
        <v>12449</v>
      </c>
      <c r="E84" s="1" t="s">
        <v>12450</v>
      </c>
      <c r="F84" s="1" t="s">
        <v>12451</v>
      </c>
      <c r="G84" s="1" t="s">
        <v>12452</v>
      </c>
    </row>
    <row r="85" spans="1:7" outlineLevel="1">
      <c r="A85" s="1" t="s">
        <v>12453</v>
      </c>
      <c r="B85" s="1">
        <v>10000</v>
      </c>
      <c r="C85" s="1" t="s">
        <v>12454</v>
      </c>
      <c r="D85" s="1" t="s">
        <v>12455</v>
      </c>
      <c r="E85" s="1" t="s">
        <v>12456</v>
      </c>
      <c r="F85" s="1">
        <v>325</v>
      </c>
      <c r="G85" s="1">
        <v>875</v>
      </c>
    </row>
    <row r="86" spans="1:7" outlineLevel="1">
      <c r="A86" s="1" t="s">
        <v>12457</v>
      </c>
      <c r="B86" s="1">
        <v>20000</v>
      </c>
      <c r="C86" s="1" t="s">
        <v>12458</v>
      </c>
      <c r="D86" s="1" t="s">
        <v>12459</v>
      </c>
      <c r="E86" s="1" t="s">
        <v>12460</v>
      </c>
      <c r="F86" s="1">
        <v>525</v>
      </c>
      <c r="G86" s="1">
        <v>2600</v>
      </c>
    </row>
    <row r="87" spans="1:7" outlineLevel="1">
      <c r="A87" s="1" t="s">
        <v>12461</v>
      </c>
      <c r="B87" s="1">
        <v>3600</v>
      </c>
      <c r="C87" s="1" t="s">
        <v>12462</v>
      </c>
      <c r="D87" s="1" t="s">
        <v>12463</v>
      </c>
      <c r="E87" s="1" t="s">
        <v>12464</v>
      </c>
      <c r="F87" s="1">
        <v>515</v>
      </c>
      <c r="G87" s="1">
        <v>120</v>
      </c>
    </row>
    <row r="88" spans="1:7" outlineLevel="1">
      <c r="A88" s="1" t="s">
        <v>12465</v>
      </c>
      <c r="B88" s="1">
        <v>7200</v>
      </c>
      <c r="C88" s="1" t="s">
        <v>12466</v>
      </c>
      <c r="D88" s="1" t="s">
        <v>12467</v>
      </c>
      <c r="E88" s="1" t="s">
        <v>12468</v>
      </c>
      <c r="F88" s="1">
        <v>825</v>
      </c>
      <c r="G88" s="1">
        <v>600</v>
      </c>
    </row>
    <row r="89" spans="1:7" outlineLevel="1">
      <c r="A89" s="1" t="s">
        <v>12469</v>
      </c>
      <c r="B89" s="1">
        <v>10800</v>
      </c>
      <c r="C89" s="1" t="s">
        <v>12470</v>
      </c>
      <c r="D89" s="1" t="s">
        <v>12471</v>
      </c>
      <c r="E89" s="1" t="s">
        <v>12472</v>
      </c>
      <c r="F89" s="1">
        <v>1150</v>
      </c>
      <c r="G89" s="1">
        <v>1050</v>
      </c>
    </row>
    <row r="90" spans="1:7" outlineLevel="1">
      <c r="A90" s="1" t="s">
        <v>12473</v>
      </c>
      <c r="B90" s="1">
        <v>14500</v>
      </c>
      <c r="C90" s="1" t="s">
        <v>12474</v>
      </c>
      <c r="D90" s="1" t="s">
        <v>12475</v>
      </c>
      <c r="E90" s="1" t="s">
        <v>12476</v>
      </c>
      <c r="F90" s="1">
        <v>1450</v>
      </c>
      <c r="G90" s="1">
        <v>1475</v>
      </c>
    </row>
    <row r="91" spans="1:7" outlineLevel="1"/>
    <row r="92" spans="1:7" outlineLevel="1">
      <c r="A92" s="2568" t="s">
        <v>12477</v>
      </c>
      <c r="B92" s="2568"/>
      <c r="C92" s="2568"/>
      <c r="D92" s="2568"/>
      <c r="E92" s="2568"/>
    </row>
    <row r="93" spans="1:7" outlineLevel="1">
      <c r="A93" s="2568" t="s">
        <v>10542</v>
      </c>
      <c r="B93" s="2568" t="s">
        <v>12478</v>
      </c>
      <c r="C93" s="2568" t="s">
        <v>12479</v>
      </c>
      <c r="D93" s="2568" t="s">
        <v>12480</v>
      </c>
      <c r="E93" s="2568" t="s">
        <v>12481</v>
      </c>
    </row>
    <row r="94" spans="1:7" outlineLevel="1">
      <c r="A94" s="2568" t="s">
        <v>12482</v>
      </c>
      <c r="B94" s="2568" t="s">
        <v>12483</v>
      </c>
      <c r="C94" s="2568" t="s">
        <v>12484</v>
      </c>
      <c r="D94" s="2568" t="s">
        <v>11430</v>
      </c>
      <c r="E94" s="2568" t="s">
        <v>11360</v>
      </c>
    </row>
    <row r="95" spans="1:7" outlineLevel="1">
      <c r="A95" s="2568" t="s">
        <v>12485</v>
      </c>
      <c r="B95" s="2568" t="s">
        <v>12486</v>
      </c>
      <c r="C95" s="2568" t="s">
        <v>12487</v>
      </c>
      <c r="D95" s="2568" t="s">
        <v>11430</v>
      </c>
      <c r="E95" s="2568" t="s">
        <v>11400</v>
      </c>
    </row>
    <row r="96" spans="1:7" outlineLevel="1">
      <c r="A96" s="2568" t="s">
        <v>12488</v>
      </c>
      <c r="B96" s="2568" t="s">
        <v>12489</v>
      </c>
      <c r="C96" s="2568" t="s">
        <v>12490</v>
      </c>
      <c r="D96" s="2568" t="s">
        <v>11430</v>
      </c>
      <c r="E96" s="2568" t="s">
        <v>11400</v>
      </c>
    </row>
    <row r="97" spans="1:5" outlineLevel="1">
      <c r="A97" s="2568" t="s">
        <v>12349</v>
      </c>
      <c r="B97" s="2568" t="s">
        <v>12491</v>
      </c>
      <c r="C97" s="2568" t="s">
        <v>12492</v>
      </c>
      <c r="D97" s="2568" t="s">
        <v>12493</v>
      </c>
      <c r="E97" s="2568" t="s">
        <v>12493</v>
      </c>
    </row>
    <row r="98" spans="1:5" outlineLevel="1">
      <c r="A98" s="2568" t="s">
        <v>12353</v>
      </c>
      <c r="B98" s="2568" t="s">
        <v>12494</v>
      </c>
      <c r="C98" s="2568" t="s">
        <v>12495</v>
      </c>
      <c r="D98" s="2568" t="s">
        <v>11430</v>
      </c>
      <c r="E98" s="2568" t="s">
        <v>11450</v>
      </c>
    </row>
    <row r="99" spans="1:5" outlineLevel="1">
      <c r="A99" s="2568" t="s">
        <v>12496</v>
      </c>
      <c r="B99" s="2568" t="s">
        <v>12497</v>
      </c>
      <c r="C99" s="2568" t="s">
        <v>12487</v>
      </c>
      <c r="D99" s="2568" t="s">
        <v>11430</v>
      </c>
      <c r="E99" s="2568" t="s">
        <v>11450</v>
      </c>
    </row>
    <row r="100" spans="1:5" outlineLevel="1">
      <c r="A100" s="2568" t="s">
        <v>12498</v>
      </c>
      <c r="B100" s="2568" t="s">
        <v>12499</v>
      </c>
      <c r="C100" s="2568" t="s">
        <v>12500</v>
      </c>
      <c r="D100" s="2568" t="s">
        <v>11380</v>
      </c>
      <c r="E100" s="2568" t="s">
        <v>11450</v>
      </c>
    </row>
    <row r="101" spans="1:5" outlineLevel="1">
      <c r="A101" s="2568" t="s">
        <v>12501</v>
      </c>
      <c r="B101" s="2568" t="s">
        <v>12502</v>
      </c>
      <c r="C101" s="2568" t="s">
        <v>12503</v>
      </c>
      <c r="D101" s="2568" t="s">
        <v>11370</v>
      </c>
      <c r="E101" s="2568" t="s">
        <v>11450</v>
      </c>
    </row>
    <row r="102" spans="1:5" outlineLevel="1">
      <c r="A102" s="2568" t="s">
        <v>12504</v>
      </c>
      <c r="B102" s="2568" t="s">
        <v>12505</v>
      </c>
      <c r="C102" s="2568" t="s">
        <v>12506</v>
      </c>
      <c r="D102" s="2568" t="s">
        <v>11380</v>
      </c>
      <c r="E102" s="2568" t="s">
        <v>12507</v>
      </c>
    </row>
    <row r="103" spans="1:5" outlineLevel="1">
      <c r="A103" s="2568" t="s">
        <v>12508</v>
      </c>
      <c r="B103" s="2568" t="s">
        <v>12509</v>
      </c>
      <c r="C103" s="2568" t="s">
        <v>12510</v>
      </c>
      <c r="D103" s="2568" t="s">
        <v>11360</v>
      </c>
      <c r="E103" s="2568" t="s">
        <v>12507</v>
      </c>
    </row>
    <row r="104" spans="1:5" outlineLevel="1">
      <c r="A104" s="2568" t="s">
        <v>12511</v>
      </c>
      <c r="B104" s="2568" t="s">
        <v>12512</v>
      </c>
      <c r="C104" s="2568" t="s">
        <v>12513</v>
      </c>
      <c r="D104" s="2568" t="s">
        <v>11450</v>
      </c>
      <c r="E104" s="2568" t="s">
        <v>12514</v>
      </c>
    </row>
    <row r="105" spans="1:5" outlineLevel="1">
      <c r="A105" s="2568" t="s">
        <v>12515</v>
      </c>
      <c r="B105" s="2568" t="s">
        <v>12516</v>
      </c>
      <c r="C105" s="2568" t="s">
        <v>12487</v>
      </c>
      <c r="D105" s="2568" t="s">
        <v>11430</v>
      </c>
      <c r="E105" s="2568" t="s">
        <v>12514</v>
      </c>
    </row>
    <row r="106" spans="1:5" outlineLevel="1">
      <c r="A106" s="2568" t="s">
        <v>12517</v>
      </c>
      <c r="B106" s="2568" t="s">
        <v>12518</v>
      </c>
      <c r="C106" s="2568" t="s">
        <v>12519</v>
      </c>
      <c r="D106" s="2568" t="s">
        <v>11430</v>
      </c>
      <c r="E106" s="2568" t="s">
        <v>12514</v>
      </c>
    </row>
    <row r="107" spans="1:5" outlineLevel="1">
      <c r="A107" s="2568" t="s">
        <v>12520</v>
      </c>
      <c r="B107" s="2568" t="s">
        <v>12521</v>
      </c>
      <c r="C107" s="2568" t="s">
        <v>12522</v>
      </c>
      <c r="D107" s="2568" t="s">
        <v>11366</v>
      </c>
      <c r="E107" s="2568" t="s">
        <v>12514</v>
      </c>
    </row>
    <row r="108" spans="1:5" outlineLevel="1">
      <c r="A108" s="2568" t="s">
        <v>12523</v>
      </c>
      <c r="B108" s="2568" t="s">
        <v>12524</v>
      </c>
      <c r="C108" s="2568" t="s">
        <v>12525</v>
      </c>
      <c r="D108" s="2568" t="s">
        <v>11360</v>
      </c>
      <c r="E108" s="2568" t="s">
        <v>12514</v>
      </c>
    </row>
    <row r="109" spans="1:5" outlineLevel="1">
      <c r="A109" s="2568" t="s">
        <v>12526</v>
      </c>
      <c r="B109" s="2568" t="s">
        <v>6002</v>
      </c>
      <c r="C109" s="2568" t="s">
        <v>12527</v>
      </c>
      <c r="D109" s="2568" t="s">
        <v>11360</v>
      </c>
      <c r="E109" s="2568" t="s">
        <v>12514</v>
      </c>
    </row>
    <row r="110" spans="1:5" outlineLevel="1">
      <c r="A110" s="2568" t="s">
        <v>12528</v>
      </c>
      <c r="B110" s="2568" t="s">
        <v>12529</v>
      </c>
      <c r="C110" s="2568" t="s">
        <v>12527</v>
      </c>
      <c r="D110" s="2568" t="s">
        <v>11360</v>
      </c>
      <c r="E110" s="2568" t="s">
        <v>12530</v>
      </c>
    </row>
    <row r="111" spans="1:5" outlineLevel="1">
      <c r="A111" s="2568" t="s">
        <v>12531</v>
      </c>
      <c r="B111" s="2568" t="s">
        <v>12532</v>
      </c>
      <c r="C111" s="2568" t="s">
        <v>12500</v>
      </c>
      <c r="D111" s="2568" t="s">
        <v>11375</v>
      </c>
      <c r="E111" s="2568" t="s">
        <v>12533</v>
      </c>
    </row>
    <row r="112" spans="1:5" outlineLevel="1">
      <c r="A112" s="2568" t="s">
        <v>12534</v>
      </c>
      <c r="B112" s="2568" t="s">
        <v>12535</v>
      </c>
      <c r="C112" s="2568" t="s">
        <v>12525</v>
      </c>
      <c r="D112" s="2568" t="s">
        <v>11360</v>
      </c>
      <c r="E112" s="2568" t="s">
        <v>12536</v>
      </c>
    </row>
    <row r="113" spans="1:5" outlineLevel="1">
      <c r="A113" s="2568" t="s">
        <v>12537</v>
      </c>
      <c r="B113" s="2568" t="s">
        <v>12538</v>
      </c>
      <c r="C113" s="2568" t="s">
        <v>12539</v>
      </c>
      <c r="D113" s="2568" t="s">
        <v>12493</v>
      </c>
      <c r="E113" s="2568" t="s">
        <v>12493</v>
      </c>
    </row>
    <row r="114" spans="1:5" outlineLevel="1">
      <c r="A114" s="2568" t="s">
        <v>12540</v>
      </c>
      <c r="B114" s="2568" t="s">
        <v>12541</v>
      </c>
      <c r="C114" s="2568"/>
      <c r="D114" s="2568"/>
      <c r="E114" s="2568"/>
    </row>
    <row r="115" spans="1:5" outlineLevel="1"/>
    <row r="116" spans="1:5" outlineLevel="1"/>
    <row r="117" spans="1:5" outlineLevel="1">
      <c r="B117" s="2568"/>
      <c r="C117" s="2568"/>
      <c r="D117" s="2568"/>
      <c r="E117" s="2568"/>
    </row>
    <row r="118" spans="1:5" outlineLevel="1">
      <c r="A118" s="2568" t="s">
        <v>12542</v>
      </c>
      <c r="B118" s="2568"/>
      <c r="C118" s="2568"/>
      <c r="D118" s="2568"/>
      <c r="E118" s="2568"/>
    </row>
    <row r="119" spans="1:5" outlineLevel="1">
      <c r="A119" s="2568" t="s">
        <v>10542</v>
      </c>
      <c r="B119" s="2568" t="s">
        <v>12478</v>
      </c>
      <c r="C119" s="2568" t="s">
        <v>12479</v>
      </c>
      <c r="D119" s="2568" t="s">
        <v>12480</v>
      </c>
      <c r="E119" s="2568" t="s">
        <v>12481</v>
      </c>
    </row>
    <row r="120" spans="1:5" outlineLevel="1">
      <c r="A120" s="2568" t="s">
        <v>12543</v>
      </c>
      <c r="B120" s="2568" t="s">
        <v>12544</v>
      </c>
      <c r="C120" s="2568" t="s">
        <v>12527</v>
      </c>
      <c r="D120" s="2568" t="s">
        <v>11355</v>
      </c>
      <c r="E120" s="2568" t="s">
        <v>12545</v>
      </c>
    </row>
    <row r="121" spans="1:5" outlineLevel="1">
      <c r="A121" s="2568" t="s">
        <v>12546</v>
      </c>
      <c r="B121" s="2568" t="s">
        <v>12547</v>
      </c>
      <c r="C121" s="2568" t="s">
        <v>12548</v>
      </c>
      <c r="D121" s="2568" t="s">
        <v>11366</v>
      </c>
      <c r="E121" s="2568" t="s">
        <v>12549</v>
      </c>
    </row>
    <row r="122" spans="1:5" outlineLevel="1">
      <c r="A122" s="2568" t="s">
        <v>12550</v>
      </c>
      <c r="B122" s="2568" t="s">
        <v>12551</v>
      </c>
      <c r="C122" s="2568" t="s">
        <v>12552</v>
      </c>
      <c r="D122" s="2568" t="s">
        <v>11355</v>
      </c>
      <c r="E122" s="2568" t="s">
        <v>12549</v>
      </c>
    </row>
    <row r="123" spans="1:5" outlineLevel="1">
      <c r="A123" s="2568" t="s">
        <v>12553</v>
      </c>
      <c r="B123" s="2568" t="s">
        <v>12554</v>
      </c>
      <c r="C123" s="2568" t="s">
        <v>12555</v>
      </c>
      <c r="D123" s="2568" t="s">
        <v>11354</v>
      </c>
      <c r="E123" s="2568" t="s">
        <v>12556</v>
      </c>
    </row>
    <row r="124" spans="1:5" outlineLevel="1">
      <c r="A124" s="2568" t="s">
        <v>12557</v>
      </c>
      <c r="B124" s="2568" t="s">
        <v>8494</v>
      </c>
      <c r="C124" s="2568" t="s">
        <v>12558</v>
      </c>
      <c r="D124" s="2568" t="s">
        <v>11358</v>
      </c>
      <c r="E124" s="2568" t="s">
        <v>12559</v>
      </c>
    </row>
    <row r="125" spans="1:5" outlineLevel="1">
      <c r="A125" s="2568" t="s">
        <v>12560</v>
      </c>
      <c r="B125" s="2568" t="s">
        <v>11990</v>
      </c>
      <c r="C125" s="2568" t="s">
        <v>12561</v>
      </c>
      <c r="D125" s="2568" t="s">
        <v>10684</v>
      </c>
      <c r="E125" s="2568" t="s">
        <v>12559</v>
      </c>
    </row>
    <row r="126" spans="1:5" outlineLevel="1">
      <c r="A126" s="2568" t="s">
        <v>12562</v>
      </c>
      <c r="B126" s="2568" t="s">
        <v>12563</v>
      </c>
      <c r="C126" s="2568" t="s">
        <v>12525</v>
      </c>
      <c r="D126" s="2568" t="s">
        <v>11360</v>
      </c>
      <c r="E126" s="2568" t="s">
        <v>12564</v>
      </c>
    </row>
    <row r="127" spans="1:5" outlineLevel="1">
      <c r="A127" s="2568" t="s">
        <v>12565</v>
      </c>
      <c r="B127" s="2568" t="s">
        <v>12566</v>
      </c>
      <c r="C127" s="2568" t="s">
        <v>12567</v>
      </c>
      <c r="D127" s="2568" t="s">
        <v>11353</v>
      </c>
      <c r="E127" s="2568" t="s">
        <v>12564</v>
      </c>
    </row>
    <row r="128" spans="1:5" outlineLevel="1">
      <c r="A128" s="2568" t="s">
        <v>12568</v>
      </c>
      <c r="B128" s="2568" t="s">
        <v>12569</v>
      </c>
      <c r="C128" s="2568" t="s">
        <v>12570</v>
      </c>
      <c r="D128" s="2568" t="s">
        <v>11370</v>
      </c>
      <c r="E128" s="2568" t="s">
        <v>12571</v>
      </c>
    </row>
    <row r="129" spans="1:6" outlineLevel="1">
      <c r="A129" s="2568" t="s">
        <v>12572</v>
      </c>
      <c r="B129" s="2568" t="s">
        <v>12573</v>
      </c>
      <c r="C129" s="2568" t="s">
        <v>12567</v>
      </c>
      <c r="D129" s="2568" t="s">
        <v>10684</v>
      </c>
      <c r="E129" s="2568" t="s">
        <v>12564</v>
      </c>
    </row>
    <row r="130" spans="1:6" outlineLevel="1">
      <c r="A130" s="2568" t="s">
        <v>12574</v>
      </c>
      <c r="B130" s="2568" t="s">
        <v>12575</v>
      </c>
      <c r="C130" s="2568" t="s">
        <v>12567</v>
      </c>
      <c r="D130" s="2568" t="s">
        <v>10684</v>
      </c>
      <c r="E130" s="2568" t="s">
        <v>12576</v>
      </c>
    </row>
    <row r="131" spans="1:6" outlineLevel="1"/>
    <row r="132" spans="1:6" outlineLevel="1"/>
    <row r="133" spans="1:6" outlineLevel="1">
      <c r="A133" s="1" t="s">
        <v>12491</v>
      </c>
    </row>
    <row r="134" spans="1:6" outlineLevel="1">
      <c r="A134" s="2568" t="s">
        <v>10542</v>
      </c>
      <c r="B134" s="2568" t="s">
        <v>12577</v>
      </c>
      <c r="C134" s="2568" t="s">
        <v>12578</v>
      </c>
      <c r="D134" s="2568" t="s">
        <v>12579</v>
      </c>
      <c r="E134" s="2568" t="s">
        <v>12580</v>
      </c>
      <c r="F134" s="2568" t="s">
        <v>12581</v>
      </c>
    </row>
    <row r="135" spans="1:6" outlineLevel="1">
      <c r="A135" s="2568" t="s">
        <v>10684</v>
      </c>
      <c r="B135" s="2568" t="s">
        <v>12582</v>
      </c>
      <c r="C135" s="2568" t="s">
        <v>12583</v>
      </c>
      <c r="D135" s="2568" t="s">
        <v>12584</v>
      </c>
      <c r="E135" s="2568" t="s">
        <v>12585</v>
      </c>
      <c r="F135" s="2568" t="s">
        <v>11410</v>
      </c>
    </row>
    <row r="136" spans="1:6" outlineLevel="1">
      <c r="A136" s="2568" t="s">
        <v>11352</v>
      </c>
      <c r="B136" s="2568" t="s">
        <v>12586</v>
      </c>
      <c r="C136" s="2568" t="s">
        <v>11356</v>
      </c>
      <c r="D136" s="2568" t="s">
        <v>12587</v>
      </c>
      <c r="E136" s="2568" t="s">
        <v>12585</v>
      </c>
      <c r="F136" s="2568" t="s">
        <v>11410</v>
      </c>
    </row>
    <row r="137" spans="1:6" outlineLevel="1">
      <c r="A137" s="2568" t="s">
        <v>11353</v>
      </c>
      <c r="B137" s="2568" t="s">
        <v>12588</v>
      </c>
      <c r="C137" s="2568" t="s">
        <v>11362</v>
      </c>
      <c r="D137" s="2568" t="s">
        <v>12589</v>
      </c>
      <c r="E137" s="2568" t="s">
        <v>12585</v>
      </c>
      <c r="F137" s="2568" t="s">
        <v>11410</v>
      </c>
    </row>
    <row r="138" spans="1:6" outlineLevel="1">
      <c r="A138" s="2568" t="s">
        <v>11354</v>
      </c>
      <c r="B138" s="2568" t="s">
        <v>12590</v>
      </c>
      <c r="C138" s="2568" t="s">
        <v>11400</v>
      </c>
      <c r="D138" s="2568" t="s">
        <v>12591</v>
      </c>
      <c r="E138" s="2568" t="s">
        <v>12585</v>
      </c>
      <c r="F138" s="2568" t="s">
        <v>11400</v>
      </c>
    </row>
    <row r="139" spans="1:6" outlineLevel="1">
      <c r="A139" s="2568" t="s">
        <v>12592</v>
      </c>
      <c r="B139" s="2568" t="s">
        <v>12593</v>
      </c>
      <c r="C139" s="2568" t="s">
        <v>12507</v>
      </c>
      <c r="D139" s="2568" t="s">
        <v>12594</v>
      </c>
      <c r="E139" s="2568" t="s">
        <v>12585</v>
      </c>
      <c r="F139" s="2568" t="s">
        <v>11430</v>
      </c>
    </row>
    <row r="140" spans="1:6" outlineLevel="1">
      <c r="A140" s="2568" t="s">
        <v>11357</v>
      </c>
      <c r="B140" s="2568" t="s">
        <v>2851</v>
      </c>
      <c r="C140" s="2568" t="s">
        <v>12514</v>
      </c>
      <c r="D140" s="2568" t="s">
        <v>12595</v>
      </c>
      <c r="E140" s="2568" t="s">
        <v>12596</v>
      </c>
      <c r="F140" s="2568" t="s">
        <v>12549</v>
      </c>
    </row>
    <row r="141" spans="1:6" outlineLevel="1">
      <c r="A141" s="2568" t="s">
        <v>11358</v>
      </c>
      <c r="B141" s="2568" t="s">
        <v>4844</v>
      </c>
      <c r="C141" s="2568" t="s">
        <v>12564</v>
      </c>
      <c r="D141" s="2568" t="s">
        <v>12597</v>
      </c>
      <c r="E141" s="2568" t="s">
        <v>12598</v>
      </c>
      <c r="F141" s="2568" t="s">
        <v>12599</v>
      </c>
    </row>
    <row r="142" spans="1:6" outlineLevel="1"/>
    <row r="143" spans="1:6" ht="24.75" thickBot="1">
      <c r="A143" s="2569" t="s">
        <v>12600</v>
      </c>
    </row>
    <row r="144" spans="1:6" ht="15" outlineLevel="1" thickTop="1"/>
    <row r="145" spans="1:3" outlineLevel="1">
      <c r="A145" s="1" t="s">
        <v>12601</v>
      </c>
      <c r="B145" s="1" t="s">
        <v>12602</v>
      </c>
      <c r="C145" s="1" t="s">
        <v>12603</v>
      </c>
    </row>
    <row r="146" spans="1:3" outlineLevel="1">
      <c r="A146" s="1">
        <v>1</v>
      </c>
      <c r="B146" s="1" t="s">
        <v>12604</v>
      </c>
    </row>
    <row r="147" spans="1:3" outlineLevel="1">
      <c r="A147" s="1">
        <v>2</v>
      </c>
      <c r="B147" s="1" t="s">
        <v>12605</v>
      </c>
    </row>
    <row r="148" spans="1:3" outlineLevel="1">
      <c r="A148" s="1">
        <v>3</v>
      </c>
      <c r="B148" s="1" t="s">
        <v>12606</v>
      </c>
      <c r="C148" s="1" t="s">
        <v>12607</v>
      </c>
    </row>
    <row r="149" spans="1:3" outlineLevel="1">
      <c r="A149" s="1">
        <v>4</v>
      </c>
      <c r="B149" s="1" t="s">
        <v>12608</v>
      </c>
      <c r="C149" s="1" t="s">
        <v>12609</v>
      </c>
    </row>
    <row r="150" spans="1:3" outlineLevel="1">
      <c r="B150" s="1" t="s">
        <v>12610</v>
      </c>
    </row>
    <row r="151" spans="1:3" outlineLevel="1">
      <c r="A151" s="1">
        <v>5</v>
      </c>
      <c r="B151" s="1" t="s">
        <v>12611</v>
      </c>
      <c r="C151" s="1" t="s">
        <v>12612</v>
      </c>
    </row>
    <row r="152" spans="1:3" outlineLevel="1">
      <c r="A152" s="1">
        <v>6</v>
      </c>
      <c r="B152" s="1" t="s">
        <v>12613</v>
      </c>
      <c r="C152" s="1" t="s">
        <v>12614</v>
      </c>
    </row>
    <row r="153" spans="1:3" ht="71.25" outlineLevel="1">
      <c r="A153" s="1">
        <v>7</v>
      </c>
      <c r="B153" s="1" t="s">
        <v>12615</v>
      </c>
      <c r="C153" s="2480" t="s">
        <v>12616</v>
      </c>
    </row>
    <row r="154" spans="1:3" outlineLevel="1">
      <c r="A154" s="1">
        <v>8</v>
      </c>
      <c r="B154" s="1" t="s">
        <v>12617</v>
      </c>
      <c r="C154" s="1" t="s">
        <v>12618</v>
      </c>
    </row>
    <row r="155" spans="1:3" outlineLevel="1">
      <c r="A155" s="1">
        <v>9</v>
      </c>
      <c r="B155" s="1" t="s">
        <v>12619</v>
      </c>
      <c r="C155" s="1" t="s">
        <v>12620</v>
      </c>
    </row>
    <row r="156" spans="1:3" outlineLevel="1">
      <c r="B156" s="1" t="s">
        <v>12621</v>
      </c>
    </row>
    <row r="157" spans="1:3" outlineLevel="1">
      <c r="B157" s="1" t="s">
        <v>12622</v>
      </c>
    </row>
    <row r="158" spans="1:3" outlineLevel="1">
      <c r="B158" s="1" t="s">
        <v>12623</v>
      </c>
    </row>
    <row r="159" spans="1:3" outlineLevel="1">
      <c r="B159" s="1" t="s">
        <v>12624</v>
      </c>
      <c r="C159" s="1" t="s">
        <v>12625</v>
      </c>
    </row>
    <row r="160" spans="1:3" outlineLevel="1">
      <c r="B160" s="1" t="s">
        <v>12626</v>
      </c>
      <c r="C160" s="1" t="s">
        <v>12627</v>
      </c>
    </row>
    <row r="161" spans="1:5" outlineLevel="1">
      <c r="B161" s="1" t="s">
        <v>12628</v>
      </c>
    </row>
    <row r="162" spans="1:5" outlineLevel="1">
      <c r="B162" s="1" t="s">
        <v>12629</v>
      </c>
    </row>
    <row r="163" spans="1:5" outlineLevel="1">
      <c r="B163" s="1" t="s">
        <v>12630</v>
      </c>
      <c r="C163" s="1" t="s">
        <v>12631</v>
      </c>
    </row>
    <row r="164" spans="1:5" outlineLevel="1">
      <c r="B164" s="1" t="s">
        <v>12632</v>
      </c>
    </row>
    <row r="165" spans="1:5" outlineLevel="1">
      <c r="B165" s="1" t="s">
        <v>12633</v>
      </c>
      <c r="C165" s="1" t="s">
        <v>12634</v>
      </c>
    </row>
    <row r="166" spans="1:5" outlineLevel="1">
      <c r="B166" s="1" t="s">
        <v>12635</v>
      </c>
    </row>
    <row r="167" spans="1:5" outlineLevel="1">
      <c r="C167" s="1" t="s">
        <v>12636</v>
      </c>
    </row>
    <row r="168" spans="1:5" outlineLevel="1"/>
    <row r="169" spans="1:5" ht="24.75" thickBot="1">
      <c r="A169" s="2569" t="s">
        <v>12637</v>
      </c>
    </row>
    <row r="170" spans="1:5" ht="15" outlineLevel="1" thickTop="1"/>
    <row r="171" spans="1:5" outlineLevel="1">
      <c r="A171" s="1" t="s">
        <v>12638</v>
      </c>
      <c r="B171" s="1" t="s">
        <v>12639</v>
      </c>
      <c r="C171" s="1" t="s">
        <v>2235</v>
      </c>
      <c r="D171" s="1" t="s">
        <v>12640</v>
      </c>
      <c r="E171" s="2575" t="s">
        <v>12641</v>
      </c>
    </row>
    <row r="172" spans="1:5" ht="16.5" outlineLevel="1">
      <c r="A172" s="1" t="s">
        <v>4041</v>
      </c>
      <c r="B172" s="2576" t="s">
        <v>12642</v>
      </c>
      <c r="C172" s="2577">
        <v>15</v>
      </c>
      <c r="D172" s="2577" t="s">
        <v>305</v>
      </c>
      <c r="E172" s="2575" t="s">
        <v>12643</v>
      </c>
    </row>
    <row r="173" spans="1:5" ht="16.5" outlineLevel="1">
      <c r="A173" s="1" t="s">
        <v>12644</v>
      </c>
      <c r="B173" s="2576" t="s">
        <v>12645</v>
      </c>
      <c r="C173" s="2577">
        <v>25</v>
      </c>
      <c r="D173" s="2577"/>
    </row>
    <row r="174" spans="1:5" ht="16.5" outlineLevel="1">
      <c r="A174" s="1" t="s">
        <v>12646</v>
      </c>
      <c r="B174" s="2576">
        <v>1</v>
      </c>
      <c r="C174" s="2577">
        <v>50</v>
      </c>
      <c r="D174" s="2577"/>
    </row>
    <row r="175" spans="1:5" ht="16.5" outlineLevel="1">
      <c r="A175" s="1" t="s">
        <v>12647</v>
      </c>
      <c r="B175" s="2577">
        <v>2</v>
      </c>
      <c r="C175" s="2577">
        <v>100</v>
      </c>
      <c r="D175" s="2577"/>
    </row>
    <row r="176" spans="1:5" ht="16.5" outlineLevel="1">
      <c r="A176" s="1" t="s">
        <v>12648</v>
      </c>
      <c r="B176" s="2577">
        <v>5</v>
      </c>
      <c r="C176" s="2577">
        <v>500</v>
      </c>
      <c r="D176" s="2577"/>
    </row>
    <row r="177" spans="1:4" ht="16.5" outlineLevel="1">
      <c r="A177" s="1" t="s">
        <v>12649</v>
      </c>
      <c r="B177" s="2577">
        <v>7</v>
      </c>
      <c r="C177" s="2577">
        <v>1000</v>
      </c>
      <c r="D177" s="2577"/>
    </row>
    <row r="178" spans="1:4" ht="16.5" outlineLevel="1">
      <c r="A178" s="1" t="s">
        <v>12650</v>
      </c>
      <c r="B178" s="2577">
        <v>10</v>
      </c>
      <c r="C178" s="2577">
        <v>2500</v>
      </c>
      <c r="D178" s="2577"/>
    </row>
    <row r="179" spans="1:4" ht="16.5" outlineLevel="1">
      <c r="A179" s="1" t="s">
        <v>12651</v>
      </c>
      <c r="B179" s="2577">
        <v>15</v>
      </c>
      <c r="C179" s="2577">
        <v>5000</v>
      </c>
      <c r="D179" s="2577"/>
    </row>
    <row r="180" spans="1:4" ht="16.5" outlineLevel="1">
      <c r="A180" s="1" t="s">
        <v>12652</v>
      </c>
      <c r="B180" s="2577">
        <v>30</v>
      </c>
      <c r="C180" s="2577">
        <v>10000</v>
      </c>
      <c r="D180" s="2577"/>
    </row>
    <row r="181" spans="1:4" ht="16.5" outlineLevel="1">
      <c r="A181" s="1" t="s">
        <v>12653</v>
      </c>
      <c r="B181" s="2577">
        <v>60</v>
      </c>
      <c r="C181" s="2577">
        <v>50000</v>
      </c>
      <c r="D181" s="2577"/>
    </row>
    <row r="182" spans="1:4" outlineLevel="1"/>
    <row r="183" spans="1:4" outlineLevel="1"/>
    <row r="184" spans="1:4" ht="24.75" thickBot="1">
      <c r="A184" s="2569" t="s">
        <v>12654</v>
      </c>
      <c r="B184" s="3" t="s">
        <v>12655</v>
      </c>
    </row>
    <row r="185" spans="1:4" ht="15" outlineLevel="1" thickTop="1"/>
    <row r="186" spans="1:4" outlineLevel="1">
      <c r="A186" s="1" t="s">
        <v>12656</v>
      </c>
      <c r="B186" s="1" t="s">
        <v>2235</v>
      </c>
      <c r="C186" s="1" t="s">
        <v>12657</v>
      </c>
      <c r="D186" s="1" t="s">
        <v>12430</v>
      </c>
    </row>
    <row r="187" spans="1:4" ht="16.5" outlineLevel="1">
      <c r="A187" s="1" t="s">
        <v>12658</v>
      </c>
      <c r="B187" s="2577">
        <v>1000</v>
      </c>
      <c r="C187" s="2577">
        <v>2</v>
      </c>
      <c r="D187" s="2577" t="s">
        <v>12659</v>
      </c>
    </row>
    <row r="188" spans="1:4" ht="16.5" outlineLevel="1">
      <c r="A188" s="1" t="s">
        <v>12660</v>
      </c>
      <c r="B188" s="2577">
        <v>1000</v>
      </c>
      <c r="C188" s="2577">
        <v>2</v>
      </c>
      <c r="D188" s="2577" t="s">
        <v>12661</v>
      </c>
    </row>
    <row r="189" spans="1:4" ht="16.5" outlineLevel="1">
      <c r="A189" s="1" t="s">
        <v>12662</v>
      </c>
      <c r="B189" s="2577" t="s">
        <v>12663</v>
      </c>
      <c r="C189" s="2577" t="s">
        <v>12663</v>
      </c>
      <c r="D189" s="2577" t="s">
        <v>12664</v>
      </c>
    </row>
    <row r="190" spans="1:4" outlineLevel="1"/>
    <row r="191" spans="1:4" outlineLevel="1"/>
    <row r="192" spans="1:4" outlineLevel="1"/>
    <row r="193" spans="1:8" outlineLevel="1">
      <c r="A193" s="1" t="s">
        <v>12665</v>
      </c>
      <c r="B193" s="1" t="s">
        <v>11456</v>
      </c>
    </row>
    <row r="194" spans="1:8" ht="16.5" outlineLevel="1">
      <c r="A194" s="1" t="s">
        <v>2235</v>
      </c>
      <c r="B194" s="2577">
        <v>10000</v>
      </c>
    </row>
    <row r="195" spans="1:8" ht="16.5" outlineLevel="1">
      <c r="A195" s="1" t="s">
        <v>12666</v>
      </c>
      <c r="B195" s="2577">
        <v>300</v>
      </c>
    </row>
    <row r="196" spans="1:8" ht="16.5" outlineLevel="1">
      <c r="A196" s="1" t="s">
        <v>12667</v>
      </c>
      <c r="B196" s="2577">
        <v>5000</v>
      </c>
      <c r="E196" s="1" t="s">
        <v>12668</v>
      </c>
      <c r="F196" s="1" t="s">
        <v>12669</v>
      </c>
      <c r="G196" s="1" t="s">
        <v>12670</v>
      </c>
      <c r="H196" s="1" t="s">
        <v>12671</v>
      </c>
    </row>
    <row r="197" spans="1:8" ht="16.5" outlineLevel="1">
      <c r="A197" s="1" t="s">
        <v>12672</v>
      </c>
      <c r="B197" s="2577" t="s">
        <v>12673</v>
      </c>
      <c r="E197" s="1">
        <v>1</v>
      </c>
      <c r="F197" s="1">
        <f>B194</f>
        <v>10000</v>
      </c>
      <c r="G197" s="1">
        <f>1000*E197</f>
        <v>1000</v>
      </c>
      <c r="H197" s="1">
        <f>$C$187*E197</f>
        <v>2</v>
      </c>
    </row>
    <row r="198" spans="1:8" outlineLevel="1">
      <c r="E198" s="1">
        <v>2</v>
      </c>
      <c r="F198" s="1">
        <f t="shared" ref="F198:F205" si="0">+$B$196*(E198-$E$197)+$F$197</f>
        <v>15000</v>
      </c>
      <c r="G198" s="1">
        <f t="shared" ref="G198:G205" si="1">1000*E198</f>
        <v>2000</v>
      </c>
      <c r="H198" s="1">
        <f t="shared" ref="H198:H205" si="2">$C$187*E198</f>
        <v>4</v>
      </c>
    </row>
    <row r="199" spans="1:8" outlineLevel="1">
      <c r="E199" s="1">
        <v>3</v>
      </c>
      <c r="F199" s="1">
        <f t="shared" si="0"/>
        <v>20000</v>
      </c>
      <c r="G199" s="1">
        <f t="shared" si="1"/>
        <v>3000</v>
      </c>
      <c r="H199" s="1">
        <f t="shared" si="2"/>
        <v>6</v>
      </c>
    </row>
    <row r="200" spans="1:8" outlineLevel="1">
      <c r="A200" s="1" t="s">
        <v>12674</v>
      </c>
      <c r="B200" s="1" t="s">
        <v>11456</v>
      </c>
      <c r="E200" s="1">
        <v>4</v>
      </c>
      <c r="F200" s="1">
        <f t="shared" si="0"/>
        <v>25000</v>
      </c>
      <c r="G200" s="1">
        <f t="shared" si="1"/>
        <v>4000</v>
      </c>
      <c r="H200" s="1">
        <f t="shared" si="2"/>
        <v>8</v>
      </c>
    </row>
    <row r="201" spans="1:8" ht="16.5" outlineLevel="1">
      <c r="A201" s="1" t="s">
        <v>12675</v>
      </c>
      <c r="B201" s="2577">
        <v>10000</v>
      </c>
      <c r="E201" s="1">
        <v>5</v>
      </c>
      <c r="F201" s="1">
        <f t="shared" si="0"/>
        <v>30000</v>
      </c>
      <c r="G201" s="1">
        <f t="shared" si="1"/>
        <v>5000</v>
      </c>
      <c r="H201" s="1">
        <f t="shared" si="2"/>
        <v>10</v>
      </c>
    </row>
    <row r="202" spans="1:8" ht="16.5" outlineLevel="1">
      <c r="A202" s="1" t="s">
        <v>12676</v>
      </c>
      <c r="B202" s="2577">
        <v>5000</v>
      </c>
      <c r="E202" s="1">
        <v>6</v>
      </c>
      <c r="F202" s="1">
        <f t="shared" si="0"/>
        <v>35000</v>
      </c>
      <c r="G202" s="1">
        <f t="shared" si="1"/>
        <v>6000</v>
      </c>
      <c r="H202" s="1">
        <f t="shared" si="2"/>
        <v>12</v>
      </c>
    </row>
    <row r="203" spans="1:8" ht="16.5" outlineLevel="1">
      <c r="A203" s="1" t="s">
        <v>12677</v>
      </c>
      <c r="B203" s="2577">
        <v>10000</v>
      </c>
      <c r="E203" s="1">
        <v>7</v>
      </c>
      <c r="F203" s="1">
        <f t="shared" si="0"/>
        <v>40000</v>
      </c>
      <c r="G203" s="1">
        <f t="shared" si="1"/>
        <v>7000</v>
      </c>
      <c r="H203" s="1">
        <f t="shared" si="2"/>
        <v>14</v>
      </c>
    </row>
    <row r="204" spans="1:8" ht="16.5" outlineLevel="1">
      <c r="A204" s="1" t="s">
        <v>12678</v>
      </c>
      <c r="B204" s="2577">
        <v>3</v>
      </c>
      <c r="E204" s="1">
        <v>8</v>
      </c>
      <c r="F204" s="1">
        <f t="shared" si="0"/>
        <v>45000</v>
      </c>
      <c r="G204" s="1">
        <f t="shared" si="1"/>
        <v>8000</v>
      </c>
      <c r="H204" s="1">
        <f t="shared" si="2"/>
        <v>16</v>
      </c>
    </row>
    <row r="205" spans="1:8" outlineLevel="1">
      <c r="E205" s="1">
        <v>9</v>
      </c>
      <c r="F205" s="1">
        <f t="shared" si="0"/>
        <v>50000</v>
      </c>
      <c r="G205" s="1">
        <f t="shared" si="1"/>
        <v>9000</v>
      </c>
      <c r="H205" s="1">
        <f t="shared" si="2"/>
        <v>18</v>
      </c>
    </row>
    <row r="206" spans="1:8" outlineLevel="1">
      <c r="A206" s="1" t="s">
        <v>12679</v>
      </c>
      <c r="B206" s="1" t="s">
        <v>12680</v>
      </c>
      <c r="C206" s="1" t="s">
        <v>12681</v>
      </c>
    </row>
    <row r="207" spans="1:8" ht="16.5" outlineLevel="1">
      <c r="A207" s="1" t="s">
        <v>7064</v>
      </c>
      <c r="B207" s="2577" t="s">
        <v>10965</v>
      </c>
      <c r="C207" s="2577" t="s">
        <v>12647</v>
      </c>
      <c r="E207" s="1" t="s">
        <v>12682</v>
      </c>
      <c r="F207" s="1">
        <v>10000</v>
      </c>
    </row>
    <row r="208" spans="1:8" ht="16.5" outlineLevel="1">
      <c r="A208" s="1" t="s">
        <v>8880</v>
      </c>
      <c r="B208" s="2577" t="s">
        <v>11015</v>
      </c>
      <c r="C208" s="2577" t="s">
        <v>12647</v>
      </c>
    </row>
    <row r="209" spans="1:3" ht="16.5" outlineLevel="1">
      <c r="A209" s="1" t="s">
        <v>9126</v>
      </c>
      <c r="B209" s="2577" t="s">
        <v>12683</v>
      </c>
      <c r="C209" s="2577" t="s">
        <v>12650</v>
      </c>
    </row>
    <row r="210" spans="1:3" ht="16.5" outlineLevel="1">
      <c r="A210" s="1" t="s">
        <v>12684</v>
      </c>
      <c r="B210" s="2577" t="s">
        <v>12685</v>
      </c>
      <c r="C210" s="2577" t="s">
        <v>12686</v>
      </c>
    </row>
    <row r="211" spans="1:3" ht="16.5" outlineLevel="1">
      <c r="A211" s="1" t="s">
        <v>2217</v>
      </c>
      <c r="B211" s="2577" t="s">
        <v>12687</v>
      </c>
      <c r="C211" s="2577" t="s">
        <v>12688</v>
      </c>
    </row>
    <row r="212" spans="1:3" outlineLevel="1"/>
    <row r="213" spans="1:3" outlineLevel="1"/>
    <row r="214" spans="1:3" outlineLevel="1"/>
    <row r="215" spans="1:3" outlineLevel="1">
      <c r="A215" s="1" t="s">
        <v>12689</v>
      </c>
      <c r="B215" s="1" t="s">
        <v>12690</v>
      </c>
      <c r="C215" s="1" t="s">
        <v>12639</v>
      </c>
    </row>
    <row r="216" spans="1:3" ht="16.5" outlineLevel="1">
      <c r="A216" s="1" t="s">
        <v>12691</v>
      </c>
      <c r="B216" s="2577" t="s">
        <v>12692</v>
      </c>
      <c r="C216" s="2577" t="s">
        <v>12693</v>
      </c>
    </row>
    <row r="217" spans="1:3" ht="16.5" outlineLevel="1">
      <c r="A217" s="1" t="s">
        <v>12694</v>
      </c>
      <c r="B217" s="2577" t="s">
        <v>12695</v>
      </c>
      <c r="C217" s="2577" t="s">
        <v>12696</v>
      </c>
    </row>
    <row r="218" spans="1:3" ht="16.5" outlineLevel="1">
      <c r="A218" s="1" t="s">
        <v>12697</v>
      </c>
      <c r="B218" s="2577" t="s">
        <v>12698</v>
      </c>
      <c r="C218" s="2577" t="s">
        <v>12699</v>
      </c>
    </row>
    <row r="219" spans="1:3" ht="16.5" outlineLevel="1">
      <c r="A219" s="1" t="s">
        <v>12700</v>
      </c>
      <c r="B219" s="2577" t="s">
        <v>12701</v>
      </c>
      <c r="C219" s="2577" t="s">
        <v>12702</v>
      </c>
    </row>
    <row r="220" spans="1:3" ht="16.5" outlineLevel="1">
      <c r="A220" s="1" t="s">
        <v>12703</v>
      </c>
      <c r="B220" s="2577" t="s">
        <v>12704</v>
      </c>
      <c r="C220" s="2577" t="s">
        <v>12705</v>
      </c>
    </row>
    <row r="221" spans="1:3" ht="16.5" outlineLevel="1">
      <c r="A221" s="1" t="s">
        <v>12706</v>
      </c>
      <c r="B221" s="2577" t="s">
        <v>12707</v>
      </c>
      <c r="C221" s="2577" t="s">
        <v>12708</v>
      </c>
    </row>
    <row r="222" spans="1:3" ht="16.5" outlineLevel="1">
      <c r="A222" s="1" t="s">
        <v>12709</v>
      </c>
      <c r="B222" s="2577" t="s">
        <v>12710</v>
      </c>
      <c r="C222" s="2577" t="s">
        <v>12711</v>
      </c>
    </row>
    <row r="223" spans="1:3" ht="16.5" outlineLevel="1">
      <c r="A223" s="1" t="s">
        <v>12712</v>
      </c>
      <c r="B223" s="2577" t="s">
        <v>12713</v>
      </c>
      <c r="C223" s="2577" t="s">
        <v>12714</v>
      </c>
    </row>
    <row r="224" spans="1:3" ht="16.5" outlineLevel="1">
      <c r="A224" s="1" t="s">
        <v>12715</v>
      </c>
      <c r="B224" s="2577" t="s">
        <v>12716</v>
      </c>
      <c r="C224" s="2577" t="s">
        <v>12717</v>
      </c>
    </row>
    <row r="225" spans="1:7" ht="16.5" outlineLevel="1">
      <c r="A225" s="1" t="s">
        <v>12718</v>
      </c>
      <c r="B225" s="2577" t="s">
        <v>12719</v>
      </c>
      <c r="C225" s="2577" t="s">
        <v>12720</v>
      </c>
      <c r="E225" s="1" t="s">
        <v>12721</v>
      </c>
      <c r="F225" s="1">
        <v>5000</v>
      </c>
    </row>
    <row r="226" spans="1:7" ht="16.5" outlineLevel="1">
      <c r="A226" s="1" t="s">
        <v>12722</v>
      </c>
      <c r="B226" s="2577" t="s">
        <v>12723</v>
      </c>
      <c r="C226" s="2577" t="s">
        <v>12720</v>
      </c>
      <c r="E226" s="1" t="s">
        <v>12724</v>
      </c>
      <c r="F226" s="1">
        <v>15000</v>
      </c>
    </row>
    <row r="227" spans="1:7" ht="16.5" outlineLevel="1">
      <c r="A227" s="1" t="s">
        <v>12725</v>
      </c>
      <c r="B227" s="2577" t="s">
        <v>12726</v>
      </c>
      <c r="C227" s="2577" t="s">
        <v>12720</v>
      </c>
      <c r="E227" s="1" t="s">
        <v>12727</v>
      </c>
      <c r="F227" s="1">
        <v>35000</v>
      </c>
    </row>
    <row r="228" spans="1:7" ht="16.5" outlineLevel="1">
      <c r="A228" s="1" t="s">
        <v>12728</v>
      </c>
      <c r="B228" s="2577" t="s">
        <v>12719</v>
      </c>
      <c r="C228" s="2577" t="s">
        <v>12729</v>
      </c>
      <c r="E228" s="1" t="s">
        <v>12730</v>
      </c>
      <c r="F228" s="1">
        <f>5000+1500</f>
        <v>6500</v>
      </c>
      <c r="G228" s="1">
        <f>30*1</f>
        <v>30</v>
      </c>
    </row>
    <row r="229" spans="1:7" ht="16.5" outlineLevel="1">
      <c r="A229" s="1" t="s">
        <v>12722</v>
      </c>
      <c r="B229" s="2577" t="s">
        <v>12731</v>
      </c>
      <c r="C229" s="2578" t="s">
        <v>12732</v>
      </c>
      <c r="E229" s="1" t="s">
        <v>12733</v>
      </c>
      <c r="F229" s="1">
        <f>F228+10000</f>
        <v>16500</v>
      </c>
      <c r="G229" s="1">
        <f>G228+30</f>
        <v>60</v>
      </c>
    </row>
    <row r="230" spans="1:7" ht="16.5" outlineLevel="1">
      <c r="A230" s="1" t="s">
        <v>12725</v>
      </c>
      <c r="B230" s="2577" t="s">
        <v>12726</v>
      </c>
      <c r="C230" s="2578" t="s">
        <v>12732</v>
      </c>
      <c r="E230" s="1" t="s">
        <v>12734</v>
      </c>
      <c r="F230" s="1">
        <f>F229+20000</f>
        <v>36500</v>
      </c>
      <c r="G230" s="1">
        <f>G229+30</f>
        <v>90</v>
      </c>
    </row>
    <row r="231" spans="1:7" outlineLevel="1"/>
    <row r="232" spans="1:7" outlineLevel="1">
      <c r="A232" s="1" t="s">
        <v>12689</v>
      </c>
      <c r="B232" s="1" t="s">
        <v>12690</v>
      </c>
      <c r="C232" s="1" t="s">
        <v>12639</v>
      </c>
      <c r="D232" s="1" t="s">
        <v>12735</v>
      </c>
    </row>
    <row r="233" spans="1:7" outlineLevel="1">
      <c r="A233" s="1" t="s">
        <v>12736</v>
      </c>
      <c r="B233" s="1">
        <v>500</v>
      </c>
      <c r="C233" s="1">
        <v>5</v>
      </c>
      <c r="D233" s="1" t="s">
        <v>12737</v>
      </c>
    </row>
    <row r="234" spans="1:7" outlineLevel="1">
      <c r="A234" s="1" t="s">
        <v>12738</v>
      </c>
      <c r="B234" s="1">
        <v>1500</v>
      </c>
      <c r="C234" s="1">
        <v>15</v>
      </c>
      <c r="D234" s="1" t="s">
        <v>12739</v>
      </c>
    </row>
    <row r="235" spans="1:7" outlineLevel="1">
      <c r="A235" s="1" t="s">
        <v>12740</v>
      </c>
      <c r="B235" s="1">
        <v>30000</v>
      </c>
      <c r="C235" s="1">
        <v>120</v>
      </c>
      <c r="D235" s="1" t="s">
        <v>12741</v>
      </c>
    </row>
    <row r="236" spans="1:7" outlineLevel="1">
      <c r="A236" s="1" t="s">
        <v>12742</v>
      </c>
      <c r="B236" s="1">
        <v>33000</v>
      </c>
      <c r="C236" s="1">
        <v>160</v>
      </c>
      <c r="D236" s="1" t="s">
        <v>12743</v>
      </c>
    </row>
    <row r="237" spans="1:7" outlineLevel="1">
      <c r="A237" s="1" t="s">
        <v>12744</v>
      </c>
      <c r="B237" s="1">
        <v>5000</v>
      </c>
      <c r="C237" s="1">
        <v>30</v>
      </c>
      <c r="D237" s="1" t="s">
        <v>12745</v>
      </c>
    </row>
    <row r="238" spans="1:7" outlineLevel="1">
      <c r="A238" s="1" t="s">
        <v>12746</v>
      </c>
      <c r="B238" s="1">
        <v>15000</v>
      </c>
      <c r="C238" s="1">
        <v>60</v>
      </c>
      <c r="D238" s="1" t="s">
        <v>12747</v>
      </c>
    </row>
    <row r="239" spans="1:7" outlineLevel="1">
      <c r="A239" s="1" t="s">
        <v>12748</v>
      </c>
      <c r="B239" s="1">
        <v>10000</v>
      </c>
      <c r="C239" s="1">
        <v>45</v>
      </c>
      <c r="D239" s="1" t="s">
        <v>12749</v>
      </c>
    </row>
    <row r="240" spans="1:7" outlineLevel="1">
      <c r="A240" s="1" t="s">
        <v>12750</v>
      </c>
      <c r="B240" s="1">
        <v>5000</v>
      </c>
      <c r="C240" s="1">
        <v>180</v>
      </c>
      <c r="D240" s="1" t="s">
        <v>12751</v>
      </c>
    </row>
    <row r="241" spans="1:4" outlineLevel="1"/>
    <row r="242" spans="1:4" outlineLevel="1"/>
    <row r="243" spans="1:4" outlineLevel="1"/>
    <row r="244" spans="1:4" ht="24.75" thickBot="1">
      <c r="A244" s="2569" t="s">
        <v>12752</v>
      </c>
      <c r="B244" s="3" t="s">
        <v>12655</v>
      </c>
      <c r="D244" s="3" t="s">
        <v>12753</v>
      </c>
    </row>
    <row r="245" spans="1:4" ht="15" outlineLevel="1" thickTop="1">
      <c r="A245" s="1" t="s">
        <v>12679</v>
      </c>
      <c r="B245" s="1" t="s">
        <v>12754</v>
      </c>
      <c r="C245" s="1" t="s">
        <v>12755</v>
      </c>
    </row>
    <row r="246" spans="1:4" ht="16.5" outlineLevel="1">
      <c r="A246" s="1" t="s">
        <v>7064</v>
      </c>
      <c r="B246" s="2577">
        <v>1</v>
      </c>
      <c r="C246" s="2577">
        <v>3</v>
      </c>
    </row>
    <row r="247" spans="1:4" ht="16.5" outlineLevel="1">
      <c r="A247" s="1" t="s">
        <v>8880</v>
      </c>
      <c r="B247" s="2577">
        <f>C246+1</f>
        <v>4</v>
      </c>
      <c r="C247" s="2577">
        <v>8</v>
      </c>
    </row>
    <row r="248" spans="1:4" ht="16.5" outlineLevel="1">
      <c r="A248" s="1" t="s">
        <v>9126</v>
      </c>
      <c r="B248" s="2577">
        <f>C247+1</f>
        <v>9</v>
      </c>
      <c r="C248" s="2577">
        <v>12</v>
      </c>
    </row>
    <row r="249" spans="1:4" ht="16.5" outlineLevel="1">
      <c r="A249" s="1" t="s">
        <v>9331</v>
      </c>
      <c r="B249" s="2577">
        <f>C248+1</f>
        <v>13</v>
      </c>
      <c r="C249" s="2577">
        <v>18</v>
      </c>
    </row>
    <row r="250" spans="1:4" ht="16.5" outlineLevel="1">
      <c r="A250" s="1" t="s">
        <v>2217</v>
      </c>
      <c r="B250" s="2577">
        <f>C249+1</f>
        <v>19</v>
      </c>
      <c r="C250" s="2578" t="s">
        <v>12756</v>
      </c>
    </row>
    <row r="251" spans="1:4" outlineLevel="1">
      <c r="A251" s="2579" t="s">
        <v>12757</v>
      </c>
    </row>
    <row r="252" spans="1:4" outlineLevel="1">
      <c r="A252" s="1" t="s">
        <v>12679</v>
      </c>
      <c r="B252" s="1" t="s">
        <v>12758</v>
      </c>
      <c r="C252" s="1" t="s">
        <v>12759</v>
      </c>
    </row>
    <row r="253" spans="1:4" ht="16.5" outlineLevel="1">
      <c r="A253" s="1" t="s">
        <v>7064</v>
      </c>
      <c r="B253" s="2577">
        <v>3</v>
      </c>
      <c r="C253" s="2577">
        <v>2</v>
      </c>
    </row>
    <row r="254" spans="1:4" ht="16.5" outlineLevel="1">
      <c r="A254" s="1" t="s">
        <v>8880</v>
      </c>
      <c r="B254" s="2577">
        <v>5</v>
      </c>
      <c r="C254" s="2577">
        <v>4</v>
      </c>
    </row>
    <row r="255" spans="1:4" ht="16.5" outlineLevel="1">
      <c r="A255" s="1" t="s">
        <v>9126</v>
      </c>
      <c r="B255" s="2577">
        <v>15</v>
      </c>
      <c r="C255" s="2577">
        <v>6</v>
      </c>
    </row>
    <row r="256" spans="1:4" ht="16.5" outlineLevel="1">
      <c r="A256" s="1" t="s">
        <v>9331</v>
      </c>
      <c r="B256" s="2577">
        <v>40</v>
      </c>
      <c r="C256" s="2577">
        <v>8</v>
      </c>
    </row>
    <row r="257" spans="1:5" ht="16.5" outlineLevel="1">
      <c r="A257" s="1" t="s">
        <v>2217</v>
      </c>
      <c r="B257" s="2577">
        <v>80</v>
      </c>
      <c r="C257" s="2577">
        <v>10</v>
      </c>
    </row>
    <row r="258" spans="1:5" outlineLevel="1"/>
    <row r="259" spans="1:5" outlineLevel="1">
      <c r="A259" s="2579" t="s">
        <v>12760</v>
      </c>
    </row>
    <row r="260" spans="1:5" outlineLevel="1">
      <c r="A260" s="1" t="s">
        <v>12679</v>
      </c>
      <c r="B260" s="1" t="s">
        <v>12758</v>
      </c>
      <c r="C260" s="1" t="s">
        <v>12761</v>
      </c>
      <c r="D260" s="1" t="s">
        <v>597</v>
      </c>
    </row>
    <row r="261" spans="1:5" ht="16.5" outlineLevel="1">
      <c r="A261" s="1" t="s">
        <v>7064</v>
      </c>
      <c r="B261" s="1">
        <v>5</v>
      </c>
      <c r="C261" s="2577">
        <v>50</v>
      </c>
      <c r="D261" s="1">
        <v>15</v>
      </c>
    </row>
    <row r="262" spans="1:5" ht="16.5" outlineLevel="1">
      <c r="A262" s="1" t="s">
        <v>8880</v>
      </c>
      <c r="B262" s="1">
        <v>10</v>
      </c>
      <c r="C262" s="2577">
        <v>200</v>
      </c>
      <c r="D262" s="1">
        <v>50</v>
      </c>
    </row>
    <row r="263" spans="1:5" ht="16.5" outlineLevel="1">
      <c r="A263" s="1" t="s">
        <v>9126</v>
      </c>
      <c r="B263" s="1">
        <v>50</v>
      </c>
      <c r="C263" s="2577">
        <v>2000</v>
      </c>
      <c r="D263" s="1">
        <v>500</v>
      </c>
    </row>
    <row r="264" spans="1:5" ht="16.5" outlineLevel="1">
      <c r="A264" s="1" t="s">
        <v>9331</v>
      </c>
      <c r="B264" s="1">
        <v>125</v>
      </c>
      <c r="C264" s="2577">
        <v>20000</v>
      </c>
      <c r="D264" s="1">
        <v>50000</v>
      </c>
    </row>
    <row r="265" spans="1:5" ht="16.5" outlineLevel="1">
      <c r="A265" s="1" t="s">
        <v>2217</v>
      </c>
      <c r="B265" s="1">
        <v>100</v>
      </c>
      <c r="C265" s="2577">
        <v>100000</v>
      </c>
      <c r="D265" s="1">
        <v>25000</v>
      </c>
    </row>
    <row r="266" spans="1:5" outlineLevel="1">
      <c r="C266" s="1" t="s">
        <v>12762</v>
      </c>
    </row>
    <row r="267" spans="1:5" outlineLevel="1"/>
    <row r="268" spans="1:5" outlineLevel="1">
      <c r="A268" s="1" t="s">
        <v>10920</v>
      </c>
      <c r="B268" s="1" t="s">
        <v>12763</v>
      </c>
      <c r="D268" s="1" t="s">
        <v>10920</v>
      </c>
      <c r="E268" s="1" t="s">
        <v>12763</v>
      </c>
    </row>
    <row r="269" spans="1:5" outlineLevel="1">
      <c r="A269" s="1">
        <v>1</v>
      </c>
      <c r="B269" s="1" t="s">
        <v>12764</v>
      </c>
      <c r="D269" s="1">
        <v>1</v>
      </c>
      <c r="E269" s="1" t="s">
        <v>12765</v>
      </c>
    </row>
    <row r="270" spans="1:5" outlineLevel="1">
      <c r="A270" s="1">
        <v>2</v>
      </c>
      <c r="B270" s="1" t="s">
        <v>12766</v>
      </c>
      <c r="D270" s="1">
        <v>2</v>
      </c>
      <c r="E270" s="1" t="s">
        <v>12767</v>
      </c>
    </row>
    <row r="271" spans="1:5" outlineLevel="1">
      <c r="A271" s="1">
        <v>3</v>
      </c>
      <c r="B271" s="1" t="s">
        <v>12768</v>
      </c>
      <c r="D271" s="1">
        <v>3</v>
      </c>
      <c r="E271" s="1" t="s">
        <v>12769</v>
      </c>
    </row>
    <row r="272" spans="1:5" outlineLevel="1">
      <c r="A272" s="1">
        <v>4</v>
      </c>
      <c r="B272" s="1" t="s">
        <v>12770</v>
      </c>
      <c r="D272" s="1">
        <v>4</v>
      </c>
      <c r="E272" s="1" t="s">
        <v>12771</v>
      </c>
    </row>
    <row r="273" spans="1:5" outlineLevel="1">
      <c r="A273" s="1">
        <v>5</v>
      </c>
      <c r="B273" s="1" t="s">
        <v>12772</v>
      </c>
      <c r="D273" s="1">
        <v>5</v>
      </c>
      <c r="E273" s="1" t="s">
        <v>12773</v>
      </c>
    </row>
    <row r="274" spans="1:5" outlineLevel="1">
      <c r="A274" s="1">
        <v>6</v>
      </c>
      <c r="B274" s="1" t="s">
        <v>12774</v>
      </c>
      <c r="D274" s="1">
        <v>6</v>
      </c>
      <c r="E274" s="1" t="s">
        <v>12775</v>
      </c>
    </row>
    <row r="275" spans="1:5" outlineLevel="1"/>
    <row r="276" spans="1:5" ht="24.75" thickBot="1">
      <c r="A276" s="2569" t="s">
        <v>12776</v>
      </c>
      <c r="B276" s="3" t="s">
        <v>12655</v>
      </c>
    </row>
    <row r="277" spans="1:5" ht="15" outlineLevel="1" thickTop="1">
      <c r="A277" s="1" t="s">
        <v>7026</v>
      </c>
      <c r="B277" s="1" t="s">
        <v>12777</v>
      </c>
    </row>
    <row r="278" spans="1:5" outlineLevel="1">
      <c r="A278" s="1" t="s">
        <v>9633</v>
      </c>
      <c r="B278" s="1" t="s">
        <v>12778</v>
      </c>
    </row>
    <row r="279" spans="1:5" outlineLevel="1">
      <c r="A279" s="1" t="s">
        <v>12779</v>
      </c>
      <c r="B279" s="1" t="s">
        <v>12780</v>
      </c>
    </row>
    <row r="280" spans="1:5" outlineLevel="1">
      <c r="A280" s="1" t="s">
        <v>12781</v>
      </c>
      <c r="B280" s="1" t="s">
        <v>12529</v>
      </c>
    </row>
    <row r="281" spans="1:5" outlineLevel="1">
      <c r="A281" s="1" t="s">
        <v>12782</v>
      </c>
      <c r="B281" s="1" t="s">
        <v>12783</v>
      </c>
    </row>
    <row r="282" spans="1:5" ht="24.75" thickBot="1">
      <c r="A282" s="2569" t="s">
        <v>12784</v>
      </c>
      <c r="B282" s="3" t="s">
        <v>12655</v>
      </c>
    </row>
    <row r="283" spans="1:5" ht="15" outlineLevel="1" thickTop="1">
      <c r="A283" s="1" t="s">
        <v>1875</v>
      </c>
      <c r="B283" s="1" t="s">
        <v>12639</v>
      </c>
      <c r="C283" s="1" t="s">
        <v>2235</v>
      </c>
    </row>
    <row r="284" spans="1:5" ht="16.5" outlineLevel="1">
      <c r="A284" s="1" t="s">
        <v>12785</v>
      </c>
      <c r="B284" s="2577">
        <v>1</v>
      </c>
      <c r="C284" s="2577">
        <v>25</v>
      </c>
    </row>
    <row r="285" spans="1:5" ht="16.5" outlineLevel="1">
      <c r="A285" s="1" t="s">
        <v>12786</v>
      </c>
      <c r="B285" s="2577">
        <v>5</v>
      </c>
      <c r="C285" s="2577">
        <v>100</v>
      </c>
    </row>
    <row r="286" spans="1:5" ht="16.5" outlineLevel="1">
      <c r="A286" s="1" t="s">
        <v>12787</v>
      </c>
      <c r="B286" s="2577">
        <v>15</v>
      </c>
      <c r="C286" s="2577">
        <v>1000</v>
      </c>
    </row>
    <row r="287" spans="1:5" ht="16.5" outlineLevel="1">
      <c r="A287" s="1" t="s">
        <v>12788</v>
      </c>
      <c r="B287" s="2577">
        <v>20</v>
      </c>
      <c r="C287" s="2577">
        <v>10000</v>
      </c>
    </row>
    <row r="288" spans="1:5" outlineLevel="1"/>
    <row r="289" spans="1:5" ht="24">
      <c r="A289" s="2580" t="s">
        <v>12789</v>
      </c>
      <c r="B289" s="3" t="s">
        <v>12655</v>
      </c>
    </row>
    <row r="290" spans="1:5" outlineLevel="1">
      <c r="A290" s="1" t="s">
        <v>12790</v>
      </c>
    </row>
    <row r="291" spans="1:5" outlineLevel="1">
      <c r="A291" s="1" t="s">
        <v>10920</v>
      </c>
      <c r="B291" s="1" t="s">
        <v>12763</v>
      </c>
    </row>
    <row r="292" spans="1:5" outlineLevel="1">
      <c r="A292" s="1">
        <v>1</v>
      </c>
      <c r="B292" s="1" t="s">
        <v>12791</v>
      </c>
    </row>
    <row r="293" spans="1:5" outlineLevel="1">
      <c r="A293" s="1">
        <v>2</v>
      </c>
      <c r="B293" s="1" t="s">
        <v>12792</v>
      </c>
    </row>
    <row r="294" spans="1:5" outlineLevel="1">
      <c r="A294" s="1">
        <v>3</v>
      </c>
      <c r="B294" s="1" t="s">
        <v>12793</v>
      </c>
    </row>
    <row r="295" spans="1:5" outlineLevel="1">
      <c r="A295" s="1">
        <v>4</v>
      </c>
      <c r="B295" s="1" t="s">
        <v>12794</v>
      </c>
    </row>
    <row r="296" spans="1:5" outlineLevel="1">
      <c r="A296" s="1">
        <v>5</v>
      </c>
      <c r="B296" s="1" t="s">
        <v>12795</v>
      </c>
    </row>
    <row r="297" spans="1:5" outlineLevel="1">
      <c r="A297" s="1">
        <v>6</v>
      </c>
      <c r="B297" s="1" t="s">
        <v>12796</v>
      </c>
    </row>
    <row r="298" spans="1:5" outlineLevel="1">
      <c r="A298" s="1" t="s">
        <v>12797</v>
      </c>
    </row>
    <row r="299" spans="1:5" outlineLevel="1"/>
    <row r="300" spans="1:5" outlineLevel="1"/>
    <row r="301" spans="1:5" ht="24.75" thickBot="1">
      <c r="A301" s="2569" t="s">
        <v>12798</v>
      </c>
      <c r="B301" s="3" t="s">
        <v>12655</v>
      </c>
    </row>
    <row r="302" spans="1:5" ht="15" outlineLevel="1" thickTop="1">
      <c r="A302" s="1" t="s">
        <v>12799</v>
      </c>
    </row>
    <row r="303" spans="1:5" outlineLevel="1">
      <c r="A303" s="1" t="s">
        <v>12638</v>
      </c>
      <c r="B303" s="1" t="s">
        <v>12639</v>
      </c>
      <c r="C303" s="1" t="s">
        <v>2235</v>
      </c>
      <c r="D303" s="1" t="s">
        <v>12800</v>
      </c>
      <c r="E303" s="1" t="s">
        <v>597</v>
      </c>
    </row>
    <row r="304" spans="1:5" ht="16.5" outlineLevel="1">
      <c r="A304" s="1" t="s">
        <v>4041</v>
      </c>
      <c r="B304" s="2577">
        <v>1</v>
      </c>
      <c r="C304" s="2577">
        <v>15</v>
      </c>
      <c r="D304" s="1" t="s">
        <v>12801</v>
      </c>
      <c r="E304" s="1">
        <v>100</v>
      </c>
    </row>
    <row r="305" spans="1:5" ht="16.5" outlineLevel="1">
      <c r="A305" s="1" t="s">
        <v>12644</v>
      </c>
      <c r="B305" s="2577">
        <v>1</v>
      </c>
      <c r="C305" s="2577">
        <v>25</v>
      </c>
      <c r="D305" s="1" t="s">
        <v>12801</v>
      </c>
      <c r="E305" s="1">
        <v>100</v>
      </c>
    </row>
    <row r="306" spans="1:5" ht="16.5" outlineLevel="1">
      <c r="A306" s="1" t="s">
        <v>12646</v>
      </c>
      <c r="B306" s="2577">
        <v>3</v>
      </c>
      <c r="C306" s="2577">
        <v>250</v>
      </c>
      <c r="D306" s="1" t="s">
        <v>12801</v>
      </c>
      <c r="E306" s="1">
        <v>100</v>
      </c>
    </row>
    <row r="307" spans="1:5" ht="16.5" outlineLevel="1">
      <c r="A307" s="1" t="s">
        <v>12647</v>
      </c>
      <c r="B307" s="2577">
        <v>5</v>
      </c>
      <c r="C307" s="2577">
        <v>500</v>
      </c>
      <c r="D307" s="1" t="s">
        <v>2006</v>
      </c>
      <c r="E307" s="1">
        <v>1000</v>
      </c>
    </row>
    <row r="308" spans="1:5" ht="16.5" outlineLevel="1">
      <c r="A308" s="1" t="s">
        <v>12648</v>
      </c>
      <c r="B308" s="2577">
        <v>10</v>
      </c>
      <c r="C308" s="2577">
        <v>2500</v>
      </c>
      <c r="D308" s="1" t="s">
        <v>2006</v>
      </c>
      <c r="E308" s="1">
        <v>1000</v>
      </c>
    </row>
    <row r="309" spans="1:5" ht="16.5" outlineLevel="1">
      <c r="A309" s="1" t="s">
        <v>12649</v>
      </c>
      <c r="B309" s="2577">
        <v>20</v>
      </c>
      <c r="C309" s="2577">
        <v>5000</v>
      </c>
      <c r="D309" s="1" t="s">
        <v>12802</v>
      </c>
      <c r="E309" s="1">
        <v>10000</v>
      </c>
    </row>
    <row r="310" spans="1:5" ht="16.5" outlineLevel="1">
      <c r="A310" s="1" t="s">
        <v>12650</v>
      </c>
      <c r="B310" s="2577">
        <v>40</v>
      </c>
      <c r="C310" s="2577">
        <v>15000</v>
      </c>
      <c r="D310" s="1" t="s">
        <v>12802</v>
      </c>
      <c r="E310" s="1">
        <v>10000</v>
      </c>
    </row>
    <row r="311" spans="1:5" ht="16.5" outlineLevel="1">
      <c r="A311" s="1" t="s">
        <v>12651</v>
      </c>
      <c r="B311" s="2577">
        <v>80</v>
      </c>
      <c r="C311" s="2577">
        <v>25000</v>
      </c>
      <c r="D311" s="1" t="s">
        <v>12802</v>
      </c>
      <c r="E311" s="1">
        <v>10000</v>
      </c>
    </row>
    <row r="312" spans="1:5" ht="16.5" outlineLevel="1">
      <c r="A312" s="1" t="s">
        <v>12652</v>
      </c>
      <c r="B312" s="2577">
        <v>160</v>
      </c>
      <c r="C312" s="2577">
        <v>50000</v>
      </c>
      <c r="D312" s="1" t="s">
        <v>2008</v>
      </c>
      <c r="E312" s="1">
        <v>50000</v>
      </c>
    </row>
    <row r="313" spans="1:5" ht="16.5" outlineLevel="1">
      <c r="A313" s="1" t="s">
        <v>12653</v>
      </c>
      <c r="B313" s="2577">
        <v>320</v>
      </c>
      <c r="C313" s="2577">
        <v>250000</v>
      </c>
      <c r="D313" s="1" t="s">
        <v>2008</v>
      </c>
      <c r="E313" s="1">
        <v>50000</v>
      </c>
    </row>
    <row r="314" spans="1:5" outlineLevel="1"/>
    <row r="315" spans="1:5" outlineLevel="1">
      <c r="A315" s="1" t="s">
        <v>12803</v>
      </c>
    </row>
    <row r="316" spans="1:5" outlineLevel="1">
      <c r="A316" s="1" t="s">
        <v>10920</v>
      </c>
      <c r="B316" s="1" t="s">
        <v>12763</v>
      </c>
    </row>
    <row r="317" spans="1:5" outlineLevel="1">
      <c r="A317" s="1">
        <v>1</v>
      </c>
      <c r="B317" s="1" t="s">
        <v>12804</v>
      </c>
    </row>
    <row r="318" spans="1:5" outlineLevel="1">
      <c r="A318" s="1">
        <v>2</v>
      </c>
      <c r="B318" s="1" t="s">
        <v>12805</v>
      </c>
    </row>
    <row r="319" spans="1:5" outlineLevel="1">
      <c r="A319" s="1">
        <v>3</v>
      </c>
      <c r="B319" s="1" t="s">
        <v>12806</v>
      </c>
    </row>
    <row r="320" spans="1:5" outlineLevel="1">
      <c r="A320" s="1">
        <v>4</v>
      </c>
      <c r="B320" s="1" t="s">
        <v>12807</v>
      </c>
    </row>
    <row r="321" spans="1:2" outlineLevel="1">
      <c r="A321" s="1">
        <v>5</v>
      </c>
      <c r="B321" s="1" t="s">
        <v>12808</v>
      </c>
    </row>
    <row r="322" spans="1:2" outlineLevel="1">
      <c r="A322" s="1">
        <v>6</v>
      </c>
      <c r="B322" s="1" t="s">
        <v>12809</v>
      </c>
    </row>
    <row r="323" spans="1:2" outlineLevel="1"/>
    <row r="324" spans="1:2">
      <c r="B324" s="3" t="s">
        <v>12655</v>
      </c>
    </row>
    <row r="325" spans="1:2" outlineLevel="1"/>
    <row r="326" spans="1:2" ht="24.75" outlineLevel="1" thickBot="1">
      <c r="A326" s="2569" t="s">
        <v>12810</v>
      </c>
    </row>
    <row r="327" spans="1:2" ht="17.25" outlineLevel="1" thickTop="1">
      <c r="A327" s="2551" t="s">
        <v>12811</v>
      </c>
      <c r="B327" s="2581">
        <v>5000</v>
      </c>
    </row>
    <row r="328" spans="1:2" ht="16.5" outlineLevel="1">
      <c r="A328" s="2551" t="s">
        <v>12812</v>
      </c>
      <c r="B328" s="2581" t="s">
        <v>12813</v>
      </c>
    </row>
    <row r="329" spans="1:2" ht="16.5" outlineLevel="1">
      <c r="A329" s="2551" t="s">
        <v>12814</v>
      </c>
      <c r="B329" s="2581" t="s">
        <v>12815</v>
      </c>
    </row>
    <row r="330" spans="1:2" ht="16.5" outlineLevel="1">
      <c r="A330" s="2551" t="s">
        <v>12816</v>
      </c>
      <c r="B330" s="2581">
        <v>5</v>
      </c>
    </row>
    <row r="331" spans="1:2" ht="16.5" outlineLevel="1">
      <c r="A331" s="2551" t="s">
        <v>12430</v>
      </c>
      <c r="B331" s="2581" t="s">
        <v>12817</v>
      </c>
    </row>
    <row r="332" spans="1:2" ht="16.5" outlineLevel="1">
      <c r="A332" s="2551" t="s">
        <v>12818</v>
      </c>
      <c r="B332" s="2581" t="s">
        <v>12819</v>
      </c>
    </row>
    <row r="333" spans="1:2" ht="16.5" outlineLevel="1">
      <c r="A333" s="2551" t="s">
        <v>12820</v>
      </c>
      <c r="B333" s="2581">
        <f>B203</f>
        <v>10000</v>
      </c>
    </row>
    <row r="334" spans="1:2" outlineLevel="1"/>
    <row r="335" spans="1:2" outlineLevel="1"/>
    <row r="336" spans="1:2" outlineLevel="1"/>
    <row r="337" spans="1:7" ht="24.75" thickBot="1">
      <c r="A337" s="2569" t="s">
        <v>12821</v>
      </c>
    </row>
    <row r="338" spans="1:7" ht="15" outlineLevel="1" thickTop="1"/>
    <row r="339" spans="1:7" outlineLevel="1">
      <c r="A339" s="1" t="s">
        <v>12800</v>
      </c>
      <c r="B339" s="1" t="s">
        <v>12822</v>
      </c>
      <c r="C339" s="1" t="s">
        <v>12823</v>
      </c>
      <c r="D339" s="1" t="s">
        <v>12824</v>
      </c>
      <c r="E339" s="1" t="s">
        <v>12825</v>
      </c>
      <c r="F339" s="1" t="s">
        <v>12826</v>
      </c>
      <c r="G339" s="1" t="s">
        <v>12827</v>
      </c>
    </row>
    <row r="340" spans="1:7" ht="16.5" outlineLevel="1">
      <c r="A340" s="2582" t="s">
        <v>7064</v>
      </c>
      <c r="B340" s="2577">
        <v>15</v>
      </c>
      <c r="C340" s="2577">
        <v>20</v>
      </c>
      <c r="D340" s="2577">
        <v>50</v>
      </c>
      <c r="E340" s="2577">
        <v>100</v>
      </c>
      <c r="F340" s="2577">
        <v>75</v>
      </c>
      <c r="G340" s="2577">
        <v>95</v>
      </c>
    </row>
    <row r="341" spans="1:7" ht="16.5" outlineLevel="1">
      <c r="A341" s="2583" t="s">
        <v>8880</v>
      </c>
      <c r="B341" s="2577">
        <v>50</v>
      </c>
      <c r="C341" s="2577">
        <v>100</v>
      </c>
      <c r="D341" s="2577">
        <v>150</v>
      </c>
      <c r="E341" s="2577">
        <v>500</v>
      </c>
      <c r="F341" s="2577">
        <v>250</v>
      </c>
      <c r="G341" s="2577">
        <v>325</v>
      </c>
    </row>
    <row r="342" spans="1:7" ht="16.5" outlineLevel="1">
      <c r="A342" s="2582" t="s">
        <v>9126</v>
      </c>
      <c r="B342" s="2577">
        <v>500</v>
      </c>
      <c r="C342" s="2577">
        <v>1000</v>
      </c>
      <c r="D342" s="2577">
        <v>1500</v>
      </c>
      <c r="E342" s="2577">
        <v>5000</v>
      </c>
      <c r="F342" s="2577">
        <v>750</v>
      </c>
      <c r="G342" s="2577">
        <v>950</v>
      </c>
    </row>
    <row r="343" spans="1:7" ht="16.5" outlineLevel="1">
      <c r="A343" s="2583" t="s">
        <v>9331</v>
      </c>
      <c r="B343" s="2577">
        <v>5000</v>
      </c>
      <c r="C343" s="2577">
        <v>10000</v>
      </c>
      <c r="D343" s="2577">
        <v>15000</v>
      </c>
      <c r="E343" s="2577">
        <v>50000</v>
      </c>
      <c r="F343" s="2577">
        <v>1500</v>
      </c>
      <c r="G343" s="2577">
        <v>1875</v>
      </c>
    </row>
    <row r="344" spans="1:7" ht="16.5" outlineLevel="1">
      <c r="A344" s="2584" t="s">
        <v>2217</v>
      </c>
      <c r="B344" s="2577">
        <v>25000</v>
      </c>
      <c r="C344" s="2577">
        <v>50000</v>
      </c>
      <c r="D344" s="2577">
        <v>150000</v>
      </c>
      <c r="E344" s="2577">
        <v>500000</v>
      </c>
      <c r="F344" s="2577">
        <v>5000</v>
      </c>
      <c r="G344" s="2577">
        <v>6500</v>
      </c>
    </row>
    <row r="345" spans="1:7" outlineLevel="1"/>
    <row r="346" spans="1:7" outlineLevel="1"/>
    <row r="347" spans="1:7" outlineLevel="1">
      <c r="A347" s="1" t="s">
        <v>7028</v>
      </c>
      <c r="B347" s="1" t="s">
        <v>12828</v>
      </c>
      <c r="C347" s="1" t="s">
        <v>12829</v>
      </c>
      <c r="E347" s="1" t="s">
        <v>12830</v>
      </c>
      <c r="F347" s="1" t="s">
        <v>597</v>
      </c>
      <c r="G347" s="2524" t="s">
        <v>10692</v>
      </c>
    </row>
    <row r="348" spans="1:7" ht="16.5" outlineLevel="1">
      <c r="A348" s="1" t="s">
        <v>12831</v>
      </c>
      <c r="B348" s="2577">
        <v>3</v>
      </c>
      <c r="C348" s="2577">
        <v>5</v>
      </c>
      <c r="E348" s="1" t="s">
        <v>12832</v>
      </c>
      <c r="F348" s="1" t="s">
        <v>12833</v>
      </c>
      <c r="G348" s="2585">
        <v>-0.1</v>
      </c>
    </row>
    <row r="349" spans="1:7" ht="16.5" outlineLevel="1">
      <c r="A349" s="1" t="s">
        <v>12834</v>
      </c>
      <c r="B349" s="2577">
        <v>4</v>
      </c>
      <c r="C349" s="2577">
        <v>6</v>
      </c>
      <c r="E349" s="1" t="s">
        <v>12835</v>
      </c>
      <c r="F349" s="1" t="s">
        <v>12836</v>
      </c>
      <c r="G349" s="2585">
        <v>0.1</v>
      </c>
    </row>
    <row r="350" spans="1:7" ht="16.5" outlineLevel="1">
      <c r="A350" s="1" t="s">
        <v>12837</v>
      </c>
      <c r="B350" s="2577">
        <v>5</v>
      </c>
      <c r="C350" s="2577">
        <v>7</v>
      </c>
      <c r="E350" s="1" t="s">
        <v>12838</v>
      </c>
      <c r="F350" s="1" t="s">
        <v>12839</v>
      </c>
      <c r="G350" s="2585">
        <v>-0.05</v>
      </c>
    </row>
    <row r="351" spans="1:7" ht="16.5" outlineLevel="1">
      <c r="A351" s="1" t="s">
        <v>12840</v>
      </c>
      <c r="B351" s="2577">
        <v>6</v>
      </c>
      <c r="C351" s="2577">
        <v>8</v>
      </c>
      <c r="F351" s="2582" t="s">
        <v>12831</v>
      </c>
      <c r="G351" s="2585">
        <v>-0.1</v>
      </c>
    </row>
    <row r="352" spans="1:7" ht="16.5" outlineLevel="1">
      <c r="F352" s="2583" t="s">
        <v>12834</v>
      </c>
      <c r="G352" s="2585">
        <v>-0.05</v>
      </c>
    </row>
    <row r="353" spans="1:7" ht="16.5" outlineLevel="1">
      <c r="A353" s="1" t="s">
        <v>12841</v>
      </c>
      <c r="F353" s="2582" t="s">
        <v>12837</v>
      </c>
      <c r="G353" s="2585">
        <v>0</v>
      </c>
    </row>
    <row r="354" spans="1:7" ht="16.5" outlineLevel="1">
      <c r="A354" s="1" t="s">
        <v>12842</v>
      </c>
      <c r="B354" s="2586" t="s">
        <v>12843</v>
      </c>
      <c r="C354" s="2586" t="s">
        <v>12844</v>
      </c>
      <c r="F354" s="2583" t="s">
        <v>12840</v>
      </c>
      <c r="G354" s="2585">
        <v>0.1</v>
      </c>
    </row>
    <row r="355" spans="1:7" ht="16.5" outlineLevel="1">
      <c r="A355" s="1" t="s">
        <v>12845</v>
      </c>
      <c r="B355" s="2586" t="s">
        <v>12846</v>
      </c>
      <c r="C355" s="2586" t="s">
        <v>12847</v>
      </c>
      <c r="F355" s="1" t="s">
        <v>12848</v>
      </c>
      <c r="G355" s="2585">
        <v>-0.1</v>
      </c>
    </row>
    <row r="356" spans="1:7" ht="16.5" outlineLevel="1">
      <c r="A356" s="1" t="s">
        <v>12849</v>
      </c>
      <c r="F356" s="1" t="s">
        <v>12850</v>
      </c>
      <c r="G356" s="2585">
        <v>0.85</v>
      </c>
    </row>
    <row r="357" spans="1:7" ht="16.5" outlineLevel="1">
      <c r="F357" s="1" t="s">
        <v>12851</v>
      </c>
      <c r="G357" s="2585">
        <v>1.25</v>
      </c>
    </row>
    <row r="358" spans="1:7" outlineLevel="1">
      <c r="A358" s="1" t="s">
        <v>12852</v>
      </c>
      <c r="B358" s="1" t="s">
        <v>597</v>
      </c>
      <c r="G358" s="2524"/>
    </row>
    <row r="359" spans="1:7" outlineLevel="1">
      <c r="A359" s="1" t="s">
        <v>12853</v>
      </c>
      <c r="B359" s="2542" t="s">
        <v>12854</v>
      </c>
    </row>
    <row r="360" spans="1:7" outlineLevel="1">
      <c r="A360" s="1" t="s">
        <v>12855</v>
      </c>
      <c r="B360" s="2574" t="s">
        <v>12856</v>
      </c>
    </row>
    <row r="361" spans="1:7" outlineLevel="1">
      <c r="A361" s="1" t="s">
        <v>8958</v>
      </c>
      <c r="B361" s="2542" t="s">
        <v>12857</v>
      </c>
    </row>
    <row r="362" spans="1:7" outlineLevel="1">
      <c r="A362" s="1" t="s">
        <v>12858</v>
      </c>
      <c r="B362" s="2574" t="s">
        <v>12859</v>
      </c>
    </row>
    <row r="363" spans="1:7" outlineLevel="1">
      <c r="A363" s="1" t="s">
        <v>12860</v>
      </c>
      <c r="B363" s="2542" t="s">
        <v>12861</v>
      </c>
    </row>
    <row r="364" spans="1:7" outlineLevel="1">
      <c r="A364" s="1" t="s">
        <v>12862</v>
      </c>
      <c r="B364" s="2587" t="s">
        <v>12863</v>
      </c>
    </row>
    <row r="365" spans="1:7" outlineLevel="1">
      <c r="A365" s="1" t="s">
        <v>12864</v>
      </c>
      <c r="B365" s="2542" t="s">
        <v>12865</v>
      </c>
    </row>
    <row r="366" spans="1:7" outlineLevel="1">
      <c r="A366" s="1" t="s">
        <v>3005</v>
      </c>
      <c r="B366" s="2542"/>
    </row>
    <row r="367" spans="1:7" outlineLevel="1">
      <c r="A367" s="1" t="s">
        <v>12866</v>
      </c>
      <c r="B367" s="2574" t="s">
        <v>12867</v>
      </c>
    </row>
    <row r="368" spans="1:7" outlineLevel="1">
      <c r="A368" s="1" t="s">
        <v>8967</v>
      </c>
      <c r="B368" s="2542" t="s">
        <v>12868</v>
      </c>
    </row>
    <row r="369" spans="1:2" outlineLevel="1">
      <c r="A369" s="1" t="s">
        <v>12869</v>
      </c>
      <c r="B369" s="2574" t="s">
        <v>12870</v>
      </c>
    </row>
    <row r="370" spans="1:2" outlineLevel="1">
      <c r="A370" s="1" t="s">
        <v>8970</v>
      </c>
      <c r="B370" s="2542" t="s">
        <v>12871</v>
      </c>
    </row>
    <row r="371" spans="1:2" outlineLevel="1">
      <c r="A371" s="1" t="s">
        <v>12872</v>
      </c>
      <c r="B371" s="2587" t="s">
        <v>12873</v>
      </c>
    </row>
    <row r="372" spans="1:2" outlineLevel="1">
      <c r="A372" s="1" t="s">
        <v>12874</v>
      </c>
      <c r="B372" s="2542" t="s">
        <v>12875</v>
      </c>
    </row>
    <row r="373" spans="1:2" outlineLevel="1">
      <c r="A373" s="1" t="s">
        <v>8978</v>
      </c>
      <c r="B373" s="2574" t="s">
        <v>12876</v>
      </c>
    </row>
    <row r="374" spans="1:2" outlineLevel="1">
      <c r="A374" s="1" t="s">
        <v>8979</v>
      </c>
      <c r="B374" s="2542" t="s">
        <v>12877</v>
      </c>
    </row>
    <row r="375" spans="1:2" outlineLevel="1">
      <c r="A375" s="1" t="s">
        <v>1933</v>
      </c>
      <c r="B375" s="2542"/>
    </row>
    <row r="376" spans="1:2" outlineLevel="1">
      <c r="A376" s="1" t="s">
        <v>12878</v>
      </c>
      <c r="B376" s="2587" t="s">
        <v>12879</v>
      </c>
    </row>
    <row r="377" spans="1:2" outlineLevel="1">
      <c r="A377" s="1" t="s">
        <v>12880</v>
      </c>
      <c r="B377" s="2542" t="s">
        <v>12881</v>
      </c>
    </row>
    <row r="378" spans="1:2" outlineLevel="1">
      <c r="A378" s="1" t="s">
        <v>12882</v>
      </c>
      <c r="B378" s="2587" t="s">
        <v>12883</v>
      </c>
    </row>
    <row r="379" spans="1:2" outlineLevel="1">
      <c r="A379" s="1" t="s">
        <v>12884</v>
      </c>
      <c r="B379" s="2542" t="s">
        <v>12885</v>
      </c>
    </row>
    <row r="380" spans="1:2" outlineLevel="1">
      <c r="A380" s="1" t="s">
        <v>12886</v>
      </c>
      <c r="B380" s="2574" t="s">
        <v>12887</v>
      </c>
    </row>
    <row r="381" spans="1:2" outlineLevel="1">
      <c r="B381" s="2542"/>
    </row>
    <row r="382" spans="1:2" outlineLevel="1"/>
    <row r="383" spans="1:2" outlineLevel="1">
      <c r="B383" s="2542"/>
    </row>
    <row r="384" spans="1:2" outlineLevel="1">
      <c r="A384" s="2588"/>
    </row>
    <row r="385" spans="1:4" outlineLevel="1"/>
    <row r="386" spans="1:4" ht="24.75" thickBot="1">
      <c r="A386" s="2569" t="s">
        <v>12888</v>
      </c>
    </row>
    <row r="387" spans="1:4" ht="15" outlineLevel="1" thickTop="1">
      <c r="A387" s="1" t="s">
        <v>12889</v>
      </c>
      <c r="B387" s="1" t="s">
        <v>12890</v>
      </c>
      <c r="D387" s="1" t="s">
        <v>12891</v>
      </c>
    </row>
    <row r="388" spans="1:4" outlineLevel="1">
      <c r="A388" s="1" t="s">
        <v>12892</v>
      </c>
      <c r="B388" s="1">
        <v>1500</v>
      </c>
      <c r="D388" s="2479" t="s">
        <v>12893</v>
      </c>
    </row>
    <row r="389" spans="1:4" outlineLevel="1">
      <c r="A389" s="1" t="s">
        <v>12894</v>
      </c>
      <c r="B389" s="1">
        <v>1500</v>
      </c>
      <c r="D389" s="2479" t="s">
        <v>12895</v>
      </c>
    </row>
    <row r="390" spans="1:4" outlineLevel="1">
      <c r="A390" s="1" t="s">
        <v>12896</v>
      </c>
      <c r="B390" s="1">
        <v>1000</v>
      </c>
      <c r="D390" s="2479" t="s">
        <v>12897</v>
      </c>
    </row>
    <row r="391" spans="1:4" outlineLevel="1">
      <c r="A391" s="1" t="s">
        <v>12898</v>
      </c>
      <c r="B391" s="1">
        <v>6000</v>
      </c>
      <c r="D391" s="2479" t="s">
        <v>12899</v>
      </c>
    </row>
    <row r="392" spans="1:4" outlineLevel="1">
      <c r="A392" s="1" t="s">
        <v>12900</v>
      </c>
      <c r="B392" s="1">
        <v>6000</v>
      </c>
      <c r="D392" s="2479" t="s">
        <v>12901</v>
      </c>
    </row>
    <row r="393" spans="1:4" outlineLevel="1">
      <c r="A393" s="1" t="s">
        <v>12902</v>
      </c>
      <c r="B393" s="1">
        <v>4000</v>
      </c>
      <c r="D393" s="2479" t="s">
        <v>12903</v>
      </c>
    </row>
    <row r="394" spans="1:4" outlineLevel="1">
      <c r="A394" s="1" t="s">
        <v>12904</v>
      </c>
      <c r="B394" s="1">
        <v>24000</v>
      </c>
      <c r="D394" s="2479" t="s">
        <v>12905</v>
      </c>
    </row>
    <row r="395" spans="1:4" outlineLevel="1">
      <c r="A395" s="1" t="s">
        <v>12906</v>
      </c>
      <c r="B395" s="1">
        <v>24000</v>
      </c>
      <c r="D395" s="2479" t="s">
        <v>12907</v>
      </c>
    </row>
    <row r="396" spans="1:4" outlineLevel="1">
      <c r="A396" s="1" t="s">
        <v>12908</v>
      </c>
      <c r="B396" s="1">
        <v>16000</v>
      </c>
      <c r="D396" s="2479" t="s">
        <v>12909</v>
      </c>
    </row>
    <row r="397" spans="1:4" outlineLevel="1">
      <c r="A397" s="1" t="s">
        <v>8879</v>
      </c>
      <c r="B397" s="1">
        <v>500</v>
      </c>
      <c r="D397" s="2479" t="s">
        <v>12910</v>
      </c>
    </row>
    <row r="398" spans="1:4" outlineLevel="1">
      <c r="A398" s="1" t="s">
        <v>8980</v>
      </c>
      <c r="B398" s="1">
        <v>6000</v>
      </c>
      <c r="D398" s="2479" t="s">
        <v>12911</v>
      </c>
    </row>
    <row r="399" spans="1:4" outlineLevel="1">
      <c r="A399" s="1" t="s">
        <v>12912</v>
      </c>
      <c r="B399" s="1">
        <v>25</v>
      </c>
      <c r="D399" s="2479" t="s">
        <v>12913</v>
      </c>
    </row>
    <row r="400" spans="1:4" outlineLevel="1">
      <c r="A400" s="1" t="s">
        <v>12914</v>
      </c>
      <c r="B400" s="1">
        <v>100</v>
      </c>
      <c r="D400" s="2479" t="s">
        <v>12915</v>
      </c>
    </row>
    <row r="401" spans="1:4" outlineLevel="1">
      <c r="A401" s="1" t="s">
        <v>12916</v>
      </c>
      <c r="B401" s="1">
        <v>400</v>
      </c>
      <c r="D401" s="2479" t="s">
        <v>12917</v>
      </c>
    </row>
    <row r="402" spans="1:4" outlineLevel="1">
      <c r="A402" s="1" t="s">
        <v>9250</v>
      </c>
      <c r="B402" s="1">
        <v>8000</v>
      </c>
      <c r="D402" s="2479" t="s">
        <v>12918</v>
      </c>
    </row>
    <row r="403" spans="1:4" outlineLevel="1">
      <c r="A403" s="1" t="s">
        <v>8984</v>
      </c>
      <c r="B403" s="1">
        <v>20000</v>
      </c>
      <c r="D403" s="2479" t="s">
        <v>12919</v>
      </c>
    </row>
    <row r="404" spans="1:4" outlineLevel="1">
      <c r="A404" s="1" t="s">
        <v>9389</v>
      </c>
      <c r="B404" s="1">
        <v>160000</v>
      </c>
      <c r="D404" s="2479" t="s">
        <v>12920</v>
      </c>
    </row>
    <row r="405" spans="1:4" outlineLevel="1">
      <c r="A405" s="1" t="s">
        <v>9380</v>
      </c>
      <c r="B405" s="1">
        <v>6000</v>
      </c>
      <c r="D405" s="2479" t="s">
        <v>12921</v>
      </c>
    </row>
    <row r="406" spans="1:4" outlineLevel="1">
      <c r="A406" s="1" t="s">
        <v>9448</v>
      </c>
      <c r="B406" s="1">
        <v>10000</v>
      </c>
      <c r="D406" s="2479" t="s">
        <v>12922</v>
      </c>
    </row>
    <row r="407" spans="1:4" outlineLevel="1">
      <c r="A407" s="1" t="s">
        <v>9423</v>
      </c>
      <c r="B407" s="1">
        <v>18000</v>
      </c>
      <c r="D407" s="2479" t="s">
        <v>12923</v>
      </c>
    </row>
    <row r="408" spans="1:4" outlineLevel="1">
      <c r="A408" s="1" t="s">
        <v>12924</v>
      </c>
      <c r="B408" s="1">
        <v>6000</v>
      </c>
    </row>
    <row r="409" spans="1:4" outlineLevel="1">
      <c r="A409" s="1" t="s">
        <v>12925</v>
      </c>
      <c r="B409" s="1">
        <v>600</v>
      </c>
    </row>
    <row r="410" spans="1:4" outlineLevel="1">
      <c r="A410" s="1" t="s">
        <v>12926</v>
      </c>
      <c r="B410" s="1">
        <v>6000</v>
      </c>
    </row>
    <row r="411" spans="1:4" outlineLevel="1">
      <c r="A411" s="1" t="s">
        <v>8986</v>
      </c>
      <c r="B411" s="1">
        <v>4000</v>
      </c>
    </row>
    <row r="412" spans="1:4" outlineLevel="1">
      <c r="A412" s="1" t="s">
        <v>9254</v>
      </c>
      <c r="B412" s="1">
        <v>960</v>
      </c>
    </row>
    <row r="413" spans="1:4" outlineLevel="1">
      <c r="A413" s="1" t="s">
        <v>9256</v>
      </c>
      <c r="B413" s="1">
        <v>6000</v>
      </c>
    </row>
    <row r="414" spans="1:4" outlineLevel="1">
      <c r="A414" s="1" t="s">
        <v>8992</v>
      </c>
      <c r="B414" s="1">
        <v>2500</v>
      </c>
    </row>
    <row r="415" spans="1:4" outlineLevel="1">
      <c r="A415" s="1" t="s">
        <v>9260</v>
      </c>
      <c r="B415" s="1">
        <v>4000</v>
      </c>
    </row>
    <row r="416" spans="1:4" outlineLevel="1">
      <c r="A416" s="1" t="s">
        <v>9262</v>
      </c>
      <c r="B416" s="1">
        <v>4000</v>
      </c>
    </row>
    <row r="417" spans="1:2" outlineLevel="1">
      <c r="A417" s="1" t="s">
        <v>8995</v>
      </c>
      <c r="B417" s="1">
        <v>5000</v>
      </c>
    </row>
    <row r="418" spans="1:2" outlineLevel="1">
      <c r="A418" s="1" t="s">
        <v>8998</v>
      </c>
      <c r="B418" s="1">
        <v>10000</v>
      </c>
    </row>
    <row r="419" spans="1:2" outlineLevel="1">
      <c r="A419" s="1" t="s">
        <v>9264</v>
      </c>
      <c r="B419" s="1">
        <v>8000</v>
      </c>
    </row>
    <row r="420" spans="1:2" outlineLevel="1">
      <c r="A420" s="1" t="s">
        <v>9001</v>
      </c>
      <c r="B420" s="1">
        <v>1500</v>
      </c>
    </row>
    <row r="421" spans="1:2" outlineLevel="1">
      <c r="A421" s="1" t="s">
        <v>9266</v>
      </c>
      <c r="B421" s="1">
        <v>6000</v>
      </c>
    </row>
    <row r="422" spans="1:2" outlineLevel="1">
      <c r="A422" s="1" t="s">
        <v>9268</v>
      </c>
      <c r="B422" s="1">
        <v>8000</v>
      </c>
    </row>
    <row r="423" spans="1:2" outlineLevel="1">
      <c r="A423" s="1" t="s">
        <v>12927</v>
      </c>
      <c r="B423" s="1">
        <v>8000</v>
      </c>
    </row>
    <row r="424" spans="1:2" outlineLevel="1">
      <c r="A424" s="1" t="s">
        <v>9003</v>
      </c>
      <c r="B424" s="1">
        <v>7500</v>
      </c>
    </row>
    <row r="425" spans="1:2" outlineLevel="1">
      <c r="A425" s="1" t="s">
        <v>9005</v>
      </c>
      <c r="B425" s="1">
        <v>8000</v>
      </c>
    </row>
    <row r="426" spans="1:2" outlineLevel="1">
      <c r="A426" s="1" t="s">
        <v>9007</v>
      </c>
      <c r="B426" s="1">
        <v>1000</v>
      </c>
    </row>
    <row r="427" spans="1:2" outlineLevel="1">
      <c r="A427" s="1" t="s">
        <v>9270</v>
      </c>
      <c r="B427" s="1">
        <v>8000</v>
      </c>
    </row>
    <row r="428" spans="1:2" outlineLevel="1">
      <c r="A428" s="1" t="s">
        <v>9395</v>
      </c>
      <c r="B428" s="1">
        <v>12000</v>
      </c>
    </row>
    <row r="429" spans="1:2" outlineLevel="1">
      <c r="A429" s="1" t="s">
        <v>9272</v>
      </c>
      <c r="B429" s="1">
        <v>8000</v>
      </c>
    </row>
    <row r="430" spans="1:2" outlineLevel="1">
      <c r="A430" s="1" t="s">
        <v>9274</v>
      </c>
      <c r="B430" s="1">
        <v>1500</v>
      </c>
    </row>
    <row r="431" spans="1:2" outlineLevel="1">
      <c r="A431" s="1" t="s">
        <v>9011</v>
      </c>
      <c r="B431" s="1">
        <v>1500</v>
      </c>
    </row>
    <row r="432" spans="1:2" outlineLevel="1">
      <c r="A432" s="1" t="s">
        <v>9396</v>
      </c>
      <c r="B432" s="1">
        <v>5000</v>
      </c>
    </row>
    <row r="433" spans="1:2" outlineLevel="1">
      <c r="A433" s="1" t="s">
        <v>9276</v>
      </c>
      <c r="B433" s="1">
        <v>60000</v>
      </c>
    </row>
    <row r="434" spans="1:2" outlineLevel="1">
      <c r="A434" s="1" t="s">
        <v>9014</v>
      </c>
      <c r="B434" s="1">
        <v>5000</v>
      </c>
    </row>
    <row r="435" spans="1:2" outlineLevel="1">
      <c r="A435" s="1" t="s">
        <v>9451</v>
      </c>
      <c r="B435" s="1">
        <v>80000</v>
      </c>
    </row>
    <row r="436" spans="1:2" outlineLevel="1">
      <c r="A436" s="1" t="s">
        <v>9017</v>
      </c>
      <c r="B436" s="1">
        <v>3500</v>
      </c>
    </row>
    <row r="437" spans="1:2" outlineLevel="1">
      <c r="A437" s="1" t="s">
        <v>9278</v>
      </c>
      <c r="B437" s="1">
        <v>6000</v>
      </c>
    </row>
    <row r="438" spans="1:2" outlineLevel="1">
      <c r="A438" s="1" t="s">
        <v>9021</v>
      </c>
      <c r="B438" s="1">
        <v>6000</v>
      </c>
    </row>
    <row r="439" spans="1:2" outlineLevel="1">
      <c r="A439" s="1" t="s">
        <v>9397</v>
      </c>
      <c r="B439" s="1">
        <v>50000</v>
      </c>
    </row>
    <row r="440" spans="1:2" outlineLevel="1">
      <c r="A440" s="1" t="s">
        <v>9280</v>
      </c>
      <c r="B440" s="1">
        <v>16000</v>
      </c>
    </row>
    <row r="441" spans="1:2" outlineLevel="1">
      <c r="A441" s="1" t="s">
        <v>9455</v>
      </c>
      <c r="B441" s="1">
        <v>40000</v>
      </c>
    </row>
    <row r="442" spans="1:2" outlineLevel="1">
      <c r="A442" s="1" t="s">
        <v>9282</v>
      </c>
      <c r="B442" s="1">
        <v>75000</v>
      </c>
    </row>
    <row r="443" spans="1:2" outlineLevel="1">
      <c r="A443" s="1" t="s">
        <v>9228</v>
      </c>
      <c r="B443" s="1">
        <v>2500</v>
      </c>
    </row>
    <row r="444" spans="1:2" outlineLevel="1">
      <c r="A444" s="1" t="s">
        <v>9368</v>
      </c>
      <c r="B444" s="1">
        <v>2000</v>
      </c>
    </row>
    <row r="445" spans="1:2" outlineLevel="1">
      <c r="A445" s="1" t="s">
        <v>9023</v>
      </c>
      <c r="B445" s="1">
        <v>135000</v>
      </c>
    </row>
    <row r="446" spans="1:2" outlineLevel="1">
      <c r="A446" s="1" t="s">
        <v>9027</v>
      </c>
      <c r="B446" s="1">
        <v>6120</v>
      </c>
    </row>
    <row r="447" spans="1:2" outlineLevel="1">
      <c r="A447" s="1" t="s">
        <v>9439</v>
      </c>
      <c r="B447" s="1">
        <v>24000</v>
      </c>
    </row>
    <row r="448" spans="1:2" outlineLevel="1">
      <c r="A448" s="1" t="s">
        <v>9285</v>
      </c>
      <c r="B448" s="1">
        <v>3000</v>
      </c>
    </row>
    <row r="449" spans="1:2" outlineLevel="1">
      <c r="A449" s="1" t="s">
        <v>9385</v>
      </c>
      <c r="B449" s="1">
        <v>4000</v>
      </c>
    </row>
    <row r="450" spans="1:2" outlineLevel="1">
      <c r="A450" s="1" t="s">
        <v>12928</v>
      </c>
      <c r="B450" s="1">
        <v>8000</v>
      </c>
    </row>
    <row r="451" spans="1:2" outlineLevel="1">
      <c r="A451" s="1" t="s">
        <v>9030</v>
      </c>
      <c r="B451" s="1">
        <v>750</v>
      </c>
    </row>
    <row r="452" spans="1:2" outlineLevel="1">
      <c r="A452" s="1" t="s">
        <v>9034</v>
      </c>
      <c r="B452" s="1">
        <v>300</v>
      </c>
    </row>
    <row r="453" spans="1:2" outlineLevel="1">
      <c r="A453" s="1" t="s">
        <v>12929</v>
      </c>
      <c r="B453" s="1">
        <v>120</v>
      </c>
    </row>
    <row r="454" spans="1:2" outlineLevel="1">
      <c r="A454" s="1" t="s">
        <v>9039</v>
      </c>
      <c r="B454" s="1">
        <v>480</v>
      </c>
    </row>
    <row r="455" spans="1:2" outlineLevel="1">
      <c r="A455" s="1" t="s">
        <v>9386</v>
      </c>
      <c r="B455" s="1">
        <v>9000</v>
      </c>
    </row>
    <row r="456" spans="1:2" outlineLevel="1">
      <c r="A456" s="1" t="s">
        <v>9370</v>
      </c>
      <c r="B456" s="1">
        <v>18000</v>
      </c>
    </row>
    <row r="457" spans="1:2" outlineLevel="1">
      <c r="A457" s="1" t="s">
        <v>12930</v>
      </c>
      <c r="B457" s="1">
        <v>6000</v>
      </c>
    </row>
    <row r="458" spans="1:2" outlineLevel="1">
      <c r="A458" s="1" t="s">
        <v>9425</v>
      </c>
      <c r="B458" s="1">
        <v>20000</v>
      </c>
    </row>
    <row r="459" spans="1:2" outlineLevel="1">
      <c r="A459" s="1" t="s">
        <v>9026</v>
      </c>
      <c r="B459" s="1">
        <v>960</v>
      </c>
    </row>
    <row r="460" spans="1:2" outlineLevel="1">
      <c r="A460" s="1" t="s">
        <v>9141</v>
      </c>
      <c r="B460" s="1">
        <v>120</v>
      </c>
    </row>
    <row r="461" spans="1:2" outlineLevel="1">
      <c r="A461" s="1" t="s">
        <v>9133</v>
      </c>
      <c r="B461" s="1">
        <v>4000</v>
      </c>
    </row>
    <row r="462" spans="1:2" outlineLevel="1">
      <c r="A462" s="1" t="s">
        <v>9042</v>
      </c>
      <c r="B462" s="1">
        <v>1000</v>
      </c>
    </row>
    <row r="463" spans="1:2" outlineLevel="1">
      <c r="A463" s="1" t="s">
        <v>9045</v>
      </c>
      <c r="B463" s="1">
        <v>3000</v>
      </c>
    </row>
    <row r="464" spans="1:2" outlineLevel="1">
      <c r="A464" s="1" t="s">
        <v>9047</v>
      </c>
      <c r="B464" s="1">
        <v>2500</v>
      </c>
    </row>
    <row r="465" spans="1:2" outlineLevel="1">
      <c r="A465" s="1" t="s">
        <v>9049</v>
      </c>
      <c r="B465" s="1">
        <v>2500</v>
      </c>
    </row>
    <row r="466" spans="1:2" outlineLevel="1">
      <c r="A466" s="1" t="s">
        <v>12931</v>
      </c>
      <c r="B466" s="1">
        <v>5000</v>
      </c>
    </row>
    <row r="467" spans="1:2" outlineLevel="1">
      <c r="A467" s="1" t="s">
        <v>9302</v>
      </c>
      <c r="B467" s="1">
        <v>10000</v>
      </c>
    </row>
    <row r="468" spans="1:2" outlineLevel="1">
      <c r="A468" s="1" t="s">
        <v>9372</v>
      </c>
      <c r="B468" s="1">
        <v>2200</v>
      </c>
    </row>
    <row r="469" spans="1:2" outlineLevel="1">
      <c r="A469" s="1" t="s">
        <v>9054</v>
      </c>
      <c r="B469" s="1">
        <v>8000</v>
      </c>
    </row>
    <row r="470" spans="1:2" outlineLevel="1">
      <c r="A470" s="1" t="s">
        <v>9057</v>
      </c>
      <c r="B470" s="1">
        <v>5000</v>
      </c>
    </row>
    <row r="471" spans="1:2" outlineLevel="1">
      <c r="A471" s="1" t="s">
        <v>9303</v>
      </c>
      <c r="B471" s="1">
        <v>32000</v>
      </c>
    </row>
    <row r="472" spans="1:2" outlineLevel="1">
      <c r="A472" s="1" t="s">
        <v>12932</v>
      </c>
      <c r="B472" s="1">
        <v>7000</v>
      </c>
    </row>
    <row r="473" spans="1:2" outlineLevel="1">
      <c r="A473" s="1" t="s">
        <v>9135</v>
      </c>
      <c r="B473" s="1">
        <v>2000</v>
      </c>
    </row>
    <row r="474" spans="1:2" outlineLevel="1">
      <c r="A474" s="1" t="s">
        <v>9059</v>
      </c>
      <c r="B474" s="1">
        <v>3000</v>
      </c>
    </row>
    <row r="475" spans="1:2" outlineLevel="1">
      <c r="A475" s="1" t="s">
        <v>9061</v>
      </c>
      <c r="B475" s="1">
        <v>2000</v>
      </c>
    </row>
    <row r="476" spans="1:2" outlineLevel="1">
      <c r="A476" s="1" t="s">
        <v>9063</v>
      </c>
      <c r="B476" s="1">
        <v>5000</v>
      </c>
    </row>
    <row r="477" spans="1:2" outlineLevel="1">
      <c r="A477" s="1" t="s">
        <v>9065</v>
      </c>
      <c r="B477" s="1">
        <v>1500</v>
      </c>
    </row>
    <row r="478" spans="1:2" outlineLevel="1">
      <c r="A478" s="1" t="s">
        <v>12933</v>
      </c>
      <c r="B478" s="1">
        <v>600</v>
      </c>
    </row>
    <row r="479" spans="1:2" outlineLevel="1">
      <c r="A479" s="1" t="s">
        <v>9441</v>
      </c>
      <c r="B479" s="1">
        <v>16000</v>
      </c>
    </row>
    <row r="480" spans="1:2" outlineLevel="1">
      <c r="A480" s="1" t="s">
        <v>9067</v>
      </c>
      <c r="B480" s="1">
        <v>5000</v>
      </c>
    </row>
    <row r="481" spans="1:2" outlineLevel="1">
      <c r="A481" s="1" t="s">
        <v>9070</v>
      </c>
      <c r="B481" s="1">
        <v>8000</v>
      </c>
    </row>
    <row r="482" spans="1:2" outlineLevel="1">
      <c r="A482" s="1" t="s">
        <v>9072</v>
      </c>
      <c r="B482" s="1">
        <v>500</v>
      </c>
    </row>
    <row r="483" spans="1:2" outlineLevel="1">
      <c r="A483" s="1" t="s">
        <v>9074</v>
      </c>
      <c r="B483" s="1">
        <v>12000</v>
      </c>
    </row>
    <row r="484" spans="1:2" outlineLevel="1">
      <c r="A484" s="1" t="s">
        <v>9304</v>
      </c>
      <c r="B484" s="1">
        <v>64000</v>
      </c>
    </row>
    <row r="485" spans="1:2" outlineLevel="1">
      <c r="A485" s="1" t="s">
        <v>9305</v>
      </c>
      <c r="B485" s="1">
        <v>2000</v>
      </c>
    </row>
    <row r="486" spans="1:2" outlineLevel="1">
      <c r="A486" s="1" t="s">
        <v>9442</v>
      </c>
      <c r="B486" s="1">
        <v>165000</v>
      </c>
    </row>
    <row r="487" spans="1:2" outlineLevel="1">
      <c r="A487" s="1" t="s">
        <v>9306</v>
      </c>
      <c r="B487" s="1">
        <v>450</v>
      </c>
    </row>
    <row r="488" spans="1:2" outlineLevel="1">
      <c r="A488" s="1" t="s">
        <v>9307</v>
      </c>
      <c r="B488" s="1">
        <v>8400</v>
      </c>
    </row>
    <row r="489" spans="1:2" outlineLevel="1">
      <c r="A489" s="1" t="s">
        <v>9401</v>
      </c>
      <c r="B489" s="1">
        <v>11200</v>
      </c>
    </row>
    <row r="490" spans="1:2" outlineLevel="1">
      <c r="A490" s="1" t="s">
        <v>9458</v>
      </c>
      <c r="B490" s="1">
        <v>14000</v>
      </c>
    </row>
    <row r="491" spans="1:2" outlineLevel="1">
      <c r="A491" s="1" t="s">
        <v>9308</v>
      </c>
      <c r="B491" s="1">
        <v>5600</v>
      </c>
    </row>
    <row r="492" spans="1:2" outlineLevel="1">
      <c r="A492" s="1" t="s">
        <v>9402</v>
      </c>
      <c r="B492" s="1">
        <v>1500</v>
      </c>
    </row>
    <row r="493" spans="1:2" outlineLevel="1">
      <c r="A493" s="1" t="s">
        <v>9309</v>
      </c>
      <c r="B493" s="1">
        <v>5000</v>
      </c>
    </row>
    <row r="494" spans="1:2" outlineLevel="1">
      <c r="A494" s="1" t="s">
        <v>8932</v>
      </c>
      <c r="B494" s="1">
        <v>5000</v>
      </c>
    </row>
    <row r="495" spans="1:2" outlineLevel="1">
      <c r="A495" s="1" t="s">
        <v>9403</v>
      </c>
      <c r="B495" s="1">
        <v>109000</v>
      </c>
    </row>
    <row r="496" spans="1:2" outlineLevel="1">
      <c r="A496" s="1" t="s">
        <v>9310</v>
      </c>
      <c r="B496" s="1">
        <v>30000</v>
      </c>
    </row>
    <row r="497" spans="1:2" outlineLevel="1">
      <c r="A497" s="1" t="s">
        <v>9312</v>
      </c>
      <c r="B497" s="1">
        <v>35000</v>
      </c>
    </row>
    <row r="498" spans="1:2" outlineLevel="1">
      <c r="A498" s="1" t="s">
        <v>9077</v>
      </c>
      <c r="B498" s="1">
        <v>28500</v>
      </c>
    </row>
    <row r="499" spans="1:2" outlineLevel="1">
      <c r="A499" s="1" t="s">
        <v>9080</v>
      </c>
      <c r="B499" s="1">
        <v>26500</v>
      </c>
    </row>
    <row r="500" spans="1:2" outlineLevel="1">
      <c r="A500" s="1" t="s">
        <v>9082</v>
      </c>
      <c r="B500" s="1">
        <v>27000</v>
      </c>
    </row>
    <row r="501" spans="1:2" outlineLevel="1">
      <c r="A501" s="1" t="s">
        <v>9459</v>
      </c>
      <c r="B501" s="1">
        <v>125000</v>
      </c>
    </row>
    <row r="502" spans="1:2" outlineLevel="1">
      <c r="A502" s="1" t="s">
        <v>9404</v>
      </c>
      <c r="B502" s="1">
        <v>2400</v>
      </c>
    </row>
    <row r="503" spans="1:2" outlineLevel="1">
      <c r="A503" s="1" t="s">
        <v>9405</v>
      </c>
      <c r="B503" s="1">
        <v>3000</v>
      </c>
    </row>
    <row r="504" spans="1:2" outlineLevel="1">
      <c r="A504" s="1" t="s">
        <v>9313</v>
      </c>
      <c r="B504" s="1">
        <v>12000</v>
      </c>
    </row>
    <row r="505" spans="1:2" outlineLevel="1">
      <c r="A505" s="1" t="s">
        <v>9406</v>
      </c>
      <c r="B505" s="1">
        <v>3000</v>
      </c>
    </row>
    <row r="506" spans="1:2" outlineLevel="1">
      <c r="A506" s="1" t="s">
        <v>9460</v>
      </c>
      <c r="B506" s="1">
        <v>31000</v>
      </c>
    </row>
    <row r="507" spans="1:2" outlineLevel="1">
      <c r="A507" s="1" t="s">
        <v>9407</v>
      </c>
      <c r="B507" s="1">
        <v>3000</v>
      </c>
    </row>
    <row r="508" spans="1:2" outlineLevel="1">
      <c r="A508" s="1" t="s">
        <v>9408</v>
      </c>
      <c r="B508" s="1">
        <v>3000</v>
      </c>
    </row>
    <row r="509" spans="1:2" outlineLevel="1">
      <c r="A509" s="1" t="s">
        <v>9409</v>
      </c>
      <c r="B509" s="1">
        <v>3000</v>
      </c>
    </row>
    <row r="510" spans="1:2" outlineLevel="1">
      <c r="A510" s="1" t="s">
        <v>9461</v>
      </c>
      <c r="B510" s="1">
        <v>15000</v>
      </c>
    </row>
    <row r="511" spans="1:2" outlineLevel="1">
      <c r="A511" s="1" t="s">
        <v>9314</v>
      </c>
      <c r="B511" s="1">
        <v>1200</v>
      </c>
    </row>
    <row r="512" spans="1:2" outlineLevel="1">
      <c r="A512" s="1" t="s">
        <v>9462</v>
      </c>
      <c r="B512" s="1">
        <v>4000</v>
      </c>
    </row>
    <row r="513" spans="1:2" outlineLevel="1">
      <c r="A513" s="1" t="s">
        <v>9315</v>
      </c>
      <c r="B513" s="1">
        <v>6000</v>
      </c>
    </row>
    <row r="514" spans="1:2" outlineLevel="1">
      <c r="A514" s="1" t="s">
        <v>9410</v>
      </c>
      <c r="B514" s="1">
        <v>3000</v>
      </c>
    </row>
    <row r="515" spans="1:2" outlineLevel="1">
      <c r="A515" s="1" t="s">
        <v>9316</v>
      </c>
      <c r="B515" s="1">
        <v>1000</v>
      </c>
    </row>
    <row r="516" spans="1:2" outlineLevel="1">
      <c r="A516" s="1" t="s">
        <v>9317</v>
      </c>
      <c r="B516" s="1">
        <v>4000</v>
      </c>
    </row>
    <row r="517" spans="1:2" outlineLevel="1">
      <c r="A517" s="1" t="s">
        <v>12934</v>
      </c>
      <c r="B517" s="1">
        <v>20000</v>
      </c>
    </row>
    <row r="518" spans="1:2" outlineLevel="1">
      <c r="A518" s="1" t="s">
        <v>12935</v>
      </c>
      <c r="B518" s="1">
        <v>400</v>
      </c>
    </row>
    <row r="519" spans="1:2" outlineLevel="1">
      <c r="A519" s="1" t="s">
        <v>12936</v>
      </c>
      <c r="B519" s="1">
        <v>1000</v>
      </c>
    </row>
    <row r="520" spans="1:2" outlineLevel="1">
      <c r="A520" s="1" t="s">
        <v>8964</v>
      </c>
      <c r="B520" s="1">
        <v>1500</v>
      </c>
    </row>
    <row r="521" spans="1:2" outlineLevel="1">
      <c r="A521" s="1" t="s">
        <v>12937</v>
      </c>
      <c r="B521" s="1">
        <v>120</v>
      </c>
    </row>
    <row r="522" spans="1:2" outlineLevel="1">
      <c r="A522" s="1" t="s">
        <v>9087</v>
      </c>
      <c r="B522" s="1">
        <v>5000</v>
      </c>
    </row>
    <row r="523" spans="1:2" outlineLevel="1">
      <c r="A523" s="1" t="s">
        <v>9234</v>
      </c>
      <c r="B523" s="1">
        <v>8000</v>
      </c>
    </row>
    <row r="524" spans="1:2" outlineLevel="1">
      <c r="A524" s="1" t="s">
        <v>9237</v>
      </c>
      <c r="B524" s="1">
        <v>7000</v>
      </c>
    </row>
    <row r="525" spans="1:2" outlineLevel="1">
      <c r="A525" s="1" t="s">
        <v>9239</v>
      </c>
      <c r="B525" s="1">
        <v>8000</v>
      </c>
    </row>
    <row r="526" spans="1:2" outlineLevel="1">
      <c r="A526" s="1" t="s">
        <v>9319</v>
      </c>
      <c r="B526" s="1">
        <v>30000</v>
      </c>
    </row>
    <row r="527" spans="1:2" outlineLevel="1">
      <c r="A527" s="1" t="s">
        <v>12938</v>
      </c>
      <c r="B527" s="1">
        <v>6000</v>
      </c>
    </row>
    <row r="528" spans="1:2" outlineLevel="1">
      <c r="A528" s="1" t="s">
        <v>8883</v>
      </c>
      <c r="B528" s="1">
        <v>1500</v>
      </c>
    </row>
    <row r="529" spans="1:2" outlineLevel="1">
      <c r="A529" s="1" t="s">
        <v>9089</v>
      </c>
      <c r="B529" s="1">
        <v>3000</v>
      </c>
    </row>
    <row r="530" spans="1:2" outlineLevel="1">
      <c r="A530" s="1" t="s">
        <v>9415</v>
      </c>
      <c r="B530" s="1">
        <v>18000</v>
      </c>
    </row>
    <row r="531" spans="1:2" outlineLevel="1">
      <c r="A531" s="1" t="s">
        <v>8886</v>
      </c>
      <c r="B531" s="1">
        <v>800</v>
      </c>
    </row>
    <row r="532" spans="1:2" outlineLevel="1">
      <c r="A532" s="1" t="s">
        <v>9091</v>
      </c>
      <c r="B532" s="1">
        <v>1500</v>
      </c>
    </row>
    <row r="533" spans="1:2" outlineLevel="1">
      <c r="A533" s="1" t="s">
        <v>12939</v>
      </c>
      <c r="B533" s="1">
        <v>3840</v>
      </c>
    </row>
    <row r="534" spans="1:2" outlineLevel="1">
      <c r="A534" s="1" t="s">
        <v>12940</v>
      </c>
      <c r="B534" s="1">
        <v>1600</v>
      </c>
    </row>
    <row r="535" spans="1:2" outlineLevel="1">
      <c r="A535" s="1" t="s">
        <v>12941</v>
      </c>
      <c r="B535" s="1">
        <v>300</v>
      </c>
    </row>
    <row r="536" spans="1:2" outlineLevel="1">
      <c r="A536" s="1" t="s">
        <v>12942</v>
      </c>
      <c r="B536" s="1">
        <v>7680</v>
      </c>
    </row>
    <row r="537" spans="1:2" outlineLevel="1">
      <c r="A537" s="1" t="s">
        <v>12943</v>
      </c>
      <c r="B537" s="1">
        <v>960</v>
      </c>
    </row>
    <row r="538" spans="1:2" outlineLevel="1">
      <c r="A538" s="1" t="s">
        <v>12944</v>
      </c>
      <c r="B538" s="1">
        <v>480</v>
      </c>
    </row>
    <row r="539" spans="1:2" outlineLevel="1">
      <c r="A539" s="1" t="s">
        <v>12945</v>
      </c>
      <c r="B539" s="1">
        <v>8000</v>
      </c>
    </row>
    <row r="540" spans="1:2" outlineLevel="1">
      <c r="A540" s="1" t="s">
        <v>9416</v>
      </c>
      <c r="B540" s="1">
        <v>200</v>
      </c>
    </row>
    <row r="541" spans="1:2" outlineLevel="1">
      <c r="A541" s="1" t="s">
        <v>9374</v>
      </c>
      <c r="B541" s="1">
        <v>3500</v>
      </c>
    </row>
    <row r="542" spans="1:2" outlineLevel="1">
      <c r="A542" s="1" t="s">
        <v>12946</v>
      </c>
      <c r="B542" s="1">
        <v>128000</v>
      </c>
    </row>
    <row r="543" spans="1:2" outlineLevel="1">
      <c r="A543" s="1" t="s">
        <v>9143</v>
      </c>
      <c r="B543" s="1">
        <v>1920</v>
      </c>
    </row>
    <row r="544" spans="1:2" outlineLevel="1">
      <c r="A544" s="1" t="s">
        <v>9334</v>
      </c>
      <c r="B544" s="1">
        <v>3200</v>
      </c>
    </row>
    <row r="545" spans="1:2" outlineLevel="1">
      <c r="A545" s="1" t="s">
        <v>8895</v>
      </c>
      <c r="B545" s="1">
        <v>480</v>
      </c>
    </row>
    <row r="546" spans="1:2" outlineLevel="1">
      <c r="A546" s="1" t="s">
        <v>12947</v>
      </c>
      <c r="B546" s="1">
        <v>3000</v>
      </c>
    </row>
    <row r="547" spans="1:2" outlineLevel="1">
      <c r="A547" s="1" t="s">
        <v>9093</v>
      </c>
      <c r="B547" s="1">
        <v>6000</v>
      </c>
    </row>
    <row r="548" spans="1:2" outlineLevel="1">
      <c r="A548" s="1" t="s">
        <v>9095</v>
      </c>
      <c r="B548" s="1">
        <v>5000</v>
      </c>
    </row>
    <row r="549" spans="1:2" outlineLevel="1">
      <c r="A549" s="1" t="s">
        <v>9323</v>
      </c>
      <c r="B549" s="1">
        <v>5000</v>
      </c>
    </row>
    <row r="550" spans="1:2" outlineLevel="1">
      <c r="A550" s="1" t="s">
        <v>9097</v>
      </c>
      <c r="B550" s="1">
        <v>5000</v>
      </c>
    </row>
    <row r="551" spans="1:2" outlineLevel="1">
      <c r="A551" s="1" t="s">
        <v>8898</v>
      </c>
      <c r="B551" s="1">
        <v>90</v>
      </c>
    </row>
    <row r="552" spans="1:2" outlineLevel="1">
      <c r="A552" s="1" t="s">
        <v>9099</v>
      </c>
      <c r="B552" s="1">
        <v>6000</v>
      </c>
    </row>
    <row r="553" spans="1:2" outlineLevel="1">
      <c r="A553" s="1" t="s">
        <v>9102</v>
      </c>
      <c r="B553" s="1">
        <v>2000</v>
      </c>
    </row>
    <row r="554" spans="1:2" outlineLevel="1">
      <c r="A554" s="1" t="s">
        <v>9427</v>
      </c>
      <c r="B554" s="1">
        <v>48000</v>
      </c>
    </row>
    <row r="555" spans="1:2" outlineLevel="1">
      <c r="A555" s="1" t="s">
        <v>9324</v>
      </c>
      <c r="B555" s="1">
        <v>8000</v>
      </c>
    </row>
    <row r="556" spans="1:2" outlineLevel="1">
      <c r="A556" s="1" t="s">
        <v>8900</v>
      </c>
      <c r="B556" s="1">
        <v>200</v>
      </c>
    </row>
    <row r="557" spans="1:2" outlineLevel="1">
      <c r="A557" s="1" t="s">
        <v>9146</v>
      </c>
      <c r="B557" s="1">
        <v>960</v>
      </c>
    </row>
    <row r="558" spans="1:2" outlineLevel="1">
      <c r="A558" s="1" t="s">
        <v>8865</v>
      </c>
      <c r="B558" s="1">
        <v>180</v>
      </c>
    </row>
    <row r="559" spans="1:2" outlineLevel="1">
      <c r="A559" s="1" t="s">
        <v>9148</v>
      </c>
      <c r="B559" s="1">
        <v>270</v>
      </c>
    </row>
    <row r="560" spans="1:2" outlineLevel="1">
      <c r="A560" s="1" t="s">
        <v>8903</v>
      </c>
      <c r="B560" s="1">
        <v>150</v>
      </c>
    </row>
    <row r="561" spans="1:2" outlineLevel="1">
      <c r="A561" s="1" t="s">
        <v>9336</v>
      </c>
      <c r="B561" s="1">
        <v>500</v>
      </c>
    </row>
    <row r="562" spans="1:2" outlineLevel="1">
      <c r="A562" s="1" t="s">
        <v>9155</v>
      </c>
      <c r="B562" s="1">
        <v>300</v>
      </c>
    </row>
    <row r="563" spans="1:2" outlineLevel="1">
      <c r="A563" s="1" t="s">
        <v>8905</v>
      </c>
      <c r="B563" s="1">
        <v>150</v>
      </c>
    </row>
    <row r="564" spans="1:2" outlineLevel="1">
      <c r="A564" s="1" t="s">
        <v>8907</v>
      </c>
      <c r="B564" s="1">
        <v>270</v>
      </c>
    </row>
    <row r="565" spans="1:2" outlineLevel="1">
      <c r="A565" s="1" t="s">
        <v>12736</v>
      </c>
      <c r="B565" s="1">
        <v>50</v>
      </c>
    </row>
    <row r="566" spans="1:2" outlineLevel="1">
      <c r="A566" s="1" t="s">
        <v>9157</v>
      </c>
      <c r="B566" s="1">
        <v>180</v>
      </c>
    </row>
    <row r="567" spans="1:2" outlineLevel="1">
      <c r="A567" s="1" t="s">
        <v>9337</v>
      </c>
      <c r="B567" s="1">
        <v>180</v>
      </c>
    </row>
    <row r="568" spans="1:2" outlineLevel="1">
      <c r="A568" s="1" t="s">
        <v>9160</v>
      </c>
      <c r="B568" s="1">
        <v>3840</v>
      </c>
    </row>
    <row r="569" spans="1:2" outlineLevel="1">
      <c r="A569" s="1" t="s">
        <v>9338</v>
      </c>
      <c r="B569" s="1">
        <v>9000</v>
      </c>
    </row>
    <row r="570" spans="1:2" outlineLevel="1">
      <c r="A570" s="1" t="s">
        <v>9163</v>
      </c>
      <c r="B570" s="1">
        <v>180</v>
      </c>
    </row>
    <row r="571" spans="1:2" outlineLevel="1">
      <c r="A571" s="1" t="s">
        <v>8911</v>
      </c>
      <c r="B571" s="1">
        <v>100</v>
      </c>
    </row>
    <row r="572" spans="1:2" outlineLevel="1">
      <c r="A572" s="1" t="s">
        <v>8914</v>
      </c>
      <c r="B572" s="1">
        <v>300</v>
      </c>
    </row>
    <row r="573" spans="1:2" outlineLevel="1">
      <c r="A573" s="1" t="s">
        <v>9340</v>
      </c>
      <c r="B573" s="1">
        <v>400</v>
      </c>
    </row>
    <row r="574" spans="1:2" outlineLevel="1">
      <c r="A574" s="1" t="s">
        <v>9168</v>
      </c>
      <c r="B574" s="1">
        <v>450</v>
      </c>
    </row>
    <row r="575" spans="1:2" outlineLevel="1">
      <c r="A575" s="1" t="s">
        <v>9342</v>
      </c>
      <c r="B575" s="1">
        <v>1350</v>
      </c>
    </row>
    <row r="576" spans="1:2" outlineLevel="1">
      <c r="A576" s="1" t="s">
        <v>9344</v>
      </c>
      <c r="B576" s="1">
        <v>960</v>
      </c>
    </row>
    <row r="577" spans="1:2" outlineLevel="1">
      <c r="A577" s="1" t="s">
        <v>8915</v>
      </c>
      <c r="B577" s="1">
        <v>180</v>
      </c>
    </row>
    <row r="578" spans="1:2" outlineLevel="1">
      <c r="A578" s="1" t="s">
        <v>12948</v>
      </c>
      <c r="B578" s="1">
        <v>2000</v>
      </c>
    </row>
    <row r="579" spans="1:2" outlineLevel="1">
      <c r="A579" s="1" t="s">
        <v>12949</v>
      </c>
      <c r="B579" s="1">
        <v>4000</v>
      </c>
    </row>
    <row r="580" spans="1:2" outlineLevel="1">
      <c r="A580" s="1" t="s">
        <v>12950</v>
      </c>
      <c r="B580" s="1">
        <v>32000</v>
      </c>
    </row>
    <row r="581" spans="1:2" outlineLevel="1">
      <c r="A581" s="1" t="s">
        <v>12951</v>
      </c>
      <c r="B581" s="1">
        <v>1500</v>
      </c>
    </row>
    <row r="582" spans="1:2" outlineLevel="1">
      <c r="A582" s="1" t="s">
        <v>12952</v>
      </c>
      <c r="B582" s="1">
        <v>128000</v>
      </c>
    </row>
    <row r="583" spans="1:2" outlineLevel="1">
      <c r="A583" s="1" t="s">
        <v>12953</v>
      </c>
      <c r="B583" s="1">
        <v>96000</v>
      </c>
    </row>
    <row r="584" spans="1:2" outlineLevel="1">
      <c r="A584" s="1" t="s">
        <v>12954</v>
      </c>
      <c r="B584" s="1">
        <v>50</v>
      </c>
    </row>
    <row r="585" spans="1:2" outlineLevel="1">
      <c r="A585" s="1" t="s">
        <v>12955</v>
      </c>
      <c r="B585" s="1">
        <v>3000</v>
      </c>
    </row>
    <row r="586" spans="1:2" outlineLevel="1">
      <c r="A586" s="1" t="s">
        <v>12956</v>
      </c>
      <c r="B586" s="1">
        <v>250</v>
      </c>
    </row>
    <row r="587" spans="1:2" outlineLevel="1">
      <c r="A587" s="1" t="s">
        <v>12957</v>
      </c>
      <c r="B587" s="1">
        <v>3000</v>
      </c>
    </row>
    <row r="588" spans="1:2" outlineLevel="1">
      <c r="A588" s="1" t="s">
        <v>12958</v>
      </c>
      <c r="B588" s="1">
        <v>250</v>
      </c>
    </row>
    <row r="589" spans="1:2" outlineLevel="1">
      <c r="A589" s="1" t="s">
        <v>9104</v>
      </c>
      <c r="B589" s="1">
        <v>1000</v>
      </c>
    </row>
    <row r="590" spans="1:2" outlineLevel="1">
      <c r="A590" s="1" t="s">
        <v>12959</v>
      </c>
      <c r="B590" s="1">
        <v>35000</v>
      </c>
    </row>
    <row r="591" spans="1:2" outlineLevel="1">
      <c r="A591" s="1" t="s">
        <v>9170</v>
      </c>
      <c r="B591" s="1">
        <v>4000</v>
      </c>
    </row>
    <row r="592" spans="1:2" outlineLevel="1">
      <c r="A592" s="1" t="s">
        <v>12960</v>
      </c>
      <c r="B592" s="1">
        <v>31000</v>
      </c>
    </row>
    <row r="593" spans="1:2" outlineLevel="1">
      <c r="A593" s="1" t="s">
        <v>9173</v>
      </c>
      <c r="B593" s="1">
        <v>5000</v>
      </c>
    </row>
    <row r="594" spans="1:2" outlineLevel="1">
      <c r="A594" s="1" t="s">
        <v>9175</v>
      </c>
      <c r="B594" s="1">
        <v>2000</v>
      </c>
    </row>
    <row r="595" spans="1:2" outlineLevel="1">
      <c r="A595" s="1" t="s">
        <v>12961</v>
      </c>
      <c r="B595" s="1">
        <v>17000</v>
      </c>
    </row>
    <row r="596" spans="1:2" outlineLevel="1">
      <c r="A596" s="1" t="s">
        <v>9177</v>
      </c>
      <c r="B596" s="1">
        <v>20000</v>
      </c>
    </row>
    <row r="597" spans="1:2" outlineLevel="1">
      <c r="A597" s="1" t="s">
        <v>9432</v>
      </c>
      <c r="B597" s="1">
        <v>10000</v>
      </c>
    </row>
    <row r="598" spans="1:2" outlineLevel="1">
      <c r="A598" s="1" t="s">
        <v>8917</v>
      </c>
      <c r="B598" s="1">
        <v>2500</v>
      </c>
    </row>
    <row r="599" spans="1:2" outlineLevel="1">
      <c r="A599" s="1" t="s">
        <v>8922</v>
      </c>
      <c r="B599" s="1">
        <v>16000</v>
      </c>
    </row>
    <row r="600" spans="1:2" outlineLevel="1">
      <c r="A600" s="1" t="s">
        <v>9180</v>
      </c>
      <c r="B600" s="1">
        <v>3500</v>
      </c>
    </row>
    <row r="601" spans="1:2" outlineLevel="1">
      <c r="A601" s="1" t="s">
        <v>9330</v>
      </c>
      <c r="B601" s="1">
        <v>12000</v>
      </c>
    </row>
    <row r="602" spans="1:2" outlineLevel="1">
      <c r="A602" s="1" t="s">
        <v>9182</v>
      </c>
      <c r="B602" s="1">
        <v>6000</v>
      </c>
    </row>
    <row r="603" spans="1:2" outlineLevel="1">
      <c r="A603" s="1" t="s">
        <v>9332</v>
      </c>
      <c r="B603" s="1">
        <v>14000</v>
      </c>
    </row>
    <row r="604" spans="1:2" outlineLevel="1">
      <c r="A604" s="1" t="s">
        <v>9185</v>
      </c>
      <c r="B604" s="1">
        <v>24000</v>
      </c>
    </row>
    <row r="605" spans="1:2" outlineLevel="1">
      <c r="A605" s="1" t="s">
        <v>9433</v>
      </c>
      <c r="B605" s="1">
        <v>30000</v>
      </c>
    </row>
    <row r="606" spans="1:2" outlineLevel="1">
      <c r="A606" s="1" t="s">
        <v>8925</v>
      </c>
      <c r="B606" s="1">
        <v>3000</v>
      </c>
    </row>
    <row r="607" spans="1:2" outlineLevel="1">
      <c r="A607" s="1" t="s">
        <v>9333</v>
      </c>
      <c r="B607" s="1">
        <v>80000</v>
      </c>
    </row>
    <row r="608" spans="1:2" outlineLevel="1">
      <c r="A608" s="1" t="s">
        <v>9189</v>
      </c>
      <c r="B608" s="1">
        <v>5000</v>
      </c>
    </row>
    <row r="609" spans="1:2" outlineLevel="1">
      <c r="A609" s="1" t="s">
        <v>8928</v>
      </c>
      <c r="B609" s="1">
        <v>1000</v>
      </c>
    </row>
    <row r="610" spans="1:2" outlineLevel="1">
      <c r="A610" s="1" t="s">
        <v>12962</v>
      </c>
      <c r="B610" s="1">
        <v>25000</v>
      </c>
    </row>
    <row r="611" spans="1:2" outlineLevel="1">
      <c r="A611" s="1" t="s">
        <v>8930</v>
      </c>
      <c r="B611" s="1">
        <v>1500</v>
      </c>
    </row>
    <row r="612" spans="1:2" outlineLevel="1">
      <c r="A612" s="1" t="s">
        <v>12963</v>
      </c>
      <c r="B612" s="1">
        <v>6000</v>
      </c>
    </row>
    <row r="613" spans="1:2" outlineLevel="1">
      <c r="A613" s="1" t="s">
        <v>9326</v>
      </c>
      <c r="B613" s="1">
        <v>30000</v>
      </c>
    </row>
    <row r="614" spans="1:2" outlineLevel="1">
      <c r="A614" s="1" t="s">
        <v>9417</v>
      </c>
      <c r="B614" s="1">
        <v>6000</v>
      </c>
    </row>
    <row r="615" spans="1:2" outlineLevel="1">
      <c r="A615" s="1" t="s">
        <v>9419</v>
      </c>
      <c r="B615" s="1">
        <v>60000</v>
      </c>
    </row>
    <row r="616" spans="1:2" outlineLevel="1">
      <c r="A616" s="1" t="s">
        <v>9464</v>
      </c>
      <c r="B616" s="1">
        <v>34000</v>
      </c>
    </row>
    <row r="617" spans="1:2" outlineLevel="1">
      <c r="A617" s="1" t="s">
        <v>9346</v>
      </c>
      <c r="B617" s="1">
        <v>50000</v>
      </c>
    </row>
    <row r="618" spans="1:2" outlineLevel="1">
      <c r="A618" s="1" t="s">
        <v>9347</v>
      </c>
      <c r="B618" s="1">
        <v>25000</v>
      </c>
    </row>
    <row r="619" spans="1:2" outlineLevel="1">
      <c r="A619" s="1" t="s">
        <v>9435</v>
      </c>
      <c r="B619" s="1">
        <v>28000</v>
      </c>
    </row>
    <row r="620" spans="1:2" outlineLevel="1">
      <c r="A620" s="1" t="s">
        <v>9192</v>
      </c>
      <c r="B620" s="1">
        <v>16000</v>
      </c>
    </row>
    <row r="621" spans="1:2" outlineLevel="1">
      <c r="A621" s="1" t="s">
        <v>9349</v>
      </c>
      <c r="B621" s="1">
        <v>90000</v>
      </c>
    </row>
    <row r="622" spans="1:2" outlineLevel="1">
      <c r="A622" s="1" t="s">
        <v>8935</v>
      </c>
      <c r="B622" s="1">
        <v>12000</v>
      </c>
    </row>
    <row r="623" spans="1:2" outlineLevel="1">
      <c r="A623" s="1" t="s">
        <v>9195</v>
      </c>
      <c r="B623" s="1">
        <v>16000</v>
      </c>
    </row>
    <row r="624" spans="1:2" outlineLevel="1">
      <c r="A624" s="1" t="s">
        <v>9195</v>
      </c>
      <c r="B624" s="1">
        <v>28000</v>
      </c>
    </row>
    <row r="625" spans="1:2" outlineLevel="1">
      <c r="A625" s="1" t="s">
        <v>9110</v>
      </c>
      <c r="B625" s="1">
        <v>2000</v>
      </c>
    </row>
    <row r="626" spans="1:2" outlineLevel="1">
      <c r="A626" s="1" t="s">
        <v>9327</v>
      </c>
      <c r="B626" s="1">
        <v>4000</v>
      </c>
    </row>
    <row r="627" spans="1:2" outlineLevel="1">
      <c r="A627" s="1" t="s">
        <v>9112</v>
      </c>
      <c r="B627" s="1">
        <v>2000</v>
      </c>
    </row>
    <row r="628" spans="1:2" outlineLevel="1">
      <c r="A628" s="1" t="s">
        <v>9465</v>
      </c>
      <c r="B628" s="1">
        <v>36000</v>
      </c>
    </row>
    <row r="629" spans="1:2" outlineLevel="1">
      <c r="A629" s="1" t="s">
        <v>9375</v>
      </c>
      <c r="B629" s="1">
        <v>6000</v>
      </c>
    </row>
    <row r="630" spans="1:2" outlineLevel="1">
      <c r="A630" s="1" t="s">
        <v>9201</v>
      </c>
      <c r="B630" s="1">
        <v>180</v>
      </c>
    </row>
    <row r="631" spans="1:2" outlineLevel="1">
      <c r="A631" s="1" t="s">
        <v>9114</v>
      </c>
      <c r="B631" s="1">
        <v>2000</v>
      </c>
    </row>
    <row r="632" spans="1:2" outlineLevel="1">
      <c r="A632" s="1" t="s">
        <v>8889</v>
      </c>
      <c r="B632" s="1">
        <v>20000</v>
      </c>
    </row>
    <row r="633" spans="1:2" outlineLevel="1">
      <c r="A633" s="1" t="s">
        <v>12964</v>
      </c>
      <c r="B633" s="1">
        <v>8000</v>
      </c>
    </row>
    <row r="634" spans="1:2" outlineLevel="1">
      <c r="A634" s="1" t="s">
        <v>9137</v>
      </c>
      <c r="B634" s="1">
        <v>6000</v>
      </c>
    </row>
    <row r="635" spans="1:2" outlineLevel="1">
      <c r="A635" s="1" t="s">
        <v>12965</v>
      </c>
      <c r="B635" s="1">
        <v>5000</v>
      </c>
    </row>
    <row r="636" spans="1:2" outlineLevel="1">
      <c r="A636" s="1" t="s">
        <v>9116</v>
      </c>
      <c r="B636" s="1">
        <v>5000</v>
      </c>
    </row>
    <row r="637" spans="1:2" outlineLevel="1">
      <c r="A637" s="1" t="s">
        <v>9466</v>
      </c>
      <c r="B637" s="1">
        <v>400</v>
      </c>
    </row>
    <row r="638" spans="1:2" outlineLevel="1">
      <c r="A638" s="1" t="s">
        <v>8877</v>
      </c>
      <c r="B638" s="1">
        <v>10</v>
      </c>
    </row>
    <row r="639" spans="1:2" outlineLevel="1">
      <c r="A639" s="1" t="s">
        <v>12966</v>
      </c>
      <c r="B639" s="1">
        <v>60</v>
      </c>
    </row>
    <row r="640" spans="1:2" outlineLevel="1">
      <c r="A640" s="1" t="s">
        <v>12967</v>
      </c>
      <c r="B640" s="1">
        <v>120</v>
      </c>
    </row>
    <row r="641" spans="1:2" outlineLevel="1">
      <c r="A641" s="1" t="s">
        <v>12968</v>
      </c>
      <c r="B641" s="1">
        <v>200</v>
      </c>
    </row>
    <row r="642" spans="1:2" outlineLevel="1">
      <c r="A642" s="1" t="s">
        <v>12969</v>
      </c>
      <c r="B642" s="1">
        <v>320</v>
      </c>
    </row>
    <row r="643" spans="1:2" outlineLevel="1">
      <c r="A643" s="1" t="s">
        <v>12970</v>
      </c>
      <c r="B643" s="1">
        <v>640</v>
      </c>
    </row>
    <row r="644" spans="1:2" outlineLevel="1">
      <c r="A644" s="1" t="s">
        <v>12971</v>
      </c>
      <c r="B644" s="1">
        <v>1280</v>
      </c>
    </row>
    <row r="645" spans="1:2" outlineLevel="1">
      <c r="A645" s="1" t="s">
        <v>12972</v>
      </c>
      <c r="B645" s="1">
        <v>2560</v>
      </c>
    </row>
    <row r="646" spans="1:2" outlineLevel="1">
      <c r="A646" s="1" t="s">
        <v>12973</v>
      </c>
      <c r="B646" s="1">
        <v>5120</v>
      </c>
    </row>
    <row r="647" spans="1:2" outlineLevel="1">
      <c r="A647" s="1" t="s">
        <v>12974</v>
      </c>
      <c r="B647" s="1">
        <v>10240</v>
      </c>
    </row>
    <row r="648" spans="1:2" outlineLevel="1">
      <c r="A648" s="1" t="s">
        <v>9388</v>
      </c>
      <c r="B648" s="1">
        <v>50000</v>
      </c>
    </row>
    <row r="649" spans="1:2" outlineLevel="1">
      <c r="A649" s="1" t="s">
        <v>9467</v>
      </c>
      <c r="B649" s="1">
        <v>15000</v>
      </c>
    </row>
    <row r="650" spans="1:2" outlineLevel="1">
      <c r="A650" s="1" t="s">
        <v>9218</v>
      </c>
      <c r="B650" s="1">
        <v>12000</v>
      </c>
    </row>
    <row r="651" spans="1:2" outlineLevel="1">
      <c r="A651" s="1" t="s">
        <v>9354</v>
      </c>
      <c r="B651" s="1">
        <v>16000</v>
      </c>
    </row>
    <row r="652" spans="1:2" outlineLevel="1">
      <c r="A652" s="1" t="s">
        <v>9356</v>
      </c>
      <c r="B652" s="1">
        <v>26000</v>
      </c>
    </row>
    <row r="653" spans="1:2" outlineLevel="1">
      <c r="A653" s="1" t="s">
        <v>12975</v>
      </c>
      <c r="B653" s="1">
        <v>13000</v>
      </c>
    </row>
    <row r="654" spans="1:2" outlineLevel="1">
      <c r="A654" s="1" t="s">
        <v>9357</v>
      </c>
      <c r="B654" s="1">
        <v>95500</v>
      </c>
    </row>
    <row r="655" spans="1:2" outlineLevel="1">
      <c r="A655" s="1" t="s">
        <v>9359</v>
      </c>
      <c r="B655" s="1">
        <v>21000</v>
      </c>
    </row>
    <row r="656" spans="1:2" outlineLevel="1">
      <c r="A656" s="1" t="s">
        <v>12976</v>
      </c>
      <c r="B656" s="1">
        <v>16000</v>
      </c>
    </row>
    <row r="657" spans="1:2" outlineLevel="1">
      <c r="A657" s="1" t="s">
        <v>8941</v>
      </c>
      <c r="B657" s="1">
        <v>1800</v>
      </c>
    </row>
    <row r="658" spans="1:2" outlineLevel="1">
      <c r="A658" s="1" t="s">
        <v>8943</v>
      </c>
      <c r="B658" s="1">
        <v>2000</v>
      </c>
    </row>
    <row r="659" spans="1:2" outlineLevel="1">
      <c r="A659" s="1" t="s">
        <v>12977</v>
      </c>
      <c r="B659" s="1">
        <v>44000</v>
      </c>
    </row>
    <row r="660" spans="1:2" outlineLevel="1">
      <c r="A660" s="1" t="s">
        <v>9360</v>
      </c>
      <c r="B660" s="1">
        <v>10000</v>
      </c>
    </row>
    <row r="661" spans="1:2" outlineLevel="1">
      <c r="A661" s="1" t="s">
        <v>12978</v>
      </c>
      <c r="B661" s="1">
        <v>3000</v>
      </c>
    </row>
    <row r="662" spans="1:2" outlineLevel="1">
      <c r="A662" s="1" t="s">
        <v>9328</v>
      </c>
      <c r="B662" s="1">
        <v>8000</v>
      </c>
    </row>
    <row r="663" spans="1:2" outlineLevel="1">
      <c r="A663" s="1" t="s">
        <v>9118</v>
      </c>
      <c r="B663" s="1">
        <v>4200</v>
      </c>
    </row>
    <row r="664" spans="1:2" outlineLevel="1">
      <c r="A664" s="1" t="s">
        <v>12979</v>
      </c>
      <c r="B664" s="1">
        <v>12000</v>
      </c>
    </row>
    <row r="665" spans="1:2" outlineLevel="1">
      <c r="A665" s="1" t="s">
        <v>9445</v>
      </c>
      <c r="B665" s="1">
        <v>36000</v>
      </c>
    </row>
    <row r="666" spans="1:2" outlineLevel="1">
      <c r="A666" s="1" t="s">
        <v>12980</v>
      </c>
      <c r="B666" s="1">
        <v>1000</v>
      </c>
    </row>
    <row r="667" spans="1:2" outlineLevel="1">
      <c r="A667" s="1" t="s">
        <v>9377</v>
      </c>
      <c r="B667" s="1">
        <v>1700</v>
      </c>
    </row>
    <row r="668" spans="1:2" outlineLevel="1">
      <c r="A668" s="1" t="s">
        <v>12981</v>
      </c>
      <c r="B668" s="1">
        <v>2000</v>
      </c>
    </row>
    <row r="669" spans="1:2" outlineLevel="1">
      <c r="A669" s="1" t="s">
        <v>9468</v>
      </c>
      <c r="B669" s="1">
        <v>71680</v>
      </c>
    </row>
    <row r="670" spans="1:2" outlineLevel="1">
      <c r="A670" s="1" t="s">
        <v>9472</v>
      </c>
      <c r="B670" s="1">
        <v>20000</v>
      </c>
    </row>
    <row r="671" spans="1:2" outlineLevel="1">
      <c r="A671" s="1" t="s">
        <v>9470</v>
      </c>
      <c r="B671" s="1">
        <v>61440</v>
      </c>
    </row>
    <row r="672" spans="1:2" outlineLevel="1">
      <c r="A672" s="1" t="s">
        <v>9198</v>
      </c>
      <c r="B672" s="1">
        <v>5000</v>
      </c>
    </row>
    <row r="673" spans="1:2" outlineLevel="1">
      <c r="A673" s="1" t="s">
        <v>8971</v>
      </c>
      <c r="B673" s="1">
        <v>800</v>
      </c>
    </row>
    <row r="674" spans="1:2" outlineLevel="1">
      <c r="A674" s="1" t="s">
        <v>9475</v>
      </c>
      <c r="B674" s="1">
        <v>300</v>
      </c>
    </row>
    <row r="675" spans="1:2" outlineLevel="1">
      <c r="A675" s="1" t="s">
        <v>9247</v>
      </c>
      <c r="B675" s="1">
        <v>350</v>
      </c>
    </row>
    <row r="676" spans="1:2" outlineLevel="1">
      <c r="A676" s="1" t="s">
        <v>9447</v>
      </c>
      <c r="B676" s="1">
        <v>24000</v>
      </c>
    </row>
    <row r="677" spans="1:2" outlineLevel="1">
      <c r="A677" s="1" t="s">
        <v>9207</v>
      </c>
      <c r="B677" s="1">
        <v>10000</v>
      </c>
    </row>
    <row r="678" spans="1:2" outlineLevel="1">
      <c r="A678" s="1" t="s">
        <v>9209</v>
      </c>
      <c r="B678" s="1">
        <v>4000</v>
      </c>
    </row>
    <row r="679" spans="1:2" outlineLevel="1">
      <c r="A679" s="1" t="s">
        <v>9212</v>
      </c>
      <c r="B679" s="1">
        <v>10000</v>
      </c>
    </row>
    <row r="680" spans="1:2" outlineLevel="1">
      <c r="A680" s="1" t="s">
        <v>9214</v>
      </c>
      <c r="B680" s="1">
        <v>32000</v>
      </c>
    </row>
    <row r="681" spans="1:2" outlineLevel="1">
      <c r="A681" s="1" t="s">
        <v>9216</v>
      </c>
      <c r="B681" s="1">
        <v>32000</v>
      </c>
    </row>
    <row r="682" spans="1:2" outlineLevel="1">
      <c r="A682" s="1" t="s">
        <v>8946</v>
      </c>
      <c r="B682" s="1">
        <v>1500</v>
      </c>
    </row>
    <row r="683" spans="1:2" outlineLevel="1">
      <c r="A683" s="1" t="s">
        <v>8949</v>
      </c>
      <c r="B683" s="1">
        <v>8000</v>
      </c>
    </row>
    <row r="684" spans="1:2" outlineLevel="1">
      <c r="A684" s="1" t="s">
        <v>9219</v>
      </c>
      <c r="B684" s="1">
        <v>16000</v>
      </c>
    </row>
    <row r="685" spans="1:2" outlineLevel="1">
      <c r="A685" s="1" t="s">
        <v>9361</v>
      </c>
      <c r="B685" s="1">
        <v>32000</v>
      </c>
    </row>
    <row r="686" spans="1:2" outlineLevel="1">
      <c r="A686" s="1" t="s">
        <v>8952</v>
      </c>
      <c r="B686" s="1">
        <v>1500</v>
      </c>
    </row>
    <row r="687" spans="1:2" outlineLevel="1">
      <c r="A687" s="1" t="s">
        <v>8959</v>
      </c>
      <c r="B687" s="1">
        <v>1200</v>
      </c>
    </row>
    <row r="688" spans="1:2" outlineLevel="1">
      <c r="A688" s="1" t="s">
        <v>9224</v>
      </c>
      <c r="B688" s="1">
        <v>4800</v>
      </c>
    </row>
    <row r="689" spans="1:5" outlineLevel="1">
      <c r="A689" s="1" t="s">
        <v>9363</v>
      </c>
      <c r="B689" s="1">
        <v>19200</v>
      </c>
    </row>
    <row r="690" spans="1:5" outlineLevel="1">
      <c r="A690" s="1" t="s">
        <v>8955</v>
      </c>
      <c r="B690" s="1">
        <v>8000</v>
      </c>
    </row>
    <row r="691" spans="1:5" outlineLevel="1">
      <c r="A691" s="1" t="s">
        <v>8975</v>
      </c>
      <c r="B691" s="1">
        <v>60000</v>
      </c>
    </row>
    <row r="692" spans="1:5" outlineLevel="1">
      <c r="A692" s="1" t="s">
        <v>9121</v>
      </c>
      <c r="B692" s="1">
        <v>1500</v>
      </c>
    </row>
    <row r="693" spans="1:5" outlineLevel="1">
      <c r="A693" s="1" t="s">
        <v>9123</v>
      </c>
      <c r="B693" s="1">
        <v>8000</v>
      </c>
    </row>
    <row r="694" spans="1:5" outlineLevel="1">
      <c r="A694" s="1" t="s">
        <v>9329</v>
      </c>
      <c r="B694" s="1">
        <v>5000</v>
      </c>
    </row>
    <row r="695" spans="1:5" outlineLevel="1"/>
    <row r="696" spans="1:5" outlineLevel="1"/>
    <row r="697" spans="1:5" ht="24.75" thickBot="1">
      <c r="A697" s="2569" t="s">
        <v>12982</v>
      </c>
    </row>
    <row r="698" spans="1:5" ht="15" outlineLevel="1" thickTop="1"/>
    <row r="699" spans="1:5" outlineLevel="1">
      <c r="A699" s="1" t="s">
        <v>12668</v>
      </c>
      <c r="B699" s="1" t="s">
        <v>12675</v>
      </c>
      <c r="C699" s="1" t="s">
        <v>12983</v>
      </c>
      <c r="D699" s="1" t="s">
        <v>12984</v>
      </c>
      <c r="E699" s="1" t="s">
        <v>12985</v>
      </c>
    </row>
    <row r="700" spans="1:5" ht="16.5" outlineLevel="1">
      <c r="A700" s="1">
        <v>1</v>
      </c>
      <c r="B700" s="2577">
        <v>50</v>
      </c>
      <c r="C700" s="2487">
        <f t="shared" ref="C700:C708" si="3">$B$710*B700</f>
        <v>10</v>
      </c>
      <c r="D700" s="2577">
        <f t="shared" ref="D700:D708" si="4">$B$711*B700</f>
        <v>75</v>
      </c>
    </row>
    <row r="701" spans="1:5" ht="16.5" outlineLevel="1">
      <c r="A701" s="1">
        <v>2</v>
      </c>
      <c r="B701" s="2577">
        <v>100</v>
      </c>
      <c r="C701" s="2487">
        <f t="shared" si="3"/>
        <v>20</v>
      </c>
      <c r="D701" s="2577">
        <f t="shared" si="4"/>
        <v>150</v>
      </c>
    </row>
    <row r="702" spans="1:5" ht="16.5" outlineLevel="1">
      <c r="A702" s="1">
        <v>3</v>
      </c>
      <c r="B702" s="2577">
        <v>375</v>
      </c>
      <c r="C702" s="2487">
        <f t="shared" si="3"/>
        <v>75</v>
      </c>
      <c r="D702" s="2577">
        <f t="shared" si="4"/>
        <v>562.5</v>
      </c>
    </row>
    <row r="703" spans="1:5" ht="16.5" outlineLevel="1">
      <c r="A703" s="1">
        <v>4</v>
      </c>
      <c r="B703" s="2577">
        <v>500</v>
      </c>
      <c r="C703" s="2487">
        <f t="shared" si="3"/>
        <v>100</v>
      </c>
      <c r="D703" s="2577">
        <f t="shared" si="4"/>
        <v>750</v>
      </c>
    </row>
    <row r="704" spans="1:5" ht="16.5" outlineLevel="1">
      <c r="A704" s="1">
        <v>5</v>
      </c>
      <c r="B704" s="2577">
        <v>750</v>
      </c>
      <c r="C704" s="2487">
        <f t="shared" si="3"/>
        <v>150</v>
      </c>
      <c r="D704" s="2577">
        <f t="shared" si="4"/>
        <v>1125</v>
      </c>
    </row>
    <row r="705" spans="1:4" ht="16.5" outlineLevel="1">
      <c r="A705" s="1">
        <v>6</v>
      </c>
      <c r="B705" s="2577">
        <v>1000</v>
      </c>
      <c r="C705" s="2487">
        <f t="shared" si="3"/>
        <v>200</v>
      </c>
      <c r="D705" s="2577">
        <f t="shared" si="4"/>
        <v>1500</v>
      </c>
    </row>
    <row r="706" spans="1:4" ht="16.5" outlineLevel="1">
      <c r="A706" s="1">
        <v>7</v>
      </c>
      <c r="B706" s="2577">
        <v>1750</v>
      </c>
      <c r="C706" s="2487">
        <f t="shared" si="3"/>
        <v>350</v>
      </c>
      <c r="D706" s="2577">
        <f t="shared" si="4"/>
        <v>2625</v>
      </c>
    </row>
    <row r="707" spans="1:4" ht="16.5" outlineLevel="1">
      <c r="A707" s="1">
        <v>8</v>
      </c>
      <c r="B707" s="2577">
        <v>2500</v>
      </c>
      <c r="C707" s="2487">
        <f t="shared" si="3"/>
        <v>500</v>
      </c>
      <c r="D707" s="2577">
        <f t="shared" si="4"/>
        <v>3750</v>
      </c>
    </row>
    <row r="708" spans="1:4" ht="16.5" outlineLevel="1">
      <c r="A708" s="1">
        <v>9</v>
      </c>
      <c r="B708" s="2577">
        <v>7500</v>
      </c>
      <c r="C708" s="2487">
        <f t="shared" si="3"/>
        <v>1500</v>
      </c>
      <c r="D708" s="2577">
        <f t="shared" si="4"/>
        <v>11250</v>
      </c>
    </row>
    <row r="709" spans="1:4" outlineLevel="1"/>
    <row r="710" spans="1:4" ht="16.5" outlineLevel="1">
      <c r="A710" s="1" t="s">
        <v>12986</v>
      </c>
      <c r="B710" s="2585">
        <v>0.2</v>
      </c>
    </row>
    <row r="711" spans="1:4" ht="16.5" outlineLevel="1">
      <c r="A711" s="1" t="s">
        <v>12984</v>
      </c>
      <c r="B711" s="2577">
        <v>1.5</v>
      </c>
    </row>
    <row r="712" spans="1:4" ht="16.5" outlineLevel="1">
      <c r="A712" s="1" t="s">
        <v>12985</v>
      </c>
      <c r="B712" s="2577" t="s">
        <v>12987</v>
      </c>
    </row>
    <row r="714" spans="1:4" ht="24.75" thickBot="1">
      <c r="A714" s="2569" t="s">
        <v>12988</v>
      </c>
    </row>
    <row r="715" spans="1:4" ht="15" outlineLevel="1" thickTop="1">
      <c r="A715" s="1" t="s">
        <v>12989</v>
      </c>
      <c r="B715" s="1" t="s">
        <v>12990</v>
      </c>
      <c r="C715" s="1" t="s">
        <v>12991</v>
      </c>
    </row>
    <row r="716" spans="1:4" ht="16.5" outlineLevel="1">
      <c r="A716" s="1" t="s">
        <v>12992</v>
      </c>
      <c r="B716" s="2578" t="s">
        <v>12993</v>
      </c>
      <c r="C716" s="1">
        <v>2</v>
      </c>
    </row>
    <row r="717" spans="1:4" ht="16.5" outlineLevel="1">
      <c r="A717" s="1" t="s">
        <v>12994</v>
      </c>
      <c r="B717" s="2578" t="s">
        <v>12995</v>
      </c>
      <c r="C717" s="1">
        <v>2</v>
      </c>
    </row>
    <row r="718" spans="1:4" ht="16.5" outlineLevel="1">
      <c r="A718" s="1" t="s">
        <v>12996</v>
      </c>
      <c r="B718" s="2578" t="s">
        <v>12997</v>
      </c>
      <c r="C718" s="1">
        <v>3</v>
      </c>
    </row>
    <row r="719" spans="1:4" ht="16.5" outlineLevel="1">
      <c r="A719" s="1" t="s">
        <v>12998</v>
      </c>
      <c r="B719" s="2578" t="s">
        <v>12999</v>
      </c>
      <c r="C719" s="1">
        <v>4</v>
      </c>
    </row>
    <row r="720" spans="1:4" ht="16.5" outlineLevel="1">
      <c r="A720" s="1" t="s">
        <v>6174</v>
      </c>
      <c r="B720" s="2578" t="s">
        <v>13000</v>
      </c>
      <c r="C720" s="1">
        <v>4</v>
      </c>
    </row>
    <row r="721" spans="1:3" ht="16.5" outlineLevel="1">
      <c r="A721" s="1" t="s">
        <v>13001</v>
      </c>
      <c r="B721" s="2578" t="s">
        <v>13002</v>
      </c>
      <c r="C721" s="1">
        <v>5</v>
      </c>
    </row>
    <row r="722" spans="1:3" ht="16.5" outlineLevel="1">
      <c r="A722" s="1" t="s">
        <v>2217</v>
      </c>
      <c r="B722" s="2578" t="s">
        <v>10530</v>
      </c>
      <c r="C722" s="1">
        <v>6</v>
      </c>
    </row>
    <row r="723" spans="1:3" outlineLevel="1"/>
    <row r="724" spans="1:3" outlineLevel="1">
      <c r="A724" s="2589" t="s">
        <v>12989</v>
      </c>
      <c r="B724" s="2590" t="s">
        <v>12990</v>
      </c>
      <c r="C724" s="1" t="s">
        <v>12991</v>
      </c>
    </row>
    <row r="725" spans="1:3" ht="16.5" outlineLevel="1">
      <c r="A725" s="1" t="s">
        <v>13003</v>
      </c>
      <c r="B725" s="2578" t="s">
        <v>13004</v>
      </c>
      <c r="C725" s="1">
        <v>2</v>
      </c>
    </row>
    <row r="726" spans="1:3" ht="16.5" outlineLevel="1">
      <c r="A726" s="1" t="s">
        <v>2907</v>
      </c>
      <c r="B726" s="2578" t="s">
        <v>12997</v>
      </c>
      <c r="C726" s="1">
        <v>3</v>
      </c>
    </row>
    <row r="727" spans="1:3" ht="16.5" outlineLevel="1">
      <c r="A727" s="1" t="s">
        <v>6174</v>
      </c>
      <c r="B727" s="2578" t="s">
        <v>13005</v>
      </c>
      <c r="C727" s="1">
        <v>4</v>
      </c>
    </row>
    <row r="728" spans="1:3" ht="16.5" outlineLevel="1">
      <c r="A728" s="1" t="s">
        <v>13001</v>
      </c>
      <c r="B728" s="2578" t="s">
        <v>12349</v>
      </c>
      <c r="C728" s="1">
        <v>5</v>
      </c>
    </row>
    <row r="729" spans="1:3" ht="16.5" outlineLevel="1">
      <c r="A729" s="1" t="s">
        <v>2217</v>
      </c>
      <c r="B729" s="2578" t="s">
        <v>12353</v>
      </c>
      <c r="C729" s="1">
        <v>6</v>
      </c>
    </row>
    <row r="730" spans="1:3" outlineLevel="1"/>
    <row r="733" spans="1:3" ht="24.75" thickBot="1">
      <c r="A733" s="2569" t="s">
        <v>13006</v>
      </c>
    </row>
    <row r="734" spans="1:3" ht="15" thickTop="1">
      <c r="A734" s="1" t="s">
        <v>7064</v>
      </c>
      <c r="B734" s="1" t="s">
        <v>13007</v>
      </c>
    </row>
    <row r="735" spans="1:3">
      <c r="A735" s="1" t="s">
        <v>8880</v>
      </c>
      <c r="B735" s="1" t="s">
        <v>13008</v>
      </c>
    </row>
    <row r="736" spans="1:3">
      <c r="A736" s="1" t="s">
        <v>9126</v>
      </c>
      <c r="B736" s="1" t="s">
        <v>13009</v>
      </c>
    </row>
    <row r="737" spans="1:3">
      <c r="A737" s="1" t="s">
        <v>12684</v>
      </c>
      <c r="B737" s="1" t="s">
        <v>13010</v>
      </c>
    </row>
    <row r="738" spans="1:3">
      <c r="A738" s="1" t="s">
        <v>2217</v>
      </c>
      <c r="B738" s="1" t="s">
        <v>13011</v>
      </c>
    </row>
    <row r="740" spans="1:3">
      <c r="A740" s="1" t="s">
        <v>7064</v>
      </c>
      <c r="B740" s="1">
        <v>1</v>
      </c>
    </row>
    <row r="741" spans="1:3">
      <c r="A741" s="1" t="s">
        <v>8880</v>
      </c>
      <c r="B741" s="1">
        <v>2</v>
      </c>
    </row>
    <row r="742" spans="1:3">
      <c r="A742" s="1" t="s">
        <v>9126</v>
      </c>
      <c r="B742" s="1">
        <v>4</v>
      </c>
    </row>
    <row r="743" spans="1:3">
      <c r="A743" s="1" t="s">
        <v>12684</v>
      </c>
      <c r="B743" s="1">
        <v>7</v>
      </c>
    </row>
    <row r="744" spans="1:3">
      <c r="A744" s="1" t="s">
        <v>2217</v>
      </c>
      <c r="B744" s="1">
        <v>11</v>
      </c>
    </row>
    <row r="746" spans="1:3">
      <c r="A746" s="1" t="s">
        <v>7064</v>
      </c>
      <c r="B746" s="1">
        <v>4</v>
      </c>
      <c r="C746" s="1" t="s">
        <v>7919</v>
      </c>
    </row>
    <row r="747" spans="1:3">
      <c r="A747" s="1" t="s">
        <v>8880</v>
      </c>
      <c r="B747" s="1">
        <v>4</v>
      </c>
      <c r="C747" s="1" t="s">
        <v>13012</v>
      </c>
    </row>
    <row r="748" spans="1:3">
      <c r="A748" s="1" t="s">
        <v>9126</v>
      </c>
      <c r="B748" s="1">
        <v>7</v>
      </c>
      <c r="C748" s="1" t="s">
        <v>13013</v>
      </c>
    </row>
    <row r="749" spans="1:3">
      <c r="A749" s="1" t="s">
        <v>12684</v>
      </c>
      <c r="B749" s="1">
        <v>12</v>
      </c>
      <c r="C749" s="1" t="s">
        <v>13014</v>
      </c>
    </row>
    <row r="750" spans="1:3">
      <c r="A750" s="1" t="s">
        <v>2217</v>
      </c>
      <c r="B750" s="1">
        <v>18</v>
      </c>
      <c r="C750" s="1" t="s">
        <v>13015</v>
      </c>
    </row>
    <row r="756" spans="1:2" ht="24.75" thickBot="1">
      <c r="A756" s="2569" t="s">
        <v>13016</v>
      </c>
    </row>
    <row r="757" spans="1:2" ht="15" outlineLevel="1" thickTop="1"/>
    <row r="758" spans="1:2" outlineLevel="1"/>
    <row r="759" spans="1:2" outlineLevel="1"/>
    <row r="760" spans="1:2" outlineLevel="1"/>
    <row r="761" spans="1:2" ht="15" outlineLevel="1" thickBot="1"/>
    <row r="762" spans="1:2" ht="15" outlineLevel="1" thickBot="1">
      <c r="A762" s="2591" t="s">
        <v>13017</v>
      </c>
      <c r="B762" s="2592" t="s">
        <v>13018</v>
      </c>
    </row>
    <row r="763" spans="1:2" ht="16.5" outlineLevel="1">
      <c r="A763" s="2593">
        <v>2</v>
      </c>
      <c r="B763" s="2593" t="s">
        <v>13019</v>
      </c>
    </row>
    <row r="764" spans="1:2" ht="16.5" outlineLevel="1">
      <c r="A764" s="2593">
        <v>3</v>
      </c>
      <c r="B764" s="2593" t="s">
        <v>13020</v>
      </c>
    </row>
    <row r="765" spans="1:2" ht="16.5" outlineLevel="1">
      <c r="A765" s="2593">
        <v>4</v>
      </c>
      <c r="B765" s="2593" t="s">
        <v>13021</v>
      </c>
    </row>
    <row r="766" spans="1:2" ht="16.5" outlineLevel="1">
      <c r="A766" s="2593">
        <v>5</v>
      </c>
      <c r="B766" s="2593" t="s">
        <v>13022</v>
      </c>
    </row>
    <row r="767" spans="1:2" ht="16.5" outlineLevel="1">
      <c r="A767" s="2593">
        <v>6</v>
      </c>
      <c r="B767" s="2593" t="s">
        <v>13023</v>
      </c>
    </row>
    <row r="768" spans="1:2" outlineLevel="1"/>
    <row r="769" spans="1:2" outlineLevel="1"/>
    <row r="770" spans="1:2" outlineLevel="1">
      <c r="A770" s="1" t="s">
        <v>13024</v>
      </c>
      <c r="B770" s="1" t="s">
        <v>13025</v>
      </c>
    </row>
    <row r="771" spans="1:2" outlineLevel="1">
      <c r="A771" s="1" t="s">
        <v>13026</v>
      </c>
      <c r="B771" s="1">
        <v>13</v>
      </c>
    </row>
    <row r="772" spans="1:2" outlineLevel="1">
      <c r="A772" s="1" t="s">
        <v>13027</v>
      </c>
      <c r="B772" s="1">
        <v>17</v>
      </c>
    </row>
    <row r="773" spans="1:2" outlineLevel="1">
      <c r="A773" s="1" t="s">
        <v>13028</v>
      </c>
      <c r="B773" s="1">
        <v>20</v>
      </c>
    </row>
    <row r="774" spans="1:2" outlineLevel="1">
      <c r="A774" s="1" t="s">
        <v>13029</v>
      </c>
      <c r="B774" s="1">
        <v>25</v>
      </c>
    </row>
    <row r="775" spans="1:2" outlineLevel="1">
      <c r="A775" s="1" t="s">
        <v>13030</v>
      </c>
      <c r="B775" s="1">
        <v>40</v>
      </c>
    </row>
    <row r="776" spans="1:2" outlineLevel="1">
      <c r="A776" s="1" t="s">
        <v>13031</v>
      </c>
      <c r="B776" s="1">
        <v>50</v>
      </c>
    </row>
    <row r="777" spans="1:2" ht="15" outlineLevel="1" thickBot="1"/>
    <row r="778" spans="1:2" ht="15" outlineLevel="1" thickBot="1">
      <c r="A778" s="2591" t="s">
        <v>13032</v>
      </c>
      <c r="B778" s="2592" t="s">
        <v>13033</v>
      </c>
    </row>
    <row r="779" spans="1:2" ht="16.5" outlineLevel="1">
      <c r="A779" s="2593" t="s">
        <v>13019</v>
      </c>
      <c r="B779" s="2593" t="s">
        <v>13034</v>
      </c>
    </row>
    <row r="780" spans="1:2" ht="16.5" outlineLevel="1">
      <c r="A780" s="2593" t="s">
        <v>13020</v>
      </c>
      <c r="B780" s="2593" t="s">
        <v>13021</v>
      </c>
    </row>
    <row r="781" spans="1:2" ht="16.5" outlineLevel="1">
      <c r="A781" s="2593" t="s">
        <v>13021</v>
      </c>
      <c r="B781" s="2593" t="s">
        <v>13022</v>
      </c>
    </row>
    <row r="782" spans="1:2" ht="16.5" outlineLevel="1">
      <c r="A782" s="2593" t="s">
        <v>13022</v>
      </c>
      <c r="B782" s="2593" t="s">
        <v>13023</v>
      </c>
    </row>
    <row r="783" spans="1:2" ht="16.5" outlineLevel="1">
      <c r="A783" s="2593" t="s">
        <v>13023</v>
      </c>
      <c r="B783" s="2593" t="s">
        <v>13035</v>
      </c>
    </row>
    <row r="784" spans="1:2" outlineLevel="1"/>
    <row r="785" spans="1:2" outlineLevel="1"/>
    <row r="786" spans="1:2" outlineLevel="1">
      <c r="A786" s="1" t="s">
        <v>13036</v>
      </c>
      <c r="B786" s="1" t="s">
        <v>13037</v>
      </c>
    </row>
    <row r="787" spans="1:2" outlineLevel="1">
      <c r="A787" s="1" t="s">
        <v>13038</v>
      </c>
      <c r="B787" s="1" t="s">
        <v>13039</v>
      </c>
    </row>
    <row r="788" spans="1:2" outlineLevel="1">
      <c r="A788" s="24">
        <v>43922</v>
      </c>
      <c r="B788" s="1" t="s">
        <v>13019</v>
      </c>
    </row>
    <row r="789" spans="1:2" outlineLevel="1">
      <c r="A789" s="24">
        <v>44048</v>
      </c>
      <c r="B789" s="1" t="s">
        <v>13020</v>
      </c>
    </row>
    <row r="790" spans="1:2" outlineLevel="1">
      <c r="A790" s="24">
        <v>44174</v>
      </c>
      <c r="B790" s="1" t="s">
        <v>13021</v>
      </c>
    </row>
    <row r="791" spans="1:2" outlineLevel="1">
      <c r="A791" s="1" t="s">
        <v>12349</v>
      </c>
      <c r="B791" s="1" t="s">
        <v>13040</v>
      </c>
    </row>
    <row r="792" spans="1:2" outlineLevel="1">
      <c r="A792" s="1" t="s">
        <v>12353</v>
      </c>
      <c r="B792" s="1" t="s">
        <v>13023</v>
      </c>
    </row>
    <row r="793" spans="1:2" outlineLevel="1">
      <c r="A793" s="1" t="s">
        <v>13041</v>
      </c>
      <c r="B793" s="1" t="s">
        <v>13042</v>
      </c>
    </row>
    <row r="794" spans="1:2" outlineLevel="1">
      <c r="A794" s="1" t="s">
        <v>13043</v>
      </c>
      <c r="B794" s="1" t="s">
        <v>13044</v>
      </c>
    </row>
    <row r="795" spans="1:2" outlineLevel="1"/>
    <row r="796" spans="1:2" outlineLevel="1">
      <c r="A796" s="1" t="s">
        <v>13037</v>
      </c>
      <c r="B796" s="1" t="s">
        <v>13045</v>
      </c>
    </row>
    <row r="797" spans="1:2" outlineLevel="1">
      <c r="A797" s="1" t="s">
        <v>13046</v>
      </c>
      <c r="B797" s="1" t="s">
        <v>2462</v>
      </c>
    </row>
    <row r="798" spans="1:2" outlineLevel="1">
      <c r="A798" s="1" t="s">
        <v>13024</v>
      </c>
      <c r="B798" s="1">
        <v>10</v>
      </c>
    </row>
    <row r="799" spans="1:2" outlineLevel="1">
      <c r="A799" s="1" t="s">
        <v>13026</v>
      </c>
      <c r="B799" s="1">
        <v>15</v>
      </c>
    </row>
    <row r="800" spans="1:2" outlineLevel="1">
      <c r="A800" s="1" t="s">
        <v>13027</v>
      </c>
      <c r="B800" s="1">
        <v>20</v>
      </c>
    </row>
    <row r="801" spans="1:2" outlineLevel="1">
      <c r="A801" s="1" t="s">
        <v>13028</v>
      </c>
      <c r="B801" s="1">
        <v>25</v>
      </c>
    </row>
    <row r="802" spans="1:2" outlineLevel="1">
      <c r="A802" s="1" t="s">
        <v>13029</v>
      </c>
      <c r="B802" s="1">
        <v>30</v>
      </c>
    </row>
    <row r="803" spans="1:2" outlineLevel="1">
      <c r="A803" s="1" t="s">
        <v>13030</v>
      </c>
      <c r="B803" s="1">
        <v>40</v>
      </c>
    </row>
    <row r="804" spans="1:2" outlineLevel="1">
      <c r="A804" s="1" t="s">
        <v>13031</v>
      </c>
      <c r="B804" s="1">
        <v>50</v>
      </c>
    </row>
    <row r="805" spans="1:2" outlineLevel="1"/>
    <row r="807" spans="1:2" outlineLevel="1">
      <c r="A807" s="1" t="s">
        <v>13037</v>
      </c>
      <c r="B807" s="1" t="s">
        <v>13045</v>
      </c>
    </row>
    <row r="808" spans="1:2" outlineLevel="1">
      <c r="A808" s="1" t="s">
        <v>13024</v>
      </c>
      <c r="B808" s="1">
        <v>10</v>
      </c>
    </row>
    <row r="809" spans="1:2" outlineLevel="1">
      <c r="A809" s="1" t="s">
        <v>13047</v>
      </c>
      <c r="B809" s="1">
        <v>13</v>
      </c>
    </row>
    <row r="810" spans="1:2" outlineLevel="1">
      <c r="A810" s="1" t="s">
        <v>13048</v>
      </c>
      <c r="B810" s="1">
        <v>17</v>
      </c>
    </row>
    <row r="811" spans="1:2" outlineLevel="1">
      <c r="A811" s="1" t="s">
        <v>13028</v>
      </c>
      <c r="B811" s="1">
        <v>20</v>
      </c>
    </row>
    <row r="812" spans="1:2" outlineLevel="1">
      <c r="A812" s="1" t="s">
        <v>13029</v>
      </c>
      <c r="B812" s="1">
        <v>25</v>
      </c>
    </row>
    <row r="813" spans="1:2" outlineLevel="1"/>
    <row r="815" spans="1:2" outlineLevel="1">
      <c r="A815" s="1" t="s">
        <v>13049</v>
      </c>
      <c r="B815" s="1" t="s">
        <v>13050</v>
      </c>
    </row>
    <row r="816" spans="1:2" outlineLevel="1">
      <c r="A816" s="1" t="s">
        <v>8365</v>
      </c>
      <c r="B816" s="1" t="s">
        <v>2462</v>
      </c>
    </row>
    <row r="817" spans="1:4" outlineLevel="1">
      <c r="A817" s="1" t="s">
        <v>13051</v>
      </c>
      <c r="B817" s="1" t="s">
        <v>7990</v>
      </c>
    </row>
    <row r="818" spans="1:4" outlineLevel="1">
      <c r="A818" s="1" t="s">
        <v>9526</v>
      </c>
      <c r="B818" s="1" t="s">
        <v>8066</v>
      </c>
    </row>
    <row r="819" spans="1:4" outlineLevel="1">
      <c r="A819" s="1" t="s">
        <v>9491</v>
      </c>
      <c r="B819" s="1" t="s">
        <v>8059</v>
      </c>
    </row>
    <row r="820" spans="1:4" outlineLevel="1">
      <c r="A820" s="1" t="s">
        <v>9497</v>
      </c>
      <c r="B820" s="1" t="s">
        <v>7922</v>
      </c>
    </row>
    <row r="821" spans="1:4" outlineLevel="1">
      <c r="A821" s="1" t="s">
        <v>9522</v>
      </c>
      <c r="B821" s="1" t="s">
        <v>13052</v>
      </c>
    </row>
    <row r="822" spans="1:4" outlineLevel="1">
      <c r="A822" s="1" t="s">
        <v>13053</v>
      </c>
      <c r="B822" s="1" t="s">
        <v>13054</v>
      </c>
    </row>
    <row r="823" spans="1:4" outlineLevel="1"/>
    <row r="825" spans="1:4" outlineLevel="1">
      <c r="A825" s="1" t="s">
        <v>13055</v>
      </c>
      <c r="B825" s="1" t="s">
        <v>13056</v>
      </c>
      <c r="C825" s="1" t="s">
        <v>13057</v>
      </c>
      <c r="D825" s="1" t="s">
        <v>13058</v>
      </c>
    </row>
    <row r="826" spans="1:4" outlineLevel="1">
      <c r="A826" s="1" t="s">
        <v>13059</v>
      </c>
      <c r="B826" s="1" t="s">
        <v>7919</v>
      </c>
      <c r="C826" s="1" t="s">
        <v>7932</v>
      </c>
      <c r="D826" s="1" t="s">
        <v>13060</v>
      </c>
    </row>
    <row r="827" spans="1:4" outlineLevel="1">
      <c r="A827" s="1" t="s">
        <v>13061</v>
      </c>
      <c r="B827" s="1" t="s">
        <v>10998</v>
      </c>
      <c r="C827" s="1" t="s">
        <v>7932</v>
      </c>
      <c r="D827" s="1" t="s">
        <v>13062</v>
      </c>
    </row>
    <row r="828" spans="1:4" outlineLevel="1">
      <c r="A828" s="1" t="s">
        <v>13063</v>
      </c>
      <c r="B828" s="1" t="s">
        <v>10965</v>
      </c>
      <c r="C828" s="1" t="s">
        <v>13064</v>
      </c>
    </row>
    <row r="829" spans="1:4" outlineLevel="1">
      <c r="A829" s="1" t="s">
        <v>13065</v>
      </c>
      <c r="B829" s="1" t="s">
        <v>10998</v>
      </c>
      <c r="C829" s="1" t="s">
        <v>10671</v>
      </c>
      <c r="D829" s="1" t="s">
        <v>13066</v>
      </c>
    </row>
    <row r="830" spans="1:4" outlineLevel="1">
      <c r="A830" s="1" t="s">
        <v>8032</v>
      </c>
      <c r="B830" s="1" t="s">
        <v>10998</v>
      </c>
      <c r="C830" s="1" t="s">
        <v>8001</v>
      </c>
      <c r="D830" s="1" t="s">
        <v>13066</v>
      </c>
    </row>
    <row r="831" spans="1:4" outlineLevel="1"/>
    <row r="832" spans="1:4" outlineLevel="1"/>
    <row r="835" spans="1:2" ht="24.75" thickBot="1">
      <c r="A835" s="2594" t="s">
        <v>13067</v>
      </c>
    </row>
    <row r="836" spans="1:2" ht="15" thickTop="1"/>
    <row r="837" spans="1:2">
      <c r="A837" s="1" t="s">
        <v>13068</v>
      </c>
      <c r="B837" s="1" t="s">
        <v>13069</v>
      </c>
    </row>
    <row r="838" spans="1:2">
      <c r="A838" s="1" t="s">
        <v>13070</v>
      </c>
      <c r="B838" s="1" t="s">
        <v>13071</v>
      </c>
    </row>
    <row r="839" spans="1:2">
      <c r="A839" s="1" t="s">
        <v>13072</v>
      </c>
      <c r="B839" s="1">
        <v>5</v>
      </c>
    </row>
    <row r="840" spans="1:2">
      <c r="A840" s="1" t="s">
        <v>13073</v>
      </c>
      <c r="B840" s="1">
        <v>10</v>
      </c>
    </row>
    <row r="841" spans="1:2">
      <c r="A841" s="1" t="s">
        <v>13074</v>
      </c>
      <c r="B841" s="1">
        <v>15</v>
      </c>
    </row>
    <row r="842" spans="1:2">
      <c r="A842" s="1" t="s">
        <v>13075</v>
      </c>
      <c r="B842" s="1">
        <v>20</v>
      </c>
    </row>
    <row r="845" spans="1:2" ht="24.75" thickBot="1">
      <c r="A845" s="2569" t="s">
        <v>13076</v>
      </c>
    </row>
    <row r="846" spans="1:2" ht="15" outlineLevel="1" thickTop="1">
      <c r="A846" s="1" t="s">
        <v>13055</v>
      </c>
      <c r="B846" s="1" t="s">
        <v>13077</v>
      </c>
    </row>
    <row r="847" spans="1:2" outlineLevel="1">
      <c r="A847" s="1" t="s">
        <v>13078</v>
      </c>
      <c r="B847" s="1" t="s">
        <v>13079</v>
      </c>
    </row>
    <row r="848" spans="1:2" outlineLevel="1">
      <c r="A848" s="1" t="s">
        <v>13080</v>
      </c>
      <c r="B848" s="1" t="s">
        <v>13079</v>
      </c>
    </row>
    <row r="849" spans="1:3" outlineLevel="1">
      <c r="A849" s="1" t="s">
        <v>13081</v>
      </c>
      <c r="B849" s="1" t="s">
        <v>13079</v>
      </c>
    </row>
    <row r="850" spans="1:3" outlineLevel="1">
      <c r="A850" s="1" t="s">
        <v>13082</v>
      </c>
      <c r="B850" s="1" t="s">
        <v>13083</v>
      </c>
    </row>
    <row r="851" spans="1:3" outlineLevel="1">
      <c r="A851" s="1" t="s">
        <v>13084</v>
      </c>
      <c r="B851" s="1" t="s">
        <v>13085</v>
      </c>
    </row>
    <row r="852" spans="1:3" outlineLevel="1">
      <c r="A852" s="1" t="s">
        <v>13086</v>
      </c>
      <c r="B852" s="1" t="s">
        <v>13087</v>
      </c>
    </row>
    <row r="853" spans="1:3" outlineLevel="1">
      <c r="A853" s="1" t="s">
        <v>13088</v>
      </c>
      <c r="B853" s="1" t="s">
        <v>13079</v>
      </c>
    </row>
    <row r="854" spans="1:3" outlineLevel="1"/>
    <row r="855" spans="1:3" outlineLevel="1"/>
    <row r="856" spans="1:3" outlineLevel="1">
      <c r="A856" s="1" t="s">
        <v>13089</v>
      </c>
      <c r="B856" s="1" t="s">
        <v>13057</v>
      </c>
    </row>
    <row r="857" spans="1:3" outlineLevel="1">
      <c r="A857" s="1" t="s">
        <v>13090</v>
      </c>
      <c r="B857" s="1" t="s">
        <v>13091</v>
      </c>
    </row>
    <row r="858" spans="1:3" outlineLevel="1">
      <c r="A858" s="1" t="s">
        <v>13092</v>
      </c>
      <c r="B858" s="1" t="s">
        <v>13093</v>
      </c>
    </row>
    <row r="859" spans="1:3" outlineLevel="1">
      <c r="A859" s="1" t="s">
        <v>13094</v>
      </c>
      <c r="B859" s="1" t="s">
        <v>13095</v>
      </c>
    </row>
    <row r="860" spans="1:3" outlineLevel="1">
      <c r="A860" s="1" t="s">
        <v>13096</v>
      </c>
      <c r="B860" s="1" t="s">
        <v>13097</v>
      </c>
    </row>
    <row r="861" spans="1:3" outlineLevel="1"/>
    <row r="862" spans="1:3" outlineLevel="1"/>
    <row r="863" spans="1:3" outlineLevel="1"/>
    <row r="864" spans="1:3" outlineLevel="1">
      <c r="A864" s="1" t="s">
        <v>13089</v>
      </c>
      <c r="B864" s="1" t="s">
        <v>13098</v>
      </c>
      <c r="C864" s="1" t="s">
        <v>13057</v>
      </c>
    </row>
    <row r="865" spans="1:5" outlineLevel="1">
      <c r="A865" s="1" t="s">
        <v>13092</v>
      </c>
      <c r="B865" s="1" t="s">
        <v>13099</v>
      </c>
      <c r="C865" s="1" t="s">
        <v>13093</v>
      </c>
    </row>
    <row r="866" spans="1:5" outlineLevel="1">
      <c r="A866" s="1" t="s">
        <v>13094</v>
      </c>
      <c r="B866" s="1" t="s">
        <v>13100</v>
      </c>
      <c r="C866" s="1" t="s">
        <v>13100</v>
      </c>
    </row>
    <row r="867" spans="1:5" outlineLevel="1">
      <c r="A867" s="1" t="s">
        <v>13096</v>
      </c>
      <c r="B867" s="1" t="s">
        <v>13101</v>
      </c>
      <c r="C867" s="1" t="s">
        <v>13102</v>
      </c>
    </row>
    <row r="868" spans="1:5" outlineLevel="1"/>
    <row r="869" spans="1:5" outlineLevel="1">
      <c r="A869" s="1" t="s">
        <v>13103</v>
      </c>
      <c r="B869" s="1" t="s">
        <v>13094</v>
      </c>
      <c r="C869" s="1" t="s">
        <v>13096</v>
      </c>
      <c r="D869" s="1" t="s">
        <v>13104</v>
      </c>
      <c r="E869" s="1" t="s">
        <v>13105</v>
      </c>
    </row>
    <row r="870" spans="1:5" outlineLevel="1">
      <c r="A870" s="1" t="s">
        <v>13106</v>
      </c>
      <c r="B870" s="1" t="s">
        <v>13107</v>
      </c>
      <c r="C870" s="1" t="s">
        <v>13108</v>
      </c>
      <c r="D870" s="1" t="s">
        <v>13109</v>
      </c>
      <c r="E870" s="1" t="s">
        <v>13110</v>
      </c>
    </row>
    <row r="871" spans="1:5" outlineLevel="1">
      <c r="A871" s="1" t="s">
        <v>13111</v>
      </c>
      <c r="B871" s="1" t="s">
        <v>13112</v>
      </c>
      <c r="C871" s="1" t="s">
        <v>13113</v>
      </c>
      <c r="D871" s="1" t="s">
        <v>13114</v>
      </c>
      <c r="E871" s="1" t="s">
        <v>13115</v>
      </c>
    </row>
    <row r="872" spans="1:5" outlineLevel="1">
      <c r="A872" s="1" t="s">
        <v>13116</v>
      </c>
      <c r="B872" s="1" t="s">
        <v>13117</v>
      </c>
      <c r="C872" s="1" t="s">
        <v>13118</v>
      </c>
      <c r="D872" s="1" t="s">
        <v>13119</v>
      </c>
      <c r="E872" s="1" t="s">
        <v>13120</v>
      </c>
    </row>
    <row r="873" spans="1:5" outlineLevel="1">
      <c r="A873" s="1" t="s">
        <v>13108</v>
      </c>
      <c r="B873" s="1" t="s">
        <v>13121</v>
      </c>
      <c r="C873" s="1" t="s">
        <v>13122</v>
      </c>
      <c r="D873" s="1" t="s">
        <v>13123</v>
      </c>
      <c r="E873" s="1" t="s">
        <v>13124</v>
      </c>
    </row>
    <row r="874" spans="1:5" outlineLevel="1">
      <c r="A874" s="1" t="s">
        <v>13125</v>
      </c>
      <c r="B874" s="1" t="s">
        <v>13126</v>
      </c>
    </row>
    <row r="875" spans="1:5" outlineLevel="1"/>
    <row r="877" spans="1:5" outlineLevel="1">
      <c r="A877" s="1" t="s">
        <v>12339</v>
      </c>
      <c r="B877" s="1" t="s">
        <v>13127</v>
      </c>
    </row>
    <row r="878" spans="1:5" outlineLevel="1">
      <c r="A878" s="24">
        <v>43891</v>
      </c>
      <c r="B878" s="1" t="s">
        <v>13128</v>
      </c>
    </row>
    <row r="879" spans="1:5" outlineLevel="1">
      <c r="A879" s="1">
        <v>4</v>
      </c>
      <c r="B879" s="1" t="s">
        <v>13129</v>
      </c>
    </row>
    <row r="880" spans="1:5" outlineLevel="1">
      <c r="A880" s="1">
        <v>5</v>
      </c>
      <c r="B880" s="1" t="s">
        <v>13130</v>
      </c>
    </row>
    <row r="881" spans="1:2" outlineLevel="1">
      <c r="A881" s="1">
        <v>6</v>
      </c>
      <c r="B881" s="1" t="s">
        <v>13131</v>
      </c>
    </row>
    <row r="882" spans="1:2" outlineLevel="1"/>
    <row r="883" spans="1:2" outlineLevel="1"/>
    <row r="884" spans="1:2" outlineLevel="1"/>
    <row r="885" spans="1:2" outlineLevel="1"/>
    <row r="886" spans="1:2" outlineLevel="1"/>
    <row r="887" spans="1:2" outlineLevel="1"/>
    <row r="888" spans="1:2" outlineLevel="1"/>
    <row r="889" spans="1:2" outlineLevel="1"/>
    <row r="890" spans="1:2" outlineLevel="1"/>
    <row r="891" spans="1:2" outlineLevel="1"/>
    <row r="892" spans="1:2" outlineLevel="1"/>
    <row r="893" spans="1:2" outlineLevel="1"/>
    <row r="894" spans="1:2" outlineLevel="1"/>
    <row r="895" spans="1:2" outlineLevel="1">
      <c r="A895" s="1" t="s">
        <v>13132</v>
      </c>
    </row>
    <row r="896" spans="1:2" outlineLevel="1">
      <c r="A896" s="1" t="s">
        <v>13133</v>
      </c>
    </row>
    <row r="897" spans="1:1" outlineLevel="1">
      <c r="A897" s="1" t="s">
        <v>13134</v>
      </c>
    </row>
    <row r="898" spans="1:1" outlineLevel="1">
      <c r="A898" s="1" t="s">
        <v>13135</v>
      </c>
    </row>
    <row r="899" spans="1:1" outlineLevel="1"/>
    <row r="900" spans="1:1" outlineLevel="1">
      <c r="A900" s="1" t="s">
        <v>13136</v>
      </c>
    </row>
    <row r="901" spans="1:1" outlineLevel="1">
      <c r="A901" s="1" t="s">
        <v>13137</v>
      </c>
    </row>
    <row r="902" spans="1:1" outlineLevel="1">
      <c r="A902" s="1" t="s">
        <v>13138</v>
      </c>
    </row>
    <row r="903" spans="1:1" outlineLevel="1">
      <c r="A903" s="1" t="s">
        <v>13139</v>
      </c>
    </row>
    <row r="904" spans="1:1" outlineLevel="1">
      <c r="A904" s="1" t="s">
        <v>13140</v>
      </c>
    </row>
    <row r="905" spans="1:1" outlineLevel="1">
      <c r="A905" s="1" t="s">
        <v>13141</v>
      </c>
    </row>
    <row r="906" spans="1:1" outlineLevel="1">
      <c r="A906" s="1" t="s">
        <v>13142</v>
      </c>
    </row>
    <row r="907" spans="1:1" outlineLevel="1">
      <c r="A907" s="1" t="s">
        <v>13143</v>
      </c>
    </row>
    <row r="908" spans="1:1" outlineLevel="1">
      <c r="A908" s="1" t="s">
        <v>13144</v>
      </c>
    </row>
    <row r="909" spans="1:1" outlineLevel="1">
      <c r="A909" s="1" t="s">
        <v>13145</v>
      </c>
    </row>
    <row r="910" spans="1:1" outlineLevel="1"/>
    <row r="911" spans="1:1" outlineLevel="1"/>
    <row r="912" spans="1:1" outlineLevel="1"/>
    <row r="913" spans="1:1" outlineLevel="1"/>
    <row r="914" spans="1:1" outlineLevel="1"/>
    <row r="915" spans="1:1" outlineLevel="1">
      <c r="A915" s="1" t="s">
        <v>13146</v>
      </c>
    </row>
    <row r="916" spans="1:1" outlineLevel="1">
      <c r="A916" s="1" t="s">
        <v>13147</v>
      </c>
    </row>
    <row r="917" spans="1:1" outlineLevel="1">
      <c r="A917" s="1" t="s">
        <v>13148</v>
      </c>
    </row>
    <row r="918" spans="1:1" outlineLevel="1">
      <c r="A918" s="1" t="s">
        <v>13149</v>
      </c>
    </row>
    <row r="919" spans="1:1" outlineLevel="1">
      <c r="A919" s="1" t="s">
        <v>13150</v>
      </c>
    </row>
    <row r="920" spans="1:1" outlineLevel="1">
      <c r="A920" s="1" t="s">
        <v>13151</v>
      </c>
    </row>
    <row r="921" spans="1:1" outlineLevel="1">
      <c r="A921" s="1" t="s">
        <v>13152</v>
      </c>
    </row>
    <row r="922" spans="1:1" outlineLevel="1">
      <c r="A922" s="1" t="s">
        <v>13153</v>
      </c>
    </row>
    <row r="923" spans="1:1" outlineLevel="1">
      <c r="A923" s="1" t="s">
        <v>13154</v>
      </c>
    </row>
    <row r="924" spans="1:1" outlineLevel="1">
      <c r="A924" s="1" t="s">
        <v>13155</v>
      </c>
    </row>
    <row r="925" spans="1:1" outlineLevel="1">
      <c r="A925" s="1" t="s">
        <v>13156</v>
      </c>
    </row>
    <row r="926" spans="1:1" outlineLevel="1">
      <c r="A926" s="1" t="s">
        <v>13157</v>
      </c>
    </row>
    <row r="927" spans="1:1" outlineLevel="1">
      <c r="A927" s="1" t="s">
        <v>13158</v>
      </c>
    </row>
    <row r="928" spans="1:1" outlineLevel="1">
      <c r="A928" s="1" t="s">
        <v>13159</v>
      </c>
    </row>
    <row r="929" spans="1:1" outlineLevel="1">
      <c r="A929" s="1" t="s">
        <v>13160</v>
      </c>
    </row>
    <row r="930" spans="1:1" outlineLevel="1">
      <c r="A930" s="1" t="s">
        <v>13161</v>
      </c>
    </row>
    <row r="931" spans="1:1" outlineLevel="1">
      <c r="A931" s="1" t="s">
        <v>13162</v>
      </c>
    </row>
    <row r="932" spans="1:1" outlineLevel="1">
      <c r="A932" s="1" t="s">
        <v>13163</v>
      </c>
    </row>
    <row r="933" spans="1:1" outlineLevel="1">
      <c r="A933" s="1" t="s">
        <v>13164</v>
      </c>
    </row>
    <row r="934" spans="1:1" outlineLevel="1">
      <c r="A934" s="1" t="s">
        <v>13165</v>
      </c>
    </row>
    <row r="935" spans="1:1" outlineLevel="1">
      <c r="A935" s="1" t="s">
        <v>13166</v>
      </c>
    </row>
    <row r="936" spans="1:1" outlineLevel="1">
      <c r="A936" s="1" t="s">
        <v>13167</v>
      </c>
    </row>
    <row r="937" spans="1:1" outlineLevel="1">
      <c r="A937" s="1" t="s">
        <v>13168</v>
      </c>
    </row>
    <row r="938" spans="1:1" outlineLevel="1">
      <c r="A938" s="1" t="s">
        <v>13169</v>
      </c>
    </row>
    <row r="939" spans="1:1" outlineLevel="1">
      <c r="A939" s="1" t="s">
        <v>13170</v>
      </c>
    </row>
    <row r="940" spans="1:1" outlineLevel="1">
      <c r="A940" s="1" t="s">
        <v>13171</v>
      </c>
    </row>
    <row r="941" spans="1:1" outlineLevel="1">
      <c r="A941" s="1" t="s">
        <v>13172</v>
      </c>
    </row>
    <row r="942" spans="1:1" outlineLevel="1">
      <c r="A942" s="1" t="s">
        <v>13173</v>
      </c>
    </row>
    <row r="943" spans="1:1" outlineLevel="1">
      <c r="A943" s="1" t="s">
        <v>13174</v>
      </c>
    </row>
    <row r="944" spans="1:1" outlineLevel="1">
      <c r="A944" s="1" t="s">
        <v>13175</v>
      </c>
    </row>
    <row r="945" spans="1:3" outlineLevel="1">
      <c r="A945" s="1" t="s">
        <v>13176</v>
      </c>
    </row>
    <row r="946" spans="1:3" outlineLevel="1">
      <c r="A946" s="1" t="s">
        <v>13177</v>
      </c>
    </row>
    <row r="947" spans="1:3" outlineLevel="1">
      <c r="A947" s="1" t="s">
        <v>13178</v>
      </c>
    </row>
    <row r="948" spans="1:3" outlineLevel="1">
      <c r="A948" s="1" t="s">
        <v>13179</v>
      </c>
    </row>
    <row r="949" spans="1:3" outlineLevel="1">
      <c r="A949" s="1" t="s">
        <v>13180</v>
      </c>
    </row>
    <row r="950" spans="1:3" outlineLevel="1">
      <c r="A950" s="1" t="s">
        <v>13181</v>
      </c>
    </row>
    <row r="951" spans="1:3" outlineLevel="1">
      <c r="A951" s="1" t="s">
        <v>13182</v>
      </c>
    </row>
    <row r="952" spans="1:3" outlineLevel="1">
      <c r="A952" s="1" t="s">
        <v>13183</v>
      </c>
    </row>
    <row r="953" spans="1:3" outlineLevel="1">
      <c r="A953" s="1" t="s">
        <v>13184</v>
      </c>
    </row>
    <row r="954" spans="1:3" outlineLevel="1">
      <c r="A954" s="1" t="s">
        <v>13185</v>
      </c>
    </row>
    <row r="955" spans="1:3" outlineLevel="1">
      <c r="A955" s="1" t="s">
        <v>13186</v>
      </c>
    </row>
    <row r="956" spans="1:3" outlineLevel="1">
      <c r="A956" s="1" t="s">
        <v>13187</v>
      </c>
    </row>
    <row r="957" spans="1:3" outlineLevel="1">
      <c r="A957" s="1" t="s">
        <v>13177</v>
      </c>
    </row>
    <row r="958" spans="1:3" outlineLevel="1">
      <c r="A958" s="1" t="s">
        <v>13188</v>
      </c>
    </row>
    <row r="959" spans="1:3" outlineLevel="1"/>
    <row r="960" spans="1:3" outlineLevel="1">
      <c r="A960" s="1" t="s">
        <v>13189</v>
      </c>
      <c r="B960" s="1" t="s">
        <v>11918</v>
      </c>
      <c r="C960" s="1" t="s">
        <v>12026</v>
      </c>
    </row>
    <row r="961" spans="1:1" outlineLevel="1">
      <c r="A961" s="1" t="s">
        <v>13179</v>
      </c>
    </row>
    <row r="962" spans="1:1" outlineLevel="1">
      <c r="A962" s="1" t="s">
        <v>13185</v>
      </c>
    </row>
    <row r="963" spans="1:1" outlineLevel="1">
      <c r="A963" s="1" t="s">
        <v>13142</v>
      </c>
    </row>
    <row r="964" spans="1:1" outlineLevel="1">
      <c r="A964" s="1" t="s">
        <v>13146</v>
      </c>
    </row>
    <row r="965" spans="1:1" outlineLevel="1">
      <c r="A965" s="1" t="s">
        <v>13132</v>
      </c>
    </row>
    <row r="966" spans="1:1" outlineLevel="1">
      <c r="A966" s="1" t="s">
        <v>13136</v>
      </c>
    </row>
    <row r="967" spans="1:1" outlineLevel="1">
      <c r="A967" s="1" t="s">
        <v>13190</v>
      </c>
    </row>
    <row r="968" spans="1:1" outlineLevel="1">
      <c r="A968" s="1" t="s">
        <v>13191</v>
      </c>
    </row>
    <row r="969" spans="1:1" outlineLevel="1">
      <c r="A969" s="1" t="s">
        <v>13192</v>
      </c>
    </row>
    <row r="970" spans="1:1" outlineLevel="1">
      <c r="A970" s="1" t="s">
        <v>13193</v>
      </c>
    </row>
    <row r="971" spans="1:1" outlineLevel="1">
      <c r="A971" s="1" t="s">
        <v>13194</v>
      </c>
    </row>
    <row r="972" spans="1:1" outlineLevel="1">
      <c r="A972" s="1" t="s">
        <v>13195</v>
      </c>
    </row>
    <row r="973" spans="1:1" outlineLevel="1">
      <c r="A973" s="1" t="s">
        <v>13196</v>
      </c>
    </row>
    <row r="974" spans="1:1" outlineLevel="1">
      <c r="A974" s="1" t="s">
        <v>13150</v>
      </c>
    </row>
    <row r="975" spans="1:1" outlineLevel="1">
      <c r="A975" s="1" t="s">
        <v>13174</v>
      </c>
    </row>
    <row r="976" spans="1:1" outlineLevel="1">
      <c r="A976" s="1" t="s">
        <v>13169</v>
      </c>
    </row>
    <row r="977" spans="1:3" outlineLevel="1">
      <c r="A977" s="1" t="s">
        <v>13164</v>
      </c>
    </row>
    <row r="978" spans="1:3" outlineLevel="1">
      <c r="A978" s="1" t="s">
        <v>13150</v>
      </c>
    </row>
    <row r="979" spans="1:3" outlineLevel="1">
      <c r="A979" s="1" t="s">
        <v>13158</v>
      </c>
    </row>
    <row r="980" spans="1:3" outlineLevel="1"/>
    <row r="981" spans="1:3" outlineLevel="1"/>
    <row r="982" spans="1:3" outlineLevel="1"/>
    <row r="984" spans="1:3" outlineLevel="1">
      <c r="A984" s="1" t="s">
        <v>13197</v>
      </c>
      <c r="B984" s="1" t="s">
        <v>13198</v>
      </c>
      <c r="C984" s="1" t="s">
        <v>13199</v>
      </c>
    </row>
    <row r="985" spans="1:3" outlineLevel="1">
      <c r="A985" s="1" t="s">
        <v>13200</v>
      </c>
      <c r="B985" s="1" t="s">
        <v>13201</v>
      </c>
      <c r="C985" s="1">
        <v>125</v>
      </c>
    </row>
    <row r="986" spans="1:3" outlineLevel="1">
      <c r="A986" s="1" t="s">
        <v>13202</v>
      </c>
      <c r="B986" s="1" t="s">
        <v>13203</v>
      </c>
      <c r="C986" s="1">
        <v>250</v>
      </c>
    </row>
    <row r="987" spans="1:3" outlineLevel="1">
      <c r="A987" s="1" t="s">
        <v>13204</v>
      </c>
      <c r="B987" s="1" t="s">
        <v>13203</v>
      </c>
      <c r="C987" s="1">
        <v>125</v>
      </c>
    </row>
    <row r="988" spans="1:3" outlineLevel="1">
      <c r="A988" s="1" t="s">
        <v>13205</v>
      </c>
      <c r="B988" s="1" t="s">
        <v>13206</v>
      </c>
      <c r="C988" s="1">
        <v>100</v>
      </c>
    </row>
    <row r="989" spans="1:3" outlineLevel="1">
      <c r="A989" s="1" t="s">
        <v>13207</v>
      </c>
      <c r="B989" s="1" t="s">
        <v>13201</v>
      </c>
      <c r="C989" s="1">
        <v>75</v>
      </c>
    </row>
    <row r="990" spans="1:3" outlineLevel="1">
      <c r="A990" s="1" t="s">
        <v>13208</v>
      </c>
      <c r="B990" s="1" t="s">
        <v>13209</v>
      </c>
      <c r="C990" s="1">
        <v>200</v>
      </c>
    </row>
    <row r="991" spans="1:3" outlineLevel="1">
      <c r="A991" s="1" t="s">
        <v>13210</v>
      </c>
      <c r="B991" s="1" t="s">
        <v>13201</v>
      </c>
      <c r="C991" s="1">
        <v>750</v>
      </c>
    </row>
    <row r="992" spans="1:3" outlineLevel="1">
      <c r="A992" s="1" t="s">
        <v>13211</v>
      </c>
      <c r="B992" s="1" t="s">
        <v>13209</v>
      </c>
      <c r="C992" s="1">
        <v>100</v>
      </c>
    </row>
    <row r="993" spans="1:7" outlineLevel="1">
      <c r="A993" s="1" t="s">
        <v>13212</v>
      </c>
      <c r="B993" s="1" t="s">
        <v>13201</v>
      </c>
      <c r="C993" s="1">
        <v>300</v>
      </c>
    </row>
    <row r="994" spans="1:7" outlineLevel="1">
      <c r="A994" s="1" t="s">
        <v>13213</v>
      </c>
      <c r="B994" s="1" t="s">
        <v>13201</v>
      </c>
      <c r="C994" s="1">
        <v>75</v>
      </c>
    </row>
    <row r="995" spans="1:7" outlineLevel="1">
      <c r="A995" s="1" t="s">
        <v>13214</v>
      </c>
      <c r="B995" s="1" t="s">
        <v>13203</v>
      </c>
      <c r="C995" s="1">
        <v>150</v>
      </c>
    </row>
    <row r="996" spans="1:7" outlineLevel="1">
      <c r="A996" s="1" t="s">
        <v>13215</v>
      </c>
      <c r="B996" s="1" t="s">
        <v>13206</v>
      </c>
      <c r="C996" s="1">
        <v>600</v>
      </c>
    </row>
    <row r="997" spans="1:7" outlineLevel="1">
      <c r="A997" s="1" t="s">
        <v>13216</v>
      </c>
      <c r="B997" s="1" t="s">
        <v>13206</v>
      </c>
      <c r="C997" s="1">
        <v>100</v>
      </c>
    </row>
    <row r="998" spans="1:7" outlineLevel="1">
      <c r="A998" s="1" t="s">
        <v>13217</v>
      </c>
      <c r="B998" s="1" t="s">
        <v>13206</v>
      </c>
      <c r="C998" s="1">
        <v>1000</v>
      </c>
    </row>
    <row r="999" spans="1:7" outlineLevel="1"/>
    <row r="1000" spans="1:7" ht="24.75" thickBot="1">
      <c r="A1000" s="2569" t="s">
        <v>13218</v>
      </c>
    </row>
    <row r="1001" spans="1:7" ht="15" outlineLevel="1" thickTop="1">
      <c r="A1001" s="1" t="s">
        <v>12889</v>
      </c>
      <c r="B1001" s="1" t="s">
        <v>5755</v>
      </c>
      <c r="C1001" s="1" t="s">
        <v>2468</v>
      </c>
      <c r="D1001" s="1" t="s">
        <v>5796</v>
      </c>
      <c r="E1001" s="1" t="s">
        <v>2210</v>
      </c>
      <c r="F1001" s="1" t="s">
        <v>2235</v>
      </c>
      <c r="G1001" s="1" t="s">
        <v>13219</v>
      </c>
    </row>
    <row r="1002" spans="1:7" outlineLevel="1">
      <c r="A1002" s="1" t="s">
        <v>13220</v>
      </c>
      <c r="F1002" s="1" t="s">
        <v>13221</v>
      </c>
      <c r="G1002" s="1" t="s">
        <v>13222</v>
      </c>
    </row>
    <row r="1003" spans="1:7" outlineLevel="1">
      <c r="A1003" s="1" t="s">
        <v>13223</v>
      </c>
      <c r="F1003" s="1" t="s">
        <v>10965</v>
      </c>
      <c r="G1003" s="1" t="s">
        <v>10671</v>
      </c>
    </row>
    <row r="1004" spans="1:7" outlineLevel="1">
      <c r="A1004" s="1" t="s">
        <v>13224</v>
      </c>
      <c r="F1004" s="1" t="s">
        <v>13225</v>
      </c>
      <c r="G1004" s="1" t="s">
        <v>13226</v>
      </c>
    </row>
    <row r="1005" spans="1:7" outlineLevel="1">
      <c r="A1005" s="1" t="s">
        <v>13227</v>
      </c>
      <c r="F1005" s="1" t="s">
        <v>13228</v>
      </c>
      <c r="G1005" s="1" t="s">
        <v>13229</v>
      </c>
    </row>
    <row r="1006" spans="1:7" outlineLevel="1">
      <c r="A1006" s="1" t="s">
        <v>13230</v>
      </c>
      <c r="F1006" s="1" t="s">
        <v>13231</v>
      </c>
      <c r="G1006" s="1" t="s">
        <v>13232</v>
      </c>
    </row>
    <row r="1007" spans="1:7" outlineLevel="1">
      <c r="A1007" s="1" t="s">
        <v>13233</v>
      </c>
      <c r="B1007" s="1" t="s">
        <v>13234</v>
      </c>
      <c r="F1007" s="1" t="s">
        <v>13235</v>
      </c>
      <c r="G1007" s="1" t="s">
        <v>13236</v>
      </c>
    </row>
    <row r="1008" spans="1:7" outlineLevel="1">
      <c r="A1008" s="1" t="s">
        <v>13237</v>
      </c>
      <c r="B1008" s="1" t="s">
        <v>13234</v>
      </c>
      <c r="F1008" s="1" t="s">
        <v>13228</v>
      </c>
      <c r="G1008" s="1" t="s">
        <v>13229</v>
      </c>
    </row>
    <row r="1009" spans="1:7" outlineLevel="1">
      <c r="A1009" s="1" t="s">
        <v>13238</v>
      </c>
      <c r="F1009" s="1" t="s">
        <v>13231</v>
      </c>
      <c r="G1009" s="1" t="s">
        <v>13232</v>
      </c>
    </row>
    <row r="1010" spans="1:7" outlineLevel="1">
      <c r="A1010" s="1" t="s">
        <v>13239</v>
      </c>
      <c r="F1010" s="1" t="s">
        <v>13240</v>
      </c>
      <c r="G1010" s="1" t="s">
        <v>13241</v>
      </c>
    </row>
    <row r="1011" spans="1:7" outlineLevel="1">
      <c r="A1011" s="1" t="s">
        <v>13242</v>
      </c>
      <c r="F1011" s="1" t="s">
        <v>13243</v>
      </c>
      <c r="G1011" s="1" t="s">
        <v>13232</v>
      </c>
    </row>
    <row r="1012" spans="1:7" outlineLevel="1">
      <c r="A1012" s="1" t="s">
        <v>13242</v>
      </c>
    </row>
    <row r="1013" spans="1:7" outlineLevel="1">
      <c r="A1013" s="1" t="s">
        <v>13244</v>
      </c>
      <c r="F1013" s="1" t="s">
        <v>13012</v>
      </c>
      <c r="G1013" s="1" t="s">
        <v>13245</v>
      </c>
    </row>
    <row r="1014" spans="1:7" outlineLevel="1">
      <c r="A1014" s="1" t="s">
        <v>13246</v>
      </c>
      <c r="F1014" s="1" t="s">
        <v>13235</v>
      </c>
      <c r="G1014" s="1" t="s">
        <v>13247</v>
      </c>
    </row>
    <row r="1015" spans="1:7" outlineLevel="1">
      <c r="A1015" s="1" t="s">
        <v>13248</v>
      </c>
      <c r="F1015" s="1" t="s">
        <v>13249</v>
      </c>
      <c r="G1015" s="1" t="s">
        <v>13250</v>
      </c>
    </row>
    <row r="1016" spans="1:7" outlineLevel="1">
      <c r="A1016" s="1" t="s">
        <v>13251</v>
      </c>
      <c r="F1016" s="1" t="s">
        <v>11028</v>
      </c>
      <c r="G1016" s="1" t="s">
        <v>13247</v>
      </c>
    </row>
    <row r="1017" spans="1:7" outlineLevel="1">
      <c r="A1017" s="1" t="s">
        <v>13251</v>
      </c>
    </row>
    <row r="1018" spans="1:7" outlineLevel="1">
      <c r="A1018" s="1" t="s">
        <v>13252</v>
      </c>
      <c r="B1018" s="1" t="s">
        <v>13253</v>
      </c>
      <c r="F1018" s="1" t="s">
        <v>13235</v>
      </c>
      <c r="G1018" s="1" t="s">
        <v>13254</v>
      </c>
    </row>
    <row r="1019" spans="1:7" outlineLevel="1">
      <c r="A1019" s="1" t="s">
        <v>13255</v>
      </c>
      <c r="F1019" s="1" t="s">
        <v>11054</v>
      </c>
      <c r="G1019" s="1" t="s">
        <v>13256</v>
      </c>
    </row>
    <row r="1020" spans="1:7" outlineLevel="1">
      <c r="A1020" s="1" t="s">
        <v>13257</v>
      </c>
      <c r="F1020" s="1" t="s">
        <v>13240</v>
      </c>
      <c r="G1020" s="1" t="s">
        <v>13258</v>
      </c>
    </row>
    <row r="1021" spans="1:7" outlineLevel="1">
      <c r="A1021" s="1" t="s">
        <v>13259</v>
      </c>
      <c r="F1021" s="1" t="s">
        <v>13260</v>
      </c>
      <c r="G1021" s="1" t="s">
        <v>13261</v>
      </c>
    </row>
    <row r="1022" spans="1:7" outlineLevel="1">
      <c r="A1022" s="1" t="s">
        <v>13262</v>
      </c>
      <c r="F1022" s="1" t="s">
        <v>13263</v>
      </c>
      <c r="G1022" s="1" t="s">
        <v>13264</v>
      </c>
    </row>
    <row r="1023" spans="1:7" outlineLevel="1">
      <c r="A1023" s="1" t="s">
        <v>13265</v>
      </c>
      <c r="F1023" s="1" t="s">
        <v>13266</v>
      </c>
      <c r="G1023" s="1" t="s">
        <v>13267</v>
      </c>
    </row>
    <row r="1024" spans="1:7" outlineLevel="1">
      <c r="A1024" s="1" t="s">
        <v>13268</v>
      </c>
      <c r="F1024" s="1" t="s">
        <v>13269</v>
      </c>
      <c r="G1024" s="1" t="s">
        <v>13270</v>
      </c>
    </row>
    <row r="1025" spans="1:7" outlineLevel="1">
      <c r="A1025" s="1" t="s">
        <v>13271</v>
      </c>
      <c r="F1025" s="1" t="s">
        <v>13231</v>
      </c>
      <c r="G1025" s="1" t="s">
        <v>13264</v>
      </c>
    </row>
    <row r="1026" spans="1:7" outlineLevel="1">
      <c r="A1026" s="1" t="s">
        <v>13272</v>
      </c>
      <c r="F1026" s="1" t="s">
        <v>13269</v>
      </c>
      <c r="G1026" s="1" t="s">
        <v>13273</v>
      </c>
    </row>
    <row r="1027" spans="1:7" outlineLevel="1">
      <c r="A1027" s="1" t="s">
        <v>13274</v>
      </c>
      <c r="F1027" s="1" t="s">
        <v>13275</v>
      </c>
      <c r="G1027" s="1" t="s">
        <v>13276</v>
      </c>
    </row>
    <row r="1028" spans="1:7" outlineLevel="1">
      <c r="A1028" s="1" t="s">
        <v>13277</v>
      </c>
      <c r="F1028" s="1" t="s">
        <v>13278</v>
      </c>
      <c r="G1028" s="1" t="s">
        <v>13279</v>
      </c>
    </row>
    <row r="1029" spans="1:7" outlineLevel="1">
      <c r="A1029" s="1" t="s">
        <v>13280</v>
      </c>
      <c r="F1029" s="1" t="s">
        <v>13281</v>
      </c>
      <c r="G1029" s="1" t="s">
        <v>13282</v>
      </c>
    </row>
    <row r="1030" spans="1:7" outlineLevel="1">
      <c r="A1030" s="1" t="s">
        <v>13283</v>
      </c>
      <c r="F1030" s="1" t="s">
        <v>13284</v>
      </c>
      <c r="G1030" s="1" t="s">
        <v>13285</v>
      </c>
    </row>
    <row r="1031" spans="1:7" outlineLevel="1">
      <c r="A1031" s="1" t="s">
        <v>13286</v>
      </c>
      <c r="F1031" s="1" t="s">
        <v>13287</v>
      </c>
      <c r="G1031" s="1" t="s">
        <v>13288</v>
      </c>
    </row>
    <row r="1032" spans="1:7" outlineLevel="1">
      <c r="A1032" s="1" t="s">
        <v>13289</v>
      </c>
    </row>
    <row r="1033" spans="1:7" outlineLevel="1">
      <c r="A1033" s="1" t="s">
        <v>13290</v>
      </c>
      <c r="F1033" s="1" t="s">
        <v>10965</v>
      </c>
      <c r="G1033" s="1" t="s">
        <v>13247</v>
      </c>
    </row>
    <row r="1034" spans="1:7" outlineLevel="1">
      <c r="A1034" s="1" t="s">
        <v>13290</v>
      </c>
    </row>
    <row r="1035" spans="1:7" outlineLevel="1">
      <c r="A1035" s="1" t="s">
        <v>13291</v>
      </c>
      <c r="B1035" s="1" t="s">
        <v>13234</v>
      </c>
    </row>
    <row r="1036" spans="1:7" outlineLevel="1">
      <c r="A1036" s="1" t="s">
        <v>13291</v>
      </c>
      <c r="B1036" s="1" t="s">
        <v>13234</v>
      </c>
      <c r="F1036" s="1" t="s">
        <v>10998</v>
      </c>
      <c r="G1036" s="1" t="s">
        <v>13254</v>
      </c>
    </row>
    <row r="1037" spans="1:7" outlineLevel="1">
      <c r="A1037" s="1" t="s">
        <v>13292</v>
      </c>
      <c r="F1037" s="1" t="s">
        <v>13293</v>
      </c>
      <c r="G1037" s="1" t="s">
        <v>13294</v>
      </c>
    </row>
    <row r="1038" spans="1:7" outlineLevel="1">
      <c r="A1038" s="1" t="s">
        <v>13295</v>
      </c>
      <c r="B1038" s="1" t="s">
        <v>13253</v>
      </c>
      <c r="F1038" s="1" t="s">
        <v>13296</v>
      </c>
      <c r="G1038" s="1" t="s">
        <v>13254</v>
      </c>
    </row>
    <row r="1039" spans="1:7" outlineLevel="1">
      <c r="A1039" s="1" t="s">
        <v>13297</v>
      </c>
      <c r="F1039" s="1" t="s">
        <v>13298</v>
      </c>
      <c r="G1039" s="1" t="s">
        <v>13299</v>
      </c>
    </row>
    <row r="1040" spans="1:7" outlineLevel="1">
      <c r="A1040" s="1" t="s">
        <v>13300</v>
      </c>
      <c r="F1040" s="1" t="s">
        <v>13240</v>
      </c>
      <c r="G1040" s="1" t="s">
        <v>13264</v>
      </c>
    </row>
    <row r="1041" spans="1:7" outlineLevel="1">
      <c r="A1041" s="1" t="s">
        <v>13300</v>
      </c>
    </row>
    <row r="1042" spans="1:7" outlineLevel="1">
      <c r="A1042" s="1" t="s">
        <v>13301</v>
      </c>
      <c r="F1042" s="1" t="s">
        <v>13302</v>
      </c>
      <c r="G1042" s="1" t="s">
        <v>13303</v>
      </c>
    </row>
    <row r="1043" spans="1:7" outlineLevel="1">
      <c r="A1043" s="1" t="s">
        <v>13304</v>
      </c>
      <c r="B1043" s="1" t="s">
        <v>13305</v>
      </c>
      <c r="F1043" s="1" t="s">
        <v>13306</v>
      </c>
      <c r="G1043" s="1" t="s">
        <v>13307</v>
      </c>
    </row>
    <row r="1044" spans="1:7" outlineLevel="1">
      <c r="A1044" s="1" t="s">
        <v>13308</v>
      </c>
      <c r="F1044" s="1" t="s">
        <v>13309</v>
      </c>
      <c r="G1044" s="1" t="s">
        <v>13310</v>
      </c>
    </row>
    <row r="1045" spans="1:7" outlineLevel="1">
      <c r="A1045" s="1" t="s">
        <v>13311</v>
      </c>
      <c r="B1045" s="1" t="s">
        <v>13253</v>
      </c>
    </row>
    <row r="1046" spans="1:7" outlineLevel="1">
      <c r="A1046" s="1" t="s">
        <v>13312</v>
      </c>
      <c r="B1046" s="1" t="s">
        <v>13234</v>
      </c>
      <c r="F1046" s="1" t="s">
        <v>13260</v>
      </c>
      <c r="G1046" s="1" t="s">
        <v>13313</v>
      </c>
    </row>
    <row r="1047" spans="1:7" outlineLevel="1">
      <c r="A1047" s="1" t="s">
        <v>13314</v>
      </c>
      <c r="B1047" s="1" t="s">
        <v>13234</v>
      </c>
      <c r="F1047" s="1" t="s">
        <v>13263</v>
      </c>
      <c r="G1047" s="1" t="s">
        <v>13315</v>
      </c>
    </row>
    <row r="1048" spans="1:7" outlineLevel="1">
      <c r="A1048" s="1" t="s">
        <v>13316</v>
      </c>
      <c r="F1048" s="1" t="s">
        <v>13317</v>
      </c>
      <c r="G1048" s="1" t="s">
        <v>13318</v>
      </c>
    </row>
    <row r="1049" spans="1:7" outlineLevel="1">
      <c r="A1049" s="1" t="s">
        <v>13319</v>
      </c>
      <c r="F1049" s="1" t="s">
        <v>13320</v>
      </c>
      <c r="G1049" s="1" t="s">
        <v>13321</v>
      </c>
    </row>
    <row r="1050" spans="1:7" outlineLevel="1">
      <c r="A1050" s="1" t="s">
        <v>13322</v>
      </c>
      <c r="F1050" s="1" t="s">
        <v>13323</v>
      </c>
      <c r="G1050" s="1" t="s">
        <v>13324</v>
      </c>
    </row>
    <row r="1051" spans="1:7" outlineLevel="1">
      <c r="A1051" s="1" t="s">
        <v>13325</v>
      </c>
      <c r="F1051" s="1" t="s">
        <v>13298</v>
      </c>
      <c r="G1051" s="1" t="s">
        <v>13247</v>
      </c>
    </row>
    <row r="1052" spans="1:7" outlineLevel="1">
      <c r="A1052" s="1" t="s">
        <v>13326</v>
      </c>
      <c r="B1052" s="1" t="s">
        <v>13327</v>
      </c>
      <c r="F1052" s="1" t="s">
        <v>10954</v>
      </c>
      <c r="G1052" s="1" t="s">
        <v>13328</v>
      </c>
    </row>
    <row r="1053" spans="1:7" outlineLevel="1">
      <c r="A1053" s="1" t="s">
        <v>13329</v>
      </c>
      <c r="B1053" s="1" t="s">
        <v>13330</v>
      </c>
      <c r="F1053" s="1" t="s">
        <v>13306</v>
      </c>
      <c r="G1053" s="1" t="s">
        <v>13331</v>
      </c>
    </row>
    <row r="1054" spans="1:7" outlineLevel="1">
      <c r="A1054" s="1" t="s">
        <v>13332</v>
      </c>
      <c r="F1054" s="1" t="s">
        <v>13306</v>
      </c>
      <c r="G1054" s="1" t="s">
        <v>13324</v>
      </c>
    </row>
    <row r="1055" spans="1:7" outlineLevel="1">
      <c r="A1055" s="1" t="s">
        <v>3392</v>
      </c>
      <c r="F1055" s="1" t="s">
        <v>13323</v>
      </c>
      <c r="G1055" s="1" t="s">
        <v>13333</v>
      </c>
    </row>
    <row r="1056" spans="1:7" outlineLevel="1">
      <c r="A1056" s="1" t="s">
        <v>13334</v>
      </c>
      <c r="B1056" s="1" t="s">
        <v>13234</v>
      </c>
      <c r="F1056" s="1" t="s">
        <v>13306</v>
      </c>
      <c r="G1056" s="1" t="s">
        <v>13335</v>
      </c>
    </row>
    <row r="1057" spans="1:7" outlineLevel="1">
      <c r="A1057" s="1" t="s">
        <v>13336</v>
      </c>
      <c r="B1057" s="1" t="s">
        <v>5769</v>
      </c>
      <c r="F1057" s="1" t="s">
        <v>10944</v>
      </c>
      <c r="G1057" s="1" t="s">
        <v>13264</v>
      </c>
    </row>
    <row r="1058" spans="1:7" outlineLevel="1">
      <c r="A1058" s="1" t="s">
        <v>13337</v>
      </c>
      <c r="B1058" s="1" t="s">
        <v>13234</v>
      </c>
      <c r="F1058" s="1" t="s">
        <v>13012</v>
      </c>
      <c r="G1058" s="1" t="s">
        <v>13226</v>
      </c>
    </row>
    <row r="1059" spans="1:7" outlineLevel="1">
      <c r="A1059" s="1" t="s">
        <v>3251</v>
      </c>
      <c r="F1059" s="1" t="s">
        <v>13338</v>
      </c>
      <c r="G1059" s="1" t="s">
        <v>13339</v>
      </c>
    </row>
    <row r="1060" spans="1:7" outlineLevel="1">
      <c r="A1060" s="1" t="s">
        <v>13340</v>
      </c>
      <c r="F1060" s="1" t="s">
        <v>13341</v>
      </c>
      <c r="G1060" s="1" t="s">
        <v>13342</v>
      </c>
    </row>
    <row r="1061" spans="1:7" outlineLevel="1">
      <c r="A1061" s="1" t="s">
        <v>13343</v>
      </c>
      <c r="F1061" s="1" t="s">
        <v>13298</v>
      </c>
      <c r="G1061" s="1" t="s">
        <v>13299</v>
      </c>
    </row>
    <row r="1062" spans="1:7" outlineLevel="1">
      <c r="A1062" s="1" t="s">
        <v>13344</v>
      </c>
      <c r="B1062" s="1" t="s">
        <v>13234</v>
      </c>
      <c r="F1062" s="1" t="s">
        <v>11009</v>
      </c>
      <c r="G1062" s="1" t="s">
        <v>13254</v>
      </c>
    </row>
    <row r="1063" spans="1:7" outlineLevel="1">
      <c r="A1063" s="1" t="s">
        <v>13345</v>
      </c>
      <c r="F1063" s="1" t="s">
        <v>11103</v>
      </c>
      <c r="G1063" s="1" t="s">
        <v>13247</v>
      </c>
    </row>
    <row r="1064" spans="1:7" outlineLevel="1">
      <c r="A1064" s="1" t="s">
        <v>13346</v>
      </c>
      <c r="B1064" s="1" t="s">
        <v>13234</v>
      </c>
      <c r="F1064" s="1" t="s">
        <v>13347</v>
      </c>
      <c r="G1064" s="1" t="s">
        <v>13348</v>
      </c>
    </row>
    <row r="1065" spans="1:7" outlineLevel="1">
      <c r="A1065" s="1" t="s">
        <v>13349</v>
      </c>
      <c r="B1065" s="1" t="s">
        <v>13330</v>
      </c>
      <c r="F1065" s="1" t="s">
        <v>13350</v>
      </c>
      <c r="G1065" s="1" t="s">
        <v>13256</v>
      </c>
    </row>
    <row r="1066" spans="1:7" outlineLevel="1">
      <c r="A1066" s="1" t="s">
        <v>13351</v>
      </c>
      <c r="B1066" s="1" t="s">
        <v>13305</v>
      </c>
      <c r="F1066" s="1" t="s">
        <v>13008</v>
      </c>
      <c r="G1066" s="1" t="s">
        <v>13247</v>
      </c>
    </row>
    <row r="1067" spans="1:7" outlineLevel="1">
      <c r="A1067" s="1" t="s">
        <v>13352</v>
      </c>
      <c r="F1067" s="1" t="s">
        <v>13296</v>
      </c>
      <c r="G1067" s="1" t="s">
        <v>13254</v>
      </c>
    </row>
    <row r="1068" spans="1:7" outlineLevel="1">
      <c r="A1068" s="1" t="s">
        <v>13353</v>
      </c>
      <c r="F1068" s="1" t="s">
        <v>13275</v>
      </c>
      <c r="G1068" s="1" t="s">
        <v>13256</v>
      </c>
    </row>
    <row r="1069" spans="1:7" outlineLevel="1">
      <c r="A1069" s="1" t="s">
        <v>13354</v>
      </c>
      <c r="B1069" s="1" t="s">
        <v>13234</v>
      </c>
      <c r="F1069" s="1" t="s">
        <v>13355</v>
      </c>
      <c r="G1069" s="1" t="s">
        <v>13356</v>
      </c>
    </row>
    <row r="1070" spans="1:7" outlineLevel="1">
      <c r="A1070" s="1" t="s">
        <v>13357</v>
      </c>
      <c r="F1070" s="1" t="s">
        <v>13358</v>
      </c>
      <c r="G1070" s="1" t="s">
        <v>13359</v>
      </c>
    </row>
    <row r="1071" spans="1:7" outlineLevel="1">
      <c r="A1071" s="1" t="s">
        <v>13360</v>
      </c>
      <c r="B1071" s="1" t="s">
        <v>13361</v>
      </c>
      <c r="F1071" s="1" t="s">
        <v>13362</v>
      </c>
      <c r="G1071" s="1" t="s">
        <v>13363</v>
      </c>
    </row>
    <row r="1072" spans="1:7" outlineLevel="1">
      <c r="A1072" s="1" t="s">
        <v>13364</v>
      </c>
      <c r="B1072" s="1" t="s">
        <v>13305</v>
      </c>
      <c r="F1072" s="1" t="s">
        <v>8059</v>
      </c>
      <c r="G1072" s="1" t="s">
        <v>10671</v>
      </c>
    </row>
    <row r="1073" spans="1:7" outlineLevel="1">
      <c r="A1073" s="1" t="s">
        <v>13365</v>
      </c>
      <c r="F1073" s="1" t="s">
        <v>13007</v>
      </c>
      <c r="G1073" s="1" t="s">
        <v>13226</v>
      </c>
    </row>
    <row r="1074" spans="1:7" outlineLevel="1">
      <c r="A1074" s="1" t="s">
        <v>13366</v>
      </c>
      <c r="F1074" s="1" t="s">
        <v>13263</v>
      </c>
      <c r="G1074" s="1" t="s">
        <v>13229</v>
      </c>
    </row>
    <row r="1075" spans="1:7" outlineLevel="1">
      <c r="A1075" s="1" t="s">
        <v>13367</v>
      </c>
      <c r="B1075" s="1" t="s">
        <v>13234</v>
      </c>
      <c r="F1075" s="1" t="s">
        <v>13317</v>
      </c>
      <c r="G1075" s="1" t="s">
        <v>13310</v>
      </c>
    </row>
    <row r="1076" spans="1:7" outlineLevel="1"/>
    <row r="1077" spans="1:7" ht="24.75" thickBot="1">
      <c r="A1077" s="2569" t="s">
        <v>13368</v>
      </c>
    </row>
    <row r="1078" spans="1:7" ht="15" outlineLevel="1" thickTop="1">
      <c r="A1078" s="1" t="s">
        <v>12889</v>
      </c>
      <c r="B1078" s="1" t="s">
        <v>2210</v>
      </c>
      <c r="C1078" s="1" t="s">
        <v>2235</v>
      </c>
    </row>
    <row r="1079" spans="1:7" outlineLevel="1">
      <c r="A1079" s="1" t="s">
        <v>13369</v>
      </c>
      <c r="B1079" s="1" t="s">
        <v>9126</v>
      </c>
      <c r="C1079" s="1" t="s">
        <v>13370</v>
      </c>
    </row>
    <row r="1080" spans="1:7" outlineLevel="1">
      <c r="A1080" s="1" t="s">
        <v>13371</v>
      </c>
      <c r="B1080" s="1" t="s">
        <v>9126</v>
      </c>
      <c r="C1080" s="1" t="s">
        <v>13372</v>
      </c>
    </row>
    <row r="1081" spans="1:7" outlineLevel="1">
      <c r="A1081" s="1" t="s">
        <v>13373</v>
      </c>
    </row>
    <row r="1082" spans="1:7" outlineLevel="1">
      <c r="A1082" s="1" t="s">
        <v>13369</v>
      </c>
      <c r="B1082" s="1" t="s">
        <v>9126</v>
      </c>
      <c r="C1082" s="1" t="s">
        <v>13374</v>
      </c>
    </row>
    <row r="1083" spans="1:7" outlineLevel="1">
      <c r="A1083" s="1" t="s">
        <v>6001</v>
      </c>
    </row>
    <row r="1084" spans="1:7" outlineLevel="1">
      <c r="A1084" s="1" t="s">
        <v>13369</v>
      </c>
      <c r="B1084" s="1" t="s">
        <v>9126</v>
      </c>
      <c r="C1084" s="1" t="s">
        <v>13375</v>
      </c>
    </row>
    <row r="1085" spans="1:7" outlineLevel="1">
      <c r="A1085" s="1" t="s">
        <v>1980</v>
      </c>
    </row>
    <row r="1086" spans="1:7" outlineLevel="1">
      <c r="A1086" s="1" t="s">
        <v>13371</v>
      </c>
      <c r="B1086" s="1" t="s">
        <v>9126</v>
      </c>
      <c r="C1086" s="1" t="s">
        <v>13376</v>
      </c>
    </row>
    <row r="1087" spans="1:7" outlineLevel="1">
      <c r="A1087" s="1" t="s">
        <v>13377</v>
      </c>
    </row>
    <row r="1088" spans="1:7" outlineLevel="1">
      <c r="A1088" s="1" t="s">
        <v>13378</v>
      </c>
      <c r="B1088" s="1" t="s">
        <v>9331</v>
      </c>
      <c r="C1088" s="1" t="s">
        <v>13379</v>
      </c>
    </row>
    <row r="1089" spans="1:3" outlineLevel="1">
      <c r="A1089" s="1" t="s">
        <v>13380</v>
      </c>
      <c r="B1089" s="1" t="s">
        <v>9331</v>
      </c>
      <c r="C1089" s="1" t="s">
        <v>13381</v>
      </c>
    </row>
    <row r="1090" spans="1:3" outlineLevel="1">
      <c r="A1090" s="1" t="s">
        <v>13373</v>
      </c>
    </row>
    <row r="1091" spans="1:3" outlineLevel="1">
      <c r="A1091" s="1" t="s">
        <v>13378</v>
      </c>
      <c r="B1091" s="1" t="s">
        <v>9331</v>
      </c>
      <c r="C1091" s="1" t="s">
        <v>13382</v>
      </c>
    </row>
    <row r="1092" spans="1:3" outlineLevel="1">
      <c r="A1092" s="1" t="s">
        <v>6001</v>
      </c>
    </row>
    <row r="1093" spans="1:3" outlineLevel="1">
      <c r="A1093" s="1" t="s">
        <v>13383</v>
      </c>
      <c r="B1093" s="1" t="s">
        <v>9331</v>
      </c>
      <c r="C1093" s="1" t="s">
        <v>13384</v>
      </c>
    </row>
    <row r="1094" spans="1:3" outlineLevel="1">
      <c r="A1094" s="1" t="s">
        <v>13385</v>
      </c>
      <c r="B1094" s="1" t="s">
        <v>9126</v>
      </c>
      <c r="C1094" s="1" t="s">
        <v>13386</v>
      </c>
    </row>
    <row r="1095" spans="1:3" outlineLevel="1">
      <c r="A1095" s="1" t="s">
        <v>13387</v>
      </c>
      <c r="B1095" s="1" t="s">
        <v>9126</v>
      </c>
      <c r="C1095" s="1" t="s">
        <v>13388</v>
      </c>
    </row>
    <row r="1096" spans="1:3" outlineLevel="1">
      <c r="A1096" s="1" t="s">
        <v>13373</v>
      </c>
    </row>
    <row r="1097" spans="1:3" outlineLevel="1">
      <c r="A1097" s="1" t="s">
        <v>13385</v>
      </c>
      <c r="B1097" s="1" t="s">
        <v>9126</v>
      </c>
      <c r="C1097" s="1" t="s">
        <v>13389</v>
      </c>
    </row>
    <row r="1098" spans="1:3" outlineLevel="1">
      <c r="A1098" s="1" t="s">
        <v>1980</v>
      </c>
    </row>
    <row r="1099" spans="1:3" outlineLevel="1">
      <c r="A1099" s="1" t="s">
        <v>13385</v>
      </c>
      <c r="B1099" s="1" t="s">
        <v>9126</v>
      </c>
      <c r="C1099" s="1" t="s">
        <v>13390</v>
      </c>
    </row>
    <row r="1100" spans="1:3" outlineLevel="1">
      <c r="A1100" s="1" t="s">
        <v>13391</v>
      </c>
    </row>
    <row r="1101" spans="1:3" outlineLevel="1">
      <c r="A1101" s="1" t="s">
        <v>13392</v>
      </c>
      <c r="B1101" s="1" t="s">
        <v>9331</v>
      </c>
      <c r="C1101" s="1" t="s">
        <v>13393</v>
      </c>
    </row>
    <row r="1102" spans="1:3" outlineLevel="1">
      <c r="A1102" s="1" t="s">
        <v>13394</v>
      </c>
      <c r="B1102" s="1" t="s">
        <v>9331</v>
      </c>
      <c r="C1102" s="1" t="s">
        <v>13395</v>
      </c>
    </row>
    <row r="1103" spans="1:3" outlineLevel="1">
      <c r="A1103" s="1" t="s">
        <v>13373</v>
      </c>
    </row>
    <row r="1104" spans="1:3" outlineLevel="1">
      <c r="A1104" s="1" t="s">
        <v>13392</v>
      </c>
      <c r="B1104" s="1" t="s">
        <v>9331</v>
      </c>
      <c r="C1104" s="1" t="s">
        <v>13396</v>
      </c>
    </row>
    <row r="1105" spans="1:3" outlineLevel="1">
      <c r="A1105" s="1" t="s">
        <v>6001</v>
      </c>
    </row>
    <row r="1106" spans="1:3" outlineLevel="1">
      <c r="A1106" s="1" t="s">
        <v>13392</v>
      </c>
      <c r="B1106" s="1" t="s">
        <v>9331</v>
      </c>
      <c r="C1106" s="1" t="s">
        <v>13397</v>
      </c>
    </row>
    <row r="1107" spans="1:3" outlineLevel="1">
      <c r="A1107" s="1" t="s">
        <v>1980</v>
      </c>
    </row>
    <row r="1108" spans="1:3" outlineLevel="1">
      <c r="A1108" s="1" t="s">
        <v>13394</v>
      </c>
      <c r="B1108" s="1" t="s">
        <v>9331</v>
      </c>
      <c r="C1108" s="1" t="s">
        <v>13384</v>
      </c>
    </row>
    <row r="1109" spans="1:3" outlineLevel="1"/>
    <row r="1110" spans="1:3" outlineLevel="1"/>
    <row r="1111" spans="1:3" outlineLevel="1">
      <c r="A1111" s="1" t="s">
        <v>13398</v>
      </c>
    </row>
    <row r="1112" spans="1:3" outlineLevel="1">
      <c r="A1112" s="1" t="s">
        <v>12889</v>
      </c>
      <c r="B1112" s="1" t="s">
        <v>2210</v>
      </c>
      <c r="C1112" s="1" t="s">
        <v>2235</v>
      </c>
    </row>
    <row r="1113" spans="1:3" outlineLevel="1">
      <c r="A1113" s="1" t="s">
        <v>13399</v>
      </c>
      <c r="B1113" s="1" t="s">
        <v>7064</v>
      </c>
      <c r="C1113" s="1" t="s">
        <v>13400</v>
      </c>
    </row>
    <row r="1114" spans="1:3" outlineLevel="1">
      <c r="A1114" s="1" t="s">
        <v>13401</v>
      </c>
    </row>
    <row r="1115" spans="1:3" outlineLevel="1">
      <c r="A1115" s="1" t="s">
        <v>13402</v>
      </c>
      <c r="B1115" s="1" t="s">
        <v>7064</v>
      </c>
      <c r="C1115" s="1" t="s">
        <v>13403</v>
      </c>
    </row>
    <row r="1116" spans="1:3" outlineLevel="1">
      <c r="A1116" s="1" t="s">
        <v>13404</v>
      </c>
      <c r="B1116" s="1" t="s">
        <v>8880</v>
      </c>
      <c r="C1116" s="1" t="s">
        <v>13405</v>
      </c>
    </row>
    <row r="1117" spans="1:3" outlineLevel="1">
      <c r="A1117" s="1" t="s">
        <v>13406</v>
      </c>
      <c r="B1117" s="1" t="s">
        <v>7064</v>
      </c>
      <c r="C1117" s="1" t="s">
        <v>13407</v>
      </c>
    </row>
    <row r="1118" spans="1:3" outlineLevel="1">
      <c r="A1118" s="1" t="s">
        <v>13408</v>
      </c>
    </row>
    <row r="1119" spans="1:3" outlineLevel="1">
      <c r="A1119" s="1" t="s">
        <v>13409</v>
      </c>
    </row>
    <row r="1120" spans="1:3" outlineLevel="1">
      <c r="A1120" s="1" t="s">
        <v>13410</v>
      </c>
      <c r="B1120" s="1" t="s">
        <v>9126</v>
      </c>
      <c r="C1120" s="1" t="s">
        <v>13411</v>
      </c>
    </row>
    <row r="1121" spans="1:3" outlineLevel="1">
      <c r="A1121" s="1" t="s">
        <v>13409</v>
      </c>
    </row>
    <row r="1122" spans="1:3" outlineLevel="1">
      <c r="A1122" s="1" t="s">
        <v>13412</v>
      </c>
      <c r="B1122" s="1" t="s">
        <v>8880</v>
      </c>
      <c r="C1122" s="1" t="s">
        <v>13413</v>
      </c>
    </row>
    <row r="1123" spans="1:3" outlineLevel="1"/>
    <row r="1124" spans="1:3" outlineLevel="1"/>
    <row r="1125" spans="1:3" outlineLevel="1">
      <c r="A1125" s="1" t="s">
        <v>12889</v>
      </c>
      <c r="B1125" s="1" t="s">
        <v>2235</v>
      </c>
      <c r="C1125" s="1" t="s">
        <v>10467</v>
      </c>
    </row>
    <row r="1126" spans="1:3" outlineLevel="1">
      <c r="A1126" s="1" t="s">
        <v>13414</v>
      </c>
      <c r="B1126" s="1" t="s">
        <v>7919</v>
      </c>
      <c r="C1126" s="1" t="s">
        <v>7932</v>
      </c>
    </row>
    <row r="1127" spans="1:3" outlineLevel="1">
      <c r="A1127" s="1" t="s">
        <v>13415</v>
      </c>
      <c r="B1127" s="1" t="s">
        <v>10946</v>
      </c>
      <c r="C1127" s="1" t="s">
        <v>10671</v>
      </c>
    </row>
    <row r="1128" spans="1:3" outlineLevel="1">
      <c r="A1128" s="1" t="s">
        <v>13416</v>
      </c>
      <c r="B1128" s="1" t="s">
        <v>7993</v>
      </c>
      <c r="C1128" s="1" t="s">
        <v>10671</v>
      </c>
    </row>
    <row r="1129" spans="1:3" outlineLevel="1">
      <c r="A1129" s="1" t="s">
        <v>13417</v>
      </c>
      <c r="B1129" s="1" t="s">
        <v>10972</v>
      </c>
      <c r="C1129" s="1" t="s">
        <v>10671</v>
      </c>
    </row>
    <row r="1130" spans="1:3" outlineLevel="1">
      <c r="A1130" s="1" t="s">
        <v>13418</v>
      </c>
      <c r="B1130" s="1" t="s">
        <v>10998</v>
      </c>
      <c r="C1130" s="1" t="s">
        <v>7932</v>
      </c>
    </row>
    <row r="1131" spans="1:3" outlineLevel="1">
      <c r="A1131" s="1" t="s">
        <v>13419</v>
      </c>
      <c r="B1131" s="1" t="s">
        <v>10998</v>
      </c>
      <c r="C1131" s="1" t="s">
        <v>10671</v>
      </c>
    </row>
    <row r="1132" spans="1:3" outlineLevel="1">
      <c r="A1132" s="1" t="s">
        <v>13420</v>
      </c>
      <c r="B1132" s="1" t="s">
        <v>13421</v>
      </c>
      <c r="C1132" s="1" t="s">
        <v>7932</v>
      </c>
    </row>
    <row r="1133" spans="1:3" outlineLevel="1">
      <c r="A1133" s="1" t="s">
        <v>13422</v>
      </c>
      <c r="B1133" s="1" t="s">
        <v>13423</v>
      </c>
      <c r="C1133" s="1" t="s">
        <v>10671</v>
      </c>
    </row>
    <row r="1134" spans="1:3" outlineLevel="1">
      <c r="A1134" s="1" t="s">
        <v>13424</v>
      </c>
      <c r="B1134" s="1" t="s">
        <v>13425</v>
      </c>
      <c r="C1134" s="1" t="s">
        <v>7932</v>
      </c>
    </row>
    <row r="1135" spans="1:3" outlineLevel="1">
      <c r="A1135" s="1" t="s">
        <v>13426</v>
      </c>
      <c r="B1135" s="1" t="s">
        <v>13052</v>
      </c>
      <c r="C1135" s="1" t="s">
        <v>10671</v>
      </c>
    </row>
    <row r="1136" spans="1:3" outlineLevel="1">
      <c r="A1136" s="1" t="s">
        <v>13427</v>
      </c>
      <c r="B1136" s="1" t="s">
        <v>7919</v>
      </c>
      <c r="C1136" s="1" t="s">
        <v>7932</v>
      </c>
    </row>
    <row r="1137" spans="1:3" outlineLevel="1">
      <c r="A1137" s="1" t="s">
        <v>13428</v>
      </c>
    </row>
    <row r="1138" spans="1:3" outlineLevel="1">
      <c r="A1138" s="1" t="s">
        <v>13429</v>
      </c>
      <c r="B1138" s="1" t="s">
        <v>7993</v>
      </c>
      <c r="C1138" s="1" t="s">
        <v>10671</v>
      </c>
    </row>
    <row r="1139" spans="1:3" outlineLevel="1">
      <c r="A1139" s="1" t="s">
        <v>13430</v>
      </c>
      <c r="B1139" s="1" t="s">
        <v>10948</v>
      </c>
      <c r="C1139" s="1" t="s">
        <v>10671</v>
      </c>
    </row>
    <row r="1140" spans="1:3" outlineLevel="1">
      <c r="A1140" s="1" t="s">
        <v>13431</v>
      </c>
      <c r="B1140" s="1" t="s">
        <v>10948</v>
      </c>
      <c r="C1140" s="1" t="s">
        <v>10671</v>
      </c>
    </row>
    <row r="1141" spans="1:3" outlineLevel="1">
      <c r="A1141" s="1" t="s">
        <v>13432</v>
      </c>
      <c r="B1141" s="1" t="s">
        <v>7919</v>
      </c>
      <c r="C1141" s="1" t="s">
        <v>10671</v>
      </c>
    </row>
    <row r="1142" spans="1:3" outlineLevel="1">
      <c r="A1142" s="1" t="s">
        <v>13433</v>
      </c>
      <c r="B1142" s="1" t="s">
        <v>13425</v>
      </c>
      <c r="C1142" s="1" t="s">
        <v>7932</v>
      </c>
    </row>
    <row r="1143" spans="1:3" outlineLevel="1">
      <c r="A1143" s="1" t="s">
        <v>13434</v>
      </c>
      <c r="B1143" s="1" t="s">
        <v>7904</v>
      </c>
      <c r="C1143" s="1" t="s">
        <v>8001</v>
      </c>
    </row>
    <row r="1144" spans="1:3" outlineLevel="1">
      <c r="A1144" s="1" t="s">
        <v>13435</v>
      </c>
      <c r="B1144" s="1" t="s">
        <v>13436</v>
      </c>
      <c r="C1144" s="1" t="s">
        <v>10671</v>
      </c>
    </row>
    <row r="1145" spans="1:3" outlineLevel="1">
      <c r="A1145" s="1" t="s">
        <v>13437</v>
      </c>
      <c r="B1145" s="1" t="s">
        <v>10998</v>
      </c>
      <c r="C1145" s="1" t="s">
        <v>10671</v>
      </c>
    </row>
    <row r="1146" spans="1:3" outlineLevel="1">
      <c r="A1146" s="1" t="s">
        <v>13438</v>
      </c>
      <c r="B1146" s="1" t="s">
        <v>10972</v>
      </c>
      <c r="C1146" s="1" t="s">
        <v>7932</v>
      </c>
    </row>
    <row r="1147" spans="1:3" outlineLevel="1">
      <c r="A1147" s="1" t="s">
        <v>13439</v>
      </c>
      <c r="B1147" s="1" t="s">
        <v>10998</v>
      </c>
      <c r="C1147" s="1" t="s">
        <v>10671</v>
      </c>
    </row>
    <row r="1148" spans="1:3" outlineLevel="1">
      <c r="A1148" s="1" t="s">
        <v>13440</v>
      </c>
      <c r="B1148" s="1" t="s">
        <v>10998</v>
      </c>
      <c r="C1148" s="1" t="s">
        <v>10671</v>
      </c>
    </row>
    <row r="1149" spans="1:3" outlineLevel="1">
      <c r="A1149" s="1" t="s">
        <v>12889</v>
      </c>
      <c r="B1149" s="1" t="s">
        <v>2235</v>
      </c>
      <c r="C1149" s="1" t="s">
        <v>10467</v>
      </c>
    </row>
    <row r="1150" spans="1:3" outlineLevel="1">
      <c r="A1150" s="1" t="s">
        <v>13441</v>
      </c>
      <c r="B1150" s="1" t="s">
        <v>13423</v>
      </c>
      <c r="C1150" s="1" t="s">
        <v>10671</v>
      </c>
    </row>
    <row r="1151" spans="1:3" outlineLevel="1">
      <c r="A1151" s="1" t="s">
        <v>13442</v>
      </c>
      <c r="B1151" s="1" t="s">
        <v>7919</v>
      </c>
      <c r="C1151" s="1" t="s">
        <v>7932</v>
      </c>
    </row>
    <row r="1152" spans="1:3" outlineLevel="1">
      <c r="A1152" s="1" t="s">
        <v>13443</v>
      </c>
      <c r="B1152" s="1" t="s">
        <v>7993</v>
      </c>
      <c r="C1152" s="1" t="s">
        <v>10671</v>
      </c>
    </row>
    <row r="1153" spans="1:3" outlineLevel="1">
      <c r="A1153" s="1" t="s">
        <v>13444</v>
      </c>
      <c r="B1153" s="1" t="s">
        <v>10948</v>
      </c>
      <c r="C1153" s="1" t="s">
        <v>10671</v>
      </c>
    </row>
    <row r="1154" spans="1:3" outlineLevel="1">
      <c r="A1154" s="1" t="s">
        <v>13445</v>
      </c>
      <c r="B1154" s="1" t="s">
        <v>10946</v>
      </c>
      <c r="C1154" s="1" t="s">
        <v>10671</v>
      </c>
    </row>
    <row r="1155" spans="1:3" outlineLevel="1">
      <c r="A1155" s="1" t="s">
        <v>13446</v>
      </c>
      <c r="B1155" s="1" t="s">
        <v>8059</v>
      </c>
      <c r="C1155" s="1" t="s">
        <v>7932</v>
      </c>
    </row>
    <row r="1156" spans="1:3" outlineLevel="1">
      <c r="A1156" s="1" t="s">
        <v>13447</v>
      </c>
      <c r="B1156" s="1" t="s">
        <v>10946</v>
      </c>
      <c r="C1156" s="1" t="s">
        <v>7932</v>
      </c>
    </row>
    <row r="1157" spans="1:3" outlineLevel="1">
      <c r="A1157" s="1" t="s">
        <v>13448</v>
      </c>
      <c r="B1157" s="1" t="s">
        <v>8059</v>
      </c>
      <c r="C1157" s="1" t="s">
        <v>7932</v>
      </c>
    </row>
    <row r="1158" spans="1:3" outlineLevel="1">
      <c r="A1158" s="1" t="s">
        <v>13449</v>
      </c>
      <c r="B1158" s="1" t="s">
        <v>7919</v>
      </c>
      <c r="C1158" s="1" t="s">
        <v>8001</v>
      </c>
    </row>
    <row r="1159" spans="1:3" outlineLevel="1">
      <c r="A1159" s="1" t="s">
        <v>13450</v>
      </c>
      <c r="B1159" s="1" t="s">
        <v>10948</v>
      </c>
      <c r="C1159" s="1" t="s">
        <v>7932</v>
      </c>
    </row>
    <row r="1160" spans="1:3" outlineLevel="1">
      <c r="A1160" s="1" t="s">
        <v>13451</v>
      </c>
      <c r="B1160" s="1" t="s">
        <v>8059</v>
      </c>
      <c r="C1160" s="1" t="s">
        <v>10671</v>
      </c>
    </row>
    <row r="1161" spans="1:3" outlineLevel="1">
      <c r="A1161" s="1" t="s">
        <v>13452</v>
      </c>
      <c r="B1161" s="1" t="s">
        <v>10946</v>
      </c>
      <c r="C1161" s="1" t="s">
        <v>10671</v>
      </c>
    </row>
    <row r="1162" spans="1:3" outlineLevel="1">
      <c r="A1162" s="1" t="s">
        <v>13453</v>
      </c>
      <c r="B1162" s="1" t="s">
        <v>13052</v>
      </c>
      <c r="C1162" s="1" t="s">
        <v>7932</v>
      </c>
    </row>
    <row r="1163" spans="1:3" outlineLevel="1">
      <c r="A1163" s="1" t="s">
        <v>13454</v>
      </c>
      <c r="B1163" s="1" t="s">
        <v>10998</v>
      </c>
      <c r="C1163" s="1" t="s">
        <v>7932</v>
      </c>
    </row>
    <row r="1164" spans="1:3" outlineLevel="1">
      <c r="A1164" s="1" t="s">
        <v>13455</v>
      </c>
      <c r="B1164" s="1" t="s">
        <v>13338</v>
      </c>
      <c r="C1164" s="1" t="s">
        <v>7932</v>
      </c>
    </row>
    <row r="1165" spans="1:3" outlineLevel="1">
      <c r="A1165" s="1" t="s">
        <v>13456</v>
      </c>
      <c r="B1165" s="1" t="s">
        <v>13457</v>
      </c>
      <c r="C1165" s="1" t="s">
        <v>7932</v>
      </c>
    </row>
    <row r="1166" spans="1:3" outlineLevel="1">
      <c r="A1166" s="1" t="s">
        <v>461</v>
      </c>
      <c r="B1166" s="1" t="s">
        <v>7993</v>
      </c>
      <c r="C1166" s="1" t="s">
        <v>10671</v>
      </c>
    </row>
    <row r="1167" spans="1:3" outlineLevel="1">
      <c r="A1167" s="1" t="s">
        <v>13458</v>
      </c>
      <c r="B1167" s="1" t="s">
        <v>8059</v>
      </c>
      <c r="C1167" s="1" t="s">
        <v>10671</v>
      </c>
    </row>
    <row r="1168" spans="1:3" outlineLevel="1">
      <c r="A1168" s="1" t="s">
        <v>13459</v>
      </c>
      <c r="B1168" s="1" t="s">
        <v>7922</v>
      </c>
      <c r="C1168" s="1" t="s">
        <v>7932</v>
      </c>
    </row>
    <row r="1169" spans="1:3" outlineLevel="1">
      <c r="A1169" s="1" t="s">
        <v>13460</v>
      </c>
      <c r="B1169" s="1" t="s">
        <v>10948</v>
      </c>
      <c r="C1169" s="1" t="s">
        <v>10671</v>
      </c>
    </row>
    <row r="1170" spans="1:3" outlineLevel="1">
      <c r="A1170" s="1" t="s">
        <v>13461</v>
      </c>
      <c r="B1170" s="1" t="s">
        <v>7922</v>
      </c>
      <c r="C1170" s="1" t="s">
        <v>7932</v>
      </c>
    </row>
    <row r="1171" spans="1:3" outlineLevel="1">
      <c r="A1171" s="1" t="s">
        <v>13462</v>
      </c>
      <c r="B1171" s="1" t="s">
        <v>13463</v>
      </c>
      <c r="C1171" s="1" t="s">
        <v>10671</v>
      </c>
    </row>
    <row r="1172" spans="1:3" outlineLevel="1"/>
    <row r="1173" spans="1:3" outlineLevel="1">
      <c r="A1173" s="1" t="s">
        <v>12889</v>
      </c>
      <c r="B1173" s="1" t="s">
        <v>2210</v>
      </c>
      <c r="C1173" s="1" t="s">
        <v>2235</v>
      </c>
    </row>
    <row r="1174" spans="1:3" outlineLevel="1">
      <c r="A1174" s="1" t="s">
        <v>13464</v>
      </c>
      <c r="B1174" s="1" t="s">
        <v>8880</v>
      </c>
      <c r="C1174" s="1" t="s">
        <v>13465</v>
      </c>
    </row>
    <row r="1175" spans="1:3" outlineLevel="1">
      <c r="A1175" s="1" t="s">
        <v>13466</v>
      </c>
    </row>
    <row r="1176" spans="1:3" outlineLevel="1">
      <c r="A1176" s="1" t="s">
        <v>13467</v>
      </c>
      <c r="B1176" s="1" t="s">
        <v>8880</v>
      </c>
      <c r="C1176" s="1" t="s">
        <v>13468</v>
      </c>
    </row>
    <row r="1177" spans="1:3" outlineLevel="1">
      <c r="C1177" s="1" t="s">
        <v>13469</v>
      </c>
    </row>
    <row r="1178" spans="1:3" outlineLevel="1">
      <c r="A1178" s="1" t="s">
        <v>13470</v>
      </c>
      <c r="B1178" s="1" t="s">
        <v>9126</v>
      </c>
      <c r="C1178" s="1" t="s">
        <v>13471</v>
      </c>
    </row>
    <row r="1179" spans="1:3" outlineLevel="1">
      <c r="A1179" s="1" t="s">
        <v>13472</v>
      </c>
      <c r="B1179" s="1" t="s">
        <v>8880</v>
      </c>
      <c r="C1179" s="1" t="s">
        <v>13471</v>
      </c>
    </row>
    <row r="1180" spans="1:3" outlineLevel="1">
      <c r="A1180" s="1" t="s">
        <v>13473</v>
      </c>
      <c r="B1180" s="1" t="s">
        <v>8880</v>
      </c>
      <c r="C1180" s="1" t="s">
        <v>13474</v>
      </c>
    </row>
    <row r="1181" spans="1:3" outlineLevel="1">
      <c r="A1181" s="1" t="s">
        <v>13466</v>
      </c>
      <c r="C1181" s="1" t="s">
        <v>13469</v>
      </c>
    </row>
    <row r="1182" spans="1:3" outlineLevel="1">
      <c r="A1182" s="1" t="s">
        <v>13475</v>
      </c>
      <c r="B1182" s="1" t="s">
        <v>9126</v>
      </c>
      <c r="C1182" s="1" t="s">
        <v>13471</v>
      </c>
    </row>
    <row r="1183" spans="1:3" outlineLevel="1">
      <c r="A1183" s="1" t="s">
        <v>13476</v>
      </c>
      <c r="B1183" s="1" t="s">
        <v>8880</v>
      </c>
      <c r="C1183" s="1" t="s">
        <v>13465</v>
      </c>
    </row>
    <row r="1184" spans="1:3" outlineLevel="1"/>
    <row r="1185" spans="1:3" outlineLevel="1"/>
    <row r="1186" spans="1:3" outlineLevel="1"/>
    <row r="1193" spans="1:3" ht="24.75" thickBot="1">
      <c r="A1193" s="2569" t="s">
        <v>13477</v>
      </c>
    </row>
    <row r="1194" spans="1:3" ht="15" outlineLevel="1" thickTop="1">
      <c r="A1194" s="1" t="s">
        <v>13478</v>
      </c>
      <c r="B1194" s="1" t="s">
        <v>12036</v>
      </c>
      <c r="C1194" s="1" t="s">
        <v>13479</v>
      </c>
    </row>
    <row r="1195" spans="1:3" outlineLevel="1">
      <c r="A1195" s="1" t="s">
        <v>13480</v>
      </c>
    </row>
    <row r="1196" spans="1:3" outlineLevel="1">
      <c r="A1196" s="1" t="s">
        <v>13481</v>
      </c>
    </row>
    <row r="1197" spans="1:3" outlineLevel="1">
      <c r="A1197" s="1" t="s">
        <v>13482</v>
      </c>
    </row>
    <row r="1198" spans="1:3" outlineLevel="1">
      <c r="A1198" s="1" t="s">
        <v>13483</v>
      </c>
    </row>
    <row r="1199" spans="1:3" outlineLevel="1">
      <c r="A1199" s="1" t="s">
        <v>13484</v>
      </c>
    </row>
    <row r="1200" spans="1:3" outlineLevel="1">
      <c r="A1200" s="1" t="s">
        <v>13485</v>
      </c>
    </row>
    <row r="1201" outlineLevel="1"/>
    <row r="1202" outlineLevel="1"/>
  </sheetData>
  <mergeCells count="2">
    <mergeCell ref="A48:D48"/>
    <mergeCell ref="A60:H60"/>
  </mergeCells>
  <hyperlinks>
    <hyperlink ref="B184" r:id="rId1" display="https://1drv.ms/w/s!Atcrhwwo1lBAyt9NoKs6gricDBbi-g?e=efViAd" xr:uid="{327A313F-C46C-4202-AF54-D9018D600C28}"/>
    <hyperlink ref="B244" r:id="rId2" display="https://1drv.ms/w/s!Atcrhwwo1lBAyt9NoKs6gricDBbi-g?e=efViAd" xr:uid="{7359207F-74B1-4C70-9A9D-F1B698873C0E}"/>
    <hyperlink ref="B276" r:id="rId3" display="https://1drv.ms/w/s!Atcrhwwo1lBAyt9NoKs6gricDBbi-g?e=efViAd" xr:uid="{45EA23F1-76E6-48F3-8726-44A8FE3C0EA5}"/>
    <hyperlink ref="B282" r:id="rId4" display="https://1drv.ms/w/s!Atcrhwwo1lBAyt9NoKs6gricDBbi-g?e=efViAd" xr:uid="{209DFAAD-BE4E-4D2A-88B4-4E7F3DF3EA5D}"/>
    <hyperlink ref="B289" r:id="rId5" display="https://1drv.ms/w/s!Atcrhwwo1lBAyt9NoKs6gricDBbi-g?e=efViAd" xr:uid="{639A3D23-10A6-400D-88BD-FD00128095D1}"/>
    <hyperlink ref="B301" r:id="rId6" display="https://1drv.ms/w/s!Atcrhwwo1lBAyt9NoKs6gricDBbi-g?e=efViAd" xr:uid="{6B5B3CFC-AC71-4F9D-B487-F44BF22C1DE1}"/>
    <hyperlink ref="B324" r:id="rId7" display="https://1drv.ms/w/s!Atcrhwwo1lBAyt9NoKs6gricDBbi-g?e=efViAd" xr:uid="{8651DC44-F5FB-425A-9A26-D10056ADDF6B}"/>
    <hyperlink ref="D244" r:id="rId8" xr:uid="{4038F94D-41C9-4ECC-AF88-053B724CD628}"/>
  </hyperlinks>
  <pageMargins left="0.7" right="0.7" top="0.75" bottom="0.75" header="0.3" footer="0.3"/>
  <pageSetup paperSize="9" orientation="portrait" r:id="rId9"/>
  <drawing r:id="rId10"/>
  <tableParts count="57">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4C678-0F68-46F9-89FA-C879D3B40CD4}">
  <dimension ref="A1:CK194"/>
  <sheetViews>
    <sheetView zoomScale="85" zoomScaleNormal="85" workbookViewId="0">
      <selection activeCell="C41" sqref="C41"/>
    </sheetView>
  </sheetViews>
  <sheetFormatPr defaultRowHeight="14.25"/>
  <cols>
    <col min="1" max="2" width="19.44140625" style="1" customWidth="1"/>
    <col min="3" max="3" width="8.88671875" style="1" customWidth="1"/>
    <col min="4" max="4" width="15" style="1" customWidth="1"/>
    <col min="5" max="5" width="14.109375" style="1" customWidth="1"/>
    <col min="6" max="7" width="12.44140625" style="1" customWidth="1"/>
    <col min="8" max="8" width="13.44140625" style="1" customWidth="1"/>
    <col min="9" max="9" width="14.6640625" style="1" customWidth="1"/>
    <col min="10" max="14" width="8.88671875" style="1"/>
    <col min="15" max="15" width="17.44140625" style="1" bestFit="1" customWidth="1"/>
    <col min="16" max="16" width="11.33203125" style="1" bestFit="1" customWidth="1"/>
    <col min="17" max="19" width="8.44140625" style="1" customWidth="1"/>
    <col min="20" max="20" width="11.33203125" style="1" customWidth="1"/>
    <col min="21" max="22" width="14.44140625" style="1" customWidth="1"/>
    <col min="23" max="26" width="10.109375" style="1" customWidth="1"/>
    <col min="27" max="27" width="18.77734375" style="1" bestFit="1" customWidth="1"/>
    <col min="28" max="28" width="29.88671875" style="1" bestFit="1" customWidth="1"/>
    <col min="29" max="31" width="8.88671875" style="1"/>
    <col min="32" max="32" width="11.44140625" style="1" customWidth="1"/>
    <col min="33" max="39" width="8.88671875" style="1"/>
    <col min="40" max="40" width="18.77734375" style="1" customWidth="1"/>
    <col min="41" max="41" width="8.88671875" style="1"/>
    <col min="42" max="42" width="9.6640625" style="1" bestFit="1" customWidth="1"/>
    <col min="43" max="52" width="8.88671875" style="1"/>
    <col min="53" max="53" width="7.21875" style="1" customWidth="1"/>
    <col min="54" max="54" width="9" style="1" customWidth="1"/>
    <col min="55" max="55" width="12.77734375" style="1" customWidth="1"/>
    <col min="56" max="56" width="12.44140625" style="1" customWidth="1"/>
    <col min="57" max="16384" width="8.88671875" style="1"/>
  </cols>
  <sheetData>
    <row r="1" spans="15:89" ht="15" thickBot="1">
      <c r="O1" s="2684" t="s">
        <v>12020</v>
      </c>
      <c r="P1" s="2684"/>
      <c r="Q1" s="2684"/>
      <c r="R1" s="2684"/>
      <c r="S1" s="2684"/>
      <c r="T1" s="2684"/>
      <c r="U1" s="2684"/>
      <c r="V1" s="2684"/>
      <c r="W1" s="2684"/>
      <c r="X1" s="2684"/>
      <c r="Y1" s="2684"/>
      <c r="Z1" s="2684"/>
      <c r="AA1" s="2684"/>
      <c r="AB1" s="2684"/>
      <c r="AD1" s="2684" t="s">
        <v>12021</v>
      </c>
      <c r="AE1" s="2684"/>
      <c r="AF1" s="2684"/>
      <c r="AG1" s="2684"/>
      <c r="AH1" s="2684"/>
      <c r="AI1" s="2684"/>
      <c r="AJ1" s="2684"/>
      <c r="AK1" s="2684"/>
      <c r="AL1" s="2684"/>
    </row>
    <row r="2" spans="15:89" ht="28.5">
      <c r="O2" s="2545" t="s">
        <v>12022</v>
      </c>
      <c r="P2" s="2546" t="s">
        <v>12023</v>
      </c>
      <c r="Q2" s="2546" t="s">
        <v>12024</v>
      </c>
      <c r="R2" s="2546" t="s">
        <v>10335</v>
      </c>
      <c r="S2" s="2546" t="s">
        <v>12025</v>
      </c>
      <c r="T2" s="2546" t="s">
        <v>12026</v>
      </c>
      <c r="U2" s="2547" t="s">
        <v>12027</v>
      </c>
      <c r="V2" s="2547" t="s">
        <v>8872</v>
      </c>
      <c r="W2" s="2547" t="s">
        <v>12028</v>
      </c>
      <c r="X2" s="2547" t="s">
        <v>12029</v>
      </c>
      <c r="Y2" s="2547" t="s">
        <v>12030</v>
      </c>
      <c r="Z2" s="2547" t="s">
        <v>12031</v>
      </c>
      <c r="AA2" s="2546" t="s">
        <v>12032</v>
      </c>
      <c r="AB2" s="2546" t="s">
        <v>12033</v>
      </c>
      <c r="AD2" s="2520" t="s">
        <v>12034</v>
      </c>
      <c r="AE2" s="2546" t="s">
        <v>5796</v>
      </c>
      <c r="AF2" s="2548" t="s">
        <v>12035</v>
      </c>
      <c r="AG2" s="2546" t="s">
        <v>12036</v>
      </c>
      <c r="AH2" s="2518" t="s">
        <v>12027</v>
      </c>
      <c r="AI2" s="2519" t="s">
        <v>8872</v>
      </c>
      <c r="AJ2" s="2519" t="s">
        <v>12037</v>
      </c>
      <c r="AK2" s="2549" t="s">
        <v>12032</v>
      </c>
      <c r="AL2" s="2545" t="s">
        <v>12033</v>
      </c>
      <c r="BO2" s="2685" t="s">
        <v>12038</v>
      </c>
      <c r="BP2" s="2685"/>
      <c r="BQ2" s="2685"/>
    </row>
    <row r="3" spans="15:89" ht="15" thickBot="1">
      <c r="O3" s="2550" t="s">
        <v>12039</v>
      </c>
      <c r="P3" s="2551">
        <v>3</v>
      </c>
      <c r="Q3" s="2551">
        <v>7</v>
      </c>
      <c r="R3" s="2551"/>
      <c r="S3" s="2551"/>
      <c r="T3" s="2551"/>
      <c r="U3" s="2552" t="s">
        <v>12040</v>
      </c>
      <c r="V3" s="1" t="s">
        <v>12041</v>
      </c>
      <c r="W3" s="2553">
        <v>25</v>
      </c>
      <c r="AA3" s="2554">
        <f>Таблиця120[[#This Row],[PAY PER DAY, GP]]*30</f>
        <v>750</v>
      </c>
      <c r="AB3" s="2554">
        <v>100</v>
      </c>
      <c r="AD3" s="2550" t="s">
        <v>12042</v>
      </c>
      <c r="AE3" s="2551"/>
      <c r="AF3" s="2551"/>
      <c r="AG3" s="2551"/>
      <c r="AH3" s="2518"/>
      <c r="AI3" s="1" t="s">
        <v>12043</v>
      </c>
      <c r="AJ3" s="2518">
        <v>110</v>
      </c>
      <c r="AK3" s="2554">
        <f>Таблиця121[[#This Row],[Pay per day, gp]]*30</f>
        <v>3300</v>
      </c>
      <c r="BB3" s="1" t="s">
        <v>12044</v>
      </c>
      <c r="BC3" s="1" t="s">
        <v>12045</v>
      </c>
      <c r="BD3" s="1" t="s">
        <v>12046</v>
      </c>
      <c r="BO3" s="2555" t="s">
        <v>12047</v>
      </c>
      <c r="BP3" s="2555" t="s">
        <v>2240</v>
      </c>
      <c r="BR3" s="2556" t="s">
        <v>12048</v>
      </c>
      <c r="BS3" s="2557" t="s">
        <v>2240</v>
      </c>
      <c r="BU3" s="2556" t="s">
        <v>12049</v>
      </c>
      <c r="BV3" s="2556" t="s">
        <v>2240</v>
      </c>
      <c r="BX3" s="2556" t="s">
        <v>12050</v>
      </c>
      <c r="BY3" s="2557" t="s">
        <v>2240</v>
      </c>
      <c r="CA3" s="2556" t="s">
        <v>12051</v>
      </c>
      <c r="CB3" s="2557" t="s">
        <v>2240</v>
      </c>
      <c r="CD3" s="2556" t="s">
        <v>12052</v>
      </c>
      <c r="CE3" s="2557" t="s">
        <v>2240</v>
      </c>
      <c r="CG3" s="2556" t="s">
        <v>12053</v>
      </c>
      <c r="CH3" s="2557" t="s">
        <v>2240</v>
      </c>
      <c r="CJ3" s="2556" t="s">
        <v>12054</v>
      </c>
      <c r="CK3" s="2557" t="s">
        <v>2240</v>
      </c>
    </row>
    <row r="4" spans="15:89" ht="15" thickBot="1">
      <c r="O4" s="2550" t="s">
        <v>12055</v>
      </c>
      <c r="P4" s="2551"/>
      <c r="Q4" s="2551"/>
      <c r="R4" s="2551"/>
      <c r="S4" s="2551"/>
      <c r="T4" s="2551"/>
      <c r="V4" s="2553" t="s">
        <v>12056</v>
      </c>
      <c r="W4" s="2553">
        <v>2</v>
      </c>
      <c r="AA4" s="2554">
        <f>Таблиця120[[#This Row],[PAY PER DAY, GP]]*30</f>
        <v>60</v>
      </c>
      <c r="AB4" s="2554">
        <f>Таблиця120[[#This Row],[PAY PER MONTH, GP]]/2</f>
        <v>30</v>
      </c>
      <c r="AD4" s="2550" t="s">
        <v>5732</v>
      </c>
      <c r="AE4" s="2551">
        <f>1/4</f>
        <v>0.25</v>
      </c>
      <c r="AF4" s="2551">
        <v>2</v>
      </c>
      <c r="AG4" s="2551"/>
      <c r="AH4" s="2552" t="s">
        <v>12057</v>
      </c>
      <c r="AI4" s="1" t="s">
        <v>12058</v>
      </c>
      <c r="AJ4" s="2553">
        <v>2.5</v>
      </c>
      <c r="AK4" s="2554">
        <f>Таблиця121[[#This Row],[Pay per day, gp]]*30</f>
        <v>75</v>
      </c>
      <c r="AL4" s="1">
        <f>Таблиця121[[#This Row],[Pay per day, gp]]/2</f>
        <v>1.25</v>
      </c>
      <c r="BB4" s="1" t="s">
        <v>12059</v>
      </c>
      <c r="BC4" s="1" t="s">
        <v>12060</v>
      </c>
      <c r="BD4" s="1" t="s">
        <v>12061</v>
      </c>
      <c r="BO4" s="2555" t="s">
        <v>12062</v>
      </c>
      <c r="BP4" s="2555">
        <v>-2</v>
      </c>
      <c r="BR4" s="2556" t="s">
        <v>12063</v>
      </c>
      <c r="BS4" s="2557">
        <v>-5</v>
      </c>
      <c r="BU4" s="2556" t="s">
        <v>1760</v>
      </c>
      <c r="BV4" s="1">
        <v>-4</v>
      </c>
      <c r="BX4" s="2556" t="s">
        <v>12064</v>
      </c>
      <c r="BY4" s="2558">
        <v>-0.1</v>
      </c>
      <c r="CA4" s="2556" t="s">
        <v>12065</v>
      </c>
      <c r="CB4" s="2557">
        <v>-5</v>
      </c>
      <c r="CD4" s="2556" t="s">
        <v>12066</v>
      </c>
      <c r="CE4" s="2557">
        <v>3</v>
      </c>
      <c r="CG4" s="2556" t="s">
        <v>12067</v>
      </c>
      <c r="CH4" s="2557">
        <v>-8</v>
      </c>
      <c r="CJ4" s="2556" t="s">
        <v>12068</v>
      </c>
      <c r="CK4" s="2557">
        <v>-5</v>
      </c>
    </row>
    <row r="5" spans="15:89" ht="15" thickBot="1">
      <c r="O5" s="2550" t="s">
        <v>12069</v>
      </c>
      <c r="P5" s="2551"/>
      <c r="Q5" s="2551"/>
      <c r="R5" s="2551"/>
      <c r="S5" s="2551"/>
      <c r="T5" s="2551"/>
      <c r="V5" s="1" t="s">
        <v>12056</v>
      </c>
      <c r="W5" s="2553">
        <v>1</v>
      </c>
      <c r="AA5" s="2554">
        <f>Таблиця120[[#This Row],[PAY PER DAY, GP]]*30</f>
        <v>30</v>
      </c>
      <c r="AB5" s="2554">
        <f>Таблиця120[[#This Row],[PAY PER MONTH, GP]]/2</f>
        <v>15</v>
      </c>
      <c r="AD5" s="2550" t="s">
        <v>5467</v>
      </c>
      <c r="AE5" s="2551">
        <f>1/4</f>
        <v>0.25</v>
      </c>
      <c r="AF5" s="2551"/>
      <c r="AG5" s="2551"/>
      <c r="AH5" s="2559" t="s">
        <v>12070</v>
      </c>
      <c r="AI5" s="1" t="s">
        <v>12043</v>
      </c>
      <c r="AJ5" s="2553">
        <v>2.5</v>
      </c>
      <c r="AK5" s="2554">
        <f>Таблиця121[[#This Row],[Pay per day, gp]]*30</f>
        <v>75</v>
      </c>
      <c r="AL5" s="1">
        <f>Таблиця121[[#This Row],[Pay per day, gp]]/2</f>
        <v>1.25</v>
      </c>
      <c r="BB5" s="1" t="s">
        <v>12071</v>
      </c>
      <c r="BC5" s="1" t="s">
        <v>12072</v>
      </c>
      <c r="BD5" s="1" t="s">
        <v>12073</v>
      </c>
      <c r="BO5" s="2555" t="s">
        <v>12074</v>
      </c>
      <c r="BP5" s="2555">
        <v>-3</v>
      </c>
      <c r="BR5" s="2556" t="s">
        <v>12075</v>
      </c>
      <c r="BS5" s="2557">
        <v>-3</v>
      </c>
      <c r="BU5" s="2556" t="s">
        <v>12076</v>
      </c>
      <c r="BV5" s="1">
        <v>-2</v>
      </c>
      <c r="BX5" s="2556" t="s">
        <v>12077</v>
      </c>
      <c r="BY5" s="2558">
        <v>-0.05</v>
      </c>
      <c r="CA5" s="2556" t="s">
        <v>12078</v>
      </c>
      <c r="CB5" s="2557">
        <v>-2</v>
      </c>
      <c r="CD5" s="2556" t="s">
        <v>12079</v>
      </c>
      <c r="CE5" s="2557">
        <v>2</v>
      </c>
      <c r="CG5" s="2556" t="s">
        <v>12080</v>
      </c>
      <c r="CH5" s="2557">
        <v>-6</v>
      </c>
      <c r="CJ5" s="2556" t="s">
        <v>12081</v>
      </c>
      <c r="CK5" s="2557">
        <v>-3</v>
      </c>
    </row>
    <row r="6" spans="15:89" ht="15" thickBot="1">
      <c r="O6" s="2550" t="s">
        <v>5390</v>
      </c>
      <c r="P6" s="2551">
        <f>1/8</f>
        <v>0.125</v>
      </c>
      <c r="Q6" s="2551">
        <v>1</v>
      </c>
      <c r="R6" s="2551" t="s">
        <v>12082</v>
      </c>
      <c r="S6" s="2551"/>
      <c r="T6" s="2551"/>
      <c r="U6" s="2552" t="s">
        <v>12083</v>
      </c>
      <c r="V6" s="1" t="s">
        <v>12084</v>
      </c>
      <c r="W6" s="2553">
        <v>0.2</v>
      </c>
      <c r="AA6" s="2554">
        <f>Таблиця120[[#This Row],[PAY PER DAY, GP]]*30</f>
        <v>6</v>
      </c>
      <c r="AB6" s="2554">
        <f>Таблиця120[[#This Row],[PAY PER MONTH, GP]]/2</f>
        <v>3</v>
      </c>
      <c r="AD6" s="2550" t="s">
        <v>6020</v>
      </c>
      <c r="AE6" s="2551">
        <v>2</v>
      </c>
      <c r="AF6" s="2551">
        <v>4</v>
      </c>
      <c r="AG6" s="2551"/>
      <c r="AH6" s="2560" t="s">
        <v>12085</v>
      </c>
      <c r="AI6" s="1" t="s">
        <v>12086</v>
      </c>
      <c r="AJ6" s="2553">
        <v>15</v>
      </c>
      <c r="AK6" s="2554">
        <f>Таблиця121[[#This Row],[Pay per day, gp]]*30</f>
        <v>450</v>
      </c>
      <c r="AL6" s="1">
        <v>400</v>
      </c>
      <c r="BB6" s="1" t="s">
        <v>12087</v>
      </c>
      <c r="BC6" s="1" t="s">
        <v>12088</v>
      </c>
      <c r="BD6" s="1" t="s">
        <v>12089</v>
      </c>
      <c r="BO6" s="2555" t="s">
        <v>12090</v>
      </c>
      <c r="BP6" s="2555">
        <v>-1</v>
      </c>
      <c r="BR6" s="2556" t="s">
        <v>12091</v>
      </c>
      <c r="BS6" s="2557">
        <v>-1</v>
      </c>
      <c r="BU6" s="2556" t="s">
        <v>12092</v>
      </c>
      <c r="BV6" s="1">
        <v>0</v>
      </c>
      <c r="BX6" s="2556" t="s">
        <v>12093</v>
      </c>
      <c r="BY6" s="2558">
        <v>0</v>
      </c>
      <c r="CA6" s="2556" t="s">
        <v>12094</v>
      </c>
      <c r="CB6" s="2557">
        <v>-1</v>
      </c>
      <c r="CD6" s="2556" t="s">
        <v>12095</v>
      </c>
      <c r="CE6" s="2557">
        <v>1</v>
      </c>
      <c r="CG6" s="2556" t="s">
        <v>12096</v>
      </c>
      <c r="CH6" s="2557">
        <v>-8</v>
      </c>
      <c r="CJ6" s="2556" t="s">
        <v>12097</v>
      </c>
      <c r="CK6" s="2557">
        <v>-1</v>
      </c>
    </row>
    <row r="7" spans="15:89" ht="15" thickBot="1">
      <c r="O7" s="2550" t="s">
        <v>5381</v>
      </c>
      <c r="P7" s="2551">
        <v>2</v>
      </c>
      <c r="Q7" s="2551">
        <v>5</v>
      </c>
      <c r="R7" s="2551"/>
      <c r="S7" s="2551"/>
      <c r="T7" s="2551"/>
      <c r="U7" s="2552" t="s">
        <v>12098</v>
      </c>
      <c r="V7" s="1" t="s">
        <v>12099</v>
      </c>
      <c r="W7" s="2553">
        <v>20</v>
      </c>
      <c r="AA7" s="2554">
        <f>Таблиця120[[#This Row],[PAY PER DAY, GP]]*30</f>
        <v>600</v>
      </c>
      <c r="AB7" s="2554">
        <f>Таблиця120[[#This Row],[PAY PER MONTH, GP]]/2</f>
        <v>300</v>
      </c>
      <c r="AD7" s="2550" t="s">
        <v>12100</v>
      </c>
      <c r="AE7" s="2551"/>
      <c r="AF7" s="2551"/>
      <c r="AG7" s="2551"/>
      <c r="AH7" s="2553"/>
      <c r="AI7" s="1" t="s">
        <v>12101</v>
      </c>
      <c r="AJ7" s="2553">
        <v>75</v>
      </c>
      <c r="AK7" s="2554">
        <f>Таблиця121[[#This Row],[Pay per day, gp]]*30</f>
        <v>2250</v>
      </c>
      <c r="BB7" s="1" t="s">
        <v>12102</v>
      </c>
      <c r="BC7" s="1" t="s">
        <v>12103</v>
      </c>
      <c r="BD7" s="1" t="s">
        <v>12104</v>
      </c>
      <c r="BO7" s="2555" t="s">
        <v>12105</v>
      </c>
      <c r="BP7" s="2555">
        <v>0</v>
      </c>
      <c r="BR7" s="2556" t="s">
        <v>12106</v>
      </c>
      <c r="BS7" s="2557">
        <v>2</v>
      </c>
      <c r="BU7" s="2556" t="s">
        <v>12107</v>
      </c>
      <c r="BV7" s="1">
        <v>1</v>
      </c>
      <c r="BX7" s="2561" t="s">
        <v>12108</v>
      </c>
      <c r="BY7" s="2562">
        <v>0.1</v>
      </c>
      <c r="CA7" s="2556" t="s">
        <v>12109</v>
      </c>
      <c r="CB7" s="2557">
        <v>2</v>
      </c>
      <c r="CD7" s="2556" t="s">
        <v>12110</v>
      </c>
      <c r="CE7" s="2557">
        <v>0</v>
      </c>
      <c r="CG7" s="2556" t="s">
        <v>12111</v>
      </c>
      <c r="CH7" s="2557">
        <v>-3</v>
      </c>
      <c r="CJ7" s="2556" t="s">
        <v>12112</v>
      </c>
      <c r="CK7" s="2557">
        <v>-0.6</v>
      </c>
    </row>
    <row r="8" spans="15:89" ht="15" thickBot="1">
      <c r="O8" s="2550" t="s">
        <v>5314</v>
      </c>
      <c r="P8" s="2551">
        <v>2</v>
      </c>
      <c r="Q8" s="2551">
        <v>5</v>
      </c>
      <c r="R8" s="2551"/>
      <c r="S8" s="2551"/>
      <c r="T8" s="2551"/>
      <c r="U8" s="2552" t="s">
        <v>12113</v>
      </c>
      <c r="V8" s="2553" t="s">
        <v>12099</v>
      </c>
      <c r="W8" s="2553">
        <v>1.5</v>
      </c>
      <c r="AA8" s="2554">
        <f>Таблиця120[[#This Row],[PAY PER DAY, GP]]*30</f>
        <v>45</v>
      </c>
      <c r="AB8" s="2554">
        <f>Таблиця120[[#This Row],[PAY PER MONTH, GP]]/2</f>
        <v>22.5</v>
      </c>
      <c r="AD8" s="2522" t="s">
        <v>5072</v>
      </c>
      <c r="AE8" s="2563">
        <v>2</v>
      </c>
      <c r="AF8" s="2563">
        <v>4</v>
      </c>
      <c r="AG8" s="2563"/>
      <c r="AH8" s="2564" t="s">
        <v>12114</v>
      </c>
      <c r="AI8" s="2560"/>
      <c r="AJ8" s="2521">
        <v>5</v>
      </c>
      <c r="AK8" s="2554">
        <f>Таблиця121[[#This Row],[Pay per day, gp]]*30</f>
        <v>150</v>
      </c>
      <c r="AL8" s="1">
        <v>100</v>
      </c>
      <c r="BB8" s="1" t="s">
        <v>12115</v>
      </c>
      <c r="BC8" s="1" t="s">
        <v>12116</v>
      </c>
      <c r="BD8" s="1" t="s">
        <v>12117</v>
      </c>
      <c r="BO8" s="2555" t="s">
        <v>12118</v>
      </c>
      <c r="BP8" s="2555">
        <v>-1</v>
      </c>
      <c r="BR8" s="2556" t="s">
        <v>12119</v>
      </c>
      <c r="BS8" s="2557">
        <v>4</v>
      </c>
      <c r="BU8" s="2556" t="s">
        <v>12120</v>
      </c>
      <c r="BV8" s="1">
        <v>2</v>
      </c>
      <c r="CA8" s="2561" t="s">
        <v>12121</v>
      </c>
      <c r="CB8" s="2555">
        <v>3</v>
      </c>
      <c r="CD8" s="2556" t="s">
        <v>1783</v>
      </c>
      <c r="CE8" s="2557">
        <v>0</v>
      </c>
      <c r="CG8" s="2556" t="s">
        <v>12122</v>
      </c>
      <c r="CH8" s="2557">
        <v>-2</v>
      </c>
      <c r="CJ8" s="2556" t="s">
        <v>12123</v>
      </c>
      <c r="CK8" s="2557">
        <v>-0.2</v>
      </c>
    </row>
    <row r="9" spans="15:89" ht="15" thickBot="1">
      <c r="O9" s="2550" t="s">
        <v>12124</v>
      </c>
      <c r="P9" s="2551"/>
      <c r="Q9" s="2551"/>
      <c r="R9" s="2551"/>
      <c r="S9" s="2551"/>
      <c r="T9" s="2551"/>
      <c r="V9" s="1" t="s">
        <v>12086</v>
      </c>
      <c r="W9" s="2553">
        <v>65</v>
      </c>
      <c r="AA9" s="2554">
        <f>Таблиця120[[#This Row],[PAY PER DAY, GP]]*30</f>
        <v>1950</v>
      </c>
      <c r="AB9" s="2554">
        <f>Таблиця120[[#This Row],[PAY PER MONTH, GP]]/2</f>
        <v>975</v>
      </c>
      <c r="AD9" s="2522" t="s">
        <v>12125</v>
      </c>
      <c r="AE9" s="2563"/>
      <c r="AF9" s="2563"/>
      <c r="AG9" s="2563"/>
      <c r="AH9" s="2553"/>
      <c r="AI9" s="1" t="s">
        <v>12126</v>
      </c>
      <c r="AJ9" s="2521">
        <v>100</v>
      </c>
      <c r="AK9" s="2554">
        <f>Таблиця121[[#This Row],[Pay per day, gp]]*30</f>
        <v>3000</v>
      </c>
      <c r="BO9" s="2555" t="s">
        <v>12127</v>
      </c>
      <c r="BP9" s="2555">
        <v>-6</v>
      </c>
      <c r="BR9" s="2561" t="s">
        <v>12128</v>
      </c>
      <c r="BS9" s="2555">
        <v>6</v>
      </c>
      <c r="CD9" s="2556" t="s">
        <v>12129</v>
      </c>
      <c r="CE9" s="2557">
        <v>-1</v>
      </c>
      <c r="CG9" s="2556" t="s">
        <v>12130</v>
      </c>
      <c r="CH9" s="2557">
        <v>-1</v>
      </c>
      <c r="CJ9" s="2556" t="s">
        <v>12131</v>
      </c>
      <c r="CK9" s="2557">
        <v>0.2</v>
      </c>
    </row>
    <row r="10" spans="15:89" ht="15" thickBot="1">
      <c r="O10" s="2550" t="s">
        <v>6174</v>
      </c>
      <c r="P10" s="2551"/>
      <c r="Q10" s="2551"/>
      <c r="R10" s="2551"/>
      <c r="S10" s="2551"/>
      <c r="T10" s="2551"/>
      <c r="V10" s="2553" t="s">
        <v>12101</v>
      </c>
      <c r="W10" s="2553">
        <v>75</v>
      </c>
      <c r="AA10" s="2554">
        <f>Таблиця120[[#This Row],[PAY PER DAY, GP]]*30</f>
        <v>2250</v>
      </c>
      <c r="AB10" s="2554">
        <f>Таблиця120[[#This Row],[PAY PER MONTH, GP]]/2</f>
        <v>1125</v>
      </c>
      <c r="AD10" s="2522" t="s">
        <v>4928</v>
      </c>
      <c r="AE10" s="2563">
        <v>2</v>
      </c>
      <c r="AF10" s="2563">
        <v>4</v>
      </c>
      <c r="AG10" s="2563"/>
      <c r="AH10" s="2559" t="s">
        <v>12132</v>
      </c>
      <c r="AI10" s="1" t="s">
        <v>12133</v>
      </c>
      <c r="AJ10" s="2521">
        <v>10</v>
      </c>
      <c r="AK10" s="2554">
        <f>Таблиця121[[#This Row],[Pay per day, gp]]*30</f>
        <v>300</v>
      </c>
      <c r="AL10" s="1">
        <v>250</v>
      </c>
      <c r="BB10" s="1" t="s">
        <v>12134</v>
      </c>
      <c r="BC10" s="1" t="s">
        <v>12059</v>
      </c>
      <c r="BD10" s="1" t="s">
        <v>12135</v>
      </c>
      <c r="BE10" s="1" t="s">
        <v>12087</v>
      </c>
      <c r="BF10" s="1" t="s">
        <v>12102</v>
      </c>
      <c r="BG10" s="1" t="s">
        <v>12115</v>
      </c>
      <c r="BO10" s="2555" t="s">
        <v>12136</v>
      </c>
      <c r="BP10" s="2555">
        <v>-1</v>
      </c>
      <c r="CD10" s="2556" t="s">
        <v>12137</v>
      </c>
      <c r="CE10" s="2557">
        <v>-2</v>
      </c>
      <c r="CG10" s="2556" t="s">
        <v>12138</v>
      </c>
      <c r="CH10" s="2557">
        <v>1</v>
      </c>
      <c r="CJ10" s="2556" t="s">
        <v>12139</v>
      </c>
      <c r="CK10" s="2557">
        <v>0.4</v>
      </c>
    </row>
    <row r="11" spans="15:89" ht="27" customHeight="1" thickBot="1">
      <c r="O11" s="2550" t="s">
        <v>12140</v>
      </c>
      <c r="P11" s="2551"/>
      <c r="Q11" s="2551"/>
      <c r="R11" s="2551"/>
      <c r="S11" s="2551"/>
      <c r="T11" s="2551"/>
      <c r="V11" s="1" t="s">
        <v>12056</v>
      </c>
      <c r="W11" s="2553">
        <v>1</v>
      </c>
      <c r="AA11" s="2554">
        <f>Таблиця120[[#This Row],[PAY PER DAY, GP]]*30</f>
        <v>30</v>
      </c>
      <c r="AB11" s="2554">
        <f>Таблиця120[[#This Row],[PAY PER MONTH, GP]]/2</f>
        <v>15</v>
      </c>
      <c r="AD11" s="2550" t="s">
        <v>12141</v>
      </c>
      <c r="AE11" s="2551"/>
      <c r="AF11" s="2563"/>
      <c r="AG11" s="2551"/>
      <c r="AH11" s="2553"/>
      <c r="AI11" s="2553" t="s">
        <v>12126</v>
      </c>
      <c r="AJ11" s="2551">
        <v>60</v>
      </c>
      <c r="AK11" s="2554">
        <f>Таблиця121[[#This Row],[Pay per day, gp]]*30</f>
        <v>1800</v>
      </c>
      <c r="BB11" s="1" t="s">
        <v>12059</v>
      </c>
      <c r="BC11" s="1" t="s">
        <v>12142</v>
      </c>
      <c r="BD11" s="1">
        <v>20</v>
      </c>
      <c r="BE11" s="1">
        <v>25</v>
      </c>
      <c r="BF11" s="1">
        <v>35</v>
      </c>
      <c r="BG11" s="1">
        <v>50</v>
      </c>
      <c r="BO11" s="2555" t="s">
        <v>12143</v>
      </c>
      <c r="BP11" s="2555">
        <v>0</v>
      </c>
      <c r="CD11" s="2556" t="s">
        <v>12144</v>
      </c>
      <c r="CE11" s="2557">
        <v>-3</v>
      </c>
      <c r="CG11" s="2556" t="s">
        <v>12145</v>
      </c>
      <c r="CH11" s="2557">
        <v>2</v>
      </c>
      <c r="CJ11" s="2556" t="s">
        <v>12146</v>
      </c>
      <c r="CK11" s="2557">
        <v>1</v>
      </c>
    </row>
    <row r="12" spans="15:89" ht="15" thickBot="1">
      <c r="O12" s="2550" t="s">
        <v>12147</v>
      </c>
      <c r="P12" s="2551"/>
      <c r="Q12" s="2551"/>
      <c r="R12" s="2551"/>
      <c r="S12" s="2551"/>
      <c r="T12" s="2551"/>
      <c r="V12" s="2553" t="s">
        <v>12056</v>
      </c>
      <c r="W12" s="2553"/>
      <c r="AA12" s="2554">
        <f>Таблиця120[[#This Row],[PAY PER DAY, GP]]*30</f>
        <v>0</v>
      </c>
      <c r="AB12" s="2554">
        <f>Таблиця120[[#This Row],[PAY PER MONTH, GP]]/2</f>
        <v>0</v>
      </c>
      <c r="AD12" s="2550" t="s">
        <v>12148</v>
      </c>
      <c r="AE12" s="2551"/>
      <c r="AF12" s="2565"/>
      <c r="AG12" s="2551"/>
      <c r="AH12" s="2553"/>
      <c r="AI12" s="2553" t="s">
        <v>12149</v>
      </c>
      <c r="AJ12" s="2551">
        <v>110</v>
      </c>
      <c r="AK12" s="2554">
        <f>Таблиця121[[#This Row],[Pay per day, gp]]*30</f>
        <v>3300</v>
      </c>
      <c r="BB12" s="1" t="s">
        <v>12071</v>
      </c>
      <c r="BC12" s="1" t="s">
        <v>12150</v>
      </c>
      <c r="BD12" s="1">
        <v>5</v>
      </c>
      <c r="BE12" s="1">
        <v>15</v>
      </c>
      <c r="BF12" s="1">
        <v>25</v>
      </c>
      <c r="BG12" s="1">
        <v>40</v>
      </c>
      <c r="BO12" s="2555" t="s">
        <v>12151</v>
      </c>
      <c r="BP12" s="2555">
        <v>2</v>
      </c>
      <c r="CD12" s="2561" t="s">
        <v>12152</v>
      </c>
      <c r="CE12" s="2555">
        <v>-4</v>
      </c>
      <c r="CG12" s="2556" t="s">
        <v>12153</v>
      </c>
      <c r="CH12" s="2557">
        <v>3</v>
      </c>
      <c r="CJ12" s="2561" t="s">
        <v>12154</v>
      </c>
      <c r="CK12" s="2555">
        <v>3</v>
      </c>
    </row>
    <row r="13" spans="15:89" ht="15" thickBot="1">
      <c r="O13" s="2550" t="s">
        <v>12155</v>
      </c>
      <c r="P13" s="2551"/>
      <c r="Q13" s="2551"/>
      <c r="R13" s="2551"/>
      <c r="S13" s="2551"/>
      <c r="T13" s="2551"/>
      <c r="V13" s="1" t="s">
        <v>12056</v>
      </c>
      <c r="W13" s="2553"/>
      <c r="AA13" s="2554">
        <f>Таблиця120[[#This Row],[PAY PER DAY, GP]]*30</f>
        <v>0</v>
      </c>
      <c r="AB13" s="2554">
        <f>Таблиця120[[#This Row],[PAY PER MONTH, GP]]/2</f>
        <v>0</v>
      </c>
      <c r="AD13" s="2550" t="s">
        <v>12156</v>
      </c>
      <c r="AE13" s="2551"/>
      <c r="AF13" s="2565"/>
      <c r="AG13" s="2551"/>
      <c r="AH13" s="2553"/>
      <c r="AI13" s="2553" t="s">
        <v>12149</v>
      </c>
      <c r="AJ13" s="2551">
        <v>40</v>
      </c>
      <c r="AK13" s="2554">
        <f>Таблиця121[[#This Row],[Pay per day, gp]]*30</f>
        <v>1200</v>
      </c>
      <c r="BB13" s="1" t="s">
        <v>12087</v>
      </c>
      <c r="BD13" s="1" t="s">
        <v>12157</v>
      </c>
      <c r="BE13" s="1">
        <v>1</v>
      </c>
      <c r="BF13" s="1">
        <v>15</v>
      </c>
      <c r="BG13" s="1">
        <v>30</v>
      </c>
      <c r="BO13" s="2555" t="s">
        <v>12158</v>
      </c>
      <c r="BP13" s="2555">
        <v>3</v>
      </c>
      <c r="CG13" s="2556" t="s">
        <v>12159</v>
      </c>
      <c r="CH13" s="2557">
        <v>5</v>
      </c>
    </row>
    <row r="14" spans="15:89" ht="15" thickBot="1">
      <c r="O14" s="2522" t="s">
        <v>12160</v>
      </c>
      <c r="P14" s="2563"/>
      <c r="Q14" s="2563"/>
      <c r="R14" s="2563"/>
      <c r="S14" s="2563"/>
      <c r="T14" s="2563"/>
      <c r="W14" s="2521"/>
      <c r="AA14" s="2554">
        <f>Таблиця120[[#This Row],[PAY PER DAY, GP]]*30</f>
        <v>0</v>
      </c>
      <c r="AB14" s="2554">
        <f>Таблиця120[[#This Row],[PAY PER MONTH, GP]]/2</f>
        <v>0</v>
      </c>
      <c r="AD14" s="2550" t="s">
        <v>973</v>
      </c>
      <c r="AE14" s="2551">
        <v>5</v>
      </c>
      <c r="AF14" s="2565">
        <v>9</v>
      </c>
      <c r="AG14" s="2551"/>
      <c r="AH14" s="2553"/>
      <c r="AI14" s="2553" t="s">
        <v>12161</v>
      </c>
      <c r="AJ14" s="2551">
        <v>100</v>
      </c>
      <c r="AK14" s="2554">
        <f>Таблиця121[[#This Row],[Pay per day, gp]]*30</f>
        <v>3000</v>
      </c>
      <c r="AL14" s="1">
        <v>2950</v>
      </c>
      <c r="BB14" s="1" t="s">
        <v>12102</v>
      </c>
      <c r="BE14" s="1" t="s">
        <v>12157</v>
      </c>
      <c r="BF14" s="1">
        <v>1</v>
      </c>
      <c r="BG14" s="1">
        <v>20</v>
      </c>
      <c r="CG14" s="2556" t="s">
        <v>12162</v>
      </c>
      <c r="CH14" s="2557">
        <v>5</v>
      </c>
    </row>
    <row r="15" spans="15:89">
      <c r="O15" s="2522" t="s">
        <v>12163</v>
      </c>
      <c r="P15" s="2563">
        <v>0.25</v>
      </c>
      <c r="Q15" s="2563"/>
      <c r="R15" s="2563"/>
      <c r="S15" s="2563"/>
      <c r="T15" s="2563"/>
      <c r="U15" s="2521"/>
      <c r="V15" s="2521"/>
      <c r="W15" s="2521"/>
      <c r="AA15" s="2554">
        <f>Таблиця120[[#This Row],[PAY PER DAY, GP]]*30</f>
        <v>0</v>
      </c>
      <c r="AB15" s="2554">
        <f>Таблиця120[[#This Row],[PAY PER MONTH, GP]]/2</f>
        <v>0</v>
      </c>
      <c r="AD15" s="2550" t="s">
        <v>12164</v>
      </c>
      <c r="AE15" s="2551"/>
      <c r="AF15" s="2565"/>
      <c r="AG15" s="2551"/>
      <c r="AH15" s="2553"/>
      <c r="AI15" s="2553" t="s">
        <v>12165</v>
      </c>
      <c r="AJ15" s="2551">
        <v>110</v>
      </c>
      <c r="AK15" s="2554">
        <f>Таблиця121[[#This Row],[Pay per day, gp]]*30</f>
        <v>3300</v>
      </c>
      <c r="CG15" s="2561" t="s">
        <v>12166</v>
      </c>
      <c r="CH15" s="2555">
        <v>10</v>
      </c>
    </row>
    <row r="16" spans="15:89" ht="15" thickBot="1">
      <c r="O16" s="2522" t="s">
        <v>4443</v>
      </c>
      <c r="P16" s="2563">
        <v>5</v>
      </c>
      <c r="Q16" s="2563"/>
      <c r="R16" s="2563"/>
      <c r="S16" s="2563"/>
      <c r="T16" s="2563"/>
      <c r="U16" s="2521"/>
      <c r="V16" s="2521" t="s">
        <v>12133</v>
      </c>
      <c r="W16" s="2521">
        <v>40</v>
      </c>
      <c r="AA16" s="2554">
        <f>Таблиця120[[#This Row],[PAY PER DAY, GP]]*30</f>
        <v>1200</v>
      </c>
      <c r="AB16" s="2554">
        <f>Таблиця120[[#This Row],[PAY PER MONTH, GP]]/2</f>
        <v>600</v>
      </c>
      <c r="AD16" s="2550" t="s">
        <v>3612</v>
      </c>
      <c r="AE16" s="2551">
        <v>2</v>
      </c>
      <c r="AF16" s="2565">
        <v>5</v>
      </c>
      <c r="AG16" s="2551"/>
      <c r="AH16" s="2559" t="s">
        <v>12167</v>
      </c>
      <c r="AI16" s="2553" t="s">
        <v>12168</v>
      </c>
      <c r="AJ16" s="2551">
        <v>10</v>
      </c>
      <c r="AK16" s="2554">
        <f>Таблиця121[[#This Row],[Pay per day, gp]]*30</f>
        <v>300</v>
      </c>
      <c r="AL16" s="1">
        <v>250</v>
      </c>
      <c r="BB16" s="1" t="s">
        <v>12169</v>
      </c>
      <c r="BC16" s="1" t="s">
        <v>12170</v>
      </c>
      <c r="BD16" s="1" t="s">
        <v>12171</v>
      </c>
      <c r="CG16" s="2556"/>
      <c r="CH16" s="2557"/>
    </row>
    <row r="17" spans="15:86" ht="15" thickBot="1">
      <c r="O17" s="2522" t="s">
        <v>4338</v>
      </c>
      <c r="P17" s="2563">
        <f>1/8</f>
        <v>0.125</v>
      </c>
      <c r="Q17" s="2563">
        <v>1</v>
      </c>
      <c r="R17" s="2563" t="s">
        <v>12172</v>
      </c>
      <c r="S17" s="2563"/>
      <c r="T17" s="2563"/>
      <c r="U17" s="2560" t="s">
        <v>12173</v>
      </c>
      <c r="V17" s="1" t="s">
        <v>12161</v>
      </c>
      <c r="W17" s="2521">
        <v>0.2</v>
      </c>
      <c r="AA17" s="2554">
        <f>Таблиця120[[#This Row],[PAY PER DAY, GP]]*30</f>
        <v>6</v>
      </c>
      <c r="AB17" s="2554">
        <f>Таблиця120[[#This Row],[PAY PER MONTH, GP]]/2</f>
        <v>3</v>
      </c>
      <c r="AD17" s="2550" t="s">
        <v>12174</v>
      </c>
      <c r="AE17" s="2551"/>
      <c r="AF17" s="2565"/>
      <c r="AG17" s="2551"/>
      <c r="AH17" s="2553"/>
      <c r="AI17" s="2553" t="s">
        <v>12165</v>
      </c>
      <c r="AJ17" s="2551">
        <v>60</v>
      </c>
      <c r="AK17" s="2554">
        <f>Таблиця121[[#This Row],[Pay per day, gp]]*30</f>
        <v>1800</v>
      </c>
      <c r="BB17" s="1" t="s">
        <v>12175</v>
      </c>
      <c r="BC17" s="1" t="s">
        <v>6009</v>
      </c>
      <c r="BD17" s="1" t="s">
        <v>12176</v>
      </c>
      <c r="CG17" s="2556"/>
      <c r="CH17" s="2557"/>
    </row>
    <row r="18" spans="15:86" ht="15" thickBot="1">
      <c r="O18" s="2522" t="s">
        <v>12177</v>
      </c>
      <c r="P18" s="2563"/>
      <c r="Q18" s="2563"/>
      <c r="R18" s="2563"/>
      <c r="S18" s="2563"/>
      <c r="T18" s="2563" t="s">
        <v>12178</v>
      </c>
      <c r="U18" s="2521"/>
      <c r="V18" s="2521" t="s">
        <v>12056</v>
      </c>
      <c r="W18" s="2521">
        <v>8</v>
      </c>
      <c r="AA18" s="2554">
        <f>Таблиця120[[#This Row],[PAY PER DAY, GP]]*30</f>
        <v>240</v>
      </c>
      <c r="AB18" s="2554">
        <v>190</v>
      </c>
      <c r="AD18" s="2550" t="s">
        <v>12179</v>
      </c>
      <c r="AE18" s="2551">
        <v>2</v>
      </c>
      <c r="AF18" s="2565">
        <v>4</v>
      </c>
      <c r="AG18" s="2551"/>
      <c r="AH18" s="2559" t="s">
        <v>12180</v>
      </c>
      <c r="AI18" s="2559"/>
      <c r="AJ18" s="2551">
        <v>5</v>
      </c>
      <c r="AK18" s="2554">
        <f>Таблиця121[[#This Row],[Pay per day, gp]]*30</f>
        <v>150</v>
      </c>
      <c r="AL18" s="1">
        <v>100</v>
      </c>
      <c r="BB18" s="1" t="s">
        <v>12181</v>
      </c>
      <c r="BC18" s="1" t="s">
        <v>12182</v>
      </c>
      <c r="BD18" s="1" t="s">
        <v>12183</v>
      </c>
      <c r="CG18" s="2556"/>
      <c r="CH18" s="2557"/>
    </row>
    <row r="19" spans="15:86" ht="15" thickBot="1">
      <c r="O19" s="2522" t="s">
        <v>12184</v>
      </c>
      <c r="P19" s="2563"/>
      <c r="Q19" s="2563"/>
      <c r="R19" s="2563"/>
      <c r="S19" s="2563"/>
      <c r="T19" s="2563"/>
      <c r="V19" s="2521" t="s">
        <v>12056</v>
      </c>
      <c r="W19" s="2521">
        <v>1</v>
      </c>
      <c r="AA19" s="2554">
        <f>Таблиця120[[#This Row],[PAY PER DAY, GP]]*30</f>
        <v>30</v>
      </c>
      <c r="AB19" s="2554">
        <f>Таблиця120[[#This Row],[PAY PER MONTH, GP]]/2</f>
        <v>15</v>
      </c>
      <c r="AD19" s="2550" t="s">
        <v>12185</v>
      </c>
      <c r="AE19" s="2551"/>
      <c r="AF19" s="2565"/>
      <c r="AG19" s="2551"/>
      <c r="AH19" s="2553"/>
      <c r="AI19" s="2553" t="s">
        <v>12165</v>
      </c>
      <c r="AJ19" s="2551">
        <v>110</v>
      </c>
      <c r="AK19" s="2554">
        <f>Таблиця121[[#This Row],[Pay per day, gp]]*30</f>
        <v>3300</v>
      </c>
      <c r="BB19" s="1" t="s">
        <v>12186</v>
      </c>
      <c r="BC19" s="1" t="s">
        <v>12187</v>
      </c>
      <c r="BD19" s="1" t="s">
        <v>12188</v>
      </c>
      <c r="CG19" s="2556"/>
      <c r="CH19" s="2557"/>
    </row>
    <row r="20" spans="15:86" ht="15" thickBot="1">
      <c r="O20" s="2522" t="s">
        <v>4118</v>
      </c>
      <c r="P20" s="2563">
        <v>3</v>
      </c>
      <c r="Q20" s="2563">
        <v>7</v>
      </c>
      <c r="R20" s="2563"/>
      <c r="S20" s="2563"/>
      <c r="T20" s="2563"/>
      <c r="U20" s="2564" t="s">
        <v>12189</v>
      </c>
      <c r="V20" s="2521" t="s">
        <v>12161</v>
      </c>
      <c r="W20" s="2521">
        <v>25</v>
      </c>
      <c r="AA20" s="2554">
        <f>Таблиця120[[#This Row],[PAY PER DAY, GP]]*30</f>
        <v>750</v>
      </c>
      <c r="AB20" s="2554">
        <v>250</v>
      </c>
      <c r="AD20" s="2550" t="s">
        <v>12190</v>
      </c>
      <c r="AE20" s="2551"/>
      <c r="AF20" s="2565"/>
      <c r="AG20" s="2551"/>
      <c r="AH20" s="2553"/>
      <c r="AI20" s="2553" t="s">
        <v>12191</v>
      </c>
      <c r="AJ20" s="2551">
        <v>50</v>
      </c>
      <c r="AK20" s="2554">
        <f>Таблиця121[[#This Row],[Pay per day, gp]]*30</f>
        <v>1500</v>
      </c>
      <c r="BB20" s="1" t="s">
        <v>10672</v>
      </c>
      <c r="BC20" s="1" t="s">
        <v>12192</v>
      </c>
      <c r="BD20" s="1" t="s">
        <v>12193</v>
      </c>
      <c r="CG20" s="2556"/>
      <c r="CH20" s="2557"/>
    </row>
    <row r="21" spans="15:86" ht="15" thickBot="1">
      <c r="O21" s="2522" t="s">
        <v>12194</v>
      </c>
      <c r="P21" s="2563"/>
      <c r="Q21" s="2563"/>
      <c r="R21" s="2563"/>
      <c r="S21" s="2563"/>
      <c r="T21" s="2563" t="s">
        <v>12195</v>
      </c>
      <c r="U21" s="2521"/>
      <c r="V21" s="2521" t="s">
        <v>12056</v>
      </c>
      <c r="W21" s="2521">
        <v>3</v>
      </c>
      <c r="AA21" s="2554">
        <f>Таблиця120[[#This Row],[PAY PER DAY, GP]]*30</f>
        <v>90</v>
      </c>
      <c r="AB21" s="2554">
        <f>Таблиця120[[#This Row],[PAY PER MONTH, GP]]/2</f>
        <v>45</v>
      </c>
      <c r="AD21" s="2550" t="s">
        <v>12196</v>
      </c>
      <c r="AE21" s="2551"/>
      <c r="AF21" s="2565"/>
      <c r="AG21" s="2551"/>
      <c r="AH21" s="2553"/>
      <c r="AI21" s="2553" t="s">
        <v>12191</v>
      </c>
      <c r="AJ21" s="2551">
        <v>85</v>
      </c>
      <c r="AK21" s="2554">
        <f>Таблиця121[[#This Row],[Pay per day, gp]]*30</f>
        <v>2550</v>
      </c>
      <c r="BB21" s="1" t="s">
        <v>12197</v>
      </c>
      <c r="BC21" s="1" t="s">
        <v>12198</v>
      </c>
      <c r="BD21" s="1" t="s">
        <v>12199</v>
      </c>
      <c r="CG21" s="2556"/>
      <c r="CH21" s="2557"/>
    </row>
    <row r="22" spans="15:86" ht="15" thickBot="1">
      <c r="O22" s="2522" t="s">
        <v>12200</v>
      </c>
      <c r="P22" s="2563"/>
      <c r="Q22" s="2563"/>
      <c r="R22" s="2563"/>
      <c r="S22" s="2563"/>
      <c r="T22" s="2563"/>
      <c r="U22" s="2521"/>
      <c r="V22" s="2553" t="s">
        <v>12056</v>
      </c>
      <c r="W22" s="2521">
        <v>0.5</v>
      </c>
      <c r="AA22" s="2554">
        <f>Таблиця120[[#This Row],[PAY PER DAY, GP]]*30</f>
        <v>15</v>
      </c>
      <c r="AB22" s="2554">
        <f>Таблиця120[[#This Row],[PAY PER MONTH, GP]]/2</f>
        <v>7.5</v>
      </c>
      <c r="AD22" s="2550" t="s">
        <v>12201</v>
      </c>
      <c r="AE22" s="2551"/>
      <c r="AF22" s="2565"/>
      <c r="AG22" s="2551"/>
      <c r="AH22" s="2553"/>
      <c r="AI22" s="2553" t="s">
        <v>12202</v>
      </c>
      <c r="AJ22" s="2551">
        <v>75</v>
      </c>
      <c r="AK22" s="2554">
        <f>Таблиця121[[#This Row],[Pay per day, gp]]*30</f>
        <v>2250</v>
      </c>
      <c r="BB22" s="1" t="s">
        <v>12203</v>
      </c>
      <c r="BC22" s="1" t="s">
        <v>12204</v>
      </c>
      <c r="BD22" s="1" t="s">
        <v>12205</v>
      </c>
      <c r="CG22" s="2556"/>
      <c r="CH22" s="2557"/>
    </row>
    <row r="23" spans="15:86" ht="15" thickBot="1">
      <c r="O23" s="2522" t="s">
        <v>12206</v>
      </c>
      <c r="P23" s="2563">
        <v>2</v>
      </c>
      <c r="Q23" s="2563"/>
      <c r="R23" s="2563"/>
      <c r="S23" s="2563"/>
      <c r="T23" s="2563"/>
      <c r="U23" s="2521"/>
      <c r="V23" s="2521" t="s">
        <v>12207</v>
      </c>
      <c r="W23" s="2521">
        <v>25</v>
      </c>
      <c r="AA23" s="2554">
        <f>Таблиця120[[#This Row],[PAY PER DAY, GP]]*30</f>
        <v>750</v>
      </c>
      <c r="AB23" s="2554">
        <f>Таблиця120[[#This Row],[PAY PER MONTH, GP]]/2</f>
        <v>375</v>
      </c>
      <c r="AD23" s="2550"/>
      <c r="AE23" s="2551"/>
      <c r="AF23" s="2565"/>
      <c r="AG23" s="2551"/>
      <c r="AH23" s="2553"/>
      <c r="AI23" s="2553"/>
      <c r="AJ23" s="2551"/>
      <c r="AK23" s="2554"/>
      <c r="CG23" s="2556"/>
      <c r="CH23" s="2557"/>
    </row>
    <row r="24" spans="15:86">
      <c r="O24" s="2522" t="s">
        <v>12208</v>
      </c>
      <c r="P24" s="2563">
        <v>5</v>
      </c>
      <c r="Q24" s="2563">
        <v>9</v>
      </c>
      <c r="R24" s="2563"/>
      <c r="S24" s="2563"/>
      <c r="T24" s="2563" t="s">
        <v>12209</v>
      </c>
      <c r="U24" s="2564" t="s">
        <v>12210</v>
      </c>
      <c r="V24" s="2521" t="s">
        <v>12207</v>
      </c>
      <c r="W24" s="2521">
        <v>40</v>
      </c>
      <c r="AA24" s="2554">
        <f>Таблиця120[[#This Row],[PAY PER DAY, GP]]*30</f>
        <v>1200</v>
      </c>
      <c r="AB24" s="2554">
        <v>700</v>
      </c>
      <c r="AD24" s="2550"/>
      <c r="AE24" s="2551"/>
      <c r="AF24" s="2565"/>
      <c r="AG24" s="2551"/>
      <c r="AH24" s="2553"/>
      <c r="AI24" s="2553"/>
      <c r="AJ24" s="2551"/>
      <c r="AK24" s="2554"/>
      <c r="CG24" s="2561"/>
      <c r="CH24" s="2555"/>
    </row>
    <row r="25" spans="15:86" ht="15" thickBot="1">
      <c r="O25" s="2522" t="s">
        <v>12211</v>
      </c>
      <c r="P25" s="2563"/>
      <c r="Q25" s="2563"/>
      <c r="R25" s="2563"/>
      <c r="S25" s="2563"/>
      <c r="T25" s="2563" t="s">
        <v>12195</v>
      </c>
      <c r="U25" s="2521"/>
      <c r="V25" s="2521" t="s">
        <v>12056</v>
      </c>
      <c r="W25" s="2521">
        <v>5</v>
      </c>
      <c r="AA25" s="2554">
        <f>Таблиця120[[#This Row],[PAY PER DAY, GP]]*30</f>
        <v>150</v>
      </c>
      <c r="AB25" s="2554">
        <v>100</v>
      </c>
      <c r="AD25" s="2550"/>
      <c r="AE25" s="2551"/>
      <c r="AF25" s="2565"/>
      <c r="AG25" s="2551"/>
      <c r="AH25" s="2553"/>
      <c r="AI25" s="2553"/>
      <c r="AJ25" s="2551"/>
      <c r="AK25" s="2554"/>
      <c r="BB25" s="1" t="s">
        <v>12212</v>
      </c>
      <c r="BC25" s="1">
        <v>5</v>
      </c>
      <c r="CG25" s="2566"/>
      <c r="CH25" s="2556"/>
    </row>
    <row r="26" spans="15:86" ht="15" thickBot="1">
      <c r="O26" s="2522" t="s">
        <v>12213</v>
      </c>
      <c r="P26" s="2563"/>
      <c r="Q26" s="2563"/>
      <c r="R26" s="2563"/>
      <c r="S26" s="2563"/>
      <c r="T26" s="2563"/>
      <c r="U26" s="2521"/>
      <c r="V26" s="2553" t="s">
        <v>12056</v>
      </c>
      <c r="W26" s="2521">
        <v>6</v>
      </c>
      <c r="AA26" s="2554">
        <f>Таблиця120[[#This Row],[PAY PER DAY, GP]]*30</f>
        <v>180</v>
      </c>
      <c r="AB26" s="2554">
        <v>130</v>
      </c>
      <c r="AD26" s="2550"/>
      <c r="AE26" s="2551"/>
      <c r="AF26" s="2565"/>
      <c r="AG26" s="2551"/>
      <c r="AH26" s="2553"/>
      <c r="AI26" s="2553"/>
      <c r="AJ26" s="2551"/>
      <c r="AK26" s="2554"/>
      <c r="BB26" s="1" t="s">
        <v>12214</v>
      </c>
      <c r="BC26" s="1">
        <v>7</v>
      </c>
      <c r="CG26" s="2566"/>
      <c r="CH26" s="2556"/>
    </row>
    <row r="27" spans="15:86">
      <c r="O27" s="2522" t="s">
        <v>12215</v>
      </c>
      <c r="P27" s="2563">
        <v>2</v>
      </c>
      <c r="Q27" s="2563">
        <v>5</v>
      </c>
      <c r="R27" s="2563"/>
      <c r="S27" s="2563"/>
      <c r="T27" s="2563"/>
      <c r="U27" s="2564" t="s">
        <v>12216</v>
      </c>
      <c r="V27" s="2564"/>
      <c r="W27" s="2521">
        <v>10</v>
      </c>
      <c r="AA27" s="2554">
        <f>Таблиця120[[#This Row],[PAY PER DAY, GP]]*30</f>
        <v>300</v>
      </c>
      <c r="AB27" s="2554">
        <v>250</v>
      </c>
      <c r="AD27" s="2550"/>
      <c r="AE27" s="2551"/>
      <c r="AF27" s="2565"/>
      <c r="AG27" s="2551"/>
      <c r="AH27" s="2553"/>
      <c r="AI27" s="2553"/>
      <c r="AJ27" s="2551"/>
      <c r="AK27" s="2554"/>
      <c r="BB27" s="1" t="s">
        <v>12217</v>
      </c>
      <c r="BC27" s="1">
        <v>8</v>
      </c>
    </row>
    <row r="28" spans="15:86">
      <c r="O28" s="2522" t="s">
        <v>3387</v>
      </c>
      <c r="P28" s="2563">
        <f>1/2</f>
        <v>0.5</v>
      </c>
      <c r="Q28" s="2563">
        <v>2</v>
      </c>
      <c r="R28" s="2563" t="s">
        <v>12218</v>
      </c>
      <c r="S28" s="2563"/>
      <c r="T28" s="2563"/>
      <c r="U28" s="2564" t="s">
        <v>12219</v>
      </c>
      <c r="V28" s="2521" t="s">
        <v>12220</v>
      </c>
      <c r="W28" s="2521">
        <v>1</v>
      </c>
      <c r="AA28" s="2554">
        <f>Таблиця120[[#This Row],[PAY PER DAY, GP]]*30</f>
        <v>30</v>
      </c>
      <c r="AB28" s="2554">
        <f>Таблиця120[[#This Row],[PAY PER MONTH, GP]]/2</f>
        <v>15</v>
      </c>
      <c r="AD28" s="2522"/>
      <c r="AE28" s="2563"/>
      <c r="AF28" s="2565"/>
      <c r="AG28" s="2563"/>
      <c r="AH28" s="2521"/>
      <c r="AI28" s="2521"/>
      <c r="AJ28" s="2563"/>
      <c r="AK28" s="2554"/>
      <c r="BB28" s="1" t="s">
        <v>12221</v>
      </c>
      <c r="BC28" s="2525" t="s">
        <v>12222</v>
      </c>
    </row>
    <row r="29" spans="15:86">
      <c r="O29" s="2522" t="s">
        <v>12223</v>
      </c>
      <c r="P29" s="2563">
        <v>1</v>
      </c>
      <c r="Q29" s="2563">
        <v>4</v>
      </c>
      <c r="R29" s="2563"/>
      <c r="S29" s="2563"/>
      <c r="T29" s="2563"/>
      <c r="U29" s="2564" t="s">
        <v>12224</v>
      </c>
      <c r="V29" s="2564"/>
      <c r="W29" s="2521">
        <v>1</v>
      </c>
      <c r="AA29" s="2554">
        <f>Таблиця120[[#This Row],[PAY PER DAY, GP]]*30</f>
        <v>30</v>
      </c>
      <c r="AB29" s="2554">
        <f>Таблиця120[[#This Row],[PAY PER MONTH, GP]]/2</f>
        <v>15</v>
      </c>
      <c r="BB29" s="1" t="s">
        <v>12225</v>
      </c>
      <c r="BC29" s="2525" t="s">
        <v>12222</v>
      </c>
    </row>
    <row r="30" spans="15:86">
      <c r="O30" s="2522" t="s">
        <v>12226</v>
      </c>
      <c r="P30" s="2563">
        <v>1</v>
      </c>
      <c r="Q30" s="2563">
        <v>4</v>
      </c>
      <c r="R30" s="2563"/>
      <c r="S30" s="2563"/>
      <c r="T30" s="2563" t="s">
        <v>12227</v>
      </c>
      <c r="U30" s="2564" t="s">
        <v>12228</v>
      </c>
      <c r="V30" s="2564"/>
      <c r="W30" s="2521">
        <v>1</v>
      </c>
      <c r="AA30" s="2554">
        <f>Таблиця120[[#This Row],[PAY PER DAY, GP]]*30</f>
        <v>30</v>
      </c>
      <c r="AB30" s="2554">
        <f>Таблиця120[[#This Row],[PAY PER MONTH, GP]]/2</f>
        <v>15</v>
      </c>
      <c r="BB30" s="1" t="s">
        <v>12229</v>
      </c>
      <c r="BC30" s="2525" t="s">
        <v>12230</v>
      </c>
    </row>
    <row r="31" spans="15:86">
      <c r="O31" s="2522" t="s">
        <v>12231</v>
      </c>
      <c r="P31" s="2563">
        <v>0.5</v>
      </c>
      <c r="Q31" s="2563"/>
      <c r="R31" s="2563"/>
      <c r="S31" s="2563"/>
      <c r="T31" s="2563"/>
      <c r="U31" s="2521"/>
      <c r="V31" s="2553" t="s">
        <v>12056</v>
      </c>
      <c r="W31" s="2521"/>
      <c r="AA31" s="2554">
        <f>Таблиця120[[#This Row],[PAY PER DAY, GP]]*30</f>
        <v>0</v>
      </c>
      <c r="AB31" s="2554">
        <f>Таблиця120[[#This Row],[PAY PER MONTH, GP]]/2</f>
        <v>0</v>
      </c>
      <c r="BB31" s="1" t="s">
        <v>738</v>
      </c>
      <c r="BC31" s="1">
        <v>-1</v>
      </c>
    </row>
    <row r="32" spans="15:86">
      <c r="O32" s="2522" t="s">
        <v>12232</v>
      </c>
      <c r="P32" s="2563">
        <v>0.25</v>
      </c>
      <c r="Q32" s="2563">
        <v>3</v>
      </c>
      <c r="R32" s="2563"/>
      <c r="S32" s="2563"/>
      <c r="T32" s="2563"/>
      <c r="U32" s="2564" t="s">
        <v>12233</v>
      </c>
      <c r="V32" s="2521" t="s">
        <v>12056</v>
      </c>
      <c r="W32" s="2521"/>
      <c r="AA32" s="2554">
        <f>Таблиця120[[#This Row],[PAY PER DAY, GP]]*30</f>
        <v>0</v>
      </c>
      <c r="AB32" s="2554">
        <f>Таблиця120[[#This Row],[PAY PER MONTH, GP]]/2</f>
        <v>0</v>
      </c>
    </row>
    <row r="33" spans="15:45">
      <c r="O33" s="2522" t="s">
        <v>3222</v>
      </c>
      <c r="P33" s="2563">
        <f>1</f>
        <v>1</v>
      </c>
      <c r="Q33" s="2563">
        <v>5</v>
      </c>
      <c r="R33" s="2563"/>
      <c r="S33" s="2563"/>
      <c r="T33" s="2563"/>
      <c r="U33" s="2564" t="s">
        <v>12234</v>
      </c>
      <c r="V33" s="2521" t="s">
        <v>12220</v>
      </c>
      <c r="W33" s="2521">
        <v>2</v>
      </c>
      <c r="AA33" s="2554">
        <f>Таблиця120[[#This Row],[PAY PER DAY, GP]]*30</f>
        <v>60</v>
      </c>
      <c r="AB33" s="2554">
        <f>Таблиця120[[#This Row],[PAY PER MONTH, GP]]/2</f>
        <v>30</v>
      </c>
    </row>
    <row r="34" spans="15:45">
      <c r="O34" s="2522" t="s">
        <v>6227</v>
      </c>
      <c r="P34" s="2563">
        <v>3</v>
      </c>
      <c r="Q34" s="2563">
        <v>7</v>
      </c>
      <c r="R34" s="2563"/>
      <c r="S34" s="2563"/>
      <c r="T34" s="2563"/>
      <c r="U34" s="2564" t="s">
        <v>12235</v>
      </c>
      <c r="V34" s="2521" t="s">
        <v>12165</v>
      </c>
      <c r="W34" s="2521">
        <v>25</v>
      </c>
      <c r="AA34" s="2554">
        <f>Таблиця120[[#This Row],[PAY PER DAY, GP]]*30</f>
        <v>750</v>
      </c>
      <c r="AB34" s="2554">
        <v>100</v>
      </c>
    </row>
    <row r="35" spans="15:45">
      <c r="O35" s="2522" t="s">
        <v>3049</v>
      </c>
      <c r="P35" s="2563">
        <f>1/2</f>
        <v>0.5</v>
      </c>
      <c r="Q35" s="2563"/>
      <c r="R35" s="2563" t="s">
        <v>12236</v>
      </c>
      <c r="S35" s="2563"/>
      <c r="T35" s="2563"/>
      <c r="U35" s="2564" t="s">
        <v>12237</v>
      </c>
      <c r="V35" s="2553" t="s">
        <v>12238</v>
      </c>
      <c r="W35" s="2521">
        <v>1</v>
      </c>
      <c r="AA35" s="2554">
        <f>Таблиця120[[#This Row],[PAY PER DAY, GP]]*30</f>
        <v>30</v>
      </c>
      <c r="AB35" s="2554">
        <f>Таблиця120[[#This Row],[PAY PER MONTH, GP]]/2</f>
        <v>15</v>
      </c>
    </row>
    <row r="36" spans="15:45">
      <c r="O36" s="2550" t="s">
        <v>12239</v>
      </c>
      <c r="P36" s="2551">
        <f>1/8</f>
        <v>0.125</v>
      </c>
      <c r="Q36" s="2563"/>
      <c r="R36" s="2563"/>
      <c r="S36" s="2563"/>
      <c r="T36" s="2551"/>
      <c r="U36" s="2553"/>
      <c r="V36" s="2553" t="s">
        <v>12238</v>
      </c>
      <c r="W36" s="2551">
        <v>2</v>
      </c>
      <c r="AA36" s="2554">
        <f>Таблиця120[[#This Row],[PAY PER DAY, GP]]*30</f>
        <v>60</v>
      </c>
      <c r="AB36" s="2554">
        <f>Таблиця120[[#This Row],[PAY PER MONTH, GP]]/2</f>
        <v>30</v>
      </c>
    </row>
    <row r="37" spans="15:45">
      <c r="O37" s="2550" t="s">
        <v>2907</v>
      </c>
      <c r="P37" s="2551">
        <v>3</v>
      </c>
      <c r="Q37" s="2565">
        <v>7</v>
      </c>
      <c r="R37" s="2565"/>
      <c r="S37" s="2565"/>
      <c r="T37" s="2551"/>
      <c r="U37" s="2559" t="s">
        <v>12240</v>
      </c>
      <c r="V37" s="2553" t="s">
        <v>12238</v>
      </c>
      <c r="W37" s="2551">
        <v>25</v>
      </c>
      <c r="AA37" s="2554">
        <f>Таблиця120[[#This Row],[PAY PER DAY, GP]]*30</f>
        <v>750</v>
      </c>
      <c r="AB37" s="2554">
        <v>100</v>
      </c>
    </row>
    <row r="38" spans="15:45">
      <c r="O38" s="2550" t="s">
        <v>12241</v>
      </c>
      <c r="P38" s="2551">
        <v>1</v>
      </c>
      <c r="Q38" s="2565">
        <v>5</v>
      </c>
      <c r="R38" s="2565"/>
      <c r="S38" s="2565"/>
      <c r="T38" s="2551"/>
      <c r="U38" s="2559" t="s">
        <v>12242</v>
      </c>
      <c r="V38" s="2553" t="s">
        <v>12056</v>
      </c>
      <c r="W38" s="2551"/>
      <c r="AA38" s="2554">
        <f>Таблиця120[[#This Row],[PAY PER DAY, GP]]*30</f>
        <v>0</v>
      </c>
      <c r="AB38" s="2554">
        <f>Таблиця120[[#This Row],[PAY PER MONTH, GP]]/2</f>
        <v>0</v>
      </c>
      <c r="AS38" s="2480"/>
    </row>
    <row r="39" spans="15:45">
      <c r="O39" s="2550" t="s">
        <v>12243</v>
      </c>
      <c r="P39" s="2551"/>
      <c r="Q39" s="2565"/>
      <c r="R39" s="2565"/>
      <c r="S39" s="2565"/>
      <c r="T39" s="2551"/>
      <c r="U39" s="2553"/>
      <c r="V39" s="2553"/>
      <c r="W39" s="2551"/>
      <c r="AA39" s="2554">
        <f>Таблиця120[[#This Row],[PAY PER DAY, GP]]*30</f>
        <v>0</v>
      </c>
      <c r="AB39" s="2554">
        <f>Таблиця120[[#This Row],[PAY PER MONTH, GP]]/2</f>
        <v>0</v>
      </c>
    </row>
    <row r="40" spans="15:45">
      <c r="O40" s="2550"/>
      <c r="P40" s="2551"/>
      <c r="Q40" s="2565"/>
      <c r="R40" s="2565"/>
      <c r="S40" s="2565"/>
      <c r="T40" s="2551"/>
      <c r="U40" s="2553"/>
      <c r="V40" s="2553"/>
      <c r="W40" s="2551"/>
      <c r="AA40" s="2554">
        <f>Таблиця120[[#This Row],[PAY PER DAY, GP]]*30</f>
        <v>0</v>
      </c>
      <c r="AB40" s="2554">
        <f>Таблиця120[[#This Row],[PAY PER MONTH, GP]]/2</f>
        <v>0</v>
      </c>
    </row>
    <row r="41" spans="15:45">
      <c r="O41" s="2550"/>
      <c r="P41" s="2551"/>
      <c r="Q41" s="2565"/>
      <c r="R41" s="2565"/>
      <c r="S41" s="2565"/>
      <c r="T41" s="2551"/>
      <c r="U41" s="2553"/>
      <c r="V41" s="2553"/>
      <c r="W41" s="2551"/>
      <c r="AA41" s="2554">
        <f>Таблиця120[[#This Row],[PAY PER DAY, GP]]*30</f>
        <v>0</v>
      </c>
      <c r="AB41" s="2554">
        <f>Таблиця120[[#This Row],[PAY PER MONTH, GP]]/2</f>
        <v>0</v>
      </c>
    </row>
    <row r="42" spans="15:45">
      <c r="O42" s="2550"/>
      <c r="P42" s="2551"/>
      <c r="Q42" s="2565"/>
      <c r="R42" s="2565"/>
      <c r="S42" s="2565"/>
      <c r="T42" s="2551"/>
      <c r="U42" s="2553"/>
      <c r="V42" s="2553"/>
      <c r="W42" s="2551"/>
      <c r="AA42" s="2554">
        <f>Таблиця120[[#This Row],[PAY PER DAY, GP]]*30</f>
        <v>0</v>
      </c>
      <c r="AB42" s="2554">
        <f>Таблиця120[[#This Row],[PAY PER MONTH, GP]]/2</f>
        <v>0</v>
      </c>
    </row>
    <row r="43" spans="15:45">
      <c r="O43" s="2550"/>
      <c r="P43" s="2551"/>
      <c r="Q43" s="2565"/>
      <c r="R43" s="2565"/>
      <c r="S43" s="2565"/>
      <c r="T43" s="2551"/>
      <c r="U43" s="2553"/>
      <c r="V43" s="2553"/>
      <c r="W43" s="2551"/>
      <c r="AA43" s="2554">
        <f>Таблиця120[[#This Row],[PAY PER DAY, GP]]*30</f>
        <v>0</v>
      </c>
      <c r="AB43" s="2554">
        <f>Таблиця120[[#This Row],[PAY PER MONTH, GP]]/2</f>
        <v>0</v>
      </c>
    </row>
    <row r="44" spans="15:45">
      <c r="O44" s="2550"/>
      <c r="P44" s="2551"/>
      <c r="Q44" s="2565"/>
      <c r="R44" s="2565"/>
      <c r="S44" s="2565"/>
      <c r="T44" s="2551"/>
      <c r="U44" s="2553"/>
      <c r="V44" s="2553"/>
      <c r="W44" s="2521"/>
      <c r="AA44" s="2554">
        <f>Таблиця120[[#This Row],[PAY PER DAY, GP]]*30</f>
        <v>0</v>
      </c>
      <c r="AB44" s="2554">
        <f>Таблиця120[[#This Row],[PAY PER MONTH, GP]]/2</f>
        <v>0</v>
      </c>
    </row>
    <row r="45" spans="15:45">
      <c r="O45" s="2550"/>
      <c r="P45" s="2551"/>
      <c r="Q45" s="2565"/>
      <c r="R45" s="2565"/>
      <c r="S45" s="2565"/>
      <c r="T45" s="2551"/>
      <c r="U45" s="2553"/>
      <c r="V45" s="2553"/>
      <c r="W45" s="2551"/>
      <c r="AA45" s="2554">
        <f>Таблиця120[[#This Row],[PAY PER DAY, GP]]*30</f>
        <v>0</v>
      </c>
      <c r="AB45" s="2554">
        <f>Таблиця120[[#This Row],[PAY PER MONTH, GP]]/2</f>
        <v>0</v>
      </c>
    </row>
    <row r="46" spans="15:45">
      <c r="O46" s="2550"/>
      <c r="P46" s="2551"/>
      <c r="Q46" s="2565"/>
      <c r="R46" s="2565"/>
      <c r="S46" s="2565"/>
      <c r="T46" s="2551"/>
      <c r="U46" s="2553"/>
      <c r="V46" s="2553"/>
      <c r="W46" s="2551"/>
      <c r="AA46" s="2554">
        <f>Таблиця120[[#This Row],[PAY PER DAY, GP]]*30</f>
        <v>0</v>
      </c>
      <c r="AB46" s="2554">
        <f>Таблиця120[[#This Row],[PAY PER MONTH, GP]]/2</f>
        <v>0</v>
      </c>
    </row>
    <row r="47" spans="15:45">
      <c r="O47" s="2550"/>
      <c r="P47" s="2551"/>
      <c r="Q47" s="2565"/>
      <c r="R47" s="2565"/>
      <c r="S47" s="2565"/>
      <c r="T47" s="2551"/>
      <c r="U47" s="2553"/>
      <c r="V47" s="2553"/>
      <c r="W47" s="2551"/>
      <c r="AA47" s="2554">
        <f>Таблиця120[[#This Row],[PAY PER DAY, GP]]*30</f>
        <v>0</v>
      </c>
      <c r="AB47" s="2554">
        <f>Таблиця120[[#This Row],[PAY PER MONTH, GP]]/2</f>
        <v>0</v>
      </c>
    </row>
    <row r="48" spans="15:45">
      <c r="O48" s="2550"/>
      <c r="P48" s="2551"/>
      <c r="Q48" s="2565"/>
      <c r="R48" s="2565"/>
      <c r="S48" s="2565"/>
      <c r="T48" s="2551"/>
      <c r="U48" s="2553"/>
      <c r="V48" s="2553"/>
      <c r="W48" s="2551"/>
      <c r="AA48" s="2554">
        <f>Таблиця120[[#This Row],[PAY PER DAY, GP]]*30</f>
        <v>0</v>
      </c>
      <c r="AB48" s="2554">
        <f>Таблиця120[[#This Row],[PAY PER MONTH, GP]]/2</f>
        <v>0</v>
      </c>
    </row>
    <row r="49" spans="15:28">
      <c r="O49" s="2550"/>
      <c r="P49" s="2551"/>
      <c r="Q49" s="2565"/>
      <c r="R49" s="2565"/>
      <c r="S49" s="2565"/>
      <c r="T49" s="2551"/>
      <c r="U49" s="2553"/>
      <c r="V49" s="2553"/>
      <c r="W49" s="2521"/>
      <c r="AA49" s="2554">
        <f>Таблиця120[[#This Row],[PAY PER DAY, GP]]*30</f>
        <v>0</v>
      </c>
      <c r="AB49" s="2554">
        <f>Таблиця120[[#This Row],[PAY PER MONTH, GP]]/2</f>
        <v>0</v>
      </c>
    </row>
    <row r="50" spans="15:28">
      <c r="O50" s="2550"/>
      <c r="P50" s="2551"/>
      <c r="Q50" s="2565"/>
      <c r="R50" s="2565"/>
      <c r="S50" s="2565"/>
      <c r="T50" s="2551"/>
      <c r="U50" s="2553"/>
      <c r="V50" s="2553"/>
      <c r="W50" s="2551"/>
      <c r="AA50" s="2554">
        <f>Таблиця120[[#This Row],[PAY PER DAY, GP]]*30</f>
        <v>0</v>
      </c>
      <c r="AB50" s="2554">
        <f>Таблиця120[[#This Row],[PAY PER MONTH, GP]]/2</f>
        <v>0</v>
      </c>
    </row>
    <row r="51" spans="15:28">
      <c r="O51" s="2550"/>
      <c r="P51" s="2551"/>
      <c r="Q51" s="2565"/>
      <c r="R51" s="2565"/>
      <c r="S51" s="2565"/>
      <c r="T51" s="2551"/>
      <c r="U51" s="2553"/>
      <c r="V51" s="2553"/>
      <c r="W51" s="2551"/>
      <c r="AA51" s="2554">
        <f>Таблиця120[[#This Row],[PAY PER DAY, GP]]*30</f>
        <v>0</v>
      </c>
      <c r="AB51" s="2554">
        <f>Таблиця120[[#This Row],[PAY PER MONTH, GP]]/2</f>
        <v>0</v>
      </c>
    </row>
    <row r="52" spans="15:28">
      <c r="O52" s="2522"/>
      <c r="P52" s="2563"/>
      <c r="Q52" s="2565"/>
      <c r="R52" s="2565"/>
      <c r="S52" s="2565"/>
      <c r="T52" s="2563"/>
      <c r="W52" s="2563"/>
      <c r="AA52" s="2554">
        <f>Таблиця120[[#This Row],[PAY PER DAY, GP]]*30</f>
        <v>0</v>
      </c>
      <c r="AB52" s="2554">
        <f>Таблиця120[[#This Row],[PAY PER MONTH, GP]]/2</f>
        <v>0</v>
      </c>
    </row>
    <row r="131" spans="4:7">
      <c r="D131" s="90"/>
      <c r="E131" s="90"/>
      <c r="F131" s="2554"/>
      <c r="G131" s="2567"/>
    </row>
    <row r="132" spans="4:7">
      <c r="D132" s="90"/>
      <c r="E132" s="90"/>
      <c r="F132" s="2554"/>
      <c r="G132" s="2567"/>
    </row>
    <row r="133" spans="4:7">
      <c r="D133" s="90"/>
      <c r="E133" s="90"/>
      <c r="F133" s="2554"/>
      <c r="G133" s="2567"/>
    </row>
    <row r="134" spans="4:7">
      <c r="D134" s="90"/>
      <c r="E134" s="90"/>
      <c r="F134" s="2554"/>
      <c r="G134" s="2567"/>
    </row>
    <row r="135" spans="4:7">
      <c r="D135" s="90"/>
      <c r="E135" s="90"/>
      <c r="F135" s="2554"/>
      <c r="G135" s="2567"/>
    </row>
    <row r="136" spans="4:7">
      <c r="D136" s="90"/>
      <c r="E136" s="90"/>
      <c r="F136" s="2554"/>
      <c r="G136" s="2567"/>
    </row>
    <row r="137" spans="4:7">
      <c r="D137" s="90"/>
      <c r="E137" s="90"/>
      <c r="F137" s="2554"/>
      <c r="G137" s="2567"/>
    </row>
    <row r="138" spans="4:7">
      <c r="D138" s="90"/>
      <c r="E138" s="90"/>
      <c r="F138" s="2554"/>
      <c r="G138" s="2567"/>
    </row>
    <row r="139" spans="4:7">
      <c r="D139" s="90"/>
      <c r="E139" s="90"/>
      <c r="F139" s="2554"/>
      <c r="G139" s="2567"/>
    </row>
    <row r="140" spans="4:7">
      <c r="D140" s="90"/>
      <c r="E140" s="90"/>
      <c r="F140" s="2554"/>
      <c r="G140" s="2567"/>
    </row>
    <row r="141" spans="4:7">
      <c r="D141" s="90"/>
      <c r="E141" s="90"/>
      <c r="F141" s="2554"/>
      <c r="G141" s="2567"/>
    </row>
    <row r="142" spans="4:7">
      <c r="D142" s="90"/>
      <c r="E142" s="90"/>
      <c r="F142" s="2554"/>
      <c r="G142" s="2567"/>
    </row>
    <row r="143" spans="4:7">
      <c r="D143" s="90"/>
      <c r="E143" s="90"/>
      <c r="F143" s="2554"/>
      <c r="G143" s="2567"/>
    </row>
    <row r="144" spans="4:7">
      <c r="D144" s="90"/>
      <c r="E144" s="90"/>
      <c r="F144" s="2554"/>
      <c r="G144" s="2567"/>
    </row>
    <row r="145" spans="4:7">
      <c r="D145" s="90"/>
      <c r="E145" s="90"/>
      <c r="F145" s="2554"/>
      <c r="G145" s="2567"/>
    </row>
    <row r="146" spans="4:7">
      <c r="D146" s="90"/>
      <c r="E146" s="90"/>
      <c r="F146" s="2554"/>
      <c r="G146" s="2567"/>
    </row>
    <row r="147" spans="4:7">
      <c r="D147" s="90"/>
      <c r="E147" s="90"/>
      <c r="F147" s="2554"/>
      <c r="G147" s="2567"/>
    </row>
    <row r="148" spans="4:7">
      <c r="D148" s="90"/>
      <c r="E148" s="90"/>
      <c r="F148" s="2554"/>
      <c r="G148" s="2567"/>
    </row>
    <row r="149" spans="4:7">
      <c r="D149" s="90"/>
      <c r="E149" s="90"/>
      <c r="F149" s="2554"/>
      <c r="G149" s="2567"/>
    </row>
    <row r="150" spans="4:7">
      <c r="D150" s="90"/>
      <c r="E150" s="90"/>
      <c r="F150" s="2554"/>
      <c r="G150" s="2567"/>
    </row>
    <row r="151" spans="4:7">
      <c r="D151" s="90"/>
      <c r="E151" s="90"/>
      <c r="F151" s="2554"/>
      <c r="G151" s="2567"/>
    </row>
    <row r="152" spans="4:7">
      <c r="D152" s="90"/>
      <c r="E152" s="90"/>
      <c r="F152" s="2554"/>
      <c r="G152" s="2567"/>
    </row>
    <row r="153" spans="4:7">
      <c r="D153" s="90"/>
      <c r="E153" s="90"/>
      <c r="F153" s="2554"/>
      <c r="G153" s="2567"/>
    </row>
    <row r="154" spans="4:7">
      <c r="D154" s="90"/>
      <c r="E154" s="90"/>
      <c r="F154" s="2554"/>
      <c r="G154" s="2567"/>
    </row>
    <row r="155" spans="4:7">
      <c r="D155" s="90"/>
      <c r="E155" s="90"/>
      <c r="F155" s="2554"/>
      <c r="G155" s="2567"/>
    </row>
    <row r="159" spans="4:7">
      <c r="F159" s="1">
        <v>30</v>
      </c>
      <c r="G159" s="1">
        <f>F159/30</f>
        <v>1</v>
      </c>
    </row>
    <row r="160" spans="4:7">
      <c r="F160" s="1">
        <v>30</v>
      </c>
      <c r="G160" s="1">
        <f t="shared" ref="G160:G184" si="0">F160/30</f>
        <v>1</v>
      </c>
    </row>
    <row r="161" spans="1:7">
      <c r="F161" s="1">
        <v>4.5</v>
      </c>
      <c r="G161" s="1">
        <f t="shared" si="0"/>
        <v>0.15</v>
      </c>
    </row>
    <row r="162" spans="1:7">
      <c r="F162" s="1">
        <v>30</v>
      </c>
      <c r="G162" s="1">
        <f t="shared" si="0"/>
        <v>1</v>
      </c>
    </row>
    <row r="163" spans="1:7">
      <c r="F163" s="1">
        <v>15</v>
      </c>
      <c r="G163" s="1">
        <f t="shared" si="0"/>
        <v>0.5</v>
      </c>
    </row>
    <row r="164" spans="1:7">
      <c r="F164" s="1">
        <v>18</v>
      </c>
      <c r="G164" s="1">
        <f t="shared" si="0"/>
        <v>0.6</v>
      </c>
    </row>
    <row r="165" spans="1:7">
      <c r="F165" s="1">
        <v>6</v>
      </c>
      <c r="G165" s="1">
        <f t="shared" si="0"/>
        <v>0.2</v>
      </c>
    </row>
    <row r="166" spans="1:7">
      <c r="F166" s="1">
        <v>15</v>
      </c>
      <c r="G166" s="1">
        <f t="shared" si="0"/>
        <v>0.5</v>
      </c>
    </row>
    <row r="167" spans="1:7">
      <c r="F167" s="1">
        <v>12</v>
      </c>
      <c r="G167" s="1">
        <f t="shared" si="0"/>
        <v>0.4</v>
      </c>
    </row>
    <row r="168" spans="1:7">
      <c r="F168" s="1">
        <v>12</v>
      </c>
      <c r="G168" s="1">
        <f t="shared" si="0"/>
        <v>0.4</v>
      </c>
    </row>
    <row r="169" spans="1:7">
      <c r="F169" s="1">
        <v>3</v>
      </c>
      <c r="G169" s="1">
        <f t="shared" si="0"/>
        <v>0.1</v>
      </c>
    </row>
    <row r="170" spans="1:7">
      <c r="F170" s="1">
        <v>12</v>
      </c>
      <c r="G170" s="1">
        <f t="shared" si="0"/>
        <v>0.4</v>
      </c>
    </row>
    <row r="171" spans="1:7">
      <c r="F171" s="1">
        <v>6</v>
      </c>
      <c r="G171" s="1">
        <f t="shared" si="0"/>
        <v>0.2</v>
      </c>
    </row>
    <row r="172" spans="1:7">
      <c r="F172" s="1">
        <v>3</v>
      </c>
      <c r="G172" s="1">
        <f t="shared" si="0"/>
        <v>0.1</v>
      </c>
    </row>
    <row r="173" spans="1:7">
      <c r="A173" s="1" t="s">
        <v>12244</v>
      </c>
      <c r="F173" s="1">
        <v>12</v>
      </c>
      <c r="G173" s="1">
        <f t="shared" si="0"/>
        <v>0.4</v>
      </c>
    </row>
    <row r="174" spans="1:7">
      <c r="A174" s="1" t="s">
        <v>12245</v>
      </c>
      <c r="C174" s="1" t="s">
        <v>12246</v>
      </c>
      <c r="F174" s="1">
        <v>3</v>
      </c>
      <c r="G174" s="1">
        <f t="shared" si="0"/>
        <v>0.1</v>
      </c>
    </row>
    <row r="175" spans="1:7">
      <c r="A175" s="1" t="s">
        <v>10066</v>
      </c>
      <c r="C175" s="1">
        <v>1</v>
      </c>
      <c r="D175" s="1" t="s">
        <v>12247</v>
      </c>
      <c r="F175" s="1">
        <v>9</v>
      </c>
      <c r="G175" s="1">
        <f t="shared" si="0"/>
        <v>0.3</v>
      </c>
    </row>
    <row r="176" spans="1:7">
      <c r="A176" s="1" t="s">
        <v>12248</v>
      </c>
      <c r="C176" s="1">
        <v>0.15</v>
      </c>
      <c r="F176" s="1">
        <v>18</v>
      </c>
      <c r="G176" s="1">
        <f t="shared" si="0"/>
        <v>0.6</v>
      </c>
    </row>
    <row r="177" spans="1:7">
      <c r="A177" s="1" t="s">
        <v>12249</v>
      </c>
      <c r="C177" s="1">
        <v>0.5</v>
      </c>
      <c r="F177" s="1">
        <v>60</v>
      </c>
      <c r="G177" s="1">
        <f t="shared" si="0"/>
        <v>2</v>
      </c>
    </row>
    <row r="178" spans="1:7">
      <c r="A178" s="1" t="s">
        <v>12250</v>
      </c>
      <c r="C178" s="1">
        <v>1</v>
      </c>
      <c r="F178" s="1">
        <v>9</v>
      </c>
      <c r="G178" s="1">
        <f t="shared" si="0"/>
        <v>0.3</v>
      </c>
    </row>
    <row r="179" spans="1:7">
      <c r="A179" s="1" t="s">
        <v>12251</v>
      </c>
      <c r="C179" s="1">
        <v>0.4</v>
      </c>
      <c r="F179" s="1">
        <v>3</v>
      </c>
      <c r="G179" s="1">
        <f t="shared" si="0"/>
        <v>0.1</v>
      </c>
    </row>
    <row r="180" spans="1:7">
      <c r="A180" s="1" t="s">
        <v>12252</v>
      </c>
      <c r="C180" s="1">
        <v>0.1</v>
      </c>
      <c r="F180" s="1">
        <v>6</v>
      </c>
      <c r="G180" s="1">
        <f t="shared" si="0"/>
        <v>0.2</v>
      </c>
    </row>
    <row r="181" spans="1:7">
      <c r="A181" s="1" t="s">
        <v>12253</v>
      </c>
      <c r="C181" s="1">
        <v>0.4</v>
      </c>
      <c r="F181" s="1">
        <v>12</v>
      </c>
      <c r="G181" s="1">
        <f t="shared" si="0"/>
        <v>0.4</v>
      </c>
    </row>
    <row r="182" spans="1:7">
      <c r="A182" s="1" t="s">
        <v>12254</v>
      </c>
      <c r="C182" s="1">
        <v>0.1</v>
      </c>
      <c r="F182" s="1">
        <v>9</v>
      </c>
      <c r="G182" s="1">
        <f t="shared" si="0"/>
        <v>0.3</v>
      </c>
    </row>
    <row r="183" spans="1:7">
      <c r="A183" s="1" t="s">
        <v>12255</v>
      </c>
      <c r="C183" s="1">
        <v>0.6</v>
      </c>
      <c r="F183" s="1">
        <v>6</v>
      </c>
      <c r="G183" s="1">
        <f t="shared" si="0"/>
        <v>0.2</v>
      </c>
    </row>
    <row r="184" spans="1:7">
      <c r="A184" s="1" t="s">
        <v>12256</v>
      </c>
      <c r="C184" s="1">
        <v>0.1</v>
      </c>
      <c r="F184" s="1">
        <v>30</v>
      </c>
      <c r="G184" s="1">
        <f t="shared" si="0"/>
        <v>1</v>
      </c>
    </row>
    <row r="185" spans="1:7">
      <c r="A185" s="1" t="s">
        <v>12257</v>
      </c>
      <c r="C185" s="1">
        <v>0.3</v>
      </c>
      <c r="D185" s="1" t="s">
        <v>12247</v>
      </c>
    </row>
    <row r="186" spans="1:7">
      <c r="A186" s="1" t="s">
        <v>12258</v>
      </c>
      <c r="C186" s="1">
        <v>0.2</v>
      </c>
    </row>
    <row r="187" spans="1:7">
      <c r="A187" s="1" t="s">
        <v>12259</v>
      </c>
      <c r="C187" s="1">
        <v>0.4</v>
      </c>
    </row>
    <row r="188" spans="1:7">
      <c r="A188" s="1" t="s">
        <v>12260</v>
      </c>
      <c r="C188" s="1">
        <v>0.6</v>
      </c>
      <c r="E188" s="2525" t="s">
        <v>12261</v>
      </c>
      <c r="F188" s="1" t="s">
        <v>12262</v>
      </c>
    </row>
    <row r="189" spans="1:7">
      <c r="A189" s="1" t="s">
        <v>12263</v>
      </c>
      <c r="C189" s="1">
        <v>0.1</v>
      </c>
    </row>
    <row r="190" spans="1:7">
      <c r="A190" s="1" t="s">
        <v>9529</v>
      </c>
      <c r="C190" s="1">
        <v>2</v>
      </c>
    </row>
    <row r="191" spans="1:7">
      <c r="A191" s="1" t="s">
        <v>10133</v>
      </c>
      <c r="C191" s="1">
        <v>0.3</v>
      </c>
    </row>
    <row r="192" spans="1:7">
      <c r="A192" s="1" t="s">
        <v>12264</v>
      </c>
      <c r="C192" s="1">
        <v>0.4</v>
      </c>
      <c r="D192" s="1" t="s">
        <v>12247</v>
      </c>
    </row>
    <row r="193" spans="1:3">
      <c r="A193" s="1" t="s">
        <v>12265</v>
      </c>
      <c r="C193" s="1">
        <v>0.3</v>
      </c>
    </row>
    <row r="194" spans="1:3">
      <c r="A194" s="1" t="s">
        <v>12266</v>
      </c>
      <c r="C194" s="1">
        <v>0.2</v>
      </c>
    </row>
  </sheetData>
  <mergeCells count="3">
    <mergeCell ref="O1:AB1"/>
    <mergeCell ref="AD1:AL1"/>
    <mergeCell ref="BO2:BQ2"/>
  </mergeCells>
  <hyperlinks>
    <hyperlink ref="U38" r:id="rId1" location="/creature/view/5e9578bcb60f5b2a15c9107b" display="https://critterdb.com/ - /creature/view/5e9578bcb60f5b2a15c9107b" xr:uid="{41348884-B70F-4C40-82B3-21F48B9F96FE}"/>
    <hyperlink ref="AH4" r:id="rId2" xr:uid="{384BD151-7888-4537-A5AB-972C8A2D849D}"/>
    <hyperlink ref="AH16" r:id="rId3" xr:uid="{C86B148D-5601-471F-AEB9-6EC1C03B3925}"/>
    <hyperlink ref="AH5" r:id="rId4" xr:uid="{995FBCEC-D757-4D78-93D9-9A5D8252B3B3}"/>
    <hyperlink ref="AH8" r:id="rId5" xr:uid="{44243163-2CA0-4C16-822D-2C49C361F1DA}"/>
    <hyperlink ref="AH10" r:id="rId6" xr:uid="{A94CE346-8860-42A2-A3A0-1E2E10CB4D20}"/>
    <hyperlink ref="AH18" r:id="rId7" xr:uid="{974CD70A-E4DB-41DF-9909-11EC43E8FC4A}"/>
    <hyperlink ref="AH6" r:id="rId8" xr:uid="{0895B654-8EE0-4563-802F-A82EDF7991A3}"/>
    <hyperlink ref="U17" r:id="rId9" xr:uid="{2711AEBB-1624-4C17-8CEE-6E81152B7AE0}"/>
    <hyperlink ref="U6" r:id="rId10" xr:uid="{B12A5C42-BF24-48AD-B08F-E6C61175243C}"/>
    <hyperlink ref="U35" r:id="rId11" xr:uid="{24879524-7405-4458-84EF-A6F20CEF7657}"/>
    <hyperlink ref="U28" r:id="rId12" xr:uid="{700C0740-B87E-438D-9E86-8D458DB743D8}"/>
    <hyperlink ref="U33" r:id="rId13" xr:uid="{1F31BF29-18B9-4AFF-BC57-FD4451CA1177}"/>
    <hyperlink ref="U8" r:id="rId14" xr:uid="{2847A469-3034-42C1-A553-849C8894E298}"/>
    <hyperlink ref="U7" r:id="rId15" xr:uid="{FFF68455-73FF-4EAC-B4FB-65DF7AB01EF4}"/>
    <hyperlink ref="U37" r:id="rId16" xr:uid="{F2D9E1C2-BB7F-4FBA-AB65-66FBE7560BFE}"/>
    <hyperlink ref="U34" r:id="rId17" xr:uid="{CB93C110-0C13-4BD9-BF71-FDE062987B61}"/>
    <hyperlink ref="U20" r:id="rId18" xr:uid="{D8E565BF-6C98-4EF7-A377-FB60C62514E2}"/>
    <hyperlink ref="U27" r:id="rId19" xr:uid="{33BC2794-E165-4804-A46B-FFC57CD8F2A3}"/>
    <hyperlink ref="U24" r:id="rId20" xr:uid="{B3905CA1-C72D-4426-B96B-2CAEE0C22603}"/>
    <hyperlink ref="U3" r:id="rId21" xr:uid="{827C1BBA-0D4F-4A89-A966-00F926E81A3B}"/>
    <hyperlink ref="U29" r:id="rId22" location="/creature/view/5e115c77e5d4ba45eab9aff8" xr:uid="{96AE8F55-721A-4E5A-8A66-322AC676F6A9}"/>
    <hyperlink ref="U32" r:id="rId23" location="/creature/view/5e95844ab60f5b2a15c91164" xr:uid="{1C14CAF7-54D6-473B-A1DD-82CE0A115787}"/>
  </hyperlinks>
  <pageMargins left="0.7" right="0.7" top="0.75" bottom="0.75" header="0.3" footer="0.3"/>
  <tableParts count="13">
    <tablePart r:id="rId24"/>
    <tablePart r:id="rId25"/>
    <tablePart r:id="rId26"/>
    <tablePart r:id="rId27"/>
    <tablePart r:id="rId28"/>
    <tablePart r:id="rId29"/>
    <tablePart r:id="rId30"/>
    <tablePart r:id="rId31"/>
    <tablePart r:id="rId32"/>
    <tablePart r:id="rId33"/>
    <tablePart r:id="rId34"/>
    <tablePart r:id="rId35"/>
    <tablePart r:id="rId3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AE975-7C3B-4F9F-A493-E70B08883BE4}">
  <sheetPr>
    <tabColor rgb="FF002060"/>
  </sheetPr>
  <dimension ref="A1:AP103"/>
  <sheetViews>
    <sheetView zoomScaleNormal="100" workbookViewId="0">
      <selection activeCell="AA23" sqref="AA23"/>
    </sheetView>
  </sheetViews>
  <sheetFormatPr defaultRowHeight="14.25" outlineLevelCol="1"/>
  <cols>
    <col min="1" max="1" width="19.88671875" style="1" customWidth="1" outlineLevel="1"/>
    <col min="2" max="2" width="15" style="1" customWidth="1" outlineLevel="1"/>
    <col min="3" max="3" width="18.33203125" style="1" customWidth="1" outlineLevel="1"/>
    <col min="4" max="4" width="11.88671875" style="1" customWidth="1" outlineLevel="1"/>
    <col min="5" max="6" width="7.109375" style="1" customWidth="1" outlineLevel="1"/>
    <col min="7" max="7" width="3.21875" style="1" customWidth="1" outlineLevel="1"/>
    <col min="8" max="8" width="12.21875" style="1" customWidth="1" outlineLevel="1"/>
    <col min="9" max="9" width="13.33203125" style="1" customWidth="1" outlineLevel="1"/>
    <col min="10" max="10" width="7.109375" style="1" customWidth="1" outlineLevel="1"/>
    <col min="11" max="11" width="3.5546875" style="1" customWidth="1" outlineLevel="1"/>
    <col min="12" max="12" width="7.109375" style="1" customWidth="1" outlineLevel="1"/>
    <col min="13" max="13" width="11.33203125" style="1" customWidth="1" outlineLevel="1"/>
    <col min="14" max="24" width="7.109375" style="1" customWidth="1" outlineLevel="1"/>
    <col min="25" max="25" width="16.6640625" style="1" customWidth="1" outlineLevel="1"/>
    <col min="26" max="35" width="7.109375" style="1" customWidth="1" outlineLevel="1"/>
    <col min="36" max="16384" width="8.88671875" style="1"/>
  </cols>
  <sheetData>
    <row r="1" spans="1:42">
      <c r="A1" s="1" t="s">
        <v>11937</v>
      </c>
      <c r="V1" s="1" t="s">
        <v>11938</v>
      </c>
      <c r="AJ1" s="1" t="s">
        <v>11939</v>
      </c>
    </row>
    <row r="2" spans="1:42">
      <c r="Y2" s="1" t="s">
        <v>11940</v>
      </c>
      <c r="Z2" s="1" t="s">
        <v>11941</v>
      </c>
      <c r="AB2" s="1" t="s">
        <v>11942</v>
      </c>
      <c r="AE2" s="1" t="s">
        <v>11943</v>
      </c>
      <c r="AJ2" s="2684" t="s">
        <v>11944</v>
      </c>
      <c r="AK2" s="2684"/>
      <c r="AL2" s="1">
        <f ca="1">'SPECIAL NPCS'!F18</f>
        <v>3</v>
      </c>
      <c r="AN2" s="2684" t="s">
        <v>11944</v>
      </c>
      <c r="AO2" s="2684"/>
      <c r="AP2" s="1">
        <f ca="1">'SPECIAL NPCS'!F19</f>
        <v>2</v>
      </c>
    </row>
    <row r="3" spans="1:42">
      <c r="A3" s="1" t="s">
        <v>10690</v>
      </c>
      <c r="B3" s="1" t="s">
        <v>11945</v>
      </c>
      <c r="C3" s="1" t="s">
        <v>11946</v>
      </c>
      <c r="D3" s="1" t="s">
        <v>10689</v>
      </c>
      <c r="Y3" s="2523" t="s">
        <v>6000</v>
      </c>
      <c r="Z3" s="1">
        <v>1</v>
      </c>
      <c r="AB3" s="1" t="s">
        <v>10625</v>
      </c>
      <c r="AC3" s="1" t="s">
        <v>11941</v>
      </c>
      <c r="AE3" s="1" t="s">
        <v>8385</v>
      </c>
      <c r="AF3" s="1" t="s">
        <v>2235</v>
      </c>
      <c r="AJ3" s="1" t="s">
        <v>1725</v>
      </c>
      <c r="AK3" s="1" t="s">
        <v>11947</v>
      </c>
      <c r="AL3" s="1" t="s">
        <v>11948</v>
      </c>
      <c r="AN3" s="1" t="s">
        <v>1725</v>
      </c>
      <c r="AO3" s="1" t="s">
        <v>11947</v>
      </c>
      <c r="AP3" s="1" t="s">
        <v>11948</v>
      </c>
    </row>
    <row r="4" spans="1:42">
      <c r="A4" s="1" t="s">
        <v>10683</v>
      </c>
      <c r="B4" s="1">
        <v>0</v>
      </c>
      <c r="C4" s="1" t="s">
        <v>10682</v>
      </c>
      <c r="D4" s="1">
        <v>0.5</v>
      </c>
      <c r="P4" s="2684" t="s">
        <v>11949</v>
      </c>
      <c r="Q4" s="2684"/>
      <c r="R4" s="2684"/>
      <c r="Y4" s="2523" t="s">
        <v>11950</v>
      </c>
      <c r="Z4" s="1">
        <v>1</v>
      </c>
      <c r="AB4" s="1">
        <v>1</v>
      </c>
      <c r="AC4" s="1" t="s">
        <v>11951</v>
      </c>
      <c r="AE4" s="1">
        <v>2</v>
      </c>
      <c r="AF4" s="2524">
        <v>0.3</v>
      </c>
      <c r="AJ4" s="1">
        <v>1</v>
      </c>
      <c r="AK4" s="1" t="str">
        <f ca="1">IF($AL$2&gt;ROW()-4,'SPECIAL NPCS'!I20,"")</f>
        <v>Humanoids</v>
      </c>
      <c r="AL4" s="1" t="str">
        <f ca="1">IF($AL$2&gt;ROW()-4,'SPECIAL NPCS'!J20,"")</f>
        <v>Psychology</v>
      </c>
      <c r="AN4" s="1">
        <v>1</v>
      </c>
      <c r="AO4" s="1" t="str">
        <f ca="1">IF($AP$2&gt;ROW()-4,'SPECIAL NPCS'!M20,"")</f>
        <v>Humans/Demihumans</v>
      </c>
      <c r="AP4" s="1" t="str">
        <f ca="1">IF($AP$2&gt;ROW()-4,'SPECIAL NPCS'!N20,"")</f>
        <v>Legends &amp; Folklore</v>
      </c>
    </row>
    <row r="5" spans="1:42">
      <c r="A5" s="2525" t="s">
        <v>10677</v>
      </c>
      <c r="B5" s="1">
        <v>5</v>
      </c>
      <c r="C5" s="1" t="s">
        <v>10676</v>
      </c>
      <c r="D5" s="1">
        <v>0.2</v>
      </c>
      <c r="P5" s="1" t="s">
        <v>11952</v>
      </c>
      <c r="Q5" s="1" t="s">
        <v>11953</v>
      </c>
      <c r="R5" s="1" t="s">
        <v>11954</v>
      </c>
      <c r="Y5" s="2523" t="s">
        <v>11955</v>
      </c>
      <c r="Z5" s="1">
        <v>1</v>
      </c>
      <c r="AB5" s="1">
        <v>2</v>
      </c>
      <c r="AC5" s="1" t="s">
        <v>11956</v>
      </c>
      <c r="AE5" s="1">
        <v>3</v>
      </c>
      <c r="AF5" s="2524">
        <v>0.35</v>
      </c>
      <c r="AJ5" s="1">
        <f ca="1">IF(AL2&gt;ROW()-4,2,"")</f>
        <v>2</v>
      </c>
      <c r="AK5" s="1" t="str">
        <f ca="1">IF($AL$2&gt;ROW()-4,'SPECIAL NPCS'!I21,"")</f>
        <v>Humans/Demihumans</v>
      </c>
      <c r="AL5" s="1" t="str">
        <f ca="1">IF($AL$2&gt;ROW()-4,'SPECIAL NPCS'!J21,"")</f>
        <v>Art &amp; Music</v>
      </c>
      <c r="AN5" s="1">
        <f ca="1">IF($AP$2&gt;ROW()-4,AN4+1,"")</f>
        <v>2</v>
      </c>
      <c r="AO5" s="1" t="str">
        <f ca="1">IF($AP$2&gt;ROW()-4,'SPECIAL NPCS'!M21,"")</f>
        <v>Humans/Demihumans</v>
      </c>
      <c r="AP5" s="1" t="str">
        <f ca="1">IF($AP$2&gt;ROW()-4,'SPECIAL NPCS'!N21,"")</f>
        <v>Art &amp; Music</v>
      </c>
    </row>
    <row r="6" spans="1:42">
      <c r="A6" s="2525" t="s">
        <v>10672</v>
      </c>
      <c r="B6" s="1">
        <v>10</v>
      </c>
      <c r="C6" s="1" t="s">
        <v>7812</v>
      </c>
      <c r="D6" s="1">
        <v>0</v>
      </c>
      <c r="P6" s="2524">
        <v>0.1</v>
      </c>
      <c r="Q6" s="1">
        <v>1</v>
      </c>
      <c r="R6" s="1">
        <v>2</v>
      </c>
      <c r="Y6" s="2523" t="s">
        <v>11957</v>
      </c>
      <c r="Z6" s="1">
        <v>2</v>
      </c>
      <c r="AB6" s="1">
        <v>3</v>
      </c>
      <c r="AC6" s="1" t="s">
        <v>11958</v>
      </c>
      <c r="AE6" s="1">
        <v>4</v>
      </c>
      <c r="AF6" s="2524">
        <v>0.35</v>
      </c>
      <c r="AJ6" s="1">
        <f ca="1">IF(AL2&gt;2,3,"")</f>
        <v>3</v>
      </c>
      <c r="AK6" s="1" t="str">
        <f ca="1">IF($AL$2&gt;ROW()-4,'SPECIAL NPCS'!I22,"")</f>
        <v>Flora</v>
      </c>
      <c r="AL6" s="1" t="str">
        <f ca="1">IF($AL$2&gt;ROW()-4,'SPECIAL NPCS'!J22,"")</f>
        <v>Weeds</v>
      </c>
      <c r="AN6" s="1" t="str">
        <f ca="1">IF($AP$2&gt;ROW()-4,AN5+1,"")</f>
        <v/>
      </c>
      <c r="AO6" s="1" t="str">
        <f ca="1">IF($AP$2&gt;ROW()-4,'SPECIAL NPCS'!M22,"")</f>
        <v/>
      </c>
      <c r="AP6" s="1" t="str">
        <f ca="1">IF($AP$2&gt;ROW()-4,'SPECIAL NPCS'!N22,"")</f>
        <v/>
      </c>
    </row>
    <row r="7" spans="1:42">
      <c r="A7" s="1" t="s">
        <v>10666</v>
      </c>
      <c r="B7" s="1">
        <v>15</v>
      </c>
      <c r="C7" s="1" t="s">
        <v>10665</v>
      </c>
      <c r="D7" s="1">
        <v>-0.1</v>
      </c>
      <c r="P7" s="2524">
        <v>0.2</v>
      </c>
      <c r="Q7" s="1">
        <v>1</v>
      </c>
      <c r="R7" s="1">
        <v>3</v>
      </c>
      <c r="Y7" s="2523" t="s">
        <v>11959</v>
      </c>
      <c r="Z7" s="1">
        <v>2</v>
      </c>
      <c r="AB7" s="1">
        <v>4</v>
      </c>
      <c r="AC7" s="1" t="s">
        <v>11960</v>
      </c>
      <c r="AE7" s="1">
        <v>5</v>
      </c>
      <c r="AF7" s="2524">
        <v>0.4</v>
      </c>
      <c r="AN7" s="1" t="str">
        <f ca="1">IF($AP$2&gt;ROW()-4,AN6+1,"")</f>
        <v/>
      </c>
      <c r="AO7" s="1" t="str">
        <f ca="1">IF($AP$2&gt;ROW()-4,'SPECIAL NPCS'!M23,"")</f>
        <v/>
      </c>
      <c r="AP7" s="1" t="str">
        <f ca="1">IF($AP$2&gt;ROW()-4,'SPECIAL NPCS'!N23,"")</f>
        <v/>
      </c>
    </row>
    <row r="8" spans="1:42">
      <c r="A8" s="1" t="s">
        <v>10661</v>
      </c>
      <c r="B8" s="1">
        <v>25</v>
      </c>
      <c r="C8" s="1" t="s">
        <v>10660</v>
      </c>
      <c r="D8" s="1">
        <v>-0.2</v>
      </c>
      <c r="P8" s="2524">
        <v>0.2</v>
      </c>
      <c r="Q8" s="1">
        <v>1</v>
      </c>
      <c r="R8" s="1">
        <v>4</v>
      </c>
      <c r="Y8" s="2523" t="s">
        <v>11961</v>
      </c>
      <c r="Z8" s="1">
        <v>2</v>
      </c>
      <c r="AB8" s="1">
        <v>5</v>
      </c>
      <c r="AC8" s="1" t="s">
        <v>11962</v>
      </c>
      <c r="AE8" s="1">
        <v>6</v>
      </c>
      <c r="AF8" s="2524">
        <v>0.4</v>
      </c>
      <c r="AN8" s="1" t="str">
        <f ca="1">IF($AP$2&gt;ROW()-4,AN7+1,"")</f>
        <v/>
      </c>
      <c r="AO8" s="1" t="str">
        <f ca="1">IF($AP$2&gt;ROW()-4,'SPECIAL NPCS'!M24,"")</f>
        <v/>
      </c>
      <c r="AP8" s="1" t="str">
        <f ca="1">IF($AP$2&gt;ROW()-4,'SPECIAL NPCS'!N24,"")</f>
        <v/>
      </c>
    </row>
    <row r="9" spans="1:42">
      <c r="P9" s="2524">
        <v>0.2</v>
      </c>
      <c r="Q9" s="1">
        <v>2</v>
      </c>
      <c r="R9" s="1">
        <v>2</v>
      </c>
      <c r="Y9" s="2523" t="s">
        <v>11963</v>
      </c>
      <c r="Z9" s="1">
        <v>3</v>
      </c>
      <c r="AB9" s="1">
        <v>6</v>
      </c>
      <c r="AC9" s="1" t="s">
        <v>11964</v>
      </c>
      <c r="AE9" s="1">
        <v>7</v>
      </c>
      <c r="AF9" s="2524">
        <v>0.45</v>
      </c>
    </row>
    <row r="10" spans="1:42">
      <c r="A10" s="1">
        <f ca="1">RANDBETWEEN(1,100)</f>
        <v>73</v>
      </c>
      <c r="P10" s="2524">
        <v>0.2</v>
      </c>
      <c r="Q10" s="1">
        <v>2</v>
      </c>
      <c r="R10" s="1">
        <v>3</v>
      </c>
      <c r="Y10" s="2523" t="s">
        <v>11965</v>
      </c>
      <c r="Z10" s="1">
        <v>3</v>
      </c>
      <c r="AB10" s="1">
        <v>7</v>
      </c>
      <c r="AC10" s="1" t="s">
        <v>11966</v>
      </c>
      <c r="AE10" s="1">
        <v>8</v>
      </c>
      <c r="AF10" s="2524">
        <v>0.45</v>
      </c>
    </row>
    <row r="11" spans="1:42" ht="15">
      <c r="A11" s="2526" t="s">
        <v>10681</v>
      </c>
      <c r="B11" s="2527" t="s">
        <v>10688</v>
      </c>
      <c r="C11" s="2527" t="s">
        <v>10687</v>
      </c>
      <c r="D11" s="2528" t="s">
        <v>10686</v>
      </c>
      <c r="P11" s="2524">
        <v>0.1</v>
      </c>
      <c r="Q11" s="1">
        <v>2</v>
      </c>
      <c r="R11" s="1">
        <v>4</v>
      </c>
      <c r="Y11" s="2523" t="s">
        <v>11967</v>
      </c>
      <c r="Z11" s="1">
        <v>4</v>
      </c>
      <c r="AB11" s="1">
        <v>8</v>
      </c>
      <c r="AC11" s="1" t="s">
        <v>11968</v>
      </c>
      <c r="AE11" s="1">
        <v>9</v>
      </c>
      <c r="AF11" s="2524">
        <v>0.5</v>
      </c>
    </row>
    <row r="12" spans="1:42" ht="15.75" thickBot="1">
      <c r="A12" s="2529"/>
      <c r="B12" s="2530">
        <v>0.5</v>
      </c>
      <c r="C12" s="2530">
        <v>0.1</v>
      </c>
      <c r="D12" s="2531"/>
      <c r="Y12" s="2523" t="s">
        <v>11969</v>
      </c>
      <c r="Z12" s="1">
        <v>5</v>
      </c>
      <c r="AB12" s="1">
        <v>9</v>
      </c>
      <c r="AC12" s="1" t="s">
        <v>11970</v>
      </c>
      <c r="AE12" s="1">
        <v>10</v>
      </c>
      <c r="AF12" s="2524">
        <v>0.5</v>
      </c>
    </row>
    <row r="13" spans="1:42" ht="15" thickBot="1">
      <c r="A13" s="2532" t="s">
        <v>10675</v>
      </c>
      <c r="B13" s="2533">
        <v>0.75</v>
      </c>
      <c r="C13" s="2533">
        <v>0.5</v>
      </c>
      <c r="D13" s="2534">
        <v>0.25</v>
      </c>
      <c r="P13" s="2535" t="s">
        <v>11971</v>
      </c>
      <c r="Q13" s="2535" t="s">
        <v>596</v>
      </c>
      <c r="S13" s="1" t="s">
        <v>11972</v>
      </c>
      <c r="T13" s="1" t="s">
        <v>11973</v>
      </c>
      <c r="Y13" s="2523" t="s">
        <v>11974</v>
      </c>
      <c r="Z13" s="1">
        <v>5</v>
      </c>
      <c r="AB13" s="1">
        <v>10</v>
      </c>
      <c r="AC13" s="1" t="s">
        <v>11975</v>
      </c>
      <c r="AE13" s="1">
        <v>11</v>
      </c>
      <c r="AF13" s="2524">
        <v>0.55000000000000004</v>
      </c>
    </row>
    <row r="14" spans="1:42" ht="15" thickBot="1">
      <c r="A14" s="2532" t="s">
        <v>10670</v>
      </c>
      <c r="B14" s="2533">
        <v>0.9</v>
      </c>
      <c r="C14" s="2533">
        <v>0.75</v>
      </c>
      <c r="D14" s="2534">
        <v>0.5</v>
      </c>
      <c r="P14" s="2536" t="s">
        <v>11976</v>
      </c>
      <c r="Q14" s="2536" t="s">
        <v>11977</v>
      </c>
      <c r="S14" s="1" t="s">
        <v>11978</v>
      </c>
      <c r="T14" s="2524">
        <v>0.4</v>
      </c>
      <c r="Y14" s="2523" t="s">
        <v>11979</v>
      </c>
      <c r="Z14" s="1">
        <v>6</v>
      </c>
      <c r="AB14" s="1">
        <v>11</v>
      </c>
      <c r="AC14" s="1" t="s">
        <v>11980</v>
      </c>
      <c r="AE14" s="1">
        <v>12</v>
      </c>
      <c r="AF14" s="2524">
        <v>0.6</v>
      </c>
    </row>
    <row r="15" spans="1:42">
      <c r="A15" s="2537" t="s">
        <v>10664</v>
      </c>
      <c r="B15" s="2538">
        <v>1</v>
      </c>
      <c r="C15" s="2538">
        <v>0.9</v>
      </c>
      <c r="D15" s="2539">
        <v>0.75</v>
      </c>
      <c r="P15" s="2536" t="s">
        <v>11976</v>
      </c>
      <c r="Q15" s="2536" t="s">
        <v>10594</v>
      </c>
      <c r="S15" s="1" t="s">
        <v>11981</v>
      </c>
      <c r="T15" s="2524">
        <v>0.2</v>
      </c>
      <c r="Y15" s="2523" t="s">
        <v>11982</v>
      </c>
      <c r="Z15" s="1">
        <v>6</v>
      </c>
      <c r="AB15" s="1">
        <v>12</v>
      </c>
      <c r="AC15" s="1" t="s">
        <v>11983</v>
      </c>
    </row>
    <row r="16" spans="1:42">
      <c r="P16" s="2536" t="s">
        <v>11976</v>
      </c>
      <c r="Q16" s="2536" t="s">
        <v>10589</v>
      </c>
      <c r="S16" s="1" t="s">
        <v>11984</v>
      </c>
      <c r="T16" s="2524">
        <v>0.1</v>
      </c>
      <c r="Y16" s="2523" t="s">
        <v>11985</v>
      </c>
      <c r="Z16" s="1">
        <v>7</v>
      </c>
    </row>
    <row r="17" spans="1:26">
      <c r="A17" s="1">
        <f ca="1">RANDBETWEEN(1,6)+RANDBETWEEN(1,6)</f>
        <v>9</v>
      </c>
      <c r="B17" s="1">
        <f ca="1">INDEX(Таблиця141[Minor Expertise],MATCH($A$17,Таблиця141[2d6 roll],0),1)</f>
        <v>3</v>
      </c>
      <c r="C17" s="1">
        <f ca="1">INDEX(Таблиця141[Major Specialization],MATCH($A$17,Таблиця141[2d6 roll],0),1)</f>
        <v>2</v>
      </c>
      <c r="P17" s="2536" t="s">
        <v>11976</v>
      </c>
      <c r="Q17" s="2536" t="s">
        <v>11986</v>
      </c>
      <c r="S17" s="1" t="s">
        <v>10598</v>
      </c>
      <c r="T17" s="2524">
        <v>0.1</v>
      </c>
      <c r="Y17" s="2523" t="s">
        <v>11987</v>
      </c>
      <c r="Z17" s="1">
        <v>7</v>
      </c>
    </row>
    <row r="18" spans="1:26">
      <c r="A18" s="1" t="s">
        <v>10655</v>
      </c>
      <c r="B18" s="1" t="s">
        <v>10651</v>
      </c>
      <c r="C18" s="1" t="s">
        <v>10649</v>
      </c>
      <c r="E18" s="2516" t="s">
        <v>10651</v>
      </c>
      <c r="F18" s="1">
        <f ca="1">INDEX(Таблиця141[Minor Expertise],MATCH($A$17,Таблиця141[2d6 roll],0),1)</f>
        <v>3</v>
      </c>
      <c r="H18" s="2516" t="s">
        <v>10651</v>
      </c>
      <c r="L18" s="2517" t="s">
        <v>10649</v>
      </c>
      <c r="P18" s="2536" t="s">
        <v>11976</v>
      </c>
      <c r="Q18" s="2536" t="s">
        <v>11988</v>
      </c>
      <c r="S18" s="1" t="s">
        <v>10592</v>
      </c>
      <c r="T18" s="2540">
        <v>0.1</v>
      </c>
      <c r="Y18" s="2523" t="s">
        <v>11989</v>
      </c>
      <c r="Z18" s="1">
        <v>7</v>
      </c>
    </row>
    <row r="19" spans="1:26">
      <c r="A19" s="1">
        <v>2</v>
      </c>
      <c r="B19" s="1">
        <v>1</v>
      </c>
      <c r="C19" s="1">
        <v>1</v>
      </c>
      <c r="E19" s="2517" t="s">
        <v>10649</v>
      </c>
      <c r="F19" s="1">
        <f ca="1">INDEX(Таблиця141[Major Specialization],MATCH($A$17,Таблиця141[2d6 roll],0),1)</f>
        <v>2</v>
      </c>
      <c r="H19" s="1" t="s">
        <v>1725</v>
      </c>
      <c r="I19" s="1" t="s">
        <v>11947</v>
      </c>
      <c r="J19" s="1" t="s">
        <v>597</v>
      </c>
      <c r="L19" s="1" t="s">
        <v>1725</v>
      </c>
      <c r="M19" s="1" t="s">
        <v>11947</v>
      </c>
      <c r="N19" s="1" t="s">
        <v>597</v>
      </c>
      <c r="P19" s="2536" t="s">
        <v>11976</v>
      </c>
      <c r="Q19" s="2536" t="s">
        <v>10568</v>
      </c>
      <c r="S19" s="1" t="s">
        <v>11976</v>
      </c>
      <c r="T19" s="2524">
        <v>0.1</v>
      </c>
      <c r="Y19" s="2523" t="s">
        <v>11990</v>
      </c>
      <c r="Z19" s="1">
        <v>8</v>
      </c>
    </row>
    <row r="20" spans="1:26">
      <c r="A20" s="1">
        <v>3</v>
      </c>
      <c r="B20" s="1">
        <v>1</v>
      </c>
      <c r="C20" s="1">
        <v>2</v>
      </c>
      <c r="H20" s="1">
        <v>1</v>
      </c>
      <c r="I20" s="1" t="str" cm="1">
        <f t="array" aca="1" ref="I20" ca="1">INDEX(Таблиця143[FIELD],RANDBETWEEN(1,10))</f>
        <v>Humanoids</v>
      </c>
      <c r="J20" s="1" t="str">
        <f ca="1">INDEX(I27:I44,MATCH(Таблиця148[[#This Row],[FIELD]],H27:H44,0),1)</f>
        <v>Psychology</v>
      </c>
      <c r="L20" s="1">
        <v>1</v>
      </c>
      <c r="M20" s="1" t="str" cm="1">
        <f t="array" aca="1" ref="M20" ca="1">INDEX(Таблиця143[FIELD],RANDBETWEEN(1,10),1)</f>
        <v>Humans/Demihumans</v>
      </c>
      <c r="N20" s="1" t="str">
        <f ca="1">INDEX(E40:E69,MATCH(Таблиця149[[#This Row],[FIELD]],D40:D69,0),1)</f>
        <v>Legends &amp; Folklore</v>
      </c>
      <c r="P20" s="2536" t="s">
        <v>11976</v>
      </c>
      <c r="Q20" s="2536" t="s">
        <v>10566</v>
      </c>
      <c r="Y20" s="2523" t="s">
        <v>11991</v>
      </c>
      <c r="Z20" s="1">
        <v>8</v>
      </c>
    </row>
    <row r="21" spans="1:26">
      <c r="A21" s="1">
        <v>4</v>
      </c>
      <c r="B21" s="1">
        <v>1</v>
      </c>
      <c r="C21" s="1">
        <v>3</v>
      </c>
      <c r="H21" s="1">
        <v>2</v>
      </c>
      <c r="I21" s="1" t="str" cm="1">
        <f t="array" aca="1" ref="I21" ca="1">INDEX(Таблиця143[FIELD],RANDBETWEEN(1,10))</f>
        <v>Humans/Demihumans</v>
      </c>
      <c r="J21" s="1" t="str">
        <f ca="1">INDEX(I28:I45,MATCH(Таблиця148[[#This Row],[FIELD]],H28:H45,0),1)</f>
        <v>Art &amp; Music</v>
      </c>
      <c r="L21" s="1">
        <v>2</v>
      </c>
      <c r="M21" s="1" t="str" cm="1">
        <f t="array" aca="1" ref="M21" ca="1">INDEX(Таблиця143[FIELD],RANDBETWEEN(1,10),1)</f>
        <v>Humans/Demihumans</v>
      </c>
      <c r="N21" s="1" t="str">
        <f ca="1">INDEX(E41:E70,MATCH(Таблиця149[[#This Row],[FIELD]],D41:D70,0),1)</f>
        <v>Art &amp; Music</v>
      </c>
      <c r="P21" s="2536" t="s">
        <v>11976</v>
      </c>
      <c r="Q21" s="2536" t="s">
        <v>10577</v>
      </c>
      <c r="Y21" s="2523" t="s">
        <v>11992</v>
      </c>
      <c r="Z21" s="1">
        <v>8</v>
      </c>
    </row>
    <row r="22" spans="1:26">
      <c r="A22" s="1">
        <v>5</v>
      </c>
      <c r="B22" s="1">
        <v>1</v>
      </c>
      <c r="C22" s="1">
        <v>4</v>
      </c>
      <c r="E22" s="1" t="s">
        <v>11993</v>
      </c>
      <c r="F22" s="1" t="s">
        <v>11947</v>
      </c>
      <c r="H22" s="1">
        <v>3</v>
      </c>
      <c r="I22" s="1" t="str" cm="1">
        <f t="array" aca="1" ref="I22" ca="1">INDEX(Таблиця143[FIELD],RANDBETWEEN(1,10))</f>
        <v>Flora</v>
      </c>
      <c r="J22" s="1" t="str">
        <f ca="1">INDEX(I29:I46,MATCH(Таблиця148[[#This Row],[FIELD]],H29:H46,0),1)</f>
        <v>Weeds</v>
      </c>
      <c r="L22" s="1">
        <v>3</v>
      </c>
      <c r="M22" s="1" t="str" cm="1">
        <f t="array" aca="1" ref="M22" ca="1">INDEX(Таблиця143[FIELD],RANDBETWEEN(1,10),1)</f>
        <v>Supernatural</v>
      </c>
      <c r="N22" s="1" t="str">
        <f ca="1">INDEX(E42:E71,MATCH(Таблиця149[[#This Row],[FIELD]],D42:D71,0),1)</f>
        <v>Planes (Outer)</v>
      </c>
      <c r="P22" s="2536" t="s">
        <v>11976</v>
      </c>
      <c r="Q22" s="2536" t="s">
        <v>10570</v>
      </c>
      <c r="Y22" s="2523" t="s">
        <v>11994</v>
      </c>
      <c r="Z22" s="1">
        <v>8</v>
      </c>
    </row>
    <row r="23" spans="1:26">
      <c r="A23" s="1">
        <v>6</v>
      </c>
      <c r="B23" s="1">
        <v>2</v>
      </c>
      <c r="C23" s="1">
        <v>2</v>
      </c>
      <c r="E23" s="1">
        <v>1</v>
      </c>
      <c r="F23" s="1" t="s">
        <v>11995</v>
      </c>
      <c r="L23" s="1">
        <v>4</v>
      </c>
      <c r="M23" s="1" t="str" cm="1">
        <f t="array" aca="1" ref="M23" ca="1">INDEX(Таблиця143[FIELD],RANDBETWEEN(1,10),1)</f>
        <v>Humans/Demihumans</v>
      </c>
      <c r="N23" s="1" t="str">
        <f ca="1">INDEX(E43:E72,MATCH(Таблиця149[[#This Row],[FIELD]],D43:D72,0),1)</f>
        <v>Art &amp; Music</v>
      </c>
      <c r="P23" s="2536" t="s">
        <v>11976</v>
      </c>
      <c r="Q23" s="2536" t="s">
        <v>10608</v>
      </c>
      <c r="Y23" s="2523" t="s">
        <v>11996</v>
      </c>
      <c r="Z23" s="1">
        <v>5</v>
      </c>
    </row>
    <row r="24" spans="1:26">
      <c r="A24" s="1">
        <v>7</v>
      </c>
      <c r="B24" s="1">
        <v>2</v>
      </c>
      <c r="C24" s="1">
        <v>3</v>
      </c>
      <c r="E24" s="1">
        <v>2</v>
      </c>
      <c r="F24" s="1" t="s">
        <v>11995</v>
      </c>
      <c r="L24" s="1">
        <v>5</v>
      </c>
      <c r="M24" s="1" t="str" cm="1">
        <f t="array" aca="1" ref="M24" ca="1">INDEX(Таблиця143[FIELD],RANDBETWEEN(1,10),1)</f>
        <v>Humans/Demihumans</v>
      </c>
      <c r="N24" s="1" t="str">
        <f ca="1">INDEX(E44:E73,MATCH(Таблиця149[[#This Row],[FIELD]],D44:D73,0),1)</f>
        <v>Art &amp; Music</v>
      </c>
      <c r="P24" s="2536" t="s">
        <v>11978</v>
      </c>
      <c r="Q24" s="2536" t="s">
        <v>11997</v>
      </c>
      <c r="Y24" s="2523" t="s">
        <v>11998</v>
      </c>
      <c r="Z24" s="1">
        <v>8</v>
      </c>
    </row>
    <row r="25" spans="1:26" ht="15" thickBot="1">
      <c r="A25" s="1">
        <v>8</v>
      </c>
      <c r="B25" s="1">
        <v>2</v>
      </c>
      <c r="C25" s="1">
        <v>4</v>
      </c>
      <c r="E25" s="1">
        <v>3</v>
      </c>
      <c r="F25" s="1" t="s">
        <v>11995</v>
      </c>
      <c r="P25" s="2536" t="s">
        <v>11978</v>
      </c>
      <c r="Q25" s="2536" t="s">
        <v>11999</v>
      </c>
      <c r="Y25" s="2523" t="s">
        <v>10439</v>
      </c>
      <c r="Z25" s="1">
        <v>9</v>
      </c>
    </row>
    <row r="26" spans="1:26" ht="15" thickBot="1">
      <c r="A26" s="1">
        <v>9</v>
      </c>
      <c r="B26" s="1">
        <v>3</v>
      </c>
      <c r="C26" s="1">
        <v>2</v>
      </c>
      <c r="E26" s="2541">
        <v>4</v>
      </c>
      <c r="F26" s="2541" t="s">
        <v>10605</v>
      </c>
      <c r="P26" s="2536" t="s">
        <v>11978</v>
      </c>
      <c r="Q26" s="2536" t="s">
        <v>12000</v>
      </c>
      <c r="Y26" s="2523" t="s">
        <v>12001</v>
      </c>
      <c r="Z26" s="1">
        <v>10</v>
      </c>
    </row>
    <row r="27" spans="1:26" ht="15" thickBot="1">
      <c r="A27" s="1">
        <v>10</v>
      </c>
      <c r="B27" s="1">
        <v>3</v>
      </c>
      <c r="C27" s="1">
        <v>3</v>
      </c>
      <c r="E27" s="2541">
        <v>5</v>
      </c>
      <c r="F27" s="2541" t="s">
        <v>10598</v>
      </c>
      <c r="H27" s="2542" t="s">
        <v>11995</v>
      </c>
      <c r="I27" s="1" t="str" cm="1">
        <f t="array" aca="1" ref="I27" ca="1">INDEX(Таблиця147[FIELD],RANDBETWEEN(1,20),1)</f>
        <v>Law &amp; Customs</v>
      </c>
      <c r="P27" s="2536" t="s">
        <v>11978</v>
      </c>
      <c r="Q27" s="2536" t="s">
        <v>12002</v>
      </c>
      <c r="Y27" s="2523" t="s">
        <v>12003</v>
      </c>
      <c r="Z27" s="1">
        <v>10</v>
      </c>
    </row>
    <row r="28" spans="1:26" ht="15" thickBot="1">
      <c r="A28" s="1">
        <v>11</v>
      </c>
      <c r="B28" s="1">
        <v>3</v>
      </c>
      <c r="C28" s="1">
        <v>4</v>
      </c>
      <c r="E28" s="2541">
        <v>6</v>
      </c>
      <c r="F28" s="2541" t="s">
        <v>10592</v>
      </c>
      <c r="H28" s="2542" t="s">
        <v>11995</v>
      </c>
      <c r="I28" s="1" t="str" cm="1">
        <f t="array" aca="1" ref="I28" ca="1">INDEX(Таблиця147[FIELD],RANDBETWEEN(1,20),1)</f>
        <v>Art &amp; Music</v>
      </c>
      <c r="P28" s="2536" t="s">
        <v>11978</v>
      </c>
      <c r="Q28" s="2536" t="s">
        <v>12004</v>
      </c>
      <c r="Y28" s="2523" t="s">
        <v>11980</v>
      </c>
      <c r="Z28" s="1">
        <v>11</v>
      </c>
    </row>
    <row r="29" spans="1:26" ht="15" thickBot="1">
      <c r="A29" s="1">
        <v>12</v>
      </c>
      <c r="B29" s="1">
        <v>3</v>
      </c>
      <c r="C29" s="1">
        <v>5</v>
      </c>
      <c r="E29" s="2541">
        <v>7</v>
      </c>
      <c r="F29" s="2541" t="s">
        <v>10581</v>
      </c>
      <c r="H29" s="2542" t="s">
        <v>11995</v>
      </c>
      <c r="I29" s="1" t="str" cm="1">
        <f t="array" aca="1" ref="I29" ca="1">INDEX(Таблиця147[FIELD],RANDBETWEEN(1,20),1)</f>
        <v>Politics &amp; Genealogy</v>
      </c>
      <c r="P29" s="2536" t="s">
        <v>11978</v>
      </c>
      <c r="Q29" s="2536" t="s">
        <v>12005</v>
      </c>
      <c r="Y29" s="2523" t="s">
        <v>12006</v>
      </c>
      <c r="Z29" s="1">
        <v>11</v>
      </c>
    </row>
    <row r="30" spans="1:26" ht="15" thickBot="1">
      <c r="E30" s="2543">
        <v>8</v>
      </c>
      <c r="F30" s="2541" t="s">
        <v>10581</v>
      </c>
      <c r="H30" s="2541" t="s">
        <v>10605</v>
      </c>
      <c r="I30" s="1" t="str" cm="1">
        <f t="array" aca="1" ref="I30" ca="1">INDEX(Таблиця147[FIELD],RANDBETWEEN(1,20),1)</f>
        <v>Psychology</v>
      </c>
      <c r="P30" s="2536" t="s">
        <v>11978</v>
      </c>
      <c r="Q30" s="2536" t="s">
        <v>12007</v>
      </c>
      <c r="Y30" s="2523" t="s">
        <v>12008</v>
      </c>
      <c r="Z30" s="1">
        <v>11</v>
      </c>
    </row>
    <row r="31" spans="1:26" ht="15" thickBot="1">
      <c r="E31" s="2541">
        <v>9</v>
      </c>
      <c r="F31" s="2541" t="s">
        <v>10572</v>
      </c>
      <c r="H31" s="2541" t="s">
        <v>10605</v>
      </c>
      <c r="I31" s="1" t="str" cm="1">
        <f t="array" aca="1" ref="I31" ca="1">INDEX(Таблиця147[FIELD],RANDBETWEEN(1,20),1)</f>
        <v>Languages</v>
      </c>
      <c r="P31" s="2536" t="s">
        <v>12009</v>
      </c>
      <c r="Q31" s="2536" t="s">
        <v>12010</v>
      </c>
      <c r="Y31" s="2523" t="s">
        <v>5820</v>
      </c>
      <c r="Z31" s="1">
        <v>12</v>
      </c>
    </row>
    <row r="32" spans="1:26" ht="15" thickBot="1">
      <c r="A32" s="1" t="s">
        <v>11995</v>
      </c>
      <c r="E32" s="2543">
        <v>10</v>
      </c>
      <c r="F32" s="2541" t="s">
        <v>10572</v>
      </c>
      <c r="H32" s="2541" t="s">
        <v>10605</v>
      </c>
      <c r="I32" s="1" t="str" cm="1">
        <f t="array" aca="1" ref="I32" ca="1">INDEX(Таблиця147[FIELD],RANDBETWEEN(1,20),1)</f>
        <v>Art &amp; Music</v>
      </c>
      <c r="P32" s="2536" t="s">
        <v>12009</v>
      </c>
      <c r="Q32" s="2536" t="s">
        <v>6952</v>
      </c>
      <c r="Y32" s="2523" t="s">
        <v>12011</v>
      </c>
      <c r="Z32" s="1">
        <v>12</v>
      </c>
    </row>
    <row r="33" spans="1:17" ht="15" thickBot="1">
      <c r="A33" s="1" t="s">
        <v>12012</v>
      </c>
      <c r="B33" s="1" t="s">
        <v>11947</v>
      </c>
      <c r="H33" s="2544" t="s">
        <v>10598</v>
      </c>
      <c r="I33" s="1" t="str" cm="1">
        <f t="array" aca="1" ref="I33" ca="1">INDEX(Таблиця146[FIELD],RANDBETWEEN(1,8),1)</f>
        <v>Weeds</v>
      </c>
      <c r="P33" s="2536" t="s">
        <v>12009</v>
      </c>
      <c r="Q33" s="2536" t="s">
        <v>12013</v>
      </c>
    </row>
    <row r="34" spans="1:17" ht="15" thickBot="1">
      <c r="A34" s="1">
        <v>1</v>
      </c>
      <c r="B34" s="1" t="s">
        <v>12007</v>
      </c>
      <c r="H34" s="2544" t="s">
        <v>10598</v>
      </c>
      <c r="I34" s="1" t="str" cm="1">
        <f t="array" aca="1" ref="I34" ca="1">INDEX(Таблиця146[FIELD],RANDBETWEEN(1,8),1)</f>
        <v>Weeds</v>
      </c>
      <c r="P34" s="2536" t="s">
        <v>12009</v>
      </c>
      <c r="Q34" s="2536" t="s">
        <v>12014</v>
      </c>
    </row>
    <row r="35" spans="1:17" ht="15" thickBot="1">
      <c r="A35" s="1">
        <v>2</v>
      </c>
      <c r="B35" s="1" t="s">
        <v>12007</v>
      </c>
      <c r="H35" s="2544" t="s">
        <v>10598</v>
      </c>
      <c r="I35" s="1" t="str" cm="1">
        <f t="array" aca="1" ref="I35" ca="1">INDEX(Таблиця146[FIELD],RANDBETWEEN(1,8),1)</f>
        <v>Flowers</v>
      </c>
      <c r="P35" s="2536"/>
      <c r="Q35" s="2536" t="s">
        <v>11997</v>
      </c>
    </row>
    <row r="36" spans="1:17" ht="15" thickBot="1">
      <c r="A36" s="1">
        <v>3</v>
      </c>
      <c r="B36" s="1" t="s">
        <v>12007</v>
      </c>
      <c r="H36" s="2541" t="s">
        <v>10592</v>
      </c>
      <c r="I36" s="1" t="str" cm="1">
        <f t="array" aca="1" ref="I36" ca="1">INDEX(Таблиця145[FIELD],RANDBETWEEN(1,10),1)</f>
        <v>Avians</v>
      </c>
      <c r="P36" s="2536"/>
      <c r="Q36" s="2536" t="s">
        <v>11999</v>
      </c>
    </row>
    <row r="37" spans="1:17" ht="15" thickBot="1">
      <c r="A37" s="1">
        <v>4</v>
      </c>
      <c r="B37" s="1" t="s">
        <v>12015</v>
      </c>
      <c r="H37" s="2541" t="s">
        <v>10592</v>
      </c>
      <c r="I37" s="1" t="str" cm="1">
        <f t="array" aca="1" ref="I37" ca="1">INDEX(Таблиця145[FIELD],RANDBETWEEN(1,10),1)</f>
        <v>Arachnids</v>
      </c>
      <c r="P37" s="2536"/>
      <c r="Q37" s="2536" t="s">
        <v>12000</v>
      </c>
    </row>
    <row r="38" spans="1:17" ht="15" thickBot="1">
      <c r="A38" s="1">
        <v>5</v>
      </c>
      <c r="B38" s="1" t="s">
        <v>12015</v>
      </c>
      <c r="H38" s="2541" t="s">
        <v>10592</v>
      </c>
      <c r="I38" s="1" t="str" cm="1">
        <f t="array" aca="1" ref="I38" ca="1">INDEX(Таблиця145[FIELD],RANDBETWEEN(1,10),1)</f>
        <v>Arachnids</v>
      </c>
      <c r="P38" s="2536"/>
      <c r="Q38" s="2536" t="s">
        <v>12002</v>
      </c>
    </row>
    <row r="39" spans="1:17" ht="15" thickBot="1">
      <c r="A39" s="1">
        <v>6</v>
      </c>
      <c r="B39" s="1" t="s">
        <v>6952</v>
      </c>
      <c r="H39" s="2544" t="s">
        <v>10581</v>
      </c>
      <c r="I39" s="1" t="str" cm="1">
        <f t="array" aca="1" ref="I39" ca="1">INDEX(Таблиця144[FIELD],RANDBETWEEN(1,8))</f>
        <v>Alchemy</v>
      </c>
      <c r="P39" s="2536"/>
      <c r="Q39" s="2536" t="s">
        <v>12004</v>
      </c>
    </row>
    <row r="40" spans="1:17" ht="15" thickBot="1">
      <c r="A40" s="1">
        <v>7</v>
      </c>
      <c r="B40" s="1" t="s">
        <v>6952</v>
      </c>
      <c r="D40" s="1" t="s">
        <v>11995</v>
      </c>
      <c r="E40" s="1" t="str" cm="1">
        <f t="array" aca="1" ref="E40" ca="1">INDEX(Таблиця147[FIELD],RANDBETWEEN(1,20),1)</f>
        <v>Legends &amp; Folklore</v>
      </c>
      <c r="H40" s="2541" t="s">
        <v>10581</v>
      </c>
      <c r="I40" s="1" t="str" cm="1">
        <f t="array" aca="1" ref="I40" ca="1">INDEX(Таблиця144[FIELD],RANDBETWEEN(1,8))</f>
        <v>Planes (Inner)</v>
      </c>
      <c r="P40" s="2536"/>
      <c r="Q40" s="2536" t="s">
        <v>12005</v>
      </c>
    </row>
    <row r="41" spans="1:17" ht="15" thickBot="1">
      <c r="A41" s="1">
        <v>8</v>
      </c>
      <c r="B41" s="1" t="s">
        <v>12016</v>
      </c>
      <c r="D41" s="1" t="s">
        <v>11995</v>
      </c>
      <c r="E41" s="1" t="str" cm="1">
        <f t="array" aca="1" ref="E41" ca="1">INDEX(Таблиця147[FIELD],RANDBETWEEN(1,20),1)</f>
        <v>Art &amp; Music</v>
      </c>
      <c r="H41" s="2541" t="s">
        <v>10581</v>
      </c>
      <c r="I41" s="1" t="str" cm="1">
        <f t="array" aca="1" ref="I41" ca="1">INDEX(Таблиця144[FIELD],RANDBETWEEN(1,8))</f>
        <v>Alchemy</v>
      </c>
      <c r="P41" s="2536"/>
      <c r="Q41" s="2536" t="s">
        <v>10587</v>
      </c>
    </row>
    <row r="42" spans="1:17" ht="15" thickBot="1">
      <c r="A42" s="1">
        <v>9</v>
      </c>
      <c r="B42" s="1" t="s">
        <v>12016</v>
      </c>
      <c r="D42" s="1" t="s">
        <v>11995</v>
      </c>
      <c r="E42" s="1" t="str" cm="1">
        <f t="array" aca="1" ref="E42" ca="1">INDEX(Таблиця147[FIELD],RANDBETWEEN(1,20),1)</f>
        <v>Biology</v>
      </c>
      <c r="H42" s="2544" t="s">
        <v>10572</v>
      </c>
      <c r="I42" s="1" t="str" cm="1">
        <f t="array" aca="1" ref="I42" ca="1">INDEX(Таблиця150[FIELD],RANDBETWEEN(1,12),1)</f>
        <v>Geography</v>
      </c>
      <c r="P42" s="2536"/>
      <c r="Q42" s="2536" t="s">
        <v>10580</v>
      </c>
    </row>
    <row r="43" spans="1:17" ht="15" thickBot="1">
      <c r="A43" s="1">
        <v>10</v>
      </c>
      <c r="B43" s="1" t="s">
        <v>12016</v>
      </c>
      <c r="D43" s="1" t="s">
        <v>11995</v>
      </c>
      <c r="E43" s="1" t="str" cm="1">
        <f t="array" aca="1" ref="E43" ca="1">INDEX(Таблиця147[FIELD],RANDBETWEEN(1,20),1)</f>
        <v>Art &amp; Music</v>
      </c>
      <c r="H43" s="2541" t="s">
        <v>10572</v>
      </c>
      <c r="I43" s="1" t="str" cm="1">
        <f t="array" aca="1" ref="I43" ca="1">INDEX(Таблиця150[FIELD],RANDBETWEEN(1,12),1)</f>
        <v>Business and Economics</v>
      </c>
      <c r="P43" s="2536"/>
      <c r="Q43" s="2536"/>
    </row>
    <row r="44" spans="1:17" ht="15" thickBot="1">
      <c r="A44" s="1">
        <v>11</v>
      </c>
      <c r="B44" s="1" t="s">
        <v>12017</v>
      </c>
      <c r="D44" s="1" t="s">
        <v>11995</v>
      </c>
      <c r="E44" s="1" t="str" cm="1">
        <f t="array" aca="1" ref="E44" ca="1">INDEX(Таблиця147[FIELD],RANDBETWEEN(1,20),1)</f>
        <v>Art &amp; Music</v>
      </c>
      <c r="H44" s="2541" t="s">
        <v>10572</v>
      </c>
      <c r="I44" s="1" t="str" cm="1">
        <f t="array" aca="1" ref="I44" ca="1">INDEX(Таблиця150[FIELD],RANDBETWEEN(1,12),1)</f>
        <v>Engineering &amp; Architecture</v>
      </c>
    </row>
    <row r="45" spans="1:17">
      <c r="A45" s="1">
        <v>12</v>
      </c>
      <c r="B45" s="1" t="s">
        <v>11997</v>
      </c>
      <c r="D45" s="1" t="s">
        <v>10572</v>
      </c>
      <c r="E45" s="1" t="str" cm="1">
        <f t="array" aca="1" ref="E45" ca="1">INDEX(Таблиця150[FIELD],RANDBETWEEN(1,12),1)</f>
        <v>Engineering &amp; Architecture</v>
      </c>
    </row>
    <row r="46" spans="1:17">
      <c r="A46" s="1">
        <v>13</v>
      </c>
      <c r="B46" s="1" t="s">
        <v>11999</v>
      </c>
      <c r="D46" s="1" t="s">
        <v>10572</v>
      </c>
      <c r="E46" s="1" t="str" cm="1">
        <f t="array" aca="1" ref="E46" ca="1">INDEX(Таблиця150[FIELD],RANDBETWEEN(1,12),1)</f>
        <v>Business and Economics</v>
      </c>
    </row>
    <row r="47" spans="1:17">
      <c r="A47" s="1">
        <v>14</v>
      </c>
      <c r="B47" s="1" t="s">
        <v>12000</v>
      </c>
      <c r="D47" s="1" t="s">
        <v>10572</v>
      </c>
      <c r="E47" s="1" t="str" cm="1">
        <f t="array" aca="1" ref="E47" ca="1">INDEX(Таблиця150[FIELD],RANDBETWEEN(1,12),1)</f>
        <v>Business and Economics</v>
      </c>
    </row>
    <row r="48" spans="1:17">
      <c r="A48" s="1">
        <v>15</v>
      </c>
      <c r="B48" s="1" t="s">
        <v>12000</v>
      </c>
      <c r="D48" s="1" t="s">
        <v>10572</v>
      </c>
      <c r="E48" s="1" t="str" cm="1">
        <f t="array" aca="1" ref="E48" ca="1">INDEX(Таблиця150[FIELD],RANDBETWEEN(1,12),1)</f>
        <v>Meteorology &amp; Climatology</v>
      </c>
    </row>
    <row r="49" spans="1:5">
      <c r="A49" s="1">
        <v>16</v>
      </c>
      <c r="B49" s="1" t="s">
        <v>12002</v>
      </c>
      <c r="D49" s="1" t="s">
        <v>10572</v>
      </c>
      <c r="E49" s="1" t="str" cm="1">
        <f t="array" aca="1" ref="E49" ca="1">INDEX(Таблиця150[FIELD],RANDBETWEEN(1,12),1)</f>
        <v>Mathematics</v>
      </c>
    </row>
    <row r="50" spans="1:5">
      <c r="A50" s="1">
        <v>17</v>
      </c>
      <c r="B50" s="1" t="s">
        <v>12004</v>
      </c>
      <c r="D50" s="1" t="s">
        <v>10581</v>
      </c>
      <c r="E50" s="1" t="str" cm="1">
        <f t="array" aca="1" ref="E50" ca="1">INDEX(Таблиця144[FIELD],RANDBETWEEN(1,8))</f>
        <v>Planes (Outer)</v>
      </c>
    </row>
    <row r="51" spans="1:5">
      <c r="A51" s="1">
        <v>18</v>
      </c>
      <c r="B51" s="1" t="s">
        <v>12018</v>
      </c>
      <c r="D51" s="1" t="s">
        <v>10581</v>
      </c>
      <c r="E51" s="1" t="str" cm="1">
        <f t="array" aca="1" ref="E51" ca="1">INDEX(Таблиця144[FIELD],RANDBETWEEN(1,8))</f>
        <v>Divination</v>
      </c>
    </row>
    <row r="52" spans="1:5">
      <c r="A52" s="1">
        <v>19</v>
      </c>
      <c r="B52" s="1" t="s">
        <v>12018</v>
      </c>
      <c r="D52" s="1" t="s">
        <v>10581</v>
      </c>
      <c r="E52" s="1" t="str" cm="1">
        <f t="array" aca="1" ref="E52" ca="1">INDEX(Таблиця144[FIELD],RANDBETWEEN(1,8))</f>
        <v>Dweomercraft</v>
      </c>
    </row>
    <row r="53" spans="1:5">
      <c r="A53" s="1">
        <v>20</v>
      </c>
      <c r="B53" s="1" t="s">
        <v>12018</v>
      </c>
      <c r="D53" s="1" t="s">
        <v>10581</v>
      </c>
      <c r="E53" s="1" t="str" cm="1">
        <f t="array" aca="1" ref="E53" ca="1">INDEX(Таблиця144[FIELD],RANDBETWEEN(1,8))</f>
        <v>Alchemy</v>
      </c>
    </row>
    <row r="54" spans="1:5">
      <c r="D54" s="1" t="s">
        <v>10581</v>
      </c>
      <c r="E54" s="1" t="str" cm="1">
        <f t="array" aca="1" ref="E54" ca="1">INDEX(Таблиця144[FIELD],RANDBETWEEN(1,8))</f>
        <v>Planes (Inner)</v>
      </c>
    </row>
    <row r="55" spans="1:5">
      <c r="A55" s="1" t="s">
        <v>10572</v>
      </c>
      <c r="D55" s="1" t="s">
        <v>10592</v>
      </c>
      <c r="E55" s="1" t="str" cm="1">
        <f t="array" aca="1" ref="E55" ca="1">INDEX(Таблиця145[FIELD],RANDBETWEEN(1,10),1)</f>
        <v>Cephalopods &amp; Echinoderms</v>
      </c>
    </row>
    <row r="56" spans="1:5">
      <c r="A56" s="1" t="s">
        <v>10625</v>
      </c>
      <c r="B56" s="1" t="s">
        <v>11947</v>
      </c>
      <c r="D56" s="1" t="s">
        <v>10592</v>
      </c>
      <c r="E56" s="1" t="str" cm="1">
        <f t="array" aca="1" ref="E56" ca="1">INDEX(Таблиця145[FIELD],RANDBETWEEN(1,10),1)</f>
        <v>Cephalopods &amp; Echinoderms</v>
      </c>
    </row>
    <row r="57" spans="1:5">
      <c r="A57" s="1">
        <v>1</v>
      </c>
      <c r="B57" s="1" t="s">
        <v>10614</v>
      </c>
      <c r="D57" s="1" t="s">
        <v>10592</v>
      </c>
      <c r="E57" s="1" t="str" cm="1">
        <f t="array" aca="1" ref="E57" ca="1">INDEX(Таблиця145[FIELD],RANDBETWEEN(1,10),1)</f>
        <v>Avians</v>
      </c>
    </row>
    <row r="58" spans="1:5">
      <c r="A58" s="1">
        <v>2</v>
      </c>
      <c r="B58" s="1" t="s">
        <v>10614</v>
      </c>
      <c r="D58" s="1" t="s">
        <v>10592</v>
      </c>
      <c r="E58" s="1" t="str" cm="1">
        <f t="array" aca="1" ref="E58" ca="1">INDEX(Таблиця145[FIELD],RANDBETWEEN(1,10),1)</f>
        <v>Arachnids</v>
      </c>
    </row>
    <row r="59" spans="1:5">
      <c r="A59" s="1">
        <v>3</v>
      </c>
      <c r="B59" s="1" t="s">
        <v>10608</v>
      </c>
      <c r="D59" s="1" t="s">
        <v>10592</v>
      </c>
      <c r="E59" s="1" t="str" cm="1">
        <f t="array" aca="1" ref="E59" ca="1">INDEX(Таблиця145[FIELD],RANDBETWEEN(1,10),1)</f>
        <v>Marsupials</v>
      </c>
    </row>
    <row r="60" spans="1:5">
      <c r="A60" s="1">
        <v>4</v>
      </c>
      <c r="B60" s="1" t="s">
        <v>10601</v>
      </c>
      <c r="D60" s="1" t="s">
        <v>10598</v>
      </c>
      <c r="E60" s="1" t="str" cm="1">
        <f t="array" aca="1" ref="E60" ca="1">INDEX(Таблиця146[FIELD],RANDBETWEEN(1,8),1)</f>
        <v>Weeds</v>
      </c>
    </row>
    <row r="61" spans="1:5">
      <c r="A61" s="1">
        <v>5</v>
      </c>
      <c r="B61" s="1" t="s">
        <v>10594</v>
      </c>
      <c r="D61" s="1" t="s">
        <v>10598</v>
      </c>
      <c r="E61" s="1" t="str" cm="1">
        <f t="array" aca="1" ref="E61" ca="1">INDEX(Таблиця146[FIELD],RANDBETWEEN(1,8),1)</f>
        <v>Bushes &amp; Shrubs</v>
      </c>
    </row>
    <row r="62" spans="1:5">
      <c r="A62" s="1">
        <v>6</v>
      </c>
      <c r="B62" s="1" t="s">
        <v>10589</v>
      </c>
      <c r="D62" s="1" t="s">
        <v>10598</v>
      </c>
      <c r="E62" s="1" t="str" cm="1">
        <f t="array" aca="1" ref="E62" ca="1">INDEX(Таблиця146[FIELD],RANDBETWEEN(1,8),1)</f>
        <v>Fungi</v>
      </c>
    </row>
    <row r="63" spans="1:5">
      <c r="A63" s="1">
        <v>7</v>
      </c>
      <c r="B63" s="1" t="s">
        <v>10584</v>
      </c>
      <c r="D63" s="1" t="s">
        <v>10598</v>
      </c>
      <c r="E63" s="1" t="str" cm="1">
        <f t="array" aca="1" ref="E63" ca="1">INDEX(Таблиця146[FIELD],RANDBETWEEN(1,8),1)</f>
        <v>Grasses and Grains</v>
      </c>
    </row>
    <row r="64" spans="1:5" ht="15" thickBot="1">
      <c r="A64" s="1">
        <v>8</v>
      </c>
      <c r="B64" s="1" t="s">
        <v>10577</v>
      </c>
      <c r="D64" s="1" t="s">
        <v>10598</v>
      </c>
      <c r="E64" s="1" t="str" cm="1">
        <f t="array" aca="1" ref="E64" ca="1">INDEX(Таблиця146[FIELD],RANDBETWEEN(1,8),1)</f>
        <v>Herbs</v>
      </c>
    </row>
    <row r="65" spans="1:5" ht="15" thickBot="1">
      <c r="A65" s="1">
        <v>9</v>
      </c>
      <c r="B65" s="1" t="s">
        <v>10574</v>
      </c>
      <c r="D65" s="2541" t="s">
        <v>10605</v>
      </c>
      <c r="E65" s="1" t="str" cm="1">
        <f t="array" aca="1" ref="E65" ca="1">INDEX(Таблиця147[FIELD],RANDBETWEEN(1,20),1)</f>
        <v>Philosophy &amp; Ethics</v>
      </c>
    </row>
    <row r="66" spans="1:5" ht="15" thickBot="1">
      <c r="A66" s="1">
        <v>10</v>
      </c>
      <c r="B66" s="1" t="s">
        <v>10570</v>
      </c>
      <c r="D66" s="2541" t="s">
        <v>10605</v>
      </c>
      <c r="E66" s="1" t="str" cm="1">
        <f t="array" aca="1" ref="E66" ca="1">INDEX(Таблиця147[FIELD],RANDBETWEEN(1,20),1)</f>
        <v>Languages</v>
      </c>
    </row>
    <row r="67" spans="1:5" ht="15" thickBot="1">
      <c r="A67" s="1">
        <v>11</v>
      </c>
      <c r="B67" s="1" t="s">
        <v>10568</v>
      </c>
      <c r="D67" s="2541" t="s">
        <v>10605</v>
      </c>
      <c r="E67" s="1" t="str" cm="1">
        <f t="array" aca="1" ref="E67" ca="1">INDEX(Таблиця147[FIELD],RANDBETWEEN(1,20),1)</f>
        <v>Languages</v>
      </c>
    </row>
    <row r="68" spans="1:5" ht="15" thickBot="1">
      <c r="A68" s="1">
        <v>12</v>
      </c>
      <c r="B68" s="1" t="s">
        <v>10566</v>
      </c>
      <c r="D68" s="2541" t="s">
        <v>10605</v>
      </c>
      <c r="E68" s="1" t="str" cm="1">
        <f t="array" aca="1" ref="E68" ca="1">INDEX(Таблиця147[FIELD],RANDBETWEEN(1,20),1)</f>
        <v>Politics &amp; Genealogy</v>
      </c>
    </row>
    <row r="69" spans="1:5" ht="15" thickBot="1">
      <c r="D69" s="2541" t="s">
        <v>10605</v>
      </c>
      <c r="E69" s="1" t="str" cm="1">
        <f t="array" aca="1" ref="E69" ca="1">INDEX(Таблиця147[FIELD],RANDBETWEEN(1,20),1)</f>
        <v>Legends &amp; Folklore</v>
      </c>
    </row>
    <row r="70" spans="1:5">
      <c r="A70" s="1" t="s">
        <v>10581</v>
      </c>
    </row>
    <row r="71" spans="1:5">
      <c r="A71" s="1" t="s">
        <v>12019</v>
      </c>
      <c r="B71" s="1" t="s">
        <v>11947</v>
      </c>
    </row>
    <row r="72" spans="1:5">
      <c r="A72" s="1">
        <v>1</v>
      </c>
      <c r="B72" s="1" t="s">
        <v>10620</v>
      </c>
    </row>
    <row r="73" spans="1:5">
      <c r="A73" s="1">
        <v>2</v>
      </c>
      <c r="B73" s="1" t="s">
        <v>6744</v>
      </c>
    </row>
    <row r="74" spans="1:5">
      <c r="A74" s="1">
        <v>3</v>
      </c>
      <c r="B74" s="1" t="s">
        <v>10602</v>
      </c>
    </row>
    <row r="75" spans="1:5">
      <c r="A75" s="1">
        <v>4</v>
      </c>
      <c r="B75" s="1" t="s">
        <v>10602</v>
      </c>
    </row>
    <row r="76" spans="1:5">
      <c r="A76" s="1">
        <v>5</v>
      </c>
      <c r="B76" s="1" t="s">
        <v>10595</v>
      </c>
    </row>
    <row r="77" spans="1:5">
      <c r="A77" s="1">
        <v>6</v>
      </c>
      <c r="B77" s="1" t="s">
        <v>6958</v>
      </c>
    </row>
    <row r="78" spans="1:5">
      <c r="A78" s="1">
        <v>7</v>
      </c>
      <c r="B78" s="1" t="s">
        <v>10585</v>
      </c>
    </row>
    <row r="79" spans="1:5">
      <c r="A79" s="1">
        <v>8</v>
      </c>
      <c r="B79" s="1" t="s">
        <v>10578</v>
      </c>
    </row>
    <row r="81" spans="1:2">
      <c r="A81" s="1" t="s">
        <v>10592</v>
      </c>
    </row>
    <row r="82" spans="1:2">
      <c r="A82" s="1" t="s">
        <v>11993</v>
      </c>
      <c r="B82" s="2517" t="s">
        <v>11947</v>
      </c>
    </row>
    <row r="83" spans="1:2">
      <c r="A83" s="1">
        <v>1</v>
      </c>
      <c r="B83" s="1" t="s">
        <v>10621</v>
      </c>
    </row>
    <row r="84" spans="1:2">
      <c r="A84" s="1">
        <v>2</v>
      </c>
      <c r="B84" s="1" t="s">
        <v>10615</v>
      </c>
    </row>
    <row r="85" spans="1:2">
      <c r="A85" s="1">
        <v>3</v>
      </c>
      <c r="B85" s="1" t="s">
        <v>10609</v>
      </c>
    </row>
    <row r="86" spans="1:2">
      <c r="A86" s="1">
        <v>4</v>
      </c>
      <c r="B86" s="1" t="s">
        <v>10603</v>
      </c>
    </row>
    <row r="87" spans="1:2">
      <c r="A87" s="1">
        <v>5</v>
      </c>
      <c r="B87" s="1" t="s">
        <v>10596</v>
      </c>
    </row>
    <row r="88" spans="1:2">
      <c r="A88" s="1">
        <v>6</v>
      </c>
      <c r="B88" s="1" t="s">
        <v>10590</v>
      </c>
    </row>
    <row r="89" spans="1:2">
      <c r="A89" s="1">
        <v>7</v>
      </c>
      <c r="B89" s="1" t="s">
        <v>10586</v>
      </c>
    </row>
    <row r="90" spans="1:2">
      <c r="A90" s="1">
        <v>8</v>
      </c>
      <c r="B90" s="1" t="s">
        <v>10579</v>
      </c>
    </row>
    <row r="91" spans="1:2">
      <c r="A91" s="1">
        <v>9</v>
      </c>
      <c r="B91" s="1" t="s">
        <v>10575</v>
      </c>
    </row>
    <row r="92" spans="1:2">
      <c r="A92" s="1">
        <v>10</v>
      </c>
      <c r="B92" s="1" t="s">
        <v>10571</v>
      </c>
    </row>
    <row r="94" spans="1:2">
      <c r="A94" s="1" t="s">
        <v>10598</v>
      </c>
    </row>
    <row r="95" spans="1:2">
      <c r="A95" s="1" t="s">
        <v>12019</v>
      </c>
      <c r="B95" s="2517" t="s">
        <v>11947</v>
      </c>
    </row>
    <row r="96" spans="1:2">
      <c r="A96" s="1">
        <v>1</v>
      </c>
      <c r="B96" s="1" t="s">
        <v>10622</v>
      </c>
    </row>
    <row r="97" spans="1:2">
      <c r="A97" s="1">
        <v>2</v>
      </c>
      <c r="B97" s="1" t="s">
        <v>10616</v>
      </c>
    </row>
    <row r="98" spans="1:2">
      <c r="A98" s="1">
        <v>3</v>
      </c>
      <c r="B98" s="1" t="s">
        <v>10610</v>
      </c>
    </row>
    <row r="99" spans="1:2">
      <c r="A99" s="1">
        <v>4</v>
      </c>
      <c r="B99" s="1" t="s">
        <v>10604</v>
      </c>
    </row>
    <row r="100" spans="1:2">
      <c r="A100" s="1">
        <v>5</v>
      </c>
      <c r="B100" s="1" t="s">
        <v>10597</v>
      </c>
    </row>
    <row r="101" spans="1:2">
      <c r="A101" s="1">
        <v>6</v>
      </c>
      <c r="B101" s="1" t="s">
        <v>10591</v>
      </c>
    </row>
    <row r="102" spans="1:2">
      <c r="A102" s="1">
        <v>7</v>
      </c>
      <c r="B102" s="1" t="s">
        <v>10587</v>
      </c>
    </row>
    <row r="103" spans="1:2">
      <c r="A103" s="1">
        <v>8</v>
      </c>
      <c r="B103" s="1" t="s">
        <v>10580</v>
      </c>
    </row>
  </sheetData>
  <mergeCells count="3">
    <mergeCell ref="AJ2:AK2"/>
    <mergeCell ref="AN2:AO2"/>
    <mergeCell ref="P4:R4"/>
  </mergeCells>
  <pageMargins left="0.7" right="0.7" top="0.75" bottom="0.75" header="0.3" footer="0.3"/>
  <tableParts count="19">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5E070-BF86-4C09-8927-DAD598A4CBD1}">
  <sheetPr>
    <tabColor rgb="FF00B050"/>
  </sheetPr>
  <dimension ref="A1:V28"/>
  <sheetViews>
    <sheetView workbookViewId="0">
      <selection activeCell="E2" sqref="E2"/>
    </sheetView>
  </sheetViews>
  <sheetFormatPr defaultRowHeight="16.5"/>
  <cols>
    <col min="1" max="1" width="12" style="2492" customWidth="1"/>
    <col min="2" max="2" width="13.109375" style="2492" bestFit="1" customWidth="1"/>
    <col min="3" max="4" width="8.88671875" style="2492"/>
    <col min="5" max="5" width="21.33203125" style="2492" customWidth="1"/>
    <col min="6" max="16384" width="8.88671875" style="2492"/>
  </cols>
  <sheetData>
    <row r="1" spans="1:22" ht="17.25" thickBot="1">
      <c r="A1" s="2489" t="s">
        <v>10922</v>
      </c>
      <c r="B1" s="2490" t="s">
        <v>10921</v>
      </c>
      <c r="C1" s="2490" t="s">
        <v>10920</v>
      </c>
      <c r="D1" s="2490" t="s">
        <v>1727</v>
      </c>
      <c r="E1" s="2490" t="s">
        <v>10919</v>
      </c>
      <c r="F1" s="2490" t="s">
        <v>9038</v>
      </c>
      <c r="G1" s="2490" t="s">
        <v>10918</v>
      </c>
      <c r="H1" s="2491" t="s">
        <v>10917</v>
      </c>
      <c r="J1" s="2493" t="s">
        <v>10916</v>
      </c>
      <c r="K1" s="2494" t="s">
        <v>5795</v>
      </c>
      <c r="L1" s="2494" t="s">
        <v>10915</v>
      </c>
      <c r="M1" s="2494" t="s">
        <v>10914</v>
      </c>
      <c r="N1" s="2494" t="s">
        <v>5789</v>
      </c>
      <c r="O1" s="2494" t="s">
        <v>5788</v>
      </c>
      <c r="P1" s="2494" t="s">
        <v>1969</v>
      </c>
      <c r="Q1" s="2494" t="s">
        <v>10913</v>
      </c>
      <c r="R1" s="2494" t="s">
        <v>10912</v>
      </c>
      <c r="S1" s="2494" t="s">
        <v>9599</v>
      </c>
      <c r="T1" s="2494" t="s">
        <v>5827</v>
      </c>
      <c r="U1" s="2495" t="s">
        <v>10911</v>
      </c>
    </row>
    <row r="2" spans="1:22" ht="17.25" thickBot="1">
      <c r="A2" s="2496" t="s">
        <v>10903</v>
      </c>
      <c r="B2" s="2497" t="s">
        <v>10902</v>
      </c>
      <c r="C2" s="2498">
        <v>1</v>
      </c>
      <c r="D2" s="2497" t="s">
        <v>10901</v>
      </c>
      <c r="E2" s="2497" t="s">
        <v>10900</v>
      </c>
      <c r="F2" s="2497" t="s">
        <v>10899</v>
      </c>
      <c r="G2" s="2497" t="s">
        <v>10898</v>
      </c>
      <c r="H2" s="2499" t="s">
        <v>10897</v>
      </c>
      <c r="J2" s="2500" t="s">
        <v>10896</v>
      </c>
      <c r="K2" s="2501" t="s">
        <v>10895</v>
      </c>
      <c r="L2" s="2501" t="s">
        <v>10894</v>
      </c>
      <c r="M2" s="2501" t="s">
        <v>10893</v>
      </c>
      <c r="N2" s="2502">
        <v>10</v>
      </c>
      <c r="O2" s="2501" t="s">
        <v>10892</v>
      </c>
      <c r="P2" s="2502">
        <v>30</v>
      </c>
      <c r="Q2" s="2501" t="s">
        <v>10891</v>
      </c>
      <c r="R2" s="2503"/>
      <c r="S2" s="2501" t="s">
        <v>10852</v>
      </c>
      <c r="T2" s="2501" t="s">
        <v>10788</v>
      </c>
      <c r="U2" s="2504" t="s">
        <v>10890</v>
      </c>
    </row>
    <row r="3" spans="1:22" ht="17.25" thickBot="1">
      <c r="A3" s="2496" t="s">
        <v>10885</v>
      </c>
      <c r="B3" s="2497" t="s">
        <v>10884</v>
      </c>
      <c r="C3" s="2498">
        <v>2</v>
      </c>
      <c r="D3" s="2497" t="s">
        <v>10883</v>
      </c>
      <c r="E3" s="2497" t="s">
        <v>10882</v>
      </c>
      <c r="F3" s="2497" t="s">
        <v>10881</v>
      </c>
      <c r="G3" s="2497" t="s">
        <v>10880</v>
      </c>
      <c r="H3" s="2499" t="s">
        <v>10879</v>
      </c>
      <c r="J3" s="2500" t="s">
        <v>10878</v>
      </c>
      <c r="K3" s="2501" t="s">
        <v>10836</v>
      </c>
      <c r="L3" s="2501" t="s">
        <v>10877</v>
      </c>
      <c r="M3" s="2501" t="s">
        <v>10876</v>
      </c>
      <c r="N3" s="2502">
        <v>13</v>
      </c>
      <c r="O3" s="2501" t="s">
        <v>10875</v>
      </c>
      <c r="P3" s="2502">
        <v>30</v>
      </c>
      <c r="Q3" s="2501" t="s">
        <v>10874</v>
      </c>
      <c r="R3" s="2501" t="s">
        <v>10873</v>
      </c>
      <c r="S3" s="2501" t="s">
        <v>10872</v>
      </c>
      <c r="T3" s="2501" t="s">
        <v>10871</v>
      </c>
      <c r="U3" s="2504" t="s">
        <v>10870</v>
      </c>
    </row>
    <row r="4" spans="1:22" ht="17.25" thickBot="1">
      <c r="A4" s="2496" t="s">
        <v>10864</v>
      </c>
      <c r="B4" s="2497" t="s">
        <v>10863</v>
      </c>
      <c r="C4" s="2498">
        <v>3</v>
      </c>
      <c r="D4" s="2497" t="s">
        <v>10862</v>
      </c>
      <c r="E4" s="2497" t="s">
        <v>10861</v>
      </c>
      <c r="F4" s="2497" t="s">
        <v>10860</v>
      </c>
      <c r="G4" s="2497" t="s">
        <v>10859</v>
      </c>
      <c r="H4" s="2499" t="s">
        <v>10858</v>
      </c>
      <c r="J4" s="2500" t="s">
        <v>10857</v>
      </c>
      <c r="K4" s="2501" t="s">
        <v>10836</v>
      </c>
      <c r="L4" s="2501" t="s">
        <v>10856</v>
      </c>
      <c r="M4" s="2502">
        <v>1</v>
      </c>
      <c r="N4" s="2502">
        <v>15</v>
      </c>
      <c r="O4" s="2501" t="s">
        <v>10855</v>
      </c>
      <c r="P4" s="2502">
        <v>30</v>
      </c>
      <c r="Q4" s="2501" t="s">
        <v>10854</v>
      </c>
      <c r="R4" s="2501" t="s">
        <v>10853</v>
      </c>
      <c r="S4" s="2501" t="s">
        <v>10852</v>
      </c>
      <c r="T4" s="2501" t="s">
        <v>10772</v>
      </c>
      <c r="U4" s="2504" t="s">
        <v>10851</v>
      </c>
    </row>
    <row r="5" spans="1:22" ht="17.25" thickBot="1">
      <c r="A5" s="2496" t="s">
        <v>10844</v>
      </c>
      <c r="B5" s="2497" t="s">
        <v>10843</v>
      </c>
      <c r="C5" s="2498">
        <v>4</v>
      </c>
      <c r="D5" s="2497" t="s">
        <v>10842</v>
      </c>
      <c r="E5" s="2497" t="s">
        <v>10841</v>
      </c>
      <c r="F5" s="2497" t="s">
        <v>10840</v>
      </c>
      <c r="G5" s="2497" t="s">
        <v>10839</v>
      </c>
      <c r="H5" s="2499" t="s">
        <v>10838</v>
      </c>
      <c r="J5" s="2500" t="s">
        <v>10837</v>
      </c>
      <c r="K5" s="2501" t="s">
        <v>10836</v>
      </c>
      <c r="L5" s="2501" t="s">
        <v>10835</v>
      </c>
      <c r="M5" s="2501" t="s">
        <v>10834</v>
      </c>
      <c r="N5" s="2502">
        <v>13</v>
      </c>
      <c r="O5" s="2501" t="s">
        <v>10833</v>
      </c>
      <c r="P5" s="2502">
        <v>30</v>
      </c>
      <c r="Q5" s="2501" t="s">
        <v>10832</v>
      </c>
      <c r="R5" s="2501" t="s">
        <v>10831</v>
      </c>
      <c r="S5" s="2501" t="s">
        <v>10830</v>
      </c>
      <c r="T5" s="2501" t="s">
        <v>10806</v>
      </c>
      <c r="U5" s="2504" t="s">
        <v>10829</v>
      </c>
    </row>
    <row r="6" spans="1:22" ht="17.25" thickBot="1">
      <c r="A6" s="2496" t="s">
        <v>10821</v>
      </c>
      <c r="B6" s="2497" t="s">
        <v>10820</v>
      </c>
      <c r="C6" s="2498">
        <v>5</v>
      </c>
      <c r="D6" s="2497" t="s">
        <v>10819</v>
      </c>
      <c r="E6" s="2497" t="s">
        <v>10818</v>
      </c>
      <c r="F6" s="2497" t="s">
        <v>10817</v>
      </c>
      <c r="G6" s="2497" t="s">
        <v>10816</v>
      </c>
      <c r="H6" s="2499" t="s">
        <v>10815</v>
      </c>
      <c r="J6" s="2500" t="s">
        <v>10814</v>
      </c>
      <c r="K6" s="2501" t="s">
        <v>10813</v>
      </c>
      <c r="L6" s="2501" t="s">
        <v>10812</v>
      </c>
      <c r="M6" s="2501" t="s">
        <v>10811</v>
      </c>
      <c r="N6" s="2502">
        <v>10</v>
      </c>
      <c r="O6" s="2501" t="s">
        <v>10810</v>
      </c>
      <c r="P6" s="2502">
        <v>15</v>
      </c>
      <c r="Q6" s="2501" t="s">
        <v>10809</v>
      </c>
      <c r="R6" s="2501" t="s">
        <v>10808</v>
      </c>
      <c r="S6" s="2501" t="s">
        <v>10807</v>
      </c>
      <c r="T6" s="2501" t="s">
        <v>10806</v>
      </c>
      <c r="U6" s="2504" t="s">
        <v>10805</v>
      </c>
    </row>
    <row r="7" spans="1:22" ht="17.25" thickBot="1">
      <c r="A7" s="2496" t="s">
        <v>10798</v>
      </c>
      <c r="B7" s="2497" t="s">
        <v>10797</v>
      </c>
      <c r="C7" s="2498">
        <v>6</v>
      </c>
      <c r="D7" s="2497" t="s">
        <v>10796</v>
      </c>
      <c r="E7" s="2503"/>
      <c r="F7" s="2503"/>
      <c r="G7" s="2503"/>
      <c r="H7" s="2505"/>
      <c r="J7" s="2500" t="s">
        <v>10795</v>
      </c>
      <c r="K7" s="2501" t="s">
        <v>10794</v>
      </c>
      <c r="L7" s="2501" t="s">
        <v>10793</v>
      </c>
      <c r="M7" s="2501" t="s">
        <v>10792</v>
      </c>
      <c r="N7" s="2502">
        <v>9</v>
      </c>
      <c r="O7" s="2501" t="s">
        <v>10791</v>
      </c>
      <c r="P7" s="2502">
        <v>20</v>
      </c>
      <c r="Q7" s="2501" t="s">
        <v>10790</v>
      </c>
      <c r="R7" s="2501" t="s">
        <v>10789</v>
      </c>
      <c r="S7" s="2501" t="s">
        <v>10773</v>
      </c>
      <c r="T7" s="2501" t="s">
        <v>10788</v>
      </c>
      <c r="U7" s="2504" t="s">
        <v>10787</v>
      </c>
    </row>
    <row r="8" spans="1:22" ht="17.25" thickBot="1">
      <c r="A8" s="2506" t="s">
        <v>10782</v>
      </c>
      <c r="B8" s="2507" t="s">
        <v>10781</v>
      </c>
      <c r="C8" s="2508"/>
      <c r="D8" s="2508"/>
      <c r="E8" s="2508"/>
      <c r="F8" s="2508"/>
      <c r="G8" s="2508"/>
      <c r="H8" s="2509"/>
      <c r="J8" s="2500" t="s">
        <v>10780</v>
      </c>
      <c r="K8" s="2501" t="s">
        <v>10779</v>
      </c>
      <c r="L8" s="2501" t="s">
        <v>10778</v>
      </c>
      <c r="M8" s="2501" t="s">
        <v>10777</v>
      </c>
      <c r="N8" s="2502">
        <v>13</v>
      </c>
      <c r="O8" s="2501" t="s">
        <v>10776</v>
      </c>
      <c r="P8" s="2502">
        <v>20</v>
      </c>
      <c r="Q8" s="2501" t="s">
        <v>10775</v>
      </c>
      <c r="R8" s="2501" t="s">
        <v>10774</v>
      </c>
      <c r="S8" s="2501" t="s">
        <v>10773</v>
      </c>
      <c r="T8" s="2501" t="s">
        <v>10772</v>
      </c>
      <c r="U8" s="2504" t="s">
        <v>10771</v>
      </c>
    </row>
    <row r="9" spans="1:22">
      <c r="J9" s="2510" t="s">
        <v>10764</v>
      </c>
      <c r="K9" s="2511" t="s">
        <v>10763</v>
      </c>
      <c r="L9" s="2511" t="s">
        <v>10762</v>
      </c>
      <c r="M9" s="2511" t="s">
        <v>10761</v>
      </c>
      <c r="N9" s="2512">
        <v>12</v>
      </c>
      <c r="O9" s="2511" t="s">
        <v>10760</v>
      </c>
      <c r="P9" s="2512">
        <v>20</v>
      </c>
      <c r="Q9" s="2511" t="s">
        <v>10759</v>
      </c>
      <c r="R9" s="2511" t="s">
        <v>10758</v>
      </c>
      <c r="S9" s="2511" t="s">
        <v>10757</v>
      </c>
      <c r="T9" s="2511" t="s">
        <v>10756</v>
      </c>
      <c r="U9" s="2513" t="s">
        <v>10755</v>
      </c>
    </row>
    <row r="13" spans="1:22">
      <c r="A13" s="2428" t="s">
        <v>10934</v>
      </c>
      <c r="B13" s="2428"/>
      <c r="C13" s="2428"/>
      <c r="D13" s="2428"/>
      <c r="E13" s="2428"/>
      <c r="F13" s="2428"/>
      <c r="G13" s="2428"/>
      <c r="H13" s="2428"/>
      <c r="I13" s="2428"/>
      <c r="J13" s="2439" t="s">
        <v>10933</v>
      </c>
      <c r="K13" s="2428"/>
      <c r="L13" s="2428"/>
      <c r="M13" s="2428"/>
      <c r="N13" s="2428"/>
      <c r="O13" s="2428"/>
      <c r="P13" s="2428"/>
      <c r="Q13" s="2428"/>
      <c r="R13" s="2428"/>
      <c r="S13" s="2428"/>
      <c r="T13" s="2428"/>
      <c r="U13" s="2428"/>
      <c r="V13" s="2428"/>
    </row>
    <row r="14" spans="1:22">
      <c r="A14" s="2428"/>
      <c r="B14" s="2428"/>
      <c r="C14" s="2428"/>
      <c r="D14" s="2428"/>
      <c r="E14" s="2428"/>
      <c r="F14" s="2428"/>
      <c r="G14" s="2428"/>
      <c r="H14" s="2428"/>
      <c r="I14" s="2428"/>
      <c r="J14" s="2428"/>
      <c r="K14" s="2428"/>
      <c r="L14" s="2428"/>
      <c r="M14" s="2428"/>
      <c r="N14" s="2428"/>
      <c r="O14" s="2428"/>
      <c r="P14" s="2428"/>
      <c r="Q14" s="2428"/>
      <c r="R14" s="2428"/>
      <c r="S14" s="2428"/>
      <c r="T14" s="2428"/>
      <c r="U14" s="2428"/>
      <c r="V14" s="2428"/>
    </row>
    <row r="15" spans="1:22">
      <c r="A15" s="2428" t="s">
        <v>10922</v>
      </c>
      <c r="B15" s="2428" t="s">
        <v>10921</v>
      </c>
      <c r="C15" s="2428" t="s">
        <v>10920</v>
      </c>
      <c r="D15" s="2428" t="s">
        <v>1727</v>
      </c>
      <c r="E15" s="2428" t="s">
        <v>10919</v>
      </c>
      <c r="F15" s="2428" t="s">
        <v>9038</v>
      </c>
      <c r="G15" s="2428" t="s">
        <v>10918</v>
      </c>
      <c r="H15" s="2428" t="s">
        <v>10917</v>
      </c>
      <c r="I15" s="2428"/>
      <c r="J15" s="2428" t="s">
        <v>10916</v>
      </c>
      <c r="K15" s="2428" t="s">
        <v>5795</v>
      </c>
      <c r="L15" s="2428" t="s">
        <v>10915</v>
      </c>
      <c r="M15" s="2428" t="s">
        <v>10914</v>
      </c>
      <c r="N15" s="2428" t="s">
        <v>5789</v>
      </c>
      <c r="O15" s="2428" t="s">
        <v>5788</v>
      </c>
      <c r="P15" s="2428" t="s">
        <v>1969</v>
      </c>
      <c r="Q15" s="2428" t="s">
        <v>10913</v>
      </c>
      <c r="R15" s="2428" t="s">
        <v>10912</v>
      </c>
      <c r="S15" s="2428" t="s">
        <v>9599</v>
      </c>
      <c r="T15" s="2428" t="s">
        <v>5827</v>
      </c>
      <c r="U15" s="2428" t="s">
        <v>10911</v>
      </c>
      <c r="V15" s="2428"/>
    </row>
    <row r="16" spans="1:22">
      <c r="A16" s="2428" t="s">
        <v>10903</v>
      </c>
      <c r="B16" s="2428" t="s">
        <v>10902</v>
      </c>
      <c r="C16" s="2428">
        <v>1</v>
      </c>
      <c r="D16" s="2428" t="s">
        <v>10901</v>
      </c>
      <c r="E16" s="2428" t="s">
        <v>10900</v>
      </c>
      <c r="F16" s="2428" t="s">
        <v>10899</v>
      </c>
      <c r="G16" s="2428" t="s">
        <v>10898</v>
      </c>
      <c r="H16" s="2428" t="s">
        <v>10897</v>
      </c>
      <c r="I16" s="2428"/>
      <c r="J16" s="2428" t="s">
        <v>10896</v>
      </c>
      <c r="K16" s="2428" t="s">
        <v>10895</v>
      </c>
      <c r="L16" s="2428" t="s">
        <v>10894</v>
      </c>
      <c r="M16" s="2428" t="s">
        <v>10893</v>
      </c>
      <c r="N16" s="2428">
        <v>10</v>
      </c>
      <c r="O16" s="2428" t="s">
        <v>10892</v>
      </c>
      <c r="P16" s="2428">
        <v>30</v>
      </c>
      <c r="Q16" s="2428" t="s">
        <v>10891</v>
      </c>
      <c r="R16" s="2428"/>
      <c r="S16" s="2428" t="s">
        <v>10852</v>
      </c>
      <c r="T16" s="2428" t="s">
        <v>10788</v>
      </c>
      <c r="U16" s="2428" t="s">
        <v>10890</v>
      </c>
      <c r="V16" s="2428"/>
    </row>
    <row r="17" spans="1:22">
      <c r="A17" s="2428" t="s">
        <v>10885</v>
      </c>
      <c r="B17" s="2428" t="s">
        <v>10884</v>
      </c>
      <c r="C17" s="2428">
        <v>2</v>
      </c>
      <c r="D17" s="2428" t="s">
        <v>10883</v>
      </c>
      <c r="E17" s="2428" t="s">
        <v>10882</v>
      </c>
      <c r="F17" s="2428" t="s">
        <v>10881</v>
      </c>
      <c r="G17" s="2428" t="s">
        <v>10880</v>
      </c>
      <c r="H17" s="2428" t="s">
        <v>10879</v>
      </c>
      <c r="I17" s="2428"/>
      <c r="J17" s="2428" t="s">
        <v>10878</v>
      </c>
      <c r="K17" s="2428" t="s">
        <v>10836</v>
      </c>
      <c r="L17" s="2428" t="s">
        <v>10877</v>
      </c>
      <c r="M17" s="2428" t="s">
        <v>10876</v>
      </c>
      <c r="N17" s="2428">
        <v>13</v>
      </c>
      <c r="O17" s="2428" t="s">
        <v>10875</v>
      </c>
      <c r="P17" s="2428">
        <v>30</v>
      </c>
      <c r="Q17" s="2428" t="s">
        <v>10874</v>
      </c>
      <c r="R17" s="2428" t="s">
        <v>10873</v>
      </c>
      <c r="S17" s="2428" t="s">
        <v>10872</v>
      </c>
      <c r="T17" s="2428" t="s">
        <v>10871</v>
      </c>
      <c r="U17" s="2428" t="s">
        <v>10870</v>
      </c>
      <c r="V17" s="2428"/>
    </row>
    <row r="18" spans="1:22">
      <c r="A18" s="2428" t="s">
        <v>10864</v>
      </c>
      <c r="B18" s="2428" t="s">
        <v>10863</v>
      </c>
      <c r="C18" s="2428">
        <v>3</v>
      </c>
      <c r="D18" s="2428" t="s">
        <v>10862</v>
      </c>
      <c r="E18" s="2428" t="s">
        <v>10861</v>
      </c>
      <c r="F18" s="2428" t="s">
        <v>10860</v>
      </c>
      <c r="G18" s="2428" t="s">
        <v>10859</v>
      </c>
      <c r="H18" s="2428" t="s">
        <v>10858</v>
      </c>
      <c r="I18" s="2428"/>
      <c r="J18" s="2428" t="s">
        <v>10857</v>
      </c>
      <c r="K18" s="2428" t="s">
        <v>10836</v>
      </c>
      <c r="L18" s="2428" t="s">
        <v>10856</v>
      </c>
      <c r="M18" s="2428">
        <v>1</v>
      </c>
      <c r="N18" s="2428">
        <v>15</v>
      </c>
      <c r="O18" s="2428" t="s">
        <v>10855</v>
      </c>
      <c r="P18" s="2428">
        <v>30</v>
      </c>
      <c r="Q18" s="2428" t="s">
        <v>10854</v>
      </c>
      <c r="R18" s="2428" t="s">
        <v>10853</v>
      </c>
      <c r="S18" s="2428" t="s">
        <v>10852</v>
      </c>
      <c r="T18" s="2428" t="s">
        <v>10772</v>
      </c>
      <c r="U18" s="2428" t="s">
        <v>10851</v>
      </c>
      <c r="V18" s="2428"/>
    </row>
    <row r="19" spans="1:22">
      <c r="A19" s="2428" t="s">
        <v>10844</v>
      </c>
      <c r="B19" s="2428" t="s">
        <v>10843</v>
      </c>
      <c r="C19" s="2428">
        <v>4</v>
      </c>
      <c r="D19" s="2428" t="s">
        <v>10842</v>
      </c>
      <c r="E19" s="2428" t="s">
        <v>10841</v>
      </c>
      <c r="F19" s="2428" t="s">
        <v>10840</v>
      </c>
      <c r="G19" s="2428" t="s">
        <v>10839</v>
      </c>
      <c r="H19" s="2428" t="s">
        <v>10838</v>
      </c>
      <c r="I19" s="2428"/>
      <c r="J19" s="2428" t="s">
        <v>10837</v>
      </c>
      <c r="K19" s="2428" t="s">
        <v>10836</v>
      </c>
      <c r="L19" s="2428" t="s">
        <v>10835</v>
      </c>
      <c r="M19" s="2428" t="s">
        <v>10834</v>
      </c>
      <c r="N19" s="2428">
        <v>13</v>
      </c>
      <c r="O19" s="2428" t="s">
        <v>10833</v>
      </c>
      <c r="P19" s="2428">
        <v>30</v>
      </c>
      <c r="Q19" s="2428" t="s">
        <v>10832</v>
      </c>
      <c r="R19" s="2428" t="s">
        <v>10831</v>
      </c>
      <c r="S19" s="2428" t="s">
        <v>10830</v>
      </c>
      <c r="T19" s="2428" t="s">
        <v>10806</v>
      </c>
      <c r="U19" s="2428" t="s">
        <v>10829</v>
      </c>
      <c r="V19" s="2428"/>
    </row>
    <row r="20" spans="1:22">
      <c r="A20" s="2428" t="s">
        <v>10821</v>
      </c>
      <c r="B20" s="2428" t="s">
        <v>10820</v>
      </c>
      <c r="C20" s="2428">
        <v>5</v>
      </c>
      <c r="D20" s="2428" t="s">
        <v>10819</v>
      </c>
      <c r="E20" s="2428" t="s">
        <v>10818</v>
      </c>
      <c r="F20" s="2428" t="s">
        <v>10817</v>
      </c>
      <c r="G20" s="2428" t="s">
        <v>10816</v>
      </c>
      <c r="H20" s="2428" t="s">
        <v>10815</v>
      </c>
      <c r="I20" s="2428"/>
      <c r="J20" s="2428" t="s">
        <v>10814</v>
      </c>
      <c r="K20" s="2428" t="s">
        <v>10813</v>
      </c>
      <c r="L20" s="2428" t="s">
        <v>10812</v>
      </c>
      <c r="M20" s="2428" t="s">
        <v>10811</v>
      </c>
      <c r="N20" s="2428">
        <v>10</v>
      </c>
      <c r="O20" s="2428" t="s">
        <v>10810</v>
      </c>
      <c r="P20" s="2428">
        <v>15</v>
      </c>
      <c r="Q20" s="2428" t="s">
        <v>10809</v>
      </c>
      <c r="R20" s="2428" t="s">
        <v>10808</v>
      </c>
      <c r="S20" s="2428" t="s">
        <v>10807</v>
      </c>
      <c r="T20" s="2428" t="s">
        <v>10806</v>
      </c>
      <c r="U20" s="2428" t="s">
        <v>10805</v>
      </c>
      <c r="V20" s="2428"/>
    </row>
    <row r="21" spans="1:22">
      <c r="A21" s="2428" t="s">
        <v>10798</v>
      </c>
      <c r="B21" s="2428" t="s">
        <v>10797</v>
      </c>
      <c r="C21" s="2428">
        <v>6</v>
      </c>
      <c r="D21" s="2428" t="s">
        <v>10796</v>
      </c>
      <c r="E21" s="2428"/>
      <c r="F21" s="2428"/>
      <c r="G21" s="2428"/>
      <c r="H21" s="2428"/>
      <c r="I21" s="2428"/>
      <c r="J21" s="2428" t="s">
        <v>10795</v>
      </c>
      <c r="K21" s="2428" t="s">
        <v>10794</v>
      </c>
      <c r="L21" s="2428" t="s">
        <v>10793</v>
      </c>
      <c r="M21" s="2428" t="s">
        <v>10792</v>
      </c>
      <c r="N21" s="2428">
        <v>9</v>
      </c>
      <c r="O21" s="2428" t="s">
        <v>10791</v>
      </c>
      <c r="P21" s="2428">
        <v>20</v>
      </c>
      <c r="Q21" s="2428" t="s">
        <v>10790</v>
      </c>
      <c r="R21" s="2428" t="s">
        <v>10789</v>
      </c>
      <c r="S21" s="2428" t="s">
        <v>10773</v>
      </c>
      <c r="T21" s="2428" t="s">
        <v>10788</v>
      </c>
      <c r="U21" s="2428" t="s">
        <v>10787</v>
      </c>
      <c r="V21" s="2428"/>
    </row>
    <row r="22" spans="1:22">
      <c r="A22" s="2428" t="s">
        <v>10782</v>
      </c>
      <c r="B22" s="2428" t="s">
        <v>10781</v>
      </c>
      <c r="C22" s="2428"/>
      <c r="D22" s="2428"/>
      <c r="E22" s="2428"/>
      <c r="F22" s="2428"/>
      <c r="G22" s="2428"/>
      <c r="H22" s="2428"/>
      <c r="I22" s="2428"/>
      <c r="J22" s="2428" t="s">
        <v>10780</v>
      </c>
      <c r="K22" s="2428" t="s">
        <v>10779</v>
      </c>
      <c r="L22" s="2428" t="s">
        <v>10778</v>
      </c>
      <c r="M22" s="2428" t="s">
        <v>10777</v>
      </c>
      <c r="N22" s="2428">
        <v>13</v>
      </c>
      <c r="O22" s="2428" t="s">
        <v>10776</v>
      </c>
      <c r="P22" s="2428">
        <v>20</v>
      </c>
      <c r="Q22" s="2428" t="s">
        <v>10775</v>
      </c>
      <c r="R22" s="2428" t="s">
        <v>10774</v>
      </c>
      <c r="S22" s="2428" t="s">
        <v>10773</v>
      </c>
      <c r="T22" s="2428" t="s">
        <v>10772</v>
      </c>
      <c r="U22" s="2428" t="s">
        <v>10771</v>
      </c>
      <c r="V22" s="2428"/>
    </row>
    <row r="23" spans="1:22">
      <c r="A23" s="2428"/>
      <c r="B23" s="2428"/>
      <c r="C23" s="2428"/>
      <c r="D23" s="2428"/>
      <c r="E23" s="2428"/>
      <c r="F23" s="2428"/>
      <c r="G23" s="2428"/>
      <c r="H23" s="2428"/>
      <c r="I23" s="2428"/>
      <c r="J23" s="2428" t="s">
        <v>10764</v>
      </c>
      <c r="K23" s="2428" t="s">
        <v>10763</v>
      </c>
      <c r="L23" s="2428" t="s">
        <v>10762</v>
      </c>
      <c r="M23" s="2428" t="s">
        <v>10761</v>
      </c>
      <c r="N23" s="2428">
        <v>12</v>
      </c>
      <c r="O23" s="2428" t="s">
        <v>10760</v>
      </c>
      <c r="P23" s="2428">
        <v>20</v>
      </c>
      <c r="Q23" s="2428" t="s">
        <v>10759</v>
      </c>
      <c r="R23" s="2428" t="s">
        <v>10758</v>
      </c>
      <c r="S23" s="2428" t="s">
        <v>10757</v>
      </c>
      <c r="T23" s="2428" t="s">
        <v>10756</v>
      </c>
      <c r="U23" s="2428" t="s">
        <v>10755</v>
      </c>
      <c r="V23" s="2428"/>
    </row>
    <row r="24" spans="1:22">
      <c r="A24" s="2428"/>
      <c r="B24" s="2428"/>
      <c r="C24" s="2428"/>
      <c r="D24" s="2428"/>
      <c r="E24" s="2428"/>
      <c r="F24" s="2428"/>
      <c r="G24" s="2428"/>
      <c r="H24" s="2428"/>
      <c r="I24" s="2428"/>
      <c r="J24" s="2428"/>
      <c r="K24" s="2428"/>
      <c r="L24" s="2428"/>
      <c r="M24" s="2428"/>
      <c r="N24" s="2428"/>
      <c r="O24" s="2428"/>
      <c r="P24" s="2428"/>
      <c r="Q24" s="2428"/>
      <c r="R24" s="2428"/>
      <c r="S24" s="2428"/>
      <c r="T24" s="2428"/>
      <c r="U24" s="2428"/>
      <c r="V24" s="2428"/>
    </row>
    <row r="25" spans="1:22">
      <c r="A25" s="2428"/>
      <c r="B25" s="2428"/>
      <c r="C25" s="2428"/>
      <c r="D25" s="2428"/>
      <c r="E25" s="2428"/>
      <c r="F25" s="2428"/>
      <c r="G25" s="2428"/>
      <c r="H25" s="2428"/>
      <c r="I25" s="2428"/>
      <c r="J25" s="2428"/>
      <c r="K25" s="2428"/>
      <c r="L25" s="2428"/>
      <c r="M25" s="2428"/>
      <c r="N25" s="2428"/>
      <c r="O25" s="2428"/>
      <c r="P25" s="2428"/>
      <c r="Q25" s="2428"/>
      <c r="R25" s="2428"/>
      <c r="S25" s="2428"/>
      <c r="T25" s="2428"/>
      <c r="U25" s="2428"/>
      <c r="V25" s="2428"/>
    </row>
    <row r="26" spans="1:22">
      <c r="A26" s="2428"/>
      <c r="B26" s="2428"/>
      <c r="C26" s="2428"/>
      <c r="D26" s="2428"/>
      <c r="E26" s="2428"/>
      <c r="F26" s="2428"/>
      <c r="G26" s="2428"/>
      <c r="H26" s="2428"/>
      <c r="I26" s="2428"/>
      <c r="J26" s="2428"/>
      <c r="K26" s="2428"/>
      <c r="L26" s="2428"/>
      <c r="M26" s="2428"/>
      <c r="N26" s="2428"/>
      <c r="O26" s="2428"/>
      <c r="P26" s="2428"/>
      <c r="Q26" s="2428"/>
      <c r="R26" s="2428"/>
      <c r="S26" s="2428"/>
      <c r="T26" s="2428"/>
      <c r="U26" s="2428"/>
      <c r="V26" s="2428"/>
    </row>
    <row r="27" spans="1:22">
      <c r="A27" s="2428"/>
      <c r="B27" s="2428"/>
      <c r="C27" s="2428"/>
      <c r="D27" s="2428"/>
      <c r="E27" s="2428"/>
      <c r="F27" s="2428"/>
      <c r="G27" s="2428"/>
      <c r="H27" s="2428"/>
      <c r="I27" s="2428"/>
      <c r="J27" s="2428"/>
      <c r="K27" s="2428"/>
      <c r="L27" s="2428"/>
      <c r="M27" s="2428"/>
      <c r="N27" s="2428"/>
      <c r="O27" s="2428"/>
      <c r="P27" s="2428"/>
      <c r="Q27" s="2428"/>
      <c r="R27" s="2428"/>
      <c r="S27" s="2428"/>
      <c r="T27" s="2428"/>
      <c r="U27" s="2428"/>
      <c r="V27" s="2428"/>
    </row>
    <row r="28" spans="1:22">
      <c r="A28" s="2428"/>
      <c r="B28" s="2428"/>
      <c r="C28" s="2428"/>
      <c r="D28" s="2428"/>
      <c r="E28" s="2428"/>
      <c r="F28" s="2428"/>
      <c r="G28" s="2428"/>
      <c r="H28" s="2428"/>
      <c r="I28" s="2428"/>
      <c r="J28" s="2428"/>
      <c r="K28" s="2428"/>
      <c r="L28" s="2428"/>
      <c r="M28" s="2428"/>
      <c r="N28" s="2428"/>
      <c r="O28" s="2428"/>
      <c r="P28" s="2428"/>
      <c r="Q28" s="2428"/>
      <c r="R28" s="2428"/>
      <c r="S28" s="2428"/>
      <c r="T28" s="2428"/>
      <c r="U28" s="2428"/>
      <c r="V28" s="2428"/>
    </row>
  </sheetData>
  <hyperlinks>
    <hyperlink ref="J13" r:id="rId1" display="http://cauldronsandclerics.blogspot.com/search/label/D%26D5E" xr:uid="{1BA4FB6A-D590-444E-984E-BB22822E484C}"/>
  </hyperlinks>
  <pageMargins left="0.7" right="0.7" top="0.75" bottom="0.75" header="0.3" footer="0.3"/>
  <tableParts count="6">
    <tablePart r:id="rId2"/>
    <tablePart r:id="rId3"/>
    <tablePart r:id="rId4"/>
    <tablePart r:id="rId5"/>
    <tablePart r:id="rId6"/>
    <tablePart r:id="rId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037C8-A7CD-408C-AC63-192A8E22E058}">
  <sheetPr codeName="Аркуш49">
    <tabColor rgb="FFFFC000"/>
  </sheetPr>
  <dimension ref="B1:AI229"/>
  <sheetViews>
    <sheetView topLeftCell="K1" workbookViewId="0">
      <selection activeCell="K5" sqref="K5"/>
    </sheetView>
  </sheetViews>
  <sheetFormatPr defaultRowHeight="14.25"/>
  <cols>
    <col min="1" max="2" width="8.88671875" style="2428"/>
    <col min="3" max="6" width="13.77734375" style="2428" customWidth="1"/>
    <col min="7" max="8" width="8.88671875" style="2428"/>
    <col min="9" max="9" width="9" style="2428" customWidth="1"/>
    <col min="10" max="10" width="10.5546875" style="2428" bestFit="1" customWidth="1"/>
    <col min="11" max="11" width="18.44140625" style="2428" customWidth="1"/>
    <col min="12" max="16384" width="8.88671875" style="2428"/>
  </cols>
  <sheetData>
    <row r="1" spans="2:34" ht="15" thickBot="1"/>
    <row r="2" spans="2:34" ht="16.5" thickTop="1" thickBot="1">
      <c r="B2" s="2686" t="str">
        <f ca="1">C4&amp;" "&amp;D4&amp;" "&amp;E4&amp;" "&amp;F4</f>
        <v>Masters of the Nine Breath Truth(s)</v>
      </c>
      <c r="C2" s="2686"/>
      <c r="D2" s="2686"/>
      <c r="E2" s="2686"/>
      <c r="F2" s="2686"/>
    </row>
    <row r="3" spans="2:34" ht="15" thickTop="1"/>
    <row r="4" spans="2:34">
      <c r="C4" s="2428" t="str">
        <f ca="1">INDEX(C6:C25,RANDBETWEEN(1,20),1)</f>
        <v>Masters of the</v>
      </c>
      <c r="D4" s="2428" t="str">
        <f ca="1">INDEX(D6:D25,RANDBETWEEN(1,20),1)</f>
        <v>Nine</v>
      </c>
      <c r="E4" s="2428" t="str">
        <f ca="1">INDEX(E6:E25,RANDBETWEEN(1,20),1)</f>
        <v>Breath</v>
      </c>
      <c r="F4" s="2428" t="str">
        <f ca="1">INDEX(F6:F25,RANDBETWEEN(1,20),1)</f>
        <v>Truth(s)</v>
      </c>
      <c r="I4" s="2428" t="str">
        <f ca="1">INDEX(I6:I25,RANDBETWEEN(1,20),1)</f>
        <v>Sweeping</v>
      </c>
      <c r="J4" s="2428" t="str">
        <f ca="1">INDEX(J6:J25,RANDBETWEEN(1,20),1)</f>
        <v>Evasive</v>
      </c>
      <c r="K4" s="2428" t="str">
        <f ca="1">INDEX(K6:K25,RANDBETWEEN(1,20),1)</f>
        <v>Ready</v>
      </c>
    </row>
    <row r="5" spans="2:34" ht="15" thickBot="1">
      <c r="B5" s="2442" t="s">
        <v>10938</v>
      </c>
      <c r="C5" s="2441" t="s">
        <v>10942</v>
      </c>
      <c r="D5" s="2441" t="s">
        <v>10941</v>
      </c>
      <c r="E5" s="2441" t="s">
        <v>10940</v>
      </c>
      <c r="F5" s="2440" t="s">
        <v>10939</v>
      </c>
      <c r="H5" s="2442" t="s">
        <v>10938</v>
      </c>
      <c r="I5" s="2441" t="s">
        <v>10937</v>
      </c>
      <c r="J5" s="2441" t="s">
        <v>10936</v>
      </c>
      <c r="K5" s="2440" t="s">
        <v>10935</v>
      </c>
      <c r="N5" s="2428" t="s">
        <v>10934</v>
      </c>
      <c r="W5" s="2439" t="s">
        <v>10933</v>
      </c>
    </row>
    <row r="6" spans="2:34" ht="15" thickBot="1">
      <c r="B6" s="2438">
        <v>1</v>
      </c>
      <c r="C6" s="2437" t="s">
        <v>10711</v>
      </c>
      <c r="D6" s="2437" t="s">
        <v>10932</v>
      </c>
      <c r="E6" s="2437" t="s">
        <v>10931</v>
      </c>
      <c r="F6" s="2436" t="s">
        <v>10930</v>
      </c>
      <c r="H6" s="2438">
        <v>1</v>
      </c>
      <c r="I6" s="2437" t="s">
        <v>10929</v>
      </c>
      <c r="J6" s="2437" t="s">
        <v>10928</v>
      </c>
      <c r="K6" s="2436" t="s">
        <v>10904</v>
      </c>
    </row>
    <row r="7" spans="2:34" ht="15" thickBot="1">
      <c r="B7" s="2438">
        <v>2</v>
      </c>
      <c r="C7" s="2437" t="s">
        <v>10717</v>
      </c>
      <c r="D7" s="2437" t="s">
        <v>10927</v>
      </c>
      <c r="E7" s="2437" t="s">
        <v>10926</v>
      </c>
      <c r="F7" s="2436" t="s">
        <v>10925</v>
      </c>
      <c r="H7" s="2438">
        <v>2</v>
      </c>
      <c r="I7" s="2437" t="s">
        <v>10924</v>
      </c>
      <c r="J7" s="2437" t="s">
        <v>10923</v>
      </c>
      <c r="K7" s="2436" t="s">
        <v>10904</v>
      </c>
      <c r="N7" s="2428" t="s">
        <v>10922</v>
      </c>
      <c r="O7" s="2428" t="s">
        <v>10921</v>
      </c>
      <c r="P7" s="2428" t="s">
        <v>10920</v>
      </c>
      <c r="Q7" s="2428" t="s">
        <v>1727</v>
      </c>
      <c r="R7" s="2428" t="s">
        <v>10919</v>
      </c>
      <c r="S7" s="2428" t="s">
        <v>9038</v>
      </c>
      <c r="T7" s="2428" t="s">
        <v>10918</v>
      </c>
      <c r="U7" s="2428" t="s">
        <v>10917</v>
      </c>
      <c r="W7" s="2428" t="s">
        <v>10916</v>
      </c>
      <c r="X7" s="2428" t="s">
        <v>5795</v>
      </c>
      <c r="Y7" s="2428" t="s">
        <v>10915</v>
      </c>
      <c r="Z7" s="2428" t="s">
        <v>10914</v>
      </c>
      <c r="AA7" s="2428" t="s">
        <v>5789</v>
      </c>
      <c r="AB7" s="2428" t="s">
        <v>5788</v>
      </c>
      <c r="AC7" s="2428" t="s">
        <v>1969</v>
      </c>
      <c r="AD7" s="2428" t="s">
        <v>10913</v>
      </c>
      <c r="AE7" s="2428" t="s">
        <v>10912</v>
      </c>
      <c r="AF7" s="2428" t="s">
        <v>9599</v>
      </c>
      <c r="AG7" s="2428" t="s">
        <v>5827</v>
      </c>
      <c r="AH7" s="2428" t="s">
        <v>10911</v>
      </c>
    </row>
    <row r="8" spans="2:34" ht="15" thickBot="1">
      <c r="B8" s="2438">
        <v>3</v>
      </c>
      <c r="C8" s="2437" t="s">
        <v>10910</v>
      </c>
      <c r="D8" s="2437" t="s">
        <v>10909</v>
      </c>
      <c r="E8" s="2437" t="s">
        <v>10908</v>
      </c>
      <c r="F8" s="2436" t="s">
        <v>10907</v>
      </c>
      <c r="H8" s="2438">
        <v>3</v>
      </c>
      <c r="I8" s="2437" t="s">
        <v>10906</v>
      </c>
      <c r="J8" s="2437" t="s">
        <v>10905</v>
      </c>
      <c r="K8" s="2436" t="s">
        <v>10904</v>
      </c>
      <c r="N8" s="2428" t="s">
        <v>10903</v>
      </c>
      <c r="O8" s="2428" t="s">
        <v>10902</v>
      </c>
      <c r="P8" s="2428">
        <v>1</v>
      </c>
      <c r="Q8" s="2428" t="s">
        <v>10901</v>
      </c>
      <c r="R8" s="2428" t="s">
        <v>10900</v>
      </c>
      <c r="S8" s="2428" t="s">
        <v>10899</v>
      </c>
      <c r="T8" s="2428" t="s">
        <v>10898</v>
      </c>
      <c r="U8" s="2428" t="s">
        <v>10897</v>
      </c>
      <c r="W8" s="2428" t="s">
        <v>10896</v>
      </c>
      <c r="X8" s="2428" t="s">
        <v>10895</v>
      </c>
      <c r="Y8" s="2428" t="s">
        <v>10894</v>
      </c>
      <c r="Z8" s="2428" t="s">
        <v>10893</v>
      </c>
      <c r="AA8" s="2428">
        <v>10</v>
      </c>
      <c r="AB8" s="2428" t="s">
        <v>10892</v>
      </c>
      <c r="AC8" s="2428">
        <v>30</v>
      </c>
      <c r="AD8" s="2428" t="s">
        <v>10891</v>
      </c>
      <c r="AF8" s="2428" t="s">
        <v>10852</v>
      </c>
      <c r="AG8" s="2428" t="s">
        <v>10788</v>
      </c>
      <c r="AH8" s="2428" t="s">
        <v>10890</v>
      </c>
    </row>
    <row r="9" spans="2:34" ht="15" thickBot="1">
      <c r="B9" s="2438">
        <v>4</v>
      </c>
      <c r="C9" s="2437" t="s">
        <v>10705</v>
      </c>
      <c r="D9" s="2437" t="s">
        <v>10889</v>
      </c>
      <c r="E9" s="2437" t="s">
        <v>753</v>
      </c>
      <c r="F9" s="2436" t="s">
        <v>10888</v>
      </c>
      <c r="H9" s="2438">
        <v>4</v>
      </c>
      <c r="I9" s="2437" t="s">
        <v>10887</v>
      </c>
      <c r="J9" s="2437" t="s">
        <v>10886</v>
      </c>
      <c r="K9" s="2436" t="s">
        <v>6954</v>
      </c>
      <c r="N9" s="2428" t="s">
        <v>10885</v>
      </c>
      <c r="O9" s="2428" t="s">
        <v>10884</v>
      </c>
      <c r="P9" s="2428">
        <v>2</v>
      </c>
      <c r="Q9" s="2428" t="s">
        <v>10883</v>
      </c>
      <c r="R9" s="2428" t="s">
        <v>10882</v>
      </c>
      <c r="S9" s="2428" t="s">
        <v>10881</v>
      </c>
      <c r="T9" s="2428" t="s">
        <v>10880</v>
      </c>
      <c r="U9" s="2428" t="s">
        <v>10879</v>
      </c>
      <c r="W9" s="2428" t="s">
        <v>10878</v>
      </c>
      <c r="X9" s="2428" t="s">
        <v>10836</v>
      </c>
      <c r="Y9" s="2428" t="s">
        <v>10877</v>
      </c>
      <c r="Z9" s="2428" t="s">
        <v>10876</v>
      </c>
      <c r="AA9" s="2428">
        <v>13</v>
      </c>
      <c r="AB9" s="2428" t="s">
        <v>10875</v>
      </c>
      <c r="AC9" s="2428">
        <v>30</v>
      </c>
      <c r="AD9" s="2428" t="s">
        <v>10874</v>
      </c>
      <c r="AE9" s="2428" t="s">
        <v>10873</v>
      </c>
      <c r="AF9" s="2428" t="s">
        <v>10872</v>
      </c>
      <c r="AG9" s="2428" t="s">
        <v>10871</v>
      </c>
      <c r="AH9" s="2428" t="s">
        <v>10870</v>
      </c>
    </row>
    <row r="10" spans="2:34" ht="15" thickBot="1">
      <c r="B10" s="2438">
        <v>5</v>
      </c>
      <c r="C10" s="2437" t="s">
        <v>10869</v>
      </c>
      <c r="D10" s="2437" t="s">
        <v>10868</v>
      </c>
      <c r="E10" s="2437" t="s">
        <v>10867</v>
      </c>
      <c r="F10" s="2436" t="s">
        <v>10866</v>
      </c>
      <c r="H10" s="2438">
        <v>5</v>
      </c>
      <c r="I10" s="2437" t="s">
        <v>3884</v>
      </c>
      <c r="J10" s="2437" t="s">
        <v>10865</v>
      </c>
      <c r="K10" s="2436" t="s">
        <v>10822</v>
      </c>
      <c r="N10" s="2428" t="s">
        <v>10864</v>
      </c>
      <c r="O10" s="2428" t="s">
        <v>10863</v>
      </c>
      <c r="P10" s="2428">
        <v>3</v>
      </c>
      <c r="Q10" s="2428" t="s">
        <v>10862</v>
      </c>
      <c r="R10" s="2428" t="s">
        <v>10861</v>
      </c>
      <c r="S10" s="2428" t="s">
        <v>10860</v>
      </c>
      <c r="T10" s="2428" t="s">
        <v>10859</v>
      </c>
      <c r="U10" s="2428" t="s">
        <v>10858</v>
      </c>
      <c r="W10" s="2428" t="s">
        <v>10857</v>
      </c>
      <c r="X10" s="2428" t="s">
        <v>10836</v>
      </c>
      <c r="Y10" s="2428" t="s">
        <v>10856</v>
      </c>
      <c r="Z10" s="2428">
        <v>1</v>
      </c>
      <c r="AA10" s="2428">
        <v>15</v>
      </c>
      <c r="AB10" s="2428" t="s">
        <v>10855</v>
      </c>
      <c r="AC10" s="2428">
        <v>30</v>
      </c>
      <c r="AD10" s="2428" t="s">
        <v>10854</v>
      </c>
      <c r="AE10" s="2428" t="s">
        <v>10853</v>
      </c>
      <c r="AF10" s="2428" t="s">
        <v>10852</v>
      </c>
      <c r="AG10" s="2428" t="s">
        <v>10772</v>
      </c>
      <c r="AH10" s="2428" t="s">
        <v>10851</v>
      </c>
    </row>
    <row r="11" spans="2:34" ht="15" thickBot="1">
      <c r="B11" s="2438">
        <v>6</v>
      </c>
      <c r="C11" s="2437" t="s">
        <v>10850</v>
      </c>
      <c r="D11" s="2437" t="s">
        <v>10849</v>
      </c>
      <c r="E11" s="2437" t="s">
        <v>10848</v>
      </c>
      <c r="F11" s="2436" t="s">
        <v>10847</v>
      </c>
      <c r="H11" s="2438">
        <v>6</v>
      </c>
      <c r="I11" s="2437" t="s">
        <v>10846</v>
      </c>
      <c r="J11" s="2437" t="s">
        <v>10845</v>
      </c>
      <c r="K11" s="2436" t="s">
        <v>10822</v>
      </c>
      <c r="N11" s="2428" t="s">
        <v>10844</v>
      </c>
      <c r="O11" s="2428" t="s">
        <v>10843</v>
      </c>
      <c r="P11" s="2428">
        <v>4</v>
      </c>
      <c r="Q11" s="2428" t="s">
        <v>10842</v>
      </c>
      <c r="R11" s="2428" t="s">
        <v>10841</v>
      </c>
      <c r="S11" s="2428" t="s">
        <v>10840</v>
      </c>
      <c r="T11" s="2428" t="s">
        <v>10839</v>
      </c>
      <c r="U11" s="2428" t="s">
        <v>10838</v>
      </c>
      <c r="W11" s="2428" t="s">
        <v>10837</v>
      </c>
      <c r="X11" s="2428" t="s">
        <v>10836</v>
      </c>
      <c r="Y11" s="2428" t="s">
        <v>10835</v>
      </c>
      <c r="Z11" s="2428" t="s">
        <v>10834</v>
      </c>
      <c r="AA11" s="2428">
        <v>13</v>
      </c>
      <c r="AB11" s="2428" t="s">
        <v>10833</v>
      </c>
      <c r="AC11" s="2428">
        <v>30</v>
      </c>
      <c r="AD11" s="2428" t="s">
        <v>10832</v>
      </c>
      <c r="AE11" s="2428" t="s">
        <v>10831</v>
      </c>
      <c r="AF11" s="2428" t="s">
        <v>10830</v>
      </c>
      <c r="AG11" s="2428" t="s">
        <v>10806</v>
      </c>
      <c r="AH11" s="2428" t="s">
        <v>10829</v>
      </c>
    </row>
    <row r="12" spans="2:34" ht="15" thickBot="1">
      <c r="B12" s="2438">
        <v>7</v>
      </c>
      <c r="C12" s="2437" t="s">
        <v>10828</v>
      </c>
      <c r="D12" s="2437" t="s">
        <v>10827</v>
      </c>
      <c r="E12" s="2437" t="s">
        <v>10826</v>
      </c>
      <c r="F12" s="2436" t="s">
        <v>10825</v>
      </c>
      <c r="H12" s="2438">
        <v>7</v>
      </c>
      <c r="I12" s="2437" t="s">
        <v>10824</v>
      </c>
      <c r="J12" s="2437" t="s">
        <v>10823</v>
      </c>
      <c r="K12" s="2436" t="s">
        <v>10822</v>
      </c>
      <c r="N12" s="2428" t="s">
        <v>10821</v>
      </c>
      <c r="O12" s="2428" t="s">
        <v>10820</v>
      </c>
      <c r="P12" s="2428">
        <v>5</v>
      </c>
      <c r="Q12" s="2428" t="s">
        <v>10819</v>
      </c>
      <c r="R12" s="2428" t="s">
        <v>10818</v>
      </c>
      <c r="S12" s="2428" t="s">
        <v>10817</v>
      </c>
      <c r="T12" s="2428" t="s">
        <v>10816</v>
      </c>
      <c r="U12" s="2428" t="s">
        <v>10815</v>
      </c>
      <c r="W12" s="2428" t="s">
        <v>10814</v>
      </c>
      <c r="X12" s="2428" t="s">
        <v>10813</v>
      </c>
      <c r="Y12" s="2428" t="s">
        <v>10812</v>
      </c>
      <c r="Z12" s="2428" t="s">
        <v>10811</v>
      </c>
      <c r="AA12" s="2428">
        <v>10</v>
      </c>
      <c r="AB12" s="2428" t="s">
        <v>10810</v>
      </c>
      <c r="AC12" s="2428">
        <v>15</v>
      </c>
      <c r="AD12" s="2428" t="s">
        <v>10809</v>
      </c>
      <c r="AE12" s="2428" t="s">
        <v>10808</v>
      </c>
      <c r="AF12" s="2428" t="s">
        <v>10807</v>
      </c>
      <c r="AG12" s="2428" t="s">
        <v>10806</v>
      </c>
      <c r="AH12" s="2428" t="s">
        <v>10805</v>
      </c>
    </row>
    <row r="13" spans="2:34" ht="15" thickBot="1">
      <c r="B13" s="2438">
        <v>8</v>
      </c>
      <c r="C13" s="2437" t="s">
        <v>10804</v>
      </c>
      <c r="D13" s="2437" t="s">
        <v>10803</v>
      </c>
      <c r="E13" s="2437" t="s">
        <v>10802</v>
      </c>
      <c r="F13" s="2436" t="s">
        <v>10801</v>
      </c>
      <c r="H13" s="2438">
        <v>8</v>
      </c>
      <c r="I13" s="2437" t="s">
        <v>10800</v>
      </c>
      <c r="J13" s="2437" t="s">
        <v>10799</v>
      </c>
      <c r="K13" s="2436" t="s">
        <v>6956</v>
      </c>
      <c r="N13" s="2428" t="s">
        <v>10798</v>
      </c>
      <c r="O13" s="2428" t="s">
        <v>10797</v>
      </c>
      <c r="P13" s="2428">
        <v>6</v>
      </c>
      <c r="Q13" s="2428" t="s">
        <v>10796</v>
      </c>
      <c r="W13" s="2428" t="s">
        <v>10795</v>
      </c>
      <c r="X13" s="2428" t="s">
        <v>10794</v>
      </c>
      <c r="Y13" s="2428" t="s">
        <v>10793</v>
      </c>
      <c r="Z13" s="2428" t="s">
        <v>10792</v>
      </c>
      <c r="AA13" s="2428">
        <v>9</v>
      </c>
      <c r="AB13" s="2428" t="s">
        <v>10791</v>
      </c>
      <c r="AC13" s="2428">
        <v>20</v>
      </c>
      <c r="AD13" s="2428" t="s">
        <v>10790</v>
      </c>
      <c r="AE13" s="2428" t="s">
        <v>10789</v>
      </c>
      <c r="AF13" s="2428" t="s">
        <v>10773</v>
      </c>
      <c r="AG13" s="2428" t="s">
        <v>10788</v>
      </c>
      <c r="AH13" s="2428" t="s">
        <v>10787</v>
      </c>
    </row>
    <row r="14" spans="2:34" ht="15" thickBot="1">
      <c r="B14" s="2438">
        <v>9</v>
      </c>
      <c r="C14" s="2437" t="s">
        <v>10786</v>
      </c>
      <c r="D14" s="2437" t="s">
        <v>10785</v>
      </c>
      <c r="E14" s="2437" t="s">
        <v>10784</v>
      </c>
      <c r="F14" s="2436" t="s">
        <v>10783</v>
      </c>
      <c r="H14" s="2438">
        <v>9</v>
      </c>
      <c r="I14" s="2437" t="s">
        <v>6534</v>
      </c>
      <c r="J14" s="2437" t="s">
        <v>8708</v>
      </c>
      <c r="K14" s="2436" t="s">
        <v>10748</v>
      </c>
      <c r="N14" s="2428" t="s">
        <v>10782</v>
      </c>
      <c r="O14" s="2428" t="s">
        <v>10781</v>
      </c>
      <c r="W14" s="2428" t="s">
        <v>10780</v>
      </c>
      <c r="X14" s="2428" t="s">
        <v>10779</v>
      </c>
      <c r="Y14" s="2428" t="s">
        <v>10778</v>
      </c>
      <c r="Z14" s="2428" t="s">
        <v>10777</v>
      </c>
      <c r="AA14" s="2428">
        <v>13</v>
      </c>
      <c r="AB14" s="2428" t="s">
        <v>10776</v>
      </c>
      <c r="AC14" s="2428">
        <v>20</v>
      </c>
      <c r="AD14" s="2428" t="s">
        <v>10775</v>
      </c>
      <c r="AE14" s="2428" t="s">
        <v>10774</v>
      </c>
      <c r="AF14" s="2428" t="s">
        <v>10773</v>
      </c>
      <c r="AG14" s="2428" t="s">
        <v>10772</v>
      </c>
      <c r="AH14" s="2428" t="s">
        <v>10771</v>
      </c>
    </row>
    <row r="15" spans="2:34" ht="15" thickBot="1">
      <c r="B15" s="2438">
        <v>10</v>
      </c>
      <c r="C15" s="2437" t="s">
        <v>10770</v>
      </c>
      <c r="D15" s="2437" t="s">
        <v>10769</v>
      </c>
      <c r="E15" s="2437" t="s">
        <v>10768</v>
      </c>
      <c r="F15" s="2436" t="s">
        <v>10767</v>
      </c>
      <c r="H15" s="2438">
        <v>10</v>
      </c>
      <c r="I15" s="2437" t="s">
        <v>10766</v>
      </c>
      <c r="J15" s="2437" t="s">
        <v>10765</v>
      </c>
      <c r="K15" s="2436" t="s">
        <v>10748</v>
      </c>
      <c r="W15" s="2428" t="s">
        <v>10764</v>
      </c>
      <c r="X15" s="2428" t="s">
        <v>10763</v>
      </c>
      <c r="Y15" s="2428" t="s">
        <v>10762</v>
      </c>
      <c r="Z15" s="2428" t="s">
        <v>10761</v>
      </c>
      <c r="AA15" s="2428">
        <v>12</v>
      </c>
      <c r="AB15" s="2428" t="s">
        <v>10760</v>
      </c>
      <c r="AC15" s="2428">
        <v>20</v>
      </c>
      <c r="AD15" s="2428" t="s">
        <v>10759</v>
      </c>
      <c r="AE15" s="2428" t="s">
        <v>10758</v>
      </c>
      <c r="AF15" s="2428" t="s">
        <v>10757</v>
      </c>
      <c r="AG15" s="2428" t="s">
        <v>10756</v>
      </c>
      <c r="AH15" s="2428" t="s">
        <v>10755</v>
      </c>
    </row>
    <row r="16" spans="2:34" ht="15" thickBot="1">
      <c r="B16" s="2438">
        <v>11</v>
      </c>
      <c r="C16" s="2437" t="s">
        <v>10754</v>
      </c>
      <c r="D16" s="2437" t="s">
        <v>10753</v>
      </c>
      <c r="E16" s="2437" t="s">
        <v>10752</v>
      </c>
      <c r="F16" s="2436" t="s">
        <v>10751</v>
      </c>
      <c r="H16" s="2438">
        <v>11</v>
      </c>
      <c r="I16" s="2437" t="s">
        <v>10750</v>
      </c>
      <c r="J16" s="2437" t="s">
        <v>10749</v>
      </c>
      <c r="K16" s="2436" t="s">
        <v>10748</v>
      </c>
    </row>
    <row r="17" spans="2:11" ht="15" thickBot="1">
      <c r="B17" s="2438">
        <v>12</v>
      </c>
      <c r="C17" s="2437" t="s">
        <v>10747</v>
      </c>
      <c r="D17" s="2437" t="s">
        <v>10746</v>
      </c>
      <c r="E17" s="2437" t="s">
        <v>10745</v>
      </c>
      <c r="F17" s="2436" t="s">
        <v>10744</v>
      </c>
      <c r="H17" s="2438">
        <v>12</v>
      </c>
      <c r="I17" s="2437" t="s">
        <v>10743</v>
      </c>
      <c r="J17" s="2437" t="s">
        <v>10742</v>
      </c>
      <c r="K17" s="2436" t="s">
        <v>10741</v>
      </c>
    </row>
    <row r="18" spans="2:11" ht="15" thickBot="1">
      <c r="B18" s="2438">
        <v>13</v>
      </c>
      <c r="C18" s="2437" t="s">
        <v>10740</v>
      </c>
      <c r="D18" s="2437" t="s">
        <v>10739</v>
      </c>
      <c r="E18" s="2437" t="s">
        <v>6288</v>
      </c>
      <c r="F18" s="2436" t="s">
        <v>10738</v>
      </c>
      <c r="H18" s="2438">
        <v>13</v>
      </c>
      <c r="I18" s="2437" t="s">
        <v>10737</v>
      </c>
      <c r="J18" s="2437" t="s">
        <v>10736</v>
      </c>
      <c r="K18" s="2436" t="s">
        <v>10725</v>
      </c>
    </row>
    <row r="19" spans="2:11" ht="15" thickBot="1">
      <c r="B19" s="2438">
        <v>14</v>
      </c>
      <c r="C19" s="2437" t="s">
        <v>10699</v>
      </c>
      <c r="D19" s="2437" t="s">
        <v>10735</v>
      </c>
      <c r="E19" s="2437" t="s">
        <v>10734</v>
      </c>
      <c r="F19" s="2436" t="s">
        <v>10733</v>
      </c>
      <c r="H19" s="2438">
        <v>14</v>
      </c>
      <c r="I19" s="2437" t="s">
        <v>10732</v>
      </c>
      <c r="J19" s="2437" t="s">
        <v>10731</v>
      </c>
      <c r="K19" s="2436" t="s">
        <v>10725</v>
      </c>
    </row>
    <row r="20" spans="2:11" ht="15" thickBot="1">
      <c r="B20" s="2438">
        <v>15</v>
      </c>
      <c r="C20" s="2437" t="s">
        <v>10730</v>
      </c>
      <c r="D20" s="2437" t="s">
        <v>10729</v>
      </c>
      <c r="E20" s="2437" t="s">
        <v>10728</v>
      </c>
      <c r="F20" s="2436" t="s">
        <v>10727</v>
      </c>
      <c r="H20" s="2438">
        <v>15</v>
      </c>
      <c r="I20" s="2437" t="s">
        <v>10726</v>
      </c>
      <c r="J20" s="2437" t="s">
        <v>3723</v>
      </c>
      <c r="K20" s="2436" t="s">
        <v>10725</v>
      </c>
    </row>
    <row r="21" spans="2:11" ht="15" thickBot="1">
      <c r="B21" s="2438">
        <v>16</v>
      </c>
      <c r="C21" s="2437" t="s">
        <v>10724</v>
      </c>
      <c r="D21" s="2437" t="s">
        <v>10723</v>
      </c>
      <c r="E21" s="2437" t="s">
        <v>10722</v>
      </c>
      <c r="F21" s="2436" t="s">
        <v>10721</v>
      </c>
      <c r="H21" s="2438">
        <v>16</v>
      </c>
      <c r="I21" s="2437" t="s">
        <v>10720</v>
      </c>
      <c r="J21" s="2437" t="s">
        <v>10719</v>
      </c>
      <c r="K21" s="2436" t="s">
        <v>10718</v>
      </c>
    </row>
    <row r="22" spans="2:11" ht="15" thickBot="1">
      <c r="B22" s="2438">
        <v>17</v>
      </c>
      <c r="C22" s="2437" t="s">
        <v>10717</v>
      </c>
      <c r="D22" s="2437" t="s">
        <v>10716</v>
      </c>
      <c r="E22" s="2437" t="s">
        <v>10715</v>
      </c>
      <c r="F22" s="2436" t="s">
        <v>10714</v>
      </c>
      <c r="H22" s="2438">
        <v>17</v>
      </c>
      <c r="I22" s="2437" t="s">
        <v>10713</v>
      </c>
      <c r="J22" s="2437" t="s">
        <v>10712</v>
      </c>
      <c r="K22" s="2436" t="s">
        <v>10700</v>
      </c>
    </row>
    <row r="23" spans="2:11" ht="15" thickBot="1">
      <c r="B23" s="2438">
        <v>18</v>
      </c>
      <c r="C23" s="2437" t="s">
        <v>10711</v>
      </c>
      <c r="D23" s="2437" t="s">
        <v>10710</v>
      </c>
      <c r="E23" s="2437" t="s">
        <v>10709</v>
      </c>
      <c r="F23" s="2436" t="s">
        <v>10708</v>
      </c>
      <c r="H23" s="2438">
        <v>18</v>
      </c>
      <c r="I23" s="2437" t="s">
        <v>10707</v>
      </c>
      <c r="J23" s="2437" t="s">
        <v>10706</v>
      </c>
      <c r="K23" s="2436" t="s">
        <v>10700</v>
      </c>
    </row>
    <row r="24" spans="2:11" ht="15" thickBot="1">
      <c r="B24" s="2438">
        <v>19</v>
      </c>
      <c r="C24" s="2437" t="s">
        <v>10705</v>
      </c>
      <c r="D24" s="2437" t="s">
        <v>10704</v>
      </c>
      <c r="E24" s="2437" t="s">
        <v>10703</v>
      </c>
      <c r="F24" s="2436" t="s">
        <v>10702</v>
      </c>
      <c r="H24" s="2438">
        <v>19</v>
      </c>
      <c r="I24" s="2437" t="s">
        <v>10701</v>
      </c>
      <c r="J24" s="2437" t="s">
        <v>6305</v>
      </c>
      <c r="K24" s="2436" t="s">
        <v>10700</v>
      </c>
    </row>
    <row r="25" spans="2:11">
      <c r="B25" s="2435">
        <v>20</v>
      </c>
      <c r="C25" s="2434" t="s">
        <v>10699</v>
      </c>
      <c r="D25" s="2434" t="s">
        <v>10698</v>
      </c>
      <c r="E25" s="2434" t="s">
        <v>10697</v>
      </c>
      <c r="F25" s="2433" t="s">
        <v>10696</v>
      </c>
      <c r="H25" s="2435">
        <v>20</v>
      </c>
      <c r="I25" s="2434" t="s">
        <v>10695</v>
      </c>
      <c r="J25" s="2434" t="s">
        <v>10694</v>
      </c>
      <c r="K25" s="2433" t="s">
        <v>7514</v>
      </c>
    </row>
    <row r="33" spans="3:30" ht="16.5">
      <c r="C33" s="2429"/>
      <c r="D33" s="2429" t="s">
        <v>10693</v>
      </c>
      <c r="E33" s="2429"/>
      <c r="F33" s="2429"/>
      <c r="G33" s="2429"/>
      <c r="H33" s="2429"/>
      <c r="I33" s="2429"/>
      <c r="J33" s="2429"/>
      <c r="K33" s="2429"/>
      <c r="L33" s="2429"/>
      <c r="M33" s="2429"/>
      <c r="N33" s="2429"/>
      <c r="O33" s="2429"/>
      <c r="P33" s="2429"/>
      <c r="Q33" s="2429"/>
      <c r="R33" s="2429"/>
      <c r="S33" s="2429"/>
      <c r="T33" s="2429"/>
      <c r="U33" s="2429"/>
      <c r="V33" s="2429"/>
      <c r="W33" s="2429"/>
      <c r="X33" s="2429"/>
      <c r="Y33" s="2429"/>
      <c r="Z33" s="2429"/>
      <c r="AA33" s="2429"/>
      <c r="AB33" s="2429"/>
      <c r="AC33" s="2429"/>
      <c r="AD33" s="2429"/>
    </row>
    <row r="34" spans="3:30" ht="16.5">
      <c r="C34" s="2429"/>
      <c r="D34" s="2429" t="s">
        <v>10560</v>
      </c>
      <c r="E34" s="2429" t="s">
        <v>10559</v>
      </c>
      <c r="F34" s="2429"/>
      <c r="G34" s="2429"/>
      <c r="H34" s="2429" t="s">
        <v>597</v>
      </c>
      <c r="I34" s="2429" t="s">
        <v>10692</v>
      </c>
      <c r="J34" s="2429" t="s">
        <v>10691</v>
      </c>
      <c r="K34" s="2429"/>
      <c r="L34" s="2429" t="s">
        <v>10690</v>
      </c>
      <c r="M34" s="2429" t="s">
        <v>5799</v>
      </c>
      <c r="N34" s="2429" t="s">
        <v>10689</v>
      </c>
      <c r="O34" s="2429"/>
      <c r="P34" s="2429" t="s">
        <v>597</v>
      </c>
      <c r="Q34" s="2429" t="s">
        <v>10688</v>
      </c>
      <c r="R34" s="2429" t="s">
        <v>10687</v>
      </c>
      <c r="S34" s="2429" t="s">
        <v>10686</v>
      </c>
      <c r="T34" s="2429"/>
      <c r="U34" s="2429"/>
      <c r="V34" s="2429"/>
      <c r="W34" s="2429"/>
      <c r="X34" s="2429"/>
      <c r="Y34" s="2429"/>
      <c r="Z34" s="2429"/>
      <c r="AA34" s="2429"/>
      <c r="AB34" s="2429"/>
      <c r="AC34" s="2429"/>
      <c r="AD34" s="2429"/>
    </row>
    <row r="35" spans="3:30" ht="16.5">
      <c r="C35" s="2429"/>
      <c r="D35" s="2429" t="s">
        <v>10685</v>
      </c>
      <c r="E35" s="2429" t="s">
        <v>10684</v>
      </c>
      <c r="F35" s="2429"/>
      <c r="G35" s="2429"/>
      <c r="H35" s="2429" t="s">
        <v>10066</v>
      </c>
      <c r="I35" s="2429" t="s">
        <v>2462</v>
      </c>
      <c r="J35" s="2429">
        <v>1000</v>
      </c>
      <c r="K35" s="2429"/>
      <c r="L35" s="2429" t="s">
        <v>10683</v>
      </c>
      <c r="M35" s="2429" t="s">
        <v>10682</v>
      </c>
      <c r="N35" s="2429">
        <v>0.5</v>
      </c>
      <c r="O35" s="2429"/>
      <c r="P35" s="2429" t="s">
        <v>10681</v>
      </c>
      <c r="Q35" s="2429">
        <v>0.5</v>
      </c>
      <c r="R35" s="2429">
        <v>0.1</v>
      </c>
      <c r="S35" s="2429">
        <v>0</v>
      </c>
      <c r="T35" s="2429"/>
      <c r="U35" s="2429"/>
      <c r="V35" s="2429"/>
      <c r="W35" s="2429"/>
      <c r="X35" s="2429"/>
      <c r="Y35" s="2429"/>
      <c r="Z35" s="2429"/>
      <c r="AA35" s="2429"/>
      <c r="AB35" s="2429"/>
      <c r="AC35" s="2429"/>
      <c r="AD35" s="2429"/>
    </row>
    <row r="36" spans="3:30" ht="18">
      <c r="C36" s="2429"/>
      <c r="D36" s="2431" t="s">
        <v>10680</v>
      </c>
      <c r="E36" s="2431" t="s">
        <v>10679</v>
      </c>
      <c r="F36" s="2429"/>
      <c r="G36" s="2429"/>
      <c r="H36" s="2429" t="s">
        <v>10678</v>
      </c>
      <c r="I36" s="2429" t="s">
        <v>2462</v>
      </c>
      <c r="J36" s="2429">
        <v>100</v>
      </c>
      <c r="K36" s="2429"/>
      <c r="L36" s="2432" t="s">
        <v>10677</v>
      </c>
      <c r="M36" s="2429" t="s">
        <v>10676</v>
      </c>
      <c r="N36" s="2429">
        <v>0.2</v>
      </c>
      <c r="O36" s="2429"/>
      <c r="P36" s="2429" t="s">
        <v>10675</v>
      </c>
      <c r="Q36" s="2429">
        <v>0.75</v>
      </c>
      <c r="R36" s="2429">
        <v>0.5</v>
      </c>
      <c r="S36" s="2429">
        <v>0.25</v>
      </c>
      <c r="T36" s="2429"/>
      <c r="U36" s="2429"/>
      <c r="V36" s="2429"/>
      <c r="W36" s="2429"/>
      <c r="X36" s="2429"/>
      <c r="Y36" s="2429"/>
      <c r="Z36" s="2429"/>
      <c r="AA36" s="2429"/>
      <c r="AB36" s="2429"/>
      <c r="AC36" s="2429"/>
      <c r="AD36" s="2429"/>
    </row>
    <row r="37" spans="3:30" ht="18">
      <c r="C37" s="2429"/>
      <c r="D37" s="2431" t="s">
        <v>10674</v>
      </c>
      <c r="E37" s="2431" t="s">
        <v>10668</v>
      </c>
      <c r="F37" s="2429"/>
      <c r="G37" s="2429"/>
      <c r="H37" s="2429" t="s">
        <v>10673</v>
      </c>
      <c r="I37" s="2429" t="s">
        <v>2462</v>
      </c>
      <c r="J37" s="2429">
        <v>500</v>
      </c>
      <c r="K37" s="2429"/>
      <c r="L37" s="2432" t="s">
        <v>10672</v>
      </c>
      <c r="M37" s="2429" t="s">
        <v>7812</v>
      </c>
      <c r="N37" s="2429" t="s">
        <v>10671</v>
      </c>
      <c r="O37" s="2429"/>
      <c r="P37" s="2429" t="s">
        <v>10670</v>
      </c>
      <c r="Q37" s="2429">
        <v>0.9</v>
      </c>
      <c r="R37" s="2429">
        <v>0.75</v>
      </c>
      <c r="S37" s="2429">
        <v>0.5</v>
      </c>
      <c r="T37" s="2429"/>
      <c r="U37" s="2429"/>
      <c r="V37" s="2429"/>
      <c r="W37" s="2429"/>
      <c r="X37" s="2429"/>
      <c r="Y37" s="2429"/>
      <c r="Z37" s="2429"/>
      <c r="AA37" s="2429"/>
      <c r="AB37" s="2429"/>
      <c r="AC37" s="2429"/>
      <c r="AD37" s="2429"/>
    </row>
    <row r="38" spans="3:30" ht="18">
      <c r="C38" s="2429"/>
      <c r="D38" s="2431" t="s">
        <v>10669</v>
      </c>
      <c r="E38" s="2431" t="s">
        <v>10668</v>
      </c>
      <c r="F38" s="2429"/>
      <c r="G38" s="2429"/>
      <c r="H38" s="2429" t="s">
        <v>10667</v>
      </c>
      <c r="I38" s="2429" t="s">
        <v>2462</v>
      </c>
      <c r="J38" s="2429">
        <v>750</v>
      </c>
      <c r="K38" s="2429"/>
      <c r="L38" s="2429" t="s">
        <v>10666</v>
      </c>
      <c r="M38" s="2429" t="s">
        <v>10665</v>
      </c>
      <c r="N38" s="2429">
        <v>-0.1</v>
      </c>
      <c r="O38" s="2429"/>
      <c r="P38" s="2429" t="s">
        <v>10664</v>
      </c>
      <c r="Q38" s="2429">
        <v>1</v>
      </c>
      <c r="R38" s="2429">
        <v>0.9</v>
      </c>
      <c r="S38" s="2429">
        <v>0.75</v>
      </c>
      <c r="T38" s="2429"/>
      <c r="U38" s="2429"/>
      <c r="V38" s="2429"/>
      <c r="W38" s="2429"/>
      <c r="X38" s="2429"/>
      <c r="Y38" s="2429"/>
      <c r="Z38" s="2429"/>
      <c r="AA38" s="2429"/>
      <c r="AB38" s="2429"/>
      <c r="AC38" s="2429"/>
      <c r="AD38" s="2429"/>
    </row>
    <row r="39" spans="3:30" ht="16.5">
      <c r="C39" s="2429"/>
      <c r="D39" s="2429" t="s">
        <v>10663</v>
      </c>
      <c r="E39" s="2429">
        <v>2</v>
      </c>
      <c r="F39" s="2429"/>
      <c r="G39" s="2429"/>
      <c r="H39" s="2429" t="s">
        <v>10662</v>
      </c>
      <c r="I39" s="2429" t="s">
        <v>2462</v>
      </c>
      <c r="J39" s="2429">
        <v>150</v>
      </c>
      <c r="K39" s="2429"/>
      <c r="L39" s="2429" t="s">
        <v>10661</v>
      </c>
      <c r="M39" s="2429" t="s">
        <v>10660</v>
      </c>
      <c r="N39" s="2429">
        <v>-0.2</v>
      </c>
      <c r="O39" s="2429"/>
      <c r="P39" s="2429"/>
      <c r="Q39" s="2429"/>
      <c r="R39" s="2429"/>
      <c r="S39" s="2429"/>
      <c r="T39" s="2429"/>
      <c r="U39" s="2429"/>
      <c r="V39" s="2429"/>
      <c r="W39" s="2429"/>
      <c r="X39" s="2429"/>
      <c r="Y39" s="2429"/>
      <c r="Z39" s="2429"/>
      <c r="AA39" s="2429"/>
      <c r="AB39" s="2429"/>
      <c r="AC39" s="2429"/>
      <c r="AD39" s="2429"/>
    </row>
    <row r="40" spans="3:30" ht="16.5">
      <c r="C40" s="2429"/>
      <c r="D40" s="2429" t="s">
        <v>10659</v>
      </c>
      <c r="E40" s="2429">
        <v>3</v>
      </c>
      <c r="F40" s="2429"/>
      <c r="G40" s="2429"/>
      <c r="H40" s="2429" t="s">
        <v>10653</v>
      </c>
      <c r="I40" s="2429" t="s">
        <v>10658</v>
      </c>
      <c r="J40" s="2429">
        <v>80</v>
      </c>
      <c r="K40" s="2429"/>
      <c r="L40" s="2429"/>
      <c r="M40" s="2429"/>
      <c r="N40" s="2429"/>
      <c r="O40" s="2429"/>
      <c r="P40" s="2429" t="s">
        <v>10655</v>
      </c>
      <c r="Q40" s="2429" t="s">
        <v>10651</v>
      </c>
      <c r="R40" s="2429" t="s">
        <v>10649</v>
      </c>
      <c r="S40" s="2429"/>
      <c r="T40" s="2429"/>
      <c r="U40" s="2429"/>
      <c r="V40" s="2429"/>
      <c r="W40" s="2429"/>
      <c r="X40" s="2429"/>
      <c r="Y40" s="2429"/>
      <c r="Z40" s="2429"/>
      <c r="AA40" s="2429"/>
      <c r="AB40" s="2429"/>
      <c r="AC40" s="2429"/>
      <c r="AD40" s="2429"/>
    </row>
    <row r="41" spans="3:30" ht="16.5">
      <c r="C41" s="2429"/>
      <c r="D41" s="2429" t="s">
        <v>10657</v>
      </c>
      <c r="E41" s="2429">
        <v>5</v>
      </c>
      <c r="F41" s="2429"/>
      <c r="G41" s="2429"/>
      <c r="H41" s="2429" t="s">
        <v>10653</v>
      </c>
      <c r="I41" s="2429" t="s">
        <v>10656</v>
      </c>
      <c r="J41" s="2429">
        <v>20</v>
      </c>
      <c r="K41" s="2429"/>
      <c r="L41" s="2429"/>
      <c r="M41" s="2429"/>
      <c r="N41" s="2429"/>
      <c r="O41" s="2429"/>
      <c r="P41" s="2429">
        <v>2</v>
      </c>
      <c r="Q41" s="2429">
        <v>1</v>
      </c>
      <c r="R41" s="2429">
        <v>1</v>
      </c>
      <c r="S41" s="2429"/>
      <c r="T41" s="2429" t="s">
        <v>10655</v>
      </c>
      <c r="U41" s="2429" t="s">
        <v>11360</v>
      </c>
      <c r="V41" s="2429"/>
      <c r="W41" s="2429"/>
      <c r="X41" s="2429"/>
      <c r="Y41" s="2429"/>
      <c r="Z41" s="2429"/>
      <c r="AA41" s="2429"/>
      <c r="AB41" s="2429"/>
      <c r="AC41" s="2429"/>
      <c r="AD41" s="2429"/>
    </row>
    <row r="42" spans="3:30" ht="16.5">
      <c r="C42" s="2429"/>
      <c r="D42" s="2429" t="s">
        <v>10654</v>
      </c>
      <c r="E42" s="2429">
        <v>4</v>
      </c>
      <c r="F42" s="2429"/>
      <c r="G42" s="2429"/>
      <c r="H42" s="2429" t="s">
        <v>10653</v>
      </c>
      <c r="I42" s="2429" t="s">
        <v>10652</v>
      </c>
      <c r="J42" s="2429">
        <v>8</v>
      </c>
      <c r="K42" s="2429"/>
      <c r="L42" s="2429"/>
      <c r="M42" s="2429"/>
      <c r="N42" s="2429"/>
      <c r="O42" s="2429"/>
      <c r="P42" s="2429">
        <v>3</v>
      </c>
      <c r="Q42" s="2429">
        <v>1</v>
      </c>
      <c r="R42" s="2429">
        <v>2</v>
      </c>
      <c r="S42" s="2429"/>
      <c r="T42" s="2429" t="s">
        <v>10651</v>
      </c>
      <c r="U42" s="2429" t="e">
        <f>INDEX(Q41:Q51,MATCH(U41,P41:P51,0),1)</f>
        <v>#N/A</v>
      </c>
      <c r="V42" s="2429"/>
      <c r="W42" s="2429"/>
      <c r="X42" s="2429"/>
      <c r="Y42" s="2429"/>
      <c r="Z42" s="2429"/>
      <c r="AA42" s="2429"/>
      <c r="AB42" s="2429"/>
      <c r="AC42" s="2429"/>
      <c r="AD42" s="2429"/>
    </row>
    <row r="43" spans="3:30" ht="16.5">
      <c r="C43" s="2429"/>
      <c r="D43" s="2429" t="s">
        <v>10650</v>
      </c>
      <c r="E43" s="2429">
        <v>10</v>
      </c>
      <c r="F43" s="2429"/>
      <c r="G43" s="2429"/>
      <c r="H43" s="2429" t="s">
        <v>9529</v>
      </c>
      <c r="I43" s="2429" t="s">
        <v>2462</v>
      </c>
      <c r="J43" s="2429">
        <v>2000</v>
      </c>
      <c r="K43" s="2429"/>
      <c r="L43" s="2429"/>
      <c r="M43" s="2429"/>
      <c r="N43" s="2429"/>
      <c r="O43" s="2429"/>
      <c r="P43" s="2429">
        <v>4</v>
      </c>
      <c r="Q43" s="2429">
        <v>1</v>
      </c>
      <c r="R43" s="2429">
        <v>3</v>
      </c>
      <c r="S43" s="2429"/>
      <c r="T43" s="2429" t="s">
        <v>10649</v>
      </c>
      <c r="U43" s="2429" t="e">
        <f>INDEX(R41:R51,MATCH(U41,P41:P51,0),1)</f>
        <v>#N/A</v>
      </c>
      <c r="V43" s="2429"/>
      <c r="W43" s="2429"/>
      <c r="X43" s="2429"/>
      <c r="Y43" s="2429"/>
      <c r="Z43" s="2429"/>
      <c r="AA43" s="2429"/>
      <c r="AB43" s="2429"/>
      <c r="AC43" s="2429"/>
      <c r="AD43" s="2429"/>
    </row>
    <row r="44" spans="3:30" ht="16.5">
      <c r="C44" s="2429"/>
      <c r="D44" s="2429" t="s">
        <v>10648</v>
      </c>
      <c r="E44" s="2429">
        <v>10</v>
      </c>
      <c r="F44" s="2429"/>
      <c r="G44" s="2429"/>
      <c r="H44" s="2429" t="s">
        <v>10643</v>
      </c>
      <c r="I44" s="2429" t="s">
        <v>10647</v>
      </c>
      <c r="J44" s="2429">
        <v>2</v>
      </c>
      <c r="K44" s="2429"/>
      <c r="L44" s="2429"/>
      <c r="M44" s="2429"/>
      <c r="N44" s="2429"/>
      <c r="O44" s="2429"/>
      <c r="P44" s="2429">
        <v>5</v>
      </c>
      <c r="Q44" s="2429">
        <v>1</v>
      </c>
      <c r="R44" s="2429">
        <v>4</v>
      </c>
      <c r="S44" s="2429"/>
      <c r="T44" s="2429"/>
      <c r="U44" s="2429"/>
      <c r="V44" s="2429"/>
      <c r="W44" s="2429"/>
      <c r="X44" s="2429"/>
      <c r="Y44" s="2429"/>
      <c r="Z44" s="2429"/>
      <c r="AA44" s="2429"/>
      <c r="AB44" s="2429"/>
      <c r="AC44" s="2429"/>
      <c r="AD44" s="2429"/>
    </row>
    <row r="45" spans="3:30" ht="16.5">
      <c r="C45" s="2429"/>
      <c r="D45" s="2429" t="s">
        <v>10646</v>
      </c>
      <c r="E45" s="2429">
        <v>15</v>
      </c>
      <c r="F45" s="2429"/>
      <c r="G45" s="2429"/>
      <c r="H45" s="2429" t="s">
        <v>10643</v>
      </c>
      <c r="I45" s="2429" t="s">
        <v>9640</v>
      </c>
      <c r="J45" s="2429">
        <v>10</v>
      </c>
      <c r="K45" s="2429"/>
      <c r="L45" s="2429"/>
      <c r="M45" s="2429"/>
      <c r="N45" s="2429"/>
      <c r="O45" s="2429"/>
      <c r="P45" s="2429">
        <v>6</v>
      </c>
      <c r="Q45" s="2429">
        <v>2</v>
      </c>
      <c r="R45" s="2429">
        <v>2</v>
      </c>
      <c r="S45" s="2429"/>
      <c r="T45" s="2429"/>
      <c r="U45" s="2429"/>
      <c r="V45" s="2429"/>
      <c r="W45" s="2429"/>
      <c r="X45" s="2429"/>
      <c r="Y45" s="2429"/>
      <c r="Z45" s="2429"/>
      <c r="AA45" s="2429"/>
      <c r="AB45" s="2429"/>
      <c r="AC45" s="2429"/>
      <c r="AD45" s="2429"/>
    </row>
    <row r="46" spans="3:30" ht="16.5">
      <c r="C46" s="2429"/>
      <c r="D46" s="2429" t="s">
        <v>10645</v>
      </c>
      <c r="E46" s="2429">
        <v>20</v>
      </c>
      <c r="F46" s="2429"/>
      <c r="G46" s="2429"/>
      <c r="H46" s="2429" t="s">
        <v>10643</v>
      </c>
      <c r="I46" s="2429" t="s">
        <v>749</v>
      </c>
      <c r="J46" s="2429">
        <v>250</v>
      </c>
      <c r="K46" s="2429"/>
      <c r="L46" s="2429"/>
      <c r="M46" s="2429"/>
      <c r="N46" s="2429"/>
      <c r="O46" s="2429"/>
      <c r="P46" s="2429">
        <v>7</v>
      </c>
      <c r="Q46" s="2429">
        <v>2</v>
      </c>
      <c r="R46" s="2429">
        <v>3</v>
      </c>
      <c r="S46" s="2429"/>
      <c r="T46" s="2429"/>
      <c r="U46" s="2429"/>
      <c r="V46" s="2429"/>
      <c r="W46" s="2429"/>
      <c r="X46" s="2429"/>
      <c r="Y46" s="2429"/>
      <c r="Z46" s="2429"/>
      <c r="AA46" s="2429"/>
      <c r="AB46" s="2429"/>
      <c r="AC46" s="2429"/>
      <c r="AD46" s="2429"/>
    </row>
    <row r="47" spans="3:30" ht="16.5">
      <c r="C47" s="2429"/>
      <c r="D47" s="2429" t="s">
        <v>10644</v>
      </c>
      <c r="E47" s="2429">
        <v>15</v>
      </c>
      <c r="F47" s="2429"/>
      <c r="G47" s="2429"/>
      <c r="H47" s="2429" t="s">
        <v>10643</v>
      </c>
      <c r="I47" s="2429" t="s">
        <v>10642</v>
      </c>
      <c r="J47" s="2429">
        <v>150</v>
      </c>
      <c r="K47" s="2429"/>
      <c r="L47" s="2429"/>
      <c r="M47" s="2429"/>
      <c r="N47" s="2429"/>
      <c r="O47" s="2429"/>
      <c r="P47" s="2429">
        <v>8</v>
      </c>
      <c r="Q47" s="2429">
        <v>2</v>
      </c>
      <c r="R47" s="2429">
        <v>4</v>
      </c>
      <c r="S47" s="2429"/>
      <c r="T47" s="2429"/>
      <c r="U47" s="2429"/>
      <c r="V47" s="2429"/>
      <c r="W47" s="2429"/>
      <c r="X47" s="2429"/>
      <c r="Y47" s="2429"/>
      <c r="Z47" s="2429"/>
      <c r="AA47" s="2429"/>
      <c r="AB47" s="2429"/>
      <c r="AC47" s="2429"/>
      <c r="AD47" s="2429"/>
    </row>
    <row r="48" spans="3:30" ht="16.5">
      <c r="C48" s="2429"/>
      <c r="D48" s="2429" t="s">
        <v>10641</v>
      </c>
      <c r="E48" s="2429">
        <v>5</v>
      </c>
      <c r="F48" s="2429"/>
      <c r="G48" s="2429"/>
      <c r="H48" s="2429" t="s">
        <v>10640</v>
      </c>
      <c r="I48" s="2429" t="s">
        <v>2462</v>
      </c>
      <c r="J48" s="2429">
        <v>2000</v>
      </c>
      <c r="K48" s="2429"/>
      <c r="L48" s="2429"/>
      <c r="M48" s="2429"/>
      <c r="N48" s="2429"/>
      <c r="O48" s="2429"/>
      <c r="P48" s="2429">
        <v>9</v>
      </c>
      <c r="Q48" s="2429">
        <v>3</v>
      </c>
      <c r="R48" s="2429">
        <v>2</v>
      </c>
      <c r="S48" s="2429"/>
      <c r="T48" s="2429"/>
      <c r="U48" s="2429"/>
      <c r="V48" s="2429"/>
      <c r="W48" s="2429"/>
      <c r="X48" s="2429"/>
      <c r="Y48" s="2429"/>
      <c r="Z48" s="2429"/>
      <c r="AA48" s="2429"/>
      <c r="AB48" s="2429"/>
      <c r="AC48" s="2429"/>
      <c r="AD48" s="2429"/>
    </row>
    <row r="49" spans="3:30" ht="16.5">
      <c r="C49" s="2429"/>
      <c r="D49" s="2429" t="s">
        <v>10639</v>
      </c>
      <c r="E49" s="2429">
        <v>7</v>
      </c>
      <c r="F49" s="2429"/>
      <c r="G49" s="2429"/>
      <c r="H49" s="2429" t="s">
        <v>10638</v>
      </c>
      <c r="I49" s="2429" t="s">
        <v>2462</v>
      </c>
      <c r="J49" s="2429">
        <v>8</v>
      </c>
      <c r="K49" s="2429"/>
      <c r="L49" s="2429"/>
      <c r="M49" s="2429"/>
      <c r="N49" s="2429"/>
      <c r="O49" s="2429"/>
      <c r="P49" s="2429">
        <v>10</v>
      </c>
      <c r="Q49" s="2429">
        <v>3</v>
      </c>
      <c r="R49" s="2429">
        <v>3</v>
      </c>
      <c r="S49" s="2429"/>
      <c r="T49" s="2429"/>
      <c r="U49" s="2429"/>
      <c r="V49" s="2429"/>
      <c r="W49" s="2429"/>
      <c r="X49" s="2429"/>
      <c r="Y49" s="2429"/>
      <c r="Z49" s="2429"/>
      <c r="AA49" s="2429"/>
      <c r="AB49" s="2429"/>
      <c r="AC49" s="2429"/>
      <c r="AD49" s="2429"/>
    </row>
    <row r="50" spans="3:30" ht="16.5">
      <c r="C50" s="2429"/>
      <c r="D50" s="2429" t="s">
        <v>10637</v>
      </c>
      <c r="E50" s="2429">
        <v>4</v>
      </c>
      <c r="F50" s="2429"/>
      <c r="G50" s="2429"/>
      <c r="H50" s="2429" t="s">
        <v>10636</v>
      </c>
      <c r="I50" s="2429" t="s">
        <v>10635</v>
      </c>
      <c r="J50" s="2429">
        <v>500</v>
      </c>
      <c r="K50" s="2429"/>
      <c r="L50" s="2429"/>
      <c r="M50" s="2429"/>
      <c r="N50" s="2429"/>
      <c r="O50" s="2429"/>
      <c r="P50" s="2429">
        <v>11</v>
      </c>
      <c r="Q50" s="2429">
        <v>3</v>
      </c>
      <c r="R50" s="2429">
        <v>4</v>
      </c>
      <c r="S50" s="2429"/>
      <c r="T50" s="2429"/>
      <c r="U50" s="2429"/>
      <c r="V50" s="2429"/>
      <c r="W50" s="2429"/>
      <c r="X50" s="2429"/>
      <c r="Y50" s="2429"/>
      <c r="Z50" s="2429"/>
      <c r="AA50" s="2429"/>
      <c r="AB50" s="2429"/>
      <c r="AC50" s="2429"/>
      <c r="AD50" s="2429"/>
    </row>
    <row r="51" spans="3:30" ht="16.5">
      <c r="C51" s="2429"/>
      <c r="D51" s="2429" t="s">
        <v>10634</v>
      </c>
      <c r="E51" s="2429">
        <v>6</v>
      </c>
      <c r="F51" s="2429"/>
      <c r="G51" s="2429"/>
      <c r="H51" s="2429"/>
      <c r="I51" s="2429"/>
      <c r="J51" s="2429"/>
      <c r="K51" s="2429"/>
      <c r="L51" s="2429"/>
      <c r="M51" s="2429"/>
      <c r="N51" s="2429"/>
      <c r="O51" s="2429"/>
      <c r="P51" s="2429">
        <v>12</v>
      </c>
      <c r="Q51" s="2429">
        <v>3</v>
      </c>
      <c r="R51" s="2429">
        <v>5</v>
      </c>
      <c r="S51" s="2429"/>
      <c r="T51" s="2429"/>
      <c r="U51" s="2429"/>
      <c r="V51" s="2429"/>
      <c r="W51" s="2429"/>
      <c r="X51" s="2429"/>
      <c r="Y51" s="2429"/>
      <c r="Z51" s="2429"/>
      <c r="AA51" s="2429"/>
      <c r="AB51" s="2429"/>
      <c r="AC51" s="2429"/>
      <c r="AD51" s="2429"/>
    </row>
    <row r="52" spans="3:30" ht="16.5">
      <c r="C52" s="2429"/>
      <c r="D52" s="2429" t="s">
        <v>10633</v>
      </c>
      <c r="E52" s="2429">
        <v>10</v>
      </c>
      <c r="F52" s="2429"/>
      <c r="G52" s="2429"/>
      <c r="H52" s="2429"/>
      <c r="I52" s="2429"/>
      <c r="J52" s="2429"/>
      <c r="K52" s="2429"/>
      <c r="L52" s="2429"/>
      <c r="M52" s="2429"/>
      <c r="N52" s="2429"/>
      <c r="O52" s="2429"/>
      <c r="P52" s="2429"/>
      <c r="Q52" s="2429"/>
      <c r="R52" s="2429"/>
      <c r="S52" s="2429"/>
      <c r="T52" s="2429"/>
      <c r="U52" s="2429"/>
      <c r="V52" s="2429"/>
      <c r="W52" s="2429"/>
      <c r="X52" s="2429"/>
      <c r="Y52" s="2429"/>
      <c r="Z52" s="2429"/>
      <c r="AA52" s="2429"/>
      <c r="AB52" s="2429"/>
      <c r="AC52" s="2429"/>
      <c r="AD52" s="2429"/>
    </row>
    <row r="53" spans="3:30" ht="16.5">
      <c r="C53" s="2429"/>
      <c r="D53" s="2429" t="s">
        <v>10632</v>
      </c>
      <c r="E53" s="2429">
        <v>20</v>
      </c>
      <c r="F53" s="2429"/>
      <c r="G53" s="2429"/>
      <c r="H53" s="2429"/>
      <c r="I53" s="2429"/>
      <c r="J53" s="2429"/>
      <c r="K53" s="2429"/>
      <c r="L53" s="2429"/>
      <c r="M53" s="2429"/>
      <c r="N53" s="2429"/>
      <c r="O53" s="2429"/>
      <c r="P53" s="2429" t="s">
        <v>10628</v>
      </c>
      <c r="Q53" s="2429" t="str" cm="1">
        <f t="array" aca="1" ref="Q53" ca="1">INDEX(W55:W64,RANDBETWEEN(1,10))</f>
        <v>Avians</v>
      </c>
      <c r="R53" s="2429"/>
      <c r="S53" s="2429" t="s">
        <v>10598</v>
      </c>
      <c r="T53" s="2429" t="str" cm="1">
        <f t="array" aca="1" ref="T53" ca="1">INDEX(T55:T62,RANDBETWEEN(1,8))</f>
        <v>Fungi</v>
      </c>
      <c r="U53" s="2429"/>
      <c r="V53" s="2429" t="s">
        <v>10592</v>
      </c>
      <c r="W53" s="2429" t="str" cm="1">
        <f t="array" aca="1" ref="W53" ca="1">INDEX(W55:W64,RANDBETWEEN(1,10))</f>
        <v>Crustaceans &amp; Mollusks</v>
      </c>
      <c r="X53" s="2429"/>
      <c r="Y53" s="2429" t="s">
        <v>10581</v>
      </c>
      <c r="Z53" s="2429" t="str" cm="1">
        <f t="array" aca="1" ref="Z53" ca="1">INDEX(Z55:Z62,RANDBETWEEN(1,8))</f>
        <v>Alchemy</v>
      </c>
      <c r="AA53" s="2429"/>
      <c r="AB53" s="2429" t="s">
        <v>10572</v>
      </c>
      <c r="AC53" s="2429" t="str" cm="1">
        <f t="array" aca="1" ref="AC53" ca="1">INDEX(AC55:AC66,RANDBETWEEN(1,12))</f>
        <v>Physics</v>
      </c>
      <c r="AD53" s="2429"/>
    </row>
    <row r="54" spans="3:30" ht="16.5">
      <c r="C54" s="2429"/>
      <c r="D54" s="2429" t="s">
        <v>10631</v>
      </c>
      <c r="E54" s="2429">
        <v>30</v>
      </c>
      <c r="F54" s="2429"/>
      <c r="G54" s="2429"/>
      <c r="H54" s="2429" t="s">
        <v>10630</v>
      </c>
      <c r="I54" s="2429" t="s">
        <v>10629</v>
      </c>
      <c r="J54" s="2429" t="s">
        <v>10559</v>
      </c>
      <c r="K54" s="2429" t="s">
        <v>597</v>
      </c>
      <c r="L54" s="2429"/>
      <c r="M54" s="2429"/>
      <c r="N54" s="2429"/>
      <c r="O54" s="2429"/>
      <c r="P54" s="2429" t="s">
        <v>10627</v>
      </c>
      <c r="Q54" s="2429" t="s">
        <v>10628</v>
      </c>
      <c r="R54" s="2429"/>
      <c r="S54" s="2429" t="s">
        <v>10626</v>
      </c>
      <c r="T54" s="2429" t="s">
        <v>10598</v>
      </c>
      <c r="U54" s="2429"/>
      <c r="V54" s="2429" t="s">
        <v>10627</v>
      </c>
      <c r="W54" s="2429" t="s">
        <v>10592</v>
      </c>
      <c r="X54" s="2429"/>
      <c r="Y54" s="2429" t="s">
        <v>10626</v>
      </c>
      <c r="Z54" s="2429" t="s">
        <v>10581</v>
      </c>
      <c r="AA54" s="2429"/>
      <c r="AB54" s="2429" t="s">
        <v>10625</v>
      </c>
      <c r="AC54" s="2429" t="s">
        <v>10572</v>
      </c>
      <c r="AD54" s="2429"/>
    </row>
    <row r="55" spans="3:30" ht="16.5">
      <c r="C55" s="2429"/>
      <c r="D55" s="2429" t="s">
        <v>10624</v>
      </c>
      <c r="E55" s="2429">
        <v>5</v>
      </c>
      <c r="F55" s="2429"/>
      <c r="G55" s="2429"/>
      <c r="H55" s="2429">
        <f>1/8</f>
        <v>0.125</v>
      </c>
      <c r="I55" s="2429">
        <v>1</v>
      </c>
      <c r="J55" s="2429">
        <f>Таблиця2167[[#This Row],[GP / DAY]]*30</f>
        <v>30</v>
      </c>
      <c r="K55" s="2429" t="s">
        <v>10623</v>
      </c>
      <c r="L55" s="2429"/>
      <c r="M55" s="2429"/>
      <c r="N55" s="2429"/>
      <c r="O55" s="2429"/>
      <c r="P55" s="2429">
        <v>1</v>
      </c>
      <c r="Q55" s="2429" t="s">
        <v>10611</v>
      </c>
      <c r="R55" s="2429"/>
      <c r="S55" s="2429">
        <v>1</v>
      </c>
      <c r="T55" s="2429" t="s">
        <v>10622</v>
      </c>
      <c r="U55" s="2429"/>
      <c r="V55" s="2429">
        <v>1</v>
      </c>
      <c r="W55" s="2429" t="s">
        <v>10621</v>
      </c>
      <c r="X55" s="2429"/>
      <c r="Y55" s="2429">
        <v>1</v>
      </c>
      <c r="Z55" s="2429" t="s">
        <v>10620</v>
      </c>
      <c r="AA55" s="2429"/>
      <c r="AB55" s="2429">
        <v>1</v>
      </c>
      <c r="AC55" s="2429" t="s">
        <v>10614</v>
      </c>
      <c r="AD55" s="2429"/>
    </row>
    <row r="56" spans="3:30" ht="16.5">
      <c r="C56" s="2429"/>
      <c r="D56" s="2429" t="s">
        <v>10619</v>
      </c>
      <c r="E56" s="2429">
        <v>6</v>
      </c>
      <c r="F56" s="2429"/>
      <c r="G56" s="2429"/>
      <c r="H56" s="2429" t="s">
        <v>10618</v>
      </c>
      <c r="I56" s="2429">
        <v>1.5</v>
      </c>
      <c r="J56" s="2429">
        <f>Таблиця2167[[#This Row],[GP / DAY]]*30</f>
        <v>45</v>
      </c>
      <c r="K56" s="2429" t="s">
        <v>10617</v>
      </c>
      <c r="L56" s="2429"/>
      <c r="M56" s="2429"/>
      <c r="N56" s="2429"/>
      <c r="O56" s="2429"/>
      <c r="P56" s="2429">
        <v>2</v>
      </c>
      <c r="Q56" s="2429" t="s">
        <v>10611</v>
      </c>
      <c r="R56" s="2429"/>
      <c r="S56" s="2429">
        <v>2</v>
      </c>
      <c r="T56" s="2429" t="s">
        <v>10616</v>
      </c>
      <c r="U56" s="2429"/>
      <c r="V56" s="2429">
        <v>2</v>
      </c>
      <c r="W56" s="2429" t="s">
        <v>10615</v>
      </c>
      <c r="X56" s="2429"/>
      <c r="Y56" s="2429">
        <v>2</v>
      </c>
      <c r="Z56" s="2429" t="s">
        <v>6744</v>
      </c>
      <c r="AA56" s="2429"/>
      <c r="AB56" s="2429">
        <v>2</v>
      </c>
      <c r="AC56" s="2429" t="s">
        <v>10614</v>
      </c>
      <c r="AD56" s="2429"/>
    </row>
    <row r="57" spans="3:30" ht="16.5">
      <c r="C57" s="2429"/>
      <c r="D57" s="2429" t="s">
        <v>10613</v>
      </c>
      <c r="E57" s="2429">
        <v>15</v>
      </c>
      <c r="F57" s="2429"/>
      <c r="G57" s="2429"/>
      <c r="H57" s="2429">
        <v>1</v>
      </c>
      <c r="I57" s="2429">
        <v>2</v>
      </c>
      <c r="J57" s="2429">
        <f>Таблиця2167[[#This Row],[GP / DAY]]*30</f>
        <v>60</v>
      </c>
      <c r="K57" s="2429" t="s">
        <v>10612</v>
      </c>
      <c r="L57" s="2429"/>
      <c r="M57" s="2429"/>
      <c r="N57" s="2429"/>
      <c r="O57" s="2429"/>
      <c r="P57" s="2429">
        <v>3</v>
      </c>
      <c r="Q57" s="2429" t="s">
        <v>10611</v>
      </c>
      <c r="R57" s="2429"/>
      <c r="S57" s="2429">
        <v>3</v>
      </c>
      <c r="T57" s="2429" t="s">
        <v>10610</v>
      </c>
      <c r="U57" s="2429"/>
      <c r="V57" s="2429">
        <v>3</v>
      </c>
      <c r="W57" s="2429" t="s">
        <v>10609</v>
      </c>
      <c r="X57" s="2429"/>
      <c r="Y57" s="2429">
        <v>3</v>
      </c>
      <c r="Z57" s="2429" t="s">
        <v>10602</v>
      </c>
      <c r="AA57" s="2429"/>
      <c r="AB57" s="2429">
        <v>3</v>
      </c>
      <c r="AC57" s="2429" t="s">
        <v>10608</v>
      </c>
      <c r="AD57" s="2429"/>
    </row>
    <row r="58" spans="3:30" ht="16.5">
      <c r="C58" s="2429"/>
      <c r="D58" s="2429" t="s">
        <v>10607</v>
      </c>
      <c r="E58" s="2429">
        <v>5</v>
      </c>
      <c r="F58" s="2429"/>
      <c r="G58" s="2429"/>
      <c r="H58" s="2429">
        <v>2</v>
      </c>
      <c r="I58" s="2429">
        <v>3</v>
      </c>
      <c r="J58" s="2429">
        <f>Таблиця2167[[#This Row],[GP / DAY]]*30</f>
        <v>90</v>
      </c>
      <c r="K58" s="2429" t="s">
        <v>10606</v>
      </c>
      <c r="L58" s="2429"/>
      <c r="M58" s="2429"/>
      <c r="N58" s="2429"/>
      <c r="O58" s="2429"/>
      <c r="P58" s="2429">
        <v>4</v>
      </c>
      <c r="Q58" s="2429" t="s">
        <v>10605</v>
      </c>
      <c r="R58" s="2429"/>
      <c r="S58" s="2429">
        <v>4</v>
      </c>
      <c r="T58" s="2429" t="s">
        <v>10604</v>
      </c>
      <c r="U58" s="2429"/>
      <c r="V58" s="2429">
        <v>4</v>
      </c>
      <c r="W58" s="2429" t="s">
        <v>10603</v>
      </c>
      <c r="X58" s="2429"/>
      <c r="Y58" s="2429">
        <v>4</v>
      </c>
      <c r="Z58" s="2429" t="s">
        <v>10602</v>
      </c>
      <c r="AA58" s="2429"/>
      <c r="AB58" s="2429">
        <v>4</v>
      </c>
      <c r="AC58" s="2429" t="s">
        <v>10601</v>
      </c>
      <c r="AD58" s="2429"/>
    </row>
    <row r="59" spans="3:30" ht="16.5">
      <c r="C59" s="2429"/>
      <c r="D59" s="2429" t="s">
        <v>10600</v>
      </c>
      <c r="E59" s="2429">
        <v>8</v>
      </c>
      <c r="F59" s="2429"/>
      <c r="G59" s="2429"/>
      <c r="H59" s="2429">
        <v>3</v>
      </c>
      <c r="I59" s="2429">
        <v>4</v>
      </c>
      <c r="J59" s="2429">
        <f>Таблиця2167[[#This Row],[GP / DAY]]*30</f>
        <v>120</v>
      </c>
      <c r="K59" s="2429" t="s">
        <v>10599</v>
      </c>
      <c r="L59" s="2429"/>
      <c r="M59" s="2429"/>
      <c r="N59" s="2429"/>
      <c r="O59" s="2429"/>
      <c r="P59" s="2429">
        <v>5</v>
      </c>
      <c r="Q59" s="2429" t="s">
        <v>10598</v>
      </c>
      <c r="R59" s="2429"/>
      <c r="S59" s="2429">
        <v>5</v>
      </c>
      <c r="T59" s="2429" t="s">
        <v>10597</v>
      </c>
      <c r="U59" s="2429"/>
      <c r="V59" s="2429">
        <v>5</v>
      </c>
      <c r="W59" s="2429" t="s">
        <v>10596</v>
      </c>
      <c r="X59" s="2429"/>
      <c r="Y59" s="2429">
        <v>5</v>
      </c>
      <c r="Z59" s="2429" t="s">
        <v>10595</v>
      </c>
      <c r="AA59" s="2429"/>
      <c r="AB59" s="2429">
        <v>5</v>
      </c>
      <c r="AC59" s="2429" t="s">
        <v>10594</v>
      </c>
      <c r="AD59" s="2429"/>
    </row>
    <row r="60" spans="3:30" ht="16.5">
      <c r="C60" s="2429"/>
      <c r="D60" s="2429" t="s">
        <v>10593</v>
      </c>
      <c r="E60" s="2429">
        <v>5</v>
      </c>
      <c r="F60" s="2429"/>
      <c r="G60" s="2429"/>
      <c r="H60" s="2429">
        <v>4</v>
      </c>
      <c r="I60" s="2429">
        <v>5</v>
      </c>
      <c r="J60" s="2429">
        <f>Таблиця2167[[#This Row],[GP / DAY]]*30</f>
        <v>150</v>
      </c>
      <c r="K60" s="2429"/>
      <c r="L60" s="2429"/>
      <c r="M60" s="2429"/>
      <c r="N60" s="2429"/>
      <c r="O60" s="2429"/>
      <c r="P60" s="2429">
        <v>6</v>
      </c>
      <c r="Q60" s="2429" t="s">
        <v>10592</v>
      </c>
      <c r="R60" s="2429"/>
      <c r="S60" s="2429">
        <v>6</v>
      </c>
      <c r="T60" s="2429" t="s">
        <v>10591</v>
      </c>
      <c r="U60" s="2429"/>
      <c r="V60" s="2429">
        <v>6</v>
      </c>
      <c r="W60" s="2429" t="s">
        <v>10590</v>
      </c>
      <c r="X60" s="2429"/>
      <c r="Y60" s="2429">
        <v>6</v>
      </c>
      <c r="Z60" s="2429" t="s">
        <v>6958</v>
      </c>
      <c r="AA60" s="2429"/>
      <c r="AB60" s="2429">
        <v>6</v>
      </c>
      <c r="AC60" s="2429" t="s">
        <v>10589</v>
      </c>
      <c r="AD60" s="2429"/>
    </row>
    <row r="61" spans="3:30" ht="16.5">
      <c r="C61" s="2429"/>
      <c r="D61" s="2429" t="s">
        <v>10588</v>
      </c>
      <c r="E61" s="2429">
        <v>2</v>
      </c>
      <c r="F61" s="2429"/>
      <c r="G61" s="2429"/>
      <c r="H61" s="2429">
        <v>5</v>
      </c>
      <c r="I61" s="2429">
        <v>10</v>
      </c>
      <c r="J61" s="2429">
        <f>Таблиця2167[[#This Row],[GP / DAY]]*30</f>
        <v>300</v>
      </c>
      <c r="K61" s="2429"/>
      <c r="L61" s="2429"/>
      <c r="M61" s="2429"/>
      <c r="N61" s="2429"/>
      <c r="O61" s="2429"/>
      <c r="P61" s="2429">
        <v>7</v>
      </c>
      <c r="Q61" s="2429" t="s">
        <v>10581</v>
      </c>
      <c r="R61" s="2429"/>
      <c r="S61" s="2429">
        <v>7</v>
      </c>
      <c r="T61" s="2429" t="s">
        <v>10587</v>
      </c>
      <c r="U61" s="2429"/>
      <c r="V61" s="2429">
        <v>7</v>
      </c>
      <c r="W61" s="2429" t="s">
        <v>10586</v>
      </c>
      <c r="X61" s="2429"/>
      <c r="Y61" s="2429">
        <v>7</v>
      </c>
      <c r="Z61" s="2429" t="s">
        <v>10585</v>
      </c>
      <c r="AA61" s="2429"/>
      <c r="AB61" s="2429">
        <v>7</v>
      </c>
      <c r="AC61" s="2429" t="s">
        <v>10584</v>
      </c>
      <c r="AD61" s="2429"/>
    </row>
    <row r="62" spans="3:30" ht="16.5">
      <c r="C62" s="2429"/>
      <c r="D62" s="2429" t="s">
        <v>10583</v>
      </c>
      <c r="E62" s="2429">
        <v>5</v>
      </c>
      <c r="F62" s="2429"/>
      <c r="G62" s="2429"/>
      <c r="H62" s="2429">
        <v>6</v>
      </c>
      <c r="I62" s="2429">
        <v>15</v>
      </c>
      <c r="J62" s="2429">
        <f>Таблиця2167[[#This Row],[GP / DAY]]*30</f>
        <v>450</v>
      </c>
      <c r="K62" s="2429" t="s">
        <v>10582</v>
      </c>
      <c r="L62" s="2429"/>
      <c r="M62" s="2429"/>
      <c r="N62" s="2429"/>
      <c r="O62" s="2429"/>
      <c r="P62" s="2429">
        <v>8</v>
      </c>
      <c r="Q62" s="2429" t="s">
        <v>10581</v>
      </c>
      <c r="R62" s="2429"/>
      <c r="S62" s="2429">
        <v>8</v>
      </c>
      <c r="T62" s="2429" t="s">
        <v>10580</v>
      </c>
      <c r="U62" s="2429"/>
      <c r="V62" s="2429">
        <v>8</v>
      </c>
      <c r="W62" s="2429" t="s">
        <v>10579</v>
      </c>
      <c r="X62" s="2429"/>
      <c r="Y62" s="2429">
        <v>8</v>
      </c>
      <c r="Z62" s="2429" t="s">
        <v>10578</v>
      </c>
      <c r="AA62" s="2429"/>
      <c r="AB62" s="2429">
        <v>8</v>
      </c>
      <c r="AC62" s="2429" t="s">
        <v>10577</v>
      </c>
      <c r="AD62" s="2429"/>
    </row>
    <row r="63" spans="3:30" ht="16.5">
      <c r="C63" s="2429"/>
      <c r="D63" s="2429" t="s">
        <v>10576</v>
      </c>
      <c r="E63" s="2429">
        <v>1</v>
      </c>
      <c r="F63" s="2429"/>
      <c r="G63" s="2429"/>
      <c r="H63" s="2429">
        <v>7</v>
      </c>
      <c r="I63" s="2429">
        <v>20</v>
      </c>
      <c r="J63" s="2429">
        <f>Таблиця2167[[#This Row],[GP / DAY]]*30</f>
        <v>600</v>
      </c>
      <c r="K63" s="2429"/>
      <c r="L63" s="2429"/>
      <c r="M63" s="2429"/>
      <c r="N63" s="2429"/>
      <c r="O63" s="2429"/>
      <c r="P63" s="2429">
        <v>9</v>
      </c>
      <c r="Q63" s="2429" t="s">
        <v>10572</v>
      </c>
      <c r="R63" s="2429"/>
      <c r="S63" s="2429"/>
      <c r="T63" s="2429"/>
      <c r="U63" s="2429"/>
      <c r="V63" s="2429">
        <v>9</v>
      </c>
      <c r="W63" s="2429" t="s">
        <v>10575</v>
      </c>
      <c r="X63" s="2429"/>
      <c r="Y63" s="2429"/>
      <c r="Z63" s="2429"/>
      <c r="AA63" s="2429"/>
      <c r="AB63" s="2429">
        <v>9</v>
      </c>
      <c r="AC63" s="2429" t="s">
        <v>10574</v>
      </c>
      <c r="AD63" s="2429"/>
    </row>
    <row r="64" spans="3:30" ht="16.5">
      <c r="C64" s="2429"/>
      <c r="D64" s="2429" t="s">
        <v>10573</v>
      </c>
      <c r="E64" s="2429">
        <v>1.5</v>
      </c>
      <c r="F64" s="2429"/>
      <c r="G64" s="2429"/>
      <c r="H64" s="2429">
        <v>8</v>
      </c>
      <c r="I64" s="2429">
        <v>25</v>
      </c>
      <c r="J64" s="2429">
        <f>Таблиця2167[[#This Row],[GP / DAY]]*30</f>
        <v>750</v>
      </c>
      <c r="K64" s="2429"/>
      <c r="L64" s="2429"/>
      <c r="M64" s="2429"/>
      <c r="N64" s="2429"/>
      <c r="O64" s="2429"/>
      <c r="P64" s="2429">
        <v>10</v>
      </c>
      <c r="Q64" s="2429" t="s">
        <v>10572</v>
      </c>
      <c r="R64" s="2429"/>
      <c r="S64" s="2429"/>
      <c r="T64" s="2429"/>
      <c r="U64" s="2429"/>
      <c r="V64" s="2429">
        <v>10</v>
      </c>
      <c r="W64" s="2429" t="s">
        <v>10571</v>
      </c>
      <c r="X64" s="2429"/>
      <c r="Y64" s="2429"/>
      <c r="Z64" s="2429"/>
      <c r="AA64" s="2429"/>
      <c r="AB64" s="2429">
        <v>10</v>
      </c>
      <c r="AC64" s="2429" t="s">
        <v>10570</v>
      </c>
      <c r="AD64" s="2429"/>
    </row>
    <row r="65" spans="3:30" ht="16.5">
      <c r="C65" s="2429"/>
      <c r="D65" s="2429" t="s">
        <v>10569</v>
      </c>
      <c r="E65" s="2429">
        <v>3</v>
      </c>
      <c r="F65" s="2429"/>
      <c r="G65" s="2429"/>
      <c r="H65" s="2429">
        <v>9</v>
      </c>
      <c r="I65" s="2429">
        <v>50</v>
      </c>
      <c r="J65" s="2429">
        <f>Таблиця2167[[#This Row],[GP / DAY]]*30</f>
        <v>1500</v>
      </c>
      <c r="K65" s="2429"/>
      <c r="L65" s="2429"/>
      <c r="M65" s="2429"/>
      <c r="N65" s="2429"/>
      <c r="O65" s="2429"/>
      <c r="P65" s="2429"/>
      <c r="Q65" s="2429"/>
      <c r="R65" s="2429"/>
      <c r="S65" s="2429"/>
      <c r="T65" s="2429"/>
      <c r="U65" s="2429"/>
      <c r="V65" s="2429"/>
      <c r="W65" s="2429"/>
      <c r="X65" s="2429"/>
      <c r="Y65" s="2429"/>
      <c r="Z65" s="2429"/>
      <c r="AA65" s="2429"/>
      <c r="AB65" s="2429">
        <v>11</v>
      </c>
      <c r="AC65" s="2429" t="s">
        <v>10568</v>
      </c>
      <c r="AD65" s="2429"/>
    </row>
    <row r="66" spans="3:30" ht="16.5">
      <c r="C66" s="2429"/>
      <c r="D66" s="2429" t="s">
        <v>10567</v>
      </c>
      <c r="E66" s="2429">
        <v>2</v>
      </c>
      <c r="F66" s="2429"/>
      <c r="G66" s="2429"/>
      <c r="H66" s="2429">
        <v>10</v>
      </c>
      <c r="I66" s="2429">
        <v>75</v>
      </c>
      <c r="J66" s="2429">
        <f>Таблиця2167[[#This Row],[GP / DAY]]*30</f>
        <v>2250</v>
      </c>
      <c r="K66" s="2429"/>
      <c r="L66" s="2429"/>
      <c r="M66" s="2429"/>
      <c r="N66" s="2429"/>
      <c r="O66" s="2429"/>
      <c r="P66" s="2429"/>
      <c r="Q66" s="2429"/>
      <c r="R66" s="2429"/>
      <c r="S66" s="2429"/>
      <c r="T66" s="2429"/>
      <c r="U66" s="2429"/>
      <c r="V66" s="2429"/>
      <c r="W66" s="2429"/>
      <c r="X66" s="2429"/>
      <c r="Y66" s="2429"/>
      <c r="Z66" s="2429"/>
      <c r="AA66" s="2429"/>
      <c r="AB66" s="2429">
        <v>12</v>
      </c>
      <c r="AC66" s="2429" t="s">
        <v>10566</v>
      </c>
      <c r="AD66" s="2429"/>
    </row>
    <row r="67" spans="3:30" ht="16.5">
      <c r="C67" s="2429"/>
      <c r="D67" s="2429" t="s">
        <v>10565</v>
      </c>
      <c r="E67" s="2429">
        <v>8</v>
      </c>
      <c r="F67" s="2429"/>
      <c r="G67" s="2429"/>
      <c r="H67" s="2429">
        <v>11</v>
      </c>
      <c r="I67" s="2429">
        <v>100</v>
      </c>
      <c r="J67" s="2429">
        <f>Таблиця2167[[#This Row],[GP / DAY]]*30</f>
        <v>3000</v>
      </c>
      <c r="K67" s="2429"/>
      <c r="L67" s="2429"/>
      <c r="M67" s="2429"/>
      <c r="N67" s="2429"/>
      <c r="O67" s="2429"/>
      <c r="P67" s="2429"/>
      <c r="Q67" s="2429"/>
      <c r="R67" s="2429"/>
      <c r="S67" s="2429"/>
      <c r="T67" s="2429"/>
      <c r="U67" s="2429"/>
      <c r="V67" s="2429"/>
      <c r="W67" s="2429"/>
      <c r="X67" s="2429"/>
      <c r="Y67" s="2429"/>
      <c r="Z67" s="2429"/>
      <c r="AA67" s="2429"/>
      <c r="AB67" s="2429"/>
      <c r="AC67" s="2429"/>
      <c r="AD67" s="2429"/>
    </row>
    <row r="68" spans="3:30" ht="16.5">
      <c r="C68" s="2429"/>
      <c r="D68" s="2429" t="s">
        <v>10564</v>
      </c>
      <c r="E68" s="2429">
        <v>14</v>
      </c>
      <c r="F68" s="2429"/>
      <c r="G68" s="2429"/>
      <c r="H68" s="2429">
        <v>12</v>
      </c>
      <c r="I68" s="2429">
        <v>200</v>
      </c>
      <c r="J68" s="2429">
        <f>Таблиця2167[[#This Row],[GP / DAY]]*30</f>
        <v>6000</v>
      </c>
      <c r="K68" s="2429" t="s">
        <v>10563</v>
      </c>
      <c r="L68" s="2429"/>
      <c r="M68" s="2429"/>
      <c r="N68" s="2429"/>
      <c r="O68" s="2429"/>
      <c r="P68" s="2429"/>
      <c r="Q68" s="2429"/>
      <c r="R68" s="2429"/>
      <c r="S68" s="2429"/>
      <c r="T68" s="2429"/>
      <c r="U68" s="2429"/>
      <c r="V68" s="2429"/>
      <c r="W68" s="2429"/>
      <c r="X68" s="2429"/>
      <c r="Y68" s="2429"/>
      <c r="Z68" s="2429"/>
      <c r="AA68" s="2429"/>
      <c r="AB68" s="2429"/>
      <c r="AC68" s="2429"/>
      <c r="AD68" s="2429"/>
    </row>
    <row r="69" spans="3:30" ht="16.5">
      <c r="C69" s="2429"/>
      <c r="D69" s="2429" t="s">
        <v>10562</v>
      </c>
      <c r="E69" s="2429">
        <v>4</v>
      </c>
      <c r="F69" s="2429"/>
      <c r="G69" s="2429"/>
      <c r="H69" s="2430">
        <v>13</v>
      </c>
      <c r="I69" s="2430">
        <v>500</v>
      </c>
      <c r="J69" s="2430">
        <f>Таблиця2167[[#This Row],[GP / DAY]]*30</f>
        <v>15000</v>
      </c>
      <c r="K69" s="2429"/>
      <c r="L69" s="2429"/>
      <c r="M69" s="2429"/>
      <c r="N69" s="2429"/>
      <c r="O69" s="2429"/>
      <c r="P69" s="2429"/>
      <c r="Q69" s="2429"/>
      <c r="R69" s="2429"/>
      <c r="S69" s="2429"/>
      <c r="T69" s="2429"/>
      <c r="U69" s="2429"/>
      <c r="V69" s="2429"/>
      <c r="W69" s="2429"/>
      <c r="X69" s="2429"/>
      <c r="Y69" s="2429"/>
      <c r="Z69" s="2429"/>
      <c r="AA69" s="2429"/>
      <c r="AB69" s="2429"/>
      <c r="AC69" s="2429"/>
      <c r="AD69" s="2429"/>
    </row>
    <row r="70" spans="3:30" ht="16.5">
      <c r="C70" s="2429"/>
      <c r="D70" s="2429" t="s">
        <v>10561</v>
      </c>
      <c r="E70" s="2429"/>
      <c r="F70" s="2429"/>
      <c r="G70" s="2429"/>
      <c r="H70" s="2430">
        <v>14</v>
      </c>
      <c r="I70" s="2430">
        <v>800</v>
      </c>
      <c r="J70" s="2430">
        <f>Таблиця2167[[#This Row],[GP / DAY]]*30</f>
        <v>24000</v>
      </c>
      <c r="K70" s="2429"/>
      <c r="L70" s="2429"/>
      <c r="M70" s="2429"/>
      <c r="N70" s="2429"/>
      <c r="O70" s="2429"/>
      <c r="P70" s="2429"/>
      <c r="Q70" s="2429"/>
      <c r="R70" s="2429"/>
      <c r="S70" s="2429"/>
      <c r="T70" s="2429"/>
      <c r="U70" s="2429"/>
      <c r="V70" s="2429"/>
      <c r="W70" s="2429"/>
      <c r="X70" s="2429"/>
      <c r="Y70" s="2429"/>
      <c r="Z70" s="2429"/>
      <c r="AA70" s="2429"/>
      <c r="AB70" s="2429"/>
      <c r="AC70" s="2429"/>
      <c r="AD70" s="2429"/>
    </row>
    <row r="71" spans="3:30" ht="16.5">
      <c r="C71" s="2429"/>
      <c r="D71" s="2429" t="s">
        <v>10560</v>
      </c>
      <c r="E71" s="2429" t="s">
        <v>10559</v>
      </c>
      <c r="F71" s="2429"/>
      <c r="G71" s="2429"/>
      <c r="H71" s="2430">
        <v>15</v>
      </c>
      <c r="I71" s="2430">
        <v>1000</v>
      </c>
      <c r="J71" s="2430">
        <f>Таблиця2167[[#This Row],[GP / DAY]]*30</f>
        <v>30000</v>
      </c>
      <c r="K71" s="2429"/>
      <c r="L71" s="2429"/>
      <c r="M71" s="2429"/>
      <c r="N71" s="2429"/>
      <c r="O71" s="2429"/>
      <c r="P71" s="2429"/>
      <c r="Q71" s="2429"/>
      <c r="R71" s="2429"/>
      <c r="S71" s="2429"/>
      <c r="T71" s="2429"/>
      <c r="U71" s="2429"/>
      <c r="V71" s="2429"/>
      <c r="W71" s="2429"/>
      <c r="X71" s="2429"/>
      <c r="Y71" s="2429"/>
      <c r="Z71" s="2429"/>
      <c r="AA71" s="2429"/>
      <c r="AB71" s="2429"/>
      <c r="AC71" s="2429"/>
      <c r="AD71" s="2429"/>
    </row>
    <row r="72" spans="3:30" ht="16.5">
      <c r="C72" s="2429"/>
      <c r="D72" s="2429" t="s">
        <v>10558</v>
      </c>
      <c r="E72" s="2429">
        <v>12</v>
      </c>
      <c r="F72" s="2429"/>
      <c r="G72" s="2429"/>
      <c r="H72" s="2430">
        <v>16</v>
      </c>
      <c r="I72" s="2430">
        <v>1200</v>
      </c>
      <c r="J72" s="2430">
        <f>Таблиця2167[[#This Row],[GP / DAY]]*30</f>
        <v>36000</v>
      </c>
      <c r="K72" s="2429"/>
      <c r="L72" s="2429"/>
      <c r="M72" s="2429"/>
      <c r="N72" s="2429"/>
      <c r="O72" s="2429"/>
      <c r="P72" s="2429"/>
      <c r="Q72" s="2429"/>
      <c r="R72" s="2429"/>
      <c r="S72" s="2429"/>
      <c r="T72" s="2429"/>
      <c r="U72" s="2429"/>
      <c r="V72" s="2429"/>
      <c r="W72" s="2429"/>
      <c r="X72" s="2429"/>
      <c r="Y72" s="2429"/>
      <c r="Z72" s="2429"/>
      <c r="AA72" s="2429"/>
      <c r="AB72" s="2429"/>
      <c r="AC72" s="2429"/>
      <c r="AD72" s="2429"/>
    </row>
    <row r="73" spans="3:30" ht="16.5">
      <c r="C73" s="2429"/>
      <c r="D73" s="2429" t="s">
        <v>10557</v>
      </c>
      <c r="E73" s="2429">
        <v>40</v>
      </c>
      <c r="F73" s="2429"/>
      <c r="G73" s="2429"/>
      <c r="H73" s="2430">
        <v>17</v>
      </c>
      <c r="I73" s="2430">
        <v>1500</v>
      </c>
      <c r="J73" s="2430">
        <f>Таблиця2167[[#This Row],[GP / DAY]]*30</f>
        <v>45000</v>
      </c>
      <c r="K73" s="2429"/>
      <c r="L73" s="2429"/>
      <c r="M73" s="2429"/>
      <c r="N73" s="2429"/>
      <c r="O73" s="2429"/>
      <c r="P73" s="2429"/>
      <c r="Q73" s="2429"/>
      <c r="R73" s="2429"/>
      <c r="S73" s="2429"/>
      <c r="T73" s="2429"/>
      <c r="U73" s="2429"/>
      <c r="V73" s="2429"/>
      <c r="W73" s="2429"/>
      <c r="X73" s="2429"/>
      <c r="Y73" s="2429"/>
      <c r="Z73" s="2429"/>
      <c r="AA73" s="2429"/>
      <c r="AB73" s="2429"/>
      <c r="AC73" s="2429"/>
      <c r="AD73" s="2429"/>
    </row>
    <row r="74" spans="3:30" ht="16.5">
      <c r="C74" s="2429"/>
      <c r="D74" s="2429" t="s">
        <v>10556</v>
      </c>
      <c r="E74" s="2429">
        <v>16</v>
      </c>
      <c r="F74" s="2429"/>
      <c r="G74" s="2429"/>
      <c r="H74" s="2430">
        <v>18</v>
      </c>
      <c r="I74" s="2430">
        <v>2000</v>
      </c>
      <c r="J74" s="2430">
        <f>Таблиця2167[[#This Row],[GP / DAY]]*30</f>
        <v>60000</v>
      </c>
      <c r="K74" s="2429"/>
      <c r="L74" s="2429"/>
      <c r="M74" s="2429"/>
      <c r="N74" s="2429"/>
      <c r="O74" s="2429"/>
      <c r="P74" s="2429"/>
      <c r="Q74" s="2429"/>
      <c r="R74" s="2429"/>
      <c r="S74" s="2429"/>
      <c r="T74" s="2429"/>
      <c r="U74" s="2429"/>
      <c r="V74" s="2429"/>
      <c r="W74" s="2429"/>
      <c r="X74" s="2429"/>
      <c r="Y74" s="2429"/>
      <c r="Z74" s="2429"/>
      <c r="AA74" s="2429"/>
      <c r="AB74" s="2429"/>
      <c r="AC74" s="2429"/>
      <c r="AD74" s="2429"/>
    </row>
    <row r="75" spans="3:30" ht="16.5">
      <c r="C75" s="2429"/>
      <c r="D75" s="2429" t="s">
        <v>10555</v>
      </c>
      <c r="E75" s="2429">
        <v>20</v>
      </c>
      <c r="F75" s="2429"/>
      <c r="G75" s="2429"/>
      <c r="H75" s="2430">
        <v>19</v>
      </c>
      <c r="I75" s="2430">
        <v>3500</v>
      </c>
      <c r="J75" s="2430">
        <f>Таблиця2167[[#This Row],[GP / DAY]]*30</f>
        <v>105000</v>
      </c>
      <c r="K75" s="2429"/>
      <c r="L75" s="2429"/>
      <c r="M75" s="2429"/>
      <c r="N75" s="2429"/>
      <c r="O75" s="2429"/>
      <c r="P75" s="2429"/>
      <c r="Q75" s="2429"/>
      <c r="R75" s="2429"/>
      <c r="S75" s="2429"/>
      <c r="T75" s="2429"/>
      <c r="U75" s="2429"/>
      <c r="V75" s="2429"/>
      <c r="W75" s="2429"/>
      <c r="X75" s="2429"/>
      <c r="Y75" s="2429"/>
      <c r="Z75" s="2429"/>
      <c r="AA75" s="2429"/>
      <c r="AB75" s="2429"/>
      <c r="AC75" s="2429"/>
      <c r="AD75" s="2429"/>
    </row>
    <row r="76" spans="3:30" ht="16.5">
      <c r="C76" s="2429"/>
      <c r="D76" s="2429" t="s">
        <v>10554</v>
      </c>
      <c r="E76" s="2429">
        <v>90</v>
      </c>
      <c r="F76" s="2429"/>
      <c r="G76" s="2429"/>
      <c r="H76" s="2430">
        <v>20</v>
      </c>
      <c r="I76" s="2430">
        <v>5000</v>
      </c>
      <c r="J76" s="2430">
        <f>Таблиця2167[[#This Row],[GP / DAY]]*30</f>
        <v>150000</v>
      </c>
      <c r="K76" s="2429"/>
      <c r="L76" s="2429"/>
      <c r="M76" s="2429"/>
      <c r="N76" s="2429"/>
      <c r="O76" s="2429"/>
      <c r="P76" s="2429"/>
      <c r="Q76" s="2429"/>
      <c r="R76" s="2429"/>
      <c r="S76" s="2429"/>
      <c r="T76" s="2429"/>
      <c r="U76" s="2429"/>
      <c r="V76" s="2429"/>
      <c r="W76" s="2429"/>
      <c r="X76" s="2429"/>
      <c r="Y76" s="2429"/>
      <c r="Z76" s="2429"/>
      <c r="AA76" s="2429"/>
      <c r="AB76" s="2429"/>
      <c r="AC76" s="2429"/>
      <c r="AD76" s="2429"/>
    </row>
    <row r="77" spans="3:30" ht="16.5">
      <c r="C77" s="2429"/>
      <c r="D77" s="2429" t="s">
        <v>10553</v>
      </c>
      <c r="E77" s="2429">
        <v>160</v>
      </c>
      <c r="F77" s="2429"/>
      <c r="G77" s="2429"/>
      <c r="H77" s="2429"/>
      <c r="I77" s="2429"/>
      <c r="J77" s="2429"/>
      <c r="K77" s="2429"/>
      <c r="L77" s="2429"/>
      <c r="M77" s="2429"/>
      <c r="N77" s="2429"/>
      <c r="O77" s="2429"/>
      <c r="P77" s="2429"/>
      <c r="Q77" s="2429"/>
      <c r="R77" s="2429"/>
      <c r="S77" s="2429"/>
      <c r="T77" s="2429"/>
      <c r="U77" s="2429"/>
      <c r="V77" s="2429"/>
      <c r="W77" s="2429"/>
      <c r="X77" s="2429"/>
      <c r="Y77" s="2429"/>
      <c r="Z77" s="2429"/>
      <c r="AA77" s="2429"/>
      <c r="AB77" s="2429"/>
      <c r="AC77" s="2429"/>
      <c r="AD77" s="2429"/>
    </row>
    <row r="78" spans="3:30" ht="16.5">
      <c r="C78" s="2429"/>
      <c r="D78" s="2429" t="s">
        <v>10552</v>
      </c>
      <c r="E78" s="2429">
        <v>50</v>
      </c>
      <c r="F78" s="2429"/>
      <c r="G78" s="2429"/>
      <c r="H78" s="2429"/>
      <c r="I78" s="2429"/>
      <c r="J78" s="2429"/>
      <c r="K78" s="2429"/>
      <c r="L78" s="2429"/>
      <c r="M78" s="2429"/>
      <c r="N78" s="2429"/>
      <c r="O78" s="2429"/>
      <c r="P78" s="2429"/>
      <c r="Q78" s="2429"/>
      <c r="R78" s="2429"/>
      <c r="S78" s="2429"/>
      <c r="T78" s="2429"/>
      <c r="U78" s="2429"/>
      <c r="V78" s="2429"/>
      <c r="W78" s="2429"/>
      <c r="X78" s="2429"/>
      <c r="Y78" s="2429"/>
      <c r="Z78" s="2429"/>
      <c r="AA78" s="2429"/>
      <c r="AB78" s="2429"/>
      <c r="AC78" s="2429"/>
      <c r="AD78" s="2429"/>
    </row>
    <row r="79" spans="3:30" ht="16.5">
      <c r="C79" s="2429"/>
      <c r="D79" s="2429" t="s">
        <v>10551</v>
      </c>
      <c r="E79" s="2429">
        <v>55</v>
      </c>
      <c r="F79" s="2429"/>
      <c r="G79" s="2429"/>
      <c r="H79" s="2429"/>
      <c r="I79" s="2429"/>
      <c r="J79" s="2429"/>
      <c r="K79" s="2429"/>
      <c r="L79" s="2429"/>
      <c r="M79" s="2429"/>
      <c r="N79" s="2429"/>
      <c r="O79" s="2429"/>
      <c r="P79" s="2429"/>
      <c r="Q79" s="2429"/>
      <c r="R79" s="2429"/>
      <c r="S79" s="2429"/>
      <c r="T79" s="2429"/>
      <c r="U79" s="2429"/>
      <c r="V79" s="2429"/>
      <c r="W79" s="2429"/>
      <c r="X79" s="2429"/>
      <c r="Y79" s="2429"/>
      <c r="Z79" s="2429"/>
      <c r="AA79" s="2429"/>
      <c r="AB79" s="2429"/>
      <c r="AC79" s="2429"/>
      <c r="AD79" s="2429"/>
    </row>
    <row r="80" spans="3:30" ht="16.5">
      <c r="C80" s="2429"/>
      <c r="D80" s="2429" t="s">
        <v>10550</v>
      </c>
      <c r="E80" s="2429">
        <v>20</v>
      </c>
      <c r="F80" s="2429"/>
      <c r="G80" s="2429"/>
      <c r="H80" s="2429"/>
      <c r="I80" s="2429"/>
      <c r="J80" s="2429"/>
      <c r="K80" s="2429"/>
      <c r="L80" s="2429"/>
      <c r="M80" s="2429"/>
      <c r="N80" s="2429"/>
      <c r="O80" s="2429"/>
      <c r="P80" s="2429"/>
      <c r="Q80" s="2429"/>
      <c r="R80" s="2429"/>
      <c r="S80" s="2429"/>
      <c r="T80" s="2429"/>
      <c r="U80" s="2429"/>
      <c r="V80" s="2429"/>
      <c r="W80" s="2429"/>
      <c r="X80" s="2429"/>
      <c r="Y80" s="2429"/>
      <c r="Z80" s="2429"/>
      <c r="AA80" s="2429"/>
      <c r="AB80" s="2429"/>
      <c r="AC80" s="2429"/>
      <c r="AD80" s="2429"/>
    </row>
    <row r="81" spans="3:30" ht="16.5">
      <c r="C81" s="2429"/>
      <c r="D81" s="2429" t="s">
        <v>10549</v>
      </c>
      <c r="E81" s="2429">
        <v>18</v>
      </c>
      <c r="F81" s="2429"/>
      <c r="G81" s="2429"/>
      <c r="H81" s="2429"/>
      <c r="I81" s="2429"/>
      <c r="J81" s="2429"/>
      <c r="K81" s="2429"/>
      <c r="L81" s="2429"/>
      <c r="M81" s="2429"/>
      <c r="N81" s="2429"/>
      <c r="O81" s="2429"/>
      <c r="P81" s="2429"/>
      <c r="Q81" s="2429"/>
      <c r="R81" s="2429"/>
      <c r="S81" s="2429"/>
      <c r="T81" s="2429"/>
      <c r="U81" s="2429"/>
      <c r="V81" s="2429"/>
      <c r="W81" s="2429"/>
      <c r="X81" s="2429"/>
      <c r="Y81" s="2429"/>
      <c r="Z81" s="2429"/>
      <c r="AA81" s="2429"/>
      <c r="AB81" s="2429"/>
      <c r="AC81" s="2429"/>
      <c r="AD81" s="2429"/>
    </row>
    <row r="82" spans="3:30" ht="16.5">
      <c r="C82" s="2429"/>
      <c r="D82" s="2429" t="s">
        <v>10548</v>
      </c>
      <c r="E82" s="2429">
        <v>75</v>
      </c>
      <c r="F82" s="2429"/>
      <c r="G82" s="2429"/>
      <c r="H82" s="2429"/>
      <c r="I82" s="2429"/>
      <c r="J82" s="2429"/>
      <c r="K82" s="2429"/>
      <c r="L82" s="2429"/>
      <c r="M82" s="2429"/>
      <c r="N82" s="2429"/>
      <c r="O82" s="2429"/>
      <c r="P82" s="2429"/>
      <c r="Q82" s="2429"/>
      <c r="R82" s="2429"/>
      <c r="S82" s="2429"/>
      <c r="T82" s="2429"/>
      <c r="U82" s="2429"/>
      <c r="V82" s="2429"/>
      <c r="W82" s="2429"/>
      <c r="X82" s="2429"/>
      <c r="Y82" s="2429"/>
      <c r="Z82" s="2429"/>
      <c r="AA82" s="2429"/>
      <c r="AB82" s="2429"/>
      <c r="AC82" s="2429"/>
      <c r="AD82" s="2429"/>
    </row>
    <row r="83" spans="3:30" ht="16.5">
      <c r="C83" s="2429"/>
      <c r="D83" s="2429" t="s">
        <v>10547</v>
      </c>
      <c r="E83" s="2429">
        <v>80</v>
      </c>
      <c r="F83" s="2429"/>
      <c r="G83" s="2429"/>
      <c r="H83" s="2429"/>
      <c r="I83" s="2429"/>
      <c r="J83" s="2429"/>
      <c r="K83" s="2429"/>
      <c r="L83" s="2429"/>
      <c r="M83" s="2429"/>
      <c r="N83" s="2429"/>
      <c r="O83" s="2429"/>
      <c r="P83" s="2429"/>
      <c r="Q83" s="2429"/>
      <c r="R83" s="2429"/>
      <c r="S83" s="2429"/>
      <c r="T83" s="2429"/>
      <c r="U83" s="2429"/>
      <c r="V83" s="2429"/>
      <c r="W83" s="2429"/>
      <c r="X83" s="2429"/>
      <c r="Y83" s="2429"/>
      <c r="Z83" s="2429"/>
      <c r="AA83" s="2429"/>
      <c r="AB83" s="2429"/>
      <c r="AC83" s="2429"/>
      <c r="AD83" s="2429"/>
    </row>
    <row r="84" spans="3:30" ht="16.5">
      <c r="C84" s="2429"/>
      <c r="D84" s="2429" t="s">
        <v>10546</v>
      </c>
      <c r="E84" s="2429">
        <v>140</v>
      </c>
      <c r="F84" s="2429"/>
      <c r="G84" s="2429"/>
      <c r="H84" s="2429"/>
      <c r="I84" s="2429"/>
      <c r="J84" s="2429"/>
      <c r="K84" s="2429"/>
      <c r="L84" s="2429"/>
      <c r="M84" s="2429"/>
      <c r="N84" s="2429"/>
      <c r="O84" s="2429"/>
      <c r="P84" s="2429"/>
      <c r="Q84" s="2429"/>
      <c r="R84" s="2429"/>
      <c r="S84" s="2429"/>
      <c r="T84" s="2429"/>
      <c r="U84" s="2429"/>
      <c r="V84" s="2429"/>
      <c r="W84" s="2429"/>
      <c r="X84" s="2429"/>
      <c r="Y84" s="2429"/>
      <c r="Z84" s="2429"/>
      <c r="AA84" s="2429"/>
      <c r="AB84" s="2429"/>
      <c r="AC84" s="2429"/>
      <c r="AD84" s="2429"/>
    </row>
    <row r="98" spans="5:35" ht="15" thickBot="1"/>
    <row r="99" spans="5:35" ht="16.5">
      <c r="E99" s="2429"/>
      <c r="F99" s="2429"/>
      <c r="G99" s="2429"/>
      <c r="J99" s="2450" t="s">
        <v>11152</v>
      </c>
      <c r="K99" s="2450" t="s">
        <v>11155</v>
      </c>
      <c r="L99" s="2429"/>
      <c r="M99" s="2429"/>
      <c r="N99" s="2450" t="s">
        <v>11152</v>
      </c>
      <c r="O99" s="2450" t="s">
        <v>11154</v>
      </c>
      <c r="P99" s="2429"/>
      <c r="Q99" s="2429"/>
      <c r="R99" s="2451" t="s">
        <v>11153</v>
      </c>
      <c r="S99" s="2429"/>
      <c r="T99" s="2429"/>
      <c r="U99" s="2429"/>
      <c r="V99" s="2450" t="s">
        <v>11152</v>
      </c>
      <c r="W99" s="2450" t="s">
        <v>11151</v>
      </c>
      <c r="X99" s="2429"/>
      <c r="Y99" s="2429"/>
      <c r="Z99" s="2429"/>
      <c r="AA99" s="2429"/>
      <c r="AB99" s="2429"/>
      <c r="AC99" s="2429"/>
      <c r="AD99" s="2429"/>
      <c r="AE99" s="2429"/>
      <c r="AF99" s="2429"/>
      <c r="AG99" s="2429"/>
      <c r="AH99" s="2429"/>
      <c r="AI99" s="2429"/>
    </row>
    <row r="100" spans="5:35" ht="17.25" thickBot="1">
      <c r="E100" s="2429" t="s">
        <v>11145</v>
      </c>
      <c r="F100" s="2429" t="s">
        <v>2235</v>
      </c>
      <c r="G100" s="2429" t="s">
        <v>597</v>
      </c>
      <c r="J100" s="2447">
        <v>44044</v>
      </c>
      <c r="K100" s="2446" t="s">
        <v>11144</v>
      </c>
      <c r="L100" s="2429"/>
      <c r="M100" s="2429"/>
      <c r="N100" s="2449">
        <v>43466</v>
      </c>
      <c r="O100" s="2446" t="s">
        <v>11143</v>
      </c>
      <c r="P100" s="2429"/>
      <c r="Q100" s="2429"/>
      <c r="R100" s="2448" t="s">
        <v>11142</v>
      </c>
      <c r="S100" s="2429"/>
      <c r="T100" s="2429"/>
      <c r="U100" s="2429"/>
      <c r="V100" s="2447">
        <v>44105</v>
      </c>
      <c r="W100" s="2446" t="s">
        <v>11141</v>
      </c>
      <c r="X100" s="2429"/>
      <c r="Y100" s="2429"/>
      <c r="Z100" s="2429"/>
      <c r="AA100" s="2429"/>
      <c r="AB100" s="2429"/>
      <c r="AC100" s="2429"/>
      <c r="AD100" s="2429"/>
      <c r="AE100" s="2429"/>
      <c r="AF100" s="2429"/>
      <c r="AG100" s="2429"/>
      <c r="AH100" s="2429"/>
      <c r="AI100" s="2429"/>
    </row>
    <row r="101" spans="5:35" ht="17.25" thickBot="1">
      <c r="E101" s="2429" t="s">
        <v>11136</v>
      </c>
      <c r="F101" s="2429" t="s">
        <v>11135</v>
      </c>
      <c r="G101" s="2429"/>
      <c r="J101" s="2445">
        <v>42614</v>
      </c>
      <c r="K101" s="2443" t="s">
        <v>11134</v>
      </c>
      <c r="L101" s="2429"/>
      <c r="M101" s="2429"/>
      <c r="N101" s="2445">
        <v>44136</v>
      </c>
      <c r="O101" s="2443" t="s">
        <v>11133</v>
      </c>
      <c r="P101" s="2429"/>
      <c r="Q101" s="2429"/>
      <c r="R101" s="2445">
        <v>42614</v>
      </c>
      <c r="S101" s="2443" t="s">
        <v>11132</v>
      </c>
      <c r="T101" s="2429"/>
      <c r="U101" s="2429"/>
      <c r="V101" s="2445">
        <v>44136</v>
      </c>
      <c r="W101" s="2443" t="s">
        <v>11131</v>
      </c>
      <c r="X101" s="2429"/>
      <c r="Y101" s="2429"/>
      <c r="Z101" s="2429"/>
      <c r="AA101" s="2429"/>
      <c r="AB101" s="2429"/>
      <c r="AC101" s="2429"/>
      <c r="AD101" s="2429"/>
      <c r="AE101" s="2429"/>
      <c r="AF101" s="2429"/>
      <c r="AG101" s="2429"/>
      <c r="AH101" s="2429"/>
      <c r="AI101" s="2429"/>
    </row>
    <row r="102" spans="5:35" ht="17.25" thickBot="1">
      <c r="E102" s="2429" t="s">
        <v>11126</v>
      </c>
      <c r="F102" s="2429" t="s">
        <v>11125</v>
      </c>
      <c r="G102" s="2429" t="s">
        <v>11124</v>
      </c>
      <c r="J102" s="2444" t="s">
        <v>11123</v>
      </c>
      <c r="K102" s="2444" t="s">
        <v>11120</v>
      </c>
      <c r="L102" s="2429"/>
      <c r="M102" s="2429"/>
      <c r="N102" s="2444" t="s">
        <v>11119</v>
      </c>
      <c r="O102" s="2444" t="s">
        <v>11122</v>
      </c>
      <c r="P102" s="2429"/>
      <c r="Q102" s="2429"/>
      <c r="R102" s="2444" t="s">
        <v>11121</v>
      </c>
      <c r="S102" s="2444" t="s">
        <v>11120</v>
      </c>
      <c r="T102" s="2429"/>
      <c r="U102" s="2429"/>
      <c r="V102" s="2444" t="s">
        <v>11119</v>
      </c>
      <c r="W102" s="2444" t="s">
        <v>11118</v>
      </c>
      <c r="X102" s="2429"/>
      <c r="Y102" s="2429"/>
      <c r="Z102" s="2429"/>
      <c r="AA102" s="2429"/>
      <c r="AB102" s="2429"/>
      <c r="AC102" s="2429"/>
      <c r="AD102" s="2429"/>
      <c r="AE102" s="2429"/>
      <c r="AF102" s="2429"/>
      <c r="AG102" s="2429"/>
      <c r="AH102" s="2429"/>
      <c r="AI102" s="2429"/>
    </row>
    <row r="103" spans="5:35" ht="17.25" thickBot="1">
      <c r="E103" s="2429" t="s">
        <v>11114</v>
      </c>
      <c r="F103" s="2429" t="s">
        <v>11113</v>
      </c>
      <c r="G103" s="2429" t="s">
        <v>11112</v>
      </c>
      <c r="J103" s="2443" t="s">
        <v>11111</v>
      </c>
      <c r="K103" s="2443" t="s">
        <v>11108</v>
      </c>
      <c r="L103" s="2429"/>
      <c r="M103" s="2429"/>
      <c r="N103" s="2443" t="s">
        <v>11107</v>
      </c>
      <c r="O103" s="2443" t="s">
        <v>11110</v>
      </c>
      <c r="P103" s="2429"/>
      <c r="Q103" s="2429"/>
      <c r="R103" s="2443" t="s">
        <v>11109</v>
      </c>
      <c r="S103" s="2443" t="s">
        <v>11108</v>
      </c>
      <c r="T103" s="2429"/>
      <c r="U103" s="2429"/>
      <c r="V103" s="2443" t="s">
        <v>11107</v>
      </c>
      <c r="W103" s="2443" t="s">
        <v>11106</v>
      </c>
      <c r="X103" s="2429"/>
      <c r="Y103" s="2429"/>
      <c r="Z103" s="2429"/>
      <c r="AA103" s="2429"/>
      <c r="AB103" s="2429"/>
      <c r="AC103" s="2429"/>
      <c r="AD103" s="2429"/>
      <c r="AE103" s="2429"/>
      <c r="AF103" s="2429"/>
      <c r="AG103" s="2429"/>
      <c r="AH103" s="2429"/>
      <c r="AI103" s="2429"/>
    </row>
    <row r="104" spans="5:35" ht="17.25" thickBot="1">
      <c r="E104" s="2429" t="s">
        <v>11101</v>
      </c>
      <c r="F104" s="2429" t="s">
        <v>11100</v>
      </c>
      <c r="G104" s="2429" t="s">
        <v>11099</v>
      </c>
      <c r="J104" s="2444" t="s">
        <v>11098</v>
      </c>
      <c r="K104" s="2444" t="s">
        <v>11097</v>
      </c>
      <c r="L104" s="2429"/>
      <c r="M104" s="2429"/>
      <c r="N104" s="2444" t="s">
        <v>11096</v>
      </c>
      <c r="O104" s="2444" t="s">
        <v>11095</v>
      </c>
      <c r="P104" s="2429"/>
      <c r="Q104" s="2429"/>
      <c r="R104" s="2444" t="s">
        <v>11094</v>
      </c>
      <c r="S104" s="2444" t="s">
        <v>11093</v>
      </c>
      <c r="T104" s="2429"/>
      <c r="U104" s="2429"/>
      <c r="V104" s="2444" t="s">
        <v>11092</v>
      </c>
      <c r="W104" s="2444" t="s">
        <v>11091</v>
      </c>
      <c r="X104" s="2429"/>
      <c r="Y104" s="2429"/>
      <c r="Z104" s="2429"/>
      <c r="AA104" s="2429"/>
      <c r="AB104" s="2429"/>
      <c r="AC104" s="2429"/>
      <c r="AD104" s="2429"/>
      <c r="AE104" s="2429"/>
      <c r="AF104" s="2429"/>
      <c r="AG104" s="2429"/>
      <c r="AH104" s="2429"/>
      <c r="AI104" s="2429"/>
    </row>
    <row r="105" spans="5:35" ht="17.25" thickBot="1">
      <c r="E105" s="2429" t="s">
        <v>11087</v>
      </c>
      <c r="F105" s="2429" t="s">
        <v>11054</v>
      </c>
      <c r="G105" s="2429"/>
      <c r="J105" s="2443" t="s">
        <v>11086</v>
      </c>
      <c r="K105" s="2443" t="s">
        <v>11085</v>
      </c>
      <c r="L105" s="2429"/>
      <c r="M105" s="2429"/>
      <c r="N105" s="2443" t="s">
        <v>11084</v>
      </c>
      <c r="O105" s="2443" t="s">
        <v>11083</v>
      </c>
      <c r="P105" s="2429"/>
      <c r="Q105" s="2429"/>
      <c r="R105" s="2443" t="s">
        <v>11082</v>
      </c>
      <c r="S105" s="2443" t="s">
        <v>11081</v>
      </c>
      <c r="T105" s="2429"/>
      <c r="U105" s="2429"/>
      <c r="V105" s="2443" t="s">
        <v>11080</v>
      </c>
      <c r="W105" s="2443" t="s">
        <v>11079</v>
      </c>
      <c r="X105" s="2429"/>
      <c r="Y105" s="2429"/>
      <c r="Z105" s="2429"/>
      <c r="AA105" s="2429"/>
      <c r="AB105" s="2429"/>
      <c r="AC105" s="2429"/>
      <c r="AD105" s="2429"/>
      <c r="AE105" s="2429"/>
      <c r="AF105" s="2429"/>
      <c r="AG105" s="2429"/>
      <c r="AH105" s="2429"/>
      <c r="AI105" s="2429"/>
    </row>
    <row r="106" spans="5:35" ht="17.25" thickBot="1">
      <c r="E106" s="2429" t="s">
        <v>11078</v>
      </c>
      <c r="F106" s="2429" t="s">
        <v>11077</v>
      </c>
      <c r="G106" s="2429"/>
      <c r="J106" s="2444" t="s">
        <v>11076</v>
      </c>
      <c r="K106" s="2444" t="s">
        <v>11075</v>
      </c>
      <c r="L106" s="2429"/>
      <c r="M106" s="2429"/>
      <c r="N106" s="2444" t="s">
        <v>11074</v>
      </c>
      <c r="O106" s="2444" t="s">
        <v>11073</v>
      </c>
      <c r="P106" s="2429"/>
      <c r="Q106" s="2429"/>
      <c r="R106" s="2444" t="s">
        <v>11072</v>
      </c>
      <c r="S106" s="2444" t="s">
        <v>11071</v>
      </c>
      <c r="T106" s="2429"/>
      <c r="U106" s="2429"/>
      <c r="V106" s="2444" t="s">
        <v>11070</v>
      </c>
      <c r="W106" s="2444" t="s">
        <v>11069</v>
      </c>
      <c r="X106" s="2429"/>
      <c r="Y106" s="2429"/>
      <c r="Z106" s="2429"/>
      <c r="AA106" s="2429"/>
      <c r="AB106" s="2429"/>
      <c r="AC106" s="2429"/>
      <c r="AD106" s="2429"/>
      <c r="AE106" s="2429"/>
      <c r="AF106" s="2429"/>
      <c r="AG106" s="2429"/>
      <c r="AH106" s="2429"/>
      <c r="AI106" s="2429"/>
    </row>
    <row r="107" spans="5:35" ht="18.75" thickBot="1">
      <c r="E107" s="2429" t="s">
        <v>11064</v>
      </c>
      <c r="F107" s="2429" t="s">
        <v>11015</v>
      </c>
      <c r="G107" s="2429" t="s">
        <v>11063</v>
      </c>
      <c r="J107" s="2443" t="s">
        <v>11062</v>
      </c>
      <c r="K107" s="2443" t="s">
        <v>11061</v>
      </c>
      <c r="L107" s="2429"/>
      <c r="M107" s="2429"/>
      <c r="N107" s="2443" t="s">
        <v>5955</v>
      </c>
      <c r="O107" s="2443" t="s">
        <v>11060</v>
      </c>
      <c r="P107" s="2429"/>
      <c r="Q107" s="2429"/>
      <c r="R107" s="2443" t="s">
        <v>11059</v>
      </c>
      <c r="S107" s="2443" t="s">
        <v>11058</v>
      </c>
      <c r="T107" s="2429"/>
      <c r="U107" s="2429"/>
      <c r="V107" s="2443" t="s">
        <v>11057</v>
      </c>
      <c r="W107" s="2443" t="s">
        <v>11056</v>
      </c>
      <c r="X107" s="2429"/>
      <c r="Y107" s="2429"/>
      <c r="Z107" s="2429"/>
      <c r="AA107" s="2429"/>
      <c r="AB107" s="2429"/>
      <c r="AC107" s="2429"/>
      <c r="AD107" s="2429"/>
      <c r="AE107" s="2429"/>
      <c r="AF107" s="2429"/>
      <c r="AG107" s="2429"/>
      <c r="AH107" s="2429"/>
      <c r="AI107" s="2429"/>
    </row>
    <row r="108" spans="5:35" ht="17.25" thickBot="1">
      <c r="E108" s="2429" t="s">
        <v>11050</v>
      </c>
      <c r="F108" s="2429" t="s">
        <v>11017</v>
      </c>
      <c r="G108" s="2429" t="s">
        <v>11049</v>
      </c>
      <c r="J108" s="2444" t="s">
        <v>11022</v>
      </c>
      <c r="K108" s="2444" t="s">
        <v>11048</v>
      </c>
      <c r="L108" s="2429"/>
      <c r="M108" s="2429"/>
      <c r="N108" s="2444" t="s">
        <v>5949</v>
      </c>
      <c r="O108" s="2444" t="s">
        <v>11047</v>
      </c>
      <c r="P108" s="2429"/>
      <c r="Q108" s="2429"/>
      <c r="R108" s="2444" t="s">
        <v>11046</v>
      </c>
      <c r="S108" s="2444" t="s">
        <v>11045</v>
      </c>
      <c r="T108" s="2429"/>
      <c r="U108" s="2429"/>
      <c r="V108" s="2444" t="s">
        <v>11044</v>
      </c>
      <c r="W108" s="2444" t="s">
        <v>11043</v>
      </c>
      <c r="X108" s="2429"/>
      <c r="Y108" s="2429"/>
      <c r="Z108" s="2429"/>
      <c r="AA108" s="2429"/>
      <c r="AB108" s="2429"/>
      <c r="AC108" s="2429"/>
      <c r="AD108" s="2429"/>
      <c r="AE108" s="2429"/>
      <c r="AF108" s="2429"/>
      <c r="AG108" s="2429"/>
      <c r="AH108" s="2429"/>
      <c r="AI108" s="2429"/>
    </row>
    <row r="109" spans="5:35" ht="18.75" thickBot="1">
      <c r="E109" s="2429" t="s">
        <v>11040</v>
      </c>
      <c r="F109" s="2429" t="s">
        <v>11009</v>
      </c>
      <c r="G109" s="2429" t="s">
        <v>11039</v>
      </c>
      <c r="J109" s="2443" t="s">
        <v>11012</v>
      </c>
      <c r="K109" s="2443" t="s">
        <v>11038</v>
      </c>
      <c r="L109" s="2429"/>
      <c r="M109" s="2429"/>
      <c r="N109" s="2443" t="s">
        <v>11037</v>
      </c>
      <c r="O109" s="2443" t="s">
        <v>11036</v>
      </c>
      <c r="P109" s="2429"/>
      <c r="Q109" s="2429"/>
      <c r="R109" s="2443" t="s">
        <v>11035</v>
      </c>
      <c r="S109" s="2443" t="s">
        <v>11034</v>
      </c>
      <c r="T109" s="2429"/>
      <c r="U109" s="2429"/>
      <c r="V109" s="2444" t="s">
        <v>11033</v>
      </c>
      <c r="W109" s="2444" t="s">
        <v>11032</v>
      </c>
      <c r="X109" s="2429"/>
      <c r="Y109" s="2429"/>
      <c r="Z109" s="2429"/>
      <c r="AA109" s="2429"/>
      <c r="AB109" s="2429"/>
      <c r="AC109" s="2429"/>
      <c r="AD109" s="2429"/>
      <c r="AE109" s="2429"/>
      <c r="AF109" s="2429"/>
      <c r="AG109" s="2429"/>
      <c r="AH109" s="2429"/>
      <c r="AI109" s="2429"/>
    </row>
    <row r="110" spans="5:35" ht="17.25" thickBot="1">
      <c r="E110" s="2429" t="s">
        <v>11026</v>
      </c>
      <c r="F110" s="2429" t="s">
        <v>10965</v>
      </c>
      <c r="G110" s="2429" t="s">
        <v>11014</v>
      </c>
      <c r="J110" s="2444" t="s">
        <v>11025</v>
      </c>
      <c r="K110" s="2444" t="s">
        <v>10986</v>
      </c>
      <c r="L110" s="2429"/>
      <c r="M110" s="2429"/>
      <c r="N110" s="2444" t="s">
        <v>11024</v>
      </c>
      <c r="O110" s="2444" t="s">
        <v>11023</v>
      </c>
      <c r="P110" s="2429"/>
      <c r="Q110" s="2429"/>
      <c r="R110" s="2444" t="s">
        <v>11022</v>
      </c>
      <c r="S110" s="2444" t="s">
        <v>11021</v>
      </c>
      <c r="T110" s="2429"/>
      <c r="U110" s="2429"/>
      <c r="V110" s="2429"/>
      <c r="W110" s="2429"/>
      <c r="X110" s="2429"/>
      <c r="Y110" s="2429"/>
      <c r="Z110" s="2429"/>
      <c r="AA110" s="2429"/>
      <c r="AB110" s="2429"/>
      <c r="AC110" s="2429"/>
      <c r="AD110" s="2429"/>
      <c r="AE110" s="2429"/>
      <c r="AF110" s="2429"/>
      <c r="AG110" s="2429"/>
      <c r="AH110" s="2429"/>
      <c r="AI110" s="2429"/>
    </row>
    <row r="111" spans="5:35" ht="17.25" thickBot="1">
      <c r="E111" s="2429" t="s">
        <v>11016</v>
      </c>
      <c r="F111" s="2429" t="s">
        <v>11015</v>
      </c>
      <c r="G111" s="2429" t="s">
        <v>11014</v>
      </c>
      <c r="J111" s="2443" t="s">
        <v>11013</v>
      </c>
      <c r="K111" s="2443" t="s">
        <v>10976</v>
      </c>
      <c r="L111" s="2429"/>
      <c r="M111" s="2429"/>
      <c r="N111" s="2429"/>
      <c r="O111" s="2429"/>
      <c r="P111" s="2429"/>
      <c r="Q111" s="2429"/>
      <c r="R111" s="2443" t="s">
        <v>11012</v>
      </c>
      <c r="S111" s="2443" t="s">
        <v>11011</v>
      </c>
      <c r="T111" s="2429"/>
      <c r="U111" s="2429"/>
      <c r="V111" s="2429"/>
      <c r="W111" s="2429"/>
      <c r="X111" s="2429"/>
      <c r="Y111" s="2429"/>
      <c r="Z111" s="2429"/>
      <c r="AA111" s="2429"/>
      <c r="AB111" s="2429"/>
      <c r="AC111" s="2429"/>
      <c r="AD111" s="2429"/>
      <c r="AE111" s="2429"/>
      <c r="AF111" s="2429"/>
      <c r="AG111" s="2429"/>
      <c r="AH111" s="2429"/>
      <c r="AI111" s="2429"/>
    </row>
    <row r="112" spans="5:35" ht="17.25" thickBot="1">
      <c r="J112" s="2444" t="s">
        <v>11006</v>
      </c>
      <c r="K112" s="2444" t="s">
        <v>11005</v>
      </c>
      <c r="L112" s="2429"/>
      <c r="M112" s="2429"/>
      <c r="N112" s="2429"/>
      <c r="O112" s="2429"/>
      <c r="P112" s="2429"/>
      <c r="Q112" s="2429"/>
      <c r="R112" s="2444" t="s">
        <v>11004</v>
      </c>
      <c r="S112" s="2444" t="s">
        <v>11003</v>
      </c>
      <c r="T112" s="2429"/>
      <c r="U112" s="2429"/>
      <c r="V112" s="2429"/>
      <c r="W112" s="2429"/>
      <c r="X112" s="2429"/>
      <c r="Y112" s="2429"/>
      <c r="Z112" s="2429"/>
      <c r="AA112" s="2429"/>
      <c r="AB112" s="2429"/>
      <c r="AC112" s="2429"/>
      <c r="AD112" s="2429"/>
      <c r="AE112" s="2429"/>
      <c r="AF112" s="2429"/>
      <c r="AG112" s="2429"/>
      <c r="AH112" s="2429"/>
      <c r="AI112" s="2429"/>
    </row>
    <row r="113" spans="10:35" ht="17.25" thickBot="1">
      <c r="J113" s="2443" t="s">
        <v>10971</v>
      </c>
      <c r="K113" s="2443" t="s">
        <v>10997</v>
      </c>
      <c r="L113" s="2429"/>
      <c r="M113" s="2429"/>
      <c r="N113" s="2429"/>
      <c r="O113" s="2429"/>
      <c r="P113" s="2429"/>
      <c r="Q113" s="2429"/>
      <c r="R113" s="2443" t="s">
        <v>10996</v>
      </c>
      <c r="S113" s="2443" t="s">
        <v>10995</v>
      </c>
      <c r="T113" s="2429"/>
      <c r="U113" s="2429"/>
      <c r="V113" s="2429"/>
      <c r="W113" s="2429"/>
      <c r="X113" s="2429"/>
      <c r="Y113" s="2429"/>
      <c r="Z113" s="2429"/>
      <c r="AA113" s="2429"/>
      <c r="AB113" s="2429"/>
      <c r="AC113" s="2429"/>
      <c r="AD113" s="2429"/>
      <c r="AE113" s="2429"/>
      <c r="AF113" s="2429"/>
      <c r="AG113" s="2429"/>
      <c r="AH113" s="2429"/>
      <c r="AI113" s="2429"/>
    </row>
    <row r="114" spans="10:35" ht="17.25" thickBot="1">
      <c r="J114" s="2444" t="s">
        <v>10963</v>
      </c>
      <c r="K114" s="2444" t="s">
        <v>10988</v>
      </c>
      <c r="L114" s="2429"/>
      <c r="M114" s="2429"/>
      <c r="N114" s="2429"/>
      <c r="O114" s="2429"/>
      <c r="P114" s="2429"/>
      <c r="Q114" s="2429"/>
      <c r="R114" s="2444" t="s">
        <v>10987</v>
      </c>
      <c r="S114" s="2444" t="s">
        <v>10986</v>
      </c>
      <c r="T114" s="2429"/>
      <c r="U114" s="2429"/>
      <c r="V114" s="2429"/>
      <c r="W114" s="2429"/>
      <c r="X114" s="2429"/>
      <c r="Y114" s="2429"/>
      <c r="Z114" s="2429"/>
      <c r="AA114" s="2429"/>
      <c r="AB114" s="2429"/>
      <c r="AC114" s="2429"/>
      <c r="AD114" s="2429"/>
      <c r="AE114" s="2429"/>
      <c r="AF114" s="2429"/>
      <c r="AG114" s="2429"/>
      <c r="AH114" s="2429"/>
      <c r="AI114" s="2429"/>
    </row>
    <row r="115" spans="10:35" ht="17.25" thickBot="1">
      <c r="J115" s="2443" t="s">
        <v>10979</v>
      </c>
      <c r="K115" s="2443" t="s">
        <v>10978</v>
      </c>
      <c r="L115" s="2429"/>
      <c r="M115" s="2429"/>
      <c r="N115" s="2429"/>
      <c r="O115" s="2429"/>
      <c r="P115" s="2429"/>
      <c r="Q115" s="2429"/>
      <c r="R115" s="2443" t="s">
        <v>10977</v>
      </c>
      <c r="S115" s="2443" t="s">
        <v>10976</v>
      </c>
      <c r="T115" s="2429"/>
      <c r="U115" s="2429"/>
      <c r="V115" s="2429"/>
      <c r="W115" s="2429"/>
      <c r="X115" s="2429"/>
      <c r="Y115" s="2429"/>
      <c r="Z115" s="2429"/>
      <c r="AA115" s="2429"/>
      <c r="AB115" s="2429"/>
      <c r="AC115" s="2429"/>
      <c r="AD115" s="2429"/>
      <c r="AE115" s="2429"/>
      <c r="AF115" s="2429"/>
      <c r="AG115" s="2429"/>
      <c r="AH115" s="2429"/>
      <c r="AI115" s="2429"/>
    </row>
    <row r="116" spans="10:35" ht="17.25" thickBot="1">
      <c r="J116" s="2429"/>
      <c r="K116" s="2429"/>
      <c r="L116" s="2429"/>
      <c r="M116" s="2429"/>
      <c r="N116" s="2429"/>
      <c r="O116" s="2429"/>
      <c r="P116" s="2429"/>
      <c r="Q116" s="2429"/>
      <c r="R116" s="2444" t="s">
        <v>10971</v>
      </c>
      <c r="S116" s="2444" t="s">
        <v>10970</v>
      </c>
      <c r="T116" s="2429"/>
      <c r="U116" s="2429"/>
      <c r="V116" s="2429"/>
      <c r="W116" s="2429"/>
      <c r="X116" s="2429"/>
      <c r="Y116" s="2429"/>
      <c r="Z116" s="2429"/>
      <c r="AA116" s="2429"/>
      <c r="AB116" s="2429"/>
      <c r="AC116" s="2429"/>
      <c r="AD116" s="2429"/>
      <c r="AE116" s="2429"/>
      <c r="AF116" s="2429"/>
      <c r="AG116" s="2429"/>
      <c r="AH116" s="2429"/>
      <c r="AI116" s="2429"/>
    </row>
    <row r="117" spans="10:35" ht="17.25" thickBot="1">
      <c r="J117" s="2429"/>
      <c r="K117" s="2429"/>
      <c r="L117" s="2429"/>
      <c r="M117" s="2429"/>
      <c r="N117" s="2429"/>
      <c r="O117" s="2429"/>
      <c r="P117" s="2429"/>
      <c r="Q117" s="2429"/>
      <c r="R117" s="2443" t="s">
        <v>10963</v>
      </c>
      <c r="S117" s="2443" t="s">
        <v>10962</v>
      </c>
      <c r="T117" s="2429"/>
      <c r="U117" s="2429"/>
      <c r="V117" s="2429"/>
      <c r="W117" s="2429"/>
      <c r="X117" s="2429"/>
      <c r="Y117" s="2429"/>
      <c r="Z117" s="2429"/>
      <c r="AA117" s="2429"/>
      <c r="AB117" s="2429"/>
      <c r="AC117" s="2429"/>
      <c r="AD117" s="2429"/>
      <c r="AE117" s="2429"/>
      <c r="AF117" s="2429"/>
      <c r="AG117" s="2429"/>
      <c r="AH117" s="2429"/>
      <c r="AI117" s="2429"/>
    </row>
    <row r="118" spans="10:35" ht="17.25" thickBot="1">
      <c r="J118" s="2429"/>
      <c r="K118" s="2429"/>
      <c r="L118" s="2429"/>
      <c r="M118" s="2429"/>
      <c r="N118" s="2429"/>
      <c r="O118" s="2429"/>
      <c r="P118" s="2429"/>
      <c r="Q118" s="2429"/>
      <c r="R118" s="2444" t="s">
        <v>10957</v>
      </c>
      <c r="S118" s="2444" t="s">
        <v>10956</v>
      </c>
      <c r="T118" s="2429"/>
      <c r="U118" s="2429"/>
      <c r="V118" s="2429"/>
      <c r="W118" s="2429"/>
      <c r="X118" s="2429"/>
      <c r="Y118" s="2429"/>
      <c r="Z118" s="2429"/>
      <c r="AA118" s="2429"/>
      <c r="AB118" s="2429"/>
      <c r="AC118" s="2429"/>
      <c r="AD118" s="2429"/>
      <c r="AE118" s="2429"/>
      <c r="AF118" s="2429"/>
      <c r="AG118" s="2429"/>
      <c r="AH118" s="2429"/>
      <c r="AI118" s="2429"/>
    </row>
    <row r="119" spans="10:35" ht="17.25" thickBot="1">
      <c r="J119" s="2429"/>
      <c r="K119" s="2429"/>
      <c r="L119" s="2429"/>
      <c r="M119" s="2429"/>
      <c r="N119" s="2429"/>
      <c r="O119" s="2429"/>
      <c r="P119" s="2429"/>
      <c r="Q119" s="2429"/>
      <c r="R119" s="2443" t="s">
        <v>10952</v>
      </c>
      <c r="S119" s="2443" t="s">
        <v>10951</v>
      </c>
      <c r="T119" s="2429"/>
      <c r="U119" s="2429"/>
      <c r="V119" s="2429"/>
      <c r="W119" s="2429"/>
      <c r="X119" s="2429"/>
      <c r="Y119" s="2429"/>
      <c r="Z119" s="2429"/>
      <c r="AA119" s="2429"/>
      <c r="AB119" s="2429"/>
      <c r="AC119" s="2429"/>
      <c r="AD119" s="2429"/>
      <c r="AE119" s="2429"/>
      <c r="AF119" s="2429"/>
      <c r="AG119" s="2429"/>
      <c r="AH119" s="2429"/>
      <c r="AI119" s="2429"/>
    </row>
    <row r="120" spans="10:35" ht="16.5">
      <c r="J120" s="2429"/>
      <c r="K120" s="2429"/>
      <c r="L120" s="2429"/>
      <c r="M120" s="2429"/>
      <c r="N120" s="2429"/>
      <c r="O120" s="2429"/>
      <c r="P120" s="2429"/>
      <c r="Q120" s="2429"/>
      <c r="R120" s="2429"/>
      <c r="S120" s="2429"/>
      <c r="T120" s="2429"/>
      <c r="U120" s="2429"/>
      <c r="V120" s="2429"/>
      <c r="W120" s="2429"/>
      <c r="X120" s="2429"/>
      <c r="Y120" s="2429"/>
      <c r="Z120" s="2429"/>
      <c r="AA120" s="2429"/>
      <c r="AB120" s="2429"/>
      <c r="AC120" s="2429"/>
      <c r="AD120" s="2429"/>
      <c r="AE120" s="2429"/>
      <c r="AF120" s="2429"/>
      <c r="AG120" s="2429"/>
      <c r="AH120" s="2429"/>
      <c r="AI120" s="2429"/>
    </row>
    <row r="121" spans="10:35" ht="16.5">
      <c r="J121" s="2429"/>
      <c r="K121" s="2429"/>
      <c r="L121" s="2429"/>
      <c r="M121" s="2429"/>
      <c r="N121" s="2429"/>
      <c r="O121" s="2429"/>
      <c r="P121" s="2429"/>
      <c r="Q121" s="2429"/>
      <c r="R121" s="2429"/>
      <c r="S121" s="2429"/>
      <c r="T121" s="2429"/>
      <c r="U121" s="2429"/>
      <c r="V121" s="2429"/>
      <c r="W121" s="2429"/>
      <c r="X121" s="2429"/>
      <c r="Y121" s="2429"/>
      <c r="Z121" s="2429"/>
      <c r="AA121" s="2429"/>
      <c r="AB121" s="2429"/>
      <c r="AC121" s="2429"/>
      <c r="AD121" s="2429"/>
      <c r="AE121" s="2429"/>
      <c r="AF121" s="2429"/>
      <c r="AG121" s="2429"/>
      <c r="AH121" s="2429"/>
      <c r="AI121" s="2429"/>
    </row>
    <row r="138" spans="5:23" ht="16.5">
      <c r="E138" s="2429" t="s">
        <v>11162</v>
      </c>
      <c r="F138" s="2429" t="s">
        <v>2235</v>
      </c>
      <c r="G138" s="2429" t="s">
        <v>11161</v>
      </c>
      <c r="H138" s="2429"/>
      <c r="I138" s="2429"/>
      <c r="J138" s="2429"/>
      <c r="K138" s="2429"/>
      <c r="L138" s="2429"/>
      <c r="M138" s="2429"/>
      <c r="N138" s="2429"/>
      <c r="O138" s="2429"/>
      <c r="P138" s="2429"/>
      <c r="Q138" s="2429"/>
    </row>
    <row r="139" spans="5:23" ht="16.5">
      <c r="E139" s="2429" t="s">
        <v>11160</v>
      </c>
      <c r="F139" s="2429" t="s">
        <v>7993</v>
      </c>
      <c r="G139" s="2429"/>
      <c r="H139" s="2429"/>
      <c r="I139" s="2429"/>
      <c r="J139" s="2429"/>
      <c r="K139" s="2429"/>
      <c r="L139" s="2429"/>
      <c r="M139" s="2429"/>
      <c r="N139" s="2429"/>
      <c r="O139" s="2429"/>
      <c r="P139" s="2429"/>
      <c r="Q139" s="2429"/>
    </row>
    <row r="140" spans="5:23" ht="18">
      <c r="E140" s="2429" t="s">
        <v>11159</v>
      </c>
      <c r="F140" s="2429" t="s">
        <v>11009</v>
      </c>
      <c r="G140" s="2429" t="s">
        <v>11158</v>
      </c>
      <c r="H140" s="2429"/>
      <c r="I140" s="2429" t="s">
        <v>11157</v>
      </c>
      <c r="J140" s="2429" t="s">
        <v>2235</v>
      </c>
      <c r="K140" s="2429" t="s">
        <v>11156</v>
      </c>
      <c r="L140" s="2429"/>
      <c r="M140" s="2429"/>
      <c r="N140" s="2429"/>
      <c r="T140" s="2428" t="s">
        <v>11329</v>
      </c>
    </row>
    <row r="141" spans="5:23" ht="18">
      <c r="E141" s="2429" t="s">
        <v>11150</v>
      </c>
      <c r="F141" s="2429" t="s">
        <v>11149</v>
      </c>
      <c r="G141" s="2429" t="s">
        <v>11148</v>
      </c>
      <c r="H141" s="2429"/>
      <c r="I141" s="2429" t="s">
        <v>11147</v>
      </c>
      <c r="J141" s="2429" t="s">
        <v>10946</v>
      </c>
      <c r="K141" s="2429" t="s">
        <v>11146</v>
      </c>
      <c r="L141" s="2429"/>
      <c r="M141" s="2429"/>
      <c r="N141" s="2429"/>
      <c r="P141" s="2428" t="s">
        <v>597</v>
      </c>
      <c r="Q141" s="2428" t="s">
        <v>10692</v>
      </c>
      <c r="R141" s="2428" t="s">
        <v>10691</v>
      </c>
      <c r="T141" s="2428" t="s">
        <v>6626</v>
      </c>
      <c r="U141" s="2428" t="s">
        <v>11184</v>
      </c>
      <c r="V141" s="2428" t="s">
        <v>6626</v>
      </c>
      <c r="W141" s="2428" t="s">
        <v>11183</v>
      </c>
    </row>
    <row r="142" spans="5:23" ht="16.5">
      <c r="E142" s="2429" t="s">
        <v>11140</v>
      </c>
      <c r="F142" s="2429" t="s">
        <v>10998</v>
      </c>
      <c r="G142" s="2429" t="s">
        <v>11139</v>
      </c>
      <c r="H142" s="2429"/>
      <c r="I142" s="2429" t="s">
        <v>11138</v>
      </c>
      <c r="J142" s="2429" t="s">
        <v>10972</v>
      </c>
      <c r="K142" s="2429" t="s">
        <v>11137</v>
      </c>
      <c r="L142" s="2429"/>
      <c r="M142" s="2429"/>
      <c r="N142" s="2429"/>
      <c r="P142" s="2428" t="s">
        <v>10938</v>
      </c>
      <c r="T142" s="2428">
        <v>1</v>
      </c>
      <c r="U142" s="2428" t="s">
        <v>11328</v>
      </c>
      <c r="V142" s="2428">
        <v>1</v>
      </c>
      <c r="W142" s="2428" t="s">
        <v>11327</v>
      </c>
    </row>
    <row r="143" spans="5:23" ht="16.5">
      <c r="E143" s="2429" t="s">
        <v>11130</v>
      </c>
      <c r="F143" s="2429" t="s">
        <v>10965</v>
      </c>
      <c r="G143" s="2429" t="s">
        <v>11129</v>
      </c>
      <c r="H143" s="2429"/>
      <c r="I143" s="2429" t="s">
        <v>11128</v>
      </c>
      <c r="J143" s="2429" t="s">
        <v>11017</v>
      </c>
      <c r="K143" s="2429" t="s">
        <v>11127</v>
      </c>
      <c r="L143" s="2429"/>
      <c r="M143" s="2429"/>
      <c r="N143" s="2429"/>
      <c r="P143" s="2428">
        <v>1</v>
      </c>
      <c r="Q143" s="2428" t="s">
        <v>11326</v>
      </c>
      <c r="R143" s="2452">
        <v>44044</v>
      </c>
      <c r="T143" s="2428">
        <v>2</v>
      </c>
      <c r="U143" s="2428" t="s">
        <v>11325</v>
      </c>
      <c r="V143" s="2428">
        <v>2</v>
      </c>
      <c r="W143" s="2428" t="s">
        <v>11324</v>
      </c>
    </row>
    <row r="144" spans="5:23" ht="16.5">
      <c r="E144" s="2429" t="s">
        <v>11117</v>
      </c>
      <c r="F144" s="2429" t="s">
        <v>11015</v>
      </c>
      <c r="G144" s="2429" t="s">
        <v>11116</v>
      </c>
      <c r="H144" s="2429"/>
      <c r="I144" s="2429" t="s">
        <v>11115</v>
      </c>
      <c r="J144" s="2429" t="s">
        <v>10998</v>
      </c>
      <c r="K144" s="2429" t="s">
        <v>11102</v>
      </c>
      <c r="L144" s="2429"/>
      <c r="M144" s="2429"/>
      <c r="N144" s="2429"/>
      <c r="P144" s="2428">
        <v>2</v>
      </c>
      <c r="Q144" s="2428" t="s">
        <v>11323</v>
      </c>
      <c r="R144" s="2452">
        <v>44044</v>
      </c>
      <c r="T144" s="2428">
        <v>3</v>
      </c>
      <c r="U144" s="2428" t="s">
        <v>11322</v>
      </c>
      <c r="V144" s="2428">
        <v>3</v>
      </c>
      <c r="W144" s="2428" t="s">
        <v>11321</v>
      </c>
    </row>
    <row r="145" spans="5:23" ht="16.5">
      <c r="E145" s="2429" t="s">
        <v>11105</v>
      </c>
      <c r="F145" s="2429" t="s">
        <v>11054</v>
      </c>
      <c r="G145" s="2429" t="s">
        <v>10953</v>
      </c>
      <c r="H145" s="2429"/>
      <c r="I145" s="2429" t="s">
        <v>11104</v>
      </c>
      <c r="J145" s="2429" t="s">
        <v>11103</v>
      </c>
      <c r="K145" s="2429" t="s">
        <v>11102</v>
      </c>
      <c r="L145" s="2429"/>
      <c r="M145" s="2429"/>
      <c r="N145" s="2429"/>
      <c r="P145" s="2428">
        <v>3</v>
      </c>
      <c r="Q145" s="2428" t="s">
        <v>11320</v>
      </c>
      <c r="R145" s="2452">
        <v>43922</v>
      </c>
      <c r="T145" s="2428">
        <v>4</v>
      </c>
      <c r="U145" s="2428" t="s">
        <v>11319</v>
      </c>
      <c r="V145" s="2428">
        <v>4</v>
      </c>
      <c r="W145" s="2428" t="s">
        <v>11318</v>
      </c>
    </row>
    <row r="146" spans="5:23" ht="18">
      <c r="E146" s="2429" t="s">
        <v>11090</v>
      </c>
      <c r="F146" s="2429" t="s">
        <v>11089</v>
      </c>
      <c r="G146" s="2429" t="s">
        <v>11088</v>
      </c>
      <c r="H146" s="2429"/>
      <c r="I146" s="2429"/>
      <c r="J146" s="2429"/>
      <c r="K146" s="2429"/>
      <c r="L146" s="2429"/>
      <c r="M146" s="2429"/>
      <c r="N146" s="2429"/>
      <c r="P146" s="2428">
        <v>4</v>
      </c>
      <c r="Q146" s="2428" t="s">
        <v>11317</v>
      </c>
      <c r="R146" s="2452">
        <v>43862</v>
      </c>
      <c r="T146" s="2428">
        <v>5</v>
      </c>
      <c r="U146" s="2428" t="s">
        <v>11316</v>
      </c>
      <c r="V146" s="2428">
        <v>5</v>
      </c>
      <c r="W146" s="2428" t="s">
        <v>11315</v>
      </c>
    </row>
    <row r="147" spans="5:23" ht="16.5">
      <c r="E147" s="2429"/>
      <c r="F147" s="2429"/>
      <c r="G147" s="2429"/>
      <c r="H147" s="2429"/>
      <c r="I147" s="2429"/>
      <c r="J147" s="2429"/>
      <c r="K147" s="2429"/>
      <c r="L147" s="2429"/>
      <c r="M147" s="2429"/>
      <c r="N147" s="2429"/>
      <c r="P147" s="2428">
        <v>5</v>
      </c>
      <c r="Q147" s="2428" t="s">
        <v>11314</v>
      </c>
      <c r="R147" s="2452">
        <v>43862</v>
      </c>
      <c r="T147" s="2428">
        <v>6</v>
      </c>
      <c r="U147" s="2428" t="s">
        <v>11313</v>
      </c>
      <c r="V147" s="2428">
        <v>6</v>
      </c>
      <c r="W147" s="2428" t="s">
        <v>11312</v>
      </c>
    </row>
    <row r="148" spans="5:23" ht="16.5">
      <c r="E148" s="2429" t="s">
        <v>11068</v>
      </c>
      <c r="F148" s="2429" t="s">
        <v>2235</v>
      </c>
      <c r="G148" s="2429" t="s">
        <v>11067</v>
      </c>
      <c r="H148" s="2429"/>
      <c r="I148" s="2429" t="s">
        <v>11066</v>
      </c>
      <c r="J148" s="2429" t="s">
        <v>2235</v>
      </c>
      <c r="K148" s="2429" t="s">
        <v>11065</v>
      </c>
      <c r="L148" s="2429"/>
      <c r="M148" s="2429"/>
      <c r="N148" s="2429"/>
      <c r="P148" s="2428">
        <v>6</v>
      </c>
      <c r="Q148" s="2428" t="s">
        <v>11311</v>
      </c>
      <c r="R148" s="2428">
        <v>1</v>
      </c>
      <c r="T148" s="2428">
        <v>7</v>
      </c>
      <c r="U148" s="2428" t="s">
        <v>11310</v>
      </c>
      <c r="V148" s="2428">
        <v>7</v>
      </c>
      <c r="W148" s="2428" t="s">
        <v>11309</v>
      </c>
    </row>
    <row r="149" spans="5:23" ht="16.5">
      <c r="E149" s="2429" t="s">
        <v>11055</v>
      </c>
      <c r="F149" s="2429" t="s">
        <v>11054</v>
      </c>
      <c r="G149" s="2429" t="s">
        <v>11053</v>
      </c>
      <c r="H149" s="2429"/>
      <c r="I149" s="2429" t="s">
        <v>11052</v>
      </c>
      <c r="J149" s="2429" t="s">
        <v>11015</v>
      </c>
      <c r="K149" s="2429" t="s">
        <v>11051</v>
      </c>
      <c r="L149" s="2429"/>
      <c r="M149" s="2429"/>
      <c r="N149" s="2429"/>
      <c r="P149" s="2428">
        <v>7</v>
      </c>
      <c r="Q149" s="2428" t="s">
        <v>11308</v>
      </c>
      <c r="R149" s="2428">
        <v>2</v>
      </c>
      <c r="T149" s="2428">
        <v>8</v>
      </c>
      <c r="U149" s="2428" t="s">
        <v>11307</v>
      </c>
      <c r="V149" s="2428">
        <v>8</v>
      </c>
      <c r="W149" s="2428" t="s">
        <v>11306</v>
      </c>
    </row>
    <row r="150" spans="5:23" ht="16.5">
      <c r="E150" s="2429" t="s">
        <v>11042</v>
      </c>
      <c r="F150" s="2429" t="s">
        <v>10993</v>
      </c>
      <c r="G150" s="2429" t="s">
        <v>11000</v>
      </c>
      <c r="H150" s="2429"/>
      <c r="I150" s="2429" t="s">
        <v>11041</v>
      </c>
      <c r="J150" s="2429" t="s">
        <v>10946</v>
      </c>
      <c r="K150" s="2429" t="s">
        <v>11027</v>
      </c>
      <c r="L150" s="2429"/>
      <c r="M150" s="2429"/>
      <c r="N150" s="2429"/>
      <c r="P150" s="2428">
        <v>8</v>
      </c>
      <c r="Q150" s="2428" t="s">
        <v>11305</v>
      </c>
      <c r="R150" s="2428">
        <v>2</v>
      </c>
      <c r="T150" s="2428">
        <v>9</v>
      </c>
      <c r="U150" s="2428" t="s">
        <v>11304</v>
      </c>
      <c r="V150" s="2428">
        <v>9</v>
      </c>
      <c r="W150" s="2428" t="s">
        <v>11303</v>
      </c>
    </row>
    <row r="151" spans="5:23" ht="16.5">
      <c r="E151" s="2429" t="s">
        <v>11031</v>
      </c>
      <c r="F151" s="2429" t="s">
        <v>11030</v>
      </c>
      <c r="G151" s="2429" t="s">
        <v>10992</v>
      </c>
      <c r="H151" s="2429"/>
      <c r="I151" s="2429" t="s">
        <v>11029</v>
      </c>
      <c r="J151" s="2429" t="s">
        <v>11028</v>
      </c>
      <c r="K151" s="2429" t="s">
        <v>11027</v>
      </c>
      <c r="L151" s="2429"/>
      <c r="M151" s="2429"/>
      <c r="N151" s="2429"/>
      <c r="P151" s="2428">
        <v>9</v>
      </c>
      <c r="Q151" s="2428" t="s">
        <v>11302</v>
      </c>
      <c r="R151" s="2428">
        <v>2</v>
      </c>
      <c r="T151" s="2428">
        <v>10</v>
      </c>
      <c r="U151" s="2428" t="s">
        <v>11301</v>
      </c>
      <c r="V151" s="2428">
        <v>10</v>
      </c>
      <c r="W151" s="2428" t="s">
        <v>11300</v>
      </c>
    </row>
    <row r="152" spans="5:23" ht="16.5">
      <c r="E152" s="2429" t="s">
        <v>11020</v>
      </c>
      <c r="F152" s="2429" t="s">
        <v>11019</v>
      </c>
      <c r="G152" s="2429" t="s">
        <v>10983</v>
      </c>
      <c r="H152" s="2429"/>
      <c r="I152" s="2429" t="s">
        <v>11018</v>
      </c>
      <c r="J152" s="2429" t="s">
        <v>11017</v>
      </c>
      <c r="K152" s="2429" t="s">
        <v>10989</v>
      </c>
      <c r="L152" s="2429"/>
      <c r="M152" s="2429"/>
      <c r="N152" s="2429"/>
      <c r="P152" s="2428">
        <v>10</v>
      </c>
      <c r="Q152" s="2428" t="s">
        <v>11299</v>
      </c>
      <c r="R152" s="2428">
        <v>2</v>
      </c>
    </row>
    <row r="153" spans="5:23" ht="16.5">
      <c r="E153" s="2429" t="s">
        <v>11010</v>
      </c>
      <c r="F153" s="2429" t="s">
        <v>11009</v>
      </c>
      <c r="G153" s="2429" t="s">
        <v>11008</v>
      </c>
      <c r="H153" s="2429"/>
      <c r="I153" s="2429" t="s">
        <v>11007</v>
      </c>
      <c r="J153" s="2429" t="s">
        <v>10946</v>
      </c>
      <c r="K153" s="2429" t="s">
        <v>10989</v>
      </c>
      <c r="L153" s="2429"/>
      <c r="M153" s="2429"/>
      <c r="N153" s="2429"/>
      <c r="P153" s="2428">
        <v>11</v>
      </c>
      <c r="Q153" s="2428" t="s">
        <v>3971</v>
      </c>
      <c r="R153" s="2428">
        <v>3</v>
      </c>
      <c r="T153" s="2428" t="s">
        <v>11298</v>
      </c>
    </row>
    <row r="154" spans="5:23" ht="16.5">
      <c r="E154" s="2429" t="s">
        <v>11002</v>
      </c>
      <c r="F154" s="2429" t="s">
        <v>11001</v>
      </c>
      <c r="G154" s="2429" t="s">
        <v>11000</v>
      </c>
      <c r="H154" s="2429"/>
      <c r="I154" s="2429" t="s">
        <v>10999</v>
      </c>
      <c r="J154" s="2429" t="s">
        <v>10998</v>
      </c>
      <c r="K154" s="2429" t="s">
        <v>10989</v>
      </c>
      <c r="L154" s="2429"/>
      <c r="M154" s="2429"/>
      <c r="N154" s="2429"/>
      <c r="P154" s="2428">
        <v>12</v>
      </c>
      <c r="Q154" s="2428" t="s">
        <v>11297</v>
      </c>
      <c r="R154" s="2428">
        <v>3</v>
      </c>
      <c r="T154" s="2428" t="s">
        <v>6626</v>
      </c>
      <c r="U154" s="2428" t="s">
        <v>11296</v>
      </c>
      <c r="V154" s="2428" t="s">
        <v>11295</v>
      </c>
      <c r="W154" s="2428" t="s">
        <v>11183</v>
      </c>
    </row>
    <row r="155" spans="5:23" ht="16.5">
      <c r="E155" s="2429" t="s">
        <v>10994</v>
      </c>
      <c r="F155" s="2429" t="s">
        <v>10993</v>
      </c>
      <c r="G155" s="2429" t="s">
        <v>10992</v>
      </c>
      <c r="H155" s="2429"/>
      <c r="I155" s="2429" t="s">
        <v>10991</v>
      </c>
      <c r="J155" s="2429" t="s">
        <v>10990</v>
      </c>
      <c r="K155" s="2429" t="s">
        <v>10989</v>
      </c>
      <c r="L155" s="2429"/>
      <c r="M155" s="2429"/>
      <c r="N155" s="2429"/>
      <c r="P155" s="2428">
        <v>13</v>
      </c>
      <c r="Q155" s="2428" t="s">
        <v>11294</v>
      </c>
      <c r="R155" s="2428">
        <v>3</v>
      </c>
      <c r="T155" s="2428">
        <v>1</v>
      </c>
      <c r="U155" s="2428" t="s">
        <v>11293</v>
      </c>
      <c r="V155" s="2428">
        <v>1</v>
      </c>
      <c r="W155" s="2428" t="s">
        <v>11292</v>
      </c>
    </row>
    <row r="156" spans="5:23" ht="18">
      <c r="E156" s="2429" t="s">
        <v>10985</v>
      </c>
      <c r="F156" s="2429" t="s">
        <v>10984</v>
      </c>
      <c r="G156" s="2429" t="s">
        <v>10983</v>
      </c>
      <c r="H156" s="2429"/>
      <c r="I156" s="2429" t="s">
        <v>10982</v>
      </c>
      <c r="J156" s="2429" t="s">
        <v>10981</v>
      </c>
      <c r="K156" s="2429" t="s">
        <v>10980</v>
      </c>
      <c r="L156" s="2429"/>
      <c r="M156" s="2429"/>
      <c r="N156" s="2429"/>
      <c r="P156" s="2428">
        <v>14</v>
      </c>
      <c r="Q156" s="2428" t="s">
        <v>11291</v>
      </c>
      <c r="R156" s="2428">
        <v>5</v>
      </c>
      <c r="T156" s="2428">
        <v>2</v>
      </c>
      <c r="U156" s="2428" t="s">
        <v>11290</v>
      </c>
      <c r="V156" s="2428">
        <v>2</v>
      </c>
      <c r="W156" s="2428" t="s">
        <v>11289</v>
      </c>
    </row>
    <row r="157" spans="5:23" ht="16.5">
      <c r="E157" s="2429" t="s">
        <v>10969</v>
      </c>
      <c r="F157" s="2429" t="s">
        <v>10975</v>
      </c>
      <c r="G157" s="2429" t="s">
        <v>10974</v>
      </c>
      <c r="H157" s="2429"/>
      <c r="I157" s="2429" t="s">
        <v>10973</v>
      </c>
      <c r="J157" s="2429" t="s">
        <v>10972</v>
      </c>
      <c r="K157" s="2429" t="s">
        <v>10964</v>
      </c>
      <c r="L157" s="2429"/>
      <c r="M157" s="2429"/>
      <c r="N157" s="2429"/>
      <c r="P157" s="2428">
        <v>15</v>
      </c>
      <c r="Q157" s="2428" t="s">
        <v>11288</v>
      </c>
      <c r="R157" s="2428">
        <v>5</v>
      </c>
      <c r="T157" s="2428">
        <v>3</v>
      </c>
      <c r="U157" s="2428" t="s">
        <v>11287</v>
      </c>
      <c r="V157" s="2428">
        <v>3</v>
      </c>
      <c r="W157" s="2428" t="s">
        <v>11286</v>
      </c>
    </row>
    <row r="158" spans="5:23" ht="16.5">
      <c r="E158" s="2429" t="s">
        <v>10969</v>
      </c>
      <c r="F158" s="2429" t="s">
        <v>10968</v>
      </c>
      <c r="G158" s="2429" t="s">
        <v>10967</v>
      </c>
      <c r="H158" s="2429"/>
      <c r="I158" s="2429" t="s">
        <v>10966</v>
      </c>
      <c r="J158" s="2429" t="s">
        <v>10965</v>
      </c>
      <c r="K158" s="2429" t="s">
        <v>10964</v>
      </c>
      <c r="L158" s="2429"/>
      <c r="M158" s="2429"/>
      <c r="N158" s="2429"/>
      <c r="P158" s="2428">
        <v>16</v>
      </c>
      <c r="Q158" s="2428" t="s">
        <v>11285</v>
      </c>
      <c r="R158" s="2428">
        <v>6</v>
      </c>
      <c r="T158" s="2428">
        <v>4</v>
      </c>
      <c r="U158" s="2428" t="s">
        <v>11284</v>
      </c>
      <c r="V158" s="2428">
        <v>4</v>
      </c>
      <c r="W158" s="2428" t="s">
        <v>11283</v>
      </c>
    </row>
    <row r="159" spans="5:23" ht="16.5">
      <c r="E159" s="2429" t="s">
        <v>10961</v>
      </c>
      <c r="F159" s="2429" t="s">
        <v>10960</v>
      </c>
      <c r="G159" s="2429" t="s">
        <v>10959</v>
      </c>
      <c r="H159" s="2429"/>
      <c r="I159" s="2429" t="s">
        <v>10958</v>
      </c>
      <c r="J159" s="2429"/>
      <c r="K159" s="2429"/>
      <c r="L159" s="2429"/>
      <c r="M159" s="2429"/>
      <c r="N159" s="2429"/>
      <c r="P159" s="2428">
        <v>17</v>
      </c>
      <c r="Q159" s="2428" t="s">
        <v>11282</v>
      </c>
      <c r="R159" s="2428">
        <v>8</v>
      </c>
      <c r="T159" s="2428">
        <v>5</v>
      </c>
      <c r="U159" s="2428" t="s">
        <v>11281</v>
      </c>
      <c r="V159" s="2428">
        <v>5</v>
      </c>
      <c r="W159" s="2428" t="s">
        <v>11280</v>
      </c>
    </row>
    <row r="160" spans="5:23" ht="16.5">
      <c r="E160" s="2429"/>
      <c r="F160" s="2429"/>
      <c r="G160" s="2429"/>
      <c r="H160" s="2429"/>
      <c r="I160" s="2429" t="s">
        <v>10955</v>
      </c>
      <c r="J160" s="2429" t="s">
        <v>10954</v>
      </c>
      <c r="K160" s="2429" t="s">
        <v>10953</v>
      </c>
      <c r="L160" s="2429"/>
      <c r="M160" s="2429"/>
      <c r="N160" s="2429"/>
      <c r="P160" s="2428">
        <v>18</v>
      </c>
      <c r="Q160" s="2428" t="s">
        <v>11279</v>
      </c>
      <c r="R160" s="2428">
        <v>11</v>
      </c>
      <c r="T160" s="2428">
        <v>6</v>
      </c>
      <c r="U160" s="2428" t="s">
        <v>11278</v>
      </c>
      <c r="V160" s="2428">
        <v>6</v>
      </c>
      <c r="W160" s="2428" t="s">
        <v>11277</v>
      </c>
    </row>
    <row r="161" spans="5:23" ht="16.5">
      <c r="E161" s="2429"/>
      <c r="F161" s="2429"/>
      <c r="G161" s="2429"/>
      <c r="H161" s="2429"/>
      <c r="I161" s="2429" t="s">
        <v>10950</v>
      </c>
      <c r="J161" s="2429" t="s">
        <v>7993</v>
      </c>
      <c r="K161" s="2429" t="s">
        <v>10943</v>
      </c>
      <c r="L161" s="2429"/>
      <c r="M161" s="2429"/>
      <c r="N161" s="2429"/>
      <c r="P161" s="2428">
        <v>19</v>
      </c>
      <c r="Q161" s="2428" t="s">
        <v>3511</v>
      </c>
      <c r="R161" s="2428">
        <v>11</v>
      </c>
      <c r="T161" s="2428">
        <v>7</v>
      </c>
      <c r="U161" s="2428" t="s">
        <v>11276</v>
      </c>
      <c r="V161" s="2428">
        <v>7</v>
      </c>
      <c r="W161" s="2428" t="s">
        <v>11275</v>
      </c>
    </row>
    <row r="162" spans="5:23" ht="16.5">
      <c r="E162" s="2429"/>
      <c r="F162" s="2429"/>
      <c r="G162" s="2429"/>
      <c r="H162" s="2429"/>
      <c r="I162" s="2429" t="s">
        <v>10949</v>
      </c>
      <c r="J162" s="2429" t="s">
        <v>10948</v>
      </c>
      <c r="K162" s="2429" t="s">
        <v>10943</v>
      </c>
      <c r="L162" s="2429"/>
      <c r="M162" s="2429"/>
      <c r="N162" s="2429"/>
      <c r="P162" s="2428">
        <v>20</v>
      </c>
      <c r="Q162" s="2428" t="s">
        <v>11274</v>
      </c>
      <c r="T162" s="2428">
        <v>8</v>
      </c>
      <c r="U162" s="2428" t="s">
        <v>11273</v>
      </c>
      <c r="V162" s="2428">
        <v>8</v>
      </c>
      <c r="W162" s="2428" t="s">
        <v>11272</v>
      </c>
    </row>
    <row r="163" spans="5:23" ht="16.5">
      <c r="E163" s="2429"/>
      <c r="F163" s="2429"/>
      <c r="G163" s="2429"/>
      <c r="H163" s="2429"/>
      <c r="I163" s="2429" t="s">
        <v>10947</v>
      </c>
      <c r="J163" s="2429" t="s">
        <v>10946</v>
      </c>
      <c r="K163" s="2429" t="s">
        <v>10943</v>
      </c>
      <c r="L163" s="2429"/>
      <c r="M163" s="2429"/>
      <c r="N163" s="2429"/>
      <c r="T163" s="2428">
        <v>9</v>
      </c>
      <c r="U163" s="2428" t="s">
        <v>11271</v>
      </c>
      <c r="V163" s="2428">
        <v>9</v>
      </c>
      <c r="W163" s="2428" t="s">
        <v>11270</v>
      </c>
    </row>
    <row r="164" spans="5:23" ht="16.5">
      <c r="E164" s="2429"/>
      <c r="F164" s="2429"/>
      <c r="G164" s="2429"/>
      <c r="H164" s="2429"/>
      <c r="I164" s="2429" t="s">
        <v>10945</v>
      </c>
      <c r="J164" s="2429" t="s">
        <v>10944</v>
      </c>
      <c r="K164" s="2429" t="s">
        <v>10943</v>
      </c>
      <c r="L164" s="2429"/>
      <c r="M164" s="2429"/>
      <c r="N164" s="2429"/>
      <c r="T164" s="2428">
        <v>10</v>
      </c>
      <c r="U164" s="2428" t="s">
        <v>11269</v>
      </c>
      <c r="V164" s="2428">
        <v>10</v>
      </c>
      <c r="W164" s="2428" t="s">
        <v>11268</v>
      </c>
    </row>
    <row r="165" spans="5:23" ht="16.5">
      <c r="E165" s="2429"/>
      <c r="F165" s="2429"/>
      <c r="G165" s="2429"/>
      <c r="H165" s="2429"/>
      <c r="I165" s="2429"/>
      <c r="J165" s="2429"/>
      <c r="K165" s="2429"/>
      <c r="L165" s="2429"/>
      <c r="M165" s="2429"/>
      <c r="N165" s="2429"/>
    </row>
    <row r="166" spans="5:23" ht="16.5">
      <c r="E166" s="2429"/>
      <c r="F166" s="2429"/>
      <c r="G166" s="2429"/>
      <c r="H166" s="2429"/>
      <c r="I166" s="2429"/>
      <c r="J166" s="2429"/>
      <c r="K166" s="2429"/>
      <c r="L166" s="2429"/>
      <c r="M166" s="2429"/>
      <c r="N166" s="2429"/>
    </row>
    <row r="167" spans="5:23" ht="16.5">
      <c r="E167" s="2429"/>
      <c r="F167" s="2429"/>
      <c r="G167" s="2429"/>
      <c r="H167" s="2429"/>
      <c r="I167" s="2429"/>
      <c r="J167" s="2429"/>
      <c r="K167" s="2429"/>
      <c r="L167" s="2429"/>
      <c r="M167" s="2429"/>
      <c r="N167" s="2429"/>
      <c r="T167" s="2428" t="s">
        <v>6626</v>
      </c>
      <c r="U167" s="2428" t="s">
        <v>11184</v>
      </c>
      <c r="V167" s="2428" t="s">
        <v>6626</v>
      </c>
      <c r="W167" s="2428" t="s">
        <v>11183</v>
      </c>
    </row>
    <row r="168" spans="5:23" ht="16.5">
      <c r="E168" s="2429"/>
      <c r="F168" s="2429"/>
      <c r="G168" s="2429"/>
      <c r="H168" s="2429"/>
      <c r="I168" s="2429"/>
      <c r="J168" s="2429"/>
      <c r="K168" s="2429"/>
      <c r="L168" s="2429"/>
      <c r="M168" s="2429"/>
      <c r="N168" s="2429"/>
      <c r="T168" s="2428">
        <v>1</v>
      </c>
      <c r="U168" s="2428" t="s">
        <v>11267</v>
      </c>
      <c r="V168" s="2428">
        <v>1</v>
      </c>
      <c r="W168" s="2428" t="s">
        <v>11266</v>
      </c>
    </row>
    <row r="169" spans="5:23" ht="16.5">
      <c r="E169" s="2429"/>
      <c r="F169" s="2429"/>
      <c r="G169" s="2429"/>
      <c r="H169" s="2429"/>
      <c r="I169" s="2429"/>
      <c r="J169" s="2429"/>
      <c r="K169" s="2429"/>
      <c r="L169" s="2429"/>
      <c r="M169" s="2429"/>
      <c r="N169" s="2429"/>
      <c r="T169" s="2428">
        <v>2</v>
      </c>
      <c r="U169" s="2428" t="s">
        <v>11265</v>
      </c>
      <c r="V169" s="2428">
        <v>2</v>
      </c>
      <c r="W169" s="2428" t="s">
        <v>11264</v>
      </c>
    </row>
    <row r="170" spans="5:23" ht="16.5">
      <c r="E170" s="2429"/>
      <c r="F170" s="2429"/>
      <c r="G170" s="2429"/>
      <c r="H170" s="2429"/>
      <c r="I170" s="2429"/>
      <c r="J170" s="2429"/>
      <c r="K170" s="2429"/>
      <c r="L170" s="2429"/>
      <c r="M170" s="2429"/>
      <c r="N170" s="2429"/>
      <c r="T170" s="2428">
        <v>3</v>
      </c>
      <c r="U170" s="2428" t="s">
        <v>11263</v>
      </c>
      <c r="V170" s="2428">
        <v>3</v>
      </c>
      <c r="W170" s="2428" t="s">
        <v>11262</v>
      </c>
    </row>
    <row r="171" spans="5:23" ht="16.5">
      <c r="E171" s="2429"/>
      <c r="F171" s="2429"/>
      <c r="G171" s="2429"/>
      <c r="H171" s="2429"/>
      <c r="I171" s="2429"/>
      <c r="J171" s="2429"/>
      <c r="K171" s="2429"/>
      <c r="L171" s="2429"/>
      <c r="M171" s="2429"/>
      <c r="N171" s="2429"/>
      <c r="T171" s="2428">
        <v>4</v>
      </c>
      <c r="U171" s="2428" t="s">
        <v>11261</v>
      </c>
      <c r="V171" s="2428">
        <v>4</v>
      </c>
      <c r="W171" s="2428" t="s">
        <v>11260</v>
      </c>
    </row>
    <row r="172" spans="5:23" ht="16.5">
      <c r="E172" s="2429"/>
      <c r="F172" s="2429"/>
      <c r="G172" s="2429"/>
      <c r="H172" s="2429"/>
      <c r="I172" s="2429"/>
      <c r="J172" s="2429"/>
      <c r="K172" s="2429"/>
      <c r="L172" s="2429"/>
      <c r="M172" s="2429"/>
      <c r="N172" s="2429"/>
      <c r="T172" s="2428">
        <v>5</v>
      </c>
      <c r="U172" s="2428" t="s">
        <v>11259</v>
      </c>
      <c r="V172" s="2428">
        <v>5</v>
      </c>
      <c r="W172" s="2428" t="s">
        <v>11258</v>
      </c>
    </row>
    <row r="173" spans="5:23" ht="16.5">
      <c r="E173" s="2429"/>
      <c r="F173" s="2429"/>
      <c r="G173" s="2429"/>
      <c r="H173" s="2429"/>
      <c r="I173" s="2429"/>
      <c r="J173" s="2429"/>
      <c r="K173" s="2429"/>
      <c r="L173" s="2429"/>
      <c r="M173" s="2429"/>
      <c r="N173" s="2429"/>
      <c r="T173" s="2428">
        <v>6</v>
      </c>
      <c r="U173" s="2428" t="s">
        <v>11257</v>
      </c>
      <c r="V173" s="2428">
        <v>6</v>
      </c>
      <c r="W173" s="2428" t="s">
        <v>11256</v>
      </c>
    </row>
    <row r="174" spans="5:23" ht="16.5">
      <c r="E174" s="2429"/>
      <c r="F174" s="2429"/>
      <c r="G174" s="2429"/>
      <c r="H174" s="2429"/>
      <c r="I174" s="2429"/>
      <c r="J174" s="2429"/>
      <c r="K174" s="2429"/>
      <c r="L174" s="2429"/>
      <c r="M174" s="2429"/>
      <c r="N174" s="2429"/>
      <c r="T174" s="2428">
        <v>7</v>
      </c>
      <c r="U174" s="2428" t="s">
        <v>11255</v>
      </c>
      <c r="V174" s="2428">
        <v>7</v>
      </c>
      <c r="W174" s="2428" t="s">
        <v>11254</v>
      </c>
    </row>
    <row r="175" spans="5:23" ht="16.5">
      <c r="E175" s="2429"/>
      <c r="F175" s="2429"/>
      <c r="G175" s="2429"/>
      <c r="H175" s="2429"/>
      <c r="I175" s="2429"/>
      <c r="J175" s="2429"/>
      <c r="K175" s="2429"/>
      <c r="L175" s="2429"/>
      <c r="M175" s="2429"/>
      <c r="N175" s="2429"/>
      <c r="T175" s="2428">
        <v>8</v>
      </c>
      <c r="U175" s="2428" t="s">
        <v>11253</v>
      </c>
      <c r="V175" s="2428">
        <v>8</v>
      </c>
      <c r="W175" s="2428" t="s">
        <v>11252</v>
      </c>
    </row>
    <row r="176" spans="5:23" ht="16.5">
      <c r="E176" s="2429"/>
      <c r="F176" s="2429"/>
      <c r="G176" s="2429"/>
      <c r="H176" s="2429"/>
      <c r="I176" s="2429"/>
      <c r="J176" s="2429"/>
      <c r="K176" s="2429"/>
      <c r="L176" s="2429"/>
      <c r="M176" s="2429"/>
      <c r="N176" s="2429"/>
      <c r="T176" s="2428">
        <v>9</v>
      </c>
      <c r="U176" s="2428" t="s">
        <v>11251</v>
      </c>
      <c r="V176" s="2428">
        <v>9</v>
      </c>
      <c r="W176" s="2428" t="s">
        <v>11250</v>
      </c>
    </row>
    <row r="177" spans="5:23" ht="16.5">
      <c r="E177" s="2429"/>
      <c r="F177" s="2429"/>
      <c r="G177" s="2429"/>
      <c r="H177" s="2429"/>
      <c r="I177" s="2429"/>
      <c r="J177" s="2429"/>
      <c r="K177" s="2429"/>
      <c r="L177" s="2429"/>
      <c r="M177" s="2429"/>
      <c r="N177" s="2429"/>
      <c r="T177" s="2428">
        <v>10</v>
      </c>
      <c r="U177" s="2428" t="s">
        <v>11249</v>
      </c>
      <c r="V177" s="2428">
        <v>10</v>
      </c>
      <c r="W177" s="2428" t="s">
        <v>11248</v>
      </c>
    </row>
    <row r="178" spans="5:23" ht="16.5">
      <c r="E178" s="2429"/>
      <c r="F178" s="2429"/>
      <c r="G178" s="2429"/>
      <c r="H178" s="2429"/>
      <c r="I178" s="2429"/>
      <c r="J178" s="2429"/>
      <c r="K178" s="2429"/>
      <c r="L178" s="2429"/>
      <c r="M178" s="2429"/>
      <c r="N178" s="2429"/>
    </row>
    <row r="179" spans="5:23" ht="16.5">
      <c r="E179" s="2429"/>
      <c r="F179" s="2429"/>
      <c r="G179" s="2429"/>
      <c r="H179" s="2429"/>
      <c r="I179" s="2429"/>
      <c r="J179" s="2429"/>
      <c r="K179" s="2429"/>
      <c r="L179" s="2429"/>
      <c r="M179" s="2429"/>
      <c r="N179" s="2429"/>
      <c r="T179" s="2428" t="s">
        <v>6626</v>
      </c>
      <c r="U179" s="2428" t="s">
        <v>11184</v>
      </c>
      <c r="V179" s="2428" t="s">
        <v>6626</v>
      </c>
      <c r="W179" s="2428" t="s">
        <v>11183</v>
      </c>
    </row>
    <row r="180" spans="5:23" ht="16.5">
      <c r="E180" s="2429"/>
      <c r="F180" s="2429"/>
      <c r="G180" s="2429"/>
      <c r="H180" s="2429"/>
      <c r="I180" s="2429"/>
      <c r="J180" s="2429"/>
      <c r="K180" s="2429"/>
      <c r="L180" s="2429"/>
      <c r="M180" s="2429"/>
      <c r="N180" s="2429"/>
      <c r="T180" s="2428">
        <v>1</v>
      </c>
      <c r="U180" s="2428" t="s">
        <v>11247</v>
      </c>
      <c r="V180" s="2428">
        <v>1</v>
      </c>
      <c r="W180" s="2428" t="s">
        <v>11246</v>
      </c>
    </row>
    <row r="181" spans="5:23" ht="16.5">
      <c r="E181" s="2429"/>
      <c r="F181" s="2429"/>
      <c r="G181" s="2429"/>
      <c r="H181" s="2429"/>
      <c r="I181" s="2429"/>
      <c r="J181" s="2429"/>
      <c r="K181" s="2429"/>
      <c r="L181" s="2429"/>
      <c r="M181" s="2429"/>
      <c r="N181" s="2429"/>
      <c r="T181" s="2428">
        <v>2</v>
      </c>
      <c r="U181" s="2428" t="s">
        <v>11245</v>
      </c>
      <c r="V181" s="2428">
        <v>2</v>
      </c>
      <c r="W181" s="2428" t="s">
        <v>11244</v>
      </c>
    </row>
    <row r="182" spans="5:23" ht="16.5">
      <c r="E182" s="2429"/>
      <c r="F182" s="2429"/>
      <c r="G182" s="2429"/>
      <c r="H182" s="2429"/>
      <c r="I182" s="2429"/>
      <c r="J182" s="2429"/>
      <c r="K182" s="2429"/>
      <c r="L182" s="2429"/>
      <c r="M182" s="2429"/>
      <c r="N182" s="2429"/>
      <c r="T182" s="2428">
        <v>3</v>
      </c>
      <c r="U182" s="2428" t="s">
        <v>11243</v>
      </c>
      <c r="V182" s="2428">
        <v>3</v>
      </c>
      <c r="W182" s="2428" t="s">
        <v>11242</v>
      </c>
    </row>
    <row r="183" spans="5:23" ht="16.5">
      <c r="E183" s="2429"/>
      <c r="F183" s="2429"/>
      <c r="G183" s="2429"/>
      <c r="H183" s="2429"/>
      <c r="I183" s="2429"/>
      <c r="J183" s="2429"/>
      <c r="K183" s="2429"/>
      <c r="L183" s="2429"/>
      <c r="M183" s="2429"/>
      <c r="N183" s="2429"/>
      <c r="T183" s="2428">
        <v>4</v>
      </c>
      <c r="U183" s="2428" t="s">
        <v>11241</v>
      </c>
      <c r="V183" s="2428">
        <v>4</v>
      </c>
      <c r="W183" s="2428" t="s">
        <v>11240</v>
      </c>
    </row>
    <row r="184" spans="5:23" ht="16.5">
      <c r="E184" s="2429"/>
      <c r="F184" s="2429"/>
      <c r="G184" s="2429"/>
      <c r="H184" s="2429"/>
      <c r="I184" s="2429"/>
      <c r="J184" s="2429"/>
      <c r="K184" s="2429"/>
      <c r="L184" s="2429"/>
      <c r="M184" s="2429"/>
      <c r="N184" s="2429"/>
      <c r="T184" s="2428">
        <v>5</v>
      </c>
      <c r="U184" s="2428" t="s">
        <v>11239</v>
      </c>
      <c r="V184" s="2428">
        <v>5</v>
      </c>
      <c r="W184" s="2428" t="s">
        <v>11238</v>
      </c>
    </row>
    <row r="185" spans="5:23" ht="16.5">
      <c r="E185" s="2429"/>
      <c r="F185" s="2429"/>
      <c r="G185" s="2429"/>
      <c r="H185" s="2429"/>
      <c r="I185" s="2429"/>
      <c r="J185" s="2429"/>
      <c r="K185" s="2429"/>
      <c r="L185" s="2429"/>
      <c r="M185" s="2429"/>
      <c r="N185" s="2429"/>
      <c r="T185" s="2428">
        <v>6</v>
      </c>
      <c r="U185" s="2428" t="s">
        <v>11237</v>
      </c>
      <c r="V185" s="2428">
        <v>6</v>
      </c>
      <c r="W185" s="2428" t="s">
        <v>11236</v>
      </c>
    </row>
    <row r="186" spans="5:23" ht="16.5">
      <c r="E186" s="2429"/>
      <c r="F186" s="2429"/>
      <c r="G186" s="2429"/>
      <c r="H186" s="2429"/>
      <c r="I186" s="2429"/>
      <c r="J186" s="2429"/>
      <c r="K186" s="2429"/>
      <c r="L186" s="2429"/>
      <c r="M186" s="2429"/>
      <c r="N186" s="2429"/>
      <c r="T186" s="2428">
        <v>7</v>
      </c>
      <c r="U186" s="2428" t="s">
        <v>11235</v>
      </c>
      <c r="V186" s="2428">
        <v>7</v>
      </c>
      <c r="W186" s="2428" t="s">
        <v>11234</v>
      </c>
    </row>
    <row r="187" spans="5:23" ht="16.5">
      <c r="E187" s="2429"/>
      <c r="F187" s="2429"/>
      <c r="G187" s="2429"/>
      <c r="H187" s="2429"/>
      <c r="I187" s="2429"/>
      <c r="J187" s="2429"/>
      <c r="K187" s="2429"/>
      <c r="L187" s="2429"/>
      <c r="M187" s="2429"/>
      <c r="N187" s="2429"/>
      <c r="T187" s="2428">
        <v>8</v>
      </c>
      <c r="U187" s="2428" t="s">
        <v>11233</v>
      </c>
      <c r="V187" s="2428">
        <v>8</v>
      </c>
      <c r="W187" s="2428" t="s">
        <v>11232</v>
      </c>
    </row>
    <row r="188" spans="5:23" ht="16.5">
      <c r="E188" s="2429"/>
      <c r="F188" s="2429"/>
      <c r="G188" s="2429"/>
      <c r="H188" s="2429"/>
      <c r="I188" s="2429"/>
      <c r="J188" s="2429"/>
      <c r="K188" s="2429"/>
      <c r="L188" s="2429"/>
      <c r="M188" s="2429"/>
      <c r="N188" s="2429"/>
      <c r="T188" s="2428">
        <v>9</v>
      </c>
      <c r="U188" s="2428" t="s">
        <v>11231</v>
      </c>
      <c r="V188" s="2428">
        <v>9</v>
      </c>
      <c r="W188" s="2428" t="s">
        <v>11230</v>
      </c>
    </row>
    <row r="189" spans="5:23" ht="16.5">
      <c r="E189" s="2429"/>
      <c r="F189" s="2429"/>
      <c r="G189" s="2429"/>
      <c r="H189" s="2429"/>
      <c r="I189" s="2429"/>
      <c r="J189" s="2429"/>
      <c r="K189" s="2429"/>
      <c r="L189" s="2429"/>
      <c r="M189" s="2429"/>
      <c r="N189" s="2429"/>
      <c r="T189" s="2428">
        <v>10</v>
      </c>
      <c r="U189" s="2428" t="s">
        <v>11229</v>
      </c>
      <c r="V189" s="2428">
        <v>10</v>
      </c>
      <c r="W189" s="2428" t="s">
        <v>11228</v>
      </c>
    </row>
    <row r="190" spans="5:23" ht="16.5">
      <c r="E190" s="2429"/>
      <c r="F190" s="2429"/>
      <c r="G190" s="2429"/>
      <c r="H190" s="2429"/>
      <c r="I190" s="2429"/>
      <c r="J190" s="2429"/>
      <c r="K190" s="2429"/>
      <c r="L190" s="2429"/>
      <c r="M190" s="2429"/>
      <c r="N190" s="2429"/>
      <c r="T190" s="2428" t="s">
        <v>11227</v>
      </c>
      <c r="U190" s="2428" t="s">
        <v>11226</v>
      </c>
    </row>
    <row r="192" spans="5:23">
      <c r="T192" s="2428" t="s">
        <v>6626</v>
      </c>
      <c r="U192" s="2428" t="s">
        <v>11184</v>
      </c>
      <c r="V192" s="2428" t="s">
        <v>6626</v>
      </c>
      <c r="W192" s="2428" t="s">
        <v>11183</v>
      </c>
    </row>
    <row r="193" spans="20:23">
      <c r="T193" s="2428">
        <v>1</v>
      </c>
      <c r="U193" s="2428" t="s">
        <v>11225</v>
      </c>
      <c r="V193" s="2428">
        <v>1</v>
      </c>
      <c r="W193" s="2428" t="s">
        <v>11224</v>
      </c>
    </row>
    <row r="194" spans="20:23">
      <c r="T194" s="2428">
        <v>2</v>
      </c>
      <c r="U194" s="2428" t="s">
        <v>11223</v>
      </c>
      <c r="V194" s="2428">
        <v>2</v>
      </c>
      <c r="W194" s="2428" t="s">
        <v>11222</v>
      </c>
    </row>
    <row r="195" spans="20:23">
      <c r="T195" s="2428">
        <v>3</v>
      </c>
      <c r="U195" s="2428" t="s">
        <v>11221</v>
      </c>
      <c r="V195" s="2428">
        <v>3</v>
      </c>
      <c r="W195" s="2428" t="s">
        <v>11220</v>
      </c>
    </row>
    <row r="196" spans="20:23">
      <c r="T196" s="2428">
        <v>4</v>
      </c>
      <c r="U196" s="2428" t="s">
        <v>11219</v>
      </c>
      <c r="V196" s="2428">
        <v>4</v>
      </c>
      <c r="W196" s="2428" t="s">
        <v>11218</v>
      </c>
    </row>
    <row r="197" spans="20:23">
      <c r="T197" s="2428">
        <v>5</v>
      </c>
      <c r="U197" s="2428" t="s">
        <v>11217</v>
      </c>
      <c r="V197" s="2428">
        <v>5</v>
      </c>
      <c r="W197" s="2428" t="s">
        <v>11216</v>
      </c>
    </row>
    <row r="198" spans="20:23">
      <c r="T198" s="2428">
        <v>6</v>
      </c>
      <c r="U198" s="2428" t="s">
        <v>11215</v>
      </c>
      <c r="V198" s="2428">
        <v>6</v>
      </c>
      <c r="W198" s="2428" t="s">
        <v>11214</v>
      </c>
    </row>
    <row r="199" spans="20:23">
      <c r="T199" s="2428">
        <v>7</v>
      </c>
      <c r="U199" s="2428" t="s">
        <v>11213</v>
      </c>
      <c r="V199" s="2428">
        <v>7</v>
      </c>
      <c r="W199" s="2428" t="s">
        <v>11212</v>
      </c>
    </row>
    <row r="200" spans="20:23">
      <c r="T200" s="2428">
        <v>8</v>
      </c>
      <c r="U200" s="2428" t="s">
        <v>11211</v>
      </c>
      <c r="V200" s="2428">
        <v>8</v>
      </c>
      <c r="W200" s="2428" t="s">
        <v>11210</v>
      </c>
    </row>
    <row r="201" spans="20:23">
      <c r="T201" s="2428">
        <v>9</v>
      </c>
      <c r="U201" s="2428" t="s">
        <v>11209</v>
      </c>
      <c r="V201" s="2428">
        <v>9</v>
      </c>
      <c r="W201" s="2428" t="s">
        <v>11208</v>
      </c>
    </row>
    <row r="202" spans="20:23">
      <c r="T202" s="2428">
        <v>10</v>
      </c>
      <c r="U202" s="2428" t="s">
        <v>11207</v>
      </c>
      <c r="V202" s="2428">
        <v>10</v>
      </c>
      <c r="W202" s="2428" t="s">
        <v>11206</v>
      </c>
    </row>
    <row r="205" spans="20:23">
      <c r="T205" s="2428" t="s">
        <v>11205</v>
      </c>
    </row>
    <row r="206" spans="20:23">
      <c r="T206" s="2428" t="s">
        <v>6626</v>
      </c>
      <c r="U206" s="2428" t="s">
        <v>11184</v>
      </c>
      <c r="V206" s="2428" t="s">
        <v>6626</v>
      </c>
      <c r="W206" s="2428" t="s">
        <v>11183</v>
      </c>
    </row>
    <row r="207" spans="20:23">
      <c r="T207" s="2428">
        <v>1</v>
      </c>
      <c r="U207" s="2428" t="s">
        <v>11204</v>
      </c>
      <c r="V207" s="2428">
        <v>1</v>
      </c>
      <c r="W207" s="2428" t="s">
        <v>11203</v>
      </c>
    </row>
    <row r="208" spans="20:23">
      <c r="T208" s="2428">
        <v>2</v>
      </c>
      <c r="U208" s="2428" t="s">
        <v>11202</v>
      </c>
      <c r="V208" s="2428">
        <v>2</v>
      </c>
      <c r="W208" s="2428" t="s">
        <v>11201</v>
      </c>
    </row>
    <row r="209" spans="20:23">
      <c r="T209" s="2428">
        <v>3</v>
      </c>
      <c r="U209" s="2428" t="s">
        <v>11200</v>
      </c>
      <c r="V209" s="2428">
        <v>3</v>
      </c>
      <c r="W209" s="2428" t="s">
        <v>11199</v>
      </c>
    </row>
    <row r="210" spans="20:23">
      <c r="T210" s="2428">
        <v>4</v>
      </c>
      <c r="U210" s="2428" t="s">
        <v>11198</v>
      </c>
      <c r="V210" s="2428">
        <v>4</v>
      </c>
      <c r="W210" s="2428" t="s">
        <v>11197</v>
      </c>
    </row>
    <row r="211" spans="20:23">
      <c r="T211" s="2428">
        <v>5</v>
      </c>
      <c r="U211" s="2428" t="s">
        <v>11196</v>
      </c>
      <c r="V211" s="2428">
        <v>5</v>
      </c>
      <c r="W211" s="2428" t="s">
        <v>11195</v>
      </c>
    </row>
    <row r="212" spans="20:23">
      <c r="T212" s="2428">
        <v>6</v>
      </c>
      <c r="U212" s="2428" t="s">
        <v>11194</v>
      </c>
      <c r="V212" s="2428">
        <v>6</v>
      </c>
      <c r="W212" s="2428" t="s">
        <v>11193</v>
      </c>
    </row>
    <row r="213" spans="20:23">
      <c r="T213" s="2428">
        <v>7</v>
      </c>
      <c r="U213" s="2428" t="s">
        <v>11192</v>
      </c>
      <c r="V213" s="2428">
        <v>7</v>
      </c>
      <c r="W213" s="2428" t="s">
        <v>11191</v>
      </c>
    </row>
    <row r="214" spans="20:23">
      <c r="T214" s="2428">
        <v>8</v>
      </c>
      <c r="U214" s="2428" t="s">
        <v>11190</v>
      </c>
      <c r="V214" s="2428">
        <v>8</v>
      </c>
      <c r="W214" s="2428" t="s">
        <v>11189</v>
      </c>
    </row>
    <row r="215" spans="20:23">
      <c r="T215" s="2428">
        <v>9</v>
      </c>
      <c r="U215" s="2428" t="s">
        <v>11188</v>
      </c>
      <c r="V215" s="2428">
        <v>9</v>
      </c>
      <c r="W215" s="2428" t="s">
        <v>11187</v>
      </c>
    </row>
    <row r="216" spans="20:23">
      <c r="T216" s="2428">
        <v>10</v>
      </c>
      <c r="U216" s="2428" t="s">
        <v>11186</v>
      </c>
      <c r="V216" s="2428">
        <v>10</v>
      </c>
      <c r="W216" s="2428" t="s">
        <v>11185</v>
      </c>
    </row>
    <row r="218" spans="20:23">
      <c r="T218" s="2428" t="s">
        <v>10162</v>
      </c>
    </row>
    <row r="219" spans="20:23">
      <c r="T219" s="2428" t="s">
        <v>6626</v>
      </c>
      <c r="U219" s="2428" t="s">
        <v>11184</v>
      </c>
      <c r="V219" s="2428" t="s">
        <v>6626</v>
      </c>
      <c r="W219" s="2428" t="s">
        <v>11183</v>
      </c>
    </row>
    <row r="220" spans="20:23">
      <c r="T220" s="2428">
        <v>1</v>
      </c>
      <c r="U220" s="2428" t="s">
        <v>11182</v>
      </c>
      <c r="V220" s="2428">
        <v>1</v>
      </c>
      <c r="W220" s="2428" t="s">
        <v>11181</v>
      </c>
    </row>
    <row r="221" spans="20:23">
      <c r="T221" s="2428">
        <v>2</v>
      </c>
      <c r="U221" s="2428" t="s">
        <v>11180</v>
      </c>
      <c r="V221" s="2428">
        <v>2</v>
      </c>
      <c r="W221" s="2428" t="s">
        <v>11179</v>
      </c>
    </row>
    <row r="222" spans="20:23">
      <c r="T222" s="2428">
        <v>3</v>
      </c>
      <c r="U222" s="2428" t="s">
        <v>11178</v>
      </c>
      <c r="V222" s="2428">
        <v>3</v>
      </c>
      <c r="W222" s="2428" t="s">
        <v>11177</v>
      </c>
    </row>
    <row r="223" spans="20:23">
      <c r="T223" s="2428">
        <v>4</v>
      </c>
      <c r="U223" s="2428" t="s">
        <v>11176</v>
      </c>
      <c r="V223" s="2428">
        <v>4</v>
      </c>
      <c r="W223" s="2428" t="s">
        <v>11175</v>
      </c>
    </row>
    <row r="224" spans="20:23">
      <c r="T224" s="2428">
        <v>5</v>
      </c>
      <c r="U224" s="2428" t="s">
        <v>11174</v>
      </c>
      <c r="V224" s="2428">
        <v>5</v>
      </c>
      <c r="W224" s="2428" t="s">
        <v>11173</v>
      </c>
    </row>
    <row r="225" spans="20:23">
      <c r="T225" s="2428">
        <v>6</v>
      </c>
      <c r="U225" s="2428" t="s">
        <v>11172</v>
      </c>
      <c r="V225" s="2428">
        <v>6</v>
      </c>
      <c r="W225" s="2428" t="s">
        <v>11171</v>
      </c>
    </row>
    <row r="226" spans="20:23">
      <c r="T226" s="2428">
        <v>7</v>
      </c>
      <c r="U226" s="2428" t="s">
        <v>11170</v>
      </c>
      <c r="V226" s="2428">
        <v>7</v>
      </c>
      <c r="W226" s="2428" t="s">
        <v>11169</v>
      </c>
    </row>
    <row r="227" spans="20:23">
      <c r="T227" s="2428">
        <v>8</v>
      </c>
      <c r="U227" s="2428" t="s">
        <v>11168</v>
      </c>
      <c r="V227" s="2428">
        <v>8</v>
      </c>
      <c r="W227" s="2428" t="s">
        <v>11167</v>
      </c>
    </row>
    <row r="228" spans="20:23">
      <c r="T228" s="2428">
        <v>9</v>
      </c>
      <c r="U228" s="2428" t="s">
        <v>11166</v>
      </c>
      <c r="V228" s="2428">
        <v>9</v>
      </c>
      <c r="W228" s="2428" t="s">
        <v>11165</v>
      </c>
    </row>
    <row r="229" spans="20:23">
      <c r="T229" s="2428">
        <v>10</v>
      </c>
      <c r="U229" s="2428" t="s">
        <v>11164</v>
      </c>
      <c r="V229" s="2428">
        <v>10</v>
      </c>
      <c r="W229" s="2428" t="s">
        <v>11163</v>
      </c>
    </row>
  </sheetData>
  <mergeCells count="1">
    <mergeCell ref="B2:F2"/>
  </mergeCells>
  <hyperlinks>
    <hyperlink ref="W5" r:id="rId1" display="http://cauldronsandclerics.blogspot.com/search/label/D%26D5E" xr:uid="{EE8BA6E8-C6C1-4144-AA26-E8997886D260}"/>
    <hyperlink ref="F146" r:id="rId2" location="_ftn1" display="EBERR/on-downtime-and-demesnes-5th-edition-2019.docx - _ftn1" xr:uid="{2515F4D1-3D7C-4917-BF98-265DFE53078F}"/>
    <hyperlink ref="I142" r:id="rId3" location="_ftn2" display="EBERR/on-downtime-and-demesnes-5th-edition-2019.docx - _ftn2" xr:uid="{8B91F31A-55D3-4E65-B333-26B533BA517C}"/>
  </hyperlinks>
  <pageMargins left="0.7" right="0.7" top="0.75" bottom="0.75" header="0.3" footer="0.3"/>
  <tableParts count="38">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9085C-76A6-4E5A-ABFC-AAE537E4F923}">
  <sheetPr codeName="Аркуш2">
    <outlinePr summaryBelow="0" summaryRight="0"/>
    <pageSetUpPr fitToPage="1"/>
  </sheetPr>
  <dimension ref="A1:DA951"/>
  <sheetViews>
    <sheetView showGridLines="0" tabSelected="1" topLeftCell="I16" workbookViewId="0">
      <selection activeCell="T5" sqref="T5:U5"/>
    </sheetView>
  </sheetViews>
  <sheetFormatPr defaultColWidth="0" defaultRowHeight="15.75" customHeight="1"/>
  <cols>
    <col min="1" max="34" width="2.88671875" style="151" customWidth="1"/>
    <col min="35" max="105" width="2.88671875" style="151" hidden="1" customWidth="1"/>
    <col min="106" max="16384" width="11.21875" style="151" hidden="1"/>
  </cols>
  <sheetData>
    <row r="1" spans="1:105" ht="18.75" customHeight="1" thickBot="1">
      <c r="A1" s="2372"/>
      <c r="B1" s="2372"/>
      <c r="C1" s="2388"/>
      <c r="D1" s="2388"/>
      <c r="E1" s="2388"/>
      <c r="F1" s="2388"/>
      <c r="G1" s="2388"/>
      <c r="H1" s="2388"/>
      <c r="P1" s="2388"/>
      <c r="Q1" s="2388"/>
      <c r="R1" s="2388"/>
      <c r="S1" s="2388"/>
      <c r="T1" s="2388"/>
      <c r="V1" s="2388"/>
      <c r="W1" s="2388"/>
      <c r="Y1" s="2372"/>
      <c r="Z1" s="2372"/>
      <c r="AA1" s="2372"/>
      <c r="AB1" s="2372"/>
      <c r="AC1" s="2372"/>
      <c r="AD1" s="2372"/>
      <c r="AE1" s="2372"/>
      <c r="AF1" s="2372"/>
      <c r="AG1" s="2372"/>
      <c r="AH1" s="2372"/>
      <c r="AI1" s="2372"/>
      <c r="AJ1" s="2372"/>
      <c r="AK1" s="2372"/>
      <c r="AL1" s="2372"/>
      <c r="AM1" s="2372"/>
      <c r="AN1" s="2372"/>
      <c r="AO1" s="2372"/>
      <c r="AP1" s="2372"/>
      <c r="AQ1" s="2372"/>
      <c r="AR1" s="2372"/>
      <c r="AS1" s="2372"/>
      <c r="AT1" s="2372"/>
      <c r="AU1" s="2372"/>
      <c r="AV1" s="2372"/>
      <c r="AW1" s="2372"/>
      <c r="AX1" s="2372"/>
      <c r="AY1" s="2372"/>
      <c r="AZ1" s="2372"/>
      <c r="BA1" s="2372"/>
      <c r="BB1" s="2372"/>
      <c r="BC1" s="2372"/>
      <c r="BD1" s="2372"/>
      <c r="BE1" s="2372"/>
      <c r="BF1" s="2372"/>
      <c r="BG1" s="2372"/>
      <c r="BH1" s="2372"/>
      <c r="BI1" s="2372"/>
      <c r="BJ1" s="2372"/>
      <c r="BK1" s="2372"/>
      <c r="BL1" s="2372"/>
      <c r="BM1" s="2372"/>
      <c r="BN1" s="2372"/>
      <c r="BO1" s="2372"/>
      <c r="BP1" s="2372"/>
      <c r="BQ1" s="2372"/>
      <c r="BR1" s="2372"/>
      <c r="BS1" s="2372"/>
      <c r="BT1" s="2372"/>
      <c r="BU1" s="2372"/>
      <c r="BV1" s="2372"/>
      <c r="BW1" s="2372"/>
      <c r="BX1" s="2372"/>
      <c r="BY1" s="2372"/>
      <c r="BZ1" s="2372"/>
      <c r="CA1" s="2372"/>
      <c r="CB1" s="2372"/>
      <c r="CC1" s="2372"/>
      <c r="CD1" s="2372"/>
      <c r="CE1" s="2372"/>
      <c r="CF1" s="2372"/>
      <c r="CG1" s="2372"/>
      <c r="CH1" s="2372"/>
      <c r="CI1" s="2372"/>
      <c r="CJ1" s="2372"/>
      <c r="CK1" s="2372"/>
      <c r="CL1" s="2372"/>
      <c r="CM1" s="2372"/>
      <c r="CN1" s="2372"/>
      <c r="CO1" s="2372"/>
      <c r="CP1" s="2372"/>
      <c r="CQ1" s="2372"/>
      <c r="CR1" s="2372"/>
      <c r="CS1" s="2372"/>
      <c r="CT1" s="2372"/>
      <c r="CU1" s="2372"/>
      <c r="CV1" s="2372"/>
      <c r="CW1" s="2372"/>
      <c r="CX1" s="2372"/>
      <c r="CY1" s="2372"/>
      <c r="CZ1" s="2372"/>
      <c r="DA1" s="2372"/>
    </row>
    <row r="2" spans="1:105" ht="18.75" customHeight="1" thickTop="1" thickBot="1">
      <c r="A2" s="2372"/>
      <c r="B2" s="2387"/>
      <c r="C2" s="2742" t="s">
        <v>10494</v>
      </c>
      <c r="D2" s="2743"/>
      <c r="E2" s="2743"/>
      <c r="F2" s="2743"/>
      <c r="G2" s="2743"/>
      <c r="H2" s="2744"/>
      <c r="I2" s="2385"/>
      <c r="J2" s="2385"/>
      <c r="K2" s="2385"/>
      <c r="L2" s="2385"/>
      <c r="M2" s="2385"/>
      <c r="N2" s="2698" t="s">
        <v>10469</v>
      </c>
      <c r="O2" s="2699"/>
      <c r="P2" s="2699"/>
      <c r="Q2" s="2699"/>
      <c r="R2" s="2700"/>
      <c r="S2" s="2385"/>
      <c r="T2" s="2385"/>
      <c r="U2" s="2385"/>
      <c r="V2" s="2386"/>
      <c r="W2" s="2386"/>
      <c r="X2" s="2385"/>
      <c r="Y2" s="2384"/>
      <c r="Z2" s="2420"/>
      <c r="AA2" s="2704"/>
      <c r="AB2" s="2705"/>
      <c r="AC2" s="2705"/>
      <c r="AD2" s="2705"/>
      <c r="AE2" s="2705"/>
      <c r="AF2" s="2419"/>
      <c r="AG2" s="2383"/>
      <c r="AH2" s="2372"/>
      <c r="AI2" s="2372"/>
      <c r="AJ2" s="2372"/>
      <c r="AK2" s="2372"/>
      <c r="AL2" s="2372"/>
      <c r="AM2" s="2372"/>
      <c r="AN2" s="2372"/>
      <c r="AO2" s="2372"/>
      <c r="AP2" s="2372"/>
      <c r="AQ2" s="2372"/>
      <c r="AR2" s="2372"/>
      <c r="AS2" s="2372"/>
      <c r="AT2" s="2372"/>
      <c r="AU2" s="2372"/>
      <c r="AV2" s="2372"/>
      <c r="AW2" s="2372"/>
      <c r="AX2" s="2372"/>
      <c r="AY2" s="2372"/>
      <c r="AZ2" s="2372"/>
      <c r="BA2" s="2372"/>
      <c r="BB2" s="2372"/>
      <c r="BC2" s="2372"/>
      <c r="BD2" s="2372"/>
      <c r="BE2" s="2372"/>
      <c r="BF2" s="2372"/>
      <c r="BG2" s="2372"/>
      <c r="BH2" s="2372"/>
      <c r="BI2" s="2372"/>
      <c r="BJ2" s="2372"/>
      <c r="BK2" s="2372"/>
      <c r="BL2" s="2372"/>
      <c r="BM2" s="2372"/>
      <c r="BN2" s="2372"/>
      <c r="BO2" s="2372"/>
      <c r="BP2" s="2372"/>
      <c r="BQ2" s="2372"/>
      <c r="BR2" s="2372"/>
      <c r="BS2" s="2372"/>
      <c r="BT2" s="2372"/>
      <c r="BU2" s="2372"/>
      <c r="BV2" s="2372"/>
      <c r="BW2" s="2372"/>
      <c r="BX2" s="2372"/>
      <c r="BY2" s="2372"/>
      <c r="BZ2" s="2372"/>
      <c r="CA2" s="2372"/>
      <c r="CB2" s="2372"/>
      <c r="CC2" s="2372"/>
      <c r="CD2" s="2372"/>
      <c r="CE2" s="2372"/>
      <c r="CF2" s="2372"/>
      <c r="CG2" s="2372"/>
      <c r="CH2" s="2372"/>
      <c r="CI2" s="2372"/>
      <c r="CJ2" s="2372"/>
      <c r="CK2" s="2372"/>
      <c r="CL2" s="2372"/>
      <c r="CM2" s="2372"/>
      <c r="CN2" s="2372"/>
      <c r="CO2" s="2372"/>
      <c r="CP2" s="2372"/>
      <c r="CQ2" s="2372"/>
      <c r="CR2" s="2372"/>
      <c r="CS2" s="2372"/>
      <c r="CT2" s="2372"/>
      <c r="CU2" s="2372"/>
      <c r="CV2" s="2372"/>
      <c r="CW2" s="2372"/>
      <c r="CX2" s="2372"/>
      <c r="CY2" s="2372"/>
      <c r="CZ2" s="2372"/>
      <c r="DA2" s="2372"/>
    </row>
    <row r="3" spans="1:105" ht="18.75" customHeight="1" thickTop="1" thickBot="1">
      <c r="A3" s="2372"/>
      <c r="B3" s="2377"/>
      <c r="C3" s="2745"/>
      <c r="D3" s="2746"/>
      <c r="E3" s="2746"/>
      <c r="F3" s="2746"/>
      <c r="G3" s="2746"/>
      <c r="H3" s="2747"/>
      <c r="I3" s="2710" t="s">
        <v>10457</v>
      </c>
      <c r="J3" s="2688"/>
      <c r="K3" s="2710" t="s">
        <v>10456</v>
      </c>
      <c r="L3" s="2688"/>
      <c r="M3" s="2382"/>
      <c r="N3" s="2701"/>
      <c r="O3" s="2702"/>
      <c r="P3" s="2702"/>
      <c r="Q3" s="2702"/>
      <c r="R3" s="2703"/>
      <c r="S3" s="2382"/>
      <c r="T3" s="2693" t="s">
        <v>10481</v>
      </c>
      <c r="U3" s="2688"/>
      <c r="V3" s="2693" t="s">
        <v>10400</v>
      </c>
      <c r="W3" s="2688"/>
      <c r="X3" s="2693" t="s">
        <v>10398</v>
      </c>
      <c r="Y3" s="2688"/>
      <c r="Z3" s="2693" t="s">
        <v>10480</v>
      </c>
      <c r="AA3" s="2688"/>
      <c r="AB3" s="2693" t="s">
        <v>10479</v>
      </c>
      <c r="AC3" s="2690"/>
      <c r="AD3" s="2688"/>
      <c r="AE3" s="2417" t="s">
        <v>10478</v>
      </c>
      <c r="AF3" s="2417" t="s">
        <v>10477</v>
      </c>
      <c r="AG3" s="2381"/>
      <c r="AH3" s="2372"/>
      <c r="AI3" s="2372"/>
      <c r="AJ3" s="2372"/>
      <c r="AK3" s="2372"/>
      <c r="AL3" s="2372"/>
      <c r="AM3" s="2372"/>
      <c r="AN3" s="2372"/>
      <c r="AO3" s="2372"/>
      <c r="AP3" s="2372"/>
      <c r="AQ3" s="2372"/>
      <c r="AR3" s="2372"/>
      <c r="AS3" s="2372"/>
      <c r="AT3" s="2372"/>
      <c r="AU3" s="2372"/>
      <c r="AV3" s="2372"/>
      <c r="AW3" s="2372"/>
      <c r="AX3" s="2372"/>
      <c r="AY3" s="2372"/>
      <c r="AZ3" s="2372"/>
      <c r="BA3" s="2372"/>
      <c r="BB3" s="2372"/>
      <c r="BC3" s="2372"/>
      <c r="BD3" s="2372"/>
      <c r="BE3" s="2372"/>
      <c r="BF3" s="2372"/>
      <c r="BG3" s="2372"/>
      <c r="BH3" s="2372"/>
      <c r="BI3" s="2372"/>
      <c r="BJ3" s="2372"/>
      <c r="BK3" s="2372"/>
      <c r="BL3" s="2372"/>
      <c r="BM3" s="2372"/>
      <c r="BN3" s="2372"/>
      <c r="BO3" s="2372"/>
      <c r="BP3" s="2372"/>
      <c r="BQ3" s="2372"/>
      <c r="BR3" s="2372"/>
      <c r="BS3" s="2372"/>
      <c r="BT3" s="2372"/>
      <c r="BU3" s="2372"/>
      <c r="BV3" s="2372"/>
      <c r="BW3" s="2372"/>
      <c r="BX3" s="2372"/>
      <c r="BY3" s="2372"/>
      <c r="BZ3" s="2372"/>
      <c r="CA3" s="2372"/>
      <c r="CB3" s="2372"/>
      <c r="CC3" s="2372"/>
      <c r="CD3" s="2372"/>
      <c r="CE3" s="2372"/>
      <c r="CF3" s="2372"/>
      <c r="CG3" s="2372"/>
      <c r="CH3" s="2372"/>
      <c r="CI3" s="2372"/>
      <c r="CJ3" s="2372"/>
      <c r="CK3" s="2372"/>
      <c r="CL3" s="2372"/>
      <c r="CM3" s="2372"/>
      <c r="CN3" s="2372"/>
      <c r="CO3" s="2372"/>
      <c r="CP3" s="2372"/>
      <c r="CQ3" s="2372"/>
      <c r="CR3" s="2372"/>
      <c r="CS3" s="2372"/>
      <c r="CT3" s="2372"/>
      <c r="CU3" s="2372"/>
      <c r="CV3" s="2372"/>
      <c r="CW3" s="2372"/>
      <c r="CX3" s="2372"/>
      <c r="CY3" s="2372"/>
      <c r="CZ3" s="2372"/>
      <c r="DA3" s="2372"/>
    </row>
    <row r="4" spans="1:105" ht="18.75" customHeight="1" thickTop="1" thickBot="1">
      <c r="A4" s="2372"/>
      <c r="B4" s="2377"/>
      <c r="C4" s="2719" t="s">
        <v>10475</v>
      </c>
      <c r="D4" s="2690"/>
      <c r="E4" s="2690"/>
      <c r="F4" s="2690"/>
      <c r="G4" s="2690"/>
      <c r="H4" s="2688"/>
      <c r="I4" s="2731">
        <f>IF(EncumbranceCheckbox = TRUE, IFERROR( VLOOKUP( CharSize,SizeTable,2,TRUE ) * CharStr * 5, 0), "—")</f>
        <v>0</v>
      </c>
      <c r="J4" s="2688"/>
      <c r="K4" s="2731">
        <f>IF(EncumbranceCheckbox = TRUE, IFERROR(VLOOKUP(MountSize,SizeTable,2,TRUE) * MountStr * 5, 0), "—")</f>
        <v>0</v>
      </c>
      <c r="L4" s="2688"/>
      <c r="M4" s="2382"/>
      <c r="N4" s="2717" t="str">
        <f ca="1">IFERROR( IF( EQ(CONFIG000!AO4/Z4, 0), "empty", IF( CONFIG000!AO4/Z4=1,"full", IF( CONFIG000!AO4/Z4&gt;1, "bursting", CONFIG000!AO4/Z4 )  ) ), "empty" )</f>
        <v>empty</v>
      </c>
      <c r="O4" s="2688"/>
      <c r="P4" s="2689"/>
      <c r="Q4" s="2690"/>
      <c r="R4" s="2690"/>
      <c r="S4" s="2688"/>
      <c r="T4" s="2689"/>
      <c r="U4" s="2688"/>
      <c r="V4" s="2691" t="str">
        <f t="array" ref="V4:V13">IFERROR( VLOOKUP( ContainerType, ContainerOptionTable, 2, FALSE ),"" )</f>
        <v/>
      </c>
      <c r="W4" s="2688"/>
      <c r="X4" s="2689" t="str">
        <f t="array" ref="X4:X13">IFERROR( VLOOKUP( ContainerType, ContainerOptionTable, 3, FALSE ),"" )</f>
        <v/>
      </c>
      <c r="Y4" s="2688"/>
      <c r="Z4" s="2687" t="str">
        <f t="array" ref="Z4:Z13">IFERROR( VLOOKUP( ContainerType, ContainerOptionTable, 4, FALSE ),"" )</f>
        <v/>
      </c>
      <c r="AA4" s="2688"/>
      <c r="AB4" s="2689"/>
      <c r="AC4" s="2690"/>
      <c r="AD4" s="2688"/>
      <c r="AE4" s="2405" t="str">
        <f t="array" ref="AE4:AE13">IFERROR( VLOOKUP( ContainerType, ContainerOptionTable, 5, FALSE ),"" )</f>
        <v/>
      </c>
      <c r="AF4" s="2405" t="str">
        <f t="array" ref="AF4:AF13">IFERROR( VLOOKUP( ContainerType, ContainerOptionTable, 6, FALSE ),"" )</f>
        <v/>
      </c>
      <c r="AG4" s="2376"/>
      <c r="AH4" s="2404"/>
      <c r="AI4" s="2372"/>
      <c r="AJ4" s="2372"/>
      <c r="AK4" s="2372"/>
      <c r="AL4" s="2372"/>
      <c r="AM4" s="2372"/>
      <c r="AN4" s="2372"/>
      <c r="AO4" s="2372"/>
      <c r="AP4" s="2372"/>
      <c r="AQ4" s="2372"/>
      <c r="AR4" s="2372"/>
      <c r="AS4" s="2372"/>
      <c r="AT4" s="2372"/>
      <c r="AU4" s="2372"/>
      <c r="AV4" s="2372"/>
      <c r="AW4" s="2372"/>
      <c r="AX4" s="2372"/>
      <c r="AY4" s="2372"/>
      <c r="AZ4" s="2372"/>
      <c r="BA4" s="2372"/>
      <c r="BB4" s="2372"/>
      <c r="BC4" s="2372"/>
      <c r="BD4" s="2372"/>
      <c r="BE4" s="2372"/>
      <c r="BF4" s="2372"/>
      <c r="BG4" s="2372"/>
      <c r="BH4" s="2372"/>
      <c r="BI4" s="2372"/>
      <c r="BJ4" s="2372"/>
      <c r="BK4" s="2372"/>
      <c r="BL4" s="2372"/>
      <c r="BM4" s="2372"/>
      <c r="BN4" s="2372"/>
      <c r="BO4" s="2372"/>
      <c r="BP4" s="2372"/>
      <c r="BQ4" s="2372"/>
      <c r="BR4" s="2372"/>
      <c r="BS4" s="2372"/>
      <c r="BT4" s="2372"/>
      <c r="BU4" s="2372"/>
      <c r="BV4" s="2372"/>
      <c r="BW4" s="2372"/>
      <c r="BX4" s="2372"/>
      <c r="BY4" s="2372"/>
      <c r="BZ4" s="2372"/>
      <c r="CA4" s="2372"/>
      <c r="CB4" s="2372"/>
      <c r="CC4" s="2372"/>
      <c r="CD4" s="2372"/>
      <c r="CE4" s="2372"/>
      <c r="CF4" s="2372"/>
      <c r="CG4" s="2372"/>
      <c r="CH4" s="2372"/>
      <c r="CI4" s="2372"/>
      <c r="CJ4" s="2372"/>
      <c r="CK4" s="2372"/>
      <c r="CL4" s="2372"/>
      <c r="CM4" s="2372"/>
      <c r="CN4" s="2372"/>
      <c r="CO4" s="2372"/>
      <c r="CP4" s="2372"/>
      <c r="CQ4" s="2372"/>
      <c r="CR4" s="2372"/>
      <c r="CS4" s="2372"/>
      <c r="CT4" s="2372"/>
      <c r="CU4" s="2372"/>
      <c r="CV4" s="2372"/>
      <c r="CW4" s="2372"/>
      <c r="CX4" s="2372"/>
      <c r="CY4" s="2372"/>
      <c r="CZ4" s="2372"/>
      <c r="DA4" s="2372"/>
    </row>
    <row r="5" spans="1:105" ht="18.75" customHeight="1" thickTop="1" thickBot="1">
      <c r="A5" s="2372"/>
      <c r="B5" s="2377"/>
      <c r="C5" s="2719" t="s">
        <v>10473</v>
      </c>
      <c r="D5" s="2690"/>
      <c r="E5" s="2690"/>
      <c r="F5" s="2690"/>
      <c r="G5" s="2690"/>
      <c r="H5" s="2688"/>
      <c r="I5" s="2731">
        <f>IF(EncumbranceCheckbox = TRUE, IFERROR(VLOOKUP(CharSize,SizeTable,2,TRUE) * CharStr * 10, 0), "—")</f>
        <v>0</v>
      </c>
      <c r="J5" s="2688"/>
      <c r="K5" s="2731">
        <f>IF(EncumbranceCheckbox = TRUE, IFERROR(VLOOKUP(MountSize,SizeTable,2,TRUE) * MountStr * 10, 0), "—")</f>
        <v>0</v>
      </c>
      <c r="L5" s="2688"/>
      <c r="M5" s="2382"/>
      <c r="N5" s="2717" t="str">
        <f ca="1">IFERROR( IF( EQ(CONFIG000!AO5/Z5, 0), "empty", IF( CONFIG000!AO5/Z5=1,"full", IF( CONFIG000!AO5/Z5&gt;1, "bursting", CONFIG000!AO5/Z5 )  ) ), "empty" )</f>
        <v>empty</v>
      </c>
      <c r="O5" s="2688"/>
      <c r="P5" s="2689"/>
      <c r="Q5" s="2690"/>
      <c r="R5" s="2690"/>
      <c r="S5" s="2688"/>
      <c r="T5" s="2689"/>
      <c r="U5" s="2688"/>
      <c r="V5" s="2691" t="str">
        <v/>
      </c>
      <c r="W5" s="2688"/>
      <c r="X5" s="2689" t="str">
        <v/>
      </c>
      <c r="Y5" s="2688"/>
      <c r="Z5" s="2687" t="str">
        <v/>
      </c>
      <c r="AA5" s="2688"/>
      <c r="AB5" s="2689"/>
      <c r="AC5" s="2690"/>
      <c r="AD5" s="2688"/>
      <c r="AE5" s="2405" t="str">
        <v/>
      </c>
      <c r="AF5" s="2405" t="str">
        <v/>
      </c>
      <c r="AG5" s="2376"/>
      <c r="AH5" s="2404"/>
      <c r="AI5" s="2372"/>
      <c r="AJ5" s="2372"/>
      <c r="AK5" s="2372"/>
      <c r="AL5" s="2372"/>
      <c r="AM5" s="2372"/>
      <c r="AN5" s="2372"/>
      <c r="AO5" s="2372"/>
      <c r="AP5" s="2372"/>
      <c r="AQ5" s="2372"/>
      <c r="AR5" s="2372"/>
      <c r="AS5" s="2372"/>
      <c r="AT5" s="2372"/>
      <c r="AU5" s="2372"/>
      <c r="AV5" s="2372"/>
      <c r="AW5" s="2372"/>
      <c r="AX5" s="2372"/>
      <c r="AY5" s="2372"/>
      <c r="AZ5" s="2372"/>
      <c r="BA5" s="2372"/>
      <c r="BB5" s="2372"/>
      <c r="BC5" s="2372"/>
      <c r="BD5" s="2372"/>
      <c r="BE5" s="2372"/>
      <c r="BF5" s="2372"/>
      <c r="BG5" s="2372"/>
      <c r="BH5" s="2372"/>
      <c r="BI5" s="2372"/>
      <c r="BJ5" s="2372"/>
      <c r="BK5" s="2372"/>
      <c r="BL5" s="2372"/>
      <c r="BM5" s="2372"/>
      <c r="BN5" s="2372"/>
      <c r="BO5" s="2372"/>
      <c r="BP5" s="2372"/>
      <c r="BQ5" s="2372"/>
      <c r="BR5" s="2372"/>
      <c r="BS5" s="2372"/>
      <c r="BT5" s="2372"/>
      <c r="BU5" s="2372"/>
      <c r="BV5" s="2372"/>
      <c r="BW5" s="2372"/>
      <c r="BX5" s="2372"/>
      <c r="BY5" s="2372"/>
      <c r="BZ5" s="2372"/>
      <c r="CA5" s="2372"/>
      <c r="CB5" s="2372"/>
      <c r="CC5" s="2372"/>
      <c r="CD5" s="2372"/>
      <c r="CE5" s="2372"/>
      <c r="CF5" s="2372"/>
      <c r="CG5" s="2372"/>
      <c r="CH5" s="2372"/>
      <c r="CI5" s="2372"/>
      <c r="CJ5" s="2372"/>
      <c r="CK5" s="2372"/>
      <c r="CL5" s="2372"/>
      <c r="CM5" s="2372"/>
      <c r="CN5" s="2372"/>
      <c r="CO5" s="2372"/>
      <c r="CP5" s="2372"/>
      <c r="CQ5" s="2372"/>
      <c r="CR5" s="2372"/>
      <c r="CS5" s="2372"/>
      <c r="CT5" s="2372"/>
      <c r="CU5" s="2372"/>
      <c r="CV5" s="2372"/>
      <c r="CW5" s="2372"/>
      <c r="CX5" s="2372"/>
      <c r="CY5" s="2372"/>
      <c r="CZ5" s="2372"/>
      <c r="DA5" s="2372"/>
    </row>
    <row r="6" spans="1:105" ht="18.75" customHeight="1" thickTop="1" thickBot="1">
      <c r="A6" s="2372"/>
      <c r="B6" s="2377"/>
      <c r="C6" s="2719" t="s">
        <v>10471</v>
      </c>
      <c r="D6" s="2690"/>
      <c r="E6" s="2690"/>
      <c r="F6" s="2690"/>
      <c r="G6" s="2690"/>
      <c r="H6" s="2688"/>
      <c r="I6" s="2731">
        <f>IFERROR(VLOOKUP(CharSize,SizeTable,2,TRUE) * CharStr * 15, 0)</f>
        <v>0</v>
      </c>
      <c r="J6" s="2688"/>
      <c r="K6" s="2731">
        <f>IFERROR(VLOOKUP(MountSize,SizeTable,2,TRUE) * MountStr * 15, 0)</f>
        <v>0</v>
      </c>
      <c r="L6" s="2688"/>
      <c r="M6" s="2382"/>
      <c r="N6" s="2717" t="str">
        <f ca="1">IFERROR( IF( EQ(CONFIG000!AO6/Z6, 0), "empty", IF( CONFIG000!AO6/Z6=1,"full", IF( CONFIG000!AO6/Z6&gt;1, "bursting", CONFIG000!AO6/Z6 )  ) ), "empty" )</f>
        <v>empty</v>
      </c>
      <c r="O6" s="2688"/>
      <c r="P6" s="2689"/>
      <c r="Q6" s="2690"/>
      <c r="R6" s="2690"/>
      <c r="S6" s="2688"/>
      <c r="T6" s="2689"/>
      <c r="U6" s="2688"/>
      <c r="V6" s="2691" t="str">
        <v/>
      </c>
      <c r="W6" s="2688"/>
      <c r="X6" s="2689" t="str">
        <v/>
      </c>
      <c r="Y6" s="2688"/>
      <c r="Z6" s="2687" t="str">
        <v/>
      </c>
      <c r="AA6" s="2688"/>
      <c r="AB6" s="2689"/>
      <c r="AC6" s="2690"/>
      <c r="AD6" s="2688"/>
      <c r="AE6" s="2405" t="str">
        <v/>
      </c>
      <c r="AF6" s="2405" t="str">
        <v/>
      </c>
      <c r="AG6" s="2376"/>
      <c r="AH6" s="2404"/>
      <c r="AI6" s="2372"/>
      <c r="AJ6" s="2372"/>
      <c r="AK6" s="2372"/>
      <c r="AL6" s="2372"/>
      <c r="AM6" s="2372"/>
      <c r="AN6" s="2372"/>
      <c r="AO6" s="2372"/>
      <c r="AP6" s="2372"/>
      <c r="AQ6" s="2372"/>
      <c r="AR6" s="2372"/>
      <c r="AS6" s="2372"/>
      <c r="AT6" s="2372"/>
      <c r="AU6" s="2372"/>
      <c r="AV6" s="2372"/>
      <c r="AW6" s="2372"/>
      <c r="AX6" s="2372"/>
      <c r="AY6" s="2372"/>
      <c r="AZ6" s="2372"/>
      <c r="BA6" s="2372"/>
      <c r="BB6" s="2372"/>
      <c r="BC6" s="2372"/>
      <c r="BD6" s="2372"/>
      <c r="BE6" s="2372"/>
      <c r="BF6" s="2372"/>
      <c r="BG6" s="2372"/>
      <c r="BH6" s="2372"/>
      <c r="BI6" s="2372"/>
      <c r="BJ6" s="2372"/>
      <c r="BK6" s="2372"/>
      <c r="BL6" s="2372"/>
      <c r="BM6" s="2372"/>
      <c r="BN6" s="2372"/>
      <c r="BO6" s="2372"/>
      <c r="BP6" s="2372"/>
      <c r="BQ6" s="2372"/>
      <c r="BR6" s="2372"/>
      <c r="BS6" s="2372"/>
      <c r="BT6" s="2372"/>
      <c r="BU6" s="2372"/>
      <c r="BV6" s="2372"/>
      <c r="BW6" s="2372"/>
      <c r="BX6" s="2372"/>
      <c r="BY6" s="2372"/>
      <c r="BZ6" s="2372"/>
      <c r="CA6" s="2372"/>
      <c r="CB6" s="2372"/>
      <c r="CC6" s="2372"/>
      <c r="CD6" s="2372"/>
      <c r="CE6" s="2372"/>
      <c r="CF6" s="2372"/>
      <c r="CG6" s="2372"/>
      <c r="CH6" s="2372"/>
      <c r="CI6" s="2372"/>
      <c r="CJ6" s="2372"/>
      <c r="CK6" s="2372"/>
      <c r="CL6" s="2372"/>
      <c r="CM6" s="2372"/>
      <c r="CN6" s="2372"/>
      <c r="CO6" s="2372"/>
      <c r="CP6" s="2372"/>
      <c r="CQ6" s="2372"/>
      <c r="CR6" s="2372"/>
      <c r="CS6" s="2372"/>
      <c r="CT6" s="2372"/>
      <c r="CU6" s="2372"/>
      <c r="CV6" s="2372"/>
      <c r="CW6" s="2372"/>
      <c r="CX6" s="2372"/>
      <c r="CY6" s="2372"/>
      <c r="CZ6" s="2372"/>
      <c r="DA6" s="2372"/>
    </row>
    <row r="7" spans="1:105" ht="18.75" customHeight="1" thickTop="1" thickBot="1">
      <c r="A7" s="2372"/>
      <c r="B7" s="2377"/>
      <c r="C7" s="2719" t="s">
        <v>10470</v>
      </c>
      <c r="D7" s="2690"/>
      <c r="E7" s="2690"/>
      <c r="F7" s="2690"/>
      <c r="G7" s="2690"/>
      <c r="H7" s="2688"/>
      <c r="I7" s="2731">
        <f>IFERROR(VLOOKUP(CharSize,SizeTable,2,TRUE) * CharStr * 30, 0)</f>
        <v>0</v>
      </c>
      <c r="J7" s="2688"/>
      <c r="K7" s="2731">
        <f>IFERROR(VLOOKUP(MountSize,SizeTable,2,TRUE) * MountStr * 30, 0)</f>
        <v>0</v>
      </c>
      <c r="L7" s="2688"/>
      <c r="M7" s="2382"/>
      <c r="N7" s="2717" t="str">
        <f ca="1">IFERROR( IF( EQ(CONFIG000!AO7/Z7, 0), "empty", IF( CONFIG000!AO7/Z7=1,"full", IF( CONFIG000!AO7/Z7&gt;1, "bursting", CONFIG000!AO7/Z7 )  ) ), "empty" )</f>
        <v>empty</v>
      </c>
      <c r="O7" s="2688"/>
      <c r="P7" s="2689"/>
      <c r="Q7" s="2690"/>
      <c r="R7" s="2690"/>
      <c r="S7" s="2688"/>
      <c r="T7" s="2689"/>
      <c r="U7" s="2688"/>
      <c r="V7" s="2691" t="str">
        <v/>
      </c>
      <c r="W7" s="2688"/>
      <c r="X7" s="2689" t="str">
        <v/>
      </c>
      <c r="Y7" s="2688"/>
      <c r="Z7" s="2687" t="str">
        <v/>
      </c>
      <c r="AA7" s="2688"/>
      <c r="AB7" s="2689"/>
      <c r="AC7" s="2690"/>
      <c r="AD7" s="2688"/>
      <c r="AE7" s="2405" t="str">
        <v/>
      </c>
      <c r="AF7" s="2405" t="str">
        <v/>
      </c>
      <c r="AG7" s="2376"/>
      <c r="AH7" s="2404"/>
      <c r="AI7" s="2372"/>
      <c r="AJ7" s="2372"/>
      <c r="AK7" s="2372"/>
      <c r="AL7" s="2372"/>
      <c r="AM7" s="2372"/>
      <c r="AN7" s="2372"/>
      <c r="AO7" s="2372"/>
      <c r="AP7" s="2372"/>
      <c r="AQ7" s="2372"/>
      <c r="AR7" s="2372"/>
      <c r="AS7" s="2372"/>
      <c r="AT7" s="2372"/>
      <c r="AU7" s="2372"/>
      <c r="AV7" s="2372"/>
      <c r="AW7" s="2372"/>
      <c r="AX7" s="2372"/>
      <c r="AY7" s="2372"/>
      <c r="AZ7" s="2372"/>
      <c r="BA7" s="2372"/>
      <c r="BB7" s="2372"/>
      <c r="BC7" s="2372"/>
      <c r="BD7" s="2372"/>
      <c r="BE7" s="2372"/>
      <c r="BF7" s="2372"/>
      <c r="BG7" s="2372"/>
      <c r="BH7" s="2372"/>
      <c r="BI7" s="2372"/>
      <c r="BJ7" s="2372"/>
      <c r="BK7" s="2372"/>
      <c r="BL7" s="2372"/>
      <c r="BM7" s="2372"/>
      <c r="BN7" s="2372"/>
      <c r="BO7" s="2372"/>
      <c r="BP7" s="2372"/>
      <c r="BQ7" s="2372"/>
      <c r="BR7" s="2372"/>
      <c r="BS7" s="2372"/>
      <c r="BT7" s="2372"/>
      <c r="BU7" s="2372"/>
      <c r="BV7" s="2372"/>
      <c r="BW7" s="2372"/>
      <c r="BX7" s="2372"/>
      <c r="BY7" s="2372"/>
      <c r="BZ7" s="2372"/>
      <c r="CA7" s="2372"/>
      <c r="CB7" s="2372"/>
      <c r="CC7" s="2372"/>
      <c r="CD7" s="2372"/>
      <c r="CE7" s="2372"/>
      <c r="CF7" s="2372"/>
      <c r="CG7" s="2372"/>
      <c r="CH7" s="2372"/>
      <c r="CI7" s="2372"/>
      <c r="CJ7" s="2372"/>
      <c r="CK7" s="2372"/>
      <c r="CL7" s="2372"/>
      <c r="CM7" s="2372"/>
      <c r="CN7" s="2372"/>
      <c r="CO7" s="2372"/>
      <c r="CP7" s="2372"/>
      <c r="CQ7" s="2372"/>
      <c r="CR7" s="2372"/>
      <c r="CS7" s="2372"/>
      <c r="CT7" s="2372"/>
      <c r="CU7" s="2372"/>
      <c r="CV7" s="2372"/>
      <c r="CW7" s="2372"/>
      <c r="CX7" s="2372"/>
      <c r="CY7" s="2372"/>
      <c r="CZ7" s="2372"/>
      <c r="DA7" s="2372"/>
    </row>
    <row r="8" spans="1:105" ht="18.75" customHeight="1" thickTop="1" thickBot="1">
      <c r="A8" s="2372"/>
      <c r="B8" s="2377"/>
      <c r="C8" s="2719" t="s">
        <v>10463</v>
      </c>
      <c r="D8" s="2690"/>
      <c r="E8" s="2690"/>
      <c r="F8" s="2690"/>
      <c r="G8" s="2690"/>
      <c r="H8" s="2688"/>
      <c r="I8" s="2731">
        <f>SUM( EquippedItemWeights, EquippedMagicWeights, EquippedStockWeights, EquippedMnyWt )</f>
        <v>0</v>
      </c>
      <c r="J8" s="2688"/>
      <c r="K8" s="2731">
        <f>IF( RideCheckbox = TRUE, CharWeight,0) + SUM( MountItemWeights, MountMagicWeights, MountStockWeights, MountMnyWt )</f>
        <v>0</v>
      </c>
      <c r="L8" s="2688"/>
      <c r="M8" s="2382"/>
      <c r="N8" s="2717" t="str">
        <f ca="1">IFERROR( IF( EQ(CONFIG000!AO8/Z8, 0), "empty", IF( CONFIG000!AO8/Z8=1,"full", IF( CONFIG000!AO8/Z8&gt;1, "bursting", CONFIG000!AO8/Z8 )  ) ), "empty" )</f>
        <v>empty</v>
      </c>
      <c r="O8" s="2688"/>
      <c r="P8" s="2689"/>
      <c r="Q8" s="2690"/>
      <c r="R8" s="2690"/>
      <c r="S8" s="2688"/>
      <c r="T8" s="2689"/>
      <c r="U8" s="2688"/>
      <c r="V8" s="2691" t="str">
        <v/>
      </c>
      <c r="W8" s="2688"/>
      <c r="X8" s="2689" t="str">
        <v/>
      </c>
      <c r="Y8" s="2688"/>
      <c r="Z8" s="2687" t="str">
        <v/>
      </c>
      <c r="AA8" s="2688"/>
      <c r="AB8" s="2689"/>
      <c r="AC8" s="2690"/>
      <c r="AD8" s="2688"/>
      <c r="AE8" s="2405" t="str">
        <v/>
      </c>
      <c r="AF8" s="2405" t="str">
        <v/>
      </c>
      <c r="AG8" s="2376"/>
      <c r="AH8" s="2404"/>
      <c r="AI8" s="2372"/>
      <c r="AJ8" s="2372"/>
      <c r="AK8" s="2372"/>
      <c r="AL8" s="2372"/>
      <c r="AM8" s="2372"/>
      <c r="AN8" s="2372"/>
      <c r="AO8" s="2372"/>
      <c r="AP8" s="2372"/>
      <c r="AQ8" s="2372"/>
      <c r="AR8" s="2372"/>
      <c r="AS8" s="2372"/>
      <c r="AT8" s="2372"/>
      <c r="AU8" s="2372"/>
      <c r="AV8" s="2372"/>
      <c r="AW8" s="2372"/>
      <c r="AX8" s="2372"/>
      <c r="AY8" s="2372"/>
      <c r="AZ8" s="2372"/>
      <c r="BA8" s="2372"/>
      <c r="BB8" s="2372"/>
      <c r="BC8" s="2372"/>
      <c r="BD8" s="2372"/>
      <c r="BE8" s="2372"/>
      <c r="BF8" s="2372"/>
      <c r="BG8" s="2372"/>
      <c r="BH8" s="2372"/>
      <c r="BI8" s="2372"/>
      <c r="BJ8" s="2372"/>
      <c r="BK8" s="2372"/>
      <c r="BL8" s="2372"/>
      <c r="BM8" s="2372"/>
      <c r="BN8" s="2372"/>
      <c r="BO8" s="2372"/>
      <c r="BP8" s="2372"/>
      <c r="BQ8" s="2372"/>
      <c r="BR8" s="2372"/>
      <c r="BS8" s="2372"/>
      <c r="BT8" s="2372"/>
      <c r="BU8" s="2372"/>
      <c r="BV8" s="2372"/>
      <c r="BW8" s="2372"/>
      <c r="BX8" s="2372"/>
      <c r="BY8" s="2372"/>
      <c r="BZ8" s="2372"/>
      <c r="CA8" s="2372"/>
      <c r="CB8" s="2372"/>
      <c r="CC8" s="2372"/>
      <c r="CD8" s="2372"/>
      <c r="CE8" s="2372"/>
      <c r="CF8" s="2372"/>
      <c r="CG8" s="2372"/>
      <c r="CH8" s="2372"/>
      <c r="CI8" s="2372"/>
      <c r="CJ8" s="2372"/>
      <c r="CK8" s="2372"/>
      <c r="CL8" s="2372"/>
      <c r="CM8" s="2372"/>
      <c r="CN8" s="2372"/>
      <c r="CO8" s="2372"/>
      <c r="CP8" s="2372"/>
      <c r="CQ8" s="2372"/>
      <c r="CR8" s="2372"/>
      <c r="CS8" s="2372"/>
      <c r="CT8" s="2372"/>
      <c r="CU8" s="2372"/>
      <c r="CV8" s="2372"/>
      <c r="CW8" s="2372"/>
      <c r="CX8" s="2372"/>
      <c r="CY8" s="2372"/>
      <c r="CZ8" s="2372"/>
      <c r="DA8" s="2372"/>
    </row>
    <row r="9" spans="1:105" ht="18.75" customHeight="1" thickTop="1" thickBot="1">
      <c r="A9" s="2372"/>
      <c r="B9" s="2377"/>
      <c r="C9" s="2740" t="s">
        <v>10462</v>
      </c>
      <c r="D9" s="2713"/>
      <c r="E9" s="2414"/>
      <c r="F9" s="2414"/>
      <c r="G9" s="2414"/>
      <c r="H9" s="2414"/>
      <c r="I9" s="2740" t="s">
        <v>10461</v>
      </c>
      <c r="J9" s="2712"/>
      <c r="K9" s="2712"/>
      <c r="L9" s="2713"/>
      <c r="M9" s="2394"/>
      <c r="N9" s="2717" t="str">
        <f ca="1">IFERROR( IF( EQ(CONFIG000!AO9/Z9, 0), "empty", IF( CONFIG000!AO9/Z9=1,"full", IF( CONFIG000!AO9/Z9&gt;1, "bursting", CONFIG000!AO9/Z9 )  ) ), "empty" )</f>
        <v>empty</v>
      </c>
      <c r="O9" s="2688"/>
      <c r="P9" s="2689"/>
      <c r="Q9" s="2690"/>
      <c r="R9" s="2690"/>
      <c r="S9" s="2688"/>
      <c r="T9" s="2689"/>
      <c r="U9" s="2688"/>
      <c r="V9" s="2691" t="str">
        <v/>
      </c>
      <c r="W9" s="2688"/>
      <c r="X9" s="2689" t="str">
        <v/>
      </c>
      <c r="Y9" s="2688"/>
      <c r="Z9" s="2687" t="str">
        <v/>
      </c>
      <c r="AA9" s="2688"/>
      <c r="AB9" s="2689"/>
      <c r="AC9" s="2690"/>
      <c r="AD9" s="2688"/>
      <c r="AE9" s="2405" t="str">
        <v/>
      </c>
      <c r="AF9" s="2405" t="str">
        <v/>
      </c>
      <c r="AG9" s="2376"/>
      <c r="AH9" s="2404"/>
      <c r="AI9" s="2372"/>
      <c r="AJ9" s="2372"/>
      <c r="AK9" s="2372"/>
      <c r="AL9" s="2372"/>
      <c r="AM9" s="2372"/>
      <c r="AN9" s="2372"/>
      <c r="AO9" s="2372"/>
      <c r="AP9" s="2372"/>
      <c r="AQ9" s="2372"/>
      <c r="AR9" s="2372"/>
      <c r="AS9" s="2372"/>
      <c r="AT9" s="2372"/>
      <c r="AU9" s="2372"/>
      <c r="AV9" s="2372"/>
      <c r="AW9" s="2372"/>
      <c r="AX9" s="2372"/>
      <c r="AY9" s="2372"/>
      <c r="AZ9" s="2372"/>
      <c r="BA9" s="2372"/>
      <c r="BB9" s="2372"/>
      <c r="BC9" s="2372"/>
      <c r="BD9" s="2372"/>
      <c r="BE9" s="2372"/>
      <c r="BF9" s="2372"/>
      <c r="BG9" s="2372"/>
      <c r="BH9" s="2372"/>
      <c r="BI9" s="2372"/>
      <c r="BJ9" s="2372"/>
      <c r="BK9" s="2372"/>
      <c r="BL9" s="2372"/>
      <c r="BM9" s="2372"/>
      <c r="BN9" s="2372"/>
      <c r="BO9" s="2372"/>
      <c r="BP9" s="2372"/>
      <c r="BQ9" s="2372"/>
      <c r="BR9" s="2372"/>
      <c r="BS9" s="2372"/>
      <c r="BT9" s="2372"/>
      <c r="BU9" s="2372"/>
      <c r="BV9" s="2372"/>
      <c r="BW9" s="2372"/>
      <c r="BX9" s="2372"/>
      <c r="BY9" s="2372"/>
      <c r="BZ9" s="2372"/>
      <c r="CA9" s="2372"/>
      <c r="CB9" s="2372"/>
      <c r="CC9" s="2372"/>
      <c r="CD9" s="2372"/>
      <c r="CE9" s="2372"/>
      <c r="CF9" s="2372"/>
      <c r="CG9" s="2372"/>
      <c r="CH9" s="2372"/>
      <c r="CI9" s="2372"/>
      <c r="CJ9" s="2372"/>
      <c r="CK9" s="2372"/>
      <c r="CL9" s="2372"/>
      <c r="CM9" s="2372"/>
      <c r="CN9" s="2372"/>
      <c r="CO9" s="2372"/>
      <c r="CP9" s="2372"/>
      <c r="CQ9" s="2372"/>
      <c r="CR9" s="2372"/>
      <c r="CS9" s="2372"/>
      <c r="CT9" s="2372"/>
      <c r="CU9" s="2372"/>
      <c r="CV9" s="2372"/>
      <c r="CW9" s="2372"/>
      <c r="CX9" s="2372"/>
      <c r="CY9" s="2372"/>
      <c r="CZ9" s="2372"/>
      <c r="DA9" s="2372"/>
    </row>
    <row r="10" spans="1:105" ht="18.75" customHeight="1" thickTop="1" thickBot="1">
      <c r="B10" s="2409"/>
      <c r="C10" s="2701"/>
      <c r="D10" s="2703"/>
      <c r="E10" s="2413" t="s">
        <v>10457</v>
      </c>
      <c r="F10" s="2741" t="s">
        <v>10456</v>
      </c>
      <c r="G10" s="2688"/>
      <c r="H10" s="2412"/>
      <c r="I10" s="2701"/>
      <c r="J10" s="2702"/>
      <c r="K10" s="2702"/>
      <c r="L10" s="2703"/>
      <c r="M10" s="2394"/>
      <c r="N10" s="2717" t="str">
        <f ca="1">IFERROR( IF( EQ(CONFIG000!AO10/Z10, 0), "empty", IF( CONFIG000!AO10/Z10=1,"full", IF( CONFIG000!AO10/Z10&gt;1, "bursting", CONFIG000!AO10/Z10 )  ) ), "empty" )</f>
        <v>empty</v>
      </c>
      <c r="O10" s="2688"/>
      <c r="P10" s="2689"/>
      <c r="Q10" s="2690"/>
      <c r="R10" s="2690"/>
      <c r="S10" s="2688"/>
      <c r="T10" s="2689"/>
      <c r="U10" s="2688"/>
      <c r="V10" s="2691" t="str">
        <v/>
      </c>
      <c r="W10" s="2688"/>
      <c r="X10" s="2689" t="str">
        <v/>
      </c>
      <c r="Y10" s="2688"/>
      <c r="Z10" s="2687" t="str">
        <v/>
      </c>
      <c r="AA10" s="2688"/>
      <c r="AB10" s="2689"/>
      <c r="AC10" s="2690"/>
      <c r="AD10" s="2688"/>
      <c r="AE10" s="2405" t="str">
        <v/>
      </c>
      <c r="AF10" s="2405" t="str">
        <v/>
      </c>
      <c r="AG10" s="2376"/>
      <c r="AH10" s="2404"/>
      <c r="AI10" s="2372"/>
      <c r="AJ10" s="2372"/>
      <c r="AK10" s="2372"/>
      <c r="AL10" s="2372"/>
      <c r="AM10" s="2372"/>
      <c r="AN10" s="2372"/>
      <c r="AO10" s="2372"/>
      <c r="AP10" s="2372"/>
      <c r="AQ10" s="2372"/>
      <c r="AR10" s="2372"/>
      <c r="AS10" s="2372"/>
      <c r="AT10" s="2372"/>
      <c r="AU10" s="2372"/>
      <c r="AV10" s="2372"/>
      <c r="AW10" s="2372"/>
      <c r="AX10" s="2372"/>
      <c r="AY10" s="2372"/>
      <c r="AZ10" s="2372"/>
      <c r="BA10" s="2372"/>
      <c r="BB10" s="2372"/>
      <c r="BC10" s="2372"/>
      <c r="BD10" s="2372"/>
      <c r="BE10" s="2372"/>
      <c r="BF10" s="2372"/>
      <c r="BG10" s="2372"/>
      <c r="BH10" s="2372"/>
      <c r="BI10" s="2372"/>
      <c r="BJ10" s="2372"/>
      <c r="BK10" s="2372"/>
      <c r="BL10" s="2372"/>
      <c r="BM10" s="2372"/>
      <c r="BN10" s="2372"/>
      <c r="BO10" s="2372"/>
      <c r="BP10" s="2372"/>
      <c r="BQ10" s="2372"/>
      <c r="BR10" s="2372"/>
      <c r="BS10" s="2372"/>
      <c r="BT10" s="2372"/>
      <c r="BU10" s="2372"/>
      <c r="BV10" s="2372"/>
      <c r="BW10" s="2372"/>
      <c r="BX10" s="2372"/>
      <c r="BY10" s="2372"/>
      <c r="BZ10" s="2372"/>
      <c r="CA10" s="2372"/>
      <c r="CB10" s="2372"/>
      <c r="CC10" s="2372"/>
      <c r="CD10" s="2372"/>
      <c r="CE10" s="2372"/>
      <c r="CF10" s="2372"/>
      <c r="CG10" s="2372"/>
      <c r="CH10" s="2372"/>
      <c r="CI10" s="2372"/>
      <c r="CJ10" s="2372"/>
      <c r="CK10" s="2372"/>
      <c r="CL10" s="2372"/>
      <c r="CM10" s="2372"/>
      <c r="CN10" s="2372"/>
      <c r="CO10" s="2372"/>
      <c r="CP10" s="2372"/>
      <c r="CQ10" s="2372"/>
      <c r="CR10" s="2372"/>
      <c r="CS10" s="2372"/>
      <c r="CT10" s="2372"/>
      <c r="CU10" s="2372"/>
      <c r="CV10" s="2372"/>
      <c r="CW10" s="2372"/>
      <c r="CX10" s="2372"/>
      <c r="CY10" s="2372"/>
      <c r="CZ10" s="2372"/>
      <c r="DA10" s="2372"/>
    </row>
    <row r="11" spans="1:105" ht="18.75" customHeight="1" thickTop="1" thickBot="1">
      <c r="B11" s="2738" t="s">
        <v>5795</v>
      </c>
      <c r="C11" s="2688"/>
      <c r="D11" s="2691"/>
      <c r="E11" s="2688"/>
      <c r="F11" s="2691"/>
      <c r="G11" s="2688"/>
      <c r="H11" s="2411"/>
      <c r="I11" s="2410" t="b">
        <v>1</v>
      </c>
      <c r="J11" s="2718" t="s">
        <v>10453</v>
      </c>
      <c r="K11" s="2690"/>
      <c r="L11" s="2690"/>
      <c r="M11" s="2688"/>
      <c r="N11" s="2717" t="str">
        <f ca="1">IFERROR( IF( EQ(CONFIG000!AO11/Z11, 0), "empty", IF( CONFIG000!AO11/Z11=1,"full", IF( CONFIG000!AO11/Z11&gt;1, "bursting", CONFIG000!AO11/Z11 )  ) ), "empty" )</f>
        <v>empty</v>
      </c>
      <c r="O11" s="2688"/>
      <c r="P11" s="2689"/>
      <c r="Q11" s="2690"/>
      <c r="R11" s="2690"/>
      <c r="S11" s="2688"/>
      <c r="T11" s="2689"/>
      <c r="U11" s="2688"/>
      <c r="V11" s="2691" t="str">
        <v/>
      </c>
      <c r="W11" s="2688"/>
      <c r="X11" s="2689" t="str">
        <v/>
      </c>
      <c r="Y11" s="2688"/>
      <c r="Z11" s="2687" t="str">
        <v/>
      </c>
      <c r="AA11" s="2688"/>
      <c r="AB11" s="2689"/>
      <c r="AC11" s="2690"/>
      <c r="AD11" s="2688"/>
      <c r="AE11" s="2405" t="str">
        <v/>
      </c>
      <c r="AF11" s="2405" t="str">
        <v/>
      </c>
      <c r="AG11" s="2376"/>
      <c r="AH11" s="2404" t="s">
        <v>1287</v>
      </c>
      <c r="AI11" s="2372"/>
      <c r="AJ11" s="2372"/>
      <c r="AK11" s="2372"/>
      <c r="AL11" s="2372"/>
      <c r="AM11" s="2372"/>
      <c r="AN11" s="2372"/>
      <c r="AO11" s="2372"/>
      <c r="AP11" s="2372"/>
      <c r="AQ11" s="2372"/>
      <c r="AR11" s="2372"/>
      <c r="AS11" s="2372"/>
      <c r="AT11" s="2372"/>
      <c r="AU11" s="2372"/>
      <c r="AV11" s="2372"/>
      <c r="AW11" s="2372"/>
      <c r="AX11" s="2372"/>
      <c r="AY11" s="2372"/>
      <c r="AZ11" s="2372"/>
      <c r="BA11" s="2372"/>
      <c r="BB11" s="2372"/>
      <c r="BC11" s="2372"/>
      <c r="BD11" s="2372"/>
      <c r="BE11" s="2372"/>
      <c r="BF11" s="2372"/>
      <c r="BG11" s="2372"/>
      <c r="BH11" s="2372"/>
      <c r="BI11" s="2372"/>
      <c r="BJ11" s="2372"/>
      <c r="BK11" s="2372"/>
      <c r="BL11" s="2372"/>
      <c r="BM11" s="2372"/>
      <c r="BN11" s="2372"/>
      <c r="BO11" s="2372"/>
      <c r="BP11" s="2372"/>
      <c r="BQ11" s="2372"/>
      <c r="BR11" s="2372"/>
      <c r="BS11" s="2372"/>
      <c r="BT11" s="2372"/>
      <c r="BU11" s="2372"/>
      <c r="BV11" s="2372"/>
      <c r="BW11" s="2372"/>
      <c r="BX11" s="2372"/>
      <c r="BY11" s="2372"/>
      <c r="BZ11" s="2372"/>
      <c r="CA11" s="2372"/>
      <c r="CB11" s="2372"/>
      <c r="CC11" s="2372"/>
      <c r="CD11" s="2372"/>
      <c r="CE11" s="2372"/>
      <c r="CF11" s="2372"/>
      <c r="CG11" s="2372"/>
      <c r="CH11" s="2372"/>
      <c r="CI11" s="2372"/>
      <c r="CJ11" s="2372"/>
      <c r="CK11" s="2372"/>
      <c r="CL11" s="2372"/>
      <c r="CM11" s="2372"/>
      <c r="CN11" s="2372"/>
      <c r="CO11" s="2372"/>
      <c r="CP11" s="2372"/>
      <c r="CQ11" s="2372"/>
      <c r="CR11" s="2372"/>
      <c r="CS11" s="2372"/>
      <c r="CT11" s="2372"/>
      <c r="CU11" s="2372"/>
      <c r="CV11" s="2372"/>
      <c r="CW11" s="2372"/>
      <c r="CX11" s="2372"/>
      <c r="CY11" s="2372"/>
      <c r="CZ11" s="2372"/>
      <c r="DA11" s="2372"/>
    </row>
    <row r="12" spans="1:105" ht="18.75" customHeight="1" thickTop="1" thickBot="1">
      <c r="B12" s="2409"/>
      <c r="C12" s="2408" t="s">
        <v>5777</v>
      </c>
      <c r="D12" s="2691"/>
      <c r="E12" s="2688"/>
      <c r="F12" s="2691"/>
      <c r="G12" s="2688"/>
      <c r="H12" s="2411"/>
      <c r="I12" s="2410" t="b">
        <v>1</v>
      </c>
      <c r="J12" s="2718" t="s">
        <v>10451</v>
      </c>
      <c r="K12" s="2690"/>
      <c r="L12" s="2690"/>
      <c r="M12" s="2688"/>
      <c r="N12" s="2717" t="str">
        <f ca="1">IFERROR( IF( EQ(CONFIG000!AO12/Z12, 0), "empty", IF( CONFIG000!AO12/Z12=1,"full", IF( CONFIG000!AO12/Z12&gt;1, "bursting", CONFIG000!AO12/Z12 )  ) ), "empty" )</f>
        <v>empty</v>
      </c>
      <c r="O12" s="2688"/>
      <c r="P12" s="2689"/>
      <c r="Q12" s="2690"/>
      <c r="R12" s="2690"/>
      <c r="S12" s="2688"/>
      <c r="T12" s="2689"/>
      <c r="U12" s="2688"/>
      <c r="V12" s="2691" t="str">
        <v/>
      </c>
      <c r="W12" s="2688"/>
      <c r="X12" s="2689" t="str">
        <v/>
      </c>
      <c r="Y12" s="2688"/>
      <c r="Z12" s="2687" t="str">
        <v/>
      </c>
      <c r="AA12" s="2688"/>
      <c r="AB12" s="2689"/>
      <c r="AC12" s="2690"/>
      <c r="AD12" s="2688"/>
      <c r="AE12" s="2405" t="str">
        <v/>
      </c>
      <c r="AF12" s="2405" t="str">
        <v/>
      </c>
      <c r="AG12" s="2376"/>
      <c r="AH12" s="2404"/>
      <c r="AI12" s="2372"/>
      <c r="AJ12" s="2372"/>
      <c r="AK12" s="2372"/>
      <c r="AL12" s="2372"/>
      <c r="AM12" s="2372"/>
      <c r="AN12" s="2372"/>
      <c r="AO12" s="2372"/>
      <c r="AP12" s="2372"/>
      <c r="AQ12" s="2372"/>
      <c r="AR12" s="2372"/>
      <c r="AS12" s="2372"/>
      <c r="AT12" s="2372"/>
      <c r="AU12" s="2372"/>
      <c r="AV12" s="2372"/>
      <c r="AW12" s="2372"/>
      <c r="AX12" s="2372"/>
      <c r="AY12" s="2372"/>
      <c r="AZ12" s="2372"/>
      <c r="BA12" s="2372"/>
      <c r="BB12" s="2372"/>
      <c r="BC12" s="2372"/>
      <c r="BD12" s="2372"/>
      <c r="BE12" s="2372"/>
      <c r="BF12" s="2372"/>
      <c r="BG12" s="2372"/>
      <c r="BH12" s="2372"/>
      <c r="BI12" s="2372"/>
      <c r="BJ12" s="2372"/>
      <c r="BK12" s="2372"/>
      <c r="BL12" s="2372"/>
      <c r="BM12" s="2372"/>
      <c r="BN12" s="2372"/>
      <c r="BO12" s="2372"/>
      <c r="BP12" s="2372"/>
      <c r="BQ12" s="2372"/>
      <c r="BR12" s="2372"/>
      <c r="BS12" s="2372"/>
      <c r="BT12" s="2372"/>
      <c r="BU12" s="2372"/>
      <c r="BV12" s="2372"/>
      <c r="BW12" s="2372"/>
      <c r="BX12" s="2372"/>
      <c r="BY12" s="2372"/>
      <c r="BZ12" s="2372"/>
      <c r="CA12" s="2372"/>
      <c r="CB12" s="2372"/>
      <c r="CC12" s="2372"/>
      <c r="CD12" s="2372"/>
      <c r="CE12" s="2372"/>
      <c r="CF12" s="2372"/>
      <c r="CG12" s="2372"/>
      <c r="CH12" s="2372"/>
      <c r="CI12" s="2372"/>
      <c r="CJ12" s="2372"/>
      <c r="CK12" s="2372"/>
      <c r="CL12" s="2372"/>
      <c r="CM12" s="2372"/>
      <c r="CN12" s="2372"/>
      <c r="CO12" s="2372"/>
      <c r="CP12" s="2372"/>
      <c r="CQ12" s="2372"/>
      <c r="CR12" s="2372"/>
      <c r="CS12" s="2372"/>
      <c r="CT12" s="2372"/>
      <c r="CU12" s="2372"/>
      <c r="CV12" s="2372"/>
      <c r="CW12" s="2372"/>
      <c r="CX12" s="2372"/>
      <c r="CY12" s="2372"/>
      <c r="CZ12" s="2372"/>
      <c r="DA12" s="2372"/>
    </row>
    <row r="13" spans="1:105" ht="18.75" customHeight="1" thickTop="1" thickBot="1">
      <c r="B13" s="2409"/>
      <c r="C13" s="2408" t="s">
        <v>10447</v>
      </c>
      <c r="D13" s="2691"/>
      <c r="E13" s="2688"/>
      <c r="F13" s="2732"/>
      <c r="G13" s="2688"/>
      <c r="H13" s="2407"/>
      <c r="I13" s="2406">
        <v>10</v>
      </c>
      <c r="J13" s="2711" t="s">
        <v>10446</v>
      </c>
      <c r="K13" s="2712"/>
      <c r="L13" s="2712"/>
      <c r="M13" s="2713"/>
      <c r="N13" s="2717" t="str">
        <f ca="1">IFERROR( IF( EQ(CONFIG000!AO13/Z13, 0), "empty", IF( CONFIG000!AO13/Z13=1,"full", IF( CONFIG000!AO13/Z13&gt;1, "bursting", CONFIG000!AO13/Z13 )  ) ), "empty" )</f>
        <v>empty</v>
      </c>
      <c r="O13" s="2688"/>
      <c r="P13" s="2689"/>
      <c r="Q13" s="2690"/>
      <c r="R13" s="2690"/>
      <c r="S13" s="2688"/>
      <c r="T13" s="2689"/>
      <c r="U13" s="2688"/>
      <c r="V13" s="2691" t="str">
        <v/>
      </c>
      <c r="W13" s="2688"/>
      <c r="X13" s="2689" t="str">
        <v/>
      </c>
      <c r="Y13" s="2688"/>
      <c r="Z13" s="2687" t="str">
        <v/>
      </c>
      <c r="AA13" s="2688"/>
      <c r="AB13" s="2689"/>
      <c r="AC13" s="2690"/>
      <c r="AD13" s="2688"/>
      <c r="AE13" s="2405" t="str">
        <v/>
      </c>
      <c r="AF13" s="2405" t="str">
        <v/>
      </c>
      <c r="AG13" s="2376"/>
      <c r="AH13" s="2404"/>
      <c r="AI13" s="2372"/>
      <c r="AJ13" s="2372"/>
      <c r="AK13" s="2372"/>
      <c r="AL13" s="2372"/>
      <c r="AM13" s="2372"/>
      <c r="AN13" s="2372"/>
      <c r="AO13" s="2372"/>
      <c r="AP13" s="2372"/>
      <c r="AQ13" s="2372"/>
      <c r="AR13" s="2372"/>
      <c r="AS13" s="2372"/>
      <c r="AT13" s="2372"/>
      <c r="AU13" s="2372"/>
      <c r="AV13" s="2372"/>
      <c r="AW13" s="2372"/>
      <c r="AX13" s="2372"/>
      <c r="AY13" s="2372"/>
      <c r="AZ13" s="2372"/>
      <c r="BA13" s="2372"/>
      <c r="BB13" s="2372"/>
      <c r="BC13" s="2372"/>
      <c r="BD13" s="2372"/>
      <c r="BE13" s="2372"/>
      <c r="BF13" s="2372"/>
      <c r="BG13" s="2372"/>
      <c r="BH13" s="2372"/>
      <c r="BI13" s="2372"/>
      <c r="BJ13" s="2372"/>
      <c r="BK13" s="2372"/>
      <c r="BL13" s="2372"/>
      <c r="BM13" s="2372"/>
      <c r="BN13" s="2372"/>
      <c r="BO13" s="2372"/>
      <c r="BP13" s="2372"/>
      <c r="BQ13" s="2372"/>
      <c r="BR13" s="2372"/>
      <c r="BS13" s="2372"/>
      <c r="BT13" s="2372"/>
      <c r="BU13" s="2372"/>
      <c r="BV13" s="2372"/>
      <c r="BW13" s="2372"/>
      <c r="BX13" s="2372"/>
      <c r="BY13" s="2372"/>
      <c r="BZ13" s="2372"/>
      <c r="CA13" s="2372"/>
      <c r="CB13" s="2372"/>
      <c r="CC13" s="2372"/>
      <c r="CD13" s="2372"/>
      <c r="CE13" s="2372"/>
      <c r="CF13" s="2372"/>
      <c r="CG13" s="2372"/>
      <c r="CH13" s="2372"/>
      <c r="CI13" s="2372"/>
      <c r="CJ13" s="2372"/>
      <c r="CK13" s="2372"/>
      <c r="CL13" s="2372"/>
      <c r="CM13" s="2372"/>
      <c r="CN13" s="2372"/>
      <c r="CO13" s="2372"/>
      <c r="CP13" s="2372"/>
      <c r="CQ13" s="2372"/>
      <c r="CR13" s="2372"/>
      <c r="CS13" s="2372"/>
      <c r="CT13" s="2372"/>
      <c r="CU13" s="2372"/>
      <c r="CV13" s="2372"/>
      <c r="CW13" s="2372"/>
      <c r="CX13" s="2372"/>
      <c r="CY13" s="2372"/>
      <c r="CZ13" s="2372"/>
      <c r="DA13" s="2372"/>
    </row>
    <row r="14" spans="1:105" ht="18.75" customHeight="1" thickTop="1" thickBot="1">
      <c r="B14" s="2403"/>
      <c r="C14" s="2391"/>
      <c r="D14" s="2391"/>
      <c r="E14" s="2391"/>
      <c r="F14" s="2391"/>
      <c r="G14" s="2391"/>
      <c r="H14" s="2391"/>
      <c r="I14" s="2391"/>
      <c r="J14" s="2714"/>
      <c r="K14" s="2715"/>
      <c r="L14" s="2715"/>
      <c r="M14" s="2716"/>
      <c r="N14" s="2391"/>
      <c r="O14" s="2374"/>
      <c r="P14" s="2374"/>
      <c r="Q14" s="2374"/>
      <c r="R14" s="2374"/>
      <c r="S14" s="2374"/>
      <c r="T14" s="2374"/>
      <c r="U14" s="2374"/>
      <c r="V14" s="2374"/>
      <c r="W14" s="2374"/>
      <c r="X14" s="2374"/>
      <c r="Y14" s="2374"/>
      <c r="Z14" s="2374"/>
      <c r="AA14" s="2753"/>
      <c r="AB14" s="2754"/>
      <c r="AC14" s="2754"/>
      <c r="AD14" s="2754"/>
      <c r="AE14" s="2755"/>
      <c r="AF14" s="2374"/>
      <c r="AG14" s="2373"/>
      <c r="AH14" s="2372"/>
      <c r="AI14" s="2372"/>
      <c r="AJ14" s="2372"/>
      <c r="AK14" s="2372"/>
      <c r="AL14" s="2372"/>
      <c r="AM14" s="2372"/>
      <c r="AN14" s="2372"/>
      <c r="AO14" s="2372"/>
      <c r="AP14" s="2372"/>
      <c r="AQ14" s="2372"/>
      <c r="AR14" s="2372"/>
      <c r="AS14" s="2372"/>
      <c r="AT14" s="2372"/>
      <c r="AU14" s="2372"/>
      <c r="AV14" s="2372"/>
      <c r="AW14" s="2372"/>
      <c r="AX14" s="2372"/>
      <c r="AY14" s="2372"/>
      <c r="AZ14" s="2372"/>
      <c r="BA14" s="2372"/>
      <c r="BB14" s="2372"/>
      <c r="BC14" s="2372"/>
      <c r="BD14" s="2372"/>
      <c r="BE14" s="2372"/>
      <c r="BF14" s="2372"/>
      <c r="BG14" s="2372"/>
      <c r="BH14" s="2372"/>
      <c r="BI14" s="2372"/>
      <c r="BJ14" s="2372"/>
      <c r="BK14" s="2372"/>
      <c r="BL14" s="2372"/>
      <c r="BM14" s="2372"/>
      <c r="BN14" s="2372"/>
      <c r="BO14" s="2372"/>
      <c r="BP14" s="2372"/>
      <c r="BQ14" s="2372"/>
      <c r="BR14" s="2372"/>
      <c r="BS14" s="2372"/>
      <c r="BT14" s="2372"/>
      <c r="BU14" s="2372"/>
      <c r="BV14" s="2372"/>
      <c r="BW14" s="2372"/>
      <c r="BX14" s="2372"/>
      <c r="BY14" s="2372"/>
      <c r="BZ14" s="2372"/>
      <c r="CA14" s="2372"/>
      <c r="CB14" s="2372"/>
      <c r="CC14" s="2372"/>
      <c r="CD14" s="2372"/>
      <c r="CE14" s="2372"/>
      <c r="CF14" s="2372"/>
      <c r="CG14" s="2372"/>
      <c r="CH14" s="2372"/>
      <c r="CI14" s="2372"/>
      <c r="CJ14" s="2372"/>
      <c r="CK14" s="2372"/>
      <c r="CL14" s="2372"/>
      <c r="CM14" s="2372"/>
      <c r="CN14" s="2372"/>
      <c r="CO14" s="2372"/>
      <c r="CP14" s="2372"/>
      <c r="CQ14" s="2372"/>
      <c r="CR14" s="2372"/>
      <c r="CS14" s="2372"/>
      <c r="CT14" s="2372"/>
      <c r="CU14" s="2372"/>
      <c r="CV14" s="2372"/>
      <c r="CW14" s="2372"/>
      <c r="CX14" s="2372"/>
      <c r="CY14" s="2372"/>
      <c r="CZ14" s="2372"/>
      <c r="DA14" s="2372"/>
    </row>
    <row r="15" spans="1:105" ht="18.75" customHeight="1" thickTop="1" thickBot="1">
      <c r="O15" s="2372"/>
      <c r="P15" s="2372"/>
      <c r="Q15" s="2372"/>
      <c r="R15" s="2372"/>
      <c r="S15" s="2372"/>
      <c r="T15" s="2372"/>
      <c r="U15" s="2372"/>
      <c r="V15" s="2372"/>
      <c r="W15" s="2372"/>
      <c r="X15" s="2372"/>
      <c r="Y15" s="2372"/>
      <c r="Z15" s="2372"/>
      <c r="AA15" s="2372"/>
      <c r="AB15" s="2372"/>
      <c r="AC15" s="2372"/>
      <c r="AD15" s="2372"/>
      <c r="AE15" s="2372"/>
      <c r="AF15" s="2372"/>
      <c r="AG15" s="2372"/>
      <c r="AH15" s="2372"/>
      <c r="AI15" s="2372"/>
      <c r="AJ15" s="2372"/>
      <c r="AK15" s="2372"/>
      <c r="AL15" s="2372"/>
      <c r="AM15" s="2372"/>
      <c r="AN15" s="2372"/>
      <c r="AO15" s="2372"/>
      <c r="AP15" s="2372"/>
      <c r="AQ15" s="2372"/>
      <c r="AR15" s="2372"/>
      <c r="AS15" s="2372"/>
      <c r="AT15" s="2372"/>
      <c r="AU15" s="2372"/>
      <c r="AV15" s="2372"/>
      <c r="AW15" s="2372"/>
      <c r="AX15" s="2372"/>
      <c r="AY15" s="2372"/>
      <c r="AZ15" s="2372"/>
      <c r="BA15" s="2372"/>
      <c r="BB15" s="2372"/>
      <c r="BC15" s="2372"/>
      <c r="BD15" s="2372"/>
      <c r="BE15" s="2372"/>
      <c r="BF15" s="2372"/>
      <c r="BG15" s="2372"/>
      <c r="BH15" s="2372"/>
      <c r="BI15" s="2372"/>
      <c r="BJ15" s="2372"/>
      <c r="BK15" s="2372"/>
      <c r="BL15" s="2372"/>
      <c r="BM15" s="2372"/>
      <c r="BN15" s="2372"/>
      <c r="BO15" s="2372"/>
      <c r="BP15" s="2372"/>
      <c r="BQ15" s="2372"/>
      <c r="BR15" s="2372"/>
      <c r="BS15" s="2372"/>
      <c r="BT15" s="2372"/>
      <c r="BU15" s="2372"/>
      <c r="BV15" s="2372"/>
      <c r="BW15" s="2372"/>
      <c r="BX15" s="2372"/>
      <c r="BY15" s="2372"/>
      <c r="BZ15" s="2372"/>
      <c r="CA15" s="2372"/>
      <c r="CB15" s="2372"/>
      <c r="CC15" s="2372"/>
      <c r="CD15" s="2372"/>
      <c r="CE15" s="2372"/>
      <c r="CF15" s="2372"/>
      <c r="CG15" s="2372"/>
      <c r="CH15" s="2372"/>
      <c r="CI15" s="2372"/>
      <c r="CJ15" s="2372"/>
      <c r="CK15" s="2372"/>
      <c r="CL15" s="2372"/>
      <c r="CM15" s="2372"/>
      <c r="CN15" s="2372"/>
      <c r="CO15" s="2372"/>
      <c r="CP15" s="2372"/>
      <c r="CQ15" s="2372"/>
      <c r="CR15" s="2372"/>
      <c r="CS15" s="2372"/>
      <c r="CT15" s="2372"/>
      <c r="CU15" s="2372"/>
      <c r="CV15" s="2372"/>
      <c r="CW15" s="2372"/>
      <c r="CX15" s="2372"/>
      <c r="CY15" s="2372"/>
      <c r="CZ15" s="2372"/>
      <c r="DA15" s="2372"/>
    </row>
    <row r="16" spans="1:105" ht="18.75" customHeight="1" thickTop="1" thickBot="1">
      <c r="A16" s="2372"/>
      <c r="B16" s="2387"/>
      <c r="C16" s="2698" t="s">
        <v>10440</v>
      </c>
      <c r="D16" s="2733"/>
      <c r="E16" s="2734"/>
      <c r="F16" s="2384"/>
      <c r="G16" s="2384"/>
      <c r="H16" s="2384"/>
      <c r="I16" s="2384"/>
      <c r="J16" s="2384"/>
      <c r="K16" s="2384"/>
      <c r="L16" s="2384"/>
      <c r="M16" s="2384"/>
      <c r="N16" s="2384"/>
      <c r="O16" s="2386"/>
      <c r="P16" s="2698" t="s">
        <v>10439</v>
      </c>
      <c r="Q16" s="2699"/>
      <c r="R16" s="2699"/>
      <c r="S16" s="2699"/>
      <c r="T16" s="2699"/>
      <c r="U16" s="2700"/>
      <c r="V16" s="2384"/>
      <c r="W16" s="2384"/>
      <c r="X16" s="2384"/>
      <c r="Y16" s="2384"/>
      <c r="Z16" s="2384"/>
      <c r="AA16" s="2756" t="str">
        <f>"You are attuned to " &amp; AG16 &amp; " items."</f>
        <v>You are attuned to 0 items.</v>
      </c>
      <c r="AB16" s="2705"/>
      <c r="AC16" s="2705"/>
      <c r="AD16" s="2705"/>
      <c r="AE16" s="2705"/>
      <c r="AF16" s="2757"/>
      <c r="AG16" s="2402">
        <f>COUNTIF( AttunementCheckboxes, TRUE)</f>
        <v>0</v>
      </c>
      <c r="AH16" s="2388"/>
      <c r="AI16" s="2388"/>
      <c r="AU16" s="2388"/>
      <c r="AV16" s="2388"/>
      <c r="AW16" s="2388"/>
      <c r="AX16" s="2388"/>
      <c r="AY16" s="2388"/>
      <c r="AZ16" s="2388"/>
      <c r="BA16" s="2388"/>
      <c r="BB16" s="2388"/>
      <c r="BC16" s="2388"/>
      <c r="BD16" s="2388"/>
      <c r="BE16" s="2401"/>
      <c r="BG16" s="2400"/>
      <c r="BH16" s="2400"/>
      <c r="BI16" s="2400"/>
      <c r="BJ16" s="2400"/>
      <c r="BK16" s="2400"/>
      <c r="BL16" s="2400"/>
      <c r="BM16" s="2400"/>
      <c r="BN16" s="2400"/>
      <c r="BO16" s="2400"/>
      <c r="BP16" s="2400"/>
      <c r="BQ16" s="2372"/>
      <c r="BR16" s="2372"/>
      <c r="BS16" s="2372"/>
      <c r="BT16" s="2372"/>
      <c r="BU16" s="2372"/>
      <c r="BV16" s="2372"/>
      <c r="BW16" s="2372"/>
      <c r="BX16" s="2372"/>
      <c r="BY16" s="2372"/>
      <c r="BZ16" s="2372"/>
      <c r="CA16" s="2372"/>
      <c r="CB16" s="2372"/>
      <c r="CC16" s="2372"/>
      <c r="CD16" s="2372"/>
      <c r="CE16" s="2372"/>
      <c r="CF16" s="2372"/>
      <c r="CG16" s="2372"/>
      <c r="CH16" s="2372"/>
      <c r="CI16" s="2372"/>
      <c r="CJ16" s="2372"/>
      <c r="CK16" s="2372"/>
      <c r="CL16" s="2372"/>
      <c r="CM16" s="2372"/>
      <c r="CN16" s="2372"/>
      <c r="CO16" s="2372"/>
      <c r="CP16" s="2372"/>
      <c r="CQ16" s="2372"/>
      <c r="CR16" s="2372"/>
      <c r="CS16" s="2372"/>
      <c r="CT16" s="2372"/>
      <c r="CU16" s="2372"/>
      <c r="CV16" s="2372"/>
      <c r="CW16" s="2372"/>
      <c r="CX16" s="2372"/>
      <c r="CY16" s="2372"/>
      <c r="CZ16" s="2372"/>
      <c r="DA16" s="2372"/>
    </row>
    <row r="17" spans="1:105" ht="18.75" customHeight="1" thickTop="1" thickBot="1">
      <c r="A17" s="2372"/>
      <c r="B17" s="2377"/>
      <c r="C17" s="2735"/>
      <c r="D17" s="2736"/>
      <c r="E17" s="2737"/>
      <c r="F17" s="2393"/>
      <c r="G17" s="2393"/>
      <c r="H17" s="2710" t="s">
        <v>10397</v>
      </c>
      <c r="I17" s="2690"/>
      <c r="J17" s="2688"/>
      <c r="K17" s="2689"/>
      <c r="L17" s="2690"/>
      <c r="M17" s="2690"/>
      <c r="N17" s="2688"/>
      <c r="O17" s="2394"/>
      <c r="P17" s="2701"/>
      <c r="Q17" s="2702"/>
      <c r="R17" s="2702"/>
      <c r="S17" s="2702"/>
      <c r="T17" s="2702"/>
      <c r="U17" s="2703"/>
      <c r="V17" s="2693" t="s">
        <v>10400</v>
      </c>
      <c r="W17" s="2688"/>
      <c r="X17" s="2693" t="s">
        <v>10399</v>
      </c>
      <c r="Y17" s="2690"/>
      <c r="Z17" s="2688"/>
      <c r="AA17" s="2693" t="s">
        <v>10398</v>
      </c>
      <c r="AB17" s="2688"/>
      <c r="AC17" s="2693" t="s">
        <v>10397</v>
      </c>
      <c r="AD17" s="2690"/>
      <c r="AE17" s="2690"/>
      <c r="AF17" s="2688"/>
      <c r="AG17" s="2392"/>
      <c r="AH17" s="2388"/>
      <c r="AI17" s="2388"/>
      <c r="AJ17" s="2388"/>
      <c r="AK17" s="2388"/>
      <c r="AL17" s="2388"/>
      <c r="AM17" s="2388"/>
      <c r="AN17" s="2388"/>
      <c r="AO17" s="2388"/>
      <c r="AP17" s="2388"/>
      <c r="AQ17" s="2388"/>
      <c r="AR17" s="2388"/>
      <c r="AS17" s="2388"/>
      <c r="AT17" s="2388"/>
      <c r="AU17" s="2388"/>
      <c r="AV17" s="2388"/>
      <c r="AW17" s="2388"/>
      <c r="AX17" s="2388"/>
      <c r="AY17" s="2388"/>
      <c r="AZ17" s="2388"/>
      <c r="BA17" s="2388"/>
      <c r="BB17" s="2388"/>
      <c r="BC17" s="2388"/>
      <c r="BD17" s="2388"/>
      <c r="BE17" s="2401"/>
      <c r="BF17" s="2400"/>
      <c r="BG17" s="2400"/>
      <c r="BH17" s="2400"/>
      <c r="BI17" s="2400"/>
      <c r="BJ17" s="2400"/>
      <c r="BK17" s="2400"/>
      <c r="BL17" s="2400"/>
      <c r="BM17" s="2400"/>
      <c r="BN17" s="2400"/>
      <c r="BO17" s="2400"/>
      <c r="BP17" s="2400"/>
      <c r="BQ17" s="2709"/>
      <c r="BR17" s="2707"/>
      <c r="BS17" s="2707"/>
      <c r="BT17" s="2707"/>
      <c r="BU17" s="2709"/>
      <c r="BV17" s="2707"/>
      <c r="BW17" s="2707"/>
      <c r="BX17" s="2707"/>
      <c r="BY17" s="2399"/>
      <c r="BZ17" s="2399"/>
      <c r="CA17" s="2709"/>
      <c r="CB17" s="2707"/>
      <c r="CC17" s="2707"/>
      <c r="CD17" s="2707"/>
      <c r="CE17" s="2372"/>
      <c r="CF17" s="2372"/>
      <c r="CG17" s="2372"/>
      <c r="CH17" s="2372"/>
      <c r="CI17" s="2372"/>
      <c r="CJ17" s="2372"/>
      <c r="CK17" s="2372"/>
      <c r="CL17" s="2372"/>
      <c r="CM17" s="2372"/>
      <c r="CN17" s="2372"/>
      <c r="CO17" s="2372"/>
      <c r="CP17" s="2372"/>
      <c r="CQ17" s="2372"/>
      <c r="CR17" s="2372"/>
      <c r="CS17" s="2372"/>
      <c r="CT17" s="2372"/>
      <c r="CU17" s="2372"/>
      <c r="CV17" s="2372"/>
      <c r="CW17" s="2372"/>
      <c r="CX17" s="2372"/>
      <c r="CY17" s="2372"/>
      <c r="CZ17" s="2372"/>
      <c r="DA17" s="2372"/>
    </row>
    <row r="18" spans="1:105" ht="18.75" customHeight="1" thickTop="1" thickBot="1">
      <c r="A18" s="2372"/>
      <c r="B18" s="2377"/>
      <c r="C18" s="2689"/>
      <c r="D18" s="2688"/>
      <c r="E18" s="2393" t="s">
        <v>2226</v>
      </c>
      <c r="G18" s="2689"/>
      <c r="H18" s="2688"/>
      <c r="I18" s="2719" t="s">
        <v>10427</v>
      </c>
      <c r="J18" s="2690"/>
      <c r="K18" s="2688"/>
      <c r="L18" s="2694"/>
      <c r="M18" s="2695"/>
      <c r="N18" s="2398" t="s">
        <v>2228</v>
      </c>
      <c r="P18" s="2393" t="b">
        <v>0</v>
      </c>
      <c r="Q18" s="2689"/>
      <c r="R18" s="2690"/>
      <c r="S18" s="2690"/>
      <c r="T18" s="2690"/>
      <c r="U18" s="2688"/>
      <c r="V18" s="2691"/>
      <c r="W18" s="2688"/>
      <c r="X18" s="2692"/>
      <c r="Y18" s="2690"/>
      <c r="Z18" s="2688"/>
      <c r="AA18" s="2689"/>
      <c r="AB18" s="2688"/>
      <c r="AC18" s="2689"/>
      <c r="AD18" s="2690"/>
      <c r="AE18" s="2690"/>
      <c r="AF18" s="2688"/>
      <c r="AG18" s="2392"/>
      <c r="AK18" s="2388"/>
      <c r="AL18" s="2388"/>
      <c r="AM18" s="2388"/>
      <c r="AN18" s="2388"/>
      <c r="AO18" s="2388"/>
      <c r="AP18" s="2388"/>
      <c r="AQ18" s="2388"/>
      <c r="AR18" s="2388"/>
      <c r="AS18" s="2388"/>
      <c r="AT18" s="2388"/>
      <c r="AU18" s="2388"/>
      <c r="AV18" s="2388"/>
      <c r="AW18" s="2388"/>
      <c r="AX18" s="2388"/>
      <c r="AY18" s="2388"/>
      <c r="AZ18" s="2388"/>
      <c r="BA18" s="2388"/>
      <c r="BB18" s="2388"/>
      <c r="BC18" s="2388"/>
      <c r="BD18" s="2388"/>
      <c r="BE18" s="2372"/>
      <c r="BF18" s="2372"/>
      <c r="BG18" s="2372"/>
      <c r="BH18" s="2708"/>
      <c r="BI18" s="2707"/>
      <c r="BJ18" s="2707"/>
      <c r="BK18" s="2707"/>
      <c r="BL18" s="2707"/>
      <c r="BM18" s="2707"/>
      <c r="BN18" s="2707"/>
      <c r="BO18" s="2707"/>
      <c r="BP18" s="2707"/>
      <c r="BQ18" s="2372"/>
      <c r="BR18" s="2708"/>
      <c r="BS18" s="2707"/>
      <c r="BT18" s="2707"/>
      <c r="BU18" s="2379"/>
      <c r="BV18" s="2706"/>
      <c r="BW18" s="2707"/>
      <c r="BX18" s="2707"/>
      <c r="BY18" s="2372"/>
      <c r="BZ18" s="2372"/>
      <c r="CA18" s="2372"/>
      <c r="CB18" s="2706"/>
      <c r="CC18" s="2707"/>
      <c r="CD18" s="2707"/>
      <c r="CE18" s="2372"/>
      <c r="CF18" s="2395"/>
      <c r="CG18" s="2395"/>
      <c r="CH18" s="2395"/>
      <c r="CI18" s="2395"/>
      <c r="CJ18" s="2395"/>
      <c r="CK18" s="2395"/>
      <c r="CL18" s="2395"/>
      <c r="CM18" s="2395"/>
      <c r="CN18" s="2395"/>
      <c r="CO18" s="2395"/>
      <c r="CP18" s="2395"/>
      <c r="CQ18" s="2395"/>
      <c r="CR18" s="2372"/>
      <c r="CS18" s="2372"/>
      <c r="CT18" s="2372"/>
      <c r="CU18" s="2372"/>
      <c r="CV18" s="2372"/>
      <c r="CW18" s="2372"/>
      <c r="CX18" s="2372"/>
      <c r="CY18" s="2372"/>
      <c r="CZ18" s="2372"/>
      <c r="DA18" s="2372"/>
    </row>
    <row r="19" spans="1:105" ht="18.75" customHeight="1" thickTop="1" thickBot="1">
      <c r="A19" s="2372"/>
      <c r="B19" s="2377"/>
      <c r="C19" s="2689"/>
      <c r="D19" s="2688"/>
      <c r="E19" s="2393" t="s">
        <v>2227</v>
      </c>
      <c r="G19" s="2689"/>
      <c r="H19" s="2688"/>
      <c r="I19" s="2719" t="s">
        <v>10427</v>
      </c>
      <c r="J19" s="2690"/>
      <c r="K19" s="2688"/>
      <c r="L19" s="2696"/>
      <c r="M19" s="2697"/>
      <c r="N19" s="2398" t="s">
        <v>2228</v>
      </c>
      <c r="P19" s="2393" t="b">
        <v>0</v>
      </c>
      <c r="Q19" s="2689"/>
      <c r="R19" s="2690"/>
      <c r="S19" s="2690"/>
      <c r="T19" s="2690"/>
      <c r="U19" s="2688"/>
      <c r="V19" s="2691"/>
      <c r="W19" s="2688"/>
      <c r="X19" s="2692"/>
      <c r="Y19" s="2690"/>
      <c r="Z19" s="2688"/>
      <c r="AA19" s="2689"/>
      <c r="AB19" s="2688"/>
      <c r="AC19" s="2689"/>
      <c r="AD19" s="2690"/>
      <c r="AE19" s="2690"/>
      <c r="AF19" s="2688"/>
      <c r="AG19" s="2392"/>
      <c r="AK19" s="2388"/>
      <c r="AL19" s="2388"/>
      <c r="AM19" s="2388"/>
      <c r="AN19" s="2388"/>
      <c r="AO19" s="2388"/>
      <c r="AP19" s="2388"/>
      <c r="AQ19" s="2388"/>
      <c r="AR19" s="2388"/>
      <c r="AS19" s="2388"/>
      <c r="AT19" s="2388"/>
      <c r="AU19" s="2388"/>
      <c r="AV19" s="2388"/>
      <c r="AW19" s="2388"/>
      <c r="AX19" s="2388"/>
      <c r="AY19" s="2388"/>
      <c r="AZ19" s="2388"/>
      <c r="BA19" s="2388"/>
      <c r="BB19" s="2388"/>
      <c r="BC19" s="2388"/>
      <c r="BD19" s="2388"/>
      <c r="BE19" s="2372"/>
      <c r="BF19" s="2372"/>
      <c r="BG19" s="2372"/>
      <c r="BH19" s="2708"/>
      <c r="BI19" s="2707"/>
      <c r="BJ19" s="2707"/>
      <c r="BK19" s="2707"/>
      <c r="BL19" s="2707"/>
      <c r="BM19" s="2707"/>
      <c r="BN19" s="2707"/>
      <c r="BO19" s="2707"/>
      <c r="BP19" s="2707"/>
      <c r="BQ19" s="2372"/>
      <c r="BR19" s="2708"/>
      <c r="BS19" s="2707"/>
      <c r="BT19" s="2707"/>
      <c r="BU19" s="2379"/>
      <c r="BV19" s="2706"/>
      <c r="BW19" s="2707"/>
      <c r="BX19" s="2707"/>
      <c r="BY19" s="2372"/>
      <c r="BZ19" s="2372"/>
      <c r="CA19" s="2372"/>
      <c r="CB19" s="2706"/>
      <c r="CC19" s="2707"/>
      <c r="CD19" s="2707"/>
      <c r="CE19" s="2372"/>
      <c r="CF19" s="2395"/>
      <c r="CG19" s="2395"/>
      <c r="CH19" s="2395"/>
      <c r="CI19" s="2395"/>
      <c r="CJ19" s="2395"/>
      <c r="CK19" s="2395"/>
      <c r="CL19" s="2395"/>
      <c r="CM19" s="2395"/>
      <c r="CN19" s="2395"/>
      <c r="CO19" s="2395"/>
      <c r="CP19" s="2395"/>
      <c r="CQ19" s="2395"/>
      <c r="CR19" s="2372"/>
      <c r="CS19" s="2372"/>
      <c r="CT19" s="2372"/>
      <c r="CU19" s="2372"/>
      <c r="CV19" s="2372"/>
      <c r="CW19" s="2372"/>
      <c r="CX19" s="2372"/>
      <c r="CY19" s="2372"/>
      <c r="CZ19" s="2372"/>
      <c r="DA19" s="2372"/>
    </row>
    <row r="20" spans="1:105" ht="18.75" customHeight="1" thickTop="1" thickBot="1">
      <c r="A20" s="2372"/>
      <c r="B20" s="2377"/>
      <c r="C20" s="2689"/>
      <c r="D20" s="2688"/>
      <c r="E20" s="2393" t="s">
        <v>10432</v>
      </c>
      <c r="G20" s="2689"/>
      <c r="H20" s="2688"/>
      <c r="I20" s="2719" t="s">
        <v>10427</v>
      </c>
      <c r="J20" s="2690"/>
      <c r="K20" s="2688"/>
      <c r="L20" s="2696"/>
      <c r="M20" s="2697"/>
      <c r="N20" s="2398" t="s">
        <v>2228</v>
      </c>
      <c r="P20" s="2393" t="b">
        <v>0</v>
      </c>
      <c r="Q20" s="2689"/>
      <c r="R20" s="2690"/>
      <c r="S20" s="2690"/>
      <c r="T20" s="2690"/>
      <c r="U20" s="2688"/>
      <c r="V20" s="2691"/>
      <c r="W20" s="2688"/>
      <c r="X20" s="2692"/>
      <c r="Y20" s="2690"/>
      <c r="Z20" s="2688"/>
      <c r="AA20" s="2689"/>
      <c r="AB20" s="2688"/>
      <c r="AC20" s="2689"/>
      <c r="AD20" s="2690"/>
      <c r="AE20" s="2690"/>
      <c r="AF20" s="2688"/>
      <c r="AG20" s="2392"/>
      <c r="AK20" s="2388"/>
      <c r="AL20" s="2388"/>
      <c r="AM20" s="2388"/>
      <c r="AN20" s="2388"/>
      <c r="AO20" s="2388"/>
      <c r="AP20" s="2388"/>
      <c r="AQ20" s="2388"/>
      <c r="AR20" s="2388"/>
      <c r="AS20" s="2388"/>
      <c r="AT20" s="2388"/>
      <c r="AU20" s="2388"/>
      <c r="AV20" s="2388"/>
      <c r="AW20" s="2388"/>
      <c r="AX20" s="2388"/>
      <c r="AY20" s="2388"/>
      <c r="AZ20" s="2388"/>
      <c r="BA20" s="2388"/>
      <c r="BB20" s="2388"/>
      <c r="BC20" s="2388"/>
      <c r="BD20" s="2388"/>
      <c r="BE20" s="2372"/>
      <c r="BF20" s="2372"/>
      <c r="BG20" s="2372"/>
      <c r="BH20" s="2708"/>
      <c r="BI20" s="2707"/>
      <c r="BJ20" s="2707"/>
      <c r="BK20" s="2707"/>
      <c r="BL20" s="2707"/>
      <c r="BM20" s="2707"/>
      <c r="BN20" s="2707"/>
      <c r="BO20" s="2707"/>
      <c r="BP20" s="2707"/>
      <c r="BQ20" s="2372"/>
      <c r="BR20" s="2708"/>
      <c r="BS20" s="2707"/>
      <c r="BT20" s="2707"/>
      <c r="BU20" s="2379"/>
      <c r="BV20" s="2706"/>
      <c r="BW20" s="2707"/>
      <c r="BX20" s="2707"/>
      <c r="BY20" s="2372"/>
      <c r="BZ20" s="2372"/>
      <c r="CA20" s="2372"/>
      <c r="CB20" s="2706"/>
      <c r="CC20" s="2707"/>
      <c r="CD20" s="2707"/>
      <c r="CE20" s="2372"/>
      <c r="CF20" s="2395"/>
      <c r="CG20" s="2395"/>
      <c r="CH20" s="2395"/>
      <c r="CI20" s="2395"/>
      <c r="CJ20" s="2395"/>
      <c r="CK20" s="2395"/>
      <c r="CL20" s="2395"/>
      <c r="CM20" s="2395"/>
      <c r="CN20" s="2395"/>
      <c r="CO20" s="2395"/>
      <c r="CP20" s="2395"/>
      <c r="CQ20" s="2395"/>
      <c r="CR20" s="2372"/>
      <c r="CS20" s="2372"/>
      <c r="CT20" s="2372"/>
      <c r="CU20" s="2372"/>
      <c r="CV20" s="2372"/>
      <c r="CW20" s="2372"/>
      <c r="CX20" s="2372"/>
      <c r="CY20" s="2372"/>
      <c r="CZ20" s="2372"/>
      <c r="DA20" s="2372"/>
    </row>
    <row r="21" spans="1:105" ht="18.75" customHeight="1" thickTop="1" thickBot="1">
      <c r="A21" s="2372"/>
      <c r="B21" s="2377"/>
      <c r="C21" s="2689"/>
      <c r="D21" s="2688"/>
      <c r="E21" s="2393" t="s">
        <v>2228</v>
      </c>
      <c r="G21" s="2689"/>
      <c r="H21" s="2688"/>
      <c r="I21" s="2719" t="s">
        <v>10427</v>
      </c>
      <c r="J21" s="2690"/>
      <c r="K21" s="2688"/>
      <c r="L21" s="2696"/>
      <c r="M21" s="2697"/>
      <c r="N21" s="2398" t="s">
        <v>2228</v>
      </c>
      <c r="P21" s="2393" t="b">
        <v>0</v>
      </c>
      <c r="Q21" s="2689"/>
      <c r="R21" s="2690"/>
      <c r="S21" s="2690"/>
      <c r="T21" s="2690"/>
      <c r="U21" s="2688"/>
      <c r="V21" s="2691"/>
      <c r="W21" s="2688"/>
      <c r="X21" s="2692"/>
      <c r="Y21" s="2690"/>
      <c r="Z21" s="2688"/>
      <c r="AA21" s="2689"/>
      <c r="AB21" s="2688"/>
      <c r="AC21" s="2689"/>
      <c r="AD21" s="2690"/>
      <c r="AE21" s="2690"/>
      <c r="AF21" s="2688"/>
      <c r="AG21" s="2392"/>
      <c r="AK21" s="2388"/>
      <c r="AL21" s="2388"/>
      <c r="AM21" s="2388"/>
      <c r="AN21" s="2388"/>
      <c r="AO21" s="2388"/>
      <c r="AP21" s="2388"/>
      <c r="AQ21" s="2388"/>
      <c r="AR21" s="2388"/>
      <c r="AS21" s="2388"/>
      <c r="AT21" s="2388"/>
      <c r="AU21" s="2388"/>
      <c r="AV21" s="2388"/>
      <c r="AW21" s="2388"/>
      <c r="AX21" s="2388"/>
      <c r="AY21" s="2388"/>
      <c r="AZ21" s="2388"/>
      <c r="BA21" s="2388"/>
      <c r="BB21" s="2388"/>
      <c r="BC21" s="2388"/>
      <c r="BD21" s="2388"/>
      <c r="BE21" s="2372"/>
      <c r="BF21" s="2372"/>
      <c r="BG21" s="2372"/>
      <c r="BH21" s="2708"/>
      <c r="BI21" s="2707"/>
      <c r="BJ21" s="2707"/>
      <c r="BK21" s="2707"/>
      <c r="BL21" s="2707"/>
      <c r="BM21" s="2707"/>
      <c r="BN21" s="2707"/>
      <c r="BO21" s="2707"/>
      <c r="BP21" s="2707"/>
      <c r="BQ21" s="2372"/>
      <c r="BR21" s="2708"/>
      <c r="BS21" s="2707"/>
      <c r="BT21" s="2707"/>
      <c r="BU21" s="2379"/>
      <c r="BV21" s="2706"/>
      <c r="BW21" s="2707"/>
      <c r="BX21" s="2707"/>
      <c r="BY21" s="2372"/>
      <c r="BZ21" s="2372"/>
      <c r="CA21" s="2372"/>
      <c r="CB21" s="2706"/>
      <c r="CC21" s="2707"/>
      <c r="CD21" s="2707"/>
      <c r="CE21" s="2372"/>
      <c r="CF21" s="2395"/>
      <c r="CG21" s="2395"/>
      <c r="CH21" s="2395"/>
      <c r="CI21" s="2395"/>
      <c r="CJ21" s="2395"/>
      <c r="CK21" s="2395"/>
      <c r="CL21" s="2395"/>
      <c r="CM21" s="2395"/>
      <c r="CN21" s="2395"/>
      <c r="CO21" s="2395"/>
      <c r="CP21" s="2395"/>
      <c r="CQ21" s="2395"/>
      <c r="CR21" s="2372"/>
      <c r="CS21" s="2372"/>
      <c r="CT21" s="2372"/>
      <c r="CU21" s="2372"/>
      <c r="CV21" s="2372"/>
      <c r="CW21" s="2372"/>
      <c r="CX21" s="2372"/>
      <c r="CY21" s="2372"/>
      <c r="CZ21" s="2372"/>
      <c r="DA21" s="2372"/>
    </row>
    <row r="22" spans="1:105" ht="18.75" customHeight="1" thickTop="1" thickBot="1">
      <c r="A22" s="2372"/>
      <c r="B22" s="2377"/>
      <c r="C22" s="2689"/>
      <c r="D22" s="2688"/>
      <c r="E22" s="2393" t="s">
        <v>10428</v>
      </c>
      <c r="G22" s="2689"/>
      <c r="H22" s="2688"/>
      <c r="I22" s="2719" t="s">
        <v>10427</v>
      </c>
      <c r="J22" s="2690"/>
      <c r="K22" s="2688"/>
      <c r="L22" s="2696"/>
      <c r="M22" s="2697"/>
      <c r="N22" s="2398" t="s">
        <v>2228</v>
      </c>
      <c r="P22" s="2393" t="b">
        <v>0</v>
      </c>
      <c r="Q22" s="2689"/>
      <c r="R22" s="2690"/>
      <c r="S22" s="2690"/>
      <c r="T22" s="2690"/>
      <c r="U22" s="2688"/>
      <c r="V22" s="2691"/>
      <c r="W22" s="2688"/>
      <c r="X22" s="2692"/>
      <c r="Y22" s="2690"/>
      <c r="Z22" s="2688"/>
      <c r="AA22" s="2689"/>
      <c r="AB22" s="2688"/>
      <c r="AC22" s="2689"/>
      <c r="AD22" s="2690"/>
      <c r="AE22" s="2690"/>
      <c r="AF22" s="2688"/>
      <c r="AG22" s="2392"/>
      <c r="AK22" s="2388"/>
      <c r="AL22" s="2388"/>
      <c r="AM22" s="2388"/>
      <c r="AN22" s="2388"/>
      <c r="AO22" s="2388"/>
      <c r="AP22" s="2388"/>
      <c r="AQ22" s="2388"/>
      <c r="AR22" s="2388"/>
      <c r="AS22" s="2388"/>
      <c r="AT22" s="2388"/>
      <c r="AU22" s="2388"/>
      <c r="AV22" s="2388"/>
      <c r="AW22" s="2388"/>
      <c r="AX22" s="2388"/>
      <c r="AY22" s="2388"/>
      <c r="AZ22" s="2388"/>
      <c r="BA22" s="2388"/>
      <c r="BB22" s="2388"/>
      <c r="BC22" s="2388"/>
      <c r="BD22" s="2388"/>
      <c r="BE22" s="2372"/>
      <c r="BF22" s="2372"/>
      <c r="BG22" s="2372"/>
      <c r="BH22" s="2708"/>
      <c r="BI22" s="2707"/>
      <c r="BJ22" s="2707"/>
      <c r="BK22" s="2707"/>
      <c r="BL22" s="2707"/>
      <c r="BM22" s="2707"/>
      <c r="BN22" s="2707"/>
      <c r="BO22" s="2707"/>
      <c r="BP22" s="2707"/>
      <c r="BQ22" s="2372"/>
      <c r="BR22" s="2708"/>
      <c r="BS22" s="2707"/>
      <c r="BT22" s="2707"/>
      <c r="BU22" s="2379"/>
      <c r="BV22" s="2706"/>
      <c r="BW22" s="2707"/>
      <c r="BX22" s="2707"/>
      <c r="BY22" s="2372"/>
      <c r="BZ22" s="2372"/>
      <c r="CA22" s="2372"/>
      <c r="CB22" s="2706"/>
      <c r="CC22" s="2707"/>
      <c r="CD22" s="2707"/>
      <c r="CE22" s="2372"/>
      <c r="CF22" s="2395"/>
      <c r="CG22" s="2395"/>
      <c r="CH22" s="2395"/>
      <c r="CI22" s="2395"/>
      <c r="CJ22" s="2395"/>
      <c r="CK22" s="2395"/>
      <c r="CL22" s="2395"/>
      <c r="CM22" s="2395"/>
      <c r="CN22" s="2395"/>
      <c r="CO22" s="2395"/>
      <c r="CP22" s="2395"/>
      <c r="CQ22" s="2395"/>
      <c r="CR22" s="2372"/>
      <c r="CS22" s="2372"/>
      <c r="CT22" s="2372"/>
      <c r="CU22" s="2372"/>
      <c r="CV22" s="2372"/>
      <c r="CW22" s="2372"/>
      <c r="CX22" s="2372"/>
      <c r="CY22" s="2372"/>
      <c r="CZ22" s="2372"/>
      <c r="DA22" s="2372"/>
    </row>
    <row r="23" spans="1:105" ht="18.75" customHeight="1" thickTop="1" thickBot="1">
      <c r="A23" s="2372"/>
      <c r="B23" s="2377"/>
      <c r="C23" s="2730" t="s">
        <v>10426</v>
      </c>
      <c r="D23" s="2688"/>
      <c r="E23" s="2739">
        <f>PlatinumPieces*10 + GoldPieces + ElectrumPieces/5 + SilverPieces/10 + CopperPieces/100 + GemsQuantity1*GemsWorth1 + GemsQuantity2*GemsWorth2 + GemsQuantity3*GemsWorth3 + GemsQuantity4*GemsWorth4 + GemsQuantity5*GemsWorth5</f>
        <v>0</v>
      </c>
      <c r="F23" s="2688"/>
      <c r="G23" s="2397" t="s">
        <v>2228</v>
      </c>
      <c r="H23" s="2382"/>
      <c r="I23" s="2382"/>
      <c r="J23" s="2382"/>
      <c r="K23" s="2382"/>
      <c r="M23" s="2396"/>
      <c r="N23" s="2382"/>
      <c r="P23" s="2393" t="b">
        <v>0</v>
      </c>
      <c r="Q23" s="2689"/>
      <c r="R23" s="2690"/>
      <c r="S23" s="2690"/>
      <c r="T23" s="2690"/>
      <c r="U23" s="2688"/>
      <c r="V23" s="2691"/>
      <c r="W23" s="2688"/>
      <c r="X23" s="2692"/>
      <c r="Y23" s="2690"/>
      <c r="Z23" s="2688"/>
      <c r="AA23" s="2689"/>
      <c r="AB23" s="2688"/>
      <c r="AC23" s="2689"/>
      <c r="AD23" s="2690"/>
      <c r="AE23" s="2690"/>
      <c r="AF23" s="2688"/>
      <c r="AG23" s="2392"/>
      <c r="AK23" s="2388"/>
      <c r="AL23" s="2388"/>
      <c r="AM23" s="2388"/>
      <c r="AN23" s="2388"/>
      <c r="AO23" s="2388"/>
      <c r="AP23" s="2388"/>
      <c r="AQ23" s="2388"/>
      <c r="AR23" s="2388"/>
      <c r="AS23" s="2388"/>
      <c r="AT23" s="2388"/>
      <c r="AU23" s="2388"/>
      <c r="AV23" s="2388"/>
      <c r="AW23" s="2388"/>
      <c r="AX23" s="2388"/>
      <c r="AY23" s="2388"/>
      <c r="AZ23" s="2388"/>
      <c r="BA23" s="2388"/>
      <c r="BB23" s="2388"/>
      <c r="BC23" s="2388"/>
      <c r="BD23" s="2388"/>
      <c r="BE23" s="2372"/>
      <c r="BF23" s="2372"/>
      <c r="BG23" s="2372"/>
      <c r="BH23" s="2708"/>
      <c r="BI23" s="2707"/>
      <c r="BJ23" s="2707"/>
      <c r="BK23" s="2707"/>
      <c r="BL23" s="2707"/>
      <c r="BM23" s="2707"/>
      <c r="BN23" s="2707"/>
      <c r="BO23" s="2707"/>
      <c r="BP23" s="2707"/>
      <c r="BQ23" s="2372"/>
      <c r="BR23" s="2708"/>
      <c r="BS23" s="2707"/>
      <c r="BT23" s="2707"/>
      <c r="BU23" s="2379"/>
      <c r="BV23" s="2706"/>
      <c r="BW23" s="2707"/>
      <c r="BX23" s="2707"/>
      <c r="BY23" s="2372"/>
      <c r="BZ23" s="2372"/>
      <c r="CA23" s="2372"/>
      <c r="CB23" s="2706"/>
      <c r="CC23" s="2707"/>
      <c r="CD23" s="2707"/>
      <c r="CE23" s="2372"/>
      <c r="CF23" s="2395"/>
      <c r="CG23" s="2395"/>
      <c r="CH23" s="2395"/>
      <c r="CI23" s="2395"/>
      <c r="CJ23" s="2395"/>
      <c r="CK23" s="2395"/>
      <c r="CL23" s="2395"/>
      <c r="CM23" s="2395"/>
      <c r="CN23" s="2395"/>
      <c r="CO23" s="2395"/>
      <c r="CP23" s="2395"/>
      <c r="CQ23" s="2395"/>
      <c r="CR23" s="2372"/>
      <c r="CS23" s="2372"/>
      <c r="CT23" s="2372"/>
      <c r="CU23" s="2372"/>
      <c r="CV23" s="2372"/>
      <c r="CW23" s="2372"/>
      <c r="CX23" s="2372"/>
      <c r="CY23" s="2372"/>
      <c r="CZ23" s="2372"/>
      <c r="DA23" s="2372"/>
    </row>
    <row r="24" spans="1:105" ht="18.75" customHeight="1" thickTop="1" thickBot="1">
      <c r="A24" s="2372"/>
      <c r="B24" s="2377"/>
      <c r="C24" s="2729" t="s">
        <v>10424</v>
      </c>
      <c r="D24" s="2712"/>
      <c r="E24" s="2712"/>
      <c r="F24" s="2713"/>
      <c r="G24" s="2393"/>
      <c r="H24" s="2393"/>
      <c r="I24" s="2393"/>
      <c r="J24" s="2393"/>
      <c r="K24" s="2393"/>
      <c r="L24" s="2393"/>
      <c r="M24" s="2393"/>
      <c r="N24" s="2393"/>
      <c r="O24" s="2394"/>
      <c r="P24" s="2393" t="b">
        <v>0</v>
      </c>
      <c r="Q24" s="2689"/>
      <c r="R24" s="2690"/>
      <c r="S24" s="2690"/>
      <c r="T24" s="2690"/>
      <c r="U24" s="2688"/>
      <c r="V24" s="2691"/>
      <c r="W24" s="2688"/>
      <c r="X24" s="2692"/>
      <c r="Y24" s="2690"/>
      <c r="Z24" s="2688"/>
      <c r="AA24" s="2689"/>
      <c r="AB24" s="2688"/>
      <c r="AC24" s="2689"/>
      <c r="AD24" s="2690"/>
      <c r="AE24" s="2690"/>
      <c r="AF24" s="2688"/>
      <c r="AG24" s="2392"/>
      <c r="AK24" s="2388"/>
      <c r="AL24" s="2388"/>
      <c r="AM24" s="2388"/>
      <c r="AN24" s="2388"/>
      <c r="AO24" s="2388"/>
      <c r="AP24" s="2388"/>
      <c r="AQ24" s="2388"/>
      <c r="AR24" s="2388"/>
      <c r="AS24" s="2388"/>
      <c r="AT24" s="2388"/>
      <c r="AU24" s="2388"/>
      <c r="AV24" s="2388"/>
      <c r="AW24" s="2388"/>
      <c r="AX24" s="2388"/>
      <c r="AY24" s="2388"/>
      <c r="AZ24" s="2388"/>
      <c r="BA24" s="2388"/>
      <c r="BB24" s="2388"/>
      <c r="BC24" s="2388"/>
      <c r="BD24" s="2388"/>
      <c r="BE24" s="2372"/>
      <c r="BF24" s="2372"/>
      <c r="BG24" s="2372"/>
      <c r="BH24" s="2372"/>
      <c r="BI24" s="2372"/>
      <c r="BJ24" s="2372"/>
      <c r="BK24" s="2372"/>
      <c r="BL24" s="2372"/>
      <c r="BM24" s="2372"/>
      <c r="BN24" s="2372"/>
      <c r="BO24" s="2372"/>
      <c r="BP24" s="2372"/>
      <c r="BQ24" s="2372"/>
      <c r="BR24" s="2372"/>
      <c r="BS24" s="2372"/>
      <c r="BT24" s="2372"/>
      <c r="BU24" s="2372"/>
      <c r="BV24" s="2372"/>
      <c r="BW24" s="2372"/>
      <c r="BX24" s="2372"/>
      <c r="BY24" s="2372"/>
      <c r="BZ24" s="2372"/>
      <c r="CA24" s="2372"/>
      <c r="CB24" s="2372"/>
      <c r="CC24" s="2372"/>
      <c r="CD24" s="2372"/>
      <c r="CE24" s="2372"/>
      <c r="CF24" s="2372"/>
      <c r="CG24" s="2372"/>
      <c r="CH24" s="2372"/>
      <c r="CI24" s="2372"/>
      <c r="CJ24" s="2372"/>
      <c r="CK24" s="2372"/>
      <c r="CL24" s="2372"/>
      <c r="CM24" s="2372"/>
      <c r="CN24" s="2372"/>
      <c r="CO24" s="2372"/>
      <c r="CP24" s="2372"/>
      <c r="CQ24" s="2372"/>
      <c r="CR24" s="2372"/>
      <c r="CS24" s="2372"/>
      <c r="CT24" s="2372"/>
      <c r="CU24" s="2372"/>
      <c r="CV24" s="2372"/>
      <c r="CW24" s="2372"/>
      <c r="CX24" s="2372"/>
      <c r="CY24" s="2372"/>
      <c r="CZ24" s="2372"/>
      <c r="DA24" s="2372"/>
    </row>
    <row r="25" spans="1:105" ht="18.75" customHeight="1" thickTop="1" thickBot="1">
      <c r="A25" s="2372"/>
      <c r="B25" s="2377"/>
      <c r="C25" s="2701"/>
      <c r="D25" s="2702"/>
      <c r="E25" s="2702"/>
      <c r="F25" s="2703"/>
      <c r="G25" s="2393"/>
      <c r="H25" s="2382"/>
      <c r="I25" s="2693" t="s">
        <v>10398</v>
      </c>
      <c r="J25" s="2688"/>
      <c r="K25" s="2693" t="s">
        <v>10397</v>
      </c>
      <c r="L25" s="2688"/>
      <c r="M25" s="2393"/>
      <c r="N25" s="2393"/>
      <c r="O25" s="2394"/>
      <c r="P25" s="2393" t="b">
        <v>0</v>
      </c>
      <c r="Q25" s="2689"/>
      <c r="R25" s="2690"/>
      <c r="S25" s="2690"/>
      <c r="T25" s="2690"/>
      <c r="U25" s="2688"/>
      <c r="V25" s="2691"/>
      <c r="W25" s="2688"/>
      <c r="X25" s="2692"/>
      <c r="Y25" s="2690"/>
      <c r="Z25" s="2688"/>
      <c r="AA25" s="2689"/>
      <c r="AB25" s="2688"/>
      <c r="AC25" s="2689"/>
      <c r="AD25" s="2690"/>
      <c r="AE25" s="2690"/>
      <c r="AF25" s="2688"/>
      <c r="AG25" s="2392"/>
      <c r="AK25" s="2388"/>
      <c r="AL25" s="2388"/>
      <c r="AM25" s="2388"/>
      <c r="AN25" s="2388"/>
      <c r="AO25" s="2388"/>
      <c r="AP25" s="2388"/>
      <c r="AQ25" s="2388"/>
      <c r="AR25" s="2388"/>
      <c r="AS25" s="2388"/>
      <c r="AT25" s="2388"/>
      <c r="AU25" s="2388"/>
      <c r="AV25" s="2388"/>
      <c r="AW25" s="2388"/>
      <c r="AX25" s="2388"/>
      <c r="AY25" s="2388"/>
      <c r="AZ25" s="2388"/>
      <c r="BA25" s="2388"/>
      <c r="BB25" s="2388"/>
      <c r="BC25" s="2388"/>
      <c r="BD25" s="2388"/>
      <c r="BE25" s="2372"/>
      <c r="BF25" s="2372"/>
      <c r="BG25" s="2372"/>
      <c r="BH25" s="2372"/>
      <c r="BI25" s="2372"/>
      <c r="BJ25" s="2372"/>
      <c r="BK25" s="2372"/>
      <c r="BL25" s="2372"/>
      <c r="BM25" s="2372"/>
      <c r="BN25" s="2372"/>
      <c r="BO25" s="2372"/>
      <c r="BP25" s="2372"/>
      <c r="BQ25" s="2372"/>
      <c r="BR25" s="2372"/>
      <c r="BS25" s="2372"/>
      <c r="BT25" s="2372"/>
      <c r="BU25" s="2372"/>
      <c r="BV25" s="2372"/>
      <c r="BW25" s="2372"/>
      <c r="BX25" s="2372"/>
      <c r="BY25" s="2372"/>
      <c r="BZ25" s="2372"/>
      <c r="CA25" s="2372"/>
      <c r="CB25" s="2372"/>
      <c r="CC25" s="2372"/>
      <c r="CD25" s="2372"/>
      <c r="CE25" s="2372"/>
      <c r="CF25" s="2372"/>
      <c r="CG25" s="2372"/>
      <c r="CH25" s="2372"/>
      <c r="CI25" s="2372"/>
      <c r="CJ25" s="2372"/>
      <c r="CK25" s="2372"/>
      <c r="CL25" s="2372"/>
      <c r="CM25" s="2372"/>
      <c r="CN25" s="2372"/>
      <c r="CO25" s="2372"/>
      <c r="CP25" s="2372"/>
      <c r="CQ25" s="2372"/>
      <c r="CR25" s="2372"/>
      <c r="CS25" s="2372"/>
      <c r="CT25" s="2372"/>
      <c r="CU25" s="2372"/>
      <c r="CV25" s="2372"/>
      <c r="CW25" s="2372"/>
      <c r="CX25" s="2372"/>
      <c r="CY25" s="2372"/>
      <c r="CZ25" s="2372"/>
      <c r="DA25" s="2372"/>
    </row>
    <row r="26" spans="1:105" ht="18.75" customHeight="1" thickTop="1" thickBot="1">
      <c r="A26" s="2372"/>
      <c r="B26" s="2377"/>
      <c r="C26" s="2689"/>
      <c r="D26" s="2688"/>
      <c r="E26" s="2719" t="s">
        <v>10419</v>
      </c>
      <c r="F26" s="2690"/>
      <c r="G26" s="2690"/>
      <c r="H26" s="2688"/>
      <c r="I26" s="2727">
        <v>1</v>
      </c>
      <c r="J26" s="2688"/>
      <c r="K26" s="2689"/>
      <c r="L26" s="2690"/>
      <c r="M26" s="2690"/>
      <c r="N26" s="2688"/>
      <c r="P26" s="2393" t="b">
        <v>0</v>
      </c>
      <c r="Q26" s="2689"/>
      <c r="R26" s="2690"/>
      <c r="S26" s="2690"/>
      <c r="T26" s="2690"/>
      <c r="U26" s="2688"/>
      <c r="V26" s="2691"/>
      <c r="W26" s="2688"/>
      <c r="X26" s="2692"/>
      <c r="Y26" s="2690"/>
      <c r="Z26" s="2688"/>
      <c r="AA26" s="2689"/>
      <c r="AB26" s="2688"/>
      <c r="AC26" s="2689"/>
      <c r="AD26" s="2690"/>
      <c r="AE26" s="2690"/>
      <c r="AF26" s="2688"/>
      <c r="AG26" s="2392"/>
      <c r="AK26" s="2388"/>
      <c r="AL26" s="2388"/>
      <c r="AM26" s="2388"/>
      <c r="AN26" s="2388"/>
      <c r="AO26" s="2388"/>
      <c r="AP26" s="2388"/>
      <c r="AQ26" s="2388"/>
      <c r="AR26" s="2388"/>
      <c r="AS26" s="2388"/>
      <c r="AT26" s="2388"/>
      <c r="AU26" s="2388"/>
      <c r="AV26" s="2388"/>
      <c r="AW26" s="2388"/>
      <c r="AX26" s="2388"/>
      <c r="AY26" s="2388"/>
      <c r="AZ26" s="2388"/>
      <c r="BA26" s="2388"/>
      <c r="BB26" s="2388"/>
      <c r="BC26" s="2388"/>
      <c r="BD26" s="2388"/>
      <c r="BE26" s="2372"/>
      <c r="BF26" s="2372"/>
      <c r="BG26" s="2372"/>
      <c r="BH26" s="2372"/>
      <c r="BI26" s="2372"/>
      <c r="BJ26" s="2372"/>
      <c r="BK26" s="2372"/>
      <c r="BL26" s="2372"/>
      <c r="BM26" s="2372"/>
      <c r="BN26" s="2372"/>
      <c r="BO26" s="2372"/>
      <c r="BP26" s="2372"/>
      <c r="BQ26" s="2372"/>
      <c r="BR26" s="2372"/>
      <c r="BS26" s="2372"/>
      <c r="BT26" s="2372"/>
      <c r="BU26" s="2372"/>
      <c r="BV26" s="2372"/>
      <c r="BW26" s="2372"/>
      <c r="BX26" s="2372"/>
      <c r="BY26" s="2372"/>
      <c r="BZ26" s="2372"/>
      <c r="CA26" s="2372"/>
      <c r="CB26" s="2372"/>
      <c r="CC26" s="2372"/>
      <c r="CD26" s="2372"/>
      <c r="CE26" s="2372"/>
      <c r="CF26" s="2372"/>
      <c r="CG26" s="2372"/>
      <c r="CH26" s="2372"/>
      <c r="CI26" s="2372"/>
      <c r="CJ26" s="2372"/>
      <c r="CK26" s="2372"/>
      <c r="CL26" s="2372"/>
      <c r="CM26" s="2372"/>
      <c r="CN26" s="2372"/>
      <c r="CO26" s="2372"/>
      <c r="CP26" s="2372"/>
      <c r="CQ26" s="2372"/>
      <c r="CR26" s="2372"/>
      <c r="CS26" s="2372"/>
      <c r="CT26" s="2372"/>
      <c r="CU26" s="2372"/>
      <c r="CV26" s="2372"/>
      <c r="CW26" s="2372"/>
      <c r="CX26" s="2372"/>
      <c r="CY26" s="2372"/>
      <c r="CZ26" s="2372"/>
      <c r="DA26" s="2372"/>
    </row>
    <row r="27" spans="1:105" ht="18.75" customHeight="1" thickTop="1" thickBot="1">
      <c r="A27" s="2372"/>
      <c r="B27" s="2377"/>
      <c r="C27" s="2689"/>
      <c r="D27" s="2688"/>
      <c r="E27" s="2719" t="s">
        <v>10416</v>
      </c>
      <c r="F27" s="2690"/>
      <c r="G27" s="2690"/>
      <c r="H27" s="2688"/>
      <c r="I27" s="2727">
        <v>1</v>
      </c>
      <c r="J27" s="2688"/>
      <c r="K27" s="2689"/>
      <c r="L27" s="2690"/>
      <c r="M27" s="2690"/>
      <c r="N27" s="2688"/>
      <c r="P27" s="2393" t="b">
        <v>0</v>
      </c>
      <c r="Q27" s="2689"/>
      <c r="R27" s="2690"/>
      <c r="S27" s="2690"/>
      <c r="T27" s="2690"/>
      <c r="U27" s="2688"/>
      <c r="V27" s="2691"/>
      <c r="W27" s="2688"/>
      <c r="X27" s="2692"/>
      <c r="Y27" s="2690"/>
      <c r="Z27" s="2688"/>
      <c r="AA27" s="2689"/>
      <c r="AB27" s="2688"/>
      <c r="AC27" s="2689"/>
      <c r="AD27" s="2690"/>
      <c r="AE27" s="2690"/>
      <c r="AF27" s="2688"/>
      <c r="AG27" s="2392"/>
      <c r="AK27" s="2388"/>
      <c r="AL27" s="2388"/>
      <c r="AM27" s="2388"/>
      <c r="AN27" s="2388"/>
      <c r="AO27" s="2388"/>
      <c r="AP27" s="2388"/>
      <c r="AQ27" s="2388"/>
      <c r="AR27" s="2388"/>
      <c r="AS27" s="2388"/>
      <c r="AT27" s="2388"/>
      <c r="AU27" s="2388"/>
      <c r="AV27" s="2388"/>
      <c r="AW27" s="2388"/>
      <c r="AX27" s="2388"/>
      <c r="AY27" s="2388"/>
      <c r="AZ27" s="2388"/>
      <c r="BA27" s="2388"/>
      <c r="BB27" s="2388"/>
      <c r="BC27" s="2388"/>
      <c r="BD27" s="2388"/>
      <c r="BE27" s="2372"/>
      <c r="BF27" s="2372"/>
      <c r="BG27" s="2372"/>
      <c r="BH27" s="2372"/>
      <c r="BI27" s="2372"/>
      <c r="BJ27" s="2372"/>
      <c r="BK27" s="2372"/>
      <c r="BL27" s="2372"/>
      <c r="BM27" s="2372"/>
      <c r="BN27" s="2372"/>
      <c r="BO27" s="2372"/>
      <c r="BP27" s="2372"/>
      <c r="BQ27" s="2372"/>
      <c r="BR27" s="2372"/>
      <c r="BS27" s="2372"/>
      <c r="BT27" s="2372"/>
      <c r="BU27" s="2372"/>
      <c r="BV27" s="2372"/>
      <c r="BW27" s="2372"/>
      <c r="BX27" s="2372"/>
      <c r="BY27" s="2372"/>
      <c r="BZ27" s="2372"/>
      <c r="CA27" s="2372"/>
      <c r="CB27" s="2372"/>
      <c r="CC27" s="2372"/>
      <c r="CD27" s="2372"/>
      <c r="CE27" s="2372"/>
      <c r="CF27" s="2372"/>
      <c r="CG27" s="2372"/>
      <c r="CH27" s="2372"/>
      <c r="CI27" s="2372"/>
      <c r="CJ27" s="2372"/>
      <c r="CK27" s="2372"/>
      <c r="CL27" s="2372"/>
      <c r="CM27" s="2372"/>
      <c r="CN27" s="2372"/>
      <c r="CO27" s="2372"/>
      <c r="CP27" s="2372"/>
      <c r="CQ27" s="2372"/>
      <c r="CR27" s="2372"/>
      <c r="CS27" s="2372"/>
      <c r="CT27" s="2372"/>
      <c r="CU27" s="2372"/>
      <c r="CV27" s="2372"/>
      <c r="CW27" s="2372"/>
      <c r="CX27" s="2372"/>
      <c r="CY27" s="2372"/>
      <c r="CZ27" s="2372"/>
      <c r="DA27" s="2372"/>
    </row>
    <row r="28" spans="1:105" ht="18.75" customHeight="1" thickTop="1" thickBot="1">
      <c r="A28" s="2372"/>
      <c r="B28" s="2377"/>
      <c r="C28" s="2689"/>
      <c r="D28" s="2688"/>
      <c r="E28" s="2726" t="s">
        <v>10413</v>
      </c>
      <c r="F28" s="2712"/>
      <c r="G28" s="2712"/>
      <c r="H28" s="2713"/>
      <c r="I28" s="2728">
        <v>0.05</v>
      </c>
      <c r="J28" s="2688"/>
      <c r="K28" s="2689"/>
      <c r="L28" s="2690"/>
      <c r="M28" s="2690"/>
      <c r="N28" s="2688"/>
      <c r="P28" s="2393" t="b">
        <v>0</v>
      </c>
      <c r="Q28" s="2689"/>
      <c r="R28" s="2690"/>
      <c r="S28" s="2690"/>
      <c r="T28" s="2690"/>
      <c r="U28" s="2688"/>
      <c r="V28" s="2691"/>
      <c r="W28" s="2688"/>
      <c r="X28" s="2692"/>
      <c r="Y28" s="2690"/>
      <c r="Z28" s="2688"/>
      <c r="AA28" s="2689"/>
      <c r="AB28" s="2688"/>
      <c r="AC28" s="2689"/>
      <c r="AD28" s="2690"/>
      <c r="AE28" s="2690"/>
      <c r="AF28" s="2688"/>
      <c r="AG28" s="2392"/>
      <c r="AK28" s="2388"/>
      <c r="AL28" s="2388"/>
      <c r="AM28" s="2388"/>
      <c r="AN28" s="2388"/>
      <c r="AO28" s="2388"/>
      <c r="AP28" s="2388"/>
      <c r="AQ28" s="2388"/>
      <c r="AR28" s="2388"/>
      <c r="AS28" s="2388"/>
      <c r="AT28" s="2388"/>
      <c r="AU28" s="2388"/>
      <c r="AV28" s="2388"/>
      <c r="AW28" s="2388"/>
      <c r="AX28" s="2388"/>
      <c r="AY28" s="2388"/>
      <c r="AZ28" s="2388"/>
      <c r="BA28" s="2388"/>
      <c r="BB28" s="2388"/>
      <c r="BC28" s="2388"/>
      <c r="BD28" s="2388"/>
      <c r="BE28" s="2372"/>
      <c r="BF28" s="2372"/>
      <c r="BG28" s="2372"/>
      <c r="BH28" s="2372"/>
      <c r="BI28" s="2372"/>
      <c r="BJ28" s="2372"/>
      <c r="BK28" s="2372"/>
      <c r="BL28" s="2372"/>
      <c r="BM28" s="2372"/>
      <c r="BN28" s="2372"/>
      <c r="BO28" s="2372"/>
      <c r="BP28" s="2372"/>
      <c r="BQ28" s="2372"/>
      <c r="BR28" s="2372"/>
      <c r="BS28" s="2372"/>
      <c r="BT28" s="2372"/>
      <c r="BU28" s="2372"/>
      <c r="BV28" s="2372"/>
      <c r="BW28" s="2372"/>
      <c r="BX28" s="2372"/>
      <c r="BY28" s="2372"/>
      <c r="BZ28" s="2372"/>
      <c r="CA28" s="2372"/>
      <c r="CB28" s="2372"/>
      <c r="CC28" s="2372"/>
      <c r="CD28" s="2372"/>
      <c r="CE28" s="2372"/>
      <c r="CF28" s="2372"/>
      <c r="CG28" s="2372"/>
      <c r="CH28" s="2372"/>
      <c r="CI28" s="2372"/>
      <c r="CJ28" s="2372"/>
      <c r="CK28" s="2372"/>
      <c r="CL28" s="2372"/>
      <c r="CM28" s="2372"/>
      <c r="CN28" s="2372"/>
      <c r="CO28" s="2372"/>
      <c r="CP28" s="2372"/>
      <c r="CQ28" s="2372"/>
      <c r="CR28" s="2372"/>
      <c r="CS28" s="2372"/>
      <c r="CT28" s="2372"/>
      <c r="CU28" s="2372"/>
      <c r="CV28" s="2372"/>
      <c r="CW28" s="2372"/>
      <c r="CX28" s="2372"/>
      <c r="CY28" s="2372"/>
      <c r="CZ28" s="2372"/>
      <c r="DA28" s="2372"/>
    </row>
    <row r="29" spans="1:105" ht="18.75" customHeight="1" thickTop="1" thickBot="1">
      <c r="A29" s="2372"/>
      <c r="B29" s="2377"/>
      <c r="C29" s="2689"/>
      <c r="D29" s="2688"/>
      <c r="E29" s="2720" t="s">
        <v>10410</v>
      </c>
      <c r="F29" s="2721"/>
      <c r="G29" s="2721"/>
      <c r="H29" s="2722"/>
      <c r="I29" s="2725">
        <v>0.02</v>
      </c>
      <c r="J29" s="2688"/>
      <c r="K29" s="2689"/>
      <c r="L29" s="2690"/>
      <c r="M29" s="2690"/>
      <c r="N29" s="2688"/>
      <c r="P29" s="2393"/>
      <c r="Q29" s="2689"/>
      <c r="R29" s="2690"/>
      <c r="S29" s="2690"/>
      <c r="T29" s="2690"/>
      <c r="U29" s="2688"/>
      <c r="V29" s="2691"/>
      <c r="W29" s="2688"/>
      <c r="X29" s="2692"/>
      <c r="Y29" s="2690"/>
      <c r="Z29" s="2688"/>
      <c r="AA29" s="2689"/>
      <c r="AB29" s="2688"/>
      <c r="AC29" s="2689"/>
      <c r="AD29" s="2690"/>
      <c r="AE29" s="2690"/>
      <c r="AF29" s="2688"/>
      <c r="AG29" s="2392"/>
      <c r="AK29" s="2388"/>
      <c r="AL29" s="2388"/>
      <c r="AM29" s="2388"/>
      <c r="AN29" s="2388"/>
      <c r="AO29" s="2388"/>
      <c r="AP29" s="2388"/>
      <c r="AQ29" s="2388"/>
      <c r="AR29" s="2388"/>
      <c r="AS29" s="2388"/>
      <c r="AT29" s="2388"/>
      <c r="AU29" s="2388"/>
      <c r="AV29" s="2388"/>
      <c r="AW29" s="2388"/>
      <c r="AX29" s="2388"/>
      <c r="AY29" s="2388"/>
      <c r="AZ29" s="2388"/>
      <c r="BA29" s="2388"/>
      <c r="BB29" s="2388"/>
      <c r="BC29" s="2388"/>
      <c r="BD29" s="2388"/>
      <c r="BE29" s="2372"/>
      <c r="BF29" s="2372"/>
      <c r="BG29" s="2372"/>
      <c r="BH29" s="2372"/>
      <c r="BI29" s="2372"/>
      <c r="BJ29" s="2372"/>
      <c r="BK29" s="2372"/>
      <c r="BL29" s="2372"/>
      <c r="BM29" s="2372"/>
      <c r="BN29" s="2372"/>
      <c r="BO29" s="2372"/>
      <c r="BP29" s="2372"/>
      <c r="BQ29" s="2372"/>
      <c r="BR29" s="2372"/>
      <c r="BS29" s="2372"/>
      <c r="BT29" s="2372"/>
      <c r="BU29" s="2372"/>
      <c r="BV29" s="2372"/>
      <c r="BW29" s="2372"/>
      <c r="BX29" s="2372"/>
      <c r="BY29" s="2372"/>
      <c r="BZ29" s="2372"/>
      <c r="CA29" s="2372"/>
      <c r="CB29" s="2372"/>
      <c r="CC29" s="2372"/>
      <c r="CD29" s="2372"/>
      <c r="CE29" s="2372"/>
      <c r="CF29" s="2372"/>
      <c r="CG29" s="2372"/>
      <c r="CH29" s="2372"/>
      <c r="CI29" s="2372"/>
      <c r="CJ29" s="2372"/>
      <c r="CK29" s="2372"/>
      <c r="CL29" s="2372"/>
      <c r="CM29" s="2372"/>
      <c r="CN29" s="2372"/>
      <c r="CO29" s="2372"/>
      <c r="CP29" s="2372"/>
      <c r="CQ29" s="2372"/>
      <c r="CR29" s="2372"/>
      <c r="CS29" s="2372"/>
      <c r="CT29" s="2372"/>
      <c r="CU29" s="2372"/>
      <c r="CV29" s="2372"/>
      <c r="CW29" s="2372"/>
      <c r="CX29" s="2372"/>
      <c r="CY29" s="2372"/>
      <c r="CZ29" s="2372"/>
      <c r="DA29" s="2372"/>
    </row>
    <row r="30" spans="1:105" ht="18.75" customHeight="1" thickTop="1" thickBot="1">
      <c r="A30" s="2372"/>
      <c r="B30" s="2377"/>
      <c r="C30" s="2689"/>
      <c r="D30" s="2688"/>
      <c r="E30" s="2723"/>
      <c r="F30" s="2724"/>
      <c r="G30" s="2724"/>
      <c r="H30" s="2697"/>
      <c r="I30" s="2725"/>
      <c r="J30" s="2688"/>
      <c r="K30" s="2689"/>
      <c r="L30" s="2690"/>
      <c r="M30" s="2690"/>
      <c r="N30" s="2688"/>
      <c r="P30" s="2393" t="b">
        <v>0</v>
      </c>
      <c r="Q30" s="2689"/>
      <c r="R30" s="2690"/>
      <c r="S30" s="2690"/>
      <c r="T30" s="2690"/>
      <c r="U30" s="2688"/>
      <c r="V30" s="2691"/>
      <c r="W30" s="2688"/>
      <c r="X30" s="2692"/>
      <c r="Y30" s="2690"/>
      <c r="Z30" s="2688"/>
      <c r="AA30" s="2689"/>
      <c r="AB30" s="2688"/>
      <c r="AC30" s="2689"/>
      <c r="AD30" s="2690"/>
      <c r="AE30" s="2690"/>
      <c r="AF30" s="2688"/>
      <c r="AG30" s="2392"/>
      <c r="AK30" s="2388"/>
      <c r="AL30" s="2388"/>
      <c r="AM30" s="2388"/>
      <c r="AN30" s="2388"/>
      <c r="AO30" s="2388"/>
      <c r="AP30" s="2388"/>
      <c r="AQ30" s="2388"/>
      <c r="AR30" s="2388"/>
      <c r="AS30" s="2388"/>
      <c r="AT30" s="2388"/>
      <c r="AU30" s="2388"/>
      <c r="AV30" s="2388"/>
      <c r="AW30" s="2388"/>
      <c r="AX30" s="2388"/>
      <c r="AY30" s="2388"/>
      <c r="AZ30" s="2388"/>
      <c r="BA30" s="2388"/>
      <c r="BB30" s="2388"/>
      <c r="BC30" s="2388"/>
      <c r="BD30" s="2388"/>
      <c r="BE30" s="2372"/>
      <c r="BF30" s="2372"/>
      <c r="BG30" s="2372"/>
      <c r="BH30" s="2372"/>
      <c r="BI30" s="2372"/>
      <c r="BJ30" s="2372"/>
      <c r="BK30" s="2372"/>
      <c r="BL30" s="2372"/>
      <c r="BM30" s="2372"/>
      <c r="BN30" s="2372"/>
      <c r="BO30" s="2372"/>
      <c r="BP30" s="2372"/>
      <c r="BQ30" s="2372"/>
      <c r="BR30" s="2372"/>
      <c r="BS30" s="2372"/>
      <c r="BT30" s="2372"/>
      <c r="BU30" s="2372"/>
      <c r="BV30" s="2372"/>
      <c r="BW30" s="2372"/>
      <c r="BX30" s="2372"/>
      <c r="BY30" s="2372"/>
      <c r="BZ30" s="2372"/>
      <c r="CA30" s="2372"/>
      <c r="CB30" s="2372"/>
      <c r="CC30" s="2372"/>
      <c r="CD30" s="2372"/>
      <c r="CE30" s="2372"/>
      <c r="CF30" s="2372"/>
      <c r="CG30" s="2372"/>
      <c r="CH30" s="2372"/>
      <c r="CI30" s="2372"/>
      <c r="CJ30" s="2372"/>
      <c r="CK30" s="2372"/>
      <c r="CL30" s="2372"/>
      <c r="CM30" s="2372"/>
      <c r="CN30" s="2372"/>
      <c r="CO30" s="2372"/>
      <c r="CP30" s="2372"/>
      <c r="CQ30" s="2372"/>
      <c r="CR30" s="2372"/>
      <c r="CS30" s="2372"/>
      <c r="CT30" s="2372"/>
      <c r="CU30" s="2372"/>
      <c r="CV30" s="2372"/>
      <c r="CW30" s="2372"/>
      <c r="CX30" s="2372"/>
      <c r="CY30" s="2372"/>
      <c r="CZ30" s="2372"/>
      <c r="DA30" s="2372"/>
    </row>
    <row r="31" spans="1:105" ht="18.75" customHeight="1" thickTop="1" thickBot="1">
      <c r="A31" s="2372"/>
      <c r="B31" s="2377"/>
      <c r="C31" s="2689"/>
      <c r="D31" s="2688"/>
      <c r="E31" s="2723"/>
      <c r="F31" s="2724"/>
      <c r="G31" s="2724"/>
      <c r="H31" s="2697"/>
      <c r="I31" s="2725"/>
      <c r="J31" s="2688"/>
      <c r="K31" s="2689"/>
      <c r="L31" s="2690"/>
      <c r="M31" s="2690"/>
      <c r="N31" s="2688"/>
      <c r="P31" s="2393"/>
      <c r="Q31" s="2689"/>
      <c r="R31" s="2690"/>
      <c r="S31" s="2690"/>
      <c r="T31" s="2690"/>
      <c r="U31" s="2688"/>
      <c r="V31" s="2691"/>
      <c r="W31" s="2688"/>
      <c r="X31" s="2692"/>
      <c r="Y31" s="2690"/>
      <c r="Z31" s="2688"/>
      <c r="AA31" s="2689"/>
      <c r="AB31" s="2688"/>
      <c r="AC31" s="2689"/>
      <c r="AD31" s="2690"/>
      <c r="AE31" s="2690"/>
      <c r="AF31" s="2688"/>
      <c r="AG31" s="2392"/>
      <c r="AK31" s="2388"/>
      <c r="AL31" s="2388"/>
      <c r="AM31" s="2388"/>
      <c r="AN31" s="2388"/>
      <c r="AO31" s="2388"/>
      <c r="AP31" s="2388"/>
      <c r="AQ31" s="2388"/>
      <c r="AR31" s="2388"/>
      <c r="AS31" s="2388"/>
      <c r="AT31" s="2388"/>
      <c r="AU31" s="2388"/>
      <c r="AV31" s="2388"/>
      <c r="AW31" s="2388"/>
      <c r="AX31" s="2388"/>
      <c r="AY31" s="2388"/>
      <c r="AZ31" s="2388"/>
      <c r="BA31" s="2388"/>
      <c r="BB31" s="2388"/>
      <c r="BC31" s="2388"/>
      <c r="BD31" s="2388"/>
      <c r="BE31" s="2372"/>
      <c r="BF31" s="2372"/>
      <c r="BG31" s="2372"/>
      <c r="BH31" s="2372"/>
      <c r="BI31" s="2372"/>
      <c r="BJ31" s="2372"/>
      <c r="BK31" s="2372"/>
      <c r="BL31" s="2372"/>
      <c r="BM31" s="2372"/>
      <c r="BN31" s="2372"/>
      <c r="BO31" s="2372"/>
      <c r="BP31" s="2372"/>
      <c r="BQ31" s="2372"/>
      <c r="BR31" s="2372"/>
      <c r="BS31" s="2372"/>
      <c r="BT31" s="2372"/>
      <c r="BU31" s="2372"/>
      <c r="BV31" s="2372"/>
      <c r="BW31" s="2372"/>
      <c r="BX31" s="2372"/>
      <c r="BY31" s="2372"/>
      <c r="BZ31" s="2372"/>
      <c r="CA31" s="2372"/>
      <c r="CB31" s="2372"/>
      <c r="CC31" s="2372"/>
      <c r="CD31" s="2372"/>
      <c r="CE31" s="2372"/>
      <c r="CF31" s="2372"/>
      <c r="CG31" s="2372"/>
      <c r="CH31" s="2372"/>
      <c r="CI31" s="2372"/>
      <c r="CJ31" s="2372"/>
      <c r="CK31" s="2372"/>
      <c r="CL31" s="2372"/>
      <c r="CM31" s="2372"/>
      <c r="CN31" s="2372"/>
      <c r="CO31" s="2372"/>
      <c r="CP31" s="2372"/>
      <c r="CQ31" s="2372"/>
      <c r="CR31" s="2372"/>
      <c r="CS31" s="2372"/>
      <c r="CT31" s="2372"/>
      <c r="CU31" s="2372"/>
      <c r="CV31" s="2372"/>
      <c r="CW31" s="2372"/>
      <c r="CX31" s="2372"/>
      <c r="CY31" s="2372"/>
      <c r="CZ31" s="2372"/>
      <c r="DA31" s="2372"/>
    </row>
    <row r="32" spans="1:105" ht="18.75" customHeight="1" thickTop="1" thickBot="1">
      <c r="A32" s="2372"/>
      <c r="B32" s="2375"/>
      <c r="C32" s="2391"/>
      <c r="D32" s="2391"/>
      <c r="E32" s="2390"/>
      <c r="F32" s="2378"/>
      <c r="G32" s="2378"/>
      <c r="H32" s="2389"/>
      <c r="I32" s="2374"/>
      <c r="J32" s="2374"/>
      <c r="K32" s="2374"/>
      <c r="L32" s="2374"/>
      <c r="M32" s="2374"/>
      <c r="N32" s="2374"/>
      <c r="O32" s="2374"/>
      <c r="P32" s="2374"/>
      <c r="Q32" s="2374"/>
      <c r="R32" s="2374"/>
      <c r="S32" s="2374"/>
      <c r="T32" s="2374"/>
      <c r="U32" s="2374"/>
      <c r="V32" s="2374"/>
      <c r="W32" s="2374"/>
      <c r="X32" s="2374"/>
      <c r="Y32" s="2374"/>
      <c r="Z32" s="2374"/>
      <c r="AA32" s="2374"/>
      <c r="AB32" s="2374"/>
      <c r="AC32" s="2374"/>
      <c r="AD32" s="2374"/>
      <c r="AE32" s="2374"/>
      <c r="AF32" s="2374"/>
      <c r="AG32" s="2373"/>
      <c r="AH32" s="2372"/>
      <c r="AI32" s="2372"/>
      <c r="AJ32" s="2372"/>
      <c r="AK32" s="2372"/>
      <c r="AL32" s="2372"/>
      <c r="AM32" s="2372"/>
      <c r="AN32" s="2372"/>
      <c r="AO32" s="2372"/>
      <c r="AP32" s="2372"/>
      <c r="AQ32" s="2372"/>
      <c r="AR32" s="2372"/>
      <c r="AS32" s="2372"/>
      <c r="AT32" s="2372"/>
      <c r="AU32" s="2372"/>
      <c r="AV32" s="2372"/>
      <c r="AW32" s="2372"/>
      <c r="AX32" s="2372"/>
      <c r="AY32" s="2372"/>
      <c r="AZ32" s="2372"/>
      <c r="BA32" s="2372"/>
      <c r="BB32" s="2372"/>
      <c r="BC32" s="2372"/>
      <c r="BD32" s="2372"/>
      <c r="BE32" s="2372"/>
      <c r="BF32" s="2372"/>
      <c r="BG32" s="2372"/>
      <c r="BH32" s="2372"/>
      <c r="BI32" s="2372"/>
      <c r="BJ32" s="2372"/>
      <c r="BK32" s="2372"/>
      <c r="BL32" s="2372"/>
      <c r="BM32" s="2372"/>
      <c r="BN32" s="2372"/>
      <c r="BO32" s="2372"/>
      <c r="BP32" s="2372"/>
      <c r="BQ32" s="2372"/>
      <c r="BR32" s="2372"/>
      <c r="BS32" s="2372"/>
      <c r="BT32" s="2372"/>
      <c r="BU32" s="2372"/>
      <c r="BV32" s="2372"/>
      <c r="BW32" s="2372"/>
      <c r="BX32" s="2372"/>
      <c r="BY32" s="2372"/>
      <c r="BZ32" s="2372"/>
      <c r="CA32" s="2372"/>
      <c r="CB32" s="2372"/>
      <c r="CC32" s="2372"/>
      <c r="CD32" s="2372"/>
      <c r="CE32" s="2372"/>
      <c r="CF32" s="2372"/>
      <c r="CG32" s="2372"/>
      <c r="CH32" s="2372"/>
      <c r="CI32" s="2372"/>
      <c r="CJ32" s="2372"/>
      <c r="CK32" s="2372"/>
      <c r="CL32" s="2372"/>
      <c r="CM32" s="2372"/>
      <c r="CN32" s="2372"/>
      <c r="CO32" s="2372"/>
      <c r="CP32" s="2372"/>
      <c r="CQ32" s="2372"/>
      <c r="CR32" s="2372"/>
      <c r="CS32" s="2372"/>
      <c r="CT32" s="2372"/>
      <c r="CU32" s="2372"/>
      <c r="CV32" s="2372"/>
      <c r="CW32" s="2372"/>
      <c r="CX32" s="2372"/>
      <c r="CY32" s="2372"/>
      <c r="CZ32" s="2372"/>
      <c r="DA32" s="2372"/>
    </row>
    <row r="33" spans="1:105" ht="18.75" customHeight="1" thickTop="1" thickBot="1">
      <c r="A33" s="2372"/>
      <c r="B33" s="2372"/>
      <c r="H33" s="2388"/>
      <c r="I33" s="2372"/>
      <c r="J33" s="2372"/>
      <c r="K33" s="2372"/>
      <c r="L33" s="2372"/>
      <c r="M33" s="2372"/>
      <c r="N33" s="2372"/>
      <c r="O33" s="2372"/>
      <c r="P33" s="2372"/>
      <c r="Q33" s="2372"/>
      <c r="R33" s="2372"/>
      <c r="S33" s="2372"/>
      <c r="T33" s="2372"/>
      <c r="U33" s="2372"/>
      <c r="V33" s="2372"/>
      <c r="W33" s="2372"/>
      <c r="X33" s="2372"/>
      <c r="Y33" s="2372"/>
      <c r="Z33" s="2372"/>
      <c r="AA33" s="2372"/>
      <c r="AB33" s="2372"/>
      <c r="AC33" s="2372"/>
      <c r="AD33" s="2372"/>
      <c r="AE33" s="2372"/>
      <c r="AF33" s="2372"/>
      <c r="AG33" s="2372"/>
      <c r="AH33" s="2372"/>
      <c r="AI33" s="2372"/>
      <c r="AJ33" s="2372"/>
      <c r="AK33" s="2372"/>
      <c r="AL33" s="2372"/>
      <c r="AM33" s="2372"/>
      <c r="AN33" s="2372"/>
      <c r="AO33" s="2372"/>
      <c r="AP33" s="2372"/>
      <c r="AQ33" s="2372"/>
      <c r="AR33" s="2372"/>
      <c r="AS33" s="2372"/>
      <c r="AT33" s="2372"/>
      <c r="AU33" s="2372"/>
      <c r="AV33" s="2372"/>
      <c r="AW33" s="2372"/>
      <c r="AX33" s="2372"/>
      <c r="AY33" s="2372"/>
      <c r="AZ33" s="2372"/>
      <c r="BA33" s="2372"/>
      <c r="BB33" s="2372"/>
      <c r="BC33" s="2372"/>
      <c r="BD33" s="2372"/>
      <c r="BE33" s="2372"/>
      <c r="BF33" s="2372"/>
      <c r="BG33" s="2372"/>
      <c r="BH33" s="2372"/>
      <c r="BI33" s="2372"/>
      <c r="BJ33" s="2372"/>
      <c r="BK33" s="2372"/>
      <c r="BL33" s="2372"/>
      <c r="BM33" s="2372"/>
      <c r="BN33" s="2372"/>
      <c r="BO33" s="2372"/>
      <c r="BP33" s="2372"/>
      <c r="BQ33" s="2372"/>
      <c r="BR33" s="2372"/>
      <c r="BS33" s="2372"/>
      <c r="BT33" s="2372"/>
      <c r="BU33" s="2372"/>
      <c r="BV33" s="2372"/>
      <c r="BW33" s="2372"/>
      <c r="BX33" s="2372"/>
      <c r="BY33" s="2372"/>
      <c r="BZ33" s="2372"/>
      <c r="CA33" s="2372"/>
      <c r="CB33" s="2372"/>
      <c r="CC33" s="2372"/>
      <c r="CD33" s="2372"/>
      <c r="CE33" s="2372"/>
      <c r="CF33" s="2372"/>
      <c r="CG33" s="2372"/>
      <c r="CH33" s="2372"/>
      <c r="CI33" s="2372"/>
      <c r="CJ33" s="2372"/>
      <c r="CK33" s="2372"/>
      <c r="CL33" s="2372"/>
      <c r="CM33" s="2372"/>
      <c r="CN33" s="2372"/>
      <c r="CO33" s="2372"/>
      <c r="CP33" s="2372"/>
      <c r="CQ33" s="2372"/>
      <c r="CR33" s="2372"/>
      <c r="CS33" s="2372"/>
      <c r="CT33" s="2372"/>
      <c r="CU33" s="2372"/>
      <c r="CV33" s="2372"/>
      <c r="CW33" s="2372"/>
      <c r="CX33" s="2372"/>
      <c r="CY33" s="2372"/>
      <c r="CZ33" s="2372"/>
      <c r="DA33" s="2372"/>
    </row>
    <row r="34" spans="1:105" ht="18.75" customHeight="1" thickTop="1" thickBot="1">
      <c r="A34" s="2372"/>
      <c r="B34" s="2387"/>
      <c r="C34" s="2742" t="s">
        <v>10404</v>
      </c>
      <c r="D34" s="2748"/>
      <c r="E34" s="2748"/>
      <c r="F34" s="2748"/>
      <c r="G34" s="2749"/>
      <c r="H34" s="2386"/>
      <c r="I34" s="2385"/>
      <c r="J34" s="2385"/>
      <c r="K34" s="2385"/>
      <c r="L34" s="2385"/>
      <c r="M34" s="2385"/>
      <c r="N34" s="2385"/>
      <c r="O34" s="2384"/>
      <c r="P34" s="2384"/>
      <c r="Q34" s="2384"/>
      <c r="R34" s="2384"/>
      <c r="S34" s="2384"/>
      <c r="T34" s="2384"/>
      <c r="U34" s="2384"/>
      <c r="V34" s="2384"/>
      <c r="W34" s="2384"/>
      <c r="X34" s="2384"/>
      <c r="Y34" s="2384"/>
      <c r="Z34" s="2384"/>
      <c r="AA34" s="2384"/>
      <c r="AB34" s="2384"/>
      <c r="AC34" s="2384"/>
      <c r="AD34" s="2384"/>
      <c r="AE34" s="2384"/>
      <c r="AF34" s="2384"/>
      <c r="AG34" s="2383"/>
      <c r="AH34" s="2372"/>
      <c r="AI34" s="2372"/>
      <c r="AJ34" s="2372"/>
      <c r="AK34" s="2372"/>
      <c r="AL34" s="2372"/>
      <c r="AM34" s="2372"/>
      <c r="AN34" s="2372"/>
      <c r="AO34" s="2372"/>
      <c r="AP34" s="2372"/>
      <c r="AQ34" s="2372"/>
      <c r="AR34" s="2372"/>
      <c r="AS34" s="2372"/>
      <c r="AT34" s="2372"/>
      <c r="AU34" s="2372"/>
      <c r="AV34" s="2372"/>
      <c r="AW34" s="2372"/>
      <c r="AX34" s="2372"/>
      <c r="AY34" s="2372"/>
      <c r="AZ34" s="2372"/>
      <c r="BA34" s="2372"/>
      <c r="BB34" s="2372"/>
      <c r="BC34" s="2372"/>
      <c r="BD34" s="2372"/>
      <c r="BE34" s="2372"/>
      <c r="BF34" s="2372"/>
      <c r="BG34" s="2372"/>
      <c r="BH34" s="2372"/>
      <c r="BI34" s="2372"/>
      <c r="BJ34" s="2372"/>
      <c r="BK34" s="2372"/>
      <c r="BL34" s="2372"/>
      <c r="BM34" s="2372"/>
      <c r="BN34" s="2372"/>
      <c r="BO34" s="2372"/>
      <c r="BP34" s="2372"/>
    </row>
    <row r="35" spans="1:105" ht="18.75" customHeight="1" thickTop="1" thickBot="1">
      <c r="A35" s="2372"/>
      <c r="B35" s="2377"/>
      <c r="C35" s="2750"/>
      <c r="D35" s="2751"/>
      <c r="E35" s="2751"/>
      <c r="F35" s="2751"/>
      <c r="G35" s="2752"/>
      <c r="H35" s="2382"/>
      <c r="I35" s="2382"/>
      <c r="J35" s="2382"/>
      <c r="K35" s="2693" t="s">
        <v>10401</v>
      </c>
      <c r="L35" s="2690"/>
      <c r="M35" s="2690"/>
      <c r="N35" s="2690"/>
      <c r="O35" s="2690"/>
      <c r="P35" s="2690"/>
      <c r="Q35" s="2690"/>
      <c r="R35" s="2690"/>
      <c r="S35" s="2690"/>
      <c r="T35" s="2690"/>
      <c r="U35" s="2688"/>
      <c r="V35" s="2693" t="s">
        <v>10400</v>
      </c>
      <c r="W35" s="2688"/>
      <c r="X35" s="2693" t="s">
        <v>10399</v>
      </c>
      <c r="Y35" s="2690"/>
      <c r="Z35" s="2688"/>
      <c r="AA35" s="2693" t="s">
        <v>10398</v>
      </c>
      <c r="AB35" s="2688"/>
      <c r="AC35" s="2693" t="s">
        <v>10397</v>
      </c>
      <c r="AD35" s="2690"/>
      <c r="AE35" s="2690"/>
      <c r="AF35" s="2688"/>
      <c r="AG35" s="2381"/>
      <c r="AH35" s="2372"/>
      <c r="AI35" s="2372"/>
      <c r="AJ35" s="2372"/>
      <c r="AK35" s="2372"/>
      <c r="AL35" s="2372"/>
      <c r="AM35" s="2372"/>
      <c r="AN35" s="2372"/>
      <c r="AO35" s="2372"/>
      <c r="AP35" s="2372"/>
      <c r="AQ35" s="2372"/>
      <c r="AR35" s="2372"/>
      <c r="AS35" s="2372"/>
      <c r="AT35" s="2372"/>
      <c r="AU35" s="2372"/>
      <c r="AV35" s="2372"/>
      <c r="AW35" s="2372"/>
      <c r="AX35" s="2372"/>
      <c r="AY35" s="2372"/>
      <c r="AZ35" s="2372"/>
      <c r="BA35" s="2372"/>
      <c r="BB35" s="2372"/>
      <c r="BC35" s="2372"/>
      <c r="BD35" s="2372"/>
      <c r="BE35" s="2372"/>
      <c r="BF35" s="2372"/>
      <c r="BG35" s="2372"/>
      <c r="BH35" s="2372"/>
      <c r="BI35" s="2372"/>
      <c r="BJ35" s="2372"/>
      <c r="BK35" s="2372"/>
      <c r="BL35" s="2372"/>
      <c r="BM35" s="2372"/>
      <c r="BN35" s="2372"/>
      <c r="BO35" s="2372"/>
      <c r="BP35" s="2372"/>
    </row>
    <row r="36" spans="1:105" ht="18.75" customHeight="1" thickTop="1" thickBot="1">
      <c r="A36" s="2372"/>
      <c r="B36" s="2377"/>
      <c r="C36" s="2687"/>
      <c r="D36" s="2688"/>
      <c r="E36" s="2689"/>
      <c r="F36" s="2690"/>
      <c r="G36" s="2690"/>
      <c r="H36" s="2690"/>
      <c r="I36" s="2690"/>
      <c r="J36" s="2688"/>
      <c r="K36" s="2689"/>
      <c r="L36" s="2690"/>
      <c r="M36" s="2690"/>
      <c r="N36" s="2690"/>
      <c r="O36" s="2690"/>
      <c r="P36" s="2690"/>
      <c r="Q36" s="2690"/>
      <c r="R36" s="2690"/>
      <c r="S36" s="2690"/>
      <c r="T36" s="2690"/>
      <c r="U36" s="2688"/>
      <c r="V36" s="2691"/>
      <c r="W36" s="2688"/>
      <c r="X36" s="2692"/>
      <c r="Y36" s="2690"/>
      <c r="Z36" s="2688"/>
      <c r="AA36" s="2689"/>
      <c r="AB36" s="2688"/>
      <c r="AC36" s="2689"/>
      <c r="AD36" s="2690"/>
      <c r="AE36" s="2690"/>
      <c r="AF36" s="2688"/>
      <c r="AG36" s="2376"/>
      <c r="AK36" s="2372"/>
      <c r="AL36" s="2372"/>
      <c r="AM36" s="2372"/>
      <c r="AN36" s="2372"/>
      <c r="AO36" s="2372"/>
      <c r="AP36" s="2372"/>
      <c r="AQ36" s="2372"/>
      <c r="AR36" s="2372"/>
      <c r="AS36" s="2372"/>
      <c r="AT36" s="2372"/>
      <c r="AU36" s="2372"/>
      <c r="AV36" s="2372"/>
      <c r="AW36" s="2372"/>
      <c r="AX36" s="2372"/>
      <c r="AY36" s="2372"/>
      <c r="AZ36" s="2372"/>
      <c r="BA36" s="2372"/>
      <c r="BB36" s="2372"/>
      <c r="BC36" s="2372"/>
      <c r="BD36" s="2372"/>
      <c r="BE36" s="2372"/>
      <c r="BF36" s="2372"/>
      <c r="BG36" s="2372"/>
      <c r="BH36" s="2372"/>
      <c r="BI36" s="2372"/>
      <c r="BJ36" s="2372"/>
      <c r="BK36" s="2372"/>
      <c r="BL36" s="2372"/>
      <c r="BM36" s="2372"/>
      <c r="BN36" s="2372"/>
      <c r="BO36" s="2372"/>
      <c r="BP36" s="2372"/>
    </row>
    <row r="37" spans="1:105" ht="18.75" customHeight="1" thickTop="1" thickBot="1">
      <c r="A37" s="2372"/>
      <c r="B37" s="2377"/>
      <c r="C37" s="2687"/>
      <c r="D37" s="2688"/>
      <c r="E37" s="2689"/>
      <c r="F37" s="2690"/>
      <c r="G37" s="2690"/>
      <c r="H37" s="2690"/>
      <c r="I37" s="2690"/>
      <c r="J37" s="2688"/>
      <c r="K37" s="2689"/>
      <c r="L37" s="2690"/>
      <c r="M37" s="2690"/>
      <c r="N37" s="2690"/>
      <c r="O37" s="2690"/>
      <c r="P37" s="2690"/>
      <c r="Q37" s="2690"/>
      <c r="R37" s="2690"/>
      <c r="S37" s="2690"/>
      <c r="T37" s="2690"/>
      <c r="U37" s="2688"/>
      <c r="V37" s="2691"/>
      <c r="W37" s="2688"/>
      <c r="X37" s="2692"/>
      <c r="Y37" s="2690"/>
      <c r="Z37" s="2688"/>
      <c r="AA37" s="2689"/>
      <c r="AB37" s="2688"/>
      <c r="AC37" s="2689"/>
      <c r="AD37" s="2690"/>
      <c r="AE37" s="2690"/>
      <c r="AF37" s="2688"/>
      <c r="AG37" s="2376"/>
      <c r="AK37" s="2372"/>
      <c r="AL37" s="2372"/>
      <c r="AM37" s="2372"/>
      <c r="AN37" s="2372"/>
      <c r="AO37" s="2372"/>
      <c r="AP37" s="2372"/>
      <c r="AQ37" s="2372"/>
      <c r="AR37" s="2372"/>
      <c r="AS37" s="2372"/>
      <c r="AT37" s="2372"/>
      <c r="AU37" s="2372"/>
      <c r="AV37" s="2372"/>
      <c r="AW37" s="2372"/>
      <c r="AX37" s="2372"/>
      <c r="AY37" s="2372"/>
      <c r="AZ37" s="2372"/>
      <c r="BA37" s="2372"/>
      <c r="BB37" s="2372"/>
      <c r="BC37" s="2372"/>
      <c r="BD37" s="2372"/>
      <c r="BE37" s="2372"/>
      <c r="BF37" s="2372"/>
      <c r="BG37" s="2372"/>
      <c r="BH37" s="2372"/>
      <c r="BI37" s="2372"/>
      <c r="BJ37" s="2372"/>
      <c r="BK37" s="2372"/>
      <c r="BL37" s="2372"/>
      <c r="BM37" s="2372"/>
      <c r="BN37" s="2372"/>
      <c r="BO37" s="2372"/>
      <c r="BP37" s="2372"/>
    </row>
    <row r="38" spans="1:105" ht="18.75" customHeight="1" thickTop="1" thickBot="1">
      <c r="A38" s="2372"/>
      <c r="B38" s="2377"/>
      <c r="C38" s="2687"/>
      <c r="D38" s="2688"/>
      <c r="E38" s="2689"/>
      <c r="F38" s="2690"/>
      <c r="G38" s="2690"/>
      <c r="H38" s="2690"/>
      <c r="I38" s="2690"/>
      <c r="J38" s="2688"/>
      <c r="K38" s="2689"/>
      <c r="L38" s="2690"/>
      <c r="M38" s="2690"/>
      <c r="N38" s="2690"/>
      <c r="O38" s="2690"/>
      <c r="P38" s="2690"/>
      <c r="Q38" s="2690"/>
      <c r="R38" s="2690"/>
      <c r="S38" s="2690"/>
      <c r="T38" s="2690"/>
      <c r="U38" s="2688"/>
      <c r="V38" s="2691"/>
      <c r="W38" s="2688"/>
      <c r="X38" s="2692"/>
      <c r="Y38" s="2690"/>
      <c r="Z38" s="2688"/>
      <c r="AA38" s="2689"/>
      <c r="AB38" s="2688"/>
      <c r="AC38" s="2689"/>
      <c r="AD38" s="2690"/>
      <c r="AE38" s="2690"/>
      <c r="AF38" s="2688"/>
      <c r="AG38" s="2376"/>
      <c r="AK38" s="2372"/>
      <c r="AL38" s="2372"/>
      <c r="AM38" s="2372"/>
      <c r="AN38" s="2372"/>
      <c r="AO38" s="2372"/>
      <c r="AP38" s="2372"/>
      <c r="AQ38" s="2372"/>
      <c r="AR38" s="2372"/>
      <c r="AS38" s="2372"/>
      <c r="AT38" s="2372"/>
      <c r="AU38" s="2372"/>
      <c r="AV38" s="2372"/>
      <c r="AW38" s="2372"/>
      <c r="AX38" s="2372"/>
      <c r="AY38" s="2372"/>
      <c r="AZ38" s="2372"/>
      <c r="BA38" s="2372"/>
      <c r="BB38" s="2372"/>
      <c r="BC38" s="2372"/>
      <c r="BD38" s="2372"/>
      <c r="BE38" s="2372"/>
      <c r="BF38" s="2372"/>
      <c r="BG38" s="2372"/>
      <c r="BH38" s="2372"/>
      <c r="BI38" s="2372"/>
      <c r="BJ38" s="2372"/>
      <c r="BK38" s="2372"/>
      <c r="BL38" s="2372"/>
      <c r="BM38" s="2372"/>
      <c r="BN38" s="2372"/>
      <c r="BO38" s="2372"/>
      <c r="BP38" s="2372"/>
    </row>
    <row r="39" spans="1:105" ht="18.75" customHeight="1" thickTop="1" thickBot="1">
      <c r="A39" s="2372"/>
      <c r="B39" s="2377"/>
      <c r="C39" s="2687"/>
      <c r="D39" s="2688"/>
      <c r="E39" s="2689"/>
      <c r="F39" s="2690"/>
      <c r="G39" s="2690"/>
      <c r="H39" s="2690"/>
      <c r="I39" s="2690"/>
      <c r="J39" s="2688"/>
      <c r="K39" s="2689"/>
      <c r="L39" s="2690"/>
      <c r="M39" s="2690"/>
      <c r="N39" s="2690"/>
      <c r="O39" s="2690"/>
      <c r="P39" s="2690"/>
      <c r="Q39" s="2690"/>
      <c r="R39" s="2690"/>
      <c r="S39" s="2690"/>
      <c r="T39" s="2690"/>
      <c r="U39" s="2688"/>
      <c r="V39" s="2691"/>
      <c r="W39" s="2688"/>
      <c r="X39" s="2692"/>
      <c r="Y39" s="2690"/>
      <c r="Z39" s="2688"/>
      <c r="AA39" s="2689"/>
      <c r="AB39" s="2688"/>
      <c r="AC39" s="2689"/>
      <c r="AD39" s="2690"/>
      <c r="AE39" s="2690"/>
      <c r="AF39" s="2688"/>
      <c r="AG39" s="2376"/>
      <c r="AK39" s="2372"/>
      <c r="AL39" s="2372"/>
      <c r="AM39" s="2372"/>
      <c r="AN39" s="2372"/>
      <c r="AO39" s="2372"/>
      <c r="AP39" s="2372"/>
      <c r="AQ39" s="2372"/>
      <c r="AR39" s="2372"/>
      <c r="AS39" s="2372"/>
      <c r="AT39" s="2372"/>
      <c r="AU39" s="2372"/>
      <c r="AV39" s="2372"/>
      <c r="AW39" s="2372"/>
      <c r="AX39" s="2372"/>
      <c r="AY39" s="2372"/>
      <c r="AZ39" s="2372"/>
      <c r="BA39" s="2372"/>
      <c r="BB39" s="2372"/>
      <c r="BC39" s="2372"/>
      <c r="BD39" s="2372"/>
      <c r="BE39" s="2372"/>
      <c r="BF39" s="2372"/>
      <c r="BG39" s="2372"/>
      <c r="BH39" s="2372"/>
      <c r="BI39" s="2372"/>
      <c r="BJ39" s="2372"/>
      <c r="BK39" s="2372"/>
      <c r="BL39" s="2372"/>
      <c r="BM39" s="2372"/>
      <c r="BN39" s="2372"/>
      <c r="BO39" s="2372"/>
      <c r="BP39" s="2372"/>
    </row>
    <row r="40" spans="1:105" ht="18.75" customHeight="1" thickTop="1" thickBot="1">
      <c r="A40" s="2372"/>
      <c r="B40" s="2377"/>
      <c r="C40" s="2687"/>
      <c r="D40" s="2688"/>
      <c r="E40" s="2689"/>
      <c r="F40" s="2690"/>
      <c r="G40" s="2690"/>
      <c r="H40" s="2690"/>
      <c r="I40" s="2690"/>
      <c r="J40" s="2688"/>
      <c r="K40" s="2689"/>
      <c r="L40" s="2690"/>
      <c r="M40" s="2690"/>
      <c r="N40" s="2690"/>
      <c r="O40" s="2690"/>
      <c r="P40" s="2690"/>
      <c r="Q40" s="2690"/>
      <c r="R40" s="2690"/>
      <c r="S40" s="2690"/>
      <c r="T40" s="2690"/>
      <c r="U40" s="2688"/>
      <c r="V40" s="2691"/>
      <c r="W40" s="2688"/>
      <c r="X40" s="2692"/>
      <c r="Y40" s="2690"/>
      <c r="Z40" s="2688"/>
      <c r="AA40" s="2689"/>
      <c r="AB40" s="2688"/>
      <c r="AC40" s="2689"/>
      <c r="AD40" s="2690"/>
      <c r="AE40" s="2690"/>
      <c r="AF40" s="2688"/>
      <c r="AG40" s="2376"/>
      <c r="AK40" s="2372"/>
      <c r="AL40" s="2372"/>
      <c r="AM40" s="2372"/>
      <c r="AN40" s="2372"/>
      <c r="AO40" s="2372"/>
      <c r="AP40" s="2372"/>
      <c r="AQ40" s="2372"/>
      <c r="AR40" s="2372"/>
      <c r="AS40" s="2372"/>
      <c r="AT40" s="2372"/>
      <c r="AU40" s="2372"/>
      <c r="AV40" s="2372"/>
      <c r="AW40" s="2372"/>
      <c r="AX40" s="2372"/>
      <c r="AY40" s="2372"/>
      <c r="AZ40" s="2372"/>
      <c r="BA40" s="2372"/>
      <c r="BB40" s="2372"/>
      <c r="BC40" s="2372"/>
      <c r="BD40" s="2372"/>
      <c r="BE40" s="2372"/>
      <c r="BF40" s="2372"/>
      <c r="BG40" s="2372"/>
      <c r="BH40" s="2372"/>
      <c r="BI40" s="2372"/>
      <c r="BJ40" s="2372"/>
      <c r="BK40" s="2372"/>
      <c r="BL40" s="2372"/>
      <c r="BM40" s="2372"/>
      <c r="BN40" s="2372"/>
      <c r="BO40" s="2372"/>
      <c r="BP40" s="2372"/>
    </row>
    <row r="41" spans="1:105" ht="18.75" customHeight="1" thickTop="1" thickBot="1">
      <c r="A41" s="2372"/>
      <c r="B41" s="2377"/>
      <c r="C41" s="2687"/>
      <c r="D41" s="2688"/>
      <c r="E41" s="2689"/>
      <c r="F41" s="2690"/>
      <c r="G41" s="2690"/>
      <c r="H41" s="2690"/>
      <c r="I41" s="2690"/>
      <c r="J41" s="2688"/>
      <c r="K41" s="2689"/>
      <c r="L41" s="2690"/>
      <c r="M41" s="2690"/>
      <c r="N41" s="2690"/>
      <c r="O41" s="2690"/>
      <c r="P41" s="2690"/>
      <c r="Q41" s="2690"/>
      <c r="R41" s="2690"/>
      <c r="S41" s="2690"/>
      <c r="T41" s="2690"/>
      <c r="U41" s="2688"/>
      <c r="V41" s="2691"/>
      <c r="W41" s="2688"/>
      <c r="X41" s="2692"/>
      <c r="Y41" s="2690"/>
      <c r="Z41" s="2688"/>
      <c r="AA41" s="2689"/>
      <c r="AB41" s="2688"/>
      <c r="AC41" s="2689"/>
      <c r="AD41" s="2690"/>
      <c r="AE41" s="2690"/>
      <c r="AF41" s="2688"/>
      <c r="AG41" s="2376"/>
      <c r="AK41" s="2372"/>
      <c r="AL41" s="2372"/>
      <c r="AM41" s="2372"/>
      <c r="AN41" s="2372"/>
      <c r="AO41" s="2372"/>
      <c r="AP41" s="2372"/>
      <c r="AQ41" s="2372"/>
      <c r="AR41" s="2372"/>
      <c r="AS41" s="2372"/>
      <c r="AT41" s="2372"/>
      <c r="AU41" s="2372"/>
      <c r="AV41" s="2372"/>
      <c r="AW41" s="2372"/>
      <c r="AX41" s="2372"/>
      <c r="AY41" s="2372"/>
      <c r="AZ41" s="2372"/>
      <c r="BA41" s="2372"/>
      <c r="BB41" s="2372"/>
      <c r="BC41" s="2372"/>
      <c r="BD41" s="2372"/>
      <c r="BE41" s="2372"/>
      <c r="BF41" s="2372"/>
      <c r="BG41" s="2372"/>
      <c r="BH41" s="2372"/>
      <c r="BI41" s="2372"/>
      <c r="BJ41" s="2372"/>
      <c r="BK41" s="2372"/>
      <c r="BL41" s="2372"/>
      <c r="BM41" s="2372"/>
      <c r="BN41" s="2372"/>
      <c r="BO41" s="2372"/>
      <c r="BP41" s="2372"/>
    </row>
    <row r="42" spans="1:105" ht="18.75" customHeight="1" thickTop="1" thickBot="1">
      <c r="A42" s="2372"/>
      <c r="B42" s="2377"/>
      <c r="C42" s="2687"/>
      <c r="D42" s="2688"/>
      <c r="E42" s="2689"/>
      <c r="F42" s="2690"/>
      <c r="G42" s="2690"/>
      <c r="H42" s="2690"/>
      <c r="I42" s="2690"/>
      <c r="J42" s="2688"/>
      <c r="K42" s="2689"/>
      <c r="L42" s="2690"/>
      <c r="M42" s="2690"/>
      <c r="N42" s="2690"/>
      <c r="O42" s="2690"/>
      <c r="P42" s="2690"/>
      <c r="Q42" s="2690"/>
      <c r="R42" s="2690"/>
      <c r="S42" s="2690"/>
      <c r="T42" s="2690"/>
      <c r="U42" s="2688"/>
      <c r="V42" s="2691"/>
      <c r="W42" s="2688"/>
      <c r="X42" s="2692"/>
      <c r="Y42" s="2690"/>
      <c r="Z42" s="2688"/>
      <c r="AA42" s="2689"/>
      <c r="AB42" s="2688"/>
      <c r="AC42" s="2689"/>
      <c r="AD42" s="2690"/>
      <c r="AE42" s="2690"/>
      <c r="AF42" s="2688"/>
      <c r="AG42" s="2376"/>
      <c r="AK42" s="2372"/>
      <c r="AL42" s="2372"/>
      <c r="AM42" s="2372"/>
      <c r="AN42" s="2372"/>
      <c r="AO42" s="2372"/>
      <c r="AP42" s="2372"/>
      <c r="AQ42" s="2372"/>
      <c r="AR42" s="2372"/>
      <c r="AS42" s="2372"/>
      <c r="AT42" s="2372"/>
      <c r="AU42" s="2372"/>
      <c r="AV42" s="2372"/>
      <c r="AW42" s="2372"/>
      <c r="AX42" s="2372"/>
      <c r="AY42" s="2372"/>
      <c r="AZ42" s="2372"/>
      <c r="BA42" s="2372"/>
      <c r="BB42" s="2372"/>
      <c r="BC42" s="2372"/>
      <c r="BD42" s="2372"/>
      <c r="BE42" s="2372"/>
      <c r="BF42" s="2372"/>
      <c r="BG42" s="2372"/>
      <c r="BH42" s="2372"/>
      <c r="BI42" s="2372"/>
      <c r="BJ42" s="2372"/>
      <c r="BK42" s="2372"/>
      <c r="BL42" s="2372"/>
      <c r="BM42" s="2372"/>
      <c r="BN42" s="2372"/>
      <c r="BO42" s="2372"/>
      <c r="BP42" s="2372"/>
    </row>
    <row r="43" spans="1:105" ht="18.75" customHeight="1" thickTop="1" thickBot="1">
      <c r="A43" s="2372"/>
      <c r="B43" s="2377"/>
      <c r="C43" s="2687"/>
      <c r="D43" s="2688"/>
      <c r="E43" s="2689"/>
      <c r="F43" s="2690"/>
      <c r="G43" s="2690"/>
      <c r="H43" s="2690"/>
      <c r="I43" s="2690"/>
      <c r="J43" s="2688"/>
      <c r="K43" s="2689"/>
      <c r="L43" s="2690"/>
      <c r="M43" s="2690"/>
      <c r="N43" s="2690"/>
      <c r="O43" s="2690"/>
      <c r="P43" s="2690"/>
      <c r="Q43" s="2690"/>
      <c r="R43" s="2690"/>
      <c r="S43" s="2690"/>
      <c r="T43" s="2690"/>
      <c r="U43" s="2688"/>
      <c r="V43" s="2691"/>
      <c r="W43" s="2688"/>
      <c r="X43" s="2692"/>
      <c r="Y43" s="2690"/>
      <c r="Z43" s="2688"/>
      <c r="AA43" s="2689"/>
      <c r="AB43" s="2688"/>
      <c r="AC43" s="2689"/>
      <c r="AD43" s="2690"/>
      <c r="AE43" s="2690"/>
      <c r="AF43" s="2688"/>
      <c r="AG43" s="2376"/>
      <c r="AK43" s="2372"/>
      <c r="AL43" s="2372"/>
      <c r="AM43" s="2372"/>
      <c r="AN43" s="2372"/>
      <c r="AO43" s="2372"/>
      <c r="AP43" s="2372"/>
      <c r="AQ43" s="2372"/>
      <c r="AR43" s="2372"/>
      <c r="AS43" s="2372"/>
      <c r="AT43" s="2372"/>
      <c r="AU43" s="2372"/>
      <c r="AV43" s="2372"/>
      <c r="AW43" s="2372"/>
      <c r="AX43" s="2372"/>
      <c r="AY43" s="2372"/>
      <c r="AZ43" s="2372"/>
      <c r="BA43" s="2372"/>
      <c r="BB43" s="2372"/>
      <c r="BC43" s="2372"/>
      <c r="BD43" s="2372"/>
      <c r="BE43" s="2372"/>
      <c r="BF43" s="2372"/>
      <c r="BG43" s="2372"/>
      <c r="BH43" s="2372"/>
      <c r="BI43" s="2372"/>
      <c r="BJ43" s="2372"/>
      <c r="BK43" s="2372"/>
      <c r="BL43" s="2372"/>
      <c r="BM43" s="2372"/>
      <c r="BN43" s="2372"/>
      <c r="BO43" s="2372"/>
      <c r="BP43" s="2372"/>
    </row>
    <row r="44" spans="1:105" ht="18.75" customHeight="1" thickTop="1" thickBot="1">
      <c r="A44" s="2372"/>
      <c r="B44" s="2377"/>
      <c r="C44" s="2687"/>
      <c r="D44" s="2688"/>
      <c r="E44" s="2689"/>
      <c r="F44" s="2690"/>
      <c r="G44" s="2690"/>
      <c r="H44" s="2690"/>
      <c r="I44" s="2690"/>
      <c r="J44" s="2688"/>
      <c r="K44" s="2689"/>
      <c r="L44" s="2690"/>
      <c r="M44" s="2690"/>
      <c r="N44" s="2690"/>
      <c r="O44" s="2690"/>
      <c r="P44" s="2690"/>
      <c r="Q44" s="2690"/>
      <c r="R44" s="2690"/>
      <c r="S44" s="2690"/>
      <c r="T44" s="2690"/>
      <c r="U44" s="2688"/>
      <c r="V44" s="2691"/>
      <c r="W44" s="2688"/>
      <c r="X44" s="2692"/>
      <c r="Y44" s="2690"/>
      <c r="Z44" s="2688"/>
      <c r="AA44" s="2689"/>
      <c r="AB44" s="2688"/>
      <c r="AC44" s="2689"/>
      <c r="AD44" s="2690"/>
      <c r="AE44" s="2690"/>
      <c r="AF44" s="2688"/>
      <c r="AG44" s="2376"/>
      <c r="AK44" s="2372"/>
      <c r="AL44" s="2372"/>
      <c r="AM44" s="2372"/>
      <c r="AN44" s="2372"/>
      <c r="AO44" s="2372"/>
      <c r="AP44" s="2372"/>
      <c r="AQ44" s="2372"/>
      <c r="AR44" s="2372"/>
      <c r="AS44" s="2372"/>
      <c r="AT44" s="2372"/>
      <c r="AU44" s="2372"/>
      <c r="AV44" s="2372"/>
      <c r="AW44" s="2372"/>
      <c r="AX44" s="2372"/>
      <c r="AY44" s="2372"/>
      <c r="AZ44" s="2372"/>
      <c r="BA44" s="2372"/>
      <c r="BB44" s="2372"/>
      <c r="BC44" s="2372"/>
      <c r="BD44" s="2372"/>
      <c r="BE44" s="2372"/>
      <c r="BF44" s="2372"/>
      <c r="BG44" s="2372"/>
      <c r="BH44" s="2372"/>
      <c r="BI44" s="2372"/>
      <c r="BJ44" s="2372"/>
      <c r="BK44" s="2372"/>
      <c r="BL44" s="2372"/>
      <c r="BM44" s="2372"/>
      <c r="BN44" s="2372"/>
      <c r="BO44" s="2372"/>
      <c r="BP44" s="2372"/>
    </row>
    <row r="45" spans="1:105" ht="18.75" customHeight="1" thickTop="1" thickBot="1">
      <c r="A45" s="2372"/>
      <c r="B45" s="2377"/>
      <c r="C45" s="2687"/>
      <c r="D45" s="2688"/>
      <c r="E45" s="2689"/>
      <c r="F45" s="2690"/>
      <c r="G45" s="2690"/>
      <c r="H45" s="2690"/>
      <c r="I45" s="2690"/>
      <c r="J45" s="2688"/>
      <c r="K45" s="2689"/>
      <c r="L45" s="2690"/>
      <c r="M45" s="2690"/>
      <c r="N45" s="2690"/>
      <c r="O45" s="2690"/>
      <c r="P45" s="2690"/>
      <c r="Q45" s="2690"/>
      <c r="R45" s="2690"/>
      <c r="S45" s="2690"/>
      <c r="T45" s="2690"/>
      <c r="U45" s="2688"/>
      <c r="V45" s="2691"/>
      <c r="W45" s="2688"/>
      <c r="X45" s="2692"/>
      <c r="Y45" s="2690"/>
      <c r="Z45" s="2688"/>
      <c r="AA45" s="2689"/>
      <c r="AB45" s="2688"/>
      <c r="AC45" s="2689"/>
      <c r="AD45" s="2690"/>
      <c r="AE45" s="2690"/>
      <c r="AF45" s="2688"/>
      <c r="AG45" s="2376"/>
      <c r="AK45" s="2372"/>
      <c r="AL45" s="2372"/>
      <c r="AM45" s="2372"/>
      <c r="AN45" s="2372"/>
      <c r="AO45" s="2372"/>
      <c r="AP45" s="2372"/>
      <c r="AQ45" s="2372"/>
      <c r="AR45" s="2372"/>
      <c r="AS45" s="2372"/>
      <c r="AT45" s="2372"/>
      <c r="AU45" s="2372"/>
      <c r="AV45" s="2372"/>
      <c r="AW45" s="2372"/>
      <c r="AX45" s="2372"/>
      <c r="AY45" s="2372"/>
      <c r="AZ45" s="2372"/>
      <c r="BA45" s="2372"/>
      <c r="BB45" s="2372"/>
      <c r="BC45" s="2372"/>
      <c r="BD45" s="2372"/>
      <c r="BE45" s="2372"/>
      <c r="BF45" s="2372"/>
      <c r="BG45" s="2372"/>
      <c r="BH45" s="2372"/>
      <c r="BI45" s="2372"/>
      <c r="BJ45" s="2372"/>
      <c r="BK45" s="2372"/>
      <c r="BL45" s="2372"/>
      <c r="BM45" s="2372"/>
      <c r="BN45" s="2372"/>
      <c r="BO45" s="2372"/>
      <c r="BP45" s="2372"/>
    </row>
    <row r="46" spans="1:105" ht="18.75" customHeight="1" thickTop="1" thickBot="1">
      <c r="A46" s="2372"/>
      <c r="B46" s="2377"/>
      <c r="C46" s="2687"/>
      <c r="D46" s="2688"/>
      <c r="E46" s="2689"/>
      <c r="F46" s="2690"/>
      <c r="G46" s="2690"/>
      <c r="H46" s="2690"/>
      <c r="I46" s="2690"/>
      <c r="J46" s="2688"/>
      <c r="K46" s="2689"/>
      <c r="L46" s="2690"/>
      <c r="M46" s="2690"/>
      <c r="N46" s="2690"/>
      <c r="O46" s="2690"/>
      <c r="P46" s="2690"/>
      <c r="Q46" s="2690"/>
      <c r="R46" s="2690"/>
      <c r="S46" s="2690"/>
      <c r="T46" s="2690"/>
      <c r="U46" s="2688"/>
      <c r="V46" s="2691"/>
      <c r="W46" s="2688"/>
      <c r="X46" s="2692"/>
      <c r="Y46" s="2690"/>
      <c r="Z46" s="2688"/>
      <c r="AA46" s="2689"/>
      <c r="AB46" s="2688"/>
      <c r="AC46" s="2689"/>
      <c r="AD46" s="2690"/>
      <c r="AE46" s="2690"/>
      <c r="AF46" s="2688"/>
      <c r="AG46" s="2376"/>
      <c r="AK46" s="2372"/>
      <c r="AL46" s="2372"/>
      <c r="AM46" s="2372"/>
      <c r="AN46" s="2372"/>
      <c r="AO46" s="2372"/>
      <c r="AP46" s="2372"/>
      <c r="AQ46" s="2372"/>
      <c r="AR46" s="2372"/>
      <c r="AS46" s="2372"/>
      <c r="AT46" s="2372"/>
      <c r="AU46" s="2372"/>
      <c r="AV46" s="2372"/>
      <c r="AW46" s="2372"/>
      <c r="AX46" s="2372"/>
      <c r="AY46" s="2372"/>
      <c r="AZ46" s="2372"/>
      <c r="BA46" s="2372"/>
      <c r="BB46" s="2372"/>
      <c r="BC46" s="2372"/>
      <c r="BD46" s="2372"/>
      <c r="BE46" s="2372"/>
      <c r="BF46" s="2372"/>
      <c r="BG46" s="2372"/>
      <c r="BH46" s="2372"/>
      <c r="BI46" s="2372"/>
      <c r="BJ46" s="2372"/>
      <c r="BK46" s="2372"/>
      <c r="BL46" s="2372"/>
      <c r="BM46" s="2372"/>
      <c r="BN46" s="2372"/>
      <c r="BO46" s="2372"/>
      <c r="BP46" s="2372"/>
    </row>
    <row r="47" spans="1:105" ht="18.75" customHeight="1" thickTop="1" thickBot="1">
      <c r="A47" s="2372"/>
      <c r="B47" s="2377"/>
      <c r="C47" s="2687"/>
      <c r="D47" s="2688"/>
      <c r="E47" s="2689"/>
      <c r="F47" s="2690"/>
      <c r="G47" s="2690"/>
      <c r="H47" s="2690"/>
      <c r="I47" s="2690"/>
      <c r="J47" s="2688"/>
      <c r="K47" s="2689"/>
      <c r="L47" s="2690"/>
      <c r="M47" s="2690"/>
      <c r="N47" s="2690"/>
      <c r="O47" s="2690"/>
      <c r="P47" s="2690"/>
      <c r="Q47" s="2690"/>
      <c r="R47" s="2690"/>
      <c r="S47" s="2690"/>
      <c r="T47" s="2690"/>
      <c r="U47" s="2688"/>
      <c r="V47" s="2691"/>
      <c r="W47" s="2688"/>
      <c r="X47" s="2692"/>
      <c r="Y47" s="2690"/>
      <c r="Z47" s="2688"/>
      <c r="AA47" s="2689"/>
      <c r="AB47" s="2688"/>
      <c r="AC47" s="2689"/>
      <c r="AD47" s="2690"/>
      <c r="AE47" s="2690"/>
      <c r="AF47" s="2688"/>
      <c r="AG47" s="2376"/>
      <c r="AK47" s="2372"/>
      <c r="AL47" s="2372"/>
      <c r="AM47" s="2372"/>
      <c r="AN47" s="2372"/>
      <c r="AO47" s="2372"/>
      <c r="AP47" s="2372"/>
      <c r="AQ47" s="2372"/>
      <c r="AR47" s="2372"/>
      <c r="AS47" s="2372"/>
      <c r="AT47" s="2372"/>
      <c r="AU47" s="2372"/>
      <c r="AV47" s="2372"/>
      <c r="AW47" s="2372"/>
      <c r="AX47" s="2372"/>
      <c r="AY47" s="2372"/>
      <c r="AZ47" s="2372"/>
      <c r="BA47" s="2372"/>
      <c r="BB47" s="2372"/>
      <c r="BC47" s="2372"/>
      <c r="BD47" s="2372"/>
      <c r="BE47" s="2372"/>
      <c r="BF47" s="2372"/>
      <c r="BG47" s="2372"/>
      <c r="BH47" s="2372"/>
      <c r="BI47" s="2372"/>
      <c r="BJ47" s="2372"/>
      <c r="BK47" s="2372"/>
      <c r="BL47" s="2372"/>
      <c r="BM47" s="2372"/>
      <c r="BN47" s="2372"/>
      <c r="BO47" s="2372"/>
      <c r="BP47" s="2372"/>
    </row>
    <row r="48" spans="1:105" ht="18.75" customHeight="1" thickTop="1" thickBot="1">
      <c r="A48" s="2372"/>
      <c r="B48" s="2377"/>
      <c r="C48" s="2687"/>
      <c r="D48" s="2688"/>
      <c r="E48" s="2689"/>
      <c r="F48" s="2690"/>
      <c r="G48" s="2690"/>
      <c r="H48" s="2690"/>
      <c r="I48" s="2690"/>
      <c r="J48" s="2688"/>
      <c r="K48" s="2689"/>
      <c r="L48" s="2690"/>
      <c r="M48" s="2690"/>
      <c r="N48" s="2690"/>
      <c r="O48" s="2690"/>
      <c r="P48" s="2690"/>
      <c r="Q48" s="2690"/>
      <c r="R48" s="2690"/>
      <c r="S48" s="2690"/>
      <c r="T48" s="2690"/>
      <c r="U48" s="2688"/>
      <c r="V48" s="2691"/>
      <c r="W48" s="2688"/>
      <c r="X48" s="2692"/>
      <c r="Y48" s="2690"/>
      <c r="Z48" s="2688"/>
      <c r="AA48" s="2689"/>
      <c r="AB48" s="2688"/>
      <c r="AC48" s="2689"/>
      <c r="AD48" s="2690"/>
      <c r="AE48" s="2690"/>
      <c r="AF48" s="2688"/>
      <c r="AG48" s="2376"/>
      <c r="AK48" s="2372"/>
      <c r="AL48" s="2372"/>
      <c r="AM48" s="2372"/>
      <c r="AN48" s="2372"/>
      <c r="AO48" s="2372"/>
      <c r="AP48" s="2372"/>
      <c r="AQ48" s="2372"/>
      <c r="AR48" s="2372"/>
      <c r="AS48" s="2372"/>
      <c r="AT48" s="2372"/>
      <c r="AU48" s="2372"/>
      <c r="AV48" s="2372"/>
      <c r="AW48" s="2372"/>
      <c r="AX48" s="2372"/>
      <c r="AY48" s="2372"/>
      <c r="AZ48" s="2372"/>
      <c r="BA48" s="2372"/>
      <c r="BB48" s="2372"/>
      <c r="BC48" s="2372"/>
      <c r="BD48" s="2372"/>
      <c r="BE48" s="2372"/>
      <c r="BF48" s="2372"/>
      <c r="BG48" s="2372"/>
      <c r="BH48" s="2372"/>
      <c r="BI48" s="2372"/>
      <c r="BJ48" s="2372"/>
      <c r="BK48" s="2372"/>
      <c r="BL48" s="2372"/>
      <c r="BM48" s="2372"/>
      <c r="BN48" s="2372"/>
      <c r="BO48" s="2372"/>
      <c r="BP48" s="2372"/>
      <c r="BQ48" s="2372"/>
      <c r="BR48" s="2372"/>
      <c r="BS48" s="2372"/>
      <c r="BT48" s="2372"/>
      <c r="BU48" s="2372"/>
      <c r="BV48" s="2372"/>
      <c r="BW48" s="2372"/>
      <c r="BX48" s="2372"/>
      <c r="BY48" s="2372"/>
      <c r="BZ48" s="2372"/>
      <c r="CA48" s="2372"/>
      <c r="CB48" s="2372"/>
      <c r="CC48" s="2372"/>
      <c r="CD48" s="2372"/>
      <c r="CE48" s="2372"/>
      <c r="CF48" s="2372"/>
      <c r="CG48" s="2372"/>
      <c r="CH48" s="2372"/>
      <c r="CI48" s="2372"/>
      <c r="CJ48" s="2372"/>
      <c r="CK48" s="2372"/>
      <c r="CL48" s="2372"/>
      <c r="CM48" s="2372"/>
      <c r="CN48" s="2372"/>
      <c r="CO48" s="2372"/>
      <c r="CP48" s="2372"/>
      <c r="CQ48" s="2372"/>
      <c r="CR48" s="2372"/>
      <c r="CS48" s="2372"/>
      <c r="CT48" s="2372"/>
      <c r="CU48" s="2372"/>
      <c r="CV48" s="2372"/>
      <c r="CW48" s="2372"/>
      <c r="CX48" s="2372"/>
      <c r="CY48" s="2372"/>
      <c r="CZ48" s="2372"/>
      <c r="DA48" s="2372"/>
    </row>
    <row r="49" spans="1:105" ht="18.75" customHeight="1" thickTop="1" thickBot="1">
      <c r="A49" s="2372"/>
      <c r="B49" s="2377"/>
      <c r="C49" s="2687"/>
      <c r="D49" s="2688"/>
      <c r="E49" s="2689"/>
      <c r="F49" s="2690"/>
      <c r="G49" s="2690"/>
      <c r="H49" s="2690"/>
      <c r="I49" s="2690"/>
      <c r="J49" s="2688"/>
      <c r="K49" s="2689"/>
      <c r="L49" s="2690"/>
      <c r="M49" s="2690"/>
      <c r="N49" s="2690"/>
      <c r="O49" s="2690"/>
      <c r="P49" s="2690"/>
      <c r="Q49" s="2690"/>
      <c r="R49" s="2690"/>
      <c r="S49" s="2690"/>
      <c r="T49" s="2690"/>
      <c r="U49" s="2688"/>
      <c r="V49" s="2691"/>
      <c r="W49" s="2688"/>
      <c r="X49" s="2692"/>
      <c r="Y49" s="2690"/>
      <c r="Z49" s="2688"/>
      <c r="AA49" s="2689"/>
      <c r="AB49" s="2688"/>
      <c r="AC49" s="2689"/>
      <c r="AD49" s="2690"/>
      <c r="AE49" s="2690"/>
      <c r="AF49" s="2688"/>
      <c r="AG49" s="2376"/>
      <c r="AK49" s="2372"/>
      <c r="AL49" s="2372"/>
      <c r="AM49" s="2372"/>
      <c r="AN49" s="2372"/>
      <c r="AO49" s="2372"/>
      <c r="AP49" s="2372"/>
      <c r="AQ49" s="2372"/>
      <c r="AR49" s="2372"/>
      <c r="AS49" s="2372"/>
      <c r="AT49" s="2372"/>
      <c r="AU49" s="2372"/>
      <c r="AV49" s="2372"/>
      <c r="AW49" s="2372"/>
      <c r="AX49" s="2372"/>
      <c r="AY49" s="2372"/>
      <c r="AZ49" s="2372"/>
      <c r="BA49" s="2372"/>
      <c r="BB49" s="2372"/>
      <c r="BC49" s="2372"/>
      <c r="BD49" s="2372"/>
      <c r="BE49" s="2372"/>
      <c r="BF49" s="2372"/>
      <c r="BG49" s="2372"/>
      <c r="BH49" s="2372"/>
      <c r="BI49" s="2372"/>
      <c r="BJ49" s="2372"/>
      <c r="BK49" s="2372"/>
      <c r="BL49" s="2372"/>
      <c r="BM49" s="2372"/>
      <c r="BN49" s="2372"/>
      <c r="BO49" s="2372"/>
      <c r="BP49" s="2372"/>
      <c r="BQ49" s="2372"/>
      <c r="BR49" s="2372"/>
      <c r="BS49" s="2372"/>
      <c r="BT49" s="2372"/>
      <c r="BU49" s="2372"/>
      <c r="BV49" s="2372"/>
      <c r="BW49" s="2372"/>
      <c r="BX49" s="2372"/>
      <c r="BY49" s="2372"/>
      <c r="BZ49" s="2372"/>
      <c r="CA49" s="2372"/>
      <c r="CB49" s="2372"/>
      <c r="CC49" s="2372"/>
      <c r="CD49" s="2372"/>
      <c r="CE49" s="2372"/>
      <c r="CF49" s="2372"/>
      <c r="CG49" s="2372"/>
      <c r="CH49" s="2372"/>
      <c r="CI49" s="2372"/>
      <c r="CJ49" s="2372"/>
      <c r="CK49" s="2372"/>
      <c r="CL49" s="2372"/>
      <c r="CM49" s="2372"/>
      <c r="CN49" s="2372"/>
      <c r="CO49" s="2372"/>
      <c r="CP49" s="2372"/>
      <c r="CQ49" s="2372"/>
      <c r="CR49" s="2372"/>
      <c r="CS49" s="2372"/>
      <c r="CT49" s="2372"/>
      <c r="CU49" s="2372"/>
      <c r="CV49" s="2372"/>
      <c r="CW49" s="2372"/>
      <c r="CX49" s="2372"/>
      <c r="CY49" s="2372"/>
      <c r="CZ49" s="2372"/>
      <c r="DA49" s="2372"/>
    </row>
    <row r="50" spans="1:105" ht="18.75" customHeight="1" thickTop="1" thickBot="1">
      <c r="A50" s="2372"/>
      <c r="B50" s="2377"/>
      <c r="C50" s="2687"/>
      <c r="D50" s="2688"/>
      <c r="E50" s="2689"/>
      <c r="F50" s="2690"/>
      <c r="G50" s="2690"/>
      <c r="H50" s="2690"/>
      <c r="I50" s="2690"/>
      <c r="J50" s="2688"/>
      <c r="K50" s="2689"/>
      <c r="L50" s="2690"/>
      <c r="M50" s="2690"/>
      <c r="N50" s="2690"/>
      <c r="O50" s="2690"/>
      <c r="P50" s="2690"/>
      <c r="Q50" s="2690"/>
      <c r="R50" s="2690"/>
      <c r="S50" s="2690"/>
      <c r="T50" s="2690"/>
      <c r="U50" s="2688"/>
      <c r="V50" s="2691"/>
      <c r="W50" s="2688"/>
      <c r="X50" s="2692"/>
      <c r="Y50" s="2690"/>
      <c r="Z50" s="2688"/>
      <c r="AA50" s="2689"/>
      <c r="AB50" s="2688"/>
      <c r="AC50" s="2689"/>
      <c r="AD50" s="2690"/>
      <c r="AE50" s="2690"/>
      <c r="AF50" s="2688"/>
      <c r="AG50" s="2376"/>
      <c r="AK50" s="2372"/>
      <c r="AL50" s="2372"/>
      <c r="AM50" s="2372"/>
      <c r="AN50" s="2372"/>
      <c r="AO50" s="2372"/>
      <c r="AP50" s="2372"/>
      <c r="AQ50" s="2372"/>
      <c r="AR50" s="2372"/>
      <c r="AS50" s="2372"/>
      <c r="AT50" s="2372"/>
      <c r="AU50" s="2372"/>
      <c r="AV50" s="2372"/>
      <c r="AW50" s="2372"/>
      <c r="AX50" s="2372"/>
      <c r="AY50" s="2372"/>
      <c r="AZ50" s="2372"/>
      <c r="BA50" s="2372"/>
      <c r="BB50" s="2372"/>
      <c r="BC50" s="2372"/>
      <c r="BD50" s="2372"/>
      <c r="BE50" s="2372"/>
      <c r="BF50" s="2372"/>
      <c r="BG50" s="2372"/>
      <c r="BH50" s="2372"/>
      <c r="BI50" s="2372"/>
      <c r="BJ50" s="2372"/>
      <c r="BK50" s="2372"/>
      <c r="BL50" s="2372"/>
      <c r="BM50" s="2372"/>
      <c r="BN50" s="2372"/>
      <c r="BO50" s="2372"/>
      <c r="BP50" s="2372"/>
      <c r="BQ50" s="2372"/>
      <c r="BR50" s="2372"/>
      <c r="BS50" s="2372"/>
      <c r="BT50" s="2372"/>
      <c r="BU50" s="2372"/>
      <c r="BV50" s="2372"/>
      <c r="BW50" s="2372"/>
      <c r="BX50" s="2372"/>
      <c r="BY50" s="2372"/>
      <c r="BZ50" s="2372"/>
      <c r="CA50" s="2372"/>
      <c r="CB50" s="2372"/>
      <c r="CC50" s="2372"/>
      <c r="CD50" s="2372"/>
      <c r="CE50" s="2372"/>
      <c r="CF50" s="2372"/>
      <c r="CG50" s="2372"/>
      <c r="CH50" s="2372"/>
      <c r="CI50" s="2372"/>
      <c r="CJ50" s="2372"/>
      <c r="CK50" s="2372"/>
      <c r="CL50" s="2372"/>
      <c r="CM50" s="2372"/>
      <c r="CN50" s="2372"/>
      <c r="CO50" s="2372"/>
      <c r="CP50" s="2372"/>
      <c r="CQ50" s="2372"/>
      <c r="CR50" s="2372"/>
      <c r="CS50" s="2372"/>
      <c r="CT50" s="2372"/>
      <c r="CU50" s="2372"/>
      <c r="CV50" s="2372"/>
      <c r="CW50" s="2372"/>
      <c r="CX50" s="2372"/>
      <c r="CY50" s="2372"/>
      <c r="CZ50" s="2372"/>
      <c r="DA50" s="2372"/>
    </row>
    <row r="51" spans="1:105" ht="18.75" customHeight="1" thickTop="1" thickBot="1">
      <c r="A51" s="2372"/>
      <c r="B51" s="2377"/>
      <c r="C51" s="2687"/>
      <c r="D51" s="2688"/>
      <c r="E51" s="2689"/>
      <c r="F51" s="2690"/>
      <c r="G51" s="2690"/>
      <c r="H51" s="2690"/>
      <c r="I51" s="2690"/>
      <c r="J51" s="2688"/>
      <c r="K51" s="2689"/>
      <c r="L51" s="2690"/>
      <c r="M51" s="2690"/>
      <c r="N51" s="2690"/>
      <c r="O51" s="2690"/>
      <c r="P51" s="2690"/>
      <c r="Q51" s="2690"/>
      <c r="R51" s="2690"/>
      <c r="S51" s="2690"/>
      <c r="T51" s="2690"/>
      <c r="U51" s="2688"/>
      <c r="V51" s="2691"/>
      <c r="W51" s="2688"/>
      <c r="X51" s="2692"/>
      <c r="Y51" s="2690"/>
      <c r="Z51" s="2688"/>
      <c r="AA51" s="2689"/>
      <c r="AB51" s="2688"/>
      <c r="AC51" s="2689"/>
      <c r="AD51" s="2690"/>
      <c r="AE51" s="2690"/>
      <c r="AF51" s="2688"/>
      <c r="AG51" s="2376"/>
      <c r="AK51" s="2372"/>
      <c r="AL51" s="2372"/>
      <c r="AM51" s="2372"/>
      <c r="AN51" s="2372"/>
      <c r="AO51" s="2372"/>
      <c r="AP51" s="2372"/>
      <c r="AQ51" s="2372"/>
      <c r="AR51" s="2372"/>
      <c r="AS51" s="2372"/>
      <c r="AT51" s="2372"/>
      <c r="AU51" s="2372"/>
      <c r="AV51" s="2372"/>
      <c r="AW51" s="2372"/>
      <c r="AX51" s="2372"/>
      <c r="AY51" s="2372"/>
      <c r="AZ51" s="2372"/>
      <c r="BA51" s="2372"/>
      <c r="BB51" s="2372"/>
      <c r="BC51" s="2372"/>
      <c r="BD51" s="2372"/>
      <c r="BE51" s="2372"/>
      <c r="BF51" s="2372"/>
      <c r="BG51" s="2372"/>
      <c r="BH51" s="2372"/>
      <c r="BI51" s="2372"/>
      <c r="BJ51" s="2372"/>
      <c r="BK51" s="2372"/>
      <c r="BL51" s="2372"/>
      <c r="BM51" s="2372"/>
      <c r="BN51" s="2372"/>
      <c r="BO51" s="2372"/>
      <c r="BP51" s="2372"/>
      <c r="BQ51" s="2372"/>
      <c r="BR51" s="2372"/>
      <c r="BS51" s="2372"/>
      <c r="BT51" s="2372"/>
      <c r="BU51" s="2372"/>
      <c r="BV51" s="2372"/>
      <c r="BW51" s="2372"/>
      <c r="BX51" s="2372"/>
      <c r="BY51" s="2372"/>
      <c r="BZ51" s="2372"/>
      <c r="CA51" s="2372"/>
      <c r="CB51" s="2372"/>
      <c r="CC51" s="2372"/>
      <c r="CD51" s="2372"/>
      <c r="CE51" s="2372"/>
      <c r="CF51" s="2372"/>
      <c r="CG51" s="2372"/>
      <c r="CH51" s="2372"/>
      <c r="CI51" s="2372"/>
      <c r="CJ51" s="2372"/>
      <c r="CK51" s="2372"/>
      <c r="CL51" s="2372"/>
      <c r="CM51" s="2372"/>
      <c r="CN51" s="2372"/>
      <c r="CO51" s="2372"/>
      <c r="CP51" s="2372"/>
      <c r="CQ51" s="2372"/>
      <c r="CR51" s="2372"/>
      <c r="CS51" s="2372"/>
      <c r="CT51" s="2372"/>
      <c r="CU51" s="2372"/>
      <c r="CV51" s="2372"/>
      <c r="CW51" s="2372"/>
      <c r="CX51" s="2372"/>
      <c r="CY51" s="2372"/>
      <c r="CZ51" s="2372"/>
      <c r="DA51" s="2372"/>
    </row>
    <row r="52" spans="1:105" ht="18.75" customHeight="1" thickTop="1" thickBot="1">
      <c r="A52" s="2372"/>
      <c r="B52" s="2377"/>
      <c r="C52" s="2687"/>
      <c r="D52" s="2688"/>
      <c r="E52" s="2689"/>
      <c r="F52" s="2690"/>
      <c r="G52" s="2690"/>
      <c r="H52" s="2690"/>
      <c r="I52" s="2690"/>
      <c r="J52" s="2688"/>
      <c r="K52" s="2689"/>
      <c r="L52" s="2690"/>
      <c r="M52" s="2690"/>
      <c r="N52" s="2690"/>
      <c r="O52" s="2690"/>
      <c r="P52" s="2690"/>
      <c r="Q52" s="2690"/>
      <c r="R52" s="2690"/>
      <c r="S52" s="2690"/>
      <c r="T52" s="2690"/>
      <c r="U52" s="2688"/>
      <c r="V52" s="2691"/>
      <c r="W52" s="2688"/>
      <c r="X52" s="2692"/>
      <c r="Y52" s="2690"/>
      <c r="Z52" s="2688"/>
      <c r="AA52" s="2689"/>
      <c r="AB52" s="2688"/>
      <c r="AC52" s="2689"/>
      <c r="AD52" s="2690"/>
      <c r="AE52" s="2690"/>
      <c r="AF52" s="2688"/>
      <c r="AG52" s="2376"/>
      <c r="AK52" s="2372"/>
      <c r="AL52" s="2372"/>
      <c r="AM52" s="2372"/>
      <c r="AN52" s="2372"/>
      <c r="AO52" s="2372"/>
      <c r="AP52" s="2372"/>
      <c r="AQ52" s="2372"/>
      <c r="AR52" s="2372"/>
      <c r="AS52" s="2372"/>
      <c r="AT52" s="2372"/>
      <c r="AU52" s="2372"/>
      <c r="AV52" s="2372"/>
      <c r="AW52" s="2372"/>
      <c r="AX52" s="2372"/>
      <c r="AY52" s="2372"/>
      <c r="AZ52" s="2372"/>
      <c r="BA52" s="2372"/>
      <c r="BB52" s="2372"/>
      <c r="BC52" s="2372"/>
      <c r="BD52" s="2372"/>
      <c r="BE52" s="2372"/>
      <c r="BF52" s="2372"/>
      <c r="BG52" s="2372"/>
      <c r="BH52" s="2372"/>
      <c r="BI52" s="2372"/>
      <c r="BJ52" s="2372"/>
      <c r="BK52" s="2372"/>
      <c r="BL52" s="2372"/>
      <c r="BM52" s="2372"/>
      <c r="BN52" s="2372"/>
      <c r="BO52" s="2372"/>
      <c r="BP52" s="2372"/>
      <c r="BQ52" s="2372"/>
      <c r="BR52" s="2372"/>
      <c r="BS52" s="2372"/>
      <c r="BT52" s="2372"/>
      <c r="BU52" s="2372"/>
      <c r="BV52" s="2372"/>
      <c r="BW52" s="2372"/>
      <c r="BX52" s="2372"/>
      <c r="BY52" s="2372"/>
      <c r="BZ52" s="2372"/>
      <c r="CA52" s="2372"/>
      <c r="CB52" s="2372"/>
      <c r="CC52" s="2372"/>
      <c r="CD52" s="2372"/>
      <c r="CE52" s="2372"/>
      <c r="CF52" s="2372"/>
      <c r="CG52" s="2372"/>
      <c r="CH52" s="2372"/>
      <c r="CI52" s="2372"/>
      <c r="CJ52" s="2372"/>
      <c r="CK52" s="2372"/>
      <c r="CL52" s="2372"/>
      <c r="CM52" s="2372"/>
      <c r="CN52" s="2372"/>
      <c r="CO52" s="2372"/>
      <c r="CP52" s="2372"/>
      <c r="CQ52" s="2372"/>
      <c r="CR52" s="2372"/>
      <c r="CS52" s="2372"/>
      <c r="CT52" s="2372"/>
      <c r="CU52" s="2372"/>
      <c r="CV52" s="2372"/>
      <c r="CW52" s="2372"/>
      <c r="CX52" s="2372"/>
      <c r="CY52" s="2372"/>
      <c r="CZ52" s="2372"/>
      <c r="DA52" s="2372"/>
    </row>
    <row r="53" spans="1:105" ht="18.75" customHeight="1" thickTop="1" thickBot="1">
      <c r="A53" s="2372"/>
      <c r="B53" s="2377"/>
      <c r="C53" s="2687"/>
      <c r="D53" s="2688"/>
      <c r="E53" s="2689"/>
      <c r="F53" s="2690"/>
      <c r="G53" s="2690"/>
      <c r="H53" s="2690"/>
      <c r="I53" s="2690"/>
      <c r="J53" s="2688"/>
      <c r="K53" s="2689"/>
      <c r="L53" s="2690"/>
      <c r="M53" s="2690"/>
      <c r="N53" s="2690"/>
      <c r="O53" s="2690"/>
      <c r="P53" s="2690"/>
      <c r="Q53" s="2690"/>
      <c r="R53" s="2690"/>
      <c r="S53" s="2690"/>
      <c r="T53" s="2690"/>
      <c r="U53" s="2688"/>
      <c r="V53" s="2691"/>
      <c r="W53" s="2688"/>
      <c r="X53" s="2692"/>
      <c r="Y53" s="2690"/>
      <c r="Z53" s="2688"/>
      <c r="AA53" s="2689"/>
      <c r="AB53" s="2688"/>
      <c r="AC53" s="2689"/>
      <c r="AD53" s="2690"/>
      <c r="AE53" s="2690"/>
      <c r="AF53" s="2688"/>
      <c r="AG53" s="2376"/>
      <c r="AK53" s="2372"/>
      <c r="AL53" s="2372"/>
      <c r="AM53" s="2372"/>
      <c r="AN53" s="2372"/>
      <c r="AO53" s="2372"/>
      <c r="AP53" s="2372"/>
      <c r="AQ53" s="2372"/>
      <c r="AR53" s="2372"/>
      <c r="AS53" s="2372"/>
      <c r="AT53" s="2372"/>
      <c r="AU53" s="2372"/>
      <c r="AV53" s="2372"/>
      <c r="AW53" s="2372"/>
      <c r="AX53" s="2372"/>
      <c r="AY53" s="2372"/>
      <c r="AZ53" s="2372"/>
      <c r="BA53" s="2372"/>
      <c r="BB53" s="2372"/>
      <c r="BC53" s="2372"/>
      <c r="BD53" s="2372"/>
      <c r="BE53" s="2372"/>
      <c r="BF53" s="2372"/>
      <c r="BG53" s="2372"/>
      <c r="BH53" s="2372"/>
      <c r="BI53" s="2372"/>
      <c r="BJ53" s="2372"/>
      <c r="BK53" s="2372"/>
      <c r="BL53" s="2372"/>
      <c r="BM53" s="2372"/>
      <c r="BN53" s="2372"/>
      <c r="BO53" s="2372"/>
      <c r="BP53" s="2372"/>
      <c r="BQ53" s="2372"/>
      <c r="BR53" s="2372"/>
      <c r="BS53" s="2372"/>
      <c r="BT53" s="2372"/>
      <c r="BU53" s="2372"/>
      <c r="BV53" s="2372"/>
      <c r="BW53" s="2372"/>
      <c r="BX53" s="2372"/>
      <c r="BY53" s="2372"/>
      <c r="BZ53" s="2372"/>
      <c r="CA53" s="2372"/>
      <c r="CB53" s="2372"/>
      <c r="CC53" s="2372"/>
      <c r="CD53" s="2372"/>
      <c r="CE53" s="2372"/>
      <c r="CF53" s="2372"/>
      <c r="CG53" s="2372"/>
      <c r="CH53" s="2372"/>
      <c r="CI53" s="2372"/>
      <c r="CJ53" s="2372"/>
      <c r="CK53" s="2372"/>
      <c r="CL53" s="2372"/>
      <c r="CM53" s="2372"/>
      <c r="CN53" s="2372"/>
      <c r="CO53" s="2372"/>
      <c r="CP53" s="2372"/>
      <c r="CQ53" s="2372"/>
      <c r="CR53" s="2372"/>
      <c r="CS53" s="2372"/>
      <c r="CT53" s="2372"/>
      <c r="CU53" s="2372"/>
      <c r="CV53" s="2372"/>
      <c r="CW53" s="2372"/>
      <c r="CX53" s="2372"/>
      <c r="CY53" s="2372"/>
      <c r="CZ53" s="2372"/>
      <c r="DA53" s="2372"/>
    </row>
    <row r="54" spans="1:105" ht="18.75" customHeight="1" thickTop="1" thickBot="1">
      <c r="A54" s="2372"/>
      <c r="B54" s="2377"/>
      <c r="C54" s="2687"/>
      <c r="D54" s="2688"/>
      <c r="E54" s="2689"/>
      <c r="F54" s="2690"/>
      <c r="G54" s="2690"/>
      <c r="H54" s="2690"/>
      <c r="I54" s="2690"/>
      <c r="J54" s="2688"/>
      <c r="K54" s="2689"/>
      <c r="L54" s="2690"/>
      <c r="M54" s="2690"/>
      <c r="N54" s="2690"/>
      <c r="O54" s="2690"/>
      <c r="P54" s="2690"/>
      <c r="Q54" s="2690"/>
      <c r="R54" s="2690"/>
      <c r="S54" s="2690"/>
      <c r="T54" s="2690"/>
      <c r="U54" s="2688"/>
      <c r="V54" s="2691"/>
      <c r="W54" s="2688"/>
      <c r="X54" s="2692"/>
      <c r="Y54" s="2690"/>
      <c r="Z54" s="2688"/>
      <c r="AA54" s="2689"/>
      <c r="AB54" s="2688"/>
      <c r="AC54" s="2689"/>
      <c r="AD54" s="2690"/>
      <c r="AE54" s="2690"/>
      <c r="AF54" s="2688"/>
      <c r="AG54" s="2376"/>
      <c r="AK54" s="2372"/>
      <c r="AL54" s="2372"/>
      <c r="AM54" s="2372"/>
      <c r="AN54" s="2372"/>
      <c r="AO54" s="2372"/>
      <c r="AP54" s="2372"/>
      <c r="AQ54" s="2372"/>
      <c r="AR54" s="2372"/>
      <c r="AS54" s="2372"/>
      <c r="AT54" s="2372"/>
      <c r="AU54" s="2372"/>
      <c r="AV54" s="2372"/>
      <c r="AW54" s="2372"/>
      <c r="AX54" s="2372"/>
      <c r="AY54" s="2372"/>
      <c r="AZ54" s="2372"/>
      <c r="BA54" s="2372"/>
      <c r="BB54" s="2372"/>
      <c r="BC54" s="2372"/>
      <c r="BD54" s="2372"/>
      <c r="BE54" s="2372"/>
      <c r="BF54" s="2372"/>
      <c r="BG54" s="2372"/>
      <c r="BH54" s="2372"/>
      <c r="BI54" s="2372"/>
      <c r="BJ54" s="2372"/>
      <c r="BK54" s="2372"/>
      <c r="BL54" s="2372"/>
      <c r="BM54" s="2372"/>
      <c r="BN54" s="2372"/>
      <c r="BO54" s="2372"/>
      <c r="BP54" s="2372"/>
      <c r="BQ54" s="2372"/>
      <c r="BR54" s="2372"/>
      <c r="BS54" s="2372"/>
      <c r="BT54" s="2372"/>
      <c r="BU54" s="2372"/>
      <c r="BV54" s="2372"/>
      <c r="BW54" s="2372"/>
      <c r="BX54" s="2372"/>
      <c r="BY54" s="2372"/>
      <c r="BZ54" s="2372"/>
      <c r="CA54" s="2372"/>
      <c r="CB54" s="2372"/>
      <c r="CC54" s="2372"/>
      <c r="CD54" s="2372"/>
      <c r="CE54" s="2372"/>
      <c r="CF54" s="2372"/>
      <c r="CG54" s="2372"/>
      <c r="CH54" s="2372"/>
      <c r="CI54" s="2372"/>
      <c r="CJ54" s="2372"/>
      <c r="CK54" s="2372"/>
      <c r="CL54" s="2372"/>
      <c r="CM54" s="2372"/>
      <c r="CN54" s="2372"/>
      <c r="CO54" s="2372"/>
      <c r="CP54" s="2372"/>
      <c r="CQ54" s="2372"/>
      <c r="CR54" s="2372"/>
      <c r="CS54" s="2372"/>
      <c r="CT54" s="2372"/>
      <c r="CU54" s="2372"/>
      <c r="CV54" s="2372"/>
      <c r="CW54" s="2372"/>
      <c r="CX54" s="2372"/>
      <c r="CY54" s="2372"/>
      <c r="CZ54" s="2372"/>
      <c r="DA54" s="2372"/>
    </row>
    <row r="55" spans="1:105" ht="18.75" customHeight="1" thickTop="1" thickBot="1">
      <c r="A55" s="2372"/>
      <c r="B55" s="2377"/>
      <c r="C55" s="2687"/>
      <c r="D55" s="2688"/>
      <c r="E55" s="2689"/>
      <c r="F55" s="2690"/>
      <c r="G55" s="2690"/>
      <c r="H55" s="2690"/>
      <c r="I55" s="2690"/>
      <c r="J55" s="2688"/>
      <c r="K55" s="2689"/>
      <c r="L55" s="2690"/>
      <c r="M55" s="2690"/>
      <c r="N55" s="2690"/>
      <c r="O55" s="2690"/>
      <c r="P55" s="2690"/>
      <c r="Q55" s="2690"/>
      <c r="R55" s="2690"/>
      <c r="S55" s="2690"/>
      <c r="T55" s="2690"/>
      <c r="U55" s="2688"/>
      <c r="V55" s="2691"/>
      <c r="W55" s="2688"/>
      <c r="X55" s="2692"/>
      <c r="Y55" s="2690"/>
      <c r="Z55" s="2688"/>
      <c r="AA55" s="2689"/>
      <c r="AB55" s="2688"/>
      <c r="AC55" s="2689"/>
      <c r="AD55" s="2690"/>
      <c r="AE55" s="2690"/>
      <c r="AF55" s="2688"/>
      <c r="AG55" s="2376"/>
      <c r="AK55" s="2372"/>
      <c r="AL55" s="2372"/>
      <c r="AM55" s="2372"/>
      <c r="AN55" s="2372"/>
      <c r="AO55" s="2372"/>
      <c r="AP55" s="2372"/>
      <c r="AQ55" s="2372"/>
      <c r="AR55" s="2372"/>
      <c r="AS55" s="2372"/>
      <c r="AT55" s="2372"/>
      <c r="AU55" s="2372"/>
      <c r="AV55" s="2372"/>
      <c r="AW55" s="2372"/>
      <c r="AX55" s="2372"/>
      <c r="AY55" s="2372"/>
      <c r="AZ55" s="2372"/>
      <c r="BA55" s="2372"/>
      <c r="BB55" s="2372"/>
      <c r="BC55" s="2372"/>
      <c r="BD55" s="2372"/>
      <c r="BE55" s="2372"/>
      <c r="BF55" s="2372"/>
      <c r="BG55" s="2372"/>
      <c r="BH55" s="2372"/>
      <c r="BI55" s="2372"/>
      <c r="BJ55" s="2372"/>
      <c r="BK55" s="2372"/>
      <c r="BL55" s="2372"/>
      <c r="BM55" s="2372"/>
      <c r="BN55" s="2372"/>
      <c r="BO55" s="2372"/>
      <c r="BP55" s="2372"/>
      <c r="BQ55" s="2372"/>
      <c r="BR55" s="2372"/>
      <c r="BS55" s="2372"/>
      <c r="BT55" s="2372"/>
      <c r="BU55" s="2372"/>
      <c r="BV55" s="2372"/>
      <c r="BW55" s="2372"/>
      <c r="BX55" s="2372"/>
      <c r="BY55" s="2372"/>
      <c r="BZ55" s="2372"/>
      <c r="CA55" s="2372"/>
      <c r="CB55" s="2372"/>
      <c r="CC55" s="2372"/>
      <c r="CD55" s="2372"/>
      <c r="CE55" s="2372"/>
      <c r="CF55" s="2372"/>
      <c r="CG55" s="2372"/>
      <c r="CH55" s="2372"/>
      <c r="CI55" s="2372"/>
      <c r="CJ55" s="2372"/>
      <c r="CK55" s="2372"/>
      <c r="CL55" s="2372"/>
      <c r="CM55" s="2372"/>
      <c r="CN55" s="2372"/>
      <c r="CO55" s="2372"/>
      <c r="CP55" s="2372"/>
      <c r="CQ55" s="2372"/>
      <c r="CR55" s="2372"/>
      <c r="CS55" s="2372"/>
      <c r="CT55" s="2372"/>
      <c r="CU55" s="2372"/>
      <c r="CV55" s="2372"/>
      <c r="CW55" s="2372"/>
      <c r="CX55" s="2372"/>
      <c r="CY55" s="2372"/>
      <c r="CZ55" s="2372"/>
      <c r="DA55" s="2372"/>
    </row>
    <row r="56" spans="1:105" ht="18.75" customHeight="1" thickTop="1" thickBot="1">
      <c r="A56" s="2372"/>
      <c r="B56" s="2377"/>
      <c r="C56" s="2687"/>
      <c r="D56" s="2688"/>
      <c r="E56" s="2689"/>
      <c r="F56" s="2690"/>
      <c r="G56" s="2690"/>
      <c r="H56" s="2690"/>
      <c r="I56" s="2690"/>
      <c r="J56" s="2688"/>
      <c r="K56" s="2689"/>
      <c r="L56" s="2690"/>
      <c r="M56" s="2690"/>
      <c r="N56" s="2690"/>
      <c r="O56" s="2690"/>
      <c r="P56" s="2690"/>
      <c r="Q56" s="2690"/>
      <c r="R56" s="2690"/>
      <c r="S56" s="2690"/>
      <c r="T56" s="2690"/>
      <c r="U56" s="2688"/>
      <c r="V56" s="2691"/>
      <c r="W56" s="2688"/>
      <c r="X56" s="2692"/>
      <c r="Y56" s="2690"/>
      <c r="Z56" s="2688"/>
      <c r="AA56" s="2689"/>
      <c r="AB56" s="2688"/>
      <c r="AC56" s="2689"/>
      <c r="AD56" s="2690"/>
      <c r="AE56" s="2690"/>
      <c r="AF56" s="2688"/>
      <c r="AG56" s="2376"/>
      <c r="AK56" s="2372"/>
      <c r="AL56" s="2372"/>
      <c r="AM56" s="2372"/>
      <c r="AN56" s="2372"/>
      <c r="AO56" s="2372"/>
      <c r="AP56" s="2372"/>
      <c r="AQ56" s="2372"/>
      <c r="AR56" s="2372"/>
      <c r="AS56" s="2372"/>
      <c r="AT56" s="2372"/>
      <c r="AU56" s="2372"/>
      <c r="AV56" s="2372"/>
      <c r="AW56" s="2372"/>
      <c r="AX56" s="2372"/>
      <c r="AY56" s="2372"/>
      <c r="AZ56" s="2372"/>
      <c r="BA56" s="2372"/>
      <c r="BB56" s="2372"/>
      <c r="BC56" s="2372"/>
      <c r="BD56" s="2372"/>
      <c r="BE56" s="2372"/>
      <c r="BF56" s="2372"/>
      <c r="BG56" s="2372"/>
      <c r="BH56" s="2372"/>
      <c r="BI56" s="2372"/>
      <c r="BJ56" s="2372"/>
      <c r="BK56" s="2372"/>
      <c r="BL56" s="2372"/>
      <c r="BM56" s="2372"/>
      <c r="BN56" s="2372"/>
      <c r="BO56" s="2372"/>
      <c r="BP56" s="2372"/>
      <c r="BQ56" s="2372"/>
      <c r="BR56" s="2372"/>
      <c r="BS56" s="2372"/>
      <c r="BT56" s="2372"/>
      <c r="BU56" s="2372"/>
      <c r="BV56" s="2372"/>
      <c r="BW56" s="2372"/>
      <c r="BX56" s="2372"/>
      <c r="BY56" s="2372"/>
      <c r="BZ56" s="2372"/>
      <c r="CA56" s="2372"/>
      <c r="CB56" s="2372"/>
      <c r="CC56" s="2372"/>
      <c r="CD56" s="2372"/>
      <c r="CE56" s="2372"/>
      <c r="CF56" s="2372"/>
      <c r="CG56" s="2372"/>
      <c r="CH56" s="2372"/>
      <c r="CI56" s="2372"/>
      <c r="CJ56" s="2372"/>
      <c r="CK56" s="2372"/>
      <c r="CL56" s="2372"/>
      <c r="CM56" s="2372"/>
      <c r="CN56" s="2372"/>
      <c r="CO56" s="2372"/>
      <c r="CP56" s="2372"/>
      <c r="CQ56" s="2372"/>
      <c r="CR56" s="2372"/>
      <c r="CS56" s="2372"/>
      <c r="CT56" s="2372"/>
      <c r="CU56" s="2372"/>
      <c r="CV56" s="2372"/>
      <c r="CW56" s="2372"/>
      <c r="CX56" s="2372"/>
      <c r="CY56" s="2372"/>
      <c r="CZ56" s="2372"/>
      <c r="DA56" s="2372"/>
    </row>
    <row r="57" spans="1:105" ht="18.75" customHeight="1" thickTop="1" thickBot="1">
      <c r="A57" s="2372"/>
      <c r="B57" s="2377"/>
      <c r="C57" s="2687"/>
      <c r="D57" s="2688"/>
      <c r="E57" s="2689"/>
      <c r="F57" s="2690"/>
      <c r="G57" s="2690"/>
      <c r="H57" s="2690"/>
      <c r="I57" s="2690"/>
      <c r="J57" s="2688"/>
      <c r="K57" s="2689"/>
      <c r="L57" s="2690"/>
      <c r="M57" s="2690"/>
      <c r="N57" s="2690"/>
      <c r="O57" s="2690"/>
      <c r="P57" s="2690"/>
      <c r="Q57" s="2690"/>
      <c r="R57" s="2690"/>
      <c r="S57" s="2690"/>
      <c r="T57" s="2690"/>
      <c r="U57" s="2688"/>
      <c r="V57" s="2691"/>
      <c r="W57" s="2688"/>
      <c r="X57" s="2692"/>
      <c r="Y57" s="2690"/>
      <c r="Z57" s="2688"/>
      <c r="AA57" s="2689"/>
      <c r="AB57" s="2688"/>
      <c r="AC57" s="2689"/>
      <c r="AD57" s="2690"/>
      <c r="AE57" s="2690"/>
      <c r="AF57" s="2688"/>
      <c r="AG57" s="2376"/>
      <c r="AK57" s="2372"/>
      <c r="AL57" s="2372"/>
      <c r="AM57" s="2372"/>
      <c r="AN57" s="2372"/>
      <c r="AO57" s="2372"/>
      <c r="AP57" s="2372"/>
      <c r="AQ57" s="2372"/>
      <c r="AR57" s="2372"/>
      <c r="AS57" s="2372"/>
      <c r="AT57" s="2372"/>
      <c r="AU57" s="2372"/>
      <c r="AV57" s="2372"/>
      <c r="AW57" s="2372"/>
      <c r="AX57" s="2372"/>
      <c r="AY57" s="2372"/>
      <c r="AZ57" s="2372"/>
      <c r="BA57" s="2372"/>
      <c r="BB57" s="2372"/>
      <c r="BC57" s="2372"/>
      <c r="BD57" s="2372"/>
      <c r="BE57" s="2372"/>
      <c r="BF57" s="2372"/>
      <c r="BG57" s="2372"/>
      <c r="BH57" s="2372"/>
      <c r="BI57" s="2372"/>
      <c r="BJ57" s="2372"/>
      <c r="BK57" s="2372"/>
      <c r="BL57" s="2372"/>
      <c r="BM57" s="2372"/>
      <c r="BN57" s="2372"/>
      <c r="BO57" s="2372"/>
      <c r="BP57" s="2372"/>
      <c r="BQ57" s="2372"/>
      <c r="BR57" s="2372"/>
      <c r="BS57" s="2372"/>
      <c r="BT57" s="2372"/>
      <c r="BU57" s="2372"/>
      <c r="BV57" s="2372"/>
      <c r="BW57" s="2372"/>
      <c r="BX57" s="2372"/>
      <c r="BY57" s="2372"/>
      <c r="BZ57" s="2372"/>
      <c r="CA57" s="2372"/>
      <c r="CB57" s="2372"/>
      <c r="CC57" s="2372"/>
      <c r="CD57" s="2372"/>
      <c r="CE57" s="2372"/>
      <c r="CF57" s="2372"/>
      <c r="CG57" s="2372"/>
      <c r="CH57" s="2372"/>
      <c r="CI57" s="2372"/>
      <c r="CJ57" s="2372"/>
      <c r="CK57" s="2372"/>
      <c r="CL57" s="2372"/>
      <c r="CM57" s="2372"/>
      <c r="CN57" s="2372"/>
      <c r="CO57" s="2372"/>
      <c r="CP57" s="2372"/>
      <c r="CQ57" s="2372"/>
      <c r="CR57" s="2372"/>
      <c r="CS57" s="2372"/>
      <c r="CT57" s="2372"/>
      <c r="CU57" s="2372"/>
      <c r="CV57" s="2372"/>
      <c r="CW57" s="2372"/>
      <c r="CX57" s="2372"/>
      <c r="CY57" s="2372"/>
      <c r="CZ57" s="2372"/>
      <c r="DA57" s="2372"/>
    </row>
    <row r="58" spans="1:105" ht="18.75" customHeight="1" thickTop="1" thickBot="1">
      <c r="A58" s="2372"/>
      <c r="B58" s="2377"/>
      <c r="C58" s="2687"/>
      <c r="D58" s="2688"/>
      <c r="E58" s="2689"/>
      <c r="F58" s="2690"/>
      <c r="G58" s="2690"/>
      <c r="H58" s="2690"/>
      <c r="I58" s="2690"/>
      <c r="J58" s="2688"/>
      <c r="K58" s="2689"/>
      <c r="L58" s="2690"/>
      <c r="M58" s="2690"/>
      <c r="N58" s="2690"/>
      <c r="O58" s="2690"/>
      <c r="P58" s="2690"/>
      <c r="Q58" s="2690"/>
      <c r="R58" s="2690"/>
      <c r="S58" s="2690"/>
      <c r="T58" s="2690"/>
      <c r="U58" s="2688"/>
      <c r="V58" s="2691"/>
      <c r="W58" s="2688"/>
      <c r="X58" s="2692"/>
      <c r="Y58" s="2690"/>
      <c r="Z58" s="2688"/>
      <c r="AA58" s="2689"/>
      <c r="AB58" s="2688"/>
      <c r="AC58" s="2689"/>
      <c r="AD58" s="2690"/>
      <c r="AE58" s="2690"/>
      <c r="AF58" s="2688"/>
      <c r="AG58" s="2376"/>
      <c r="AK58" s="2372"/>
      <c r="AL58" s="2372"/>
      <c r="AM58" s="2372"/>
      <c r="AN58" s="2372"/>
      <c r="AO58" s="2372"/>
      <c r="AP58" s="2372"/>
      <c r="AQ58" s="2372"/>
      <c r="AR58" s="2372"/>
      <c r="AS58" s="2372"/>
      <c r="AT58" s="2372"/>
      <c r="AU58" s="2372"/>
      <c r="AV58" s="2372"/>
      <c r="AW58" s="2372"/>
      <c r="AX58" s="2372"/>
      <c r="AY58" s="2372"/>
      <c r="AZ58" s="2372"/>
      <c r="BA58" s="2372"/>
      <c r="BB58" s="2372"/>
      <c r="BC58" s="2372"/>
      <c r="BD58" s="2372"/>
      <c r="BE58" s="2372"/>
      <c r="BF58" s="2372"/>
      <c r="BG58" s="2372"/>
      <c r="BH58" s="2372"/>
      <c r="BI58" s="2372"/>
      <c r="BJ58" s="2372"/>
      <c r="BK58" s="2372"/>
      <c r="BL58" s="2372"/>
      <c r="BM58" s="2372"/>
      <c r="BN58" s="2372"/>
      <c r="BO58" s="2372"/>
      <c r="BP58" s="2372"/>
      <c r="BQ58" s="2372"/>
      <c r="BR58" s="2372"/>
      <c r="BS58" s="2372"/>
      <c r="BT58" s="2372"/>
      <c r="BU58" s="2372"/>
      <c r="BV58" s="2372"/>
      <c r="BW58" s="2372"/>
      <c r="BX58" s="2372"/>
      <c r="BY58" s="2372"/>
      <c r="BZ58" s="2372"/>
      <c r="CA58" s="2372"/>
      <c r="CB58" s="2372"/>
      <c r="CC58" s="2372"/>
      <c r="CD58" s="2372"/>
      <c r="CE58" s="2372"/>
      <c r="CF58" s="2372"/>
      <c r="CG58" s="2372"/>
      <c r="CH58" s="2372"/>
      <c r="CI58" s="2372"/>
      <c r="CJ58" s="2372"/>
      <c r="CK58" s="2372"/>
      <c r="CL58" s="2372"/>
      <c r="CM58" s="2372"/>
      <c r="CN58" s="2372"/>
      <c r="CO58" s="2372"/>
      <c r="CP58" s="2372"/>
      <c r="CQ58" s="2372"/>
      <c r="CR58" s="2372"/>
      <c r="CS58" s="2372"/>
      <c r="CT58" s="2372"/>
      <c r="CU58" s="2372"/>
      <c r="CV58" s="2372"/>
      <c r="CW58" s="2372"/>
      <c r="CX58" s="2372"/>
      <c r="CY58" s="2372"/>
      <c r="CZ58" s="2372"/>
      <c r="DA58" s="2372"/>
    </row>
    <row r="59" spans="1:105" ht="18.75" customHeight="1" thickTop="1" thickBot="1">
      <c r="A59" s="2372"/>
      <c r="B59" s="2377"/>
      <c r="C59" s="2687"/>
      <c r="D59" s="2688"/>
      <c r="E59" s="2689"/>
      <c r="F59" s="2690"/>
      <c r="G59" s="2690"/>
      <c r="H59" s="2690"/>
      <c r="I59" s="2690"/>
      <c r="J59" s="2688"/>
      <c r="K59" s="2689"/>
      <c r="L59" s="2690"/>
      <c r="M59" s="2690"/>
      <c r="N59" s="2690"/>
      <c r="O59" s="2690"/>
      <c r="P59" s="2690"/>
      <c r="Q59" s="2690"/>
      <c r="R59" s="2690"/>
      <c r="S59" s="2690"/>
      <c r="T59" s="2690"/>
      <c r="U59" s="2688"/>
      <c r="V59" s="2691"/>
      <c r="W59" s="2688"/>
      <c r="X59" s="2692"/>
      <c r="Y59" s="2690"/>
      <c r="Z59" s="2688"/>
      <c r="AA59" s="2689"/>
      <c r="AB59" s="2688"/>
      <c r="AC59" s="2689"/>
      <c r="AD59" s="2690"/>
      <c r="AE59" s="2690"/>
      <c r="AF59" s="2688"/>
      <c r="AG59" s="2376"/>
      <c r="AK59" s="2372"/>
      <c r="AL59" s="2372"/>
      <c r="AM59" s="2372"/>
      <c r="AN59" s="2372"/>
      <c r="AO59" s="2372"/>
      <c r="AP59" s="2372"/>
      <c r="AQ59" s="2372"/>
      <c r="AR59" s="2372"/>
      <c r="AS59" s="2372"/>
      <c r="AT59" s="2372"/>
      <c r="AU59" s="2372"/>
      <c r="AV59" s="2372"/>
      <c r="AW59" s="2372"/>
      <c r="AX59" s="2372"/>
      <c r="AY59" s="2372"/>
      <c r="AZ59" s="2372"/>
      <c r="BA59" s="2372"/>
      <c r="BB59" s="2372"/>
      <c r="BC59" s="2372"/>
      <c r="BD59" s="2372"/>
      <c r="BE59" s="2372"/>
      <c r="BF59" s="2372"/>
      <c r="BG59" s="2372"/>
      <c r="BH59" s="2372"/>
      <c r="BI59" s="2372"/>
      <c r="BJ59" s="2372"/>
      <c r="BK59" s="2372"/>
      <c r="BL59" s="2372"/>
      <c r="BM59" s="2372"/>
      <c r="BN59" s="2372"/>
      <c r="BO59" s="2372"/>
      <c r="BP59" s="2372"/>
      <c r="BQ59" s="2372"/>
      <c r="BR59" s="2372"/>
      <c r="BS59" s="2372"/>
      <c r="BT59" s="2372"/>
      <c r="BU59" s="2372"/>
      <c r="BV59" s="2372"/>
      <c r="BW59" s="2372"/>
      <c r="BX59" s="2372"/>
      <c r="BY59" s="2372"/>
      <c r="BZ59" s="2372"/>
      <c r="CA59" s="2372"/>
      <c r="CB59" s="2372"/>
      <c r="CC59" s="2372"/>
      <c r="CD59" s="2372"/>
      <c r="CE59" s="2372"/>
      <c r="CF59" s="2372"/>
      <c r="CG59" s="2372"/>
      <c r="CH59" s="2372"/>
      <c r="CI59" s="2372"/>
      <c r="CJ59" s="2372"/>
      <c r="CK59" s="2372"/>
      <c r="CL59" s="2372"/>
      <c r="CM59" s="2372"/>
      <c r="CN59" s="2372"/>
      <c r="CO59" s="2372"/>
      <c r="CP59" s="2372"/>
      <c r="CQ59" s="2372"/>
      <c r="CR59" s="2372"/>
      <c r="CS59" s="2372"/>
      <c r="CT59" s="2372"/>
      <c r="CU59" s="2372"/>
      <c r="CV59" s="2372"/>
      <c r="CW59" s="2372"/>
      <c r="CX59" s="2372"/>
      <c r="CY59" s="2372"/>
      <c r="CZ59" s="2372"/>
      <c r="DA59" s="2372"/>
    </row>
    <row r="60" spans="1:105" ht="18.75" customHeight="1" thickTop="1" thickBot="1">
      <c r="A60" s="2372"/>
      <c r="B60" s="2377"/>
      <c r="C60" s="2687"/>
      <c r="D60" s="2688"/>
      <c r="E60" s="2689"/>
      <c r="F60" s="2690"/>
      <c r="G60" s="2690"/>
      <c r="H60" s="2690"/>
      <c r="I60" s="2690"/>
      <c r="J60" s="2688"/>
      <c r="K60" s="2689"/>
      <c r="L60" s="2690"/>
      <c r="M60" s="2690"/>
      <c r="N60" s="2690"/>
      <c r="O60" s="2690"/>
      <c r="P60" s="2690"/>
      <c r="Q60" s="2690"/>
      <c r="R60" s="2690"/>
      <c r="S60" s="2690"/>
      <c r="T60" s="2690"/>
      <c r="U60" s="2688"/>
      <c r="V60" s="2691"/>
      <c r="W60" s="2688"/>
      <c r="X60" s="2692"/>
      <c r="Y60" s="2690"/>
      <c r="Z60" s="2688"/>
      <c r="AA60" s="2689"/>
      <c r="AB60" s="2688"/>
      <c r="AC60" s="2689"/>
      <c r="AD60" s="2690"/>
      <c r="AE60" s="2690"/>
      <c r="AF60" s="2688"/>
      <c r="AG60" s="2376"/>
      <c r="AK60" s="2372"/>
      <c r="AL60" s="2372"/>
      <c r="AM60" s="2372"/>
      <c r="AN60" s="2372"/>
      <c r="AO60" s="2372"/>
      <c r="AP60" s="2372"/>
      <c r="AQ60" s="2372"/>
      <c r="AR60" s="2372"/>
      <c r="AS60" s="2372"/>
      <c r="AT60" s="2372"/>
      <c r="AU60" s="2372"/>
      <c r="AV60" s="2372"/>
      <c r="AW60" s="2372"/>
      <c r="AX60" s="2372"/>
      <c r="AY60" s="2372"/>
      <c r="AZ60" s="2372"/>
      <c r="BA60" s="2372"/>
      <c r="BB60" s="2372"/>
      <c r="BC60" s="2372"/>
      <c r="BD60" s="2372"/>
      <c r="BE60" s="2372"/>
      <c r="BF60" s="2372"/>
      <c r="BG60" s="2372"/>
      <c r="BH60" s="2372"/>
      <c r="BI60" s="2372"/>
      <c r="BJ60" s="2372"/>
      <c r="BK60" s="2372"/>
      <c r="BL60" s="2372"/>
      <c r="BM60" s="2372"/>
      <c r="BN60" s="2372"/>
      <c r="BO60" s="2372"/>
      <c r="BP60" s="2372"/>
      <c r="BQ60" s="2372"/>
      <c r="BR60" s="2372"/>
      <c r="BS60" s="2372"/>
      <c r="BT60" s="2372"/>
      <c r="BU60" s="2372"/>
      <c r="BV60" s="2372"/>
      <c r="BW60" s="2372"/>
      <c r="BX60" s="2372"/>
      <c r="BY60" s="2372"/>
      <c r="BZ60" s="2372"/>
      <c r="CA60" s="2372"/>
      <c r="CB60" s="2372"/>
      <c r="CC60" s="2372"/>
      <c r="CD60" s="2372"/>
      <c r="CE60" s="2372"/>
      <c r="CF60" s="2372"/>
      <c r="CG60" s="2372"/>
      <c r="CH60" s="2372"/>
      <c r="CI60" s="2372"/>
      <c r="CJ60" s="2372"/>
      <c r="CK60" s="2372"/>
      <c r="CL60" s="2372"/>
      <c r="CM60" s="2372"/>
      <c r="CN60" s="2372"/>
      <c r="CO60" s="2372"/>
      <c r="CP60" s="2372"/>
      <c r="CQ60" s="2372"/>
      <c r="CR60" s="2372"/>
      <c r="CS60" s="2372"/>
      <c r="CT60" s="2372"/>
      <c r="CU60" s="2372"/>
      <c r="CV60" s="2372"/>
      <c r="CW60" s="2372"/>
      <c r="CX60" s="2372"/>
      <c r="CY60" s="2372"/>
      <c r="CZ60" s="2372"/>
      <c r="DA60" s="2372"/>
    </row>
    <row r="61" spans="1:105" ht="18.75" customHeight="1" thickTop="1" thickBot="1">
      <c r="A61" s="2372"/>
      <c r="B61" s="2377"/>
      <c r="C61" s="2687"/>
      <c r="D61" s="2688"/>
      <c r="E61" s="2689"/>
      <c r="F61" s="2690"/>
      <c r="G61" s="2690"/>
      <c r="H61" s="2690"/>
      <c r="I61" s="2690"/>
      <c r="J61" s="2688"/>
      <c r="K61" s="2689"/>
      <c r="L61" s="2690"/>
      <c r="M61" s="2690"/>
      <c r="N61" s="2690"/>
      <c r="O61" s="2690"/>
      <c r="P61" s="2690"/>
      <c r="Q61" s="2690"/>
      <c r="R61" s="2690"/>
      <c r="S61" s="2690"/>
      <c r="T61" s="2690"/>
      <c r="U61" s="2688"/>
      <c r="V61" s="2691"/>
      <c r="W61" s="2688"/>
      <c r="X61" s="2692"/>
      <c r="Y61" s="2690"/>
      <c r="Z61" s="2688"/>
      <c r="AA61" s="2689"/>
      <c r="AB61" s="2688"/>
      <c r="AC61" s="2689"/>
      <c r="AD61" s="2690"/>
      <c r="AE61" s="2690"/>
      <c r="AF61" s="2688"/>
      <c r="AG61" s="2376"/>
      <c r="AK61" s="2372"/>
      <c r="AL61" s="2372"/>
      <c r="AM61" s="2372"/>
      <c r="AN61" s="2372"/>
      <c r="AO61" s="2372"/>
      <c r="AP61" s="2372"/>
      <c r="AQ61" s="2372"/>
      <c r="AR61" s="2372"/>
      <c r="AS61" s="2372"/>
      <c r="AT61" s="2372"/>
      <c r="AU61" s="2372"/>
      <c r="AV61" s="2372"/>
      <c r="AW61" s="2372"/>
      <c r="AX61" s="2372"/>
      <c r="AY61" s="2372"/>
      <c r="AZ61" s="2372"/>
      <c r="BA61" s="2372"/>
      <c r="BB61" s="2372"/>
      <c r="BC61" s="2372"/>
      <c r="BD61" s="2372"/>
      <c r="BE61" s="2372"/>
      <c r="BF61" s="2372"/>
      <c r="BG61" s="2372"/>
      <c r="BH61" s="2372"/>
      <c r="BI61" s="2372"/>
      <c r="BJ61" s="2372"/>
      <c r="BK61" s="2372"/>
      <c r="BL61" s="2372"/>
      <c r="BM61" s="2372"/>
      <c r="BN61" s="2372"/>
      <c r="BO61" s="2372"/>
      <c r="BP61" s="2372"/>
      <c r="BQ61" s="2372"/>
      <c r="BR61" s="2372"/>
      <c r="BS61" s="2372"/>
      <c r="BT61" s="2372"/>
      <c r="BU61" s="2372"/>
      <c r="BV61" s="2372"/>
      <c r="BW61" s="2372"/>
      <c r="BX61" s="2372"/>
      <c r="BY61" s="2372"/>
      <c r="BZ61" s="2372"/>
      <c r="CA61" s="2372"/>
      <c r="CB61" s="2372"/>
      <c r="CC61" s="2372"/>
      <c r="CD61" s="2372"/>
      <c r="CE61" s="2372"/>
      <c r="CF61" s="2372"/>
      <c r="CG61" s="2372"/>
      <c r="CH61" s="2372"/>
      <c r="CI61" s="2372"/>
      <c r="CJ61" s="2372"/>
      <c r="CK61" s="2372"/>
      <c r="CL61" s="2372"/>
      <c r="CM61" s="2372"/>
      <c r="CN61" s="2372"/>
      <c r="CO61" s="2372"/>
      <c r="CP61" s="2372"/>
      <c r="CQ61" s="2372"/>
      <c r="CR61" s="2372"/>
      <c r="CS61" s="2372"/>
      <c r="CT61" s="2372"/>
      <c r="CU61" s="2372"/>
      <c r="CV61" s="2372"/>
      <c r="CW61" s="2372"/>
      <c r="CX61" s="2372"/>
      <c r="CY61" s="2372"/>
      <c r="CZ61" s="2372"/>
      <c r="DA61" s="2372"/>
    </row>
    <row r="62" spans="1:105" ht="18.75" customHeight="1" thickTop="1" thickBot="1">
      <c r="A62" s="2372"/>
      <c r="B62" s="2377"/>
      <c r="C62" s="2687"/>
      <c r="D62" s="2688"/>
      <c r="E62" s="2689"/>
      <c r="F62" s="2690"/>
      <c r="G62" s="2690"/>
      <c r="H62" s="2690"/>
      <c r="I62" s="2690"/>
      <c r="J62" s="2688"/>
      <c r="K62" s="2689"/>
      <c r="L62" s="2690"/>
      <c r="M62" s="2690"/>
      <c r="N62" s="2690"/>
      <c r="O62" s="2690"/>
      <c r="P62" s="2690"/>
      <c r="Q62" s="2690"/>
      <c r="R62" s="2690"/>
      <c r="S62" s="2690"/>
      <c r="T62" s="2690"/>
      <c r="U62" s="2688"/>
      <c r="V62" s="2691"/>
      <c r="W62" s="2688"/>
      <c r="X62" s="2692"/>
      <c r="Y62" s="2690"/>
      <c r="Z62" s="2688"/>
      <c r="AA62" s="2689"/>
      <c r="AB62" s="2688"/>
      <c r="AC62" s="2689"/>
      <c r="AD62" s="2690"/>
      <c r="AE62" s="2690"/>
      <c r="AF62" s="2688"/>
      <c r="AG62" s="2376"/>
      <c r="AK62" s="2372"/>
      <c r="AL62" s="2372"/>
      <c r="AM62" s="2372"/>
      <c r="AN62" s="2372"/>
      <c r="AO62" s="2372"/>
      <c r="AP62" s="2372"/>
      <c r="AQ62" s="2372"/>
      <c r="AR62" s="2372"/>
      <c r="AS62" s="2372"/>
      <c r="AT62" s="2372"/>
      <c r="AU62" s="2372"/>
      <c r="AV62" s="2372"/>
      <c r="AW62" s="2372"/>
      <c r="AX62" s="2372"/>
      <c r="AY62" s="2372"/>
      <c r="AZ62" s="2372"/>
      <c r="BA62" s="2372"/>
      <c r="BB62" s="2372"/>
      <c r="BC62" s="2372"/>
      <c r="BD62" s="2372"/>
      <c r="BE62" s="2372"/>
      <c r="BF62" s="2372"/>
      <c r="BG62" s="2372"/>
      <c r="BH62" s="2372"/>
      <c r="BI62" s="2372"/>
      <c r="BJ62" s="2372"/>
      <c r="BK62" s="2372"/>
      <c r="BL62" s="2372"/>
      <c r="BM62" s="2372"/>
      <c r="BN62" s="2372"/>
      <c r="BO62" s="2372"/>
      <c r="BP62" s="2372"/>
      <c r="BQ62" s="2372"/>
      <c r="BR62" s="2372"/>
      <c r="BS62" s="2372"/>
      <c r="BT62" s="2372"/>
      <c r="BU62" s="2372"/>
      <c r="BV62" s="2372"/>
      <c r="BW62" s="2372"/>
      <c r="BX62" s="2372"/>
      <c r="BY62" s="2372"/>
      <c r="BZ62" s="2372"/>
      <c r="CA62" s="2372"/>
      <c r="CB62" s="2372"/>
      <c r="CC62" s="2372"/>
      <c r="CD62" s="2372"/>
      <c r="CE62" s="2372"/>
      <c r="CF62" s="2372"/>
      <c r="CG62" s="2372"/>
      <c r="CH62" s="2372"/>
      <c r="CI62" s="2372"/>
      <c r="CJ62" s="2372"/>
      <c r="CK62" s="2372"/>
      <c r="CL62" s="2372"/>
      <c r="CM62" s="2372"/>
      <c r="CN62" s="2372"/>
      <c r="CO62" s="2372"/>
      <c r="CP62" s="2372"/>
      <c r="CQ62" s="2372"/>
      <c r="CR62" s="2372"/>
      <c r="CS62" s="2372"/>
      <c r="CT62" s="2372"/>
      <c r="CU62" s="2372"/>
      <c r="CV62" s="2372"/>
      <c r="CW62" s="2372"/>
      <c r="CX62" s="2372"/>
      <c r="CY62" s="2372"/>
      <c r="CZ62" s="2372"/>
      <c r="DA62" s="2372"/>
    </row>
    <row r="63" spans="1:105" ht="18.75" customHeight="1" thickTop="1" thickBot="1">
      <c r="A63" s="2372"/>
      <c r="B63" s="2377"/>
      <c r="C63" s="2687"/>
      <c r="D63" s="2688"/>
      <c r="E63" s="2689"/>
      <c r="F63" s="2690"/>
      <c r="G63" s="2690"/>
      <c r="H63" s="2690"/>
      <c r="I63" s="2690"/>
      <c r="J63" s="2688"/>
      <c r="K63" s="2689"/>
      <c r="L63" s="2690"/>
      <c r="M63" s="2690"/>
      <c r="N63" s="2690"/>
      <c r="O63" s="2690"/>
      <c r="P63" s="2690"/>
      <c r="Q63" s="2690"/>
      <c r="R63" s="2690"/>
      <c r="S63" s="2690"/>
      <c r="T63" s="2690"/>
      <c r="U63" s="2688"/>
      <c r="V63" s="2691"/>
      <c r="W63" s="2688"/>
      <c r="X63" s="2692"/>
      <c r="Y63" s="2690"/>
      <c r="Z63" s="2688"/>
      <c r="AA63" s="2689"/>
      <c r="AB63" s="2688"/>
      <c r="AC63" s="2689"/>
      <c r="AD63" s="2690"/>
      <c r="AE63" s="2690"/>
      <c r="AF63" s="2688"/>
      <c r="AG63" s="2376"/>
      <c r="AK63" s="2372"/>
      <c r="AL63" s="2372"/>
      <c r="AM63" s="2372"/>
      <c r="AN63" s="2372"/>
      <c r="AO63" s="2372"/>
      <c r="AP63" s="2372"/>
      <c r="AQ63" s="2372"/>
      <c r="AR63" s="2372"/>
      <c r="AS63" s="2372"/>
      <c r="AT63" s="2372"/>
      <c r="AU63" s="2372"/>
      <c r="AV63" s="2372"/>
      <c r="AW63" s="2372"/>
      <c r="AX63" s="2372"/>
      <c r="AY63" s="2372"/>
      <c r="AZ63" s="2372"/>
      <c r="BA63" s="2372"/>
      <c r="BB63" s="2372"/>
      <c r="BC63" s="2372"/>
      <c r="BD63" s="2372"/>
      <c r="BE63" s="2372"/>
      <c r="BF63" s="2372"/>
      <c r="BG63" s="2372"/>
      <c r="BH63" s="2372"/>
      <c r="BI63" s="2372"/>
      <c r="BJ63" s="2372"/>
      <c r="BK63" s="2372"/>
      <c r="BL63" s="2372"/>
      <c r="BM63" s="2372"/>
      <c r="BN63" s="2372"/>
      <c r="BO63" s="2372"/>
      <c r="BP63" s="2372"/>
      <c r="BQ63" s="2372"/>
      <c r="BR63" s="2372"/>
      <c r="BS63" s="2372"/>
      <c r="BT63" s="2372"/>
      <c r="BU63" s="2372"/>
      <c r="BV63" s="2372"/>
      <c r="BW63" s="2372"/>
      <c r="BX63" s="2372"/>
      <c r="BY63" s="2372"/>
      <c r="BZ63" s="2372"/>
      <c r="CA63" s="2372"/>
      <c r="CB63" s="2372"/>
      <c r="CC63" s="2372"/>
      <c r="CD63" s="2372"/>
      <c r="CE63" s="2372"/>
      <c r="CF63" s="2372"/>
      <c r="CG63" s="2372"/>
      <c r="CH63" s="2372"/>
      <c r="CI63" s="2372"/>
      <c r="CJ63" s="2372"/>
      <c r="CK63" s="2372"/>
      <c r="CL63" s="2372"/>
      <c r="CM63" s="2372"/>
      <c r="CN63" s="2372"/>
      <c r="CO63" s="2372"/>
      <c r="CP63" s="2372"/>
      <c r="CQ63" s="2372"/>
      <c r="CR63" s="2372"/>
      <c r="CS63" s="2372"/>
      <c r="CT63" s="2372"/>
      <c r="CU63" s="2372"/>
      <c r="CV63" s="2372"/>
      <c r="CW63" s="2372"/>
      <c r="CX63" s="2372"/>
      <c r="CY63" s="2372"/>
      <c r="CZ63" s="2372"/>
      <c r="DA63" s="2372"/>
    </row>
    <row r="64" spans="1:105" ht="18.75" customHeight="1" thickTop="1" thickBot="1">
      <c r="A64" s="2372"/>
      <c r="B64" s="2377"/>
      <c r="C64" s="2687"/>
      <c r="D64" s="2688"/>
      <c r="E64" s="2689"/>
      <c r="F64" s="2690"/>
      <c r="G64" s="2690"/>
      <c r="H64" s="2690"/>
      <c r="I64" s="2690"/>
      <c r="J64" s="2688"/>
      <c r="K64" s="2689"/>
      <c r="L64" s="2690"/>
      <c r="M64" s="2690"/>
      <c r="N64" s="2690"/>
      <c r="O64" s="2690"/>
      <c r="P64" s="2690"/>
      <c r="Q64" s="2690"/>
      <c r="R64" s="2690"/>
      <c r="S64" s="2690"/>
      <c r="T64" s="2690"/>
      <c r="U64" s="2688"/>
      <c r="V64" s="2691"/>
      <c r="W64" s="2688"/>
      <c r="X64" s="2692"/>
      <c r="Y64" s="2690"/>
      <c r="Z64" s="2688"/>
      <c r="AA64" s="2689"/>
      <c r="AB64" s="2688"/>
      <c r="AC64" s="2689"/>
      <c r="AD64" s="2690"/>
      <c r="AE64" s="2690"/>
      <c r="AF64" s="2688"/>
      <c r="AG64" s="2376"/>
      <c r="AK64" s="2372"/>
      <c r="AL64" s="2372"/>
      <c r="AM64" s="2372"/>
      <c r="AN64" s="2372"/>
      <c r="AO64" s="2372"/>
      <c r="AP64" s="2372"/>
      <c r="AQ64" s="2372"/>
      <c r="AR64" s="2372"/>
      <c r="AS64" s="2372"/>
      <c r="AT64" s="2372"/>
      <c r="AU64" s="2372"/>
      <c r="AV64" s="2372"/>
      <c r="AW64" s="2372"/>
      <c r="AX64" s="2372"/>
      <c r="AY64" s="2372"/>
      <c r="AZ64" s="2372"/>
      <c r="BA64" s="2372"/>
      <c r="BB64" s="2372"/>
      <c r="BC64" s="2372"/>
      <c r="BD64" s="2372"/>
      <c r="BE64" s="2372"/>
      <c r="BF64" s="2372"/>
      <c r="BG64" s="2372"/>
      <c r="BH64" s="2372"/>
      <c r="BI64" s="2372"/>
      <c r="BJ64" s="2372"/>
      <c r="BK64" s="2372"/>
      <c r="BL64" s="2372"/>
      <c r="BM64" s="2372"/>
      <c r="BN64" s="2372"/>
      <c r="BO64" s="2372"/>
      <c r="BP64" s="2372"/>
      <c r="BQ64" s="2372"/>
      <c r="BR64" s="2372"/>
      <c r="BS64" s="2372"/>
      <c r="BT64" s="2372"/>
      <c r="BU64" s="2372"/>
      <c r="BV64" s="2372"/>
      <c r="BW64" s="2372"/>
      <c r="BX64" s="2372"/>
      <c r="BY64" s="2372"/>
      <c r="BZ64" s="2372"/>
      <c r="CA64" s="2372"/>
      <c r="CB64" s="2372"/>
      <c r="CC64" s="2372"/>
      <c r="CD64" s="2372"/>
      <c r="CE64" s="2372"/>
      <c r="CF64" s="2372"/>
      <c r="CG64" s="2372"/>
      <c r="CH64" s="2372"/>
      <c r="CI64" s="2372"/>
      <c r="CJ64" s="2372"/>
      <c r="CK64" s="2372"/>
      <c r="CL64" s="2372"/>
      <c r="CM64" s="2372"/>
      <c r="CN64" s="2372"/>
      <c r="CO64" s="2372"/>
      <c r="CP64" s="2372"/>
      <c r="CQ64" s="2372"/>
      <c r="CR64" s="2372"/>
      <c r="CS64" s="2372"/>
      <c r="CT64" s="2372"/>
      <c r="CU64" s="2372"/>
      <c r="CV64" s="2372"/>
      <c r="CW64" s="2372"/>
      <c r="CX64" s="2372"/>
      <c r="CY64" s="2372"/>
      <c r="CZ64" s="2372"/>
      <c r="DA64" s="2372"/>
    </row>
    <row r="65" spans="1:105" ht="18.75" customHeight="1" thickTop="1" thickBot="1">
      <c r="A65" s="2372"/>
      <c r="B65" s="2377"/>
      <c r="C65" s="2687"/>
      <c r="D65" s="2688"/>
      <c r="E65" s="2689"/>
      <c r="F65" s="2690"/>
      <c r="G65" s="2690"/>
      <c r="H65" s="2690"/>
      <c r="I65" s="2690"/>
      <c r="J65" s="2688"/>
      <c r="K65" s="2689"/>
      <c r="L65" s="2690"/>
      <c r="M65" s="2690"/>
      <c r="N65" s="2690"/>
      <c r="O65" s="2690"/>
      <c r="P65" s="2690"/>
      <c r="Q65" s="2690"/>
      <c r="R65" s="2690"/>
      <c r="S65" s="2690"/>
      <c r="T65" s="2690"/>
      <c r="U65" s="2688"/>
      <c r="V65" s="2691"/>
      <c r="W65" s="2688"/>
      <c r="X65" s="2692"/>
      <c r="Y65" s="2690"/>
      <c r="Z65" s="2688"/>
      <c r="AA65" s="2689"/>
      <c r="AB65" s="2688"/>
      <c r="AC65" s="2689"/>
      <c r="AD65" s="2690"/>
      <c r="AE65" s="2690"/>
      <c r="AF65" s="2688"/>
      <c r="AG65" s="2376"/>
      <c r="AK65" s="2372"/>
      <c r="AL65" s="2372"/>
      <c r="AM65" s="2372"/>
      <c r="AN65" s="2372"/>
      <c r="AO65" s="2372"/>
      <c r="AP65" s="2372"/>
      <c r="AQ65" s="2372"/>
      <c r="AR65" s="2372"/>
      <c r="AS65" s="2372"/>
      <c r="AT65" s="2372"/>
      <c r="AU65" s="2372"/>
      <c r="AV65" s="2372"/>
      <c r="AW65" s="2372"/>
      <c r="AX65" s="2372"/>
      <c r="AY65" s="2372"/>
      <c r="AZ65" s="2372"/>
      <c r="BA65" s="2372"/>
      <c r="BB65" s="2372"/>
      <c r="BC65" s="2372"/>
      <c r="BD65" s="2372"/>
      <c r="BE65" s="2372"/>
      <c r="BF65" s="2372"/>
      <c r="BG65" s="2372"/>
      <c r="BH65" s="2372"/>
      <c r="BI65" s="2372"/>
      <c r="BJ65" s="2372"/>
      <c r="BK65" s="2372"/>
      <c r="BL65" s="2372"/>
      <c r="BM65" s="2372"/>
      <c r="BN65" s="2372"/>
      <c r="BO65" s="2372"/>
      <c r="BP65" s="2372"/>
      <c r="BQ65" s="2372"/>
      <c r="BR65" s="2372"/>
      <c r="BS65" s="2372"/>
      <c r="BT65" s="2372"/>
      <c r="BU65" s="2372"/>
      <c r="BV65" s="2372"/>
      <c r="BW65" s="2372"/>
      <c r="BX65" s="2372"/>
      <c r="BY65" s="2372"/>
      <c r="BZ65" s="2372"/>
      <c r="CA65" s="2372"/>
      <c r="CB65" s="2372"/>
      <c r="CC65" s="2372"/>
      <c r="CD65" s="2372"/>
      <c r="CE65" s="2372"/>
      <c r="CF65" s="2372"/>
      <c r="CG65" s="2372"/>
      <c r="CH65" s="2372"/>
      <c r="CI65" s="2372"/>
      <c r="CJ65" s="2372"/>
      <c r="CK65" s="2372"/>
      <c r="CL65" s="2372"/>
      <c r="CM65" s="2372"/>
      <c r="CN65" s="2372"/>
      <c r="CO65" s="2372"/>
      <c r="CP65" s="2372"/>
      <c r="CQ65" s="2372"/>
      <c r="CR65" s="2372"/>
      <c r="CS65" s="2372"/>
      <c r="CT65" s="2372"/>
      <c r="CU65" s="2372"/>
      <c r="CV65" s="2372"/>
      <c r="CW65" s="2372"/>
      <c r="CX65" s="2372"/>
      <c r="CY65" s="2372"/>
      <c r="CZ65" s="2372"/>
      <c r="DA65" s="2372"/>
    </row>
    <row r="66" spans="1:105" ht="18.75" customHeight="1" thickTop="1" thickBot="1">
      <c r="A66" s="2372"/>
      <c r="B66" s="2377"/>
      <c r="C66" s="2687"/>
      <c r="D66" s="2688"/>
      <c r="E66" s="2689"/>
      <c r="F66" s="2690"/>
      <c r="G66" s="2690"/>
      <c r="H66" s="2690"/>
      <c r="I66" s="2690"/>
      <c r="J66" s="2688"/>
      <c r="K66" s="2689"/>
      <c r="L66" s="2690"/>
      <c r="M66" s="2690"/>
      <c r="N66" s="2690"/>
      <c r="O66" s="2690"/>
      <c r="P66" s="2690"/>
      <c r="Q66" s="2690"/>
      <c r="R66" s="2690"/>
      <c r="S66" s="2690"/>
      <c r="T66" s="2690"/>
      <c r="U66" s="2688"/>
      <c r="V66" s="2691"/>
      <c r="W66" s="2688"/>
      <c r="X66" s="2692"/>
      <c r="Y66" s="2690"/>
      <c r="Z66" s="2688"/>
      <c r="AA66" s="2689"/>
      <c r="AB66" s="2688"/>
      <c r="AC66" s="2689"/>
      <c r="AD66" s="2690"/>
      <c r="AE66" s="2690"/>
      <c r="AF66" s="2688"/>
      <c r="AG66" s="2376"/>
      <c r="AK66" s="2372"/>
      <c r="AL66" s="2372"/>
      <c r="AM66" s="2372"/>
      <c r="AN66" s="2372"/>
      <c r="AO66" s="2372"/>
      <c r="AP66" s="2372"/>
      <c r="AQ66" s="2372"/>
      <c r="AR66" s="2372"/>
      <c r="AS66" s="2372"/>
      <c r="AT66" s="2372"/>
      <c r="AU66" s="2372"/>
      <c r="AV66" s="2372"/>
      <c r="AW66" s="2372"/>
      <c r="AX66" s="2372"/>
      <c r="AY66" s="2372"/>
      <c r="AZ66" s="2372"/>
      <c r="BA66" s="2372"/>
      <c r="BB66" s="2372"/>
      <c r="BC66" s="2372"/>
      <c r="BD66" s="2372"/>
      <c r="BE66" s="2372"/>
      <c r="BF66" s="2372"/>
      <c r="BG66" s="2372"/>
      <c r="BH66" s="2372"/>
      <c r="BI66" s="2372"/>
      <c r="BJ66" s="2372"/>
      <c r="BK66" s="2372"/>
      <c r="BL66" s="2372"/>
      <c r="BM66" s="2372"/>
      <c r="BN66" s="2372"/>
      <c r="BO66" s="2372"/>
      <c r="BP66" s="2372"/>
      <c r="BQ66" s="2372"/>
      <c r="BR66" s="2372"/>
      <c r="BS66" s="2372"/>
      <c r="BT66" s="2372"/>
      <c r="BU66" s="2372"/>
      <c r="BV66" s="2372"/>
      <c r="BW66" s="2372"/>
      <c r="BX66" s="2372"/>
      <c r="BY66" s="2372"/>
      <c r="BZ66" s="2372"/>
      <c r="CA66" s="2372"/>
      <c r="CB66" s="2372"/>
      <c r="CC66" s="2372"/>
      <c r="CD66" s="2372"/>
      <c r="CE66" s="2372"/>
      <c r="CF66" s="2372"/>
      <c r="CG66" s="2372"/>
      <c r="CH66" s="2372"/>
      <c r="CI66" s="2372"/>
      <c r="CJ66" s="2372"/>
      <c r="CK66" s="2372"/>
      <c r="CL66" s="2372"/>
      <c r="CM66" s="2372"/>
      <c r="CN66" s="2372"/>
      <c r="CO66" s="2372"/>
      <c r="CP66" s="2372"/>
      <c r="CQ66" s="2372"/>
      <c r="CR66" s="2372"/>
      <c r="CS66" s="2372"/>
      <c r="CT66" s="2372"/>
      <c r="CU66" s="2372"/>
      <c r="CV66" s="2372"/>
      <c r="CW66" s="2372"/>
      <c r="CX66" s="2372"/>
      <c r="CY66" s="2372"/>
      <c r="CZ66" s="2372"/>
      <c r="DA66" s="2372"/>
    </row>
    <row r="67" spans="1:105" ht="18.75" customHeight="1" thickTop="1" thickBot="1">
      <c r="A67" s="2372"/>
      <c r="B67" s="2377"/>
      <c r="C67" s="2687"/>
      <c r="D67" s="2688"/>
      <c r="E67" s="2689"/>
      <c r="F67" s="2690"/>
      <c r="G67" s="2690"/>
      <c r="H67" s="2690"/>
      <c r="I67" s="2690"/>
      <c r="J67" s="2688"/>
      <c r="K67" s="2689"/>
      <c r="L67" s="2690"/>
      <c r="M67" s="2690"/>
      <c r="N67" s="2690"/>
      <c r="O67" s="2690"/>
      <c r="P67" s="2690"/>
      <c r="Q67" s="2690"/>
      <c r="R67" s="2690"/>
      <c r="S67" s="2690"/>
      <c r="T67" s="2690"/>
      <c r="U67" s="2688"/>
      <c r="V67" s="2691"/>
      <c r="W67" s="2688"/>
      <c r="X67" s="2692"/>
      <c r="Y67" s="2690"/>
      <c r="Z67" s="2688"/>
      <c r="AA67" s="2689"/>
      <c r="AB67" s="2688"/>
      <c r="AC67" s="2689"/>
      <c r="AD67" s="2690"/>
      <c r="AE67" s="2690"/>
      <c r="AF67" s="2688"/>
      <c r="AG67" s="2376"/>
      <c r="AK67" s="2372"/>
      <c r="AL67" s="2372"/>
      <c r="AM67" s="2372"/>
      <c r="AN67" s="2372"/>
      <c r="AO67" s="2372"/>
      <c r="AP67" s="2372"/>
      <c r="AQ67" s="2372"/>
      <c r="AR67" s="2372"/>
      <c r="AS67" s="2372"/>
      <c r="AT67" s="2372"/>
      <c r="AU67" s="2372"/>
      <c r="AV67" s="2372"/>
      <c r="AW67" s="2372"/>
      <c r="AX67" s="2372"/>
      <c r="AY67" s="2372"/>
      <c r="AZ67" s="2372"/>
      <c r="BA67" s="2372"/>
      <c r="BB67" s="2372"/>
      <c r="BC67" s="2372"/>
      <c r="BD67" s="2372"/>
      <c r="BE67" s="2372"/>
      <c r="BF67" s="2372"/>
      <c r="BG67" s="2372"/>
      <c r="BH67" s="2372"/>
      <c r="BI67" s="2372"/>
      <c r="BJ67" s="2372"/>
      <c r="BK67" s="2372"/>
      <c r="BL67" s="2372"/>
      <c r="BM67" s="2372"/>
      <c r="BN67" s="2372"/>
      <c r="BO67" s="2372"/>
      <c r="BP67" s="2372"/>
      <c r="BQ67" s="2372"/>
      <c r="BR67" s="2372"/>
      <c r="BS67" s="2372"/>
      <c r="BT67" s="2372"/>
      <c r="BU67" s="2372"/>
      <c r="BV67" s="2372"/>
      <c r="BW67" s="2372"/>
      <c r="BX67" s="2372"/>
      <c r="BY67" s="2372"/>
      <c r="BZ67" s="2372"/>
      <c r="CA67" s="2372"/>
      <c r="CB67" s="2372"/>
      <c r="CC67" s="2372"/>
      <c r="CD67" s="2372"/>
      <c r="CE67" s="2372"/>
      <c r="CF67" s="2372"/>
      <c r="CG67" s="2372"/>
      <c r="CH67" s="2372"/>
      <c r="CI67" s="2372"/>
      <c r="CJ67" s="2372"/>
      <c r="CK67" s="2372"/>
      <c r="CL67" s="2372"/>
      <c r="CM67" s="2372"/>
      <c r="CN67" s="2372"/>
      <c r="CO67" s="2372"/>
      <c r="CP67" s="2372"/>
      <c r="CQ67" s="2372"/>
      <c r="CR67" s="2372"/>
      <c r="CS67" s="2372"/>
      <c r="CT67" s="2372"/>
      <c r="CU67" s="2372"/>
      <c r="CV67" s="2372"/>
      <c r="CW67" s="2372"/>
      <c r="CX67" s="2372"/>
      <c r="CY67" s="2372"/>
      <c r="CZ67" s="2372"/>
      <c r="DA67" s="2372"/>
    </row>
    <row r="68" spans="1:105" ht="18.75" customHeight="1" thickTop="1" thickBot="1">
      <c r="A68" s="2372"/>
      <c r="B68" s="2377"/>
      <c r="C68" s="2687"/>
      <c r="D68" s="2688"/>
      <c r="E68" s="2689"/>
      <c r="F68" s="2690"/>
      <c r="G68" s="2690"/>
      <c r="H68" s="2690"/>
      <c r="I68" s="2690"/>
      <c r="J68" s="2688"/>
      <c r="K68" s="2689"/>
      <c r="L68" s="2690"/>
      <c r="M68" s="2690"/>
      <c r="N68" s="2690"/>
      <c r="O68" s="2690"/>
      <c r="P68" s="2690"/>
      <c r="Q68" s="2690"/>
      <c r="R68" s="2690"/>
      <c r="S68" s="2690"/>
      <c r="T68" s="2690"/>
      <c r="U68" s="2688"/>
      <c r="V68" s="2691"/>
      <c r="W68" s="2688"/>
      <c r="X68" s="2692"/>
      <c r="Y68" s="2690"/>
      <c r="Z68" s="2688"/>
      <c r="AA68" s="2689"/>
      <c r="AB68" s="2688"/>
      <c r="AC68" s="2689"/>
      <c r="AD68" s="2690"/>
      <c r="AE68" s="2690"/>
      <c r="AF68" s="2688"/>
      <c r="AG68" s="2376"/>
      <c r="AK68" s="2372"/>
      <c r="AL68" s="2372"/>
      <c r="AM68" s="2372"/>
      <c r="AN68" s="2372"/>
      <c r="AO68" s="2372"/>
      <c r="AP68" s="2372"/>
      <c r="AQ68" s="2372"/>
      <c r="AR68" s="2372"/>
      <c r="AS68" s="2372"/>
      <c r="AT68" s="2372"/>
      <c r="AU68" s="2372"/>
      <c r="AV68" s="2372"/>
      <c r="AW68" s="2372"/>
      <c r="AX68" s="2372"/>
      <c r="AY68" s="2372"/>
      <c r="AZ68" s="2372"/>
      <c r="BA68" s="2372"/>
      <c r="BB68" s="2372"/>
      <c r="BC68" s="2372"/>
      <c r="BD68" s="2372"/>
      <c r="BE68" s="2372"/>
      <c r="BF68" s="2372"/>
      <c r="BG68" s="2372"/>
      <c r="BH68" s="2372"/>
      <c r="BI68" s="2372"/>
      <c r="BJ68" s="2372"/>
      <c r="BK68" s="2372"/>
      <c r="BL68" s="2372"/>
      <c r="BM68" s="2372"/>
      <c r="BN68" s="2372"/>
      <c r="BO68" s="2372"/>
      <c r="BP68" s="2372"/>
      <c r="BQ68" s="2372"/>
      <c r="BR68" s="2372"/>
      <c r="BS68" s="2372"/>
      <c r="BT68" s="2372"/>
      <c r="BU68" s="2372"/>
      <c r="BV68" s="2372"/>
      <c r="BW68" s="2372"/>
      <c r="BX68" s="2372"/>
      <c r="BY68" s="2372"/>
      <c r="BZ68" s="2372"/>
      <c r="CA68" s="2372"/>
      <c r="CB68" s="2372"/>
      <c r="CC68" s="2372"/>
      <c r="CD68" s="2372"/>
      <c r="CE68" s="2372"/>
      <c r="CF68" s="2372"/>
      <c r="CG68" s="2372"/>
      <c r="CH68" s="2372"/>
      <c r="CI68" s="2372"/>
      <c r="CJ68" s="2372"/>
      <c r="CK68" s="2372"/>
      <c r="CL68" s="2372"/>
      <c r="CM68" s="2372"/>
      <c r="CN68" s="2372"/>
      <c r="CO68" s="2372"/>
      <c r="CP68" s="2372"/>
      <c r="CQ68" s="2372"/>
      <c r="CR68" s="2372"/>
      <c r="CS68" s="2372"/>
      <c r="CT68" s="2372"/>
      <c r="CU68" s="2372"/>
      <c r="CV68" s="2372"/>
      <c r="CW68" s="2372"/>
      <c r="CX68" s="2372"/>
      <c r="CY68" s="2372"/>
      <c r="CZ68" s="2372"/>
      <c r="DA68" s="2372"/>
    </row>
    <row r="69" spans="1:105" ht="18.75" customHeight="1" thickTop="1" thickBot="1">
      <c r="A69" s="2372"/>
      <c r="B69" s="2377"/>
      <c r="C69" s="2687"/>
      <c r="D69" s="2688"/>
      <c r="E69" s="2689"/>
      <c r="F69" s="2690"/>
      <c r="G69" s="2690"/>
      <c r="H69" s="2690"/>
      <c r="I69" s="2690"/>
      <c r="J69" s="2688"/>
      <c r="K69" s="2689"/>
      <c r="L69" s="2690"/>
      <c r="M69" s="2690"/>
      <c r="N69" s="2690"/>
      <c r="O69" s="2690"/>
      <c r="P69" s="2690"/>
      <c r="Q69" s="2690"/>
      <c r="R69" s="2690"/>
      <c r="S69" s="2690"/>
      <c r="T69" s="2690"/>
      <c r="U69" s="2688"/>
      <c r="V69" s="2691"/>
      <c r="W69" s="2688"/>
      <c r="X69" s="2692"/>
      <c r="Y69" s="2690"/>
      <c r="Z69" s="2688"/>
      <c r="AA69" s="2689"/>
      <c r="AB69" s="2688"/>
      <c r="AC69" s="2689"/>
      <c r="AD69" s="2690"/>
      <c r="AE69" s="2690"/>
      <c r="AF69" s="2688"/>
      <c r="AG69" s="2376"/>
      <c r="AK69" s="2372"/>
      <c r="AL69" s="2372"/>
      <c r="AM69" s="2372"/>
      <c r="AN69" s="2372"/>
      <c r="AO69" s="2372"/>
      <c r="AP69" s="2372"/>
      <c r="AQ69" s="2372"/>
      <c r="AR69" s="2372"/>
      <c r="AS69" s="2372"/>
      <c r="AT69" s="2372"/>
      <c r="AU69" s="2372"/>
      <c r="AV69" s="2372"/>
      <c r="AW69" s="2372"/>
      <c r="AX69" s="2372"/>
      <c r="AY69" s="2372"/>
      <c r="AZ69" s="2372"/>
      <c r="BA69" s="2372"/>
      <c r="BB69" s="2372"/>
      <c r="BC69" s="2372"/>
      <c r="BD69" s="2372"/>
      <c r="BE69" s="2372"/>
      <c r="BF69" s="2372"/>
      <c r="BG69" s="2372"/>
      <c r="BH69" s="2372"/>
      <c r="BI69" s="2372"/>
      <c r="BJ69" s="2372"/>
      <c r="BK69" s="2372"/>
      <c r="BL69" s="2372"/>
      <c r="BM69" s="2372"/>
      <c r="BN69" s="2372"/>
      <c r="BO69" s="2372"/>
      <c r="BP69" s="2372"/>
      <c r="BQ69" s="2372"/>
      <c r="BR69" s="2372"/>
      <c r="BS69" s="2372"/>
      <c r="BT69" s="2372"/>
      <c r="BU69" s="2372"/>
      <c r="BV69" s="2372"/>
      <c r="BW69" s="2372"/>
      <c r="BX69" s="2372"/>
      <c r="BY69" s="2372"/>
      <c r="BZ69" s="2372"/>
      <c r="CA69" s="2372"/>
      <c r="CB69" s="2372"/>
      <c r="CC69" s="2372"/>
      <c r="CD69" s="2372"/>
      <c r="CE69" s="2372"/>
      <c r="CF69" s="2372"/>
      <c r="CG69" s="2372"/>
      <c r="CH69" s="2372"/>
      <c r="CI69" s="2372"/>
      <c r="CJ69" s="2372"/>
      <c r="CK69" s="2372"/>
      <c r="CL69" s="2372"/>
      <c r="CM69" s="2372"/>
      <c r="CN69" s="2372"/>
      <c r="CO69" s="2372"/>
      <c r="CP69" s="2372"/>
      <c r="CQ69" s="2372"/>
      <c r="CR69" s="2372"/>
      <c r="CS69" s="2372"/>
      <c r="CT69" s="2372"/>
      <c r="CU69" s="2372"/>
      <c r="CV69" s="2372"/>
      <c r="CW69" s="2372"/>
      <c r="CX69" s="2372"/>
      <c r="CY69" s="2372"/>
      <c r="CZ69" s="2372"/>
      <c r="DA69" s="2372"/>
    </row>
    <row r="70" spans="1:105" ht="18.75" customHeight="1" thickTop="1" thickBot="1">
      <c r="A70" s="2372"/>
      <c r="B70" s="2377"/>
      <c r="C70" s="2687"/>
      <c r="D70" s="2688"/>
      <c r="E70" s="2689"/>
      <c r="F70" s="2690"/>
      <c r="G70" s="2690"/>
      <c r="H70" s="2690"/>
      <c r="I70" s="2690"/>
      <c r="J70" s="2688"/>
      <c r="K70" s="2689"/>
      <c r="L70" s="2690"/>
      <c r="M70" s="2690"/>
      <c r="N70" s="2690"/>
      <c r="O70" s="2690"/>
      <c r="P70" s="2690"/>
      <c r="Q70" s="2690"/>
      <c r="R70" s="2690"/>
      <c r="S70" s="2690"/>
      <c r="T70" s="2690"/>
      <c r="U70" s="2688"/>
      <c r="V70" s="2691"/>
      <c r="W70" s="2688"/>
      <c r="X70" s="2692"/>
      <c r="Y70" s="2690"/>
      <c r="Z70" s="2688"/>
      <c r="AA70" s="2689"/>
      <c r="AB70" s="2688"/>
      <c r="AC70" s="2689"/>
      <c r="AD70" s="2690"/>
      <c r="AE70" s="2690"/>
      <c r="AF70" s="2688"/>
      <c r="AG70" s="2376"/>
      <c r="AK70" s="2372"/>
      <c r="AL70" s="2372"/>
      <c r="AM70" s="2372"/>
      <c r="AN70" s="2372"/>
      <c r="AO70" s="2372"/>
      <c r="AP70" s="2372"/>
      <c r="AQ70" s="2372"/>
      <c r="AR70" s="2372"/>
      <c r="AS70" s="2372"/>
      <c r="AT70" s="2372"/>
      <c r="AU70" s="2372"/>
      <c r="AV70" s="2372"/>
      <c r="AW70" s="2372"/>
      <c r="AX70" s="2372"/>
      <c r="AY70" s="2372"/>
      <c r="AZ70" s="2372"/>
      <c r="BA70" s="2372"/>
      <c r="BB70" s="2372"/>
      <c r="BC70" s="2372"/>
      <c r="BD70" s="2372"/>
      <c r="BE70" s="2372"/>
      <c r="BF70" s="2372"/>
      <c r="BG70" s="2372"/>
      <c r="BH70" s="2372"/>
      <c r="BI70" s="2372"/>
      <c r="BJ70" s="2372"/>
      <c r="BK70" s="2372"/>
      <c r="BL70" s="2372"/>
      <c r="BM70" s="2372"/>
      <c r="BN70" s="2372"/>
      <c r="BO70" s="2372"/>
      <c r="BP70" s="2372"/>
      <c r="BQ70" s="2372"/>
      <c r="BR70" s="2372"/>
      <c r="BS70" s="2372"/>
      <c r="BT70" s="2372"/>
      <c r="BU70" s="2372"/>
      <c r="BV70" s="2372"/>
      <c r="BW70" s="2372"/>
      <c r="BX70" s="2372"/>
      <c r="BY70" s="2372"/>
      <c r="BZ70" s="2372"/>
      <c r="CA70" s="2372"/>
      <c r="CB70" s="2372"/>
      <c r="CC70" s="2372"/>
      <c r="CD70" s="2372"/>
      <c r="CE70" s="2372"/>
      <c r="CF70" s="2372"/>
      <c r="CG70" s="2372"/>
      <c r="CH70" s="2372"/>
      <c r="CI70" s="2372"/>
      <c r="CJ70" s="2372"/>
      <c r="CK70" s="2372"/>
      <c r="CL70" s="2372"/>
      <c r="CM70" s="2372"/>
      <c r="CN70" s="2372"/>
      <c r="CO70" s="2372"/>
      <c r="CP70" s="2372"/>
      <c r="CQ70" s="2372"/>
      <c r="CR70" s="2372"/>
      <c r="CS70" s="2372"/>
      <c r="CT70" s="2372"/>
      <c r="CU70" s="2372"/>
      <c r="CV70" s="2372"/>
      <c r="CW70" s="2372"/>
      <c r="CX70" s="2372"/>
      <c r="CY70" s="2372"/>
      <c r="CZ70" s="2372"/>
      <c r="DA70" s="2372"/>
    </row>
    <row r="71" spans="1:105" ht="18.75" customHeight="1" thickTop="1" thickBot="1">
      <c r="A71" s="2372"/>
      <c r="B71" s="2377"/>
      <c r="C71" s="2687"/>
      <c r="D71" s="2688"/>
      <c r="E71" s="2689"/>
      <c r="F71" s="2690"/>
      <c r="G71" s="2690"/>
      <c r="H71" s="2690"/>
      <c r="I71" s="2690"/>
      <c r="J71" s="2688"/>
      <c r="K71" s="2689"/>
      <c r="L71" s="2690"/>
      <c r="M71" s="2690"/>
      <c r="N71" s="2690"/>
      <c r="O71" s="2690"/>
      <c r="P71" s="2690"/>
      <c r="Q71" s="2690"/>
      <c r="R71" s="2690"/>
      <c r="S71" s="2690"/>
      <c r="T71" s="2690"/>
      <c r="U71" s="2688"/>
      <c r="V71" s="2691"/>
      <c r="W71" s="2688"/>
      <c r="X71" s="2692"/>
      <c r="Y71" s="2690"/>
      <c r="Z71" s="2688"/>
      <c r="AA71" s="2689"/>
      <c r="AB71" s="2688"/>
      <c r="AC71" s="2689"/>
      <c r="AD71" s="2690"/>
      <c r="AE71" s="2690"/>
      <c r="AF71" s="2688"/>
      <c r="AG71" s="2376"/>
      <c r="AK71" s="2372"/>
      <c r="AL71" s="2372"/>
      <c r="AM71" s="2372"/>
      <c r="AN71" s="2372"/>
      <c r="AO71" s="2372"/>
      <c r="AP71" s="2372"/>
      <c r="AQ71" s="2372"/>
      <c r="AR71" s="2372"/>
      <c r="AS71" s="2372"/>
      <c r="AT71" s="2372"/>
      <c r="AU71" s="2372"/>
      <c r="AV71" s="2372"/>
      <c r="AW71" s="2372"/>
      <c r="AX71" s="2372"/>
      <c r="AY71" s="2372"/>
      <c r="AZ71" s="2372"/>
      <c r="BA71" s="2372"/>
      <c r="BB71" s="2372"/>
      <c r="BC71" s="2372"/>
      <c r="BD71" s="2372"/>
      <c r="BE71" s="2372"/>
      <c r="BF71" s="2372"/>
      <c r="BG71" s="2372"/>
      <c r="BH71" s="2372"/>
      <c r="BI71" s="2372"/>
      <c r="BJ71" s="2372"/>
      <c r="BK71" s="2372"/>
      <c r="BL71" s="2372"/>
      <c r="BM71" s="2372"/>
      <c r="BN71" s="2372"/>
      <c r="BO71" s="2372"/>
      <c r="BP71" s="2372"/>
      <c r="BQ71" s="2372"/>
      <c r="BR71" s="2372"/>
      <c r="BS71" s="2372"/>
      <c r="BT71" s="2372"/>
      <c r="BU71" s="2372"/>
      <c r="BV71" s="2372"/>
      <c r="BW71" s="2372"/>
      <c r="BX71" s="2372"/>
      <c r="BY71" s="2372"/>
      <c r="BZ71" s="2372"/>
      <c r="CA71" s="2372"/>
      <c r="CB71" s="2372"/>
      <c r="CC71" s="2372"/>
      <c r="CD71" s="2372"/>
      <c r="CE71" s="2372"/>
      <c r="CF71" s="2372"/>
      <c r="CG71" s="2372"/>
      <c r="CH71" s="2372"/>
      <c r="CI71" s="2372"/>
      <c r="CJ71" s="2372"/>
      <c r="CK71" s="2372"/>
      <c r="CL71" s="2372"/>
      <c r="CM71" s="2372"/>
      <c r="CN71" s="2372"/>
      <c r="CO71" s="2372"/>
      <c r="CP71" s="2372"/>
      <c r="CQ71" s="2372"/>
      <c r="CR71" s="2372"/>
      <c r="CS71" s="2372"/>
      <c r="CT71" s="2372"/>
      <c r="CU71" s="2372"/>
      <c r="CV71" s="2372"/>
      <c r="CW71" s="2372"/>
      <c r="CX71" s="2372"/>
      <c r="CY71" s="2372"/>
      <c r="CZ71" s="2372"/>
      <c r="DA71" s="2372"/>
    </row>
    <row r="72" spans="1:105" ht="18.75" customHeight="1" thickTop="1" thickBot="1">
      <c r="A72" s="2372"/>
      <c r="B72" s="2377"/>
      <c r="C72" s="2687"/>
      <c r="D72" s="2688"/>
      <c r="E72" s="2689"/>
      <c r="F72" s="2690"/>
      <c r="G72" s="2690"/>
      <c r="H72" s="2690"/>
      <c r="I72" s="2690"/>
      <c r="J72" s="2688"/>
      <c r="K72" s="2689"/>
      <c r="L72" s="2690"/>
      <c r="M72" s="2690"/>
      <c r="N72" s="2690"/>
      <c r="O72" s="2690"/>
      <c r="P72" s="2690"/>
      <c r="Q72" s="2690"/>
      <c r="R72" s="2690"/>
      <c r="S72" s="2690"/>
      <c r="T72" s="2690"/>
      <c r="U72" s="2688"/>
      <c r="V72" s="2691"/>
      <c r="W72" s="2688"/>
      <c r="X72" s="2692"/>
      <c r="Y72" s="2690"/>
      <c r="Z72" s="2688"/>
      <c r="AA72" s="2689"/>
      <c r="AB72" s="2688"/>
      <c r="AC72" s="2689"/>
      <c r="AD72" s="2690"/>
      <c r="AE72" s="2690"/>
      <c r="AF72" s="2688"/>
      <c r="AG72" s="2376"/>
      <c r="AK72" s="2372"/>
      <c r="AL72" s="2372"/>
      <c r="AM72" s="2372"/>
      <c r="AN72" s="2372"/>
      <c r="AO72" s="2372"/>
      <c r="AP72" s="2372"/>
      <c r="AQ72" s="2372"/>
      <c r="AR72" s="2372"/>
      <c r="AS72" s="2372"/>
      <c r="AT72" s="2372"/>
      <c r="AU72" s="2372"/>
      <c r="AV72" s="2372"/>
      <c r="AW72" s="2372"/>
      <c r="AX72" s="2372"/>
      <c r="AY72" s="2372"/>
      <c r="AZ72" s="2372"/>
      <c r="BA72" s="2372"/>
      <c r="BB72" s="2372"/>
      <c r="BC72" s="2372"/>
      <c r="BD72" s="2372"/>
      <c r="BE72" s="2372"/>
      <c r="BF72" s="2372"/>
      <c r="BG72" s="2372"/>
      <c r="BH72" s="2372"/>
      <c r="BI72" s="2372"/>
      <c r="BJ72" s="2372"/>
      <c r="BK72" s="2372"/>
      <c r="BL72" s="2372"/>
      <c r="BM72" s="2372"/>
      <c r="BN72" s="2372"/>
      <c r="BO72" s="2372"/>
      <c r="BP72" s="2372"/>
      <c r="BQ72" s="2372"/>
      <c r="BR72" s="2372"/>
      <c r="BS72" s="2372"/>
      <c r="BT72" s="2372"/>
      <c r="BU72" s="2372"/>
      <c r="BV72" s="2372"/>
      <c r="BW72" s="2372"/>
      <c r="BX72" s="2372"/>
      <c r="BY72" s="2372"/>
      <c r="BZ72" s="2372"/>
      <c r="CA72" s="2372"/>
      <c r="CB72" s="2372"/>
      <c r="CC72" s="2372"/>
      <c r="CD72" s="2372"/>
      <c r="CE72" s="2372"/>
      <c r="CF72" s="2372"/>
      <c r="CG72" s="2372"/>
      <c r="CH72" s="2372"/>
      <c r="CI72" s="2372"/>
      <c r="CJ72" s="2372"/>
      <c r="CK72" s="2372"/>
      <c r="CL72" s="2372"/>
      <c r="CM72" s="2372"/>
      <c r="CN72" s="2372"/>
      <c r="CO72" s="2372"/>
      <c r="CP72" s="2372"/>
      <c r="CQ72" s="2372"/>
      <c r="CR72" s="2372"/>
      <c r="CS72" s="2372"/>
      <c r="CT72" s="2372"/>
      <c r="CU72" s="2372"/>
      <c r="CV72" s="2372"/>
      <c r="CW72" s="2372"/>
      <c r="CX72" s="2372"/>
      <c r="CY72" s="2372"/>
      <c r="CZ72" s="2372"/>
      <c r="DA72" s="2372"/>
    </row>
    <row r="73" spans="1:105" ht="18.75" customHeight="1" thickTop="1" thickBot="1">
      <c r="A73" s="2372"/>
      <c r="B73" s="2377"/>
      <c r="C73" s="2687"/>
      <c r="D73" s="2688"/>
      <c r="E73" s="2689"/>
      <c r="F73" s="2690"/>
      <c r="G73" s="2690"/>
      <c r="H73" s="2690"/>
      <c r="I73" s="2690"/>
      <c r="J73" s="2688"/>
      <c r="K73" s="2689"/>
      <c r="L73" s="2690"/>
      <c r="M73" s="2690"/>
      <c r="N73" s="2690"/>
      <c r="O73" s="2690"/>
      <c r="P73" s="2690"/>
      <c r="Q73" s="2690"/>
      <c r="R73" s="2690"/>
      <c r="S73" s="2690"/>
      <c r="T73" s="2690"/>
      <c r="U73" s="2688"/>
      <c r="V73" s="2691"/>
      <c r="W73" s="2688"/>
      <c r="X73" s="2692"/>
      <c r="Y73" s="2690"/>
      <c r="Z73" s="2688"/>
      <c r="AA73" s="2689"/>
      <c r="AB73" s="2688"/>
      <c r="AC73" s="2689"/>
      <c r="AD73" s="2690"/>
      <c r="AE73" s="2690"/>
      <c r="AF73" s="2688"/>
      <c r="AG73" s="2376"/>
      <c r="AK73" s="2372"/>
      <c r="AL73" s="2372"/>
      <c r="AM73" s="2372"/>
      <c r="AN73" s="2372"/>
      <c r="AO73" s="2372"/>
      <c r="AP73" s="2372"/>
      <c r="AQ73" s="2372"/>
      <c r="AR73" s="2372"/>
      <c r="AS73" s="2372"/>
      <c r="AT73" s="2372"/>
      <c r="AU73" s="2372"/>
      <c r="AV73" s="2372"/>
      <c r="AW73" s="2372"/>
      <c r="AX73" s="2372"/>
      <c r="AY73" s="2372"/>
      <c r="AZ73" s="2372"/>
      <c r="BA73" s="2372"/>
      <c r="BB73" s="2372"/>
      <c r="BC73" s="2372"/>
      <c r="BD73" s="2372"/>
      <c r="BE73" s="2372"/>
      <c r="BF73" s="2372"/>
      <c r="BG73" s="2372"/>
      <c r="BH73" s="2372"/>
      <c r="BI73" s="2372"/>
      <c r="BJ73" s="2372"/>
      <c r="BK73" s="2372"/>
      <c r="BL73" s="2372"/>
      <c r="BM73" s="2372"/>
      <c r="BN73" s="2372"/>
      <c r="BO73" s="2372"/>
      <c r="BP73" s="2372"/>
      <c r="BQ73" s="2372"/>
      <c r="BR73" s="2372"/>
      <c r="BS73" s="2372"/>
      <c r="BT73" s="2372"/>
      <c r="BU73" s="2372"/>
      <c r="BV73" s="2372"/>
      <c r="BW73" s="2372"/>
      <c r="BX73" s="2372"/>
      <c r="BY73" s="2372"/>
      <c r="BZ73" s="2372"/>
      <c r="CA73" s="2372"/>
      <c r="CB73" s="2372"/>
      <c r="CC73" s="2372"/>
      <c r="CD73" s="2372"/>
      <c r="CE73" s="2372"/>
      <c r="CF73" s="2372"/>
      <c r="CG73" s="2372"/>
      <c r="CH73" s="2372"/>
      <c r="CI73" s="2372"/>
      <c r="CJ73" s="2372"/>
      <c r="CK73" s="2372"/>
      <c r="CL73" s="2372"/>
      <c r="CM73" s="2372"/>
      <c r="CN73" s="2372"/>
      <c r="CO73" s="2372"/>
      <c r="CP73" s="2372"/>
      <c r="CQ73" s="2372"/>
      <c r="CR73" s="2372"/>
      <c r="CS73" s="2372"/>
      <c r="CT73" s="2372"/>
      <c r="CU73" s="2372"/>
      <c r="CV73" s="2372"/>
      <c r="CW73" s="2372"/>
      <c r="CX73" s="2372"/>
      <c r="CY73" s="2372"/>
      <c r="CZ73" s="2372"/>
      <c r="DA73" s="2372"/>
    </row>
    <row r="74" spans="1:105" ht="18.75" customHeight="1" thickTop="1" thickBot="1">
      <c r="A74" s="2372"/>
      <c r="B74" s="2377"/>
      <c r="C74" s="2687"/>
      <c r="D74" s="2688"/>
      <c r="E74" s="2689"/>
      <c r="F74" s="2690"/>
      <c r="G74" s="2690"/>
      <c r="H74" s="2690"/>
      <c r="I74" s="2690"/>
      <c r="J74" s="2688"/>
      <c r="K74" s="2689"/>
      <c r="L74" s="2690"/>
      <c r="M74" s="2690"/>
      <c r="N74" s="2690"/>
      <c r="O74" s="2690"/>
      <c r="P74" s="2690"/>
      <c r="Q74" s="2690"/>
      <c r="R74" s="2690"/>
      <c r="S74" s="2690"/>
      <c r="T74" s="2690"/>
      <c r="U74" s="2688"/>
      <c r="V74" s="2691"/>
      <c r="W74" s="2688"/>
      <c r="X74" s="2692"/>
      <c r="Y74" s="2690"/>
      <c r="Z74" s="2688"/>
      <c r="AA74" s="2689"/>
      <c r="AB74" s="2688"/>
      <c r="AC74" s="2689"/>
      <c r="AD74" s="2690"/>
      <c r="AE74" s="2690"/>
      <c r="AF74" s="2688"/>
      <c r="AG74" s="2376"/>
      <c r="AK74" s="2372"/>
      <c r="AL74" s="2372"/>
      <c r="AM74" s="2372"/>
      <c r="AN74" s="2372"/>
      <c r="AO74" s="2372"/>
      <c r="AP74" s="2372"/>
      <c r="AQ74" s="2372"/>
      <c r="AR74" s="2372"/>
      <c r="AS74" s="2372"/>
      <c r="AT74" s="2372"/>
      <c r="AU74" s="2372"/>
      <c r="AV74" s="2372"/>
      <c r="AW74" s="2372"/>
      <c r="AX74" s="2372"/>
      <c r="AY74" s="2372"/>
      <c r="AZ74" s="2372"/>
      <c r="BA74" s="2372"/>
      <c r="BB74" s="2372"/>
      <c r="BC74" s="2372"/>
      <c r="BD74" s="2372"/>
      <c r="BE74" s="2372"/>
      <c r="BF74" s="2372"/>
      <c r="BG74" s="2372"/>
      <c r="BH74" s="2372"/>
      <c r="BI74" s="2372"/>
      <c r="BJ74" s="2372"/>
      <c r="BK74" s="2372"/>
      <c r="BL74" s="2372"/>
      <c r="BM74" s="2372"/>
      <c r="BN74" s="2372"/>
      <c r="BO74" s="2372"/>
      <c r="BP74" s="2372"/>
      <c r="BQ74" s="2372"/>
      <c r="BR74" s="2372"/>
      <c r="BS74" s="2372"/>
      <c r="BT74" s="2372"/>
      <c r="BU74" s="2372"/>
      <c r="BV74" s="2372"/>
      <c r="BW74" s="2372"/>
      <c r="BX74" s="2372"/>
      <c r="BY74" s="2372"/>
      <c r="BZ74" s="2372"/>
      <c r="CA74" s="2372"/>
      <c r="CB74" s="2372"/>
      <c r="CC74" s="2372"/>
      <c r="CD74" s="2372"/>
      <c r="CE74" s="2372"/>
      <c r="CF74" s="2372"/>
      <c r="CG74" s="2372"/>
      <c r="CH74" s="2372"/>
      <c r="CI74" s="2372"/>
      <c r="CJ74" s="2372"/>
      <c r="CK74" s="2372"/>
      <c r="CL74" s="2372"/>
      <c r="CM74" s="2372"/>
      <c r="CN74" s="2372"/>
      <c r="CO74" s="2372"/>
      <c r="CP74" s="2372"/>
      <c r="CQ74" s="2372"/>
      <c r="CR74" s="2372"/>
      <c r="CS74" s="2372"/>
      <c r="CT74" s="2372"/>
      <c r="CU74" s="2372"/>
      <c r="CV74" s="2372"/>
      <c r="CW74" s="2372"/>
      <c r="CX74" s="2372"/>
      <c r="CY74" s="2372"/>
      <c r="CZ74" s="2372"/>
      <c r="DA74" s="2372"/>
    </row>
    <row r="75" spans="1:105" ht="18.75" customHeight="1" thickTop="1" thickBot="1">
      <c r="A75" s="2372"/>
      <c r="B75" s="2377"/>
      <c r="C75" s="2687"/>
      <c r="D75" s="2688"/>
      <c r="E75" s="2689"/>
      <c r="F75" s="2690"/>
      <c r="G75" s="2690"/>
      <c r="H75" s="2690"/>
      <c r="I75" s="2690"/>
      <c r="J75" s="2688"/>
      <c r="K75" s="2689"/>
      <c r="L75" s="2690"/>
      <c r="M75" s="2690"/>
      <c r="N75" s="2690"/>
      <c r="O75" s="2690"/>
      <c r="P75" s="2690"/>
      <c r="Q75" s="2690"/>
      <c r="R75" s="2690"/>
      <c r="S75" s="2690"/>
      <c r="T75" s="2690"/>
      <c r="U75" s="2688"/>
      <c r="V75" s="2691"/>
      <c r="W75" s="2688"/>
      <c r="X75" s="2692"/>
      <c r="Y75" s="2690"/>
      <c r="Z75" s="2688"/>
      <c r="AA75" s="2689"/>
      <c r="AB75" s="2688"/>
      <c r="AC75" s="2689"/>
      <c r="AD75" s="2690"/>
      <c r="AE75" s="2690"/>
      <c r="AF75" s="2688"/>
      <c r="AG75" s="2376"/>
      <c r="AK75" s="2372"/>
      <c r="AL75" s="2372"/>
      <c r="AM75" s="2372"/>
      <c r="AN75" s="2372"/>
      <c r="AO75" s="2372"/>
      <c r="AP75" s="2372"/>
      <c r="AQ75" s="2372"/>
      <c r="AR75" s="2372"/>
      <c r="AS75" s="2372"/>
      <c r="AT75" s="2372"/>
      <c r="AU75" s="2372"/>
      <c r="AV75" s="2372"/>
      <c r="AW75" s="2372"/>
      <c r="AX75" s="2372"/>
      <c r="AY75" s="2372"/>
      <c r="AZ75" s="2372"/>
      <c r="BA75" s="2372"/>
      <c r="BB75" s="2372"/>
      <c r="BC75" s="2372"/>
      <c r="BD75" s="2372"/>
      <c r="BE75" s="2372"/>
      <c r="BF75" s="2372"/>
      <c r="BG75" s="2372"/>
      <c r="BH75" s="2372"/>
      <c r="BI75" s="2372"/>
      <c r="BJ75" s="2372"/>
      <c r="BK75" s="2372"/>
      <c r="BL75" s="2372"/>
      <c r="BM75" s="2372"/>
      <c r="BN75" s="2372"/>
      <c r="BO75" s="2372"/>
      <c r="BP75" s="2372"/>
      <c r="BQ75" s="2372"/>
      <c r="BR75" s="2372"/>
      <c r="BS75" s="2372"/>
      <c r="BT75" s="2372"/>
      <c r="BU75" s="2372"/>
      <c r="BV75" s="2372"/>
      <c r="BW75" s="2372"/>
      <c r="BX75" s="2372"/>
      <c r="BY75" s="2372"/>
      <c r="BZ75" s="2372"/>
      <c r="CA75" s="2372"/>
      <c r="CB75" s="2372"/>
      <c r="CC75" s="2372"/>
      <c r="CD75" s="2372"/>
      <c r="CE75" s="2372"/>
      <c r="CF75" s="2372"/>
      <c r="CG75" s="2372"/>
      <c r="CH75" s="2372"/>
      <c r="CI75" s="2372"/>
      <c r="CJ75" s="2372"/>
      <c r="CK75" s="2372"/>
      <c r="CL75" s="2372"/>
      <c r="CM75" s="2372"/>
      <c r="CN75" s="2372"/>
      <c r="CO75" s="2372"/>
      <c r="CP75" s="2372"/>
      <c r="CQ75" s="2372"/>
      <c r="CR75" s="2372"/>
      <c r="CS75" s="2372"/>
      <c r="CT75" s="2372"/>
      <c r="CU75" s="2372"/>
      <c r="CV75" s="2372"/>
      <c r="CW75" s="2372"/>
      <c r="CX75" s="2372"/>
      <c r="CY75" s="2372"/>
      <c r="CZ75" s="2372"/>
      <c r="DA75" s="2372"/>
    </row>
    <row r="76" spans="1:105" ht="18.75" customHeight="1" thickTop="1" thickBot="1">
      <c r="A76" s="2372"/>
      <c r="B76" s="2377"/>
      <c r="C76" s="2687"/>
      <c r="D76" s="2688"/>
      <c r="E76" s="2689"/>
      <c r="F76" s="2690"/>
      <c r="G76" s="2690"/>
      <c r="H76" s="2690"/>
      <c r="I76" s="2690"/>
      <c r="J76" s="2688"/>
      <c r="K76" s="2689"/>
      <c r="L76" s="2690"/>
      <c r="M76" s="2690"/>
      <c r="N76" s="2690"/>
      <c r="O76" s="2690"/>
      <c r="P76" s="2690"/>
      <c r="Q76" s="2690"/>
      <c r="R76" s="2690"/>
      <c r="S76" s="2690"/>
      <c r="T76" s="2690"/>
      <c r="U76" s="2688"/>
      <c r="V76" s="2691"/>
      <c r="W76" s="2688"/>
      <c r="X76" s="2692"/>
      <c r="Y76" s="2690"/>
      <c r="Z76" s="2688"/>
      <c r="AA76" s="2689"/>
      <c r="AB76" s="2688"/>
      <c r="AC76" s="2689"/>
      <c r="AD76" s="2690"/>
      <c r="AE76" s="2690"/>
      <c r="AF76" s="2688"/>
      <c r="AG76" s="2376"/>
      <c r="AK76" s="2372"/>
      <c r="AL76" s="2372"/>
      <c r="AM76" s="2372"/>
      <c r="AN76" s="2372"/>
      <c r="AO76" s="2372"/>
      <c r="AP76" s="2372"/>
      <c r="AQ76" s="2372"/>
      <c r="AR76" s="2372"/>
      <c r="AS76" s="2372"/>
      <c r="AT76" s="2372"/>
      <c r="AU76" s="2372"/>
      <c r="AV76" s="2372"/>
      <c r="AW76" s="2372"/>
      <c r="AX76" s="2372"/>
      <c r="AY76" s="2372"/>
      <c r="AZ76" s="2372"/>
      <c r="BA76" s="2372"/>
      <c r="BB76" s="2372"/>
      <c r="BC76" s="2372"/>
      <c r="BD76" s="2372"/>
      <c r="BE76" s="2372"/>
      <c r="BF76" s="2372"/>
      <c r="BG76" s="2372"/>
      <c r="BH76" s="2372"/>
      <c r="BI76" s="2372"/>
      <c r="BJ76" s="2372"/>
      <c r="BK76" s="2372"/>
      <c r="BL76" s="2372"/>
      <c r="BM76" s="2372"/>
      <c r="BN76" s="2372"/>
      <c r="BO76" s="2372"/>
      <c r="BP76" s="2372"/>
      <c r="BQ76" s="2372"/>
      <c r="BR76" s="2372"/>
      <c r="BS76" s="2372"/>
      <c r="BT76" s="2372"/>
      <c r="BU76" s="2372"/>
      <c r="BV76" s="2372"/>
      <c r="BW76" s="2372"/>
      <c r="BX76" s="2372"/>
      <c r="BY76" s="2372"/>
      <c r="BZ76" s="2372"/>
      <c r="CA76" s="2372"/>
      <c r="CB76" s="2372"/>
      <c r="CC76" s="2372"/>
      <c r="CD76" s="2372"/>
      <c r="CE76" s="2372"/>
      <c r="CF76" s="2372"/>
      <c r="CG76" s="2372"/>
      <c r="CH76" s="2372"/>
      <c r="CI76" s="2372"/>
      <c r="CJ76" s="2372"/>
      <c r="CK76" s="2372"/>
      <c r="CL76" s="2372"/>
      <c r="CM76" s="2372"/>
      <c r="CN76" s="2372"/>
      <c r="CO76" s="2372"/>
      <c r="CP76" s="2372"/>
      <c r="CQ76" s="2372"/>
      <c r="CR76" s="2372"/>
      <c r="CS76" s="2372"/>
      <c r="CT76" s="2372"/>
      <c r="CU76" s="2372"/>
      <c r="CV76" s="2372"/>
      <c r="CW76" s="2372"/>
      <c r="CX76" s="2372"/>
      <c r="CY76" s="2372"/>
      <c r="CZ76" s="2372"/>
      <c r="DA76" s="2372"/>
    </row>
    <row r="77" spans="1:105" ht="18.75" customHeight="1" thickTop="1" thickBot="1">
      <c r="A77" s="2372"/>
      <c r="B77" s="2377"/>
      <c r="C77" s="2687"/>
      <c r="D77" s="2688"/>
      <c r="E77" s="2689"/>
      <c r="F77" s="2690"/>
      <c r="G77" s="2690"/>
      <c r="H77" s="2690"/>
      <c r="I77" s="2690"/>
      <c r="J77" s="2688"/>
      <c r="K77" s="2689"/>
      <c r="L77" s="2690"/>
      <c r="M77" s="2690"/>
      <c r="N77" s="2690"/>
      <c r="O77" s="2690"/>
      <c r="P77" s="2690"/>
      <c r="Q77" s="2690"/>
      <c r="R77" s="2690"/>
      <c r="S77" s="2690"/>
      <c r="T77" s="2690"/>
      <c r="U77" s="2688"/>
      <c r="V77" s="2691"/>
      <c r="W77" s="2688"/>
      <c r="X77" s="2692"/>
      <c r="Y77" s="2690"/>
      <c r="Z77" s="2688"/>
      <c r="AA77" s="2689"/>
      <c r="AB77" s="2688"/>
      <c r="AC77" s="2689"/>
      <c r="AD77" s="2690"/>
      <c r="AE77" s="2690"/>
      <c r="AF77" s="2688"/>
      <c r="AG77" s="2376"/>
      <c r="AK77" s="2372"/>
      <c r="AL77" s="2372"/>
      <c r="AM77" s="2372"/>
      <c r="AN77" s="2372"/>
      <c r="AO77" s="2372"/>
      <c r="AP77" s="2372"/>
      <c r="AQ77" s="2372"/>
      <c r="AR77" s="2372"/>
      <c r="AS77" s="2372"/>
      <c r="AT77" s="2372"/>
      <c r="AU77" s="2372"/>
      <c r="AV77" s="2372"/>
      <c r="AW77" s="2372"/>
      <c r="AX77" s="2372"/>
      <c r="AY77" s="2372"/>
      <c r="AZ77" s="2372"/>
      <c r="BA77" s="2372"/>
      <c r="BB77" s="2372"/>
      <c r="BC77" s="2372"/>
      <c r="BD77" s="2372"/>
      <c r="BE77" s="2372"/>
      <c r="BF77" s="2372"/>
      <c r="BG77" s="2372"/>
      <c r="BH77" s="2372"/>
      <c r="BI77" s="2372"/>
      <c r="BJ77" s="2372"/>
      <c r="BK77" s="2372"/>
      <c r="BL77" s="2372"/>
      <c r="BM77" s="2372"/>
      <c r="BN77" s="2372"/>
      <c r="BO77" s="2372"/>
      <c r="BP77" s="2372"/>
      <c r="BQ77" s="2372"/>
      <c r="BR77" s="2372"/>
      <c r="BS77" s="2372"/>
      <c r="BT77" s="2372"/>
      <c r="BU77" s="2372"/>
      <c r="BV77" s="2372"/>
      <c r="BW77" s="2372"/>
      <c r="BX77" s="2372"/>
      <c r="BY77" s="2372"/>
      <c r="BZ77" s="2372"/>
      <c r="CA77" s="2372"/>
      <c r="CB77" s="2372"/>
      <c r="CC77" s="2372"/>
      <c r="CD77" s="2372"/>
      <c r="CE77" s="2372"/>
      <c r="CF77" s="2372"/>
      <c r="CG77" s="2372"/>
      <c r="CH77" s="2372"/>
      <c r="CI77" s="2372"/>
      <c r="CJ77" s="2372"/>
      <c r="CK77" s="2372"/>
      <c r="CL77" s="2372"/>
      <c r="CM77" s="2372"/>
      <c r="CN77" s="2372"/>
      <c r="CO77" s="2372"/>
      <c r="CP77" s="2372"/>
      <c r="CQ77" s="2372"/>
      <c r="CR77" s="2372"/>
      <c r="CS77" s="2372"/>
      <c r="CT77" s="2372"/>
      <c r="CU77" s="2372"/>
      <c r="CV77" s="2372"/>
      <c r="CW77" s="2372"/>
      <c r="CX77" s="2372"/>
      <c r="CY77" s="2372"/>
      <c r="CZ77" s="2372"/>
      <c r="DA77" s="2372"/>
    </row>
    <row r="78" spans="1:105" ht="18.75" customHeight="1" thickTop="1" thickBot="1">
      <c r="A78" s="2372"/>
      <c r="B78" s="2377"/>
      <c r="C78" s="2687"/>
      <c r="D78" s="2688"/>
      <c r="E78" s="2689"/>
      <c r="F78" s="2690"/>
      <c r="G78" s="2690"/>
      <c r="H78" s="2690"/>
      <c r="I78" s="2690"/>
      <c r="J78" s="2688"/>
      <c r="K78" s="2689"/>
      <c r="L78" s="2690"/>
      <c r="M78" s="2690"/>
      <c r="N78" s="2690"/>
      <c r="O78" s="2690"/>
      <c r="P78" s="2690"/>
      <c r="Q78" s="2690"/>
      <c r="R78" s="2690"/>
      <c r="S78" s="2690"/>
      <c r="T78" s="2690"/>
      <c r="U78" s="2688"/>
      <c r="V78" s="2691"/>
      <c r="W78" s="2688"/>
      <c r="X78" s="2692"/>
      <c r="Y78" s="2690"/>
      <c r="Z78" s="2688"/>
      <c r="AA78" s="2689"/>
      <c r="AB78" s="2688"/>
      <c r="AC78" s="2689"/>
      <c r="AD78" s="2690"/>
      <c r="AE78" s="2690"/>
      <c r="AF78" s="2688"/>
      <c r="AG78" s="2376"/>
      <c r="AK78" s="2372"/>
      <c r="AL78" s="2372"/>
      <c r="AM78" s="2372"/>
      <c r="AN78" s="2372"/>
      <c r="AO78" s="2372"/>
      <c r="AP78" s="2372"/>
      <c r="AQ78" s="2372"/>
      <c r="AR78" s="2372"/>
      <c r="AS78" s="2372"/>
      <c r="AT78" s="2372"/>
      <c r="AU78" s="2372"/>
      <c r="AV78" s="2372"/>
      <c r="AW78" s="2372"/>
      <c r="AX78" s="2372"/>
      <c r="AY78" s="2372"/>
      <c r="AZ78" s="2372"/>
      <c r="BA78" s="2372"/>
      <c r="BB78" s="2372"/>
      <c r="BC78" s="2372"/>
      <c r="BD78" s="2372"/>
      <c r="BE78" s="2372"/>
      <c r="BF78" s="2372"/>
      <c r="BG78" s="2372"/>
      <c r="BH78" s="2372"/>
      <c r="BI78" s="2372"/>
      <c r="BJ78" s="2372"/>
      <c r="BK78" s="2372"/>
      <c r="BL78" s="2372"/>
      <c r="BM78" s="2372"/>
      <c r="BN78" s="2372"/>
      <c r="BO78" s="2372"/>
      <c r="BP78" s="2372"/>
      <c r="BQ78" s="2372"/>
      <c r="BR78" s="2372"/>
      <c r="BS78" s="2372"/>
      <c r="BT78" s="2372"/>
      <c r="BU78" s="2372"/>
      <c r="BV78" s="2372"/>
      <c r="BW78" s="2372"/>
      <c r="BX78" s="2372"/>
      <c r="BY78" s="2372"/>
      <c r="BZ78" s="2372"/>
      <c r="CA78" s="2372"/>
      <c r="CB78" s="2372"/>
      <c r="CC78" s="2372"/>
      <c r="CD78" s="2372"/>
      <c r="CE78" s="2372"/>
      <c r="CF78" s="2372"/>
      <c r="CG78" s="2372"/>
      <c r="CH78" s="2372"/>
      <c r="CI78" s="2372"/>
      <c r="CJ78" s="2372"/>
      <c r="CK78" s="2372"/>
      <c r="CL78" s="2372"/>
      <c r="CM78" s="2372"/>
      <c r="CN78" s="2372"/>
      <c r="CO78" s="2372"/>
      <c r="CP78" s="2372"/>
      <c r="CQ78" s="2372"/>
      <c r="CR78" s="2372"/>
      <c r="CS78" s="2372"/>
      <c r="CT78" s="2372"/>
      <c r="CU78" s="2372"/>
      <c r="CV78" s="2372"/>
      <c r="CW78" s="2372"/>
      <c r="CX78" s="2372"/>
      <c r="CY78" s="2372"/>
      <c r="CZ78" s="2372"/>
      <c r="DA78" s="2372"/>
    </row>
    <row r="79" spans="1:105" ht="18.75" customHeight="1" thickTop="1" thickBot="1">
      <c r="A79" s="2372"/>
      <c r="B79" s="2377"/>
      <c r="C79" s="2687"/>
      <c r="D79" s="2688"/>
      <c r="E79" s="2689"/>
      <c r="F79" s="2690"/>
      <c r="G79" s="2690"/>
      <c r="H79" s="2690"/>
      <c r="I79" s="2690"/>
      <c r="J79" s="2688"/>
      <c r="K79" s="2689"/>
      <c r="L79" s="2690"/>
      <c r="M79" s="2690"/>
      <c r="N79" s="2690"/>
      <c r="O79" s="2690"/>
      <c r="P79" s="2690"/>
      <c r="Q79" s="2690"/>
      <c r="R79" s="2690"/>
      <c r="S79" s="2690"/>
      <c r="T79" s="2690"/>
      <c r="U79" s="2688"/>
      <c r="V79" s="2691"/>
      <c r="W79" s="2688"/>
      <c r="X79" s="2692"/>
      <c r="Y79" s="2690"/>
      <c r="Z79" s="2688"/>
      <c r="AA79" s="2689"/>
      <c r="AB79" s="2688"/>
      <c r="AC79" s="2689"/>
      <c r="AD79" s="2690"/>
      <c r="AE79" s="2690"/>
      <c r="AF79" s="2688"/>
      <c r="AG79" s="2376"/>
      <c r="AK79" s="2372"/>
      <c r="AL79" s="2372"/>
      <c r="AM79" s="2372"/>
      <c r="AN79" s="2372"/>
      <c r="AO79" s="2372"/>
      <c r="AP79" s="2372"/>
      <c r="AQ79" s="2372"/>
      <c r="AR79" s="2372"/>
      <c r="AS79" s="2372"/>
      <c r="AT79" s="2372"/>
      <c r="AU79" s="2372"/>
      <c r="AV79" s="2372"/>
      <c r="AW79" s="2372"/>
      <c r="AX79" s="2372"/>
      <c r="AY79" s="2372"/>
      <c r="AZ79" s="2372"/>
      <c r="BA79" s="2372"/>
      <c r="BB79" s="2372"/>
      <c r="BC79" s="2372"/>
      <c r="BD79" s="2372"/>
      <c r="BE79" s="2372"/>
      <c r="BF79" s="2372"/>
      <c r="BG79" s="2372"/>
      <c r="BH79" s="2372"/>
      <c r="BI79" s="2372"/>
      <c r="BJ79" s="2372"/>
      <c r="BK79" s="2372"/>
      <c r="BL79" s="2372"/>
      <c r="BM79" s="2372"/>
      <c r="BN79" s="2372"/>
      <c r="BO79" s="2372"/>
      <c r="BP79" s="2372"/>
      <c r="BQ79" s="2372"/>
      <c r="BR79" s="2372"/>
      <c r="BS79" s="2372"/>
      <c r="BT79" s="2372"/>
      <c r="BU79" s="2372"/>
      <c r="BV79" s="2372"/>
      <c r="BW79" s="2372"/>
      <c r="BX79" s="2372"/>
      <c r="BY79" s="2372"/>
      <c r="BZ79" s="2372"/>
      <c r="CA79" s="2372"/>
      <c r="CB79" s="2372"/>
      <c r="CC79" s="2372"/>
      <c r="CD79" s="2372"/>
      <c r="CE79" s="2372"/>
      <c r="CF79" s="2372"/>
      <c r="CG79" s="2372"/>
      <c r="CH79" s="2372"/>
      <c r="CI79" s="2372"/>
      <c r="CJ79" s="2372"/>
      <c r="CK79" s="2372"/>
      <c r="CL79" s="2372"/>
      <c r="CM79" s="2372"/>
      <c r="CN79" s="2372"/>
      <c r="CO79" s="2372"/>
      <c r="CP79" s="2372"/>
      <c r="CQ79" s="2372"/>
      <c r="CR79" s="2372"/>
      <c r="CS79" s="2372"/>
      <c r="CT79" s="2372"/>
      <c r="CU79" s="2372"/>
      <c r="CV79" s="2372"/>
      <c r="CW79" s="2372"/>
      <c r="CX79" s="2372"/>
      <c r="CY79" s="2372"/>
      <c r="CZ79" s="2372"/>
      <c r="DA79" s="2372"/>
    </row>
    <row r="80" spans="1:105" ht="18.75" customHeight="1" thickTop="1" thickBot="1">
      <c r="A80" s="2372"/>
      <c r="B80" s="2377"/>
      <c r="C80" s="2687"/>
      <c r="D80" s="2688"/>
      <c r="E80" s="2689"/>
      <c r="F80" s="2690"/>
      <c r="G80" s="2690"/>
      <c r="H80" s="2690"/>
      <c r="I80" s="2690"/>
      <c r="J80" s="2688"/>
      <c r="K80" s="2689"/>
      <c r="L80" s="2690"/>
      <c r="M80" s="2690"/>
      <c r="N80" s="2690"/>
      <c r="O80" s="2690"/>
      <c r="P80" s="2690"/>
      <c r="Q80" s="2690"/>
      <c r="R80" s="2690"/>
      <c r="S80" s="2690"/>
      <c r="T80" s="2690"/>
      <c r="U80" s="2688"/>
      <c r="V80" s="2691"/>
      <c r="W80" s="2688"/>
      <c r="X80" s="2692"/>
      <c r="Y80" s="2690"/>
      <c r="Z80" s="2688"/>
      <c r="AA80" s="2689"/>
      <c r="AB80" s="2688"/>
      <c r="AC80" s="2689"/>
      <c r="AD80" s="2690"/>
      <c r="AE80" s="2690"/>
      <c r="AF80" s="2688"/>
      <c r="AG80" s="2376"/>
      <c r="AK80" s="2372"/>
      <c r="AL80" s="2372"/>
      <c r="AM80" s="2372"/>
      <c r="AN80" s="2372"/>
      <c r="AO80" s="2372"/>
      <c r="AP80" s="2372"/>
      <c r="AQ80" s="2372"/>
      <c r="AR80" s="2372"/>
      <c r="AS80" s="2372"/>
      <c r="AT80" s="2372"/>
      <c r="AU80" s="2372"/>
      <c r="AV80" s="2372"/>
      <c r="AW80" s="2372"/>
      <c r="AX80" s="2372"/>
      <c r="AY80" s="2372"/>
      <c r="AZ80" s="2372"/>
      <c r="BA80" s="2372"/>
      <c r="BB80" s="2372"/>
      <c r="BC80" s="2372"/>
      <c r="BD80" s="2372"/>
      <c r="BE80" s="2372"/>
      <c r="BF80" s="2372"/>
      <c r="BG80" s="2372"/>
      <c r="BH80" s="2372"/>
      <c r="BI80" s="2372"/>
      <c r="BJ80" s="2372"/>
      <c r="BK80" s="2372"/>
      <c r="BL80" s="2372"/>
      <c r="BM80" s="2372"/>
      <c r="BN80" s="2372"/>
      <c r="BO80" s="2372"/>
      <c r="BP80" s="2372"/>
      <c r="BQ80" s="2372"/>
      <c r="BR80" s="2372"/>
      <c r="BS80" s="2372"/>
      <c r="BT80" s="2372"/>
      <c r="BU80" s="2372"/>
      <c r="BV80" s="2372"/>
      <c r="BW80" s="2372"/>
      <c r="BX80" s="2372"/>
      <c r="BY80" s="2372"/>
      <c r="BZ80" s="2372"/>
      <c r="CA80" s="2372"/>
      <c r="CB80" s="2372"/>
      <c r="CC80" s="2372"/>
      <c r="CD80" s="2372"/>
      <c r="CE80" s="2372"/>
      <c r="CF80" s="2372"/>
      <c r="CG80" s="2372"/>
      <c r="CH80" s="2372"/>
      <c r="CI80" s="2372"/>
      <c r="CJ80" s="2372"/>
      <c r="CK80" s="2372"/>
      <c r="CL80" s="2372"/>
      <c r="CM80" s="2372"/>
      <c r="CN80" s="2372"/>
      <c r="CO80" s="2372"/>
      <c r="CP80" s="2372"/>
      <c r="CQ80" s="2372"/>
      <c r="CR80" s="2372"/>
      <c r="CS80" s="2372"/>
      <c r="CT80" s="2372"/>
      <c r="CU80" s="2372"/>
      <c r="CV80" s="2372"/>
      <c r="CW80" s="2372"/>
      <c r="CX80" s="2372"/>
      <c r="CY80" s="2372"/>
      <c r="CZ80" s="2372"/>
      <c r="DA80" s="2372"/>
    </row>
    <row r="81" spans="1:105" ht="18.75" customHeight="1" thickTop="1" thickBot="1">
      <c r="A81" s="2372"/>
      <c r="B81" s="2377"/>
      <c r="C81" s="2687"/>
      <c r="D81" s="2688"/>
      <c r="E81" s="2689"/>
      <c r="F81" s="2690"/>
      <c r="G81" s="2690"/>
      <c r="H81" s="2690"/>
      <c r="I81" s="2690"/>
      <c r="J81" s="2688"/>
      <c r="K81" s="2689"/>
      <c r="L81" s="2690"/>
      <c r="M81" s="2690"/>
      <c r="N81" s="2690"/>
      <c r="O81" s="2690"/>
      <c r="P81" s="2690"/>
      <c r="Q81" s="2690"/>
      <c r="R81" s="2690"/>
      <c r="S81" s="2690"/>
      <c r="T81" s="2690"/>
      <c r="U81" s="2688"/>
      <c r="V81" s="2691"/>
      <c r="W81" s="2688"/>
      <c r="X81" s="2692"/>
      <c r="Y81" s="2690"/>
      <c r="Z81" s="2688"/>
      <c r="AA81" s="2689"/>
      <c r="AB81" s="2688"/>
      <c r="AC81" s="2689"/>
      <c r="AD81" s="2690"/>
      <c r="AE81" s="2690"/>
      <c r="AF81" s="2688"/>
      <c r="AG81" s="2376"/>
      <c r="AK81" s="2372"/>
      <c r="AL81" s="2372"/>
      <c r="AM81" s="2372"/>
      <c r="AN81" s="2372"/>
      <c r="AO81" s="2372"/>
      <c r="AP81" s="2372"/>
      <c r="AQ81" s="2372"/>
      <c r="AR81" s="2372"/>
      <c r="AS81" s="2372"/>
      <c r="AT81" s="2372"/>
      <c r="AU81" s="2372"/>
      <c r="AV81" s="2372"/>
      <c r="AW81" s="2372"/>
      <c r="AX81" s="2372"/>
      <c r="AY81" s="2372"/>
      <c r="AZ81" s="2372"/>
      <c r="BA81" s="2372"/>
      <c r="BB81" s="2372"/>
      <c r="BC81" s="2372"/>
      <c r="BD81" s="2372"/>
      <c r="BE81" s="2372"/>
      <c r="BF81" s="2372"/>
      <c r="BG81" s="2372"/>
      <c r="BH81" s="2372"/>
      <c r="BI81" s="2372"/>
      <c r="BJ81" s="2372"/>
      <c r="BK81" s="2372"/>
      <c r="BL81" s="2372"/>
      <c r="BM81" s="2372"/>
      <c r="BN81" s="2372"/>
      <c r="BO81" s="2372"/>
      <c r="BP81" s="2372"/>
      <c r="BQ81" s="2372"/>
      <c r="BR81" s="2372"/>
      <c r="BS81" s="2372"/>
      <c r="BT81" s="2372"/>
      <c r="BU81" s="2372"/>
      <c r="BV81" s="2372"/>
      <c r="BW81" s="2372"/>
      <c r="BX81" s="2372"/>
      <c r="BY81" s="2372"/>
      <c r="BZ81" s="2372"/>
      <c r="CA81" s="2372"/>
      <c r="CB81" s="2372"/>
      <c r="CC81" s="2372"/>
      <c r="CD81" s="2372"/>
      <c r="CE81" s="2372"/>
      <c r="CF81" s="2372"/>
      <c r="CG81" s="2372"/>
      <c r="CH81" s="2372"/>
      <c r="CI81" s="2372"/>
      <c r="CJ81" s="2372"/>
      <c r="CK81" s="2372"/>
      <c r="CL81" s="2372"/>
      <c r="CM81" s="2372"/>
      <c r="CN81" s="2372"/>
      <c r="CO81" s="2372"/>
      <c r="CP81" s="2372"/>
      <c r="CQ81" s="2372"/>
      <c r="CR81" s="2372"/>
      <c r="CS81" s="2372"/>
      <c r="CT81" s="2372"/>
      <c r="CU81" s="2372"/>
      <c r="CV81" s="2372"/>
      <c r="CW81" s="2372"/>
      <c r="CX81" s="2372"/>
      <c r="CY81" s="2372"/>
      <c r="CZ81" s="2372"/>
      <c r="DA81" s="2372"/>
    </row>
    <row r="82" spans="1:105" ht="18.75" customHeight="1" thickTop="1" thickBot="1">
      <c r="A82" s="2372"/>
      <c r="B82" s="2377"/>
      <c r="C82" s="2687"/>
      <c r="D82" s="2688"/>
      <c r="E82" s="2689"/>
      <c r="F82" s="2690"/>
      <c r="G82" s="2690"/>
      <c r="H82" s="2690"/>
      <c r="I82" s="2690"/>
      <c r="J82" s="2688"/>
      <c r="K82" s="2689"/>
      <c r="L82" s="2690"/>
      <c r="M82" s="2690"/>
      <c r="N82" s="2690"/>
      <c r="O82" s="2690"/>
      <c r="P82" s="2690"/>
      <c r="Q82" s="2690"/>
      <c r="R82" s="2690"/>
      <c r="S82" s="2690"/>
      <c r="T82" s="2690"/>
      <c r="U82" s="2688"/>
      <c r="V82" s="2691"/>
      <c r="W82" s="2688"/>
      <c r="X82" s="2692"/>
      <c r="Y82" s="2690"/>
      <c r="Z82" s="2688"/>
      <c r="AA82" s="2689"/>
      <c r="AB82" s="2688"/>
      <c r="AC82" s="2689"/>
      <c r="AD82" s="2690"/>
      <c r="AE82" s="2690"/>
      <c r="AF82" s="2688"/>
      <c r="AG82" s="2376"/>
      <c r="AK82" s="2372"/>
      <c r="AL82" s="2372"/>
      <c r="AM82" s="2372"/>
      <c r="AN82" s="2372"/>
      <c r="AO82" s="2372"/>
      <c r="AP82" s="2372"/>
      <c r="AQ82" s="2372"/>
      <c r="AR82" s="2372"/>
      <c r="AS82" s="2372"/>
      <c r="AT82" s="2372"/>
      <c r="AU82" s="2372"/>
      <c r="AV82" s="2372"/>
      <c r="AW82" s="2372"/>
      <c r="AX82" s="2372"/>
      <c r="AY82" s="2372"/>
      <c r="AZ82" s="2372"/>
      <c r="BA82" s="2372"/>
      <c r="BB82" s="2372"/>
      <c r="BC82" s="2372"/>
      <c r="BD82" s="2372"/>
      <c r="BE82" s="2372"/>
      <c r="BF82" s="2372"/>
      <c r="BG82" s="2372"/>
      <c r="BH82" s="2372"/>
      <c r="BI82" s="2372"/>
      <c r="BJ82" s="2372"/>
      <c r="BK82" s="2372"/>
      <c r="BL82" s="2372"/>
      <c r="BM82" s="2372"/>
      <c r="BN82" s="2372"/>
      <c r="BO82" s="2372"/>
      <c r="BP82" s="2372"/>
      <c r="BQ82" s="2372"/>
      <c r="BR82" s="2372"/>
      <c r="BS82" s="2372"/>
      <c r="BT82" s="2372"/>
      <c r="BU82" s="2372"/>
      <c r="BV82" s="2372"/>
      <c r="BW82" s="2372"/>
      <c r="BX82" s="2372"/>
      <c r="BY82" s="2372"/>
      <c r="BZ82" s="2372"/>
      <c r="CA82" s="2372"/>
      <c r="CB82" s="2372"/>
      <c r="CC82" s="2372"/>
      <c r="CD82" s="2372"/>
      <c r="CE82" s="2372"/>
      <c r="CF82" s="2372"/>
      <c r="CG82" s="2372"/>
      <c r="CH82" s="2372"/>
      <c r="CI82" s="2372"/>
      <c r="CJ82" s="2372"/>
      <c r="CK82" s="2372"/>
      <c r="CL82" s="2372"/>
      <c r="CM82" s="2372"/>
      <c r="CN82" s="2372"/>
      <c r="CO82" s="2372"/>
      <c r="CP82" s="2372"/>
      <c r="CQ82" s="2372"/>
      <c r="CR82" s="2372"/>
      <c r="CS82" s="2372"/>
      <c r="CT82" s="2372"/>
      <c r="CU82" s="2372"/>
      <c r="CV82" s="2372"/>
      <c r="CW82" s="2372"/>
      <c r="CX82" s="2372"/>
      <c r="CY82" s="2372"/>
      <c r="CZ82" s="2372"/>
      <c r="DA82" s="2372"/>
    </row>
    <row r="83" spans="1:105" ht="18.75" customHeight="1" thickTop="1" thickBot="1">
      <c r="A83" s="2372"/>
      <c r="B83" s="2377"/>
      <c r="C83" s="2687"/>
      <c r="D83" s="2688"/>
      <c r="E83" s="2689"/>
      <c r="F83" s="2690"/>
      <c r="G83" s="2690"/>
      <c r="H83" s="2690"/>
      <c r="I83" s="2690"/>
      <c r="J83" s="2688"/>
      <c r="K83" s="2689"/>
      <c r="L83" s="2690"/>
      <c r="M83" s="2690"/>
      <c r="N83" s="2690"/>
      <c r="O83" s="2690"/>
      <c r="P83" s="2690"/>
      <c r="Q83" s="2690"/>
      <c r="R83" s="2690"/>
      <c r="S83" s="2690"/>
      <c r="T83" s="2690"/>
      <c r="U83" s="2688"/>
      <c r="V83" s="2691"/>
      <c r="W83" s="2688"/>
      <c r="X83" s="2692"/>
      <c r="Y83" s="2690"/>
      <c r="Z83" s="2688"/>
      <c r="AA83" s="2689"/>
      <c r="AB83" s="2688"/>
      <c r="AC83" s="2689"/>
      <c r="AD83" s="2690"/>
      <c r="AE83" s="2690"/>
      <c r="AF83" s="2688"/>
      <c r="AG83" s="2376"/>
      <c r="AK83" s="2372"/>
      <c r="AL83" s="2372"/>
      <c r="AM83" s="2372"/>
      <c r="AN83" s="2372"/>
      <c r="AO83" s="2372"/>
      <c r="AP83" s="2372"/>
      <c r="AQ83" s="2372"/>
      <c r="AR83" s="2372"/>
      <c r="AS83" s="2372"/>
      <c r="AT83" s="2372"/>
      <c r="AU83" s="2372"/>
      <c r="AV83" s="2372"/>
      <c r="AW83" s="2372"/>
      <c r="AX83" s="2372"/>
      <c r="AY83" s="2372"/>
      <c r="AZ83" s="2372"/>
      <c r="BA83" s="2372"/>
      <c r="BB83" s="2372"/>
      <c r="BC83" s="2372"/>
      <c r="BD83" s="2372"/>
      <c r="BE83" s="2372"/>
      <c r="BF83" s="2372"/>
      <c r="BG83" s="2372"/>
      <c r="BH83" s="2372"/>
      <c r="BI83" s="2372"/>
      <c r="BJ83" s="2372"/>
      <c r="BK83" s="2372"/>
      <c r="BL83" s="2372"/>
      <c r="BM83" s="2372"/>
      <c r="BN83" s="2372"/>
      <c r="BO83" s="2372"/>
      <c r="BP83" s="2372"/>
      <c r="BQ83" s="2372"/>
      <c r="BR83" s="2372"/>
      <c r="BS83" s="2372"/>
      <c r="BT83" s="2372"/>
      <c r="BU83" s="2372"/>
      <c r="BV83" s="2372"/>
      <c r="BW83" s="2372"/>
      <c r="BX83" s="2372"/>
      <c r="BY83" s="2372"/>
      <c r="BZ83" s="2372"/>
      <c r="CA83" s="2372"/>
      <c r="CB83" s="2372"/>
      <c r="CC83" s="2372"/>
      <c r="CD83" s="2372"/>
      <c r="CE83" s="2372"/>
      <c r="CF83" s="2372"/>
      <c r="CG83" s="2372"/>
      <c r="CH83" s="2372"/>
      <c r="CI83" s="2372"/>
      <c r="CJ83" s="2372"/>
      <c r="CK83" s="2372"/>
      <c r="CL83" s="2372"/>
      <c r="CM83" s="2372"/>
      <c r="CN83" s="2372"/>
      <c r="CO83" s="2372"/>
      <c r="CP83" s="2372"/>
      <c r="CQ83" s="2372"/>
      <c r="CR83" s="2372"/>
      <c r="CS83" s="2372"/>
      <c r="CT83" s="2372"/>
      <c r="CU83" s="2372"/>
      <c r="CV83" s="2372"/>
      <c r="CW83" s="2372"/>
      <c r="CX83" s="2372"/>
      <c r="CY83" s="2372"/>
      <c r="CZ83" s="2372"/>
      <c r="DA83" s="2372"/>
    </row>
    <row r="84" spans="1:105" ht="18.75" customHeight="1" thickTop="1" thickBot="1">
      <c r="A84" s="2372"/>
      <c r="B84" s="2377"/>
      <c r="C84" s="2687"/>
      <c r="D84" s="2688"/>
      <c r="E84" s="2689"/>
      <c r="F84" s="2690"/>
      <c r="G84" s="2690"/>
      <c r="H84" s="2690"/>
      <c r="I84" s="2690"/>
      <c r="J84" s="2688"/>
      <c r="K84" s="2689"/>
      <c r="L84" s="2690"/>
      <c r="M84" s="2690"/>
      <c r="N84" s="2690"/>
      <c r="O84" s="2690"/>
      <c r="P84" s="2690"/>
      <c r="Q84" s="2690"/>
      <c r="R84" s="2690"/>
      <c r="S84" s="2690"/>
      <c r="T84" s="2690"/>
      <c r="U84" s="2688"/>
      <c r="V84" s="2691"/>
      <c r="W84" s="2688"/>
      <c r="X84" s="2692"/>
      <c r="Y84" s="2690"/>
      <c r="Z84" s="2688"/>
      <c r="AA84" s="2689"/>
      <c r="AB84" s="2688"/>
      <c r="AC84" s="2689"/>
      <c r="AD84" s="2690"/>
      <c r="AE84" s="2690"/>
      <c r="AF84" s="2688"/>
      <c r="AG84" s="2376"/>
      <c r="AK84" s="2372"/>
      <c r="AL84" s="2372"/>
      <c r="AM84" s="2372"/>
      <c r="AN84" s="2372"/>
      <c r="AO84" s="2372"/>
      <c r="AP84" s="2372"/>
      <c r="AQ84" s="2372"/>
      <c r="AR84" s="2372"/>
      <c r="AS84" s="2372"/>
      <c r="AT84" s="2372"/>
      <c r="AU84" s="2372"/>
      <c r="AV84" s="2372"/>
      <c r="AW84" s="2372"/>
      <c r="AX84" s="2372"/>
      <c r="AY84" s="2372"/>
      <c r="AZ84" s="2372"/>
      <c r="BA84" s="2372"/>
      <c r="BB84" s="2372"/>
      <c r="BC84" s="2372"/>
      <c r="BD84" s="2372"/>
      <c r="BE84" s="2372"/>
      <c r="BF84" s="2372"/>
      <c r="BG84" s="2372"/>
      <c r="BH84" s="2372"/>
      <c r="BI84" s="2372"/>
      <c r="BJ84" s="2372"/>
      <c r="BK84" s="2372"/>
      <c r="BL84" s="2372"/>
      <c r="BM84" s="2372"/>
      <c r="BN84" s="2372"/>
      <c r="BO84" s="2372"/>
      <c r="BP84" s="2372"/>
      <c r="BQ84" s="2372"/>
      <c r="BR84" s="2372"/>
      <c r="BS84" s="2372"/>
      <c r="BT84" s="2372"/>
      <c r="BU84" s="2372"/>
      <c r="BV84" s="2372"/>
      <c r="BW84" s="2372"/>
      <c r="BX84" s="2372"/>
      <c r="BY84" s="2372"/>
      <c r="BZ84" s="2372"/>
      <c r="CA84" s="2372"/>
      <c r="CB84" s="2372"/>
      <c r="CC84" s="2372"/>
      <c r="CD84" s="2372"/>
      <c r="CE84" s="2372"/>
      <c r="CF84" s="2372"/>
      <c r="CG84" s="2372"/>
      <c r="CH84" s="2372"/>
      <c r="CI84" s="2372"/>
      <c r="CJ84" s="2372"/>
      <c r="CK84" s="2372"/>
      <c r="CL84" s="2372"/>
      <c r="CM84" s="2372"/>
      <c r="CN84" s="2372"/>
      <c r="CO84" s="2372"/>
      <c r="CP84" s="2372"/>
      <c r="CQ84" s="2372"/>
      <c r="CR84" s="2372"/>
      <c r="CS84" s="2372"/>
      <c r="CT84" s="2372"/>
      <c r="CU84" s="2372"/>
      <c r="CV84" s="2372"/>
      <c r="CW84" s="2372"/>
      <c r="CX84" s="2372"/>
      <c r="CY84" s="2372"/>
      <c r="CZ84" s="2372"/>
      <c r="DA84" s="2372"/>
    </row>
    <row r="85" spans="1:105" ht="18.75" customHeight="1" thickTop="1" thickBot="1">
      <c r="A85" s="2372"/>
      <c r="B85" s="2377"/>
      <c r="C85" s="2687"/>
      <c r="D85" s="2688"/>
      <c r="E85" s="2689"/>
      <c r="F85" s="2690"/>
      <c r="G85" s="2690"/>
      <c r="H85" s="2690"/>
      <c r="I85" s="2690"/>
      <c r="J85" s="2688"/>
      <c r="K85" s="2689"/>
      <c r="L85" s="2690"/>
      <c r="M85" s="2690"/>
      <c r="N85" s="2690"/>
      <c r="O85" s="2690"/>
      <c r="P85" s="2690"/>
      <c r="Q85" s="2690"/>
      <c r="R85" s="2690"/>
      <c r="S85" s="2690"/>
      <c r="T85" s="2690"/>
      <c r="U85" s="2688"/>
      <c r="V85" s="2691"/>
      <c r="W85" s="2688"/>
      <c r="X85" s="2692"/>
      <c r="Y85" s="2690"/>
      <c r="Z85" s="2688"/>
      <c r="AA85" s="2689"/>
      <c r="AB85" s="2688"/>
      <c r="AC85" s="2689"/>
      <c r="AD85" s="2690"/>
      <c r="AE85" s="2690"/>
      <c r="AF85" s="2688"/>
      <c r="AG85" s="2376"/>
      <c r="AK85" s="2372"/>
      <c r="AL85" s="2372"/>
      <c r="AM85" s="2372"/>
      <c r="AN85" s="2372"/>
      <c r="AO85" s="2372"/>
      <c r="AP85" s="2372"/>
      <c r="AQ85" s="2372"/>
      <c r="AR85" s="2372"/>
      <c r="AS85" s="2372"/>
      <c r="AT85" s="2372"/>
      <c r="AU85" s="2372"/>
      <c r="AV85" s="2372"/>
      <c r="AW85" s="2372"/>
      <c r="AX85" s="2372"/>
      <c r="AY85" s="2372"/>
      <c r="AZ85" s="2372"/>
      <c r="BA85" s="2372"/>
      <c r="BB85" s="2372"/>
      <c r="BC85" s="2372"/>
      <c r="BD85" s="2372"/>
      <c r="BE85" s="2372"/>
      <c r="BF85" s="2372"/>
      <c r="BG85" s="2372"/>
      <c r="BH85" s="2372"/>
      <c r="BI85" s="2372"/>
      <c r="BJ85" s="2372"/>
      <c r="BK85" s="2372"/>
      <c r="BL85" s="2372"/>
      <c r="BM85" s="2372"/>
      <c r="BN85" s="2372"/>
      <c r="BO85" s="2372"/>
      <c r="BP85" s="2372"/>
      <c r="BQ85" s="2372"/>
      <c r="BR85" s="2372"/>
      <c r="BS85" s="2372"/>
      <c r="BT85" s="2372"/>
      <c r="BU85" s="2372"/>
      <c r="BV85" s="2372"/>
      <c r="BW85" s="2372"/>
      <c r="BX85" s="2372"/>
      <c r="BY85" s="2372"/>
      <c r="BZ85" s="2372"/>
      <c r="CA85" s="2372"/>
      <c r="CB85" s="2372"/>
      <c r="CC85" s="2372"/>
      <c r="CD85" s="2372"/>
      <c r="CE85" s="2372"/>
      <c r="CF85" s="2372"/>
      <c r="CG85" s="2372"/>
      <c r="CH85" s="2372"/>
      <c r="CI85" s="2372"/>
      <c r="CJ85" s="2372"/>
      <c r="CK85" s="2372"/>
      <c r="CL85" s="2372"/>
      <c r="CM85" s="2372"/>
      <c r="CN85" s="2372"/>
      <c r="CO85" s="2372"/>
      <c r="CP85" s="2372"/>
      <c r="CQ85" s="2372"/>
      <c r="CR85" s="2372"/>
      <c r="CS85" s="2372"/>
      <c r="CT85" s="2372"/>
      <c r="CU85" s="2372"/>
      <c r="CV85" s="2372"/>
      <c r="CW85" s="2372"/>
      <c r="CX85" s="2372"/>
      <c r="CY85" s="2372"/>
      <c r="CZ85" s="2372"/>
      <c r="DA85" s="2372"/>
    </row>
    <row r="86" spans="1:105" ht="18.75" customHeight="1" thickTop="1" thickBot="1">
      <c r="A86" s="2372"/>
      <c r="B86" s="2377"/>
      <c r="C86" s="2687"/>
      <c r="D86" s="2688"/>
      <c r="E86" s="2689"/>
      <c r="F86" s="2690"/>
      <c r="G86" s="2690"/>
      <c r="H86" s="2690"/>
      <c r="I86" s="2690"/>
      <c r="J86" s="2688"/>
      <c r="K86" s="2689"/>
      <c r="L86" s="2690"/>
      <c r="M86" s="2690"/>
      <c r="N86" s="2690"/>
      <c r="O86" s="2690"/>
      <c r="P86" s="2690"/>
      <c r="Q86" s="2690"/>
      <c r="R86" s="2690"/>
      <c r="S86" s="2690"/>
      <c r="T86" s="2690"/>
      <c r="U86" s="2688"/>
      <c r="V86" s="2691"/>
      <c r="W86" s="2688"/>
      <c r="X86" s="2692"/>
      <c r="Y86" s="2690"/>
      <c r="Z86" s="2688"/>
      <c r="AA86" s="2689"/>
      <c r="AB86" s="2688"/>
      <c r="AC86" s="2689"/>
      <c r="AD86" s="2690"/>
      <c r="AE86" s="2690"/>
      <c r="AF86" s="2688"/>
      <c r="AG86" s="2376"/>
      <c r="AK86" s="2372"/>
      <c r="AL86" s="2372"/>
      <c r="AM86" s="2372"/>
      <c r="AN86" s="2372"/>
      <c r="AO86" s="2372"/>
      <c r="AP86" s="2372"/>
      <c r="AQ86" s="2372"/>
      <c r="AR86" s="2372"/>
      <c r="AS86" s="2372"/>
      <c r="AT86" s="2372"/>
      <c r="AU86" s="2372"/>
      <c r="AV86" s="2372"/>
      <c r="AW86" s="2372"/>
      <c r="AX86" s="2372"/>
      <c r="AY86" s="2372"/>
      <c r="AZ86" s="2372"/>
      <c r="BA86" s="2372"/>
      <c r="BB86" s="2372"/>
      <c r="BC86" s="2372"/>
      <c r="BD86" s="2372"/>
      <c r="BE86" s="2372"/>
      <c r="BF86" s="2372"/>
      <c r="BG86" s="2372"/>
      <c r="BH86" s="2372"/>
      <c r="BI86" s="2372"/>
      <c r="BJ86" s="2372"/>
      <c r="BK86" s="2372"/>
      <c r="BL86" s="2372"/>
      <c r="BM86" s="2372"/>
      <c r="BN86" s="2372"/>
      <c r="BO86" s="2372"/>
      <c r="BP86" s="2372"/>
      <c r="BQ86" s="2372"/>
      <c r="BR86" s="2372"/>
      <c r="BS86" s="2372"/>
      <c r="BT86" s="2372"/>
      <c r="BU86" s="2372"/>
      <c r="BV86" s="2372"/>
      <c r="BW86" s="2372"/>
      <c r="BX86" s="2372"/>
      <c r="BY86" s="2372"/>
      <c r="BZ86" s="2372"/>
      <c r="CA86" s="2372"/>
      <c r="CB86" s="2372"/>
      <c r="CC86" s="2372"/>
      <c r="CD86" s="2372"/>
      <c r="CE86" s="2372"/>
      <c r="CF86" s="2372"/>
      <c r="CG86" s="2372"/>
      <c r="CH86" s="2372"/>
      <c r="CI86" s="2372"/>
      <c r="CJ86" s="2372"/>
      <c r="CK86" s="2372"/>
      <c r="CL86" s="2372"/>
      <c r="CM86" s="2372"/>
      <c r="CN86" s="2372"/>
      <c r="CO86" s="2372"/>
      <c r="CP86" s="2372"/>
      <c r="CQ86" s="2372"/>
      <c r="CR86" s="2372"/>
      <c r="CS86" s="2372"/>
      <c r="CT86" s="2372"/>
      <c r="CU86" s="2372"/>
      <c r="CV86" s="2372"/>
      <c r="CW86" s="2372"/>
      <c r="CX86" s="2372"/>
      <c r="CY86" s="2372"/>
      <c r="CZ86" s="2372"/>
      <c r="DA86" s="2372"/>
    </row>
    <row r="87" spans="1:105" ht="18.75" customHeight="1" thickTop="1" thickBot="1">
      <c r="A87" s="2372"/>
      <c r="B87" s="2375"/>
      <c r="C87" s="2374"/>
      <c r="D87" s="2374"/>
      <c r="E87" s="2374"/>
      <c r="F87" s="2374"/>
      <c r="G87" s="2374"/>
      <c r="H87" s="2374"/>
      <c r="I87" s="2374"/>
      <c r="J87" s="2374"/>
      <c r="K87" s="2374"/>
      <c r="L87" s="2374"/>
      <c r="M87" s="2374"/>
      <c r="N87" s="2374"/>
      <c r="O87" s="2374"/>
      <c r="P87" s="2374"/>
      <c r="Q87" s="2374"/>
      <c r="R87" s="2374"/>
      <c r="S87" s="2374"/>
      <c r="T87" s="2374"/>
      <c r="U87" s="2374"/>
      <c r="V87" s="2374"/>
      <c r="W87" s="2374"/>
      <c r="X87" s="2374"/>
      <c r="Y87" s="2374"/>
      <c r="Z87" s="2374"/>
      <c r="AA87" s="2374"/>
      <c r="AB87" s="2374"/>
      <c r="AC87" s="2374"/>
      <c r="AD87" s="2374"/>
      <c r="AE87" s="2374"/>
      <c r="AF87" s="2374"/>
      <c r="AG87" s="2373"/>
      <c r="AH87" s="2372"/>
      <c r="AI87" s="2372"/>
      <c r="AJ87" s="2372"/>
      <c r="AK87" s="2372"/>
      <c r="AL87" s="2372"/>
      <c r="AM87" s="2372"/>
      <c r="AN87" s="2372"/>
      <c r="AO87" s="2372"/>
      <c r="AP87" s="2372"/>
      <c r="AQ87" s="2372"/>
      <c r="AR87" s="2372"/>
      <c r="AS87" s="2372"/>
      <c r="AT87" s="2372"/>
      <c r="AU87" s="2372"/>
      <c r="AV87" s="2372"/>
      <c r="AW87" s="2372"/>
      <c r="AX87" s="2372"/>
      <c r="AY87" s="2372"/>
      <c r="AZ87" s="2372"/>
      <c r="BA87" s="2372"/>
      <c r="BB87" s="2372"/>
      <c r="BC87" s="2372"/>
      <c r="BD87" s="2372"/>
      <c r="BE87" s="2372"/>
      <c r="BF87" s="2372"/>
      <c r="BG87" s="2372"/>
      <c r="BH87" s="2372"/>
      <c r="BI87" s="2372"/>
      <c r="BJ87" s="2372"/>
      <c r="BK87" s="2372"/>
      <c r="BL87" s="2372"/>
      <c r="BM87" s="2372"/>
      <c r="BN87" s="2372"/>
      <c r="BO87" s="2372"/>
      <c r="BP87" s="2372"/>
      <c r="BQ87" s="2372"/>
      <c r="BR87" s="2372"/>
      <c r="BS87" s="2372"/>
      <c r="BT87" s="2372"/>
      <c r="BU87" s="2372"/>
      <c r="BV87" s="2372"/>
      <c r="BW87" s="2372"/>
      <c r="BX87" s="2372"/>
      <c r="BY87" s="2372"/>
      <c r="BZ87" s="2372"/>
      <c r="CA87" s="2372"/>
      <c r="CB87" s="2372"/>
      <c r="CC87" s="2372"/>
      <c r="CD87" s="2372"/>
      <c r="CE87" s="2372"/>
      <c r="CF87" s="2372"/>
      <c r="CG87" s="2372"/>
      <c r="CH87" s="2372"/>
      <c r="CI87" s="2372"/>
      <c r="CJ87" s="2372"/>
      <c r="CK87" s="2372"/>
      <c r="CL87" s="2372"/>
      <c r="CM87" s="2372"/>
      <c r="CN87" s="2372"/>
      <c r="CO87" s="2372"/>
      <c r="CP87" s="2372"/>
      <c r="CQ87" s="2372"/>
      <c r="CR87" s="2372"/>
      <c r="CS87" s="2372"/>
      <c r="CT87" s="2372"/>
      <c r="CU87" s="2372"/>
      <c r="CV87" s="2372"/>
      <c r="CW87" s="2372"/>
      <c r="CX87" s="2372"/>
      <c r="CY87" s="2372"/>
      <c r="CZ87" s="2372"/>
      <c r="DA87" s="2372"/>
    </row>
    <row r="88" spans="1:105" ht="18.75" customHeight="1" thickTop="1">
      <c r="A88" s="2372"/>
      <c r="B88" s="2372"/>
      <c r="U88" s="2372"/>
      <c r="V88" s="2372"/>
      <c r="W88" s="2372"/>
      <c r="X88" s="2372"/>
      <c r="Y88" s="2372"/>
      <c r="Z88" s="2372"/>
      <c r="AA88" s="2372"/>
      <c r="AB88" s="2372"/>
      <c r="AC88" s="2372"/>
      <c r="AD88" s="2372"/>
      <c r="AE88" s="2372"/>
      <c r="AF88" s="2372"/>
      <c r="AG88" s="2372"/>
      <c r="AH88" s="2372"/>
      <c r="AI88" s="2372"/>
      <c r="AJ88" s="2372"/>
      <c r="AK88" s="2372"/>
      <c r="AL88" s="2372"/>
      <c r="AM88" s="2372"/>
      <c r="AN88" s="2372"/>
      <c r="AO88" s="2372"/>
      <c r="AP88" s="2372"/>
      <c r="AQ88" s="2372"/>
      <c r="AR88" s="2372"/>
      <c r="AS88" s="2372"/>
      <c r="AT88" s="2372"/>
      <c r="AU88" s="2372"/>
      <c r="AV88" s="2372"/>
      <c r="AW88" s="2372"/>
      <c r="AX88" s="2372"/>
      <c r="AY88" s="2372"/>
      <c r="AZ88" s="2372"/>
      <c r="BA88" s="2372"/>
      <c r="BB88" s="2372"/>
      <c r="BC88" s="2372"/>
      <c r="BD88" s="2372"/>
      <c r="BE88" s="2372"/>
      <c r="BF88" s="2372"/>
      <c r="BG88" s="2372"/>
      <c r="BH88" s="2372"/>
      <c r="BI88" s="2372"/>
      <c r="BJ88" s="2372"/>
      <c r="BK88" s="2372"/>
      <c r="BL88" s="2372"/>
      <c r="BM88" s="2372"/>
      <c r="BN88" s="2372"/>
      <c r="BO88" s="2372"/>
      <c r="BP88" s="2372"/>
      <c r="BQ88" s="2372"/>
      <c r="BR88" s="2372"/>
      <c r="BS88" s="2372"/>
      <c r="BT88" s="2372"/>
      <c r="BU88" s="2372"/>
      <c r="BV88" s="2372"/>
      <c r="BW88" s="2372"/>
      <c r="BX88" s="2372"/>
      <c r="BY88" s="2372"/>
      <c r="BZ88" s="2372"/>
      <c r="CA88" s="2372"/>
      <c r="CB88" s="2372"/>
      <c r="CC88" s="2372"/>
      <c r="CD88" s="2372"/>
      <c r="CE88" s="2372"/>
      <c r="CF88" s="2372"/>
      <c r="CG88" s="2372"/>
      <c r="CH88" s="2372"/>
      <c r="CI88" s="2372"/>
      <c r="CJ88" s="2372"/>
      <c r="CK88" s="2372"/>
      <c r="CL88" s="2372"/>
      <c r="CM88" s="2372"/>
      <c r="CN88" s="2372"/>
      <c r="CO88" s="2372"/>
      <c r="CP88" s="2372"/>
      <c r="CQ88" s="2372"/>
      <c r="CR88" s="2372"/>
      <c r="CS88" s="2372"/>
      <c r="CT88" s="2372"/>
      <c r="CU88" s="2372"/>
      <c r="CV88" s="2372"/>
      <c r="CW88" s="2372"/>
      <c r="CX88" s="2372"/>
      <c r="CY88" s="2372"/>
      <c r="CZ88" s="2372"/>
      <c r="DA88" s="2372"/>
    </row>
    <row r="89" spans="1:105" ht="3" hidden="1" customHeight="1">
      <c r="A89" s="2372"/>
      <c r="B89" s="2372"/>
      <c r="U89" s="2372"/>
      <c r="V89" s="2372"/>
      <c r="W89" s="2372"/>
      <c r="X89" s="2372"/>
      <c r="Y89" s="2372"/>
      <c r="Z89" s="2372"/>
      <c r="AA89" s="2372"/>
      <c r="AB89" s="2372"/>
      <c r="AC89" s="2372"/>
      <c r="AD89" s="2372"/>
      <c r="AE89" s="2372"/>
      <c r="AF89" s="2372"/>
      <c r="AG89" s="2372"/>
      <c r="AH89" s="2372"/>
      <c r="AI89" s="2372"/>
      <c r="AJ89" s="2372"/>
      <c r="AK89" s="2372"/>
      <c r="AL89" s="2372"/>
      <c r="AM89" s="2372"/>
      <c r="AN89" s="2372"/>
      <c r="AO89" s="2372"/>
      <c r="AP89" s="2372"/>
      <c r="AQ89" s="2372"/>
      <c r="AR89" s="2372"/>
      <c r="AS89" s="2372"/>
      <c r="AT89" s="2372"/>
      <c r="AU89" s="2372"/>
      <c r="AV89" s="2372"/>
      <c r="AW89" s="2372"/>
      <c r="AX89" s="2372"/>
      <c r="AY89" s="2372"/>
      <c r="AZ89" s="2372"/>
      <c r="BA89" s="2372"/>
      <c r="BB89" s="2372"/>
      <c r="BC89" s="2372"/>
      <c r="BD89" s="2372"/>
      <c r="BE89" s="2372"/>
      <c r="BF89" s="2372"/>
      <c r="BG89" s="2372"/>
      <c r="BH89" s="2372"/>
      <c r="BI89" s="2372"/>
      <c r="BJ89" s="2372"/>
      <c r="BK89" s="2372"/>
      <c r="BL89" s="2372"/>
      <c r="BM89" s="2372"/>
      <c r="BN89" s="2372"/>
      <c r="BO89" s="2372"/>
      <c r="BP89" s="2372"/>
      <c r="BQ89" s="2372"/>
      <c r="BR89" s="2372"/>
      <c r="BS89" s="2372"/>
      <c r="BT89" s="2372"/>
      <c r="BU89" s="2372"/>
      <c r="BV89" s="2372"/>
      <c r="BW89" s="2372"/>
      <c r="BX89" s="2372"/>
      <c r="BY89" s="2372"/>
      <c r="BZ89" s="2372"/>
      <c r="CA89" s="2372"/>
      <c r="CB89" s="2372"/>
      <c r="CC89" s="2372"/>
      <c r="CD89" s="2372"/>
      <c r="CE89" s="2372"/>
      <c r="CF89" s="2372"/>
      <c r="CG89" s="2372"/>
      <c r="CH89" s="2372"/>
      <c r="CI89" s="2372"/>
      <c r="CJ89" s="2372"/>
      <c r="CK89" s="2372"/>
      <c r="CL89" s="2372"/>
      <c r="CM89" s="2372"/>
      <c r="CN89" s="2372"/>
      <c r="CO89" s="2372"/>
      <c r="CP89" s="2372"/>
      <c r="CQ89" s="2372"/>
      <c r="CR89" s="2372"/>
      <c r="CS89" s="2372"/>
      <c r="CT89" s="2372"/>
      <c r="CU89" s="2372"/>
      <c r="CV89" s="2372"/>
      <c r="CW89" s="2372"/>
      <c r="CX89" s="2372"/>
      <c r="CY89" s="2372"/>
      <c r="CZ89" s="2372"/>
      <c r="DA89" s="2372"/>
    </row>
    <row r="90" spans="1:105" ht="15" hidden="1" customHeight="1">
      <c r="A90" s="2372"/>
      <c r="B90" s="2372"/>
      <c r="U90" s="2372"/>
      <c r="V90" s="2372"/>
      <c r="W90" s="2372"/>
      <c r="X90" s="2372"/>
      <c r="Y90" s="2372"/>
      <c r="Z90" s="2372"/>
      <c r="AA90" s="2372"/>
      <c r="AB90" s="2372"/>
      <c r="AC90" s="2372"/>
      <c r="AD90" s="2372"/>
      <c r="AE90" s="2372"/>
      <c r="AF90" s="2372"/>
      <c r="AG90" s="2372"/>
      <c r="AH90" s="2372"/>
      <c r="AI90" s="2372"/>
      <c r="AJ90" s="2372"/>
      <c r="AK90" s="2372"/>
      <c r="AL90" s="2372"/>
      <c r="AM90" s="2372"/>
      <c r="AN90" s="2372"/>
      <c r="AO90" s="2372"/>
      <c r="AP90" s="2372"/>
      <c r="AQ90" s="2372"/>
      <c r="AR90" s="2372"/>
      <c r="AS90" s="2372"/>
      <c r="AT90" s="2372"/>
      <c r="AU90" s="2372"/>
      <c r="AV90" s="2372"/>
      <c r="AW90" s="2372"/>
      <c r="AX90" s="2372"/>
      <c r="AY90" s="2372"/>
      <c r="AZ90" s="2372"/>
      <c r="BA90" s="2372"/>
      <c r="BB90" s="2372"/>
      <c r="BC90" s="2372"/>
      <c r="BD90" s="2372"/>
      <c r="BE90" s="2372"/>
      <c r="BF90" s="2372"/>
      <c r="BG90" s="2372"/>
      <c r="BH90" s="2372"/>
      <c r="BI90" s="2372"/>
      <c r="BJ90" s="2372"/>
      <c r="BK90" s="2372"/>
      <c r="BL90" s="2372"/>
      <c r="BM90" s="2372"/>
      <c r="BN90" s="2372"/>
      <c r="BO90" s="2372"/>
      <c r="BP90" s="2372"/>
      <c r="BQ90" s="2372"/>
      <c r="BR90" s="2372"/>
      <c r="BS90" s="2372"/>
      <c r="BT90" s="2372"/>
      <c r="BU90" s="2372"/>
      <c r="BV90" s="2372"/>
      <c r="BW90" s="2372"/>
      <c r="BX90" s="2372"/>
      <c r="BY90" s="2372"/>
      <c r="BZ90" s="2372"/>
      <c r="CA90" s="2372"/>
      <c r="CB90" s="2372"/>
      <c r="CC90" s="2372"/>
      <c r="CD90" s="2372"/>
      <c r="CE90" s="2372"/>
      <c r="CF90" s="2372"/>
      <c r="CG90" s="2372"/>
      <c r="CH90" s="2372"/>
      <c r="CI90" s="2372"/>
      <c r="CJ90" s="2372"/>
      <c r="CK90" s="2372"/>
      <c r="CL90" s="2372"/>
      <c r="CM90" s="2372"/>
      <c r="CN90" s="2372"/>
      <c r="CO90" s="2372"/>
      <c r="CP90" s="2372"/>
      <c r="CQ90" s="2372"/>
      <c r="CR90" s="2372"/>
      <c r="CS90" s="2372"/>
      <c r="CT90" s="2372"/>
      <c r="CU90" s="2372"/>
      <c r="CV90" s="2372"/>
      <c r="CW90" s="2372"/>
      <c r="CX90" s="2372"/>
      <c r="CY90" s="2372"/>
      <c r="CZ90" s="2372"/>
      <c r="DA90" s="2372"/>
    </row>
    <row r="91" spans="1:105" ht="3" hidden="1" customHeight="1">
      <c r="A91" s="2372"/>
      <c r="B91" s="2372"/>
      <c r="U91" s="2372"/>
      <c r="V91" s="2372"/>
      <c r="W91" s="2372"/>
      <c r="X91" s="2372"/>
      <c r="Y91" s="2372"/>
      <c r="Z91" s="2372"/>
      <c r="AA91" s="2372"/>
      <c r="AB91" s="2372"/>
      <c r="AC91" s="2372"/>
      <c r="AD91" s="2372"/>
      <c r="AE91" s="2372"/>
      <c r="AF91" s="2372"/>
      <c r="AG91" s="2372"/>
      <c r="AH91" s="2372"/>
      <c r="AI91" s="2372"/>
      <c r="AJ91" s="2372"/>
      <c r="AK91" s="2372"/>
      <c r="AL91" s="2372"/>
      <c r="AM91" s="2372"/>
      <c r="AN91" s="2372"/>
      <c r="AO91" s="2372"/>
      <c r="AP91" s="2372"/>
      <c r="AQ91" s="2372"/>
      <c r="AR91" s="2372"/>
      <c r="AS91" s="2372"/>
      <c r="AT91" s="2372"/>
      <c r="AU91" s="2372"/>
      <c r="AV91" s="2372"/>
      <c r="AW91" s="2372"/>
      <c r="AX91" s="2372"/>
      <c r="AY91" s="2372"/>
      <c r="AZ91" s="2372"/>
      <c r="BA91" s="2372"/>
      <c r="BB91" s="2372"/>
      <c r="BC91" s="2372"/>
      <c r="BD91" s="2372"/>
      <c r="BE91" s="2372"/>
      <c r="BF91" s="2372"/>
      <c r="BG91" s="2372"/>
      <c r="BH91" s="2372"/>
      <c r="BI91" s="2372"/>
      <c r="BJ91" s="2372"/>
      <c r="BK91" s="2372"/>
      <c r="BL91" s="2372"/>
      <c r="BM91" s="2372"/>
      <c r="BN91" s="2372"/>
      <c r="BO91" s="2372"/>
      <c r="BP91" s="2372"/>
      <c r="BQ91" s="2372"/>
      <c r="BR91" s="2372"/>
      <c r="BS91" s="2372"/>
      <c r="BT91" s="2372"/>
      <c r="BU91" s="2372"/>
      <c r="BV91" s="2372"/>
      <c r="BW91" s="2372"/>
      <c r="BX91" s="2372"/>
      <c r="BY91" s="2372"/>
      <c r="BZ91" s="2372"/>
      <c r="CA91" s="2372"/>
      <c r="CB91" s="2372"/>
      <c r="CC91" s="2372"/>
      <c r="CD91" s="2372"/>
      <c r="CE91" s="2372"/>
      <c r="CF91" s="2372"/>
      <c r="CG91" s="2372"/>
      <c r="CH91" s="2372"/>
      <c r="CI91" s="2372"/>
      <c r="CJ91" s="2372"/>
      <c r="CK91" s="2372"/>
      <c r="CL91" s="2372"/>
      <c r="CM91" s="2372"/>
      <c r="CN91" s="2372"/>
      <c r="CO91" s="2372"/>
      <c r="CP91" s="2372"/>
      <c r="CQ91" s="2372"/>
      <c r="CR91" s="2372"/>
      <c r="CS91" s="2372"/>
      <c r="CT91" s="2372"/>
      <c r="CU91" s="2372"/>
      <c r="CV91" s="2372"/>
      <c r="CW91" s="2372"/>
      <c r="CX91" s="2372"/>
      <c r="CY91" s="2372"/>
      <c r="CZ91" s="2372"/>
      <c r="DA91" s="2372"/>
    </row>
    <row r="92" spans="1:105" ht="15" hidden="1" customHeight="1">
      <c r="A92" s="2372"/>
      <c r="B92" s="2372"/>
      <c r="U92" s="2372"/>
      <c r="V92" s="2372"/>
      <c r="W92" s="2372"/>
      <c r="X92" s="2372"/>
      <c r="Y92" s="2372"/>
      <c r="Z92" s="2372"/>
      <c r="AA92" s="2372"/>
      <c r="AB92" s="2372"/>
      <c r="AC92" s="2372"/>
      <c r="AD92" s="2372"/>
      <c r="AE92" s="2372"/>
      <c r="AF92" s="2372"/>
      <c r="AG92" s="2372"/>
      <c r="AH92" s="2372"/>
      <c r="AI92" s="2372"/>
      <c r="AJ92" s="2372"/>
      <c r="AK92" s="2372"/>
      <c r="AL92" s="2372"/>
      <c r="AM92" s="2372"/>
      <c r="AN92" s="2372"/>
      <c r="AO92" s="2372"/>
      <c r="AP92" s="2372"/>
      <c r="AQ92" s="2372"/>
      <c r="AR92" s="2372"/>
      <c r="AS92" s="2372"/>
      <c r="AT92" s="2372"/>
      <c r="AU92" s="2372"/>
      <c r="AV92" s="2372"/>
      <c r="AW92" s="2372"/>
      <c r="AX92" s="2372"/>
      <c r="AY92" s="2372"/>
      <c r="AZ92" s="2372"/>
      <c r="BA92" s="2372"/>
      <c r="BB92" s="2372"/>
      <c r="BC92" s="2372"/>
      <c r="BD92" s="2372"/>
      <c r="BE92" s="2372"/>
      <c r="BF92" s="2372"/>
      <c r="BG92" s="2372"/>
      <c r="BH92" s="2372"/>
      <c r="BI92" s="2372"/>
      <c r="BJ92" s="2372"/>
      <c r="BK92" s="2372"/>
      <c r="BL92" s="2372"/>
      <c r="BM92" s="2372"/>
      <c r="BN92" s="2372"/>
      <c r="BO92" s="2372"/>
      <c r="BP92" s="2372"/>
      <c r="BQ92" s="2372"/>
      <c r="BR92" s="2372"/>
      <c r="BS92" s="2372"/>
      <c r="BT92" s="2372"/>
      <c r="BU92" s="2372"/>
      <c r="BV92" s="2372"/>
      <c r="BW92" s="2372"/>
      <c r="BX92" s="2372"/>
      <c r="BY92" s="2372"/>
      <c r="BZ92" s="2372"/>
      <c r="CA92" s="2372"/>
      <c r="CB92" s="2372"/>
      <c r="CC92" s="2372"/>
      <c r="CD92" s="2372"/>
      <c r="CE92" s="2372"/>
      <c r="CF92" s="2372"/>
      <c r="CG92" s="2372"/>
      <c r="CH92" s="2372"/>
      <c r="CI92" s="2372"/>
      <c r="CJ92" s="2372"/>
      <c r="CK92" s="2372"/>
      <c r="CL92" s="2372"/>
      <c r="CM92" s="2372"/>
      <c r="CN92" s="2372"/>
      <c r="CO92" s="2372"/>
      <c r="CP92" s="2372"/>
      <c r="CQ92" s="2372"/>
      <c r="CR92" s="2372"/>
      <c r="CS92" s="2372"/>
      <c r="CT92" s="2372"/>
      <c r="CU92" s="2372"/>
      <c r="CV92" s="2372"/>
      <c r="CW92" s="2372"/>
      <c r="CX92" s="2372"/>
      <c r="CY92" s="2372"/>
      <c r="CZ92" s="2372"/>
      <c r="DA92" s="2372"/>
    </row>
    <row r="93" spans="1:105" ht="3" hidden="1" customHeight="1">
      <c r="A93" s="2372"/>
      <c r="B93" s="2372"/>
      <c r="U93" s="2372"/>
      <c r="V93" s="2372"/>
      <c r="W93" s="2372"/>
      <c r="X93" s="2372"/>
      <c r="Y93" s="2372"/>
      <c r="Z93" s="2372"/>
      <c r="AA93" s="2372"/>
      <c r="AB93" s="2372"/>
      <c r="AC93" s="2372"/>
      <c r="AD93" s="2372"/>
      <c r="AE93" s="2372"/>
      <c r="AF93" s="2372"/>
      <c r="AG93" s="2372"/>
      <c r="AH93" s="2372"/>
      <c r="AI93" s="2372"/>
      <c r="AJ93" s="2372"/>
      <c r="AK93" s="2372"/>
      <c r="AL93" s="2372"/>
      <c r="AM93" s="2372"/>
      <c r="AN93" s="2372"/>
      <c r="AO93" s="2372"/>
      <c r="AP93" s="2372"/>
      <c r="AQ93" s="2372"/>
      <c r="AR93" s="2372"/>
      <c r="AS93" s="2372"/>
      <c r="AT93" s="2372"/>
      <c r="AU93" s="2372"/>
      <c r="AV93" s="2372"/>
      <c r="AW93" s="2372"/>
      <c r="AX93" s="2372"/>
      <c r="AY93" s="2372"/>
      <c r="AZ93" s="2372"/>
      <c r="BA93" s="2372"/>
      <c r="BB93" s="2372"/>
      <c r="BC93" s="2372"/>
      <c r="BD93" s="2372"/>
      <c r="BE93" s="2372"/>
      <c r="BF93" s="2372"/>
      <c r="BG93" s="2372"/>
      <c r="BH93" s="2372"/>
      <c r="BI93" s="2372"/>
      <c r="BJ93" s="2372"/>
      <c r="BK93" s="2372"/>
      <c r="BL93" s="2372"/>
      <c r="BM93" s="2372"/>
      <c r="BN93" s="2372"/>
      <c r="BO93" s="2372"/>
      <c r="BP93" s="2372"/>
      <c r="BQ93" s="2372"/>
      <c r="BR93" s="2372"/>
      <c r="BS93" s="2372"/>
      <c r="BT93" s="2372"/>
      <c r="BU93" s="2372"/>
      <c r="BV93" s="2372"/>
      <c r="BW93" s="2372"/>
      <c r="BX93" s="2372"/>
      <c r="BY93" s="2372"/>
      <c r="BZ93" s="2372"/>
      <c r="CA93" s="2372"/>
      <c r="CB93" s="2372"/>
      <c r="CC93" s="2372"/>
      <c r="CD93" s="2372"/>
      <c r="CE93" s="2372"/>
      <c r="CF93" s="2372"/>
      <c r="CG93" s="2372"/>
      <c r="CH93" s="2372"/>
      <c r="CI93" s="2372"/>
      <c r="CJ93" s="2372"/>
      <c r="CK93" s="2372"/>
      <c r="CL93" s="2372"/>
      <c r="CM93" s="2372"/>
      <c r="CN93" s="2372"/>
      <c r="CO93" s="2372"/>
      <c r="CP93" s="2372"/>
      <c r="CQ93" s="2372"/>
      <c r="CR93" s="2372"/>
      <c r="CS93" s="2372"/>
      <c r="CT93" s="2372"/>
      <c r="CU93" s="2372"/>
      <c r="CV93" s="2372"/>
      <c r="CW93" s="2372"/>
      <c r="CX93" s="2372"/>
      <c r="CY93" s="2372"/>
      <c r="CZ93" s="2372"/>
      <c r="DA93" s="2372"/>
    </row>
    <row r="94" spans="1:105" ht="15" hidden="1" customHeight="1">
      <c r="A94" s="2372"/>
      <c r="B94" s="2372"/>
      <c r="U94" s="2372"/>
      <c r="V94" s="2372"/>
      <c r="W94" s="2372"/>
      <c r="X94" s="2372"/>
      <c r="Y94" s="2372"/>
      <c r="Z94" s="2372"/>
      <c r="AA94" s="2372"/>
      <c r="AB94" s="2372"/>
      <c r="AC94" s="2372"/>
      <c r="AD94" s="2372"/>
      <c r="AE94" s="2372"/>
      <c r="AF94" s="2372"/>
      <c r="AG94" s="2372"/>
      <c r="AH94" s="2372"/>
      <c r="AI94" s="2372"/>
      <c r="AJ94" s="2372"/>
      <c r="AK94" s="2372"/>
      <c r="AL94" s="2372"/>
      <c r="AM94" s="2372"/>
      <c r="AN94" s="2372"/>
      <c r="AO94" s="2372"/>
      <c r="AP94" s="2372"/>
      <c r="AQ94" s="2372"/>
      <c r="AR94" s="2372"/>
      <c r="AS94" s="2372"/>
      <c r="AT94" s="2372"/>
      <c r="AU94" s="2372"/>
      <c r="AV94" s="2372"/>
      <c r="AW94" s="2372"/>
      <c r="AX94" s="2372"/>
      <c r="AY94" s="2372"/>
      <c r="AZ94" s="2372"/>
      <c r="BA94" s="2372"/>
      <c r="BB94" s="2372"/>
      <c r="BC94" s="2372"/>
      <c r="BD94" s="2372"/>
      <c r="BE94" s="2372"/>
      <c r="BF94" s="2372"/>
      <c r="BG94" s="2372"/>
      <c r="BH94" s="2372"/>
      <c r="BI94" s="2372"/>
      <c r="BJ94" s="2372"/>
      <c r="BK94" s="2372"/>
      <c r="BL94" s="2372"/>
      <c r="BM94" s="2372"/>
      <c r="BN94" s="2372"/>
      <c r="BO94" s="2372"/>
      <c r="BP94" s="2372"/>
      <c r="BQ94" s="2372"/>
      <c r="BR94" s="2372"/>
      <c r="BS94" s="2372"/>
      <c r="BT94" s="2372"/>
      <c r="BU94" s="2372"/>
      <c r="BV94" s="2372"/>
      <c r="BW94" s="2372"/>
      <c r="BX94" s="2372"/>
      <c r="BY94" s="2372"/>
      <c r="BZ94" s="2372"/>
      <c r="CA94" s="2372"/>
      <c r="CB94" s="2372"/>
      <c r="CC94" s="2372"/>
      <c r="CD94" s="2372"/>
      <c r="CE94" s="2372"/>
      <c r="CF94" s="2372"/>
      <c r="CG94" s="2372"/>
      <c r="CH94" s="2372"/>
      <c r="CI94" s="2372"/>
      <c r="CJ94" s="2372"/>
      <c r="CK94" s="2372"/>
      <c r="CL94" s="2372"/>
      <c r="CM94" s="2372"/>
      <c r="CN94" s="2372"/>
      <c r="CO94" s="2372"/>
      <c r="CP94" s="2372"/>
      <c r="CQ94" s="2372"/>
      <c r="CR94" s="2372"/>
      <c r="CS94" s="2372"/>
      <c r="CT94" s="2372"/>
      <c r="CU94" s="2372"/>
      <c r="CV94" s="2372"/>
      <c r="CW94" s="2372"/>
      <c r="CX94" s="2372"/>
      <c r="CY94" s="2372"/>
      <c r="CZ94" s="2372"/>
      <c r="DA94" s="2372"/>
    </row>
    <row r="95" spans="1:105" ht="3" hidden="1" customHeight="1">
      <c r="A95" s="2372"/>
      <c r="B95" s="2372"/>
      <c r="U95" s="2372"/>
      <c r="V95" s="2372"/>
      <c r="W95" s="2372"/>
      <c r="X95" s="2372"/>
      <c r="Y95" s="2372"/>
      <c r="Z95" s="2372"/>
      <c r="AA95" s="2372"/>
      <c r="AB95" s="2372"/>
      <c r="AC95" s="2372"/>
      <c r="AD95" s="2372"/>
      <c r="AE95" s="2372"/>
      <c r="AF95" s="2372"/>
      <c r="AG95" s="2372"/>
      <c r="AH95" s="2372"/>
      <c r="AI95" s="2372"/>
      <c r="AJ95" s="2372"/>
      <c r="AK95" s="2372"/>
      <c r="AL95" s="2372"/>
      <c r="AM95" s="2372"/>
      <c r="AN95" s="2372"/>
      <c r="AO95" s="2372"/>
      <c r="AP95" s="2372"/>
      <c r="AQ95" s="2372"/>
      <c r="AR95" s="2372"/>
      <c r="AS95" s="2372"/>
      <c r="AT95" s="2372"/>
      <c r="AU95" s="2372"/>
      <c r="AV95" s="2372"/>
      <c r="AW95" s="2372"/>
      <c r="AX95" s="2372"/>
      <c r="AY95" s="2372"/>
      <c r="AZ95" s="2372"/>
      <c r="BA95" s="2372"/>
      <c r="BB95" s="2372"/>
      <c r="BC95" s="2372"/>
      <c r="BD95" s="2372"/>
      <c r="BE95" s="2372"/>
      <c r="BF95" s="2372"/>
      <c r="BG95" s="2372"/>
      <c r="BH95" s="2372"/>
      <c r="BI95" s="2372"/>
      <c r="BJ95" s="2372"/>
      <c r="BK95" s="2372"/>
      <c r="BL95" s="2372"/>
      <c r="BM95" s="2372"/>
      <c r="BN95" s="2372"/>
      <c r="BO95" s="2372"/>
      <c r="BP95" s="2372"/>
      <c r="BQ95" s="2372"/>
      <c r="BR95" s="2372"/>
      <c r="BS95" s="2372"/>
      <c r="BT95" s="2372"/>
      <c r="BU95" s="2372"/>
      <c r="BV95" s="2372"/>
      <c r="BW95" s="2372"/>
      <c r="BX95" s="2372"/>
      <c r="BY95" s="2372"/>
      <c r="BZ95" s="2372"/>
      <c r="CA95" s="2372"/>
      <c r="CB95" s="2372"/>
      <c r="CC95" s="2372"/>
      <c r="CD95" s="2372"/>
      <c r="CE95" s="2372"/>
      <c r="CF95" s="2372"/>
      <c r="CG95" s="2372"/>
      <c r="CH95" s="2372"/>
      <c r="CI95" s="2372"/>
      <c r="CJ95" s="2372"/>
      <c r="CK95" s="2372"/>
      <c r="CL95" s="2372"/>
      <c r="CM95" s="2372"/>
      <c r="CN95" s="2372"/>
      <c r="CO95" s="2372"/>
      <c r="CP95" s="2372"/>
      <c r="CQ95" s="2372"/>
      <c r="CR95" s="2372"/>
      <c r="CS95" s="2372"/>
      <c r="CT95" s="2372"/>
      <c r="CU95" s="2372"/>
      <c r="CV95" s="2372"/>
      <c r="CW95" s="2372"/>
      <c r="CX95" s="2372"/>
      <c r="CY95" s="2372"/>
      <c r="CZ95" s="2372"/>
      <c r="DA95" s="2372"/>
    </row>
    <row r="96" spans="1:105" ht="15" hidden="1" customHeight="1">
      <c r="A96" s="2372"/>
      <c r="B96" s="2372"/>
      <c r="U96" s="2372"/>
      <c r="V96" s="2372"/>
      <c r="W96" s="2372"/>
      <c r="X96" s="2372"/>
      <c r="Y96" s="2372"/>
      <c r="Z96" s="2372"/>
      <c r="AA96" s="2372"/>
      <c r="AB96" s="2372"/>
      <c r="AC96" s="2372"/>
      <c r="AD96" s="2372"/>
      <c r="AE96" s="2372"/>
      <c r="AF96" s="2372"/>
      <c r="AG96" s="2372"/>
      <c r="AH96" s="2372"/>
      <c r="AI96" s="2372"/>
      <c r="AJ96" s="2372"/>
      <c r="AK96" s="2372"/>
      <c r="AL96" s="2372"/>
      <c r="AM96" s="2372"/>
      <c r="AN96" s="2372"/>
      <c r="AO96" s="2372"/>
      <c r="AP96" s="2372"/>
      <c r="AQ96" s="2372"/>
      <c r="AR96" s="2372"/>
      <c r="AS96" s="2372"/>
      <c r="AT96" s="2372"/>
      <c r="AU96" s="2372"/>
      <c r="AV96" s="2372"/>
      <c r="AW96" s="2372"/>
      <c r="AX96" s="2372"/>
      <c r="AY96" s="2372"/>
      <c r="AZ96" s="2372"/>
      <c r="BA96" s="2372"/>
      <c r="BB96" s="2372"/>
      <c r="BC96" s="2372"/>
      <c r="BD96" s="2372"/>
      <c r="BE96" s="2372"/>
      <c r="BF96" s="2372"/>
      <c r="BG96" s="2372"/>
      <c r="BH96" s="2372"/>
      <c r="BI96" s="2372"/>
      <c r="BJ96" s="2372"/>
      <c r="BK96" s="2372"/>
      <c r="BL96" s="2372"/>
      <c r="BM96" s="2372"/>
      <c r="BN96" s="2372"/>
      <c r="BO96" s="2372"/>
      <c r="BP96" s="2372"/>
      <c r="BQ96" s="2372"/>
      <c r="BR96" s="2372"/>
      <c r="BS96" s="2372"/>
      <c r="BT96" s="2372"/>
      <c r="BU96" s="2372"/>
      <c r="BV96" s="2372"/>
      <c r="BW96" s="2372"/>
      <c r="BX96" s="2372"/>
      <c r="BY96" s="2372"/>
      <c r="BZ96" s="2372"/>
      <c r="CA96" s="2372"/>
      <c r="CB96" s="2372"/>
      <c r="CC96" s="2372"/>
      <c r="CD96" s="2372"/>
      <c r="CE96" s="2372"/>
      <c r="CF96" s="2372"/>
      <c r="CG96" s="2372"/>
      <c r="CH96" s="2372"/>
      <c r="CI96" s="2372"/>
      <c r="CJ96" s="2372"/>
      <c r="CK96" s="2372"/>
      <c r="CL96" s="2372"/>
      <c r="CM96" s="2372"/>
      <c r="CN96" s="2372"/>
      <c r="CO96" s="2372"/>
      <c r="CP96" s="2372"/>
      <c r="CQ96" s="2372"/>
      <c r="CR96" s="2372"/>
      <c r="CS96" s="2372"/>
      <c r="CT96" s="2372"/>
      <c r="CU96" s="2372"/>
      <c r="CV96" s="2372"/>
      <c r="CW96" s="2372"/>
      <c r="CX96" s="2372"/>
      <c r="CY96" s="2372"/>
      <c r="CZ96" s="2372"/>
      <c r="DA96" s="2372"/>
    </row>
    <row r="97" spans="1:105" ht="3" hidden="1" customHeight="1">
      <c r="A97" s="2372"/>
      <c r="B97" s="2372"/>
      <c r="U97" s="2372"/>
      <c r="V97" s="2372"/>
      <c r="W97" s="2372"/>
      <c r="X97" s="2372"/>
      <c r="Y97" s="2372"/>
      <c r="Z97" s="2372"/>
      <c r="AA97" s="2372"/>
      <c r="AB97" s="2372"/>
      <c r="AC97" s="2372"/>
      <c r="AD97" s="2372"/>
      <c r="AE97" s="2372"/>
      <c r="AF97" s="2372"/>
      <c r="AG97" s="2372"/>
      <c r="AH97" s="2372"/>
      <c r="AI97" s="2372"/>
      <c r="AJ97" s="2372"/>
      <c r="AK97" s="2372"/>
      <c r="AL97" s="2372"/>
      <c r="AM97" s="2372"/>
      <c r="AN97" s="2372"/>
      <c r="AO97" s="2372"/>
      <c r="AP97" s="2372"/>
      <c r="AQ97" s="2372"/>
      <c r="AR97" s="2372"/>
      <c r="AS97" s="2372"/>
      <c r="AT97" s="2372"/>
      <c r="AU97" s="2372"/>
      <c r="AV97" s="2372"/>
      <c r="AW97" s="2372"/>
      <c r="AX97" s="2372"/>
      <c r="AY97" s="2372"/>
      <c r="AZ97" s="2372"/>
      <c r="BA97" s="2372"/>
      <c r="BB97" s="2372"/>
      <c r="BC97" s="2372"/>
      <c r="BD97" s="2372"/>
      <c r="BE97" s="2372"/>
      <c r="BF97" s="2372"/>
      <c r="BG97" s="2372"/>
      <c r="BH97" s="2372"/>
      <c r="BI97" s="2372"/>
      <c r="BJ97" s="2372"/>
      <c r="BK97" s="2372"/>
      <c r="BL97" s="2372"/>
      <c r="BM97" s="2372"/>
      <c r="BN97" s="2372"/>
      <c r="BO97" s="2372"/>
      <c r="BP97" s="2372"/>
      <c r="BQ97" s="2372"/>
      <c r="BR97" s="2372"/>
      <c r="BS97" s="2372"/>
      <c r="BT97" s="2372"/>
      <c r="BU97" s="2372"/>
      <c r="BV97" s="2372"/>
      <c r="BW97" s="2372"/>
      <c r="BX97" s="2372"/>
      <c r="BY97" s="2372"/>
      <c r="BZ97" s="2372"/>
      <c r="CA97" s="2372"/>
      <c r="CB97" s="2372"/>
      <c r="CC97" s="2372"/>
      <c r="CD97" s="2372"/>
      <c r="CE97" s="2372"/>
      <c r="CF97" s="2372"/>
      <c r="CG97" s="2372"/>
      <c r="CH97" s="2372"/>
      <c r="CI97" s="2372"/>
      <c r="CJ97" s="2372"/>
      <c r="CK97" s="2372"/>
      <c r="CL97" s="2372"/>
      <c r="CM97" s="2372"/>
      <c r="CN97" s="2372"/>
      <c r="CO97" s="2372"/>
      <c r="CP97" s="2372"/>
      <c r="CQ97" s="2372"/>
      <c r="CR97" s="2372"/>
      <c r="CS97" s="2372"/>
      <c r="CT97" s="2372"/>
      <c r="CU97" s="2372"/>
      <c r="CV97" s="2372"/>
      <c r="CW97" s="2372"/>
      <c r="CX97" s="2372"/>
      <c r="CY97" s="2372"/>
      <c r="CZ97" s="2372"/>
      <c r="DA97" s="2372"/>
    </row>
    <row r="98" spans="1:105" ht="15" hidden="1" customHeight="1">
      <c r="A98" s="2372"/>
      <c r="B98" s="2372"/>
      <c r="U98" s="2372"/>
      <c r="V98" s="2372"/>
      <c r="W98" s="2372"/>
      <c r="X98" s="2372"/>
      <c r="Y98" s="2372"/>
      <c r="Z98" s="2372"/>
      <c r="AA98" s="2372"/>
      <c r="AB98" s="2372"/>
      <c r="AC98" s="2372"/>
      <c r="AD98" s="2372"/>
      <c r="AE98" s="2372"/>
      <c r="AF98" s="2372"/>
      <c r="AG98" s="2372"/>
      <c r="AH98" s="2372"/>
      <c r="AI98" s="2372"/>
      <c r="AJ98" s="2372"/>
      <c r="AK98" s="2372"/>
      <c r="AL98" s="2372"/>
      <c r="AM98" s="2372"/>
      <c r="AN98" s="2372"/>
      <c r="AO98" s="2372"/>
      <c r="AP98" s="2372"/>
      <c r="AQ98" s="2372"/>
      <c r="AR98" s="2372"/>
      <c r="AS98" s="2372"/>
      <c r="AT98" s="2372"/>
      <c r="AU98" s="2372"/>
      <c r="AV98" s="2372"/>
      <c r="AW98" s="2372"/>
      <c r="AX98" s="2372"/>
      <c r="AY98" s="2372"/>
      <c r="AZ98" s="2372"/>
      <c r="BA98" s="2372"/>
      <c r="BB98" s="2372"/>
      <c r="BC98" s="2372"/>
      <c r="BD98" s="2372"/>
      <c r="BE98" s="2372"/>
      <c r="BF98" s="2372"/>
      <c r="BG98" s="2372"/>
      <c r="BH98" s="2372"/>
      <c r="BI98" s="2372"/>
      <c r="BJ98" s="2372"/>
      <c r="BK98" s="2372"/>
      <c r="BL98" s="2372"/>
      <c r="BM98" s="2372"/>
      <c r="BN98" s="2372"/>
      <c r="BO98" s="2372"/>
      <c r="BP98" s="2372"/>
      <c r="BQ98" s="2372"/>
      <c r="BR98" s="2372"/>
      <c r="BS98" s="2372"/>
      <c r="BT98" s="2372"/>
      <c r="BU98" s="2372"/>
      <c r="BV98" s="2372"/>
      <c r="BW98" s="2372"/>
      <c r="BX98" s="2372"/>
      <c r="BY98" s="2372"/>
      <c r="BZ98" s="2372"/>
      <c r="CA98" s="2372"/>
      <c r="CB98" s="2372"/>
      <c r="CC98" s="2372"/>
      <c r="CD98" s="2372"/>
      <c r="CE98" s="2372"/>
      <c r="CF98" s="2372"/>
      <c r="CG98" s="2372"/>
      <c r="CH98" s="2372"/>
      <c r="CI98" s="2372"/>
      <c r="CJ98" s="2372"/>
      <c r="CK98" s="2372"/>
      <c r="CL98" s="2372"/>
      <c r="CM98" s="2372"/>
      <c r="CN98" s="2372"/>
      <c r="CO98" s="2372"/>
      <c r="CP98" s="2372"/>
      <c r="CQ98" s="2372"/>
      <c r="CR98" s="2372"/>
      <c r="CS98" s="2372"/>
      <c r="CT98" s="2372"/>
      <c r="CU98" s="2372"/>
      <c r="CV98" s="2372"/>
      <c r="CW98" s="2372"/>
      <c r="CX98" s="2372"/>
      <c r="CY98" s="2372"/>
      <c r="CZ98" s="2372"/>
      <c r="DA98" s="2372"/>
    </row>
    <row r="99" spans="1:105" ht="3" hidden="1" customHeight="1">
      <c r="A99" s="2372"/>
      <c r="B99" s="2372"/>
      <c r="U99" s="2372"/>
      <c r="V99" s="2372"/>
      <c r="W99" s="2372"/>
      <c r="X99" s="2372"/>
      <c r="Y99" s="2372"/>
      <c r="Z99" s="2372"/>
      <c r="AA99" s="2372"/>
      <c r="AB99" s="2372"/>
      <c r="AC99" s="2372"/>
      <c r="AD99" s="2372"/>
      <c r="AE99" s="2372"/>
      <c r="AF99" s="2372"/>
      <c r="AG99" s="2372"/>
      <c r="AH99" s="2372"/>
      <c r="AI99" s="2372"/>
      <c r="AJ99" s="2372"/>
      <c r="AK99" s="2372"/>
      <c r="AL99" s="2372"/>
      <c r="AM99" s="2372"/>
      <c r="AN99" s="2372"/>
      <c r="AO99" s="2372"/>
      <c r="AP99" s="2372"/>
      <c r="AQ99" s="2372"/>
      <c r="AR99" s="2372"/>
      <c r="AS99" s="2372"/>
      <c r="AT99" s="2372"/>
      <c r="AU99" s="2372"/>
      <c r="AV99" s="2372"/>
      <c r="AW99" s="2372"/>
      <c r="AX99" s="2372"/>
      <c r="AY99" s="2372"/>
      <c r="AZ99" s="2372"/>
      <c r="BA99" s="2372"/>
      <c r="BB99" s="2372"/>
      <c r="BC99" s="2372"/>
      <c r="BD99" s="2372"/>
      <c r="BE99" s="2372"/>
      <c r="BF99" s="2372"/>
      <c r="BG99" s="2372"/>
      <c r="BH99" s="2372"/>
      <c r="BI99" s="2372"/>
      <c r="BJ99" s="2372"/>
      <c r="BK99" s="2372"/>
      <c r="BL99" s="2372"/>
      <c r="BM99" s="2372"/>
      <c r="BN99" s="2372"/>
      <c r="BO99" s="2372"/>
      <c r="BP99" s="2372"/>
      <c r="BQ99" s="2372"/>
      <c r="BR99" s="2372"/>
      <c r="BS99" s="2372"/>
      <c r="BT99" s="2372"/>
      <c r="BU99" s="2372"/>
      <c r="BV99" s="2372"/>
      <c r="BW99" s="2372"/>
      <c r="BX99" s="2372"/>
      <c r="BY99" s="2372"/>
      <c r="BZ99" s="2372"/>
      <c r="CA99" s="2372"/>
      <c r="CB99" s="2372"/>
      <c r="CC99" s="2372"/>
      <c r="CD99" s="2372"/>
      <c r="CE99" s="2372"/>
      <c r="CF99" s="2372"/>
      <c r="CG99" s="2372"/>
      <c r="CH99" s="2372"/>
      <c r="CI99" s="2372"/>
      <c r="CJ99" s="2372"/>
      <c r="CK99" s="2372"/>
      <c r="CL99" s="2372"/>
      <c r="CM99" s="2372"/>
      <c r="CN99" s="2372"/>
      <c r="CO99" s="2372"/>
      <c r="CP99" s="2372"/>
      <c r="CQ99" s="2372"/>
      <c r="CR99" s="2372"/>
      <c r="CS99" s="2372"/>
      <c r="CT99" s="2372"/>
      <c r="CU99" s="2372"/>
      <c r="CV99" s="2372"/>
      <c r="CW99" s="2372"/>
      <c r="CX99" s="2372"/>
      <c r="CY99" s="2372"/>
      <c r="CZ99" s="2372"/>
      <c r="DA99" s="2372"/>
    </row>
    <row r="100" spans="1:105" ht="15" hidden="1" customHeight="1">
      <c r="A100" s="2372"/>
      <c r="B100" s="2372"/>
      <c r="U100" s="2372"/>
      <c r="V100" s="2372"/>
      <c r="W100" s="2372"/>
      <c r="X100" s="2372"/>
      <c r="Y100" s="2372"/>
      <c r="Z100" s="2372"/>
      <c r="AA100" s="2372"/>
      <c r="AB100" s="2372"/>
      <c r="AC100" s="2372"/>
      <c r="AD100" s="2372"/>
      <c r="AE100" s="2372"/>
      <c r="AF100" s="2372"/>
      <c r="AG100" s="2372"/>
      <c r="AH100" s="2372"/>
      <c r="AI100" s="2372"/>
      <c r="AJ100" s="2372"/>
      <c r="AK100" s="2372"/>
      <c r="AL100" s="2372"/>
      <c r="AM100" s="2372"/>
      <c r="AN100" s="2372"/>
      <c r="AO100" s="2372"/>
      <c r="AP100" s="2372"/>
      <c r="AQ100" s="2372"/>
      <c r="AR100" s="2372"/>
      <c r="AS100" s="2372"/>
      <c r="AT100" s="2372"/>
      <c r="AU100" s="2372"/>
      <c r="AV100" s="2372"/>
      <c r="AW100" s="2372"/>
      <c r="AX100" s="2372"/>
      <c r="AY100" s="2372"/>
      <c r="AZ100" s="2372"/>
      <c r="BA100" s="2372"/>
      <c r="BB100" s="2372"/>
      <c r="BC100" s="2372"/>
      <c r="BD100" s="2372"/>
      <c r="BE100" s="2372"/>
      <c r="BF100" s="2372"/>
      <c r="BG100" s="2372"/>
      <c r="BH100" s="2372"/>
      <c r="BI100" s="2372"/>
      <c r="BJ100" s="2372"/>
      <c r="BK100" s="2372"/>
      <c r="BL100" s="2372"/>
      <c r="BM100" s="2372"/>
      <c r="BN100" s="2372"/>
      <c r="BO100" s="2372"/>
      <c r="BP100" s="2372"/>
      <c r="BQ100" s="2372"/>
      <c r="BR100" s="2372"/>
      <c r="BS100" s="2372"/>
      <c r="BT100" s="2372"/>
      <c r="BU100" s="2372"/>
      <c r="BV100" s="2372"/>
      <c r="BW100" s="2372"/>
      <c r="BX100" s="2372"/>
      <c r="BY100" s="2372"/>
      <c r="BZ100" s="2372"/>
      <c r="CA100" s="2372"/>
      <c r="CB100" s="2372"/>
      <c r="CC100" s="2372"/>
      <c r="CD100" s="2372"/>
      <c r="CE100" s="2372"/>
      <c r="CF100" s="2372"/>
      <c r="CG100" s="2372"/>
      <c r="CH100" s="2372"/>
      <c r="CI100" s="2372"/>
      <c r="CJ100" s="2372"/>
      <c r="CK100" s="2372"/>
      <c r="CL100" s="2372"/>
      <c r="CM100" s="2372"/>
      <c r="CN100" s="2372"/>
      <c r="CO100" s="2372"/>
      <c r="CP100" s="2372"/>
      <c r="CQ100" s="2372"/>
      <c r="CR100" s="2372"/>
      <c r="CS100" s="2372"/>
      <c r="CT100" s="2372"/>
      <c r="CU100" s="2372"/>
      <c r="CV100" s="2372"/>
      <c r="CW100" s="2372"/>
      <c r="CX100" s="2372"/>
      <c r="CY100" s="2372"/>
      <c r="CZ100" s="2372"/>
      <c r="DA100" s="2372"/>
    </row>
    <row r="101" spans="1:105" ht="3" hidden="1" customHeight="1">
      <c r="A101" s="2372"/>
      <c r="B101" s="2372"/>
      <c r="U101" s="2372"/>
      <c r="V101" s="2372"/>
      <c r="W101" s="2372"/>
      <c r="X101" s="2372"/>
      <c r="Y101" s="2372"/>
      <c r="Z101" s="2372"/>
      <c r="AA101" s="2372"/>
      <c r="AB101" s="2372"/>
      <c r="AC101" s="2372"/>
      <c r="AD101" s="2372"/>
      <c r="AE101" s="2372"/>
      <c r="AF101" s="2372"/>
      <c r="AG101" s="2372"/>
      <c r="AH101" s="2372"/>
      <c r="AI101" s="2372"/>
      <c r="AJ101" s="2372"/>
      <c r="AK101" s="2372"/>
      <c r="AL101" s="2372"/>
      <c r="AM101" s="2372"/>
      <c r="AN101" s="2372"/>
      <c r="AO101" s="2372"/>
      <c r="AP101" s="2372"/>
      <c r="AQ101" s="2372"/>
      <c r="AR101" s="2372"/>
      <c r="AS101" s="2372"/>
      <c r="AT101" s="2372"/>
      <c r="AU101" s="2372"/>
      <c r="AV101" s="2372"/>
      <c r="AW101" s="2372"/>
      <c r="AX101" s="2372"/>
      <c r="AY101" s="2372"/>
      <c r="AZ101" s="2372"/>
      <c r="BA101" s="2372"/>
      <c r="BB101" s="2372"/>
      <c r="BC101" s="2372"/>
      <c r="BD101" s="2372"/>
      <c r="BE101" s="2372"/>
      <c r="BF101" s="2372"/>
      <c r="BG101" s="2372"/>
      <c r="BH101" s="2372"/>
      <c r="BI101" s="2372"/>
      <c r="BJ101" s="2372"/>
      <c r="BK101" s="2372"/>
      <c r="BL101" s="2372"/>
      <c r="BM101" s="2372"/>
      <c r="BN101" s="2372"/>
      <c r="BO101" s="2372"/>
      <c r="BP101" s="2372"/>
      <c r="BQ101" s="2372"/>
      <c r="BR101" s="2372"/>
      <c r="BS101" s="2372"/>
      <c r="BT101" s="2372"/>
      <c r="BU101" s="2372"/>
      <c r="BV101" s="2372"/>
      <c r="BW101" s="2372"/>
      <c r="BX101" s="2372"/>
      <c r="BY101" s="2372"/>
      <c r="BZ101" s="2372"/>
      <c r="CA101" s="2372"/>
      <c r="CB101" s="2372"/>
      <c r="CC101" s="2372"/>
      <c r="CD101" s="2372"/>
      <c r="CE101" s="2372"/>
      <c r="CF101" s="2372"/>
      <c r="CG101" s="2372"/>
      <c r="CH101" s="2372"/>
      <c r="CI101" s="2372"/>
      <c r="CJ101" s="2372"/>
      <c r="CK101" s="2372"/>
      <c r="CL101" s="2372"/>
      <c r="CM101" s="2372"/>
      <c r="CN101" s="2372"/>
      <c r="CO101" s="2372"/>
      <c r="CP101" s="2372"/>
      <c r="CQ101" s="2372"/>
      <c r="CR101" s="2372"/>
      <c r="CS101" s="2372"/>
      <c r="CT101" s="2372"/>
      <c r="CU101" s="2372"/>
      <c r="CV101" s="2372"/>
      <c r="CW101" s="2372"/>
      <c r="CX101" s="2372"/>
      <c r="CY101" s="2372"/>
      <c r="CZ101" s="2372"/>
      <c r="DA101" s="2372"/>
    </row>
    <row r="102" spans="1:105" ht="15" hidden="1" customHeight="1">
      <c r="A102" s="2372"/>
      <c r="B102" s="2372"/>
      <c r="U102" s="2372"/>
      <c r="V102" s="2372"/>
      <c r="W102" s="2372"/>
      <c r="X102" s="2372"/>
      <c r="Y102" s="2372"/>
      <c r="Z102" s="2372"/>
      <c r="AA102" s="2372"/>
      <c r="AB102" s="2372"/>
      <c r="AC102" s="2372"/>
      <c r="AD102" s="2372"/>
      <c r="AE102" s="2372"/>
      <c r="AF102" s="2372"/>
      <c r="AG102" s="2372"/>
      <c r="AH102" s="2372"/>
      <c r="AI102" s="2372"/>
      <c r="AJ102" s="2372"/>
      <c r="AK102" s="2372"/>
      <c r="AL102" s="2372"/>
      <c r="AM102" s="2372"/>
      <c r="AN102" s="2372"/>
      <c r="AO102" s="2372"/>
      <c r="AP102" s="2372"/>
      <c r="AQ102" s="2372"/>
      <c r="AR102" s="2372"/>
      <c r="AS102" s="2372"/>
      <c r="AT102" s="2372"/>
      <c r="AU102" s="2372"/>
      <c r="AV102" s="2372"/>
      <c r="AW102" s="2372"/>
      <c r="AX102" s="2372"/>
      <c r="AY102" s="2372"/>
      <c r="AZ102" s="2372"/>
      <c r="BA102" s="2372"/>
      <c r="BB102" s="2372"/>
      <c r="BC102" s="2372"/>
      <c r="BD102" s="2372"/>
      <c r="BE102" s="2372"/>
      <c r="BF102" s="2372"/>
      <c r="BG102" s="2372"/>
      <c r="BH102" s="2372"/>
      <c r="BI102" s="2372"/>
      <c r="BJ102" s="2372"/>
      <c r="BK102" s="2372"/>
      <c r="BL102" s="2372"/>
      <c r="BM102" s="2372"/>
      <c r="BN102" s="2372"/>
      <c r="BO102" s="2372"/>
      <c r="BP102" s="2372"/>
      <c r="BQ102" s="2372"/>
      <c r="BR102" s="2372"/>
      <c r="BS102" s="2372"/>
      <c r="BT102" s="2372"/>
      <c r="BU102" s="2372"/>
      <c r="BV102" s="2372"/>
      <c r="BW102" s="2372"/>
      <c r="BX102" s="2372"/>
      <c r="BY102" s="2372"/>
      <c r="BZ102" s="2372"/>
      <c r="CA102" s="2372"/>
      <c r="CB102" s="2372"/>
      <c r="CC102" s="2372"/>
      <c r="CD102" s="2372"/>
      <c r="CE102" s="2372"/>
      <c r="CF102" s="2372"/>
      <c r="CG102" s="2372"/>
      <c r="CH102" s="2372"/>
      <c r="CI102" s="2372"/>
      <c r="CJ102" s="2372"/>
      <c r="CK102" s="2372"/>
      <c r="CL102" s="2372"/>
      <c r="CM102" s="2372"/>
      <c r="CN102" s="2372"/>
      <c r="CO102" s="2372"/>
      <c r="CP102" s="2372"/>
      <c r="CQ102" s="2372"/>
      <c r="CR102" s="2372"/>
      <c r="CS102" s="2372"/>
      <c r="CT102" s="2372"/>
      <c r="CU102" s="2372"/>
      <c r="CV102" s="2372"/>
      <c r="CW102" s="2372"/>
      <c r="CX102" s="2372"/>
      <c r="CY102" s="2372"/>
      <c r="CZ102" s="2372"/>
      <c r="DA102" s="2372"/>
    </row>
    <row r="103" spans="1:105" ht="3" hidden="1" customHeight="1">
      <c r="A103" s="2372"/>
      <c r="B103" s="2372"/>
      <c r="U103" s="2372"/>
      <c r="V103" s="2372"/>
      <c r="W103" s="2372"/>
      <c r="X103" s="2372"/>
      <c r="Y103" s="2372"/>
      <c r="Z103" s="2372"/>
      <c r="AA103" s="2372"/>
      <c r="AB103" s="2372"/>
      <c r="AC103" s="2372"/>
      <c r="AD103" s="2372"/>
      <c r="AE103" s="2372"/>
      <c r="AF103" s="2372"/>
      <c r="AG103" s="2372"/>
      <c r="AH103" s="2372"/>
      <c r="AI103" s="2372"/>
      <c r="AJ103" s="2372"/>
      <c r="AK103" s="2372"/>
      <c r="AL103" s="2372"/>
      <c r="AM103" s="2372"/>
      <c r="AN103" s="2372"/>
      <c r="AO103" s="2372"/>
      <c r="AP103" s="2372"/>
      <c r="AQ103" s="2372"/>
      <c r="AR103" s="2372"/>
      <c r="AS103" s="2372"/>
      <c r="AT103" s="2372"/>
      <c r="AU103" s="2372"/>
      <c r="AV103" s="2372"/>
      <c r="AW103" s="2372"/>
      <c r="AX103" s="2372"/>
      <c r="AY103" s="2372"/>
      <c r="AZ103" s="2372"/>
      <c r="BA103" s="2372"/>
      <c r="BB103" s="2372"/>
      <c r="BC103" s="2372"/>
      <c r="BD103" s="2372"/>
      <c r="BE103" s="2372"/>
      <c r="BF103" s="2372"/>
      <c r="BG103" s="2372"/>
      <c r="BH103" s="2372"/>
      <c r="BI103" s="2372"/>
      <c r="BJ103" s="2372"/>
      <c r="BK103" s="2372"/>
      <c r="BL103" s="2372"/>
      <c r="BM103" s="2372"/>
      <c r="BN103" s="2372"/>
      <c r="BO103" s="2372"/>
      <c r="BP103" s="2372"/>
      <c r="BQ103" s="2372"/>
      <c r="BR103" s="2372"/>
      <c r="BS103" s="2372"/>
      <c r="BT103" s="2372"/>
      <c r="BU103" s="2372"/>
      <c r="BV103" s="2372"/>
      <c r="BW103" s="2372"/>
      <c r="BX103" s="2372"/>
      <c r="BY103" s="2372"/>
      <c r="BZ103" s="2372"/>
      <c r="CA103" s="2372"/>
      <c r="CB103" s="2372"/>
      <c r="CC103" s="2372"/>
      <c r="CD103" s="2372"/>
      <c r="CE103" s="2372"/>
      <c r="CF103" s="2372"/>
      <c r="CG103" s="2372"/>
      <c r="CH103" s="2372"/>
      <c r="CI103" s="2372"/>
      <c r="CJ103" s="2372"/>
      <c r="CK103" s="2372"/>
      <c r="CL103" s="2372"/>
      <c r="CM103" s="2372"/>
      <c r="CN103" s="2372"/>
      <c r="CO103" s="2372"/>
      <c r="CP103" s="2372"/>
      <c r="CQ103" s="2372"/>
      <c r="CR103" s="2372"/>
      <c r="CS103" s="2372"/>
      <c r="CT103" s="2372"/>
      <c r="CU103" s="2372"/>
      <c r="CV103" s="2372"/>
      <c r="CW103" s="2372"/>
      <c r="CX103" s="2372"/>
      <c r="CY103" s="2372"/>
      <c r="CZ103" s="2372"/>
      <c r="DA103" s="2372"/>
    </row>
    <row r="104" spans="1:105" ht="15" hidden="1" customHeight="1">
      <c r="A104" s="2372"/>
      <c r="B104" s="2372"/>
      <c r="U104" s="2372"/>
      <c r="V104" s="2372"/>
      <c r="W104" s="2372"/>
      <c r="X104" s="2372"/>
      <c r="Y104" s="2372"/>
      <c r="Z104" s="2372"/>
      <c r="AA104" s="2372"/>
      <c r="AB104" s="2372"/>
      <c r="AC104" s="2372"/>
      <c r="AD104" s="2372"/>
      <c r="AE104" s="2372"/>
      <c r="AF104" s="2372"/>
      <c r="AG104" s="2372"/>
      <c r="AH104" s="2372"/>
      <c r="AI104" s="2372"/>
      <c r="AJ104" s="2372"/>
      <c r="AK104" s="2372"/>
      <c r="AL104" s="2372"/>
      <c r="AM104" s="2372"/>
      <c r="AN104" s="2372"/>
      <c r="AO104" s="2372"/>
      <c r="AP104" s="2372"/>
      <c r="AQ104" s="2372"/>
      <c r="AR104" s="2372"/>
      <c r="AS104" s="2372"/>
      <c r="AT104" s="2372"/>
      <c r="AU104" s="2372"/>
      <c r="AV104" s="2372"/>
      <c r="AW104" s="2372"/>
      <c r="AX104" s="2372"/>
      <c r="AY104" s="2372"/>
      <c r="AZ104" s="2372"/>
      <c r="BA104" s="2372"/>
      <c r="BB104" s="2372"/>
      <c r="BC104" s="2372"/>
      <c r="BD104" s="2372"/>
      <c r="BE104" s="2372"/>
      <c r="BF104" s="2372"/>
      <c r="BG104" s="2372"/>
      <c r="BH104" s="2372"/>
      <c r="BI104" s="2372"/>
      <c r="BJ104" s="2372"/>
      <c r="BK104" s="2372"/>
      <c r="BL104" s="2372"/>
      <c r="BM104" s="2372"/>
      <c r="BN104" s="2372"/>
      <c r="BO104" s="2372"/>
      <c r="BP104" s="2372"/>
      <c r="BQ104" s="2372"/>
      <c r="BR104" s="2372"/>
      <c r="BS104" s="2372"/>
      <c r="BT104" s="2372"/>
      <c r="BU104" s="2372"/>
      <c r="BV104" s="2372"/>
      <c r="BW104" s="2372"/>
      <c r="BX104" s="2372"/>
      <c r="BY104" s="2372"/>
      <c r="BZ104" s="2372"/>
      <c r="CA104" s="2372"/>
      <c r="CB104" s="2372"/>
      <c r="CC104" s="2372"/>
      <c r="CD104" s="2372"/>
      <c r="CE104" s="2372"/>
      <c r="CF104" s="2372"/>
      <c r="CG104" s="2372"/>
      <c r="CH104" s="2372"/>
      <c r="CI104" s="2372"/>
      <c r="CJ104" s="2372"/>
      <c r="CK104" s="2372"/>
      <c r="CL104" s="2372"/>
      <c r="CM104" s="2372"/>
      <c r="CN104" s="2372"/>
      <c r="CO104" s="2372"/>
      <c r="CP104" s="2372"/>
      <c r="CQ104" s="2372"/>
      <c r="CR104" s="2372"/>
      <c r="CS104" s="2372"/>
      <c r="CT104" s="2372"/>
      <c r="CU104" s="2372"/>
      <c r="CV104" s="2372"/>
      <c r="CW104" s="2372"/>
      <c r="CX104" s="2372"/>
      <c r="CY104" s="2372"/>
      <c r="CZ104" s="2372"/>
      <c r="DA104" s="2372"/>
    </row>
    <row r="105" spans="1:105" ht="3" hidden="1" customHeight="1">
      <c r="A105" s="2372"/>
      <c r="B105" s="2372"/>
      <c r="U105" s="2372"/>
      <c r="V105" s="2372"/>
      <c r="W105" s="2372"/>
      <c r="X105" s="2372"/>
      <c r="Y105" s="2372"/>
      <c r="Z105" s="2372"/>
      <c r="AA105" s="2372"/>
      <c r="AB105" s="2372"/>
      <c r="AC105" s="2372"/>
      <c r="AD105" s="2372"/>
      <c r="AE105" s="2372"/>
      <c r="AF105" s="2372"/>
      <c r="AG105" s="2372"/>
      <c r="AH105" s="2372"/>
      <c r="AI105" s="2372"/>
      <c r="AJ105" s="2372"/>
      <c r="AK105" s="2372"/>
      <c r="AL105" s="2372"/>
      <c r="AM105" s="2372"/>
      <c r="AN105" s="2372"/>
      <c r="AO105" s="2372"/>
      <c r="AP105" s="2372"/>
      <c r="AQ105" s="2372"/>
      <c r="AR105" s="2372"/>
      <c r="AS105" s="2372"/>
      <c r="AT105" s="2372"/>
      <c r="AU105" s="2372"/>
      <c r="AV105" s="2372"/>
      <c r="AW105" s="2372"/>
      <c r="AX105" s="2372"/>
      <c r="AY105" s="2372"/>
      <c r="AZ105" s="2372"/>
      <c r="BA105" s="2372"/>
      <c r="BB105" s="2372"/>
      <c r="BC105" s="2372"/>
      <c r="BD105" s="2372"/>
      <c r="BE105" s="2372"/>
      <c r="BF105" s="2372"/>
      <c r="BG105" s="2372"/>
      <c r="BH105" s="2372"/>
      <c r="BI105" s="2372"/>
      <c r="BJ105" s="2372"/>
      <c r="BK105" s="2372"/>
      <c r="BL105" s="2372"/>
      <c r="BM105" s="2372"/>
      <c r="BN105" s="2372"/>
      <c r="BO105" s="2372"/>
      <c r="BP105" s="2372"/>
      <c r="BQ105" s="2372"/>
      <c r="BR105" s="2372"/>
      <c r="BS105" s="2372"/>
      <c r="BT105" s="2372"/>
      <c r="BU105" s="2372"/>
      <c r="BV105" s="2372"/>
      <c r="BW105" s="2372"/>
      <c r="BX105" s="2372"/>
      <c r="BY105" s="2372"/>
      <c r="BZ105" s="2372"/>
      <c r="CA105" s="2372"/>
      <c r="CB105" s="2372"/>
      <c r="CC105" s="2372"/>
      <c r="CD105" s="2372"/>
      <c r="CE105" s="2372"/>
      <c r="CF105" s="2372"/>
      <c r="CG105" s="2372"/>
      <c r="CH105" s="2372"/>
      <c r="CI105" s="2372"/>
      <c r="CJ105" s="2372"/>
      <c r="CK105" s="2372"/>
      <c r="CL105" s="2372"/>
      <c r="CM105" s="2372"/>
      <c r="CN105" s="2372"/>
      <c r="CO105" s="2372"/>
      <c r="CP105" s="2372"/>
      <c r="CQ105" s="2372"/>
      <c r="CR105" s="2372"/>
      <c r="CS105" s="2372"/>
      <c r="CT105" s="2372"/>
      <c r="CU105" s="2372"/>
      <c r="CV105" s="2372"/>
      <c r="CW105" s="2372"/>
      <c r="CX105" s="2372"/>
      <c r="CY105" s="2372"/>
      <c r="CZ105" s="2372"/>
      <c r="DA105" s="2372"/>
    </row>
    <row r="106" spans="1:105" ht="15" hidden="1" customHeight="1">
      <c r="A106" s="2372"/>
      <c r="B106" s="2372"/>
      <c r="U106" s="2372"/>
      <c r="V106" s="2372"/>
      <c r="W106" s="2372"/>
      <c r="X106" s="2372"/>
      <c r="Y106" s="2372"/>
      <c r="Z106" s="2372"/>
      <c r="AA106" s="2372"/>
      <c r="AB106" s="2372"/>
      <c r="AC106" s="2372"/>
      <c r="AD106" s="2372"/>
      <c r="AE106" s="2372"/>
      <c r="AF106" s="2372"/>
      <c r="AG106" s="2372"/>
      <c r="AH106" s="2372"/>
      <c r="AI106" s="2372"/>
      <c r="AJ106" s="2372"/>
      <c r="AK106" s="2372"/>
      <c r="AL106" s="2372"/>
      <c r="AM106" s="2372"/>
      <c r="AN106" s="2372"/>
      <c r="AO106" s="2372"/>
      <c r="AP106" s="2372"/>
      <c r="AQ106" s="2372"/>
      <c r="AR106" s="2372"/>
      <c r="AS106" s="2372"/>
      <c r="AT106" s="2372"/>
      <c r="AU106" s="2372"/>
      <c r="AV106" s="2372"/>
      <c r="AW106" s="2372"/>
      <c r="AX106" s="2372"/>
      <c r="AY106" s="2372"/>
      <c r="AZ106" s="2372"/>
      <c r="BA106" s="2372"/>
      <c r="BB106" s="2372"/>
      <c r="BC106" s="2372"/>
      <c r="BD106" s="2372"/>
      <c r="BE106" s="2372"/>
      <c r="BF106" s="2372"/>
      <c r="BG106" s="2372"/>
      <c r="BH106" s="2372"/>
      <c r="BI106" s="2372"/>
      <c r="BJ106" s="2372"/>
      <c r="BK106" s="2372"/>
      <c r="BL106" s="2372"/>
      <c r="BM106" s="2372"/>
      <c r="BN106" s="2372"/>
      <c r="BO106" s="2372"/>
      <c r="BP106" s="2372"/>
      <c r="BQ106" s="2372"/>
      <c r="BR106" s="2372"/>
      <c r="BS106" s="2372"/>
      <c r="BT106" s="2372"/>
      <c r="BU106" s="2372"/>
      <c r="BV106" s="2372"/>
      <c r="BW106" s="2372"/>
      <c r="BX106" s="2372"/>
      <c r="BY106" s="2372"/>
      <c r="BZ106" s="2372"/>
      <c r="CA106" s="2372"/>
      <c r="CB106" s="2372"/>
      <c r="CC106" s="2372"/>
      <c r="CD106" s="2372"/>
      <c r="CE106" s="2372"/>
      <c r="CF106" s="2372"/>
      <c r="CG106" s="2372"/>
      <c r="CH106" s="2372"/>
      <c r="CI106" s="2372"/>
      <c r="CJ106" s="2372"/>
      <c r="CK106" s="2372"/>
      <c r="CL106" s="2372"/>
      <c r="CM106" s="2372"/>
      <c r="CN106" s="2372"/>
      <c r="CO106" s="2372"/>
      <c r="CP106" s="2372"/>
      <c r="CQ106" s="2372"/>
      <c r="CR106" s="2372"/>
      <c r="CS106" s="2372"/>
      <c r="CT106" s="2372"/>
      <c r="CU106" s="2372"/>
      <c r="CV106" s="2372"/>
      <c r="CW106" s="2372"/>
      <c r="CX106" s="2372"/>
      <c r="CY106" s="2372"/>
      <c r="CZ106" s="2372"/>
      <c r="DA106" s="2372"/>
    </row>
    <row r="107" spans="1:105" ht="3" hidden="1" customHeight="1">
      <c r="A107" s="2372"/>
      <c r="B107" s="2372"/>
      <c r="U107" s="2372"/>
      <c r="V107" s="2372"/>
      <c r="W107" s="2372"/>
      <c r="X107" s="2372"/>
      <c r="Y107" s="2372"/>
      <c r="Z107" s="2372"/>
      <c r="AA107" s="2372"/>
      <c r="AB107" s="2372"/>
      <c r="AC107" s="2372"/>
      <c r="AD107" s="2372"/>
      <c r="AE107" s="2372"/>
      <c r="AF107" s="2372"/>
      <c r="AG107" s="2372"/>
      <c r="AH107" s="2372"/>
      <c r="AI107" s="2372"/>
      <c r="AJ107" s="2372"/>
      <c r="AK107" s="2372"/>
      <c r="AL107" s="2372"/>
      <c r="AM107" s="2372"/>
      <c r="AN107" s="2372"/>
      <c r="AO107" s="2372"/>
      <c r="AP107" s="2372"/>
      <c r="AQ107" s="2372"/>
      <c r="AR107" s="2372"/>
      <c r="AS107" s="2372"/>
      <c r="AT107" s="2372"/>
      <c r="AU107" s="2372"/>
      <c r="AV107" s="2372"/>
      <c r="AW107" s="2372"/>
      <c r="AX107" s="2372"/>
      <c r="AY107" s="2372"/>
      <c r="AZ107" s="2372"/>
      <c r="BA107" s="2372"/>
      <c r="BB107" s="2372"/>
      <c r="BC107" s="2372"/>
      <c r="BD107" s="2372"/>
      <c r="BE107" s="2372"/>
      <c r="BF107" s="2372"/>
      <c r="BG107" s="2372"/>
      <c r="BH107" s="2372"/>
      <c r="BI107" s="2372"/>
      <c r="BJ107" s="2372"/>
      <c r="BK107" s="2372"/>
      <c r="BL107" s="2372"/>
      <c r="BM107" s="2372"/>
      <c r="BN107" s="2372"/>
      <c r="BO107" s="2372"/>
      <c r="BP107" s="2372"/>
      <c r="BQ107" s="2372"/>
      <c r="BR107" s="2372"/>
      <c r="BS107" s="2372"/>
      <c r="BT107" s="2372"/>
      <c r="BU107" s="2372"/>
      <c r="BV107" s="2372"/>
      <c r="BW107" s="2372"/>
      <c r="BX107" s="2372"/>
      <c r="BY107" s="2372"/>
      <c r="BZ107" s="2372"/>
      <c r="CA107" s="2372"/>
      <c r="CB107" s="2372"/>
      <c r="CC107" s="2372"/>
      <c r="CD107" s="2372"/>
      <c r="CE107" s="2372"/>
      <c r="CF107" s="2372"/>
      <c r="CG107" s="2372"/>
      <c r="CH107" s="2372"/>
      <c r="CI107" s="2372"/>
      <c r="CJ107" s="2372"/>
      <c r="CK107" s="2372"/>
      <c r="CL107" s="2372"/>
      <c r="CM107" s="2372"/>
      <c r="CN107" s="2372"/>
      <c r="CO107" s="2372"/>
      <c r="CP107" s="2372"/>
      <c r="CQ107" s="2372"/>
      <c r="CR107" s="2372"/>
      <c r="CS107" s="2372"/>
      <c r="CT107" s="2372"/>
      <c r="CU107" s="2372"/>
      <c r="CV107" s="2372"/>
      <c r="CW107" s="2372"/>
      <c r="CX107" s="2372"/>
      <c r="CY107" s="2372"/>
      <c r="CZ107" s="2372"/>
      <c r="DA107" s="2372"/>
    </row>
    <row r="108" spans="1:105" ht="15" hidden="1" customHeight="1">
      <c r="A108" s="2372"/>
      <c r="B108" s="2372"/>
      <c r="U108" s="2372"/>
      <c r="V108" s="2372"/>
      <c r="W108" s="2372"/>
      <c r="X108" s="2372"/>
      <c r="Y108" s="2372"/>
      <c r="Z108" s="2372"/>
      <c r="AA108" s="2372"/>
      <c r="AB108" s="2372"/>
      <c r="AC108" s="2372"/>
      <c r="AD108" s="2372"/>
      <c r="AE108" s="2372"/>
      <c r="AF108" s="2372"/>
      <c r="AG108" s="2372"/>
      <c r="AH108" s="2372"/>
      <c r="AI108" s="2372"/>
      <c r="AJ108" s="2372"/>
      <c r="AK108" s="2372"/>
      <c r="AL108" s="2372"/>
      <c r="AM108" s="2372"/>
      <c r="AN108" s="2372"/>
      <c r="AO108" s="2372"/>
      <c r="AP108" s="2372"/>
      <c r="AQ108" s="2372"/>
      <c r="AR108" s="2372"/>
      <c r="AS108" s="2372"/>
      <c r="AT108" s="2372"/>
      <c r="AU108" s="2372"/>
      <c r="AV108" s="2372"/>
      <c r="AW108" s="2372"/>
      <c r="AX108" s="2372"/>
      <c r="AY108" s="2372"/>
      <c r="AZ108" s="2372"/>
      <c r="BA108" s="2372"/>
      <c r="BB108" s="2372"/>
      <c r="BC108" s="2372"/>
      <c r="BD108" s="2372"/>
      <c r="BE108" s="2372"/>
      <c r="BF108" s="2372"/>
      <c r="BG108" s="2372"/>
      <c r="BH108" s="2372"/>
      <c r="BI108" s="2372"/>
      <c r="BJ108" s="2372"/>
      <c r="BK108" s="2372"/>
      <c r="BL108" s="2372"/>
      <c r="BM108" s="2372"/>
      <c r="BN108" s="2372"/>
      <c r="BO108" s="2372"/>
      <c r="BP108" s="2372"/>
      <c r="BQ108" s="2372"/>
      <c r="BR108" s="2372"/>
      <c r="BS108" s="2372"/>
      <c r="BT108" s="2372"/>
      <c r="BU108" s="2372"/>
      <c r="BV108" s="2372"/>
      <c r="BW108" s="2372"/>
      <c r="BX108" s="2372"/>
      <c r="BY108" s="2372"/>
      <c r="BZ108" s="2372"/>
      <c r="CA108" s="2372"/>
      <c r="CB108" s="2372"/>
      <c r="CC108" s="2372"/>
      <c r="CD108" s="2372"/>
      <c r="CE108" s="2372"/>
      <c r="CF108" s="2372"/>
      <c r="CG108" s="2372"/>
      <c r="CH108" s="2372"/>
      <c r="CI108" s="2372"/>
      <c r="CJ108" s="2372"/>
      <c r="CK108" s="2372"/>
      <c r="CL108" s="2372"/>
      <c r="CM108" s="2372"/>
      <c r="CN108" s="2372"/>
      <c r="CO108" s="2372"/>
      <c r="CP108" s="2372"/>
      <c r="CQ108" s="2372"/>
      <c r="CR108" s="2372"/>
      <c r="CS108" s="2372"/>
      <c r="CT108" s="2372"/>
      <c r="CU108" s="2372"/>
      <c r="CV108" s="2372"/>
      <c r="CW108" s="2372"/>
      <c r="CX108" s="2372"/>
      <c r="CY108" s="2372"/>
      <c r="CZ108" s="2372"/>
      <c r="DA108" s="2372"/>
    </row>
    <row r="109" spans="1:105" ht="3" hidden="1" customHeight="1">
      <c r="A109" s="2372"/>
      <c r="B109" s="2372"/>
      <c r="U109" s="2372"/>
      <c r="V109" s="2372"/>
      <c r="W109" s="2372"/>
      <c r="X109" s="2372"/>
      <c r="Y109" s="2372"/>
      <c r="Z109" s="2372"/>
      <c r="AA109" s="2372"/>
      <c r="AB109" s="2372"/>
      <c r="AC109" s="2372"/>
      <c r="AD109" s="2372"/>
      <c r="AE109" s="2372"/>
      <c r="AF109" s="2372"/>
      <c r="AG109" s="2372"/>
      <c r="AH109" s="2372"/>
      <c r="AI109" s="2372"/>
      <c r="AJ109" s="2372"/>
      <c r="AK109" s="2372"/>
      <c r="AL109" s="2372"/>
      <c r="AM109" s="2372"/>
      <c r="AN109" s="2372"/>
      <c r="AO109" s="2372"/>
      <c r="AP109" s="2372"/>
      <c r="AQ109" s="2372"/>
      <c r="AR109" s="2372"/>
      <c r="AS109" s="2372"/>
      <c r="AT109" s="2372"/>
      <c r="AU109" s="2372"/>
      <c r="AV109" s="2372"/>
      <c r="AW109" s="2372"/>
      <c r="AX109" s="2372"/>
      <c r="AY109" s="2372"/>
      <c r="AZ109" s="2372"/>
      <c r="BA109" s="2372"/>
      <c r="BB109" s="2372"/>
      <c r="BC109" s="2372"/>
      <c r="BD109" s="2372"/>
      <c r="BE109" s="2372"/>
      <c r="BF109" s="2372"/>
      <c r="BG109" s="2372"/>
      <c r="BH109" s="2372"/>
      <c r="BI109" s="2372"/>
      <c r="BJ109" s="2372"/>
      <c r="BK109" s="2372"/>
      <c r="BL109" s="2372"/>
      <c r="BM109" s="2372"/>
      <c r="BN109" s="2372"/>
      <c r="BO109" s="2372"/>
      <c r="BP109" s="2372"/>
      <c r="BQ109" s="2372"/>
      <c r="BR109" s="2372"/>
      <c r="BS109" s="2372"/>
      <c r="BT109" s="2372"/>
      <c r="BU109" s="2372"/>
      <c r="BV109" s="2372"/>
      <c r="BW109" s="2372"/>
      <c r="BX109" s="2372"/>
      <c r="BY109" s="2372"/>
      <c r="BZ109" s="2372"/>
      <c r="CA109" s="2372"/>
      <c r="CB109" s="2372"/>
      <c r="CC109" s="2372"/>
      <c r="CD109" s="2372"/>
      <c r="CE109" s="2372"/>
      <c r="CF109" s="2372"/>
      <c r="CG109" s="2372"/>
      <c r="CH109" s="2372"/>
      <c r="CI109" s="2372"/>
      <c r="CJ109" s="2372"/>
      <c r="CK109" s="2372"/>
      <c r="CL109" s="2372"/>
      <c r="CM109" s="2372"/>
      <c r="CN109" s="2372"/>
      <c r="CO109" s="2372"/>
      <c r="CP109" s="2372"/>
      <c r="CQ109" s="2372"/>
      <c r="CR109" s="2372"/>
      <c r="CS109" s="2372"/>
      <c r="CT109" s="2372"/>
      <c r="CU109" s="2372"/>
      <c r="CV109" s="2372"/>
      <c r="CW109" s="2372"/>
      <c r="CX109" s="2372"/>
      <c r="CY109" s="2372"/>
      <c r="CZ109" s="2372"/>
      <c r="DA109" s="2372"/>
    </row>
    <row r="110" spans="1:105" ht="15" hidden="1" customHeight="1">
      <c r="A110" s="2372"/>
      <c r="B110" s="2372"/>
      <c r="U110" s="2372"/>
      <c r="V110" s="2372"/>
      <c r="W110" s="2372"/>
      <c r="X110" s="2372"/>
      <c r="Y110" s="2372"/>
      <c r="Z110" s="2372"/>
      <c r="AA110" s="2372"/>
      <c r="AB110" s="2372"/>
      <c r="AC110" s="2372"/>
      <c r="AD110" s="2372"/>
      <c r="AE110" s="2372"/>
      <c r="AF110" s="2372"/>
      <c r="AG110" s="2372"/>
      <c r="AH110" s="2372"/>
      <c r="AI110" s="2372"/>
      <c r="AJ110" s="2372"/>
      <c r="AK110" s="2372"/>
      <c r="AL110" s="2372"/>
      <c r="AM110" s="2372"/>
      <c r="AN110" s="2372"/>
      <c r="AO110" s="2372"/>
      <c r="AP110" s="2372"/>
      <c r="AQ110" s="2372"/>
      <c r="AR110" s="2372"/>
      <c r="AS110" s="2372"/>
      <c r="AT110" s="2372"/>
      <c r="AU110" s="2372"/>
      <c r="AV110" s="2372"/>
      <c r="AW110" s="2372"/>
      <c r="AX110" s="2372"/>
      <c r="AY110" s="2372"/>
      <c r="AZ110" s="2372"/>
      <c r="BA110" s="2372"/>
      <c r="BB110" s="2372"/>
      <c r="BC110" s="2372"/>
      <c r="BD110" s="2372"/>
      <c r="BE110" s="2372"/>
      <c r="BF110" s="2372"/>
      <c r="BG110" s="2372"/>
      <c r="BH110" s="2372"/>
      <c r="BI110" s="2372"/>
      <c r="BJ110" s="2372"/>
      <c r="BK110" s="2372"/>
      <c r="BL110" s="2372"/>
      <c r="BM110" s="2372"/>
      <c r="BN110" s="2372"/>
      <c r="BO110" s="2372"/>
      <c r="BP110" s="2372"/>
      <c r="BQ110" s="2372"/>
      <c r="BR110" s="2372"/>
      <c r="BS110" s="2372"/>
      <c r="BT110" s="2372"/>
      <c r="BU110" s="2372"/>
      <c r="BV110" s="2372"/>
      <c r="BW110" s="2372"/>
      <c r="BX110" s="2372"/>
      <c r="BY110" s="2372"/>
      <c r="BZ110" s="2372"/>
      <c r="CA110" s="2372"/>
      <c r="CB110" s="2372"/>
      <c r="CC110" s="2372"/>
      <c r="CD110" s="2372"/>
      <c r="CE110" s="2372"/>
      <c r="CF110" s="2372"/>
      <c r="CG110" s="2372"/>
      <c r="CH110" s="2372"/>
      <c r="CI110" s="2372"/>
      <c r="CJ110" s="2372"/>
      <c r="CK110" s="2372"/>
      <c r="CL110" s="2372"/>
      <c r="CM110" s="2372"/>
      <c r="CN110" s="2372"/>
      <c r="CO110" s="2372"/>
      <c r="CP110" s="2372"/>
      <c r="CQ110" s="2372"/>
      <c r="CR110" s="2372"/>
      <c r="CS110" s="2372"/>
      <c r="CT110" s="2372"/>
      <c r="CU110" s="2372"/>
      <c r="CV110" s="2372"/>
      <c r="CW110" s="2372"/>
      <c r="CX110" s="2372"/>
      <c r="CY110" s="2372"/>
      <c r="CZ110" s="2372"/>
      <c r="DA110" s="2372"/>
    </row>
    <row r="111" spans="1:105" ht="3" hidden="1" customHeight="1">
      <c r="A111" s="2372"/>
      <c r="B111" s="2372"/>
      <c r="C111" s="2372"/>
      <c r="D111" s="2372"/>
      <c r="E111" s="2372"/>
      <c r="F111" s="2372"/>
      <c r="G111" s="2372"/>
      <c r="H111" s="2372"/>
      <c r="I111" s="2372"/>
      <c r="J111" s="2372"/>
      <c r="K111" s="2372"/>
      <c r="L111" s="2372"/>
      <c r="M111" s="2372"/>
      <c r="N111" s="2372"/>
      <c r="O111" s="2372"/>
      <c r="P111" s="2372"/>
      <c r="Q111" s="2372"/>
      <c r="R111" s="2372"/>
      <c r="S111" s="2372"/>
      <c r="T111" s="2372"/>
      <c r="U111" s="2372"/>
      <c r="V111" s="2372"/>
      <c r="W111" s="2372"/>
      <c r="X111" s="2372"/>
      <c r="Y111" s="2372"/>
      <c r="Z111" s="2372"/>
      <c r="AA111" s="2372"/>
      <c r="AB111" s="2372"/>
      <c r="AC111" s="2372"/>
      <c r="AD111" s="2372"/>
      <c r="AE111" s="2372"/>
      <c r="AF111" s="2372"/>
      <c r="AG111" s="2372"/>
      <c r="AH111" s="2372"/>
      <c r="AI111" s="2372"/>
      <c r="AJ111" s="2372"/>
      <c r="AK111" s="2372"/>
      <c r="AL111" s="2372"/>
      <c r="AM111" s="2372"/>
      <c r="AN111" s="2372"/>
      <c r="AO111" s="2372"/>
      <c r="AP111" s="2372"/>
      <c r="AQ111" s="2372"/>
      <c r="AR111" s="2372"/>
      <c r="AS111" s="2372"/>
      <c r="AT111" s="2372"/>
      <c r="AU111" s="2372"/>
      <c r="AV111" s="2372"/>
      <c r="AW111" s="2372"/>
      <c r="AX111" s="2372"/>
      <c r="AY111" s="2372"/>
      <c r="AZ111" s="2372"/>
      <c r="BA111" s="2372"/>
      <c r="BB111" s="2372"/>
      <c r="BC111" s="2372"/>
      <c r="BD111" s="2372"/>
      <c r="BE111" s="2372"/>
      <c r="BF111" s="2372"/>
      <c r="BG111" s="2372"/>
      <c r="BH111" s="2372"/>
      <c r="BI111" s="2372"/>
      <c r="BJ111" s="2372"/>
      <c r="BK111" s="2372"/>
      <c r="BL111" s="2372"/>
      <c r="BM111" s="2372"/>
      <c r="BN111" s="2372"/>
      <c r="BO111" s="2372"/>
      <c r="BP111" s="2372"/>
      <c r="BQ111" s="2372"/>
      <c r="BR111" s="2372"/>
      <c r="BS111" s="2372"/>
      <c r="BT111" s="2372"/>
      <c r="BU111" s="2372"/>
      <c r="BV111" s="2372"/>
      <c r="BW111" s="2372"/>
      <c r="BX111" s="2372"/>
      <c r="BY111" s="2372"/>
      <c r="BZ111" s="2372"/>
      <c r="CA111" s="2372"/>
      <c r="CB111" s="2372"/>
      <c r="CC111" s="2372"/>
      <c r="CD111" s="2372"/>
      <c r="CE111" s="2372"/>
      <c r="CF111" s="2372"/>
      <c r="CG111" s="2372"/>
      <c r="CH111" s="2372"/>
      <c r="CI111" s="2372"/>
      <c r="CJ111" s="2372"/>
      <c r="CK111" s="2372"/>
      <c r="CL111" s="2372"/>
      <c r="CM111" s="2372"/>
      <c r="CN111" s="2372"/>
      <c r="CO111" s="2372"/>
      <c r="CP111" s="2372"/>
      <c r="CQ111" s="2372"/>
      <c r="CR111" s="2372"/>
      <c r="CS111" s="2372"/>
      <c r="CT111" s="2372"/>
      <c r="CU111" s="2372"/>
      <c r="CV111" s="2372"/>
      <c r="CW111" s="2372"/>
      <c r="CX111" s="2372"/>
      <c r="CY111" s="2372"/>
      <c r="CZ111" s="2372"/>
      <c r="DA111" s="2372"/>
    </row>
    <row r="112" spans="1:105" ht="15" hidden="1" customHeight="1">
      <c r="A112" s="2372"/>
      <c r="B112" s="2372"/>
      <c r="C112" s="2372"/>
      <c r="D112" s="2372"/>
      <c r="E112" s="2372"/>
      <c r="F112" s="2372"/>
      <c r="G112" s="2372"/>
      <c r="H112" s="2372"/>
      <c r="I112" s="2372"/>
      <c r="J112" s="2372"/>
      <c r="K112" s="2372"/>
      <c r="L112" s="2372"/>
      <c r="M112" s="2372"/>
      <c r="N112" s="2372"/>
      <c r="O112" s="2372"/>
      <c r="P112" s="2372"/>
      <c r="Q112" s="2372"/>
      <c r="R112" s="2372"/>
      <c r="S112" s="2372"/>
      <c r="T112" s="2372"/>
      <c r="U112" s="2372"/>
      <c r="V112" s="2372"/>
      <c r="W112" s="2372"/>
      <c r="X112" s="2372"/>
      <c r="Y112" s="2372"/>
      <c r="Z112" s="2372"/>
      <c r="AA112" s="2372"/>
      <c r="AB112" s="2372"/>
      <c r="AC112" s="2372"/>
      <c r="AD112" s="2372"/>
      <c r="AE112" s="2372"/>
      <c r="AF112" s="2372"/>
      <c r="AG112" s="2372"/>
      <c r="AH112" s="2372"/>
      <c r="AI112" s="2372"/>
      <c r="AJ112" s="2372"/>
      <c r="AK112" s="2372"/>
      <c r="AL112" s="2372"/>
      <c r="AM112" s="2372"/>
      <c r="AN112" s="2372"/>
      <c r="AO112" s="2372"/>
      <c r="AP112" s="2372"/>
      <c r="AQ112" s="2372"/>
      <c r="AR112" s="2372"/>
      <c r="AS112" s="2372"/>
      <c r="AT112" s="2372"/>
      <c r="AU112" s="2372"/>
      <c r="AV112" s="2372"/>
      <c r="AW112" s="2372"/>
      <c r="AX112" s="2372"/>
      <c r="AY112" s="2372"/>
      <c r="AZ112" s="2372"/>
      <c r="BA112" s="2372"/>
      <c r="BB112" s="2372"/>
      <c r="BC112" s="2372"/>
      <c r="BD112" s="2372"/>
      <c r="BE112" s="2372"/>
      <c r="BF112" s="2372"/>
      <c r="BG112" s="2372"/>
      <c r="BH112" s="2372"/>
      <c r="BI112" s="2372"/>
      <c r="BJ112" s="2372"/>
      <c r="BK112" s="2372"/>
      <c r="BL112" s="2372"/>
      <c r="BM112" s="2372"/>
      <c r="BN112" s="2372"/>
      <c r="BO112" s="2372"/>
      <c r="BP112" s="2372"/>
      <c r="BQ112" s="2372"/>
      <c r="BR112" s="2372"/>
      <c r="BS112" s="2372"/>
      <c r="BT112" s="2372"/>
      <c r="BU112" s="2372"/>
      <c r="BV112" s="2372"/>
      <c r="BW112" s="2372"/>
      <c r="BX112" s="2372"/>
      <c r="BY112" s="2372"/>
      <c r="BZ112" s="2372"/>
      <c r="CA112" s="2372"/>
      <c r="CB112" s="2372"/>
      <c r="CC112" s="2372"/>
      <c r="CD112" s="2372"/>
      <c r="CE112" s="2372"/>
      <c r="CF112" s="2372"/>
      <c r="CG112" s="2372"/>
      <c r="CH112" s="2372"/>
      <c r="CI112" s="2372"/>
      <c r="CJ112" s="2372"/>
      <c r="CK112" s="2372"/>
      <c r="CL112" s="2372"/>
      <c r="CM112" s="2372"/>
      <c r="CN112" s="2372"/>
      <c r="CO112" s="2372"/>
      <c r="CP112" s="2372"/>
      <c r="CQ112" s="2372"/>
      <c r="CR112" s="2372"/>
      <c r="CS112" s="2372"/>
      <c r="CT112" s="2372"/>
      <c r="CU112" s="2372"/>
      <c r="CV112" s="2372"/>
      <c r="CW112" s="2372"/>
      <c r="CX112" s="2372"/>
      <c r="CY112" s="2372"/>
      <c r="CZ112" s="2372"/>
      <c r="DA112" s="2372"/>
    </row>
    <row r="113" spans="1:105" ht="3" hidden="1" customHeight="1">
      <c r="A113" s="2372"/>
      <c r="B113" s="2372"/>
      <c r="C113" s="2372"/>
      <c r="D113" s="2372"/>
      <c r="E113" s="2372"/>
      <c r="F113" s="2372"/>
      <c r="G113" s="2372"/>
      <c r="H113" s="2372"/>
      <c r="I113" s="2372"/>
      <c r="J113" s="2372"/>
      <c r="K113" s="2372"/>
      <c r="L113" s="2372"/>
      <c r="M113" s="2372"/>
      <c r="N113" s="2372"/>
      <c r="O113" s="2372"/>
      <c r="P113" s="2372"/>
      <c r="Q113" s="2372"/>
      <c r="R113" s="2372"/>
      <c r="S113" s="2372"/>
      <c r="T113" s="2372"/>
      <c r="U113" s="2372"/>
      <c r="V113" s="2372"/>
      <c r="W113" s="2372"/>
      <c r="X113" s="2372"/>
      <c r="Y113" s="2372"/>
      <c r="Z113" s="2372"/>
      <c r="AA113" s="2372"/>
      <c r="AB113" s="2372"/>
      <c r="AC113" s="2372"/>
      <c r="AD113" s="2372"/>
      <c r="AE113" s="2372"/>
      <c r="AF113" s="2372"/>
      <c r="AG113" s="2372"/>
      <c r="AH113" s="2372"/>
      <c r="AI113" s="2372"/>
      <c r="AJ113" s="2372"/>
      <c r="AK113" s="2372"/>
      <c r="AL113" s="2372"/>
      <c r="AM113" s="2372"/>
      <c r="AN113" s="2372"/>
      <c r="AO113" s="2372"/>
      <c r="AP113" s="2372"/>
      <c r="AQ113" s="2372"/>
      <c r="AR113" s="2372"/>
      <c r="AS113" s="2372"/>
      <c r="AT113" s="2372"/>
      <c r="AU113" s="2372"/>
      <c r="AV113" s="2372"/>
      <c r="AW113" s="2372"/>
      <c r="AX113" s="2372"/>
      <c r="AY113" s="2372"/>
      <c r="AZ113" s="2372"/>
      <c r="BA113" s="2372"/>
      <c r="BB113" s="2372"/>
      <c r="BC113" s="2372"/>
      <c r="BD113" s="2372"/>
      <c r="BE113" s="2372"/>
      <c r="BF113" s="2372"/>
      <c r="BG113" s="2372"/>
      <c r="BH113" s="2372"/>
      <c r="BI113" s="2372"/>
      <c r="BJ113" s="2372"/>
      <c r="BK113" s="2372"/>
      <c r="BL113" s="2372"/>
      <c r="BM113" s="2372"/>
      <c r="BN113" s="2372"/>
      <c r="BO113" s="2372"/>
      <c r="BP113" s="2372"/>
      <c r="BQ113" s="2372"/>
      <c r="BR113" s="2372"/>
      <c r="BS113" s="2372"/>
      <c r="BT113" s="2372"/>
      <c r="BU113" s="2372"/>
      <c r="BV113" s="2372"/>
      <c r="BW113" s="2372"/>
      <c r="BX113" s="2372"/>
      <c r="BY113" s="2372"/>
      <c r="BZ113" s="2372"/>
      <c r="CA113" s="2372"/>
      <c r="CB113" s="2372"/>
      <c r="CC113" s="2372"/>
      <c r="CD113" s="2372"/>
      <c r="CE113" s="2372"/>
      <c r="CF113" s="2372"/>
      <c r="CG113" s="2372"/>
      <c r="CH113" s="2372"/>
      <c r="CI113" s="2372"/>
      <c r="CJ113" s="2372"/>
      <c r="CK113" s="2372"/>
      <c r="CL113" s="2372"/>
      <c r="CM113" s="2372"/>
      <c r="CN113" s="2372"/>
      <c r="CO113" s="2372"/>
      <c r="CP113" s="2372"/>
      <c r="CQ113" s="2372"/>
      <c r="CR113" s="2372"/>
      <c r="CS113" s="2372"/>
      <c r="CT113" s="2372"/>
      <c r="CU113" s="2372"/>
      <c r="CV113" s="2372"/>
      <c r="CW113" s="2372"/>
      <c r="CX113" s="2372"/>
      <c r="CY113" s="2372"/>
      <c r="CZ113" s="2372"/>
      <c r="DA113" s="2372"/>
    </row>
    <row r="114" spans="1:105" ht="15" hidden="1" customHeight="1">
      <c r="A114" s="2372"/>
      <c r="B114" s="2372"/>
      <c r="C114" s="2372"/>
      <c r="D114" s="2372"/>
      <c r="E114" s="2372"/>
      <c r="F114" s="2372"/>
      <c r="G114" s="2372"/>
      <c r="H114" s="2372"/>
      <c r="I114" s="2372"/>
      <c r="J114" s="2372"/>
      <c r="K114" s="2372"/>
      <c r="L114" s="2372"/>
      <c r="M114" s="2372"/>
      <c r="N114" s="2372"/>
      <c r="O114" s="2372"/>
      <c r="P114" s="2372"/>
      <c r="Q114" s="2372"/>
      <c r="R114" s="2372"/>
      <c r="S114" s="2372"/>
      <c r="T114" s="2372"/>
      <c r="U114" s="2372"/>
      <c r="V114" s="2372"/>
      <c r="W114" s="2372"/>
      <c r="X114" s="2372"/>
      <c r="Y114" s="2372"/>
      <c r="Z114" s="2372"/>
      <c r="AA114" s="2372"/>
      <c r="AB114" s="2372"/>
      <c r="AC114" s="2372"/>
      <c r="AD114" s="2372"/>
      <c r="AE114" s="2372"/>
      <c r="AF114" s="2372"/>
      <c r="AG114" s="2372"/>
      <c r="AH114" s="2372"/>
      <c r="AI114" s="2372"/>
      <c r="AJ114" s="2372"/>
      <c r="AK114" s="2372"/>
      <c r="AL114" s="2372"/>
      <c r="AM114" s="2372"/>
      <c r="AN114" s="2372"/>
      <c r="AO114" s="2372"/>
      <c r="AP114" s="2372"/>
      <c r="AQ114" s="2372"/>
      <c r="AR114" s="2372"/>
      <c r="AS114" s="2372"/>
      <c r="AT114" s="2372"/>
      <c r="AU114" s="2372"/>
      <c r="AV114" s="2372"/>
      <c r="AW114" s="2372"/>
      <c r="AX114" s="2372"/>
      <c r="AY114" s="2372"/>
      <c r="AZ114" s="2372"/>
      <c r="BA114" s="2372"/>
      <c r="BB114" s="2372"/>
      <c r="BC114" s="2372"/>
      <c r="BD114" s="2372"/>
      <c r="BE114" s="2372"/>
      <c r="BF114" s="2372"/>
      <c r="BG114" s="2372"/>
      <c r="BH114" s="2372"/>
      <c r="BI114" s="2372"/>
      <c r="BJ114" s="2372"/>
      <c r="BK114" s="2372"/>
      <c r="BL114" s="2372"/>
      <c r="BM114" s="2372"/>
      <c r="BN114" s="2372"/>
      <c r="BO114" s="2372"/>
      <c r="BP114" s="2372"/>
      <c r="BQ114" s="2372"/>
      <c r="BR114" s="2372"/>
      <c r="BS114" s="2372"/>
      <c r="BT114" s="2372"/>
      <c r="BU114" s="2372"/>
      <c r="BV114" s="2372"/>
      <c r="BW114" s="2372"/>
      <c r="BX114" s="2372"/>
      <c r="BY114" s="2372"/>
      <c r="BZ114" s="2372"/>
      <c r="CA114" s="2372"/>
      <c r="CB114" s="2372"/>
      <c r="CC114" s="2372"/>
      <c r="CD114" s="2372"/>
      <c r="CE114" s="2372"/>
      <c r="CF114" s="2372"/>
      <c r="CG114" s="2372"/>
      <c r="CH114" s="2372"/>
      <c r="CI114" s="2372"/>
      <c r="CJ114" s="2372"/>
      <c r="CK114" s="2372"/>
      <c r="CL114" s="2372"/>
      <c r="CM114" s="2372"/>
      <c r="CN114" s="2372"/>
      <c r="CO114" s="2372"/>
      <c r="CP114" s="2372"/>
      <c r="CQ114" s="2372"/>
      <c r="CR114" s="2372"/>
      <c r="CS114" s="2372"/>
      <c r="CT114" s="2372"/>
      <c r="CU114" s="2372"/>
      <c r="CV114" s="2372"/>
      <c r="CW114" s="2372"/>
      <c r="CX114" s="2372"/>
      <c r="CY114" s="2372"/>
      <c r="CZ114" s="2372"/>
      <c r="DA114" s="2372"/>
    </row>
    <row r="115" spans="1:105" ht="3" hidden="1" customHeight="1">
      <c r="A115" s="2372"/>
      <c r="B115" s="2372"/>
      <c r="C115" s="2372"/>
      <c r="D115" s="2372"/>
      <c r="E115" s="2372"/>
      <c r="F115" s="2372"/>
      <c r="G115" s="2372"/>
      <c r="H115" s="2372"/>
      <c r="I115" s="2372"/>
      <c r="J115" s="2372"/>
      <c r="K115" s="2372"/>
      <c r="L115" s="2372"/>
      <c r="M115" s="2372"/>
      <c r="N115" s="2372"/>
      <c r="O115" s="2372"/>
      <c r="P115" s="2372"/>
      <c r="Q115" s="2372"/>
      <c r="R115" s="2372"/>
      <c r="S115" s="2372"/>
      <c r="T115" s="2372"/>
      <c r="U115" s="2372"/>
      <c r="V115" s="2372"/>
      <c r="W115" s="2372"/>
      <c r="X115" s="2372"/>
      <c r="Y115" s="2372"/>
      <c r="Z115" s="2372"/>
      <c r="AA115" s="2372"/>
      <c r="AB115" s="2372"/>
      <c r="AC115" s="2372"/>
      <c r="AD115" s="2372"/>
      <c r="AE115" s="2372"/>
      <c r="AF115" s="2372"/>
      <c r="AG115" s="2372"/>
      <c r="AH115" s="2372"/>
      <c r="AI115" s="2372"/>
      <c r="AJ115" s="2372"/>
      <c r="AK115" s="2372"/>
      <c r="AL115" s="2372"/>
      <c r="AM115" s="2372"/>
      <c r="AN115" s="2372"/>
      <c r="AO115" s="2372"/>
      <c r="AP115" s="2372"/>
      <c r="AQ115" s="2372"/>
      <c r="AR115" s="2372"/>
      <c r="AS115" s="2372"/>
      <c r="AT115" s="2372"/>
      <c r="AU115" s="2372"/>
      <c r="AV115" s="2372"/>
      <c r="AW115" s="2372"/>
      <c r="AX115" s="2372"/>
      <c r="AY115" s="2372"/>
      <c r="AZ115" s="2372"/>
      <c r="BA115" s="2372"/>
      <c r="BB115" s="2372"/>
      <c r="BC115" s="2372"/>
      <c r="BD115" s="2372"/>
      <c r="BE115" s="2372"/>
      <c r="BF115" s="2372"/>
      <c r="BG115" s="2372"/>
      <c r="BH115" s="2372"/>
      <c r="BI115" s="2372"/>
      <c r="BJ115" s="2372"/>
      <c r="BK115" s="2372"/>
      <c r="BL115" s="2372"/>
      <c r="BM115" s="2372"/>
      <c r="BN115" s="2372"/>
      <c r="BO115" s="2372"/>
      <c r="BP115" s="2372"/>
      <c r="BQ115" s="2372"/>
      <c r="BR115" s="2372"/>
      <c r="BS115" s="2372"/>
      <c r="BT115" s="2372"/>
      <c r="BU115" s="2372"/>
      <c r="BV115" s="2372"/>
      <c r="BW115" s="2372"/>
      <c r="BX115" s="2372"/>
      <c r="BY115" s="2372"/>
      <c r="BZ115" s="2372"/>
      <c r="CA115" s="2372"/>
      <c r="CB115" s="2372"/>
      <c r="CC115" s="2372"/>
      <c r="CD115" s="2372"/>
      <c r="CE115" s="2372"/>
      <c r="CF115" s="2372"/>
      <c r="CG115" s="2372"/>
      <c r="CH115" s="2372"/>
      <c r="CI115" s="2372"/>
      <c r="CJ115" s="2372"/>
      <c r="CK115" s="2372"/>
      <c r="CL115" s="2372"/>
      <c r="CM115" s="2372"/>
      <c r="CN115" s="2372"/>
      <c r="CO115" s="2372"/>
      <c r="CP115" s="2372"/>
      <c r="CQ115" s="2372"/>
      <c r="CR115" s="2372"/>
      <c r="CS115" s="2372"/>
      <c r="CT115" s="2372"/>
      <c r="CU115" s="2372"/>
      <c r="CV115" s="2372"/>
      <c r="CW115" s="2372"/>
      <c r="CX115" s="2372"/>
      <c r="CY115" s="2372"/>
      <c r="CZ115" s="2372"/>
      <c r="DA115" s="2372"/>
    </row>
    <row r="116" spans="1:105" ht="15" hidden="1" customHeight="1">
      <c r="A116" s="2372"/>
      <c r="B116" s="2372"/>
      <c r="C116" s="2372"/>
      <c r="D116" s="2372"/>
      <c r="E116" s="2372"/>
      <c r="F116" s="2372"/>
      <c r="G116" s="2372"/>
      <c r="H116" s="2372"/>
      <c r="I116" s="2372"/>
      <c r="J116" s="2372"/>
      <c r="K116" s="2372"/>
      <c r="L116" s="2372"/>
      <c r="M116" s="2372"/>
      <c r="N116" s="2372"/>
      <c r="O116" s="2372"/>
      <c r="P116" s="2372"/>
      <c r="Q116" s="2372"/>
      <c r="R116" s="2372"/>
      <c r="S116" s="2372"/>
      <c r="T116" s="2372"/>
      <c r="U116" s="2372"/>
      <c r="V116" s="2372"/>
      <c r="W116" s="2372"/>
      <c r="X116" s="2372"/>
      <c r="Y116" s="2372"/>
      <c r="Z116" s="2372"/>
      <c r="AA116" s="2372"/>
      <c r="AB116" s="2372"/>
      <c r="AC116" s="2372"/>
      <c r="AD116" s="2372"/>
      <c r="AE116" s="2372"/>
      <c r="AF116" s="2372"/>
      <c r="AG116" s="2372"/>
      <c r="AH116" s="2372"/>
      <c r="AI116" s="2372"/>
      <c r="AJ116" s="2372"/>
      <c r="AK116" s="2372"/>
      <c r="AL116" s="2372"/>
      <c r="AM116" s="2372"/>
      <c r="AN116" s="2372"/>
      <c r="AO116" s="2372"/>
      <c r="AP116" s="2372"/>
      <c r="AQ116" s="2372"/>
      <c r="AR116" s="2372"/>
      <c r="AS116" s="2372"/>
      <c r="AT116" s="2372"/>
      <c r="AU116" s="2372"/>
      <c r="AV116" s="2372"/>
      <c r="AW116" s="2372"/>
      <c r="AX116" s="2372"/>
      <c r="AY116" s="2372"/>
      <c r="AZ116" s="2372"/>
      <c r="BA116" s="2372"/>
      <c r="BB116" s="2372"/>
      <c r="BC116" s="2372"/>
      <c r="BD116" s="2372"/>
      <c r="BE116" s="2372"/>
      <c r="BF116" s="2372"/>
      <c r="BG116" s="2372"/>
      <c r="BH116" s="2372"/>
      <c r="BI116" s="2372"/>
      <c r="BJ116" s="2372"/>
      <c r="BK116" s="2372"/>
      <c r="BL116" s="2372"/>
      <c r="BM116" s="2372"/>
      <c r="BN116" s="2372"/>
      <c r="BO116" s="2372"/>
      <c r="BP116" s="2372"/>
      <c r="BQ116" s="2372"/>
      <c r="BR116" s="2372"/>
      <c r="BS116" s="2372"/>
      <c r="BT116" s="2372"/>
      <c r="BU116" s="2372"/>
      <c r="BV116" s="2372"/>
      <c r="BW116" s="2372"/>
      <c r="BX116" s="2372"/>
      <c r="BY116" s="2372"/>
      <c r="BZ116" s="2372"/>
      <c r="CA116" s="2372"/>
      <c r="CB116" s="2372"/>
      <c r="CC116" s="2372"/>
      <c r="CD116" s="2372"/>
      <c r="CE116" s="2372"/>
      <c r="CF116" s="2372"/>
      <c r="CG116" s="2372"/>
      <c r="CH116" s="2372"/>
      <c r="CI116" s="2372"/>
      <c r="CJ116" s="2372"/>
      <c r="CK116" s="2372"/>
      <c r="CL116" s="2372"/>
      <c r="CM116" s="2372"/>
      <c r="CN116" s="2372"/>
      <c r="CO116" s="2372"/>
      <c r="CP116" s="2372"/>
      <c r="CQ116" s="2372"/>
      <c r="CR116" s="2372"/>
      <c r="CS116" s="2372"/>
      <c r="CT116" s="2372"/>
      <c r="CU116" s="2372"/>
      <c r="CV116" s="2372"/>
      <c r="CW116" s="2372"/>
      <c r="CX116" s="2372"/>
      <c r="CY116" s="2372"/>
      <c r="CZ116" s="2372"/>
      <c r="DA116" s="2372"/>
    </row>
    <row r="117" spans="1:105" ht="3" hidden="1" customHeight="1">
      <c r="A117" s="2372"/>
      <c r="B117" s="2372"/>
      <c r="C117" s="2372"/>
      <c r="D117" s="2372"/>
      <c r="E117" s="2372"/>
      <c r="F117" s="2372"/>
      <c r="G117" s="2372"/>
      <c r="H117" s="2372"/>
      <c r="I117" s="2372"/>
      <c r="J117" s="2372"/>
      <c r="K117" s="2372"/>
      <c r="L117" s="2372"/>
      <c r="M117" s="2372"/>
      <c r="N117" s="2372"/>
      <c r="O117" s="2372"/>
      <c r="P117" s="2372"/>
      <c r="Q117" s="2372"/>
      <c r="R117" s="2372"/>
      <c r="S117" s="2372"/>
      <c r="T117" s="2372"/>
      <c r="U117" s="2372"/>
      <c r="V117" s="2372"/>
      <c r="W117" s="2372"/>
      <c r="X117" s="2372"/>
      <c r="Y117" s="2372"/>
      <c r="Z117" s="2372"/>
      <c r="AA117" s="2372"/>
      <c r="AB117" s="2372"/>
      <c r="AC117" s="2372"/>
      <c r="AD117" s="2372"/>
      <c r="AE117" s="2372"/>
      <c r="AF117" s="2372"/>
      <c r="AG117" s="2372"/>
      <c r="AH117" s="2372"/>
      <c r="AI117" s="2372"/>
      <c r="AJ117" s="2372"/>
      <c r="AK117" s="2372"/>
      <c r="AL117" s="2372"/>
      <c r="AM117" s="2372"/>
      <c r="AN117" s="2372"/>
      <c r="AO117" s="2372"/>
      <c r="AP117" s="2372"/>
      <c r="AQ117" s="2372"/>
      <c r="AR117" s="2372"/>
      <c r="AS117" s="2372"/>
      <c r="AT117" s="2372"/>
      <c r="AU117" s="2372"/>
      <c r="AV117" s="2372"/>
      <c r="AW117" s="2372"/>
      <c r="AX117" s="2372"/>
      <c r="AY117" s="2372"/>
      <c r="AZ117" s="2372"/>
      <c r="BA117" s="2372"/>
      <c r="BB117" s="2372"/>
      <c r="BC117" s="2372"/>
      <c r="BD117" s="2372"/>
      <c r="BE117" s="2372"/>
      <c r="BF117" s="2372"/>
      <c r="BG117" s="2372"/>
      <c r="BH117" s="2372"/>
      <c r="BI117" s="2372"/>
      <c r="BJ117" s="2372"/>
      <c r="BK117" s="2372"/>
      <c r="BL117" s="2372"/>
      <c r="BM117" s="2372"/>
      <c r="BN117" s="2372"/>
      <c r="BO117" s="2372"/>
      <c r="BP117" s="2372"/>
      <c r="BQ117" s="2372"/>
      <c r="BR117" s="2372"/>
      <c r="BS117" s="2372"/>
      <c r="BT117" s="2372"/>
      <c r="BU117" s="2372"/>
      <c r="BV117" s="2372"/>
      <c r="BW117" s="2372"/>
      <c r="BX117" s="2372"/>
      <c r="BY117" s="2372"/>
      <c r="BZ117" s="2372"/>
      <c r="CA117" s="2372"/>
      <c r="CB117" s="2372"/>
      <c r="CC117" s="2372"/>
      <c r="CD117" s="2372"/>
      <c r="CE117" s="2372"/>
      <c r="CF117" s="2372"/>
      <c r="CG117" s="2372"/>
      <c r="CH117" s="2372"/>
      <c r="CI117" s="2372"/>
      <c r="CJ117" s="2372"/>
      <c r="CK117" s="2372"/>
      <c r="CL117" s="2372"/>
      <c r="CM117" s="2372"/>
      <c r="CN117" s="2372"/>
      <c r="CO117" s="2372"/>
      <c r="CP117" s="2372"/>
      <c r="CQ117" s="2372"/>
      <c r="CR117" s="2372"/>
      <c r="CS117" s="2372"/>
      <c r="CT117" s="2372"/>
      <c r="CU117" s="2372"/>
      <c r="CV117" s="2372"/>
      <c r="CW117" s="2372"/>
      <c r="CX117" s="2372"/>
      <c r="CY117" s="2372"/>
      <c r="CZ117" s="2372"/>
      <c r="DA117" s="2372"/>
    </row>
    <row r="118" spans="1:105" ht="15" hidden="1" customHeight="1">
      <c r="A118" s="2372"/>
      <c r="B118" s="2372"/>
      <c r="C118" s="2372"/>
      <c r="D118" s="2372"/>
      <c r="E118" s="2372"/>
      <c r="F118" s="2372"/>
      <c r="G118" s="2372"/>
      <c r="H118" s="2372"/>
      <c r="I118" s="2372"/>
      <c r="J118" s="2372"/>
      <c r="K118" s="2372"/>
      <c r="L118" s="2372"/>
      <c r="M118" s="2372"/>
      <c r="N118" s="2372"/>
      <c r="O118" s="2372"/>
      <c r="P118" s="2372"/>
      <c r="Q118" s="2372"/>
      <c r="R118" s="2372"/>
      <c r="S118" s="2372"/>
      <c r="T118" s="2372"/>
      <c r="U118" s="2372"/>
      <c r="V118" s="2372"/>
      <c r="W118" s="2372"/>
      <c r="X118" s="2372"/>
      <c r="Y118" s="2372"/>
      <c r="Z118" s="2372"/>
      <c r="AA118" s="2372"/>
      <c r="AB118" s="2372"/>
      <c r="AC118" s="2372"/>
      <c r="AD118" s="2372"/>
      <c r="AE118" s="2372"/>
      <c r="AF118" s="2372"/>
      <c r="AG118" s="2372"/>
      <c r="AH118" s="2372"/>
      <c r="AI118" s="2372"/>
      <c r="AJ118" s="2372"/>
      <c r="AK118" s="2372"/>
      <c r="AL118" s="2372"/>
      <c r="AM118" s="2372"/>
      <c r="AN118" s="2372"/>
      <c r="AO118" s="2372"/>
      <c r="AP118" s="2372"/>
      <c r="AQ118" s="2372"/>
      <c r="AR118" s="2372"/>
      <c r="AS118" s="2372"/>
      <c r="AT118" s="2372"/>
      <c r="AU118" s="2372"/>
      <c r="AV118" s="2372"/>
      <c r="AW118" s="2372"/>
      <c r="AX118" s="2372"/>
      <c r="AY118" s="2372"/>
      <c r="AZ118" s="2372"/>
      <c r="BA118" s="2372"/>
      <c r="BB118" s="2372"/>
      <c r="BC118" s="2372"/>
      <c r="BD118" s="2372"/>
      <c r="BE118" s="2372"/>
      <c r="BF118" s="2372"/>
      <c r="BG118" s="2372"/>
      <c r="BH118" s="2372"/>
      <c r="BI118" s="2372"/>
      <c r="BJ118" s="2372"/>
      <c r="BK118" s="2372"/>
      <c r="BL118" s="2372"/>
      <c r="BM118" s="2372"/>
      <c r="BN118" s="2372"/>
      <c r="BO118" s="2372"/>
      <c r="BP118" s="2372"/>
      <c r="BQ118" s="2372"/>
      <c r="BR118" s="2372"/>
      <c r="BS118" s="2372"/>
      <c r="BT118" s="2372"/>
      <c r="BU118" s="2372"/>
      <c r="BV118" s="2372"/>
      <c r="BW118" s="2372"/>
      <c r="BX118" s="2372"/>
      <c r="BY118" s="2372"/>
      <c r="BZ118" s="2372"/>
      <c r="CA118" s="2372"/>
      <c r="CB118" s="2372"/>
      <c r="CC118" s="2372"/>
      <c r="CD118" s="2372"/>
      <c r="CE118" s="2372"/>
      <c r="CF118" s="2372"/>
      <c r="CG118" s="2372"/>
      <c r="CH118" s="2372"/>
      <c r="CI118" s="2372"/>
      <c r="CJ118" s="2372"/>
      <c r="CK118" s="2372"/>
      <c r="CL118" s="2372"/>
      <c r="CM118" s="2372"/>
      <c r="CN118" s="2372"/>
      <c r="CO118" s="2372"/>
      <c r="CP118" s="2372"/>
      <c r="CQ118" s="2372"/>
      <c r="CR118" s="2372"/>
      <c r="CS118" s="2372"/>
      <c r="CT118" s="2372"/>
      <c r="CU118" s="2372"/>
      <c r="CV118" s="2372"/>
      <c r="CW118" s="2372"/>
      <c r="CX118" s="2372"/>
      <c r="CY118" s="2372"/>
      <c r="CZ118" s="2372"/>
      <c r="DA118" s="2372"/>
    </row>
    <row r="119" spans="1:105" ht="3" hidden="1" customHeight="1">
      <c r="A119" s="2372"/>
      <c r="B119" s="2372"/>
      <c r="C119" s="2372"/>
      <c r="D119" s="2372"/>
      <c r="E119" s="2372"/>
      <c r="F119" s="2372"/>
      <c r="G119" s="2372"/>
      <c r="H119" s="2372"/>
      <c r="I119" s="2372"/>
      <c r="J119" s="2372"/>
      <c r="K119" s="2372"/>
      <c r="L119" s="2372"/>
      <c r="M119" s="2372"/>
      <c r="N119" s="2372"/>
      <c r="O119" s="2372"/>
      <c r="P119" s="2372"/>
      <c r="Q119" s="2372"/>
      <c r="R119" s="2372"/>
      <c r="S119" s="2372"/>
      <c r="T119" s="2372"/>
      <c r="U119" s="2372"/>
      <c r="V119" s="2372"/>
      <c r="W119" s="2372"/>
      <c r="X119" s="2372"/>
      <c r="Y119" s="2372"/>
      <c r="Z119" s="2372"/>
      <c r="AA119" s="2372"/>
      <c r="AB119" s="2372"/>
      <c r="AC119" s="2372"/>
      <c r="AD119" s="2372"/>
      <c r="AE119" s="2372"/>
      <c r="AF119" s="2372"/>
      <c r="AG119" s="2372"/>
      <c r="AH119" s="2372"/>
      <c r="AI119" s="2372"/>
      <c r="AJ119" s="2372"/>
      <c r="AK119" s="2372"/>
      <c r="AL119" s="2372"/>
      <c r="AM119" s="2372"/>
      <c r="AN119" s="2372"/>
      <c r="AO119" s="2372"/>
      <c r="AP119" s="2372"/>
      <c r="AQ119" s="2372"/>
      <c r="AR119" s="2372"/>
      <c r="AS119" s="2372"/>
      <c r="AT119" s="2372"/>
      <c r="AU119" s="2372"/>
      <c r="AV119" s="2372"/>
      <c r="AW119" s="2372"/>
      <c r="AX119" s="2372"/>
      <c r="AY119" s="2372"/>
      <c r="AZ119" s="2372"/>
      <c r="BA119" s="2372"/>
      <c r="BB119" s="2372"/>
      <c r="BC119" s="2372"/>
      <c r="BD119" s="2372"/>
      <c r="BE119" s="2372"/>
      <c r="BF119" s="2372"/>
      <c r="BG119" s="2372"/>
      <c r="BH119" s="2372"/>
      <c r="BI119" s="2372"/>
      <c r="BJ119" s="2372"/>
      <c r="BK119" s="2372"/>
      <c r="BL119" s="2372"/>
      <c r="BM119" s="2372"/>
      <c r="BN119" s="2372"/>
      <c r="BO119" s="2372"/>
      <c r="BP119" s="2372"/>
      <c r="BQ119" s="2372"/>
      <c r="BR119" s="2372"/>
      <c r="BS119" s="2372"/>
      <c r="BT119" s="2372"/>
      <c r="BU119" s="2372"/>
      <c r="BV119" s="2372"/>
      <c r="BW119" s="2372"/>
      <c r="BX119" s="2372"/>
      <c r="BY119" s="2372"/>
      <c r="BZ119" s="2372"/>
      <c r="CA119" s="2372"/>
      <c r="CB119" s="2372"/>
      <c r="CC119" s="2372"/>
      <c r="CD119" s="2372"/>
      <c r="CE119" s="2372"/>
      <c r="CF119" s="2372"/>
      <c r="CG119" s="2372"/>
      <c r="CH119" s="2372"/>
      <c r="CI119" s="2372"/>
      <c r="CJ119" s="2372"/>
      <c r="CK119" s="2372"/>
      <c r="CL119" s="2372"/>
      <c r="CM119" s="2372"/>
      <c r="CN119" s="2372"/>
      <c r="CO119" s="2372"/>
      <c r="CP119" s="2372"/>
      <c r="CQ119" s="2372"/>
      <c r="CR119" s="2372"/>
      <c r="CS119" s="2372"/>
      <c r="CT119" s="2372"/>
      <c r="CU119" s="2372"/>
      <c r="CV119" s="2372"/>
      <c r="CW119" s="2372"/>
      <c r="CX119" s="2372"/>
      <c r="CY119" s="2372"/>
      <c r="CZ119" s="2372"/>
      <c r="DA119" s="2372"/>
    </row>
    <row r="120" spans="1:105" ht="15" hidden="1" customHeight="1">
      <c r="A120" s="2372"/>
      <c r="B120" s="2372"/>
      <c r="C120" s="2372"/>
      <c r="D120" s="2372"/>
      <c r="E120" s="2372"/>
      <c r="F120" s="2372"/>
      <c r="G120" s="2372"/>
      <c r="H120" s="2372"/>
      <c r="I120" s="2372"/>
      <c r="J120" s="2372"/>
      <c r="K120" s="2372"/>
      <c r="L120" s="2372"/>
      <c r="M120" s="2372"/>
      <c r="N120" s="2372"/>
      <c r="O120" s="2372"/>
      <c r="P120" s="2372"/>
      <c r="Q120" s="2372"/>
      <c r="R120" s="2372"/>
      <c r="S120" s="2372"/>
      <c r="T120" s="2372"/>
      <c r="U120" s="2372"/>
      <c r="V120" s="2372"/>
      <c r="W120" s="2372"/>
      <c r="X120" s="2372"/>
      <c r="Y120" s="2372"/>
      <c r="Z120" s="2372"/>
      <c r="AA120" s="2372"/>
      <c r="AB120" s="2372"/>
      <c r="AC120" s="2372"/>
      <c r="AD120" s="2372"/>
      <c r="AE120" s="2372"/>
      <c r="AF120" s="2372"/>
      <c r="AG120" s="2372"/>
      <c r="AH120" s="2372"/>
      <c r="AI120" s="2372"/>
      <c r="AJ120" s="2372"/>
      <c r="AK120" s="2372"/>
      <c r="AL120" s="2372"/>
      <c r="AM120" s="2372"/>
      <c r="AN120" s="2372"/>
      <c r="AO120" s="2372"/>
      <c r="AP120" s="2372"/>
      <c r="AQ120" s="2372"/>
      <c r="AR120" s="2372"/>
      <c r="AS120" s="2372"/>
      <c r="AT120" s="2372"/>
      <c r="AU120" s="2372"/>
      <c r="AV120" s="2372"/>
      <c r="AW120" s="2372"/>
      <c r="AX120" s="2372"/>
      <c r="AY120" s="2372"/>
      <c r="AZ120" s="2372"/>
      <c r="BA120" s="2372"/>
      <c r="BB120" s="2372"/>
      <c r="BC120" s="2372"/>
      <c r="BD120" s="2372"/>
      <c r="BE120" s="2372"/>
      <c r="BF120" s="2372"/>
      <c r="BG120" s="2372"/>
      <c r="BH120" s="2372"/>
      <c r="BI120" s="2372"/>
      <c r="BJ120" s="2372"/>
      <c r="BK120" s="2372"/>
      <c r="BL120" s="2372"/>
      <c r="BM120" s="2372"/>
      <c r="BN120" s="2372"/>
      <c r="BO120" s="2372"/>
      <c r="BP120" s="2372"/>
      <c r="BQ120" s="2372"/>
      <c r="BR120" s="2372"/>
      <c r="BS120" s="2372"/>
      <c r="BT120" s="2372"/>
      <c r="BU120" s="2372"/>
      <c r="BV120" s="2372"/>
      <c r="BW120" s="2372"/>
      <c r="BX120" s="2372"/>
      <c r="BY120" s="2372"/>
      <c r="BZ120" s="2372"/>
      <c r="CA120" s="2372"/>
      <c r="CB120" s="2372"/>
      <c r="CC120" s="2372"/>
      <c r="CD120" s="2372"/>
      <c r="CE120" s="2372"/>
      <c r="CF120" s="2372"/>
      <c r="CG120" s="2372"/>
      <c r="CH120" s="2372"/>
      <c r="CI120" s="2372"/>
      <c r="CJ120" s="2372"/>
      <c r="CK120" s="2372"/>
      <c r="CL120" s="2372"/>
      <c r="CM120" s="2372"/>
      <c r="CN120" s="2372"/>
      <c r="CO120" s="2372"/>
      <c r="CP120" s="2372"/>
      <c r="CQ120" s="2372"/>
      <c r="CR120" s="2372"/>
      <c r="CS120" s="2372"/>
      <c r="CT120" s="2372"/>
      <c r="CU120" s="2372"/>
      <c r="CV120" s="2372"/>
      <c r="CW120" s="2372"/>
      <c r="CX120" s="2372"/>
      <c r="CY120" s="2372"/>
      <c r="CZ120" s="2372"/>
      <c r="DA120" s="2372"/>
    </row>
    <row r="121" spans="1:105" ht="3" hidden="1" customHeight="1">
      <c r="A121" s="2372"/>
      <c r="B121" s="2372"/>
      <c r="C121" s="2372"/>
      <c r="D121" s="2372"/>
      <c r="E121" s="2372"/>
      <c r="F121" s="2372"/>
      <c r="G121" s="2372"/>
      <c r="H121" s="2372"/>
      <c r="I121" s="2372"/>
      <c r="J121" s="2372"/>
      <c r="K121" s="2372"/>
      <c r="L121" s="2372"/>
      <c r="M121" s="2372"/>
      <c r="N121" s="2372"/>
      <c r="O121" s="2372"/>
      <c r="P121" s="2372"/>
      <c r="Q121" s="2372"/>
      <c r="R121" s="2372"/>
      <c r="S121" s="2372"/>
      <c r="T121" s="2372"/>
      <c r="U121" s="2372"/>
      <c r="V121" s="2372"/>
      <c r="W121" s="2372"/>
      <c r="X121" s="2372"/>
      <c r="Y121" s="2372"/>
      <c r="Z121" s="2372"/>
      <c r="AA121" s="2372"/>
      <c r="AB121" s="2372"/>
      <c r="AC121" s="2372"/>
      <c r="AD121" s="2372"/>
      <c r="AE121" s="2372"/>
      <c r="AF121" s="2372"/>
      <c r="AG121" s="2372"/>
      <c r="AH121" s="2372"/>
      <c r="AI121" s="2372"/>
      <c r="AJ121" s="2372"/>
      <c r="AK121" s="2372"/>
      <c r="AL121" s="2372"/>
      <c r="AM121" s="2372"/>
      <c r="AN121" s="2372"/>
      <c r="AO121" s="2372"/>
      <c r="AP121" s="2372"/>
      <c r="AQ121" s="2372"/>
      <c r="AR121" s="2372"/>
      <c r="AS121" s="2372"/>
      <c r="AT121" s="2372"/>
      <c r="AU121" s="2372"/>
      <c r="AV121" s="2372"/>
      <c r="AW121" s="2372"/>
      <c r="AX121" s="2372"/>
      <c r="AY121" s="2372"/>
      <c r="AZ121" s="2372"/>
      <c r="BA121" s="2372"/>
      <c r="BB121" s="2372"/>
      <c r="BC121" s="2372"/>
      <c r="BD121" s="2372"/>
      <c r="BE121" s="2372"/>
      <c r="BF121" s="2372"/>
      <c r="BG121" s="2372"/>
      <c r="BH121" s="2372"/>
      <c r="BI121" s="2372"/>
      <c r="BJ121" s="2372"/>
      <c r="BK121" s="2372"/>
      <c r="BL121" s="2372"/>
      <c r="BM121" s="2372"/>
      <c r="BN121" s="2372"/>
      <c r="BO121" s="2372"/>
      <c r="BP121" s="2372"/>
      <c r="BQ121" s="2372"/>
      <c r="BR121" s="2372"/>
      <c r="BS121" s="2372"/>
      <c r="BT121" s="2372"/>
      <c r="BU121" s="2372"/>
      <c r="BV121" s="2372"/>
      <c r="BW121" s="2372"/>
      <c r="BX121" s="2372"/>
      <c r="BY121" s="2372"/>
      <c r="BZ121" s="2372"/>
      <c r="CA121" s="2372"/>
      <c r="CB121" s="2372"/>
      <c r="CC121" s="2372"/>
      <c r="CD121" s="2372"/>
      <c r="CE121" s="2372"/>
      <c r="CF121" s="2372"/>
      <c r="CG121" s="2372"/>
      <c r="CH121" s="2372"/>
      <c r="CI121" s="2372"/>
      <c r="CJ121" s="2372"/>
      <c r="CK121" s="2372"/>
      <c r="CL121" s="2372"/>
      <c r="CM121" s="2372"/>
      <c r="CN121" s="2372"/>
      <c r="CO121" s="2372"/>
      <c r="CP121" s="2372"/>
      <c r="CQ121" s="2372"/>
      <c r="CR121" s="2372"/>
      <c r="CS121" s="2372"/>
      <c r="CT121" s="2372"/>
      <c r="CU121" s="2372"/>
      <c r="CV121" s="2372"/>
      <c r="CW121" s="2372"/>
      <c r="CX121" s="2372"/>
      <c r="CY121" s="2372"/>
      <c r="CZ121" s="2372"/>
      <c r="DA121" s="2372"/>
    </row>
    <row r="122" spans="1:105" ht="15" hidden="1" customHeight="1">
      <c r="A122" s="2372"/>
      <c r="B122" s="2372"/>
      <c r="U122" s="2372"/>
      <c r="V122" s="2372"/>
      <c r="W122" s="2372"/>
      <c r="X122" s="2372"/>
      <c r="Y122" s="2372"/>
      <c r="Z122" s="2372"/>
      <c r="AA122" s="2372"/>
      <c r="AB122" s="2372"/>
      <c r="AC122" s="2372"/>
      <c r="AD122" s="2372"/>
      <c r="AE122" s="2372"/>
      <c r="AF122" s="2372"/>
      <c r="AG122" s="2372"/>
      <c r="AH122" s="2372"/>
      <c r="AI122" s="2372"/>
      <c r="AJ122" s="2372"/>
      <c r="AK122" s="2372"/>
      <c r="AL122" s="2372"/>
      <c r="AM122" s="2372"/>
      <c r="AN122" s="2372"/>
      <c r="AO122" s="2372"/>
      <c r="AP122" s="2372"/>
      <c r="AQ122" s="2372"/>
      <c r="AR122" s="2372"/>
      <c r="AS122" s="2372"/>
      <c r="AT122" s="2372"/>
      <c r="AU122" s="2372"/>
      <c r="AV122" s="2372"/>
      <c r="AW122" s="2372"/>
      <c r="AX122" s="2372"/>
      <c r="AY122" s="2372"/>
      <c r="AZ122" s="2372"/>
      <c r="BA122" s="2372"/>
      <c r="BB122" s="2372"/>
      <c r="BC122" s="2372"/>
      <c r="BD122" s="2372"/>
      <c r="BE122" s="2372"/>
      <c r="BF122" s="2372"/>
      <c r="BG122" s="2372"/>
      <c r="BH122" s="2372"/>
      <c r="BI122" s="2372"/>
      <c r="BJ122" s="2372"/>
      <c r="BK122" s="2372"/>
      <c r="BL122" s="2372"/>
      <c r="BM122" s="2372"/>
      <c r="BN122" s="2372"/>
      <c r="BO122" s="2372"/>
      <c r="BP122" s="2372"/>
      <c r="BQ122" s="2372"/>
      <c r="BR122" s="2372"/>
      <c r="BS122" s="2372"/>
      <c r="BT122" s="2372"/>
      <c r="BU122" s="2372"/>
      <c r="BV122" s="2372"/>
      <c r="BW122" s="2372"/>
      <c r="BX122" s="2372"/>
      <c r="BY122" s="2372"/>
      <c r="BZ122" s="2372"/>
      <c r="CA122" s="2372"/>
      <c r="CB122" s="2372"/>
      <c r="CC122" s="2372"/>
      <c r="CD122" s="2372"/>
      <c r="CE122" s="2372"/>
      <c r="CF122" s="2372"/>
      <c r="CG122" s="2372"/>
      <c r="CH122" s="2372"/>
      <c r="CI122" s="2372"/>
      <c r="CJ122" s="2372"/>
      <c r="CK122" s="2372"/>
      <c r="CL122" s="2372"/>
      <c r="CM122" s="2372"/>
      <c r="CN122" s="2372"/>
      <c r="CO122" s="2372"/>
      <c r="CP122" s="2372"/>
      <c r="CQ122" s="2372"/>
      <c r="CR122" s="2372"/>
      <c r="CS122" s="2372"/>
      <c r="CT122" s="2372"/>
      <c r="CU122" s="2372"/>
      <c r="CV122" s="2372"/>
      <c r="CW122" s="2372"/>
      <c r="CX122" s="2372"/>
      <c r="CY122" s="2372"/>
      <c r="CZ122" s="2372"/>
      <c r="DA122" s="2372"/>
    </row>
    <row r="123" spans="1:105" ht="3" hidden="1" customHeight="1">
      <c r="A123" s="2372"/>
      <c r="B123" s="2372"/>
      <c r="U123" s="2372"/>
      <c r="V123" s="2372"/>
      <c r="W123" s="2372"/>
      <c r="X123" s="2372"/>
      <c r="Y123" s="2372"/>
      <c r="Z123" s="2372"/>
      <c r="AA123" s="2372"/>
      <c r="AB123" s="2372"/>
      <c r="AC123" s="2372"/>
      <c r="AD123" s="2372"/>
      <c r="AE123" s="2372"/>
      <c r="AF123" s="2372"/>
      <c r="AG123" s="2372"/>
      <c r="AH123" s="2372"/>
      <c r="AI123" s="2372"/>
      <c r="AJ123" s="2372"/>
      <c r="AK123" s="2372"/>
      <c r="AL123" s="2372"/>
      <c r="AM123" s="2372"/>
      <c r="AN123" s="2372"/>
      <c r="AO123" s="2372"/>
      <c r="AP123" s="2372"/>
      <c r="AQ123" s="2372"/>
      <c r="AR123" s="2372"/>
      <c r="AS123" s="2372"/>
      <c r="AT123" s="2372"/>
      <c r="AU123" s="2372"/>
      <c r="AV123" s="2372"/>
      <c r="AW123" s="2372"/>
      <c r="AX123" s="2372"/>
      <c r="AY123" s="2372"/>
      <c r="AZ123" s="2372"/>
      <c r="BA123" s="2372"/>
      <c r="BB123" s="2372"/>
      <c r="BC123" s="2372"/>
      <c r="BD123" s="2372"/>
      <c r="BE123" s="2372"/>
      <c r="BF123" s="2372"/>
      <c r="BG123" s="2372"/>
      <c r="BH123" s="2372"/>
      <c r="BI123" s="2372"/>
      <c r="BJ123" s="2372"/>
      <c r="BK123" s="2372"/>
      <c r="BL123" s="2372"/>
      <c r="BM123" s="2372"/>
      <c r="BN123" s="2372"/>
      <c r="BO123" s="2372"/>
      <c r="BP123" s="2372"/>
      <c r="BQ123" s="2372"/>
      <c r="BR123" s="2372"/>
      <c r="BS123" s="2372"/>
      <c r="BT123" s="2372"/>
      <c r="BU123" s="2372"/>
      <c r="BV123" s="2372"/>
      <c r="BW123" s="2372"/>
      <c r="BX123" s="2372"/>
      <c r="BY123" s="2372"/>
      <c r="BZ123" s="2372"/>
      <c r="CA123" s="2372"/>
      <c r="CB123" s="2372"/>
      <c r="CC123" s="2372"/>
      <c r="CD123" s="2372"/>
      <c r="CE123" s="2372"/>
      <c r="CF123" s="2372"/>
      <c r="CG123" s="2372"/>
      <c r="CH123" s="2372"/>
      <c r="CI123" s="2372"/>
      <c r="CJ123" s="2372"/>
      <c r="CK123" s="2372"/>
      <c r="CL123" s="2372"/>
      <c r="CM123" s="2372"/>
      <c r="CN123" s="2372"/>
      <c r="CO123" s="2372"/>
      <c r="CP123" s="2372"/>
      <c r="CQ123" s="2372"/>
      <c r="CR123" s="2372"/>
      <c r="CS123" s="2372"/>
      <c r="CT123" s="2372"/>
      <c r="CU123" s="2372"/>
      <c r="CV123" s="2372"/>
      <c r="CW123" s="2372"/>
      <c r="CX123" s="2372"/>
      <c r="CY123" s="2372"/>
      <c r="CZ123" s="2372"/>
      <c r="DA123" s="2372"/>
    </row>
    <row r="124" spans="1:105" ht="15" hidden="1" customHeight="1">
      <c r="A124" s="2372"/>
      <c r="B124" s="2372"/>
      <c r="U124" s="2372"/>
      <c r="V124" s="2372"/>
      <c r="W124" s="2372"/>
      <c r="X124" s="2372"/>
      <c r="Y124" s="2372"/>
      <c r="Z124" s="2372"/>
      <c r="AA124" s="2372"/>
      <c r="AB124" s="2372"/>
      <c r="AC124" s="2372"/>
      <c r="AD124" s="2372"/>
      <c r="AE124" s="2372"/>
      <c r="AF124" s="2372"/>
      <c r="AG124" s="2372"/>
      <c r="AH124" s="2372"/>
      <c r="AI124" s="2372"/>
      <c r="AJ124" s="2372"/>
      <c r="AK124" s="2372"/>
      <c r="AL124" s="2372"/>
      <c r="AM124" s="2372"/>
      <c r="AN124" s="2372"/>
      <c r="AO124" s="2372"/>
      <c r="AP124" s="2372"/>
      <c r="AQ124" s="2372"/>
      <c r="AR124" s="2372"/>
      <c r="AS124" s="2372"/>
      <c r="AT124" s="2372"/>
      <c r="AU124" s="2372"/>
      <c r="AV124" s="2372"/>
      <c r="AW124" s="2372"/>
      <c r="AX124" s="2372"/>
      <c r="AY124" s="2372"/>
      <c r="AZ124" s="2372"/>
      <c r="BA124" s="2372"/>
      <c r="BB124" s="2372"/>
      <c r="BC124" s="2372"/>
      <c r="BD124" s="2372"/>
      <c r="BE124" s="2372"/>
      <c r="BF124" s="2372"/>
      <c r="BG124" s="2372"/>
      <c r="BH124" s="2372"/>
      <c r="BI124" s="2372"/>
      <c r="BJ124" s="2372"/>
      <c r="BK124" s="2372"/>
      <c r="BL124" s="2372"/>
      <c r="BM124" s="2372"/>
      <c r="BN124" s="2372"/>
      <c r="BO124" s="2372"/>
      <c r="BP124" s="2372"/>
      <c r="BQ124" s="2372"/>
      <c r="BR124" s="2372"/>
      <c r="BS124" s="2372"/>
      <c r="BT124" s="2372"/>
      <c r="BU124" s="2372"/>
      <c r="BV124" s="2372"/>
      <c r="BW124" s="2372"/>
      <c r="BX124" s="2372"/>
      <c r="BY124" s="2372"/>
      <c r="BZ124" s="2372"/>
      <c r="CA124" s="2372"/>
      <c r="CB124" s="2372"/>
      <c r="CC124" s="2372"/>
      <c r="CD124" s="2372"/>
      <c r="CE124" s="2372"/>
      <c r="CF124" s="2372"/>
      <c r="CG124" s="2372"/>
      <c r="CH124" s="2372"/>
      <c r="CI124" s="2372"/>
      <c r="CJ124" s="2372"/>
      <c r="CK124" s="2372"/>
      <c r="CL124" s="2372"/>
      <c r="CM124" s="2372"/>
      <c r="CN124" s="2372"/>
      <c r="CO124" s="2372"/>
      <c r="CP124" s="2372"/>
      <c r="CQ124" s="2372"/>
      <c r="CR124" s="2372"/>
      <c r="CS124" s="2372"/>
      <c r="CT124" s="2372"/>
      <c r="CU124" s="2372"/>
      <c r="CV124" s="2372"/>
      <c r="CW124" s="2372"/>
      <c r="CX124" s="2372"/>
      <c r="CY124" s="2372"/>
      <c r="CZ124" s="2372"/>
      <c r="DA124" s="2372"/>
    </row>
    <row r="125" spans="1:105" ht="3" hidden="1" customHeight="1">
      <c r="A125" s="2372"/>
      <c r="B125" s="2372"/>
      <c r="U125" s="2372"/>
      <c r="V125" s="2372"/>
      <c r="W125" s="2372"/>
      <c r="X125" s="2372"/>
      <c r="Y125" s="2372"/>
      <c r="Z125" s="2372"/>
      <c r="AA125" s="2372"/>
      <c r="AB125" s="2372"/>
      <c r="AC125" s="2372"/>
      <c r="AD125" s="2372"/>
      <c r="AE125" s="2372"/>
      <c r="AF125" s="2372"/>
      <c r="AG125" s="2372"/>
      <c r="AH125" s="2372"/>
      <c r="AI125" s="2372"/>
      <c r="AJ125" s="2372"/>
      <c r="AK125" s="2372"/>
      <c r="AL125" s="2372"/>
      <c r="AM125" s="2372"/>
      <c r="AN125" s="2372"/>
      <c r="AO125" s="2372"/>
      <c r="AP125" s="2372"/>
      <c r="AQ125" s="2372"/>
      <c r="AR125" s="2372"/>
      <c r="AS125" s="2372"/>
      <c r="AT125" s="2372"/>
      <c r="AU125" s="2372"/>
      <c r="AV125" s="2372"/>
      <c r="AW125" s="2372"/>
      <c r="AX125" s="2372"/>
      <c r="AY125" s="2372"/>
      <c r="AZ125" s="2372"/>
      <c r="BA125" s="2372"/>
      <c r="BB125" s="2372"/>
      <c r="BC125" s="2372"/>
      <c r="BD125" s="2372"/>
      <c r="BE125" s="2372"/>
      <c r="BF125" s="2372"/>
      <c r="BG125" s="2372"/>
      <c r="BH125" s="2372"/>
      <c r="BI125" s="2372"/>
      <c r="BJ125" s="2372"/>
      <c r="BK125" s="2372"/>
      <c r="BL125" s="2372"/>
      <c r="BM125" s="2372"/>
      <c r="BN125" s="2372"/>
      <c r="BO125" s="2372"/>
      <c r="BP125" s="2372"/>
      <c r="BQ125" s="2372"/>
      <c r="BR125" s="2372"/>
      <c r="BS125" s="2372"/>
      <c r="BT125" s="2372"/>
      <c r="BU125" s="2372"/>
      <c r="BV125" s="2372"/>
      <c r="BW125" s="2372"/>
      <c r="BX125" s="2372"/>
      <c r="BY125" s="2372"/>
      <c r="BZ125" s="2372"/>
      <c r="CA125" s="2372"/>
      <c r="CB125" s="2372"/>
      <c r="CC125" s="2372"/>
      <c r="CD125" s="2372"/>
      <c r="CE125" s="2372"/>
      <c r="CF125" s="2372"/>
      <c r="CG125" s="2372"/>
      <c r="CH125" s="2372"/>
      <c r="CI125" s="2372"/>
      <c r="CJ125" s="2372"/>
      <c r="CK125" s="2372"/>
      <c r="CL125" s="2372"/>
      <c r="CM125" s="2372"/>
      <c r="CN125" s="2372"/>
      <c r="CO125" s="2372"/>
      <c r="CP125" s="2372"/>
      <c r="CQ125" s="2372"/>
      <c r="CR125" s="2372"/>
      <c r="CS125" s="2372"/>
      <c r="CT125" s="2372"/>
      <c r="CU125" s="2372"/>
      <c r="CV125" s="2372"/>
      <c r="CW125" s="2372"/>
      <c r="CX125" s="2372"/>
      <c r="CY125" s="2372"/>
      <c r="CZ125" s="2372"/>
      <c r="DA125" s="2372"/>
    </row>
    <row r="126" spans="1:105" ht="15" hidden="1" customHeight="1">
      <c r="A126" s="2372"/>
      <c r="B126" s="2372"/>
      <c r="U126" s="2372"/>
      <c r="V126" s="2372"/>
      <c r="W126" s="2372"/>
      <c r="X126" s="2372"/>
      <c r="Y126" s="2372"/>
      <c r="Z126" s="2372"/>
      <c r="AA126" s="2372"/>
      <c r="AB126" s="2372"/>
      <c r="AC126" s="2372"/>
      <c r="AD126" s="2372"/>
      <c r="AE126" s="2372"/>
      <c r="AF126" s="2372"/>
      <c r="AG126" s="2372"/>
      <c r="AH126" s="2372"/>
      <c r="AI126" s="2372"/>
      <c r="AJ126" s="2372"/>
      <c r="AK126" s="2372"/>
      <c r="AL126" s="2372"/>
      <c r="AM126" s="2372"/>
      <c r="AN126" s="2372"/>
      <c r="AO126" s="2372"/>
      <c r="AP126" s="2372"/>
      <c r="AQ126" s="2372"/>
      <c r="AR126" s="2372"/>
      <c r="AS126" s="2372"/>
      <c r="AT126" s="2372"/>
      <c r="AU126" s="2372"/>
      <c r="AV126" s="2372"/>
      <c r="AW126" s="2372"/>
      <c r="AX126" s="2372"/>
      <c r="AY126" s="2372"/>
      <c r="AZ126" s="2372"/>
      <c r="BA126" s="2372"/>
      <c r="BB126" s="2372"/>
      <c r="BC126" s="2372"/>
      <c r="BD126" s="2372"/>
      <c r="BE126" s="2372"/>
      <c r="BF126" s="2372"/>
      <c r="BG126" s="2372"/>
      <c r="BH126" s="2372"/>
      <c r="BI126" s="2372"/>
      <c r="BJ126" s="2372"/>
      <c r="BK126" s="2372"/>
      <c r="BL126" s="2372"/>
      <c r="BM126" s="2372"/>
      <c r="BN126" s="2372"/>
      <c r="BO126" s="2372"/>
      <c r="BP126" s="2372"/>
      <c r="BQ126" s="2372"/>
      <c r="BR126" s="2372"/>
      <c r="BS126" s="2372"/>
      <c r="BT126" s="2372"/>
      <c r="BU126" s="2372"/>
      <c r="BV126" s="2372"/>
      <c r="BW126" s="2372"/>
      <c r="BX126" s="2372"/>
      <c r="BY126" s="2372"/>
      <c r="BZ126" s="2372"/>
      <c r="CA126" s="2372"/>
      <c r="CB126" s="2372"/>
      <c r="CC126" s="2372"/>
      <c r="CD126" s="2372"/>
      <c r="CE126" s="2372"/>
      <c r="CF126" s="2372"/>
      <c r="CG126" s="2372"/>
      <c r="CH126" s="2372"/>
      <c r="CI126" s="2372"/>
      <c r="CJ126" s="2372"/>
      <c r="CK126" s="2372"/>
      <c r="CL126" s="2372"/>
      <c r="CM126" s="2372"/>
      <c r="CN126" s="2372"/>
      <c r="CO126" s="2372"/>
      <c r="CP126" s="2372"/>
      <c r="CQ126" s="2372"/>
      <c r="CR126" s="2372"/>
      <c r="CS126" s="2372"/>
      <c r="CT126" s="2372"/>
      <c r="CU126" s="2372"/>
      <c r="CV126" s="2372"/>
      <c r="CW126" s="2372"/>
      <c r="CX126" s="2372"/>
      <c r="CY126" s="2372"/>
      <c r="CZ126" s="2372"/>
      <c r="DA126" s="2372"/>
    </row>
    <row r="127" spans="1:105" ht="3" hidden="1" customHeight="1">
      <c r="A127" s="2372"/>
      <c r="B127" s="2372"/>
      <c r="U127" s="2372"/>
      <c r="V127" s="2372"/>
      <c r="W127" s="2372"/>
      <c r="X127" s="2372"/>
      <c r="Y127" s="2372"/>
      <c r="Z127" s="2372"/>
      <c r="AA127" s="2372"/>
      <c r="AB127" s="2372"/>
      <c r="AC127" s="2372"/>
      <c r="AD127" s="2372"/>
      <c r="AE127" s="2372"/>
      <c r="AF127" s="2372"/>
      <c r="AG127" s="2372"/>
      <c r="AH127" s="2372"/>
      <c r="AI127" s="2372"/>
      <c r="AJ127" s="2372"/>
      <c r="AK127" s="2372"/>
      <c r="AL127" s="2372"/>
      <c r="AM127" s="2372"/>
      <c r="AN127" s="2372"/>
      <c r="AO127" s="2372"/>
      <c r="AP127" s="2372"/>
      <c r="AQ127" s="2372"/>
      <c r="AR127" s="2372"/>
      <c r="AS127" s="2372"/>
      <c r="AT127" s="2372"/>
      <c r="AU127" s="2372"/>
      <c r="AV127" s="2372"/>
      <c r="AW127" s="2372"/>
      <c r="AX127" s="2372"/>
      <c r="AY127" s="2372"/>
      <c r="AZ127" s="2372"/>
      <c r="BA127" s="2372"/>
      <c r="BB127" s="2372"/>
      <c r="BC127" s="2372"/>
      <c r="BD127" s="2372"/>
      <c r="BE127" s="2372"/>
      <c r="BF127" s="2372"/>
      <c r="BG127" s="2372"/>
      <c r="BH127" s="2372"/>
      <c r="BI127" s="2372"/>
      <c r="BJ127" s="2372"/>
      <c r="BK127" s="2372"/>
      <c r="BL127" s="2372"/>
      <c r="BM127" s="2372"/>
      <c r="BN127" s="2372"/>
      <c r="BO127" s="2372"/>
      <c r="BP127" s="2372"/>
      <c r="BQ127" s="2372"/>
      <c r="BR127" s="2372"/>
      <c r="BS127" s="2372"/>
      <c r="BT127" s="2372"/>
      <c r="BU127" s="2372"/>
      <c r="BV127" s="2372"/>
      <c r="BW127" s="2372"/>
      <c r="BX127" s="2372"/>
      <c r="BY127" s="2372"/>
      <c r="BZ127" s="2372"/>
      <c r="CA127" s="2372"/>
      <c r="CB127" s="2372"/>
      <c r="CC127" s="2372"/>
      <c r="CD127" s="2372"/>
      <c r="CE127" s="2372"/>
      <c r="CF127" s="2372"/>
      <c r="CG127" s="2372"/>
      <c r="CH127" s="2372"/>
      <c r="CI127" s="2372"/>
      <c r="CJ127" s="2372"/>
      <c r="CK127" s="2372"/>
      <c r="CL127" s="2372"/>
      <c r="CM127" s="2372"/>
      <c r="CN127" s="2372"/>
      <c r="CO127" s="2372"/>
      <c r="CP127" s="2372"/>
      <c r="CQ127" s="2372"/>
      <c r="CR127" s="2372"/>
      <c r="CS127" s="2372"/>
      <c r="CT127" s="2372"/>
      <c r="CU127" s="2372"/>
      <c r="CV127" s="2372"/>
      <c r="CW127" s="2372"/>
      <c r="CX127" s="2372"/>
      <c r="CY127" s="2372"/>
      <c r="CZ127" s="2372"/>
      <c r="DA127" s="2372"/>
    </row>
    <row r="128" spans="1:105" ht="15" hidden="1" customHeight="1">
      <c r="A128" s="2372"/>
      <c r="B128" s="2372"/>
      <c r="U128" s="2372"/>
      <c r="V128" s="2372"/>
      <c r="W128" s="2372"/>
      <c r="X128" s="2372"/>
      <c r="Y128" s="2372"/>
      <c r="Z128" s="2372"/>
      <c r="AA128" s="2372"/>
      <c r="AB128" s="2372"/>
      <c r="AC128" s="2372"/>
      <c r="AD128" s="2372"/>
      <c r="AE128" s="2372"/>
      <c r="AF128" s="2372"/>
      <c r="AG128" s="2372"/>
      <c r="AH128" s="2372"/>
      <c r="AI128" s="2372"/>
      <c r="AJ128" s="2372"/>
      <c r="AK128" s="2372"/>
      <c r="AL128" s="2372"/>
      <c r="AM128" s="2372"/>
      <c r="AN128" s="2372"/>
      <c r="AO128" s="2372"/>
      <c r="AP128" s="2372"/>
      <c r="AQ128" s="2372"/>
      <c r="AR128" s="2372"/>
      <c r="AS128" s="2372"/>
      <c r="AT128" s="2372"/>
      <c r="AU128" s="2372"/>
      <c r="AV128" s="2372"/>
      <c r="AW128" s="2372"/>
      <c r="AX128" s="2372"/>
      <c r="AY128" s="2372"/>
      <c r="AZ128" s="2372"/>
      <c r="BA128" s="2372"/>
      <c r="BB128" s="2372"/>
      <c r="BC128" s="2372"/>
      <c r="BD128" s="2372"/>
      <c r="BE128" s="2372"/>
      <c r="BF128" s="2372"/>
      <c r="BG128" s="2372"/>
      <c r="BH128" s="2372"/>
      <c r="BI128" s="2372"/>
      <c r="BJ128" s="2372"/>
      <c r="BK128" s="2372"/>
      <c r="BL128" s="2372"/>
      <c r="BM128" s="2372"/>
      <c r="BN128" s="2372"/>
      <c r="BO128" s="2372"/>
      <c r="BP128" s="2372"/>
      <c r="BQ128" s="2372"/>
      <c r="BR128" s="2372"/>
      <c r="BS128" s="2372"/>
      <c r="BT128" s="2372"/>
      <c r="BU128" s="2372"/>
      <c r="BV128" s="2372"/>
      <c r="BW128" s="2372"/>
      <c r="BX128" s="2372"/>
      <c r="BY128" s="2372"/>
      <c r="BZ128" s="2372"/>
      <c r="CA128" s="2372"/>
      <c r="CB128" s="2372"/>
      <c r="CC128" s="2372"/>
      <c r="CD128" s="2372"/>
      <c r="CE128" s="2372"/>
      <c r="CF128" s="2372"/>
      <c r="CG128" s="2372"/>
      <c r="CH128" s="2372"/>
      <c r="CI128" s="2372"/>
      <c r="CJ128" s="2372"/>
      <c r="CK128" s="2372"/>
      <c r="CL128" s="2372"/>
      <c r="CM128" s="2372"/>
      <c r="CN128" s="2372"/>
      <c r="CO128" s="2372"/>
      <c r="CP128" s="2372"/>
      <c r="CQ128" s="2372"/>
      <c r="CR128" s="2372"/>
      <c r="CS128" s="2372"/>
      <c r="CT128" s="2372"/>
      <c r="CU128" s="2372"/>
      <c r="CV128" s="2372"/>
      <c r="CW128" s="2372"/>
      <c r="CX128" s="2372"/>
      <c r="CY128" s="2372"/>
      <c r="CZ128" s="2372"/>
      <c r="DA128" s="2372"/>
    </row>
    <row r="129" spans="1:105" ht="3" hidden="1" customHeight="1">
      <c r="A129" s="2372"/>
      <c r="B129" s="2372"/>
      <c r="U129" s="2372"/>
      <c r="V129" s="2372"/>
      <c r="W129" s="2372"/>
      <c r="X129" s="2372"/>
      <c r="Y129" s="2372"/>
      <c r="Z129" s="2372"/>
      <c r="AA129" s="2372"/>
      <c r="AB129" s="2372"/>
      <c r="AC129" s="2372"/>
      <c r="AD129" s="2372"/>
      <c r="AE129" s="2372"/>
      <c r="AF129" s="2372"/>
      <c r="AG129" s="2372"/>
      <c r="AH129" s="2372"/>
      <c r="AI129" s="2372"/>
      <c r="AJ129" s="2372"/>
      <c r="AK129" s="2372"/>
      <c r="AL129" s="2372"/>
      <c r="AM129" s="2372"/>
      <c r="AN129" s="2372"/>
      <c r="AO129" s="2372"/>
      <c r="AP129" s="2372"/>
      <c r="AQ129" s="2372"/>
      <c r="AR129" s="2372"/>
      <c r="AS129" s="2372"/>
      <c r="AT129" s="2372"/>
      <c r="AU129" s="2372"/>
      <c r="AV129" s="2372"/>
      <c r="AW129" s="2372"/>
      <c r="AX129" s="2372"/>
      <c r="AY129" s="2372"/>
      <c r="AZ129" s="2372"/>
      <c r="BA129" s="2372"/>
      <c r="BB129" s="2372"/>
      <c r="BC129" s="2372"/>
      <c r="BD129" s="2372"/>
      <c r="BE129" s="2372"/>
      <c r="BF129" s="2372"/>
      <c r="BG129" s="2372"/>
      <c r="BH129" s="2372"/>
      <c r="BI129" s="2372"/>
      <c r="BJ129" s="2372"/>
      <c r="BK129" s="2372"/>
      <c r="BL129" s="2372"/>
      <c r="BM129" s="2372"/>
      <c r="BN129" s="2372"/>
      <c r="BO129" s="2372"/>
      <c r="BP129" s="2372"/>
      <c r="BQ129" s="2372"/>
      <c r="BR129" s="2372"/>
      <c r="BS129" s="2372"/>
      <c r="BT129" s="2372"/>
      <c r="BU129" s="2372"/>
      <c r="BV129" s="2372"/>
      <c r="BW129" s="2372"/>
      <c r="BX129" s="2372"/>
      <c r="BY129" s="2372"/>
      <c r="BZ129" s="2372"/>
      <c r="CA129" s="2372"/>
      <c r="CB129" s="2372"/>
      <c r="CC129" s="2372"/>
      <c r="CD129" s="2372"/>
      <c r="CE129" s="2372"/>
      <c r="CF129" s="2372"/>
      <c r="CG129" s="2372"/>
      <c r="CH129" s="2372"/>
      <c r="CI129" s="2372"/>
      <c r="CJ129" s="2372"/>
      <c r="CK129" s="2372"/>
      <c r="CL129" s="2372"/>
      <c r="CM129" s="2372"/>
      <c r="CN129" s="2372"/>
      <c r="CO129" s="2372"/>
      <c r="CP129" s="2372"/>
      <c r="CQ129" s="2372"/>
      <c r="CR129" s="2372"/>
      <c r="CS129" s="2372"/>
      <c r="CT129" s="2372"/>
      <c r="CU129" s="2372"/>
      <c r="CV129" s="2372"/>
      <c r="CW129" s="2372"/>
      <c r="CX129" s="2372"/>
      <c r="CY129" s="2372"/>
      <c r="CZ129" s="2372"/>
      <c r="DA129" s="2372"/>
    </row>
    <row r="130" spans="1:105" ht="15" hidden="1" customHeight="1">
      <c r="A130" s="2372"/>
      <c r="B130" s="2372"/>
      <c r="U130" s="2372"/>
      <c r="V130" s="2372"/>
      <c r="W130" s="2372"/>
      <c r="X130" s="2372"/>
      <c r="Y130" s="2372"/>
      <c r="Z130" s="2372"/>
      <c r="AA130" s="2372"/>
      <c r="AB130" s="2372"/>
      <c r="AC130" s="2372"/>
      <c r="AD130" s="2372"/>
      <c r="AE130" s="2372"/>
      <c r="AF130" s="2372"/>
      <c r="AG130" s="2372"/>
      <c r="AH130" s="2372"/>
      <c r="AI130" s="2372"/>
      <c r="AJ130" s="2372"/>
      <c r="AK130" s="2372"/>
      <c r="AL130" s="2372"/>
      <c r="AM130" s="2372"/>
      <c r="AN130" s="2372"/>
      <c r="AO130" s="2372"/>
      <c r="AP130" s="2372"/>
      <c r="AQ130" s="2372"/>
      <c r="AR130" s="2372"/>
      <c r="AS130" s="2372"/>
      <c r="AT130" s="2372"/>
      <c r="AU130" s="2372"/>
      <c r="AV130" s="2372"/>
      <c r="AW130" s="2372"/>
      <c r="AX130" s="2372"/>
      <c r="AY130" s="2372"/>
      <c r="AZ130" s="2372"/>
      <c r="BA130" s="2372"/>
      <c r="BB130" s="2372"/>
      <c r="BC130" s="2372"/>
      <c r="BD130" s="2372"/>
      <c r="BE130" s="2372"/>
      <c r="BF130" s="2372"/>
      <c r="BG130" s="2372"/>
      <c r="BH130" s="2372"/>
      <c r="BI130" s="2372"/>
      <c r="BJ130" s="2372"/>
      <c r="BK130" s="2372"/>
      <c r="BL130" s="2372"/>
      <c r="BM130" s="2372"/>
      <c r="BN130" s="2372"/>
      <c r="BO130" s="2372"/>
      <c r="BP130" s="2372"/>
      <c r="BQ130" s="2372"/>
      <c r="BR130" s="2372"/>
      <c r="BS130" s="2372"/>
      <c r="BT130" s="2372"/>
      <c r="BU130" s="2372"/>
      <c r="BV130" s="2372"/>
      <c r="BW130" s="2372"/>
      <c r="BX130" s="2372"/>
      <c r="BY130" s="2372"/>
      <c r="BZ130" s="2372"/>
      <c r="CA130" s="2372"/>
      <c r="CB130" s="2372"/>
      <c r="CC130" s="2372"/>
      <c r="CD130" s="2372"/>
      <c r="CE130" s="2372"/>
      <c r="CF130" s="2372"/>
      <c r="CG130" s="2372"/>
      <c r="CH130" s="2372"/>
      <c r="CI130" s="2372"/>
      <c r="CJ130" s="2372"/>
      <c r="CK130" s="2372"/>
      <c r="CL130" s="2372"/>
      <c r="CM130" s="2372"/>
      <c r="CN130" s="2372"/>
      <c r="CO130" s="2372"/>
      <c r="CP130" s="2372"/>
      <c r="CQ130" s="2372"/>
      <c r="CR130" s="2372"/>
      <c r="CS130" s="2372"/>
      <c r="CT130" s="2372"/>
      <c r="CU130" s="2372"/>
      <c r="CV130" s="2372"/>
      <c r="CW130" s="2372"/>
      <c r="CX130" s="2372"/>
      <c r="CY130" s="2372"/>
      <c r="CZ130" s="2372"/>
      <c r="DA130" s="2372"/>
    </row>
    <row r="131" spans="1:105" ht="3" hidden="1" customHeight="1">
      <c r="A131" s="2372"/>
      <c r="B131" s="2372"/>
      <c r="U131" s="2372"/>
      <c r="V131" s="2372"/>
      <c r="W131" s="2372"/>
      <c r="X131" s="2372"/>
      <c r="Y131" s="2372"/>
      <c r="Z131" s="2372"/>
      <c r="AA131" s="2372"/>
      <c r="AB131" s="2372"/>
      <c r="AC131" s="2372"/>
      <c r="AD131" s="2372"/>
      <c r="AE131" s="2372"/>
      <c r="AF131" s="2372"/>
      <c r="AG131" s="2372"/>
      <c r="AH131" s="2372"/>
      <c r="AI131" s="2372"/>
      <c r="AJ131" s="2372"/>
      <c r="AK131" s="2372"/>
      <c r="AL131" s="2372"/>
      <c r="AM131" s="2372"/>
      <c r="AN131" s="2372"/>
      <c r="AO131" s="2372"/>
      <c r="AP131" s="2372"/>
      <c r="AQ131" s="2372"/>
      <c r="AR131" s="2372"/>
      <c r="AS131" s="2372"/>
      <c r="AT131" s="2372"/>
      <c r="AU131" s="2372"/>
      <c r="AV131" s="2372"/>
      <c r="AW131" s="2372"/>
      <c r="AX131" s="2372"/>
      <c r="AY131" s="2372"/>
      <c r="AZ131" s="2372"/>
      <c r="BA131" s="2372"/>
      <c r="BB131" s="2372"/>
      <c r="BC131" s="2372"/>
      <c r="BD131" s="2372"/>
      <c r="BE131" s="2372"/>
      <c r="BF131" s="2372"/>
      <c r="BG131" s="2372"/>
      <c r="BH131" s="2372"/>
      <c r="BI131" s="2372"/>
      <c r="BJ131" s="2372"/>
      <c r="BK131" s="2372"/>
      <c r="BL131" s="2372"/>
      <c r="BM131" s="2372"/>
      <c r="BN131" s="2372"/>
      <c r="BO131" s="2372"/>
      <c r="BP131" s="2372"/>
      <c r="BQ131" s="2372"/>
      <c r="BR131" s="2372"/>
      <c r="BS131" s="2372"/>
      <c r="BT131" s="2372"/>
      <c r="BU131" s="2372"/>
      <c r="BV131" s="2372"/>
      <c r="BW131" s="2372"/>
      <c r="BX131" s="2372"/>
      <c r="BY131" s="2372"/>
      <c r="BZ131" s="2372"/>
      <c r="CA131" s="2372"/>
      <c r="CB131" s="2372"/>
      <c r="CC131" s="2372"/>
      <c r="CD131" s="2372"/>
      <c r="CE131" s="2372"/>
      <c r="CF131" s="2372"/>
      <c r="CG131" s="2372"/>
      <c r="CH131" s="2372"/>
      <c r="CI131" s="2372"/>
      <c r="CJ131" s="2372"/>
      <c r="CK131" s="2372"/>
      <c r="CL131" s="2372"/>
      <c r="CM131" s="2372"/>
      <c r="CN131" s="2372"/>
      <c r="CO131" s="2372"/>
      <c r="CP131" s="2372"/>
      <c r="CQ131" s="2372"/>
      <c r="CR131" s="2372"/>
      <c r="CS131" s="2372"/>
      <c r="CT131" s="2372"/>
      <c r="CU131" s="2372"/>
      <c r="CV131" s="2372"/>
      <c r="CW131" s="2372"/>
      <c r="CX131" s="2372"/>
      <c r="CY131" s="2372"/>
      <c r="CZ131" s="2372"/>
      <c r="DA131" s="2372"/>
    </row>
    <row r="132" spans="1:105" ht="15" hidden="1" customHeight="1">
      <c r="A132" s="2372"/>
      <c r="B132" s="2372"/>
      <c r="U132" s="2372"/>
      <c r="V132" s="2372"/>
      <c r="W132" s="2372"/>
      <c r="X132" s="2372"/>
      <c r="Y132" s="2372"/>
      <c r="Z132" s="2372"/>
      <c r="AA132" s="2372"/>
      <c r="AB132" s="2372"/>
      <c r="AC132" s="2372"/>
      <c r="AD132" s="2372"/>
      <c r="AE132" s="2372"/>
      <c r="AF132" s="2372"/>
      <c r="AG132" s="2372"/>
      <c r="AH132" s="2372"/>
      <c r="AI132" s="2372"/>
      <c r="AJ132" s="2372"/>
      <c r="AK132" s="2372"/>
      <c r="AL132" s="2372"/>
      <c r="AM132" s="2372"/>
      <c r="AN132" s="2372"/>
      <c r="AO132" s="2372"/>
      <c r="AP132" s="2372"/>
      <c r="AQ132" s="2372"/>
      <c r="AR132" s="2372"/>
      <c r="AS132" s="2372"/>
      <c r="AT132" s="2372"/>
      <c r="AU132" s="2372"/>
      <c r="AV132" s="2372"/>
      <c r="AW132" s="2372"/>
      <c r="AX132" s="2372"/>
      <c r="AY132" s="2372"/>
      <c r="AZ132" s="2372"/>
      <c r="BA132" s="2372"/>
      <c r="BB132" s="2372"/>
      <c r="BC132" s="2372"/>
      <c r="BD132" s="2372"/>
      <c r="BE132" s="2372"/>
      <c r="BF132" s="2372"/>
      <c r="BG132" s="2372"/>
      <c r="BH132" s="2372"/>
      <c r="BI132" s="2372"/>
      <c r="BJ132" s="2372"/>
      <c r="BK132" s="2372"/>
      <c r="BL132" s="2372"/>
      <c r="BM132" s="2372"/>
      <c r="BN132" s="2372"/>
      <c r="BO132" s="2372"/>
      <c r="BP132" s="2372"/>
      <c r="BQ132" s="2372"/>
      <c r="BR132" s="2372"/>
      <c r="BS132" s="2372"/>
      <c r="BT132" s="2372"/>
      <c r="BU132" s="2372"/>
      <c r="BV132" s="2372"/>
      <c r="BW132" s="2372"/>
      <c r="BX132" s="2372"/>
      <c r="BY132" s="2372"/>
      <c r="BZ132" s="2372"/>
      <c r="CA132" s="2372"/>
      <c r="CB132" s="2372"/>
      <c r="CC132" s="2372"/>
      <c r="CD132" s="2372"/>
      <c r="CE132" s="2372"/>
      <c r="CF132" s="2372"/>
      <c r="CG132" s="2372"/>
      <c r="CH132" s="2372"/>
      <c r="CI132" s="2372"/>
      <c r="CJ132" s="2372"/>
      <c r="CK132" s="2372"/>
      <c r="CL132" s="2372"/>
      <c r="CM132" s="2372"/>
      <c r="CN132" s="2372"/>
      <c r="CO132" s="2372"/>
      <c r="CP132" s="2372"/>
      <c r="CQ132" s="2372"/>
      <c r="CR132" s="2372"/>
      <c r="CS132" s="2372"/>
      <c r="CT132" s="2372"/>
      <c r="CU132" s="2372"/>
      <c r="CV132" s="2372"/>
      <c r="CW132" s="2372"/>
      <c r="CX132" s="2372"/>
      <c r="CY132" s="2372"/>
      <c r="CZ132" s="2372"/>
      <c r="DA132" s="2372"/>
    </row>
    <row r="133" spans="1:105" ht="3" hidden="1" customHeight="1">
      <c r="A133" s="2372"/>
      <c r="B133" s="2372"/>
      <c r="U133" s="2372"/>
      <c r="V133" s="2372"/>
      <c r="W133" s="2372"/>
      <c r="X133" s="2372"/>
      <c r="Y133" s="2372"/>
      <c r="Z133" s="2372"/>
      <c r="AA133" s="2372"/>
      <c r="AB133" s="2372"/>
      <c r="AC133" s="2372"/>
      <c r="AD133" s="2372"/>
      <c r="AE133" s="2372"/>
      <c r="AF133" s="2372"/>
      <c r="AG133" s="2372"/>
      <c r="AH133" s="2372"/>
      <c r="AI133" s="2372"/>
      <c r="AJ133" s="2372"/>
      <c r="AK133" s="2372"/>
      <c r="AL133" s="2372"/>
      <c r="AM133" s="2372"/>
      <c r="AN133" s="2372"/>
      <c r="AO133" s="2372"/>
      <c r="AP133" s="2372"/>
      <c r="AQ133" s="2372"/>
      <c r="AR133" s="2372"/>
      <c r="AS133" s="2372"/>
      <c r="AT133" s="2372"/>
      <c r="AU133" s="2372"/>
      <c r="AV133" s="2372"/>
      <c r="AW133" s="2372"/>
      <c r="AX133" s="2372"/>
      <c r="AY133" s="2372"/>
      <c r="AZ133" s="2372"/>
      <c r="BA133" s="2372"/>
      <c r="BB133" s="2372"/>
      <c r="BC133" s="2372"/>
      <c r="BD133" s="2372"/>
      <c r="BE133" s="2372"/>
      <c r="BF133" s="2372"/>
      <c r="BG133" s="2372"/>
      <c r="BH133" s="2372"/>
      <c r="BI133" s="2372"/>
      <c r="BJ133" s="2372"/>
      <c r="BK133" s="2372"/>
      <c r="BL133" s="2372"/>
      <c r="BM133" s="2372"/>
      <c r="BN133" s="2372"/>
      <c r="BO133" s="2372"/>
      <c r="BP133" s="2372"/>
      <c r="BQ133" s="2372"/>
      <c r="BR133" s="2372"/>
      <c r="BS133" s="2372"/>
      <c r="BT133" s="2372"/>
      <c r="BU133" s="2372"/>
      <c r="BV133" s="2372"/>
      <c r="BW133" s="2372"/>
      <c r="BX133" s="2372"/>
      <c r="BY133" s="2372"/>
      <c r="BZ133" s="2372"/>
      <c r="CA133" s="2372"/>
      <c r="CB133" s="2372"/>
      <c r="CC133" s="2372"/>
      <c r="CD133" s="2372"/>
      <c r="CE133" s="2372"/>
      <c r="CF133" s="2372"/>
      <c r="CG133" s="2372"/>
      <c r="CH133" s="2372"/>
      <c r="CI133" s="2372"/>
      <c r="CJ133" s="2372"/>
      <c r="CK133" s="2372"/>
      <c r="CL133" s="2372"/>
      <c r="CM133" s="2372"/>
      <c r="CN133" s="2372"/>
      <c r="CO133" s="2372"/>
      <c r="CP133" s="2372"/>
      <c r="CQ133" s="2372"/>
      <c r="CR133" s="2372"/>
      <c r="CS133" s="2372"/>
      <c r="CT133" s="2372"/>
      <c r="CU133" s="2372"/>
      <c r="CV133" s="2372"/>
      <c r="CW133" s="2372"/>
      <c r="CX133" s="2372"/>
      <c r="CY133" s="2372"/>
      <c r="CZ133" s="2372"/>
      <c r="DA133" s="2372"/>
    </row>
    <row r="134" spans="1:105" ht="15" hidden="1" customHeight="1">
      <c r="A134" s="2372"/>
      <c r="B134" s="2372"/>
      <c r="U134" s="2372"/>
      <c r="V134" s="2372"/>
      <c r="W134" s="2372"/>
      <c r="X134" s="2372"/>
      <c r="Y134" s="2372"/>
      <c r="Z134" s="2372"/>
      <c r="AA134" s="2372"/>
      <c r="AB134" s="2372"/>
      <c r="AC134" s="2372"/>
      <c r="AD134" s="2372"/>
      <c r="AE134" s="2372"/>
      <c r="AF134" s="2372"/>
      <c r="AG134" s="2372"/>
      <c r="AH134" s="2372"/>
      <c r="AI134" s="2372"/>
      <c r="AJ134" s="2372"/>
      <c r="AK134" s="2372"/>
      <c r="AL134" s="2372"/>
      <c r="AM134" s="2372"/>
      <c r="AN134" s="2372"/>
      <c r="AO134" s="2372"/>
      <c r="AP134" s="2372"/>
      <c r="AQ134" s="2372"/>
      <c r="AR134" s="2372"/>
      <c r="AS134" s="2372"/>
      <c r="AT134" s="2372"/>
      <c r="AU134" s="2372"/>
      <c r="AV134" s="2372"/>
      <c r="AW134" s="2372"/>
      <c r="AX134" s="2372"/>
      <c r="AY134" s="2372"/>
      <c r="AZ134" s="2372"/>
      <c r="BA134" s="2372"/>
      <c r="BB134" s="2372"/>
      <c r="BC134" s="2372"/>
      <c r="BD134" s="2372"/>
      <c r="BE134" s="2372"/>
      <c r="BF134" s="2372"/>
      <c r="BG134" s="2372"/>
      <c r="BH134" s="2372"/>
      <c r="BI134" s="2372"/>
      <c r="BJ134" s="2372"/>
      <c r="BK134" s="2372"/>
      <c r="BL134" s="2372"/>
      <c r="BM134" s="2372"/>
      <c r="BN134" s="2372"/>
      <c r="BO134" s="2372"/>
      <c r="BP134" s="2372"/>
      <c r="BQ134" s="2372"/>
      <c r="BR134" s="2372"/>
      <c r="BS134" s="2372"/>
      <c r="BT134" s="2372"/>
      <c r="BU134" s="2372"/>
      <c r="BV134" s="2372"/>
      <c r="BW134" s="2372"/>
      <c r="BX134" s="2372"/>
      <c r="BY134" s="2372"/>
      <c r="BZ134" s="2372"/>
      <c r="CA134" s="2372"/>
      <c r="CB134" s="2372"/>
      <c r="CC134" s="2372"/>
      <c r="CD134" s="2372"/>
      <c r="CE134" s="2372"/>
      <c r="CF134" s="2372"/>
      <c r="CG134" s="2372"/>
      <c r="CH134" s="2372"/>
      <c r="CI134" s="2372"/>
      <c r="CJ134" s="2372"/>
      <c r="CK134" s="2372"/>
      <c r="CL134" s="2372"/>
      <c r="CM134" s="2372"/>
      <c r="CN134" s="2372"/>
      <c r="CO134" s="2372"/>
      <c r="CP134" s="2372"/>
      <c r="CQ134" s="2372"/>
      <c r="CR134" s="2372"/>
      <c r="CS134" s="2372"/>
      <c r="CT134" s="2372"/>
      <c r="CU134" s="2372"/>
      <c r="CV134" s="2372"/>
      <c r="CW134" s="2372"/>
      <c r="CX134" s="2372"/>
      <c r="CY134" s="2372"/>
      <c r="CZ134" s="2372"/>
      <c r="DA134" s="2372"/>
    </row>
    <row r="135" spans="1:105" ht="3" hidden="1" customHeight="1">
      <c r="A135" s="2372"/>
      <c r="B135" s="2372"/>
      <c r="U135" s="2372"/>
      <c r="V135" s="2372"/>
      <c r="W135" s="2372"/>
      <c r="X135" s="2372"/>
      <c r="Y135" s="2372"/>
      <c r="Z135" s="2372"/>
      <c r="AA135" s="2372"/>
      <c r="AB135" s="2372"/>
      <c r="AC135" s="2372"/>
      <c r="AD135" s="2372"/>
      <c r="AE135" s="2372"/>
      <c r="AF135" s="2372"/>
      <c r="AG135" s="2372"/>
      <c r="AH135" s="2372"/>
      <c r="AI135" s="2372"/>
      <c r="AJ135" s="2372"/>
      <c r="AK135" s="2372"/>
      <c r="AL135" s="2372"/>
      <c r="AM135" s="2372"/>
      <c r="AN135" s="2372"/>
      <c r="AO135" s="2372"/>
      <c r="AP135" s="2372"/>
      <c r="AQ135" s="2372"/>
      <c r="AR135" s="2372"/>
      <c r="AS135" s="2372"/>
      <c r="AT135" s="2372"/>
      <c r="AU135" s="2372"/>
      <c r="AV135" s="2372"/>
      <c r="AW135" s="2372"/>
      <c r="AX135" s="2372"/>
      <c r="AY135" s="2372"/>
      <c r="AZ135" s="2372"/>
      <c r="BA135" s="2372"/>
      <c r="BB135" s="2372"/>
      <c r="BC135" s="2372"/>
      <c r="BD135" s="2372"/>
      <c r="BE135" s="2372"/>
      <c r="BF135" s="2372"/>
      <c r="BG135" s="2372"/>
      <c r="BH135" s="2372"/>
      <c r="BI135" s="2372"/>
      <c r="BJ135" s="2372"/>
      <c r="BK135" s="2372"/>
      <c r="BL135" s="2372"/>
      <c r="BM135" s="2372"/>
      <c r="BN135" s="2372"/>
      <c r="BO135" s="2372"/>
      <c r="BP135" s="2372"/>
      <c r="BQ135" s="2372"/>
      <c r="BR135" s="2372"/>
      <c r="BS135" s="2372"/>
      <c r="BT135" s="2372"/>
      <c r="BU135" s="2372"/>
      <c r="BV135" s="2372"/>
      <c r="BW135" s="2372"/>
      <c r="BX135" s="2372"/>
      <c r="BY135" s="2372"/>
      <c r="BZ135" s="2372"/>
      <c r="CA135" s="2372"/>
      <c r="CB135" s="2372"/>
      <c r="CC135" s="2372"/>
      <c r="CD135" s="2372"/>
      <c r="CE135" s="2372"/>
      <c r="CF135" s="2372"/>
      <c r="CG135" s="2372"/>
      <c r="CH135" s="2372"/>
      <c r="CI135" s="2372"/>
      <c r="CJ135" s="2372"/>
      <c r="CK135" s="2372"/>
      <c r="CL135" s="2372"/>
      <c r="CM135" s="2372"/>
      <c r="CN135" s="2372"/>
      <c r="CO135" s="2372"/>
      <c r="CP135" s="2372"/>
      <c r="CQ135" s="2372"/>
      <c r="CR135" s="2372"/>
      <c r="CS135" s="2372"/>
      <c r="CT135" s="2372"/>
      <c r="CU135" s="2372"/>
      <c r="CV135" s="2372"/>
      <c r="CW135" s="2372"/>
      <c r="CX135" s="2372"/>
      <c r="CY135" s="2372"/>
      <c r="CZ135" s="2372"/>
      <c r="DA135" s="2372"/>
    </row>
    <row r="136" spans="1:105" ht="15" hidden="1" customHeight="1">
      <c r="A136" s="2372"/>
      <c r="B136" s="2372"/>
      <c r="U136" s="2372"/>
      <c r="V136" s="2372"/>
      <c r="W136" s="2372"/>
      <c r="X136" s="2372"/>
      <c r="Y136" s="2372"/>
      <c r="Z136" s="2372"/>
      <c r="AA136" s="2372"/>
      <c r="AB136" s="2372"/>
      <c r="AC136" s="2372"/>
      <c r="AD136" s="2372"/>
      <c r="AE136" s="2372"/>
      <c r="AF136" s="2372"/>
      <c r="AG136" s="2372"/>
      <c r="AH136" s="2372"/>
      <c r="AI136" s="2372"/>
      <c r="AJ136" s="2372"/>
      <c r="AK136" s="2372"/>
      <c r="AL136" s="2372"/>
      <c r="AM136" s="2372"/>
      <c r="AN136" s="2372"/>
      <c r="AO136" s="2372"/>
      <c r="AP136" s="2372"/>
      <c r="AQ136" s="2372"/>
      <c r="AR136" s="2372"/>
      <c r="AS136" s="2372"/>
      <c r="AT136" s="2372"/>
      <c r="AU136" s="2372"/>
      <c r="AV136" s="2372"/>
      <c r="AW136" s="2372"/>
      <c r="AX136" s="2372"/>
      <c r="AY136" s="2372"/>
      <c r="AZ136" s="2372"/>
      <c r="BA136" s="2372"/>
      <c r="BB136" s="2372"/>
      <c r="BC136" s="2372"/>
      <c r="BD136" s="2372"/>
      <c r="BE136" s="2372"/>
      <c r="BF136" s="2372"/>
      <c r="BG136" s="2372"/>
      <c r="BH136" s="2372"/>
      <c r="BI136" s="2372"/>
      <c r="BJ136" s="2372"/>
      <c r="BK136" s="2372"/>
      <c r="BL136" s="2372"/>
      <c r="BM136" s="2372"/>
      <c r="BN136" s="2372"/>
      <c r="BO136" s="2372"/>
      <c r="BP136" s="2372"/>
      <c r="BQ136" s="2372"/>
      <c r="BR136" s="2372"/>
      <c r="BS136" s="2372"/>
      <c r="BT136" s="2372"/>
      <c r="BU136" s="2372"/>
      <c r="BV136" s="2372"/>
      <c r="BW136" s="2372"/>
      <c r="BX136" s="2372"/>
      <c r="BY136" s="2372"/>
      <c r="BZ136" s="2372"/>
      <c r="CA136" s="2372"/>
      <c r="CB136" s="2372"/>
      <c r="CC136" s="2372"/>
      <c r="CD136" s="2372"/>
      <c r="CE136" s="2372"/>
      <c r="CF136" s="2372"/>
      <c r="CG136" s="2372"/>
      <c r="CH136" s="2372"/>
      <c r="CI136" s="2372"/>
      <c r="CJ136" s="2372"/>
      <c r="CK136" s="2372"/>
      <c r="CL136" s="2372"/>
      <c r="CM136" s="2372"/>
      <c r="CN136" s="2372"/>
      <c r="CO136" s="2372"/>
      <c r="CP136" s="2372"/>
      <c r="CQ136" s="2372"/>
      <c r="CR136" s="2372"/>
      <c r="CS136" s="2372"/>
      <c r="CT136" s="2372"/>
      <c r="CU136" s="2372"/>
      <c r="CV136" s="2372"/>
      <c r="CW136" s="2372"/>
      <c r="CX136" s="2372"/>
      <c r="CY136" s="2372"/>
      <c r="CZ136" s="2372"/>
      <c r="DA136" s="2372"/>
    </row>
    <row r="137" spans="1:105" ht="3" hidden="1" customHeight="1">
      <c r="A137" s="2372"/>
      <c r="B137" s="2372"/>
      <c r="U137" s="2372"/>
      <c r="V137" s="2372"/>
      <c r="W137" s="2372"/>
      <c r="X137" s="2372"/>
      <c r="Y137" s="2372"/>
      <c r="Z137" s="2372"/>
      <c r="AA137" s="2372"/>
      <c r="AB137" s="2372"/>
      <c r="AC137" s="2372"/>
      <c r="AD137" s="2372"/>
      <c r="AE137" s="2372"/>
      <c r="AF137" s="2372"/>
      <c r="AG137" s="2372"/>
      <c r="AH137" s="2372"/>
      <c r="AI137" s="2372"/>
      <c r="AJ137" s="2372"/>
      <c r="AK137" s="2372"/>
      <c r="AL137" s="2372"/>
      <c r="AM137" s="2372"/>
      <c r="AN137" s="2372"/>
      <c r="AO137" s="2372"/>
      <c r="AP137" s="2372"/>
      <c r="AQ137" s="2372"/>
      <c r="AR137" s="2372"/>
      <c r="AS137" s="2372"/>
      <c r="AT137" s="2372"/>
      <c r="AU137" s="2372"/>
      <c r="AV137" s="2372"/>
      <c r="AW137" s="2372"/>
      <c r="AX137" s="2372"/>
      <c r="AY137" s="2372"/>
      <c r="AZ137" s="2372"/>
      <c r="BA137" s="2372"/>
      <c r="BB137" s="2372"/>
      <c r="BC137" s="2372"/>
      <c r="BD137" s="2372"/>
      <c r="BE137" s="2372"/>
      <c r="BF137" s="2372"/>
      <c r="BG137" s="2372"/>
      <c r="BH137" s="2372"/>
      <c r="BI137" s="2372"/>
      <c r="BJ137" s="2372"/>
      <c r="BK137" s="2372"/>
      <c r="BL137" s="2372"/>
      <c r="BM137" s="2372"/>
      <c r="BN137" s="2372"/>
      <c r="BO137" s="2372"/>
      <c r="BP137" s="2372"/>
      <c r="BQ137" s="2372"/>
      <c r="BR137" s="2372"/>
      <c r="BS137" s="2372"/>
      <c r="BT137" s="2372"/>
      <c r="BU137" s="2372"/>
      <c r="BV137" s="2372"/>
      <c r="BW137" s="2372"/>
      <c r="BX137" s="2372"/>
      <c r="BY137" s="2372"/>
      <c r="BZ137" s="2372"/>
      <c r="CA137" s="2372"/>
      <c r="CB137" s="2372"/>
      <c r="CC137" s="2372"/>
      <c r="CD137" s="2372"/>
      <c r="CE137" s="2372"/>
      <c r="CF137" s="2372"/>
      <c r="CG137" s="2372"/>
      <c r="CH137" s="2372"/>
      <c r="CI137" s="2372"/>
      <c r="CJ137" s="2372"/>
      <c r="CK137" s="2372"/>
      <c r="CL137" s="2372"/>
      <c r="CM137" s="2372"/>
      <c r="CN137" s="2372"/>
      <c r="CO137" s="2372"/>
      <c r="CP137" s="2372"/>
      <c r="CQ137" s="2372"/>
      <c r="CR137" s="2372"/>
      <c r="CS137" s="2372"/>
      <c r="CT137" s="2372"/>
      <c r="CU137" s="2372"/>
      <c r="CV137" s="2372"/>
      <c r="CW137" s="2372"/>
      <c r="CX137" s="2372"/>
      <c r="CY137" s="2372"/>
      <c r="CZ137" s="2372"/>
      <c r="DA137" s="2372"/>
    </row>
    <row r="138" spans="1:105" ht="15" hidden="1" customHeight="1">
      <c r="A138" s="2372"/>
      <c r="B138" s="2372"/>
      <c r="U138" s="2372"/>
      <c r="V138" s="2372"/>
      <c r="W138" s="2372"/>
      <c r="X138" s="2372"/>
      <c r="Y138" s="2372"/>
      <c r="Z138" s="2372"/>
      <c r="AA138" s="2372"/>
      <c r="AB138" s="2372"/>
      <c r="AC138" s="2372"/>
      <c r="AD138" s="2372"/>
      <c r="AE138" s="2372"/>
      <c r="AF138" s="2372"/>
      <c r="AG138" s="2372"/>
      <c r="AH138" s="2372"/>
      <c r="AI138" s="2372"/>
      <c r="AJ138" s="2372"/>
      <c r="AK138" s="2372"/>
      <c r="AL138" s="2372"/>
      <c r="AM138" s="2372"/>
      <c r="AN138" s="2372"/>
      <c r="AO138" s="2372"/>
      <c r="AP138" s="2372"/>
      <c r="AQ138" s="2372"/>
      <c r="AR138" s="2372"/>
      <c r="AS138" s="2372"/>
      <c r="AT138" s="2372"/>
      <c r="AU138" s="2372"/>
      <c r="AV138" s="2372"/>
      <c r="AW138" s="2372"/>
      <c r="AX138" s="2372"/>
      <c r="AY138" s="2372"/>
      <c r="AZ138" s="2372"/>
      <c r="BA138" s="2372"/>
      <c r="BB138" s="2372"/>
      <c r="BC138" s="2372"/>
      <c r="BD138" s="2372"/>
      <c r="BE138" s="2372"/>
      <c r="BF138" s="2372"/>
      <c r="BG138" s="2372"/>
      <c r="BH138" s="2372"/>
      <c r="BI138" s="2372"/>
      <c r="BJ138" s="2372"/>
      <c r="BK138" s="2372"/>
      <c r="BL138" s="2372"/>
      <c r="BM138" s="2372"/>
      <c r="BN138" s="2372"/>
      <c r="BO138" s="2372"/>
      <c r="BP138" s="2372"/>
      <c r="BQ138" s="2372"/>
      <c r="BR138" s="2372"/>
      <c r="BS138" s="2372"/>
      <c r="BT138" s="2372"/>
      <c r="BU138" s="2372"/>
      <c r="BV138" s="2372"/>
      <c r="BW138" s="2372"/>
      <c r="BX138" s="2372"/>
      <c r="BY138" s="2372"/>
      <c r="BZ138" s="2372"/>
      <c r="CA138" s="2372"/>
      <c r="CB138" s="2372"/>
      <c r="CC138" s="2372"/>
      <c r="CD138" s="2372"/>
      <c r="CE138" s="2372"/>
      <c r="CF138" s="2372"/>
      <c r="CG138" s="2372"/>
      <c r="CH138" s="2372"/>
      <c r="CI138" s="2372"/>
      <c r="CJ138" s="2372"/>
      <c r="CK138" s="2372"/>
      <c r="CL138" s="2372"/>
      <c r="CM138" s="2372"/>
      <c r="CN138" s="2372"/>
      <c r="CO138" s="2372"/>
      <c r="CP138" s="2372"/>
      <c r="CQ138" s="2372"/>
      <c r="CR138" s="2372"/>
      <c r="CS138" s="2372"/>
      <c r="CT138" s="2372"/>
      <c r="CU138" s="2372"/>
      <c r="CV138" s="2372"/>
      <c r="CW138" s="2372"/>
      <c r="CX138" s="2372"/>
      <c r="CY138" s="2372"/>
      <c r="CZ138" s="2372"/>
      <c r="DA138" s="2372"/>
    </row>
    <row r="139" spans="1:105" ht="3" hidden="1" customHeight="1">
      <c r="A139" s="2372"/>
      <c r="B139" s="2372"/>
      <c r="U139" s="2372"/>
      <c r="V139" s="2372"/>
      <c r="W139" s="2372"/>
      <c r="X139" s="2372"/>
      <c r="Y139" s="2372"/>
      <c r="Z139" s="2372"/>
      <c r="AA139" s="2372"/>
      <c r="AB139" s="2372"/>
      <c r="AC139" s="2372"/>
      <c r="AD139" s="2372"/>
      <c r="AE139" s="2372"/>
      <c r="AF139" s="2372"/>
      <c r="AG139" s="2372"/>
      <c r="AH139" s="2372"/>
      <c r="AI139" s="2372"/>
      <c r="AJ139" s="2372"/>
      <c r="AK139" s="2372"/>
      <c r="AL139" s="2372"/>
      <c r="AM139" s="2372"/>
      <c r="AN139" s="2372"/>
      <c r="AO139" s="2372"/>
      <c r="AP139" s="2372"/>
      <c r="AQ139" s="2372"/>
      <c r="AR139" s="2372"/>
      <c r="AS139" s="2372"/>
      <c r="AT139" s="2372"/>
      <c r="AU139" s="2372"/>
      <c r="AV139" s="2372"/>
      <c r="AW139" s="2372"/>
      <c r="AX139" s="2372"/>
      <c r="AY139" s="2372"/>
      <c r="AZ139" s="2372"/>
      <c r="BA139" s="2372"/>
      <c r="BB139" s="2372"/>
      <c r="BC139" s="2372"/>
      <c r="BD139" s="2372"/>
      <c r="BE139" s="2372"/>
      <c r="BF139" s="2372"/>
      <c r="BG139" s="2372"/>
      <c r="BH139" s="2372"/>
      <c r="BI139" s="2372"/>
      <c r="BJ139" s="2372"/>
      <c r="BK139" s="2372"/>
      <c r="BL139" s="2372"/>
      <c r="BM139" s="2372"/>
      <c r="BN139" s="2372"/>
      <c r="BO139" s="2372"/>
      <c r="BP139" s="2372"/>
      <c r="BQ139" s="2372"/>
      <c r="BR139" s="2372"/>
      <c r="BS139" s="2372"/>
      <c r="BT139" s="2372"/>
      <c r="BU139" s="2372"/>
      <c r="BV139" s="2372"/>
      <c r="BW139" s="2372"/>
      <c r="BX139" s="2372"/>
      <c r="BY139" s="2372"/>
      <c r="BZ139" s="2372"/>
      <c r="CA139" s="2372"/>
      <c r="CB139" s="2372"/>
      <c r="CC139" s="2372"/>
      <c r="CD139" s="2372"/>
      <c r="CE139" s="2372"/>
      <c r="CF139" s="2372"/>
      <c r="CG139" s="2372"/>
      <c r="CH139" s="2372"/>
      <c r="CI139" s="2372"/>
      <c r="CJ139" s="2372"/>
      <c r="CK139" s="2372"/>
      <c r="CL139" s="2372"/>
      <c r="CM139" s="2372"/>
      <c r="CN139" s="2372"/>
      <c r="CO139" s="2372"/>
      <c r="CP139" s="2372"/>
      <c r="CQ139" s="2372"/>
      <c r="CR139" s="2372"/>
      <c r="CS139" s="2372"/>
      <c r="CT139" s="2372"/>
      <c r="CU139" s="2372"/>
      <c r="CV139" s="2372"/>
      <c r="CW139" s="2372"/>
      <c r="CX139" s="2372"/>
      <c r="CY139" s="2372"/>
      <c r="CZ139" s="2372"/>
      <c r="DA139" s="2372"/>
    </row>
    <row r="140" spans="1:105" ht="15" hidden="1" customHeight="1">
      <c r="A140" s="2372"/>
      <c r="B140" s="2372"/>
      <c r="U140" s="2372"/>
      <c r="V140" s="2372"/>
      <c r="W140" s="2372"/>
      <c r="X140" s="2372"/>
      <c r="Y140" s="2372"/>
      <c r="Z140" s="2372"/>
      <c r="AA140" s="2372"/>
      <c r="AB140" s="2372"/>
      <c r="AC140" s="2372"/>
      <c r="AD140" s="2372"/>
      <c r="AE140" s="2372"/>
      <c r="AF140" s="2372"/>
      <c r="AG140" s="2372"/>
      <c r="AH140" s="2372"/>
      <c r="AI140" s="2372"/>
      <c r="AJ140" s="2372"/>
      <c r="AK140" s="2372"/>
      <c r="AL140" s="2372"/>
      <c r="AM140" s="2372"/>
      <c r="AN140" s="2372"/>
      <c r="AO140" s="2372"/>
      <c r="AP140" s="2372"/>
      <c r="AQ140" s="2372"/>
      <c r="AR140" s="2372"/>
      <c r="AS140" s="2372"/>
      <c r="AT140" s="2372"/>
      <c r="AU140" s="2372"/>
      <c r="AV140" s="2372"/>
      <c r="AW140" s="2372"/>
      <c r="AX140" s="2372"/>
      <c r="AY140" s="2372"/>
      <c r="AZ140" s="2372"/>
      <c r="BA140" s="2372"/>
      <c r="BB140" s="2372"/>
      <c r="BC140" s="2372"/>
      <c r="BD140" s="2372"/>
      <c r="BE140" s="2372"/>
      <c r="BF140" s="2372"/>
      <c r="BG140" s="2372"/>
      <c r="BH140" s="2372"/>
      <c r="BI140" s="2372"/>
      <c r="BJ140" s="2372"/>
      <c r="BK140" s="2372"/>
      <c r="BL140" s="2372"/>
      <c r="BM140" s="2372"/>
      <c r="BN140" s="2372"/>
      <c r="BO140" s="2372"/>
      <c r="BP140" s="2372"/>
      <c r="BQ140" s="2372"/>
      <c r="BR140" s="2372"/>
      <c r="BS140" s="2372"/>
      <c r="BT140" s="2372"/>
      <c r="BU140" s="2372"/>
      <c r="BV140" s="2372"/>
      <c r="BW140" s="2372"/>
      <c r="BX140" s="2372"/>
      <c r="BY140" s="2372"/>
      <c r="BZ140" s="2372"/>
      <c r="CA140" s="2372"/>
      <c r="CB140" s="2372"/>
      <c r="CC140" s="2372"/>
      <c r="CD140" s="2372"/>
      <c r="CE140" s="2372"/>
      <c r="CF140" s="2372"/>
      <c r="CG140" s="2372"/>
      <c r="CH140" s="2372"/>
      <c r="CI140" s="2372"/>
      <c r="CJ140" s="2372"/>
      <c r="CK140" s="2372"/>
      <c r="CL140" s="2372"/>
      <c r="CM140" s="2372"/>
      <c r="CN140" s="2372"/>
      <c r="CO140" s="2372"/>
      <c r="CP140" s="2372"/>
      <c r="CQ140" s="2372"/>
      <c r="CR140" s="2372"/>
      <c r="CS140" s="2372"/>
      <c r="CT140" s="2372"/>
      <c r="CU140" s="2372"/>
      <c r="CV140" s="2372"/>
      <c r="CW140" s="2372"/>
      <c r="CX140" s="2372"/>
      <c r="CY140" s="2372"/>
      <c r="CZ140" s="2372"/>
      <c r="DA140" s="2372"/>
    </row>
    <row r="141" spans="1:105" ht="3" hidden="1" customHeight="1">
      <c r="A141" s="2372"/>
      <c r="B141" s="2372"/>
      <c r="U141" s="2372"/>
      <c r="V141" s="2372"/>
      <c r="W141" s="2372"/>
      <c r="X141" s="2372"/>
      <c r="Y141" s="2372"/>
      <c r="Z141" s="2372"/>
      <c r="AA141" s="2372"/>
      <c r="AB141" s="2372"/>
      <c r="AC141" s="2372"/>
      <c r="AD141" s="2372"/>
      <c r="AE141" s="2372"/>
      <c r="AF141" s="2372"/>
      <c r="AG141" s="2372"/>
      <c r="AH141" s="2372"/>
      <c r="AI141" s="2372"/>
      <c r="AJ141" s="2372"/>
      <c r="AK141" s="2372"/>
      <c r="AL141" s="2372"/>
      <c r="AM141" s="2372"/>
      <c r="AN141" s="2372"/>
      <c r="AO141" s="2372"/>
      <c r="AP141" s="2372"/>
      <c r="AQ141" s="2372"/>
      <c r="AR141" s="2372"/>
      <c r="AS141" s="2372"/>
      <c r="AT141" s="2372"/>
      <c r="AU141" s="2372"/>
      <c r="AV141" s="2372"/>
      <c r="AW141" s="2372"/>
      <c r="AX141" s="2372"/>
      <c r="AY141" s="2372"/>
      <c r="AZ141" s="2372"/>
      <c r="BA141" s="2372"/>
      <c r="BB141" s="2372"/>
      <c r="BC141" s="2372"/>
      <c r="BD141" s="2372"/>
      <c r="BE141" s="2372"/>
      <c r="BF141" s="2372"/>
      <c r="BG141" s="2372"/>
      <c r="BH141" s="2372"/>
      <c r="BI141" s="2372"/>
      <c r="BJ141" s="2372"/>
      <c r="BK141" s="2372"/>
      <c r="BL141" s="2372"/>
      <c r="BM141" s="2372"/>
      <c r="BN141" s="2372"/>
      <c r="BO141" s="2372"/>
      <c r="BP141" s="2372"/>
      <c r="BQ141" s="2372"/>
      <c r="BR141" s="2372"/>
      <c r="BS141" s="2372"/>
      <c r="BT141" s="2372"/>
      <c r="BU141" s="2372"/>
      <c r="BV141" s="2372"/>
      <c r="BW141" s="2372"/>
      <c r="BX141" s="2372"/>
      <c r="BY141" s="2372"/>
      <c r="BZ141" s="2372"/>
      <c r="CA141" s="2372"/>
      <c r="CB141" s="2372"/>
      <c r="CC141" s="2372"/>
      <c r="CD141" s="2372"/>
      <c r="CE141" s="2372"/>
      <c r="CF141" s="2372"/>
      <c r="CG141" s="2372"/>
      <c r="CH141" s="2372"/>
      <c r="CI141" s="2372"/>
      <c r="CJ141" s="2372"/>
      <c r="CK141" s="2372"/>
      <c r="CL141" s="2372"/>
      <c r="CM141" s="2372"/>
      <c r="CN141" s="2372"/>
      <c r="CO141" s="2372"/>
      <c r="CP141" s="2372"/>
      <c r="CQ141" s="2372"/>
      <c r="CR141" s="2372"/>
      <c r="CS141" s="2372"/>
      <c r="CT141" s="2372"/>
      <c r="CU141" s="2372"/>
      <c r="CV141" s="2372"/>
      <c r="CW141" s="2372"/>
      <c r="CX141" s="2372"/>
      <c r="CY141" s="2372"/>
      <c r="CZ141" s="2372"/>
      <c r="DA141" s="2372"/>
    </row>
    <row r="142" spans="1:105" ht="15" hidden="1" customHeight="1">
      <c r="A142" s="2372"/>
      <c r="B142" s="2372"/>
      <c r="U142" s="2372"/>
      <c r="V142" s="2372"/>
      <c r="W142" s="2372"/>
      <c r="X142" s="2372"/>
      <c r="Y142" s="2372"/>
      <c r="Z142" s="2372"/>
      <c r="AA142" s="2372"/>
      <c r="AB142" s="2372"/>
      <c r="AC142" s="2372"/>
      <c r="AD142" s="2372"/>
      <c r="AE142" s="2372"/>
      <c r="AF142" s="2372"/>
      <c r="AG142" s="2372"/>
      <c r="AH142" s="2372"/>
      <c r="AI142" s="2372"/>
      <c r="AJ142" s="2372"/>
      <c r="AK142" s="2372"/>
      <c r="AL142" s="2372"/>
      <c r="AM142" s="2372"/>
      <c r="AN142" s="2372"/>
      <c r="AO142" s="2372"/>
      <c r="AP142" s="2372"/>
      <c r="AQ142" s="2372"/>
      <c r="AR142" s="2372"/>
      <c r="AS142" s="2372"/>
      <c r="AT142" s="2372"/>
      <c r="AU142" s="2372"/>
      <c r="AV142" s="2372"/>
      <c r="AW142" s="2372"/>
      <c r="AX142" s="2372"/>
      <c r="AY142" s="2372"/>
      <c r="AZ142" s="2372"/>
      <c r="BA142" s="2372"/>
      <c r="BB142" s="2372"/>
      <c r="BC142" s="2372"/>
      <c r="BD142" s="2372"/>
      <c r="BE142" s="2372"/>
      <c r="BF142" s="2372"/>
      <c r="BG142" s="2372"/>
      <c r="BH142" s="2372"/>
      <c r="BI142" s="2372"/>
      <c r="BJ142" s="2372"/>
      <c r="BK142" s="2372"/>
      <c r="BL142" s="2372"/>
      <c r="BM142" s="2372"/>
      <c r="BN142" s="2372"/>
      <c r="BO142" s="2372"/>
      <c r="BP142" s="2372"/>
      <c r="BQ142" s="2372"/>
      <c r="BR142" s="2372"/>
      <c r="BS142" s="2372"/>
      <c r="BT142" s="2372"/>
      <c r="BU142" s="2372"/>
      <c r="BV142" s="2372"/>
      <c r="BW142" s="2372"/>
      <c r="BX142" s="2372"/>
      <c r="BY142" s="2372"/>
      <c r="BZ142" s="2372"/>
      <c r="CA142" s="2372"/>
      <c r="CB142" s="2372"/>
      <c r="CC142" s="2372"/>
      <c r="CD142" s="2372"/>
      <c r="CE142" s="2372"/>
      <c r="CF142" s="2372"/>
      <c r="CG142" s="2372"/>
      <c r="CH142" s="2372"/>
      <c r="CI142" s="2372"/>
      <c r="CJ142" s="2372"/>
      <c r="CK142" s="2372"/>
      <c r="CL142" s="2372"/>
      <c r="CM142" s="2372"/>
      <c r="CN142" s="2372"/>
      <c r="CO142" s="2372"/>
      <c r="CP142" s="2372"/>
      <c r="CQ142" s="2372"/>
      <c r="CR142" s="2372"/>
      <c r="CS142" s="2372"/>
      <c r="CT142" s="2372"/>
      <c r="CU142" s="2372"/>
      <c r="CV142" s="2372"/>
      <c r="CW142" s="2372"/>
      <c r="CX142" s="2372"/>
      <c r="CY142" s="2372"/>
      <c r="CZ142" s="2372"/>
      <c r="DA142" s="2372"/>
    </row>
    <row r="143" spans="1:105" ht="3" hidden="1" customHeight="1">
      <c r="A143" s="2372"/>
      <c r="B143" s="2372"/>
      <c r="U143" s="2372"/>
      <c r="V143" s="2372"/>
      <c r="W143" s="2372"/>
      <c r="X143" s="2372"/>
      <c r="Y143" s="2372"/>
      <c r="Z143" s="2372"/>
      <c r="AA143" s="2372"/>
      <c r="AB143" s="2372"/>
      <c r="AC143" s="2372"/>
      <c r="AD143" s="2372"/>
      <c r="AE143" s="2372"/>
      <c r="AF143" s="2372"/>
      <c r="AG143" s="2372"/>
      <c r="AH143" s="2372"/>
      <c r="AI143" s="2372"/>
      <c r="AJ143" s="2372"/>
      <c r="AK143" s="2372"/>
      <c r="AL143" s="2372"/>
      <c r="AM143" s="2372"/>
      <c r="AN143" s="2372"/>
      <c r="AO143" s="2372"/>
      <c r="AP143" s="2372"/>
      <c r="AQ143" s="2372"/>
      <c r="AR143" s="2372"/>
      <c r="AS143" s="2372"/>
      <c r="AT143" s="2372"/>
      <c r="AU143" s="2372"/>
      <c r="AV143" s="2372"/>
      <c r="AW143" s="2372"/>
      <c r="AX143" s="2372"/>
      <c r="AY143" s="2372"/>
      <c r="AZ143" s="2372"/>
      <c r="BA143" s="2372"/>
      <c r="BB143" s="2372"/>
      <c r="BC143" s="2372"/>
      <c r="BD143" s="2372"/>
      <c r="BE143" s="2372"/>
      <c r="BF143" s="2372"/>
      <c r="BG143" s="2372"/>
      <c r="BH143" s="2372"/>
      <c r="BI143" s="2372"/>
      <c r="BJ143" s="2372"/>
      <c r="BK143" s="2372"/>
      <c r="BL143" s="2372"/>
      <c r="BM143" s="2372"/>
      <c r="BN143" s="2372"/>
      <c r="BO143" s="2372"/>
      <c r="BP143" s="2372"/>
      <c r="BQ143" s="2372"/>
      <c r="BR143" s="2372"/>
      <c r="BS143" s="2372"/>
      <c r="BT143" s="2372"/>
      <c r="BU143" s="2372"/>
      <c r="BV143" s="2372"/>
      <c r="BW143" s="2372"/>
      <c r="BX143" s="2372"/>
      <c r="BY143" s="2372"/>
      <c r="BZ143" s="2372"/>
      <c r="CA143" s="2372"/>
      <c r="CB143" s="2372"/>
      <c r="CC143" s="2372"/>
      <c r="CD143" s="2372"/>
      <c r="CE143" s="2372"/>
      <c r="CF143" s="2372"/>
      <c r="CG143" s="2372"/>
      <c r="CH143" s="2372"/>
      <c r="CI143" s="2372"/>
      <c r="CJ143" s="2372"/>
      <c r="CK143" s="2372"/>
      <c r="CL143" s="2372"/>
      <c r="CM143" s="2372"/>
      <c r="CN143" s="2372"/>
      <c r="CO143" s="2372"/>
      <c r="CP143" s="2372"/>
      <c r="CQ143" s="2372"/>
      <c r="CR143" s="2372"/>
      <c r="CS143" s="2372"/>
      <c r="CT143" s="2372"/>
      <c r="CU143" s="2372"/>
      <c r="CV143" s="2372"/>
      <c r="CW143" s="2372"/>
      <c r="CX143" s="2372"/>
      <c r="CY143" s="2372"/>
      <c r="CZ143" s="2372"/>
      <c r="DA143" s="2372"/>
    </row>
    <row r="144" spans="1:105" ht="15" hidden="1" customHeight="1">
      <c r="A144" s="2372"/>
      <c r="B144" s="2372"/>
      <c r="U144" s="2372"/>
      <c r="V144" s="2372"/>
      <c r="W144" s="2372"/>
      <c r="X144" s="2372"/>
      <c r="Y144" s="2372"/>
      <c r="Z144" s="2372"/>
      <c r="AA144" s="2372"/>
      <c r="AB144" s="2372"/>
      <c r="AC144" s="2372"/>
      <c r="AD144" s="2372"/>
      <c r="AE144" s="2372"/>
      <c r="AF144" s="2372"/>
      <c r="AG144" s="2372"/>
      <c r="AH144" s="2372"/>
      <c r="AI144" s="2372"/>
      <c r="AJ144" s="2372"/>
      <c r="AK144" s="2372"/>
      <c r="AL144" s="2372"/>
      <c r="AM144" s="2372"/>
      <c r="AN144" s="2372"/>
      <c r="AO144" s="2372"/>
      <c r="AP144" s="2372"/>
      <c r="AQ144" s="2372"/>
      <c r="AR144" s="2372"/>
      <c r="AS144" s="2372"/>
      <c r="AT144" s="2372"/>
      <c r="AU144" s="2372"/>
      <c r="AV144" s="2372"/>
      <c r="AW144" s="2372"/>
      <c r="AX144" s="2372"/>
      <c r="AY144" s="2372"/>
      <c r="AZ144" s="2372"/>
      <c r="BA144" s="2372"/>
      <c r="BB144" s="2372"/>
      <c r="BC144" s="2372"/>
      <c r="BD144" s="2372"/>
      <c r="BE144" s="2372"/>
      <c r="BF144" s="2372"/>
      <c r="BG144" s="2372"/>
      <c r="BH144" s="2372"/>
      <c r="BI144" s="2372"/>
      <c r="BJ144" s="2372"/>
      <c r="BK144" s="2372"/>
      <c r="BL144" s="2372"/>
      <c r="BM144" s="2372"/>
      <c r="BN144" s="2372"/>
      <c r="BO144" s="2372"/>
      <c r="BP144" s="2372"/>
      <c r="BQ144" s="2372"/>
      <c r="BR144" s="2372"/>
      <c r="BS144" s="2372"/>
      <c r="BT144" s="2372"/>
      <c r="BU144" s="2372"/>
      <c r="BV144" s="2372"/>
      <c r="BW144" s="2372"/>
      <c r="BX144" s="2372"/>
      <c r="BY144" s="2372"/>
      <c r="BZ144" s="2372"/>
      <c r="CA144" s="2372"/>
      <c r="CB144" s="2372"/>
      <c r="CC144" s="2372"/>
      <c r="CD144" s="2372"/>
      <c r="CE144" s="2372"/>
      <c r="CF144" s="2372"/>
      <c r="CG144" s="2372"/>
      <c r="CH144" s="2372"/>
      <c r="CI144" s="2372"/>
      <c r="CJ144" s="2372"/>
      <c r="CK144" s="2372"/>
      <c r="CL144" s="2372"/>
      <c r="CM144" s="2372"/>
      <c r="CN144" s="2372"/>
      <c r="CO144" s="2372"/>
      <c r="CP144" s="2372"/>
      <c r="CQ144" s="2372"/>
      <c r="CR144" s="2372"/>
      <c r="CS144" s="2372"/>
      <c r="CT144" s="2372"/>
      <c r="CU144" s="2372"/>
      <c r="CV144" s="2372"/>
      <c r="CW144" s="2372"/>
      <c r="CX144" s="2372"/>
      <c r="CY144" s="2372"/>
      <c r="CZ144" s="2372"/>
      <c r="DA144" s="2372"/>
    </row>
    <row r="145" spans="1:105" ht="3" hidden="1" customHeight="1">
      <c r="A145" s="2372"/>
      <c r="B145" s="2372"/>
      <c r="C145" s="2372"/>
      <c r="D145" s="2372"/>
      <c r="E145" s="2372"/>
      <c r="F145" s="2372"/>
      <c r="G145" s="2372"/>
      <c r="H145" s="2372"/>
      <c r="I145" s="2372"/>
      <c r="J145" s="2372"/>
      <c r="K145" s="2372"/>
      <c r="L145" s="2372"/>
      <c r="M145" s="2372"/>
      <c r="N145" s="2372"/>
      <c r="O145" s="2372"/>
      <c r="P145" s="2372"/>
      <c r="Q145" s="2372"/>
      <c r="R145" s="2372"/>
      <c r="S145" s="2372"/>
      <c r="T145" s="2372"/>
      <c r="U145" s="2372"/>
      <c r="V145" s="2372"/>
      <c r="W145" s="2372"/>
      <c r="X145" s="2372"/>
      <c r="Y145" s="2372"/>
      <c r="Z145" s="2372"/>
      <c r="AA145" s="2372"/>
      <c r="AB145" s="2372"/>
      <c r="AC145" s="2372"/>
      <c r="AD145" s="2372"/>
      <c r="AE145" s="2372"/>
      <c r="AF145" s="2372"/>
      <c r="AG145" s="2372"/>
      <c r="AH145" s="2372"/>
      <c r="AI145" s="2372"/>
      <c r="AJ145" s="2372"/>
      <c r="AK145" s="2372"/>
      <c r="AL145" s="2372"/>
      <c r="AM145" s="2372"/>
      <c r="AN145" s="2372"/>
      <c r="AO145" s="2372"/>
      <c r="AP145" s="2372"/>
      <c r="AQ145" s="2372"/>
      <c r="AR145" s="2372"/>
      <c r="AS145" s="2372"/>
      <c r="AT145" s="2372"/>
      <c r="AU145" s="2372"/>
      <c r="AV145" s="2372"/>
      <c r="AW145" s="2372"/>
      <c r="AX145" s="2372"/>
      <c r="AY145" s="2372"/>
      <c r="AZ145" s="2372"/>
      <c r="BA145" s="2372"/>
      <c r="BB145" s="2372"/>
      <c r="BC145" s="2372"/>
      <c r="BD145" s="2372"/>
      <c r="BE145" s="2372"/>
      <c r="BF145" s="2372"/>
      <c r="BG145" s="2372"/>
      <c r="BH145" s="2372"/>
      <c r="BI145" s="2372"/>
      <c r="BJ145" s="2372"/>
      <c r="BK145" s="2372"/>
      <c r="BL145" s="2372"/>
      <c r="BM145" s="2372"/>
      <c r="BN145" s="2372"/>
      <c r="BO145" s="2372"/>
      <c r="BP145" s="2372"/>
      <c r="BQ145" s="2372"/>
      <c r="BR145" s="2372"/>
      <c r="BS145" s="2372"/>
      <c r="BT145" s="2372"/>
      <c r="BU145" s="2372"/>
      <c r="BV145" s="2372"/>
      <c r="BW145" s="2372"/>
      <c r="BX145" s="2372"/>
      <c r="BY145" s="2372"/>
      <c r="BZ145" s="2372"/>
      <c r="CA145" s="2372"/>
      <c r="CB145" s="2372"/>
      <c r="CC145" s="2372"/>
      <c r="CD145" s="2372"/>
      <c r="CE145" s="2372"/>
      <c r="CF145" s="2372"/>
      <c r="CG145" s="2372"/>
      <c r="CH145" s="2372"/>
      <c r="CI145" s="2372"/>
      <c r="CJ145" s="2372"/>
      <c r="CK145" s="2372"/>
      <c r="CL145" s="2372"/>
      <c r="CM145" s="2372"/>
      <c r="CN145" s="2372"/>
      <c r="CO145" s="2372"/>
      <c r="CP145" s="2372"/>
      <c r="CQ145" s="2372"/>
      <c r="CR145" s="2372"/>
      <c r="CS145" s="2372"/>
      <c r="CT145" s="2372"/>
      <c r="CU145" s="2372"/>
      <c r="CV145" s="2372"/>
      <c r="CW145" s="2372"/>
      <c r="CX145" s="2372"/>
      <c r="CY145" s="2372"/>
      <c r="CZ145" s="2372"/>
      <c r="DA145" s="2372"/>
    </row>
    <row r="146" spans="1:105" ht="15" hidden="1" customHeight="1">
      <c r="A146" s="2372"/>
      <c r="B146" s="2372"/>
      <c r="C146" s="2372"/>
      <c r="D146" s="2372"/>
      <c r="E146" s="2372"/>
      <c r="F146" s="2372"/>
      <c r="G146" s="2372"/>
      <c r="H146" s="2372"/>
      <c r="I146" s="2372"/>
      <c r="J146" s="2372"/>
      <c r="K146" s="2372"/>
      <c r="L146" s="2372"/>
      <c r="M146" s="2372"/>
      <c r="N146" s="2372"/>
      <c r="O146" s="2372"/>
      <c r="P146" s="2372"/>
      <c r="Q146" s="2372"/>
      <c r="R146" s="2372"/>
      <c r="S146" s="2372"/>
      <c r="T146" s="2372"/>
      <c r="U146" s="2372"/>
      <c r="V146" s="2372"/>
      <c r="W146" s="2372"/>
      <c r="X146" s="2372"/>
      <c r="Y146" s="2372"/>
      <c r="Z146" s="2372"/>
      <c r="AA146" s="2372"/>
      <c r="AB146" s="2372"/>
      <c r="AC146" s="2372"/>
      <c r="AD146" s="2372"/>
      <c r="AE146" s="2372"/>
      <c r="AF146" s="2372"/>
      <c r="AG146" s="2372"/>
      <c r="AH146" s="2372"/>
      <c r="AI146" s="2372"/>
      <c r="AJ146" s="2372"/>
      <c r="AK146" s="2372"/>
      <c r="AL146" s="2372"/>
      <c r="AM146" s="2372"/>
      <c r="AN146" s="2372"/>
      <c r="AO146" s="2372"/>
      <c r="AP146" s="2372"/>
      <c r="AQ146" s="2372"/>
      <c r="AR146" s="2372"/>
      <c r="AS146" s="2372"/>
      <c r="AT146" s="2372"/>
      <c r="AU146" s="2372"/>
      <c r="AV146" s="2372"/>
      <c r="AW146" s="2372"/>
      <c r="AX146" s="2372"/>
      <c r="AY146" s="2372"/>
      <c r="AZ146" s="2372"/>
      <c r="BA146" s="2372"/>
      <c r="BB146" s="2372"/>
      <c r="BC146" s="2372"/>
      <c r="BD146" s="2372"/>
      <c r="BE146" s="2372"/>
      <c r="BF146" s="2372"/>
      <c r="BG146" s="2372"/>
      <c r="BH146" s="2372"/>
      <c r="BI146" s="2372"/>
      <c r="BJ146" s="2372"/>
      <c r="BK146" s="2372"/>
      <c r="BL146" s="2372"/>
      <c r="BM146" s="2372"/>
      <c r="BN146" s="2372"/>
      <c r="BO146" s="2372"/>
      <c r="BP146" s="2372"/>
      <c r="BQ146" s="2372"/>
      <c r="BR146" s="2372"/>
      <c r="BS146" s="2372"/>
      <c r="BT146" s="2372"/>
      <c r="BU146" s="2372"/>
      <c r="BV146" s="2372"/>
      <c r="BW146" s="2372"/>
      <c r="BX146" s="2372"/>
      <c r="BY146" s="2372"/>
      <c r="BZ146" s="2372"/>
      <c r="CA146" s="2372"/>
      <c r="CB146" s="2372"/>
      <c r="CC146" s="2372"/>
      <c r="CD146" s="2372"/>
      <c r="CE146" s="2372"/>
      <c r="CF146" s="2372"/>
      <c r="CG146" s="2372"/>
      <c r="CH146" s="2372"/>
      <c r="CI146" s="2372"/>
      <c r="CJ146" s="2372"/>
      <c r="CK146" s="2372"/>
      <c r="CL146" s="2372"/>
      <c r="CM146" s="2372"/>
      <c r="CN146" s="2372"/>
      <c r="CO146" s="2372"/>
      <c r="CP146" s="2372"/>
      <c r="CQ146" s="2372"/>
      <c r="CR146" s="2372"/>
      <c r="CS146" s="2372"/>
      <c r="CT146" s="2372"/>
      <c r="CU146" s="2372"/>
      <c r="CV146" s="2372"/>
      <c r="CW146" s="2372"/>
      <c r="CX146" s="2372"/>
      <c r="CY146" s="2372"/>
      <c r="CZ146" s="2372"/>
      <c r="DA146" s="2372"/>
    </row>
    <row r="147" spans="1:105" ht="3" hidden="1" customHeight="1">
      <c r="A147" s="2372"/>
      <c r="B147" s="2372"/>
      <c r="C147" s="2372"/>
      <c r="D147" s="2372"/>
      <c r="E147" s="2372"/>
      <c r="F147" s="2372"/>
      <c r="G147" s="2372"/>
      <c r="H147" s="2372"/>
      <c r="I147" s="2372"/>
      <c r="J147" s="2372"/>
      <c r="K147" s="2372"/>
      <c r="L147" s="2372"/>
      <c r="M147" s="2372"/>
      <c r="N147" s="2372"/>
      <c r="O147" s="2372"/>
      <c r="P147" s="2372"/>
      <c r="Q147" s="2372"/>
      <c r="R147" s="2372"/>
      <c r="S147" s="2372"/>
      <c r="T147" s="2372"/>
      <c r="U147" s="2372"/>
      <c r="V147" s="2372"/>
      <c r="W147" s="2372"/>
      <c r="X147" s="2372"/>
      <c r="Y147" s="2372"/>
      <c r="Z147" s="2372"/>
      <c r="AA147" s="2372"/>
      <c r="AB147" s="2372"/>
      <c r="AC147" s="2372"/>
      <c r="AD147" s="2372"/>
      <c r="AE147" s="2372"/>
      <c r="AF147" s="2372"/>
      <c r="AG147" s="2372"/>
      <c r="AH147" s="2372"/>
      <c r="AI147" s="2372"/>
      <c r="AJ147" s="2372"/>
      <c r="AK147" s="2372"/>
      <c r="AL147" s="2372"/>
      <c r="AM147" s="2372"/>
      <c r="AN147" s="2372"/>
      <c r="AO147" s="2372"/>
      <c r="AP147" s="2372"/>
      <c r="AQ147" s="2372"/>
      <c r="AR147" s="2372"/>
      <c r="AS147" s="2372"/>
      <c r="AT147" s="2372"/>
      <c r="AU147" s="2372"/>
      <c r="AV147" s="2372"/>
      <c r="AW147" s="2372"/>
      <c r="AX147" s="2372"/>
      <c r="AY147" s="2372"/>
      <c r="AZ147" s="2372"/>
      <c r="BA147" s="2372"/>
      <c r="BB147" s="2372"/>
      <c r="BC147" s="2372"/>
      <c r="BD147" s="2372"/>
      <c r="BE147" s="2372"/>
      <c r="BF147" s="2372"/>
      <c r="BG147" s="2372"/>
      <c r="BH147" s="2372"/>
      <c r="BI147" s="2372"/>
      <c r="BJ147" s="2372"/>
      <c r="BK147" s="2372"/>
      <c r="BL147" s="2372"/>
      <c r="BM147" s="2372"/>
      <c r="BN147" s="2372"/>
      <c r="BO147" s="2372"/>
      <c r="BP147" s="2372"/>
      <c r="BQ147" s="2372"/>
      <c r="BR147" s="2372"/>
      <c r="BS147" s="2372"/>
      <c r="BT147" s="2372"/>
      <c r="BU147" s="2372"/>
      <c r="BV147" s="2372"/>
      <c r="BW147" s="2372"/>
      <c r="BX147" s="2372"/>
      <c r="BY147" s="2372"/>
      <c r="BZ147" s="2372"/>
      <c r="CA147" s="2372"/>
      <c r="CB147" s="2372"/>
      <c r="CC147" s="2372"/>
      <c r="CD147" s="2372"/>
      <c r="CE147" s="2372"/>
      <c r="CF147" s="2372"/>
      <c r="CG147" s="2372"/>
      <c r="CH147" s="2372"/>
      <c r="CI147" s="2372"/>
      <c r="CJ147" s="2372"/>
      <c r="CK147" s="2372"/>
      <c r="CL147" s="2372"/>
      <c r="CM147" s="2372"/>
      <c r="CN147" s="2372"/>
      <c r="CO147" s="2372"/>
      <c r="CP147" s="2372"/>
      <c r="CQ147" s="2372"/>
      <c r="CR147" s="2372"/>
      <c r="CS147" s="2372"/>
      <c r="CT147" s="2372"/>
      <c r="CU147" s="2372"/>
      <c r="CV147" s="2372"/>
      <c r="CW147" s="2372"/>
      <c r="CX147" s="2372"/>
      <c r="CY147" s="2372"/>
      <c r="CZ147" s="2372"/>
      <c r="DA147" s="2372"/>
    </row>
    <row r="148" spans="1:105" ht="15" hidden="1" customHeight="1">
      <c r="A148" s="2372"/>
      <c r="B148" s="2372"/>
      <c r="C148" s="2372"/>
      <c r="D148" s="2372"/>
      <c r="E148" s="2372"/>
      <c r="F148" s="2372"/>
      <c r="G148" s="2372"/>
      <c r="H148" s="2372"/>
      <c r="I148" s="2372"/>
      <c r="J148" s="2372"/>
      <c r="K148" s="2372"/>
      <c r="L148" s="2372"/>
      <c r="M148" s="2372"/>
      <c r="N148" s="2372"/>
      <c r="O148" s="2372"/>
      <c r="P148" s="2372"/>
      <c r="Q148" s="2372"/>
      <c r="R148" s="2372"/>
      <c r="S148" s="2372"/>
      <c r="T148" s="2372"/>
      <c r="U148" s="2372"/>
      <c r="V148" s="2372"/>
      <c r="W148" s="2372"/>
      <c r="X148" s="2372"/>
      <c r="Y148" s="2372"/>
      <c r="Z148" s="2372"/>
      <c r="AA148" s="2372"/>
      <c r="AB148" s="2372"/>
      <c r="AC148" s="2372"/>
      <c r="AD148" s="2372"/>
      <c r="AE148" s="2372"/>
      <c r="AF148" s="2372"/>
      <c r="AG148" s="2372"/>
      <c r="AH148" s="2372"/>
      <c r="AI148" s="2372"/>
      <c r="AJ148" s="2372"/>
      <c r="AK148" s="2372"/>
      <c r="AL148" s="2372"/>
      <c r="AM148" s="2372"/>
      <c r="AN148" s="2372"/>
      <c r="AO148" s="2372"/>
      <c r="AP148" s="2372"/>
      <c r="AQ148" s="2372"/>
      <c r="AR148" s="2372"/>
      <c r="AS148" s="2372"/>
      <c r="AT148" s="2372"/>
      <c r="AU148" s="2372"/>
      <c r="AV148" s="2372"/>
      <c r="AW148" s="2372"/>
      <c r="AX148" s="2372"/>
      <c r="AY148" s="2372"/>
      <c r="AZ148" s="2372"/>
      <c r="BA148" s="2372"/>
      <c r="BB148" s="2372"/>
      <c r="BC148" s="2372"/>
      <c r="BD148" s="2372"/>
      <c r="BE148" s="2372"/>
      <c r="BF148" s="2372"/>
      <c r="BG148" s="2372"/>
      <c r="BH148" s="2372"/>
      <c r="BI148" s="2372"/>
      <c r="BJ148" s="2372"/>
      <c r="BK148" s="2372"/>
      <c r="BL148" s="2372"/>
      <c r="BM148" s="2372"/>
      <c r="BN148" s="2372"/>
      <c r="BO148" s="2372"/>
      <c r="BP148" s="2372"/>
      <c r="BQ148" s="2372"/>
      <c r="BR148" s="2372"/>
      <c r="BS148" s="2372"/>
      <c r="BT148" s="2372"/>
      <c r="BU148" s="2372"/>
      <c r="BV148" s="2372"/>
      <c r="BW148" s="2372"/>
      <c r="BX148" s="2372"/>
      <c r="BY148" s="2372"/>
      <c r="BZ148" s="2372"/>
      <c r="CA148" s="2372"/>
      <c r="CB148" s="2372"/>
      <c r="CC148" s="2372"/>
      <c r="CD148" s="2372"/>
      <c r="CE148" s="2372"/>
      <c r="CF148" s="2372"/>
      <c r="CG148" s="2372"/>
      <c r="CH148" s="2372"/>
      <c r="CI148" s="2372"/>
      <c r="CJ148" s="2372"/>
      <c r="CK148" s="2372"/>
      <c r="CL148" s="2372"/>
      <c r="CM148" s="2372"/>
      <c r="CN148" s="2372"/>
      <c r="CO148" s="2372"/>
      <c r="CP148" s="2372"/>
      <c r="CQ148" s="2372"/>
      <c r="CR148" s="2372"/>
      <c r="CS148" s="2372"/>
      <c r="CT148" s="2372"/>
      <c r="CU148" s="2372"/>
      <c r="CV148" s="2372"/>
      <c r="CW148" s="2372"/>
      <c r="CX148" s="2372"/>
      <c r="CY148" s="2372"/>
      <c r="CZ148" s="2372"/>
      <c r="DA148" s="2372"/>
    </row>
    <row r="149" spans="1:105" ht="3" hidden="1" customHeight="1">
      <c r="A149" s="2372"/>
      <c r="B149" s="2372"/>
      <c r="C149" s="2372"/>
      <c r="D149" s="2372"/>
      <c r="E149" s="2372"/>
      <c r="F149" s="2372"/>
      <c r="G149" s="2372"/>
      <c r="H149" s="2372"/>
      <c r="I149" s="2372"/>
      <c r="J149" s="2372"/>
      <c r="K149" s="2372"/>
      <c r="L149" s="2372"/>
      <c r="M149" s="2372"/>
      <c r="N149" s="2372"/>
      <c r="O149" s="2372"/>
      <c r="P149" s="2372"/>
      <c r="Q149" s="2372"/>
      <c r="R149" s="2372"/>
      <c r="S149" s="2372"/>
      <c r="T149" s="2372"/>
      <c r="U149" s="2372"/>
      <c r="V149" s="2372"/>
      <c r="W149" s="2372"/>
      <c r="X149" s="2372"/>
      <c r="Y149" s="2372"/>
      <c r="Z149" s="2372"/>
      <c r="AA149" s="2372"/>
      <c r="AB149" s="2372"/>
      <c r="AC149" s="2372"/>
      <c r="AD149" s="2372"/>
      <c r="AE149" s="2372"/>
      <c r="AF149" s="2372"/>
      <c r="AG149" s="2372"/>
      <c r="AH149" s="2372"/>
      <c r="AI149" s="2372"/>
      <c r="AJ149" s="2372"/>
      <c r="AK149" s="2372"/>
      <c r="AL149" s="2372"/>
      <c r="AM149" s="2372"/>
      <c r="AN149" s="2372"/>
      <c r="AO149" s="2372"/>
      <c r="AP149" s="2372"/>
      <c r="AQ149" s="2372"/>
      <c r="AR149" s="2372"/>
      <c r="AS149" s="2372"/>
      <c r="AT149" s="2372"/>
      <c r="AU149" s="2372"/>
      <c r="AV149" s="2372"/>
      <c r="AW149" s="2372"/>
      <c r="AX149" s="2372"/>
      <c r="AY149" s="2372"/>
      <c r="AZ149" s="2372"/>
      <c r="BA149" s="2372"/>
      <c r="BB149" s="2372"/>
      <c r="BC149" s="2372"/>
      <c r="BD149" s="2372"/>
      <c r="BE149" s="2372"/>
      <c r="BF149" s="2372"/>
      <c r="BG149" s="2372"/>
      <c r="BH149" s="2372"/>
      <c r="BI149" s="2372"/>
      <c r="BJ149" s="2372"/>
      <c r="BK149" s="2372"/>
      <c r="BL149" s="2372"/>
      <c r="BM149" s="2372"/>
      <c r="BN149" s="2372"/>
      <c r="BO149" s="2372"/>
      <c r="BP149" s="2372"/>
      <c r="BQ149" s="2372"/>
      <c r="BR149" s="2372"/>
      <c r="BS149" s="2372"/>
      <c r="BT149" s="2372"/>
      <c r="BU149" s="2372"/>
      <c r="BV149" s="2372"/>
      <c r="BW149" s="2372"/>
      <c r="BX149" s="2372"/>
      <c r="BY149" s="2372"/>
      <c r="BZ149" s="2372"/>
      <c r="CA149" s="2372"/>
      <c r="CB149" s="2372"/>
      <c r="CC149" s="2372"/>
      <c r="CD149" s="2372"/>
      <c r="CE149" s="2372"/>
      <c r="CF149" s="2372"/>
      <c r="CG149" s="2372"/>
      <c r="CH149" s="2372"/>
      <c r="CI149" s="2372"/>
      <c r="CJ149" s="2372"/>
      <c r="CK149" s="2372"/>
      <c r="CL149" s="2372"/>
      <c r="CM149" s="2372"/>
      <c r="CN149" s="2372"/>
      <c r="CO149" s="2372"/>
      <c r="CP149" s="2372"/>
      <c r="CQ149" s="2372"/>
      <c r="CR149" s="2372"/>
      <c r="CS149" s="2372"/>
      <c r="CT149" s="2372"/>
      <c r="CU149" s="2372"/>
      <c r="CV149" s="2372"/>
      <c r="CW149" s="2372"/>
      <c r="CX149" s="2372"/>
      <c r="CY149" s="2372"/>
      <c r="CZ149" s="2372"/>
      <c r="DA149" s="2372"/>
    </row>
    <row r="150" spans="1:105" ht="15" hidden="1" customHeight="1">
      <c r="A150" s="2372"/>
      <c r="B150" s="2372"/>
      <c r="C150" s="2372"/>
      <c r="D150" s="2372"/>
      <c r="E150" s="2372"/>
      <c r="F150" s="2372"/>
      <c r="G150" s="2372"/>
      <c r="H150" s="2372"/>
      <c r="I150" s="2372"/>
      <c r="J150" s="2372"/>
      <c r="K150" s="2372"/>
      <c r="L150" s="2372"/>
      <c r="M150" s="2372"/>
      <c r="N150" s="2372"/>
      <c r="O150" s="2372"/>
      <c r="P150" s="2372"/>
      <c r="Q150" s="2372"/>
      <c r="R150" s="2372"/>
      <c r="S150" s="2372"/>
      <c r="T150" s="2372"/>
      <c r="U150" s="2372"/>
      <c r="V150" s="2372"/>
      <c r="W150" s="2372"/>
      <c r="X150" s="2372"/>
      <c r="Y150" s="2372"/>
      <c r="Z150" s="2372"/>
      <c r="AA150" s="2372"/>
      <c r="AB150" s="2372"/>
      <c r="AC150" s="2372"/>
      <c r="AD150" s="2372"/>
      <c r="AE150" s="2372"/>
      <c r="AF150" s="2372"/>
      <c r="AG150" s="2372"/>
      <c r="AH150" s="2372"/>
      <c r="AI150" s="2372"/>
      <c r="AJ150" s="2372"/>
      <c r="AK150" s="2372"/>
      <c r="AL150" s="2372"/>
      <c r="AM150" s="2372"/>
      <c r="AN150" s="2372"/>
      <c r="AO150" s="2372"/>
      <c r="AP150" s="2372"/>
      <c r="AQ150" s="2372"/>
      <c r="AR150" s="2372"/>
      <c r="AS150" s="2372"/>
      <c r="AT150" s="2372"/>
      <c r="AU150" s="2372"/>
      <c r="AV150" s="2372"/>
      <c r="AW150" s="2372"/>
      <c r="AX150" s="2372"/>
      <c r="AY150" s="2372"/>
      <c r="AZ150" s="2372"/>
      <c r="BA150" s="2372"/>
      <c r="BB150" s="2372"/>
      <c r="BC150" s="2372"/>
      <c r="BD150" s="2372"/>
      <c r="BE150" s="2372"/>
      <c r="BF150" s="2372"/>
      <c r="BG150" s="2372"/>
      <c r="BH150" s="2372"/>
      <c r="BI150" s="2372"/>
      <c r="BJ150" s="2372"/>
      <c r="BK150" s="2372"/>
      <c r="BL150" s="2372"/>
      <c r="BM150" s="2372"/>
      <c r="BN150" s="2372"/>
      <c r="BO150" s="2372"/>
      <c r="BP150" s="2372"/>
      <c r="BQ150" s="2372"/>
      <c r="BR150" s="2372"/>
      <c r="BS150" s="2372"/>
      <c r="BT150" s="2372"/>
      <c r="BU150" s="2372"/>
      <c r="BV150" s="2372"/>
      <c r="BW150" s="2372"/>
      <c r="BX150" s="2372"/>
      <c r="BY150" s="2372"/>
      <c r="BZ150" s="2372"/>
      <c r="CA150" s="2372"/>
      <c r="CB150" s="2372"/>
      <c r="CC150" s="2372"/>
      <c r="CD150" s="2372"/>
      <c r="CE150" s="2372"/>
      <c r="CF150" s="2372"/>
      <c r="CG150" s="2372"/>
      <c r="CH150" s="2372"/>
      <c r="CI150" s="2372"/>
      <c r="CJ150" s="2372"/>
      <c r="CK150" s="2372"/>
      <c r="CL150" s="2372"/>
      <c r="CM150" s="2372"/>
      <c r="CN150" s="2372"/>
      <c r="CO150" s="2372"/>
      <c r="CP150" s="2372"/>
      <c r="CQ150" s="2372"/>
      <c r="CR150" s="2372"/>
      <c r="CS150" s="2372"/>
      <c r="CT150" s="2372"/>
      <c r="CU150" s="2372"/>
      <c r="CV150" s="2372"/>
      <c r="CW150" s="2372"/>
      <c r="CX150" s="2372"/>
      <c r="CY150" s="2372"/>
      <c r="CZ150" s="2372"/>
      <c r="DA150" s="2372"/>
    </row>
    <row r="151" spans="1:105" ht="3" hidden="1" customHeight="1">
      <c r="A151" s="2372"/>
      <c r="B151" s="2372"/>
      <c r="C151" s="2372"/>
      <c r="D151" s="2372"/>
      <c r="E151" s="2372"/>
      <c r="F151" s="2372"/>
      <c r="G151" s="2372"/>
      <c r="H151" s="2372"/>
      <c r="I151" s="2372"/>
      <c r="J151" s="2372"/>
      <c r="K151" s="2372"/>
      <c r="L151" s="2372"/>
      <c r="M151" s="2372"/>
      <c r="N151" s="2372"/>
      <c r="O151" s="2372"/>
      <c r="P151" s="2372"/>
      <c r="Q151" s="2372"/>
      <c r="R151" s="2372"/>
      <c r="S151" s="2372"/>
      <c r="T151" s="2372"/>
      <c r="U151" s="2372"/>
      <c r="V151" s="2372"/>
      <c r="W151" s="2372"/>
      <c r="X151" s="2372"/>
      <c r="Y151" s="2372"/>
      <c r="Z151" s="2372"/>
      <c r="AA151" s="2372"/>
      <c r="AB151" s="2372"/>
      <c r="AC151" s="2372"/>
      <c r="AD151" s="2372"/>
      <c r="AE151" s="2372"/>
      <c r="AF151" s="2372"/>
      <c r="AG151" s="2372"/>
      <c r="AH151" s="2372"/>
      <c r="AI151" s="2372"/>
      <c r="AJ151" s="2372"/>
      <c r="AK151" s="2372"/>
      <c r="AL151" s="2372"/>
      <c r="AM151" s="2372"/>
      <c r="AN151" s="2372"/>
      <c r="AO151" s="2372"/>
      <c r="AP151" s="2372"/>
      <c r="AQ151" s="2372"/>
      <c r="AR151" s="2372"/>
      <c r="AS151" s="2372"/>
      <c r="AT151" s="2372"/>
      <c r="AU151" s="2372"/>
      <c r="AV151" s="2372"/>
      <c r="AW151" s="2372"/>
      <c r="AX151" s="2372"/>
      <c r="AY151" s="2372"/>
      <c r="AZ151" s="2372"/>
      <c r="BA151" s="2372"/>
      <c r="BB151" s="2372"/>
      <c r="BC151" s="2372"/>
      <c r="BD151" s="2372"/>
      <c r="BE151" s="2372"/>
      <c r="BF151" s="2372"/>
      <c r="BG151" s="2372"/>
      <c r="BH151" s="2372"/>
      <c r="BI151" s="2372"/>
      <c r="BJ151" s="2372"/>
      <c r="BK151" s="2372"/>
      <c r="BL151" s="2372"/>
      <c r="BM151" s="2372"/>
      <c r="BN151" s="2372"/>
      <c r="BO151" s="2372"/>
      <c r="BP151" s="2372"/>
      <c r="BQ151" s="2372"/>
      <c r="BR151" s="2372"/>
      <c r="BS151" s="2372"/>
      <c r="BT151" s="2372"/>
      <c r="BU151" s="2372"/>
      <c r="BV151" s="2372"/>
      <c r="BW151" s="2372"/>
      <c r="BX151" s="2372"/>
      <c r="BY151" s="2372"/>
      <c r="BZ151" s="2372"/>
      <c r="CA151" s="2372"/>
      <c r="CB151" s="2372"/>
      <c r="CC151" s="2372"/>
      <c r="CD151" s="2372"/>
      <c r="CE151" s="2372"/>
      <c r="CF151" s="2372"/>
      <c r="CG151" s="2372"/>
      <c r="CH151" s="2372"/>
      <c r="CI151" s="2372"/>
      <c r="CJ151" s="2372"/>
      <c r="CK151" s="2372"/>
      <c r="CL151" s="2372"/>
      <c r="CM151" s="2372"/>
      <c r="CN151" s="2372"/>
      <c r="CO151" s="2372"/>
      <c r="CP151" s="2372"/>
      <c r="CQ151" s="2372"/>
      <c r="CR151" s="2372"/>
      <c r="CS151" s="2372"/>
      <c r="CT151" s="2372"/>
      <c r="CU151" s="2372"/>
      <c r="CV151" s="2372"/>
      <c r="CW151" s="2372"/>
      <c r="CX151" s="2372"/>
      <c r="CY151" s="2372"/>
      <c r="CZ151" s="2372"/>
      <c r="DA151" s="2372"/>
    </row>
    <row r="152" spans="1:105" ht="15" hidden="1" customHeight="1">
      <c r="A152" s="2372"/>
      <c r="B152" s="2372"/>
      <c r="C152" s="2372"/>
      <c r="D152" s="2372"/>
      <c r="E152" s="2372"/>
      <c r="F152" s="2372"/>
      <c r="G152" s="2372"/>
      <c r="H152" s="2372"/>
      <c r="I152" s="2372"/>
      <c r="J152" s="2372"/>
      <c r="K152" s="2372"/>
      <c r="L152" s="2372"/>
      <c r="M152" s="2372"/>
      <c r="N152" s="2372"/>
      <c r="O152" s="2372"/>
      <c r="P152" s="2372"/>
      <c r="Q152" s="2372"/>
      <c r="R152" s="2372"/>
      <c r="S152" s="2372"/>
      <c r="T152" s="2372"/>
      <c r="U152" s="2372"/>
      <c r="V152" s="2372"/>
      <c r="W152" s="2372"/>
      <c r="X152" s="2372"/>
      <c r="Y152" s="2372"/>
      <c r="Z152" s="2372"/>
      <c r="AA152" s="2372"/>
      <c r="AB152" s="2372"/>
      <c r="AC152" s="2372"/>
      <c r="AD152" s="2372"/>
      <c r="AE152" s="2372"/>
      <c r="AF152" s="2372"/>
      <c r="AG152" s="2372"/>
      <c r="AH152" s="2372"/>
      <c r="AI152" s="2372"/>
      <c r="AJ152" s="2372"/>
      <c r="AK152" s="2372"/>
      <c r="AL152" s="2372"/>
      <c r="AM152" s="2372"/>
      <c r="AN152" s="2372"/>
      <c r="AO152" s="2372"/>
      <c r="AP152" s="2372"/>
      <c r="AQ152" s="2372"/>
      <c r="AR152" s="2372"/>
      <c r="AS152" s="2372"/>
      <c r="AT152" s="2372"/>
      <c r="AU152" s="2372"/>
      <c r="AV152" s="2372"/>
      <c r="AW152" s="2372"/>
      <c r="AX152" s="2372"/>
      <c r="AY152" s="2372"/>
      <c r="AZ152" s="2372"/>
      <c r="BA152" s="2372"/>
      <c r="BB152" s="2372"/>
      <c r="BC152" s="2372"/>
      <c r="BD152" s="2372"/>
      <c r="BE152" s="2372"/>
      <c r="BF152" s="2372"/>
      <c r="BG152" s="2372"/>
      <c r="BH152" s="2372"/>
      <c r="BI152" s="2372"/>
      <c r="BJ152" s="2372"/>
      <c r="BK152" s="2372"/>
      <c r="BL152" s="2372"/>
      <c r="BM152" s="2372"/>
      <c r="BN152" s="2372"/>
      <c r="BO152" s="2372"/>
      <c r="BP152" s="2372"/>
      <c r="BQ152" s="2372"/>
      <c r="BR152" s="2372"/>
      <c r="BS152" s="2372"/>
      <c r="BT152" s="2372"/>
      <c r="BU152" s="2372"/>
      <c r="BV152" s="2372"/>
      <c r="BW152" s="2372"/>
      <c r="BX152" s="2372"/>
      <c r="BY152" s="2372"/>
      <c r="BZ152" s="2372"/>
      <c r="CA152" s="2372"/>
      <c r="CB152" s="2372"/>
      <c r="CC152" s="2372"/>
      <c r="CD152" s="2372"/>
      <c r="CE152" s="2372"/>
      <c r="CF152" s="2372"/>
      <c r="CG152" s="2372"/>
      <c r="CH152" s="2372"/>
      <c r="CI152" s="2372"/>
      <c r="CJ152" s="2372"/>
      <c r="CK152" s="2372"/>
      <c r="CL152" s="2372"/>
      <c r="CM152" s="2372"/>
      <c r="CN152" s="2372"/>
      <c r="CO152" s="2372"/>
      <c r="CP152" s="2372"/>
      <c r="CQ152" s="2372"/>
      <c r="CR152" s="2372"/>
      <c r="CS152" s="2372"/>
      <c r="CT152" s="2372"/>
      <c r="CU152" s="2372"/>
      <c r="CV152" s="2372"/>
      <c r="CW152" s="2372"/>
      <c r="CX152" s="2372"/>
      <c r="CY152" s="2372"/>
      <c r="CZ152" s="2372"/>
      <c r="DA152" s="2372"/>
    </row>
    <row r="153" spans="1:105" ht="3" hidden="1" customHeight="1">
      <c r="A153" s="2372"/>
      <c r="B153" s="2372"/>
      <c r="C153" s="2372"/>
      <c r="D153" s="2372"/>
      <c r="E153" s="2372"/>
      <c r="F153" s="2372"/>
      <c r="G153" s="2372"/>
      <c r="H153" s="2372"/>
      <c r="I153" s="2372"/>
      <c r="J153" s="2372"/>
      <c r="K153" s="2372"/>
      <c r="L153" s="2372"/>
      <c r="M153" s="2372"/>
      <c r="N153" s="2372"/>
      <c r="O153" s="2372"/>
      <c r="P153" s="2372"/>
      <c r="Q153" s="2372"/>
      <c r="R153" s="2372"/>
      <c r="S153" s="2372"/>
      <c r="T153" s="2372"/>
      <c r="U153" s="2372"/>
      <c r="V153" s="2372"/>
      <c r="W153" s="2372"/>
      <c r="X153" s="2372"/>
      <c r="Y153" s="2372"/>
      <c r="Z153" s="2372"/>
      <c r="AA153" s="2372"/>
      <c r="AB153" s="2372"/>
      <c r="AC153" s="2372"/>
      <c r="AD153" s="2372"/>
      <c r="AE153" s="2372"/>
      <c r="AF153" s="2372"/>
      <c r="AG153" s="2372"/>
      <c r="AH153" s="2372"/>
      <c r="AI153" s="2372"/>
      <c r="AJ153" s="2372"/>
      <c r="AK153" s="2372"/>
      <c r="AL153" s="2372"/>
      <c r="AM153" s="2372"/>
      <c r="AN153" s="2372"/>
      <c r="AO153" s="2372"/>
      <c r="AP153" s="2372"/>
      <c r="AQ153" s="2372"/>
      <c r="AR153" s="2372"/>
      <c r="AS153" s="2372"/>
      <c r="AT153" s="2372"/>
      <c r="AU153" s="2372"/>
      <c r="AV153" s="2372"/>
      <c r="AW153" s="2372"/>
      <c r="AX153" s="2372"/>
      <c r="AY153" s="2372"/>
      <c r="AZ153" s="2372"/>
      <c r="BA153" s="2372"/>
      <c r="BB153" s="2372"/>
      <c r="BC153" s="2372"/>
      <c r="BD153" s="2372"/>
      <c r="BE153" s="2372"/>
      <c r="BF153" s="2372"/>
      <c r="BG153" s="2372"/>
      <c r="BH153" s="2372"/>
      <c r="BI153" s="2372"/>
      <c r="BJ153" s="2372"/>
      <c r="BK153" s="2372"/>
      <c r="BL153" s="2372"/>
      <c r="BM153" s="2372"/>
      <c r="BN153" s="2372"/>
      <c r="BO153" s="2372"/>
      <c r="BP153" s="2372"/>
      <c r="BQ153" s="2372"/>
      <c r="BR153" s="2372"/>
      <c r="BS153" s="2372"/>
      <c r="BT153" s="2372"/>
      <c r="BU153" s="2372"/>
      <c r="BV153" s="2372"/>
      <c r="BW153" s="2372"/>
      <c r="BX153" s="2372"/>
      <c r="BY153" s="2372"/>
      <c r="BZ153" s="2372"/>
      <c r="CA153" s="2372"/>
      <c r="CB153" s="2372"/>
      <c r="CC153" s="2372"/>
      <c r="CD153" s="2372"/>
      <c r="CE153" s="2372"/>
      <c r="CF153" s="2372"/>
      <c r="CG153" s="2372"/>
      <c r="CH153" s="2372"/>
      <c r="CI153" s="2372"/>
      <c r="CJ153" s="2372"/>
      <c r="CK153" s="2372"/>
      <c r="CL153" s="2372"/>
      <c r="CM153" s="2372"/>
      <c r="CN153" s="2372"/>
      <c r="CO153" s="2372"/>
      <c r="CP153" s="2372"/>
      <c r="CQ153" s="2372"/>
      <c r="CR153" s="2372"/>
      <c r="CS153" s="2372"/>
      <c r="CT153" s="2372"/>
      <c r="CU153" s="2372"/>
      <c r="CV153" s="2372"/>
      <c r="CW153" s="2372"/>
      <c r="CX153" s="2372"/>
      <c r="CY153" s="2372"/>
      <c r="CZ153" s="2372"/>
      <c r="DA153" s="2372"/>
    </row>
    <row r="154" spans="1:105" ht="15" hidden="1" customHeight="1">
      <c r="A154" s="2372"/>
      <c r="B154" s="2372"/>
      <c r="C154" s="2372"/>
      <c r="D154" s="2372"/>
      <c r="E154" s="2372"/>
      <c r="F154" s="2372"/>
      <c r="G154" s="2372"/>
      <c r="H154" s="2372"/>
      <c r="I154" s="2372"/>
      <c r="J154" s="2372"/>
      <c r="K154" s="2372"/>
      <c r="L154" s="2372"/>
      <c r="M154" s="2372"/>
      <c r="N154" s="2372"/>
      <c r="O154" s="2372"/>
      <c r="P154" s="2372"/>
      <c r="Q154" s="2372"/>
      <c r="R154" s="2372"/>
      <c r="S154" s="2372"/>
      <c r="T154" s="2372"/>
      <c r="U154" s="2372"/>
      <c r="V154" s="2372"/>
      <c r="W154" s="2372"/>
      <c r="X154" s="2372"/>
      <c r="Y154" s="2372"/>
      <c r="Z154" s="2372"/>
      <c r="AA154" s="2372"/>
      <c r="AB154" s="2372"/>
      <c r="AC154" s="2372"/>
      <c r="AD154" s="2372"/>
      <c r="AE154" s="2372"/>
      <c r="AF154" s="2372"/>
      <c r="AG154" s="2372"/>
      <c r="AH154" s="2372"/>
      <c r="AI154" s="2372"/>
      <c r="AJ154" s="2372"/>
      <c r="AK154" s="2372"/>
      <c r="AL154" s="2372"/>
      <c r="AM154" s="2372"/>
      <c r="AN154" s="2372"/>
      <c r="AO154" s="2372"/>
      <c r="AP154" s="2372"/>
      <c r="AQ154" s="2372"/>
      <c r="AR154" s="2372"/>
      <c r="AS154" s="2372"/>
      <c r="AT154" s="2372"/>
      <c r="AU154" s="2372"/>
      <c r="AV154" s="2372"/>
      <c r="AW154" s="2372"/>
      <c r="AX154" s="2372"/>
      <c r="AY154" s="2372"/>
      <c r="AZ154" s="2372"/>
      <c r="BA154" s="2372"/>
      <c r="BB154" s="2372"/>
      <c r="BC154" s="2372"/>
      <c r="BD154" s="2372"/>
      <c r="BE154" s="2372"/>
      <c r="BF154" s="2372"/>
      <c r="BG154" s="2372"/>
      <c r="BH154" s="2372"/>
      <c r="BI154" s="2372"/>
      <c r="BJ154" s="2372"/>
      <c r="BK154" s="2372"/>
      <c r="BL154" s="2372"/>
      <c r="BM154" s="2372"/>
      <c r="BN154" s="2372"/>
      <c r="BO154" s="2372"/>
      <c r="BP154" s="2372"/>
      <c r="BQ154" s="2372"/>
      <c r="BR154" s="2372"/>
      <c r="BS154" s="2372"/>
      <c r="BT154" s="2372"/>
      <c r="BU154" s="2372"/>
      <c r="BV154" s="2372"/>
      <c r="BW154" s="2372"/>
      <c r="BX154" s="2372"/>
      <c r="BY154" s="2372"/>
      <c r="BZ154" s="2372"/>
      <c r="CA154" s="2372"/>
      <c r="CB154" s="2372"/>
      <c r="CC154" s="2372"/>
      <c r="CD154" s="2372"/>
      <c r="CE154" s="2372"/>
      <c r="CF154" s="2372"/>
      <c r="CG154" s="2372"/>
      <c r="CH154" s="2372"/>
      <c r="CI154" s="2372"/>
      <c r="CJ154" s="2372"/>
      <c r="CK154" s="2372"/>
      <c r="CL154" s="2372"/>
      <c r="CM154" s="2372"/>
      <c r="CN154" s="2372"/>
      <c r="CO154" s="2372"/>
      <c r="CP154" s="2372"/>
      <c r="CQ154" s="2372"/>
      <c r="CR154" s="2372"/>
      <c r="CS154" s="2372"/>
      <c r="CT154" s="2372"/>
      <c r="CU154" s="2372"/>
      <c r="CV154" s="2372"/>
      <c r="CW154" s="2372"/>
      <c r="CX154" s="2372"/>
      <c r="CY154" s="2372"/>
      <c r="CZ154" s="2372"/>
      <c r="DA154" s="2372"/>
    </row>
    <row r="155" spans="1:105" ht="3" hidden="1" customHeight="1">
      <c r="A155" s="2372"/>
      <c r="B155" s="2372"/>
      <c r="C155" s="2372"/>
      <c r="D155" s="2372"/>
      <c r="E155" s="2372"/>
      <c r="F155" s="2372"/>
      <c r="G155" s="2372"/>
      <c r="H155" s="2372"/>
      <c r="I155" s="2372"/>
      <c r="J155" s="2372"/>
      <c r="K155" s="2372"/>
      <c r="L155" s="2372"/>
      <c r="M155" s="2372"/>
      <c r="N155" s="2372"/>
      <c r="O155" s="2372"/>
      <c r="P155" s="2372"/>
      <c r="Q155" s="2372"/>
      <c r="R155" s="2372"/>
      <c r="S155" s="2372"/>
      <c r="T155" s="2372"/>
      <c r="U155" s="2372"/>
      <c r="V155" s="2372"/>
      <c r="W155" s="2372"/>
      <c r="X155" s="2372"/>
      <c r="Y155" s="2372"/>
      <c r="Z155" s="2372"/>
      <c r="AA155" s="2372"/>
      <c r="AB155" s="2372"/>
      <c r="AC155" s="2372"/>
      <c r="AD155" s="2372"/>
      <c r="AE155" s="2372"/>
      <c r="AF155" s="2372"/>
      <c r="AG155" s="2372"/>
      <c r="AH155" s="2372"/>
      <c r="AI155" s="2372"/>
      <c r="AJ155" s="2372"/>
      <c r="AK155" s="2372"/>
      <c r="AL155" s="2372"/>
      <c r="AM155" s="2372"/>
      <c r="AN155" s="2372"/>
      <c r="AO155" s="2372"/>
      <c r="AP155" s="2372"/>
      <c r="AQ155" s="2372"/>
      <c r="AR155" s="2372"/>
      <c r="AS155" s="2372"/>
      <c r="AT155" s="2372"/>
      <c r="AU155" s="2372"/>
      <c r="AV155" s="2372"/>
      <c r="AW155" s="2372"/>
      <c r="AX155" s="2372"/>
      <c r="AY155" s="2372"/>
      <c r="AZ155" s="2372"/>
      <c r="BA155" s="2372"/>
      <c r="BB155" s="2372"/>
      <c r="BC155" s="2372"/>
      <c r="BD155" s="2372"/>
      <c r="BE155" s="2372"/>
      <c r="BF155" s="2372"/>
      <c r="BG155" s="2372"/>
      <c r="BH155" s="2372"/>
      <c r="BI155" s="2372"/>
      <c r="BJ155" s="2372"/>
      <c r="BK155" s="2372"/>
      <c r="BL155" s="2372"/>
      <c r="BM155" s="2372"/>
      <c r="BN155" s="2372"/>
      <c r="BO155" s="2372"/>
      <c r="BP155" s="2372"/>
      <c r="BQ155" s="2372"/>
      <c r="BR155" s="2372"/>
      <c r="BS155" s="2372"/>
      <c r="BT155" s="2372"/>
      <c r="BU155" s="2372"/>
      <c r="BV155" s="2372"/>
      <c r="BW155" s="2372"/>
      <c r="BX155" s="2372"/>
      <c r="BY155" s="2372"/>
      <c r="BZ155" s="2372"/>
      <c r="CA155" s="2372"/>
      <c r="CB155" s="2372"/>
      <c r="CC155" s="2372"/>
      <c r="CD155" s="2372"/>
      <c r="CE155" s="2372"/>
      <c r="CF155" s="2372"/>
      <c r="CG155" s="2372"/>
      <c r="CH155" s="2372"/>
      <c r="CI155" s="2372"/>
      <c r="CJ155" s="2372"/>
      <c r="CK155" s="2372"/>
      <c r="CL155" s="2372"/>
      <c r="CM155" s="2372"/>
      <c r="CN155" s="2372"/>
      <c r="CO155" s="2372"/>
      <c r="CP155" s="2372"/>
      <c r="CQ155" s="2372"/>
      <c r="CR155" s="2372"/>
      <c r="CS155" s="2372"/>
      <c r="CT155" s="2372"/>
      <c r="CU155" s="2372"/>
      <c r="CV155" s="2372"/>
      <c r="CW155" s="2372"/>
      <c r="CX155" s="2372"/>
      <c r="CY155" s="2372"/>
      <c r="CZ155" s="2372"/>
      <c r="DA155" s="2372"/>
    </row>
    <row r="156" spans="1:105" ht="15" hidden="1" customHeight="1">
      <c r="A156" s="2372"/>
      <c r="B156" s="2372"/>
      <c r="C156" s="2372"/>
      <c r="D156" s="2372"/>
      <c r="E156" s="2372"/>
      <c r="F156" s="2372"/>
      <c r="G156" s="2372"/>
      <c r="H156" s="2372"/>
      <c r="I156" s="2372"/>
      <c r="J156" s="2372"/>
      <c r="K156" s="2372"/>
      <c r="L156" s="2372"/>
      <c r="M156" s="2372"/>
      <c r="N156" s="2372"/>
      <c r="O156" s="2372"/>
      <c r="P156" s="2372"/>
      <c r="Q156" s="2372"/>
      <c r="R156" s="2372"/>
      <c r="S156" s="2372"/>
      <c r="T156" s="2372"/>
      <c r="U156" s="2372"/>
      <c r="V156" s="2372"/>
      <c r="W156" s="2372"/>
      <c r="X156" s="2372"/>
      <c r="Y156" s="2372"/>
      <c r="Z156" s="2372"/>
      <c r="AA156" s="2372"/>
      <c r="AB156" s="2372"/>
      <c r="AC156" s="2372"/>
      <c r="AD156" s="2372"/>
      <c r="AE156" s="2372"/>
      <c r="AF156" s="2372"/>
      <c r="AG156" s="2372"/>
      <c r="AH156" s="2372"/>
      <c r="AI156" s="2372"/>
      <c r="AJ156" s="2372"/>
      <c r="AK156" s="2372"/>
      <c r="AL156" s="2372"/>
      <c r="AM156" s="2372"/>
      <c r="AN156" s="2372"/>
      <c r="AO156" s="2372"/>
      <c r="AP156" s="2372"/>
      <c r="AQ156" s="2372"/>
      <c r="AR156" s="2372"/>
      <c r="AS156" s="2372"/>
      <c r="AT156" s="2372"/>
      <c r="AU156" s="2372"/>
      <c r="AV156" s="2372"/>
      <c r="AW156" s="2372"/>
      <c r="AX156" s="2372"/>
      <c r="AY156" s="2372"/>
      <c r="AZ156" s="2372"/>
      <c r="BA156" s="2372"/>
      <c r="BB156" s="2372"/>
      <c r="BC156" s="2372"/>
      <c r="BD156" s="2372"/>
      <c r="BE156" s="2372"/>
      <c r="BF156" s="2372"/>
      <c r="BG156" s="2372"/>
      <c r="BH156" s="2372"/>
      <c r="BI156" s="2372"/>
      <c r="BJ156" s="2372"/>
      <c r="BK156" s="2372"/>
      <c r="BL156" s="2372"/>
      <c r="BM156" s="2372"/>
      <c r="BN156" s="2372"/>
      <c r="BO156" s="2372"/>
      <c r="BP156" s="2372"/>
      <c r="BQ156" s="2372"/>
      <c r="BR156" s="2372"/>
      <c r="BS156" s="2372"/>
      <c r="BT156" s="2372"/>
      <c r="BU156" s="2372"/>
      <c r="BV156" s="2372"/>
      <c r="BW156" s="2372"/>
      <c r="BX156" s="2372"/>
      <c r="BY156" s="2372"/>
      <c r="BZ156" s="2372"/>
      <c r="CA156" s="2372"/>
      <c r="CB156" s="2372"/>
      <c r="CC156" s="2372"/>
      <c r="CD156" s="2372"/>
      <c r="CE156" s="2372"/>
      <c r="CF156" s="2372"/>
      <c r="CG156" s="2372"/>
      <c r="CH156" s="2372"/>
      <c r="CI156" s="2372"/>
      <c r="CJ156" s="2372"/>
      <c r="CK156" s="2372"/>
      <c r="CL156" s="2372"/>
      <c r="CM156" s="2372"/>
      <c r="CN156" s="2372"/>
      <c r="CO156" s="2372"/>
      <c r="CP156" s="2372"/>
      <c r="CQ156" s="2372"/>
      <c r="CR156" s="2372"/>
      <c r="CS156" s="2372"/>
      <c r="CT156" s="2372"/>
      <c r="CU156" s="2372"/>
      <c r="CV156" s="2372"/>
      <c r="CW156" s="2372"/>
      <c r="CX156" s="2372"/>
      <c r="CY156" s="2372"/>
      <c r="CZ156" s="2372"/>
      <c r="DA156" s="2372"/>
    </row>
    <row r="157" spans="1:105" ht="3" hidden="1" customHeight="1">
      <c r="A157" s="2372"/>
      <c r="B157" s="2372"/>
      <c r="C157" s="2372"/>
      <c r="D157" s="2372"/>
      <c r="E157" s="2372"/>
      <c r="F157" s="2372"/>
      <c r="G157" s="2372"/>
      <c r="H157" s="2372"/>
      <c r="I157" s="2372"/>
      <c r="J157" s="2372"/>
      <c r="K157" s="2372"/>
      <c r="L157" s="2372"/>
      <c r="M157" s="2372"/>
      <c r="N157" s="2372"/>
      <c r="O157" s="2372"/>
      <c r="P157" s="2372"/>
      <c r="Q157" s="2372"/>
      <c r="R157" s="2372"/>
      <c r="S157" s="2372"/>
      <c r="T157" s="2372"/>
      <c r="U157" s="2372"/>
      <c r="V157" s="2372"/>
      <c r="W157" s="2372"/>
      <c r="X157" s="2372"/>
      <c r="Y157" s="2372"/>
      <c r="Z157" s="2372"/>
      <c r="AA157" s="2372"/>
      <c r="AB157" s="2372"/>
      <c r="AC157" s="2372"/>
      <c r="AD157" s="2372"/>
      <c r="AE157" s="2372"/>
      <c r="AF157" s="2372"/>
      <c r="AG157" s="2372"/>
      <c r="AH157" s="2372"/>
      <c r="AI157" s="2372"/>
      <c r="AJ157" s="2372"/>
      <c r="AK157" s="2372"/>
      <c r="AL157" s="2372"/>
      <c r="AM157" s="2372"/>
      <c r="AN157" s="2372"/>
      <c r="AO157" s="2372"/>
      <c r="AP157" s="2372"/>
      <c r="AQ157" s="2372"/>
      <c r="AR157" s="2372"/>
      <c r="AS157" s="2372"/>
      <c r="AT157" s="2372"/>
      <c r="AU157" s="2372"/>
      <c r="AV157" s="2372"/>
      <c r="AW157" s="2372"/>
      <c r="AX157" s="2372"/>
      <c r="AY157" s="2372"/>
      <c r="AZ157" s="2372"/>
      <c r="BA157" s="2372"/>
      <c r="BB157" s="2372"/>
      <c r="BC157" s="2372"/>
      <c r="BD157" s="2372"/>
      <c r="BE157" s="2372"/>
      <c r="BF157" s="2372"/>
      <c r="BG157" s="2372"/>
      <c r="BH157" s="2372"/>
      <c r="BI157" s="2372"/>
      <c r="BJ157" s="2372"/>
      <c r="BK157" s="2372"/>
      <c r="BL157" s="2372"/>
      <c r="BM157" s="2372"/>
      <c r="BN157" s="2372"/>
      <c r="BO157" s="2372"/>
      <c r="BP157" s="2372"/>
      <c r="BQ157" s="2372"/>
      <c r="BR157" s="2372"/>
      <c r="BS157" s="2372"/>
      <c r="BT157" s="2372"/>
      <c r="BU157" s="2372"/>
      <c r="BV157" s="2372"/>
      <c r="BW157" s="2372"/>
      <c r="BX157" s="2372"/>
      <c r="BY157" s="2372"/>
      <c r="BZ157" s="2372"/>
      <c r="CA157" s="2372"/>
      <c r="CB157" s="2372"/>
      <c r="CC157" s="2372"/>
      <c r="CD157" s="2372"/>
      <c r="CE157" s="2372"/>
      <c r="CF157" s="2372"/>
      <c r="CG157" s="2372"/>
      <c r="CH157" s="2372"/>
      <c r="CI157" s="2372"/>
      <c r="CJ157" s="2372"/>
      <c r="CK157" s="2372"/>
      <c r="CL157" s="2372"/>
      <c r="CM157" s="2372"/>
      <c r="CN157" s="2372"/>
      <c r="CO157" s="2372"/>
      <c r="CP157" s="2372"/>
      <c r="CQ157" s="2372"/>
      <c r="CR157" s="2372"/>
      <c r="CS157" s="2372"/>
      <c r="CT157" s="2372"/>
      <c r="CU157" s="2372"/>
      <c r="CV157" s="2372"/>
      <c r="CW157" s="2372"/>
      <c r="CX157" s="2372"/>
      <c r="CY157" s="2372"/>
      <c r="CZ157" s="2372"/>
      <c r="DA157" s="2372"/>
    </row>
    <row r="158" spans="1:105" ht="15" hidden="1" customHeight="1">
      <c r="A158" s="2372"/>
      <c r="B158" s="2372"/>
      <c r="U158" s="2372"/>
      <c r="V158" s="2372"/>
      <c r="W158" s="2372"/>
      <c r="X158" s="2372"/>
      <c r="Y158" s="2372"/>
      <c r="Z158" s="2372"/>
      <c r="AA158" s="2372"/>
      <c r="AB158" s="2372"/>
      <c r="AC158" s="2372"/>
      <c r="AD158" s="2372"/>
      <c r="AE158" s="2372"/>
      <c r="AF158" s="2372"/>
      <c r="AG158" s="2372"/>
      <c r="AH158" s="2372"/>
      <c r="AI158" s="2372"/>
      <c r="AJ158" s="2372"/>
      <c r="AK158" s="2372"/>
      <c r="AL158" s="2372"/>
      <c r="AM158" s="2372"/>
      <c r="AN158" s="2372"/>
      <c r="AO158" s="2372"/>
      <c r="AP158" s="2372"/>
      <c r="AQ158" s="2372"/>
      <c r="AR158" s="2372"/>
      <c r="AS158" s="2372"/>
      <c r="AT158" s="2372"/>
      <c r="AU158" s="2372"/>
      <c r="AV158" s="2372"/>
      <c r="AW158" s="2372"/>
      <c r="AX158" s="2372"/>
      <c r="AY158" s="2372"/>
      <c r="AZ158" s="2372"/>
      <c r="BA158" s="2372"/>
      <c r="BB158" s="2372"/>
      <c r="BC158" s="2372"/>
      <c r="BD158" s="2372"/>
      <c r="BE158" s="2372"/>
      <c r="BF158" s="2372"/>
      <c r="BG158" s="2372"/>
      <c r="BH158" s="2372"/>
      <c r="BI158" s="2372"/>
      <c r="BJ158" s="2372"/>
      <c r="BK158" s="2372"/>
      <c r="BL158" s="2372"/>
      <c r="BM158" s="2372"/>
      <c r="BN158" s="2372"/>
      <c r="BO158" s="2372"/>
      <c r="BP158" s="2372"/>
      <c r="BQ158" s="2372"/>
      <c r="BR158" s="2372"/>
      <c r="BS158" s="2372"/>
      <c r="BT158" s="2372"/>
      <c r="BU158" s="2372"/>
      <c r="BV158" s="2372"/>
      <c r="BW158" s="2372"/>
      <c r="BX158" s="2372"/>
      <c r="BY158" s="2372"/>
      <c r="BZ158" s="2372"/>
      <c r="CA158" s="2372"/>
      <c r="CB158" s="2372"/>
      <c r="CC158" s="2372"/>
      <c r="CD158" s="2372"/>
      <c r="CE158" s="2372"/>
      <c r="CF158" s="2372"/>
      <c r="CG158" s="2372"/>
      <c r="CH158" s="2372"/>
      <c r="CI158" s="2372"/>
      <c r="CJ158" s="2372"/>
      <c r="CK158" s="2372"/>
      <c r="CL158" s="2372"/>
      <c r="CM158" s="2372"/>
      <c r="CN158" s="2372"/>
      <c r="CO158" s="2372"/>
      <c r="CP158" s="2372"/>
      <c r="CQ158" s="2372"/>
      <c r="CR158" s="2372"/>
      <c r="CS158" s="2372"/>
      <c r="CT158" s="2372"/>
      <c r="CU158" s="2372"/>
      <c r="CV158" s="2372"/>
      <c r="CW158" s="2372"/>
      <c r="CX158" s="2372"/>
      <c r="CY158" s="2372"/>
      <c r="CZ158" s="2372"/>
      <c r="DA158" s="2372"/>
    </row>
    <row r="159" spans="1:105" ht="3" hidden="1" customHeight="1">
      <c r="A159" s="2372"/>
      <c r="B159" s="2372"/>
      <c r="U159" s="2372"/>
      <c r="V159" s="2372"/>
      <c r="W159" s="2372"/>
      <c r="X159" s="2372"/>
      <c r="Y159" s="2372"/>
      <c r="Z159" s="2372"/>
      <c r="AA159" s="2372"/>
      <c r="AB159" s="2372"/>
      <c r="AC159" s="2372"/>
      <c r="AD159" s="2372"/>
      <c r="AE159" s="2372"/>
      <c r="AF159" s="2372"/>
      <c r="AG159" s="2372"/>
      <c r="AH159" s="2372"/>
      <c r="AI159" s="2372"/>
      <c r="AJ159" s="2372"/>
      <c r="AK159" s="2372"/>
      <c r="AL159" s="2372"/>
      <c r="AM159" s="2372"/>
      <c r="AN159" s="2372"/>
      <c r="AO159" s="2372"/>
      <c r="AP159" s="2372"/>
      <c r="AQ159" s="2372"/>
      <c r="AR159" s="2372"/>
      <c r="AS159" s="2372"/>
      <c r="AT159" s="2372"/>
      <c r="AU159" s="2372"/>
      <c r="AV159" s="2372"/>
      <c r="AW159" s="2372"/>
      <c r="AX159" s="2372"/>
      <c r="AY159" s="2372"/>
      <c r="AZ159" s="2372"/>
      <c r="BA159" s="2372"/>
      <c r="BB159" s="2372"/>
      <c r="BC159" s="2372"/>
      <c r="BD159" s="2372"/>
      <c r="BE159" s="2372"/>
      <c r="BF159" s="2372"/>
      <c r="BG159" s="2372"/>
      <c r="BH159" s="2372"/>
      <c r="BI159" s="2372"/>
      <c r="BJ159" s="2372"/>
      <c r="BK159" s="2372"/>
      <c r="BL159" s="2372"/>
      <c r="BM159" s="2372"/>
      <c r="BN159" s="2372"/>
      <c r="BO159" s="2372"/>
      <c r="BP159" s="2372"/>
      <c r="BQ159" s="2372"/>
      <c r="BR159" s="2372"/>
      <c r="BS159" s="2372"/>
      <c r="BT159" s="2372"/>
      <c r="BU159" s="2372"/>
      <c r="BV159" s="2372"/>
      <c r="BW159" s="2372"/>
      <c r="BX159" s="2372"/>
      <c r="BY159" s="2372"/>
      <c r="BZ159" s="2372"/>
      <c r="CA159" s="2372"/>
      <c r="CB159" s="2372"/>
      <c r="CC159" s="2372"/>
      <c r="CD159" s="2372"/>
      <c r="CE159" s="2372"/>
      <c r="CF159" s="2372"/>
      <c r="CG159" s="2372"/>
      <c r="CH159" s="2372"/>
      <c r="CI159" s="2372"/>
      <c r="CJ159" s="2372"/>
      <c r="CK159" s="2372"/>
      <c r="CL159" s="2372"/>
      <c r="CM159" s="2372"/>
      <c r="CN159" s="2372"/>
      <c r="CO159" s="2372"/>
      <c r="CP159" s="2372"/>
      <c r="CQ159" s="2372"/>
      <c r="CR159" s="2372"/>
      <c r="CS159" s="2372"/>
      <c r="CT159" s="2372"/>
      <c r="CU159" s="2372"/>
      <c r="CV159" s="2372"/>
      <c r="CW159" s="2372"/>
      <c r="CX159" s="2372"/>
      <c r="CY159" s="2372"/>
      <c r="CZ159" s="2372"/>
      <c r="DA159" s="2372"/>
    </row>
    <row r="160" spans="1:105" ht="15" hidden="1" customHeight="1">
      <c r="A160" s="2372"/>
      <c r="B160" s="2372"/>
      <c r="U160" s="2372"/>
      <c r="V160" s="2372"/>
      <c r="W160" s="2372"/>
      <c r="X160" s="2372"/>
      <c r="Y160" s="2372"/>
      <c r="Z160" s="2372"/>
      <c r="AA160" s="2372"/>
      <c r="AB160" s="2372"/>
      <c r="AC160" s="2372"/>
      <c r="AD160" s="2372"/>
      <c r="AE160" s="2372"/>
      <c r="AF160" s="2372"/>
      <c r="AG160" s="2372"/>
      <c r="AH160" s="2372"/>
      <c r="AI160" s="2372"/>
      <c r="AJ160" s="2372"/>
      <c r="AK160" s="2372"/>
      <c r="AL160" s="2372"/>
      <c r="AM160" s="2372"/>
      <c r="AN160" s="2372"/>
      <c r="AO160" s="2372"/>
      <c r="AP160" s="2372"/>
      <c r="AQ160" s="2372"/>
      <c r="AR160" s="2372"/>
      <c r="AS160" s="2372"/>
      <c r="AT160" s="2372"/>
      <c r="AU160" s="2372"/>
      <c r="AV160" s="2372"/>
      <c r="AW160" s="2372"/>
      <c r="AX160" s="2372"/>
      <c r="AY160" s="2372"/>
      <c r="AZ160" s="2372"/>
      <c r="BA160" s="2372"/>
      <c r="BB160" s="2372"/>
      <c r="BC160" s="2372"/>
      <c r="BD160" s="2372"/>
      <c r="BE160" s="2372"/>
      <c r="BF160" s="2372"/>
      <c r="BG160" s="2372"/>
      <c r="BH160" s="2372"/>
      <c r="BI160" s="2372"/>
      <c r="BJ160" s="2372"/>
      <c r="BK160" s="2372"/>
      <c r="BL160" s="2372"/>
      <c r="BM160" s="2372"/>
      <c r="BN160" s="2372"/>
      <c r="BO160" s="2372"/>
      <c r="BP160" s="2372"/>
      <c r="BQ160" s="2372"/>
      <c r="BR160" s="2372"/>
      <c r="BS160" s="2372"/>
      <c r="BT160" s="2372"/>
      <c r="BU160" s="2372"/>
      <c r="BV160" s="2372"/>
      <c r="BW160" s="2372"/>
      <c r="BX160" s="2372"/>
      <c r="BY160" s="2372"/>
      <c r="BZ160" s="2372"/>
      <c r="CA160" s="2372"/>
      <c r="CB160" s="2372"/>
      <c r="CC160" s="2372"/>
      <c r="CD160" s="2372"/>
      <c r="CE160" s="2372"/>
      <c r="CF160" s="2372"/>
      <c r="CG160" s="2372"/>
      <c r="CH160" s="2372"/>
      <c r="CI160" s="2372"/>
      <c r="CJ160" s="2372"/>
      <c r="CK160" s="2372"/>
      <c r="CL160" s="2372"/>
      <c r="CM160" s="2372"/>
      <c r="CN160" s="2372"/>
      <c r="CO160" s="2372"/>
      <c r="CP160" s="2372"/>
      <c r="CQ160" s="2372"/>
      <c r="CR160" s="2372"/>
      <c r="CS160" s="2372"/>
      <c r="CT160" s="2372"/>
      <c r="CU160" s="2372"/>
      <c r="CV160" s="2372"/>
      <c r="CW160" s="2372"/>
      <c r="CX160" s="2372"/>
      <c r="CY160" s="2372"/>
      <c r="CZ160" s="2372"/>
      <c r="DA160" s="2372"/>
    </row>
    <row r="161" spans="1:105" ht="3" hidden="1" customHeight="1">
      <c r="A161" s="2372"/>
      <c r="B161" s="2372"/>
      <c r="U161" s="2372"/>
      <c r="V161" s="2372"/>
      <c r="W161" s="2372"/>
      <c r="X161" s="2372"/>
      <c r="Y161" s="2372"/>
      <c r="Z161" s="2372"/>
      <c r="AA161" s="2372"/>
      <c r="AB161" s="2372"/>
      <c r="AC161" s="2372"/>
      <c r="AD161" s="2372"/>
      <c r="AE161" s="2372"/>
      <c r="AF161" s="2372"/>
      <c r="AG161" s="2372"/>
      <c r="AH161" s="2372"/>
      <c r="AI161" s="2372"/>
      <c r="AJ161" s="2372"/>
      <c r="AK161" s="2372"/>
      <c r="AL161" s="2372"/>
      <c r="AM161" s="2372"/>
      <c r="AN161" s="2372"/>
      <c r="AO161" s="2372"/>
      <c r="AP161" s="2372"/>
      <c r="AQ161" s="2372"/>
      <c r="AR161" s="2372"/>
      <c r="AS161" s="2372"/>
      <c r="AT161" s="2372"/>
      <c r="AU161" s="2372"/>
      <c r="AV161" s="2372"/>
      <c r="AW161" s="2372"/>
      <c r="AX161" s="2372"/>
      <c r="AY161" s="2372"/>
      <c r="AZ161" s="2372"/>
      <c r="BA161" s="2372"/>
      <c r="BB161" s="2372"/>
      <c r="BC161" s="2372"/>
      <c r="BD161" s="2372"/>
      <c r="BE161" s="2372"/>
      <c r="BF161" s="2372"/>
      <c r="BG161" s="2372"/>
      <c r="BH161" s="2372"/>
      <c r="BI161" s="2372"/>
      <c r="BJ161" s="2372"/>
      <c r="BK161" s="2372"/>
      <c r="BL161" s="2372"/>
      <c r="BM161" s="2372"/>
      <c r="BN161" s="2372"/>
      <c r="BO161" s="2372"/>
      <c r="BP161" s="2372"/>
      <c r="BQ161" s="2372"/>
      <c r="BR161" s="2372"/>
      <c r="BS161" s="2372"/>
      <c r="BT161" s="2372"/>
      <c r="BU161" s="2372"/>
      <c r="BV161" s="2372"/>
      <c r="BW161" s="2372"/>
      <c r="BX161" s="2372"/>
      <c r="BY161" s="2372"/>
      <c r="BZ161" s="2372"/>
      <c r="CA161" s="2372"/>
      <c r="CB161" s="2372"/>
      <c r="CC161" s="2372"/>
      <c r="CD161" s="2372"/>
      <c r="CE161" s="2372"/>
      <c r="CF161" s="2372"/>
      <c r="CG161" s="2372"/>
      <c r="CH161" s="2372"/>
      <c r="CI161" s="2372"/>
      <c r="CJ161" s="2372"/>
      <c r="CK161" s="2372"/>
      <c r="CL161" s="2372"/>
      <c r="CM161" s="2372"/>
      <c r="CN161" s="2372"/>
      <c r="CO161" s="2372"/>
      <c r="CP161" s="2372"/>
      <c r="CQ161" s="2372"/>
      <c r="CR161" s="2372"/>
      <c r="CS161" s="2372"/>
      <c r="CT161" s="2372"/>
      <c r="CU161" s="2372"/>
      <c r="CV161" s="2372"/>
      <c r="CW161" s="2372"/>
      <c r="CX161" s="2372"/>
      <c r="CY161" s="2372"/>
      <c r="CZ161" s="2372"/>
      <c r="DA161" s="2372"/>
    </row>
    <row r="162" spans="1:105" ht="15" hidden="1" customHeight="1">
      <c r="A162" s="2372"/>
      <c r="B162" s="2372"/>
      <c r="U162" s="2372"/>
      <c r="V162" s="2372"/>
      <c r="W162" s="2372"/>
      <c r="X162" s="2372"/>
      <c r="Y162" s="2372"/>
      <c r="Z162" s="2372"/>
      <c r="AA162" s="2372"/>
      <c r="AB162" s="2372"/>
      <c r="AC162" s="2372"/>
      <c r="AD162" s="2372"/>
      <c r="AE162" s="2372"/>
      <c r="AF162" s="2372"/>
      <c r="AG162" s="2372"/>
      <c r="AH162" s="2372"/>
      <c r="AI162" s="2372"/>
      <c r="AJ162" s="2372"/>
      <c r="AK162" s="2372"/>
      <c r="AL162" s="2372"/>
      <c r="AM162" s="2372"/>
      <c r="AN162" s="2372"/>
      <c r="AO162" s="2372"/>
      <c r="AP162" s="2372"/>
      <c r="AQ162" s="2372"/>
      <c r="AR162" s="2372"/>
      <c r="AS162" s="2372"/>
      <c r="AT162" s="2372"/>
      <c r="AU162" s="2372"/>
      <c r="AV162" s="2372"/>
      <c r="AW162" s="2372"/>
      <c r="AX162" s="2372"/>
      <c r="AY162" s="2372"/>
      <c r="AZ162" s="2372"/>
      <c r="BA162" s="2372"/>
      <c r="BB162" s="2372"/>
      <c r="BC162" s="2372"/>
      <c r="BD162" s="2372"/>
      <c r="BE162" s="2372"/>
      <c r="BF162" s="2372"/>
      <c r="BG162" s="2372"/>
      <c r="BH162" s="2372"/>
      <c r="BI162" s="2372"/>
      <c r="BJ162" s="2372"/>
      <c r="BK162" s="2372"/>
      <c r="BL162" s="2372"/>
      <c r="BM162" s="2372"/>
      <c r="BN162" s="2372"/>
      <c r="BO162" s="2372"/>
      <c r="BP162" s="2372"/>
      <c r="BQ162" s="2372"/>
      <c r="BR162" s="2372"/>
      <c r="BS162" s="2372"/>
      <c r="BT162" s="2372"/>
      <c r="BU162" s="2372"/>
      <c r="BV162" s="2372"/>
      <c r="BW162" s="2372"/>
      <c r="BX162" s="2372"/>
      <c r="BY162" s="2372"/>
      <c r="BZ162" s="2372"/>
      <c r="CA162" s="2372"/>
      <c r="CB162" s="2372"/>
      <c r="CC162" s="2372"/>
      <c r="CD162" s="2372"/>
      <c r="CE162" s="2372"/>
      <c r="CF162" s="2372"/>
      <c r="CG162" s="2372"/>
      <c r="CH162" s="2372"/>
      <c r="CI162" s="2372"/>
      <c r="CJ162" s="2372"/>
      <c r="CK162" s="2372"/>
      <c r="CL162" s="2372"/>
      <c r="CM162" s="2372"/>
      <c r="CN162" s="2372"/>
      <c r="CO162" s="2372"/>
      <c r="CP162" s="2372"/>
      <c r="CQ162" s="2372"/>
      <c r="CR162" s="2372"/>
      <c r="CS162" s="2372"/>
      <c r="CT162" s="2372"/>
      <c r="CU162" s="2372"/>
      <c r="CV162" s="2372"/>
      <c r="CW162" s="2372"/>
      <c r="CX162" s="2372"/>
      <c r="CY162" s="2372"/>
      <c r="CZ162" s="2372"/>
      <c r="DA162" s="2372"/>
    </row>
    <row r="163" spans="1:105" ht="3" hidden="1" customHeight="1">
      <c r="A163" s="2372"/>
      <c r="B163" s="2372"/>
      <c r="U163" s="2372"/>
      <c r="V163" s="2372"/>
      <c r="W163" s="2372"/>
      <c r="X163" s="2372"/>
      <c r="Y163" s="2372"/>
      <c r="Z163" s="2372"/>
      <c r="AA163" s="2372"/>
      <c r="AB163" s="2372"/>
      <c r="AC163" s="2372"/>
      <c r="AD163" s="2372"/>
      <c r="AE163" s="2372"/>
      <c r="AF163" s="2372"/>
      <c r="AG163" s="2372"/>
      <c r="AH163" s="2372"/>
      <c r="AI163" s="2372"/>
      <c r="AJ163" s="2372"/>
      <c r="AK163" s="2372"/>
      <c r="AL163" s="2372"/>
      <c r="AM163" s="2372"/>
      <c r="AN163" s="2372"/>
      <c r="AO163" s="2372"/>
      <c r="AP163" s="2372"/>
      <c r="AQ163" s="2372"/>
      <c r="AR163" s="2372"/>
      <c r="AS163" s="2372"/>
      <c r="AT163" s="2372"/>
      <c r="AU163" s="2372"/>
      <c r="AV163" s="2372"/>
      <c r="AW163" s="2372"/>
      <c r="AX163" s="2372"/>
      <c r="AY163" s="2372"/>
      <c r="AZ163" s="2372"/>
      <c r="BA163" s="2372"/>
      <c r="BB163" s="2372"/>
      <c r="BC163" s="2372"/>
      <c r="BD163" s="2372"/>
      <c r="BE163" s="2372"/>
      <c r="BF163" s="2372"/>
      <c r="BG163" s="2372"/>
      <c r="BH163" s="2372"/>
      <c r="BI163" s="2372"/>
      <c r="BJ163" s="2372"/>
      <c r="BK163" s="2372"/>
      <c r="BL163" s="2372"/>
      <c r="BM163" s="2372"/>
      <c r="BN163" s="2372"/>
      <c r="BO163" s="2372"/>
      <c r="BP163" s="2372"/>
      <c r="BQ163" s="2372"/>
      <c r="BR163" s="2372"/>
      <c r="BS163" s="2372"/>
      <c r="BT163" s="2372"/>
      <c r="BU163" s="2372"/>
      <c r="BV163" s="2372"/>
      <c r="BW163" s="2372"/>
      <c r="BX163" s="2372"/>
      <c r="BY163" s="2372"/>
      <c r="BZ163" s="2372"/>
      <c r="CA163" s="2372"/>
      <c r="CB163" s="2372"/>
      <c r="CC163" s="2372"/>
      <c r="CD163" s="2372"/>
      <c r="CE163" s="2372"/>
      <c r="CF163" s="2372"/>
      <c r="CG163" s="2372"/>
      <c r="CH163" s="2372"/>
      <c r="CI163" s="2372"/>
      <c r="CJ163" s="2372"/>
      <c r="CK163" s="2372"/>
      <c r="CL163" s="2372"/>
      <c r="CM163" s="2372"/>
      <c r="CN163" s="2372"/>
      <c r="CO163" s="2372"/>
      <c r="CP163" s="2372"/>
      <c r="CQ163" s="2372"/>
      <c r="CR163" s="2372"/>
      <c r="CS163" s="2372"/>
      <c r="CT163" s="2372"/>
      <c r="CU163" s="2372"/>
      <c r="CV163" s="2372"/>
      <c r="CW163" s="2372"/>
      <c r="CX163" s="2372"/>
      <c r="CY163" s="2372"/>
      <c r="CZ163" s="2372"/>
      <c r="DA163" s="2372"/>
    </row>
    <row r="164" spans="1:105" ht="15" hidden="1" customHeight="1">
      <c r="A164" s="2372"/>
      <c r="B164" s="2372"/>
      <c r="U164" s="2372"/>
      <c r="V164" s="2372"/>
      <c r="W164" s="2372"/>
      <c r="X164" s="2372"/>
      <c r="Y164" s="2372"/>
      <c r="Z164" s="2372"/>
      <c r="AA164" s="2372"/>
      <c r="AB164" s="2372"/>
      <c r="AC164" s="2372"/>
      <c r="AD164" s="2372"/>
      <c r="AE164" s="2372"/>
      <c r="AF164" s="2372"/>
      <c r="AG164" s="2372"/>
      <c r="AH164" s="2372"/>
      <c r="AI164" s="2372"/>
      <c r="AJ164" s="2372"/>
      <c r="AK164" s="2372"/>
      <c r="AL164" s="2372"/>
      <c r="AM164" s="2372"/>
      <c r="AN164" s="2372"/>
      <c r="AO164" s="2372"/>
      <c r="AP164" s="2372"/>
      <c r="AQ164" s="2372"/>
      <c r="AR164" s="2372"/>
      <c r="AS164" s="2372"/>
      <c r="AT164" s="2372"/>
      <c r="AU164" s="2372"/>
      <c r="AV164" s="2372"/>
      <c r="AW164" s="2372"/>
      <c r="AX164" s="2372"/>
      <c r="AY164" s="2372"/>
      <c r="AZ164" s="2372"/>
      <c r="BA164" s="2372"/>
      <c r="BB164" s="2372"/>
      <c r="BC164" s="2372"/>
      <c r="BD164" s="2372"/>
      <c r="BE164" s="2372"/>
      <c r="BF164" s="2372"/>
      <c r="BG164" s="2372"/>
      <c r="BH164" s="2372"/>
      <c r="BI164" s="2372"/>
      <c r="BJ164" s="2372"/>
      <c r="BK164" s="2372"/>
      <c r="BL164" s="2372"/>
      <c r="BM164" s="2372"/>
      <c r="BN164" s="2372"/>
      <c r="BO164" s="2372"/>
      <c r="BP164" s="2372"/>
      <c r="BQ164" s="2372"/>
      <c r="BR164" s="2372"/>
      <c r="BS164" s="2372"/>
      <c r="BT164" s="2372"/>
      <c r="BU164" s="2372"/>
      <c r="BV164" s="2372"/>
      <c r="BW164" s="2372"/>
      <c r="BX164" s="2372"/>
      <c r="BY164" s="2372"/>
      <c r="BZ164" s="2372"/>
      <c r="CA164" s="2372"/>
      <c r="CB164" s="2372"/>
      <c r="CC164" s="2372"/>
      <c r="CD164" s="2372"/>
      <c r="CE164" s="2372"/>
      <c r="CF164" s="2372"/>
      <c r="CG164" s="2372"/>
      <c r="CH164" s="2372"/>
      <c r="CI164" s="2372"/>
      <c r="CJ164" s="2372"/>
      <c r="CK164" s="2372"/>
      <c r="CL164" s="2372"/>
      <c r="CM164" s="2372"/>
      <c r="CN164" s="2372"/>
      <c r="CO164" s="2372"/>
      <c r="CP164" s="2372"/>
      <c r="CQ164" s="2372"/>
      <c r="CR164" s="2372"/>
      <c r="CS164" s="2372"/>
      <c r="CT164" s="2372"/>
      <c r="CU164" s="2372"/>
      <c r="CV164" s="2372"/>
      <c r="CW164" s="2372"/>
      <c r="CX164" s="2372"/>
      <c r="CY164" s="2372"/>
      <c r="CZ164" s="2372"/>
      <c r="DA164" s="2372"/>
    </row>
    <row r="165" spans="1:105" ht="3" hidden="1" customHeight="1">
      <c r="A165" s="2372"/>
      <c r="B165" s="2372"/>
      <c r="U165" s="2372"/>
      <c r="V165" s="2372"/>
      <c r="W165" s="2372"/>
      <c r="X165" s="2372"/>
      <c r="Y165" s="2372"/>
      <c r="Z165" s="2372"/>
      <c r="AA165" s="2372"/>
      <c r="AB165" s="2372"/>
      <c r="AC165" s="2372"/>
      <c r="AD165" s="2372"/>
      <c r="AE165" s="2372"/>
      <c r="AF165" s="2372"/>
      <c r="AG165" s="2372"/>
      <c r="AH165" s="2372"/>
      <c r="AI165" s="2372"/>
      <c r="AJ165" s="2372"/>
      <c r="AK165" s="2372"/>
      <c r="AL165" s="2372"/>
      <c r="AM165" s="2372"/>
      <c r="AN165" s="2372"/>
      <c r="AO165" s="2372"/>
      <c r="AP165" s="2372"/>
      <c r="AQ165" s="2372"/>
      <c r="AR165" s="2372"/>
      <c r="AS165" s="2372"/>
      <c r="AT165" s="2372"/>
      <c r="AU165" s="2372"/>
      <c r="AV165" s="2372"/>
      <c r="AW165" s="2372"/>
      <c r="AX165" s="2372"/>
      <c r="AY165" s="2372"/>
      <c r="AZ165" s="2372"/>
      <c r="BA165" s="2372"/>
      <c r="BB165" s="2372"/>
      <c r="BC165" s="2372"/>
      <c r="BD165" s="2372"/>
      <c r="BE165" s="2372"/>
      <c r="BF165" s="2372"/>
      <c r="BG165" s="2372"/>
      <c r="BH165" s="2372"/>
      <c r="BI165" s="2372"/>
      <c r="BJ165" s="2372"/>
      <c r="BK165" s="2372"/>
      <c r="BL165" s="2372"/>
      <c r="BM165" s="2372"/>
      <c r="BN165" s="2372"/>
      <c r="BO165" s="2372"/>
      <c r="BP165" s="2372"/>
      <c r="BQ165" s="2372"/>
      <c r="BR165" s="2372"/>
      <c r="BS165" s="2372"/>
      <c r="BT165" s="2372"/>
      <c r="BU165" s="2372"/>
      <c r="BV165" s="2372"/>
      <c r="BW165" s="2372"/>
      <c r="BX165" s="2372"/>
      <c r="BY165" s="2372"/>
      <c r="BZ165" s="2372"/>
      <c r="CA165" s="2372"/>
      <c r="CB165" s="2372"/>
      <c r="CC165" s="2372"/>
      <c r="CD165" s="2372"/>
      <c r="CE165" s="2372"/>
      <c r="CF165" s="2372"/>
      <c r="CG165" s="2372"/>
      <c r="CH165" s="2372"/>
      <c r="CI165" s="2372"/>
      <c r="CJ165" s="2372"/>
      <c r="CK165" s="2372"/>
      <c r="CL165" s="2372"/>
      <c r="CM165" s="2372"/>
      <c r="CN165" s="2372"/>
      <c r="CO165" s="2372"/>
      <c r="CP165" s="2372"/>
      <c r="CQ165" s="2372"/>
      <c r="CR165" s="2372"/>
      <c r="CS165" s="2372"/>
      <c r="CT165" s="2372"/>
      <c r="CU165" s="2372"/>
      <c r="CV165" s="2372"/>
      <c r="CW165" s="2372"/>
      <c r="CX165" s="2372"/>
      <c r="CY165" s="2372"/>
      <c r="CZ165" s="2372"/>
      <c r="DA165" s="2372"/>
    </row>
    <row r="166" spans="1:105" ht="15" hidden="1" customHeight="1">
      <c r="A166" s="2372"/>
      <c r="B166" s="2372"/>
      <c r="U166" s="2372"/>
      <c r="V166" s="2372"/>
      <c r="W166" s="2372"/>
      <c r="X166" s="2372"/>
      <c r="Y166" s="2372"/>
      <c r="Z166" s="2372"/>
      <c r="AA166" s="2372"/>
      <c r="AB166" s="2372"/>
      <c r="AC166" s="2372"/>
      <c r="AD166" s="2372"/>
      <c r="AE166" s="2372"/>
      <c r="AF166" s="2372"/>
      <c r="AG166" s="2372"/>
      <c r="AH166" s="2372"/>
      <c r="AI166" s="2372"/>
      <c r="AJ166" s="2372"/>
      <c r="AK166" s="2372"/>
      <c r="AL166" s="2372"/>
      <c r="AM166" s="2372"/>
      <c r="AN166" s="2372"/>
      <c r="AO166" s="2372"/>
      <c r="AP166" s="2372"/>
      <c r="AQ166" s="2372"/>
      <c r="AR166" s="2372"/>
      <c r="AS166" s="2372"/>
      <c r="AT166" s="2372"/>
      <c r="AU166" s="2372"/>
      <c r="AV166" s="2372"/>
      <c r="AW166" s="2372"/>
      <c r="AX166" s="2372"/>
      <c r="AY166" s="2372"/>
      <c r="AZ166" s="2372"/>
      <c r="BA166" s="2372"/>
      <c r="BB166" s="2372"/>
      <c r="BC166" s="2372"/>
      <c r="BD166" s="2372"/>
      <c r="BE166" s="2372"/>
      <c r="BF166" s="2372"/>
      <c r="BG166" s="2372"/>
      <c r="BH166" s="2372"/>
      <c r="BI166" s="2372"/>
      <c r="BJ166" s="2372"/>
      <c r="BK166" s="2372"/>
      <c r="BL166" s="2372"/>
      <c r="BM166" s="2372"/>
      <c r="BN166" s="2372"/>
      <c r="BO166" s="2372"/>
      <c r="BP166" s="2372"/>
      <c r="BQ166" s="2372"/>
      <c r="BR166" s="2372"/>
      <c r="BS166" s="2372"/>
      <c r="BT166" s="2372"/>
      <c r="BU166" s="2372"/>
      <c r="BV166" s="2372"/>
      <c r="BW166" s="2372"/>
      <c r="BX166" s="2372"/>
      <c r="BY166" s="2372"/>
      <c r="BZ166" s="2372"/>
      <c r="CA166" s="2372"/>
      <c r="CB166" s="2372"/>
      <c r="CC166" s="2372"/>
      <c r="CD166" s="2372"/>
      <c r="CE166" s="2372"/>
      <c r="CF166" s="2372"/>
      <c r="CG166" s="2372"/>
      <c r="CH166" s="2372"/>
      <c r="CI166" s="2372"/>
      <c r="CJ166" s="2372"/>
      <c r="CK166" s="2372"/>
      <c r="CL166" s="2372"/>
      <c r="CM166" s="2372"/>
      <c r="CN166" s="2372"/>
      <c r="CO166" s="2372"/>
      <c r="CP166" s="2372"/>
      <c r="CQ166" s="2372"/>
      <c r="CR166" s="2372"/>
      <c r="CS166" s="2372"/>
      <c r="CT166" s="2372"/>
      <c r="CU166" s="2372"/>
      <c r="CV166" s="2372"/>
      <c r="CW166" s="2372"/>
      <c r="CX166" s="2372"/>
      <c r="CY166" s="2372"/>
      <c r="CZ166" s="2372"/>
      <c r="DA166" s="2372"/>
    </row>
    <row r="167" spans="1:105" ht="3" hidden="1" customHeight="1">
      <c r="A167" s="2372"/>
      <c r="B167" s="2372"/>
      <c r="U167" s="2372"/>
      <c r="V167" s="2372"/>
      <c r="W167" s="2372"/>
      <c r="X167" s="2372"/>
      <c r="Y167" s="2372"/>
      <c r="Z167" s="2372"/>
      <c r="AA167" s="2372"/>
      <c r="AB167" s="2372"/>
      <c r="AC167" s="2372"/>
      <c r="AD167" s="2372"/>
      <c r="AE167" s="2372"/>
      <c r="AF167" s="2372"/>
      <c r="AG167" s="2372"/>
      <c r="AH167" s="2372"/>
      <c r="AI167" s="2372"/>
      <c r="AJ167" s="2372"/>
      <c r="AK167" s="2372"/>
      <c r="AL167" s="2372"/>
      <c r="AM167" s="2372"/>
      <c r="AN167" s="2372"/>
      <c r="AO167" s="2372"/>
      <c r="AP167" s="2372"/>
      <c r="AQ167" s="2372"/>
      <c r="AR167" s="2372"/>
      <c r="AS167" s="2372"/>
      <c r="AT167" s="2372"/>
      <c r="AU167" s="2372"/>
      <c r="AV167" s="2372"/>
      <c r="AW167" s="2372"/>
      <c r="AX167" s="2372"/>
      <c r="AY167" s="2372"/>
      <c r="AZ167" s="2372"/>
      <c r="BA167" s="2372"/>
      <c r="BB167" s="2372"/>
      <c r="BC167" s="2372"/>
      <c r="BD167" s="2372"/>
      <c r="BE167" s="2372"/>
      <c r="BF167" s="2372"/>
      <c r="BG167" s="2372"/>
      <c r="BH167" s="2372"/>
      <c r="BI167" s="2372"/>
      <c r="BJ167" s="2372"/>
      <c r="BK167" s="2372"/>
      <c r="BL167" s="2372"/>
      <c r="BM167" s="2372"/>
      <c r="BN167" s="2372"/>
      <c r="BO167" s="2372"/>
      <c r="BP167" s="2372"/>
      <c r="BQ167" s="2372"/>
      <c r="BR167" s="2372"/>
      <c r="BS167" s="2372"/>
      <c r="BT167" s="2372"/>
      <c r="BU167" s="2372"/>
      <c r="BV167" s="2372"/>
      <c r="BW167" s="2372"/>
      <c r="BX167" s="2372"/>
      <c r="BY167" s="2372"/>
      <c r="BZ167" s="2372"/>
      <c r="CA167" s="2372"/>
      <c r="CB167" s="2372"/>
      <c r="CC167" s="2372"/>
      <c r="CD167" s="2372"/>
      <c r="CE167" s="2372"/>
      <c r="CF167" s="2372"/>
      <c r="CG167" s="2372"/>
      <c r="CH167" s="2372"/>
      <c r="CI167" s="2372"/>
      <c r="CJ167" s="2372"/>
      <c r="CK167" s="2372"/>
      <c r="CL167" s="2372"/>
      <c r="CM167" s="2372"/>
      <c r="CN167" s="2372"/>
      <c r="CO167" s="2372"/>
      <c r="CP167" s="2372"/>
      <c r="CQ167" s="2372"/>
      <c r="CR167" s="2372"/>
      <c r="CS167" s="2372"/>
      <c r="CT167" s="2372"/>
      <c r="CU167" s="2372"/>
      <c r="CV167" s="2372"/>
      <c r="CW167" s="2372"/>
      <c r="CX167" s="2372"/>
      <c r="CY167" s="2372"/>
      <c r="CZ167" s="2372"/>
      <c r="DA167" s="2372"/>
    </row>
    <row r="168" spans="1:105" ht="15" hidden="1" customHeight="1">
      <c r="A168" s="2372"/>
      <c r="B168" s="2372"/>
      <c r="U168" s="2372"/>
      <c r="V168" s="2372"/>
      <c r="W168" s="2372"/>
      <c r="X168" s="2372"/>
      <c r="Y168" s="2372"/>
      <c r="Z168" s="2372"/>
      <c r="AA168" s="2372"/>
      <c r="AB168" s="2372"/>
      <c r="AC168" s="2372"/>
      <c r="AD168" s="2372"/>
      <c r="AE168" s="2372"/>
      <c r="AF168" s="2372"/>
      <c r="AG168" s="2372"/>
      <c r="AH168" s="2372"/>
      <c r="AI168" s="2372"/>
      <c r="AJ168" s="2372"/>
      <c r="AK168" s="2372"/>
      <c r="AL168" s="2372"/>
      <c r="AM168" s="2372"/>
      <c r="AN168" s="2372"/>
      <c r="AO168" s="2372"/>
      <c r="AP168" s="2372"/>
      <c r="AQ168" s="2372"/>
      <c r="AR168" s="2372"/>
      <c r="AS168" s="2372"/>
      <c r="AT168" s="2372"/>
      <c r="AU168" s="2372"/>
      <c r="AV168" s="2372"/>
      <c r="AW168" s="2372"/>
      <c r="AX168" s="2372"/>
      <c r="AY168" s="2372"/>
      <c r="AZ168" s="2372"/>
      <c r="BA168" s="2372"/>
      <c r="BB168" s="2372"/>
      <c r="BC168" s="2372"/>
      <c r="BD168" s="2372"/>
      <c r="BE168" s="2372"/>
      <c r="BF168" s="2372"/>
      <c r="BG168" s="2372"/>
      <c r="BH168" s="2372"/>
      <c r="BI168" s="2372"/>
      <c r="BJ168" s="2372"/>
      <c r="BK168" s="2372"/>
      <c r="BL168" s="2372"/>
      <c r="BM168" s="2372"/>
      <c r="BN168" s="2372"/>
      <c r="BO168" s="2372"/>
      <c r="BP168" s="2372"/>
      <c r="BQ168" s="2372"/>
      <c r="BR168" s="2372"/>
      <c r="BS168" s="2372"/>
      <c r="BT168" s="2372"/>
      <c r="BU168" s="2372"/>
      <c r="BV168" s="2372"/>
      <c r="BW168" s="2372"/>
      <c r="BX168" s="2372"/>
      <c r="BY168" s="2372"/>
      <c r="BZ168" s="2372"/>
      <c r="CA168" s="2372"/>
      <c r="CB168" s="2372"/>
      <c r="CC168" s="2372"/>
      <c r="CD168" s="2372"/>
      <c r="CE168" s="2372"/>
      <c r="CF168" s="2372"/>
      <c r="CG168" s="2372"/>
      <c r="CH168" s="2372"/>
      <c r="CI168" s="2372"/>
      <c r="CJ168" s="2372"/>
      <c r="CK168" s="2372"/>
      <c r="CL168" s="2372"/>
      <c r="CM168" s="2372"/>
      <c r="CN168" s="2372"/>
      <c r="CO168" s="2372"/>
      <c r="CP168" s="2372"/>
      <c r="CQ168" s="2372"/>
      <c r="CR168" s="2372"/>
      <c r="CS168" s="2372"/>
      <c r="CT168" s="2372"/>
      <c r="CU168" s="2372"/>
      <c r="CV168" s="2372"/>
      <c r="CW168" s="2372"/>
      <c r="CX168" s="2372"/>
      <c r="CY168" s="2372"/>
      <c r="CZ168" s="2372"/>
      <c r="DA168" s="2372"/>
    </row>
    <row r="169" spans="1:105" ht="3" hidden="1" customHeight="1">
      <c r="A169" s="2372"/>
      <c r="B169" s="2372"/>
      <c r="U169" s="2372"/>
      <c r="V169" s="2372"/>
      <c r="W169" s="2372"/>
      <c r="X169" s="2372"/>
      <c r="Y169" s="2372"/>
      <c r="Z169" s="2372"/>
      <c r="AA169" s="2372"/>
      <c r="AB169" s="2372"/>
      <c r="AC169" s="2372"/>
      <c r="AD169" s="2372"/>
      <c r="AE169" s="2372"/>
      <c r="AF169" s="2372"/>
      <c r="AG169" s="2372"/>
      <c r="AH169" s="2372"/>
      <c r="AI169" s="2372"/>
      <c r="AJ169" s="2372"/>
      <c r="AK169" s="2372"/>
      <c r="AL169" s="2372"/>
      <c r="AM169" s="2372"/>
      <c r="AN169" s="2372"/>
      <c r="AO169" s="2372"/>
      <c r="AP169" s="2372"/>
      <c r="AQ169" s="2372"/>
      <c r="AR169" s="2372"/>
      <c r="AS169" s="2372"/>
      <c r="AT169" s="2372"/>
      <c r="AU169" s="2372"/>
      <c r="AV169" s="2372"/>
      <c r="AW169" s="2372"/>
      <c r="AX169" s="2372"/>
      <c r="AY169" s="2372"/>
      <c r="AZ169" s="2372"/>
      <c r="BA169" s="2372"/>
      <c r="BB169" s="2372"/>
      <c r="BC169" s="2372"/>
      <c r="BD169" s="2372"/>
      <c r="BE169" s="2372"/>
      <c r="BF169" s="2372"/>
      <c r="BG169" s="2372"/>
      <c r="BH169" s="2372"/>
      <c r="BI169" s="2372"/>
      <c r="BJ169" s="2372"/>
      <c r="BK169" s="2372"/>
      <c r="BL169" s="2372"/>
      <c r="BM169" s="2372"/>
      <c r="BN169" s="2372"/>
      <c r="BO169" s="2372"/>
      <c r="BP169" s="2372"/>
      <c r="BQ169" s="2372"/>
      <c r="BR169" s="2372"/>
      <c r="BS169" s="2372"/>
      <c r="BT169" s="2372"/>
      <c r="BU169" s="2372"/>
      <c r="BV169" s="2372"/>
      <c r="BW169" s="2372"/>
      <c r="BX169" s="2372"/>
      <c r="BY169" s="2372"/>
      <c r="BZ169" s="2372"/>
      <c r="CA169" s="2372"/>
      <c r="CB169" s="2372"/>
      <c r="CC169" s="2372"/>
      <c r="CD169" s="2372"/>
      <c r="CE169" s="2372"/>
      <c r="CF169" s="2372"/>
      <c r="CG169" s="2372"/>
      <c r="CH169" s="2372"/>
      <c r="CI169" s="2372"/>
      <c r="CJ169" s="2372"/>
      <c r="CK169" s="2372"/>
      <c r="CL169" s="2372"/>
      <c r="CM169" s="2372"/>
      <c r="CN169" s="2372"/>
      <c r="CO169" s="2372"/>
      <c r="CP169" s="2372"/>
      <c r="CQ169" s="2372"/>
      <c r="CR169" s="2372"/>
      <c r="CS169" s="2372"/>
      <c r="CT169" s="2372"/>
      <c r="CU169" s="2372"/>
      <c r="CV169" s="2372"/>
      <c r="CW169" s="2372"/>
      <c r="CX169" s="2372"/>
      <c r="CY169" s="2372"/>
      <c r="CZ169" s="2372"/>
      <c r="DA169" s="2372"/>
    </row>
    <row r="170" spans="1:105" ht="15" hidden="1" customHeight="1">
      <c r="A170" s="2372"/>
      <c r="B170" s="2372"/>
      <c r="U170" s="2372"/>
      <c r="V170" s="2372"/>
      <c r="W170" s="2372"/>
      <c r="X170" s="2372"/>
      <c r="Y170" s="2372"/>
      <c r="Z170" s="2372"/>
      <c r="AA170" s="2372"/>
      <c r="AB170" s="2372"/>
      <c r="AC170" s="2372"/>
      <c r="AD170" s="2372"/>
      <c r="AE170" s="2372"/>
      <c r="AF170" s="2372"/>
      <c r="AG170" s="2372"/>
      <c r="AH170" s="2372"/>
      <c r="AI170" s="2372"/>
      <c r="AJ170" s="2372"/>
      <c r="AK170" s="2372"/>
      <c r="AL170" s="2372"/>
      <c r="AM170" s="2372"/>
      <c r="AN170" s="2372"/>
      <c r="AO170" s="2372"/>
      <c r="AP170" s="2372"/>
      <c r="AQ170" s="2372"/>
      <c r="AR170" s="2372"/>
      <c r="AS170" s="2372"/>
      <c r="AT170" s="2372"/>
      <c r="AU170" s="2372"/>
      <c r="AV170" s="2372"/>
      <c r="AW170" s="2372"/>
      <c r="AX170" s="2372"/>
      <c r="AY170" s="2372"/>
      <c r="AZ170" s="2372"/>
      <c r="BA170" s="2372"/>
      <c r="BB170" s="2372"/>
      <c r="BC170" s="2372"/>
      <c r="BD170" s="2372"/>
      <c r="BE170" s="2372"/>
      <c r="BF170" s="2372"/>
      <c r="BG170" s="2372"/>
      <c r="BH170" s="2372"/>
      <c r="BI170" s="2372"/>
      <c r="BJ170" s="2372"/>
      <c r="BK170" s="2372"/>
      <c r="BL170" s="2372"/>
      <c r="BM170" s="2372"/>
      <c r="BN170" s="2372"/>
      <c r="BO170" s="2372"/>
      <c r="BP170" s="2372"/>
      <c r="BQ170" s="2372"/>
      <c r="BR170" s="2372"/>
      <c r="BS170" s="2372"/>
      <c r="BT170" s="2372"/>
      <c r="BU170" s="2372"/>
      <c r="BV170" s="2372"/>
      <c r="BW170" s="2372"/>
      <c r="BX170" s="2372"/>
      <c r="BY170" s="2372"/>
      <c r="BZ170" s="2372"/>
      <c r="CA170" s="2372"/>
      <c r="CB170" s="2372"/>
      <c r="CC170" s="2372"/>
      <c r="CD170" s="2372"/>
      <c r="CE170" s="2372"/>
      <c r="CF170" s="2372"/>
      <c r="CG170" s="2372"/>
      <c r="CH170" s="2372"/>
      <c r="CI170" s="2372"/>
      <c r="CJ170" s="2372"/>
      <c r="CK170" s="2372"/>
      <c r="CL170" s="2372"/>
      <c r="CM170" s="2372"/>
      <c r="CN170" s="2372"/>
      <c r="CO170" s="2372"/>
      <c r="CP170" s="2372"/>
      <c r="CQ170" s="2372"/>
      <c r="CR170" s="2372"/>
      <c r="CS170" s="2372"/>
      <c r="CT170" s="2372"/>
      <c r="CU170" s="2372"/>
      <c r="CV170" s="2372"/>
      <c r="CW170" s="2372"/>
      <c r="CX170" s="2372"/>
      <c r="CY170" s="2372"/>
      <c r="CZ170" s="2372"/>
      <c r="DA170" s="2372"/>
    </row>
    <row r="171" spans="1:105" ht="3" hidden="1" customHeight="1">
      <c r="A171" s="2372"/>
      <c r="B171" s="2372"/>
      <c r="U171" s="2372"/>
      <c r="V171" s="2372"/>
      <c r="W171" s="2372"/>
      <c r="X171" s="2372"/>
      <c r="Y171" s="2372"/>
      <c r="Z171" s="2372"/>
      <c r="AA171" s="2372"/>
      <c r="AB171" s="2372"/>
      <c r="AC171" s="2372"/>
      <c r="AD171" s="2372"/>
      <c r="AE171" s="2372"/>
      <c r="AF171" s="2372"/>
      <c r="AG171" s="2372"/>
      <c r="AH171" s="2372"/>
      <c r="AI171" s="2372"/>
      <c r="AJ171" s="2372"/>
      <c r="AK171" s="2372"/>
      <c r="AL171" s="2372"/>
      <c r="AM171" s="2372"/>
      <c r="AN171" s="2372"/>
      <c r="AO171" s="2372"/>
      <c r="AP171" s="2372"/>
      <c r="AQ171" s="2372"/>
      <c r="AR171" s="2372"/>
      <c r="AS171" s="2372"/>
      <c r="AT171" s="2372"/>
      <c r="AU171" s="2372"/>
      <c r="AV171" s="2372"/>
      <c r="AW171" s="2372"/>
      <c r="AX171" s="2372"/>
      <c r="AY171" s="2372"/>
      <c r="AZ171" s="2372"/>
      <c r="BA171" s="2372"/>
      <c r="BB171" s="2372"/>
      <c r="BC171" s="2372"/>
      <c r="BD171" s="2372"/>
      <c r="BE171" s="2372"/>
      <c r="BF171" s="2372"/>
      <c r="BG171" s="2372"/>
      <c r="BH171" s="2372"/>
      <c r="BI171" s="2372"/>
      <c r="BJ171" s="2372"/>
      <c r="BK171" s="2372"/>
      <c r="BL171" s="2372"/>
      <c r="BM171" s="2372"/>
      <c r="BN171" s="2372"/>
      <c r="BO171" s="2372"/>
      <c r="BP171" s="2372"/>
      <c r="BQ171" s="2372"/>
      <c r="BR171" s="2372"/>
      <c r="BS171" s="2372"/>
      <c r="BT171" s="2372"/>
      <c r="BU171" s="2372"/>
      <c r="BV171" s="2372"/>
      <c r="BW171" s="2372"/>
      <c r="BX171" s="2372"/>
      <c r="BY171" s="2372"/>
      <c r="BZ171" s="2372"/>
      <c r="CA171" s="2372"/>
      <c r="CB171" s="2372"/>
      <c r="CC171" s="2372"/>
      <c r="CD171" s="2372"/>
      <c r="CE171" s="2372"/>
      <c r="CF171" s="2372"/>
      <c r="CG171" s="2372"/>
      <c r="CH171" s="2372"/>
      <c r="CI171" s="2372"/>
      <c r="CJ171" s="2372"/>
      <c r="CK171" s="2372"/>
      <c r="CL171" s="2372"/>
      <c r="CM171" s="2372"/>
      <c r="CN171" s="2372"/>
      <c r="CO171" s="2372"/>
      <c r="CP171" s="2372"/>
      <c r="CQ171" s="2372"/>
      <c r="CR171" s="2372"/>
      <c r="CS171" s="2372"/>
      <c r="CT171" s="2372"/>
      <c r="CU171" s="2372"/>
      <c r="CV171" s="2372"/>
      <c r="CW171" s="2372"/>
      <c r="CX171" s="2372"/>
      <c r="CY171" s="2372"/>
      <c r="CZ171" s="2372"/>
      <c r="DA171" s="2372"/>
    </row>
    <row r="172" spans="1:105" ht="15" hidden="1" customHeight="1">
      <c r="A172" s="2372"/>
      <c r="B172" s="2372"/>
      <c r="U172" s="2372"/>
      <c r="V172" s="2372"/>
      <c r="W172" s="2372"/>
      <c r="X172" s="2372"/>
      <c r="Y172" s="2372"/>
      <c r="Z172" s="2372"/>
      <c r="AA172" s="2372"/>
      <c r="AB172" s="2372"/>
      <c r="AC172" s="2372"/>
      <c r="AD172" s="2372"/>
      <c r="AE172" s="2372"/>
      <c r="AF172" s="2372"/>
      <c r="AG172" s="2372"/>
      <c r="AH172" s="2372"/>
      <c r="AI172" s="2372"/>
      <c r="AJ172" s="2372"/>
      <c r="AK172" s="2372"/>
      <c r="AL172" s="2372"/>
      <c r="AM172" s="2372"/>
      <c r="AN172" s="2372"/>
      <c r="AO172" s="2372"/>
      <c r="AP172" s="2372"/>
      <c r="AQ172" s="2372"/>
      <c r="AR172" s="2372"/>
      <c r="AS172" s="2372"/>
      <c r="AT172" s="2372"/>
      <c r="AU172" s="2372"/>
      <c r="AV172" s="2372"/>
      <c r="AW172" s="2372"/>
      <c r="AX172" s="2372"/>
      <c r="AY172" s="2372"/>
      <c r="AZ172" s="2372"/>
      <c r="BA172" s="2372"/>
      <c r="BB172" s="2372"/>
      <c r="BC172" s="2372"/>
      <c r="BD172" s="2372"/>
      <c r="BE172" s="2372"/>
      <c r="BF172" s="2372"/>
      <c r="BG172" s="2372"/>
      <c r="BH172" s="2372"/>
      <c r="BI172" s="2372"/>
      <c r="BJ172" s="2372"/>
      <c r="BK172" s="2372"/>
      <c r="BL172" s="2372"/>
      <c r="BM172" s="2372"/>
      <c r="BN172" s="2372"/>
      <c r="BO172" s="2372"/>
      <c r="BP172" s="2372"/>
      <c r="BQ172" s="2372"/>
      <c r="BR172" s="2372"/>
      <c r="BS172" s="2372"/>
      <c r="BT172" s="2372"/>
      <c r="BU172" s="2372"/>
      <c r="BV172" s="2372"/>
      <c r="BW172" s="2372"/>
      <c r="BX172" s="2372"/>
      <c r="BY172" s="2372"/>
      <c r="BZ172" s="2372"/>
      <c r="CA172" s="2372"/>
      <c r="CB172" s="2372"/>
      <c r="CC172" s="2372"/>
      <c r="CD172" s="2372"/>
      <c r="CE172" s="2372"/>
      <c r="CF172" s="2372"/>
      <c r="CG172" s="2372"/>
      <c r="CH172" s="2372"/>
      <c r="CI172" s="2372"/>
      <c r="CJ172" s="2372"/>
      <c r="CK172" s="2372"/>
      <c r="CL172" s="2372"/>
      <c r="CM172" s="2372"/>
      <c r="CN172" s="2372"/>
      <c r="CO172" s="2372"/>
      <c r="CP172" s="2372"/>
      <c r="CQ172" s="2372"/>
      <c r="CR172" s="2372"/>
      <c r="CS172" s="2372"/>
      <c r="CT172" s="2372"/>
      <c r="CU172" s="2372"/>
      <c r="CV172" s="2372"/>
      <c r="CW172" s="2372"/>
      <c r="CX172" s="2372"/>
      <c r="CY172" s="2372"/>
      <c r="CZ172" s="2372"/>
      <c r="DA172" s="2372"/>
    </row>
    <row r="173" spans="1:105" ht="3" hidden="1" customHeight="1">
      <c r="A173" s="2372"/>
      <c r="B173" s="2372"/>
      <c r="U173" s="2372"/>
      <c r="V173" s="2372"/>
      <c r="W173" s="2372"/>
      <c r="X173" s="2372"/>
      <c r="Y173" s="2372"/>
      <c r="Z173" s="2372"/>
      <c r="AA173" s="2372"/>
      <c r="AB173" s="2372"/>
      <c r="AC173" s="2372"/>
      <c r="AD173" s="2372"/>
      <c r="AE173" s="2372"/>
      <c r="AF173" s="2372"/>
      <c r="AG173" s="2372"/>
      <c r="AH173" s="2372"/>
      <c r="AI173" s="2372"/>
      <c r="AJ173" s="2372"/>
      <c r="AK173" s="2372"/>
      <c r="AL173" s="2372"/>
      <c r="AM173" s="2372"/>
      <c r="AN173" s="2372"/>
      <c r="AO173" s="2372"/>
      <c r="AP173" s="2372"/>
      <c r="AQ173" s="2372"/>
      <c r="AR173" s="2372"/>
      <c r="AS173" s="2372"/>
      <c r="AT173" s="2372"/>
      <c r="AU173" s="2372"/>
      <c r="AV173" s="2372"/>
      <c r="AW173" s="2372"/>
      <c r="AX173" s="2372"/>
      <c r="AY173" s="2372"/>
      <c r="AZ173" s="2372"/>
      <c r="BA173" s="2372"/>
      <c r="BB173" s="2372"/>
      <c r="BC173" s="2372"/>
      <c r="BD173" s="2372"/>
      <c r="BE173" s="2372"/>
      <c r="BF173" s="2372"/>
      <c r="BG173" s="2372"/>
      <c r="BH173" s="2372"/>
      <c r="BI173" s="2372"/>
      <c r="BJ173" s="2372"/>
      <c r="BK173" s="2372"/>
      <c r="BL173" s="2372"/>
      <c r="BM173" s="2372"/>
      <c r="BN173" s="2372"/>
      <c r="BO173" s="2372"/>
      <c r="BP173" s="2372"/>
      <c r="BQ173" s="2372"/>
      <c r="BR173" s="2372"/>
      <c r="BS173" s="2372"/>
      <c r="BT173" s="2372"/>
      <c r="BU173" s="2372"/>
      <c r="BV173" s="2372"/>
      <c r="BW173" s="2372"/>
      <c r="BX173" s="2372"/>
      <c r="BY173" s="2372"/>
      <c r="BZ173" s="2372"/>
      <c r="CA173" s="2372"/>
      <c r="CB173" s="2372"/>
      <c r="CC173" s="2372"/>
      <c r="CD173" s="2372"/>
      <c r="CE173" s="2372"/>
      <c r="CF173" s="2372"/>
      <c r="CG173" s="2372"/>
      <c r="CH173" s="2372"/>
      <c r="CI173" s="2372"/>
      <c r="CJ173" s="2372"/>
      <c r="CK173" s="2372"/>
      <c r="CL173" s="2372"/>
      <c r="CM173" s="2372"/>
      <c r="CN173" s="2372"/>
      <c r="CO173" s="2372"/>
      <c r="CP173" s="2372"/>
      <c r="CQ173" s="2372"/>
      <c r="CR173" s="2372"/>
      <c r="CS173" s="2372"/>
      <c r="CT173" s="2372"/>
      <c r="CU173" s="2372"/>
      <c r="CV173" s="2372"/>
      <c r="CW173" s="2372"/>
      <c r="CX173" s="2372"/>
      <c r="CY173" s="2372"/>
      <c r="CZ173" s="2372"/>
      <c r="DA173" s="2372"/>
    </row>
    <row r="174" spans="1:105" ht="15" hidden="1" customHeight="1">
      <c r="A174" s="2372"/>
      <c r="B174" s="2372"/>
      <c r="U174" s="2372"/>
      <c r="V174" s="2372"/>
      <c r="W174" s="2372"/>
      <c r="X174" s="2372"/>
      <c r="Y174" s="2372"/>
      <c r="Z174" s="2372"/>
      <c r="AA174" s="2372"/>
      <c r="AB174" s="2372"/>
      <c r="AC174" s="2372"/>
      <c r="AD174" s="2372"/>
      <c r="AE174" s="2372"/>
      <c r="AF174" s="2372"/>
      <c r="AG174" s="2372"/>
      <c r="AH174" s="2372"/>
      <c r="AI174" s="2372"/>
      <c r="AJ174" s="2372"/>
      <c r="AK174" s="2372"/>
      <c r="AL174" s="2372"/>
      <c r="AM174" s="2372"/>
      <c r="AN174" s="2372"/>
      <c r="AO174" s="2372"/>
      <c r="AP174" s="2372"/>
      <c r="AQ174" s="2372"/>
      <c r="AR174" s="2372"/>
      <c r="AS174" s="2372"/>
      <c r="AT174" s="2372"/>
      <c r="AU174" s="2372"/>
      <c r="AV174" s="2372"/>
      <c r="AW174" s="2372"/>
      <c r="AX174" s="2372"/>
      <c r="AY174" s="2372"/>
      <c r="AZ174" s="2372"/>
      <c r="BA174" s="2372"/>
      <c r="BB174" s="2372"/>
      <c r="BC174" s="2372"/>
      <c r="BD174" s="2372"/>
      <c r="BE174" s="2372"/>
      <c r="BF174" s="2372"/>
      <c r="BG174" s="2372"/>
      <c r="BH174" s="2372"/>
      <c r="BI174" s="2372"/>
      <c r="BJ174" s="2372"/>
      <c r="BK174" s="2372"/>
      <c r="BL174" s="2372"/>
      <c r="BM174" s="2372"/>
      <c r="BN174" s="2372"/>
      <c r="BO174" s="2372"/>
      <c r="BP174" s="2372"/>
      <c r="BQ174" s="2372"/>
      <c r="BR174" s="2372"/>
      <c r="BS174" s="2372"/>
      <c r="BT174" s="2372"/>
      <c r="BU174" s="2372"/>
      <c r="BV174" s="2372"/>
      <c r="BW174" s="2372"/>
      <c r="BX174" s="2372"/>
      <c r="BY174" s="2372"/>
      <c r="BZ174" s="2372"/>
      <c r="CA174" s="2372"/>
      <c r="CB174" s="2372"/>
      <c r="CC174" s="2372"/>
      <c r="CD174" s="2372"/>
      <c r="CE174" s="2372"/>
      <c r="CF174" s="2372"/>
      <c r="CG174" s="2372"/>
      <c r="CH174" s="2372"/>
      <c r="CI174" s="2372"/>
      <c r="CJ174" s="2372"/>
      <c r="CK174" s="2372"/>
      <c r="CL174" s="2372"/>
      <c r="CM174" s="2372"/>
      <c r="CN174" s="2372"/>
      <c r="CO174" s="2372"/>
      <c r="CP174" s="2372"/>
      <c r="CQ174" s="2372"/>
      <c r="CR174" s="2372"/>
      <c r="CS174" s="2372"/>
      <c r="CT174" s="2372"/>
      <c r="CU174" s="2372"/>
      <c r="CV174" s="2372"/>
      <c r="CW174" s="2372"/>
      <c r="CX174" s="2372"/>
      <c r="CY174" s="2372"/>
      <c r="CZ174" s="2372"/>
      <c r="DA174" s="2372"/>
    </row>
    <row r="175" spans="1:105" ht="3" hidden="1" customHeight="1">
      <c r="A175" s="2372"/>
      <c r="B175" s="2372"/>
      <c r="U175" s="2372"/>
      <c r="V175" s="2372"/>
      <c r="W175" s="2372"/>
      <c r="X175" s="2372"/>
      <c r="Y175" s="2372"/>
      <c r="Z175" s="2372"/>
      <c r="AA175" s="2372"/>
      <c r="AB175" s="2372"/>
      <c r="AC175" s="2372"/>
      <c r="AD175" s="2372"/>
      <c r="AE175" s="2372"/>
      <c r="AF175" s="2372"/>
      <c r="AG175" s="2372"/>
      <c r="AH175" s="2372"/>
      <c r="AI175" s="2372"/>
      <c r="AJ175" s="2372"/>
      <c r="AK175" s="2372"/>
      <c r="AL175" s="2372"/>
      <c r="AM175" s="2372"/>
      <c r="AN175" s="2372"/>
      <c r="AO175" s="2372"/>
      <c r="AP175" s="2372"/>
      <c r="AQ175" s="2372"/>
      <c r="AR175" s="2372"/>
      <c r="AS175" s="2372"/>
      <c r="AT175" s="2372"/>
      <c r="AU175" s="2372"/>
      <c r="AV175" s="2372"/>
      <c r="AW175" s="2372"/>
      <c r="AX175" s="2372"/>
      <c r="AY175" s="2372"/>
      <c r="AZ175" s="2372"/>
      <c r="BA175" s="2372"/>
      <c r="BB175" s="2372"/>
      <c r="BC175" s="2372"/>
      <c r="BD175" s="2372"/>
      <c r="BE175" s="2372"/>
      <c r="BF175" s="2372"/>
      <c r="BG175" s="2372"/>
      <c r="BH175" s="2372"/>
      <c r="BI175" s="2372"/>
      <c r="BJ175" s="2372"/>
      <c r="BK175" s="2372"/>
      <c r="BL175" s="2372"/>
      <c r="BM175" s="2372"/>
      <c r="BN175" s="2372"/>
      <c r="BO175" s="2372"/>
      <c r="BP175" s="2372"/>
      <c r="BQ175" s="2372"/>
      <c r="BR175" s="2372"/>
      <c r="BS175" s="2372"/>
      <c r="BT175" s="2372"/>
      <c r="BU175" s="2372"/>
      <c r="BV175" s="2372"/>
      <c r="BW175" s="2372"/>
      <c r="BX175" s="2372"/>
      <c r="BY175" s="2372"/>
      <c r="BZ175" s="2372"/>
      <c r="CA175" s="2372"/>
      <c r="CB175" s="2372"/>
      <c r="CC175" s="2372"/>
      <c r="CD175" s="2372"/>
      <c r="CE175" s="2372"/>
      <c r="CF175" s="2372"/>
      <c r="CG175" s="2372"/>
      <c r="CH175" s="2372"/>
      <c r="CI175" s="2372"/>
      <c r="CJ175" s="2372"/>
      <c r="CK175" s="2372"/>
      <c r="CL175" s="2372"/>
      <c r="CM175" s="2372"/>
      <c r="CN175" s="2372"/>
      <c r="CO175" s="2372"/>
      <c r="CP175" s="2372"/>
      <c r="CQ175" s="2372"/>
      <c r="CR175" s="2372"/>
      <c r="CS175" s="2372"/>
      <c r="CT175" s="2372"/>
      <c r="CU175" s="2372"/>
      <c r="CV175" s="2372"/>
      <c r="CW175" s="2372"/>
      <c r="CX175" s="2372"/>
      <c r="CY175" s="2372"/>
      <c r="CZ175" s="2372"/>
      <c r="DA175" s="2372"/>
    </row>
    <row r="176" spans="1:105" ht="15" hidden="1" customHeight="1">
      <c r="A176" s="2372"/>
      <c r="B176" s="2372"/>
      <c r="U176" s="2372"/>
      <c r="V176" s="2372"/>
      <c r="W176" s="2372"/>
      <c r="X176" s="2372"/>
      <c r="Y176" s="2372"/>
      <c r="Z176" s="2372"/>
      <c r="AA176" s="2372"/>
      <c r="AB176" s="2372"/>
      <c r="AC176" s="2372"/>
      <c r="AD176" s="2372"/>
      <c r="AE176" s="2372"/>
      <c r="AF176" s="2372"/>
      <c r="AG176" s="2372"/>
      <c r="AH176" s="2372"/>
      <c r="AI176" s="2372"/>
      <c r="AJ176" s="2372"/>
      <c r="AK176" s="2372"/>
      <c r="AL176" s="2372"/>
      <c r="AM176" s="2372"/>
      <c r="AN176" s="2372"/>
      <c r="AO176" s="2372"/>
      <c r="AP176" s="2372"/>
      <c r="AQ176" s="2372"/>
      <c r="AR176" s="2372"/>
      <c r="AS176" s="2372"/>
      <c r="AT176" s="2372"/>
      <c r="AU176" s="2372"/>
      <c r="AV176" s="2372"/>
      <c r="AW176" s="2372"/>
      <c r="AX176" s="2372"/>
      <c r="AY176" s="2372"/>
      <c r="AZ176" s="2372"/>
      <c r="BA176" s="2372"/>
      <c r="BB176" s="2372"/>
      <c r="BC176" s="2372"/>
      <c r="BD176" s="2372"/>
      <c r="BE176" s="2372"/>
      <c r="BF176" s="2372"/>
      <c r="BG176" s="2372"/>
      <c r="BH176" s="2372"/>
      <c r="BI176" s="2372"/>
      <c r="BJ176" s="2372"/>
      <c r="BK176" s="2372"/>
      <c r="BL176" s="2372"/>
      <c r="BM176" s="2372"/>
      <c r="BN176" s="2372"/>
      <c r="BO176" s="2372"/>
      <c r="BP176" s="2372"/>
      <c r="BQ176" s="2372"/>
      <c r="BR176" s="2372"/>
      <c r="BS176" s="2372"/>
      <c r="BT176" s="2372"/>
      <c r="BU176" s="2372"/>
      <c r="BV176" s="2372"/>
      <c r="BW176" s="2372"/>
      <c r="BX176" s="2372"/>
      <c r="BY176" s="2372"/>
      <c r="BZ176" s="2372"/>
      <c r="CA176" s="2372"/>
      <c r="CB176" s="2372"/>
      <c r="CC176" s="2372"/>
      <c r="CD176" s="2372"/>
      <c r="CE176" s="2372"/>
      <c r="CF176" s="2372"/>
      <c r="CG176" s="2372"/>
      <c r="CH176" s="2372"/>
      <c r="CI176" s="2372"/>
      <c r="CJ176" s="2372"/>
      <c r="CK176" s="2372"/>
      <c r="CL176" s="2372"/>
      <c r="CM176" s="2372"/>
      <c r="CN176" s="2372"/>
      <c r="CO176" s="2372"/>
      <c r="CP176" s="2372"/>
      <c r="CQ176" s="2372"/>
      <c r="CR176" s="2372"/>
      <c r="CS176" s="2372"/>
      <c r="CT176" s="2372"/>
      <c r="CU176" s="2372"/>
      <c r="CV176" s="2372"/>
      <c r="CW176" s="2372"/>
      <c r="CX176" s="2372"/>
      <c r="CY176" s="2372"/>
      <c r="CZ176" s="2372"/>
      <c r="DA176" s="2372"/>
    </row>
    <row r="177" spans="1:105" ht="3" hidden="1" customHeight="1">
      <c r="A177" s="2372"/>
      <c r="B177" s="2372"/>
      <c r="U177" s="2372"/>
      <c r="V177" s="2372"/>
      <c r="W177" s="2372"/>
      <c r="X177" s="2372"/>
      <c r="Y177" s="2372"/>
      <c r="Z177" s="2372"/>
      <c r="AA177" s="2372"/>
      <c r="AB177" s="2372"/>
      <c r="AC177" s="2372"/>
      <c r="AD177" s="2372"/>
      <c r="AE177" s="2372"/>
      <c r="AF177" s="2372"/>
      <c r="AG177" s="2372"/>
      <c r="AH177" s="2372"/>
      <c r="AI177" s="2372"/>
      <c r="AJ177" s="2372"/>
      <c r="AK177" s="2372"/>
      <c r="AL177" s="2372"/>
      <c r="AM177" s="2372"/>
      <c r="AN177" s="2372"/>
      <c r="AO177" s="2372"/>
      <c r="AP177" s="2372"/>
      <c r="AQ177" s="2372"/>
      <c r="AR177" s="2372"/>
      <c r="AS177" s="2372"/>
      <c r="AT177" s="2372"/>
      <c r="AU177" s="2372"/>
      <c r="AV177" s="2372"/>
      <c r="AW177" s="2372"/>
      <c r="AX177" s="2372"/>
      <c r="AY177" s="2372"/>
      <c r="AZ177" s="2372"/>
      <c r="BA177" s="2372"/>
      <c r="BB177" s="2372"/>
      <c r="BC177" s="2372"/>
      <c r="BD177" s="2372"/>
      <c r="BE177" s="2372"/>
      <c r="BF177" s="2372"/>
      <c r="BG177" s="2372"/>
      <c r="BH177" s="2372"/>
      <c r="BI177" s="2372"/>
      <c r="BJ177" s="2372"/>
      <c r="BK177" s="2372"/>
      <c r="BL177" s="2372"/>
      <c r="BM177" s="2372"/>
      <c r="BN177" s="2372"/>
      <c r="BO177" s="2372"/>
      <c r="BP177" s="2372"/>
      <c r="BQ177" s="2372"/>
      <c r="BR177" s="2372"/>
      <c r="BS177" s="2372"/>
      <c r="BT177" s="2372"/>
      <c r="BU177" s="2372"/>
      <c r="BV177" s="2372"/>
      <c r="BW177" s="2372"/>
      <c r="BX177" s="2372"/>
      <c r="BY177" s="2372"/>
      <c r="BZ177" s="2372"/>
      <c r="CA177" s="2372"/>
      <c r="CB177" s="2372"/>
      <c r="CC177" s="2372"/>
      <c r="CD177" s="2372"/>
      <c r="CE177" s="2372"/>
      <c r="CF177" s="2372"/>
      <c r="CG177" s="2372"/>
      <c r="CH177" s="2372"/>
      <c r="CI177" s="2372"/>
      <c r="CJ177" s="2372"/>
      <c r="CK177" s="2372"/>
      <c r="CL177" s="2372"/>
      <c r="CM177" s="2372"/>
      <c r="CN177" s="2372"/>
      <c r="CO177" s="2372"/>
      <c r="CP177" s="2372"/>
      <c r="CQ177" s="2372"/>
      <c r="CR177" s="2372"/>
      <c r="CS177" s="2372"/>
      <c r="CT177" s="2372"/>
      <c r="CU177" s="2372"/>
      <c r="CV177" s="2372"/>
      <c r="CW177" s="2372"/>
      <c r="CX177" s="2372"/>
      <c r="CY177" s="2372"/>
      <c r="CZ177" s="2372"/>
      <c r="DA177" s="2372"/>
    </row>
    <row r="178" spans="1:105" ht="15" hidden="1" customHeight="1">
      <c r="A178" s="2372"/>
      <c r="B178" s="2372"/>
      <c r="U178" s="2372"/>
      <c r="V178" s="2372"/>
      <c r="W178" s="2372"/>
      <c r="X178" s="2372"/>
      <c r="Y178" s="2372"/>
      <c r="Z178" s="2372"/>
      <c r="AA178" s="2372"/>
      <c r="AB178" s="2372"/>
      <c r="AC178" s="2372"/>
      <c r="AD178" s="2372"/>
      <c r="AE178" s="2372"/>
      <c r="AF178" s="2372"/>
      <c r="AG178" s="2372"/>
      <c r="AH178" s="2372"/>
      <c r="AI178" s="2372"/>
      <c r="AJ178" s="2372"/>
      <c r="AK178" s="2372"/>
      <c r="AL178" s="2372"/>
      <c r="AM178" s="2372"/>
      <c r="AN178" s="2372"/>
      <c r="AO178" s="2372"/>
      <c r="AP178" s="2372"/>
      <c r="AQ178" s="2372"/>
      <c r="AR178" s="2372"/>
      <c r="AS178" s="2372"/>
      <c r="AT178" s="2372"/>
      <c r="AU178" s="2372"/>
      <c r="AV178" s="2372"/>
      <c r="AW178" s="2372"/>
      <c r="AX178" s="2372"/>
      <c r="AY178" s="2372"/>
      <c r="AZ178" s="2372"/>
      <c r="BA178" s="2372"/>
      <c r="BB178" s="2372"/>
      <c r="BC178" s="2372"/>
      <c r="BD178" s="2372"/>
      <c r="BE178" s="2372"/>
      <c r="BF178" s="2372"/>
      <c r="BG178" s="2372"/>
      <c r="BH178" s="2372"/>
      <c r="BI178" s="2372"/>
      <c r="BJ178" s="2372"/>
      <c r="BK178" s="2372"/>
      <c r="BL178" s="2372"/>
      <c r="BM178" s="2372"/>
      <c r="BN178" s="2372"/>
      <c r="BO178" s="2372"/>
      <c r="BP178" s="2372"/>
      <c r="BQ178" s="2372"/>
      <c r="BR178" s="2372"/>
      <c r="BS178" s="2372"/>
      <c r="BT178" s="2372"/>
      <c r="BU178" s="2372"/>
      <c r="BV178" s="2372"/>
      <c r="BW178" s="2372"/>
      <c r="BX178" s="2372"/>
      <c r="BY178" s="2372"/>
      <c r="BZ178" s="2372"/>
      <c r="CA178" s="2372"/>
      <c r="CB178" s="2372"/>
      <c r="CC178" s="2372"/>
      <c r="CD178" s="2372"/>
      <c r="CE178" s="2372"/>
      <c r="CF178" s="2372"/>
      <c r="CG178" s="2372"/>
      <c r="CH178" s="2372"/>
      <c r="CI178" s="2372"/>
      <c r="CJ178" s="2372"/>
      <c r="CK178" s="2372"/>
      <c r="CL178" s="2372"/>
      <c r="CM178" s="2372"/>
      <c r="CN178" s="2372"/>
      <c r="CO178" s="2372"/>
      <c r="CP178" s="2372"/>
      <c r="CQ178" s="2372"/>
      <c r="CR178" s="2372"/>
      <c r="CS178" s="2372"/>
      <c r="CT178" s="2372"/>
      <c r="CU178" s="2372"/>
      <c r="CV178" s="2372"/>
      <c r="CW178" s="2372"/>
      <c r="CX178" s="2372"/>
      <c r="CY178" s="2372"/>
      <c r="CZ178" s="2372"/>
      <c r="DA178" s="2372"/>
    </row>
    <row r="179" spans="1:105" ht="3" hidden="1" customHeight="1">
      <c r="A179" s="2372"/>
      <c r="B179" s="2372"/>
      <c r="U179" s="2372"/>
      <c r="V179" s="2372"/>
      <c r="W179" s="2372"/>
      <c r="X179" s="2372"/>
      <c r="Y179" s="2372"/>
      <c r="Z179" s="2372"/>
      <c r="AA179" s="2372"/>
      <c r="AB179" s="2372"/>
      <c r="AC179" s="2372"/>
      <c r="AD179" s="2372"/>
      <c r="AE179" s="2372"/>
      <c r="AF179" s="2372"/>
      <c r="AG179" s="2372"/>
      <c r="AH179" s="2372"/>
      <c r="AI179" s="2372"/>
      <c r="AJ179" s="2372"/>
      <c r="AK179" s="2372"/>
      <c r="AL179" s="2372"/>
      <c r="AM179" s="2372"/>
      <c r="AN179" s="2372"/>
      <c r="AO179" s="2372"/>
      <c r="AP179" s="2372"/>
      <c r="AQ179" s="2372"/>
      <c r="AR179" s="2372"/>
      <c r="AS179" s="2372"/>
      <c r="AT179" s="2372"/>
      <c r="AU179" s="2372"/>
      <c r="AV179" s="2372"/>
      <c r="AW179" s="2372"/>
      <c r="AX179" s="2372"/>
      <c r="AY179" s="2372"/>
      <c r="AZ179" s="2372"/>
      <c r="BA179" s="2372"/>
      <c r="BB179" s="2372"/>
      <c r="BC179" s="2372"/>
      <c r="BD179" s="2372"/>
      <c r="BE179" s="2372"/>
      <c r="BF179" s="2372"/>
      <c r="BG179" s="2372"/>
      <c r="BH179" s="2372"/>
      <c r="BI179" s="2372"/>
      <c r="BJ179" s="2372"/>
      <c r="BK179" s="2372"/>
      <c r="BL179" s="2372"/>
      <c r="BM179" s="2372"/>
      <c r="BN179" s="2372"/>
      <c r="BO179" s="2372"/>
      <c r="BP179" s="2372"/>
      <c r="BQ179" s="2372"/>
      <c r="BR179" s="2372"/>
      <c r="BS179" s="2372"/>
      <c r="BT179" s="2372"/>
      <c r="BU179" s="2372"/>
      <c r="BV179" s="2372"/>
      <c r="BW179" s="2372"/>
      <c r="BX179" s="2372"/>
      <c r="BY179" s="2372"/>
      <c r="BZ179" s="2372"/>
      <c r="CA179" s="2372"/>
      <c r="CB179" s="2372"/>
      <c r="CC179" s="2372"/>
      <c r="CD179" s="2372"/>
      <c r="CE179" s="2372"/>
      <c r="CF179" s="2372"/>
      <c r="CG179" s="2372"/>
      <c r="CH179" s="2372"/>
      <c r="CI179" s="2372"/>
      <c r="CJ179" s="2372"/>
      <c r="CK179" s="2372"/>
      <c r="CL179" s="2372"/>
      <c r="CM179" s="2372"/>
      <c r="CN179" s="2372"/>
      <c r="CO179" s="2372"/>
      <c r="CP179" s="2372"/>
      <c r="CQ179" s="2372"/>
      <c r="CR179" s="2372"/>
      <c r="CS179" s="2372"/>
      <c r="CT179" s="2372"/>
      <c r="CU179" s="2372"/>
      <c r="CV179" s="2372"/>
      <c r="CW179" s="2372"/>
      <c r="CX179" s="2372"/>
      <c r="CY179" s="2372"/>
      <c r="CZ179" s="2372"/>
      <c r="DA179" s="2372"/>
    </row>
    <row r="180" spans="1:105" ht="15" hidden="1" customHeight="1">
      <c r="A180" s="2372"/>
      <c r="B180" s="2372"/>
      <c r="U180" s="2372"/>
      <c r="V180" s="2372"/>
      <c r="W180" s="2372"/>
      <c r="X180" s="2372"/>
      <c r="Y180" s="2372"/>
      <c r="Z180" s="2372"/>
      <c r="AA180" s="2372"/>
      <c r="AB180" s="2372"/>
      <c r="AC180" s="2372"/>
      <c r="AD180" s="2372"/>
      <c r="AE180" s="2372"/>
      <c r="AF180" s="2372"/>
      <c r="AG180" s="2372"/>
      <c r="AH180" s="2372"/>
      <c r="AI180" s="2372"/>
      <c r="AJ180" s="2372"/>
      <c r="AK180" s="2372"/>
      <c r="AL180" s="2372"/>
      <c r="AM180" s="2372"/>
      <c r="AN180" s="2372"/>
      <c r="AO180" s="2372"/>
      <c r="AP180" s="2372"/>
      <c r="AQ180" s="2372"/>
      <c r="AR180" s="2372"/>
      <c r="AS180" s="2372"/>
      <c r="AT180" s="2372"/>
      <c r="AU180" s="2372"/>
      <c r="AV180" s="2372"/>
      <c r="AW180" s="2372"/>
      <c r="AX180" s="2372"/>
      <c r="AY180" s="2372"/>
      <c r="AZ180" s="2372"/>
      <c r="BA180" s="2372"/>
      <c r="BB180" s="2372"/>
      <c r="BC180" s="2372"/>
      <c r="BD180" s="2372"/>
      <c r="BE180" s="2372"/>
      <c r="BF180" s="2372"/>
      <c r="BG180" s="2372"/>
      <c r="BH180" s="2372"/>
      <c r="BI180" s="2372"/>
      <c r="BJ180" s="2372"/>
      <c r="BK180" s="2372"/>
      <c r="BL180" s="2372"/>
      <c r="BM180" s="2372"/>
      <c r="BN180" s="2372"/>
      <c r="BO180" s="2372"/>
      <c r="BP180" s="2372"/>
      <c r="BQ180" s="2372"/>
      <c r="BR180" s="2372"/>
      <c r="BS180" s="2372"/>
      <c r="BT180" s="2372"/>
      <c r="BU180" s="2372"/>
      <c r="BV180" s="2372"/>
      <c r="BW180" s="2372"/>
      <c r="BX180" s="2372"/>
      <c r="BY180" s="2372"/>
      <c r="BZ180" s="2372"/>
      <c r="CA180" s="2372"/>
      <c r="CB180" s="2372"/>
      <c r="CC180" s="2372"/>
      <c r="CD180" s="2372"/>
      <c r="CE180" s="2372"/>
      <c r="CF180" s="2372"/>
      <c r="CG180" s="2372"/>
      <c r="CH180" s="2372"/>
      <c r="CI180" s="2372"/>
      <c r="CJ180" s="2372"/>
      <c r="CK180" s="2372"/>
      <c r="CL180" s="2372"/>
      <c r="CM180" s="2372"/>
      <c r="CN180" s="2372"/>
      <c r="CO180" s="2372"/>
      <c r="CP180" s="2372"/>
      <c r="CQ180" s="2372"/>
      <c r="CR180" s="2372"/>
      <c r="CS180" s="2372"/>
      <c r="CT180" s="2372"/>
      <c r="CU180" s="2372"/>
      <c r="CV180" s="2372"/>
      <c r="CW180" s="2372"/>
      <c r="CX180" s="2372"/>
      <c r="CY180" s="2372"/>
      <c r="CZ180" s="2372"/>
      <c r="DA180" s="2372"/>
    </row>
    <row r="181" spans="1:105" ht="3" hidden="1" customHeight="1">
      <c r="A181" s="2372"/>
      <c r="B181" s="2372"/>
      <c r="C181" s="2372"/>
      <c r="D181" s="2372"/>
      <c r="E181" s="2372"/>
      <c r="F181" s="2372"/>
      <c r="G181" s="2372"/>
      <c r="H181" s="2372"/>
      <c r="I181" s="2372"/>
      <c r="J181" s="2372"/>
      <c r="K181" s="2372"/>
      <c r="L181" s="2372"/>
      <c r="M181" s="2372"/>
      <c r="N181" s="2372"/>
      <c r="O181" s="2372"/>
      <c r="P181" s="2372"/>
      <c r="Q181" s="2372"/>
      <c r="R181" s="2372"/>
      <c r="S181" s="2372"/>
      <c r="T181" s="2372"/>
      <c r="U181" s="2372"/>
      <c r="V181" s="2372"/>
      <c r="W181" s="2372"/>
      <c r="X181" s="2372"/>
      <c r="Y181" s="2372"/>
      <c r="Z181" s="2372"/>
      <c r="AA181" s="2372"/>
      <c r="AB181" s="2372"/>
      <c r="AC181" s="2372"/>
      <c r="AD181" s="2372"/>
      <c r="AE181" s="2372"/>
      <c r="AF181" s="2372"/>
      <c r="AG181" s="2372"/>
      <c r="AH181" s="2372"/>
      <c r="AI181" s="2372"/>
      <c r="AJ181" s="2372"/>
      <c r="AK181" s="2372"/>
      <c r="AL181" s="2372"/>
      <c r="AM181" s="2372"/>
      <c r="AN181" s="2372"/>
      <c r="AO181" s="2372"/>
      <c r="AP181" s="2372"/>
      <c r="AQ181" s="2372"/>
      <c r="AR181" s="2372"/>
      <c r="AS181" s="2372"/>
      <c r="AT181" s="2372"/>
      <c r="AU181" s="2372"/>
      <c r="AV181" s="2372"/>
      <c r="AW181" s="2372"/>
      <c r="AX181" s="2372"/>
      <c r="AY181" s="2372"/>
      <c r="AZ181" s="2372"/>
      <c r="BA181" s="2372"/>
      <c r="BB181" s="2372"/>
      <c r="BC181" s="2372"/>
      <c r="BD181" s="2372"/>
      <c r="BE181" s="2372"/>
      <c r="BF181" s="2372"/>
      <c r="BG181" s="2372"/>
      <c r="BH181" s="2372"/>
      <c r="BI181" s="2372"/>
      <c r="BJ181" s="2372"/>
      <c r="BK181" s="2372"/>
      <c r="BL181" s="2372"/>
      <c r="BM181" s="2372"/>
      <c r="BN181" s="2372"/>
      <c r="BO181" s="2372"/>
      <c r="BP181" s="2372"/>
      <c r="BQ181" s="2372"/>
      <c r="BR181" s="2372"/>
      <c r="BS181" s="2372"/>
      <c r="BT181" s="2372"/>
      <c r="BU181" s="2372"/>
      <c r="BV181" s="2372"/>
      <c r="BW181" s="2372"/>
      <c r="BX181" s="2372"/>
      <c r="BY181" s="2372"/>
      <c r="BZ181" s="2372"/>
      <c r="CA181" s="2372"/>
      <c r="CB181" s="2372"/>
      <c r="CC181" s="2372"/>
      <c r="CD181" s="2372"/>
      <c r="CE181" s="2372"/>
      <c r="CF181" s="2372"/>
      <c r="CG181" s="2372"/>
      <c r="CH181" s="2372"/>
      <c r="CI181" s="2372"/>
      <c r="CJ181" s="2372"/>
      <c r="CK181" s="2372"/>
      <c r="CL181" s="2372"/>
      <c r="CM181" s="2372"/>
      <c r="CN181" s="2372"/>
      <c r="CO181" s="2372"/>
      <c r="CP181" s="2372"/>
      <c r="CQ181" s="2372"/>
      <c r="CR181" s="2372"/>
      <c r="CS181" s="2372"/>
      <c r="CT181" s="2372"/>
      <c r="CU181" s="2372"/>
      <c r="CV181" s="2372"/>
      <c r="CW181" s="2372"/>
      <c r="CX181" s="2372"/>
      <c r="CY181" s="2372"/>
      <c r="CZ181" s="2372"/>
      <c r="DA181" s="2372"/>
    </row>
    <row r="182" spans="1:105" ht="15" hidden="1" customHeight="1">
      <c r="A182" s="2372"/>
      <c r="B182" s="2372"/>
      <c r="C182" s="2372"/>
      <c r="D182" s="2372"/>
      <c r="E182" s="2372"/>
      <c r="F182" s="2372"/>
      <c r="G182" s="2372"/>
      <c r="H182" s="2372"/>
      <c r="I182" s="2372"/>
      <c r="J182" s="2372"/>
      <c r="K182" s="2372"/>
      <c r="L182" s="2372"/>
      <c r="M182" s="2372"/>
      <c r="N182" s="2372"/>
      <c r="O182" s="2372"/>
      <c r="P182" s="2372"/>
      <c r="Q182" s="2372"/>
      <c r="R182" s="2372"/>
      <c r="S182" s="2372"/>
      <c r="T182" s="2372"/>
      <c r="U182" s="2372"/>
      <c r="V182" s="2372"/>
      <c r="W182" s="2372"/>
      <c r="X182" s="2372"/>
      <c r="Y182" s="2372"/>
      <c r="Z182" s="2372"/>
      <c r="AA182" s="2372"/>
      <c r="AB182" s="2372"/>
      <c r="AC182" s="2372"/>
      <c r="AD182" s="2372"/>
      <c r="AE182" s="2372"/>
      <c r="AF182" s="2372"/>
      <c r="AG182" s="2372"/>
      <c r="AH182" s="2372"/>
      <c r="AI182" s="2372"/>
      <c r="AJ182" s="2372"/>
      <c r="AK182" s="2372"/>
      <c r="AL182" s="2372"/>
      <c r="AM182" s="2372"/>
      <c r="AN182" s="2372"/>
      <c r="AO182" s="2372"/>
      <c r="AP182" s="2372"/>
      <c r="AQ182" s="2372"/>
      <c r="AR182" s="2372"/>
      <c r="AS182" s="2372"/>
      <c r="AT182" s="2372"/>
      <c r="AU182" s="2372"/>
      <c r="AV182" s="2372"/>
      <c r="AW182" s="2372"/>
      <c r="AX182" s="2372"/>
      <c r="AY182" s="2372"/>
      <c r="AZ182" s="2372"/>
      <c r="BA182" s="2372"/>
      <c r="BB182" s="2372"/>
      <c r="BC182" s="2372"/>
      <c r="BD182" s="2372"/>
      <c r="BE182" s="2372"/>
      <c r="BF182" s="2372"/>
      <c r="BG182" s="2372"/>
      <c r="BH182" s="2372"/>
      <c r="BI182" s="2372"/>
      <c r="BJ182" s="2372"/>
      <c r="BK182" s="2372"/>
      <c r="BL182" s="2372"/>
      <c r="BM182" s="2372"/>
      <c r="BN182" s="2372"/>
      <c r="BO182" s="2372"/>
      <c r="BP182" s="2372"/>
      <c r="BQ182" s="2372"/>
      <c r="BR182" s="2372"/>
      <c r="BS182" s="2372"/>
      <c r="BT182" s="2372"/>
      <c r="BU182" s="2372"/>
      <c r="BV182" s="2372"/>
      <c r="BW182" s="2372"/>
      <c r="BX182" s="2372"/>
      <c r="BY182" s="2372"/>
      <c r="BZ182" s="2372"/>
      <c r="CA182" s="2372"/>
      <c r="CB182" s="2372"/>
      <c r="CC182" s="2372"/>
      <c r="CD182" s="2372"/>
      <c r="CE182" s="2372"/>
      <c r="CF182" s="2372"/>
      <c r="CG182" s="2372"/>
      <c r="CH182" s="2372"/>
      <c r="CI182" s="2372"/>
      <c r="CJ182" s="2372"/>
      <c r="CK182" s="2372"/>
      <c r="CL182" s="2372"/>
      <c r="CM182" s="2372"/>
      <c r="CN182" s="2372"/>
      <c r="CO182" s="2372"/>
      <c r="CP182" s="2372"/>
      <c r="CQ182" s="2372"/>
      <c r="CR182" s="2372"/>
      <c r="CS182" s="2372"/>
      <c r="CT182" s="2372"/>
      <c r="CU182" s="2372"/>
      <c r="CV182" s="2372"/>
      <c r="CW182" s="2372"/>
      <c r="CX182" s="2372"/>
      <c r="CY182" s="2372"/>
      <c r="CZ182" s="2372"/>
      <c r="DA182" s="2372"/>
    </row>
    <row r="183" spans="1:105" ht="3" hidden="1" customHeight="1">
      <c r="A183" s="2372"/>
      <c r="B183" s="2372"/>
      <c r="C183" s="2372"/>
      <c r="D183" s="2372"/>
      <c r="E183" s="2372"/>
      <c r="F183" s="2372"/>
      <c r="G183" s="2372"/>
      <c r="H183" s="2372"/>
      <c r="I183" s="2372"/>
      <c r="J183" s="2372"/>
      <c r="K183" s="2372"/>
      <c r="L183" s="2372"/>
      <c r="M183" s="2372"/>
      <c r="N183" s="2372"/>
      <c r="O183" s="2372"/>
      <c r="P183" s="2372"/>
      <c r="Q183" s="2372"/>
      <c r="R183" s="2372"/>
      <c r="S183" s="2372"/>
      <c r="T183" s="2372"/>
      <c r="U183" s="2372"/>
      <c r="V183" s="2372"/>
      <c r="W183" s="2372"/>
      <c r="X183" s="2372"/>
      <c r="Y183" s="2372"/>
      <c r="Z183" s="2372"/>
      <c r="AA183" s="2372"/>
      <c r="AB183" s="2372"/>
      <c r="AC183" s="2372"/>
      <c r="AD183" s="2372"/>
      <c r="AE183" s="2372"/>
      <c r="AF183" s="2372"/>
      <c r="AG183" s="2372"/>
      <c r="AH183" s="2372"/>
      <c r="AI183" s="2372"/>
      <c r="AJ183" s="2372"/>
      <c r="AK183" s="2372"/>
      <c r="AL183" s="2372"/>
      <c r="AM183" s="2372"/>
      <c r="AN183" s="2372"/>
      <c r="AO183" s="2372"/>
      <c r="AP183" s="2372"/>
      <c r="AQ183" s="2372"/>
      <c r="AR183" s="2372"/>
      <c r="AS183" s="2372"/>
      <c r="AT183" s="2372"/>
      <c r="AU183" s="2372"/>
      <c r="AV183" s="2372"/>
      <c r="AW183" s="2372"/>
      <c r="AX183" s="2372"/>
      <c r="AY183" s="2372"/>
      <c r="AZ183" s="2372"/>
      <c r="BA183" s="2372"/>
      <c r="BB183" s="2372"/>
      <c r="BC183" s="2372"/>
      <c r="BD183" s="2372"/>
      <c r="BE183" s="2372"/>
      <c r="BF183" s="2372"/>
      <c r="BG183" s="2372"/>
      <c r="BH183" s="2372"/>
      <c r="BI183" s="2372"/>
      <c r="BJ183" s="2372"/>
      <c r="BK183" s="2372"/>
      <c r="BL183" s="2372"/>
      <c r="BM183" s="2372"/>
      <c r="BN183" s="2372"/>
      <c r="BO183" s="2372"/>
      <c r="BP183" s="2372"/>
      <c r="BQ183" s="2372"/>
      <c r="BR183" s="2372"/>
      <c r="BS183" s="2372"/>
      <c r="BT183" s="2372"/>
      <c r="BU183" s="2372"/>
      <c r="BV183" s="2372"/>
      <c r="BW183" s="2372"/>
      <c r="BX183" s="2372"/>
      <c r="BY183" s="2372"/>
      <c r="BZ183" s="2372"/>
      <c r="CA183" s="2372"/>
      <c r="CB183" s="2372"/>
      <c r="CC183" s="2372"/>
      <c r="CD183" s="2372"/>
      <c r="CE183" s="2372"/>
      <c r="CF183" s="2372"/>
      <c r="CG183" s="2372"/>
      <c r="CH183" s="2372"/>
      <c r="CI183" s="2372"/>
      <c r="CJ183" s="2372"/>
      <c r="CK183" s="2372"/>
      <c r="CL183" s="2372"/>
      <c r="CM183" s="2372"/>
      <c r="CN183" s="2372"/>
      <c r="CO183" s="2372"/>
      <c r="CP183" s="2372"/>
      <c r="CQ183" s="2372"/>
      <c r="CR183" s="2372"/>
      <c r="CS183" s="2372"/>
      <c r="CT183" s="2372"/>
      <c r="CU183" s="2372"/>
      <c r="CV183" s="2372"/>
      <c r="CW183" s="2372"/>
      <c r="CX183" s="2372"/>
      <c r="CY183" s="2372"/>
      <c r="CZ183" s="2372"/>
      <c r="DA183" s="2372"/>
    </row>
    <row r="184" spans="1:105" ht="15" hidden="1" customHeight="1">
      <c r="A184" s="2372"/>
      <c r="B184" s="2372"/>
      <c r="C184" s="2372"/>
      <c r="D184" s="2372"/>
      <c r="E184" s="2372"/>
      <c r="F184" s="2372"/>
      <c r="G184" s="2372"/>
      <c r="H184" s="2372"/>
      <c r="I184" s="2372"/>
      <c r="J184" s="2372"/>
      <c r="K184" s="2372"/>
      <c r="L184" s="2372"/>
      <c r="M184" s="2372"/>
      <c r="N184" s="2372"/>
      <c r="O184" s="2372"/>
      <c r="P184" s="2372"/>
      <c r="Q184" s="2372"/>
      <c r="R184" s="2372"/>
      <c r="S184" s="2372"/>
      <c r="T184" s="2372"/>
      <c r="U184" s="2372"/>
      <c r="V184" s="2372"/>
      <c r="W184" s="2372"/>
      <c r="X184" s="2372"/>
      <c r="Y184" s="2372"/>
      <c r="Z184" s="2372"/>
      <c r="AA184" s="2372"/>
      <c r="AB184" s="2372"/>
      <c r="AC184" s="2372"/>
      <c r="AD184" s="2372"/>
      <c r="AE184" s="2372"/>
      <c r="AF184" s="2372"/>
      <c r="AG184" s="2372"/>
      <c r="AH184" s="2372"/>
      <c r="AI184" s="2372"/>
      <c r="AJ184" s="2372"/>
      <c r="AK184" s="2372"/>
      <c r="AL184" s="2372"/>
      <c r="AM184" s="2372"/>
      <c r="AN184" s="2372"/>
      <c r="AO184" s="2372"/>
      <c r="AP184" s="2372"/>
      <c r="AQ184" s="2372"/>
      <c r="AR184" s="2372"/>
      <c r="AS184" s="2372"/>
      <c r="AT184" s="2372"/>
      <c r="AU184" s="2372"/>
      <c r="AV184" s="2372"/>
      <c r="AW184" s="2372"/>
      <c r="AX184" s="2372"/>
      <c r="AY184" s="2372"/>
      <c r="AZ184" s="2372"/>
      <c r="BA184" s="2372"/>
      <c r="BB184" s="2372"/>
      <c r="BC184" s="2372"/>
      <c r="BD184" s="2372"/>
      <c r="BE184" s="2372"/>
      <c r="BF184" s="2372"/>
      <c r="BG184" s="2372"/>
      <c r="BH184" s="2372"/>
      <c r="BI184" s="2372"/>
      <c r="BJ184" s="2372"/>
      <c r="BK184" s="2372"/>
      <c r="BL184" s="2372"/>
      <c r="BM184" s="2372"/>
      <c r="BN184" s="2372"/>
      <c r="BO184" s="2372"/>
      <c r="BP184" s="2372"/>
      <c r="BQ184" s="2372"/>
      <c r="BR184" s="2372"/>
      <c r="BS184" s="2372"/>
      <c r="BT184" s="2372"/>
      <c r="BU184" s="2372"/>
      <c r="BV184" s="2372"/>
      <c r="BW184" s="2372"/>
      <c r="BX184" s="2372"/>
      <c r="BY184" s="2372"/>
      <c r="BZ184" s="2372"/>
      <c r="CA184" s="2372"/>
      <c r="CB184" s="2372"/>
      <c r="CC184" s="2372"/>
      <c r="CD184" s="2372"/>
      <c r="CE184" s="2372"/>
      <c r="CF184" s="2372"/>
      <c r="CG184" s="2372"/>
      <c r="CH184" s="2372"/>
      <c r="CI184" s="2372"/>
      <c r="CJ184" s="2372"/>
      <c r="CK184" s="2372"/>
      <c r="CL184" s="2372"/>
      <c r="CM184" s="2372"/>
      <c r="CN184" s="2372"/>
      <c r="CO184" s="2372"/>
      <c r="CP184" s="2372"/>
      <c r="CQ184" s="2372"/>
      <c r="CR184" s="2372"/>
      <c r="CS184" s="2372"/>
      <c r="CT184" s="2372"/>
      <c r="CU184" s="2372"/>
      <c r="CV184" s="2372"/>
      <c r="CW184" s="2372"/>
      <c r="CX184" s="2372"/>
      <c r="CY184" s="2372"/>
      <c r="CZ184" s="2372"/>
      <c r="DA184" s="2372"/>
    </row>
    <row r="185" spans="1:105" ht="3" hidden="1" customHeight="1">
      <c r="A185" s="2372"/>
      <c r="B185" s="2372"/>
      <c r="C185" s="2372"/>
      <c r="D185" s="2372"/>
      <c r="E185" s="2372"/>
      <c r="F185" s="2372"/>
      <c r="G185" s="2372"/>
      <c r="H185" s="2372"/>
      <c r="I185" s="2372"/>
      <c r="J185" s="2372"/>
      <c r="K185" s="2372"/>
      <c r="L185" s="2372"/>
      <c r="M185" s="2372"/>
      <c r="N185" s="2372"/>
      <c r="O185" s="2372"/>
      <c r="P185" s="2372"/>
      <c r="Q185" s="2372"/>
      <c r="R185" s="2372"/>
      <c r="S185" s="2372"/>
      <c r="T185" s="2372"/>
      <c r="U185" s="2372"/>
      <c r="V185" s="2372"/>
      <c r="W185" s="2372"/>
      <c r="X185" s="2372"/>
      <c r="Y185" s="2372"/>
      <c r="Z185" s="2372"/>
      <c r="AA185" s="2372"/>
      <c r="AB185" s="2372"/>
      <c r="AC185" s="2372"/>
      <c r="AD185" s="2372"/>
      <c r="AE185" s="2372"/>
      <c r="AF185" s="2372"/>
      <c r="AG185" s="2372"/>
      <c r="AH185" s="2372"/>
      <c r="AI185" s="2372"/>
      <c r="AJ185" s="2372"/>
      <c r="AK185" s="2372"/>
      <c r="AL185" s="2372"/>
      <c r="AM185" s="2372"/>
      <c r="AN185" s="2372"/>
      <c r="AO185" s="2372"/>
      <c r="AP185" s="2372"/>
      <c r="AQ185" s="2372"/>
      <c r="AR185" s="2372"/>
      <c r="AS185" s="2372"/>
      <c r="AT185" s="2372"/>
      <c r="AU185" s="2372"/>
      <c r="AV185" s="2372"/>
      <c r="AW185" s="2372"/>
      <c r="AX185" s="2372"/>
      <c r="AY185" s="2372"/>
      <c r="AZ185" s="2372"/>
      <c r="BA185" s="2372"/>
      <c r="BB185" s="2372"/>
      <c r="BC185" s="2372"/>
      <c r="BD185" s="2372"/>
      <c r="BE185" s="2372"/>
      <c r="BF185" s="2372"/>
      <c r="BG185" s="2372"/>
      <c r="BH185" s="2372"/>
      <c r="BI185" s="2372"/>
      <c r="BJ185" s="2372"/>
      <c r="BK185" s="2372"/>
      <c r="BL185" s="2372"/>
      <c r="BM185" s="2372"/>
      <c r="BN185" s="2372"/>
      <c r="BO185" s="2372"/>
      <c r="BP185" s="2372"/>
      <c r="BQ185" s="2372"/>
      <c r="BR185" s="2372"/>
      <c r="BS185" s="2372"/>
      <c r="BT185" s="2372"/>
      <c r="BU185" s="2372"/>
      <c r="BV185" s="2372"/>
      <c r="BW185" s="2372"/>
      <c r="BX185" s="2372"/>
      <c r="BY185" s="2372"/>
      <c r="BZ185" s="2372"/>
      <c r="CA185" s="2372"/>
      <c r="CB185" s="2372"/>
      <c r="CC185" s="2372"/>
      <c r="CD185" s="2372"/>
      <c r="CE185" s="2372"/>
      <c r="CF185" s="2372"/>
      <c r="CG185" s="2372"/>
      <c r="CH185" s="2372"/>
      <c r="CI185" s="2372"/>
      <c r="CJ185" s="2372"/>
      <c r="CK185" s="2372"/>
      <c r="CL185" s="2372"/>
      <c r="CM185" s="2372"/>
      <c r="CN185" s="2372"/>
      <c r="CO185" s="2372"/>
      <c r="CP185" s="2372"/>
      <c r="CQ185" s="2372"/>
      <c r="CR185" s="2372"/>
      <c r="CS185" s="2372"/>
      <c r="CT185" s="2372"/>
      <c r="CU185" s="2372"/>
      <c r="CV185" s="2372"/>
      <c r="CW185" s="2372"/>
      <c r="CX185" s="2372"/>
      <c r="CY185" s="2372"/>
      <c r="CZ185" s="2372"/>
      <c r="DA185" s="2372"/>
    </row>
    <row r="186" spans="1:105" ht="15" hidden="1" customHeight="1">
      <c r="A186" s="2372"/>
      <c r="B186" s="2372"/>
      <c r="C186" s="2372"/>
      <c r="D186" s="2372"/>
      <c r="E186" s="2372"/>
      <c r="F186" s="2372"/>
      <c r="G186" s="2372"/>
      <c r="H186" s="2372"/>
      <c r="I186" s="2372"/>
      <c r="J186" s="2372"/>
      <c r="K186" s="2372"/>
      <c r="L186" s="2372"/>
      <c r="M186" s="2372"/>
      <c r="N186" s="2372"/>
      <c r="O186" s="2372"/>
      <c r="P186" s="2372"/>
      <c r="Q186" s="2372"/>
      <c r="R186" s="2372"/>
      <c r="S186" s="2372"/>
      <c r="T186" s="2372"/>
      <c r="U186" s="2372"/>
      <c r="V186" s="2372"/>
      <c r="W186" s="2372"/>
      <c r="X186" s="2372"/>
      <c r="Y186" s="2372"/>
      <c r="Z186" s="2372"/>
      <c r="AA186" s="2372"/>
      <c r="AB186" s="2372"/>
      <c r="AC186" s="2372"/>
      <c r="AD186" s="2372"/>
      <c r="AE186" s="2372"/>
      <c r="AF186" s="2372"/>
      <c r="AG186" s="2372"/>
      <c r="AH186" s="2372"/>
      <c r="AI186" s="2372"/>
      <c r="AJ186" s="2372"/>
      <c r="AK186" s="2372"/>
      <c r="AL186" s="2372"/>
      <c r="AM186" s="2372"/>
      <c r="AN186" s="2372"/>
      <c r="AO186" s="2372"/>
      <c r="AP186" s="2372"/>
      <c r="AQ186" s="2372"/>
      <c r="AR186" s="2372"/>
      <c r="AS186" s="2372"/>
      <c r="AT186" s="2372"/>
      <c r="AU186" s="2372"/>
      <c r="AV186" s="2372"/>
      <c r="AW186" s="2372"/>
      <c r="AX186" s="2372"/>
      <c r="AY186" s="2372"/>
      <c r="AZ186" s="2372"/>
      <c r="BA186" s="2372"/>
      <c r="BB186" s="2372"/>
      <c r="BC186" s="2372"/>
      <c r="BD186" s="2372"/>
      <c r="BE186" s="2372"/>
      <c r="BF186" s="2372"/>
      <c r="BG186" s="2372"/>
      <c r="BH186" s="2372"/>
      <c r="BI186" s="2372"/>
      <c r="BJ186" s="2372"/>
      <c r="BK186" s="2372"/>
      <c r="BL186" s="2372"/>
      <c r="BM186" s="2372"/>
      <c r="BN186" s="2372"/>
      <c r="BO186" s="2372"/>
      <c r="BP186" s="2372"/>
      <c r="BQ186" s="2372"/>
      <c r="BR186" s="2372"/>
      <c r="BS186" s="2372"/>
      <c r="BT186" s="2372"/>
      <c r="BU186" s="2372"/>
      <c r="BV186" s="2372"/>
      <c r="BW186" s="2372"/>
      <c r="BX186" s="2372"/>
      <c r="BY186" s="2372"/>
      <c r="BZ186" s="2372"/>
      <c r="CA186" s="2372"/>
      <c r="CB186" s="2372"/>
      <c r="CC186" s="2372"/>
      <c r="CD186" s="2372"/>
      <c r="CE186" s="2372"/>
      <c r="CF186" s="2372"/>
      <c r="CG186" s="2372"/>
      <c r="CH186" s="2372"/>
      <c r="CI186" s="2372"/>
      <c r="CJ186" s="2372"/>
      <c r="CK186" s="2372"/>
      <c r="CL186" s="2372"/>
      <c r="CM186" s="2372"/>
      <c r="CN186" s="2372"/>
      <c r="CO186" s="2372"/>
      <c r="CP186" s="2372"/>
      <c r="CQ186" s="2372"/>
      <c r="CR186" s="2372"/>
      <c r="CS186" s="2372"/>
      <c r="CT186" s="2372"/>
      <c r="CU186" s="2372"/>
      <c r="CV186" s="2372"/>
      <c r="CW186" s="2372"/>
      <c r="CX186" s="2372"/>
      <c r="CY186" s="2372"/>
      <c r="CZ186" s="2372"/>
      <c r="DA186" s="2372"/>
    </row>
    <row r="187" spans="1:105" ht="3" hidden="1" customHeight="1">
      <c r="A187" s="2372"/>
      <c r="B187" s="2372"/>
      <c r="C187" s="2372"/>
      <c r="D187" s="2372"/>
      <c r="E187" s="2372"/>
      <c r="F187" s="2372"/>
      <c r="G187" s="2372"/>
      <c r="H187" s="2372"/>
      <c r="I187" s="2372"/>
      <c r="J187" s="2372"/>
      <c r="K187" s="2372"/>
      <c r="L187" s="2372"/>
      <c r="M187" s="2372"/>
      <c r="N187" s="2372"/>
      <c r="O187" s="2372"/>
      <c r="P187" s="2372"/>
      <c r="Q187" s="2372"/>
      <c r="R187" s="2372"/>
      <c r="S187" s="2372"/>
      <c r="T187" s="2372"/>
      <c r="U187" s="2372"/>
      <c r="V187" s="2372"/>
      <c r="W187" s="2372"/>
      <c r="X187" s="2372"/>
      <c r="Y187" s="2372"/>
      <c r="Z187" s="2372"/>
      <c r="AA187" s="2372"/>
      <c r="AB187" s="2372"/>
      <c r="AC187" s="2372"/>
      <c r="AD187" s="2372"/>
      <c r="AE187" s="2372"/>
      <c r="AF187" s="2372"/>
      <c r="AG187" s="2372"/>
      <c r="AH187" s="2372"/>
      <c r="AI187" s="2372"/>
      <c r="AJ187" s="2372"/>
      <c r="AK187" s="2372"/>
      <c r="AL187" s="2372"/>
      <c r="AM187" s="2372"/>
      <c r="AN187" s="2372"/>
      <c r="AO187" s="2372"/>
      <c r="AP187" s="2372"/>
      <c r="AQ187" s="2372"/>
      <c r="AR187" s="2372"/>
      <c r="AS187" s="2372"/>
      <c r="AT187" s="2372"/>
      <c r="AU187" s="2372"/>
      <c r="AV187" s="2372"/>
      <c r="AW187" s="2372"/>
      <c r="AX187" s="2372"/>
      <c r="AY187" s="2372"/>
      <c r="AZ187" s="2372"/>
      <c r="BA187" s="2372"/>
      <c r="BB187" s="2372"/>
      <c r="BC187" s="2372"/>
      <c r="BD187" s="2372"/>
      <c r="BE187" s="2372"/>
      <c r="BF187" s="2372"/>
      <c r="BG187" s="2372"/>
      <c r="BH187" s="2372"/>
      <c r="BI187" s="2372"/>
      <c r="BJ187" s="2372"/>
      <c r="BK187" s="2372"/>
      <c r="BL187" s="2372"/>
      <c r="BM187" s="2372"/>
      <c r="BN187" s="2372"/>
      <c r="BO187" s="2372"/>
      <c r="BP187" s="2372"/>
      <c r="BQ187" s="2372"/>
      <c r="BR187" s="2372"/>
      <c r="BS187" s="2372"/>
      <c r="BT187" s="2372"/>
      <c r="BU187" s="2372"/>
      <c r="BV187" s="2372"/>
      <c r="BW187" s="2372"/>
      <c r="BX187" s="2372"/>
      <c r="BY187" s="2372"/>
      <c r="BZ187" s="2372"/>
      <c r="CA187" s="2372"/>
      <c r="CB187" s="2372"/>
      <c r="CC187" s="2372"/>
      <c r="CD187" s="2372"/>
      <c r="CE187" s="2372"/>
      <c r="CF187" s="2372"/>
      <c r="CG187" s="2372"/>
      <c r="CH187" s="2372"/>
      <c r="CI187" s="2372"/>
      <c r="CJ187" s="2372"/>
      <c r="CK187" s="2372"/>
      <c r="CL187" s="2372"/>
      <c r="CM187" s="2372"/>
      <c r="CN187" s="2372"/>
      <c r="CO187" s="2372"/>
      <c r="CP187" s="2372"/>
      <c r="CQ187" s="2372"/>
      <c r="CR187" s="2372"/>
      <c r="CS187" s="2372"/>
      <c r="CT187" s="2372"/>
      <c r="CU187" s="2372"/>
      <c r="CV187" s="2372"/>
      <c r="CW187" s="2372"/>
      <c r="CX187" s="2372"/>
      <c r="CY187" s="2372"/>
      <c r="CZ187" s="2372"/>
      <c r="DA187" s="2372"/>
    </row>
    <row r="188" spans="1:105" ht="15" hidden="1" customHeight="1">
      <c r="A188" s="2372"/>
      <c r="B188" s="2372"/>
      <c r="C188" s="2372"/>
      <c r="D188" s="2372"/>
      <c r="E188" s="2372"/>
      <c r="F188" s="2372"/>
      <c r="G188" s="2372"/>
      <c r="H188" s="2372"/>
      <c r="I188" s="2372"/>
      <c r="J188" s="2372"/>
      <c r="K188" s="2372"/>
      <c r="L188" s="2372"/>
      <c r="M188" s="2372"/>
      <c r="N188" s="2372"/>
      <c r="O188" s="2372"/>
      <c r="P188" s="2372"/>
      <c r="Q188" s="2372"/>
      <c r="R188" s="2372"/>
      <c r="S188" s="2372"/>
      <c r="T188" s="2372"/>
      <c r="U188" s="2372"/>
      <c r="V188" s="2372"/>
      <c r="W188" s="2372"/>
      <c r="X188" s="2372"/>
      <c r="Y188" s="2372"/>
      <c r="Z188" s="2372"/>
      <c r="AA188" s="2372"/>
      <c r="AB188" s="2372"/>
      <c r="AC188" s="2372"/>
      <c r="AD188" s="2372"/>
      <c r="AE188" s="2372"/>
      <c r="AF188" s="2372"/>
      <c r="AG188" s="2372"/>
      <c r="AH188" s="2372"/>
      <c r="AI188" s="2372"/>
      <c r="AJ188" s="2372"/>
      <c r="AK188" s="2372"/>
      <c r="AL188" s="2372"/>
      <c r="AM188" s="2372"/>
      <c r="AN188" s="2372"/>
      <c r="AO188" s="2372"/>
      <c r="AP188" s="2372"/>
      <c r="AQ188" s="2372"/>
      <c r="AR188" s="2372"/>
      <c r="AS188" s="2372"/>
      <c r="AT188" s="2372"/>
      <c r="AU188" s="2372"/>
      <c r="AV188" s="2372"/>
      <c r="AW188" s="2372"/>
      <c r="AX188" s="2372"/>
      <c r="AY188" s="2372"/>
      <c r="AZ188" s="2372"/>
      <c r="BA188" s="2372"/>
      <c r="BB188" s="2372"/>
      <c r="BC188" s="2372"/>
      <c r="BD188" s="2372"/>
      <c r="BE188" s="2372"/>
      <c r="BF188" s="2372"/>
      <c r="BG188" s="2372"/>
      <c r="BH188" s="2372"/>
      <c r="BI188" s="2372"/>
      <c r="BJ188" s="2372"/>
      <c r="BK188" s="2372"/>
      <c r="BL188" s="2372"/>
      <c r="BM188" s="2372"/>
      <c r="BN188" s="2372"/>
      <c r="BO188" s="2372"/>
      <c r="BP188" s="2372"/>
      <c r="BQ188" s="2372"/>
      <c r="BR188" s="2372"/>
      <c r="BS188" s="2372"/>
      <c r="BT188" s="2372"/>
      <c r="BU188" s="2372"/>
      <c r="BV188" s="2372"/>
      <c r="BW188" s="2372"/>
      <c r="BX188" s="2372"/>
      <c r="BY188" s="2372"/>
      <c r="BZ188" s="2372"/>
      <c r="CA188" s="2372"/>
      <c r="CB188" s="2372"/>
      <c r="CC188" s="2372"/>
      <c r="CD188" s="2372"/>
      <c r="CE188" s="2372"/>
      <c r="CF188" s="2372"/>
      <c r="CG188" s="2372"/>
      <c r="CH188" s="2372"/>
      <c r="CI188" s="2372"/>
      <c r="CJ188" s="2372"/>
      <c r="CK188" s="2372"/>
      <c r="CL188" s="2372"/>
      <c r="CM188" s="2372"/>
      <c r="CN188" s="2372"/>
      <c r="CO188" s="2372"/>
      <c r="CP188" s="2372"/>
      <c r="CQ188" s="2372"/>
      <c r="CR188" s="2372"/>
      <c r="CS188" s="2372"/>
      <c r="CT188" s="2372"/>
      <c r="CU188" s="2372"/>
      <c r="CV188" s="2372"/>
      <c r="CW188" s="2372"/>
      <c r="CX188" s="2372"/>
      <c r="CY188" s="2372"/>
      <c r="CZ188" s="2372"/>
      <c r="DA188" s="2372"/>
    </row>
    <row r="189" spans="1:105" ht="3" hidden="1" customHeight="1">
      <c r="A189" s="2372"/>
      <c r="B189" s="2372"/>
      <c r="C189" s="2372"/>
      <c r="D189" s="2372"/>
      <c r="E189" s="2372"/>
      <c r="F189" s="2372"/>
      <c r="G189" s="2372"/>
      <c r="H189" s="2372"/>
      <c r="I189" s="2372"/>
      <c r="J189" s="2372"/>
      <c r="K189" s="2372"/>
      <c r="L189" s="2372"/>
      <c r="M189" s="2372"/>
      <c r="N189" s="2372"/>
      <c r="O189" s="2372"/>
      <c r="P189" s="2372"/>
      <c r="Q189" s="2372"/>
      <c r="R189" s="2372"/>
      <c r="S189" s="2372"/>
      <c r="T189" s="2372"/>
      <c r="U189" s="2372"/>
      <c r="V189" s="2372"/>
      <c r="W189" s="2372"/>
      <c r="X189" s="2372"/>
      <c r="Y189" s="2372"/>
      <c r="Z189" s="2372"/>
      <c r="AA189" s="2372"/>
      <c r="AB189" s="2372"/>
      <c r="AC189" s="2372"/>
      <c r="AD189" s="2372"/>
      <c r="AE189" s="2372"/>
      <c r="AF189" s="2372"/>
      <c r="AG189" s="2372"/>
      <c r="AH189" s="2372"/>
      <c r="AI189" s="2372"/>
      <c r="AJ189" s="2372"/>
      <c r="AK189" s="2372"/>
      <c r="AL189" s="2372"/>
      <c r="AM189" s="2372"/>
      <c r="AN189" s="2372"/>
      <c r="AO189" s="2372"/>
      <c r="AP189" s="2372"/>
      <c r="AQ189" s="2372"/>
      <c r="AR189" s="2372"/>
      <c r="AS189" s="2372"/>
      <c r="AT189" s="2372"/>
      <c r="AU189" s="2372"/>
      <c r="AV189" s="2372"/>
      <c r="AW189" s="2372"/>
      <c r="AX189" s="2372"/>
      <c r="AY189" s="2372"/>
      <c r="AZ189" s="2372"/>
      <c r="BA189" s="2372"/>
      <c r="BB189" s="2372"/>
      <c r="BC189" s="2372"/>
      <c r="BD189" s="2372"/>
      <c r="BE189" s="2372"/>
      <c r="BF189" s="2372"/>
      <c r="BG189" s="2372"/>
      <c r="BH189" s="2372"/>
      <c r="BI189" s="2372"/>
      <c r="BJ189" s="2372"/>
      <c r="BK189" s="2372"/>
      <c r="BL189" s="2372"/>
      <c r="BM189" s="2372"/>
      <c r="BN189" s="2372"/>
      <c r="BO189" s="2372"/>
      <c r="BP189" s="2372"/>
      <c r="BQ189" s="2372"/>
      <c r="BR189" s="2372"/>
      <c r="BS189" s="2372"/>
      <c r="BT189" s="2372"/>
      <c r="BU189" s="2372"/>
      <c r="BV189" s="2372"/>
      <c r="BW189" s="2372"/>
      <c r="BX189" s="2372"/>
      <c r="BY189" s="2372"/>
      <c r="BZ189" s="2372"/>
      <c r="CA189" s="2372"/>
      <c r="CB189" s="2372"/>
      <c r="CC189" s="2372"/>
      <c r="CD189" s="2372"/>
      <c r="CE189" s="2372"/>
      <c r="CF189" s="2372"/>
      <c r="CG189" s="2372"/>
      <c r="CH189" s="2372"/>
      <c r="CI189" s="2372"/>
      <c r="CJ189" s="2372"/>
      <c r="CK189" s="2372"/>
      <c r="CL189" s="2372"/>
      <c r="CM189" s="2372"/>
      <c r="CN189" s="2372"/>
      <c r="CO189" s="2372"/>
      <c r="CP189" s="2372"/>
      <c r="CQ189" s="2372"/>
      <c r="CR189" s="2372"/>
      <c r="CS189" s="2372"/>
      <c r="CT189" s="2372"/>
      <c r="CU189" s="2372"/>
      <c r="CV189" s="2372"/>
      <c r="CW189" s="2372"/>
      <c r="CX189" s="2372"/>
      <c r="CY189" s="2372"/>
      <c r="CZ189" s="2372"/>
      <c r="DA189" s="2372"/>
    </row>
    <row r="190" spans="1:105" ht="15" hidden="1" customHeight="1">
      <c r="A190" s="2372"/>
      <c r="B190" s="2372"/>
      <c r="C190" s="2372"/>
      <c r="D190" s="2372"/>
      <c r="E190" s="2372"/>
      <c r="F190" s="2372"/>
      <c r="G190" s="2372"/>
      <c r="H190" s="2372"/>
      <c r="I190" s="2372"/>
      <c r="J190" s="2372"/>
      <c r="K190" s="2372"/>
      <c r="L190" s="2372"/>
      <c r="M190" s="2372"/>
      <c r="N190" s="2372"/>
      <c r="O190" s="2372"/>
      <c r="P190" s="2372"/>
      <c r="Q190" s="2372"/>
      <c r="R190" s="2372"/>
      <c r="S190" s="2372"/>
      <c r="T190" s="2372"/>
      <c r="U190" s="2372"/>
      <c r="V190" s="2372"/>
      <c r="W190" s="2372"/>
      <c r="X190" s="2372"/>
      <c r="Y190" s="2372"/>
      <c r="Z190" s="2372"/>
      <c r="AA190" s="2372"/>
      <c r="AB190" s="2372"/>
      <c r="AC190" s="2372"/>
      <c r="AD190" s="2372"/>
      <c r="AE190" s="2372"/>
      <c r="AF190" s="2372"/>
      <c r="AG190" s="2372"/>
      <c r="AH190" s="2372"/>
      <c r="AI190" s="2372"/>
      <c r="AJ190" s="2372"/>
      <c r="AK190" s="2372"/>
      <c r="AL190" s="2372"/>
      <c r="AM190" s="2372"/>
      <c r="AN190" s="2372"/>
      <c r="AO190" s="2372"/>
      <c r="AP190" s="2372"/>
      <c r="AQ190" s="2372"/>
      <c r="AR190" s="2372"/>
      <c r="AS190" s="2372"/>
      <c r="AT190" s="2372"/>
      <c r="AU190" s="2372"/>
      <c r="AV190" s="2372"/>
      <c r="AW190" s="2372"/>
      <c r="AX190" s="2372"/>
      <c r="AY190" s="2372"/>
      <c r="AZ190" s="2372"/>
      <c r="BA190" s="2372"/>
      <c r="BB190" s="2372"/>
      <c r="BC190" s="2372"/>
      <c r="BD190" s="2372"/>
      <c r="BE190" s="2372"/>
      <c r="BF190" s="2372"/>
      <c r="BG190" s="2372"/>
      <c r="BH190" s="2372"/>
      <c r="BI190" s="2372"/>
      <c r="BJ190" s="2372"/>
      <c r="BK190" s="2372"/>
      <c r="BL190" s="2372"/>
      <c r="BM190" s="2372"/>
      <c r="BN190" s="2372"/>
      <c r="BO190" s="2372"/>
      <c r="BP190" s="2372"/>
      <c r="BQ190" s="2372"/>
      <c r="BR190" s="2372"/>
      <c r="BS190" s="2372"/>
      <c r="BT190" s="2372"/>
      <c r="BU190" s="2372"/>
      <c r="BV190" s="2372"/>
      <c r="BW190" s="2372"/>
      <c r="BX190" s="2372"/>
      <c r="BY190" s="2372"/>
      <c r="BZ190" s="2372"/>
      <c r="CA190" s="2372"/>
      <c r="CB190" s="2372"/>
      <c r="CC190" s="2372"/>
      <c r="CD190" s="2372"/>
      <c r="CE190" s="2372"/>
      <c r="CF190" s="2372"/>
      <c r="CG190" s="2372"/>
      <c r="CH190" s="2372"/>
      <c r="CI190" s="2372"/>
      <c r="CJ190" s="2372"/>
      <c r="CK190" s="2372"/>
      <c r="CL190" s="2372"/>
      <c r="CM190" s="2372"/>
      <c r="CN190" s="2372"/>
      <c r="CO190" s="2372"/>
      <c r="CP190" s="2372"/>
      <c r="CQ190" s="2372"/>
      <c r="CR190" s="2372"/>
      <c r="CS190" s="2372"/>
      <c r="CT190" s="2372"/>
      <c r="CU190" s="2372"/>
      <c r="CV190" s="2372"/>
      <c r="CW190" s="2372"/>
      <c r="CX190" s="2372"/>
      <c r="CY190" s="2372"/>
      <c r="CZ190" s="2372"/>
      <c r="DA190" s="2372"/>
    </row>
    <row r="191" spans="1:105" ht="3" hidden="1" customHeight="1">
      <c r="A191" s="2372"/>
      <c r="B191" s="2372"/>
      <c r="C191" s="2372"/>
      <c r="D191" s="2372"/>
      <c r="E191" s="2372"/>
      <c r="F191" s="2372"/>
      <c r="G191" s="2372"/>
      <c r="H191" s="2372"/>
      <c r="I191" s="2372"/>
      <c r="J191" s="2372"/>
      <c r="K191" s="2372"/>
      <c r="L191" s="2372"/>
      <c r="M191" s="2372"/>
      <c r="N191" s="2372"/>
      <c r="O191" s="2372"/>
      <c r="P191" s="2372"/>
      <c r="Q191" s="2372"/>
      <c r="R191" s="2372"/>
      <c r="S191" s="2372"/>
      <c r="T191" s="2372"/>
      <c r="U191" s="2372"/>
      <c r="V191" s="2372"/>
      <c r="W191" s="2372"/>
      <c r="X191" s="2372"/>
      <c r="Y191" s="2372"/>
      <c r="Z191" s="2372"/>
      <c r="AA191" s="2372"/>
      <c r="AB191" s="2372"/>
      <c r="AC191" s="2372"/>
      <c r="AD191" s="2372"/>
      <c r="AE191" s="2372"/>
      <c r="AF191" s="2372"/>
      <c r="AG191" s="2372"/>
      <c r="AH191" s="2372"/>
      <c r="AI191" s="2372"/>
      <c r="AJ191" s="2372"/>
      <c r="AK191" s="2372"/>
      <c r="AL191" s="2372"/>
      <c r="AM191" s="2372"/>
      <c r="AN191" s="2372"/>
      <c r="AO191" s="2372"/>
      <c r="AP191" s="2372"/>
      <c r="AQ191" s="2372"/>
      <c r="AR191" s="2372"/>
      <c r="AS191" s="2372"/>
      <c r="AT191" s="2372"/>
      <c r="AU191" s="2372"/>
      <c r="AV191" s="2372"/>
      <c r="AW191" s="2372"/>
      <c r="AX191" s="2372"/>
      <c r="AY191" s="2372"/>
      <c r="AZ191" s="2372"/>
      <c r="BA191" s="2372"/>
      <c r="BB191" s="2372"/>
      <c r="BC191" s="2372"/>
      <c r="BD191" s="2372"/>
      <c r="BE191" s="2372"/>
      <c r="BF191" s="2372"/>
      <c r="BG191" s="2372"/>
      <c r="BH191" s="2372"/>
      <c r="BI191" s="2372"/>
      <c r="BJ191" s="2372"/>
      <c r="BK191" s="2372"/>
      <c r="BL191" s="2372"/>
      <c r="BM191" s="2372"/>
      <c r="BN191" s="2372"/>
      <c r="BO191" s="2372"/>
      <c r="BP191" s="2372"/>
      <c r="BQ191" s="2372"/>
      <c r="BR191" s="2372"/>
      <c r="BS191" s="2372"/>
      <c r="BT191" s="2372"/>
      <c r="BU191" s="2372"/>
      <c r="BV191" s="2372"/>
      <c r="BW191" s="2372"/>
      <c r="BX191" s="2372"/>
      <c r="BY191" s="2372"/>
      <c r="BZ191" s="2372"/>
      <c r="CA191" s="2372"/>
      <c r="CB191" s="2372"/>
      <c r="CC191" s="2372"/>
      <c r="CD191" s="2372"/>
      <c r="CE191" s="2372"/>
      <c r="CF191" s="2372"/>
      <c r="CG191" s="2372"/>
      <c r="CH191" s="2372"/>
      <c r="CI191" s="2372"/>
      <c r="CJ191" s="2372"/>
      <c r="CK191" s="2372"/>
      <c r="CL191" s="2372"/>
      <c r="CM191" s="2372"/>
      <c r="CN191" s="2372"/>
      <c r="CO191" s="2372"/>
      <c r="CP191" s="2372"/>
      <c r="CQ191" s="2372"/>
      <c r="CR191" s="2372"/>
      <c r="CS191" s="2372"/>
      <c r="CT191" s="2372"/>
      <c r="CU191" s="2372"/>
      <c r="CV191" s="2372"/>
      <c r="CW191" s="2372"/>
      <c r="CX191" s="2372"/>
      <c r="CY191" s="2372"/>
      <c r="CZ191" s="2372"/>
      <c r="DA191" s="2372"/>
    </row>
    <row r="192" spans="1:105" ht="15" hidden="1" customHeight="1">
      <c r="A192" s="2372"/>
      <c r="B192" s="2372"/>
      <c r="U192" s="2372"/>
      <c r="V192" s="2372"/>
      <c r="W192" s="2372"/>
      <c r="X192" s="2372"/>
      <c r="Y192" s="2372"/>
      <c r="Z192" s="2372"/>
      <c r="AA192" s="2372"/>
      <c r="AB192" s="2372"/>
      <c r="AC192" s="2372"/>
      <c r="AD192" s="2372"/>
      <c r="AE192" s="2372"/>
      <c r="AF192" s="2372"/>
      <c r="AG192" s="2372"/>
      <c r="AH192" s="2372"/>
      <c r="AI192" s="2372"/>
      <c r="AJ192" s="2372"/>
      <c r="AK192" s="2372"/>
      <c r="AL192" s="2372"/>
      <c r="AM192" s="2372"/>
      <c r="AN192" s="2372"/>
      <c r="AO192" s="2372"/>
      <c r="AP192" s="2372"/>
      <c r="AQ192" s="2372"/>
      <c r="AR192" s="2372"/>
      <c r="AS192" s="2372"/>
      <c r="AT192" s="2372"/>
      <c r="AU192" s="2372"/>
      <c r="AV192" s="2372"/>
      <c r="AW192" s="2372"/>
      <c r="AX192" s="2372"/>
      <c r="AY192" s="2372"/>
      <c r="AZ192" s="2372"/>
      <c r="BA192" s="2372"/>
      <c r="BB192" s="2372"/>
      <c r="BC192" s="2372"/>
      <c r="BD192" s="2372"/>
      <c r="BE192" s="2372"/>
      <c r="BF192" s="2372"/>
      <c r="BG192" s="2372"/>
      <c r="BH192" s="2372"/>
      <c r="BI192" s="2372"/>
      <c r="BJ192" s="2372"/>
      <c r="BK192" s="2372"/>
      <c r="BL192" s="2372"/>
      <c r="BM192" s="2372"/>
      <c r="BN192" s="2372"/>
      <c r="BO192" s="2372"/>
      <c r="BP192" s="2372"/>
      <c r="BQ192" s="2372"/>
      <c r="BR192" s="2372"/>
      <c r="BS192" s="2372"/>
      <c r="BT192" s="2372"/>
      <c r="BU192" s="2372"/>
      <c r="BV192" s="2372"/>
      <c r="BW192" s="2372"/>
      <c r="BX192" s="2372"/>
      <c r="BY192" s="2372"/>
      <c r="BZ192" s="2372"/>
      <c r="CA192" s="2372"/>
      <c r="CB192" s="2372"/>
      <c r="CC192" s="2372"/>
      <c r="CD192" s="2372"/>
      <c r="CE192" s="2372"/>
      <c r="CF192" s="2372"/>
      <c r="CG192" s="2372"/>
      <c r="CH192" s="2372"/>
      <c r="CI192" s="2372"/>
      <c r="CJ192" s="2372"/>
      <c r="CK192" s="2372"/>
      <c r="CL192" s="2372"/>
      <c r="CM192" s="2372"/>
      <c r="CN192" s="2372"/>
      <c r="CO192" s="2372"/>
      <c r="CP192" s="2372"/>
      <c r="CQ192" s="2372"/>
      <c r="CR192" s="2372"/>
      <c r="CS192" s="2372"/>
      <c r="CT192" s="2372"/>
      <c r="CU192" s="2372"/>
      <c r="CV192" s="2372"/>
      <c r="CW192" s="2372"/>
      <c r="CX192" s="2372"/>
      <c r="CY192" s="2372"/>
      <c r="CZ192" s="2372"/>
      <c r="DA192" s="2372"/>
    </row>
    <row r="193" spans="1:105" ht="3" hidden="1" customHeight="1">
      <c r="A193" s="2372"/>
      <c r="B193" s="2372"/>
      <c r="U193" s="2372"/>
      <c r="V193" s="2372"/>
      <c r="W193" s="2372"/>
      <c r="X193" s="2372"/>
      <c r="Y193" s="2372"/>
      <c r="Z193" s="2372"/>
      <c r="AA193" s="2372"/>
      <c r="AB193" s="2372"/>
      <c r="AC193" s="2372"/>
      <c r="AD193" s="2372"/>
      <c r="AE193" s="2372"/>
      <c r="AF193" s="2372"/>
      <c r="AG193" s="2372"/>
      <c r="AH193" s="2372"/>
      <c r="AI193" s="2372"/>
      <c r="AJ193" s="2372"/>
      <c r="AK193" s="2372"/>
      <c r="AL193" s="2372"/>
      <c r="AM193" s="2372"/>
      <c r="AN193" s="2372"/>
      <c r="AO193" s="2372"/>
      <c r="AP193" s="2372"/>
      <c r="AQ193" s="2372"/>
      <c r="AR193" s="2372"/>
      <c r="AS193" s="2372"/>
      <c r="AT193" s="2372"/>
      <c r="AU193" s="2372"/>
      <c r="AV193" s="2372"/>
      <c r="AW193" s="2372"/>
      <c r="AX193" s="2372"/>
      <c r="AY193" s="2372"/>
      <c r="AZ193" s="2372"/>
      <c r="BA193" s="2372"/>
      <c r="BB193" s="2372"/>
      <c r="BC193" s="2372"/>
      <c r="BD193" s="2372"/>
      <c r="BE193" s="2372"/>
      <c r="BF193" s="2372"/>
      <c r="BG193" s="2372"/>
      <c r="BH193" s="2372"/>
      <c r="BI193" s="2372"/>
      <c r="BJ193" s="2372"/>
      <c r="BK193" s="2372"/>
      <c r="BL193" s="2372"/>
      <c r="BM193" s="2372"/>
      <c r="BN193" s="2372"/>
      <c r="BO193" s="2372"/>
      <c r="BP193" s="2372"/>
      <c r="BQ193" s="2372"/>
      <c r="BR193" s="2372"/>
      <c r="BS193" s="2372"/>
      <c r="BT193" s="2372"/>
      <c r="BU193" s="2372"/>
      <c r="BV193" s="2372"/>
      <c r="BW193" s="2372"/>
      <c r="BX193" s="2372"/>
      <c r="BY193" s="2372"/>
      <c r="BZ193" s="2372"/>
      <c r="CA193" s="2372"/>
      <c r="CB193" s="2372"/>
      <c r="CC193" s="2372"/>
      <c r="CD193" s="2372"/>
      <c r="CE193" s="2372"/>
      <c r="CF193" s="2372"/>
      <c r="CG193" s="2372"/>
      <c r="CH193" s="2372"/>
      <c r="CI193" s="2372"/>
      <c r="CJ193" s="2372"/>
      <c r="CK193" s="2372"/>
      <c r="CL193" s="2372"/>
      <c r="CM193" s="2372"/>
      <c r="CN193" s="2372"/>
      <c r="CO193" s="2372"/>
      <c r="CP193" s="2372"/>
      <c r="CQ193" s="2372"/>
      <c r="CR193" s="2372"/>
      <c r="CS193" s="2372"/>
      <c r="CT193" s="2372"/>
      <c r="CU193" s="2372"/>
      <c r="CV193" s="2372"/>
      <c r="CW193" s="2372"/>
      <c r="CX193" s="2372"/>
      <c r="CY193" s="2372"/>
      <c r="CZ193" s="2372"/>
      <c r="DA193" s="2372"/>
    </row>
    <row r="194" spans="1:105" ht="15" hidden="1" customHeight="1">
      <c r="A194" s="2372"/>
      <c r="B194" s="2372"/>
      <c r="U194" s="2372"/>
      <c r="V194" s="2372"/>
      <c r="W194" s="2372"/>
      <c r="X194" s="2372"/>
      <c r="Y194" s="2372"/>
      <c r="Z194" s="2372"/>
      <c r="AA194" s="2372"/>
      <c r="AB194" s="2372"/>
      <c r="AC194" s="2372"/>
      <c r="AD194" s="2372"/>
      <c r="AE194" s="2372"/>
      <c r="AF194" s="2372"/>
      <c r="AG194" s="2372"/>
      <c r="AH194" s="2372"/>
      <c r="AI194" s="2372"/>
      <c r="AJ194" s="2372"/>
      <c r="AK194" s="2372"/>
      <c r="AL194" s="2372"/>
      <c r="AM194" s="2372"/>
      <c r="AN194" s="2372"/>
      <c r="AO194" s="2372"/>
      <c r="AP194" s="2372"/>
      <c r="AQ194" s="2372"/>
      <c r="AR194" s="2372"/>
      <c r="AS194" s="2372"/>
      <c r="AT194" s="2372"/>
      <c r="AU194" s="2372"/>
      <c r="AV194" s="2372"/>
      <c r="AW194" s="2372"/>
      <c r="AX194" s="2372"/>
      <c r="AY194" s="2372"/>
      <c r="AZ194" s="2372"/>
      <c r="BA194" s="2372"/>
      <c r="BB194" s="2372"/>
      <c r="BC194" s="2372"/>
      <c r="BD194" s="2372"/>
      <c r="BE194" s="2372"/>
      <c r="BF194" s="2372"/>
      <c r="BG194" s="2372"/>
      <c r="BH194" s="2372"/>
      <c r="BI194" s="2372"/>
      <c r="BJ194" s="2372"/>
      <c r="BK194" s="2372"/>
      <c r="BL194" s="2372"/>
      <c r="BM194" s="2372"/>
      <c r="BN194" s="2372"/>
      <c r="BO194" s="2372"/>
      <c r="BP194" s="2372"/>
      <c r="BQ194" s="2372"/>
      <c r="BR194" s="2372"/>
      <c r="BS194" s="2372"/>
      <c r="BT194" s="2372"/>
      <c r="BU194" s="2372"/>
      <c r="BV194" s="2372"/>
      <c r="BW194" s="2372"/>
      <c r="BX194" s="2372"/>
      <c r="BY194" s="2372"/>
      <c r="BZ194" s="2372"/>
      <c r="CA194" s="2372"/>
      <c r="CB194" s="2372"/>
      <c r="CC194" s="2372"/>
      <c r="CD194" s="2372"/>
      <c r="CE194" s="2372"/>
      <c r="CF194" s="2372"/>
      <c r="CG194" s="2372"/>
      <c r="CH194" s="2372"/>
      <c r="CI194" s="2372"/>
      <c r="CJ194" s="2372"/>
      <c r="CK194" s="2372"/>
      <c r="CL194" s="2372"/>
      <c r="CM194" s="2372"/>
      <c r="CN194" s="2372"/>
      <c r="CO194" s="2372"/>
      <c r="CP194" s="2372"/>
      <c r="CQ194" s="2372"/>
      <c r="CR194" s="2372"/>
      <c r="CS194" s="2372"/>
      <c r="CT194" s="2372"/>
      <c r="CU194" s="2372"/>
      <c r="CV194" s="2372"/>
      <c r="CW194" s="2372"/>
      <c r="CX194" s="2372"/>
      <c r="CY194" s="2372"/>
      <c r="CZ194" s="2372"/>
      <c r="DA194" s="2372"/>
    </row>
    <row r="195" spans="1:105" ht="3" hidden="1" customHeight="1">
      <c r="A195" s="2372"/>
      <c r="B195" s="2372"/>
      <c r="U195" s="2372"/>
      <c r="V195" s="2372"/>
      <c r="W195" s="2372"/>
      <c r="X195" s="2372"/>
      <c r="Y195" s="2372"/>
      <c r="Z195" s="2372"/>
      <c r="AA195" s="2372"/>
      <c r="AB195" s="2372"/>
      <c r="AC195" s="2372"/>
      <c r="AD195" s="2372"/>
      <c r="AE195" s="2372"/>
      <c r="AF195" s="2372"/>
      <c r="AG195" s="2372"/>
      <c r="AH195" s="2372"/>
      <c r="AI195" s="2372"/>
      <c r="AJ195" s="2372"/>
      <c r="AK195" s="2372"/>
      <c r="AL195" s="2372"/>
      <c r="AM195" s="2372"/>
      <c r="AN195" s="2372"/>
      <c r="AO195" s="2372"/>
      <c r="AP195" s="2372"/>
      <c r="AQ195" s="2372"/>
      <c r="AR195" s="2372"/>
      <c r="AS195" s="2372"/>
      <c r="AT195" s="2372"/>
      <c r="AU195" s="2372"/>
      <c r="AV195" s="2372"/>
      <c r="AW195" s="2372"/>
      <c r="AX195" s="2372"/>
      <c r="AY195" s="2372"/>
      <c r="AZ195" s="2372"/>
      <c r="BA195" s="2372"/>
      <c r="BB195" s="2372"/>
      <c r="BC195" s="2372"/>
      <c r="BD195" s="2372"/>
      <c r="BE195" s="2372"/>
      <c r="BF195" s="2372"/>
      <c r="BG195" s="2372"/>
      <c r="BH195" s="2372"/>
      <c r="BI195" s="2372"/>
      <c r="BJ195" s="2372"/>
      <c r="BK195" s="2372"/>
      <c r="BL195" s="2372"/>
      <c r="BM195" s="2372"/>
      <c r="BN195" s="2372"/>
      <c r="BO195" s="2372"/>
      <c r="BP195" s="2372"/>
      <c r="BQ195" s="2372"/>
      <c r="BR195" s="2372"/>
      <c r="BS195" s="2372"/>
      <c r="BT195" s="2372"/>
      <c r="BU195" s="2372"/>
      <c r="BV195" s="2372"/>
      <c r="BW195" s="2372"/>
      <c r="BX195" s="2372"/>
      <c r="BY195" s="2372"/>
      <c r="BZ195" s="2372"/>
      <c r="CA195" s="2372"/>
      <c r="CB195" s="2372"/>
      <c r="CC195" s="2372"/>
      <c r="CD195" s="2372"/>
      <c r="CE195" s="2372"/>
      <c r="CF195" s="2372"/>
      <c r="CG195" s="2372"/>
      <c r="CH195" s="2372"/>
      <c r="CI195" s="2372"/>
      <c r="CJ195" s="2372"/>
      <c r="CK195" s="2372"/>
      <c r="CL195" s="2372"/>
      <c r="CM195" s="2372"/>
      <c r="CN195" s="2372"/>
      <c r="CO195" s="2372"/>
      <c r="CP195" s="2372"/>
      <c r="CQ195" s="2372"/>
      <c r="CR195" s="2372"/>
      <c r="CS195" s="2372"/>
      <c r="CT195" s="2372"/>
      <c r="CU195" s="2372"/>
      <c r="CV195" s="2372"/>
      <c r="CW195" s="2372"/>
      <c r="CX195" s="2372"/>
      <c r="CY195" s="2372"/>
      <c r="CZ195" s="2372"/>
      <c r="DA195" s="2372"/>
    </row>
    <row r="196" spans="1:105" ht="15" hidden="1" customHeight="1">
      <c r="A196" s="2372"/>
      <c r="B196" s="2372"/>
      <c r="U196" s="2372"/>
      <c r="V196" s="2372"/>
      <c r="W196" s="2372"/>
      <c r="X196" s="2372"/>
      <c r="Y196" s="2372"/>
      <c r="Z196" s="2372"/>
      <c r="AA196" s="2372"/>
      <c r="AB196" s="2372"/>
      <c r="AC196" s="2372"/>
      <c r="AD196" s="2372"/>
      <c r="AE196" s="2372"/>
      <c r="AF196" s="2372"/>
      <c r="AG196" s="2372"/>
      <c r="AH196" s="2372"/>
      <c r="AI196" s="2372"/>
      <c r="AJ196" s="2372"/>
      <c r="AK196" s="2372"/>
      <c r="AL196" s="2372"/>
      <c r="AM196" s="2372"/>
      <c r="AN196" s="2372"/>
      <c r="AO196" s="2372"/>
      <c r="AP196" s="2372"/>
      <c r="AQ196" s="2372"/>
      <c r="AR196" s="2372"/>
      <c r="AS196" s="2372"/>
      <c r="AT196" s="2372"/>
      <c r="AU196" s="2372"/>
      <c r="AV196" s="2372"/>
      <c r="AW196" s="2372"/>
      <c r="AX196" s="2372"/>
      <c r="AY196" s="2372"/>
      <c r="AZ196" s="2372"/>
      <c r="BA196" s="2372"/>
      <c r="BB196" s="2372"/>
      <c r="BC196" s="2372"/>
      <c r="BD196" s="2372"/>
      <c r="BE196" s="2372"/>
      <c r="BF196" s="2372"/>
      <c r="BG196" s="2372"/>
      <c r="BH196" s="2372"/>
      <c r="BI196" s="2372"/>
      <c r="BJ196" s="2372"/>
      <c r="BK196" s="2372"/>
      <c r="BL196" s="2372"/>
      <c r="BM196" s="2372"/>
      <c r="BN196" s="2372"/>
      <c r="BO196" s="2372"/>
      <c r="BP196" s="2372"/>
      <c r="BQ196" s="2372"/>
      <c r="BR196" s="2372"/>
      <c r="BS196" s="2372"/>
      <c r="BT196" s="2372"/>
      <c r="BU196" s="2372"/>
      <c r="BV196" s="2372"/>
      <c r="BW196" s="2372"/>
      <c r="BX196" s="2372"/>
      <c r="BY196" s="2372"/>
      <c r="BZ196" s="2372"/>
      <c r="CA196" s="2372"/>
      <c r="CB196" s="2372"/>
      <c r="CC196" s="2372"/>
      <c r="CD196" s="2372"/>
      <c r="CE196" s="2372"/>
      <c r="CF196" s="2372"/>
      <c r="CG196" s="2372"/>
      <c r="CH196" s="2372"/>
      <c r="CI196" s="2372"/>
      <c r="CJ196" s="2372"/>
      <c r="CK196" s="2372"/>
      <c r="CL196" s="2372"/>
      <c r="CM196" s="2372"/>
      <c r="CN196" s="2372"/>
      <c r="CO196" s="2372"/>
      <c r="CP196" s="2372"/>
      <c r="CQ196" s="2372"/>
      <c r="CR196" s="2372"/>
      <c r="CS196" s="2372"/>
      <c r="CT196" s="2372"/>
      <c r="CU196" s="2372"/>
      <c r="CV196" s="2372"/>
      <c r="CW196" s="2372"/>
      <c r="CX196" s="2372"/>
      <c r="CY196" s="2372"/>
      <c r="CZ196" s="2372"/>
      <c r="DA196" s="2372"/>
    </row>
    <row r="197" spans="1:105" ht="3" hidden="1" customHeight="1">
      <c r="A197" s="2372"/>
      <c r="B197" s="2372"/>
      <c r="U197" s="2372"/>
      <c r="V197" s="2372"/>
      <c r="W197" s="2372"/>
      <c r="X197" s="2372"/>
      <c r="Y197" s="2372"/>
      <c r="Z197" s="2372"/>
      <c r="AA197" s="2372"/>
      <c r="AB197" s="2372"/>
      <c r="AC197" s="2372"/>
      <c r="AD197" s="2372"/>
      <c r="AE197" s="2372"/>
      <c r="AF197" s="2372"/>
      <c r="AG197" s="2372"/>
      <c r="AH197" s="2372"/>
      <c r="AI197" s="2372"/>
      <c r="AJ197" s="2372"/>
      <c r="AK197" s="2372"/>
      <c r="AL197" s="2372"/>
      <c r="AM197" s="2372"/>
      <c r="AN197" s="2372"/>
      <c r="AO197" s="2372"/>
      <c r="AP197" s="2372"/>
      <c r="AQ197" s="2372"/>
      <c r="AR197" s="2372"/>
      <c r="AS197" s="2372"/>
      <c r="AT197" s="2372"/>
      <c r="AU197" s="2372"/>
      <c r="AV197" s="2372"/>
      <c r="AW197" s="2372"/>
      <c r="AX197" s="2372"/>
      <c r="AY197" s="2372"/>
      <c r="AZ197" s="2372"/>
      <c r="BA197" s="2372"/>
      <c r="BB197" s="2372"/>
      <c r="BC197" s="2372"/>
      <c r="BD197" s="2372"/>
      <c r="BE197" s="2372"/>
      <c r="BF197" s="2372"/>
      <c r="BG197" s="2372"/>
      <c r="BH197" s="2372"/>
      <c r="BI197" s="2372"/>
      <c r="BJ197" s="2372"/>
      <c r="BK197" s="2372"/>
      <c r="BL197" s="2372"/>
      <c r="BM197" s="2372"/>
      <c r="BN197" s="2372"/>
      <c r="BO197" s="2372"/>
      <c r="BP197" s="2372"/>
      <c r="BQ197" s="2372"/>
      <c r="BR197" s="2372"/>
      <c r="BS197" s="2372"/>
      <c r="BT197" s="2372"/>
      <c r="BU197" s="2372"/>
      <c r="BV197" s="2372"/>
      <c r="BW197" s="2372"/>
      <c r="BX197" s="2372"/>
      <c r="BY197" s="2372"/>
      <c r="BZ197" s="2372"/>
      <c r="CA197" s="2372"/>
      <c r="CB197" s="2372"/>
      <c r="CC197" s="2372"/>
      <c r="CD197" s="2372"/>
      <c r="CE197" s="2372"/>
      <c r="CF197" s="2372"/>
      <c r="CG197" s="2372"/>
      <c r="CH197" s="2372"/>
      <c r="CI197" s="2372"/>
      <c r="CJ197" s="2372"/>
      <c r="CK197" s="2372"/>
      <c r="CL197" s="2372"/>
      <c r="CM197" s="2372"/>
      <c r="CN197" s="2372"/>
      <c r="CO197" s="2372"/>
      <c r="CP197" s="2372"/>
      <c r="CQ197" s="2372"/>
      <c r="CR197" s="2372"/>
      <c r="CS197" s="2372"/>
      <c r="CT197" s="2372"/>
      <c r="CU197" s="2372"/>
      <c r="CV197" s="2372"/>
      <c r="CW197" s="2372"/>
      <c r="CX197" s="2372"/>
      <c r="CY197" s="2372"/>
      <c r="CZ197" s="2372"/>
      <c r="DA197" s="2372"/>
    </row>
    <row r="198" spans="1:105" ht="15" hidden="1" customHeight="1">
      <c r="A198" s="2372"/>
      <c r="B198" s="2372"/>
      <c r="U198" s="2372"/>
      <c r="V198" s="2372"/>
      <c r="W198" s="2372"/>
      <c r="X198" s="2372"/>
      <c r="Y198" s="2372"/>
      <c r="Z198" s="2372"/>
      <c r="AA198" s="2372"/>
      <c r="AB198" s="2372"/>
      <c r="AC198" s="2372"/>
      <c r="AD198" s="2372"/>
      <c r="AE198" s="2372"/>
      <c r="AF198" s="2372"/>
      <c r="AG198" s="2372"/>
      <c r="AH198" s="2372"/>
      <c r="AI198" s="2372"/>
      <c r="AJ198" s="2372"/>
      <c r="AK198" s="2372"/>
      <c r="AL198" s="2372"/>
      <c r="AM198" s="2372"/>
      <c r="AN198" s="2372"/>
      <c r="AO198" s="2372"/>
      <c r="AP198" s="2372"/>
      <c r="AQ198" s="2372"/>
      <c r="AR198" s="2372"/>
      <c r="AS198" s="2372"/>
      <c r="AT198" s="2372"/>
      <c r="AU198" s="2372"/>
      <c r="AV198" s="2372"/>
      <c r="AW198" s="2372"/>
      <c r="AX198" s="2372"/>
      <c r="AY198" s="2372"/>
      <c r="AZ198" s="2372"/>
      <c r="BA198" s="2372"/>
      <c r="BB198" s="2372"/>
      <c r="BC198" s="2372"/>
      <c r="BD198" s="2372"/>
      <c r="BE198" s="2372"/>
      <c r="BF198" s="2372"/>
      <c r="BG198" s="2372"/>
      <c r="BH198" s="2372"/>
      <c r="BI198" s="2372"/>
      <c r="BJ198" s="2372"/>
      <c r="BK198" s="2372"/>
      <c r="BL198" s="2372"/>
      <c r="BM198" s="2372"/>
      <c r="BN198" s="2372"/>
      <c r="BO198" s="2372"/>
      <c r="BP198" s="2372"/>
      <c r="BQ198" s="2372"/>
      <c r="BR198" s="2372"/>
      <c r="BS198" s="2372"/>
      <c r="BT198" s="2372"/>
      <c r="BU198" s="2372"/>
      <c r="BV198" s="2372"/>
      <c r="BW198" s="2372"/>
      <c r="BX198" s="2372"/>
      <c r="BY198" s="2372"/>
      <c r="BZ198" s="2372"/>
      <c r="CA198" s="2372"/>
      <c r="CB198" s="2372"/>
      <c r="CC198" s="2372"/>
      <c r="CD198" s="2372"/>
      <c r="CE198" s="2372"/>
      <c r="CF198" s="2372"/>
      <c r="CG198" s="2372"/>
      <c r="CH198" s="2372"/>
      <c r="CI198" s="2372"/>
      <c r="CJ198" s="2372"/>
      <c r="CK198" s="2372"/>
      <c r="CL198" s="2372"/>
      <c r="CM198" s="2372"/>
      <c r="CN198" s="2372"/>
      <c r="CO198" s="2372"/>
      <c r="CP198" s="2372"/>
      <c r="CQ198" s="2372"/>
      <c r="CR198" s="2372"/>
      <c r="CS198" s="2372"/>
      <c r="CT198" s="2372"/>
      <c r="CU198" s="2372"/>
      <c r="CV198" s="2372"/>
      <c r="CW198" s="2372"/>
      <c r="CX198" s="2372"/>
      <c r="CY198" s="2372"/>
      <c r="CZ198" s="2372"/>
      <c r="DA198" s="2372"/>
    </row>
    <row r="199" spans="1:105" ht="3" hidden="1" customHeight="1">
      <c r="A199" s="2372"/>
      <c r="B199" s="2372"/>
      <c r="U199" s="2372"/>
      <c r="V199" s="2372"/>
      <c r="W199" s="2372"/>
      <c r="X199" s="2372"/>
      <c r="Y199" s="2372"/>
      <c r="Z199" s="2372"/>
      <c r="AA199" s="2372"/>
      <c r="AB199" s="2372"/>
      <c r="AC199" s="2372"/>
      <c r="AD199" s="2372"/>
      <c r="AE199" s="2372"/>
      <c r="AF199" s="2372"/>
      <c r="AG199" s="2372"/>
      <c r="AH199" s="2372"/>
      <c r="AI199" s="2372"/>
      <c r="AJ199" s="2372"/>
      <c r="AK199" s="2372"/>
      <c r="AL199" s="2372"/>
      <c r="AM199" s="2372"/>
      <c r="AN199" s="2372"/>
      <c r="AO199" s="2372"/>
      <c r="AP199" s="2372"/>
      <c r="AQ199" s="2372"/>
      <c r="AR199" s="2372"/>
      <c r="AS199" s="2372"/>
      <c r="AT199" s="2372"/>
      <c r="AU199" s="2372"/>
      <c r="AV199" s="2372"/>
      <c r="AW199" s="2372"/>
      <c r="AX199" s="2372"/>
      <c r="AY199" s="2372"/>
      <c r="AZ199" s="2372"/>
      <c r="BA199" s="2372"/>
      <c r="BB199" s="2372"/>
      <c r="BC199" s="2372"/>
      <c r="BD199" s="2372"/>
      <c r="BE199" s="2372"/>
      <c r="BF199" s="2372"/>
      <c r="BG199" s="2372"/>
      <c r="BH199" s="2372"/>
      <c r="BI199" s="2372"/>
      <c r="BJ199" s="2372"/>
      <c r="BK199" s="2372"/>
      <c r="BL199" s="2372"/>
      <c r="BM199" s="2372"/>
      <c r="BN199" s="2372"/>
      <c r="BO199" s="2372"/>
      <c r="BP199" s="2372"/>
      <c r="BQ199" s="2372"/>
      <c r="BR199" s="2372"/>
      <c r="BS199" s="2372"/>
      <c r="BT199" s="2372"/>
      <c r="BU199" s="2372"/>
      <c r="BV199" s="2372"/>
      <c r="BW199" s="2372"/>
      <c r="BX199" s="2372"/>
      <c r="BY199" s="2372"/>
      <c r="BZ199" s="2372"/>
      <c r="CA199" s="2372"/>
      <c r="CB199" s="2372"/>
      <c r="CC199" s="2372"/>
      <c r="CD199" s="2372"/>
      <c r="CE199" s="2372"/>
      <c r="CF199" s="2372"/>
      <c r="CG199" s="2372"/>
      <c r="CH199" s="2372"/>
      <c r="CI199" s="2372"/>
      <c r="CJ199" s="2372"/>
      <c r="CK199" s="2372"/>
      <c r="CL199" s="2372"/>
      <c r="CM199" s="2372"/>
      <c r="CN199" s="2372"/>
      <c r="CO199" s="2372"/>
      <c r="CP199" s="2372"/>
      <c r="CQ199" s="2372"/>
      <c r="CR199" s="2372"/>
      <c r="CS199" s="2372"/>
      <c r="CT199" s="2372"/>
      <c r="CU199" s="2372"/>
      <c r="CV199" s="2372"/>
      <c r="CW199" s="2372"/>
      <c r="CX199" s="2372"/>
      <c r="CY199" s="2372"/>
      <c r="CZ199" s="2372"/>
      <c r="DA199" s="2372"/>
    </row>
    <row r="200" spans="1:105" ht="15" hidden="1" customHeight="1">
      <c r="A200" s="2372"/>
      <c r="B200" s="2372"/>
      <c r="U200" s="2372"/>
      <c r="V200" s="2372"/>
      <c r="W200" s="2372"/>
      <c r="X200" s="2372"/>
      <c r="Y200" s="2372"/>
      <c r="Z200" s="2372"/>
      <c r="AA200" s="2372"/>
      <c r="AB200" s="2372"/>
      <c r="AC200" s="2372"/>
      <c r="AD200" s="2372"/>
      <c r="AE200" s="2372"/>
      <c r="AF200" s="2372"/>
      <c r="AG200" s="2372"/>
      <c r="AH200" s="2372"/>
      <c r="AI200" s="2372"/>
      <c r="AJ200" s="2372"/>
      <c r="AK200" s="2372"/>
      <c r="AL200" s="2372"/>
      <c r="AM200" s="2372"/>
      <c r="AN200" s="2372"/>
      <c r="AO200" s="2372"/>
      <c r="AP200" s="2372"/>
      <c r="AQ200" s="2372"/>
      <c r="AR200" s="2372"/>
      <c r="AS200" s="2372"/>
      <c r="AT200" s="2372"/>
      <c r="AU200" s="2372"/>
      <c r="AV200" s="2372"/>
      <c r="AW200" s="2372"/>
      <c r="AX200" s="2372"/>
      <c r="AY200" s="2372"/>
      <c r="AZ200" s="2372"/>
      <c r="BA200" s="2372"/>
      <c r="BB200" s="2372"/>
      <c r="BC200" s="2372"/>
      <c r="BD200" s="2372"/>
      <c r="BE200" s="2372"/>
      <c r="BF200" s="2372"/>
      <c r="BG200" s="2372"/>
      <c r="BH200" s="2372"/>
      <c r="BI200" s="2372"/>
      <c r="BJ200" s="2372"/>
      <c r="BK200" s="2372"/>
      <c r="BL200" s="2372"/>
      <c r="BM200" s="2372"/>
      <c r="BN200" s="2372"/>
      <c r="BO200" s="2372"/>
      <c r="BP200" s="2372"/>
      <c r="BQ200" s="2372"/>
      <c r="BR200" s="2372"/>
      <c r="BS200" s="2372"/>
      <c r="BT200" s="2372"/>
      <c r="BU200" s="2372"/>
      <c r="BV200" s="2372"/>
      <c r="BW200" s="2372"/>
      <c r="BX200" s="2372"/>
      <c r="BY200" s="2372"/>
      <c r="BZ200" s="2372"/>
      <c r="CA200" s="2372"/>
      <c r="CB200" s="2372"/>
      <c r="CC200" s="2372"/>
      <c r="CD200" s="2372"/>
      <c r="CE200" s="2372"/>
      <c r="CF200" s="2372"/>
      <c r="CG200" s="2372"/>
      <c r="CH200" s="2372"/>
      <c r="CI200" s="2372"/>
      <c r="CJ200" s="2372"/>
      <c r="CK200" s="2372"/>
      <c r="CL200" s="2372"/>
      <c r="CM200" s="2372"/>
      <c r="CN200" s="2372"/>
      <c r="CO200" s="2372"/>
      <c r="CP200" s="2372"/>
      <c r="CQ200" s="2372"/>
      <c r="CR200" s="2372"/>
      <c r="CS200" s="2372"/>
      <c r="CT200" s="2372"/>
      <c r="CU200" s="2372"/>
      <c r="CV200" s="2372"/>
      <c r="CW200" s="2372"/>
      <c r="CX200" s="2372"/>
      <c r="CY200" s="2372"/>
      <c r="CZ200" s="2372"/>
      <c r="DA200" s="2372"/>
    </row>
    <row r="201" spans="1:105" ht="3" hidden="1" customHeight="1">
      <c r="A201" s="2372"/>
      <c r="B201" s="2372"/>
      <c r="U201" s="2372"/>
      <c r="V201" s="2372"/>
      <c r="W201" s="2372"/>
      <c r="X201" s="2372"/>
      <c r="Y201" s="2372"/>
      <c r="Z201" s="2372"/>
      <c r="AA201" s="2372"/>
      <c r="AB201" s="2372"/>
      <c r="AC201" s="2372"/>
      <c r="AD201" s="2372"/>
      <c r="AE201" s="2372"/>
      <c r="AF201" s="2372"/>
      <c r="AG201" s="2372"/>
      <c r="AH201" s="2372"/>
      <c r="AI201" s="2372"/>
      <c r="AJ201" s="2372"/>
      <c r="AK201" s="2372"/>
      <c r="AL201" s="2372"/>
      <c r="AM201" s="2372"/>
      <c r="AN201" s="2372"/>
      <c r="AO201" s="2372"/>
      <c r="AP201" s="2372"/>
      <c r="AQ201" s="2372"/>
      <c r="AR201" s="2372"/>
      <c r="AS201" s="2372"/>
      <c r="AT201" s="2372"/>
      <c r="AU201" s="2372"/>
      <c r="AV201" s="2372"/>
      <c r="AW201" s="2372"/>
      <c r="AX201" s="2372"/>
      <c r="AY201" s="2372"/>
      <c r="AZ201" s="2372"/>
      <c r="BA201" s="2372"/>
      <c r="BB201" s="2372"/>
      <c r="BC201" s="2372"/>
      <c r="BD201" s="2372"/>
      <c r="BE201" s="2372"/>
      <c r="BF201" s="2372"/>
      <c r="BG201" s="2372"/>
      <c r="BH201" s="2372"/>
      <c r="BI201" s="2372"/>
      <c r="BJ201" s="2372"/>
      <c r="BK201" s="2372"/>
      <c r="BL201" s="2372"/>
      <c r="BM201" s="2372"/>
      <c r="BN201" s="2372"/>
      <c r="BO201" s="2372"/>
      <c r="BP201" s="2372"/>
      <c r="BQ201" s="2372"/>
      <c r="BR201" s="2372"/>
      <c r="BS201" s="2372"/>
      <c r="BT201" s="2372"/>
      <c r="BU201" s="2372"/>
      <c r="BV201" s="2372"/>
      <c r="BW201" s="2372"/>
      <c r="BX201" s="2372"/>
      <c r="BY201" s="2372"/>
      <c r="BZ201" s="2372"/>
      <c r="CA201" s="2372"/>
      <c r="CB201" s="2372"/>
      <c r="CC201" s="2372"/>
      <c r="CD201" s="2372"/>
      <c r="CE201" s="2372"/>
      <c r="CF201" s="2372"/>
      <c r="CG201" s="2372"/>
      <c r="CH201" s="2372"/>
      <c r="CI201" s="2372"/>
      <c r="CJ201" s="2372"/>
      <c r="CK201" s="2372"/>
      <c r="CL201" s="2372"/>
      <c r="CM201" s="2372"/>
      <c r="CN201" s="2372"/>
      <c r="CO201" s="2372"/>
      <c r="CP201" s="2372"/>
      <c r="CQ201" s="2372"/>
      <c r="CR201" s="2372"/>
      <c r="CS201" s="2372"/>
      <c r="CT201" s="2372"/>
      <c r="CU201" s="2372"/>
      <c r="CV201" s="2372"/>
      <c r="CW201" s="2372"/>
      <c r="CX201" s="2372"/>
      <c r="CY201" s="2372"/>
      <c r="CZ201" s="2372"/>
      <c r="DA201" s="2372"/>
    </row>
    <row r="202" spans="1:105" ht="15" hidden="1" customHeight="1">
      <c r="A202" s="2372"/>
      <c r="B202" s="2372"/>
      <c r="U202" s="2372"/>
      <c r="V202" s="2372"/>
      <c r="W202" s="2372"/>
      <c r="X202" s="2372"/>
      <c r="Y202" s="2372"/>
      <c r="Z202" s="2372"/>
      <c r="AA202" s="2372"/>
      <c r="AB202" s="2372"/>
      <c r="AC202" s="2372"/>
      <c r="AD202" s="2372"/>
      <c r="AE202" s="2372"/>
      <c r="AF202" s="2372"/>
      <c r="AG202" s="2372"/>
      <c r="AH202" s="2372"/>
      <c r="AI202" s="2372"/>
      <c r="AJ202" s="2372"/>
      <c r="AK202" s="2372"/>
      <c r="AL202" s="2372"/>
      <c r="AM202" s="2372"/>
      <c r="AN202" s="2372"/>
      <c r="AO202" s="2372"/>
      <c r="AP202" s="2372"/>
      <c r="AQ202" s="2372"/>
      <c r="AR202" s="2372"/>
      <c r="AS202" s="2372"/>
      <c r="AT202" s="2372"/>
      <c r="AU202" s="2372"/>
      <c r="AV202" s="2372"/>
      <c r="AW202" s="2372"/>
      <c r="AX202" s="2372"/>
      <c r="AY202" s="2372"/>
      <c r="AZ202" s="2372"/>
      <c r="BA202" s="2372"/>
      <c r="BB202" s="2372"/>
      <c r="BC202" s="2372"/>
      <c r="BD202" s="2372"/>
      <c r="BE202" s="2372"/>
      <c r="BF202" s="2372"/>
      <c r="BG202" s="2372"/>
      <c r="BH202" s="2372"/>
      <c r="BI202" s="2372"/>
      <c r="BJ202" s="2372"/>
      <c r="BK202" s="2372"/>
      <c r="BL202" s="2372"/>
      <c r="BM202" s="2372"/>
      <c r="BN202" s="2372"/>
      <c r="BO202" s="2372"/>
      <c r="BP202" s="2372"/>
      <c r="BQ202" s="2372"/>
      <c r="BR202" s="2372"/>
      <c r="BS202" s="2372"/>
      <c r="BT202" s="2372"/>
      <c r="BU202" s="2372"/>
      <c r="BV202" s="2372"/>
      <c r="BW202" s="2372"/>
      <c r="BX202" s="2372"/>
      <c r="BY202" s="2372"/>
      <c r="BZ202" s="2372"/>
      <c r="CA202" s="2372"/>
      <c r="CB202" s="2372"/>
      <c r="CC202" s="2372"/>
      <c r="CD202" s="2372"/>
      <c r="CE202" s="2372"/>
      <c r="CF202" s="2372"/>
      <c r="CG202" s="2372"/>
      <c r="CH202" s="2372"/>
      <c r="CI202" s="2372"/>
      <c r="CJ202" s="2372"/>
      <c r="CK202" s="2372"/>
      <c r="CL202" s="2372"/>
      <c r="CM202" s="2372"/>
      <c r="CN202" s="2372"/>
      <c r="CO202" s="2372"/>
      <c r="CP202" s="2372"/>
      <c r="CQ202" s="2372"/>
      <c r="CR202" s="2372"/>
      <c r="CS202" s="2372"/>
      <c r="CT202" s="2372"/>
      <c r="CU202" s="2372"/>
      <c r="CV202" s="2372"/>
      <c r="CW202" s="2372"/>
      <c r="CX202" s="2372"/>
      <c r="CY202" s="2372"/>
      <c r="CZ202" s="2372"/>
      <c r="DA202" s="2372"/>
    </row>
    <row r="203" spans="1:105" ht="3" hidden="1" customHeight="1">
      <c r="A203" s="2372"/>
      <c r="B203" s="2372"/>
      <c r="U203" s="2372"/>
      <c r="V203" s="2372"/>
      <c r="W203" s="2372"/>
      <c r="X203" s="2372"/>
      <c r="Y203" s="2372"/>
      <c r="Z203" s="2372"/>
      <c r="AA203" s="2372"/>
      <c r="AB203" s="2372"/>
      <c r="AC203" s="2372"/>
      <c r="AD203" s="2372"/>
      <c r="AE203" s="2372"/>
      <c r="AF203" s="2372"/>
      <c r="AG203" s="2372"/>
      <c r="AH203" s="2372"/>
      <c r="AI203" s="2372"/>
      <c r="AJ203" s="2372"/>
      <c r="AK203" s="2372"/>
      <c r="AL203" s="2372"/>
      <c r="AM203" s="2372"/>
      <c r="AN203" s="2372"/>
      <c r="AO203" s="2372"/>
      <c r="AP203" s="2372"/>
      <c r="AQ203" s="2372"/>
      <c r="AR203" s="2372"/>
      <c r="AS203" s="2372"/>
      <c r="AT203" s="2372"/>
      <c r="AU203" s="2372"/>
      <c r="AV203" s="2372"/>
      <c r="AW203" s="2372"/>
      <c r="AX203" s="2372"/>
      <c r="AY203" s="2372"/>
      <c r="AZ203" s="2372"/>
      <c r="BA203" s="2372"/>
      <c r="BB203" s="2372"/>
      <c r="BC203" s="2372"/>
      <c r="BD203" s="2372"/>
      <c r="BE203" s="2372"/>
      <c r="BF203" s="2372"/>
      <c r="BG203" s="2372"/>
      <c r="BH203" s="2372"/>
      <c r="BI203" s="2372"/>
      <c r="BJ203" s="2372"/>
      <c r="BK203" s="2372"/>
      <c r="BL203" s="2372"/>
      <c r="BM203" s="2372"/>
      <c r="BN203" s="2372"/>
      <c r="BO203" s="2372"/>
      <c r="BP203" s="2372"/>
      <c r="BQ203" s="2372"/>
      <c r="BR203" s="2372"/>
      <c r="BS203" s="2372"/>
      <c r="BT203" s="2372"/>
      <c r="BU203" s="2372"/>
      <c r="BV203" s="2372"/>
      <c r="BW203" s="2372"/>
      <c r="BX203" s="2372"/>
      <c r="BY203" s="2372"/>
      <c r="BZ203" s="2372"/>
      <c r="CA203" s="2372"/>
      <c r="CB203" s="2372"/>
      <c r="CC203" s="2372"/>
      <c r="CD203" s="2372"/>
      <c r="CE203" s="2372"/>
      <c r="CF203" s="2372"/>
      <c r="CG203" s="2372"/>
      <c r="CH203" s="2372"/>
      <c r="CI203" s="2372"/>
      <c r="CJ203" s="2372"/>
      <c r="CK203" s="2372"/>
      <c r="CL203" s="2372"/>
      <c r="CM203" s="2372"/>
      <c r="CN203" s="2372"/>
      <c r="CO203" s="2372"/>
      <c r="CP203" s="2372"/>
      <c r="CQ203" s="2372"/>
      <c r="CR203" s="2372"/>
      <c r="CS203" s="2372"/>
      <c r="CT203" s="2372"/>
      <c r="CU203" s="2372"/>
      <c r="CV203" s="2372"/>
      <c r="CW203" s="2372"/>
      <c r="CX203" s="2372"/>
      <c r="CY203" s="2372"/>
      <c r="CZ203" s="2372"/>
      <c r="DA203" s="2372"/>
    </row>
    <row r="204" spans="1:105" ht="15" hidden="1" customHeight="1">
      <c r="A204" s="2372"/>
      <c r="B204" s="2372"/>
      <c r="U204" s="2372"/>
      <c r="V204" s="2372"/>
      <c r="W204" s="2372"/>
      <c r="X204" s="2372"/>
      <c r="Y204" s="2372"/>
      <c r="Z204" s="2372"/>
      <c r="AA204" s="2372"/>
      <c r="AB204" s="2372"/>
      <c r="AC204" s="2372"/>
      <c r="AD204" s="2372"/>
      <c r="AE204" s="2372"/>
      <c r="AF204" s="2372"/>
      <c r="AG204" s="2372"/>
      <c r="AH204" s="2372"/>
      <c r="AI204" s="2372"/>
      <c r="AJ204" s="2372"/>
      <c r="AK204" s="2372"/>
      <c r="AL204" s="2372"/>
      <c r="AM204" s="2372"/>
      <c r="AN204" s="2372"/>
      <c r="AO204" s="2372"/>
      <c r="AP204" s="2372"/>
      <c r="AQ204" s="2372"/>
      <c r="AR204" s="2372"/>
      <c r="AS204" s="2372"/>
      <c r="AT204" s="2372"/>
      <c r="AU204" s="2372"/>
      <c r="AV204" s="2372"/>
      <c r="AW204" s="2372"/>
      <c r="AX204" s="2372"/>
      <c r="AY204" s="2372"/>
      <c r="AZ204" s="2372"/>
      <c r="BA204" s="2372"/>
      <c r="BB204" s="2372"/>
      <c r="BC204" s="2372"/>
      <c r="BD204" s="2372"/>
      <c r="BE204" s="2372"/>
      <c r="BF204" s="2372"/>
      <c r="BG204" s="2372"/>
      <c r="BH204" s="2372"/>
      <c r="BI204" s="2372"/>
      <c r="BJ204" s="2372"/>
      <c r="BK204" s="2372"/>
      <c r="BL204" s="2372"/>
      <c r="BM204" s="2372"/>
      <c r="BN204" s="2372"/>
      <c r="BO204" s="2372"/>
      <c r="BP204" s="2372"/>
      <c r="BQ204" s="2372"/>
      <c r="BR204" s="2372"/>
      <c r="BS204" s="2372"/>
      <c r="BT204" s="2372"/>
      <c r="BU204" s="2372"/>
      <c r="BV204" s="2372"/>
      <c r="BW204" s="2372"/>
      <c r="BX204" s="2372"/>
      <c r="BY204" s="2372"/>
      <c r="BZ204" s="2372"/>
      <c r="CA204" s="2372"/>
      <c r="CB204" s="2372"/>
      <c r="CC204" s="2372"/>
      <c r="CD204" s="2372"/>
      <c r="CE204" s="2372"/>
      <c r="CF204" s="2372"/>
      <c r="CG204" s="2372"/>
      <c r="CH204" s="2372"/>
      <c r="CI204" s="2372"/>
      <c r="CJ204" s="2372"/>
      <c r="CK204" s="2372"/>
      <c r="CL204" s="2372"/>
      <c r="CM204" s="2372"/>
      <c r="CN204" s="2372"/>
      <c r="CO204" s="2372"/>
      <c r="CP204" s="2372"/>
      <c r="CQ204" s="2372"/>
      <c r="CR204" s="2372"/>
      <c r="CS204" s="2372"/>
      <c r="CT204" s="2372"/>
      <c r="CU204" s="2372"/>
      <c r="CV204" s="2372"/>
      <c r="CW204" s="2372"/>
      <c r="CX204" s="2372"/>
      <c r="CY204" s="2372"/>
      <c r="CZ204" s="2372"/>
      <c r="DA204" s="2372"/>
    </row>
    <row r="205" spans="1:105" ht="3" hidden="1" customHeight="1">
      <c r="A205" s="2372"/>
      <c r="B205" s="2372"/>
      <c r="U205" s="2372"/>
      <c r="V205" s="2372"/>
      <c r="W205" s="2372"/>
      <c r="X205" s="2372"/>
      <c r="Y205" s="2372"/>
      <c r="Z205" s="2372"/>
      <c r="AA205" s="2372"/>
      <c r="AB205" s="2372"/>
      <c r="AC205" s="2372"/>
      <c r="AD205" s="2372"/>
      <c r="AE205" s="2372"/>
      <c r="AF205" s="2372"/>
      <c r="AG205" s="2372"/>
      <c r="AH205" s="2372"/>
      <c r="AI205" s="2372"/>
      <c r="AJ205" s="2372"/>
      <c r="AK205" s="2372"/>
      <c r="AL205" s="2372"/>
      <c r="AM205" s="2372"/>
      <c r="AN205" s="2372"/>
      <c r="AO205" s="2372"/>
      <c r="AP205" s="2372"/>
      <c r="AQ205" s="2372"/>
      <c r="AR205" s="2372"/>
      <c r="AS205" s="2372"/>
      <c r="AT205" s="2372"/>
      <c r="AU205" s="2372"/>
      <c r="AV205" s="2372"/>
      <c r="AW205" s="2372"/>
      <c r="AX205" s="2372"/>
      <c r="AY205" s="2372"/>
      <c r="AZ205" s="2372"/>
      <c r="BA205" s="2372"/>
      <c r="BB205" s="2372"/>
      <c r="BC205" s="2372"/>
      <c r="BD205" s="2372"/>
      <c r="BE205" s="2372"/>
      <c r="BF205" s="2372"/>
      <c r="BG205" s="2372"/>
      <c r="BH205" s="2372"/>
      <c r="BI205" s="2372"/>
      <c r="BJ205" s="2372"/>
      <c r="BK205" s="2372"/>
      <c r="BL205" s="2372"/>
      <c r="BM205" s="2372"/>
      <c r="BN205" s="2372"/>
      <c r="BO205" s="2372"/>
      <c r="BP205" s="2372"/>
      <c r="BQ205" s="2372"/>
      <c r="BR205" s="2372"/>
      <c r="BS205" s="2372"/>
      <c r="BT205" s="2372"/>
      <c r="BU205" s="2372"/>
      <c r="BV205" s="2372"/>
      <c r="BW205" s="2372"/>
      <c r="BX205" s="2372"/>
      <c r="BY205" s="2372"/>
      <c r="BZ205" s="2372"/>
      <c r="CA205" s="2372"/>
      <c r="CB205" s="2372"/>
      <c r="CC205" s="2372"/>
      <c r="CD205" s="2372"/>
      <c r="CE205" s="2372"/>
      <c r="CF205" s="2372"/>
      <c r="CG205" s="2372"/>
      <c r="CH205" s="2372"/>
      <c r="CI205" s="2372"/>
      <c r="CJ205" s="2372"/>
      <c r="CK205" s="2372"/>
      <c r="CL205" s="2372"/>
      <c r="CM205" s="2372"/>
      <c r="CN205" s="2372"/>
      <c r="CO205" s="2372"/>
      <c r="CP205" s="2372"/>
      <c r="CQ205" s="2372"/>
      <c r="CR205" s="2372"/>
      <c r="CS205" s="2372"/>
      <c r="CT205" s="2372"/>
      <c r="CU205" s="2372"/>
      <c r="CV205" s="2372"/>
      <c r="CW205" s="2372"/>
      <c r="CX205" s="2372"/>
      <c r="CY205" s="2372"/>
      <c r="CZ205" s="2372"/>
      <c r="DA205" s="2372"/>
    </row>
    <row r="206" spans="1:105" ht="15" hidden="1" customHeight="1">
      <c r="A206" s="2372"/>
      <c r="B206" s="2372"/>
      <c r="U206" s="2372"/>
      <c r="V206" s="2372"/>
      <c r="W206" s="2372"/>
      <c r="X206" s="2372"/>
      <c r="Y206" s="2372"/>
      <c r="Z206" s="2372"/>
      <c r="AA206" s="2372"/>
      <c r="AB206" s="2372"/>
      <c r="AC206" s="2372"/>
      <c r="AD206" s="2372"/>
      <c r="AE206" s="2372"/>
      <c r="AF206" s="2372"/>
      <c r="AG206" s="2372"/>
      <c r="AH206" s="2372"/>
      <c r="AI206" s="2372"/>
      <c r="AJ206" s="2372"/>
      <c r="AK206" s="2372"/>
      <c r="AL206" s="2372"/>
      <c r="AM206" s="2372"/>
      <c r="AN206" s="2372"/>
      <c r="AO206" s="2372"/>
      <c r="AP206" s="2372"/>
      <c r="AQ206" s="2372"/>
      <c r="AR206" s="2372"/>
      <c r="AS206" s="2372"/>
      <c r="AT206" s="2372"/>
      <c r="AU206" s="2372"/>
      <c r="AV206" s="2372"/>
      <c r="AW206" s="2372"/>
      <c r="AX206" s="2372"/>
      <c r="AY206" s="2372"/>
      <c r="AZ206" s="2372"/>
      <c r="BA206" s="2372"/>
      <c r="BB206" s="2372"/>
      <c r="BC206" s="2372"/>
      <c r="BD206" s="2372"/>
      <c r="BE206" s="2372"/>
      <c r="BF206" s="2372"/>
      <c r="BG206" s="2372"/>
      <c r="BH206" s="2372"/>
      <c r="BI206" s="2372"/>
      <c r="BJ206" s="2372"/>
      <c r="BK206" s="2372"/>
      <c r="BL206" s="2372"/>
      <c r="BM206" s="2372"/>
      <c r="BN206" s="2372"/>
      <c r="BO206" s="2372"/>
      <c r="BP206" s="2372"/>
      <c r="BQ206" s="2372"/>
      <c r="BR206" s="2372"/>
      <c r="BS206" s="2372"/>
      <c r="BT206" s="2372"/>
      <c r="BU206" s="2372"/>
      <c r="BV206" s="2372"/>
      <c r="BW206" s="2372"/>
      <c r="BX206" s="2372"/>
      <c r="BY206" s="2372"/>
      <c r="BZ206" s="2372"/>
      <c r="CA206" s="2372"/>
      <c r="CB206" s="2372"/>
      <c r="CC206" s="2372"/>
      <c r="CD206" s="2372"/>
      <c r="CE206" s="2372"/>
      <c r="CF206" s="2372"/>
      <c r="CG206" s="2372"/>
      <c r="CH206" s="2372"/>
      <c r="CI206" s="2372"/>
      <c r="CJ206" s="2372"/>
      <c r="CK206" s="2372"/>
      <c r="CL206" s="2372"/>
      <c r="CM206" s="2372"/>
      <c r="CN206" s="2372"/>
      <c r="CO206" s="2372"/>
      <c r="CP206" s="2372"/>
      <c r="CQ206" s="2372"/>
      <c r="CR206" s="2372"/>
      <c r="CS206" s="2372"/>
      <c r="CT206" s="2372"/>
      <c r="CU206" s="2372"/>
      <c r="CV206" s="2372"/>
      <c r="CW206" s="2372"/>
      <c r="CX206" s="2372"/>
      <c r="CY206" s="2372"/>
      <c r="CZ206" s="2372"/>
      <c r="DA206" s="2372"/>
    </row>
    <row r="207" spans="1:105" ht="3" hidden="1" customHeight="1">
      <c r="A207" s="2372"/>
      <c r="B207" s="2372"/>
      <c r="U207" s="2372"/>
      <c r="V207" s="2372"/>
      <c r="W207" s="2372"/>
      <c r="X207" s="2372"/>
      <c r="Y207" s="2372"/>
      <c r="Z207" s="2372"/>
      <c r="AA207" s="2372"/>
      <c r="AB207" s="2372"/>
      <c r="AC207" s="2372"/>
      <c r="AD207" s="2372"/>
      <c r="AE207" s="2372"/>
      <c r="AF207" s="2372"/>
      <c r="AG207" s="2372"/>
      <c r="AH207" s="2372"/>
      <c r="AI207" s="2372"/>
      <c r="AJ207" s="2372"/>
      <c r="AK207" s="2372"/>
      <c r="AL207" s="2372"/>
      <c r="AM207" s="2372"/>
      <c r="AN207" s="2372"/>
      <c r="AO207" s="2372"/>
      <c r="AP207" s="2372"/>
      <c r="AQ207" s="2372"/>
      <c r="AR207" s="2372"/>
      <c r="AS207" s="2372"/>
      <c r="AT207" s="2372"/>
      <c r="AU207" s="2372"/>
      <c r="AV207" s="2372"/>
      <c r="AW207" s="2372"/>
      <c r="AX207" s="2372"/>
      <c r="AY207" s="2372"/>
      <c r="AZ207" s="2372"/>
      <c r="BA207" s="2372"/>
      <c r="BB207" s="2372"/>
      <c r="BC207" s="2372"/>
      <c r="BD207" s="2372"/>
      <c r="BE207" s="2372"/>
      <c r="BF207" s="2372"/>
      <c r="BG207" s="2372"/>
      <c r="BH207" s="2372"/>
      <c r="BI207" s="2372"/>
      <c r="BJ207" s="2372"/>
      <c r="BK207" s="2372"/>
      <c r="BL207" s="2372"/>
      <c r="BM207" s="2372"/>
      <c r="BN207" s="2372"/>
      <c r="BO207" s="2372"/>
      <c r="BP207" s="2372"/>
      <c r="BQ207" s="2372"/>
      <c r="BR207" s="2372"/>
      <c r="BS207" s="2372"/>
      <c r="BT207" s="2372"/>
      <c r="BU207" s="2372"/>
      <c r="BV207" s="2372"/>
      <c r="BW207" s="2372"/>
      <c r="BX207" s="2372"/>
      <c r="BY207" s="2372"/>
      <c r="BZ207" s="2372"/>
      <c r="CA207" s="2372"/>
      <c r="CB207" s="2372"/>
      <c r="CC207" s="2372"/>
      <c r="CD207" s="2372"/>
      <c r="CE207" s="2372"/>
      <c r="CF207" s="2372"/>
      <c r="CG207" s="2372"/>
      <c r="CH207" s="2372"/>
      <c r="CI207" s="2372"/>
      <c r="CJ207" s="2372"/>
      <c r="CK207" s="2372"/>
      <c r="CL207" s="2372"/>
      <c r="CM207" s="2372"/>
      <c r="CN207" s="2372"/>
      <c r="CO207" s="2372"/>
      <c r="CP207" s="2372"/>
      <c r="CQ207" s="2372"/>
      <c r="CR207" s="2372"/>
      <c r="CS207" s="2372"/>
      <c r="CT207" s="2372"/>
      <c r="CU207" s="2372"/>
      <c r="CV207" s="2372"/>
      <c r="CW207" s="2372"/>
      <c r="CX207" s="2372"/>
      <c r="CY207" s="2372"/>
      <c r="CZ207" s="2372"/>
      <c r="DA207" s="2372"/>
    </row>
    <row r="208" spans="1:105" ht="15" hidden="1" customHeight="1">
      <c r="A208" s="2372"/>
      <c r="B208" s="2372"/>
      <c r="U208" s="2372"/>
      <c r="V208" s="2372"/>
      <c r="W208" s="2372"/>
      <c r="X208" s="2372"/>
      <c r="Y208" s="2372"/>
      <c r="Z208" s="2372"/>
      <c r="AA208" s="2372"/>
      <c r="AB208" s="2372"/>
      <c r="AC208" s="2372"/>
      <c r="AD208" s="2372"/>
      <c r="AE208" s="2372"/>
      <c r="AF208" s="2372"/>
      <c r="AG208" s="2372"/>
      <c r="AH208" s="2372"/>
      <c r="AI208" s="2372"/>
      <c r="AJ208" s="2372"/>
      <c r="AK208" s="2372"/>
      <c r="AL208" s="2372"/>
      <c r="AM208" s="2372"/>
      <c r="AN208" s="2372"/>
      <c r="AO208" s="2372"/>
      <c r="AP208" s="2372"/>
      <c r="AQ208" s="2372"/>
      <c r="AR208" s="2372"/>
      <c r="AS208" s="2372"/>
      <c r="AT208" s="2372"/>
      <c r="AU208" s="2372"/>
      <c r="AV208" s="2372"/>
      <c r="AW208" s="2372"/>
      <c r="AX208" s="2372"/>
      <c r="AY208" s="2372"/>
      <c r="AZ208" s="2372"/>
      <c r="BA208" s="2372"/>
      <c r="BB208" s="2372"/>
      <c r="BC208" s="2372"/>
      <c r="BD208" s="2372"/>
      <c r="BE208" s="2372"/>
      <c r="BF208" s="2372"/>
      <c r="BG208" s="2372"/>
      <c r="BH208" s="2372"/>
      <c r="BI208" s="2372"/>
      <c r="BJ208" s="2372"/>
      <c r="BK208" s="2372"/>
      <c r="BL208" s="2372"/>
      <c r="BM208" s="2372"/>
      <c r="BN208" s="2372"/>
      <c r="BO208" s="2372"/>
      <c r="BP208" s="2372"/>
      <c r="BQ208" s="2372"/>
      <c r="BR208" s="2372"/>
      <c r="BS208" s="2372"/>
      <c r="BT208" s="2372"/>
      <c r="BU208" s="2372"/>
      <c r="BV208" s="2372"/>
      <c r="BW208" s="2372"/>
      <c r="BX208" s="2372"/>
      <c r="BY208" s="2372"/>
      <c r="BZ208" s="2372"/>
      <c r="CA208" s="2372"/>
      <c r="CB208" s="2372"/>
      <c r="CC208" s="2372"/>
      <c r="CD208" s="2372"/>
      <c r="CE208" s="2372"/>
      <c r="CF208" s="2372"/>
      <c r="CG208" s="2372"/>
      <c r="CH208" s="2372"/>
      <c r="CI208" s="2372"/>
      <c r="CJ208" s="2372"/>
      <c r="CK208" s="2372"/>
      <c r="CL208" s="2372"/>
      <c r="CM208" s="2372"/>
      <c r="CN208" s="2372"/>
      <c r="CO208" s="2372"/>
      <c r="CP208" s="2372"/>
      <c r="CQ208" s="2372"/>
      <c r="CR208" s="2372"/>
      <c r="CS208" s="2372"/>
      <c r="CT208" s="2372"/>
      <c r="CU208" s="2372"/>
      <c r="CV208" s="2372"/>
      <c r="CW208" s="2372"/>
      <c r="CX208" s="2372"/>
      <c r="CY208" s="2372"/>
      <c r="CZ208" s="2372"/>
      <c r="DA208" s="2372"/>
    </row>
    <row r="209" spans="1:105" ht="3" hidden="1" customHeight="1">
      <c r="A209" s="2372"/>
      <c r="B209" s="2372"/>
      <c r="U209" s="2372"/>
      <c r="V209" s="2372"/>
      <c r="W209" s="2372"/>
      <c r="X209" s="2372"/>
      <c r="Y209" s="2372"/>
      <c r="Z209" s="2372"/>
      <c r="AA209" s="2372"/>
      <c r="AB209" s="2372"/>
      <c r="AC209" s="2372"/>
      <c r="AD209" s="2372"/>
      <c r="AE209" s="2372"/>
      <c r="AF209" s="2372"/>
      <c r="AG209" s="2372"/>
      <c r="AH209" s="2372"/>
      <c r="AI209" s="2372"/>
      <c r="AJ209" s="2372"/>
      <c r="AK209" s="2372"/>
      <c r="AL209" s="2372"/>
      <c r="AM209" s="2372"/>
      <c r="AN209" s="2372"/>
      <c r="AO209" s="2372"/>
      <c r="AP209" s="2372"/>
      <c r="AQ209" s="2372"/>
      <c r="AR209" s="2372"/>
      <c r="AS209" s="2372"/>
      <c r="AT209" s="2372"/>
      <c r="AU209" s="2372"/>
      <c r="AV209" s="2372"/>
      <c r="AW209" s="2372"/>
      <c r="AX209" s="2372"/>
      <c r="AY209" s="2372"/>
      <c r="AZ209" s="2372"/>
      <c r="BA209" s="2372"/>
      <c r="BB209" s="2372"/>
      <c r="BC209" s="2372"/>
      <c r="BD209" s="2372"/>
      <c r="BE209" s="2372"/>
      <c r="BF209" s="2372"/>
      <c r="BG209" s="2372"/>
      <c r="BH209" s="2372"/>
      <c r="BI209" s="2372"/>
      <c r="BJ209" s="2372"/>
      <c r="BK209" s="2372"/>
      <c r="BL209" s="2372"/>
      <c r="BM209" s="2372"/>
      <c r="BN209" s="2372"/>
      <c r="BO209" s="2372"/>
      <c r="BP209" s="2372"/>
      <c r="BQ209" s="2372"/>
      <c r="BR209" s="2372"/>
      <c r="BS209" s="2372"/>
      <c r="BT209" s="2372"/>
      <c r="BU209" s="2372"/>
      <c r="BV209" s="2372"/>
      <c r="BW209" s="2372"/>
      <c r="BX209" s="2372"/>
      <c r="BY209" s="2372"/>
      <c r="BZ209" s="2372"/>
      <c r="CA209" s="2372"/>
      <c r="CB209" s="2372"/>
      <c r="CC209" s="2372"/>
      <c r="CD209" s="2372"/>
      <c r="CE209" s="2372"/>
      <c r="CF209" s="2372"/>
      <c r="CG209" s="2372"/>
      <c r="CH209" s="2372"/>
      <c r="CI209" s="2372"/>
      <c r="CJ209" s="2372"/>
      <c r="CK209" s="2372"/>
      <c r="CL209" s="2372"/>
      <c r="CM209" s="2372"/>
      <c r="CN209" s="2372"/>
      <c r="CO209" s="2372"/>
      <c r="CP209" s="2372"/>
      <c r="CQ209" s="2372"/>
      <c r="CR209" s="2372"/>
      <c r="CS209" s="2372"/>
      <c r="CT209" s="2372"/>
      <c r="CU209" s="2372"/>
      <c r="CV209" s="2372"/>
      <c r="CW209" s="2372"/>
      <c r="CX209" s="2372"/>
      <c r="CY209" s="2372"/>
      <c r="CZ209" s="2372"/>
      <c r="DA209" s="2372"/>
    </row>
    <row r="210" spans="1:105" ht="15" hidden="1" customHeight="1">
      <c r="A210" s="2372"/>
      <c r="B210" s="2372"/>
      <c r="U210" s="2372"/>
      <c r="V210" s="2372"/>
      <c r="W210" s="2372"/>
      <c r="X210" s="2372"/>
      <c r="Y210" s="2372"/>
      <c r="Z210" s="2372"/>
      <c r="AA210" s="2372"/>
      <c r="AB210" s="2372"/>
      <c r="AC210" s="2372"/>
      <c r="AD210" s="2372"/>
      <c r="AE210" s="2372"/>
      <c r="AF210" s="2372"/>
      <c r="AG210" s="2372"/>
      <c r="AH210" s="2372"/>
      <c r="AI210" s="2372"/>
      <c r="AJ210" s="2372"/>
      <c r="AK210" s="2372"/>
      <c r="AL210" s="2372"/>
      <c r="AM210" s="2372"/>
      <c r="AN210" s="2372"/>
      <c r="AO210" s="2372"/>
      <c r="AP210" s="2372"/>
      <c r="AQ210" s="2372"/>
      <c r="AR210" s="2372"/>
      <c r="AS210" s="2372"/>
      <c r="AT210" s="2372"/>
      <c r="AU210" s="2372"/>
      <c r="AV210" s="2372"/>
      <c r="AW210" s="2372"/>
      <c r="AX210" s="2372"/>
      <c r="AY210" s="2372"/>
      <c r="AZ210" s="2372"/>
      <c r="BA210" s="2372"/>
      <c r="BB210" s="2372"/>
      <c r="BC210" s="2372"/>
      <c r="BD210" s="2372"/>
      <c r="BE210" s="2372"/>
      <c r="BF210" s="2372"/>
      <c r="BG210" s="2372"/>
      <c r="BH210" s="2372"/>
      <c r="BI210" s="2372"/>
      <c r="BJ210" s="2372"/>
      <c r="BK210" s="2372"/>
      <c r="BL210" s="2372"/>
      <c r="BM210" s="2372"/>
      <c r="BN210" s="2372"/>
      <c r="BO210" s="2372"/>
      <c r="BP210" s="2372"/>
      <c r="BQ210" s="2372"/>
      <c r="BR210" s="2372"/>
      <c r="BS210" s="2372"/>
      <c r="BT210" s="2372"/>
      <c r="BU210" s="2372"/>
      <c r="BV210" s="2372"/>
      <c r="BW210" s="2372"/>
      <c r="BX210" s="2372"/>
      <c r="BY210" s="2372"/>
      <c r="BZ210" s="2372"/>
      <c r="CA210" s="2372"/>
      <c r="CB210" s="2372"/>
      <c r="CC210" s="2372"/>
      <c r="CD210" s="2372"/>
      <c r="CE210" s="2372"/>
      <c r="CF210" s="2372"/>
      <c r="CG210" s="2372"/>
      <c r="CH210" s="2372"/>
      <c r="CI210" s="2372"/>
      <c r="CJ210" s="2372"/>
      <c r="CK210" s="2372"/>
      <c r="CL210" s="2372"/>
      <c r="CM210" s="2372"/>
      <c r="CN210" s="2372"/>
      <c r="CO210" s="2372"/>
      <c r="CP210" s="2372"/>
      <c r="CQ210" s="2372"/>
      <c r="CR210" s="2372"/>
      <c r="CS210" s="2372"/>
      <c r="CT210" s="2372"/>
      <c r="CU210" s="2372"/>
      <c r="CV210" s="2372"/>
      <c r="CW210" s="2372"/>
      <c r="CX210" s="2372"/>
      <c r="CY210" s="2372"/>
      <c r="CZ210" s="2372"/>
      <c r="DA210" s="2372"/>
    </row>
    <row r="211" spans="1:105" ht="3" hidden="1" customHeight="1">
      <c r="A211" s="2372"/>
      <c r="B211" s="2372"/>
      <c r="U211" s="2372"/>
      <c r="V211" s="2372"/>
      <c r="W211" s="2372"/>
      <c r="X211" s="2372"/>
      <c r="Y211" s="2372"/>
      <c r="Z211" s="2372"/>
      <c r="AA211" s="2372"/>
      <c r="AB211" s="2372"/>
      <c r="AC211" s="2372"/>
      <c r="AD211" s="2372"/>
      <c r="AE211" s="2372"/>
      <c r="AF211" s="2372"/>
      <c r="AG211" s="2372"/>
      <c r="AH211" s="2372"/>
      <c r="AI211" s="2372"/>
      <c r="AJ211" s="2372"/>
      <c r="AK211" s="2372"/>
      <c r="AL211" s="2372"/>
      <c r="AM211" s="2372"/>
      <c r="AN211" s="2372"/>
      <c r="AO211" s="2372"/>
      <c r="AP211" s="2372"/>
      <c r="AQ211" s="2372"/>
      <c r="AR211" s="2372"/>
      <c r="AS211" s="2372"/>
      <c r="AT211" s="2372"/>
      <c r="AU211" s="2372"/>
      <c r="AV211" s="2372"/>
      <c r="AW211" s="2372"/>
      <c r="AX211" s="2372"/>
      <c r="AY211" s="2372"/>
      <c r="AZ211" s="2372"/>
      <c r="BA211" s="2372"/>
      <c r="BB211" s="2372"/>
      <c r="BC211" s="2372"/>
      <c r="BD211" s="2372"/>
      <c r="BE211" s="2372"/>
      <c r="BF211" s="2372"/>
      <c r="BG211" s="2372"/>
      <c r="BH211" s="2372"/>
      <c r="BI211" s="2372"/>
      <c r="BJ211" s="2372"/>
      <c r="BK211" s="2372"/>
      <c r="BL211" s="2372"/>
      <c r="BM211" s="2372"/>
      <c r="BN211" s="2372"/>
      <c r="BO211" s="2372"/>
      <c r="BP211" s="2372"/>
      <c r="BQ211" s="2372"/>
      <c r="BR211" s="2372"/>
      <c r="BS211" s="2372"/>
      <c r="BT211" s="2372"/>
      <c r="BU211" s="2372"/>
      <c r="BV211" s="2372"/>
      <c r="BW211" s="2372"/>
      <c r="BX211" s="2372"/>
      <c r="BY211" s="2372"/>
      <c r="BZ211" s="2372"/>
      <c r="CA211" s="2372"/>
      <c r="CB211" s="2372"/>
      <c r="CC211" s="2372"/>
      <c r="CD211" s="2372"/>
      <c r="CE211" s="2372"/>
      <c r="CF211" s="2372"/>
      <c r="CG211" s="2372"/>
      <c r="CH211" s="2372"/>
      <c r="CI211" s="2372"/>
      <c r="CJ211" s="2372"/>
      <c r="CK211" s="2372"/>
      <c r="CL211" s="2372"/>
      <c r="CM211" s="2372"/>
      <c r="CN211" s="2372"/>
      <c r="CO211" s="2372"/>
      <c r="CP211" s="2372"/>
      <c r="CQ211" s="2372"/>
      <c r="CR211" s="2372"/>
      <c r="CS211" s="2372"/>
      <c r="CT211" s="2372"/>
      <c r="CU211" s="2372"/>
      <c r="CV211" s="2372"/>
      <c r="CW211" s="2372"/>
      <c r="CX211" s="2372"/>
      <c r="CY211" s="2372"/>
      <c r="CZ211" s="2372"/>
      <c r="DA211" s="2372"/>
    </row>
    <row r="212" spans="1:105" ht="15" hidden="1" customHeight="1">
      <c r="A212" s="2372"/>
      <c r="B212" s="2372"/>
      <c r="U212" s="2372"/>
      <c r="V212" s="2372"/>
      <c r="W212" s="2372"/>
      <c r="X212" s="2372"/>
      <c r="Y212" s="2372"/>
      <c r="Z212" s="2372"/>
      <c r="AA212" s="2372"/>
      <c r="AB212" s="2372"/>
      <c r="AC212" s="2372"/>
      <c r="AD212" s="2372"/>
      <c r="AE212" s="2372"/>
      <c r="AF212" s="2372"/>
      <c r="AG212" s="2372"/>
      <c r="AH212" s="2372"/>
      <c r="AI212" s="2372"/>
      <c r="AJ212" s="2372"/>
      <c r="AK212" s="2372"/>
      <c r="AL212" s="2372"/>
      <c r="AM212" s="2372"/>
      <c r="AN212" s="2372"/>
      <c r="AO212" s="2372"/>
      <c r="AP212" s="2372"/>
      <c r="AQ212" s="2372"/>
      <c r="AR212" s="2372"/>
      <c r="AS212" s="2372"/>
      <c r="AT212" s="2372"/>
      <c r="AU212" s="2372"/>
      <c r="AV212" s="2372"/>
      <c r="AW212" s="2372"/>
      <c r="AX212" s="2372"/>
      <c r="AY212" s="2372"/>
      <c r="AZ212" s="2372"/>
      <c r="BA212" s="2372"/>
      <c r="BB212" s="2372"/>
      <c r="BC212" s="2372"/>
      <c r="BD212" s="2372"/>
      <c r="BE212" s="2372"/>
      <c r="BF212" s="2372"/>
      <c r="BG212" s="2372"/>
      <c r="BH212" s="2372"/>
      <c r="BI212" s="2372"/>
      <c r="BJ212" s="2372"/>
      <c r="BK212" s="2372"/>
      <c r="BL212" s="2372"/>
      <c r="BM212" s="2372"/>
      <c r="BN212" s="2372"/>
      <c r="BO212" s="2372"/>
      <c r="BP212" s="2372"/>
      <c r="BQ212" s="2372"/>
      <c r="BR212" s="2372"/>
      <c r="BS212" s="2372"/>
      <c r="BT212" s="2372"/>
      <c r="BU212" s="2372"/>
      <c r="BV212" s="2372"/>
      <c r="BW212" s="2372"/>
      <c r="BX212" s="2372"/>
      <c r="BY212" s="2372"/>
      <c r="BZ212" s="2372"/>
      <c r="CA212" s="2372"/>
      <c r="CB212" s="2372"/>
      <c r="CC212" s="2372"/>
      <c r="CD212" s="2372"/>
      <c r="CE212" s="2372"/>
      <c r="CF212" s="2372"/>
      <c r="CG212" s="2372"/>
      <c r="CH212" s="2372"/>
      <c r="CI212" s="2372"/>
      <c r="CJ212" s="2372"/>
      <c r="CK212" s="2372"/>
      <c r="CL212" s="2372"/>
      <c r="CM212" s="2372"/>
      <c r="CN212" s="2372"/>
      <c r="CO212" s="2372"/>
      <c r="CP212" s="2372"/>
      <c r="CQ212" s="2372"/>
      <c r="CR212" s="2372"/>
      <c r="CS212" s="2372"/>
      <c r="CT212" s="2372"/>
      <c r="CU212" s="2372"/>
      <c r="CV212" s="2372"/>
      <c r="CW212" s="2372"/>
      <c r="CX212" s="2372"/>
      <c r="CY212" s="2372"/>
      <c r="CZ212" s="2372"/>
      <c r="DA212" s="2372"/>
    </row>
    <row r="213" spans="1:105" ht="3" hidden="1" customHeight="1">
      <c r="A213" s="2372"/>
      <c r="B213" s="2372"/>
      <c r="U213" s="2372"/>
      <c r="V213" s="2372"/>
      <c r="W213" s="2372"/>
      <c r="X213" s="2372"/>
      <c r="Y213" s="2372"/>
      <c r="Z213" s="2372"/>
      <c r="AA213" s="2372"/>
      <c r="AB213" s="2372"/>
      <c r="AC213" s="2372"/>
      <c r="AD213" s="2372"/>
      <c r="AE213" s="2372"/>
      <c r="AF213" s="2372"/>
      <c r="AG213" s="2372"/>
      <c r="AH213" s="2372"/>
      <c r="AI213" s="2372"/>
      <c r="AJ213" s="2372"/>
      <c r="AK213" s="2372"/>
      <c r="AL213" s="2372"/>
      <c r="AM213" s="2372"/>
      <c r="AN213" s="2372"/>
      <c r="AO213" s="2372"/>
      <c r="AP213" s="2372"/>
      <c r="AQ213" s="2372"/>
      <c r="AR213" s="2372"/>
      <c r="AS213" s="2372"/>
      <c r="AT213" s="2372"/>
      <c r="AU213" s="2372"/>
      <c r="AV213" s="2372"/>
      <c r="AW213" s="2372"/>
      <c r="AX213" s="2372"/>
      <c r="AY213" s="2372"/>
      <c r="AZ213" s="2372"/>
      <c r="BA213" s="2372"/>
      <c r="BB213" s="2372"/>
      <c r="BC213" s="2372"/>
      <c r="BD213" s="2372"/>
      <c r="BE213" s="2372"/>
      <c r="BF213" s="2372"/>
      <c r="BG213" s="2372"/>
      <c r="BH213" s="2372"/>
      <c r="BI213" s="2372"/>
      <c r="BJ213" s="2372"/>
      <c r="BK213" s="2372"/>
      <c r="BL213" s="2372"/>
      <c r="BM213" s="2372"/>
      <c r="BN213" s="2372"/>
      <c r="BO213" s="2372"/>
      <c r="BP213" s="2372"/>
      <c r="BQ213" s="2372"/>
      <c r="BR213" s="2372"/>
      <c r="BS213" s="2372"/>
      <c r="BT213" s="2372"/>
      <c r="BU213" s="2372"/>
      <c r="BV213" s="2372"/>
      <c r="BW213" s="2372"/>
      <c r="BX213" s="2372"/>
      <c r="BY213" s="2372"/>
      <c r="BZ213" s="2372"/>
      <c r="CA213" s="2372"/>
      <c r="CB213" s="2372"/>
      <c r="CC213" s="2372"/>
      <c r="CD213" s="2372"/>
      <c r="CE213" s="2372"/>
      <c r="CF213" s="2372"/>
      <c r="CG213" s="2372"/>
      <c r="CH213" s="2372"/>
      <c r="CI213" s="2372"/>
      <c r="CJ213" s="2372"/>
      <c r="CK213" s="2372"/>
      <c r="CL213" s="2372"/>
      <c r="CM213" s="2372"/>
      <c r="CN213" s="2372"/>
      <c r="CO213" s="2372"/>
      <c r="CP213" s="2372"/>
      <c r="CQ213" s="2372"/>
      <c r="CR213" s="2372"/>
      <c r="CS213" s="2372"/>
      <c r="CT213" s="2372"/>
      <c r="CU213" s="2372"/>
      <c r="CV213" s="2372"/>
      <c r="CW213" s="2372"/>
      <c r="CX213" s="2372"/>
      <c r="CY213" s="2372"/>
      <c r="CZ213" s="2372"/>
      <c r="DA213" s="2372"/>
    </row>
    <row r="214" spans="1:105" ht="15" hidden="1" customHeight="1">
      <c r="A214" s="2372"/>
      <c r="B214" s="2372"/>
      <c r="U214" s="2372"/>
      <c r="V214" s="2372"/>
      <c r="W214" s="2372"/>
      <c r="X214" s="2372"/>
      <c r="Y214" s="2372"/>
      <c r="Z214" s="2372"/>
      <c r="AA214" s="2372"/>
      <c r="AB214" s="2372"/>
      <c r="AC214" s="2372"/>
      <c r="AD214" s="2372"/>
      <c r="AE214" s="2372"/>
      <c r="AF214" s="2372"/>
      <c r="AG214" s="2372"/>
      <c r="AH214" s="2372"/>
      <c r="AI214" s="2372"/>
      <c r="AJ214" s="2372"/>
      <c r="AK214" s="2372"/>
      <c r="AL214" s="2372"/>
      <c r="AM214" s="2372"/>
      <c r="AN214" s="2372"/>
      <c r="AO214" s="2372"/>
      <c r="AP214" s="2372"/>
      <c r="AQ214" s="2372"/>
      <c r="AR214" s="2372"/>
      <c r="AS214" s="2372"/>
      <c r="AT214" s="2372"/>
      <c r="AU214" s="2372"/>
      <c r="AV214" s="2372"/>
      <c r="AW214" s="2372"/>
      <c r="AX214" s="2372"/>
      <c r="AY214" s="2372"/>
      <c r="AZ214" s="2372"/>
      <c r="BA214" s="2372"/>
      <c r="BB214" s="2372"/>
      <c r="BC214" s="2372"/>
      <c r="BD214" s="2372"/>
      <c r="BE214" s="2372"/>
      <c r="BF214" s="2372"/>
      <c r="BG214" s="2372"/>
      <c r="BH214" s="2372"/>
      <c r="BI214" s="2372"/>
      <c r="BJ214" s="2372"/>
      <c r="BK214" s="2372"/>
      <c r="BL214" s="2372"/>
      <c r="BM214" s="2372"/>
      <c r="BN214" s="2372"/>
      <c r="BO214" s="2372"/>
      <c r="BP214" s="2372"/>
      <c r="BQ214" s="2372"/>
      <c r="BR214" s="2372"/>
      <c r="BS214" s="2372"/>
      <c r="BT214" s="2372"/>
      <c r="BU214" s="2372"/>
      <c r="BV214" s="2372"/>
      <c r="BW214" s="2372"/>
      <c r="BX214" s="2372"/>
      <c r="BY214" s="2372"/>
      <c r="BZ214" s="2372"/>
      <c r="CA214" s="2372"/>
      <c r="CB214" s="2372"/>
      <c r="CC214" s="2372"/>
      <c r="CD214" s="2372"/>
      <c r="CE214" s="2372"/>
      <c r="CF214" s="2372"/>
      <c r="CG214" s="2372"/>
      <c r="CH214" s="2372"/>
      <c r="CI214" s="2372"/>
      <c r="CJ214" s="2372"/>
      <c r="CK214" s="2372"/>
      <c r="CL214" s="2372"/>
      <c r="CM214" s="2372"/>
      <c r="CN214" s="2372"/>
      <c r="CO214" s="2372"/>
      <c r="CP214" s="2372"/>
      <c r="CQ214" s="2372"/>
      <c r="CR214" s="2372"/>
      <c r="CS214" s="2372"/>
      <c r="CT214" s="2372"/>
      <c r="CU214" s="2372"/>
      <c r="CV214" s="2372"/>
      <c r="CW214" s="2372"/>
      <c r="CX214" s="2372"/>
      <c r="CY214" s="2372"/>
      <c r="CZ214" s="2372"/>
      <c r="DA214" s="2372"/>
    </row>
    <row r="215" spans="1:105" ht="3" hidden="1" customHeight="1">
      <c r="A215" s="2372"/>
      <c r="B215" s="2372"/>
      <c r="C215" s="2372"/>
      <c r="D215" s="2372"/>
      <c r="E215" s="2372"/>
      <c r="F215" s="2372"/>
      <c r="G215" s="2372"/>
      <c r="H215" s="2372"/>
      <c r="I215" s="2372"/>
      <c r="J215" s="2372"/>
      <c r="K215" s="2372"/>
      <c r="L215" s="2372"/>
      <c r="M215" s="2372"/>
      <c r="N215" s="2372"/>
      <c r="O215" s="2372"/>
      <c r="P215" s="2372"/>
      <c r="Q215" s="2372"/>
      <c r="R215" s="2372"/>
      <c r="S215" s="2372"/>
      <c r="T215" s="2372"/>
      <c r="U215" s="2372"/>
      <c r="V215" s="2372"/>
      <c r="W215" s="2372"/>
      <c r="X215" s="2372"/>
      <c r="Y215" s="2372"/>
      <c r="Z215" s="2372"/>
      <c r="AA215" s="2372"/>
      <c r="AB215" s="2372"/>
      <c r="AC215" s="2372"/>
      <c r="AD215" s="2372"/>
      <c r="AE215" s="2372"/>
      <c r="AF215" s="2372"/>
      <c r="AG215" s="2372"/>
      <c r="AH215" s="2372"/>
      <c r="AI215" s="2372"/>
      <c r="AJ215" s="2372"/>
      <c r="AK215" s="2372"/>
      <c r="AL215" s="2372"/>
      <c r="AM215" s="2372"/>
      <c r="AN215" s="2372"/>
      <c r="AO215" s="2372"/>
      <c r="AP215" s="2372"/>
      <c r="AQ215" s="2372"/>
      <c r="AR215" s="2372"/>
      <c r="AS215" s="2372"/>
      <c r="AT215" s="2372"/>
      <c r="AU215" s="2372"/>
      <c r="AV215" s="2372"/>
      <c r="AW215" s="2372"/>
      <c r="AX215" s="2372"/>
      <c r="AY215" s="2372"/>
      <c r="AZ215" s="2372"/>
      <c r="BA215" s="2372"/>
      <c r="BB215" s="2372"/>
      <c r="BC215" s="2372"/>
      <c r="BD215" s="2372"/>
      <c r="BE215" s="2372"/>
      <c r="BF215" s="2372"/>
      <c r="BG215" s="2372"/>
      <c r="BH215" s="2372"/>
      <c r="BI215" s="2372"/>
      <c r="BJ215" s="2372"/>
      <c r="BK215" s="2372"/>
      <c r="BL215" s="2372"/>
      <c r="BM215" s="2372"/>
      <c r="BN215" s="2372"/>
      <c r="BO215" s="2372"/>
      <c r="BP215" s="2372"/>
      <c r="BQ215" s="2372"/>
      <c r="BR215" s="2372"/>
      <c r="BS215" s="2372"/>
      <c r="BT215" s="2372"/>
      <c r="BU215" s="2372"/>
      <c r="BV215" s="2372"/>
      <c r="BW215" s="2372"/>
      <c r="BX215" s="2372"/>
      <c r="BY215" s="2372"/>
      <c r="BZ215" s="2372"/>
      <c r="CA215" s="2372"/>
      <c r="CB215" s="2372"/>
      <c r="CC215" s="2372"/>
      <c r="CD215" s="2372"/>
      <c r="CE215" s="2372"/>
      <c r="CF215" s="2372"/>
      <c r="CG215" s="2372"/>
      <c r="CH215" s="2372"/>
      <c r="CI215" s="2372"/>
      <c r="CJ215" s="2372"/>
      <c r="CK215" s="2372"/>
      <c r="CL215" s="2372"/>
      <c r="CM215" s="2372"/>
      <c r="CN215" s="2372"/>
      <c r="CO215" s="2372"/>
      <c r="CP215" s="2372"/>
      <c r="CQ215" s="2372"/>
      <c r="CR215" s="2372"/>
      <c r="CS215" s="2372"/>
      <c r="CT215" s="2372"/>
      <c r="CU215" s="2372"/>
      <c r="CV215" s="2372"/>
      <c r="CW215" s="2372"/>
      <c r="CX215" s="2372"/>
      <c r="CY215" s="2372"/>
      <c r="CZ215" s="2372"/>
      <c r="DA215" s="2372"/>
    </row>
    <row r="216" spans="1:105" ht="15" hidden="1" customHeight="1">
      <c r="A216" s="2372"/>
      <c r="B216" s="2372"/>
      <c r="C216" s="2372"/>
      <c r="D216" s="2372"/>
      <c r="E216" s="2372"/>
      <c r="F216" s="2372"/>
      <c r="G216" s="2372"/>
      <c r="H216" s="2372"/>
      <c r="I216" s="2372"/>
      <c r="J216" s="2372"/>
      <c r="K216" s="2372"/>
      <c r="L216" s="2372"/>
      <c r="M216" s="2372"/>
      <c r="N216" s="2372"/>
      <c r="O216" s="2372"/>
      <c r="P216" s="2372"/>
      <c r="Q216" s="2372"/>
      <c r="R216" s="2372"/>
      <c r="S216" s="2372"/>
      <c r="T216" s="2372"/>
      <c r="U216" s="2372"/>
      <c r="V216" s="2372"/>
      <c r="W216" s="2372"/>
      <c r="X216" s="2372"/>
      <c r="Y216" s="2372"/>
      <c r="Z216" s="2372"/>
      <c r="AA216" s="2372"/>
      <c r="AB216" s="2372"/>
      <c r="AC216" s="2372"/>
      <c r="AD216" s="2372"/>
      <c r="AE216" s="2372"/>
      <c r="AF216" s="2372"/>
      <c r="AG216" s="2372"/>
      <c r="AH216" s="2372"/>
      <c r="AI216" s="2372"/>
      <c r="AJ216" s="2372"/>
      <c r="AK216" s="2372"/>
      <c r="AL216" s="2372"/>
      <c r="AM216" s="2372"/>
      <c r="AN216" s="2372"/>
      <c r="AO216" s="2372"/>
      <c r="AP216" s="2372"/>
      <c r="AQ216" s="2372"/>
      <c r="AR216" s="2372"/>
      <c r="AS216" s="2372"/>
      <c r="AT216" s="2372"/>
      <c r="AU216" s="2372"/>
      <c r="AV216" s="2372"/>
      <c r="AW216" s="2372"/>
      <c r="AX216" s="2372"/>
      <c r="AY216" s="2372"/>
      <c r="AZ216" s="2372"/>
      <c r="BA216" s="2372"/>
      <c r="BB216" s="2372"/>
      <c r="BC216" s="2372"/>
      <c r="BD216" s="2372"/>
      <c r="BE216" s="2372"/>
      <c r="BF216" s="2372"/>
      <c r="BG216" s="2372"/>
      <c r="BH216" s="2372"/>
      <c r="BI216" s="2372"/>
      <c r="BJ216" s="2372"/>
      <c r="BK216" s="2372"/>
      <c r="BL216" s="2372"/>
      <c r="BM216" s="2372"/>
      <c r="BN216" s="2372"/>
      <c r="BO216" s="2372"/>
      <c r="BP216" s="2372"/>
      <c r="BQ216" s="2372"/>
      <c r="BR216" s="2372"/>
      <c r="BS216" s="2372"/>
      <c r="BT216" s="2372"/>
      <c r="BU216" s="2372"/>
      <c r="BV216" s="2372"/>
      <c r="BW216" s="2372"/>
      <c r="BX216" s="2372"/>
      <c r="BY216" s="2372"/>
      <c r="BZ216" s="2372"/>
      <c r="CA216" s="2372"/>
      <c r="CB216" s="2372"/>
      <c r="CC216" s="2372"/>
      <c r="CD216" s="2372"/>
      <c r="CE216" s="2372"/>
      <c r="CF216" s="2372"/>
      <c r="CG216" s="2372"/>
      <c r="CH216" s="2372"/>
      <c r="CI216" s="2372"/>
      <c r="CJ216" s="2372"/>
      <c r="CK216" s="2372"/>
      <c r="CL216" s="2372"/>
      <c r="CM216" s="2372"/>
      <c r="CN216" s="2372"/>
      <c r="CO216" s="2372"/>
      <c r="CP216" s="2372"/>
      <c r="CQ216" s="2372"/>
      <c r="CR216" s="2372"/>
      <c r="CS216" s="2372"/>
      <c r="CT216" s="2372"/>
      <c r="CU216" s="2372"/>
      <c r="CV216" s="2372"/>
      <c r="CW216" s="2372"/>
      <c r="CX216" s="2372"/>
      <c r="CY216" s="2372"/>
      <c r="CZ216" s="2372"/>
      <c r="DA216" s="2372"/>
    </row>
    <row r="217" spans="1:105" ht="3" hidden="1" customHeight="1">
      <c r="A217" s="2372"/>
      <c r="B217" s="2372"/>
      <c r="C217" s="2372"/>
      <c r="D217" s="2372"/>
      <c r="E217" s="2372"/>
      <c r="F217" s="2372"/>
      <c r="G217" s="2372"/>
      <c r="H217" s="2372"/>
      <c r="I217" s="2372"/>
      <c r="J217" s="2372"/>
      <c r="K217" s="2372"/>
      <c r="L217" s="2372"/>
      <c r="M217" s="2372"/>
      <c r="N217" s="2372"/>
      <c r="O217" s="2372"/>
      <c r="P217" s="2372"/>
      <c r="Q217" s="2372"/>
      <c r="R217" s="2372"/>
      <c r="S217" s="2372"/>
      <c r="T217" s="2372"/>
      <c r="U217" s="2372"/>
      <c r="V217" s="2372"/>
      <c r="W217" s="2372"/>
      <c r="X217" s="2372"/>
      <c r="Y217" s="2372"/>
      <c r="Z217" s="2372"/>
      <c r="AA217" s="2372"/>
      <c r="AB217" s="2372"/>
      <c r="AC217" s="2372"/>
      <c r="AD217" s="2372"/>
      <c r="AE217" s="2372"/>
      <c r="AF217" s="2372"/>
      <c r="AG217" s="2372"/>
      <c r="AH217" s="2372"/>
      <c r="AI217" s="2372"/>
      <c r="AJ217" s="2372"/>
      <c r="AK217" s="2372"/>
      <c r="AL217" s="2372"/>
      <c r="AM217" s="2372"/>
      <c r="AN217" s="2372"/>
      <c r="AO217" s="2372"/>
      <c r="AP217" s="2372"/>
      <c r="AQ217" s="2372"/>
      <c r="AR217" s="2372"/>
      <c r="AS217" s="2372"/>
      <c r="AT217" s="2372"/>
      <c r="AU217" s="2372"/>
      <c r="AV217" s="2372"/>
      <c r="AW217" s="2372"/>
      <c r="AX217" s="2372"/>
      <c r="AY217" s="2372"/>
      <c r="AZ217" s="2372"/>
      <c r="BA217" s="2372"/>
      <c r="BB217" s="2372"/>
      <c r="BC217" s="2372"/>
      <c r="BD217" s="2372"/>
      <c r="BE217" s="2372"/>
      <c r="BF217" s="2372"/>
      <c r="BG217" s="2372"/>
      <c r="BH217" s="2372"/>
      <c r="BI217" s="2372"/>
      <c r="BJ217" s="2372"/>
      <c r="BK217" s="2372"/>
      <c r="BL217" s="2372"/>
      <c r="BM217" s="2372"/>
      <c r="BN217" s="2372"/>
      <c r="BO217" s="2372"/>
      <c r="BP217" s="2372"/>
      <c r="BQ217" s="2372"/>
      <c r="BR217" s="2372"/>
      <c r="BS217" s="2372"/>
      <c r="BT217" s="2372"/>
      <c r="BU217" s="2372"/>
      <c r="BV217" s="2372"/>
      <c r="BW217" s="2372"/>
      <c r="BX217" s="2372"/>
      <c r="BY217" s="2372"/>
      <c r="BZ217" s="2372"/>
      <c r="CA217" s="2372"/>
      <c r="CB217" s="2372"/>
      <c r="CC217" s="2372"/>
      <c r="CD217" s="2372"/>
      <c r="CE217" s="2372"/>
      <c r="CF217" s="2372"/>
      <c r="CG217" s="2372"/>
      <c r="CH217" s="2372"/>
      <c r="CI217" s="2372"/>
      <c r="CJ217" s="2372"/>
      <c r="CK217" s="2372"/>
      <c r="CL217" s="2372"/>
      <c r="CM217" s="2372"/>
      <c r="CN217" s="2372"/>
      <c r="CO217" s="2372"/>
      <c r="CP217" s="2372"/>
      <c r="CQ217" s="2372"/>
      <c r="CR217" s="2372"/>
      <c r="CS217" s="2372"/>
      <c r="CT217" s="2372"/>
      <c r="CU217" s="2372"/>
      <c r="CV217" s="2372"/>
      <c r="CW217" s="2372"/>
      <c r="CX217" s="2372"/>
      <c r="CY217" s="2372"/>
      <c r="CZ217" s="2372"/>
      <c r="DA217" s="2372"/>
    </row>
    <row r="218" spans="1:105" ht="15" hidden="1" customHeight="1">
      <c r="A218" s="2372"/>
      <c r="B218" s="2372"/>
      <c r="C218" s="2372"/>
      <c r="D218" s="2372"/>
      <c r="E218" s="2372"/>
      <c r="F218" s="2372"/>
      <c r="G218" s="2372"/>
      <c r="H218" s="2372"/>
      <c r="I218" s="2372"/>
      <c r="J218" s="2372"/>
      <c r="K218" s="2372"/>
      <c r="L218" s="2372"/>
      <c r="M218" s="2372"/>
      <c r="N218" s="2372"/>
      <c r="O218" s="2372"/>
      <c r="P218" s="2372"/>
      <c r="Q218" s="2372"/>
      <c r="R218" s="2372"/>
      <c r="S218" s="2372"/>
      <c r="T218" s="2372"/>
      <c r="U218" s="2372"/>
      <c r="V218" s="2372"/>
      <c r="W218" s="2372"/>
      <c r="X218" s="2372"/>
      <c r="Y218" s="2372"/>
      <c r="Z218" s="2372"/>
      <c r="AA218" s="2372"/>
      <c r="AB218" s="2372"/>
      <c r="AC218" s="2372"/>
      <c r="AD218" s="2372"/>
      <c r="AE218" s="2372"/>
      <c r="AF218" s="2372"/>
      <c r="AG218" s="2372"/>
      <c r="AH218" s="2372"/>
      <c r="AI218" s="2372"/>
      <c r="AJ218" s="2372"/>
      <c r="AK218" s="2372"/>
      <c r="AL218" s="2372"/>
      <c r="AM218" s="2372"/>
      <c r="AN218" s="2372"/>
      <c r="AO218" s="2372"/>
      <c r="AP218" s="2372"/>
      <c r="AQ218" s="2372"/>
      <c r="AR218" s="2372"/>
      <c r="AS218" s="2372"/>
      <c r="AT218" s="2372"/>
      <c r="AU218" s="2372"/>
      <c r="AV218" s="2372"/>
      <c r="AW218" s="2372"/>
      <c r="AX218" s="2372"/>
      <c r="AY218" s="2372"/>
      <c r="AZ218" s="2372"/>
      <c r="BA218" s="2372"/>
      <c r="BB218" s="2372"/>
      <c r="BC218" s="2372"/>
      <c r="BD218" s="2372"/>
      <c r="BE218" s="2372"/>
      <c r="BF218" s="2372"/>
      <c r="BG218" s="2372"/>
      <c r="BH218" s="2372"/>
      <c r="BI218" s="2372"/>
      <c r="BJ218" s="2372"/>
      <c r="BK218" s="2372"/>
      <c r="BL218" s="2372"/>
      <c r="BM218" s="2372"/>
      <c r="BN218" s="2372"/>
      <c r="BO218" s="2372"/>
      <c r="BP218" s="2372"/>
      <c r="BQ218" s="2372"/>
      <c r="BR218" s="2372"/>
      <c r="BS218" s="2372"/>
      <c r="BT218" s="2372"/>
      <c r="BU218" s="2372"/>
      <c r="BV218" s="2372"/>
      <c r="BW218" s="2372"/>
      <c r="BX218" s="2372"/>
      <c r="BY218" s="2372"/>
      <c r="BZ218" s="2372"/>
      <c r="CA218" s="2372"/>
      <c r="CB218" s="2372"/>
      <c r="CC218" s="2372"/>
      <c r="CD218" s="2372"/>
      <c r="CE218" s="2372"/>
      <c r="CF218" s="2372"/>
      <c r="CG218" s="2372"/>
      <c r="CH218" s="2372"/>
      <c r="CI218" s="2372"/>
      <c r="CJ218" s="2372"/>
      <c r="CK218" s="2372"/>
      <c r="CL218" s="2372"/>
      <c r="CM218" s="2372"/>
      <c r="CN218" s="2372"/>
      <c r="CO218" s="2372"/>
      <c r="CP218" s="2372"/>
      <c r="CQ218" s="2372"/>
      <c r="CR218" s="2372"/>
      <c r="CS218" s="2372"/>
      <c r="CT218" s="2372"/>
      <c r="CU218" s="2372"/>
      <c r="CV218" s="2372"/>
      <c r="CW218" s="2372"/>
      <c r="CX218" s="2372"/>
      <c r="CY218" s="2372"/>
      <c r="CZ218" s="2372"/>
      <c r="DA218" s="2372"/>
    </row>
    <row r="219" spans="1:105" ht="3" hidden="1" customHeight="1">
      <c r="A219" s="2372"/>
      <c r="B219" s="2372"/>
      <c r="C219" s="2372"/>
      <c r="D219" s="2372"/>
      <c r="E219" s="2372"/>
      <c r="F219" s="2372"/>
      <c r="G219" s="2372"/>
      <c r="H219" s="2372"/>
      <c r="I219" s="2372"/>
      <c r="J219" s="2372"/>
      <c r="K219" s="2372"/>
      <c r="L219" s="2372"/>
      <c r="M219" s="2372"/>
      <c r="N219" s="2372"/>
      <c r="O219" s="2372"/>
      <c r="P219" s="2372"/>
      <c r="Q219" s="2372"/>
      <c r="R219" s="2372"/>
      <c r="S219" s="2372"/>
      <c r="T219" s="2372"/>
      <c r="U219" s="2372"/>
      <c r="V219" s="2372"/>
      <c r="W219" s="2372"/>
      <c r="X219" s="2372"/>
      <c r="Y219" s="2372"/>
      <c r="Z219" s="2372"/>
      <c r="AA219" s="2372"/>
      <c r="AB219" s="2372"/>
      <c r="AC219" s="2372"/>
      <c r="AD219" s="2372"/>
      <c r="AE219" s="2372"/>
      <c r="AF219" s="2372"/>
      <c r="AG219" s="2372"/>
      <c r="AH219" s="2372"/>
      <c r="AI219" s="2372"/>
      <c r="AJ219" s="2372"/>
      <c r="AK219" s="2372"/>
      <c r="AL219" s="2372"/>
      <c r="AM219" s="2372"/>
      <c r="AN219" s="2372"/>
      <c r="AO219" s="2372"/>
      <c r="AP219" s="2372"/>
      <c r="AQ219" s="2372"/>
      <c r="AR219" s="2372"/>
      <c r="AS219" s="2372"/>
      <c r="AT219" s="2372"/>
      <c r="AU219" s="2372"/>
      <c r="AV219" s="2372"/>
      <c r="AW219" s="2372"/>
      <c r="AX219" s="2372"/>
      <c r="AY219" s="2372"/>
      <c r="AZ219" s="2372"/>
      <c r="BA219" s="2372"/>
      <c r="BB219" s="2372"/>
      <c r="BC219" s="2372"/>
      <c r="BD219" s="2372"/>
      <c r="BE219" s="2372"/>
      <c r="BF219" s="2372"/>
      <c r="BG219" s="2372"/>
      <c r="BH219" s="2372"/>
      <c r="BI219" s="2372"/>
      <c r="BJ219" s="2372"/>
      <c r="BK219" s="2372"/>
      <c r="BL219" s="2372"/>
      <c r="BM219" s="2372"/>
      <c r="BN219" s="2372"/>
      <c r="BO219" s="2372"/>
      <c r="BP219" s="2372"/>
      <c r="BQ219" s="2372"/>
      <c r="BR219" s="2372"/>
      <c r="BS219" s="2372"/>
      <c r="BT219" s="2372"/>
      <c r="BU219" s="2372"/>
      <c r="BV219" s="2372"/>
      <c r="BW219" s="2372"/>
      <c r="BX219" s="2372"/>
      <c r="BY219" s="2372"/>
      <c r="BZ219" s="2372"/>
      <c r="CA219" s="2372"/>
      <c r="CB219" s="2372"/>
      <c r="CC219" s="2372"/>
      <c r="CD219" s="2372"/>
      <c r="CE219" s="2372"/>
      <c r="CF219" s="2372"/>
      <c r="CG219" s="2372"/>
      <c r="CH219" s="2372"/>
      <c r="CI219" s="2372"/>
      <c r="CJ219" s="2372"/>
      <c r="CK219" s="2372"/>
      <c r="CL219" s="2372"/>
      <c r="CM219" s="2372"/>
      <c r="CN219" s="2372"/>
      <c r="CO219" s="2372"/>
      <c r="CP219" s="2372"/>
      <c r="CQ219" s="2372"/>
      <c r="CR219" s="2372"/>
      <c r="CS219" s="2372"/>
      <c r="CT219" s="2372"/>
      <c r="CU219" s="2372"/>
      <c r="CV219" s="2372"/>
      <c r="CW219" s="2372"/>
      <c r="CX219" s="2372"/>
      <c r="CY219" s="2372"/>
      <c r="CZ219" s="2372"/>
      <c r="DA219" s="2372"/>
    </row>
    <row r="220" spans="1:105" ht="15" hidden="1" customHeight="1">
      <c r="A220" s="2372"/>
      <c r="B220" s="2372"/>
      <c r="C220" s="2372"/>
      <c r="D220" s="2372"/>
      <c r="E220" s="2372"/>
      <c r="F220" s="2372"/>
      <c r="G220" s="2372"/>
      <c r="H220" s="2372"/>
      <c r="I220" s="2372"/>
      <c r="J220" s="2372"/>
      <c r="K220" s="2372"/>
      <c r="L220" s="2372"/>
      <c r="M220" s="2372"/>
      <c r="N220" s="2372"/>
      <c r="O220" s="2372"/>
      <c r="P220" s="2372"/>
      <c r="Q220" s="2372"/>
      <c r="R220" s="2372"/>
      <c r="S220" s="2372"/>
      <c r="T220" s="2372"/>
      <c r="U220" s="2372"/>
      <c r="V220" s="2372"/>
      <c r="W220" s="2372"/>
      <c r="X220" s="2372"/>
      <c r="Y220" s="2372"/>
      <c r="Z220" s="2372"/>
      <c r="AA220" s="2372"/>
      <c r="AB220" s="2372"/>
      <c r="AC220" s="2372"/>
      <c r="AD220" s="2372"/>
      <c r="AE220" s="2372"/>
      <c r="AF220" s="2372"/>
      <c r="AG220" s="2372"/>
      <c r="AH220" s="2372"/>
      <c r="AI220" s="2372"/>
      <c r="AJ220" s="2372"/>
      <c r="AK220" s="2372"/>
      <c r="AL220" s="2372"/>
      <c r="AM220" s="2372"/>
      <c r="AN220" s="2372"/>
      <c r="AO220" s="2372"/>
      <c r="AP220" s="2372"/>
      <c r="AQ220" s="2372"/>
      <c r="AR220" s="2372"/>
      <c r="AS220" s="2372"/>
      <c r="AT220" s="2372"/>
      <c r="AU220" s="2372"/>
      <c r="AV220" s="2372"/>
      <c r="AW220" s="2372"/>
      <c r="AX220" s="2372"/>
      <c r="AY220" s="2372"/>
      <c r="AZ220" s="2372"/>
      <c r="BA220" s="2372"/>
      <c r="BB220" s="2372"/>
      <c r="BC220" s="2372"/>
      <c r="BD220" s="2372"/>
      <c r="BE220" s="2372"/>
      <c r="BF220" s="2372"/>
      <c r="BG220" s="2372"/>
      <c r="BH220" s="2372"/>
      <c r="BI220" s="2372"/>
      <c r="BJ220" s="2372"/>
      <c r="BK220" s="2372"/>
      <c r="BL220" s="2372"/>
      <c r="BM220" s="2372"/>
      <c r="BN220" s="2372"/>
      <c r="BO220" s="2372"/>
      <c r="BP220" s="2372"/>
      <c r="BQ220" s="2372"/>
      <c r="BR220" s="2372"/>
      <c r="BS220" s="2372"/>
      <c r="BT220" s="2372"/>
      <c r="BU220" s="2372"/>
      <c r="BV220" s="2372"/>
      <c r="BW220" s="2372"/>
      <c r="BX220" s="2372"/>
      <c r="BY220" s="2372"/>
      <c r="BZ220" s="2372"/>
      <c r="CA220" s="2372"/>
      <c r="CB220" s="2372"/>
      <c r="CC220" s="2372"/>
      <c r="CD220" s="2372"/>
      <c r="CE220" s="2372"/>
      <c r="CF220" s="2372"/>
      <c r="CG220" s="2372"/>
      <c r="CH220" s="2372"/>
      <c r="CI220" s="2372"/>
      <c r="CJ220" s="2372"/>
      <c r="CK220" s="2372"/>
      <c r="CL220" s="2372"/>
      <c r="CM220" s="2372"/>
      <c r="CN220" s="2372"/>
      <c r="CO220" s="2372"/>
      <c r="CP220" s="2372"/>
      <c r="CQ220" s="2372"/>
      <c r="CR220" s="2372"/>
      <c r="CS220" s="2372"/>
      <c r="CT220" s="2372"/>
      <c r="CU220" s="2372"/>
      <c r="CV220" s="2372"/>
      <c r="CW220" s="2372"/>
      <c r="CX220" s="2372"/>
      <c r="CY220" s="2372"/>
      <c r="CZ220" s="2372"/>
      <c r="DA220" s="2372"/>
    </row>
    <row r="221" spans="1:105" ht="3" hidden="1" customHeight="1">
      <c r="A221" s="2372"/>
      <c r="B221" s="2372"/>
      <c r="C221" s="2372"/>
      <c r="D221" s="2372"/>
      <c r="E221" s="2372"/>
      <c r="F221" s="2372"/>
      <c r="G221" s="2372"/>
      <c r="H221" s="2372"/>
      <c r="I221" s="2372"/>
      <c r="J221" s="2372"/>
      <c r="K221" s="2372"/>
      <c r="L221" s="2372"/>
      <c r="M221" s="2372"/>
      <c r="N221" s="2372"/>
      <c r="O221" s="2372"/>
      <c r="P221" s="2372"/>
      <c r="Q221" s="2372"/>
      <c r="R221" s="2372"/>
      <c r="S221" s="2372"/>
      <c r="T221" s="2372"/>
      <c r="U221" s="2372"/>
      <c r="V221" s="2372"/>
      <c r="W221" s="2372"/>
      <c r="X221" s="2372"/>
      <c r="Y221" s="2372"/>
      <c r="Z221" s="2372"/>
      <c r="AA221" s="2372"/>
      <c r="AB221" s="2372"/>
      <c r="AC221" s="2372"/>
      <c r="AD221" s="2372"/>
      <c r="AE221" s="2372"/>
      <c r="AF221" s="2372"/>
      <c r="AG221" s="2372"/>
      <c r="AH221" s="2372"/>
      <c r="AI221" s="2372"/>
      <c r="AJ221" s="2372"/>
      <c r="AK221" s="2372"/>
      <c r="AL221" s="2372"/>
      <c r="AM221" s="2372"/>
      <c r="AN221" s="2372"/>
      <c r="AO221" s="2372"/>
      <c r="AP221" s="2372"/>
      <c r="AQ221" s="2372"/>
      <c r="AR221" s="2372"/>
      <c r="AS221" s="2372"/>
      <c r="AT221" s="2372"/>
      <c r="AU221" s="2372"/>
      <c r="AV221" s="2372"/>
      <c r="AW221" s="2372"/>
      <c r="AX221" s="2372"/>
      <c r="AY221" s="2372"/>
      <c r="AZ221" s="2372"/>
      <c r="BA221" s="2372"/>
      <c r="BB221" s="2372"/>
      <c r="BC221" s="2372"/>
      <c r="BD221" s="2372"/>
      <c r="BE221" s="2372"/>
      <c r="BF221" s="2372"/>
      <c r="BG221" s="2372"/>
      <c r="BH221" s="2372"/>
      <c r="BI221" s="2372"/>
      <c r="BJ221" s="2372"/>
      <c r="BK221" s="2372"/>
      <c r="BL221" s="2372"/>
      <c r="BM221" s="2372"/>
      <c r="BN221" s="2372"/>
      <c r="BO221" s="2372"/>
      <c r="BP221" s="2372"/>
      <c r="BQ221" s="2372"/>
      <c r="BR221" s="2372"/>
      <c r="BS221" s="2372"/>
      <c r="BT221" s="2372"/>
      <c r="BU221" s="2372"/>
      <c r="BV221" s="2372"/>
      <c r="BW221" s="2372"/>
      <c r="BX221" s="2372"/>
      <c r="BY221" s="2372"/>
      <c r="BZ221" s="2372"/>
      <c r="CA221" s="2372"/>
      <c r="CB221" s="2372"/>
      <c r="CC221" s="2372"/>
      <c r="CD221" s="2372"/>
      <c r="CE221" s="2372"/>
      <c r="CF221" s="2372"/>
      <c r="CG221" s="2372"/>
      <c r="CH221" s="2372"/>
      <c r="CI221" s="2372"/>
      <c r="CJ221" s="2372"/>
      <c r="CK221" s="2372"/>
      <c r="CL221" s="2372"/>
      <c r="CM221" s="2372"/>
      <c r="CN221" s="2372"/>
      <c r="CO221" s="2372"/>
      <c r="CP221" s="2372"/>
      <c r="CQ221" s="2372"/>
      <c r="CR221" s="2372"/>
      <c r="CS221" s="2372"/>
      <c r="CT221" s="2372"/>
      <c r="CU221" s="2372"/>
      <c r="CV221" s="2372"/>
      <c r="CW221" s="2372"/>
      <c r="CX221" s="2372"/>
      <c r="CY221" s="2372"/>
      <c r="CZ221" s="2372"/>
      <c r="DA221" s="2372"/>
    </row>
    <row r="222" spans="1:105" ht="15" hidden="1" customHeight="1">
      <c r="A222" s="2372"/>
      <c r="B222" s="2372"/>
      <c r="C222" s="2372"/>
      <c r="D222" s="2372"/>
      <c r="E222" s="2372"/>
      <c r="F222" s="2372"/>
      <c r="G222" s="2372"/>
      <c r="H222" s="2372"/>
      <c r="I222" s="2372"/>
      <c r="J222" s="2372"/>
      <c r="K222" s="2372"/>
      <c r="L222" s="2372"/>
      <c r="M222" s="2372"/>
      <c r="N222" s="2372"/>
      <c r="O222" s="2372"/>
      <c r="P222" s="2372"/>
      <c r="Q222" s="2372"/>
      <c r="R222" s="2372"/>
      <c r="S222" s="2372"/>
      <c r="T222" s="2372"/>
      <c r="U222" s="2372"/>
      <c r="V222" s="2372"/>
      <c r="W222" s="2372"/>
      <c r="X222" s="2372"/>
      <c r="Y222" s="2372"/>
      <c r="Z222" s="2372"/>
      <c r="AA222" s="2372"/>
      <c r="AB222" s="2372"/>
      <c r="AC222" s="2372"/>
      <c r="AD222" s="2372"/>
      <c r="AE222" s="2372"/>
      <c r="AF222" s="2372"/>
      <c r="AG222" s="2372"/>
      <c r="AH222" s="2372"/>
      <c r="AI222" s="2372"/>
      <c r="AJ222" s="2372"/>
      <c r="AK222" s="2372"/>
      <c r="AL222" s="2372"/>
      <c r="AM222" s="2372"/>
      <c r="AN222" s="2372"/>
      <c r="AO222" s="2372"/>
      <c r="AP222" s="2372"/>
      <c r="AQ222" s="2372"/>
      <c r="AR222" s="2372"/>
      <c r="AS222" s="2372"/>
      <c r="AT222" s="2372"/>
      <c r="AU222" s="2372"/>
      <c r="AV222" s="2372"/>
      <c r="AW222" s="2372"/>
      <c r="AX222" s="2372"/>
      <c r="AY222" s="2372"/>
      <c r="AZ222" s="2372"/>
      <c r="BA222" s="2372"/>
      <c r="BB222" s="2372"/>
      <c r="BC222" s="2372"/>
      <c r="BD222" s="2372"/>
      <c r="BE222" s="2372"/>
      <c r="BF222" s="2372"/>
      <c r="BG222" s="2372"/>
      <c r="BH222" s="2372"/>
      <c r="BI222" s="2372"/>
      <c r="BJ222" s="2372"/>
      <c r="BK222" s="2372"/>
      <c r="BL222" s="2372"/>
      <c r="BM222" s="2372"/>
      <c r="BN222" s="2372"/>
      <c r="BO222" s="2372"/>
      <c r="BP222" s="2372"/>
      <c r="BQ222" s="2372"/>
      <c r="BR222" s="2372"/>
      <c r="BS222" s="2372"/>
      <c r="BT222" s="2372"/>
      <c r="BU222" s="2372"/>
      <c r="BV222" s="2372"/>
      <c r="BW222" s="2372"/>
      <c r="BX222" s="2372"/>
      <c r="BY222" s="2372"/>
      <c r="BZ222" s="2372"/>
      <c r="CA222" s="2372"/>
      <c r="CB222" s="2372"/>
      <c r="CC222" s="2372"/>
      <c r="CD222" s="2372"/>
      <c r="CE222" s="2372"/>
      <c r="CF222" s="2372"/>
      <c r="CG222" s="2372"/>
      <c r="CH222" s="2372"/>
      <c r="CI222" s="2372"/>
      <c r="CJ222" s="2372"/>
      <c r="CK222" s="2372"/>
      <c r="CL222" s="2372"/>
      <c r="CM222" s="2372"/>
      <c r="CN222" s="2372"/>
      <c r="CO222" s="2372"/>
      <c r="CP222" s="2372"/>
      <c r="CQ222" s="2372"/>
      <c r="CR222" s="2372"/>
      <c r="CS222" s="2372"/>
      <c r="CT222" s="2372"/>
      <c r="CU222" s="2372"/>
      <c r="CV222" s="2372"/>
      <c r="CW222" s="2372"/>
      <c r="CX222" s="2372"/>
      <c r="CY222" s="2372"/>
      <c r="CZ222" s="2372"/>
      <c r="DA222" s="2372"/>
    </row>
    <row r="223" spans="1:105" ht="3" hidden="1" customHeight="1">
      <c r="A223" s="2372"/>
      <c r="B223" s="2372"/>
      <c r="C223" s="2372"/>
      <c r="D223" s="2372"/>
      <c r="E223" s="2372"/>
      <c r="F223" s="2372"/>
      <c r="G223" s="2372"/>
      <c r="H223" s="2372"/>
      <c r="I223" s="2372"/>
      <c r="J223" s="2372"/>
      <c r="K223" s="2372"/>
      <c r="L223" s="2372"/>
      <c r="M223" s="2372"/>
      <c r="N223" s="2372"/>
      <c r="O223" s="2372"/>
      <c r="P223" s="2372"/>
      <c r="Q223" s="2372"/>
      <c r="R223" s="2372"/>
      <c r="S223" s="2372"/>
      <c r="T223" s="2372"/>
      <c r="U223" s="2372"/>
      <c r="V223" s="2372"/>
      <c r="W223" s="2372"/>
      <c r="X223" s="2372"/>
      <c r="Y223" s="2372"/>
      <c r="Z223" s="2372"/>
      <c r="AA223" s="2372"/>
      <c r="AB223" s="2372"/>
      <c r="AC223" s="2372"/>
      <c r="AD223" s="2372"/>
      <c r="AE223" s="2372"/>
      <c r="AF223" s="2372"/>
      <c r="AG223" s="2372"/>
      <c r="AH223" s="2372"/>
      <c r="AI223" s="2372"/>
      <c r="AJ223" s="2372"/>
      <c r="AK223" s="2372"/>
      <c r="AL223" s="2372"/>
      <c r="AM223" s="2372"/>
      <c r="AN223" s="2372"/>
      <c r="AO223" s="2372"/>
      <c r="AP223" s="2372"/>
      <c r="AQ223" s="2372"/>
      <c r="AR223" s="2372"/>
      <c r="AS223" s="2372"/>
      <c r="AT223" s="2372"/>
      <c r="AU223" s="2372"/>
      <c r="AV223" s="2372"/>
      <c r="AW223" s="2372"/>
      <c r="AX223" s="2372"/>
      <c r="AY223" s="2372"/>
      <c r="AZ223" s="2372"/>
      <c r="BA223" s="2372"/>
      <c r="BB223" s="2372"/>
      <c r="BC223" s="2372"/>
      <c r="BD223" s="2372"/>
      <c r="BE223" s="2372"/>
      <c r="BF223" s="2372"/>
      <c r="BG223" s="2372"/>
      <c r="BH223" s="2372"/>
      <c r="BI223" s="2372"/>
      <c r="BJ223" s="2372"/>
      <c r="BK223" s="2372"/>
      <c r="BL223" s="2372"/>
      <c r="BM223" s="2372"/>
      <c r="BN223" s="2372"/>
      <c r="BO223" s="2372"/>
      <c r="BP223" s="2372"/>
      <c r="BQ223" s="2372"/>
      <c r="BR223" s="2372"/>
      <c r="BS223" s="2372"/>
      <c r="BT223" s="2372"/>
      <c r="BU223" s="2372"/>
      <c r="BV223" s="2372"/>
      <c r="BW223" s="2372"/>
      <c r="BX223" s="2372"/>
      <c r="BY223" s="2372"/>
      <c r="BZ223" s="2372"/>
      <c r="CA223" s="2372"/>
      <c r="CB223" s="2372"/>
      <c r="CC223" s="2372"/>
      <c r="CD223" s="2372"/>
      <c r="CE223" s="2372"/>
      <c r="CF223" s="2372"/>
      <c r="CG223" s="2372"/>
      <c r="CH223" s="2372"/>
      <c r="CI223" s="2372"/>
      <c r="CJ223" s="2372"/>
      <c r="CK223" s="2372"/>
      <c r="CL223" s="2372"/>
      <c r="CM223" s="2372"/>
      <c r="CN223" s="2372"/>
      <c r="CO223" s="2372"/>
      <c r="CP223" s="2372"/>
      <c r="CQ223" s="2372"/>
      <c r="CR223" s="2372"/>
      <c r="CS223" s="2372"/>
      <c r="CT223" s="2372"/>
      <c r="CU223" s="2372"/>
      <c r="CV223" s="2372"/>
      <c r="CW223" s="2372"/>
      <c r="CX223" s="2372"/>
      <c r="CY223" s="2372"/>
      <c r="CZ223" s="2372"/>
      <c r="DA223" s="2372"/>
    </row>
    <row r="224" spans="1:105" ht="15" hidden="1" customHeight="1">
      <c r="A224" s="2372"/>
      <c r="B224" s="2372"/>
      <c r="C224" s="2372"/>
      <c r="D224" s="2372"/>
      <c r="E224" s="2372"/>
      <c r="F224" s="2372"/>
      <c r="G224" s="2372"/>
      <c r="H224" s="2372"/>
      <c r="I224" s="2372"/>
      <c r="J224" s="2372"/>
      <c r="K224" s="2372"/>
      <c r="L224" s="2372"/>
      <c r="M224" s="2372"/>
      <c r="N224" s="2372"/>
      <c r="O224" s="2372"/>
      <c r="P224" s="2372"/>
      <c r="Q224" s="2372"/>
      <c r="R224" s="2372"/>
      <c r="S224" s="2372"/>
      <c r="T224" s="2372"/>
      <c r="U224" s="2372"/>
      <c r="V224" s="2372"/>
      <c r="W224" s="2372"/>
      <c r="X224" s="2372"/>
      <c r="Y224" s="2372"/>
      <c r="Z224" s="2372"/>
      <c r="AA224" s="2372"/>
      <c r="AB224" s="2372"/>
      <c r="AC224" s="2372"/>
      <c r="AD224" s="2372"/>
      <c r="AE224" s="2372"/>
      <c r="AF224" s="2372"/>
      <c r="AG224" s="2372"/>
      <c r="AH224" s="2372"/>
      <c r="AI224" s="2372"/>
      <c r="AJ224" s="2372"/>
      <c r="AK224" s="2372"/>
      <c r="AL224" s="2372"/>
      <c r="AM224" s="2372"/>
      <c r="AN224" s="2372"/>
      <c r="AO224" s="2372"/>
      <c r="AP224" s="2372"/>
      <c r="AQ224" s="2372"/>
      <c r="AR224" s="2372"/>
      <c r="AS224" s="2372"/>
      <c r="AT224" s="2372"/>
      <c r="AU224" s="2372"/>
      <c r="AV224" s="2372"/>
      <c r="AW224" s="2372"/>
      <c r="AX224" s="2372"/>
      <c r="AY224" s="2372"/>
      <c r="AZ224" s="2372"/>
      <c r="BA224" s="2372"/>
      <c r="BB224" s="2372"/>
      <c r="BC224" s="2372"/>
      <c r="BD224" s="2372"/>
      <c r="BE224" s="2372"/>
      <c r="BF224" s="2372"/>
      <c r="BG224" s="2372"/>
      <c r="BH224" s="2372"/>
      <c r="BI224" s="2372"/>
      <c r="BJ224" s="2372"/>
      <c r="BK224" s="2372"/>
      <c r="BL224" s="2372"/>
      <c r="BM224" s="2372"/>
      <c r="BN224" s="2372"/>
      <c r="BO224" s="2372"/>
      <c r="BP224" s="2372"/>
      <c r="BQ224" s="2372"/>
      <c r="BR224" s="2372"/>
      <c r="BS224" s="2372"/>
      <c r="BT224" s="2372"/>
      <c r="BU224" s="2372"/>
      <c r="BV224" s="2372"/>
      <c r="BW224" s="2372"/>
      <c r="BX224" s="2372"/>
      <c r="BY224" s="2372"/>
      <c r="BZ224" s="2372"/>
      <c r="CA224" s="2372"/>
      <c r="CB224" s="2372"/>
      <c r="CC224" s="2372"/>
      <c r="CD224" s="2372"/>
      <c r="CE224" s="2372"/>
      <c r="CF224" s="2372"/>
      <c r="CG224" s="2372"/>
      <c r="CH224" s="2372"/>
      <c r="CI224" s="2372"/>
      <c r="CJ224" s="2372"/>
      <c r="CK224" s="2372"/>
      <c r="CL224" s="2372"/>
      <c r="CM224" s="2372"/>
      <c r="CN224" s="2372"/>
      <c r="CO224" s="2372"/>
      <c r="CP224" s="2372"/>
      <c r="CQ224" s="2372"/>
      <c r="CR224" s="2372"/>
      <c r="CS224" s="2372"/>
      <c r="CT224" s="2372"/>
      <c r="CU224" s="2372"/>
      <c r="CV224" s="2372"/>
      <c r="CW224" s="2372"/>
      <c r="CX224" s="2372"/>
      <c r="CY224" s="2372"/>
      <c r="CZ224" s="2372"/>
      <c r="DA224" s="2372"/>
    </row>
    <row r="225" spans="1:105" ht="3" hidden="1" customHeight="1">
      <c r="A225" s="2372"/>
      <c r="B225" s="2372"/>
      <c r="C225" s="2372"/>
      <c r="D225" s="2372"/>
      <c r="E225" s="2372"/>
      <c r="F225" s="2372"/>
      <c r="G225" s="2372"/>
      <c r="H225" s="2372"/>
      <c r="I225" s="2372"/>
      <c r="J225" s="2372"/>
      <c r="K225" s="2372"/>
      <c r="L225" s="2372"/>
      <c r="M225" s="2372"/>
      <c r="N225" s="2372"/>
      <c r="O225" s="2372"/>
      <c r="P225" s="2372"/>
      <c r="Q225" s="2372"/>
      <c r="R225" s="2372"/>
      <c r="S225" s="2372"/>
      <c r="T225" s="2372"/>
      <c r="U225" s="2372"/>
      <c r="V225" s="2372"/>
      <c r="W225" s="2372"/>
      <c r="X225" s="2372"/>
      <c r="Y225" s="2372"/>
      <c r="Z225" s="2372"/>
      <c r="AA225" s="2372"/>
      <c r="AB225" s="2372"/>
      <c r="AC225" s="2372"/>
      <c r="AD225" s="2372"/>
      <c r="AE225" s="2372"/>
      <c r="AF225" s="2372"/>
      <c r="AG225" s="2372"/>
      <c r="AH225" s="2372"/>
      <c r="AI225" s="2372"/>
      <c r="AJ225" s="2372"/>
      <c r="AK225" s="2372"/>
      <c r="AL225" s="2372"/>
      <c r="AM225" s="2372"/>
      <c r="AN225" s="2372"/>
      <c r="AO225" s="2372"/>
      <c r="AP225" s="2372"/>
      <c r="AQ225" s="2372"/>
      <c r="AR225" s="2372"/>
      <c r="AS225" s="2372"/>
      <c r="AT225" s="2372"/>
      <c r="AU225" s="2372"/>
      <c r="AV225" s="2372"/>
      <c r="AW225" s="2372"/>
      <c r="AX225" s="2372"/>
      <c r="AY225" s="2372"/>
      <c r="AZ225" s="2372"/>
      <c r="BA225" s="2372"/>
      <c r="BB225" s="2372"/>
      <c r="BC225" s="2372"/>
      <c r="BD225" s="2372"/>
      <c r="BE225" s="2372"/>
      <c r="BF225" s="2372"/>
      <c r="BG225" s="2372"/>
      <c r="BH225" s="2372"/>
      <c r="BI225" s="2372"/>
      <c r="BJ225" s="2372"/>
      <c r="BK225" s="2372"/>
      <c r="BL225" s="2372"/>
      <c r="BM225" s="2372"/>
      <c r="BN225" s="2372"/>
      <c r="BO225" s="2372"/>
      <c r="BP225" s="2372"/>
      <c r="BQ225" s="2372"/>
      <c r="BR225" s="2372"/>
      <c r="BS225" s="2372"/>
      <c r="BT225" s="2372"/>
      <c r="BU225" s="2372"/>
      <c r="BV225" s="2372"/>
      <c r="BW225" s="2372"/>
      <c r="BX225" s="2372"/>
      <c r="BY225" s="2372"/>
      <c r="BZ225" s="2372"/>
      <c r="CA225" s="2372"/>
      <c r="CB225" s="2372"/>
      <c r="CC225" s="2372"/>
      <c r="CD225" s="2372"/>
      <c r="CE225" s="2372"/>
      <c r="CF225" s="2372"/>
      <c r="CG225" s="2372"/>
      <c r="CH225" s="2372"/>
      <c r="CI225" s="2372"/>
      <c r="CJ225" s="2372"/>
      <c r="CK225" s="2372"/>
      <c r="CL225" s="2372"/>
      <c r="CM225" s="2372"/>
      <c r="CN225" s="2372"/>
      <c r="CO225" s="2372"/>
      <c r="CP225" s="2372"/>
      <c r="CQ225" s="2372"/>
      <c r="CR225" s="2372"/>
      <c r="CS225" s="2372"/>
      <c r="CT225" s="2372"/>
      <c r="CU225" s="2372"/>
      <c r="CV225" s="2372"/>
      <c r="CW225" s="2372"/>
      <c r="CX225" s="2372"/>
      <c r="CY225" s="2372"/>
      <c r="CZ225" s="2372"/>
      <c r="DA225" s="2372"/>
    </row>
    <row r="226" spans="1:105" ht="15" hidden="1" customHeight="1">
      <c r="A226" s="2372"/>
      <c r="B226" s="2372"/>
      <c r="C226" s="2372"/>
      <c r="D226" s="2372"/>
      <c r="E226" s="2372"/>
      <c r="F226" s="2372"/>
      <c r="G226" s="2372"/>
      <c r="H226" s="2372"/>
      <c r="I226" s="2372"/>
      <c r="J226" s="2372"/>
      <c r="K226" s="2372"/>
      <c r="L226" s="2372"/>
      <c r="M226" s="2372"/>
      <c r="N226" s="2372"/>
      <c r="O226" s="2372"/>
      <c r="P226" s="2372"/>
      <c r="Q226" s="2372"/>
      <c r="R226" s="2372"/>
      <c r="S226" s="2372"/>
      <c r="T226" s="2372"/>
      <c r="U226" s="2372"/>
      <c r="V226" s="2372"/>
      <c r="W226" s="2372"/>
      <c r="X226" s="2372"/>
      <c r="Y226" s="2372"/>
      <c r="Z226" s="2372"/>
      <c r="AA226" s="2372"/>
      <c r="AB226" s="2372"/>
      <c r="AC226" s="2372"/>
      <c r="AD226" s="2372"/>
      <c r="AE226" s="2372"/>
      <c r="AF226" s="2372"/>
      <c r="AG226" s="2372"/>
      <c r="AH226" s="2372"/>
      <c r="AI226" s="2372"/>
      <c r="AJ226" s="2372"/>
      <c r="AK226" s="2372"/>
      <c r="AL226" s="2372"/>
      <c r="AM226" s="2372"/>
      <c r="AN226" s="2372"/>
      <c r="AO226" s="2372"/>
      <c r="AP226" s="2372"/>
      <c r="AQ226" s="2372"/>
      <c r="AR226" s="2372"/>
      <c r="AS226" s="2372"/>
      <c r="AT226" s="2372"/>
      <c r="AU226" s="2372"/>
      <c r="AV226" s="2372"/>
      <c r="AW226" s="2372"/>
      <c r="AX226" s="2372"/>
      <c r="AY226" s="2372"/>
      <c r="AZ226" s="2372"/>
      <c r="BA226" s="2372"/>
      <c r="BB226" s="2372"/>
      <c r="BC226" s="2372"/>
      <c r="BD226" s="2372"/>
      <c r="BE226" s="2372"/>
      <c r="BF226" s="2372"/>
      <c r="BG226" s="2372"/>
      <c r="BH226" s="2372"/>
      <c r="BI226" s="2372"/>
      <c r="BJ226" s="2372"/>
      <c r="BK226" s="2372"/>
      <c r="BL226" s="2372"/>
      <c r="BM226" s="2372"/>
      <c r="BN226" s="2372"/>
      <c r="BO226" s="2372"/>
      <c r="BP226" s="2372"/>
      <c r="BQ226" s="2372"/>
      <c r="BR226" s="2372"/>
      <c r="BS226" s="2372"/>
      <c r="BT226" s="2372"/>
      <c r="BU226" s="2372"/>
      <c r="BV226" s="2372"/>
      <c r="BW226" s="2372"/>
      <c r="BX226" s="2372"/>
      <c r="BY226" s="2372"/>
      <c r="BZ226" s="2372"/>
      <c r="CA226" s="2372"/>
      <c r="CB226" s="2372"/>
      <c r="CC226" s="2372"/>
      <c r="CD226" s="2372"/>
      <c r="CE226" s="2372"/>
      <c r="CF226" s="2372"/>
      <c r="CG226" s="2372"/>
      <c r="CH226" s="2372"/>
      <c r="CI226" s="2372"/>
      <c r="CJ226" s="2372"/>
      <c r="CK226" s="2372"/>
      <c r="CL226" s="2372"/>
      <c r="CM226" s="2372"/>
      <c r="CN226" s="2372"/>
      <c r="CO226" s="2372"/>
      <c r="CP226" s="2372"/>
      <c r="CQ226" s="2372"/>
      <c r="CR226" s="2372"/>
      <c r="CS226" s="2372"/>
      <c r="CT226" s="2372"/>
      <c r="CU226" s="2372"/>
      <c r="CV226" s="2372"/>
      <c r="CW226" s="2372"/>
      <c r="CX226" s="2372"/>
      <c r="CY226" s="2372"/>
      <c r="CZ226" s="2372"/>
      <c r="DA226" s="2372"/>
    </row>
    <row r="227" spans="1:105" ht="3" hidden="1" customHeight="1">
      <c r="A227" s="2372"/>
      <c r="B227" s="2372"/>
      <c r="C227" s="2372"/>
      <c r="D227" s="2372"/>
      <c r="E227" s="2372"/>
      <c r="F227" s="2372"/>
      <c r="G227" s="2372"/>
      <c r="H227" s="2372"/>
      <c r="I227" s="2372"/>
      <c r="J227" s="2372"/>
      <c r="K227" s="2372"/>
      <c r="L227" s="2372"/>
      <c r="M227" s="2372"/>
      <c r="N227" s="2372"/>
      <c r="O227" s="2372"/>
      <c r="P227" s="2372"/>
      <c r="Q227" s="2372"/>
      <c r="R227" s="2372"/>
      <c r="S227" s="2372"/>
      <c r="T227" s="2372"/>
      <c r="U227" s="2372"/>
      <c r="V227" s="2372"/>
      <c r="W227" s="2372"/>
      <c r="X227" s="2372"/>
      <c r="Y227" s="2372"/>
      <c r="Z227" s="2372"/>
      <c r="AA227" s="2372"/>
      <c r="AB227" s="2372"/>
      <c r="AC227" s="2372"/>
      <c r="AD227" s="2372"/>
      <c r="AE227" s="2372"/>
      <c r="AF227" s="2372"/>
      <c r="AG227" s="2372"/>
      <c r="AH227" s="2372"/>
      <c r="AI227" s="2372"/>
      <c r="AJ227" s="2372"/>
      <c r="AK227" s="2372"/>
      <c r="AL227" s="2372"/>
      <c r="AM227" s="2372"/>
      <c r="AN227" s="2372"/>
      <c r="AO227" s="2372"/>
      <c r="AP227" s="2372"/>
      <c r="AQ227" s="2372"/>
      <c r="AR227" s="2372"/>
      <c r="AS227" s="2372"/>
      <c r="AT227" s="2372"/>
      <c r="AU227" s="2372"/>
      <c r="AV227" s="2372"/>
      <c r="AW227" s="2372"/>
      <c r="AX227" s="2372"/>
      <c r="AY227" s="2372"/>
      <c r="AZ227" s="2372"/>
      <c r="BA227" s="2372"/>
      <c r="BB227" s="2372"/>
      <c r="BC227" s="2372"/>
      <c r="BD227" s="2372"/>
      <c r="BE227" s="2372"/>
      <c r="BF227" s="2372"/>
      <c r="BG227" s="2372"/>
      <c r="BH227" s="2372"/>
      <c r="BI227" s="2372"/>
      <c r="BJ227" s="2372"/>
      <c r="BK227" s="2372"/>
      <c r="BL227" s="2372"/>
      <c r="BM227" s="2372"/>
      <c r="BN227" s="2372"/>
      <c r="BO227" s="2372"/>
      <c r="BP227" s="2372"/>
      <c r="BQ227" s="2372"/>
      <c r="BR227" s="2372"/>
      <c r="BS227" s="2372"/>
      <c r="BT227" s="2372"/>
      <c r="BU227" s="2372"/>
      <c r="BV227" s="2372"/>
      <c r="BW227" s="2372"/>
      <c r="BX227" s="2372"/>
      <c r="BY227" s="2372"/>
      <c r="BZ227" s="2372"/>
      <c r="CA227" s="2372"/>
      <c r="CB227" s="2372"/>
      <c r="CC227" s="2372"/>
      <c r="CD227" s="2372"/>
      <c r="CE227" s="2372"/>
      <c r="CF227" s="2372"/>
      <c r="CG227" s="2372"/>
      <c r="CH227" s="2372"/>
      <c r="CI227" s="2372"/>
      <c r="CJ227" s="2372"/>
      <c r="CK227" s="2372"/>
      <c r="CL227" s="2372"/>
      <c r="CM227" s="2372"/>
      <c r="CN227" s="2372"/>
      <c r="CO227" s="2372"/>
      <c r="CP227" s="2372"/>
      <c r="CQ227" s="2372"/>
      <c r="CR227" s="2372"/>
      <c r="CS227" s="2372"/>
      <c r="CT227" s="2372"/>
      <c r="CU227" s="2372"/>
      <c r="CV227" s="2372"/>
      <c r="CW227" s="2372"/>
      <c r="CX227" s="2372"/>
      <c r="CY227" s="2372"/>
      <c r="CZ227" s="2372"/>
      <c r="DA227" s="2372"/>
    </row>
    <row r="228" spans="1:105" ht="15" hidden="1" customHeight="1">
      <c r="A228" s="2372"/>
      <c r="B228" s="2372"/>
      <c r="U228" s="2372"/>
      <c r="V228" s="2372"/>
      <c r="W228" s="2372"/>
      <c r="X228" s="2372"/>
      <c r="Y228" s="2372"/>
      <c r="Z228" s="2372"/>
      <c r="AA228" s="2372"/>
      <c r="AB228" s="2372"/>
      <c r="AC228" s="2372"/>
      <c r="AD228" s="2372"/>
      <c r="AE228" s="2372"/>
      <c r="AF228" s="2372"/>
      <c r="AG228" s="2372"/>
      <c r="AH228" s="2372"/>
      <c r="AI228" s="2372"/>
      <c r="AJ228" s="2372"/>
      <c r="AK228" s="2372"/>
      <c r="AL228" s="2372"/>
      <c r="AM228" s="2372"/>
      <c r="AN228" s="2372"/>
      <c r="AO228" s="2372"/>
      <c r="AP228" s="2372"/>
      <c r="AQ228" s="2372"/>
      <c r="AR228" s="2372"/>
      <c r="AS228" s="2372"/>
      <c r="AT228" s="2372"/>
      <c r="AU228" s="2372"/>
      <c r="AV228" s="2372"/>
      <c r="AW228" s="2372"/>
      <c r="AX228" s="2372"/>
      <c r="AY228" s="2372"/>
      <c r="AZ228" s="2372"/>
      <c r="BA228" s="2372"/>
      <c r="BB228" s="2372"/>
      <c r="BC228" s="2372"/>
      <c r="BD228" s="2372"/>
      <c r="BE228" s="2372"/>
      <c r="BF228" s="2372"/>
      <c r="BG228" s="2372"/>
      <c r="BH228" s="2372"/>
      <c r="BI228" s="2372"/>
      <c r="BJ228" s="2372"/>
      <c r="BK228" s="2372"/>
      <c r="BL228" s="2372"/>
      <c r="BM228" s="2372"/>
      <c r="BN228" s="2372"/>
      <c r="BO228" s="2372"/>
      <c r="BP228" s="2372"/>
      <c r="BQ228" s="2372"/>
      <c r="BR228" s="2372"/>
      <c r="BS228" s="2372"/>
      <c r="BT228" s="2372"/>
      <c r="BU228" s="2372"/>
      <c r="BV228" s="2372"/>
      <c r="BW228" s="2372"/>
      <c r="BX228" s="2372"/>
      <c r="BY228" s="2372"/>
      <c r="BZ228" s="2372"/>
      <c r="CA228" s="2372"/>
      <c r="CB228" s="2372"/>
      <c r="CC228" s="2372"/>
      <c r="CD228" s="2372"/>
      <c r="CE228" s="2372"/>
      <c r="CF228" s="2372"/>
      <c r="CG228" s="2372"/>
      <c r="CH228" s="2372"/>
      <c r="CI228" s="2372"/>
      <c r="CJ228" s="2372"/>
      <c r="CK228" s="2372"/>
      <c r="CL228" s="2372"/>
      <c r="CM228" s="2372"/>
      <c r="CN228" s="2372"/>
      <c r="CO228" s="2372"/>
      <c r="CP228" s="2372"/>
      <c r="CQ228" s="2372"/>
      <c r="CR228" s="2372"/>
      <c r="CS228" s="2372"/>
      <c r="CT228" s="2372"/>
      <c r="CU228" s="2372"/>
      <c r="CV228" s="2372"/>
      <c r="CW228" s="2372"/>
      <c r="CX228" s="2372"/>
      <c r="CY228" s="2372"/>
      <c r="CZ228" s="2372"/>
      <c r="DA228" s="2372"/>
    </row>
    <row r="229" spans="1:105" ht="3" hidden="1" customHeight="1">
      <c r="A229" s="2372"/>
      <c r="B229" s="2372"/>
      <c r="U229" s="2372"/>
      <c r="V229" s="2372"/>
      <c r="W229" s="2372"/>
      <c r="X229" s="2372"/>
      <c r="Y229" s="2372"/>
      <c r="Z229" s="2372"/>
      <c r="AA229" s="2372"/>
      <c r="AB229" s="2372"/>
      <c r="AC229" s="2372"/>
      <c r="AD229" s="2372"/>
      <c r="AE229" s="2372"/>
      <c r="AF229" s="2372"/>
      <c r="AG229" s="2372"/>
      <c r="AH229" s="2372"/>
      <c r="AI229" s="2372"/>
      <c r="AJ229" s="2372"/>
      <c r="AK229" s="2372"/>
      <c r="AL229" s="2372"/>
      <c r="AM229" s="2372"/>
      <c r="AN229" s="2372"/>
      <c r="AO229" s="2372"/>
      <c r="AP229" s="2372"/>
      <c r="AQ229" s="2372"/>
      <c r="AR229" s="2372"/>
      <c r="AS229" s="2372"/>
      <c r="AT229" s="2372"/>
      <c r="AU229" s="2372"/>
      <c r="AV229" s="2372"/>
      <c r="AW229" s="2372"/>
      <c r="AX229" s="2372"/>
      <c r="AY229" s="2372"/>
      <c r="AZ229" s="2372"/>
      <c r="BA229" s="2372"/>
      <c r="BB229" s="2372"/>
      <c r="BC229" s="2372"/>
      <c r="BD229" s="2372"/>
      <c r="BE229" s="2372"/>
      <c r="BF229" s="2372"/>
      <c r="BG229" s="2372"/>
      <c r="BH229" s="2372"/>
      <c r="BI229" s="2372"/>
      <c r="BJ229" s="2372"/>
      <c r="BK229" s="2372"/>
      <c r="BL229" s="2372"/>
      <c r="BM229" s="2372"/>
      <c r="BN229" s="2372"/>
      <c r="BO229" s="2372"/>
      <c r="BP229" s="2372"/>
      <c r="BQ229" s="2372"/>
      <c r="BR229" s="2372"/>
      <c r="BS229" s="2372"/>
      <c r="BT229" s="2372"/>
      <c r="BU229" s="2372"/>
      <c r="BV229" s="2372"/>
      <c r="BW229" s="2372"/>
      <c r="BX229" s="2372"/>
      <c r="BY229" s="2372"/>
      <c r="BZ229" s="2372"/>
      <c r="CA229" s="2372"/>
      <c r="CB229" s="2372"/>
      <c r="CC229" s="2372"/>
      <c r="CD229" s="2372"/>
      <c r="CE229" s="2372"/>
      <c r="CF229" s="2372"/>
      <c r="CG229" s="2372"/>
      <c r="CH229" s="2372"/>
      <c r="CI229" s="2372"/>
      <c r="CJ229" s="2372"/>
      <c r="CK229" s="2372"/>
      <c r="CL229" s="2372"/>
      <c r="CM229" s="2372"/>
      <c r="CN229" s="2372"/>
      <c r="CO229" s="2372"/>
      <c r="CP229" s="2372"/>
      <c r="CQ229" s="2372"/>
      <c r="CR229" s="2372"/>
      <c r="CS229" s="2372"/>
      <c r="CT229" s="2372"/>
      <c r="CU229" s="2372"/>
      <c r="CV229" s="2372"/>
      <c r="CW229" s="2372"/>
      <c r="CX229" s="2372"/>
      <c r="CY229" s="2372"/>
      <c r="CZ229" s="2372"/>
      <c r="DA229" s="2372"/>
    </row>
    <row r="230" spans="1:105" ht="15" hidden="1" customHeight="1">
      <c r="A230" s="2372"/>
      <c r="B230" s="2372"/>
      <c r="U230" s="2372"/>
      <c r="V230" s="2372"/>
      <c r="W230" s="2372"/>
      <c r="X230" s="2372"/>
      <c r="Y230" s="2372"/>
      <c r="Z230" s="2372"/>
      <c r="AA230" s="2372"/>
      <c r="AB230" s="2372"/>
      <c r="AC230" s="2372"/>
      <c r="AD230" s="2372"/>
      <c r="AE230" s="2372"/>
      <c r="AF230" s="2372"/>
      <c r="AG230" s="2372"/>
      <c r="AH230" s="2372"/>
      <c r="AI230" s="2372"/>
      <c r="AJ230" s="2372"/>
      <c r="AK230" s="2372"/>
      <c r="AL230" s="2372"/>
      <c r="AM230" s="2372"/>
      <c r="AN230" s="2372"/>
      <c r="AO230" s="2372"/>
      <c r="AP230" s="2372"/>
      <c r="AQ230" s="2372"/>
      <c r="AR230" s="2372"/>
      <c r="AS230" s="2372"/>
      <c r="AT230" s="2372"/>
      <c r="AU230" s="2372"/>
      <c r="AV230" s="2372"/>
      <c r="AW230" s="2372"/>
      <c r="AX230" s="2372"/>
      <c r="AY230" s="2372"/>
      <c r="AZ230" s="2372"/>
      <c r="BA230" s="2372"/>
      <c r="BB230" s="2372"/>
      <c r="BC230" s="2372"/>
      <c r="BD230" s="2372"/>
      <c r="BE230" s="2372"/>
      <c r="BF230" s="2372"/>
      <c r="BG230" s="2372"/>
      <c r="BH230" s="2372"/>
      <c r="BI230" s="2372"/>
      <c r="BJ230" s="2372"/>
      <c r="BK230" s="2372"/>
      <c r="BL230" s="2372"/>
      <c r="BM230" s="2372"/>
      <c r="BN230" s="2372"/>
      <c r="BO230" s="2372"/>
      <c r="BP230" s="2372"/>
      <c r="BQ230" s="2372"/>
      <c r="BR230" s="2372"/>
      <c r="BS230" s="2372"/>
      <c r="BT230" s="2372"/>
      <c r="BU230" s="2372"/>
      <c r="BV230" s="2372"/>
      <c r="BW230" s="2372"/>
      <c r="BX230" s="2372"/>
      <c r="BY230" s="2372"/>
      <c r="BZ230" s="2372"/>
      <c r="CA230" s="2372"/>
      <c r="CB230" s="2372"/>
      <c r="CC230" s="2372"/>
      <c r="CD230" s="2372"/>
      <c r="CE230" s="2372"/>
      <c r="CF230" s="2372"/>
      <c r="CG230" s="2372"/>
      <c r="CH230" s="2372"/>
      <c r="CI230" s="2372"/>
      <c r="CJ230" s="2372"/>
      <c r="CK230" s="2372"/>
      <c r="CL230" s="2372"/>
      <c r="CM230" s="2372"/>
      <c r="CN230" s="2372"/>
      <c r="CO230" s="2372"/>
      <c r="CP230" s="2372"/>
      <c r="CQ230" s="2372"/>
      <c r="CR230" s="2372"/>
      <c r="CS230" s="2372"/>
      <c r="CT230" s="2372"/>
      <c r="CU230" s="2372"/>
      <c r="CV230" s="2372"/>
      <c r="CW230" s="2372"/>
      <c r="CX230" s="2372"/>
      <c r="CY230" s="2372"/>
      <c r="CZ230" s="2372"/>
      <c r="DA230" s="2372"/>
    </row>
    <row r="231" spans="1:105" ht="3" hidden="1" customHeight="1">
      <c r="A231" s="2372"/>
      <c r="B231" s="2372"/>
      <c r="U231" s="2372"/>
      <c r="V231" s="2372"/>
      <c r="W231" s="2372"/>
      <c r="X231" s="2372"/>
      <c r="Y231" s="2372"/>
      <c r="Z231" s="2372"/>
      <c r="AA231" s="2372"/>
      <c r="AB231" s="2372"/>
      <c r="AC231" s="2372"/>
      <c r="AD231" s="2372"/>
      <c r="AE231" s="2372"/>
      <c r="AF231" s="2372"/>
      <c r="AG231" s="2372"/>
      <c r="AH231" s="2372"/>
      <c r="AI231" s="2372"/>
      <c r="AJ231" s="2372"/>
      <c r="AK231" s="2372"/>
      <c r="AL231" s="2372"/>
      <c r="AM231" s="2372"/>
      <c r="AN231" s="2372"/>
      <c r="AO231" s="2372"/>
      <c r="AP231" s="2372"/>
      <c r="AQ231" s="2372"/>
      <c r="AR231" s="2372"/>
      <c r="AS231" s="2372"/>
      <c r="AT231" s="2372"/>
      <c r="AU231" s="2372"/>
      <c r="AV231" s="2372"/>
      <c r="AW231" s="2372"/>
      <c r="AX231" s="2372"/>
      <c r="AY231" s="2372"/>
      <c r="AZ231" s="2372"/>
      <c r="BA231" s="2372"/>
      <c r="BB231" s="2372"/>
      <c r="BC231" s="2372"/>
      <c r="BD231" s="2372"/>
      <c r="BE231" s="2372"/>
      <c r="BF231" s="2372"/>
      <c r="BG231" s="2372"/>
      <c r="BH231" s="2372"/>
      <c r="BI231" s="2372"/>
      <c r="BJ231" s="2372"/>
      <c r="BK231" s="2372"/>
      <c r="BL231" s="2372"/>
      <c r="BM231" s="2372"/>
      <c r="BN231" s="2372"/>
      <c r="BO231" s="2372"/>
      <c r="BP231" s="2372"/>
      <c r="BQ231" s="2372"/>
      <c r="BR231" s="2372"/>
      <c r="BS231" s="2372"/>
      <c r="BT231" s="2372"/>
      <c r="BU231" s="2372"/>
      <c r="BV231" s="2372"/>
      <c r="BW231" s="2372"/>
      <c r="BX231" s="2372"/>
      <c r="BY231" s="2372"/>
      <c r="BZ231" s="2372"/>
      <c r="CA231" s="2372"/>
      <c r="CB231" s="2372"/>
      <c r="CC231" s="2372"/>
      <c r="CD231" s="2372"/>
      <c r="CE231" s="2372"/>
      <c r="CF231" s="2372"/>
      <c r="CG231" s="2372"/>
      <c r="CH231" s="2372"/>
      <c r="CI231" s="2372"/>
      <c r="CJ231" s="2372"/>
      <c r="CK231" s="2372"/>
      <c r="CL231" s="2372"/>
      <c r="CM231" s="2372"/>
      <c r="CN231" s="2372"/>
      <c r="CO231" s="2372"/>
      <c r="CP231" s="2372"/>
      <c r="CQ231" s="2372"/>
      <c r="CR231" s="2372"/>
      <c r="CS231" s="2372"/>
      <c r="CT231" s="2372"/>
      <c r="CU231" s="2372"/>
      <c r="CV231" s="2372"/>
      <c r="CW231" s="2372"/>
      <c r="CX231" s="2372"/>
      <c r="CY231" s="2372"/>
      <c r="CZ231" s="2372"/>
      <c r="DA231" s="2372"/>
    </row>
    <row r="232" spans="1:105" ht="15" hidden="1" customHeight="1">
      <c r="A232" s="2372"/>
      <c r="B232" s="2372"/>
      <c r="U232" s="2372"/>
      <c r="V232" s="2372"/>
      <c r="W232" s="2372"/>
      <c r="X232" s="2372"/>
      <c r="Y232" s="2372"/>
      <c r="Z232" s="2372"/>
      <c r="AA232" s="2372"/>
      <c r="AB232" s="2372"/>
      <c r="AC232" s="2372"/>
      <c r="AD232" s="2372"/>
      <c r="AE232" s="2372"/>
      <c r="AF232" s="2372"/>
      <c r="AG232" s="2372"/>
      <c r="AH232" s="2372"/>
      <c r="AI232" s="2372"/>
      <c r="AJ232" s="2372"/>
      <c r="AK232" s="2372"/>
      <c r="AL232" s="2372"/>
      <c r="AM232" s="2372"/>
      <c r="AN232" s="2372"/>
      <c r="AO232" s="2372"/>
      <c r="AP232" s="2372"/>
      <c r="AQ232" s="2372"/>
      <c r="AR232" s="2372"/>
      <c r="AS232" s="2372"/>
      <c r="AT232" s="2372"/>
      <c r="AU232" s="2372"/>
      <c r="AV232" s="2372"/>
      <c r="AW232" s="2372"/>
      <c r="AX232" s="2372"/>
      <c r="AY232" s="2372"/>
      <c r="AZ232" s="2372"/>
      <c r="BA232" s="2372"/>
      <c r="BB232" s="2372"/>
      <c r="BC232" s="2372"/>
      <c r="BD232" s="2372"/>
      <c r="BE232" s="2372"/>
      <c r="BF232" s="2372"/>
      <c r="BG232" s="2372"/>
      <c r="BH232" s="2372"/>
      <c r="BI232" s="2372"/>
      <c r="BJ232" s="2372"/>
      <c r="BK232" s="2372"/>
      <c r="BL232" s="2372"/>
      <c r="BM232" s="2372"/>
      <c r="BN232" s="2372"/>
      <c r="BO232" s="2372"/>
      <c r="BP232" s="2372"/>
      <c r="BQ232" s="2372"/>
      <c r="BR232" s="2372"/>
      <c r="BS232" s="2372"/>
      <c r="BT232" s="2372"/>
      <c r="BU232" s="2372"/>
      <c r="BV232" s="2372"/>
      <c r="BW232" s="2372"/>
      <c r="BX232" s="2372"/>
      <c r="BY232" s="2372"/>
      <c r="BZ232" s="2372"/>
      <c r="CA232" s="2372"/>
      <c r="CB232" s="2372"/>
      <c r="CC232" s="2372"/>
      <c r="CD232" s="2372"/>
      <c r="CE232" s="2372"/>
      <c r="CF232" s="2372"/>
      <c r="CG232" s="2372"/>
      <c r="CH232" s="2372"/>
      <c r="CI232" s="2372"/>
      <c r="CJ232" s="2372"/>
      <c r="CK232" s="2372"/>
      <c r="CL232" s="2372"/>
      <c r="CM232" s="2372"/>
      <c r="CN232" s="2372"/>
      <c r="CO232" s="2372"/>
      <c r="CP232" s="2372"/>
      <c r="CQ232" s="2372"/>
      <c r="CR232" s="2372"/>
      <c r="CS232" s="2372"/>
      <c r="CT232" s="2372"/>
      <c r="CU232" s="2372"/>
      <c r="CV232" s="2372"/>
      <c r="CW232" s="2372"/>
      <c r="CX232" s="2372"/>
      <c r="CY232" s="2372"/>
      <c r="CZ232" s="2372"/>
      <c r="DA232" s="2372"/>
    </row>
    <row r="233" spans="1:105" ht="3" hidden="1" customHeight="1">
      <c r="A233" s="2372"/>
      <c r="B233" s="2372"/>
      <c r="U233" s="2372"/>
      <c r="V233" s="2372"/>
      <c r="W233" s="2372"/>
      <c r="X233" s="2372"/>
      <c r="Y233" s="2372"/>
      <c r="Z233" s="2372"/>
      <c r="AA233" s="2372"/>
      <c r="AB233" s="2372"/>
      <c r="AC233" s="2372"/>
      <c r="AD233" s="2372"/>
      <c r="AE233" s="2372"/>
      <c r="AF233" s="2372"/>
      <c r="AG233" s="2372"/>
      <c r="AH233" s="2372"/>
      <c r="AI233" s="2372"/>
      <c r="AJ233" s="2372"/>
      <c r="AK233" s="2372"/>
      <c r="AL233" s="2372"/>
      <c r="AM233" s="2372"/>
      <c r="AN233" s="2372"/>
      <c r="AO233" s="2372"/>
      <c r="AP233" s="2372"/>
      <c r="AQ233" s="2372"/>
      <c r="AR233" s="2372"/>
      <c r="AS233" s="2372"/>
      <c r="AT233" s="2372"/>
      <c r="AU233" s="2372"/>
      <c r="AV233" s="2372"/>
      <c r="AW233" s="2372"/>
      <c r="AX233" s="2372"/>
      <c r="AY233" s="2372"/>
      <c r="AZ233" s="2372"/>
      <c r="BA233" s="2372"/>
      <c r="BB233" s="2372"/>
      <c r="BC233" s="2372"/>
      <c r="BD233" s="2372"/>
      <c r="BE233" s="2372"/>
      <c r="BF233" s="2372"/>
      <c r="BG233" s="2372"/>
      <c r="BH233" s="2372"/>
      <c r="BI233" s="2372"/>
      <c r="BJ233" s="2372"/>
      <c r="BK233" s="2372"/>
      <c r="BL233" s="2372"/>
      <c r="BM233" s="2372"/>
      <c r="BN233" s="2372"/>
      <c r="BO233" s="2372"/>
      <c r="BP233" s="2372"/>
      <c r="BQ233" s="2372"/>
      <c r="BR233" s="2372"/>
      <c r="BS233" s="2372"/>
      <c r="BT233" s="2372"/>
      <c r="BU233" s="2372"/>
      <c r="BV233" s="2372"/>
      <c r="BW233" s="2372"/>
      <c r="BX233" s="2372"/>
      <c r="BY233" s="2372"/>
      <c r="BZ233" s="2372"/>
      <c r="CA233" s="2372"/>
      <c r="CB233" s="2372"/>
      <c r="CC233" s="2372"/>
      <c r="CD233" s="2372"/>
      <c r="CE233" s="2372"/>
      <c r="CF233" s="2372"/>
      <c r="CG233" s="2372"/>
      <c r="CH233" s="2372"/>
      <c r="CI233" s="2372"/>
      <c r="CJ233" s="2372"/>
      <c r="CK233" s="2372"/>
      <c r="CL233" s="2372"/>
      <c r="CM233" s="2372"/>
      <c r="CN233" s="2372"/>
      <c r="CO233" s="2372"/>
      <c r="CP233" s="2372"/>
      <c r="CQ233" s="2372"/>
      <c r="CR233" s="2372"/>
      <c r="CS233" s="2372"/>
      <c r="CT233" s="2372"/>
      <c r="CU233" s="2372"/>
      <c r="CV233" s="2372"/>
      <c r="CW233" s="2372"/>
      <c r="CX233" s="2372"/>
      <c r="CY233" s="2372"/>
      <c r="CZ233" s="2372"/>
      <c r="DA233" s="2372"/>
    </row>
    <row r="234" spans="1:105" ht="15" hidden="1" customHeight="1">
      <c r="A234" s="2372"/>
      <c r="B234" s="2372"/>
      <c r="U234" s="2372"/>
      <c r="V234" s="2372"/>
      <c r="W234" s="2372"/>
      <c r="X234" s="2372"/>
      <c r="Y234" s="2372"/>
      <c r="Z234" s="2372"/>
      <c r="AA234" s="2372"/>
      <c r="AB234" s="2372"/>
      <c r="AC234" s="2372"/>
      <c r="AD234" s="2372"/>
      <c r="AE234" s="2372"/>
      <c r="AF234" s="2372"/>
      <c r="AG234" s="2372"/>
      <c r="AH234" s="2372"/>
      <c r="AI234" s="2372"/>
      <c r="AJ234" s="2372"/>
      <c r="AK234" s="2372"/>
      <c r="AL234" s="2372"/>
      <c r="AM234" s="2372"/>
      <c r="AN234" s="2372"/>
      <c r="AO234" s="2372"/>
      <c r="AP234" s="2372"/>
      <c r="AQ234" s="2372"/>
      <c r="AR234" s="2372"/>
      <c r="AS234" s="2372"/>
      <c r="AT234" s="2372"/>
      <c r="AU234" s="2372"/>
      <c r="AV234" s="2372"/>
      <c r="AW234" s="2372"/>
      <c r="AX234" s="2372"/>
      <c r="AY234" s="2372"/>
      <c r="AZ234" s="2372"/>
      <c r="BA234" s="2372"/>
      <c r="BB234" s="2372"/>
      <c r="BC234" s="2372"/>
      <c r="BD234" s="2372"/>
      <c r="BE234" s="2372"/>
      <c r="BF234" s="2372"/>
      <c r="BG234" s="2372"/>
      <c r="BH234" s="2372"/>
      <c r="BI234" s="2372"/>
      <c r="BJ234" s="2372"/>
      <c r="BK234" s="2372"/>
      <c r="BL234" s="2372"/>
      <c r="BM234" s="2372"/>
      <c r="BN234" s="2372"/>
      <c r="BO234" s="2372"/>
      <c r="BP234" s="2372"/>
      <c r="BQ234" s="2372"/>
      <c r="BR234" s="2372"/>
      <c r="BS234" s="2372"/>
      <c r="BT234" s="2372"/>
      <c r="BU234" s="2372"/>
      <c r="BV234" s="2372"/>
      <c r="BW234" s="2372"/>
      <c r="BX234" s="2372"/>
      <c r="BY234" s="2372"/>
      <c r="BZ234" s="2372"/>
      <c r="CA234" s="2372"/>
      <c r="CB234" s="2372"/>
      <c r="CC234" s="2372"/>
      <c r="CD234" s="2372"/>
      <c r="CE234" s="2372"/>
      <c r="CF234" s="2372"/>
      <c r="CG234" s="2372"/>
      <c r="CH234" s="2372"/>
      <c r="CI234" s="2372"/>
      <c r="CJ234" s="2372"/>
      <c r="CK234" s="2372"/>
      <c r="CL234" s="2372"/>
      <c r="CM234" s="2372"/>
      <c r="CN234" s="2372"/>
      <c r="CO234" s="2372"/>
      <c r="CP234" s="2372"/>
      <c r="CQ234" s="2372"/>
      <c r="CR234" s="2372"/>
      <c r="CS234" s="2372"/>
      <c r="CT234" s="2372"/>
      <c r="CU234" s="2372"/>
      <c r="CV234" s="2372"/>
      <c r="CW234" s="2372"/>
      <c r="CX234" s="2372"/>
      <c r="CY234" s="2372"/>
      <c r="CZ234" s="2372"/>
      <c r="DA234" s="2372"/>
    </row>
    <row r="235" spans="1:105" ht="3" hidden="1" customHeight="1">
      <c r="A235" s="2372"/>
      <c r="B235" s="2372"/>
      <c r="U235" s="2372"/>
      <c r="V235" s="2372"/>
      <c r="W235" s="2372"/>
      <c r="X235" s="2372"/>
      <c r="Y235" s="2372"/>
      <c r="Z235" s="2372"/>
      <c r="AA235" s="2372"/>
      <c r="AB235" s="2372"/>
      <c r="AC235" s="2372"/>
      <c r="AD235" s="2372"/>
      <c r="AE235" s="2372"/>
      <c r="AF235" s="2372"/>
      <c r="AG235" s="2372"/>
      <c r="AH235" s="2372"/>
      <c r="AI235" s="2372"/>
      <c r="AJ235" s="2372"/>
      <c r="AK235" s="2372"/>
      <c r="AL235" s="2372"/>
      <c r="AM235" s="2372"/>
      <c r="AN235" s="2372"/>
      <c r="AO235" s="2372"/>
      <c r="AP235" s="2372"/>
      <c r="AQ235" s="2372"/>
      <c r="AR235" s="2372"/>
      <c r="AS235" s="2372"/>
      <c r="AT235" s="2372"/>
      <c r="AU235" s="2372"/>
      <c r="AV235" s="2372"/>
      <c r="AW235" s="2372"/>
      <c r="AX235" s="2372"/>
      <c r="AY235" s="2372"/>
      <c r="AZ235" s="2372"/>
      <c r="BA235" s="2372"/>
      <c r="BB235" s="2372"/>
      <c r="BC235" s="2372"/>
      <c r="BD235" s="2372"/>
      <c r="BE235" s="2372"/>
      <c r="BF235" s="2372"/>
      <c r="BG235" s="2372"/>
      <c r="BH235" s="2372"/>
      <c r="BI235" s="2372"/>
      <c r="BJ235" s="2372"/>
      <c r="BK235" s="2372"/>
      <c r="BL235" s="2372"/>
      <c r="BM235" s="2372"/>
      <c r="BN235" s="2372"/>
      <c r="BO235" s="2372"/>
      <c r="BP235" s="2372"/>
      <c r="BQ235" s="2372"/>
      <c r="BR235" s="2372"/>
      <c r="BS235" s="2372"/>
      <c r="BT235" s="2372"/>
      <c r="BU235" s="2372"/>
      <c r="BV235" s="2372"/>
      <c r="BW235" s="2372"/>
      <c r="BX235" s="2372"/>
      <c r="BY235" s="2372"/>
      <c r="BZ235" s="2372"/>
      <c r="CA235" s="2372"/>
      <c r="CB235" s="2372"/>
      <c r="CC235" s="2372"/>
      <c r="CD235" s="2372"/>
      <c r="CE235" s="2372"/>
      <c r="CF235" s="2372"/>
      <c r="CG235" s="2372"/>
      <c r="CH235" s="2372"/>
      <c r="CI235" s="2372"/>
      <c r="CJ235" s="2372"/>
      <c r="CK235" s="2372"/>
      <c r="CL235" s="2372"/>
      <c r="CM235" s="2372"/>
      <c r="CN235" s="2372"/>
      <c r="CO235" s="2372"/>
      <c r="CP235" s="2372"/>
      <c r="CQ235" s="2372"/>
      <c r="CR235" s="2372"/>
      <c r="CS235" s="2372"/>
      <c r="CT235" s="2372"/>
      <c r="CU235" s="2372"/>
      <c r="CV235" s="2372"/>
      <c r="CW235" s="2372"/>
      <c r="CX235" s="2372"/>
      <c r="CY235" s="2372"/>
      <c r="CZ235" s="2372"/>
      <c r="DA235" s="2372"/>
    </row>
    <row r="236" spans="1:105" ht="15" hidden="1" customHeight="1">
      <c r="A236" s="2372"/>
      <c r="B236" s="2372"/>
      <c r="U236" s="2372"/>
      <c r="V236" s="2372"/>
      <c r="W236" s="2372"/>
      <c r="X236" s="2372"/>
      <c r="Y236" s="2372"/>
      <c r="Z236" s="2372"/>
      <c r="AA236" s="2372"/>
      <c r="AB236" s="2372"/>
      <c r="AC236" s="2372"/>
      <c r="AD236" s="2372"/>
      <c r="AE236" s="2372"/>
      <c r="AF236" s="2372"/>
      <c r="AG236" s="2372"/>
      <c r="AH236" s="2372"/>
      <c r="AI236" s="2372"/>
      <c r="AJ236" s="2372"/>
      <c r="AK236" s="2372"/>
      <c r="AL236" s="2372"/>
      <c r="AM236" s="2372"/>
      <c r="AN236" s="2372"/>
      <c r="AO236" s="2372"/>
      <c r="AP236" s="2372"/>
      <c r="AQ236" s="2372"/>
      <c r="AR236" s="2372"/>
      <c r="AS236" s="2372"/>
      <c r="AT236" s="2372"/>
      <c r="AU236" s="2372"/>
      <c r="AV236" s="2372"/>
      <c r="AW236" s="2372"/>
      <c r="AX236" s="2372"/>
      <c r="AY236" s="2372"/>
      <c r="AZ236" s="2372"/>
      <c r="BA236" s="2372"/>
      <c r="BB236" s="2372"/>
      <c r="BC236" s="2372"/>
      <c r="BD236" s="2372"/>
      <c r="BE236" s="2372"/>
      <c r="BF236" s="2372"/>
      <c r="BG236" s="2372"/>
      <c r="BH236" s="2372"/>
      <c r="BI236" s="2372"/>
      <c r="BJ236" s="2372"/>
      <c r="BK236" s="2372"/>
      <c r="BL236" s="2372"/>
      <c r="BM236" s="2372"/>
      <c r="BN236" s="2372"/>
      <c r="BO236" s="2372"/>
      <c r="BP236" s="2372"/>
      <c r="BQ236" s="2372"/>
      <c r="BR236" s="2372"/>
      <c r="BS236" s="2372"/>
      <c r="BT236" s="2372"/>
      <c r="BU236" s="2372"/>
      <c r="BV236" s="2372"/>
      <c r="BW236" s="2372"/>
      <c r="BX236" s="2372"/>
      <c r="BY236" s="2372"/>
      <c r="BZ236" s="2372"/>
      <c r="CA236" s="2372"/>
      <c r="CB236" s="2372"/>
      <c r="CC236" s="2372"/>
      <c r="CD236" s="2372"/>
      <c r="CE236" s="2372"/>
      <c r="CF236" s="2372"/>
      <c r="CG236" s="2372"/>
      <c r="CH236" s="2372"/>
      <c r="CI236" s="2372"/>
      <c r="CJ236" s="2372"/>
      <c r="CK236" s="2372"/>
      <c r="CL236" s="2372"/>
      <c r="CM236" s="2372"/>
      <c r="CN236" s="2372"/>
      <c r="CO236" s="2372"/>
      <c r="CP236" s="2372"/>
      <c r="CQ236" s="2372"/>
      <c r="CR236" s="2372"/>
      <c r="CS236" s="2372"/>
      <c r="CT236" s="2372"/>
      <c r="CU236" s="2372"/>
      <c r="CV236" s="2372"/>
      <c r="CW236" s="2372"/>
      <c r="CX236" s="2372"/>
      <c r="CY236" s="2372"/>
      <c r="CZ236" s="2372"/>
      <c r="DA236" s="2372"/>
    </row>
    <row r="237" spans="1:105" ht="3" hidden="1" customHeight="1">
      <c r="A237" s="2372"/>
      <c r="B237" s="2372"/>
      <c r="U237" s="2372"/>
      <c r="V237" s="2372"/>
      <c r="W237" s="2372"/>
      <c r="X237" s="2372"/>
      <c r="Y237" s="2372"/>
      <c r="Z237" s="2372"/>
      <c r="AA237" s="2372"/>
      <c r="AB237" s="2372"/>
      <c r="AC237" s="2372"/>
      <c r="AD237" s="2372"/>
      <c r="AE237" s="2372"/>
      <c r="AF237" s="2372"/>
      <c r="AG237" s="2372"/>
      <c r="AH237" s="2372"/>
      <c r="AI237" s="2372"/>
      <c r="AJ237" s="2372"/>
      <c r="AK237" s="2372"/>
      <c r="AL237" s="2372"/>
      <c r="AM237" s="2372"/>
      <c r="AN237" s="2372"/>
      <c r="AO237" s="2372"/>
      <c r="AP237" s="2372"/>
      <c r="AQ237" s="2372"/>
      <c r="AR237" s="2372"/>
      <c r="AS237" s="2372"/>
      <c r="AT237" s="2372"/>
      <c r="AU237" s="2372"/>
      <c r="AV237" s="2372"/>
      <c r="AW237" s="2372"/>
      <c r="AX237" s="2372"/>
      <c r="AY237" s="2372"/>
      <c r="AZ237" s="2372"/>
      <c r="BA237" s="2372"/>
      <c r="BB237" s="2372"/>
      <c r="BC237" s="2372"/>
      <c r="BD237" s="2372"/>
      <c r="BE237" s="2372"/>
      <c r="BF237" s="2372"/>
      <c r="BG237" s="2372"/>
      <c r="BH237" s="2372"/>
      <c r="BI237" s="2372"/>
      <c r="BJ237" s="2372"/>
      <c r="BK237" s="2372"/>
      <c r="BL237" s="2372"/>
      <c r="BM237" s="2372"/>
      <c r="BN237" s="2372"/>
      <c r="BO237" s="2372"/>
      <c r="BP237" s="2372"/>
      <c r="BQ237" s="2372"/>
      <c r="BR237" s="2372"/>
      <c r="BS237" s="2372"/>
      <c r="BT237" s="2372"/>
      <c r="BU237" s="2372"/>
      <c r="BV237" s="2372"/>
      <c r="BW237" s="2372"/>
      <c r="BX237" s="2372"/>
      <c r="BY237" s="2372"/>
      <c r="BZ237" s="2372"/>
      <c r="CA237" s="2372"/>
      <c r="CB237" s="2372"/>
      <c r="CC237" s="2372"/>
      <c r="CD237" s="2372"/>
      <c r="CE237" s="2372"/>
      <c r="CF237" s="2372"/>
      <c r="CG237" s="2372"/>
      <c r="CH237" s="2372"/>
      <c r="CI237" s="2372"/>
      <c r="CJ237" s="2372"/>
      <c r="CK237" s="2372"/>
      <c r="CL237" s="2372"/>
      <c r="CM237" s="2372"/>
      <c r="CN237" s="2372"/>
      <c r="CO237" s="2372"/>
      <c r="CP237" s="2372"/>
      <c r="CQ237" s="2372"/>
      <c r="CR237" s="2372"/>
      <c r="CS237" s="2372"/>
      <c r="CT237" s="2372"/>
      <c r="CU237" s="2372"/>
      <c r="CV237" s="2372"/>
      <c r="CW237" s="2372"/>
      <c r="CX237" s="2372"/>
      <c r="CY237" s="2372"/>
      <c r="CZ237" s="2372"/>
      <c r="DA237" s="2372"/>
    </row>
    <row r="238" spans="1:105" ht="15" hidden="1" customHeight="1">
      <c r="A238" s="2372"/>
      <c r="B238" s="2372"/>
      <c r="U238" s="2372"/>
      <c r="V238" s="2372"/>
      <c r="W238" s="2372"/>
      <c r="X238" s="2372"/>
      <c r="Y238" s="2372"/>
      <c r="Z238" s="2372"/>
      <c r="AA238" s="2372"/>
      <c r="AB238" s="2372"/>
      <c r="AC238" s="2372"/>
      <c r="AD238" s="2372"/>
      <c r="AE238" s="2372"/>
      <c r="AF238" s="2372"/>
      <c r="AG238" s="2372"/>
      <c r="AH238" s="2372"/>
      <c r="AI238" s="2372"/>
      <c r="AJ238" s="2372"/>
      <c r="AK238" s="2372"/>
      <c r="AL238" s="2372"/>
      <c r="AM238" s="2372"/>
      <c r="AN238" s="2372"/>
      <c r="AO238" s="2372"/>
      <c r="AP238" s="2372"/>
      <c r="AQ238" s="2372"/>
      <c r="AR238" s="2372"/>
      <c r="AS238" s="2372"/>
      <c r="AT238" s="2372"/>
      <c r="AU238" s="2372"/>
      <c r="AV238" s="2372"/>
      <c r="AW238" s="2372"/>
      <c r="AX238" s="2372"/>
      <c r="AY238" s="2372"/>
      <c r="AZ238" s="2372"/>
      <c r="BA238" s="2372"/>
      <c r="BB238" s="2372"/>
      <c r="BC238" s="2372"/>
      <c r="BD238" s="2372"/>
      <c r="BE238" s="2372"/>
      <c r="BF238" s="2372"/>
      <c r="BG238" s="2372"/>
      <c r="BH238" s="2372"/>
      <c r="BI238" s="2372"/>
      <c r="BJ238" s="2372"/>
      <c r="BK238" s="2372"/>
      <c r="BL238" s="2372"/>
      <c r="BM238" s="2372"/>
      <c r="BN238" s="2372"/>
      <c r="BO238" s="2372"/>
      <c r="BP238" s="2372"/>
      <c r="BQ238" s="2372"/>
      <c r="BR238" s="2372"/>
      <c r="BS238" s="2372"/>
      <c r="BT238" s="2372"/>
      <c r="BU238" s="2372"/>
      <c r="BV238" s="2372"/>
      <c r="BW238" s="2372"/>
      <c r="BX238" s="2372"/>
      <c r="BY238" s="2372"/>
      <c r="BZ238" s="2372"/>
      <c r="CA238" s="2372"/>
      <c r="CB238" s="2372"/>
      <c r="CC238" s="2372"/>
      <c r="CD238" s="2372"/>
      <c r="CE238" s="2372"/>
      <c r="CF238" s="2372"/>
      <c r="CG238" s="2372"/>
      <c r="CH238" s="2372"/>
      <c r="CI238" s="2372"/>
      <c r="CJ238" s="2372"/>
      <c r="CK238" s="2372"/>
      <c r="CL238" s="2372"/>
      <c r="CM238" s="2372"/>
      <c r="CN238" s="2372"/>
      <c r="CO238" s="2372"/>
      <c r="CP238" s="2372"/>
      <c r="CQ238" s="2372"/>
      <c r="CR238" s="2372"/>
      <c r="CS238" s="2372"/>
      <c r="CT238" s="2372"/>
      <c r="CU238" s="2372"/>
      <c r="CV238" s="2372"/>
      <c r="CW238" s="2372"/>
      <c r="CX238" s="2372"/>
      <c r="CY238" s="2372"/>
      <c r="CZ238" s="2372"/>
      <c r="DA238" s="2372"/>
    </row>
    <row r="239" spans="1:105" ht="3" hidden="1" customHeight="1">
      <c r="A239" s="2372"/>
      <c r="B239" s="2372"/>
      <c r="U239" s="2372"/>
      <c r="V239" s="2372"/>
      <c r="W239" s="2372"/>
      <c r="X239" s="2372"/>
      <c r="Y239" s="2372"/>
      <c r="Z239" s="2372"/>
      <c r="AA239" s="2372"/>
      <c r="AB239" s="2372"/>
      <c r="AC239" s="2372"/>
      <c r="AD239" s="2372"/>
      <c r="AE239" s="2372"/>
      <c r="AF239" s="2372"/>
      <c r="AG239" s="2372"/>
      <c r="AH239" s="2372"/>
      <c r="AI239" s="2372"/>
      <c r="AJ239" s="2372"/>
      <c r="AK239" s="2372"/>
      <c r="AL239" s="2372"/>
      <c r="AM239" s="2372"/>
      <c r="AN239" s="2372"/>
      <c r="AO239" s="2372"/>
      <c r="AP239" s="2372"/>
      <c r="AQ239" s="2372"/>
      <c r="AR239" s="2372"/>
      <c r="AS239" s="2372"/>
      <c r="AT239" s="2372"/>
      <c r="AU239" s="2372"/>
      <c r="AV239" s="2372"/>
      <c r="AW239" s="2372"/>
      <c r="AX239" s="2372"/>
      <c r="AY239" s="2372"/>
      <c r="AZ239" s="2372"/>
      <c r="BA239" s="2372"/>
      <c r="BB239" s="2372"/>
      <c r="BC239" s="2372"/>
      <c r="BD239" s="2372"/>
      <c r="BE239" s="2372"/>
      <c r="BF239" s="2372"/>
      <c r="BG239" s="2372"/>
      <c r="BH239" s="2372"/>
      <c r="BI239" s="2372"/>
      <c r="BJ239" s="2372"/>
      <c r="BK239" s="2372"/>
      <c r="BL239" s="2372"/>
      <c r="BM239" s="2372"/>
      <c r="BN239" s="2372"/>
      <c r="BO239" s="2372"/>
      <c r="BP239" s="2372"/>
      <c r="BQ239" s="2372"/>
      <c r="BR239" s="2372"/>
      <c r="BS239" s="2372"/>
      <c r="BT239" s="2372"/>
      <c r="BU239" s="2372"/>
      <c r="BV239" s="2372"/>
      <c r="BW239" s="2372"/>
      <c r="BX239" s="2372"/>
      <c r="BY239" s="2372"/>
      <c r="BZ239" s="2372"/>
      <c r="CA239" s="2372"/>
      <c r="CB239" s="2372"/>
      <c r="CC239" s="2372"/>
      <c r="CD239" s="2372"/>
      <c r="CE239" s="2372"/>
      <c r="CF239" s="2372"/>
      <c r="CG239" s="2372"/>
      <c r="CH239" s="2372"/>
      <c r="CI239" s="2372"/>
      <c r="CJ239" s="2372"/>
      <c r="CK239" s="2372"/>
      <c r="CL239" s="2372"/>
      <c r="CM239" s="2372"/>
      <c r="CN239" s="2372"/>
      <c r="CO239" s="2372"/>
      <c r="CP239" s="2372"/>
      <c r="CQ239" s="2372"/>
      <c r="CR239" s="2372"/>
      <c r="CS239" s="2372"/>
      <c r="CT239" s="2372"/>
      <c r="CU239" s="2372"/>
      <c r="CV239" s="2372"/>
      <c r="CW239" s="2372"/>
      <c r="CX239" s="2372"/>
      <c r="CY239" s="2372"/>
      <c r="CZ239" s="2372"/>
      <c r="DA239" s="2372"/>
    </row>
    <row r="240" spans="1:105" ht="15" hidden="1" customHeight="1">
      <c r="A240" s="2372"/>
      <c r="B240" s="2372"/>
      <c r="U240" s="2372"/>
      <c r="V240" s="2372"/>
      <c r="W240" s="2372"/>
      <c r="X240" s="2372"/>
      <c r="Y240" s="2372"/>
      <c r="Z240" s="2372"/>
      <c r="AA240" s="2372"/>
      <c r="AB240" s="2372"/>
      <c r="AC240" s="2372"/>
      <c r="AD240" s="2372"/>
      <c r="AE240" s="2372"/>
      <c r="AF240" s="2372"/>
      <c r="AG240" s="2372"/>
      <c r="AH240" s="2372"/>
      <c r="AI240" s="2372"/>
      <c r="AJ240" s="2372"/>
      <c r="AK240" s="2372"/>
      <c r="AL240" s="2372"/>
      <c r="AM240" s="2372"/>
      <c r="AN240" s="2372"/>
      <c r="AO240" s="2372"/>
      <c r="AP240" s="2372"/>
      <c r="AQ240" s="2372"/>
      <c r="AR240" s="2372"/>
      <c r="AS240" s="2372"/>
      <c r="AT240" s="2372"/>
      <c r="AU240" s="2372"/>
      <c r="AV240" s="2372"/>
      <c r="AW240" s="2372"/>
      <c r="AX240" s="2372"/>
      <c r="AY240" s="2372"/>
      <c r="AZ240" s="2372"/>
      <c r="BA240" s="2372"/>
      <c r="BB240" s="2372"/>
      <c r="BC240" s="2372"/>
      <c r="BD240" s="2372"/>
      <c r="BE240" s="2372"/>
      <c r="BF240" s="2372"/>
      <c r="BG240" s="2372"/>
      <c r="BH240" s="2372"/>
      <c r="BI240" s="2372"/>
      <c r="BJ240" s="2372"/>
      <c r="BK240" s="2372"/>
      <c r="BL240" s="2372"/>
      <c r="BM240" s="2372"/>
      <c r="BN240" s="2372"/>
      <c r="BO240" s="2372"/>
      <c r="BP240" s="2372"/>
      <c r="BQ240" s="2372"/>
      <c r="BR240" s="2372"/>
      <c r="BS240" s="2372"/>
      <c r="BT240" s="2372"/>
      <c r="BU240" s="2372"/>
      <c r="BV240" s="2372"/>
      <c r="BW240" s="2372"/>
      <c r="BX240" s="2372"/>
      <c r="BY240" s="2372"/>
      <c r="BZ240" s="2372"/>
      <c r="CA240" s="2372"/>
      <c r="CB240" s="2372"/>
      <c r="CC240" s="2372"/>
      <c r="CD240" s="2372"/>
      <c r="CE240" s="2372"/>
      <c r="CF240" s="2372"/>
      <c r="CG240" s="2372"/>
      <c r="CH240" s="2372"/>
      <c r="CI240" s="2372"/>
      <c r="CJ240" s="2372"/>
      <c r="CK240" s="2372"/>
      <c r="CL240" s="2372"/>
      <c r="CM240" s="2372"/>
      <c r="CN240" s="2372"/>
      <c r="CO240" s="2372"/>
      <c r="CP240" s="2372"/>
      <c r="CQ240" s="2372"/>
      <c r="CR240" s="2372"/>
      <c r="CS240" s="2372"/>
      <c r="CT240" s="2372"/>
      <c r="CU240" s="2372"/>
      <c r="CV240" s="2372"/>
      <c r="CW240" s="2372"/>
      <c r="CX240" s="2372"/>
      <c r="CY240" s="2372"/>
      <c r="CZ240" s="2372"/>
      <c r="DA240" s="2372"/>
    </row>
    <row r="241" spans="1:105" ht="3" hidden="1" customHeight="1">
      <c r="A241" s="2372"/>
      <c r="B241" s="2372"/>
      <c r="U241" s="2372"/>
      <c r="V241" s="2372"/>
      <c r="W241" s="2372"/>
      <c r="X241" s="2372"/>
      <c r="Y241" s="2372"/>
      <c r="Z241" s="2372"/>
      <c r="AA241" s="2372"/>
      <c r="AB241" s="2372"/>
      <c r="AC241" s="2372"/>
      <c r="AD241" s="2372"/>
      <c r="AE241" s="2372"/>
      <c r="AF241" s="2372"/>
      <c r="AG241" s="2372"/>
      <c r="AH241" s="2372"/>
      <c r="AI241" s="2372"/>
      <c r="AJ241" s="2372"/>
      <c r="AK241" s="2372"/>
      <c r="AL241" s="2372"/>
      <c r="AM241" s="2372"/>
      <c r="AN241" s="2372"/>
      <c r="AO241" s="2372"/>
      <c r="AP241" s="2372"/>
      <c r="AQ241" s="2372"/>
      <c r="AR241" s="2372"/>
      <c r="AS241" s="2372"/>
      <c r="AT241" s="2372"/>
      <c r="AU241" s="2372"/>
      <c r="AV241" s="2372"/>
      <c r="AW241" s="2372"/>
      <c r="AX241" s="2372"/>
      <c r="AY241" s="2372"/>
      <c r="AZ241" s="2372"/>
      <c r="BA241" s="2372"/>
      <c r="BB241" s="2372"/>
      <c r="BC241" s="2372"/>
      <c r="BD241" s="2372"/>
      <c r="BE241" s="2372"/>
      <c r="BF241" s="2372"/>
      <c r="BG241" s="2372"/>
      <c r="BH241" s="2372"/>
      <c r="BI241" s="2372"/>
      <c r="BJ241" s="2372"/>
      <c r="BK241" s="2372"/>
      <c r="BL241" s="2372"/>
      <c r="BM241" s="2372"/>
      <c r="BN241" s="2372"/>
      <c r="BO241" s="2372"/>
      <c r="BP241" s="2372"/>
      <c r="BQ241" s="2372"/>
      <c r="BR241" s="2372"/>
      <c r="BS241" s="2372"/>
      <c r="BT241" s="2372"/>
      <c r="BU241" s="2372"/>
      <c r="BV241" s="2372"/>
      <c r="BW241" s="2372"/>
      <c r="BX241" s="2372"/>
      <c r="BY241" s="2372"/>
      <c r="BZ241" s="2372"/>
      <c r="CA241" s="2372"/>
      <c r="CB241" s="2372"/>
      <c r="CC241" s="2372"/>
      <c r="CD241" s="2372"/>
      <c r="CE241" s="2372"/>
      <c r="CF241" s="2372"/>
      <c r="CG241" s="2372"/>
      <c r="CH241" s="2372"/>
      <c r="CI241" s="2372"/>
      <c r="CJ241" s="2372"/>
      <c r="CK241" s="2372"/>
      <c r="CL241" s="2372"/>
      <c r="CM241" s="2372"/>
      <c r="CN241" s="2372"/>
      <c r="CO241" s="2372"/>
      <c r="CP241" s="2372"/>
      <c r="CQ241" s="2372"/>
      <c r="CR241" s="2372"/>
      <c r="CS241" s="2372"/>
      <c r="CT241" s="2372"/>
      <c r="CU241" s="2372"/>
      <c r="CV241" s="2372"/>
      <c r="CW241" s="2372"/>
      <c r="CX241" s="2372"/>
      <c r="CY241" s="2372"/>
      <c r="CZ241" s="2372"/>
      <c r="DA241" s="2372"/>
    </row>
    <row r="242" spans="1:105" ht="15" hidden="1" customHeight="1">
      <c r="A242" s="2372"/>
      <c r="B242" s="2372"/>
      <c r="U242" s="2372"/>
      <c r="V242" s="2372"/>
      <c r="W242" s="2372"/>
      <c r="X242" s="2372"/>
      <c r="Y242" s="2372"/>
      <c r="Z242" s="2372"/>
      <c r="AA242" s="2372"/>
      <c r="AB242" s="2372"/>
      <c r="AC242" s="2372"/>
      <c r="AD242" s="2372"/>
      <c r="AE242" s="2372"/>
      <c r="AF242" s="2372"/>
      <c r="AG242" s="2372"/>
      <c r="AH242" s="2372"/>
      <c r="AI242" s="2372"/>
      <c r="AJ242" s="2372"/>
      <c r="AK242" s="2372"/>
      <c r="AL242" s="2372"/>
      <c r="AM242" s="2372"/>
      <c r="AN242" s="2372"/>
      <c r="AO242" s="2372"/>
      <c r="AP242" s="2372"/>
      <c r="AQ242" s="2372"/>
      <c r="AR242" s="2372"/>
      <c r="AS242" s="2372"/>
      <c r="AT242" s="2372"/>
      <c r="AU242" s="2372"/>
      <c r="AV242" s="2372"/>
      <c r="AW242" s="2372"/>
      <c r="AX242" s="2372"/>
      <c r="AY242" s="2372"/>
      <c r="AZ242" s="2372"/>
      <c r="BA242" s="2372"/>
      <c r="BB242" s="2372"/>
      <c r="BC242" s="2372"/>
      <c r="BD242" s="2372"/>
      <c r="BE242" s="2372"/>
      <c r="BF242" s="2372"/>
      <c r="BG242" s="2372"/>
      <c r="BH242" s="2372"/>
      <c r="BI242" s="2372"/>
      <c r="BJ242" s="2372"/>
      <c r="BK242" s="2372"/>
      <c r="BL242" s="2372"/>
      <c r="BM242" s="2372"/>
      <c r="BN242" s="2372"/>
      <c r="BO242" s="2372"/>
      <c r="BP242" s="2372"/>
      <c r="BQ242" s="2372"/>
      <c r="BR242" s="2372"/>
      <c r="BS242" s="2372"/>
      <c r="BT242" s="2372"/>
      <c r="BU242" s="2372"/>
      <c r="BV242" s="2372"/>
      <c r="BW242" s="2372"/>
      <c r="BX242" s="2372"/>
      <c r="BY242" s="2372"/>
      <c r="BZ242" s="2372"/>
      <c r="CA242" s="2372"/>
      <c r="CB242" s="2372"/>
      <c r="CC242" s="2372"/>
      <c r="CD242" s="2372"/>
      <c r="CE242" s="2372"/>
      <c r="CF242" s="2372"/>
      <c r="CG242" s="2372"/>
      <c r="CH242" s="2372"/>
      <c r="CI242" s="2372"/>
      <c r="CJ242" s="2372"/>
      <c r="CK242" s="2372"/>
      <c r="CL242" s="2372"/>
      <c r="CM242" s="2372"/>
      <c r="CN242" s="2372"/>
      <c r="CO242" s="2372"/>
      <c r="CP242" s="2372"/>
      <c r="CQ242" s="2372"/>
      <c r="CR242" s="2372"/>
      <c r="CS242" s="2372"/>
      <c r="CT242" s="2372"/>
      <c r="CU242" s="2372"/>
      <c r="CV242" s="2372"/>
      <c r="CW242" s="2372"/>
      <c r="CX242" s="2372"/>
      <c r="CY242" s="2372"/>
      <c r="CZ242" s="2372"/>
      <c r="DA242" s="2372"/>
    </row>
    <row r="243" spans="1:105" ht="3" hidden="1" customHeight="1">
      <c r="A243" s="2372"/>
      <c r="B243" s="2372"/>
      <c r="U243" s="2372"/>
      <c r="V243" s="2372"/>
      <c r="W243" s="2372"/>
      <c r="X243" s="2372"/>
      <c r="Y243" s="2372"/>
      <c r="Z243" s="2372"/>
      <c r="AA243" s="2372"/>
      <c r="AB243" s="2372"/>
      <c r="AC243" s="2372"/>
      <c r="AD243" s="2372"/>
      <c r="AE243" s="2372"/>
      <c r="AF243" s="2372"/>
      <c r="AG243" s="2372"/>
      <c r="AH243" s="2372"/>
      <c r="AI243" s="2372"/>
      <c r="AJ243" s="2372"/>
      <c r="AK243" s="2372"/>
      <c r="AL243" s="2372"/>
      <c r="AM243" s="2372"/>
      <c r="AN243" s="2372"/>
      <c r="AO243" s="2372"/>
      <c r="AP243" s="2372"/>
      <c r="AQ243" s="2372"/>
      <c r="AR243" s="2372"/>
      <c r="AS243" s="2372"/>
      <c r="AT243" s="2372"/>
      <c r="AU243" s="2372"/>
      <c r="AV243" s="2372"/>
      <c r="AW243" s="2372"/>
      <c r="AX243" s="2372"/>
      <c r="AY243" s="2372"/>
      <c r="AZ243" s="2372"/>
      <c r="BA243" s="2372"/>
      <c r="BB243" s="2372"/>
      <c r="BC243" s="2372"/>
      <c r="BD243" s="2372"/>
      <c r="BE243" s="2372"/>
      <c r="BF243" s="2372"/>
      <c r="BG243" s="2372"/>
      <c r="BH243" s="2372"/>
      <c r="BI243" s="2372"/>
      <c r="BJ243" s="2372"/>
      <c r="BK243" s="2372"/>
      <c r="BL243" s="2372"/>
      <c r="BM243" s="2372"/>
      <c r="BN243" s="2372"/>
      <c r="BO243" s="2372"/>
      <c r="BP243" s="2372"/>
      <c r="BQ243" s="2372"/>
      <c r="BR243" s="2372"/>
      <c r="BS243" s="2372"/>
      <c r="BT243" s="2372"/>
      <c r="BU243" s="2372"/>
      <c r="BV243" s="2372"/>
      <c r="BW243" s="2372"/>
      <c r="BX243" s="2372"/>
      <c r="BY243" s="2372"/>
      <c r="BZ243" s="2372"/>
      <c r="CA243" s="2372"/>
      <c r="CB243" s="2372"/>
      <c r="CC243" s="2372"/>
      <c r="CD243" s="2372"/>
      <c r="CE243" s="2372"/>
      <c r="CF243" s="2372"/>
      <c r="CG243" s="2372"/>
      <c r="CH243" s="2372"/>
      <c r="CI243" s="2372"/>
      <c r="CJ243" s="2372"/>
      <c r="CK243" s="2372"/>
      <c r="CL243" s="2372"/>
      <c r="CM243" s="2372"/>
      <c r="CN243" s="2372"/>
      <c r="CO243" s="2372"/>
      <c r="CP243" s="2372"/>
      <c r="CQ243" s="2372"/>
      <c r="CR243" s="2372"/>
      <c r="CS243" s="2372"/>
      <c r="CT243" s="2372"/>
      <c r="CU243" s="2372"/>
      <c r="CV243" s="2372"/>
      <c r="CW243" s="2372"/>
      <c r="CX243" s="2372"/>
      <c r="CY243" s="2372"/>
      <c r="CZ243" s="2372"/>
      <c r="DA243" s="2372"/>
    </row>
    <row r="244" spans="1:105" ht="15" hidden="1" customHeight="1">
      <c r="A244" s="2372"/>
      <c r="B244" s="2372"/>
      <c r="U244" s="2372"/>
      <c r="V244" s="2372"/>
      <c r="W244" s="2372"/>
      <c r="X244" s="2372"/>
      <c r="Y244" s="2372"/>
      <c r="Z244" s="2372"/>
      <c r="AA244" s="2372"/>
      <c r="AB244" s="2372"/>
      <c r="AC244" s="2372"/>
      <c r="AD244" s="2372"/>
      <c r="AE244" s="2372"/>
      <c r="AF244" s="2372"/>
      <c r="AG244" s="2372"/>
      <c r="AH244" s="2372"/>
      <c r="AI244" s="2372"/>
      <c r="AJ244" s="2372"/>
      <c r="AK244" s="2372"/>
      <c r="AL244" s="2372"/>
      <c r="AM244" s="2372"/>
      <c r="AN244" s="2372"/>
      <c r="AO244" s="2372"/>
      <c r="AP244" s="2372"/>
      <c r="AQ244" s="2372"/>
      <c r="AR244" s="2372"/>
      <c r="AS244" s="2372"/>
      <c r="AT244" s="2372"/>
      <c r="AU244" s="2372"/>
      <c r="AV244" s="2372"/>
      <c r="AW244" s="2372"/>
      <c r="AX244" s="2372"/>
      <c r="AY244" s="2372"/>
      <c r="AZ244" s="2372"/>
      <c r="BA244" s="2372"/>
      <c r="BB244" s="2372"/>
      <c r="BC244" s="2372"/>
      <c r="BD244" s="2372"/>
      <c r="BE244" s="2372"/>
      <c r="BF244" s="2372"/>
      <c r="BG244" s="2372"/>
      <c r="BH244" s="2372"/>
      <c r="BI244" s="2372"/>
      <c r="BJ244" s="2372"/>
      <c r="BK244" s="2372"/>
      <c r="BL244" s="2372"/>
      <c r="BM244" s="2372"/>
      <c r="BN244" s="2372"/>
      <c r="BO244" s="2372"/>
      <c r="BP244" s="2372"/>
      <c r="BQ244" s="2372"/>
      <c r="BR244" s="2372"/>
      <c r="BS244" s="2372"/>
      <c r="BT244" s="2372"/>
      <c r="BU244" s="2372"/>
      <c r="BV244" s="2372"/>
      <c r="BW244" s="2372"/>
      <c r="BX244" s="2372"/>
      <c r="BY244" s="2372"/>
      <c r="BZ244" s="2372"/>
      <c r="CA244" s="2372"/>
      <c r="CB244" s="2372"/>
      <c r="CC244" s="2372"/>
      <c r="CD244" s="2372"/>
      <c r="CE244" s="2372"/>
      <c r="CF244" s="2372"/>
      <c r="CG244" s="2372"/>
      <c r="CH244" s="2372"/>
      <c r="CI244" s="2372"/>
      <c r="CJ244" s="2372"/>
      <c r="CK244" s="2372"/>
      <c r="CL244" s="2372"/>
      <c r="CM244" s="2372"/>
      <c r="CN244" s="2372"/>
      <c r="CO244" s="2372"/>
      <c r="CP244" s="2372"/>
      <c r="CQ244" s="2372"/>
      <c r="CR244" s="2372"/>
      <c r="CS244" s="2372"/>
      <c r="CT244" s="2372"/>
      <c r="CU244" s="2372"/>
      <c r="CV244" s="2372"/>
      <c r="CW244" s="2372"/>
      <c r="CX244" s="2372"/>
      <c r="CY244" s="2372"/>
      <c r="CZ244" s="2372"/>
      <c r="DA244" s="2372"/>
    </row>
    <row r="245" spans="1:105" ht="3" hidden="1" customHeight="1">
      <c r="A245" s="2372"/>
      <c r="B245" s="2372"/>
      <c r="U245" s="2372"/>
      <c r="V245" s="2372"/>
      <c r="W245" s="2372"/>
      <c r="X245" s="2372"/>
      <c r="Y245" s="2372"/>
      <c r="Z245" s="2372"/>
      <c r="AA245" s="2372"/>
      <c r="AB245" s="2372"/>
      <c r="AC245" s="2372"/>
      <c r="AD245" s="2372"/>
      <c r="AE245" s="2372"/>
      <c r="AF245" s="2372"/>
      <c r="AG245" s="2372"/>
      <c r="AH245" s="2372"/>
      <c r="AI245" s="2372"/>
      <c r="AJ245" s="2372"/>
      <c r="AK245" s="2372"/>
      <c r="AL245" s="2372"/>
      <c r="AM245" s="2372"/>
      <c r="AN245" s="2372"/>
      <c r="AO245" s="2372"/>
      <c r="AP245" s="2372"/>
      <c r="AQ245" s="2372"/>
      <c r="AR245" s="2372"/>
      <c r="AS245" s="2372"/>
      <c r="AT245" s="2372"/>
      <c r="AU245" s="2372"/>
      <c r="AV245" s="2372"/>
      <c r="AW245" s="2372"/>
      <c r="AX245" s="2372"/>
      <c r="AY245" s="2372"/>
      <c r="AZ245" s="2372"/>
      <c r="BA245" s="2372"/>
      <c r="BB245" s="2372"/>
      <c r="BC245" s="2372"/>
      <c r="BD245" s="2372"/>
      <c r="BE245" s="2372"/>
      <c r="BF245" s="2372"/>
      <c r="BG245" s="2372"/>
      <c r="BH245" s="2372"/>
      <c r="BI245" s="2372"/>
      <c r="BJ245" s="2372"/>
      <c r="BK245" s="2372"/>
      <c r="BL245" s="2372"/>
      <c r="BM245" s="2372"/>
      <c r="BN245" s="2372"/>
      <c r="BO245" s="2372"/>
      <c r="BP245" s="2372"/>
      <c r="BQ245" s="2372"/>
      <c r="BR245" s="2372"/>
      <c r="BS245" s="2372"/>
      <c r="BT245" s="2372"/>
      <c r="BU245" s="2372"/>
      <c r="BV245" s="2372"/>
      <c r="BW245" s="2372"/>
      <c r="BX245" s="2372"/>
      <c r="BY245" s="2372"/>
      <c r="BZ245" s="2372"/>
      <c r="CA245" s="2372"/>
      <c r="CB245" s="2372"/>
      <c r="CC245" s="2372"/>
      <c r="CD245" s="2372"/>
      <c r="CE245" s="2372"/>
      <c r="CF245" s="2372"/>
      <c r="CG245" s="2372"/>
      <c r="CH245" s="2372"/>
      <c r="CI245" s="2372"/>
      <c r="CJ245" s="2372"/>
      <c r="CK245" s="2372"/>
      <c r="CL245" s="2372"/>
      <c r="CM245" s="2372"/>
      <c r="CN245" s="2372"/>
      <c r="CO245" s="2372"/>
      <c r="CP245" s="2372"/>
      <c r="CQ245" s="2372"/>
      <c r="CR245" s="2372"/>
      <c r="CS245" s="2372"/>
      <c r="CT245" s="2372"/>
      <c r="CU245" s="2372"/>
      <c r="CV245" s="2372"/>
      <c r="CW245" s="2372"/>
      <c r="CX245" s="2372"/>
      <c r="CY245" s="2372"/>
      <c r="CZ245" s="2372"/>
      <c r="DA245" s="2372"/>
    </row>
    <row r="246" spans="1:105" ht="15" hidden="1" customHeight="1">
      <c r="A246" s="2372"/>
      <c r="B246" s="2372"/>
      <c r="U246" s="2372"/>
      <c r="V246" s="2372"/>
      <c r="W246" s="2372"/>
      <c r="X246" s="2372"/>
      <c r="Y246" s="2372"/>
      <c r="Z246" s="2372"/>
      <c r="AA246" s="2372"/>
      <c r="AB246" s="2372"/>
      <c r="AC246" s="2372"/>
      <c r="AD246" s="2372"/>
      <c r="AE246" s="2372"/>
      <c r="AF246" s="2372"/>
      <c r="AG246" s="2372"/>
      <c r="AH246" s="2372"/>
      <c r="AI246" s="2372"/>
      <c r="AJ246" s="2372"/>
      <c r="AK246" s="2372"/>
      <c r="AL246" s="2372"/>
      <c r="AM246" s="2372"/>
      <c r="AN246" s="2372"/>
      <c r="AO246" s="2372"/>
      <c r="AP246" s="2372"/>
      <c r="AQ246" s="2372"/>
      <c r="AR246" s="2372"/>
      <c r="AS246" s="2372"/>
      <c r="AT246" s="2372"/>
      <c r="AU246" s="2372"/>
      <c r="AV246" s="2372"/>
      <c r="AW246" s="2372"/>
      <c r="AX246" s="2372"/>
      <c r="AY246" s="2372"/>
      <c r="AZ246" s="2372"/>
      <c r="BA246" s="2372"/>
      <c r="BB246" s="2372"/>
      <c r="BC246" s="2372"/>
      <c r="BD246" s="2372"/>
      <c r="BE246" s="2372"/>
      <c r="BF246" s="2372"/>
      <c r="BG246" s="2372"/>
      <c r="BH246" s="2372"/>
      <c r="BI246" s="2372"/>
      <c r="BJ246" s="2372"/>
      <c r="BK246" s="2372"/>
      <c r="BL246" s="2372"/>
      <c r="BM246" s="2372"/>
      <c r="BN246" s="2372"/>
      <c r="BO246" s="2372"/>
      <c r="BP246" s="2372"/>
      <c r="BQ246" s="2372"/>
      <c r="BR246" s="2372"/>
      <c r="BS246" s="2372"/>
      <c r="BT246" s="2372"/>
      <c r="BU246" s="2372"/>
      <c r="BV246" s="2372"/>
      <c r="BW246" s="2372"/>
      <c r="BX246" s="2372"/>
      <c r="BY246" s="2372"/>
      <c r="BZ246" s="2372"/>
      <c r="CA246" s="2372"/>
      <c r="CB246" s="2372"/>
      <c r="CC246" s="2372"/>
      <c r="CD246" s="2372"/>
      <c r="CE246" s="2372"/>
      <c r="CF246" s="2372"/>
      <c r="CG246" s="2372"/>
      <c r="CH246" s="2372"/>
      <c r="CI246" s="2372"/>
      <c r="CJ246" s="2372"/>
      <c r="CK246" s="2372"/>
      <c r="CL246" s="2372"/>
      <c r="CM246" s="2372"/>
      <c r="CN246" s="2372"/>
      <c r="CO246" s="2372"/>
      <c r="CP246" s="2372"/>
      <c r="CQ246" s="2372"/>
      <c r="CR246" s="2372"/>
      <c r="CS246" s="2372"/>
      <c r="CT246" s="2372"/>
      <c r="CU246" s="2372"/>
      <c r="CV246" s="2372"/>
      <c r="CW246" s="2372"/>
      <c r="CX246" s="2372"/>
      <c r="CY246" s="2372"/>
      <c r="CZ246" s="2372"/>
      <c r="DA246" s="2372"/>
    </row>
    <row r="247" spans="1:105" ht="3" hidden="1" customHeight="1">
      <c r="A247" s="2372"/>
      <c r="B247" s="2372"/>
      <c r="U247" s="2372"/>
      <c r="V247" s="2372"/>
      <c r="W247" s="2372"/>
      <c r="X247" s="2372"/>
      <c r="Y247" s="2372"/>
      <c r="Z247" s="2372"/>
      <c r="AA247" s="2372"/>
      <c r="AB247" s="2372"/>
      <c r="AC247" s="2372"/>
      <c r="AD247" s="2372"/>
      <c r="AE247" s="2372"/>
      <c r="AF247" s="2372"/>
      <c r="AG247" s="2372"/>
      <c r="AH247" s="2372"/>
      <c r="AI247" s="2372"/>
      <c r="AJ247" s="2372"/>
      <c r="AK247" s="2372"/>
      <c r="AL247" s="2372"/>
      <c r="AM247" s="2372"/>
      <c r="AN247" s="2372"/>
      <c r="AO247" s="2372"/>
      <c r="AP247" s="2372"/>
      <c r="AQ247" s="2372"/>
      <c r="AR247" s="2372"/>
      <c r="AS247" s="2372"/>
      <c r="AT247" s="2372"/>
      <c r="AU247" s="2372"/>
      <c r="AV247" s="2372"/>
      <c r="AW247" s="2372"/>
      <c r="AX247" s="2372"/>
      <c r="AY247" s="2372"/>
      <c r="AZ247" s="2372"/>
      <c r="BA247" s="2372"/>
      <c r="BB247" s="2372"/>
      <c r="BC247" s="2372"/>
      <c r="BD247" s="2372"/>
      <c r="BE247" s="2372"/>
      <c r="BF247" s="2372"/>
      <c r="BG247" s="2372"/>
      <c r="BH247" s="2372"/>
      <c r="BI247" s="2372"/>
      <c r="BJ247" s="2372"/>
      <c r="BK247" s="2372"/>
      <c r="BL247" s="2372"/>
      <c r="BM247" s="2372"/>
      <c r="BN247" s="2372"/>
      <c r="BO247" s="2372"/>
      <c r="BP247" s="2372"/>
      <c r="BQ247" s="2372"/>
      <c r="BR247" s="2372"/>
      <c r="BS247" s="2372"/>
      <c r="BT247" s="2372"/>
      <c r="BU247" s="2372"/>
      <c r="BV247" s="2372"/>
      <c r="BW247" s="2372"/>
      <c r="BX247" s="2372"/>
      <c r="BY247" s="2372"/>
      <c r="BZ247" s="2372"/>
      <c r="CA247" s="2372"/>
      <c r="CB247" s="2372"/>
      <c r="CC247" s="2372"/>
      <c r="CD247" s="2372"/>
      <c r="CE247" s="2372"/>
      <c r="CF247" s="2372"/>
      <c r="CG247" s="2372"/>
      <c r="CH247" s="2372"/>
      <c r="CI247" s="2372"/>
      <c r="CJ247" s="2372"/>
      <c r="CK247" s="2372"/>
      <c r="CL247" s="2372"/>
      <c r="CM247" s="2372"/>
      <c r="CN247" s="2372"/>
      <c r="CO247" s="2372"/>
      <c r="CP247" s="2372"/>
      <c r="CQ247" s="2372"/>
      <c r="CR247" s="2372"/>
      <c r="CS247" s="2372"/>
      <c r="CT247" s="2372"/>
      <c r="CU247" s="2372"/>
      <c r="CV247" s="2372"/>
      <c r="CW247" s="2372"/>
      <c r="CX247" s="2372"/>
      <c r="CY247" s="2372"/>
      <c r="CZ247" s="2372"/>
      <c r="DA247" s="2372"/>
    </row>
    <row r="248" spans="1:105" ht="15" hidden="1" customHeight="1">
      <c r="A248" s="2372"/>
      <c r="B248" s="2372"/>
      <c r="U248" s="2372"/>
      <c r="V248" s="2372"/>
      <c r="W248" s="2372"/>
      <c r="X248" s="2372"/>
      <c r="Y248" s="2372"/>
      <c r="Z248" s="2372"/>
      <c r="AA248" s="2372"/>
      <c r="AB248" s="2372"/>
      <c r="AC248" s="2372"/>
      <c r="AD248" s="2372"/>
      <c r="AE248" s="2372"/>
      <c r="AF248" s="2372"/>
      <c r="AG248" s="2372"/>
      <c r="AH248" s="2372"/>
      <c r="AI248" s="2372"/>
      <c r="AJ248" s="2372"/>
      <c r="AK248" s="2372"/>
      <c r="AL248" s="2372"/>
      <c r="AM248" s="2372"/>
      <c r="AN248" s="2372"/>
      <c r="AO248" s="2372"/>
      <c r="AP248" s="2372"/>
      <c r="AQ248" s="2372"/>
      <c r="AR248" s="2372"/>
      <c r="AS248" s="2372"/>
      <c r="AT248" s="2372"/>
      <c r="AU248" s="2372"/>
      <c r="AV248" s="2372"/>
      <c r="AW248" s="2372"/>
      <c r="AX248" s="2372"/>
      <c r="AY248" s="2372"/>
      <c r="AZ248" s="2372"/>
      <c r="BA248" s="2372"/>
      <c r="BB248" s="2372"/>
      <c r="BC248" s="2372"/>
      <c r="BD248" s="2372"/>
      <c r="BE248" s="2372"/>
      <c r="BF248" s="2372"/>
      <c r="BG248" s="2372"/>
      <c r="BH248" s="2372"/>
      <c r="BI248" s="2372"/>
      <c r="BJ248" s="2372"/>
      <c r="BK248" s="2372"/>
      <c r="BL248" s="2372"/>
      <c r="BM248" s="2372"/>
      <c r="BN248" s="2372"/>
      <c r="BO248" s="2372"/>
      <c r="BP248" s="2372"/>
      <c r="BQ248" s="2372"/>
      <c r="BR248" s="2372"/>
      <c r="BS248" s="2372"/>
      <c r="BT248" s="2372"/>
      <c r="BU248" s="2372"/>
      <c r="BV248" s="2372"/>
      <c r="BW248" s="2372"/>
      <c r="BX248" s="2372"/>
      <c r="BY248" s="2372"/>
      <c r="BZ248" s="2372"/>
      <c r="CA248" s="2372"/>
      <c r="CB248" s="2372"/>
      <c r="CC248" s="2372"/>
      <c r="CD248" s="2372"/>
      <c r="CE248" s="2372"/>
      <c r="CF248" s="2372"/>
      <c r="CG248" s="2372"/>
      <c r="CH248" s="2372"/>
      <c r="CI248" s="2372"/>
      <c r="CJ248" s="2372"/>
      <c r="CK248" s="2372"/>
      <c r="CL248" s="2372"/>
      <c r="CM248" s="2372"/>
      <c r="CN248" s="2372"/>
      <c r="CO248" s="2372"/>
      <c r="CP248" s="2372"/>
      <c r="CQ248" s="2372"/>
      <c r="CR248" s="2372"/>
      <c r="CS248" s="2372"/>
      <c r="CT248" s="2372"/>
      <c r="CU248" s="2372"/>
      <c r="CV248" s="2372"/>
      <c r="CW248" s="2372"/>
      <c r="CX248" s="2372"/>
      <c r="CY248" s="2372"/>
      <c r="CZ248" s="2372"/>
      <c r="DA248" s="2372"/>
    </row>
    <row r="249" spans="1:105" ht="3" hidden="1" customHeight="1">
      <c r="A249" s="2372"/>
      <c r="B249" s="2372"/>
      <c r="U249" s="2372"/>
      <c r="V249" s="2372"/>
      <c r="W249" s="2372"/>
      <c r="X249" s="2372"/>
      <c r="Y249" s="2372"/>
      <c r="Z249" s="2372"/>
      <c r="AA249" s="2372"/>
      <c r="AB249" s="2372"/>
      <c r="AC249" s="2372"/>
      <c r="AD249" s="2372"/>
      <c r="AE249" s="2372"/>
      <c r="AF249" s="2372"/>
      <c r="AG249" s="2372"/>
      <c r="AH249" s="2372"/>
      <c r="AI249" s="2372"/>
      <c r="AJ249" s="2372"/>
      <c r="AK249" s="2372"/>
      <c r="AL249" s="2372"/>
      <c r="AM249" s="2372"/>
      <c r="AN249" s="2372"/>
      <c r="AO249" s="2372"/>
      <c r="AP249" s="2372"/>
      <c r="AQ249" s="2372"/>
      <c r="AR249" s="2372"/>
      <c r="AS249" s="2372"/>
      <c r="AT249" s="2372"/>
      <c r="AU249" s="2372"/>
      <c r="AV249" s="2372"/>
      <c r="AW249" s="2372"/>
      <c r="AX249" s="2372"/>
      <c r="AY249" s="2372"/>
      <c r="AZ249" s="2372"/>
      <c r="BA249" s="2372"/>
      <c r="BB249" s="2372"/>
      <c r="BC249" s="2372"/>
      <c r="BD249" s="2372"/>
      <c r="BE249" s="2372"/>
      <c r="BF249" s="2372"/>
      <c r="BG249" s="2372"/>
      <c r="BH249" s="2372"/>
      <c r="BI249" s="2372"/>
      <c r="BJ249" s="2372"/>
      <c r="BK249" s="2372"/>
      <c r="BL249" s="2372"/>
      <c r="BM249" s="2372"/>
      <c r="BN249" s="2372"/>
      <c r="BO249" s="2372"/>
      <c r="BP249" s="2372"/>
      <c r="BQ249" s="2372"/>
      <c r="BR249" s="2372"/>
      <c r="BS249" s="2372"/>
      <c r="BT249" s="2372"/>
      <c r="BU249" s="2372"/>
      <c r="BV249" s="2372"/>
      <c r="BW249" s="2372"/>
      <c r="BX249" s="2372"/>
      <c r="BY249" s="2372"/>
      <c r="BZ249" s="2372"/>
      <c r="CA249" s="2372"/>
      <c r="CB249" s="2372"/>
      <c r="CC249" s="2372"/>
      <c r="CD249" s="2372"/>
      <c r="CE249" s="2372"/>
      <c r="CF249" s="2372"/>
      <c r="CG249" s="2372"/>
      <c r="CH249" s="2372"/>
      <c r="CI249" s="2372"/>
      <c r="CJ249" s="2372"/>
      <c r="CK249" s="2372"/>
      <c r="CL249" s="2372"/>
      <c r="CM249" s="2372"/>
      <c r="CN249" s="2372"/>
      <c r="CO249" s="2372"/>
      <c r="CP249" s="2372"/>
      <c r="CQ249" s="2372"/>
      <c r="CR249" s="2372"/>
      <c r="CS249" s="2372"/>
      <c r="CT249" s="2372"/>
      <c r="CU249" s="2372"/>
      <c r="CV249" s="2372"/>
      <c r="CW249" s="2372"/>
      <c r="CX249" s="2372"/>
      <c r="CY249" s="2372"/>
      <c r="CZ249" s="2372"/>
      <c r="DA249" s="2372"/>
    </row>
    <row r="250" spans="1:105" ht="15" hidden="1" customHeight="1">
      <c r="A250" s="2372"/>
      <c r="B250" s="2372"/>
      <c r="U250" s="2372"/>
      <c r="V250" s="2372"/>
      <c r="W250" s="2372"/>
      <c r="X250" s="2372"/>
      <c r="Y250" s="2372"/>
      <c r="Z250" s="2372"/>
      <c r="AA250" s="2372"/>
      <c r="AB250" s="2372"/>
      <c r="AC250" s="2372"/>
      <c r="AD250" s="2372"/>
      <c r="AE250" s="2372"/>
      <c r="AF250" s="2372"/>
      <c r="AG250" s="2372"/>
      <c r="AH250" s="2372"/>
      <c r="AI250" s="2372"/>
      <c r="AJ250" s="2372"/>
      <c r="AK250" s="2372"/>
      <c r="AL250" s="2372"/>
      <c r="AM250" s="2372"/>
      <c r="AN250" s="2372"/>
      <c r="AO250" s="2372"/>
      <c r="AP250" s="2372"/>
      <c r="AQ250" s="2372"/>
      <c r="AR250" s="2372"/>
      <c r="AS250" s="2372"/>
      <c r="AT250" s="2372"/>
      <c r="AU250" s="2372"/>
      <c r="AV250" s="2372"/>
      <c r="AW250" s="2372"/>
      <c r="AX250" s="2372"/>
      <c r="AY250" s="2372"/>
      <c r="AZ250" s="2372"/>
      <c r="BA250" s="2372"/>
      <c r="BB250" s="2372"/>
      <c r="BC250" s="2372"/>
      <c r="BD250" s="2372"/>
      <c r="BE250" s="2372"/>
      <c r="BF250" s="2372"/>
      <c r="BG250" s="2372"/>
      <c r="BH250" s="2372"/>
      <c r="BI250" s="2372"/>
      <c r="BJ250" s="2372"/>
      <c r="BK250" s="2372"/>
      <c r="BL250" s="2372"/>
      <c r="BM250" s="2372"/>
      <c r="BN250" s="2372"/>
      <c r="BO250" s="2372"/>
      <c r="BP250" s="2372"/>
      <c r="BQ250" s="2372"/>
      <c r="BR250" s="2372"/>
      <c r="BS250" s="2372"/>
      <c r="BT250" s="2372"/>
      <c r="BU250" s="2372"/>
      <c r="BV250" s="2372"/>
      <c r="BW250" s="2372"/>
      <c r="BX250" s="2372"/>
      <c r="BY250" s="2372"/>
      <c r="BZ250" s="2372"/>
      <c r="CA250" s="2372"/>
      <c r="CB250" s="2372"/>
      <c r="CC250" s="2372"/>
      <c r="CD250" s="2372"/>
      <c r="CE250" s="2372"/>
      <c r="CF250" s="2372"/>
      <c r="CG250" s="2372"/>
      <c r="CH250" s="2372"/>
      <c r="CI250" s="2372"/>
      <c r="CJ250" s="2372"/>
      <c r="CK250" s="2372"/>
      <c r="CL250" s="2372"/>
      <c r="CM250" s="2372"/>
      <c r="CN250" s="2372"/>
      <c r="CO250" s="2372"/>
      <c r="CP250" s="2372"/>
      <c r="CQ250" s="2372"/>
      <c r="CR250" s="2372"/>
      <c r="CS250" s="2372"/>
      <c r="CT250" s="2372"/>
      <c r="CU250" s="2372"/>
      <c r="CV250" s="2372"/>
      <c r="CW250" s="2372"/>
      <c r="CX250" s="2372"/>
      <c r="CY250" s="2372"/>
      <c r="CZ250" s="2372"/>
      <c r="DA250" s="2372"/>
    </row>
    <row r="251" spans="1:105" ht="3" hidden="1" customHeight="1">
      <c r="A251" s="2372"/>
      <c r="B251" s="2372"/>
      <c r="C251" s="2372"/>
      <c r="D251" s="2372"/>
      <c r="E251" s="2372"/>
      <c r="F251" s="2372"/>
      <c r="G251" s="2372"/>
      <c r="H251" s="2372"/>
      <c r="I251" s="2372"/>
      <c r="J251" s="2372"/>
      <c r="K251" s="2372"/>
      <c r="L251" s="2372"/>
      <c r="M251" s="2372"/>
      <c r="N251" s="2372"/>
      <c r="O251" s="2372"/>
      <c r="P251" s="2372"/>
      <c r="Q251" s="2372"/>
      <c r="R251" s="2372"/>
      <c r="S251" s="2372"/>
      <c r="T251" s="2372"/>
      <c r="U251" s="2372"/>
      <c r="V251" s="2372"/>
      <c r="W251" s="2372"/>
      <c r="X251" s="2372"/>
      <c r="Y251" s="2372"/>
      <c r="Z251" s="2372"/>
      <c r="AA251" s="2372"/>
      <c r="AB251" s="2372"/>
      <c r="AC251" s="2372"/>
      <c r="AD251" s="2372"/>
      <c r="AE251" s="2372"/>
      <c r="AF251" s="2372"/>
      <c r="AG251" s="2372"/>
      <c r="AH251" s="2372"/>
      <c r="AI251" s="2372"/>
      <c r="AJ251" s="2372"/>
      <c r="AK251" s="2372"/>
      <c r="AL251" s="2372"/>
      <c r="AM251" s="2372"/>
      <c r="AN251" s="2372"/>
      <c r="AO251" s="2372"/>
      <c r="AP251" s="2372"/>
      <c r="AQ251" s="2372"/>
      <c r="AR251" s="2372"/>
      <c r="AS251" s="2372"/>
      <c r="AT251" s="2372"/>
      <c r="AU251" s="2372"/>
      <c r="AV251" s="2372"/>
      <c r="AW251" s="2372"/>
      <c r="AX251" s="2372"/>
      <c r="AY251" s="2372"/>
      <c r="AZ251" s="2372"/>
      <c r="BA251" s="2372"/>
      <c r="BB251" s="2372"/>
      <c r="BC251" s="2372"/>
      <c r="BD251" s="2372"/>
      <c r="BE251" s="2372"/>
      <c r="BF251" s="2372"/>
      <c r="BG251" s="2372"/>
      <c r="BH251" s="2372"/>
      <c r="BI251" s="2372"/>
      <c r="BJ251" s="2372"/>
      <c r="BK251" s="2372"/>
      <c r="BL251" s="2372"/>
      <c r="BM251" s="2372"/>
      <c r="BN251" s="2372"/>
      <c r="BO251" s="2372"/>
      <c r="BP251" s="2372"/>
      <c r="BQ251" s="2372"/>
      <c r="BR251" s="2372"/>
      <c r="BS251" s="2372"/>
      <c r="BT251" s="2372"/>
      <c r="BU251" s="2372"/>
      <c r="BV251" s="2372"/>
      <c r="BW251" s="2372"/>
      <c r="BX251" s="2372"/>
      <c r="BY251" s="2372"/>
      <c r="BZ251" s="2372"/>
      <c r="CA251" s="2372"/>
      <c r="CB251" s="2372"/>
      <c r="CC251" s="2372"/>
      <c r="CD251" s="2372"/>
      <c r="CE251" s="2372"/>
      <c r="CF251" s="2372"/>
      <c r="CG251" s="2372"/>
      <c r="CH251" s="2372"/>
      <c r="CI251" s="2372"/>
      <c r="CJ251" s="2372"/>
      <c r="CK251" s="2372"/>
      <c r="CL251" s="2372"/>
      <c r="CM251" s="2372"/>
      <c r="CN251" s="2372"/>
      <c r="CO251" s="2372"/>
      <c r="CP251" s="2372"/>
      <c r="CQ251" s="2372"/>
      <c r="CR251" s="2372"/>
      <c r="CS251" s="2372"/>
      <c r="CT251" s="2372"/>
      <c r="CU251" s="2372"/>
      <c r="CV251" s="2372"/>
      <c r="CW251" s="2372"/>
      <c r="CX251" s="2372"/>
      <c r="CY251" s="2372"/>
      <c r="CZ251" s="2372"/>
      <c r="DA251" s="2372"/>
    </row>
    <row r="252" spans="1:105" ht="15" hidden="1" customHeight="1">
      <c r="A252" s="2372"/>
      <c r="B252" s="2372"/>
      <c r="C252" s="2372"/>
      <c r="D252" s="2372"/>
      <c r="E252" s="2372"/>
      <c r="F252" s="2372"/>
      <c r="G252" s="2372"/>
      <c r="H252" s="2372"/>
      <c r="I252" s="2372"/>
      <c r="J252" s="2372"/>
      <c r="K252" s="2372"/>
      <c r="L252" s="2372"/>
      <c r="M252" s="2372"/>
      <c r="N252" s="2372"/>
      <c r="O252" s="2372"/>
      <c r="P252" s="2372"/>
      <c r="Q252" s="2372"/>
      <c r="R252" s="2372"/>
      <c r="S252" s="2372"/>
      <c r="T252" s="2372"/>
      <c r="U252" s="2372"/>
      <c r="V252" s="2372"/>
      <c r="W252" s="2372"/>
      <c r="X252" s="2372"/>
      <c r="Y252" s="2372"/>
      <c r="Z252" s="2372"/>
      <c r="AA252" s="2372"/>
      <c r="AB252" s="2372"/>
      <c r="AC252" s="2372"/>
      <c r="AD252" s="2372"/>
      <c r="AE252" s="2372"/>
      <c r="AF252" s="2372"/>
      <c r="AG252" s="2372"/>
      <c r="AH252" s="2372"/>
      <c r="AI252" s="2372"/>
      <c r="AJ252" s="2372"/>
      <c r="AK252" s="2372"/>
      <c r="AL252" s="2372"/>
      <c r="AM252" s="2372"/>
      <c r="AN252" s="2372"/>
      <c r="AO252" s="2372"/>
      <c r="AP252" s="2372"/>
      <c r="AQ252" s="2372"/>
      <c r="AR252" s="2372"/>
      <c r="AS252" s="2372"/>
      <c r="AT252" s="2372"/>
      <c r="AU252" s="2372"/>
      <c r="AV252" s="2372"/>
      <c r="AW252" s="2372"/>
      <c r="AX252" s="2372"/>
      <c r="AY252" s="2372"/>
      <c r="AZ252" s="2372"/>
      <c r="BA252" s="2372"/>
      <c r="BB252" s="2372"/>
      <c r="BC252" s="2372"/>
      <c r="BD252" s="2372"/>
      <c r="BE252" s="2372"/>
      <c r="BF252" s="2372"/>
      <c r="BG252" s="2372"/>
      <c r="BH252" s="2372"/>
      <c r="BI252" s="2372"/>
      <c r="BJ252" s="2372"/>
      <c r="BK252" s="2372"/>
      <c r="BL252" s="2372"/>
      <c r="BM252" s="2372"/>
      <c r="BN252" s="2372"/>
      <c r="BO252" s="2372"/>
      <c r="BP252" s="2372"/>
      <c r="BQ252" s="2372"/>
      <c r="BR252" s="2372"/>
      <c r="BS252" s="2372"/>
      <c r="BT252" s="2372"/>
      <c r="BU252" s="2372"/>
      <c r="BV252" s="2372"/>
      <c r="BW252" s="2372"/>
      <c r="BX252" s="2372"/>
      <c r="BY252" s="2372"/>
      <c r="BZ252" s="2372"/>
      <c r="CA252" s="2372"/>
      <c r="CB252" s="2372"/>
      <c r="CC252" s="2372"/>
      <c r="CD252" s="2372"/>
      <c r="CE252" s="2372"/>
      <c r="CF252" s="2372"/>
      <c r="CG252" s="2372"/>
      <c r="CH252" s="2372"/>
      <c r="CI252" s="2372"/>
      <c r="CJ252" s="2372"/>
      <c r="CK252" s="2372"/>
      <c r="CL252" s="2372"/>
      <c r="CM252" s="2372"/>
      <c r="CN252" s="2372"/>
      <c r="CO252" s="2372"/>
      <c r="CP252" s="2372"/>
      <c r="CQ252" s="2372"/>
      <c r="CR252" s="2372"/>
      <c r="CS252" s="2372"/>
      <c r="CT252" s="2372"/>
      <c r="CU252" s="2372"/>
      <c r="CV252" s="2372"/>
      <c r="CW252" s="2372"/>
      <c r="CX252" s="2372"/>
      <c r="CY252" s="2372"/>
      <c r="CZ252" s="2372"/>
      <c r="DA252" s="2372"/>
    </row>
    <row r="253" spans="1:105" ht="3" hidden="1" customHeight="1">
      <c r="A253" s="2372"/>
      <c r="B253" s="2372"/>
      <c r="C253" s="2372"/>
      <c r="D253" s="2372"/>
      <c r="E253" s="2372"/>
      <c r="F253" s="2372"/>
      <c r="G253" s="2372"/>
      <c r="H253" s="2372"/>
      <c r="I253" s="2372"/>
      <c r="J253" s="2372"/>
      <c r="K253" s="2372"/>
      <c r="L253" s="2372"/>
      <c r="M253" s="2372"/>
      <c r="N253" s="2372"/>
      <c r="O253" s="2372"/>
      <c r="P253" s="2372"/>
      <c r="Q253" s="2372"/>
      <c r="R253" s="2372"/>
      <c r="S253" s="2372"/>
      <c r="T253" s="2372"/>
      <c r="U253" s="2372"/>
      <c r="V253" s="2372"/>
      <c r="W253" s="2372"/>
      <c r="X253" s="2372"/>
      <c r="Y253" s="2372"/>
      <c r="Z253" s="2372"/>
      <c r="AA253" s="2372"/>
      <c r="AB253" s="2372"/>
      <c r="AC253" s="2372"/>
      <c r="AD253" s="2372"/>
      <c r="AE253" s="2372"/>
      <c r="AF253" s="2372"/>
      <c r="AG253" s="2372"/>
      <c r="AH253" s="2372"/>
      <c r="AI253" s="2372"/>
      <c r="AJ253" s="2372"/>
      <c r="AK253" s="2372"/>
      <c r="AL253" s="2372"/>
      <c r="AM253" s="2372"/>
      <c r="AN253" s="2372"/>
      <c r="AO253" s="2372"/>
      <c r="AP253" s="2372"/>
      <c r="AQ253" s="2372"/>
      <c r="AR253" s="2372"/>
      <c r="AS253" s="2372"/>
      <c r="AT253" s="2372"/>
      <c r="AU253" s="2372"/>
      <c r="AV253" s="2372"/>
      <c r="AW253" s="2372"/>
      <c r="AX253" s="2372"/>
      <c r="AY253" s="2372"/>
      <c r="AZ253" s="2372"/>
      <c r="BA253" s="2372"/>
      <c r="BB253" s="2372"/>
      <c r="BC253" s="2372"/>
      <c r="BD253" s="2372"/>
      <c r="BE253" s="2372"/>
      <c r="BF253" s="2372"/>
      <c r="BG253" s="2372"/>
      <c r="BH253" s="2372"/>
      <c r="BI253" s="2372"/>
      <c r="BJ253" s="2372"/>
      <c r="BK253" s="2372"/>
      <c r="BL253" s="2372"/>
      <c r="BM253" s="2372"/>
      <c r="BN253" s="2372"/>
      <c r="BO253" s="2372"/>
      <c r="BP253" s="2372"/>
      <c r="BQ253" s="2372"/>
      <c r="BR253" s="2372"/>
      <c r="BS253" s="2372"/>
      <c r="BT253" s="2372"/>
      <c r="BU253" s="2372"/>
      <c r="BV253" s="2372"/>
      <c r="BW253" s="2372"/>
      <c r="BX253" s="2372"/>
      <c r="BY253" s="2372"/>
      <c r="BZ253" s="2372"/>
      <c r="CA253" s="2372"/>
      <c r="CB253" s="2372"/>
      <c r="CC253" s="2372"/>
      <c r="CD253" s="2372"/>
      <c r="CE253" s="2372"/>
      <c r="CF253" s="2372"/>
      <c r="CG253" s="2372"/>
      <c r="CH253" s="2372"/>
      <c r="CI253" s="2372"/>
      <c r="CJ253" s="2372"/>
      <c r="CK253" s="2372"/>
      <c r="CL253" s="2372"/>
      <c r="CM253" s="2372"/>
      <c r="CN253" s="2372"/>
      <c r="CO253" s="2372"/>
      <c r="CP253" s="2372"/>
      <c r="CQ253" s="2372"/>
      <c r="CR253" s="2372"/>
      <c r="CS253" s="2372"/>
      <c r="CT253" s="2372"/>
      <c r="CU253" s="2372"/>
      <c r="CV253" s="2372"/>
      <c r="CW253" s="2372"/>
      <c r="CX253" s="2372"/>
      <c r="CY253" s="2372"/>
      <c r="CZ253" s="2372"/>
      <c r="DA253" s="2372"/>
    </row>
    <row r="254" spans="1:105" ht="15" hidden="1" customHeight="1">
      <c r="A254" s="2372"/>
      <c r="B254" s="2372"/>
      <c r="C254" s="2372"/>
      <c r="D254" s="2372"/>
      <c r="E254" s="2372"/>
      <c r="F254" s="2372"/>
      <c r="G254" s="2372"/>
      <c r="H254" s="2372"/>
      <c r="I254" s="2372"/>
      <c r="J254" s="2372"/>
      <c r="K254" s="2372"/>
      <c r="L254" s="2372"/>
      <c r="M254" s="2372"/>
      <c r="N254" s="2372"/>
      <c r="O254" s="2372"/>
      <c r="P254" s="2372"/>
      <c r="Q254" s="2372"/>
      <c r="R254" s="2372"/>
      <c r="S254" s="2372"/>
      <c r="T254" s="2372"/>
      <c r="U254" s="2372"/>
      <c r="V254" s="2372"/>
      <c r="W254" s="2372"/>
      <c r="X254" s="2372"/>
      <c r="Y254" s="2372"/>
      <c r="Z254" s="2372"/>
      <c r="AA254" s="2372"/>
      <c r="AB254" s="2372"/>
      <c r="AC254" s="2372"/>
      <c r="AD254" s="2372"/>
      <c r="AE254" s="2372"/>
      <c r="AF254" s="2372"/>
      <c r="AG254" s="2372"/>
      <c r="AH254" s="2372"/>
      <c r="AI254" s="2372"/>
      <c r="AJ254" s="2372"/>
      <c r="AK254" s="2372"/>
      <c r="AL254" s="2372"/>
      <c r="AM254" s="2372"/>
      <c r="AN254" s="2372"/>
      <c r="AO254" s="2372"/>
      <c r="AP254" s="2372"/>
      <c r="AQ254" s="2372"/>
      <c r="AR254" s="2372"/>
      <c r="AS254" s="2372"/>
      <c r="AT254" s="2372"/>
      <c r="AU254" s="2372"/>
      <c r="AV254" s="2372"/>
      <c r="AW254" s="2372"/>
      <c r="AX254" s="2372"/>
      <c r="AY254" s="2372"/>
      <c r="AZ254" s="2372"/>
      <c r="BA254" s="2372"/>
      <c r="BB254" s="2372"/>
      <c r="BC254" s="2372"/>
      <c r="BD254" s="2372"/>
      <c r="BE254" s="2372"/>
      <c r="BF254" s="2372"/>
      <c r="BG254" s="2372"/>
      <c r="BH254" s="2372"/>
      <c r="BI254" s="2372"/>
      <c r="BJ254" s="2372"/>
      <c r="BK254" s="2372"/>
      <c r="BL254" s="2372"/>
      <c r="BM254" s="2372"/>
      <c r="BN254" s="2372"/>
      <c r="BO254" s="2372"/>
      <c r="BP254" s="2372"/>
      <c r="BQ254" s="2372"/>
      <c r="BR254" s="2372"/>
      <c r="BS254" s="2372"/>
      <c r="BT254" s="2372"/>
      <c r="BU254" s="2372"/>
      <c r="BV254" s="2372"/>
      <c r="BW254" s="2372"/>
      <c r="BX254" s="2372"/>
      <c r="BY254" s="2372"/>
      <c r="BZ254" s="2372"/>
      <c r="CA254" s="2372"/>
      <c r="CB254" s="2372"/>
      <c r="CC254" s="2372"/>
      <c r="CD254" s="2372"/>
      <c r="CE254" s="2372"/>
      <c r="CF254" s="2372"/>
      <c r="CG254" s="2372"/>
      <c r="CH254" s="2372"/>
      <c r="CI254" s="2372"/>
      <c r="CJ254" s="2372"/>
      <c r="CK254" s="2372"/>
      <c r="CL254" s="2372"/>
      <c r="CM254" s="2372"/>
      <c r="CN254" s="2372"/>
      <c r="CO254" s="2372"/>
      <c r="CP254" s="2372"/>
      <c r="CQ254" s="2372"/>
      <c r="CR254" s="2372"/>
      <c r="CS254" s="2372"/>
      <c r="CT254" s="2372"/>
      <c r="CU254" s="2372"/>
      <c r="CV254" s="2372"/>
      <c r="CW254" s="2372"/>
      <c r="CX254" s="2372"/>
      <c r="CY254" s="2372"/>
      <c r="CZ254" s="2372"/>
      <c r="DA254" s="2372"/>
    </row>
    <row r="255" spans="1:105" ht="3" hidden="1" customHeight="1">
      <c r="A255" s="2372"/>
      <c r="B255" s="2372"/>
      <c r="C255" s="2372"/>
      <c r="D255" s="2372"/>
      <c r="E255" s="2372"/>
      <c r="F255" s="2372"/>
      <c r="G255" s="2372"/>
      <c r="H255" s="2372"/>
      <c r="I255" s="2372"/>
      <c r="J255" s="2372"/>
      <c r="K255" s="2372"/>
      <c r="L255" s="2372"/>
      <c r="M255" s="2372"/>
      <c r="N255" s="2372"/>
      <c r="O255" s="2372"/>
      <c r="P255" s="2372"/>
      <c r="Q255" s="2372"/>
      <c r="R255" s="2372"/>
      <c r="S255" s="2372"/>
      <c r="T255" s="2372"/>
      <c r="U255" s="2372"/>
      <c r="V255" s="2372"/>
      <c r="W255" s="2372"/>
      <c r="X255" s="2372"/>
      <c r="Y255" s="2372"/>
      <c r="Z255" s="2372"/>
      <c r="AA255" s="2372"/>
      <c r="AB255" s="2372"/>
      <c r="AC255" s="2372"/>
      <c r="AD255" s="2372"/>
      <c r="AE255" s="2372"/>
      <c r="AF255" s="2372"/>
      <c r="AG255" s="2372"/>
      <c r="AH255" s="2372"/>
      <c r="AI255" s="2372"/>
      <c r="AJ255" s="2372"/>
      <c r="AK255" s="2372"/>
      <c r="AL255" s="2372"/>
      <c r="AM255" s="2372"/>
      <c r="AN255" s="2372"/>
      <c r="AO255" s="2372"/>
      <c r="AP255" s="2372"/>
      <c r="AQ255" s="2372"/>
      <c r="AR255" s="2372"/>
      <c r="AS255" s="2372"/>
      <c r="AT255" s="2372"/>
      <c r="AU255" s="2372"/>
      <c r="AV255" s="2372"/>
      <c r="AW255" s="2372"/>
      <c r="AX255" s="2372"/>
      <c r="AY255" s="2372"/>
      <c r="AZ255" s="2372"/>
      <c r="BA255" s="2372"/>
      <c r="BB255" s="2372"/>
      <c r="BC255" s="2372"/>
      <c r="BD255" s="2372"/>
      <c r="BE255" s="2372"/>
      <c r="BF255" s="2372"/>
      <c r="BG255" s="2372"/>
      <c r="BH255" s="2372"/>
      <c r="BI255" s="2372"/>
      <c r="BJ255" s="2372"/>
      <c r="BK255" s="2372"/>
      <c r="BL255" s="2372"/>
      <c r="BM255" s="2372"/>
      <c r="BN255" s="2372"/>
      <c r="BO255" s="2372"/>
      <c r="BP255" s="2372"/>
      <c r="BQ255" s="2372"/>
      <c r="BR255" s="2372"/>
      <c r="BS255" s="2372"/>
      <c r="BT255" s="2372"/>
      <c r="BU255" s="2372"/>
      <c r="BV255" s="2372"/>
      <c r="BW255" s="2372"/>
      <c r="BX255" s="2372"/>
      <c r="BY255" s="2372"/>
      <c r="BZ255" s="2372"/>
      <c r="CA255" s="2372"/>
      <c r="CB255" s="2372"/>
      <c r="CC255" s="2372"/>
      <c r="CD255" s="2372"/>
      <c r="CE255" s="2372"/>
      <c r="CF255" s="2372"/>
      <c r="CG255" s="2372"/>
      <c r="CH255" s="2372"/>
      <c r="CI255" s="2372"/>
      <c r="CJ255" s="2372"/>
      <c r="CK255" s="2372"/>
      <c r="CL255" s="2372"/>
      <c r="CM255" s="2372"/>
      <c r="CN255" s="2372"/>
      <c r="CO255" s="2372"/>
      <c r="CP255" s="2372"/>
      <c r="CQ255" s="2372"/>
      <c r="CR255" s="2372"/>
      <c r="CS255" s="2372"/>
      <c r="CT255" s="2372"/>
      <c r="CU255" s="2372"/>
      <c r="CV255" s="2372"/>
      <c r="CW255" s="2372"/>
      <c r="CX255" s="2372"/>
      <c r="CY255" s="2372"/>
      <c r="CZ255" s="2372"/>
      <c r="DA255" s="2372"/>
    </row>
    <row r="256" spans="1:105" ht="15" hidden="1" customHeight="1">
      <c r="A256" s="2372"/>
      <c r="B256" s="2372"/>
      <c r="C256" s="2372"/>
      <c r="D256" s="2372"/>
      <c r="E256" s="2372"/>
      <c r="F256" s="2372"/>
      <c r="G256" s="2372"/>
      <c r="H256" s="2372"/>
      <c r="I256" s="2372"/>
      <c r="J256" s="2372"/>
      <c r="K256" s="2372"/>
      <c r="L256" s="2372"/>
      <c r="M256" s="2372"/>
      <c r="N256" s="2372"/>
      <c r="O256" s="2372"/>
      <c r="P256" s="2372"/>
      <c r="Q256" s="2372"/>
      <c r="R256" s="2372"/>
      <c r="S256" s="2372"/>
      <c r="T256" s="2372"/>
      <c r="U256" s="2372"/>
      <c r="V256" s="2372"/>
      <c r="W256" s="2372"/>
      <c r="X256" s="2372"/>
      <c r="Y256" s="2372"/>
      <c r="Z256" s="2372"/>
      <c r="AA256" s="2372"/>
      <c r="AB256" s="2372"/>
      <c r="AC256" s="2372"/>
      <c r="AD256" s="2372"/>
      <c r="AE256" s="2372"/>
      <c r="AF256" s="2372"/>
      <c r="AG256" s="2372"/>
      <c r="AH256" s="2372"/>
      <c r="AI256" s="2372"/>
      <c r="AJ256" s="2372"/>
      <c r="AK256" s="2372"/>
      <c r="AL256" s="2372"/>
      <c r="AM256" s="2372"/>
      <c r="AN256" s="2372"/>
      <c r="AO256" s="2372"/>
      <c r="AP256" s="2372"/>
      <c r="AQ256" s="2372"/>
      <c r="AR256" s="2372"/>
      <c r="AS256" s="2372"/>
      <c r="AT256" s="2372"/>
      <c r="AU256" s="2372"/>
      <c r="AV256" s="2372"/>
      <c r="AW256" s="2372"/>
      <c r="AX256" s="2372"/>
      <c r="AY256" s="2372"/>
      <c r="AZ256" s="2372"/>
      <c r="BA256" s="2372"/>
      <c r="BB256" s="2372"/>
      <c r="BC256" s="2372"/>
      <c r="BD256" s="2372"/>
      <c r="BE256" s="2372"/>
      <c r="BF256" s="2372"/>
      <c r="BG256" s="2372"/>
      <c r="BH256" s="2372"/>
      <c r="BI256" s="2372"/>
      <c r="BJ256" s="2372"/>
      <c r="BK256" s="2372"/>
      <c r="BL256" s="2372"/>
      <c r="BM256" s="2372"/>
      <c r="BN256" s="2372"/>
      <c r="BO256" s="2372"/>
      <c r="BP256" s="2372"/>
      <c r="BQ256" s="2372"/>
      <c r="BR256" s="2372"/>
      <c r="BS256" s="2372"/>
      <c r="BT256" s="2372"/>
      <c r="BU256" s="2372"/>
      <c r="BV256" s="2372"/>
      <c r="BW256" s="2372"/>
      <c r="BX256" s="2372"/>
      <c r="BY256" s="2372"/>
      <c r="BZ256" s="2372"/>
      <c r="CA256" s="2372"/>
      <c r="CB256" s="2372"/>
      <c r="CC256" s="2372"/>
      <c r="CD256" s="2372"/>
      <c r="CE256" s="2372"/>
      <c r="CF256" s="2372"/>
      <c r="CG256" s="2372"/>
      <c r="CH256" s="2372"/>
      <c r="CI256" s="2372"/>
      <c r="CJ256" s="2372"/>
      <c r="CK256" s="2372"/>
      <c r="CL256" s="2372"/>
      <c r="CM256" s="2372"/>
      <c r="CN256" s="2372"/>
      <c r="CO256" s="2372"/>
      <c r="CP256" s="2372"/>
      <c r="CQ256" s="2372"/>
      <c r="CR256" s="2372"/>
      <c r="CS256" s="2372"/>
      <c r="CT256" s="2372"/>
      <c r="CU256" s="2372"/>
      <c r="CV256" s="2372"/>
      <c r="CW256" s="2372"/>
      <c r="CX256" s="2372"/>
      <c r="CY256" s="2372"/>
      <c r="CZ256" s="2372"/>
      <c r="DA256" s="2372"/>
    </row>
    <row r="257" spans="1:105" ht="3" hidden="1" customHeight="1">
      <c r="A257" s="2372"/>
      <c r="B257" s="2372"/>
      <c r="C257" s="2372"/>
      <c r="D257" s="2372"/>
      <c r="E257" s="2372"/>
      <c r="F257" s="2372"/>
      <c r="G257" s="2372"/>
      <c r="H257" s="2372"/>
      <c r="I257" s="2372"/>
      <c r="J257" s="2372"/>
      <c r="K257" s="2372"/>
      <c r="L257" s="2372"/>
      <c r="M257" s="2372"/>
      <c r="N257" s="2372"/>
      <c r="O257" s="2372"/>
      <c r="P257" s="2372"/>
      <c r="Q257" s="2372"/>
      <c r="R257" s="2372"/>
      <c r="S257" s="2372"/>
      <c r="T257" s="2372"/>
      <c r="U257" s="2372"/>
      <c r="V257" s="2372"/>
      <c r="W257" s="2372"/>
      <c r="X257" s="2372"/>
      <c r="Y257" s="2372"/>
      <c r="Z257" s="2372"/>
      <c r="AA257" s="2372"/>
      <c r="AB257" s="2372"/>
      <c r="AC257" s="2372"/>
      <c r="AD257" s="2372"/>
      <c r="AE257" s="2372"/>
      <c r="AF257" s="2372"/>
      <c r="AG257" s="2372"/>
      <c r="AH257" s="2372"/>
      <c r="AI257" s="2372"/>
      <c r="AJ257" s="2372"/>
      <c r="AK257" s="2372"/>
      <c r="AL257" s="2372"/>
      <c r="AM257" s="2372"/>
      <c r="AN257" s="2372"/>
      <c r="AO257" s="2372"/>
      <c r="AP257" s="2372"/>
      <c r="AQ257" s="2372"/>
      <c r="AR257" s="2372"/>
      <c r="AS257" s="2372"/>
      <c r="AT257" s="2372"/>
      <c r="AU257" s="2372"/>
      <c r="AV257" s="2372"/>
      <c r="AW257" s="2372"/>
      <c r="AX257" s="2372"/>
      <c r="AY257" s="2372"/>
      <c r="AZ257" s="2372"/>
      <c r="BA257" s="2372"/>
      <c r="BB257" s="2372"/>
      <c r="BC257" s="2372"/>
      <c r="BD257" s="2372"/>
      <c r="BE257" s="2372"/>
      <c r="BF257" s="2372"/>
      <c r="BG257" s="2372"/>
      <c r="BH257" s="2372"/>
      <c r="BI257" s="2372"/>
      <c r="BJ257" s="2372"/>
      <c r="BK257" s="2372"/>
      <c r="BL257" s="2372"/>
      <c r="BM257" s="2372"/>
      <c r="BN257" s="2372"/>
      <c r="BO257" s="2372"/>
      <c r="BP257" s="2372"/>
      <c r="BQ257" s="2372"/>
      <c r="BR257" s="2372"/>
      <c r="BS257" s="2372"/>
      <c r="BT257" s="2372"/>
      <c r="BU257" s="2372"/>
      <c r="BV257" s="2372"/>
      <c r="BW257" s="2372"/>
      <c r="BX257" s="2372"/>
      <c r="BY257" s="2372"/>
      <c r="BZ257" s="2372"/>
      <c r="CA257" s="2372"/>
      <c r="CB257" s="2372"/>
      <c r="CC257" s="2372"/>
      <c r="CD257" s="2372"/>
      <c r="CE257" s="2372"/>
      <c r="CF257" s="2372"/>
      <c r="CG257" s="2372"/>
      <c r="CH257" s="2372"/>
      <c r="CI257" s="2372"/>
      <c r="CJ257" s="2372"/>
      <c r="CK257" s="2372"/>
      <c r="CL257" s="2372"/>
      <c r="CM257" s="2372"/>
      <c r="CN257" s="2372"/>
      <c r="CO257" s="2372"/>
      <c r="CP257" s="2372"/>
      <c r="CQ257" s="2372"/>
      <c r="CR257" s="2372"/>
      <c r="CS257" s="2372"/>
      <c r="CT257" s="2372"/>
      <c r="CU257" s="2372"/>
      <c r="CV257" s="2372"/>
      <c r="CW257" s="2372"/>
      <c r="CX257" s="2372"/>
      <c r="CY257" s="2372"/>
      <c r="CZ257" s="2372"/>
      <c r="DA257" s="2372"/>
    </row>
    <row r="258" spans="1:105" ht="15" hidden="1" customHeight="1">
      <c r="A258" s="2372"/>
      <c r="B258" s="2372"/>
      <c r="C258" s="2372"/>
      <c r="D258" s="2372"/>
      <c r="E258" s="2372"/>
      <c r="F258" s="2372"/>
      <c r="G258" s="2372"/>
      <c r="H258" s="2372"/>
      <c r="I258" s="2372"/>
      <c r="J258" s="2372"/>
      <c r="K258" s="2372"/>
      <c r="L258" s="2372"/>
      <c r="M258" s="2372"/>
      <c r="N258" s="2372"/>
      <c r="O258" s="2372"/>
      <c r="P258" s="2372"/>
      <c r="Q258" s="2372"/>
      <c r="R258" s="2372"/>
      <c r="S258" s="2372"/>
      <c r="T258" s="2372"/>
      <c r="U258" s="2372"/>
      <c r="V258" s="2372"/>
      <c r="W258" s="2372"/>
      <c r="X258" s="2372"/>
      <c r="Y258" s="2372"/>
      <c r="Z258" s="2372"/>
      <c r="AA258" s="2372"/>
      <c r="AB258" s="2372"/>
      <c r="AC258" s="2372"/>
      <c r="AD258" s="2372"/>
      <c r="AE258" s="2372"/>
      <c r="AF258" s="2372"/>
      <c r="AG258" s="2372"/>
      <c r="AH258" s="2372"/>
      <c r="AI258" s="2372"/>
      <c r="AJ258" s="2372"/>
      <c r="AK258" s="2372"/>
      <c r="AL258" s="2372"/>
      <c r="AM258" s="2372"/>
      <c r="AN258" s="2372"/>
      <c r="AO258" s="2372"/>
      <c r="AP258" s="2372"/>
      <c r="AQ258" s="2372"/>
      <c r="AR258" s="2372"/>
      <c r="AS258" s="2372"/>
      <c r="AT258" s="2372"/>
      <c r="AU258" s="2372"/>
      <c r="AV258" s="2372"/>
      <c r="AW258" s="2372"/>
      <c r="AX258" s="2372"/>
      <c r="AY258" s="2372"/>
      <c r="AZ258" s="2372"/>
      <c r="BA258" s="2372"/>
      <c r="BB258" s="2372"/>
      <c r="BC258" s="2372"/>
      <c r="BD258" s="2372"/>
      <c r="BE258" s="2372"/>
      <c r="BF258" s="2372"/>
      <c r="BG258" s="2372"/>
      <c r="BH258" s="2372"/>
      <c r="BI258" s="2372"/>
      <c r="BJ258" s="2372"/>
      <c r="BK258" s="2372"/>
      <c r="BL258" s="2372"/>
      <c r="BM258" s="2372"/>
      <c r="BN258" s="2372"/>
      <c r="BO258" s="2372"/>
      <c r="BP258" s="2372"/>
      <c r="BQ258" s="2372"/>
      <c r="BR258" s="2372"/>
      <c r="BS258" s="2372"/>
      <c r="BT258" s="2372"/>
      <c r="BU258" s="2372"/>
      <c r="BV258" s="2372"/>
      <c r="BW258" s="2372"/>
      <c r="BX258" s="2372"/>
      <c r="BY258" s="2372"/>
      <c r="BZ258" s="2372"/>
      <c r="CA258" s="2372"/>
      <c r="CB258" s="2372"/>
      <c r="CC258" s="2372"/>
      <c r="CD258" s="2372"/>
      <c r="CE258" s="2372"/>
      <c r="CF258" s="2372"/>
      <c r="CG258" s="2372"/>
      <c r="CH258" s="2372"/>
      <c r="CI258" s="2372"/>
      <c r="CJ258" s="2372"/>
      <c r="CK258" s="2372"/>
      <c r="CL258" s="2372"/>
      <c r="CM258" s="2372"/>
      <c r="CN258" s="2372"/>
      <c r="CO258" s="2372"/>
      <c r="CP258" s="2372"/>
      <c r="CQ258" s="2372"/>
      <c r="CR258" s="2372"/>
      <c r="CS258" s="2372"/>
      <c r="CT258" s="2372"/>
      <c r="CU258" s="2372"/>
      <c r="CV258" s="2372"/>
      <c r="CW258" s="2372"/>
      <c r="CX258" s="2372"/>
      <c r="CY258" s="2372"/>
      <c r="CZ258" s="2372"/>
      <c r="DA258" s="2372"/>
    </row>
    <row r="259" spans="1:105" ht="3" hidden="1" customHeight="1">
      <c r="A259" s="2372"/>
      <c r="B259" s="2372"/>
      <c r="C259" s="2372"/>
      <c r="D259" s="2372"/>
      <c r="E259" s="2372"/>
      <c r="F259" s="2372"/>
      <c r="G259" s="2372"/>
      <c r="H259" s="2372"/>
      <c r="I259" s="2372"/>
      <c r="J259" s="2372"/>
      <c r="K259" s="2372"/>
      <c r="L259" s="2372"/>
      <c r="M259" s="2372"/>
      <c r="N259" s="2372"/>
      <c r="O259" s="2372"/>
      <c r="P259" s="2372"/>
      <c r="Q259" s="2372"/>
      <c r="R259" s="2372"/>
      <c r="S259" s="2372"/>
      <c r="T259" s="2372"/>
      <c r="U259" s="2372"/>
      <c r="V259" s="2372"/>
      <c r="W259" s="2372"/>
      <c r="X259" s="2372"/>
      <c r="Y259" s="2372"/>
      <c r="Z259" s="2372"/>
      <c r="AA259" s="2372"/>
      <c r="AB259" s="2372"/>
      <c r="AC259" s="2372"/>
      <c r="AD259" s="2372"/>
      <c r="AE259" s="2372"/>
      <c r="AF259" s="2372"/>
      <c r="AG259" s="2372"/>
      <c r="AH259" s="2372"/>
      <c r="AI259" s="2372"/>
      <c r="AJ259" s="2372"/>
      <c r="AK259" s="2372"/>
      <c r="AL259" s="2372"/>
      <c r="AM259" s="2372"/>
      <c r="AN259" s="2372"/>
      <c r="AO259" s="2372"/>
      <c r="AP259" s="2372"/>
      <c r="AQ259" s="2372"/>
      <c r="AR259" s="2372"/>
      <c r="AS259" s="2372"/>
      <c r="AT259" s="2372"/>
      <c r="AU259" s="2372"/>
      <c r="AV259" s="2372"/>
      <c r="AW259" s="2372"/>
      <c r="AX259" s="2372"/>
      <c r="AY259" s="2372"/>
      <c r="AZ259" s="2372"/>
      <c r="BA259" s="2372"/>
      <c r="BB259" s="2372"/>
      <c r="BC259" s="2372"/>
      <c r="BD259" s="2372"/>
      <c r="BE259" s="2372"/>
      <c r="BF259" s="2372"/>
      <c r="BG259" s="2372"/>
      <c r="BH259" s="2372"/>
      <c r="BI259" s="2372"/>
      <c r="BJ259" s="2372"/>
      <c r="BK259" s="2372"/>
      <c r="BL259" s="2372"/>
      <c r="BM259" s="2372"/>
      <c r="BN259" s="2372"/>
      <c r="BO259" s="2372"/>
      <c r="BP259" s="2372"/>
      <c r="BQ259" s="2372"/>
      <c r="BR259" s="2372"/>
      <c r="BS259" s="2372"/>
      <c r="BT259" s="2372"/>
      <c r="BU259" s="2372"/>
      <c r="BV259" s="2372"/>
      <c r="BW259" s="2372"/>
      <c r="BX259" s="2372"/>
      <c r="BY259" s="2372"/>
      <c r="BZ259" s="2372"/>
      <c r="CA259" s="2372"/>
      <c r="CB259" s="2372"/>
      <c r="CC259" s="2372"/>
      <c r="CD259" s="2372"/>
      <c r="CE259" s="2372"/>
      <c r="CF259" s="2372"/>
      <c r="CG259" s="2372"/>
      <c r="CH259" s="2372"/>
      <c r="CI259" s="2372"/>
      <c r="CJ259" s="2372"/>
      <c r="CK259" s="2372"/>
      <c r="CL259" s="2372"/>
      <c r="CM259" s="2372"/>
      <c r="CN259" s="2372"/>
      <c r="CO259" s="2372"/>
      <c r="CP259" s="2372"/>
      <c r="CQ259" s="2372"/>
      <c r="CR259" s="2372"/>
      <c r="CS259" s="2372"/>
      <c r="CT259" s="2372"/>
      <c r="CU259" s="2372"/>
      <c r="CV259" s="2372"/>
      <c r="CW259" s="2372"/>
      <c r="CX259" s="2372"/>
      <c r="CY259" s="2372"/>
      <c r="CZ259" s="2372"/>
      <c r="DA259" s="2372"/>
    </row>
    <row r="260" spans="1:105" ht="15" hidden="1" customHeight="1">
      <c r="A260" s="2372"/>
      <c r="B260" s="2372"/>
      <c r="C260" s="2372"/>
      <c r="D260" s="2372"/>
      <c r="E260" s="2372"/>
      <c r="F260" s="2372"/>
      <c r="G260" s="2372"/>
      <c r="H260" s="2372"/>
      <c r="I260" s="2372"/>
      <c r="J260" s="2372"/>
      <c r="K260" s="2372"/>
      <c r="L260" s="2372"/>
      <c r="M260" s="2372"/>
      <c r="N260" s="2372"/>
      <c r="O260" s="2372"/>
      <c r="P260" s="2372"/>
      <c r="Q260" s="2372"/>
      <c r="R260" s="2372"/>
      <c r="S260" s="2372"/>
      <c r="T260" s="2372"/>
      <c r="U260" s="2372"/>
      <c r="V260" s="2372"/>
      <c r="W260" s="2372"/>
      <c r="X260" s="2372"/>
      <c r="Y260" s="2372"/>
      <c r="Z260" s="2372"/>
      <c r="AA260" s="2372"/>
      <c r="AB260" s="2372"/>
      <c r="AC260" s="2372"/>
      <c r="AD260" s="2372"/>
      <c r="AE260" s="2372"/>
      <c r="AF260" s="2372"/>
      <c r="AG260" s="2372"/>
      <c r="AH260" s="2372"/>
      <c r="AI260" s="2372"/>
      <c r="AJ260" s="2372"/>
      <c r="AK260" s="2372"/>
      <c r="AL260" s="2372"/>
      <c r="AM260" s="2372"/>
      <c r="AN260" s="2372"/>
      <c r="AO260" s="2372"/>
      <c r="AP260" s="2372"/>
      <c r="AQ260" s="2372"/>
      <c r="AR260" s="2372"/>
      <c r="AS260" s="2372"/>
      <c r="AT260" s="2372"/>
      <c r="AU260" s="2372"/>
      <c r="AV260" s="2372"/>
      <c r="AW260" s="2372"/>
      <c r="AX260" s="2372"/>
      <c r="AY260" s="2372"/>
      <c r="AZ260" s="2372"/>
      <c r="BA260" s="2372"/>
      <c r="BB260" s="2372"/>
      <c r="BC260" s="2372"/>
      <c r="BD260" s="2372"/>
      <c r="BE260" s="2372"/>
      <c r="BF260" s="2372"/>
      <c r="BG260" s="2372"/>
      <c r="BH260" s="2372"/>
      <c r="BI260" s="2372"/>
      <c r="BJ260" s="2372"/>
      <c r="BK260" s="2372"/>
      <c r="BL260" s="2372"/>
      <c r="BM260" s="2372"/>
      <c r="BN260" s="2372"/>
      <c r="BO260" s="2372"/>
      <c r="BP260" s="2372"/>
      <c r="BQ260" s="2372"/>
      <c r="BR260" s="2372"/>
      <c r="BS260" s="2372"/>
      <c r="BT260" s="2372"/>
      <c r="BU260" s="2372"/>
      <c r="BV260" s="2372"/>
      <c r="BW260" s="2372"/>
      <c r="BX260" s="2372"/>
      <c r="BY260" s="2372"/>
      <c r="BZ260" s="2372"/>
      <c r="CA260" s="2372"/>
      <c r="CB260" s="2372"/>
      <c r="CC260" s="2372"/>
      <c r="CD260" s="2372"/>
      <c r="CE260" s="2372"/>
      <c r="CF260" s="2372"/>
      <c r="CG260" s="2372"/>
      <c r="CH260" s="2372"/>
      <c r="CI260" s="2372"/>
      <c r="CJ260" s="2372"/>
      <c r="CK260" s="2372"/>
      <c r="CL260" s="2372"/>
      <c r="CM260" s="2372"/>
      <c r="CN260" s="2372"/>
      <c r="CO260" s="2372"/>
      <c r="CP260" s="2372"/>
      <c r="CQ260" s="2372"/>
      <c r="CR260" s="2372"/>
      <c r="CS260" s="2372"/>
      <c r="CT260" s="2372"/>
      <c r="CU260" s="2372"/>
      <c r="CV260" s="2372"/>
      <c r="CW260" s="2372"/>
      <c r="CX260" s="2372"/>
      <c r="CY260" s="2372"/>
      <c r="CZ260" s="2372"/>
      <c r="DA260" s="2372"/>
    </row>
    <row r="261" spans="1:105" ht="15" hidden="1" customHeight="1">
      <c r="A261" s="2372"/>
      <c r="B261" s="2372"/>
      <c r="C261" s="2372"/>
      <c r="D261" s="2372"/>
      <c r="E261" s="2372"/>
      <c r="F261" s="2372"/>
      <c r="G261" s="2372"/>
      <c r="H261" s="2372"/>
      <c r="I261" s="2372"/>
      <c r="J261" s="2372"/>
      <c r="K261" s="2372"/>
      <c r="L261" s="2372"/>
      <c r="M261" s="2372"/>
      <c r="N261" s="2372"/>
      <c r="O261" s="2372"/>
      <c r="P261" s="2372"/>
      <c r="Q261" s="2372"/>
      <c r="R261" s="2372"/>
      <c r="S261" s="2372"/>
      <c r="T261" s="2372"/>
      <c r="U261" s="2372"/>
      <c r="V261" s="2372"/>
      <c r="W261" s="2372"/>
      <c r="X261" s="2372"/>
      <c r="Y261" s="2372"/>
      <c r="Z261" s="2372"/>
      <c r="AA261" s="2372"/>
      <c r="AB261" s="2372"/>
      <c r="AC261" s="2372"/>
      <c r="AD261" s="2372"/>
      <c r="AE261" s="2372"/>
      <c r="AF261" s="2372"/>
      <c r="AG261" s="2372"/>
      <c r="AH261" s="2372"/>
      <c r="AI261" s="2372"/>
      <c r="AJ261" s="2372"/>
      <c r="AK261" s="2372"/>
      <c r="AL261" s="2372"/>
      <c r="AM261" s="2372"/>
      <c r="AN261" s="2372"/>
      <c r="AO261" s="2372"/>
      <c r="AP261" s="2372"/>
      <c r="AQ261" s="2372"/>
      <c r="AR261" s="2372"/>
      <c r="AS261" s="2372"/>
      <c r="AT261" s="2372"/>
      <c r="AU261" s="2372"/>
      <c r="AV261" s="2372"/>
      <c r="AW261" s="2372"/>
      <c r="AX261" s="2372"/>
      <c r="AY261" s="2372"/>
      <c r="AZ261" s="2372"/>
      <c r="BA261" s="2372"/>
      <c r="BB261" s="2372"/>
      <c r="BC261" s="2372"/>
      <c r="BD261" s="2372"/>
      <c r="BE261" s="2372"/>
      <c r="BF261" s="2372"/>
      <c r="BG261" s="2372"/>
      <c r="BH261" s="2372"/>
      <c r="BI261" s="2372"/>
      <c r="BJ261" s="2372"/>
      <c r="BK261" s="2372"/>
      <c r="BL261" s="2372"/>
      <c r="BM261" s="2372"/>
      <c r="BN261" s="2372"/>
      <c r="BO261" s="2372"/>
      <c r="BP261" s="2372"/>
      <c r="BQ261" s="2372"/>
      <c r="BR261" s="2372"/>
      <c r="BS261" s="2372"/>
      <c r="BT261" s="2372"/>
      <c r="BU261" s="2372"/>
      <c r="BV261" s="2372"/>
      <c r="BW261" s="2372"/>
      <c r="BX261" s="2372"/>
      <c r="BY261" s="2372"/>
      <c r="BZ261" s="2372"/>
      <c r="CA261" s="2372"/>
      <c r="CB261" s="2372"/>
      <c r="CC261" s="2372"/>
      <c r="CD261" s="2372"/>
      <c r="CE261" s="2372"/>
      <c r="CF261" s="2372"/>
      <c r="CG261" s="2372"/>
      <c r="CH261" s="2372"/>
      <c r="CI261" s="2372"/>
      <c r="CJ261" s="2372"/>
      <c r="CK261" s="2372"/>
      <c r="CL261" s="2372"/>
      <c r="CM261" s="2372"/>
      <c r="CN261" s="2372"/>
      <c r="CO261" s="2372"/>
      <c r="CP261" s="2372"/>
      <c r="CQ261" s="2372"/>
      <c r="CR261" s="2372"/>
      <c r="CS261" s="2372"/>
      <c r="CT261" s="2372"/>
      <c r="CU261" s="2372"/>
      <c r="CV261" s="2372"/>
      <c r="CW261" s="2372"/>
      <c r="CX261" s="2372"/>
      <c r="CY261" s="2372"/>
      <c r="CZ261" s="2372"/>
      <c r="DA261" s="2372"/>
    </row>
    <row r="262" spans="1:105" ht="3" hidden="1" customHeight="1">
      <c r="A262" s="2372"/>
      <c r="B262" s="2372"/>
      <c r="C262" s="2372"/>
      <c r="D262" s="2372"/>
      <c r="E262" s="2372"/>
      <c r="F262" s="2372"/>
      <c r="G262" s="2372"/>
      <c r="H262" s="2372"/>
      <c r="I262" s="2372"/>
      <c r="J262" s="2372"/>
      <c r="K262" s="2372"/>
      <c r="L262" s="2372"/>
      <c r="M262" s="2372"/>
      <c r="N262" s="2372"/>
      <c r="O262" s="2372"/>
      <c r="P262" s="2372"/>
      <c r="Q262" s="2372"/>
      <c r="R262" s="2372"/>
      <c r="S262" s="2372"/>
      <c r="T262" s="2372"/>
      <c r="U262" s="2372"/>
      <c r="V262" s="2372"/>
      <c r="W262" s="2372"/>
      <c r="X262" s="2372"/>
      <c r="Y262" s="2372"/>
      <c r="Z262" s="2372"/>
      <c r="AA262" s="2372"/>
      <c r="AB262" s="2372"/>
      <c r="AC262" s="2372"/>
      <c r="AD262" s="2372"/>
      <c r="AE262" s="2372"/>
      <c r="AF262" s="2372"/>
      <c r="AG262" s="2372"/>
      <c r="AH262" s="2372"/>
      <c r="AI262" s="2372"/>
      <c r="AJ262" s="2372"/>
      <c r="AK262" s="2372"/>
      <c r="AL262" s="2372"/>
      <c r="AM262" s="2372"/>
      <c r="AN262" s="2372"/>
      <c r="AO262" s="2372"/>
      <c r="AP262" s="2372"/>
      <c r="AQ262" s="2372"/>
      <c r="AR262" s="2372"/>
      <c r="AS262" s="2372"/>
      <c r="AT262" s="2372"/>
      <c r="AU262" s="2372"/>
      <c r="AV262" s="2372"/>
      <c r="AW262" s="2372"/>
      <c r="AX262" s="2372"/>
      <c r="AY262" s="2372"/>
      <c r="AZ262" s="2372"/>
      <c r="BA262" s="2372"/>
      <c r="BB262" s="2372"/>
      <c r="BC262" s="2372"/>
      <c r="BD262" s="2372"/>
      <c r="BE262" s="2372"/>
      <c r="BF262" s="2372"/>
      <c r="BG262" s="2372"/>
      <c r="BH262" s="2372"/>
      <c r="BI262" s="2372"/>
      <c r="BJ262" s="2372"/>
      <c r="BK262" s="2372"/>
      <c r="BL262" s="2372"/>
      <c r="BM262" s="2372"/>
      <c r="BN262" s="2372"/>
      <c r="BO262" s="2372"/>
      <c r="BP262" s="2372"/>
      <c r="BQ262" s="2372"/>
      <c r="BR262" s="2372"/>
      <c r="BS262" s="2372"/>
      <c r="BT262" s="2372"/>
      <c r="BU262" s="2372"/>
      <c r="BV262" s="2372"/>
      <c r="BW262" s="2372"/>
      <c r="BX262" s="2372"/>
      <c r="BY262" s="2372"/>
      <c r="BZ262" s="2372"/>
      <c r="CA262" s="2372"/>
      <c r="CB262" s="2372"/>
      <c r="CC262" s="2372"/>
      <c r="CD262" s="2372"/>
      <c r="CE262" s="2372"/>
      <c r="CF262" s="2372"/>
      <c r="CG262" s="2372"/>
      <c r="CH262" s="2372"/>
      <c r="CI262" s="2372"/>
      <c r="CJ262" s="2372"/>
      <c r="CK262" s="2372"/>
      <c r="CL262" s="2372"/>
      <c r="CM262" s="2372"/>
      <c r="CN262" s="2372"/>
      <c r="CO262" s="2372"/>
      <c r="CP262" s="2372"/>
      <c r="CQ262" s="2372"/>
      <c r="CR262" s="2372"/>
      <c r="CS262" s="2372"/>
      <c r="CT262" s="2372"/>
      <c r="CU262" s="2372"/>
      <c r="CV262" s="2372"/>
      <c r="CW262" s="2372"/>
      <c r="CX262" s="2372"/>
      <c r="CY262" s="2372"/>
      <c r="CZ262" s="2372"/>
      <c r="DA262" s="2372"/>
    </row>
    <row r="263" spans="1:105" ht="15" hidden="1" customHeight="1">
      <c r="A263" s="2372"/>
      <c r="B263" s="2372"/>
      <c r="U263" s="2372"/>
      <c r="V263" s="2372"/>
      <c r="W263" s="2372"/>
      <c r="X263" s="2372"/>
      <c r="Y263" s="2372"/>
      <c r="Z263" s="2372"/>
      <c r="AA263" s="2372"/>
      <c r="AB263" s="2372"/>
      <c r="AC263" s="2372"/>
      <c r="AD263" s="2372"/>
      <c r="AE263" s="2372"/>
      <c r="AF263" s="2372"/>
      <c r="AG263" s="2372"/>
      <c r="AH263" s="2372"/>
      <c r="AI263" s="2372"/>
      <c r="AJ263" s="2372"/>
      <c r="AK263" s="2372"/>
      <c r="AL263" s="2372"/>
      <c r="AM263" s="2372"/>
      <c r="AN263" s="2372"/>
      <c r="AO263" s="2372"/>
      <c r="AP263" s="2372"/>
      <c r="AQ263" s="2372"/>
      <c r="AR263" s="2372"/>
      <c r="AS263" s="2372"/>
      <c r="AT263" s="2372"/>
      <c r="AU263" s="2372"/>
      <c r="AV263" s="2372"/>
      <c r="AW263" s="2372"/>
      <c r="AX263" s="2372"/>
      <c r="AY263" s="2372"/>
      <c r="AZ263" s="2372"/>
      <c r="BA263" s="2372"/>
      <c r="BB263" s="2372"/>
      <c r="BC263" s="2372"/>
      <c r="BD263" s="2372"/>
      <c r="BE263" s="2372"/>
      <c r="BF263" s="2372"/>
      <c r="BG263" s="2372"/>
      <c r="BH263" s="2372"/>
      <c r="BI263" s="2372"/>
      <c r="BJ263" s="2372"/>
      <c r="BK263" s="2372"/>
      <c r="BL263" s="2372"/>
      <c r="BM263" s="2372"/>
      <c r="BN263" s="2372"/>
      <c r="BO263" s="2372"/>
      <c r="BP263" s="2372"/>
      <c r="BQ263" s="2372"/>
      <c r="BR263" s="2372"/>
      <c r="BS263" s="2372"/>
      <c r="BT263" s="2372"/>
      <c r="BU263" s="2372"/>
      <c r="BV263" s="2372"/>
      <c r="BW263" s="2372"/>
      <c r="BX263" s="2372"/>
      <c r="BY263" s="2372"/>
      <c r="BZ263" s="2372"/>
      <c r="CA263" s="2372"/>
      <c r="CB263" s="2372"/>
      <c r="CC263" s="2372"/>
      <c r="CD263" s="2372"/>
      <c r="CE263" s="2372"/>
      <c r="CF263" s="2372"/>
      <c r="CG263" s="2372"/>
      <c r="CH263" s="2372"/>
      <c r="CI263" s="2372"/>
      <c r="CJ263" s="2372"/>
      <c r="CK263" s="2372"/>
      <c r="CL263" s="2372"/>
      <c r="CM263" s="2372"/>
      <c r="CN263" s="2372"/>
      <c r="CO263" s="2372"/>
      <c r="CP263" s="2372"/>
      <c r="CQ263" s="2372"/>
      <c r="CR263" s="2372"/>
      <c r="CS263" s="2372"/>
      <c r="CT263" s="2372"/>
      <c r="CU263" s="2372"/>
      <c r="CV263" s="2372"/>
      <c r="CW263" s="2372"/>
      <c r="CX263" s="2372"/>
      <c r="CY263" s="2372"/>
      <c r="CZ263" s="2372"/>
      <c r="DA263" s="2372"/>
    </row>
    <row r="264" spans="1:105" ht="3" hidden="1" customHeight="1">
      <c r="A264" s="2372"/>
      <c r="B264" s="2372"/>
      <c r="U264" s="2372"/>
      <c r="V264" s="2372"/>
      <c r="W264" s="2372"/>
      <c r="X264" s="2372"/>
      <c r="Y264" s="2372"/>
      <c r="Z264" s="2372"/>
      <c r="AA264" s="2372"/>
      <c r="AB264" s="2372"/>
      <c r="AC264" s="2372"/>
      <c r="AD264" s="2372"/>
      <c r="AE264" s="2372"/>
      <c r="AF264" s="2372"/>
      <c r="AG264" s="2372"/>
      <c r="AH264" s="2372"/>
      <c r="AI264" s="2372"/>
      <c r="AJ264" s="2372"/>
      <c r="AK264" s="2372"/>
      <c r="AL264" s="2372"/>
      <c r="AM264" s="2372"/>
      <c r="AN264" s="2372"/>
      <c r="AO264" s="2372"/>
      <c r="AP264" s="2372"/>
      <c r="AQ264" s="2372"/>
      <c r="AR264" s="2372"/>
      <c r="AS264" s="2372"/>
      <c r="AT264" s="2372"/>
      <c r="AU264" s="2372"/>
      <c r="AV264" s="2372"/>
      <c r="AW264" s="2372"/>
      <c r="AX264" s="2372"/>
      <c r="AY264" s="2372"/>
      <c r="AZ264" s="2372"/>
      <c r="BA264" s="2372"/>
      <c r="BB264" s="2372"/>
      <c r="BC264" s="2372"/>
      <c r="BD264" s="2372"/>
      <c r="BE264" s="2372"/>
      <c r="BF264" s="2372"/>
      <c r="BG264" s="2372"/>
      <c r="BH264" s="2372"/>
      <c r="BI264" s="2372"/>
      <c r="BJ264" s="2372"/>
      <c r="BK264" s="2372"/>
      <c r="BL264" s="2372"/>
      <c r="BM264" s="2372"/>
      <c r="BN264" s="2372"/>
      <c r="BO264" s="2372"/>
      <c r="BP264" s="2372"/>
      <c r="BQ264" s="2372"/>
      <c r="BR264" s="2372"/>
      <c r="BS264" s="2372"/>
      <c r="BT264" s="2372"/>
      <c r="BU264" s="2372"/>
      <c r="BV264" s="2372"/>
      <c r="BW264" s="2372"/>
      <c r="BX264" s="2372"/>
      <c r="BY264" s="2372"/>
      <c r="BZ264" s="2372"/>
      <c r="CA264" s="2372"/>
      <c r="CB264" s="2372"/>
      <c r="CC264" s="2372"/>
      <c r="CD264" s="2372"/>
      <c r="CE264" s="2372"/>
      <c r="CF264" s="2372"/>
      <c r="CG264" s="2372"/>
      <c r="CH264" s="2372"/>
      <c r="CI264" s="2372"/>
      <c r="CJ264" s="2372"/>
      <c r="CK264" s="2372"/>
      <c r="CL264" s="2372"/>
      <c r="CM264" s="2372"/>
      <c r="CN264" s="2372"/>
      <c r="CO264" s="2372"/>
      <c r="CP264" s="2372"/>
      <c r="CQ264" s="2372"/>
      <c r="CR264" s="2372"/>
      <c r="CS264" s="2372"/>
      <c r="CT264" s="2372"/>
      <c r="CU264" s="2372"/>
      <c r="CV264" s="2372"/>
      <c r="CW264" s="2372"/>
      <c r="CX264" s="2372"/>
      <c r="CY264" s="2372"/>
      <c r="CZ264" s="2372"/>
      <c r="DA264" s="2372"/>
    </row>
    <row r="265" spans="1:105" ht="15" hidden="1" customHeight="1">
      <c r="A265" s="2372"/>
      <c r="B265" s="2372"/>
      <c r="U265" s="2372"/>
      <c r="V265" s="2372"/>
      <c r="W265" s="2372"/>
      <c r="X265" s="2372"/>
      <c r="Y265" s="2372"/>
      <c r="Z265" s="2372"/>
      <c r="AA265" s="2372"/>
      <c r="AB265" s="2372"/>
      <c r="AC265" s="2372"/>
      <c r="AD265" s="2372"/>
      <c r="AE265" s="2372"/>
      <c r="AF265" s="2372"/>
      <c r="AG265" s="2372"/>
      <c r="AH265" s="2372"/>
      <c r="AI265" s="2372"/>
      <c r="AJ265" s="2372"/>
      <c r="AK265" s="2372"/>
      <c r="AL265" s="2372"/>
      <c r="AM265" s="2372"/>
      <c r="AN265" s="2372"/>
      <c r="AO265" s="2372"/>
      <c r="AP265" s="2372"/>
      <c r="AQ265" s="2372"/>
      <c r="AR265" s="2372"/>
      <c r="AS265" s="2372"/>
      <c r="AT265" s="2372"/>
      <c r="AU265" s="2372"/>
      <c r="AV265" s="2372"/>
      <c r="AW265" s="2372"/>
      <c r="AX265" s="2372"/>
      <c r="AY265" s="2372"/>
      <c r="AZ265" s="2372"/>
      <c r="BA265" s="2372"/>
      <c r="BB265" s="2372"/>
      <c r="BC265" s="2372"/>
      <c r="BD265" s="2372"/>
      <c r="BE265" s="2372"/>
      <c r="BF265" s="2372"/>
      <c r="BG265" s="2372"/>
      <c r="BH265" s="2372"/>
      <c r="BI265" s="2372"/>
      <c r="BJ265" s="2372"/>
      <c r="BK265" s="2372"/>
      <c r="BL265" s="2372"/>
      <c r="BM265" s="2372"/>
      <c r="BN265" s="2372"/>
      <c r="BO265" s="2372"/>
      <c r="BP265" s="2372"/>
      <c r="BQ265" s="2372"/>
      <c r="BR265" s="2372"/>
      <c r="BS265" s="2372"/>
      <c r="BT265" s="2372"/>
      <c r="BU265" s="2372"/>
      <c r="BV265" s="2372"/>
      <c r="BW265" s="2372"/>
      <c r="BX265" s="2372"/>
      <c r="BY265" s="2372"/>
      <c r="BZ265" s="2372"/>
      <c r="CA265" s="2372"/>
      <c r="CB265" s="2372"/>
      <c r="CC265" s="2372"/>
      <c r="CD265" s="2372"/>
      <c r="CE265" s="2372"/>
      <c r="CF265" s="2372"/>
      <c r="CG265" s="2372"/>
      <c r="CH265" s="2372"/>
      <c r="CI265" s="2372"/>
      <c r="CJ265" s="2372"/>
      <c r="CK265" s="2372"/>
      <c r="CL265" s="2372"/>
      <c r="CM265" s="2372"/>
      <c r="CN265" s="2372"/>
      <c r="CO265" s="2372"/>
      <c r="CP265" s="2372"/>
      <c r="CQ265" s="2372"/>
      <c r="CR265" s="2372"/>
      <c r="CS265" s="2372"/>
      <c r="CT265" s="2372"/>
      <c r="CU265" s="2372"/>
      <c r="CV265" s="2372"/>
      <c r="CW265" s="2372"/>
      <c r="CX265" s="2372"/>
      <c r="CY265" s="2372"/>
      <c r="CZ265" s="2372"/>
      <c r="DA265" s="2372"/>
    </row>
    <row r="266" spans="1:105" ht="3" hidden="1" customHeight="1">
      <c r="A266" s="2372"/>
      <c r="B266" s="2372"/>
      <c r="U266" s="2372"/>
      <c r="V266" s="2372"/>
      <c r="W266" s="2372"/>
      <c r="X266" s="2372"/>
      <c r="Y266" s="2372"/>
      <c r="Z266" s="2372"/>
      <c r="AA266" s="2372"/>
      <c r="AB266" s="2372"/>
      <c r="AC266" s="2372"/>
      <c r="AD266" s="2372"/>
      <c r="AE266" s="2372"/>
      <c r="AF266" s="2372"/>
      <c r="AG266" s="2372"/>
      <c r="AH266" s="2372"/>
      <c r="AI266" s="2372"/>
      <c r="AJ266" s="2372"/>
      <c r="AK266" s="2372"/>
      <c r="AL266" s="2372"/>
      <c r="AM266" s="2372"/>
      <c r="AN266" s="2372"/>
      <c r="AO266" s="2372"/>
      <c r="AP266" s="2372"/>
      <c r="AQ266" s="2372"/>
      <c r="AR266" s="2372"/>
      <c r="AS266" s="2372"/>
      <c r="AT266" s="2372"/>
      <c r="AU266" s="2372"/>
      <c r="AV266" s="2372"/>
      <c r="AW266" s="2372"/>
      <c r="AX266" s="2372"/>
      <c r="AY266" s="2372"/>
      <c r="AZ266" s="2372"/>
      <c r="BA266" s="2372"/>
      <c r="BB266" s="2372"/>
      <c r="BC266" s="2372"/>
      <c r="BD266" s="2372"/>
      <c r="BE266" s="2372"/>
      <c r="BF266" s="2372"/>
      <c r="BG266" s="2372"/>
      <c r="BH266" s="2372"/>
      <c r="BI266" s="2372"/>
      <c r="BJ266" s="2372"/>
      <c r="BK266" s="2372"/>
      <c r="BL266" s="2372"/>
      <c r="BM266" s="2372"/>
      <c r="BN266" s="2372"/>
      <c r="BO266" s="2372"/>
      <c r="BP266" s="2372"/>
      <c r="BQ266" s="2372"/>
      <c r="BR266" s="2372"/>
      <c r="BS266" s="2372"/>
      <c r="BT266" s="2372"/>
      <c r="BU266" s="2372"/>
      <c r="BV266" s="2372"/>
      <c r="BW266" s="2372"/>
      <c r="BX266" s="2372"/>
      <c r="BY266" s="2372"/>
      <c r="BZ266" s="2372"/>
      <c r="CA266" s="2372"/>
      <c r="CB266" s="2372"/>
      <c r="CC266" s="2372"/>
      <c r="CD266" s="2372"/>
      <c r="CE266" s="2372"/>
      <c r="CF266" s="2372"/>
      <c r="CG266" s="2372"/>
      <c r="CH266" s="2372"/>
      <c r="CI266" s="2372"/>
      <c r="CJ266" s="2372"/>
      <c r="CK266" s="2372"/>
      <c r="CL266" s="2372"/>
      <c r="CM266" s="2372"/>
      <c r="CN266" s="2372"/>
      <c r="CO266" s="2372"/>
      <c r="CP266" s="2372"/>
      <c r="CQ266" s="2372"/>
      <c r="CR266" s="2372"/>
      <c r="CS266" s="2372"/>
      <c r="CT266" s="2372"/>
      <c r="CU266" s="2372"/>
      <c r="CV266" s="2372"/>
      <c r="CW266" s="2372"/>
      <c r="CX266" s="2372"/>
      <c r="CY266" s="2372"/>
      <c r="CZ266" s="2372"/>
      <c r="DA266" s="2372"/>
    </row>
    <row r="267" spans="1:105" ht="15" hidden="1" customHeight="1">
      <c r="A267" s="2372"/>
      <c r="B267" s="2372"/>
      <c r="U267" s="2372"/>
      <c r="V267" s="2372"/>
      <c r="W267" s="2372"/>
      <c r="X267" s="2372"/>
      <c r="Y267" s="2372"/>
      <c r="Z267" s="2372"/>
      <c r="AA267" s="2372"/>
      <c r="AB267" s="2372"/>
      <c r="AC267" s="2372"/>
      <c r="AD267" s="2372"/>
      <c r="AE267" s="2372"/>
      <c r="AF267" s="2372"/>
      <c r="AG267" s="2372"/>
      <c r="AH267" s="2372"/>
      <c r="AI267" s="2372"/>
      <c r="AJ267" s="2372"/>
      <c r="AK267" s="2372"/>
      <c r="AL267" s="2372"/>
      <c r="AM267" s="2372"/>
      <c r="AN267" s="2372"/>
      <c r="AO267" s="2372"/>
      <c r="AP267" s="2372"/>
      <c r="AQ267" s="2372"/>
      <c r="AR267" s="2372"/>
      <c r="AS267" s="2372"/>
      <c r="AT267" s="2372"/>
      <c r="AU267" s="2372"/>
      <c r="AV267" s="2372"/>
      <c r="AW267" s="2372"/>
      <c r="AX267" s="2372"/>
      <c r="AY267" s="2372"/>
      <c r="AZ267" s="2372"/>
      <c r="BA267" s="2372"/>
      <c r="BB267" s="2372"/>
      <c r="BC267" s="2372"/>
      <c r="BD267" s="2372"/>
      <c r="BE267" s="2372"/>
      <c r="BF267" s="2372"/>
      <c r="BG267" s="2372"/>
      <c r="BH267" s="2372"/>
      <c r="BI267" s="2372"/>
      <c r="BJ267" s="2372"/>
      <c r="BK267" s="2372"/>
      <c r="BL267" s="2372"/>
      <c r="BM267" s="2372"/>
      <c r="BN267" s="2372"/>
      <c r="BO267" s="2372"/>
      <c r="BP267" s="2372"/>
      <c r="BQ267" s="2372"/>
      <c r="BR267" s="2372"/>
      <c r="BS267" s="2372"/>
      <c r="BT267" s="2372"/>
      <c r="BU267" s="2372"/>
      <c r="BV267" s="2372"/>
      <c r="BW267" s="2372"/>
      <c r="BX267" s="2372"/>
      <c r="BY267" s="2372"/>
      <c r="BZ267" s="2372"/>
      <c r="CA267" s="2372"/>
      <c r="CB267" s="2372"/>
      <c r="CC267" s="2372"/>
      <c r="CD267" s="2372"/>
      <c r="CE267" s="2372"/>
      <c r="CF267" s="2372"/>
      <c r="CG267" s="2372"/>
      <c r="CH267" s="2372"/>
      <c r="CI267" s="2372"/>
      <c r="CJ267" s="2372"/>
      <c r="CK267" s="2372"/>
      <c r="CL267" s="2372"/>
      <c r="CM267" s="2372"/>
      <c r="CN267" s="2372"/>
      <c r="CO267" s="2372"/>
      <c r="CP267" s="2372"/>
      <c r="CQ267" s="2372"/>
      <c r="CR267" s="2372"/>
      <c r="CS267" s="2372"/>
      <c r="CT267" s="2372"/>
      <c r="CU267" s="2372"/>
      <c r="CV267" s="2372"/>
      <c r="CW267" s="2372"/>
      <c r="CX267" s="2372"/>
      <c r="CY267" s="2372"/>
      <c r="CZ267" s="2372"/>
      <c r="DA267" s="2372"/>
    </row>
    <row r="268" spans="1:105" ht="3" hidden="1" customHeight="1">
      <c r="A268" s="2372"/>
      <c r="B268" s="2372"/>
      <c r="U268" s="2372"/>
      <c r="V268" s="2372"/>
      <c r="W268" s="2372"/>
      <c r="X268" s="2372"/>
      <c r="Y268" s="2372"/>
      <c r="Z268" s="2372"/>
      <c r="AA268" s="2372"/>
      <c r="AB268" s="2372"/>
      <c r="AC268" s="2372"/>
      <c r="AD268" s="2372"/>
      <c r="AE268" s="2372"/>
      <c r="AF268" s="2372"/>
      <c r="AG268" s="2372"/>
      <c r="AH268" s="2372"/>
      <c r="AI268" s="2372"/>
      <c r="AJ268" s="2372"/>
      <c r="AK268" s="2372"/>
      <c r="AL268" s="2372"/>
      <c r="AM268" s="2372"/>
      <c r="AN268" s="2372"/>
      <c r="AO268" s="2372"/>
      <c r="AP268" s="2372"/>
      <c r="AQ268" s="2372"/>
      <c r="AR268" s="2372"/>
      <c r="AS268" s="2372"/>
      <c r="AT268" s="2372"/>
      <c r="AU268" s="2372"/>
      <c r="AV268" s="2372"/>
      <c r="AW268" s="2372"/>
      <c r="AX268" s="2372"/>
      <c r="AY268" s="2372"/>
      <c r="AZ268" s="2372"/>
      <c r="BA268" s="2372"/>
      <c r="BB268" s="2372"/>
      <c r="BC268" s="2372"/>
      <c r="BD268" s="2372"/>
      <c r="BE268" s="2372"/>
      <c r="BF268" s="2372"/>
      <c r="BG268" s="2372"/>
      <c r="BH268" s="2372"/>
      <c r="BI268" s="2372"/>
      <c r="BJ268" s="2372"/>
      <c r="BK268" s="2372"/>
      <c r="BL268" s="2372"/>
      <c r="BM268" s="2372"/>
      <c r="BN268" s="2372"/>
      <c r="BO268" s="2372"/>
      <c r="BP268" s="2372"/>
      <c r="BQ268" s="2372"/>
      <c r="BR268" s="2372"/>
      <c r="BS268" s="2372"/>
      <c r="BT268" s="2372"/>
      <c r="BU268" s="2372"/>
      <c r="BV268" s="2372"/>
      <c r="BW268" s="2372"/>
      <c r="BX268" s="2372"/>
      <c r="BY268" s="2372"/>
      <c r="BZ268" s="2372"/>
      <c r="CA268" s="2372"/>
      <c r="CB268" s="2372"/>
      <c r="CC268" s="2372"/>
      <c r="CD268" s="2372"/>
      <c r="CE268" s="2372"/>
      <c r="CF268" s="2372"/>
      <c r="CG268" s="2372"/>
      <c r="CH268" s="2372"/>
      <c r="CI268" s="2372"/>
      <c r="CJ268" s="2372"/>
      <c r="CK268" s="2372"/>
      <c r="CL268" s="2372"/>
      <c r="CM268" s="2372"/>
      <c r="CN268" s="2372"/>
      <c r="CO268" s="2372"/>
      <c r="CP268" s="2372"/>
      <c r="CQ268" s="2372"/>
      <c r="CR268" s="2372"/>
      <c r="CS268" s="2372"/>
      <c r="CT268" s="2372"/>
      <c r="CU268" s="2372"/>
      <c r="CV268" s="2372"/>
      <c r="CW268" s="2372"/>
      <c r="CX268" s="2372"/>
      <c r="CY268" s="2372"/>
      <c r="CZ268" s="2372"/>
      <c r="DA268" s="2372"/>
    </row>
    <row r="269" spans="1:105" ht="15" hidden="1" customHeight="1">
      <c r="A269" s="2372"/>
      <c r="B269" s="2372"/>
      <c r="U269" s="2372"/>
      <c r="V269" s="2372"/>
      <c r="W269" s="2372"/>
      <c r="X269" s="2372"/>
      <c r="Y269" s="2372"/>
      <c r="Z269" s="2372"/>
      <c r="AA269" s="2372"/>
      <c r="AB269" s="2372"/>
      <c r="AC269" s="2372"/>
      <c r="AD269" s="2372"/>
      <c r="AE269" s="2372"/>
      <c r="AF269" s="2372"/>
      <c r="AG269" s="2372"/>
      <c r="AH269" s="2372"/>
      <c r="AI269" s="2372"/>
      <c r="AJ269" s="2372"/>
      <c r="AK269" s="2372"/>
      <c r="AL269" s="2372"/>
      <c r="AM269" s="2372"/>
      <c r="AN269" s="2372"/>
      <c r="AO269" s="2372"/>
      <c r="AP269" s="2372"/>
      <c r="AQ269" s="2372"/>
      <c r="AR269" s="2372"/>
      <c r="AS269" s="2372"/>
      <c r="AT269" s="2372"/>
      <c r="AU269" s="2372"/>
      <c r="AV269" s="2372"/>
      <c r="AW269" s="2372"/>
      <c r="AX269" s="2372"/>
      <c r="AY269" s="2372"/>
      <c r="AZ269" s="2372"/>
      <c r="BA269" s="2372"/>
      <c r="BB269" s="2372"/>
      <c r="BC269" s="2372"/>
      <c r="BD269" s="2372"/>
      <c r="BE269" s="2372"/>
      <c r="BF269" s="2372"/>
      <c r="BG269" s="2372"/>
      <c r="BH269" s="2372"/>
      <c r="BI269" s="2372"/>
      <c r="BJ269" s="2372"/>
      <c r="BK269" s="2372"/>
      <c r="BL269" s="2372"/>
      <c r="BM269" s="2372"/>
      <c r="BN269" s="2372"/>
      <c r="BO269" s="2372"/>
      <c r="BP269" s="2372"/>
      <c r="BQ269" s="2372"/>
      <c r="BR269" s="2372"/>
      <c r="BS269" s="2372"/>
      <c r="BT269" s="2372"/>
      <c r="BU269" s="2372"/>
      <c r="BV269" s="2372"/>
      <c r="BW269" s="2372"/>
      <c r="BX269" s="2372"/>
      <c r="BY269" s="2372"/>
      <c r="BZ269" s="2372"/>
      <c r="CA269" s="2372"/>
      <c r="CB269" s="2372"/>
      <c r="CC269" s="2372"/>
      <c r="CD269" s="2372"/>
      <c r="CE269" s="2372"/>
      <c r="CF269" s="2372"/>
      <c r="CG269" s="2372"/>
      <c r="CH269" s="2372"/>
      <c r="CI269" s="2372"/>
      <c r="CJ269" s="2372"/>
      <c r="CK269" s="2372"/>
      <c r="CL269" s="2372"/>
      <c r="CM269" s="2372"/>
      <c r="CN269" s="2372"/>
      <c r="CO269" s="2372"/>
      <c r="CP269" s="2372"/>
      <c r="CQ269" s="2372"/>
      <c r="CR269" s="2372"/>
      <c r="CS269" s="2372"/>
      <c r="CT269" s="2372"/>
      <c r="CU269" s="2372"/>
      <c r="CV269" s="2372"/>
      <c r="CW269" s="2372"/>
      <c r="CX269" s="2372"/>
      <c r="CY269" s="2372"/>
      <c r="CZ269" s="2372"/>
      <c r="DA269" s="2372"/>
    </row>
    <row r="270" spans="1:105" ht="3" hidden="1" customHeight="1">
      <c r="A270" s="2372"/>
      <c r="B270" s="2372"/>
      <c r="U270" s="2372"/>
      <c r="V270" s="2372"/>
      <c r="W270" s="2372"/>
      <c r="X270" s="2372"/>
      <c r="Y270" s="2372"/>
      <c r="Z270" s="2372"/>
      <c r="AA270" s="2372"/>
      <c r="AB270" s="2372"/>
      <c r="AC270" s="2372"/>
      <c r="AD270" s="2372"/>
      <c r="AE270" s="2372"/>
      <c r="AF270" s="2372"/>
      <c r="AG270" s="2372"/>
      <c r="AH270" s="2372"/>
      <c r="AI270" s="2372"/>
      <c r="AJ270" s="2372"/>
      <c r="AK270" s="2372"/>
      <c r="AL270" s="2372"/>
      <c r="AM270" s="2372"/>
      <c r="AN270" s="2372"/>
      <c r="AO270" s="2372"/>
      <c r="AP270" s="2372"/>
      <c r="AQ270" s="2372"/>
      <c r="AR270" s="2372"/>
      <c r="AS270" s="2372"/>
      <c r="AT270" s="2372"/>
      <c r="AU270" s="2372"/>
      <c r="AV270" s="2372"/>
      <c r="AW270" s="2372"/>
      <c r="AX270" s="2372"/>
      <c r="AY270" s="2372"/>
      <c r="AZ270" s="2372"/>
      <c r="BA270" s="2372"/>
      <c r="BB270" s="2372"/>
      <c r="BC270" s="2372"/>
      <c r="BD270" s="2372"/>
      <c r="BE270" s="2372"/>
      <c r="BF270" s="2372"/>
      <c r="BG270" s="2372"/>
      <c r="BH270" s="2372"/>
      <c r="BI270" s="2372"/>
      <c r="BJ270" s="2372"/>
      <c r="BK270" s="2372"/>
      <c r="BL270" s="2372"/>
      <c r="BM270" s="2372"/>
      <c r="BN270" s="2372"/>
      <c r="BO270" s="2372"/>
      <c r="BP270" s="2372"/>
      <c r="BQ270" s="2372"/>
      <c r="BR270" s="2372"/>
      <c r="BS270" s="2372"/>
      <c r="BT270" s="2372"/>
      <c r="BU270" s="2372"/>
      <c r="BV270" s="2372"/>
      <c r="BW270" s="2372"/>
      <c r="BX270" s="2372"/>
      <c r="BY270" s="2372"/>
      <c r="BZ270" s="2372"/>
      <c r="CA270" s="2372"/>
      <c r="CB270" s="2372"/>
      <c r="CC270" s="2372"/>
      <c r="CD270" s="2372"/>
      <c r="CE270" s="2372"/>
      <c r="CF270" s="2372"/>
      <c r="CG270" s="2372"/>
      <c r="CH270" s="2372"/>
      <c r="CI270" s="2372"/>
      <c r="CJ270" s="2372"/>
      <c r="CK270" s="2372"/>
      <c r="CL270" s="2372"/>
      <c r="CM270" s="2372"/>
      <c r="CN270" s="2372"/>
      <c r="CO270" s="2372"/>
      <c r="CP270" s="2372"/>
      <c r="CQ270" s="2372"/>
      <c r="CR270" s="2372"/>
      <c r="CS270" s="2372"/>
      <c r="CT270" s="2372"/>
      <c r="CU270" s="2372"/>
      <c r="CV270" s="2372"/>
      <c r="CW270" s="2372"/>
      <c r="CX270" s="2372"/>
      <c r="CY270" s="2372"/>
      <c r="CZ270" s="2372"/>
      <c r="DA270" s="2372"/>
    </row>
    <row r="271" spans="1:105" ht="15" hidden="1" customHeight="1">
      <c r="A271" s="2372"/>
      <c r="B271" s="2372"/>
      <c r="U271" s="2372"/>
      <c r="V271" s="2372"/>
      <c r="W271" s="2372"/>
      <c r="X271" s="2372"/>
      <c r="Y271" s="2372"/>
      <c r="Z271" s="2372"/>
      <c r="AA271" s="2372"/>
      <c r="AB271" s="2372"/>
      <c r="AC271" s="2372"/>
      <c r="AD271" s="2372"/>
      <c r="AE271" s="2372"/>
      <c r="AF271" s="2372"/>
      <c r="AG271" s="2372"/>
      <c r="AH271" s="2372"/>
      <c r="AI271" s="2372"/>
      <c r="AJ271" s="2372"/>
      <c r="AK271" s="2372"/>
      <c r="AL271" s="2372"/>
      <c r="AM271" s="2372"/>
      <c r="AN271" s="2372"/>
      <c r="AO271" s="2372"/>
      <c r="AP271" s="2372"/>
      <c r="AQ271" s="2372"/>
      <c r="AR271" s="2372"/>
      <c r="AS271" s="2372"/>
      <c r="AT271" s="2372"/>
      <c r="AU271" s="2372"/>
      <c r="AV271" s="2372"/>
      <c r="AW271" s="2372"/>
      <c r="AX271" s="2372"/>
      <c r="AY271" s="2372"/>
      <c r="AZ271" s="2372"/>
      <c r="BA271" s="2372"/>
      <c r="BB271" s="2372"/>
      <c r="BC271" s="2372"/>
      <c r="BD271" s="2372"/>
      <c r="BE271" s="2372"/>
      <c r="BF271" s="2372"/>
      <c r="BG271" s="2372"/>
      <c r="BH271" s="2372"/>
      <c r="BI271" s="2372"/>
      <c r="BJ271" s="2372"/>
      <c r="BK271" s="2372"/>
      <c r="BL271" s="2372"/>
      <c r="BM271" s="2372"/>
      <c r="BN271" s="2372"/>
      <c r="BO271" s="2372"/>
      <c r="BP271" s="2372"/>
      <c r="BQ271" s="2372"/>
      <c r="BR271" s="2372"/>
      <c r="BS271" s="2372"/>
      <c r="BT271" s="2372"/>
      <c r="BU271" s="2372"/>
      <c r="BV271" s="2372"/>
      <c r="BW271" s="2372"/>
      <c r="BX271" s="2372"/>
      <c r="BY271" s="2372"/>
      <c r="BZ271" s="2372"/>
      <c r="CA271" s="2372"/>
      <c r="CB271" s="2372"/>
      <c r="CC271" s="2372"/>
      <c r="CD271" s="2372"/>
      <c r="CE271" s="2372"/>
      <c r="CF271" s="2372"/>
      <c r="CG271" s="2372"/>
      <c r="CH271" s="2372"/>
      <c r="CI271" s="2372"/>
      <c r="CJ271" s="2372"/>
      <c r="CK271" s="2372"/>
      <c r="CL271" s="2372"/>
      <c r="CM271" s="2372"/>
      <c r="CN271" s="2372"/>
      <c r="CO271" s="2372"/>
      <c r="CP271" s="2372"/>
      <c r="CQ271" s="2372"/>
      <c r="CR271" s="2372"/>
      <c r="CS271" s="2372"/>
      <c r="CT271" s="2372"/>
      <c r="CU271" s="2372"/>
      <c r="CV271" s="2372"/>
      <c r="CW271" s="2372"/>
      <c r="CX271" s="2372"/>
      <c r="CY271" s="2372"/>
      <c r="CZ271" s="2372"/>
      <c r="DA271" s="2372"/>
    </row>
    <row r="272" spans="1:105" ht="3" hidden="1" customHeight="1">
      <c r="A272" s="2372"/>
      <c r="B272" s="2372"/>
      <c r="U272" s="2372"/>
      <c r="V272" s="2372"/>
      <c r="W272" s="2372"/>
      <c r="X272" s="2372"/>
      <c r="Y272" s="2372"/>
      <c r="Z272" s="2372"/>
      <c r="AA272" s="2372"/>
      <c r="AB272" s="2372"/>
      <c r="AC272" s="2372"/>
      <c r="AD272" s="2372"/>
      <c r="AE272" s="2372"/>
      <c r="AF272" s="2372"/>
      <c r="AG272" s="2372"/>
      <c r="AH272" s="2372"/>
      <c r="AI272" s="2372"/>
      <c r="AJ272" s="2372"/>
      <c r="AK272" s="2372"/>
      <c r="AL272" s="2372"/>
      <c r="AM272" s="2372"/>
      <c r="AN272" s="2372"/>
      <c r="AO272" s="2372"/>
      <c r="AP272" s="2372"/>
      <c r="AQ272" s="2372"/>
      <c r="AR272" s="2372"/>
      <c r="AS272" s="2372"/>
      <c r="AT272" s="2372"/>
      <c r="AU272" s="2372"/>
      <c r="AV272" s="2372"/>
      <c r="AW272" s="2372"/>
      <c r="AX272" s="2372"/>
      <c r="AY272" s="2372"/>
      <c r="AZ272" s="2372"/>
      <c r="BA272" s="2372"/>
      <c r="BB272" s="2372"/>
      <c r="BC272" s="2372"/>
      <c r="BD272" s="2372"/>
      <c r="BE272" s="2372"/>
      <c r="BF272" s="2372"/>
      <c r="BG272" s="2372"/>
      <c r="BH272" s="2372"/>
      <c r="BI272" s="2372"/>
      <c r="BJ272" s="2372"/>
      <c r="BK272" s="2372"/>
      <c r="BL272" s="2372"/>
      <c r="BM272" s="2372"/>
      <c r="BN272" s="2372"/>
      <c r="BO272" s="2372"/>
      <c r="BP272" s="2372"/>
      <c r="BQ272" s="2372"/>
      <c r="BR272" s="2372"/>
      <c r="BS272" s="2372"/>
      <c r="BT272" s="2372"/>
      <c r="BU272" s="2372"/>
      <c r="BV272" s="2372"/>
      <c r="BW272" s="2372"/>
      <c r="BX272" s="2372"/>
      <c r="BY272" s="2372"/>
      <c r="BZ272" s="2372"/>
      <c r="CA272" s="2372"/>
      <c r="CB272" s="2372"/>
      <c r="CC272" s="2372"/>
      <c r="CD272" s="2372"/>
      <c r="CE272" s="2372"/>
      <c r="CF272" s="2372"/>
      <c r="CG272" s="2372"/>
      <c r="CH272" s="2372"/>
      <c r="CI272" s="2372"/>
      <c r="CJ272" s="2372"/>
      <c r="CK272" s="2372"/>
      <c r="CL272" s="2372"/>
      <c r="CM272" s="2372"/>
      <c r="CN272" s="2372"/>
      <c r="CO272" s="2372"/>
      <c r="CP272" s="2372"/>
      <c r="CQ272" s="2372"/>
      <c r="CR272" s="2372"/>
      <c r="CS272" s="2372"/>
      <c r="CT272" s="2372"/>
      <c r="CU272" s="2372"/>
      <c r="CV272" s="2372"/>
      <c r="CW272" s="2372"/>
      <c r="CX272" s="2372"/>
      <c r="CY272" s="2372"/>
      <c r="CZ272" s="2372"/>
      <c r="DA272" s="2372"/>
    </row>
    <row r="273" spans="1:105" ht="15" hidden="1" customHeight="1">
      <c r="A273" s="2372"/>
      <c r="B273" s="2372"/>
      <c r="U273" s="2372"/>
      <c r="V273" s="2372"/>
      <c r="W273" s="2372"/>
      <c r="X273" s="2372"/>
      <c r="Y273" s="2372"/>
      <c r="Z273" s="2372"/>
      <c r="AA273" s="2372"/>
      <c r="AB273" s="2372"/>
      <c r="AC273" s="2372"/>
      <c r="AD273" s="2372"/>
      <c r="AE273" s="2372"/>
      <c r="AF273" s="2372"/>
      <c r="AG273" s="2372"/>
      <c r="AH273" s="2372"/>
      <c r="AI273" s="2372"/>
      <c r="AJ273" s="2372"/>
      <c r="AK273" s="2372"/>
      <c r="AL273" s="2372"/>
      <c r="AM273" s="2372"/>
      <c r="AN273" s="2372"/>
      <c r="AO273" s="2372"/>
      <c r="AP273" s="2372"/>
      <c r="AQ273" s="2372"/>
      <c r="AR273" s="2372"/>
      <c r="AS273" s="2372"/>
      <c r="AT273" s="2372"/>
      <c r="AU273" s="2372"/>
      <c r="AV273" s="2372"/>
      <c r="AW273" s="2372"/>
      <c r="AX273" s="2372"/>
      <c r="AY273" s="2372"/>
      <c r="AZ273" s="2372"/>
      <c r="BA273" s="2372"/>
      <c r="BB273" s="2372"/>
      <c r="BC273" s="2372"/>
      <c r="BD273" s="2372"/>
      <c r="BE273" s="2372"/>
      <c r="BF273" s="2372"/>
      <c r="BG273" s="2372"/>
      <c r="BH273" s="2372"/>
      <c r="BI273" s="2372"/>
      <c r="BJ273" s="2372"/>
      <c r="BK273" s="2372"/>
      <c r="BL273" s="2372"/>
      <c r="BM273" s="2372"/>
      <c r="BN273" s="2372"/>
      <c r="BO273" s="2372"/>
      <c r="BP273" s="2372"/>
      <c r="BQ273" s="2372"/>
      <c r="BR273" s="2372"/>
      <c r="BS273" s="2372"/>
      <c r="BT273" s="2372"/>
      <c r="BU273" s="2372"/>
      <c r="BV273" s="2372"/>
      <c r="BW273" s="2372"/>
      <c r="BX273" s="2372"/>
      <c r="BY273" s="2372"/>
      <c r="BZ273" s="2372"/>
      <c r="CA273" s="2372"/>
      <c r="CB273" s="2372"/>
      <c r="CC273" s="2372"/>
      <c r="CD273" s="2372"/>
      <c r="CE273" s="2372"/>
      <c r="CF273" s="2372"/>
      <c r="CG273" s="2372"/>
      <c r="CH273" s="2372"/>
      <c r="CI273" s="2372"/>
      <c r="CJ273" s="2372"/>
      <c r="CK273" s="2372"/>
      <c r="CL273" s="2372"/>
      <c r="CM273" s="2372"/>
      <c r="CN273" s="2372"/>
      <c r="CO273" s="2372"/>
      <c r="CP273" s="2372"/>
      <c r="CQ273" s="2372"/>
      <c r="CR273" s="2372"/>
      <c r="CS273" s="2372"/>
      <c r="CT273" s="2372"/>
      <c r="CU273" s="2372"/>
      <c r="CV273" s="2372"/>
      <c r="CW273" s="2372"/>
      <c r="CX273" s="2372"/>
      <c r="CY273" s="2372"/>
      <c r="CZ273" s="2372"/>
      <c r="DA273" s="2372"/>
    </row>
    <row r="274" spans="1:105" ht="3" hidden="1" customHeight="1">
      <c r="A274" s="2372"/>
      <c r="B274" s="2372"/>
      <c r="U274" s="2372"/>
      <c r="V274" s="2372"/>
      <c r="W274" s="2372"/>
      <c r="X274" s="2372"/>
      <c r="Y274" s="2372"/>
      <c r="Z274" s="2372"/>
      <c r="AA274" s="2372"/>
      <c r="AB274" s="2372"/>
      <c r="AC274" s="2372"/>
      <c r="AD274" s="2372"/>
      <c r="AE274" s="2372"/>
      <c r="AF274" s="2372"/>
      <c r="AG274" s="2372"/>
      <c r="AH274" s="2372"/>
      <c r="AI274" s="2372"/>
      <c r="AJ274" s="2372"/>
      <c r="AK274" s="2372"/>
      <c r="AL274" s="2372"/>
      <c r="AM274" s="2372"/>
      <c r="AN274" s="2372"/>
      <c r="AO274" s="2372"/>
      <c r="AP274" s="2372"/>
      <c r="AQ274" s="2372"/>
      <c r="AR274" s="2372"/>
      <c r="AS274" s="2372"/>
      <c r="AT274" s="2372"/>
      <c r="AU274" s="2372"/>
      <c r="AV274" s="2372"/>
      <c r="AW274" s="2372"/>
      <c r="AX274" s="2372"/>
      <c r="AY274" s="2372"/>
      <c r="AZ274" s="2372"/>
      <c r="BA274" s="2372"/>
      <c r="BB274" s="2372"/>
      <c r="BC274" s="2372"/>
      <c r="BD274" s="2372"/>
      <c r="BE274" s="2372"/>
      <c r="BF274" s="2372"/>
      <c r="BG274" s="2372"/>
      <c r="BH274" s="2372"/>
      <c r="BI274" s="2372"/>
      <c r="BJ274" s="2372"/>
      <c r="BK274" s="2372"/>
      <c r="BL274" s="2372"/>
      <c r="BM274" s="2372"/>
      <c r="BN274" s="2372"/>
      <c r="BO274" s="2372"/>
      <c r="BP274" s="2372"/>
      <c r="BQ274" s="2372"/>
      <c r="BR274" s="2372"/>
      <c r="BS274" s="2372"/>
      <c r="BT274" s="2372"/>
      <c r="BU274" s="2372"/>
      <c r="BV274" s="2372"/>
      <c r="BW274" s="2372"/>
      <c r="BX274" s="2372"/>
      <c r="BY274" s="2372"/>
      <c r="BZ274" s="2372"/>
      <c r="CA274" s="2372"/>
      <c r="CB274" s="2372"/>
      <c r="CC274" s="2372"/>
      <c r="CD274" s="2372"/>
      <c r="CE274" s="2372"/>
      <c r="CF274" s="2372"/>
      <c r="CG274" s="2372"/>
      <c r="CH274" s="2372"/>
      <c r="CI274" s="2372"/>
      <c r="CJ274" s="2372"/>
      <c r="CK274" s="2372"/>
      <c r="CL274" s="2372"/>
      <c r="CM274" s="2372"/>
      <c r="CN274" s="2372"/>
      <c r="CO274" s="2372"/>
      <c r="CP274" s="2372"/>
      <c r="CQ274" s="2372"/>
      <c r="CR274" s="2372"/>
      <c r="CS274" s="2372"/>
      <c r="CT274" s="2372"/>
      <c r="CU274" s="2372"/>
      <c r="CV274" s="2372"/>
      <c r="CW274" s="2372"/>
      <c r="CX274" s="2372"/>
      <c r="CY274" s="2372"/>
      <c r="CZ274" s="2372"/>
      <c r="DA274" s="2372"/>
    </row>
    <row r="275" spans="1:105" ht="15" hidden="1" customHeight="1">
      <c r="A275" s="2372"/>
      <c r="B275" s="2372"/>
      <c r="U275" s="2372"/>
      <c r="V275" s="2372"/>
      <c r="W275" s="2372"/>
      <c r="X275" s="2372"/>
      <c r="Y275" s="2372"/>
      <c r="Z275" s="2372"/>
      <c r="AA275" s="2372"/>
      <c r="AB275" s="2372"/>
      <c r="AC275" s="2372"/>
      <c r="AD275" s="2372"/>
      <c r="AE275" s="2372"/>
      <c r="AF275" s="2372"/>
      <c r="AG275" s="2372"/>
      <c r="AH275" s="2372"/>
      <c r="AI275" s="2372"/>
      <c r="AJ275" s="2372"/>
      <c r="AK275" s="2372"/>
      <c r="AL275" s="2372"/>
      <c r="AM275" s="2372"/>
      <c r="AN275" s="2372"/>
      <c r="AO275" s="2372"/>
      <c r="AP275" s="2372"/>
      <c r="AQ275" s="2372"/>
      <c r="AR275" s="2372"/>
      <c r="AS275" s="2372"/>
      <c r="AT275" s="2372"/>
      <c r="AU275" s="2372"/>
      <c r="AV275" s="2372"/>
      <c r="AW275" s="2372"/>
      <c r="AX275" s="2372"/>
      <c r="AY275" s="2372"/>
      <c r="AZ275" s="2372"/>
      <c r="BA275" s="2372"/>
      <c r="BB275" s="2372"/>
      <c r="BC275" s="2372"/>
      <c r="BD275" s="2372"/>
      <c r="BE275" s="2372"/>
      <c r="BF275" s="2372"/>
      <c r="BG275" s="2372"/>
      <c r="BH275" s="2372"/>
      <c r="BI275" s="2372"/>
      <c r="BJ275" s="2372"/>
      <c r="BK275" s="2372"/>
      <c r="BL275" s="2372"/>
      <c r="BM275" s="2372"/>
      <c r="BN275" s="2372"/>
      <c r="BO275" s="2372"/>
      <c r="BP275" s="2372"/>
      <c r="BQ275" s="2372"/>
      <c r="BR275" s="2372"/>
      <c r="BS275" s="2372"/>
      <c r="BT275" s="2372"/>
      <c r="BU275" s="2372"/>
      <c r="BV275" s="2372"/>
      <c r="BW275" s="2372"/>
      <c r="BX275" s="2372"/>
      <c r="BY275" s="2372"/>
      <c r="BZ275" s="2372"/>
      <c r="CA275" s="2372"/>
      <c r="CB275" s="2372"/>
      <c r="CC275" s="2372"/>
      <c r="CD275" s="2372"/>
      <c r="CE275" s="2372"/>
      <c r="CF275" s="2372"/>
      <c r="CG275" s="2372"/>
      <c r="CH275" s="2372"/>
      <c r="CI275" s="2372"/>
      <c r="CJ275" s="2372"/>
      <c r="CK275" s="2372"/>
      <c r="CL275" s="2372"/>
      <c r="CM275" s="2372"/>
      <c r="CN275" s="2372"/>
      <c r="CO275" s="2372"/>
      <c r="CP275" s="2372"/>
      <c r="CQ275" s="2372"/>
      <c r="CR275" s="2372"/>
      <c r="CS275" s="2372"/>
      <c r="CT275" s="2372"/>
      <c r="CU275" s="2372"/>
      <c r="CV275" s="2372"/>
      <c r="CW275" s="2372"/>
      <c r="CX275" s="2372"/>
      <c r="CY275" s="2372"/>
      <c r="CZ275" s="2372"/>
      <c r="DA275" s="2372"/>
    </row>
    <row r="276" spans="1:105" ht="3" hidden="1" customHeight="1">
      <c r="A276" s="2372"/>
      <c r="B276" s="2372"/>
      <c r="U276" s="2372"/>
      <c r="V276" s="2372"/>
      <c r="W276" s="2372"/>
      <c r="X276" s="2372"/>
      <c r="Y276" s="2372"/>
      <c r="Z276" s="2372"/>
      <c r="AA276" s="2372"/>
      <c r="AB276" s="2372"/>
      <c r="AC276" s="2372"/>
      <c r="AD276" s="2372"/>
      <c r="AE276" s="2372"/>
      <c r="AF276" s="2372"/>
      <c r="AG276" s="2372"/>
      <c r="AH276" s="2372"/>
      <c r="AI276" s="2372"/>
      <c r="AJ276" s="2372"/>
      <c r="AK276" s="2372"/>
      <c r="AL276" s="2372"/>
      <c r="AM276" s="2372"/>
      <c r="AN276" s="2372"/>
      <c r="AO276" s="2372"/>
      <c r="AP276" s="2372"/>
      <c r="AQ276" s="2372"/>
      <c r="AR276" s="2372"/>
      <c r="AS276" s="2372"/>
      <c r="AT276" s="2372"/>
      <c r="AU276" s="2372"/>
      <c r="AV276" s="2372"/>
      <c r="AW276" s="2372"/>
      <c r="AX276" s="2372"/>
      <c r="AY276" s="2372"/>
      <c r="AZ276" s="2372"/>
      <c r="BA276" s="2372"/>
      <c r="BB276" s="2372"/>
      <c r="BC276" s="2372"/>
      <c r="BD276" s="2372"/>
      <c r="BE276" s="2372"/>
      <c r="BF276" s="2372"/>
      <c r="BG276" s="2372"/>
      <c r="BH276" s="2372"/>
      <c r="BI276" s="2372"/>
      <c r="BJ276" s="2372"/>
      <c r="BK276" s="2372"/>
      <c r="BL276" s="2372"/>
      <c r="BM276" s="2372"/>
      <c r="BN276" s="2372"/>
      <c r="BO276" s="2372"/>
      <c r="BP276" s="2372"/>
      <c r="BQ276" s="2372"/>
      <c r="BR276" s="2372"/>
      <c r="BS276" s="2372"/>
      <c r="BT276" s="2372"/>
      <c r="BU276" s="2372"/>
      <c r="BV276" s="2372"/>
      <c r="BW276" s="2372"/>
      <c r="BX276" s="2372"/>
      <c r="BY276" s="2372"/>
      <c r="BZ276" s="2372"/>
      <c r="CA276" s="2372"/>
      <c r="CB276" s="2372"/>
      <c r="CC276" s="2372"/>
      <c r="CD276" s="2372"/>
      <c r="CE276" s="2372"/>
      <c r="CF276" s="2372"/>
      <c r="CG276" s="2372"/>
      <c r="CH276" s="2372"/>
      <c r="CI276" s="2372"/>
      <c r="CJ276" s="2372"/>
      <c r="CK276" s="2372"/>
      <c r="CL276" s="2372"/>
      <c r="CM276" s="2372"/>
      <c r="CN276" s="2372"/>
      <c r="CO276" s="2372"/>
      <c r="CP276" s="2372"/>
      <c r="CQ276" s="2372"/>
      <c r="CR276" s="2372"/>
      <c r="CS276" s="2372"/>
      <c r="CT276" s="2372"/>
      <c r="CU276" s="2372"/>
      <c r="CV276" s="2372"/>
      <c r="CW276" s="2372"/>
      <c r="CX276" s="2372"/>
      <c r="CY276" s="2372"/>
      <c r="CZ276" s="2372"/>
      <c r="DA276" s="2372"/>
    </row>
    <row r="277" spans="1:105" ht="15" hidden="1" customHeight="1">
      <c r="A277" s="2372"/>
      <c r="B277" s="2372"/>
      <c r="U277" s="2372"/>
      <c r="V277" s="2372"/>
      <c r="W277" s="2372"/>
      <c r="X277" s="2372"/>
      <c r="Y277" s="2372"/>
      <c r="Z277" s="2372"/>
      <c r="AA277" s="2372"/>
      <c r="AB277" s="2372"/>
      <c r="AC277" s="2372"/>
      <c r="AD277" s="2372"/>
      <c r="AE277" s="2372"/>
      <c r="AF277" s="2372"/>
      <c r="AG277" s="2372"/>
      <c r="AH277" s="2372"/>
      <c r="AI277" s="2372"/>
      <c r="AJ277" s="2372"/>
      <c r="AK277" s="2372"/>
      <c r="AL277" s="2372"/>
      <c r="AM277" s="2372"/>
      <c r="AN277" s="2372"/>
      <c r="AO277" s="2372"/>
      <c r="AP277" s="2372"/>
      <c r="AQ277" s="2372"/>
      <c r="AR277" s="2372"/>
      <c r="AS277" s="2372"/>
      <c r="AT277" s="2372"/>
      <c r="AU277" s="2372"/>
      <c r="AV277" s="2372"/>
      <c r="AW277" s="2372"/>
      <c r="AX277" s="2372"/>
      <c r="AY277" s="2372"/>
      <c r="AZ277" s="2372"/>
      <c r="BA277" s="2372"/>
      <c r="BB277" s="2372"/>
      <c r="BC277" s="2372"/>
      <c r="BD277" s="2372"/>
      <c r="BE277" s="2372"/>
      <c r="BF277" s="2372"/>
      <c r="BG277" s="2372"/>
      <c r="BH277" s="2372"/>
      <c r="BI277" s="2372"/>
      <c r="BJ277" s="2372"/>
      <c r="BK277" s="2372"/>
      <c r="BL277" s="2372"/>
      <c r="BM277" s="2372"/>
      <c r="BN277" s="2372"/>
      <c r="BO277" s="2372"/>
      <c r="BP277" s="2372"/>
      <c r="BQ277" s="2372"/>
      <c r="BR277" s="2372"/>
      <c r="BS277" s="2372"/>
      <c r="BT277" s="2372"/>
      <c r="BU277" s="2372"/>
      <c r="BV277" s="2372"/>
      <c r="BW277" s="2372"/>
      <c r="BX277" s="2372"/>
      <c r="BY277" s="2372"/>
      <c r="BZ277" s="2372"/>
      <c r="CA277" s="2372"/>
      <c r="CB277" s="2372"/>
      <c r="CC277" s="2372"/>
      <c r="CD277" s="2372"/>
      <c r="CE277" s="2372"/>
      <c r="CF277" s="2372"/>
      <c r="CG277" s="2372"/>
      <c r="CH277" s="2372"/>
      <c r="CI277" s="2372"/>
      <c r="CJ277" s="2372"/>
      <c r="CK277" s="2372"/>
      <c r="CL277" s="2372"/>
      <c r="CM277" s="2372"/>
      <c r="CN277" s="2372"/>
      <c r="CO277" s="2372"/>
      <c r="CP277" s="2372"/>
      <c r="CQ277" s="2372"/>
      <c r="CR277" s="2372"/>
      <c r="CS277" s="2372"/>
      <c r="CT277" s="2372"/>
      <c r="CU277" s="2372"/>
      <c r="CV277" s="2372"/>
      <c r="CW277" s="2372"/>
      <c r="CX277" s="2372"/>
      <c r="CY277" s="2372"/>
      <c r="CZ277" s="2372"/>
      <c r="DA277" s="2372"/>
    </row>
    <row r="278" spans="1:105" ht="3" hidden="1" customHeight="1">
      <c r="A278" s="2372"/>
      <c r="B278" s="2372"/>
      <c r="U278" s="2372"/>
      <c r="V278" s="2372"/>
      <c r="W278" s="2372"/>
      <c r="X278" s="2372"/>
      <c r="Y278" s="2372"/>
      <c r="Z278" s="2372"/>
      <c r="AA278" s="2372"/>
      <c r="AB278" s="2372"/>
      <c r="AC278" s="2372"/>
      <c r="AD278" s="2372"/>
      <c r="AE278" s="2372"/>
      <c r="AF278" s="2372"/>
      <c r="AG278" s="2372"/>
      <c r="AH278" s="2372"/>
      <c r="AI278" s="2372"/>
      <c r="AJ278" s="2372"/>
      <c r="AK278" s="2372"/>
      <c r="AL278" s="2372"/>
      <c r="AM278" s="2372"/>
      <c r="AN278" s="2372"/>
      <c r="AO278" s="2372"/>
      <c r="AP278" s="2372"/>
      <c r="AQ278" s="2372"/>
      <c r="AR278" s="2372"/>
      <c r="AS278" s="2372"/>
      <c r="AT278" s="2372"/>
      <c r="AU278" s="2372"/>
      <c r="AV278" s="2372"/>
      <c r="AW278" s="2372"/>
      <c r="AX278" s="2372"/>
      <c r="AY278" s="2372"/>
      <c r="AZ278" s="2372"/>
      <c r="BA278" s="2372"/>
      <c r="BB278" s="2372"/>
      <c r="BC278" s="2372"/>
      <c r="BD278" s="2372"/>
      <c r="BE278" s="2372"/>
      <c r="BF278" s="2372"/>
      <c r="BG278" s="2372"/>
      <c r="BH278" s="2372"/>
      <c r="BI278" s="2372"/>
      <c r="BJ278" s="2372"/>
      <c r="BK278" s="2372"/>
      <c r="BL278" s="2372"/>
      <c r="BM278" s="2372"/>
      <c r="BN278" s="2372"/>
      <c r="BO278" s="2372"/>
      <c r="BP278" s="2372"/>
      <c r="BQ278" s="2372"/>
      <c r="BR278" s="2372"/>
      <c r="BS278" s="2372"/>
      <c r="BT278" s="2372"/>
      <c r="BU278" s="2372"/>
      <c r="BV278" s="2372"/>
      <c r="BW278" s="2372"/>
      <c r="BX278" s="2372"/>
      <c r="BY278" s="2372"/>
      <c r="BZ278" s="2372"/>
      <c r="CA278" s="2372"/>
      <c r="CB278" s="2372"/>
      <c r="CC278" s="2372"/>
      <c r="CD278" s="2372"/>
      <c r="CE278" s="2372"/>
      <c r="CF278" s="2372"/>
      <c r="CG278" s="2372"/>
      <c r="CH278" s="2372"/>
      <c r="CI278" s="2372"/>
      <c r="CJ278" s="2372"/>
      <c r="CK278" s="2372"/>
      <c r="CL278" s="2372"/>
      <c r="CM278" s="2372"/>
      <c r="CN278" s="2372"/>
      <c r="CO278" s="2372"/>
      <c r="CP278" s="2372"/>
      <c r="CQ278" s="2372"/>
      <c r="CR278" s="2372"/>
      <c r="CS278" s="2372"/>
      <c r="CT278" s="2372"/>
      <c r="CU278" s="2372"/>
      <c r="CV278" s="2372"/>
      <c r="CW278" s="2372"/>
      <c r="CX278" s="2372"/>
      <c r="CY278" s="2372"/>
      <c r="CZ278" s="2372"/>
      <c r="DA278" s="2372"/>
    </row>
    <row r="279" spans="1:105" ht="15" hidden="1" customHeight="1">
      <c r="A279" s="2372"/>
      <c r="B279" s="2372"/>
      <c r="U279" s="2372"/>
      <c r="V279" s="2372"/>
      <c r="W279" s="2372"/>
      <c r="X279" s="2372"/>
      <c r="Y279" s="2372"/>
      <c r="Z279" s="2372"/>
      <c r="AA279" s="2372"/>
      <c r="AB279" s="2372"/>
      <c r="AC279" s="2372"/>
      <c r="AD279" s="2372"/>
      <c r="AE279" s="2372"/>
      <c r="AF279" s="2372"/>
      <c r="AG279" s="2372"/>
      <c r="AH279" s="2372"/>
      <c r="AI279" s="2372"/>
      <c r="AJ279" s="2372"/>
      <c r="AK279" s="2372"/>
      <c r="AL279" s="2372"/>
      <c r="AM279" s="2372"/>
      <c r="AN279" s="2372"/>
      <c r="AO279" s="2372"/>
      <c r="AP279" s="2372"/>
      <c r="AQ279" s="2372"/>
      <c r="AR279" s="2372"/>
      <c r="AS279" s="2372"/>
      <c r="AT279" s="2372"/>
      <c r="AU279" s="2372"/>
      <c r="AV279" s="2372"/>
      <c r="AW279" s="2372"/>
      <c r="AX279" s="2372"/>
      <c r="AY279" s="2372"/>
      <c r="AZ279" s="2372"/>
      <c r="BA279" s="2372"/>
      <c r="BB279" s="2372"/>
      <c r="BC279" s="2372"/>
      <c r="BD279" s="2372"/>
      <c r="BE279" s="2372"/>
      <c r="BF279" s="2372"/>
      <c r="BG279" s="2372"/>
      <c r="BH279" s="2372"/>
      <c r="BI279" s="2372"/>
      <c r="BJ279" s="2372"/>
      <c r="BK279" s="2372"/>
      <c r="BL279" s="2372"/>
      <c r="BM279" s="2372"/>
      <c r="BN279" s="2372"/>
      <c r="BO279" s="2372"/>
      <c r="BP279" s="2372"/>
      <c r="BQ279" s="2372"/>
      <c r="BR279" s="2372"/>
      <c r="BS279" s="2372"/>
      <c r="BT279" s="2372"/>
      <c r="BU279" s="2372"/>
      <c r="BV279" s="2372"/>
      <c r="BW279" s="2372"/>
      <c r="BX279" s="2372"/>
      <c r="BY279" s="2372"/>
      <c r="BZ279" s="2372"/>
      <c r="CA279" s="2372"/>
      <c r="CB279" s="2372"/>
      <c r="CC279" s="2372"/>
      <c r="CD279" s="2372"/>
      <c r="CE279" s="2372"/>
      <c r="CF279" s="2372"/>
      <c r="CG279" s="2372"/>
      <c r="CH279" s="2372"/>
      <c r="CI279" s="2372"/>
      <c r="CJ279" s="2372"/>
      <c r="CK279" s="2372"/>
      <c r="CL279" s="2372"/>
      <c r="CM279" s="2372"/>
      <c r="CN279" s="2372"/>
      <c r="CO279" s="2372"/>
      <c r="CP279" s="2372"/>
      <c r="CQ279" s="2372"/>
      <c r="CR279" s="2372"/>
      <c r="CS279" s="2372"/>
      <c r="CT279" s="2372"/>
      <c r="CU279" s="2372"/>
      <c r="CV279" s="2372"/>
      <c r="CW279" s="2372"/>
      <c r="CX279" s="2372"/>
      <c r="CY279" s="2372"/>
      <c r="CZ279" s="2372"/>
      <c r="DA279" s="2372"/>
    </row>
    <row r="280" spans="1:105" ht="3" hidden="1" customHeight="1">
      <c r="A280" s="2372"/>
      <c r="B280" s="2372"/>
      <c r="U280" s="2372"/>
      <c r="V280" s="2372"/>
      <c r="W280" s="2372"/>
      <c r="X280" s="2372"/>
      <c r="Y280" s="2372"/>
      <c r="Z280" s="2372"/>
      <c r="AA280" s="2372"/>
      <c r="AB280" s="2372"/>
      <c r="AC280" s="2372"/>
      <c r="AD280" s="2372"/>
      <c r="AE280" s="2372"/>
      <c r="AF280" s="2372"/>
      <c r="AG280" s="2372"/>
      <c r="AH280" s="2372"/>
      <c r="AI280" s="2372"/>
      <c r="AJ280" s="2372"/>
      <c r="AK280" s="2372"/>
      <c r="AL280" s="2372"/>
      <c r="AM280" s="2372"/>
      <c r="AN280" s="2372"/>
      <c r="AO280" s="2372"/>
      <c r="AP280" s="2372"/>
      <c r="AQ280" s="2372"/>
      <c r="AR280" s="2372"/>
      <c r="AS280" s="2372"/>
      <c r="AT280" s="2372"/>
      <c r="AU280" s="2372"/>
      <c r="AV280" s="2372"/>
      <c r="AW280" s="2372"/>
      <c r="AX280" s="2372"/>
      <c r="AY280" s="2372"/>
      <c r="AZ280" s="2372"/>
      <c r="BA280" s="2372"/>
      <c r="BB280" s="2372"/>
      <c r="BC280" s="2372"/>
      <c r="BD280" s="2372"/>
      <c r="BE280" s="2372"/>
      <c r="BF280" s="2372"/>
      <c r="BG280" s="2372"/>
      <c r="BH280" s="2372"/>
      <c r="BI280" s="2372"/>
      <c r="BJ280" s="2372"/>
      <c r="BK280" s="2372"/>
      <c r="BL280" s="2372"/>
      <c r="BM280" s="2372"/>
      <c r="BN280" s="2372"/>
      <c r="BO280" s="2372"/>
      <c r="BP280" s="2372"/>
      <c r="BQ280" s="2372"/>
      <c r="BR280" s="2372"/>
      <c r="BS280" s="2372"/>
      <c r="BT280" s="2372"/>
      <c r="BU280" s="2372"/>
      <c r="BV280" s="2372"/>
      <c r="BW280" s="2372"/>
      <c r="BX280" s="2372"/>
      <c r="BY280" s="2372"/>
      <c r="BZ280" s="2372"/>
      <c r="CA280" s="2372"/>
      <c r="CB280" s="2372"/>
      <c r="CC280" s="2372"/>
      <c r="CD280" s="2372"/>
      <c r="CE280" s="2372"/>
      <c r="CF280" s="2372"/>
      <c r="CG280" s="2372"/>
      <c r="CH280" s="2372"/>
      <c r="CI280" s="2372"/>
      <c r="CJ280" s="2372"/>
      <c r="CK280" s="2372"/>
      <c r="CL280" s="2372"/>
      <c r="CM280" s="2372"/>
      <c r="CN280" s="2372"/>
      <c r="CO280" s="2372"/>
      <c r="CP280" s="2372"/>
      <c r="CQ280" s="2372"/>
      <c r="CR280" s="2372"/>
      <c r="CS280" s="2372"/>
      <c r="CT280" s="2372"/>
      <c r="CU280" s="2372"/>
      <c r="CV280" s="2372"/>
      <c r="CW280" s="2372"/>
      <c r="CX280" s="2372"/>
      <c r="CY280" s="2372"/>
      <c r="CZ280" s="2372"/>
      <c r="DA280" s="2372"/>
    </row>
    <row r="281" spans="1:105" ht="15" hidden="1" customHeight="1">
      <c r="A281" s="2372"/>
      <c r="B281" s="2372"/>
      <c r="U281" s="2372"/>
      <c r="V281" s="2372"/>
      <c r="W281" s="2372"/>
      <c r="X281" s="2372"/>
      <c r="Y281" s="2372"/>
      <c r="Z281" s="2372"/>
      <c r="AA281" s="2372"/>
      <c r="AB281" s="2372"/>
      <c r="AC281" s="2372"/>
      <c r="AD281" s="2372"/>
      <c r="AE281" s="2372"/>
      <c r="AF281" s="2372"/>
      <c r="AG281" s="2372"/>
      <c r="AH281" s="2372"/>
      <c r="AI281" s="2372"/>
      <c r="AJ281" s="2372"/>
      <c r="AK281" s="2372"/>
      <c r="AL281" s="2372"/>
      <c r="AM281" s="2372"/>
      <c r="AN281" s="2372"/>
      <c r="AO281" s="2372"/>
      <c r="AP281" s="2372"/>
      <c r="AQ281" s="2372"/>
      <c r="AR281" s="2372"/>
      <c r="AS281" s="2372"/>
      <c r="AT281" s="2372"/>
      <c r="AU281" s="2372"/>
      <c r="AV281" s="2372"/>
      <c r="AW281" s="2372"/>
      <c r="AX281" s="2372"/>
      <c r="AY281" s="2372"/>
      <c r="AZ281" s="2372"/>
      <c r="BA281" s="2372"/>
      <c r="BB281" s="2372"/>
      <c r="BC281" s="2372"/>
      <c r="BD281" s="2372"/>
      <c r="BE281" s="2372"/>
      <c r="BF281" s="2372"/>
      <c r="BG281" s="2372"/>
      <c r="BH281" s="2372"/>
      <c r="BI281" s="2372"/>
      <c r="BJ281" s="2372"/>
      <c r="BK281" s="2372"/>
      <c r="BL281" s="2372"/>
      <c r="BM281" s="2372"/>
      <c r="BN281" s="2372"/>
      <c r="BO281" s="2372"/>
      <c r="BP281" s="2372"/>
      <c r="BQ281" s="2372"/>
      <c r="BR281" s="2372"/>
      <c r="BS281" s="2372"/>
      <c r="BT281" s="2372"/>
      <c r="BU281" s="2372"/>
      <c r="BV281" s="2372"/>
      <c r="BW281" s="2372"/>
      <c r="BX281" s="2372"/>
      <c r="BY281" s="2372"/>
      <c r="BZ281" s="2372"/>
      <c r="CA281" s="2372"/>
      <c r="CB281" s="2372"/>
      <c r="CC281" s="2372"/>
      <c r="CD281" s="2372"/>
      <c r="CE281" s="2372"/>
      <c r="CF281" s="2372"/>
      <c r="CG281" s="2372"/>
      <c r="CH281" s="2372"/>
      <c r="CI281" s="2372"/>
      <c r="CJ281" s="2372"/>
      <c r="CK281" s="2372"/>
      <c r="CL281" s="2372"/>
      <c r="CM281" s="2372"/>
      <c r="CN281" s="2372"/>
      <c r="CO281" s="2372"/>
      <c r="CP281" s="2372"/>
      <c r="CQ281" s="2372"/>
      <c r="CR281" s="2372"/>
      <c r="CS281" s="2372"/>
      <c r="CT281" s="2372"/>
      <c r="CU281" s="2372"/>
      <c r="CV281" s="2372"/>
      <c r="CW281" s="2372"/>
      <c r="CX281" s="2372"/>
      <c r="CY281" s="2372"/>
      <c r="CZ281" s="2372"/>
      <c r="DA281" s="2372"/>
    </row>
    <row r="282" spans="1:105" ht="3" hidden="1" customHeight="1">
      <c r="A282" s="2372"/>
      <c r="B282" s="2372"/>
      <c r="U282" s="2372"/>
      <c r="V282" s="2372"/>
      <c r="W282" s="2372"/>
      <c r="X282" s="2372"/>
      <c r="Y282" s="2372"/>
      <c r="Z282" s="2372"/>
      <c r="AA282" s="2372"/>
      <c r="AB282" s="2372"/>
      <c r="AC282" s="2372"/>
      <c r="AD282" s="2372"/>
      <c r="AE282" s="2372"/>
      <c r="AF282" s="2372"/>
      <c r="AG282" s="2372"/>
      <c r="AH282" s="2372"/>
      <c r="AI282" s="2372"/>
      <c r="AJ282" s="2372"/>
      <c r="AK282" s="2372"/>
      <c r="AL282" s="2372"/>
      <c r="AM282" s="2372"/>
      <c r="AN282" s="2372"/>
      <c r="AO282" s="2372"/>
      <c r="AP282" s="2372"/>
      <c r="AQ282" s="2372"/>
      <c r="AR282" s="2372"/>
      <c r="AS282" s="2372"/>
      <c r="AT282" s="2372"/>
      <c r="AU282" s="2372"/>
      <c r="AV282" s="2372"/>
      <c r="AW282" s="2372"/>
      <c r="AX282" s="2372"/>
      <c r="AY282" s="2372"/>
      <c r="AZ282" s="2372"/>
      <c r="BA282" s="2372"/>
      <c r="BB282" s="2372"/>
      <c r="BC282" s="2372"/>
      <c r="BD282" s="2372"/>
      <c r="BE282" s="2372"/>
      <c r="BF282" s="2372"/>
      <c r="BG282" s="2372"/>
      <c r="BH282" s="2372"/>
      <c r="BI282" s="2372"/>
      <c r="BJ282" s="2372"/>
      <c r="BK282" s="2372"/>
      <c r="BL282" s="2372"/>
      <c r="BM282" s="2372"/>
      <c r="BN282" s="2372"/>
      <c r="BO282" s="2372"/>
      <c r="BP282" s="2372"/>
      <c r="BQ282" s="2372"/>
      <c r="BR282" s="2372"/>
      <c r="BS282" s="2372"/>
      <c r="BT282" s="2372"/>
      <c r="BU282" s="2372"/>
      <c r="BV282" s="2372"/>
      <c r="BW282" s="2372"/>
      <c r="BX282" s="2372"/>
      <c r="BY282" s="2372"/>
      <c r="BZ282" s="2372"/>
      <c r="CA282" s="2372"/>
      <c r="CB282" s="2372"/>
      <c r="CC282" s="2372"/>
      <c r="CD282" s="2372"/>
      <c r="CE282" s="2372"/>
      <c r="CF282" s="2372"/>
      <c r="CG282" s="2372"/>
      <c r="CH282" s="2372"/>
      <c r="CI282" s="2372"/>
      <c r="CJ282" s="2372"/>
      <c r="CK282" s="2372"/>
      <c r="CL282" s="2372"/>
      <c r="CM282" s="2372"/>
      <c r="CN282" s="2372"/>
      <c r="CO282" s="2372"/>
      <c r="CP282" s="2372"/>
      <c r="CQ282" s="2372"/>
      <c r="CR282" s="2372"/>
      <c r="CS282" s="2372"/>
      <c r="CT282" s="2372"/>
      <c r="CU282" s="2372"/>
      <c r="CV282" s="2372"/>
      <c r="CW282" s="2372"/>
      <c r="CX282" s="2372"/>
      <c r="CY282" s="2372"/>
      <c r="CZ282" s="2372"/>
      <c r="DA282" s="2372"/>
    </row>
    <row r="283" spans="1:105" ht="15" hidden="1" customHeight="1">
      <c r="A283" s="2372"/>
      <c r="B283" s="2372"/>
      <c r="U283" s="2372"/>
      <c r="V283" s="2372"/>
      <c r="W283" s="2372"/>
      <c r="X283" s="2372"/>
      <c r="Y283" s="2372"/>
      <c r="Z283" s="2372"/>
      <c r="AA283" s="2372"/>
      <c r="AB283" s="2372"/>
      <c r="AC283" s="2372"/>
      <c r="AD283" s="2372"/>
      <c r="AE283" s="2372"/>
      <c r="AF283" s="2372"/>
      <c r="AG283" s="2372"/>
      <c r="AH283" s="2372"/>
      <c r="AI283" s="2372"/>
      <c r="AJ283" s="2372"/>
      <c r="AK283" s="2372"/>
      <c r="AL283" s="2372"/>
      <c r="AM283" s="2372"/>
      <c r="AN283" s="2372"/>
      <c r="AO283" s="2372"/>
      <c r="AP283" s="2372"/>
      <c r="AQ283" s="2372"/>
      <c r="AR283" s="2372"/>
      <c r="AS283" s="2372"/>
      <c r="AT283" s="2372"/>
      <c r="AU283" s="2372"/>
      <c r="AV283" s="2372"/>
      <c r="AW283" s="2372"/>
      <c r="AX283" s="2372"/>
      <c r="AY283" s="2372"/>
      <c r="AZ283" s="2372"/>
      <c r="BA283" s="2372"/>
      <c r="BB283" s="2372"/>
      <c r="BC283" s="2372"/>
      <c r="BD283" s="2372"/>
      <c r="BE283" s="2372"/>
      <c r="BF283" s="2372"/>
      <c r="BG283" s="2372"/>
      <c r="BH283" s="2372"/>
      <c r="BI283" s="2372"/>
      <c r="BJ283" s="2372"/>
      <c r="BK283" s="2372"/>
      <c r="BL283" s="2372"/>
      <c r="BM283" s="2372"/>
      <c r="BN283" s="2372"/>
      <c r="BO283" s="2372"/>
      <c r="BP283" s="2372"/>
      <c r="BQ283" s="2372"/>
      <c r="BR283" s="2372"/>
      <c r="BS283" s="2372"/>
      <c r="BT283" s="2372"/>
      <c r="BU283" s="2372"/>
      <c r="BV283" s="2372"/>
      <c r="BW283" s="2372"/>
      <c r="BX283" s="2372"/>
      <c r="BY283" s="2372"/>
      <c r="BZ283" s="2372"/>
      <c r="CA283" s="2372"/>
      <c r="CB283" s="2372"/>
      <c r="CC283" s="2372"/>
      <c r="CD283" s="2372"/>
      <c r="CE283" s="2372"/>
      <c r="CF283" s="2372"/>
      <c r="CG283" s="2372"/>
      <c r="CH283" s="2372"/>
      <c r="CI283" s="2372"/>
      <c r="CJ283" s="2372"/>
      <c r="CK283" s="2372"/>
      <c r="CL283" s="2372"/>
      <c r="CM283" s="2372"/>
      <c r="CN283" s="2372"/>
      <c r="CO283" s="2372"/>
      <c r="CP283" s="2372"/>
      <c r="CQ283" s="2372"/>
      <c r="CR283" s="2372"/>
      <c r="CS283" s="2372"/>
      <c r="CT283" s="2372"/>
      <c r="CU283" s="2372"/>
      <c r="CV283" s="2372"/>
      <c r="CW283" s="2372"/>
      <c r="CX283" s="2372"/>
      <c r="CY283" s="2372"/>
      <c r="CZ283" s="2372"/>
      <c r="DA283" s="2372"/>
    </row>
    <row r="284" spans="1:105" ht="3" hidden="1" customHeight="1">
      <c r="A284" s="2372"/>
      <c r="B284" s="2372"/>
      <c r="U284" s="2372"/>
      <c r="V284" s="2372"/>
      <c r="W284" s="2372"/>
      <c r="X284" s="2372"/>
      <c r="Y284" s="2372"/>
      <c r="Z284" s="2372"/>
      <c r="AA284" s="2372"/>
      <c r="AB284" s="2372"/>
      <c r="AC284" s="2372"/>
      <c r="AD284" s="2372"/>
      <c r="AE284" s="2372"/>
      <c r="AF284" s="2372"/>
      <c r="AG284" s="2372"/>
      <c r="AH284" s="2372"/>
      <c r="AI284" s="2372"/>
      <c r="AJ284" s="2372"/>
      <c r="AK284" s="2372"/>
      <c r="AL284" s="2372"/>
      <c r="AM284" s="2372"/>
      <c r="AN284" s="2372"/>
      <c r="AO284" s="2372"/>
      <c r="AP284" s="2372"/>
      <c r="AQ284" s="2372"/>
      <c r="AR284" s="2372"/>
      <c r="AS284" s="2372"/>
      <c r="AT284" s="2372"/>
      <c r="AU284" s="2372"/>
      <c r="AV284" s="2372"/>
      <c r="AW284" s="2372"/>
      <c r="AX284" s="2372"/>
      <c r="AY284" s="2372"/>
      <c r="AZ284" s="2372"/>
      <c r="BA284" s="2372"/>
      <c r="BB284" s="2372"/>
      <c r="BC284" s="2372"/>
      <c r="BD284" s="2372"/>
      <c r="BE284" s="2372"/>
      <c r="BF284" s="2372"/>
      <c r="BG284" s="2372"/>
      <c r="BH284" s="2372"/>
      <c r="BI284" s="2372"/>
      <c r="BJ284" s="2372"/>
      <c r="BK284" s="2372"/>
      <c r="BL284" s="2372"/>
      <c r="BM284" s="2372"/>
      <c r="BN284" s="2372"/>
      <c r="BO284" s="2372"/>
      <c r="BP284" s="2372"/>
      <c r="BQ284" s="2372"/>
      <c r="BR284" s="2372"/>
      <c r="BS284" s="2372"/>
      <c r="BT284" s="2372"/>
      <c r="BU284" s="2372"/>
      <c r="BV284" s="2372"/>
      <c r="BW284" s="2372"/>
      <c r="BX284" s="2372"/>
      <c r="BY284" s="2372"/>
      <c r="BZ284" s="2372"/>
      <c r="CA284" s="2372"/>
      <c r="CB284" s="2372"/>
      <c r="CC284" s="2372"/>
      <c r="CD284" s="2372"/>
      <c r="CE284" s="2372"/>
      <c r="CF284" s="2372"/>
      <c r="CG284" s="2372"/>
      <c r="CH284" s="2372"/>
      <c r="CI284" s="2372"/>
      <c r="CJ284" s="2372"/>
      <c r="CK284" s="2372"/>
      <c r="CL284" s="2372"/>
      <c r="CM284" s="2372"/>
      <c r="CN284" s="2372"/>
      <c r="CO284" s="2372"/>
      <c r="CP284" s="2372"/>
      <c r="CQ284" s="2372"/>
      <c r="CR284" s="2372"/>
      <c r="CS284" s="2372"/>
      <c r="CT284" s="2372"/>
      <c r="CU284" s="2372"/>
      <c r="CV284" s="2372"/>
      <c r="CW284" s="2372"/>
      <c r="CX284" s="2372"/>
      <c r="CY284" s="2372"/>
      <c r="CZ284" s="2372"/>
      <c r="DA284" s="2372"/>
    </row>
    <row r="285" spans="1:105" ht="15" hidden="1" customHeight="1">
      <c r="A285" s="2372"/>
      <c r="B285" s="2372"/>
      <c r="U285" s="2372"/>
      <c r="V285" s="2372"/>
      <c r="W285" s="2372"/>
      <c r="X285" s="2372"/>
      <c r="Y285" s="2372"/>
      <c r="Z285" s="2372"/>
      <c r="AA285" s="2372"/>
      <c r="AB285" s="2372"/>
      <c r="AC285" s="2372"/>
      <c r="AD285" s="2372"/>
      <c r="AE285" s="2372"/>
      <c r="AF285" s="2372"/>
      <c r="AG285" s="2372"/>
      <c r="AH285" s="2372"/>
      <c r="AI285" s="2372"/>
      <c r="AJ285" s="2372"/>
      <c r="AK285" s="2372"/>
      <c r="AL285" s="2372"/>
      <c r="AM285" s="2372"/>
      <c r="AN285" s="2372"/>
      <c r="AO285" s="2372"/>
      <c r="AP285" s="2372"/>
      <c r="AQ285" s="2372"/>
      <c r="AR285" s="2372"/>
      <c r="AS285" s="2372"/>
      <c r="AT285" s="2372"/>
      <c r="AU285" s="2372"/>
      <c r="AV285" s="2372"/>
      <c r="AW285" s="2372"/>
      <c r="AX285" s="2372"/>
      <c r="AY285" s="2372"/>
      <c r="AZ285" s="2372"/>
      <c r="BA285" s="2372"/>
      <c r="BB285" s="2372"/>
      <c r="BC285" s="2372"/>
      <c r="BD285" s="2372"/>
      <c r="BE285" s="2372"/>
      <c r="BF285" s="2372"/>
      <c r="BG285" s="2372"/>
      <c r="BH285" s="2372"/>
      <c r="BI285" s="2372"/>
      <c r="BJ285" s="2372"/>
      <c r="BK285" s="2372"/>
      <c r="BL285" s="2372"/>
      <c r="BM285" s="2372"/>
      <c r="BN285" s="2372"/>
      <c r="BO285" s="2372"/>
      <c r="BP285" s="2372"/>
      <c r="BQ285" s="2372"/>
      <c r="BR285" s="2372"/>
      <c r="BS285" s="2372"/>
      <c r="BT285" s="2372"/>
      <c r="BU285" s="2372"/>
      <c r="BV285" s="2372"/>
      <c r="BW285" s="2372"/>
      <c r="BX285" s="2372"/>
      <c r="BY285" s="2372"/>
      <c r="BZ285" s="2372"/>
      <c r="CA285" s="2372"/>
      <c r="CB285" s="2372"/>
      <c r="CC285" s="2372"/>
      <c r="CD285" s="2372"/>
      <c r="CE285" s="2372"/>
      <c r="CF285" s="2372"/>
      <c r="CG285" s="2372"/>
      <c r="CH285" s="2372"/>
      <c r="CI285" s="2372"/>
      <c r="CJ285" s="2372"/>
      <c r="CK285" s="2372"/>
      <c r="CL285" s="2372"/>
      <c r="CM285" s="2372"/>
      <c r="CN285" s="2372"/>
      <c r="CO285" s="2372"/>
      <c r="CP285" s="2372"/>
      <c r="CQ285" s="2372"/>
      <c r="CR285" s="2372"/>
      <c r="CS285" s="2372"/>
      <c r="CT285" s="2372"/>
      <c r="CU285" s="2372"/>
      <c r="CV285" s="2372"/>
      <c r="CW285" s="2372"/>
      <c r="CX285" s="2372"/>
      <c r="CY285" s="2372"/>
      <c r="CZ285" s="2372"/>
      <c r="DA285" s="2372"/>
    </row>
    <row r="286" spans="1:105" ht="3" hidden="1" customHeight="1">
      <c r="A286" s="2372"/>
      <c r="B286" s="2372"/>
      <c r="C286" s="2372"/>
      <c r="D286" s="2372"/>
      <c r="E286" s="2372"/>
      <c r="F286" s="2372"/>
      <c r="G286" s="2372"/>
      <c r="H286" s="2372"/>
      <c r="I286" s="2372"/>
      <c r="J286" s="2372"/>
      <c r="K286" s="2372"/>
      <c r="L286" s="2372"/>
      <c r="M286" s="2372"/>
      <c r="N286" s="2372"/>
      <c r="O286" s="2372"/>
      <c r="P286" s="2372"/>
      <c r="Q286" s="2372"/>
      <c r="R286" s="2372"/>
      <c r="S286" s="2372"/>
      <c r="T286" s="2372"/>
      <c r="U286" s="2372"/>
      <c r="V286" s="2372"/>
      <c r="W286" s="2372"/>
      <c r="X286" s="2372"/>
      <c r="Y286" s="2372"/>
      <c r="Z286" s="2372"/>
      <c r="AA286" s="2372"/>
      <c r="AB286" s="2372"/>
      <c r="AC286" s="2372"/>
      <c r="AD286" s="2372"/>
      <c r="AE286" s="2372"/>
      <c r="AF286" s="2372"/>
      <c r="AG286" s="2372"/>
      <c r="AH286" s="2372"/>
      <c r="AI286" s="2372"/>
      <c r="AJ286" s="2372"/>
      <c r="AK286" s="2372"/>
      <c r="AL286" s="2372"/>
      <c r="AM286" s="2372"/>
      <c r="AN286" s="2372"/>
      <c r="AO286" s="2372"/>
      <c r="AP286" s="2372"/>
      <c r="AQ286" s="2372"/>
      <c r="AR286" s="2372"/>
      <c r="AS286" s="2372"/>
      <c r="AT286" s="2372"/>
      <c r="AU286" s="2372"/>
      <c r="AV286" s="2372"/>
      <c r="AW286" s="2372"/>
      <c r="AX286" s="2372"/>
      <c r="AY286" s="2372"/>
      <c r="AZ286" s="2372"/>
      <c r="BA286" s="2372"/>
      <c r="BB286" s="2372"/>
      <c r="BC286" s="2372"/>
      <c r="BD286" s="2372"/>
      <c r="BE286" s="2372"/>
      <c r="BF286" s="2372"/>
      <c r="BG286" s="2372"/>
      <c r="BH286" s="2372"/>
      <c r="BI286" s="2372"/>
      <c r="BJ286" s="2372"/>
      <c r="BK286" s="2372"/>
      <c r="BL286" s="2372"/>
      <c r="BM286" s="2372"/>
      <c r="BN286" s="2372"/>
      <c r="BO286" s="2372"/>
      <c r="BP286" s="2372"/>
      <c r="BQ286" s="2372"/>
      <c r="BR286" s="2372"/>
      <c r="BS286" s="2372"/>
      <c r="BT286" s="2372"/>
      <c r="BU286" s="2372"/>
      <c r="BV286" s="2372"/>
      <c r="BW286" s="2372"/>
      <c r="BX286" s="2372"/>
      <c r="BY286" s="2372"/>
      <c r="BZ286" s="2372"/>
      <c r="CA286" s="2372"/>
      <c r="CB286" s="2372"/>
      <c r="CC286" s="2372"/>
      <c r="CD286" s="2372"/>
      <c r="CE286" s="2372"/>
      <c r="CF286" s="2372"/>
      <c r="CG286" s="2372"/>
      <c r="CH286" s="2372"/>
      <c r="CI286" s="2372"/>
      <c r="CJ286" s="2372"/>
      <c r="CK286" s="2372"/>
      <c r="CL286" s="2372"/>
      <c r="CM286" s="2372"/>
      <c r="CN286" s="2372"/>
      <c r="CO286" s="2372"/>
      <c r="CP286" s="2372"/>
      <c r="CQ286" s="2372"/>
      <c r="CR286" s="2372"/>
      <c r="CS286" s="2372"/>
      <c r="CT286" s="2372"/>
      <c r="CU286" s="2372"/>
      <c r="CV286" s="2372"/>
      <c r="CW286" s="2372"/>
      <c r="CX286" s="2372"/>
      <c r="CY286" s="2372"/>
      <c r="CZ286" s="2372"/>
      <c r="DA286" s="2372"/>
    </row>
    <row r="287" spans="1:105" ht="15" hidden="1" customHeight="1">
      <c r="A287" s="2372"/>
      <c r="B287" s="2372"/>
      <c r="C287" s="2372"/>
      <c r="D287" s="2372"/>
      <c r="E287" s="2372"/>
      <c r="F287" s="2372"/>
      <c r="G287" s="2372"/>
      <c r="H287" s="2372"/>
      <c r="I287" s="2372"/>
      <c r="J287" s="2372"/>
      <c r="K287" s="2372"/>
      <c r="L287" s="2372"/>
      <c r="M287" s="2372"/>
      <c r="N287" s="2372"/>
      <c r="O287" s="2372"/>
      <c r="P287" s="2372"/>
      <c r="Q287" s="2372"/>
      <c r="R287" s="2372"/>
      <c r="S287" s="2372"/>
      <c r="T287" s="2372"/>
      <c r="U287" s="2372"/>
      <c r="V287" s="2372"/>
      <c r="W287" s="2372"/>
      <c r="X287" s="2372"/>
      <c r="Y287" s="2372"/>
      <c r="Z287" s="2372"/>
      <c r="AA287" s="2372"/>
      <c r="AB287" s="2372"/>
      <c r="AC287" s="2372"/>
      <c r="AD287" s="2372"/>
      <c r="AE287" s="2372"/>
      <c r="AF287" s="2372"/>
      <c r="AG287" s="2372"/>
      <c r="AH287" s="2372"/>
      <c r="AI287" s="2372"/>
      <c r="AJ287" s="2372"/>
      <c r="AK287" s="2372"/>
      <c r="AL287" s="2372"/>
      <c r="AM287" s="2372"/>
      <c r="AN287" s="2372"/>
      <c r="AO287" s="2372"/>
      <c r="AP287" s="2372"/>
      <c r="AQ287" s="2372"/>
      <c r="AR287" s="2372"/>
      <c r="AS287" s="2372"/>
      <c r="AT287" s="2372"/>
      <c r="AU287" s="2372"/>
      <c r="AV287" s="2372"/>
      <c r="AW287" s="2372"/>
      <c r="AX287" s="2372"/>
      <c r="AY287" s="2372"/>
      <c r="AZ287" s="2372"/>
      <c r="BA287" s="2372"/>
      <c r="BB287" s="2372"/>
      <c r="BC287" s="2372"/>
      <c r="BD287" s="2372"/>
      <c r="BE287" s="2372"/>
      <c r="BF287" s="2372"/>
      <c r="BG287" s="2372"/>
      <c r="BH287" s="2372"/>
      <c r="BI287" s="2372"/>
      <c r="BJ287" s="2372"/>
      <c r="BK287" s="2372"/>
      <c r="BL287" s="2372"/>
      <c r="BM287" s="2372"/>
      <c r="BN287" s="2372"/>
      <c r="BO287" s="2372"/>
      <c r="BP287" s="2372"/>
      <c r="BQ287" s="2372"/>
      <c r="BR287" s="2372"/>
      <c r="BS287" s="2372"/>
      <c r="BT287" s="2372"/>
      <c r="BU287" s="2372"/>
      <c r="BV287" s="2372"/>
      <c r="BW287" s="2372"/>
      <c r="BX287" s="2372"/>
      <c r="BY287" s="2372"/>
      <c r="BZ287" s="2372"/>
      <c r="CA287" s="2372"/>
      <c r="CB287" s="2372"/>
      <c r="CC287" s="2372"/>
      <c r="CD287" s="2372"/>
      <c r="CE287" s="2372"/>
      <c r="CF287" s="2372"/>
      <c r="CG287" s="2372"/>
      <c r="CH287" s="2372"/>
      <c r="CI287" s="2372"/>
      <c r="CJ287" s="2372"/>
      <c r="CK287" s="2372"/>
      <c r="CL287" s="2372"/>
      <c r="CM287" s="2372"/>
      <c r="CN287" s="2372"/>
      <c r="CO287" s="2372"/>
      <c r="CP287" s="2372"/>
      <c r="CQ287" s="2372"/>
      <c r="CR287" s="2372"/>
      <c r="CS287" s="2372"/>
      <c r="CT287" s="2372"/>
      <c r="CU287" s="2372"/>
      <c r="CV287" s="2372"/>
      <c r="CW287" s="2372"/>
      <c r="CX287" s="2372"/>
      <c r="CY287" s="2372"/>
      <c r="CZ287" s="2372"/>
      <c r="DA287" s="2372"/>
    </row>
    <row r="288" spans="1:105" ht="3" hidden="1" customHeight="1">
      <c r="A288" s="2372"/>
      <c r="B288" s="2372"/>
      <c r="C288" s="2372"/>
      <c r="D288" s="2372"/>
      <c r="E288" s="2372"/>
      <c r="F288" s="2372"/>
      <c r="G288" s="2372"/>
      <c r="H288" s="2372"/>
      <c r="I288" s="2372"/>
      <c r="J288" s="2372"/>
      <c r="K288" s="2372"/>
      <c r="L288" s="2372"/>
      <c r="M288" s="2372"/>
      <c r="N288" s="2372"/>
      <c r="O288" s="2372"/>
      <c r="P288" s="2372"/>
      <c r="Q288" s="2372"/>
      <c r="R288" s="2372"/>
      <c r="S288" s="2372"/>
      <c r="T288" s="2372"/>
      <c r="U288" s="2372"/>
      <c r="V288" s="2372"/>
      <c r="W288" s="2372"/>
      <c r="X288" s="2372"/>
      <c r="Y288" s="2372"/>
      <c r="Z288" s="2372"/>
      <c r="AA288" s="2372"/>
      <c r="AB288" s="2372"/>
      <c r="AC288" s="2372"/>
      <c r="AD288" s="2372"/>
      <c r="AE288" s="2372"/>
      <c r="AF288" s="2372"/>
      <c r="AG288" s="2372"/>
      <c r="AH288" s="2372"/>
      <c r="AI288" s="2372"/>
      <c r="AJ288" s="2372"/>
      <c r="AK288" s="2372"/>
      <c r="AL288" s="2372"/>
      <c r="AM288" s="2372"/>
      <c r="AN288" s="2372"/>
      <c r="AO288" s="2372"/>
      <c r="AP288" s="2372"/>
      <c r="AQ288" s="2372"/>
      <c r="AR288" s="2372"/>
      <c r="AS288" s="2372"/>
      <c r="AT288" s="2372"/>
      <c r="AU288" s="2372"/>
      <c r="AV288" s="2372"/>
      <c r="AW288" s="2372"/>
      <c r="AX288" s="2372"/>
      <c r="AY288" s="2372"/>
      <c r="AZ288" s="2372"/>
      <c r="BA288" s="2372"/>
      <c r="BB288" s="2372"/>
      <c r="BC288" s="2372"/>
      <c r="BD288" s="2372"/>
      <c r="BE288" s="2372"/>
      <c r="BF288" s="2372"/>
      <c r="BG288" s="2372"/>
      <c r="BH288" s="2372"/>
      <c r="BI288" s="2372"/>
      <c r="BJ288" s="2372"/>
      <c r="BK288" s="2372"/>
      <c r="BL288" s="2372"/>
      <c r="BM288" s="2372"/>
      <c r="BN288" s="2372"/>
      <c r="BO288" s="2372"/>
      <c r="BP288" s="2372"/>
      <c r="BQ288" s="2372"/>
      <c r="BR288" s="2372"/>
      <c r="BS288" s="2372"/>
      <c r="BT288" s="2372"/>
      <c r="BU288" s="2372"/>
      <c r="BV288" s="2372"/>
      <c r="BW288" s="2372"/>
      <c r="BX288" s="2372"/>
      <c r="BY288" s="2372"/>
      <c r="BZ288" s="2372"/>
      <c r="CA288" s="2372"/>
      <c r="CB288" s="2372"/>
      <c r="CC288" s="2372"/>
      <c r="CD288" s="2372"/>
      <c r="CE288" s="2372"/>
      <c r="CF288" s="2372"/>
      <c r="CG288" s="2372"/>
      <c r="CH288" s="2372"/>
      <c r="CI288" s="2372"/>
      <c r="CJ288" s="2372"/>
      <c r="CK288" s="2372"/>
      <c r="CL288" s="2372"/>
      <c r="CM288" s="2372"/>
      <c r="CN288" s="2372"/>
      <c r="CO288" s="2372"/>
      <c r="CP288" s="2372"/>
      <c r="CQ288" s="2372"/>
      <c r="CR288" s="2372"/>
      <c r="CS288" s="2372"/>
      <c r="CT288" s="2372"/>
      <c r="CU288" s="2372"/>
      <c r="CV288" s="2372"/>
      <c r="CW288" s="2372"/>
      <c r="CX288" s="2372"/>
      <c r="CY288" s="2372"/>
      <c r="CZ288" s="2372"/>
      <c r="DA288" s="2372"/>
    </row>
    <row r="289" spans="1:105" ht="15" hidden="1" customHeight="1">
      <c r="A289" s="2372"/>
      <c r="B289" s="2372"/>
      <c r="C289" s="2372"/>
      <c r="D289" s="2372"/>
      <c r="E289" s="2372"/>
      <c r="F289" s="2372"/>
      <c r="G289" s="2372"/>
      <c r="H289" s="2372"/>
      <c r="I289" s="2372"/>
      <c r="J289" s="2372"/>
      <c r="K289" s="2372"/>
      <c r="L289" s="2372"/>
      <c r="M289" s="2372"/>
      <c r="N289" s="2372"/>
      <c r="O289" s="2372"/>
      <c r="P289" s="2372"/>
      <c r="Q289" s="2372"/>
      <c r="R289" s="2372"/>
      <c r="S289" s="2372"/>
      <c r="T289" s="2372"/>
      <c r="U289" s="2372"/>
      <c r="V289" s="2372"/>
      <c r="W289" s="2372"/>
      <c r="X289" s="2372"/>
      <c r="Y289" s="2372"/>
      <c r="Z289" s="2372"/>
      <c r="AA289" s="2372"/>
      <c r="AB289" s="2372"/>
      <c r="AC289" s="2372"/>
      <c r="AD289" s="2372"/>
      <c r="AE289" s="2372"/>
      <c r="AF289" s="2372"/>
      <c r="AG289" s="2372"/>
      <c r="AH289" s="2372"/>
      <c r="AI289" s="2372"/>
      <c r="AJ289" s="2372"/>
      <c r="AK289" s="2372"/>
      <c r="AL289" s="2372"/>
      <c r="AM289" s="2372"/>
      <c r="AN289" s="2372"/>
      <c r="AO289" s="2372"/>
      <c r="AP289" s="2372"/>
      <c r="AQ289" s="2372"/>
      <c r="AR289" s="2372"/>
      <c r="AS289" s="2372"/>
      <c r="AT289" s="2372"/>
      <c r="AU289" s="2372"/>
      <c r="AV289" s="2372"/>
      <c r="AW289" s="2372"/>
      <c r="AX289" s="2372"/>
      <c r="AY289" s="2372"/>
      <c r="AZ289" s="2372"/>
      <c r="BA289" s="2372"/>
      <c r="BB289" s="2372"/>
      <c r="BC289" s="2372"/>
      <c r="BD289" s="2372"/>
      <c r="BE289" s="2372"/>
      <c r="BF289" s="2372"/>
      <c r="BG289" s="2372"/>
      <c r="BH289" s="2372"/>
      <c r="BI289" s="2372"/>
      <c r="BJ289" s="2372"/>
      <c r="BK289" s="2372"/>
      <c r="BL289" s="2372"/>
      <c r="BM289" s="2372"/>
      <c r="BN289" s="2372"/>
      <c r="BO289" s="2372"/>
      <c r="BP289" s="2372"/>
      <c r="BQ289" s="2372"/>
      <c r="BR289" s="2372"/>
      <c r="BS289" s="2372"/>
      <c r="BT289" s="2372"/>
      <c r="BU289" s="2372"/>
      <c r="BV289" s="2372"/>
      <c r="BW289" s="2372"/>
      <c r="BX289" s="2372"/>
      <c r="BY289" s="2372"/>
      <c r="BZ289" s="2372"/>
      <c r="CA289" s="2372"/>
      <c r="CB289" s="2372"/>
      <c r="CC289" s="2372"/>
      <c r="CD289" s="2372"/>
      <c r="CE289" s="2372"/>
      <c r="CF289" s="2372"/>
      <c r="CG289" s="2372"/>
      <c r="CH289" s="2372"/>
      <c r="CI289" s="2372"/>
      <c r="CJ289" s="2372"/>
      <c r="CK289" s="2372"/>
      <c r="CL289" s="2372"/>
      <c r="CM289" s="2372"/>
      <c r="CN289" s="2372"/>
      <c r="CO289" s="2372"/>
      <c r="CP289" s="2372"/>
      <c r="CQ289" s="2372"/>
      <c r="CR289" s="2372"/>
      <c r="CS289" s="2372"/>
      <c r="CT289" s="2372"/>
      <c r="CU289" s="2372"/>
      <c r="CV289" s="2372"/>
      <c r="CW289" s="2372"/>
      <c r="CX289" s="2372"/>
      <c r="CY289" s="2372"/>
      <c r="CZ289" s="2372"/>
      <c r="DA289" s="2372"/>
    </row>
    <row r="290" spans="1:105" ht="3" hidden="1" customHeight="1">
      <c r="A290" s="2372"/>
      <c r="B290" s="2372"/>
      <c r="C290" s="2372"/>
      <c r="D290" s="2372"/>
      <c r="E290" s="2372"/>
      <c r="F290" s="2372"/>
      <c r="G290" s="2372"/>
      <c r="H290" s="2372"/>
      <c r="I290" s="2372"/>
      <c r="J290" s="2372"/>
      <c r="K290" s="2372"/>
      <c r="L290" s="2372"/>
      <c r="M290" s="2372"/>
      <c r="N290" s="2372"/>
      <c r="O290" s="2372"/>
      <c r="P290" s="2372"/>
      <c r="Q290" s="2372"/>
      <c r="R290" s="2372"/>
      <c r="S290" s="2372"/>
      <c r="T290" s="2372"/>
      <c r="U290" s="2372"/>
      <c r="V290" s="2372"/>
      <c r="W290" s="2372"/>
      <c r="X290" s="2372"/>
      <c r="Y290" s="2372"/>
      <c r="Z290" s="2372"/>
      <c r="AA290" s="2372"/>
      <c r="AB290" s="2372"/>
      <c r="AC290" s="2372"/>
      <c r="AD290" s="2372"/>
      <c r="AE290" s="2372"/>
      <c r="AF290" s="2372"/>
      <c r="AG290" s="2372"/>
      <c r="AH290" s="2372"/>
      <c r="AI290" s="2372"/>
      <c r="AJ290" s="2372"/>
      <c r="AK290" s="2372"/>
      <c r="AL290" s="2372"/>
      <c r="AM290" s="2372"/>
      <c r="AN290" s="2372"/>
      <c r="AO290" s="2372"/>
      <c r="AP290" s="2372"/>
      <c r="AQ290" s="2372"/>
      <c r="AR290" s="2372"/>
      <c r="AS290" s="2372"/>
      <c r="AT290" s="2372"/>
      <c r="AU290" s="2372"/>
      <c r="AV290" s="2372"/>
      <c r="AW290" s="2372"/>
      <c r="AX290" s="2372"/>
      <c r="AY290" s="2372"/>
      <c r="AZ290" s="2372"/>
      <c r="BA290" s="2372"/>
      <c r="BB290" s="2372"/>
      <c r="BC290" s="2372"/>
      <c r="BD290" s="2372"/>
      <c r="BE290" s="2372"/>
      <c r="BF290" s="2372"/>
      <c r="BG290" s="2372"/>
      <c r="BH290" s="2372"/>
      <c r="BI290" s="2372"/>
      <c r="BJ290" s="2372"/>
      <c r="BK290" s="2372"/>
      <c r="BL290" s="2372"/>
      <c r="BM290" s="2372"/>
      <c r="BN290" s="2372"/>
      <c r="BO290" s="2372"/>
      <c r="BP290" s="2372"/>
      <c r="BQ290" s="2372"/>
      <c r="BR290" s="2372"/>
      <c r="BS290" s="2372"/>
      <c r="BT290" s="2372"/>
      <c r="BU290" s="2372"/>
      <c r="BV290" s="2372"/>
      <c r="BW290" s="2372"/>
      <c r="BX290" s="2372"/>
      <c r="BY290" s="2372"/>
      <c r="BZ290" s="2372"/>
      <c r="CA290" s="2372"/>
      <c r="CB290" s="2372"/>
      <c r="CC290" s="2372"/>
      <c r="CD290" s="2372"/>
      <c r="CE290" s="2372"/>
      <c r="CF290" s="2372"/>
      <c r="CG290" s="2372"/>
      <c r="CH290" s="2372"/>
      <c r="CI290" s="2372"/>
      <c r="CJ290" s="2372"/>
      <c r="CK290" s="2372"/>
      <c r="CL290" s="2372"/>
      <c r="CM290" s="2372"/>
      <c r="CN290" s="2372"/>
      <c r="CO290" s="2372"/>
      <c r="CP290" s="2372"/>
      <c r="CQ290" s="2372"/>
      <c r="CR290" s="2372"/>
      <c r="CS290" s="2372"/>
      <c r="CT290" s="2372"/>
      <c r="CU290" s="2372"/>
      <c r="CV290" s="2372"/>
      <c r="CW290" s="2372"/>
      <c r="CX290" s="2372"/>
      <c r="CY290" s="2372"/>
      <c r="CZ290" s="2372"/>
      <c r="DA290" s="2372"/>
    </row>
    <row r="291" spans="1:105" ht="15" hidden="1" customHeight="1">
      <c r="A291" s="2372"/>
      <c r="B291" s="2372"/>
      <c r="C291" s="2372"/>
      <c r="D291" s="2372"/>
      <c r="E291" s="2372"/>
      <c r="F291" s="2372"/>
      <c r="G291" s="2372"/>
      <c r="H291" s="2372"/>
      <c r="I291" s="2372"/>
      <c r="J291" s="2372"/>
      <c r="K291" s="2372"/>
      <c r="L291" s="2372"/>
      <c r="M291" s="2372"/>
      <c r="N291" s="2372"/>
      <c r="O291" s="2372"/>
      <c r="P291" s="2372"/>
      <c r="Q291" s="2372"/>
      <c r="R291" s="2372"/>
      <c r="S291" s="2372"/>
      <c r="T291" s="2372"/>
      <c r="U291" s="2372"/>
      <c r="V291" s="2372"/>
      <c r="W291" s="2372"/>
      <c r="X291" s="2372"/>
      <c r="Y291" s="2372"/>
      <c r="Z291" s="2372"/>
      <c r="AA291" s="2372"/>
      <c r="AB291" s="2372"/>
      <c r="AC291" s="2372"/>
      <c r="AD291" s="2372"/>
      <c r="AE291" s="2372"/>
      <c r="AF291" s="2372"/>
      <c r="AG291" s="2372"/>
      <c r="AH291" s="2372"/>
      <c r="AI291" s="2372"/>
      <c r="AJ291" s="2372"/>
      <c r="AK291" s="2372"/>
      <c r="AL291" s="2372"/>
      <c r="AM291" s="2372"/>
      <c r="AN291" s="2372"/>
      <c r="AO291" s="2372"/>
      <c r="AP291" s="2372"/>
      <c r="AQ291" s="2372"/>
      <c r="AR291" s="2372"/>
      <c r="AS291" s="2372"/>
      <c r="AT291" s="2372"/>
      <c r="AU291" s="2372"/>
      <c r="AV291" s="2372"/>
      <c r="AW291" s="2372"/>
      <c r="AX291" s="2372"/>
      <c r="AY291" s="2372"/>
      <c r="AZ291" s="2372"/>
      <c r="BA291" s="2372"/>
      <c r="BB291" s="2372"/>
      <c r="BC291" s="2372"/>
      <c r="BD291" s="2372"/>
      <c r="BE291" s="2372"/>
      <c r="BF291" s="2372"/>
      <c r="BG291" s="2372"/>
      <c r="BH291" s="2372"/>
      <c r="BI291" s="2372"/>
      <c r="BJ291" s="2372"/>
      <c r="BK291" s="2372"/>
      <c r="BL291" s="2372"/>
      <c r="BM291" s="2372"/>
      <c r="BN291" s="2372"/>
      <c r="BO291" s="2372"/>
      <c r="BP291" s="2372"/>
      <c r="BQ291" s="2372"/>
      <c r="BR291" s="2372"/>
      <c r="BS291" s="2372"/>
      <c r="BT291" s="2372"/>
      <c r="BU291" s="2372"/>
      <c r="BV291" s="2372"/>
      <c r="BW291" s="2372"/>
      <c r="BX291" s="2372"/>
      <c r="BY291" s="2372"/>
      <c r="BZ291" s="2372"/>
      <c r="CA291" s="2372"/>
      <c r="CB291" s="2372"/>
      <c r="CC291" s="2372"/>
      <c r="CD291" s="2372"/>
      <c r="CE291" s="2372"/>
      <c r="CF291" s="2372"/>
      <c r="CG291" s="2372"/>
      <c r="CH291" s="2372"/>
      <c r="CI291" s="2372"/>
      <c r="CJ291" s="2372"/>
      <c r="CK291" s="2372"/>
      <c r="CL291" s="2372"/>
      <c r="CM291" s="2372"/>
      <c r="CN291" s="2372"/>
      <c r="CO291" s="2372"/>
      <c r="CP291" s="2372"/>
      <c r="CQ291" s="2372"/>
      <c r="CR291" s="2372"/>
      <c r="CS291" s="2372"/>
      <c r="CT291" s="2372"/>
      <c r="CU291" s="2372"/>
      <c r="CV291" s="2372"/>
      <c r="CW291" s="2372"/>
      <c r="CX291" s="2372"/>
      <c r="CY291" s="2372"/>
      <c r="CZ291" s="2372"/>
      <c r="DA291" s="2372"/>
    </row>
    <row r="292" spans="1:105" ht="3" hidden="1" customHeight="1">
      <c r="A292" s="2372"/>
      <c r="B292" s="2372"/>
      <c r="C292" s="2372"/>
      <c r="D292" s="2372"/>
      <c r="E292" s="2372"/>
      <c r="F292" s="2372"/>
      <c r="G292" s="2372"/>
      <c r="H292" s="2372"/>
      <c r="I292" s="2372"/>
      <c r="J292" s="2372"/>
      <c r="K292" s="2372"/>
      <c r="L292" s="2372"/>
      <c r="M292" s="2372"/>
      <c r="N292" s="2372"/>
      <c r="O292" s="2372"/>
      <c r="P292" s="2372"/>
      <c r="Q292" s="2372"/>
      <c r="R292" s="2372"/>
      <c r="S292" s="2372"/>
      <c r="T292" s="2372"/>
      <c r="U292" s="2372"/>
      <c r="V292" s="2372"/>
      <c r="W292" s="2372"/>
      <c r="X292" s="2372"/>
      <c r="Y292" s="2372"/>
      <c r="Z292" s="2372"/>
      <c r="AA292" s="2372"/>
      <c r="AB292" s="2372"/>
      <c r="AC292" s="2372"/>
      <c r="AD292" s="2372"/>
      <c r="AE292" s="2372"/>
      <c r="AF292" s="2372"/>
      <c r="AG292" s="2372"/>
      <c r="AH292" s="2372"/>
      <c r="AI292" s="2372"/>
      <c r="AJ292" s="2372"/>
      <c r="AK292" s="2372"/>
      <c r="AL292" s="2372"/>
      <c r="AM292" s="2372"/>
      <c r="AN292" s="2372"/>
      <c r="AO292" s="2372"/>
      <c r="AP292" s="2372"/>
      <c r="AQ292" s="2372"/>
      <c r="AR292" s="2372"/>
      <c r="AS292" s="2372"/>
      <c r="AT292" s="2372"/>
      <c r="AU292" s="2372"/>
      <c r="AV292" s="2372"/>
      <c r="AW292" s="2372"/>
      <c r="AX292" s="2372"/>
      <c r="AY292" s="2372"/>
      <c r="AZ292" s="2372"/>
      <c r="BA292" s="2372"/>
      <c r="BB292" s="2372"/>
      <c r="BC292" s="2372"/>
      <c r="BD292" s="2372"/>
      <c r="BE292" s="2372"/>
      <c r="BF292" s="2372"/>
      <c r="BG292" s="2372"/>
      <c r="BH292" s="2372"/>
      <c r="BI292" s="2372"/>
      <c r="BJ292" s="2372"/>
      <c r="BK292" s="2372"/>
      <c r="BL292" s="2372"/>
      <c r="BM292" s="2372"/>
      <c r="BN292" s="2372"/>
      <c r="BO292" s="2372"/>
      <c r="BP292" s="2372"/>
      <c r="BQ292" s="2372"/>
      <c r="BR292" s="2372"/>
      <c r="BS292" s="2372"/>
      <c r="BT292" s="2372"/>
      <c r="BU292" s="2372"/>
      <c r="BV292" s="2372"/>
      <c r="BW292" s="2372"/>
      <c r="BX292" s="2372"/>
      <c r="BY292" s="2372"/>
      <c r="BZ292" s="2372"/>
      <c r="CA292" s="2372"/>
      <c r="CB292" s="2372"/>
      <c r="CC292" s="2372"/>
      <c r="CD292" s="2372"/>
      <c r="CE292" s="2372"/>
      <c r="CF292" s="2372"/>
      <c r="CG292" s="2372"/>
      <c r="CH292" s="2372"/>
      <c r="CI292" s="2372"/>
      <c r="CJ292" s="2372"/>
      <c r="CK292" s="2372"/>
      <c r="CL292" s="2372"/>
      <c r="CM292" s="2372"/>
      <c r="CN292" s="2372"/>
      <c r="CO292" s="2372"/>
      <c r="CP292" s="2372"/>
      <c r="CQ292" s="2372"/>
      <c r="CR292" s="2372"/>
      <c r="CS292" s="2372"/>
      <c r="CT292" s="2372"/>
      <c r="CU292" s="2372"/>
      <c r="CV292" s="2372"/>
      <c r="CW292" s="2372"/>
      <c r="CX292" s="2372"/>
      <c r="CY292" s="2372"/>
      <c r="CZ292" s="2372"/>
      <c r="DA292" s="2372"/>
    </row>
    <row r="293" spans="1:105" ht="15" hidden="1" customHeight="1">
      <c r="A293" s="2372"/>
      <c r="B293" s="2372"/>
      <c r="C293" s="2372"/>
      <c r="D293" s="2372"/>
      <c r="E293" s="2372"/>
      <c r="F293" s="2372"/>
      <c r="G293" s="2372"/>
      <c r="H293" s="2372"/>
      <c r="I293" s="2372"/>
      <c r="J293" s="2372"/>
      <c r="K293" s="2372"/>
      <c r="L293" s="2372"/>
      <c r="M293" s="2372"/>
      <c r="N293" s="2372"/>
      <c r="O293" s="2372"/>
      <c r="P293" s="2372"/>
      <c r="Q293" s="2372"/>
      <c r="R293" s="2372"/>
      <c r="S293" s="2372"/>
      <c r="T293" s="2372"/>
      <c r="U293" s="2372"/>
      <c r="V293" s="2372"/>
      <c r="W293" s="2372"/>
      <c r="X293" s="2372"/>
      <c r="Y293" s="2372"/>
      <c r="Z293" s="2372"/>
      <c r="AA293" s="2372"/>
      <c r="AB293" s="2372"/>
      <c r="AC293" s="2372"/>
      <c r="AD293" s="2372"/>
      <c r="AE293" s="2372"/>
      <c r="AF293" s="2372"/>
      <c r="AG293" s="2372"/>
      <c r="AH293" s="2372"/>
      <c r="AI293" s="2372"/>
      <c r="AJ293" s="2372"/>
      <c r="AK293" s="2372"/>
      <c r="AL293" s="2372"/>
      <c r="AM293" s="2372"/>
      <c r="AN293" s="2372"/>
      <c r="AO293" s="2372"/>
      <c r="AP293" s="2372"/>
      <c r="AQ293" s="2372"/>
      <c r="AR293" s="2372"/>
      <c r="AS293" s="2372"/>
      <c r="AT293" s="2372"/>
      <c r="AU293" s="2372"/>
      <c r="AV293" s="2372"/>
      <c r="AW293" s="2372"/>
      <c r="AX293" s="2372"/>
      <c r="AY293" s="2372"/>
      <c r="AZ293" s="2372"/>
      <c r="BA293" s="2372"/>
      <c r="BB293" s="2372"/>
      <c r="BC293" s="2372"/>
      <c r="BD293" s="2372"/>
      <c r="BE293" s="2372"/>
      <c r="BF293" s="2372"/>
      <c r="BG293" s="2372"/>
      <c r="BH293" s="2372"/>
      <c r="BI293" s="2372"/>
      <c r="BJ293" s="2372"/>
      <c r="BK293" s="2372"/>
      <c r="BL293" s="2372"/>
      <c r="BM293" s="2372"/>
      <c r="BN293" s="2372"/>
      <c r="BO293" s="2372"/>
      <c r="BP293" s="2372"/>
      <c r="BQ293" s="2372"/>
      <c r="BR293" s="2372"/>
      <c r="BS293" s="2372"/>
      <c r="BT293" s="2372"/>
      <c r="BU293" s="2372"/>
      <c r="BV293" s="2372"/>
      <c r="BW293" s="2372"/>
      <c r="BX293" s="2372"/>
      <c r="BY293" s="2372"/>
      <c r="BZ293" s="2372"/>
      <c r="CA293" s="2372"/>
      <c r="CB293" s="2372"/>
      <c r="CC293" s="2372"/>
      <c r="CD293" s="2372"/>
      <c r="CE293" s="2372"/>
      <c r="CF293" s="2372"/>
      <c r="CG293" s="2372"/>
      <c r="CH293" s="2372"/>
      <c r="CI293" s="2372"/>
      <c r="CJ293" s="2372"/>
      <c r="CK293" s="2372"/>
      <c r="CL293" s="2372"/>
      <c r="CM293" s="2372"/>
      <c r="CN293" s="2372"/>
      <c r="CO293" s="2372"/>
      <c r="CP293" s="2372"/>
      <c r="CQ293" s="2372"/>
      <c r="CR293" s="2372"/>
      <c r="CS293" s="2372"/>
      <c r="CT293" s="2372"/>
      <c r="CU293" s="2372"/>
      <c r="CV293" s="2372"/>
      <c r="CW293" s="2372"/>
      <c r="CX293" s="2372"/>
      <c r="CY293" s="2372"/>
      <c r="CZ293" s="2372"/>
      <c r="DA293" s="2372"/>
    </row>
    <row r="294" spans="1:105" ht="3" hidden="1" customHeight="1">
      <c r="A294" s="2372"/>
      <c r="B294" s="2372"/>
      <c r="C294" s="2372"/>
      <c r="D294" s="2372"/>
      <c r="E294" s="2372"/>
      <c r="F294" s="2372"/>
      <c r="G294" s="2372"/>
      <c r="H294" s="2372"/>
      <c r="I294" s="2372"/>
      <c r="J294" s="2372"/>
      <c r="K294" s="2372"/>
      <c r="L294" s="2372"/>
      <c r="M294" s="2372"/>
      <c r="N294" s="2372"/>
      <c r="O294" s="2372"/>
      <c r="P294" s="2372"/>
      <c r="Q294" s="2372"/>
      <c r="R294" s="2372"/>
      <c r="S294" s="2372"/>
      <c r="T294" s="2372"/>
      <c r="U294" s="2372"/>
      <c r="V294" s="2372"/>
      <c r="W294" s="2372"/>
      <c r="X294" s="2372"/>
      <c r="Y294" s="2372"/>
      <c r="Z294" s="2372"/>
      <c r="AA294" s="2372"/>
      <c r="AB294" s="2372"/>
      <c r="AC294" s="2372"/>
      <c r="AD294" s="2372"/>
      <c r="AE294" s="2372"/>
      <c r="AF294" s="2372"/>
      <c r="AG294" s="2372"/>
      <c r="AH294" s="2372"/>
      <c r="AI294" s="2372"/>
      <c r="AJ294" s="2372"/>
      <c r="AK294" s="2372"/>
      <c r="AL294" s="2372"/>
      <c r="AM294" s="2372"/>
      <c r="AN294" s="2372"/>
      <c r="AO294" s="2372"/>
      <c r="AP294" s="2372"/>
      <c r="AQ294" s="2372"/>
      <c r="AR294" s="2372"/>
      <c r="AS294" s="2372"/>
      <c r="AT294" s="2372"/>
      <c r="AU294" s="2372"/>
      <c r="AV294" s="2372"/>
      <c r="AW294" s="2372"/>
      <c r="AX294" s="2372"/>
      <c r="AY294" s="2372"/>
      <c r="AZ294" s="2372"/>
      <c r="BA294" s="2372"/>
      <c r="BB294" s="2372"/>
      <c r="BC294" s="2372"/>
      <c r="BD294" s="2372"/>
      <c r="BE294" s="2372"/>
      <c r="BF294" s="2372"/>
      <c r="BG294" s="2372"/>
      <c r="BH294" s="2372"/>
      <c r="BI294" s="2372"/>
      <c r="BJ294" s="2372"/>
      <c r="BK294" s="2372"/>
      <c r="BL294" s="2372"/>
      <c r="BM294" s="2372"/>
      <c r="BN294" s="2372"/>
      <c r="BO294" s="2372"/>
      <c r="BP294" s="2372"/>
      <c r="BQ294" s="2372"/>
      <c r="BR294" s="2372"/>
      <c r="BS294" s="2372"/>
      <c r="BT294" s="2372"/>
      <c r="BU294" s="2372"/>
      <c r="BV294" s="2372"/>
      <c r="BW294" s="2372"/>
      <c r="BX294" s="2372"/>
      <c r="BY294" s="2372"/>
      <c r="BZ294" s="2372"/>
      <c r="CA294" s="2372"/>
      <c r="CB294" s="2372"/>
      <c r="CC294" s="2372"/>
      <c r="CD294" s="2372"/>
      <c r="CE294" s="2372"/>
      <c r="CF294" s="2372"/>
      <c r="CG294" s="2372"/>
      <c r="CH294" s="2372"/>
      <c r="CI294" s="2372"/>
      <c r="CJ294" s="2372"/>
      <c r="CK294" s="2372"/>
      <c r="CL294" s="2372"/>
      <c r="CM294" s="2372"/>
      <c r="CN294" s="2372"/>
      <c r="CO294" s="2372"/>
      <c r="CP294" s="2372"/>
      <c r="CQ294" s="2372"/>
      <c r="CR294" s="2372"/>
      <c r="CS294" s="2372"/>
      <c r="CT294" s="2372"/>
      <c r="CU294" s="2372"/>
      <c r="CV294" s="2372"/>
      <c r="CW294" s="2372"/>
      <c r="CX294" s="2372"/>
      <c r="CY294" s="2372"/>
      <c r="CZ294" s="2372"/>
      <c r="DA294" s="2372"/>
    </row>
    <row r="295" spans="1:105" ht="15" hidden="1" customHeight="1">
      <c r="A295" s="2372"/>
      <c r="B295" s="2372"/>
      <c r="C295" s="2372"/>
      <c r="D295" s="2372"/>
      <c r="E295" s="2372"/>
      <c r="F295" s="2372"/>
      <c r="G295" s="2372"/>
      <c r="H295" s="2372"/>
      <c r="I295" s="2372"/>
      <c r="J295" s="2372"/>
      <c r="K295" s="2372"/>
      <c r="L295" s="2372"/>
      <c r="M295" s="2372"/>
      <c r="N295" s="2372"/>
      <c r="O295" s="2372"/>
      <c r="P295" s="2372"/>
      <c r="Q295" s="2372"/>
      <c r="R295" s="2372"/>
      <c r="S295" s="2372"/>
      <c r="T295" s="2372"/>
      <c r="U295" s="2372"/>
      <c r="V295" s="2372"/>
      <c r="W295" s="2372"/>
      <c r="X295" s="2372"/>
      <c r="Y295" s="2372"/>
      <c r="Z295" s="2372"/>
      <c r="AA295" s="2372"/>
      <c r="AB295" s="2372"/>
      <c r="AC295" s="2372"/>
      <c r="AD295" s="2372"/>
      <c r="AE295" s="2372"/>
      <c r="AF295" s="2372"/>
      <c r="AG295" s="2372"/>
      <c r="AH295" s="2372"/>
      <c r="AI295" s="2372"/>
      <c r="AJ295" s="2372"/>
      <c r="AK295" s="2372"/>
      <c r="AL295" s="2372"/>
      <c r="AM295" s="2372"/>
      <c r="AN295" s="2372"/>
      <c r="AO295" s="2372"/>
      <c r="AP295" s="2372"/>
      <c r="AQ295" s="2372"/>
      <c r="AR295" s="2372"/>
      <c r="AS295" s="2372"/>
      <c r="AT295" s="2372"/>
      <c r="AU295" s="2372"/>
      <c r="AV295" s="2372"/>
      <c r="AW295" s="2372"/>
      <c r="AX295" s="2372"/>
      <c r="AY295" s="2372"/>
      <c r="AZ295" s="2372"/>
      <c r="BA295" s="2372"/>
      <c r="BB295" s="2372"/>
      <c r="BC295" s="2372"/>
      <c r="BD295" s="2372"/>
      <c r="BE295" s="2372"/>
      <c r="BF295" s="2372"/>
      <c r="BG295" s="2372"/>
      <c r="BH295" s="2372"/>
      <c r="BI295" s="2372"/>
      <c r="BJ295" s="2372"/>
      <c r="BK295" s="2372"/>
      <c r="BL295" s="2372"/>
      <c r="BM295" s="2372"/>
      <c r="BN295" s="2372"/>
      <c r="BO295" s="2372"/>
      <c r="BP295" s="2372"/>
      <c r="BQ295" s="2372"/>
      <c r="BR295" s="2372"/>
      <c r="BS295" s="2372"/>
      <c r="BT295" s="2372"/>
      <c r="BU295" s="2372"/>
      <c r="BV295" s="2372"/>
      <c r="BW295" s="2372"/>
      <c r="BX295" s="2372"/>
      <c r="BY295" s="2372"/>
      <c r="BZ295" s="2372"/>
      <c r="CA295" s="2372"/>
      <c r="CB295" s="2372"/>
      <c r="CC295" s="2372"/>
      <c r="CD295" s="2372"/>
      <c r="CE295" s="2372"/>
      <c r="CF295" s="2372"/>
      <c r="CG295" s="2372"/>
      <c r="CH295" s="2372"/>
      <c r="CI295" s="2372"/>
      <c r="CJ295" s="2372"/>
      <c r="CK295" s="2372"/>
      <c r="CL295" s="2372"/>
      <c r="CM295" s="2372"/>
      <c r="CN295" s="2372"/>
      <c r="CO295" s="2372"/>
      <c r="CP295" s="2372"/>
      <c r="CQ295" s="2372"/>
      <c r="CR295" s="2372"/>
      <c r="CS295" s="2372"/>
      <c r="CT295" s="2372"/>
      <c r="CU295" s="2372"/>
      <c r="CV295" s="2372"/>
      <c r="CW295" s="2372"/>
      <c r="CX295" s="2372"/>
      <c r="CY295" s="2372"/>
      <c r="CZ295" s="2372"/>
      <c r="DA295" s="2372"/>
    </row>
    <row r="296" spans="1:105" ht="3" hidden="1" customHeight="1">
      <c r="A296" s="2372"/>
      <c r="B296" s="2372"/>
      <c r="C296" s="2372"/>
      <c r="D296" s="2372"/>
      <c r="E296" s="2372"/>
      <c r="F296" s="2372"/>
      <c r="G296" s="2372"/>
      <c r="H296" s="2372"/>
      <c r="I296" s="2372"/>
      <c r="J296" s="2372"/>
      <c r="K296" s="2372"/>
      <c r="L296" s="2372"/>
      <c r="M296" s="2372"/>
      <c r="N296" s="2372"/>
      <c r="O296" s="2372"/>
      <c r="P296" s="2372"/>
      <c r="Q296" s="2372"/>
      <c r="R296" s="2372"/>
      <c r="S296" s="2372"/>
      <c r="T296" s="2372"/>
      <c r="U296" s="2372"/>
      <c r="V296" s="2372"/>
      <c r="W296" s="2372"/>
      <c r="X296" s="2372"/>
      <c r="Y296" s="2372"/>
      <c r="Z296" s="2372"/>
      <c r="AA296" s="2372"/>
      <c r="AB296" s="2372"/>
      <c r="AC296" s="2372"/>
      <c r="AD296" s="2372"/>
      <c r="AE296" s="2372"/>
      <c r="AF296" s="2372"/>
      <c r="AG296" s="2372"/>
      <c r="AH296" s="2372"/>
      <c r="AI296" s="2372"/>
      <c r="AJ296" s="2372"/>
      <c r="AK296" s="2372"/>
      <c r="AL296" s="2372"/>
      <c r="AM296" s="2372"/>
      <c r="AN296" s="2372"/>
      <c r="AO296" s="2372"/>
      <c r="AP296" s="2372"/>
      <c r="AQ296" s="2372"/>
      <c r="AR296" s="2372"/>
      <c r="AS296" s="2372"/>
      <c r="AT296" s="2372"/>
      <c r="AU296" s="2372"/>
      <c r="AV296" s="2372"/>
      <c r="AW296" s="2372"/>
      <c r="AX296" s="2372"/>
      <c r="AY296" s="2372"/>
      <c r="AZ296" s="2372"/>
      <c r="BA296" s="2372"/>
      <c r="BB296" s="2372"/>
      <c r="BC296" s="2372"/>
      <c r="BD296" s="2372"/>
      <c r="BE296" s="2372"/>
      <c r="BF296" s="2372"/>
      <c r="BG296" s="2372"/>
      <c r="BH296" s="2372"/>
      <c r="BI296" s="2372"/>
      <c r="BJ296" s="2372"/>
      <c r="BK296" s="2372"/>
      <c r="BL296" s="2372"/>
      <c r="BM296" s="2372"/>
      <c r="BN296" s="2372"/>
      <c r="BO296" s="2372"/>
      <c r="BP296" s="2372"/>
      <c r="BQ296" s="2372"/>
      <c r="BR296" s="2372"/>
      <c r="BS296" s="2372"/>
      <c r="BT296" s="2372"/>
      <c r="BU296" s="2372"/>
      <c r="BV296" s="2372"/>
      <c r="BW296" s="2372"/>
      <c r="BX296" s="2372"/>
      <c r="BY296" s="2372"/>
      <c r="BZ296" s="2372"/>
      <c r="CA296" s="2372"/>
      <c r="CB296" s="2372"/>
      <c r="CC296" s="2372"/>
      <c r="CD296" s="2372"/>
      <c r="CE296" s="2372"/>
      <c r="CF296" s="2372"/>
      <c r="CG296" s="2372"/>
      <c r="CH296" s="2372"/>
      <c r="CI296" s="2372"/>
      <c r="CJ296" s="2372"/>
      <c r="CK296" s="2372"/>
      <c r="CL296" s="2372"/>
      <c r="CM296" s="2372"/>
      <c r="CN296" s="2372"/>
      <c r="CO296" s="2372"/>
      <c r="CP296" s="2372"/>
      <c r="CQ296" s="2372"/>
      <c r="CR296" s="2372"/>
      <c r="CS296" s="2372"/>
      <c r="CT296" s="2372"/>
      <c r="CU296" s="2372"/>
      <c r="CV296" s="2372"/>
      <c r="CW296" s="2372"/>
      <c r="CX296" s="2372"/>
      <c r="CY296" s="2372"/>
      <c r="CZ296" s="2372"/>
      <c r="DA296" s="2372"/>
    </row>
    <row r="297" spans="1:105" ht="15" hidden="1" customHeight="1">
      <c r="A297" s="2372"/>
      <c r="B297" s="2372"/>
      <c r="C297" s="2372"/>
      <c r="D297" s="2372"/>
      <c r="E297" s="2372"/>
      <c r="F297" s="2372"/>
      <c r="G297" s="2372"/>
      <c r="H297" s="2372"/>
      <c r="I297" s="2372"/>
      <c r="J297" s="2372"/>
      <c r="K297" s="2372"/>
      <c r="L297" s="2372"/>
      <c r="M297" s="2372"/>
      <c r="N297" s="2372"/>
      <c r="O297" s="2372"/>
      <c r="P297" s="2372"/>
      <c r="Q297" s="2372"/>
      <c r="R297" s="2372"/>
      <c r="S297" s="2372"/>
      <c r="T297" s="2372"/>
      <c r="U297" s="2372"/>
      <c r="V297" s="2372"/>
      <c r="W297" s="2372"/>
      <c r="X297" s="2372"/>
      <c r="Y297" s="2372"/>
      <c r="Z297" s="2372"/>
      <c r="AA297" s="2372"/>
      <c r="AB297" s="2372"/>
      <c r="AC297" s="2372"/>
      <c r="AD297" s="2372"/>
      <c r="AE297" s="2372"/>
      <c r="AF297" s="2372"/>
      <c r="AG297" s="2372"/>
      <c r="AH297" s="2372"/>
      <c r="AI297" s="2372"/>
      <c r="AJ297" s="2372"/>
      <c r="AK297" s="2372"/>
      <c r="AL297" s="2372"/>
      <c r="AM297" s="2372"/>
      <c r="AN297" s="2372"/>
      <c r="AO297" s="2372"/>
      <c r="AP297" s="2372"/>
      <c r="AQ297" s="2372"/>
      <c r="AR297" s="2372"/>
      <c r="AS297" s="2372"/>
      <c r="AT297" s="2372"/>
      <c r="AU297" s="2372"/>
      <c r="AV297" s="2372"/>
      <c r="AW297" s="2372"/>
      <c r="AX297" s="2372"/>
      <c r="AY297" s="2372"/>
      <c r="AZ297" s="2372"/>
      <c r="BA297" s="2372"/>
      <c r="BB297" s="2372"/>
      <c r="BC297" s="2372"/>
      <c r="BD297" s="2372"/>
      <c r="BE297" s="2372"/>
      <c r="BF297" s="2372"/>
      <c r="BG297" s="2372"/>
      <c r="BH297" s="2372"/>
      <c r="BI297" s="2372"/>
      <c r="BJ297" s="2372"/>
      <c r="BK297" s="2372"/>
      <c r="BL297" s="2372"/>
      <c r="BM297" s="2372"/>
      <c r="BN297" s="2372"/>
      <c r="BO297" s="2372"/>
      <c r="BP297" s="2372"/>
      <c r="BQ297" s="2372"/>
      <c r="BR297" s="2372"/>
      <c r="BS297" s="2372"/>
      <c r="BT297" s="2372"/>
      <c r="BU297" s="2372"/>
      <c r="BV297" s="2372"/>
      <c r="BW297" s="2372"/>
      <c r="BX297" s="2372"/>
      <c r="BY297" s="2372"/>
      <c r="BZ297" s="2372"/>
      <c r="CA297" s="2372"/>
      <c r="CB297" s="2372"/>
      <c r="CC297" s="2372"/>
      <c r="CD297" s="2372"/>
      <c r="CE297" s="2372"/>
      <c r="CF297" s="2372"/>
      <c r="CG297" s="2372"/>
      <c r="CH297" s="2372"/>
      <c r="CI297" s="2372"/>
      <c r="CJ297" s="2372"/>
      <c r="CK297" s="2372"/>
      <c r="CL297" s="2372"/>
      <c r="CM297" s="2372"/>
      <c r="CN297" s="2372"/>
      <c r="CO297" s="2372"/>
      <c r="CP297" s="2372"/>
      <c r="CQ297" s="2372"/>
      <c r="CR297" s="2372"/>
      <c r="CS297" s="2372"/>
      <c r="CT297" s="2372"/>
      <c r="CU297" s="2372"/>
      <c r="CV297" s="2372"/>
      <c r="CW297" s="2372"/>
      <c r="CX297" s="2372"/>
      <c r="CY297" s="2372"/>
      <c r="CZ297" s="2372"/>
      <c r="DA297" s="2372"/>
    </row>
    <row r="298" spans="1:105" ht="3" hidden="1" customHeight="1">
      <c r="A298" s="2372"/>
      <c r="B298" s="2372"/>
      <c r="C298" s="2372"/>
      <c r="D298" s="2372"/>
      <c r="E298" s="2372"/>
      <c r="F298" s="2372"/>
      <c r="G298" s="2372"/>
      <c r="H298" s="2372"/>
      <c r="I298" s="2372"/>
      <c r="J298" s="2372"/>
      <c r="K298" s="2372"/>
      <c r="L298" s="2372"/>
      <c r="M298" s="2372"/>
      <c r="N298" s="2372"/>
      <c r="O298" s="2372"/>
      <c r="P298" s="2372"/>
      <c r="Q298" s="2372"/>
      <c r="R298" s="2372"/>
      <c r="S298" s="2372"/>
      <c r="T298" s="2372"/>
      <c r="U298" s="2372"/>
      <c r="V298" s="2372"/>
      <c r="W298" s="2372"/>
      <c r="X298" s="2372"/>
      <c r="Y298" s="2372"/>
      <c r="Z298" s="2372"/>
      <c r="AA298" s="2372"/>
      <c r="AB298" s="2372"/>
      <c r="AC298" s="2372"/>
      <c r="AD298" s="2372"/>
      <c r="AE298" s="2372"/>
      <c r="AF298" s="2372"/>
      <c r="AG298" s="2372"/>
      <c r="AH298" s="2372"/>
      <c r="AI298" s="2372"/>
      <c r="AJ298" s="2372"/>
      <c r="AK298" s="2372"/>
      <c r="AL298" s="2372"/>
      <c r="AM298" s="2372"/>
      <c r="AN298" s="2372"/>
      <c r="AO298" s="2372"/>
      <c r="AP298" s="2372"/>
      <c r="AQ298" s="2372"/>
      <c r="AR298" s="2372"/>
      <c r="AS298" s="2372"/>
      <c r="AT298" s="2372"/>
      <c r="AU298" s="2372"/>
      <c r="AV298" s="2372"/>
      <c r="AW298" s="2372"/>
      <c r="AX298" s="2372"/>
      <c r="AY298" s="2372"/>
      <c r="AZ298" s="2372"/>
      <c r="BA298" s="2372"/>
      <c r="BB298" s="2372"/>
      <c r="BC298" s="2372"/>
      <c r="BD298" s="2372"/>
      <c r="BE298" s="2372"/>
      <c r="BF298" s="2372"/>
      <c r="BG298" s="2372"/>
      <c r="BH298" s="2372"/>
      <c r="BI298" s="2372"/>
      <c r="BJ298" s="2372"/>
      <c r="BK298" s="2372"/>
      <c r="BL298" s="2372"/>
      <c r="BM298" s="2372"/>
      <c r="BN298" s="2372"/>
      <c r="BO298" s="2372"/>
      <c r="BP298" s="2372"/>
      <c r="BQ298" s="2372"/>
      <c r="BR298" s="2372"/>
      <c r="BS298" s="2372"/>
      <c r="BT298" s="2372"/>
      <c r="BU298" s="2372"/>
      <c r="BV298" s="2372"/>
      <c r="BW298" s="2372"/>
      <c r="BX298" s="2372"/>
      <c r="BY298" s="2372"/>
      <c r="BZ298" s="2372"/>
      <c r="CA298" s="2372"/>
      <c r="CB298" s="2372"/>
      <c r="CC298" s="2372"/>
      <c r="CD298" s="2372"/>
      <c r="CE298" s="2372"/>
      <c r="CF298" s="2372"/>
      <c r="CG298" s="2372"/>
      <c r="CH298" s="2372"/>
      <c r="CI298" s="2372"/>
      <c r="CJ298" s="2372"/>
      <c r="CK298" s="2372"/>
      <c r="CL298" s="2372"/>
      <c r="CM298" s="2372"/>
      <c r="CN298" s="2372"/>
      <c r="CO298" s="2372"/>
      <c r="CP298" s="2372"/>
      <c r="CQ298" s="2372"/>
      <c r="CR298" s="2372"/>
      <c r="CS298" s="2372"/>
      <c r="CT298" s="2372"/>
      <c r="CU298" s="2372"/>
      <c r="CV298" s="2372"/>
      <c r="CW298" s="2372"/>
      <c r="CX298" s="2372"/>
      <c r="CY298" s="2372"/>
      <c r="CZ298" s="2372"/>
      <c r="DA298" s="2372"/>
    </row>
    <row r="299" spans="1:105" ht="15" hidden="1" customHeight="1">
      <c r="A299" s="2372"/>
      <c r="B299" s="2372"/>
      <c r="U299" s="2372"/>
      <c r="V299" s="2372"/>
      <c r="W299" s="2372"/>
      <c r="X299" s="2372"/>
      <c r="Y299" s="2372"/>
      <c r="Z299" s="2372"/>
      <c r="AA299" s="2372"/>
      <c r="AB299" s="2372"/>
      <c r="AC299" s="2372"/>
      <c r="AD299" s="2372"/>
      <c r="AE299" s="2372"/>
      <c r="AF299" s="2372"/>
      <c r="AG299" s="2372"/>
      <c r="AH299" s="2372"/>
      <c r="AI299" s="2372"/>
      <c r="AJ299" s="2372"/>
      <c r="AK299" s="2372"/>
      <c r="AL299" s="2372"/>
      <c r="AM299" s="2372"/>
      <c r="AN299" s="2372"/>
      <c r="AO299" s="2372"/>
      <c r="AP299" s="2372"/>
      <c r="AQ299" s="2372"/>
      <c r="AR299" s="2372"/>
      <c r="AS299" s="2372"/>
      <c r="AT299" s="2372"/>
      <c r="AU299" s="2372"/>
      <c r="AV299" s="2372"/>
      <c r="AW299" s="2372"/>
      <c r="AX299" s="2372"/>
      <c r="AY299" s="2372"/>
      <c r="AZ299" s="2372"/>
      <c r="BA299" s="2372"/>
      <c r="BB299" s="2372"/>
      <c r="BC299" s="2372"/>
      <c r="BD299" s="2372"/>
      <c r="BE299" s="2372"/>
      <c r="BF299" s="2372"/>
      <c r="BG299" s="2372"/>
      <c r="BH299" s="2372"/>
      <c r="BI299" s="2372"/>
      <c r="BJ299" s="2372"/>
      <c r="BK299" s="2372"/>
      <c r="BL299" s="2372"/>
      <c r="BM299" s="2372"/>
      <c r="BN299" s="2372"/>
      <c r="BO299" s="2372"/>
      <c r="BP299" s="2372"/>
      <c r="BQ299" s="2372"/>
      <c r="BR299" s="2372"/>
      <c r="BS299" s="2372"/>
      <c r="BT299" s="2372"/>
      <c r="BU299" s="2372"/>
      <c r="BV299" s="2372"/>
      <c r="BW299" s="2372"/>
      <c r="BX299" s="2372"/>
      <c r="BY299" s="2372"/>
      <c r="BZ299" s="2372"/>
      <c r="CA299" s="2372"/>
      <c r="CB299" s="2372"/>
      <c r="CC299" s="2372"/>
      <c r="CD299" s="2372"/>
      <c r="CE299" s="2372"/>
      <c r="CF299" s="2372"/>
      <c r="CG299" s="2372"/>
      <c r="CH299" s="2372"/>
      <c r="CI299" s="2372"/>
      <c r="CJ299" s="2372"/>
      <c r="CK299" s="2372"/>
      <c r="CL299" s="2372"/>
      <c r="CM299" s="2372"/>
      <c r="CN299" s="2372"/>
      <c r="CO299" s="2372"/>
      <c r="CP299" s="2372"/>
      <c r="CQ299" s="2372"/>
      <c r="CR299" s="2372"/>
      <c r="CS299" s="2372"/>
      <c r="CT299" s="2372"/>
      <c r="CU299" s="2372"/>
      <c r="CV299" s="2372"/>
      <c r="CW299" s="2372"/>
      <c r="CX299" s="2372"/>
      <c r="CY299" s="2372"/>
      <c r="CZ299" s="2372"/>
      <c r="DA299" s="2372"/>
    </row>
    <row r="300" spans="1:105" ht="3" hidden="1" customHeight="1">
      <c r="A300" s="2372"/>
      <c r="B300" s="2372"/>
      <c r="U300" s="2372"/>
      <c r="V300" s="2372"/>
      <c r="W300" s="2372"/>
      <c r="X300" s="2372"/>
      <c r="Y300" s="2372"/>
      <c r="Z300" s="2372"/>
      <c r="AA300" s="2372"/>
      <c r="AB300" s="2372"/>
      <c r="AC300" s="2372"/>
      <c r="AD300" s="2372"/>
      <c r="AE300" s="2372"/>
      <c r="AF300" s="2372"/>
      <c r="AG300" s="2372"/>
      <c r="AH300" s="2372"/>
      <c r="AI300" s="2372"/>
      <c r="AJ300" s="2372"/>
      <c r="AK300" s="2372"/>
      <c r="AL300" s="2372"/>
      <c r="AM300" s="2372"/>
      <c r="AN300" s="2372"/>
      <c r="AO300" s="2372"/>
      <c r="AP300" s="2372"/>
      <c r="AQ300" s="2372"/>
      <c r="AR300" s="2372"/>
      <c r="AS300" s="2372"/>
      <c r="AT300" s="2372"/>
      <c r="AU300" s="2372"/>
      <c r="AV300" s="2372"/>
      <c r="AW300" s="2372"/>
      <c r="AX300" s="2372"/>
      <c r="AY300" s="2372"/>
      <c r="AZ300" s="2372"/>
      <c r="BA300" s="2372"/>
      <c r="BB300" s="2372"/>
      <c r="BC300" s="2372"/>
      <c r="BD300" s="2372"/>
      <c r="BE300" s="2372"/>
      <c r="BF300" s="2372"/>
      <c r="BG300" s="2372"/>
      <c r="BH300" s="2372"/>
      <c r="BI300" s="2372"/>
      <c r="BJ300" s="2372"/>
      <c r="BK300" s="2372"/>
      <c r="BL300" s="2372"/>
      <c r="BM300" s="2372"/>
      <c r="BN300" s="2372"/>
      <c r="BO300" s="2372"/>
      <c r="BP300" s="2372"/>
      <c r="BQ300" s="2372"/>
      <c r="BR300" s="2372"/>
      <c r="BS300" s="2372"/>
      <c r="BT300" s="2372"/>
      <c r="BU300" s="2372"/>
      <c r="BV300" s="2372"/>
      <c r="BW300" s="2372"/>
      <c r="BX300" s="2372"/>
      <c r="BY300" s="2372"/>
      <c r="BZ300" s="2372"/>
      <c r="CA300" s="2372"/>
      <c r="CB300" s="2372"/>
      <c r="CC300" s="2372"/>
      <c r="CD300" s="2372"/>
      <c r="CE300" s="2372"/>
      <c r="CF300" s="2372"/>
      <c r="CG300" s="2372"/>
      <c r="CH300" s="2372"/>
      <c r="CI300" s="2372"/>
      <c r="CJ300" s="2372"/>
      <c r="CK300" s="2372"/>
      <c r="CL300" s="2372"/>
      <c r="CM300" s="2372"/>
      <c r="CN300" s="2372"/>
      <c r="CO300" s="2372"/>
      <c r="CP300" s="2372"/>
      <c r="CQ300" s="2372"/>
      <c r="CR300" s="2372"/>
      <c r="CS300" s="2372"/>
      <c r="CT300" s="2372"/>
      <c r="CU300" s="2372"/>
      <c r="CV300" s="2372"/>
      <c r="CW300" s="2372"/>
      <c r="CX300" s="2372"/>
      <c r="CY300" s="2372"/>
      <c r="CZ300" s="2372"/>
      <c r="DA300" s="2372"/>
    </row>
    <row r="301" spans="1:105" ht="15" hidden="1" customHeight="1">
      <c r="A301" s="2372"/>
      <c r="B301" s="2372"/>
      <c r="U301" s="2372"/>
      <c r="V301" s="2372"/>
      <c r="W301" s="2372"/>
      <c r="X301" s="2372"/>
      <c r="Y301" s="2372"/>
      <c r="Z301" s="2372"/>
      <c r="AA301" s="2372"/>
      <c r="AB301" s="2372"/>
      <c r="AC301" s="2372"/>
      <c r="AD301" s="2372"/>
      <c r="AE301" s="2372"/>
      <c r="AF301" s="2372"/>
      <c r="AG301" s="2372"/>
      <c r="AH301" s="2372"/>
      <c r="AI301" s="2372"/>
      <c r="AJ301" s="2372"/>
      <c r="AK301" s="2372"/>
      <c r="AL301" s="2372"/>
      <c r="AM301" s="2372"/>
      <c r="AN301" s="2372"/>
      <c r="AO301" s="2372"/>
      <c r="AP301" s="2372"/>
      <c r="AQ301" s="2372"/>
      <c r="AR301" s="2372"/>
      <c r="AS301" s="2372"/>
      <c r="AT301" s="2372"/>
      <c r="AU301" s="2372"/>
      <c r="AV301" s="2372"/>
      <c r="AW301" s="2372"/>
      <c r="AX301" s="2372"/>
      <c r="AY301" s="2372"/>
      <c r="AZ301" s="2372"/>
      <c r="BA301" s="2372"/>
      <c r="BB301" s="2372"/>
      <c r="BC301" s="2372"/>
      <c r="BD301" s="2372"/>
      <c r="BE301" s="2372"/>
      <c r="BF301" s="2372"/>
      <c r="BG301" s="2372"/>
      <c r="BH301" s="2372"/>
      <c r="BI301" s="2372"/>
      <c r="BJ301" s="2372"/>
      <c r="BK301" s="2372"/>
      <c r="BL301" s="2372"/>
      <c r="BM301" s="2372"/>
      <c r="BN301" s="2372"/>
      <c r="BO301" s="2372"/>
      <c r="BP301" s="2372"/>
      <c r="BQ301" s="2372"/>
      <c r="BR301" s="2372"/>
      <c r="BS301" s="2372"/>
      <c r="BT301" s="2372"/>
      <c r="BU301" s="2372"/>
      <c r="BV301" s="2372"/>
      <c r="BW301" s="2372"/>
      <c r="BX301" s="2372"/>
      <c r="BY301" s="2372"/>
      <c r="BZ301" s="2372"/>
      <c r="CA301" s="2372"/>
      <c r="CB301" s="2372"/>
      <c r="CC301" s="2372"/>
      <c r="CD301" s="2372"/>
      <c r="CE301" s="2372"/>
      <c r="CF301" s="2372"/>
      <c r="CG301" s="2372"/>
      <c r="CH301" s="2372"/>
      <c r="CI301" s="2372"/>
      <c r="CJ301" s="2372"/>
      <c r="CK301" s="2372"/>
      <c r="CL301" s="2372"/>
      <c r="CM301" s="2372"/>
      <c r="CN301" s="2372"/>
      <c r="CO301" s="2372"/>
      <c r="CP301" s="2372"/>
      <c r="CQ301" s="2372"/>
      <c r="CR301" s="2372"/>
      <c r="CS301" s="2372"/>
      <c r="CT301" s="2372"/>
      <c r="CU301" s="2372"/>
      <c r="CV301" s="2372"/>
      <c r="CW301" s="2372"/>
      <c r="CX301" s="2372"/>
      <c r="CY301" s="2372"/>
      <c r="CZ301" s="2372"/>
      <c r="DA301" s="2372"/>
    </row>
    <row r="302" spans="1:105" ht="3" hidden="1" customHeight="1">
      <c r="A302" s="2372"/>
      <c r="B302" s="2372"/>
      <c r="U302" s="2372"/>
      <c r="V302" s="2372"/>
      <c r="W302" s="2372"/>
      <c r="X302" s="2372"/>
      <c r="Y302" s="2372"/>
      <c r="Z302" s="2372"/>
      <c r="AA302" s="2372"/>
      <c r="AB302" s="2372"/>
      <c r="AC302" s="2372"/>
      <c r="AD302" s="2372"/>
      <c r="AE302" s="2372"/>
      <c r="AF302" s="2372"/>
      <c r="AG302" s="2372"/>
      <c r="AH302" s="2372"/>
      <c r="AI302" s="2372"/>
      <c r="AJ302" s="2372"/>
      <c r="AK302" s="2372"/>
      <c r="AL302" s="2372"/>
      <c r="AM302" s="2372"/>
      <c r="AN302" s="2372"/>
      <c r="AO302" s="2372"/>
      <c r="AP302" s="2372"/>
      <c r="AQ302" s="2372"/>
      <c r="AR302" s="2372"/>
      <c r="AS302" s="2372"/>
      <c r="AT302" s="2372"/>
      <c r="AU302" s="2372"/>
      <c r="AV302" s="2372"/>
      <c r="AW302" s="2372"/>
      <c r="AX302" s="2372"/>
      <c r="AY302" s="2372"/>
      <c r="AZ302" s="2372"/>
      <c r="BA302" s="2372"/>
      <c r="BB302" s="2372"/>
      <c r="BC302" s="2372"/>
      <c r="BD302" s="2372"/>
      <c r="BE302" s="2372"/>
      <c r="BF302" s="2372"/>
      <c r="BG302" s="2372"/>
      <c r="BH302" s="2372"/>
      <c r="BI302" s="2372"/>
      <c r="BJ302" s="2372"/>
      <c r="BK302" s="2372"/>
      <c r="BL302" s="2372"/>
      <c r="BM302" s="2372"/>
      <c r="BN302" s="2372"/>
      <c r="BO302" s="2372"/>
      <c r="BP302" s="2372"/>
      <c r="BQ302" s="2372"/>
      <c r="BR302" s="2372"/>
      <c r="BS302" s="2372"/>
      <c r="BT302" s="2372"/>
      <c r="BU302" s="2372"/>
      <c r="BV302" s="2372"/>
      <c r="BW302" s="2372"/>
      <c r="BX302" s="2372"/>
      <c r="BY302" s="2372"/>
      <c r="BZ302" s="2372"/>
      <c r="CA302" s="2372"/>
      <c r="CB302" s="2372"/>
      <c r="CC302" s="2372"/>
      <c r="CD302" s="2372"/>
      <c r="CE302" s="2372"/>
      <c r="CF302" s="2372"/>
      <c r="CG302" s="2372"/>
      <c r="CH302" s="2372"/>
      <c r="CI302" s="2372"/>
      <c r="CJ302" s="2372"/>
      <c r="CK302" s="2372"/>
      <c r="CL302" s="2372"/>
      <c r="CM302" s="2372"/>
      <c r="CN302" s="2372"/>
      <c r="CO302" s="2372"/>
      <c r="CP302" s="2372"/>
      <c r="CQ302" s="2372"/>
      <c r="CR302" s="2372"/>
      <c r="CS302" s="2372"/>
      <c r="CT302" s="2372"/>
      <c r="CU302" s="2372"/>
      <c r="CV302" s="2372"/>
      <c r="CW302" s="2372"/>
      <c r="CX302" s="2372"/>
      <c r="CY302" s="2372"/>
      <c r="CZ302" s="2372"/>
      <c r="DA302" s="2372"/>
    </row>
    <row r="303" spans="1:105" ht="15" hidden="1" customHeight="1">
      <c r="A303" s="2372"/>
      <c r="B303" s="2372"/>
      <c r="U303" s="2372"/>
      <c r="V303" s="2372"/>
      <c r="W303" s="2372"/>
      <c r="X303" s="2372"/>
      <c r="Y303" s="2372"/>
      <c r="Z303" s="2372"/>
      <c r="AA303" s="2372"/>
      <c r="AB303" s="2372"/>
      <c r="AC303" s="2372"/>
      <c r="AD303" s="2372"/>
      <c r="AE303" s="2372"/>
      <c r="AF303" s="2372"/>
      <c r="AG303" s="2372"/>
      <c r="AH303" s="2372"/>
      <c r="AI303" s="2372"/>
      <c r="AJ303" s="2372"/>
      <c r="AK303" s="2372"/>
      <c r="AL303" s="2372"/>
      <c r="AM303" s="2372"/>
      <c r="AN303" s="2372"/>
      <c r="AO303" s="2372"/>
      <c r="AP303" s="2372"/>
      <c r="AQ303" s="2372"/>
      <c r="AR303" s="2372"/>
      <c r="AS303" s="2372"/>
      <c r="AT303" s="2372"/>
      <c r="AU303" s="2372"/>
      <c r="AV303" s="2372"/>
      <c r="AW303" s="2372"/>
      <c r="AX303" s="2372"/>
      <c r="AY303" s="2372"/>
      <c r="AZ303" s="2372"/>
      <c r="BA303" s="2372"/>
      <c r="BB303" s="2372"/>
      <c r="BC303" s="2372"/>
      <c r="BD303" s="2372"/>
      <c r="BE303" s="2372"/>
      <c r="BF303" s="2372"/>
      <c r="BG303" s="2372"/>
      <c r="BH303" s="2372"/>
      <c r="BI303" s="2372"/>
      <c r="BJ303" s="2372"/>
      <c r="BK303" s="2372"/>
      <c r="BL303" s="2372"/>
      <c r="BM303" s="2372"/>
      <c r="BN303" s="2372"/>
      <c r="BO303" s="2372"/>
      <c r="BP303" s="2372"/>
      <c r="BQ303" s="2372"/>
      <c r="BR303" s="2372"/>
      <c r="BS303" s="2372"/>
      <c r="BT303" s="2372"/>
      <c r="BU303" s="2372"/>
      <c r="BV303" s="2372"/>
      <c r="BW303" s="2372"/>
      <c r="BX303" s="2372"/>
      <c r="BY303" s="2372"/>
      <c r="BZ303" s="2372"/>
      <c r="CA303" s="2372"/>
      <c r="CB303" s="2372"/>
      <c r="CC303" s="2372"/>
      <c r="CD303" s="2372"/>
      <c r="CE303" s="2372"/>
      <c r="CF303" s="2372"/>
      <c r="CG303" s="2372"/>
      <c r="CH303" s="2372"/>
      <c r="CI303" s="2372"/>
      <c r="CJ303" s="2372"/>
      <c r="CK303" s="2372"/>
      <c r="CL303" s="2372"/>
      <c r="CM303" s="2372"/>
      <c r="CN303" s="2372"/>
      <c r="CO303" s="2372"/>
      <c r="CP303" s="2372"/>
      <c r="CQ303" s="2372"/>
      <c r="CR303" s="2372"/>
      <c r="CS303" s="2372"/>
      <c r="CT303" s="2372"/>
      <c r="CU303" s="2372"/>
      <c r="CV303" s="2372"/>
      <c r="CW303" s="2372"/>
      <c r="CX303" s="2372"/>
      <c r="CY303" s="2372"/>
      <c r="CZ303" s="2372"/>
      <c r="DA303" s="2372"/>
    </row>
    <row r="304" spans="1:105" ht="3" hidden="1" customHeight="1">
      <c r="A304" s="2372"/>
      <c r="B304" s="2372"/>
      <c r="U304" s="2372"/>
      <c r="V304" s="2372"/>
      <c r="W304" s="2372"/>
      <c r="X304" s="2372"/>
      <c r="Y304" s="2372"/>
      <c r="Z304" s="2372"/>
      <c r="AA304" s="2372"/>
      <c r="AB304" s="2372"/>
      <c r="AC304" s="2372"/>
      <c r="AD304" s="2372"/>
      <c r="AE304" s="2372"/>
      <c r="AF304" s="2372"/>
      <c r="AG304" s="2372"/>
      <c r="AH304" s="2372"/>
      <c r="AI304" s="2372"/>
      <c r="AJ304" s="2372"/>
      <c r="AK304" s="2372"/>
      <c r="AL304" s="2372"/>
      <c r="AM304" s="2372"/>
      <c r="AN304" s="2372"/>
      <c r="AO304" s="2372"/>
      <c r="AP304" s="2372"/>
      <c r="AQ304" s="2372"/>
      <c r="AR304" s="2372"/>
      <c r="AS304" s="2372"/>
      <c r="AT304" s="2372"/>
      <c r="AU304" s="2372"/>
      <c r="AV304" s="2372"/>
      <c r="AW304" s="2372"/>
      <c r="AX304" s="2372"/>
      <c r="AY304" s="2372"/>
      <c r="AZ304" s="2372"/>
      <c r="BA304" s="2372"/>
      <c r="BB304" s="2372"/>
      <c r="BC304" s="2372"/>
      <c r="BD304" s="2372"/>
      <c r="BE304" s="2372"/>
      <c r="BF304" s="2372"/>
      <c r="BG304" s="2372"/>
      <c r="BH304" s="2372"/>
      <c r="BI304" s="2372"/>
      <c r="BJ304" s="2372"/>
      <c r="BK304" s="2372"/>
      <c r="BL304" s="2372"/>
      <c r="BM304" s="2372"/>
      <c r="BN304" s="2372"/>
      <c r="BO304" s="2372"/>
      <c r="BP304" s="2372"/>
      <c r="BQ304" s="2372"/>
      <c r="BR304" s="2372"/>
      <c r="BS304" s="2372"/>
      <c r="BT304" s="2372"/>
      <c r="BU304" s="2372"/>
      <c r="BV304" s="2372"/>
      <c r="BW304" s="2372"/>
      <c r="BX304" s="2372"/>
      <c r="BY304" s="2372"/>
      <c r="BZ304" s="2372"/>
      <c r="CA304" s="2372"/>
      <c r="CB304" s="2372"/>
      <c r="CC304" s="2372"/>
      <c r="CD304" s="2372"/>
      <c r="CE304" s="2372"/>
      <c r="CF304" s="2372"/>
      <c r="CG304" s="2372"/>
      <c r="CH304" s="2372"/>
      <c r="CI304" s="2372"/>
      <c r="CJ304" s="2372"/>
      <c r="CK304" s="2372"/>
      <c r="CL304" s="2372"/>
      <c r="CM304" s="2372"/>
      <c r="CN304" s="2372"/>
      <c r="CO304" s="2372"/>
      <c r="CP304" s="2372"/>
      <c r="CQ304" s="2372"/>
      <c r="CR304" s="2372"/>
      <c r="CS304" s="2372"/>
      <c r="CT304" s="2372"/>
      <c r="CU304" s="2372"/>
      <c r="CV304" s="2372"/>
      <c r="CW304" s="2372"/>
      <c r="CX304" s="2372"/>
      <c r="CY304" s="2372"/>
      <c r="CZ304" s="2372"/>
      <c r="DA304" s="2372"/>
    </row>
    <row r="305" spans="1:105" ht="15" hidden="1" customHeight="1">
      <c r="A305" s="2372"/>
      <c r="B305" s="2372"/>
      <c r="U305" s="2372"/>
      <c r="V305" s="2372"/>
      <c r="W305" s="2372"/>
      <c r="X305" s="2372"/>
      <c r="Y305" s="2372"/>
      <c r="Z305" s="2372"/>
      <c r="AA305" s="2372"/>
      <c r="AB305" s="2372"/>
      <c r="AC305" s="2372"/>
      <c r="AD305" s="2372"/>
      <c r="AE305" s="2372"/>
      <c r="AF305" s="2372"/>
      <c r="AG305" s="2372"/>
      <c r="AH305" s="2372"/>
      <c r="AI305" s="2372"/>
      <c r="AJ305" s="2372"/>
      <c r="AK305" s="2372"/>
      <c r="AL305" s="2372"/>
      <c r="AM305" s="2372"/>
      <c r="AN305" s="2372"/>
      <c r="AO305" s="2372"/>
      <c r="AP305" s="2372"/>
      <c r="AQ305" s="2372"/>
      <c r="AR305" s="2372"/>
      <c r="AS305" s="2372"/>
      <c r="AT305" s="2372"/>
      <c r="AU305" s="2372"/>
      <c r="AV305" s="2372"/>
      <c r="AW305" s="2372"/>
      <c r="AX305" s="2372"/>
      <c r="AY305" s="2372"/>
      <c r="AZ305" s="2372"/>
      <c r="BA305" s="2372"/>
      <c r="BB305" s="2372"/>
      <c r="BC305" s="2372"/>
      <c r="BD305" s="2372"/>
      <c r="BE305" s="2372"/>
      <c r="BF305" s="2372"/>
      <c r="BG305" s="2372"/>
      <c r="BH305" s="2372"/>
      <c r="BI305" s="2372"/>
      <c r="BJ305" s="2372"/>
      <c r="BK305" s="2372"/>
      <c r="BL305" s="2372"/>
      <c r="BM305" s="2372"/>
      <c r="BN305" s="2372"/>
      <c r="BO305" s="2372"/>
      <c r="BP305" s="2372"/>
      <c r="BQ305" s="2372"/>
      <c r="BR305" s="2372"/>
      <c r="BS305" s="2372"/>
      <c r="BT305" s="2372"/>
      <c r="BU305" s="2372"/>
      <c r="BV305" s="2372"/>
      <c r="BW305" s="2372"/>
      <c r="BX305" s="2372"/>
      <c r="BY305" s="2372"/>
      <c r="BZ305" s="2372"/>
      <c r="CA305" s="2372"/>
      <c r="CB305" s="2372"/>
      <c r="CC305" s="2372"/>
      <c r="CD305" s="2372"/>
      <c r="CE305" s="2372"/>
      <c r="CF305" s="2372"/>
      <c r="CG305" s="2372"/>
      <c r="CH305" s="2372"/>
      <c r="CI305" s="2372"/>
      <c r="CJ305" s="2372"/>
      <c r="CK305" s="2372"/>
      <c r="CL305" s="2372"/>
      <c r="CM305" s="2372"/>
      <c r="CN305" s="2372"/>
      <c r="CO305" s="2372"/>
      <c r="CP305" s="2372"/>
      <c r="CQ305" s="2372"/>
      <c r="CR305" s="2372"/>
      <c r="CS305" s="2372"/>
      <c r="CT305" s="2372"/>
      <c r="CU305" s="2372"/>
      <c r="CV305" s="2372"/>
      <c r="CW305" s="2372"/>
      <c r="CX305" s="2372"/>
      <c r="CY305" s="2372"/>
      <c r="CZ305" s="2372"/>
      <c r="DA305" s="2372"/>
    </row>
    <row r="306" spans="1:105" ht="3" hidden="1" customHeight="1">
      <c r="A306" s="2372"/>
      <c r="B306" s="2372"/>
      <c r="U306" s="2372"/>
      <c r="V306" s="2372"/>
      <c r="W306" s="2372"/>
      <c r="X306" s="2372"/>
      <c r="Y306" s="2372"/>
      <c r="Z306" s="2372"/>
      <c r="AA306" s="2372"/>
      <c r="AB306" s="2372"/>
      <c r="AC306" s="2372"/>
      <c r="AD306" s="2372"/>
      <c r="AE306" s="2372"/>
      <c r="AF306" s="2372"/>
      <c r="AG306" s="2372"/>
      <c r="AH306" s="2372"/>
      <c r="AI306" s="2372"/>
      <c r="AJ306" s="2372"/>
      <c r="AK306" s="2372"/>
      <c r="AL306" s="2372"/>
      <c r="AM306" s="2372"/>
      <c r="AN306" s="2372"/>
      <c r="AO306" s="2372"/>
      <c r="AP306" s="2372"/>
      <c r="AQ306" s="2372"/>
      <c r="AR306" s="2372"/>
      <c r="AS306" s="2372"/>
      <c r="AT306" s="2372"/>
      <c r="AU306" s="2372"/>
      <c r="AV306" s="2372"/>
      <c r="AW306" s="2372"/>
      <c r="AX306" s="2372"/>
      <c r="AY306" s="2372"/>
      <c r="AZ306" s="2372"/>
      <c r="BA306" s="2372"/>
      <c r="BB306" s="2372"/>
      <c r="BC306" s="2372"/>
      <c r="BD306" s="2372"/>
      <c r="BE306" s="2372"/>
      <c r="BF306" s="2372"/>
      <c r="BG306" s="2372"/>
      <c r="BH306" s="2372"/>
      <c r="BI306" s="2372"/>
      <c r="BJ306" s="2372"/>
      <c r="BK306" s="2372"/>
      <c r="BL306" s="2372"/>
      <c r="BM306" s="2372"/>
      <c r="BN306" s="2372"/>
      <c r="BO306" s="2372"/>
      <c r="BP306" s="2372"/>
      <c r="BQ306" s="2372"/>
      <c r="BR306" s="2372"/>
      <c r="BS306" s="2372"/>
      <c r="BT306" s="2372"/>
      <c r="BU306" s="2372"/>
      <c r="BV306" s="2372"/>
      <c r="BW306" s="2372"/>
      <c r="BX306" s="2372"/>
      <c r="BY306" s="2372"/>
      <c r="BZ306" s="2372"/>
      <c r="CA306" s="2372"/>
      <c r="CB306" s="2372"/>
      <c r="CC306" s="2372"/>
      <c r="CD306" s="2372"/>
      <c r="CE306" s="2372"/>
      <c r="CF306" s="2372"/>
      <c r="CG306" s="2372"/>
      <c r="CH306" s="2372"/>
      <c r="CI306" s="2372"/>
      <c r="CJ306" s="2372"/>
      <c r="CK306" s="2372"/>
      <c r="CL306" s="2372"/>
      <c r="CM306" s="2372"/>
      <c r="CN306" s="2372"/>
      <c r="CO306" s="2372"/>
      <c r="CP306" s="2372"/>
      <c r="CQ306" s="2372"/>
      <c r="CR306" s="2372"/>
      <c r="CS306" s="2372"/>
      <c r="CT306" s="2372"/>
      <c r="CU306" s="2372"/>
      <c r="CV306" s="2372"/>
      <c r="CW306" s="2372"/>
      <c r="CX306" s="2372"/>
      <c r="CY306" s="2372"/>
      <c r="CZ306" s="2372"/>
      <c r="DA306" s="2372"/>
    </row>
    <row r="307" spans="1:105" ht="15" hidden="1" customHeight="1">
      <c r="A307" s="2372"/>
      <c r="B307" s="2372"/>
      <c r="U307" s="2372"/>
      <c r="V307" s="2372"/>
      <c r="W307" s="2372"/>
      <c r="X307" s="2372"/>
      <c r="Y307" s="2372"/>
      <c r="Z307" s="2372"/>
      <c r="AA307" s="2372"/>
      <c r="AB307" s="2372"/>
      <c r="AC307" s="2372"/>
      <c r="AD307" s="2372"/>
      <c r="AE307" s="2372"/>
      <c r="AF307" s="2372"/>
      <c r="AG307" s="2372"/>
      <c r="AH307" s="2372"/>
      <c r="AI307" s="2372"/>
      <c r="AJ307" s="2372"/>
      <c r="AK307" s="2372"/>
      <c r="AL307" s="2372"/>
      <c r="AM307" s="2372"/>
      <c r="AN307" s="2372"/>
      <c r="AO307" s="2372"/>
      <c r="AP307" s="2372"/>
      <c r="AQ307" s="2372"/>
      <c r="AR307" s="2372"/>
      <c r="AS307" s="2372"/>
      <c r="AT307" s="2372"/>
      <c r="AU307" s="2372"/>
      <c r="AV307" s="2372"/>
      <c r="AW307" s="2372"/>
      <c r="AX307" s="2372"/>
      <c r="AY307" s="2372"/>
      <c r="AZ307" s="2372"/>
      <c r="BA307" s="2372"/>
      <c r="BB307" s="2372"/>
      <c r="BC307" s="2372"/>
      <c r="BD307" s="2372"/>
      <c r="BE307" s="2372"/>
      <c r="BF307" s="2372"/>
      <c r="BG307" s="2372"/>
      <c r="BH307" s="2372"/>
      <c r="BI307" s="2372"/>
      <c r="BJ307" s="2372"/>
      <c r="BK307" s="2372"/>
      <c r="BL307" s="2372"/>
      <c r="BM307" s="2372"/>
      <c r="BN307" s="2372"/>
      <c r="BO307" s="2372"/>
      <c r="BP307" s="2372"/>
      <c r="BQ307" s="2372"/>
      <c r="BR307" s="2372"/>
      <c r="BS307" s="2372"/>
      <c r="BT307" s="2372"/>
      <c r="BU307" s="2372"/>
      <c r="BV307" s="2372"/>
      <c r="BW307" s="2372"/>
      <c r="BX307" s="2372"/>
      <c r="BY307" s="2372"/>
      <c r="BZ307" s="2372"/>
      <c r="CA307" s="2372"/>
      <c r="CB307" s="2372"/>
      <c r="CC307" s="2372"/>
      <c r="CD307" s="2372"/>
      <c r="CE307" s="2372"/>
      <c r="CF307" s="2372"/>
      <c r="CG307" s="2372"/>
      <c r="CH307" s="2372"/>
      <c r="CI307" s="2372"/>
      <c r="CJ307" s="2372"/>
      <c r="CK307" s="2372"/>
      <c r="CL307" s="2372"/>
      <c r="CM307" s="2372"/>
      <c r="CN307" s="2372"/>
      <c r="CO307" s="2372"/>
      <c r="CP307" s="2372"/>
      <c r="CQ307" s="2372"/>
      <c r="CR307" s="2372"/>
      <c r="CS307" s="2372"/>
      <c r="CT307" s="2372"/>
      <c r="CU307" s="2372"/>
      <c r="CV307" s="2372"/>
      <c r="CW307" s="2372"/>
      <c r="CX307" s="2372"/>
      <c r="CY307" s="2372"/>
      <c r="CZ307" s="2372"/>
      <c r="DA307" s="2372"/>
    </row>
    <row r="308" spans="1:105" ht="3" hidden="1" customHeight="1">
      <c r="A308" s="2372"/>
      <c r="B308" s="2372"/>
      <c r="U308" s="2372"/>
      <c r="V308" s="2372"/>
      <c r="W308" s="2372"/>
      <c r="X308" s="2372"/>
      <c r="Y308" s="2372"/>
      <c r="Z308" s="2372"/>
      <c r="AA308" s="2372"/>
      <c r="AB308" s="2372"/>
      <c r="AC308" s="2372"/>
      <c r="AD308" s="2372"/>
      <c r="AE308" s="2372"/>
      <c r="AF308" s="2372"/>
      <c r="AG308" s="2372"/>
      <c r="AH308" s="2372"/>
      <c r="AI308" s="2372"/>
      <c r="AJ308" s="2372"/>
      <c r="AK308" s="2372"/>
      <c r="AL308" s="2372"/>
      <c r="AM308" s="2372"/>
      <c r="AN308" s="2372"/>
      <c r="AO308" s="2372"/>
      <c r="AP308" s="2372"/>
      <c r="AQ308" s="2372"/>
      <c r="AR308" s="2372"/>
      <c r="AS308" s="2372"/>
      <c r="AT308" s="2372"/>
      <c r="AU308" s="2372"/>
      <c r="AV308" s="2372"/>
      <c r="AW308" s="2372"/>
      <c r="AX308" s="2372"/>
      <c r="AY308" s="2372"/>
      <c r="AZ308" s="2372"/>
      <c r="BA308" s="2372"/>
      <c r="BB308" s="2372"/>
      <c r="BC308" s="2372"/>
      <c r="BD308" s="2372"/>
      <c r="BE308" s="2372"/>
      <c r="BF308" s="2372"/>
      <c r="BG308" s="2372"/>
      <c r="BH308" s="2372"/>
      <c r="BI308" s="2372"/>
      <c r="BJ308" s="2372"/>
      <c r="BK308" s="2372"/>
      <c r="BL308" s="2372"/>
      <c r="BM308" s="2372"/>
      <c r="BN308" s="2372"/>
      <c r="BO308" s="2372"/>
      <c r="BP308" s="2372"/>
      <c r="BQ308" s="2372"/>
      <c r="BR308" s="2372"/>
      <c r="BS308" s="2372"/>
      <c r="BT308" s="2372"/>
      <c r="BU308" s="2372"/>
      <c r="BV308" s="2372"/>
      <c r="BW308" s="2372"/>
      <c r="BX308" s="2372"/>
      <c r="BY308" s="2372"/>
      <c r="BZ308" s="2372"/>
      <c r="CA308" s="2372"/>
      <c r="CB308" s="2372"/>
      <c r="CC308" s="2372"/>
      <c r="CD308" s="2372"/>
      <c r="CE308" s="2372"/>
      <c r="CF308" s="2372"/>
      <c r="CG308" s="2372"/>
      <c r="CH308" s="2372"/>
      <c r="CI308" s="2372"/>
      <c r="CJ308" s="2372"/>
      <c r="CK308" s="2372"/>
      <c r="CL308" s="2372"/>
      <c r="CM308" s="2372"/>
      <c r="CN308" s="2372"/>
      <c r="CO308" s="2372"/>
      <c r="CP308" s="2372"/>
      <c r="CQ308" s="2372"/>
      <c r="CR308" s="2372"/>
      <c r="CS308" s="2372"/>
      <c r="CT308" s="2372"/>
      <c r="CU308" s="2372"/>
      <c r="CV308" s="2372"/>
      <c r="CW308" s="2372"/>
      <c r="CX308" s="2372"/>
      <c r="CY308" s="2372"/>
      <c r="CZ308" s="2372"/>
      <c r="DA308" s="2372"/>
    </row>
    <row r="309" spans="1:105" ht="15" hidden="1" customHeight="1">
      <c r="A309" s="2372"/>
      <c r="B309" s="2372"/>
      <c r="U309" s="2372"/>
      <c r="V309" s="2372"/>
      <c r="W309" s="2372"/>
      <c r="X309" s="2372"/>
      <c r="Y309" s="2372"/>
      <c r="Z309" s="2372"/>
      <c r="AA309" s="2372"/>
      <c r="AB309" s="2372"/>
      <c r="AC309" s="2372"/>
      <c r="AD309" s="2372"/>
      <c r="AE309" s="2372"/>
      <c r="AF309" s="2372"/>
      <c r="AG309" s="2372"/>
      <c r="AH309" s="2372"/>
      <c r="AI309" s="2372"/>
      <c r="AJ309" s="2372"/>
      <c r="AK309" s="2372"/>
      <c r="AL309" s="2372"/>
      <c r="AM309" s="2372"/>
      <c r="AN309" s="2372"/>
      <c r="AO309" s="2372"/>
      <c r="AP309" s="2372"/>
      <c r="AQ309" s="2372"/>
      <c r="AR309" s="2372"/>
      <c r="AS309" s="2372"/>
      <c r="AT309" s="2372"/>
      <c r="AU309" s="2372"/>
      <c r="AV309" s="2372"/>
      <c r="AW309" s="2372"/>
      <c r="AX309" s="2372"/>
      <c r="AY309" s="2372"/>
      <c r="AZ309" s="2372"/>
      <c r="BA309" s="2372"/>
      <c r="BB309" s="2372"/>
      <c r="BC309" s="2372"/>
      <c r="BD309" s="2372"/>
      <c r="BE309" s="2372"/>
      <c r="BF309" s="2372"/>
      <c r="BG309" s="2372"/>
      <c r="BH309" s="2372"/>
      <c r="BI309" s="2372"/>
      <c r="BJ309" s="2372"/>
      <c r="BK309" s="2372"/>
      <c r="BL309" s="2372"/>
      <c r="BM309" s="2372"/>
      <c r="BN309" s="2372"/>
      <c r="BO309" s="2372"/>
      <c r="BP309" s="2372"/>
      <c r="BQ309" s="2372"/>
      <c r="BR309" s="2372"/>
      <c r="BS309" s="2372"/>
      <c r="BT309" s="2372"/>
      <c r="BU309" s="2372"/>
      <c r="BV309" s="2372"/>
      <c r="BW309" s="2372"/>
      <c r="BX309" s="2372"/>
      <c r="BY309" s="2372"/>
      <c r="BZ309" s="2372"/>
      <c r="CA309" s="2372"/>
      <c r="CB309" s="2372"/>
      <c r="CC309" s="2372"/>
      <c r="CD309" s="2372"/>
      <c r="CE309" s="2372"/>
      <c r="CF309" s="2372"/>
      <c r="CG309" s="2372"/>
      <c r="CH309" s="2372"/>
      <c r="CI309" s="2372"/>
      <c r="CJ309" s="2372"/>
      <c r="CK309" s="2372"/>
      <c r="CL309" s="2372"/>
      <c r="CM309" s="2372"/>
      <c r="CN309" s="2372"/>
      <c r="CO309" s="2372"/>
      <c r="CP309" s="2372"/>
      <c r="CQ309" s="2372"/>
      <c r="CR309" s="2372"/>
      <c r="CS309" s="2372"/>
      <c r="CT309" s="2372"/>
      <c r="CU309" s="2372"/>
      <c r="CV309" s="2372"/>
      <c r="CW309" s="2372"/>
      <c r="CX309" s="2372"/>
      <c r="CY309" s="2372"/>
      <c r="CZ309" s="2372"/>
      <c r="DA309" s="2372"/>
    </row>
    <row r="310" spans="1:105" ht="3" hidden="1" customHeight="1">
      <c r="A310" s="2372"/>
      <c r="B310" s="2372"/>
      <c r="U310" s="2372"/>
      <c r="V310" s="2372"/>
      <c r="W310" s="2372"/>
      <c r="X310" s="2372"/>
      <c r="Y310" s="2372"/>
      <c r="Z310" s="2372"/>
      <c r="AA310" s="2372"/>
      <c r="AB310" s="2372"/>
      <c r="AC310" s="2372"/>
      <c r="AD310" s="2372"/>
      <c r="AE310" s="2372"/>
      <c r="AF310" s="2372"/>
      <c r="AG310" s="2372"/>
      <c r="AH310" s="2372"/>
      <c r="AI310" s="2372"/>
      <c r="AJ310" s="2372"/>
      <c r="AK310" s="2372"/>
      <c r="AL310" s="2372"/>
      <c r="AM310" s="2372"/>
      <c r="AN310" s="2372"/>
      <c r="AO310" s="2372"/>
      <c r="AP310" s="2372"/>
      <c r="AQ310" s="2372"/>
      <c r="AR310" s="2372"/>
      <c r="AS310" s="2372"/>
      <c r="AT310" s="2372"/>
      <c r="AU310" s="2372"/>
      <c r="AV310" s="2372"/>
      <c r="AW310" s="2372"/>
      <c r="AX310" s="2372"/>
      <c r="AY310" s="2372"/>
      <c r="AZ310" s="2372"/>
      <c r="BA310" s="2372"/>
      <c r="BB310" s="2372"/>
      <c r="BC310" s="2372"/>
      <c r="BD310" s="2372"/>
      <c r="BE310" s="2372"/>
      <c r="BF310" s="2372"/>
      <c r="BG310" s="2372"/>
      <c r="BH310" s="2372"/>
      <c r="BI310" s="2372"/>
      <c r="BJ310" s="2372"/>
      <c r="BK310" s="2372"/>
      <c r="BL310" s="2372"/>
      <c r="BM310" s="2372"/>
      <c r="BN310" s="2372"/>
      <c r="BO310" s="2372"/>
      <c r="BP310" s="2372"/>
      <c r="BQ310" s="2372"/>
      <c r="BR310" s="2372"/>
      <c r="BS310" s="2372"/>
      <c r="BT310" s="2372"/>
      <c r="BU310" s="2372"/>
      <c r="BV310" s="2372"/>
      <c r="BW310" s="2372"/>
      <c r="BX310" s="2372"/>
      <c r="BY310" s="2372"/>
      <c r="BZ310" s="2372"/>
      <c r="CA310" s="2372"/>
      <c r="CB310" s="2372"/>
      <c r="CC310" s="2372"/>
      <c r="CD310" s="2372"/>
      <c r="CE310" s="2372"/>
      <c r="CF310" s="2372"/>
      <c r="CG310" s="2372"/>
      <c r="CH310" s="2372"/>
      <c r="CI310" s="2372"/>
      <c r="CJ310" s="2372"/>
      <c r="CK310" s="2372"/>
      <c r="CL310" s="2372"/>
      <c r="CM310" s="2372"/>
      <c r="CN310" s="2372"/>
      <c r="CO310" s="2372"/>
      <c r="CP310" s="2372"/>
      <c r="CQ310" s="2372"/>
      <c r="CR310" s="2372"/>
      <c r="CS310" s="2372"/>
      <c r="CT310" s="2372"/>
      <c r="CU310" s="2372"/>
      <c r="CV310" s="2372"/>
      <c r="CW310" s="2372"/>
      <c r="CX310" s="2372"/>
      <c r="CY310" s="2372"/>
      <c r="CZ310" s="2372"/>
      <c r="DA310" s="2372"/>
    </row>
    <row r="311" spans="1:105" ht="15" hidden="1" customHeight="1">
      <c r="A311" s="2372"/>
      <c r="B311" s="2372"/>
      <c r="U311" s="2372"/>
      <c r="V311" s="2372"/>
      <c r="W311" s="2372"/>
      <c r="X311" s="2372"/>
      <c r="Y311" s="2372"/>
      <c r="Z311" s="2372"/>
      <c r="AA311" s="2372"/>
      <c r="AB311" s="2372"/>
      <c r="AC311" s="2372"/>
      <c r="AD311" s="2372"/>
      <c r="AE311" s="2372"/>
      <c r="AF311" s="2372"/>
      <c r="AG311" s="2372"/>
      <c r="AH311" s="2372"/>
      <c r="AI311" s="2372"/>
      <c r="AJ311" s="2372"/>
      <c r="AK311" s="2372"/>
      <c r="AL311" s="2372"/>
      <c r="AM311" s="2372"/>
      <c r="AN311" s="2372"/>
      <c r="AO311" s="2372"/>
      <c r="AP311" s="2372"/>
      <c r="AQ311" s="2372"/>
      <c r="AR311" s="2372"/>
      <c r="AS311" s="2372"/>
      <c r="AT311" s="2372"/>
      <c r="AU311" s="2372"/>
      <c r="AV311" s="2372"/>
      <c r="AW311" s="2372"/>
      <c r="AX311" s="2372"/>
      <c r="AY311" s="2372"/>
      <c r="AZ311" s="2372"/>
      <c r="BA311" s="2372"/>
      <c r="BB311" s="2372"/>
      <c r="BC311" s="2372"/>
      <c r="BD311" s="2372"/>
      <c r="BE311" s="2372"/>
      <c r="BF311" s="2372"/>
      <c r="BG311" s="2372"/>
      <c r="BH311" s="2372"/>
      <c r="BI311" s="2372"/>
      <c r="BJ311" s="2372"/>
      <c r="BK311" s="2372"/>
      <c r="BL311" s="2372"/>
      <c r="BM311" s="2372"/>
      <c r="BN311" s="2372"/>
      <c r="BO311" s="2372"/>
      <c r="BP311" s="2372"/>
      <c r="BQ311" s="2372"/>
      <c r="BR311" s="2372"/>
      <c r="BS311" s="2372"/>
      <c r="BT311" s="2372"/>
      <c r="BU311" s="2372"/>
      <c r="BV311" s="2372"/>
      <c r="BW311" s="2372"/>
      <c r="BX311" s="2372"/>
      <c r="BY311" s="2372"/>
      <c r="BZ311" s="2372"/>
      <c r="CA311" s="2372"/>
      <c r="CB311" s="2372"/>
      <c r="CC311" s="2372"/>
      <c r="CD311" s="2372"/>
      <c r="CE311" s="2372"/>
      <c r="CF311" s="2372"/>
      <c r="CG311" s="2372"/>
      <c r="CH311" s="2372"/>
      <c r="CI311" s="2372"/>
      <c r="CJ311" s="2372"/>
      <c r="CK311" s="2372"/>
      <c r="CL311" s="2372"/>
      <c r="CM311" s="2372"/>
      <c r="CN311" s="2372"/>
      <c r="CO311" s="2372"/>
      <c r="CP311" s="2372"/>
      <c r="CQ311" s="2372"/>
      <c r="CR311" s="2372"/>
      <c r="CS311" s="2372"/>
      <c r="CT311" s="2372"/>
      <c r="CU311" s="2372"/>
      <c r="CV311" s="2372"/>
      <c r="CW311" s="2372"/>
      <c r="CX311" s="2372"/>
      <c r="CY311" s="2372"/>
      <c r="CZ311" s="2372"/>
      <c r="DA311" s="2372"/>
    </row>
    <row r="312" spans="1:105" ht="3" hidden="1" customHeight="1">
      <c r="A312" s="2372"/>
      <c r="B312" s="2372"/>
      <c r="U312" s="2372"/>
      <c r="V312" s="2372"/>
      <c r="W312" s="2372"/>
      <c r="X312" s="2372"/>
      <c r="Y312" s="2372"/>
      <c r="Z312" s="2372"/>
      <c r="AA312" s="2372"/>
      <c r="AB312" s="2372"/>
      <c r="AC312" s="2372"/>
      <c r="AD312" s="2372"/>
      <c r="AE312" s="2372"/>
      <c r="AF312" s="2372"/>
      <c r="AG312" s="2372"/>
      <c r="AH312" s="2372"/>
      <c r="AI312" s="2372"/>
      <c r="AJ312" s="2372"/>
      <c r="AK312" s="2372"/>
      <c r="AL312" s="2372"/>
      <c r="AM312" s="2372"/>
      <c r="AN312" s="2372"/>
      <c r="AO312" s="2372"/>
      <c r="AP312" s="2372"/>
      <c r="AQ312" s="2372"/>
      <c r="AR312" s="2372"/>
      <c r="AS312" s="2372"/>
      <c r="AT312" s="2372"/>
      <c r="AU312" s="2372"/>
      <c r="AV312" s="2372"/>
      <c r="AW312" s="2372"/>
      <c r="AX312" s="2372"/>
      <c r="AY312" s="2372"/>
      <c r="AZ312" s="2372"/>
      <c r="BA312" s="2372"/>
      <c r="BB312" s="2372"/>
      <c r="BC312" s="2372"/>
      <c r="BD312" s="2372"/>
      <c r="BE312" s="2372"/>
      <c r="BF312" s="2372"/>
      <c r="BG312" s="2372"/>
      <c r="BH312" s="2372"/>
      <c r="BI312" s="2372"/>
      <c r="BJ312" s="2372"/>
      <c r="BK312" s="2372"/>
      <c r="BL312" s="2372"/>
      <c r="BM312" s="2372"/>
      <c r="BN312" s="2372"/>
      <c r="BO312" s="2372"/>
      <c r="BP312" s="2372"/>
      <c r="BQ312" s="2372"/>
      <c r="BR312" s="2372"/>
      <c r="BS312" s="2372"/>
      <c r="BT312" s="2372"/>
      <c r="BU312" s="2372"/>
      <c r="BV312" s="2372"/>
      <c r="BW312" s="2372"/>
      <c r="BX312" s="2372"/>
      <c r="BY312" s="2372"/>
      <c r="BZ312" s="2372"/>
      <c r="CA312" s="2372"/>
      <c r="CB312" s="2372"/>
      <c r="CC312" s="2372"/>
      <c r="CD312" s="2372"/>
      <c r="CE312" s="2372"/>
      <c r="CF312" s="2372"/>
      <c r="CG312" s="2372"/>
      <c r="CH312" s="2372"/>
      <c r="CI312" s="2372"/>
      <c r="CJ312" s="2372"/>
      <c r="CK312" s="2372"/>
      <c r="CL312" s="2372"/>
      <c r="CM312" s="2372"/>
      <c r="CN312" s="2372"/>
      <c r="CO312" s="2372"/>
      <c r="CP312" s="2372"/>
      <c r="CQ312" s="2372"/>
      <c r="CR312" s="2372"/>
      <c r="CS312" s="2372"/>
      <c r="CT312" s="2372"/>
      <c r="CU312" s="2372"/>
      <c r="CV312" s="2372"/>
      <c r="CW312" s="2372"/>
      <c r="CX312" s="2372"/>
      <c r="CY312" s="2372"/>
      <c r="CZ312" s="2372"/>
      <c r="DA312" s="2372"/>
    </row>
    <row r="313" spans="1:105" ht="15" hidden="1" customHeight="1">
      <c r="A313" s="2372"/>
      <c r="B313" s="2372"/>
      <c r="U313" s="2372"/>
      <c r="V313" s="2372"/>
      <c r="W313" s="2372"/>
      <c r="X313" s="2372"/>
      <c r="Y313" s="2372"/>
      <c r="Z313" s="2372"/>
      <c r="AA313" s="2372"/>
      <c r="AB313" s="2372"/>
      <c r="AC313" s="2372"/>
      <c r="AD313" s="2372"/>
      <c r="AE313" s="2372"/>
      <c r="AF313" s="2372"/>
      <c r="AG313" s="2372"/>
      <c r="AH313" s="2372"/>
      <c r="AI313" s="2372"/>
      <c r="AJ313" s="2372"/>
      <c r="AK313" s="2372"/>
      <c r="AL313" s="2372"/>
      <c r="AM313" s="2372"/>
      <c r="AN313" s="2372"/>
      <c r="AO313" s="2372"/>
      <c r="AP313" s="2372"/>
      <c r="AQ313" s="2372"/>
      <c r="AR313" s="2372"/>
      <c r="AS313" s="2372"/>
      <c r="AT313" s="2372"/>
      <c r="AU313" s="2372"/>
      <c r="AV313" s="2372"/>
      <c r="AW313" s="2372"/>
      <c r="AX313" s="2372"/>
      <c r="AY313" s="2372"/>
      <c r="AZ313" s="2372"/>
      <c r="BA313" s="2372"/>
      <c r="BB313" s="2372"/>
      <c r="BC313" s="2372"/>
      <c r="BD313" s="2372"/>
      <c r="BE313" s="2372"/>
      <c r="BF313" s="2372"/>
      <c r="BG313" s="2372"/>
      <c r="BH313" s="2372"/>
      <c r="BI313" s="2372"/>
      <c r="BJ313" s="2372"/>
      <c r="BK313" s="2372"/>
      <c r="BL313" s="2372"/>
      <c r="BM313" s="2372"/>
      <c r="BN313" s="2372"/>
      <c r="BO313" s="2372"/>
      <c r="BP313" s="2372"/>
      <c r="BQ313" s="2372"/>
      <c r="BR313" s="2372"/>
      <c r="BS313" s="2372"/>
      <c r="BT313" s="2372"/>
      <c r="BU313" s="2372"/>
      <c r="BV313" s="2372"/>
      <c r="BW313" s="2372"/>
      <c r="BX313" s="2372"/>
      <c r="BY313" s="2372"/>
      <c r="BZ313" s="2372"/>
      <c r="CA313" s="2372"/>
      <c r="CB313" s="2372"/>
      <c r="CC313" s="2372"/>
      <c r="CD313" s="2372"/>
      <c r="CE313" s="2372"/>
      <c r="CF313" s="2372"/>
      <c r="CG313" s="2372"/>
      <c r="CH313" s="2372"/>
      <c r="CI313" s="2372"/>
      <c r="CJ313" s="2372"/>
      <c r="CK313" s="2372"/>
      <c r="CL313" s="2372"/>
      <c r="CM313" s="2372"/>
      <c r="CN313" s="2372"/>
      <c r="CO313" s="2372"/>
      <c r="CP313" s="2372"/>
      <c r="CQ313" s="2372"/>
      <c r="CR313" s="2372"/>
      <c r="CS313" s="2372"/>
      <c r="CT313" s="2372"/>
      <c r="CU313" s="2372"/>
      <c r="CV313" s="2372"/>
      <c r="CW313" s="2372"/>
      <c r="CX313" s="2372"/>
      <c r="CY313" s="2372"/>
      <c r="CZ313" s="2372"/>
      <c r="DA313" s="2372"/>
    </row>
    <row r="314" spans="1:105" ht="3" hidden="1" customHeight="1">
      <c r="A314" s="2372"/>
      <c r="B314" s="2372"/>
      <c r="U314" s="2372"/>
      <c r="V314" s="2372"/>
      <c r="W314" s="2372"/>
      <c r="X314" s="2372"/>
      <c r="Y314" s="2372"/>
      <c r="Z314" s="2372"/>
      <c r="AA314" s="2372"/>
      <c r="AB314" s="2372"/>
      <c r="AC314" s="2372"/>
      <c r="AD314" s="2372"/>
      <c r="AE314" s="2372"/>
      <c r="AF314" s="2372"/>
      <c r="AG314" s="2372"/>
      <c r="AH314" s="2372"/>
      <c r="AI314" s="2372"/>
      <c r="AJ314" s="2372"/>
      <c r="AK314" s="2372"/>
      <c r="AL314" s="2372"/>
      <c r="AM314" s="2372"/>
      <c r="AN314" s="2372"/>
      <c r="AO314" s="2372"/>
      <c r="AP314" s="2372"/>
      <c r="AQ314" s="2372"/>
      <c r="AR314" s="2372"/>
      <c r="AS314" s="2372"/>
      <c r="AT314" s="2372"/>
      <c r="AU314" s="2372"/>
      <c r="AV314" s="2372"/>
      <c r="AW314" s="2372"/>
      <c r="AX314" s="2372"/>
      <c r="AY314" s="2372"/>
      <c r="AZ314" s="2372"/>
      <c r="BA314" s="2372"/>
      <c r="BB314" s="2372"/>
      <c r="BC314" s="2372"/>
      <c r="BD314" s="2372"/>
      <c r="BE314" s="2372"/>
      <c r="BF314" s="2372"/>
      <c r="BG314" s="2372"/>
      <c r="BH314" s="2372"/>
      <c r="BI314" s="2372"/>
      <c r="BJ314" s="2372"/>
      <c r="BK314" s="2372"/>
      <c r="BL314" s="2372"/>
      <c r="BM314" s="2372"/>
      <c r="BN314" s="2372"/>
      <c r="BO314" s="2372"/>
      <c r="BP314" s="2372"/>
      <c r="BQ314" s="2372"/>
      <c r="BR314" s="2372"/>
      <c r="BS314" s="2372"/>
      <c r="BT314" s="2372"/>
      <c r="BU314" s="2372"/>
      <c r="BV314" s="2372"/>
      <c r="BW314" s="2372"/>
      <c r="BX314" s="2372"/>
      <c r="BY314" s="2372"/>
      <c r="BZ314" s="2372"/>
      <c r="CA314" s="2372"/>
      <c r="CB314" s="2372"/>
      <c r="CC314" s="2372"/>
      <c r="CD314" s="2372"/>
      <c r="CE314" s="2372"/>
      <c r="CF314" s="2372"/>
      <c r="CG314" s="2372"/>
      <c r="CH314" s="2372"/>
      <c r="CI314" s="2372"/>
      <c r="CJ314" s="2372"/>
      <c r="CK314" s="2372"/>
      <c r="CL314" s="2372"/>
      <c r="CM314" s="2372"/>
      <c r="CN314" s="2372"/>
      <c r="CO314" s="2372"/>
      <c r="CP314" s="2372"/>
      <c r="CQ314" s="2372"/>
      <c r="CR314" s="2372"/>
      <c r="CS314" s="2372"/>
      <c r="CT314" s="2372"/>
      <c r="CU314" s="2372"/>
      <c r="CV314" s="2372"/>
      <c r="CW314" s="2372"/>
      <c r="CX314" s="2372"/>
      <c r="CY314" s="2372"/>
      <c r="CZ314" s="2372"/>
      <c r="DA314" s="2372"/>
    </row>
    <row r="315" spans="1:105" ht="15" hidden="1" customHeight="1">
      <c r="A315" s="2372"/>
      <c r="B315" s="2372"/>
      <c r="U315" s="2372"/>
      <c r="V315" s="2372"/>
      <c r="W315" s="2372"/>
      <c r="X315" s="2372"/>
      <c r="Y315" s="2372"/>
      <c r="Z315" s="2372"/>
      <c r="AA315" s="2372"/>
      <c r="AB315" s="2372"/>
      <c r="AC315" s="2372"/>
      <c r="AD315" s="2372"/>
      <c r="AE315" s="2372"/>
      <c r="AF315" s="2372"/>
      <c r="AG315" s="2372"/>
      <c r="AH315" s="2372"/>
      <c r="AI315" s="2372"/>
      <c r="AJ315" s="2372"/>
      <c r="AK315" s="2372"/>
      <c r="AL315" s="2372"/>
      <c r="AM315" s="2372"/>
      <c r="AN315" s="2372"/>
      <c r="AO315" s="2372"/>
      <c r="AP315" s="2372"/>
      <c r="AQ315" s="2372"/>
      <c r="AR315" s="2372"/>
      <c r="AS315" s="2372"/>
      <c r="AT315" s="2372"/>
      <c r="AU315" s="2372"/>
      <c r="AV315" s="2372"/>
      <c r="AW315" s="2372"/>
      <c r="AX315" s="2372"/>
      <c r="AY315" s="2372"/>
      <c r="AZ315" s="2372"/>
      <c r="BA315" s="2372"/>
      <c r="BB315" s="2372"/>
      <c r="BC315" s="2372"/>
      <c r="BD315" s="2372"/>
      <c r="BE315" s="2372"/>
      <c r="BF315" s="2372"/>
      <c r="BG315" s="2372"/>
      <c r="BH315" s="2372"/>
      <c r="BI315" s="2372"/>
      <c r="BJ315" s="2372"/>
      <c r="BK315" s="2372"/>
      <c r="BL315" s="2372"/>
      <c r="BM315" s="2372"/>
      <c r="BN315" s="2372"/>
      <c r="BO315" s="2372"/>
      <c r="BP315" s="2372"/>
      <c r="BQ315" s="2372"/>
      <c r="BR315" s="2372"/>
      <c r="BS315" s="2372"/>
      <c r="BT315" s="2372"/>
      <c r="BU315" s="2372"/>
      <c r="BV315" s="2372"/>
      <c r="BW315" s="2372"/>
      <c r="BX315" s="2372"/>
      <c r="BY315" s="2372"/>
      <c r="BZ315" s="2372"/>
      <c r="CA315" s="2372"/>
      <c r="CB315" s="2372"/>
      <c r="CC315" s="2372"/>
      <c r="CD315" s="2372"/>
      <c r="CE315" s="2372"/>
      <c r="CF315" s="2372"/>
      <c r="CG315" s="2372"/>
      <c r="CH315" s="2372"/>
      <c r="CI315" s="2372"/>
      <c r="CJ315" s="2372"/>
      <c r="CK315" s="2372"/>
      <c r="CL315" s="2372"/>
      <c r="CM315" s="2372"/>
      <c r="CN315" s="2372"/>
      <c r="CO315" s="2372"/>
      <c r="CP315" s="2372"/>
      <c r="CQ315" s="2372"/>
      <c r="CR315" s="2372"/>
      <c r="CS315" s="2372"/>
      <c r="CT315" s="2372"/>
      <c r="CU315" s="2372"/>
      <c r="CV315" s="2372"/>
      <c r="CW315" s="2372"/>
      <c r="CX315" s="2372"/>
      <c r="CY315" s="2372"/>
      <c r="CZ315" s="2372"/>
      <c r="DA315" s="2372"/>
    </row>
    <row r="316" spans="1:105" ht="3" hidden="1" customHeight="1">
      <c r="A316" s="2372"/>
      <c r="B316" s="2372"/>
      <c r="U316" s="2372"/>
      <c r="V316" s="2372"/>
      <c r="W316" s="2372"/>
      <c r="X316" s="2372"/>
      <c r="Y316" s="2372"/>
      <c r="Z316" s="2372"/>
      <c r="AA316" s="2372"/>
      <c r="AB316" s="2372"/>
      <c r="AC316" s="2372"/>
      <c r="AD316" s="2372"/>
      <c r="AE316" s="2372"/>
      <c r="AF316" s="2372"/>
      <c r="AG316" s="2372"/>
      <c r="AH316" s="2372"/>
      <c r="AI316" s="2372"/>
      <c r="AJ316" s="2372"/>
      <c r="AK316" s="2372"/>
      <c r="AL316" s="2372"/>
      <c r="AM316" s="2372"/>
      <c r="AN316" s="2372"/>
      <c r="AO316" s="2372"/>
      <c r="AP316" s="2372"/>
      <c r="AQ316" s="2372"/>
      <c r="AR316" s="2372"/>
      <c r="AS316" s="2372"/>
      <c r="AT316" s="2372"/>
      <c r="AU316" s="2372"/>
      <c r="AV316" s="2372"/>
      <c r="AW316" s="2372"/>
      <c r="AX316" s="2372"/>
      <c r="AY316" s="2372"/>
      <c r="AZ316" s="2372"/>
      <c r="BA316" s="2372"/>
      <c r="BB316" s="2372"/>
      <c r="BC316" s="2372"/>
      <c r="BD316" s="2372"/>
      <c r="BE316" s="2372"/>
      <c r="BF316" s="2372"/>
      <c r="BG316" s="2372"/>
      <c r="BH316" s="2372"/>
      <c r="BI316" s="2372"/>
      <c r="BJ316" s="2372"/>
      <c r="BK316" s="2372"/>
      <c r="BL316" s="2372"/>
      <c r="BM316" s="2372"/>
      <c r="BN316" s="2372"/>
      <c r="BO316" s="2372"/>
      <c r="BP316" s="2372"/>
      <c r="BQ316" s="2372"/>
      <c r="BR316" s="2372"/>
      <c r="BS316" s="2372"/>
      <c r="BT316" s="2372"/>
      <c r="BU316" s="2372"/>
      <c r="BV316" s="2372"/>
      <c r="BW316" s="2372"/>
      <c r="BX316" s="2372"/>
      <c r="BY316" s="2372"/>
      <c r="BZ316" s="2372"/>
      <c r="CA316" s="2372"/>
      <c r="CB316" s="2372"/>
      <c r="CC316" s="2372"/>
      <c r="CD316" s="2372"/>
      <c r="CE316" s="2372"/>
      <c r="CF316" s="2372"/>
      <c r="CG316" s="2372"/>
      <c r="CH316" s="2372"/>
      <c r="CI316" s="2372"/>
      <c r="CJ316" s="2372"/>
      <c r="CK316" s="2372"/>
      <c r="CL316" s="2372"/>
      <c r="CM316" s="2372"/>
      <c r="CN316" s="2372"/>
      <c r="CO316" s="2372"/>
      <c r="CP316" s="2372"/>
      <c r="CQ316" s="2372"/>
      <c r="CR316" s="2372"/>
      <c r="CS316" s="2372"/>
      <c r="CT316" s="2372"/>
      <c r="CU316" s="2372"/>
      <c r="CV316" s="2372"/>
      <c r="CW316" s="2372"/>
      <c r="CX316" s="2372"/>
      <c r="CY316" s="2372"/>
      <c r="CZ316" s="2372"/>
      <c r="DA316" s="2372"/>
    </row>
    <row r="317" spans="1:105" ht="15" hidden="1" customHeight="1">
      <c r="A317" s="2372"/>
      <c r="B317" s="2372"/>
      <c r="U317" s="2372"/>
      <c r="V317" s="2372"/>
      <c r="W317" s="2372"/>
      <c r="X317" s="2372"/>
      <c r="Y317" s="2372"/>
      <c r="Z317" s="2372"/>
      <c r="AA317" s="2372"/>
      <c r="AB317" s="2372"/>
      <c r="AC317" s="2372"/>
      <c r="AD317" s="2372"/>
      <c r="AE317" s="2372"/>
      <c r="AF317" s="2372"/>
      <c r="AG317" s="2372"/>
      <c r="AH317" s="2372"/>
      <c r="AI317" s="2372"/>
      <c r="AJ317" s="2372"/>
      <c r="AK317" s="2372"/>
      <c r="AL317" s="2372"/>
      <c r="AM317" s="2372"/>
      <c r="AN317" s="2372"/>
      <c r="AO317" s="2372"/>
      <c r="AP317" s="2372"/>
      <c r="AQ317" s="2372"/>
      <c r="AR317" s="2372"/>
      <c r="AS317" s="2372"/>
      <c r="AT317" s="2372"/>
      <c r="AU317" s="2372"/>
      <c r="AV317" s="2372"/>
      <c r="AW317" s="2372"/>
      <c r="AX317" s="2372"/>
      <c r="AY317" s="2372"/>
      <c r="AZ317" s="2372"/>
      <c r="BA317" s="2372"/>
      <c r="BB317" s="2372"/>
      <c r="BC317" s="2372"/>
      <c r="BD317" s="2372"/>
      <c r="BE317" s="2372"/>
      <c r="BF317" s="2372"/>
      <c r="BG317" s="2372"/>
      <c r="BH317" s="2372"/>
      <c r="BI317" s="2372"/>
      <c r="BJ317" s="2372"/>
      <c r="BK317" s="2372"/>
      <c r="BL317" s="2372"/>
      <c r="BM317" s="2372"/>
      <c r="BN317" s="2372"/>
      <c r="BO317" s="2372"/>
      <c r="BP317" s="2372"/>
      <c r="BQ317" s="2372"/>
      <c r="BR317" s="2372"/>
      <c r="BS317" s="2372"/>
      <c r="BT317" s="2372"/>
      <c r="BU317" s="2372"/>
      <c r="BV317" s="2372"/>
      <c r="BW317" s="2372"/>
      <c r="BX317" s="2372"/>
      <c r="BY317" s="2372"/>
      <c r="BZ317" s="2372"/>
      <c r="CA317" s="2372"/>
      <c r="CB317" s="2372"/>
      <c r="CC317" s="2372"/>
      <c r="CD317" s="2372"/>
      <c r="CE317" s="2372"/>
      <c r="CF317" s="2372"/>
      <c r="CG317" s="2372"/>
      <c r="CH317" s="2372"/>
      <c r="CI317" s="2372"/>
      <c r="CJ317" s="2372"/>
      <c r="CK317" s="2372"/>
      <c r="CL317" s="2372"/>
      <c r="CM317" s="2372"/>
      <c r="CN317" s="2372"/>
      <c r="CO317" s="2372"/>
      <c r="CP317" s="2372"/>
      <c r="CQ317" s="2372"/>
      <c r="CR317" s="2372"/>
      <c r="CS317" s="2372"/>
      <c r="CT317" s="2372"/>
      <c r="CU317" s="2372"/>
      <c r="CV317" s="2372"/>
      <c r="CW317" s="2372"/>
      <c r="CX317" s="2372"/>
      <c r="CY317" s="2372"/>
      <c r="CZ317" s="2372"/>
      <c r="DA317" s="2372"/>
    </row>
    <row r="318" spans="1:105" ht="3" hidden="1" customHeight="1">
      <c r="A318" s="2372"/>
      <c r="B318" s="2372"/>
      <c r="U318" s="2372"/>
      <c r="V318" s="2372"/>
      <c r="W318" s="2372"/>
      <c r="X318" s="2372"/>
      <c r="Y318" s="2372"/>
      <c r="Z318" s="2372"/>
      <c r="AA318" s="2372"/>
      <c r="AB318" s="2372"/>
      <c r="AC318" s="2372"/>
      <c r="AD318" s="2372"/>
      <c r="AE318" s="2372"/>
      <c r="AF318" s="2372"/>
      <c r="AG318" s="2372"/>
      <c r="AH318" s="2372"/>
      <c r="AI318" s="2372"/>
      <c r="AJ318" s="2372"/>
      <c r="AK318" s="2372"/>
      <c r="AL318" s="2372"/>
      <c r="AM318" s="2372"/>
      <c r="AN318" s="2372"/>
      <c r="AO318" s="2372"/>
      <c r="AP318" s="2372"/>
      <c r="AQ318" s="2372"/>
      <c r="AR318" s="2372"/>
      <c r="AS318" s="2372"/>
      <c r="AT318" s="2372"/>
      <c r="AU318" s="2372"/>
      <c r="AV318" s="2372"/>
      <c r="AW318" s="2372"/>
      <c r="AX318" s="2372"/>
      <c r="AY318" s="2372"/>
      <c r="AZ318" s="2372"/>
      <c r="BA318" s="2372"/>
      <c r="BB318" s="2372"/>
      <c r="BC318" s="2372"/>
      <c r="BD318" s="2372"/>
      <c r="BE318" s="2372"/>
      <c r="BF318" s="2372"/>
      <c r="BG318" s="2372"/>
      <c r="BH318" s="2372"/>
      <c r="BI318" s="2372"/>
      <c r="BJ318" s="2372"/>
      <c r="BK318" s="2372"/>
      <c r="BL318" s="2372"/>
      <c r="BM318" s="2372"/>
      <c r="BN318" s="2372"/>
      <c r="BO318" s="2372"/>
      <c r="BP318" s="2372"/>
      <c r="BQ318" s="2372"/>
      <c r="BR318" s="2372"/>
      <c r="BS318" s="2372"/>
      <c r="BT318" s="2372"/>
      <c r="BU318" s="2372"/>
      <c r="BV318" s="2372"/>
      <c r="BW318" s="2372"/>
      <c r="BX318" s="2372"/>
      <c r="BY318" s="2372"/>
      <c r="BZ318" s="2372"/>
      <c r="CA318" s="2372"/>
      <c r="CB318" s="2372"/>
      <c r="CC318" s="2372"/>
      <c r="CD318" s="2372"/>
      <c r="CE318" s="2372"/>
      <c r="CF318" s="2372"/>
      <c r="CG318" s="2372"/>
      <c r="CH318" s="2372"/>
      <c r="CI318" s="2372"/>
      <c r="CJ318" s="2372"/>
      <c r="CK318" s="2372"/>
      <c r="CL318" s="2372"/>
      <c r="CM318" s="2372"/>
      <c r="CN318" s="2372"/>
      <c r="CO318" s="2372"/>
      <c r="CP318" s="2372"/>
      <c r="CQ318" s="2372"/>
      <c r="CR318" s="2372"/>
      <c r="CS318" s="2372"/>
      <c r="CT318" s="2372"/>
      <c r="CU318" s="2372"/>
      <c r="CV318" s="2372"/>
      <c r="CW318" s="2372"/>
      <c r="CX318" s="2372"/>
      <c r="CY318" s="2372"/>
      <c r="CZ318" s="2372"/>
      <c r="DA318" s="2372"/>
    </row>
    <row r="319" spans="1:105" ht="15" hidden="1" customHeight="1">
      <c r="A319" s="2372"/>
      <c r="B319" s="2372"/>
      <c r="U319" s="2372"/>
      <c r="V319" s="2372"/>
      <c r="W319" s="2372"/>
      <c r="X319" s="2372"/>
      <c r="Y319" s="2372"/>
      <c r="Z319" s="2372"/>
      <c r="AA319" s="2372"/>
      <c r="AB319" s="2372"/>
      <c r="AC319" s="2372"/>
      <c r="AD319" s="2372"/>
      <c r="AE319" s="2372"/>
      <c r="AF319" s="2372"/>
      <c r="AG319" s="2372"/>
      <c r="AH319" s="2372"/>
      <c r="AI319" s="2372"/>
      <c r="AJ319" s="2372"/>
      <c r="AK319" s="2372"/>
      <c r="AL319" s="2372"/>
      <c r="AM319" s="2372"/>
      <c r="AN319" s="2372"/>
      <c r="AO319" s="2372"/>
      <c r="AP319" s="2372"/>
      <c r="AQ319" s="2372"/>
      <c r="AR319" s="2372"/>
      <c r="AS319" s="2372"/>
      <c r="AT319" s="2372"/>
      <c r="AU319" s="2372"/>
      <c r="AV319" s="2372"/>
      <c r="AW319" s="2372"/>
      <c r="AX319" s="2372"/>
      <c r="AY319" s="2372"/>
      <c r="AZ319" s="2372"/>
      <c r="BA319" s="2372"/>
      <c r="BB319" s="2372"/>
      <c r="BC319" s="2372"/>
      <c r="BD319" s="2372"/>
      <c r="BE319" s="2372"/>
      <c r="BF319" s="2372"/>
      <c r="BG319" s="2372"/>
      <c r="BH319" s="2372"/>
      <c r="BI319" s="2372"/>
      <c r="BJ319" s="2372"/>
      <c r="BK319" s="2372"/>
      <c r="BL319" s="2372"/>
      <c r="BM319" s="2372"/>
      <c r="BN319" s="2372"/>
      <c r="BO319" s="2372"/>
      <c r="BP319" s="2372"/>
      <c r="BQ319" s="2372"/>
      <c r="BR319" s="2372"/>
      <c r="BS319" s="2372"/>
      <c r="BT319" s="2372"/>
      <c r="BU319" s="2372"/>
      <c r="BV319" s="2372"/>
      <c r="BW319" s="2372"/>
      <c r="BX319" s="2372"/>
      <c r="BY319" s="2372"/>
      <c r="BZ319" s="2372"/>
      <c r="CA319" s="2372"/>
      <c r="CB319" s="2372"/>
      <c r="CC319" s="2372"/>
      <c r="CD319" s="2372"/>
      <c r="CE319" s="2372"/>
      <c r="CF319" s="2372"/>
      <c r="CG319" s="2372"/>
      <c r="CH319" s="2372"/>
      <c r="CI319" s="2372"/>
      <c r="CJ319" s="2372"/>
      <c r="CK319" s="2372"/>
      <c r="CL319" s="2372"/>
      <c r="CM319" s="2372"/>
      <c r="CN319" s="2372"/>
      <c r="CO319" s="2372"/>
      <c r="CP319" s="2372"/>
      <c r="CQ319" s="2372"/>
      <c r="CR319" s="2372"/>
      <c r="CS319" s="2372"/>
      <c r="CT319" s="2372"/>
      <c r="CU319" s="2372"/>
      <c r="CV319" s="2372"/>
      <c r="CW319" s="2372"/>
      <c r="CX319" s="2372"/>
      <c r="CY319" s="2372"/>
      <c r="CZ319" s="2372"/>
      <c r="DA319" s="2372"/>
    </row>
    <row r="320" spans="1:105" ht="3" hidden="1" customHeight="1">
      <c r="A320" s="2372"/>
      <c r="B320" s="2372"/>
      <c r="U320" s="2372"/>
      <c r="V320" s="2372"/>
      <c r="W320" s="2372"/>
      <c r="X320" s="2372"/>
      <c r="Y320" s="2372"/>
      <c r="Z320" s="2372"/>
      <c r="AA320" s="2372"/>
      <c r="AB320" s="2372"/>
      <c r="AC320" s="2372"/>
      <c r="AD320" s="2372"/>
      <c r="AE320" s="2372"/>
      <c r="AF320" s="2372"/>
      <c r="AG320" s="2372"/>
      <c r="AH320" s="2372"/>
      <c r="AI320" s="2372"/>
      <c r="AJ320" s="2372"/>
      <c r="AK320" s="2372"/>
      <c r="AL320" s="2372"/>
      <c r="AM320" s="2372"/>
      <c r="AN320" s="2372"/>
      <c r="AO320" s="2372"/>
      <c r="AP320" s="2372"/>
      <c r="AQ320" s="2372"/>
      <c r="AR320" s="2372"/>
      <c r="AS320" s="2372"/>
      <c r="AT320" s="2372"/>
      <c r="AU320" s="2372"/>
      <c r="AV320" s="2372"/>
      <c r="AW320" s="2372"/>
      <c r="AX320" s="2372"/>
      <c r="AY320" s="2372"/>
      <c r="AZ320" s="2372"/>
      <c r="BA320" s="2372"/>
      <c r="BB320" s="2372"/>
      <c r="BC320" s="2372"/>
      <c r="BD320" s="2372"/>
      <c r="BE320" s="2372"/>
      <c r="BF320" s="2372"/>
      <c r="BG320" s="2372"/>
      <c r="BH320" s="2372"/>
      <c r="BI320" s="2372"/>
      <c r="BJ320" s="2372"/>
      <c r="BK320" s="2372"/>
      <c r="BL320" s="2372"/>
      <c r="BM320" s="2372"/>
      <c r="BN320" s="2372"/>
      <c r="BO320" s="2372"/>
      <c r="BP320" s="2372"/>
      <c r="BQ320" s="2372"/>
      <c r="BR320" s="2372"/>
      <c r="BS320" s="2372"/>
      <c r="BT320" s="2372"/>
      <c r="BU320" s="2372"/>
      <c r="BV320" s="2372"/>
      <c r="BW320" s="2372"/>
      <c r="BX320" s="2372"/>
      <c r="BY320" s="2372"/>
      <c r="BZ320" s="2372"/>
      <c r="CA320" s="2372"/>
      <c r="CB320" s="2372"/>
      <c r="CC320" s="2372"/>
      <c r="CD320" s="2372"/>
      <c r="CE320" s="2372"/>
      <c r="CF320" s="2372"/>
      <c r="CG320" s="2372"/>
      <c r="CH320" s="2372"/>
      <c r="CI320" s="2372"/>
      <c r="CJ320" s="2372"/>
      <c r="CK320" s="2372"/>
      <c r="CL320" s="2372"/>
      <c r="CM320" s="2372"/>
      <c r="CN320" s="2372"/>
      <c r="CO320" s="2372"/>
      <c r="CP320" s="2372"/>
      <c r="CQ320" s="2372"/>
      <c r="CR320" s="2372"/>
      <c r="CS320" s="2372"/>
      <c r="CT320" s="2372"/>
      <c r="CU320" s="2372"/>
      <c r="CV320" s="2372"/>
      <c r="CW320" s="2372"/>
      <c r="CX320" s="2372"/>
      <c r="CY320" s="2372"/>
      <c r="CZ320" s="2372"/>
      <c r="DA320" s="2372"/>
    </row>
    <row r="321" spans="1:105" ht="15" hidden="1" customHeight="1">
      <c r="A321" s="2372"/>
      <c r="B321" s="2372"/>
      <c r="U321" s="2372"/>
      <c r="V321" s="2372"/>
      <c r="W321" s="2372"/>
      <c r="X321" s="2372"/>
      <c r="Y321" s="2372"/>
      <c r="Z321" s="2372"/>
      <c r="AA321" s="2372"/>
      <c r="AB321" s="2372"/>
      <c r="AC321" s="2372"/>
      <c r="AD321" s="2372"/>
      <c r="AE321" s="2372"/>
      <c r="AF321" s="2372"/>
      <c r="AG321" s="2372"/>
      <c r="AH321" s="2372"/>
      <c r="AI321" s="2372"/>
      <c r="AJ321" s="2372"/>
      <c r="AK321" s="2372"/>
      <c r="AL321" s="2372"/>
      <c r="AM321" s="2372"/>
      <c r="AN321" s="2372"/>
      <c r="AO321" s="2372"/>
      <c r="AP321" s="2372"/>
      <c r="AQ321" s="2372"/>
      <c r="AR321" s="2372"/>
      <c r="AS321" s="2372"/>
      <c r="AT321" s="2372"/>
      <c r="AU321" s="2372"/>
      <c r="AV321" s="2372"/>
      <c r="AW321" s="2372"/>
      <c r="AX321" s="2372"/>
      <c r="AY321" s="2372"/>
      <c r="AZ321" s="2372"/>
      <c r="BA321" s="2372"/>
      <c r="BB321" s="2372"/>
      <c r="BC321" s="2372"/>
      <c r="BD321" s="2372"/>
      <c r="BE321" s="2372"/>
      <c r="BF321" s="2372"/>
      <c r="BG321" s="2372"/>
      <c r="BH321" s="2372"/>
      <c r="BI321" s="2372"/>
      <c r="BJ321" s="2372"/>
      <c r="BK321" s="2372"/>
      <c r="BL321" s="2372"/>
      <c r="BM321" s="2372"/>
      <c r="BN321" s="2372"/>
      <c r="BO321" s="2372"/>
      <c r="BP321" s="2372"/>
      <c r="BQ321" s="2372"/>
      <c r="BR321" s="2372"/>
      <c r="BS321" s="2372"/>
      <c r="BT321" s="2372"/>
      <c r="BU321" s="2372"/>
      <c r="BV321" s="2372"/>
      <c r="BW321" s="2372"/>
      <c r="BX321" s="2372"/>
      <c r="BY321" s="2372"/>
      <c r="BZ321" s="2372"/>
      <c r="CA321" s="2372"/>
      <c r="CB321" s="2372"/>
      <c r="CC321" s="2372"/>
      <c r="CD321" s="2372"/>
      <c r="CE321" s="2372"/>
      <c r="CF321" s="2372"/>
      <c r="CG321" s="2372"/>
      <c r="CH321" s="2372"/>
      <c r="CI321" s="2372"/>
      <c r="CJ321" s="2372"/>
      <c r="CK321" s="2372"/>
      <c r="CL321" s="2372"/>
      <c r="CM321" s="2372"/>
      <c r="CN321" s="2372"/>
      <c r="CO321" s="2372"/>
      <c r="CP321" s="2372"/>
      <c r="CQ321" s="2372"/>
      <c r="CR321" s="2372"/>
      <c r="CS321" s="2372"/>
      <c r="CT321" s="2372"/>
      <c r="CU321" s="2372"/>
      <c r="CV321" s="2372"/>
      <c r="CW321" s="2372"/>
      <c r="CX321" s="2372"/>
      <c r="CY321" s="2372"/>
      <c r="CZ321" s="2372"/>
      <c r="DA321" s="2372"/>
    </row>
    <row r="322" spans="1:105" ht="3" hidden="1" customHeight="1">
      <c r="A322" s="2372"/>
      <c r="B322" s="2372"/>
      <c r="C322" s="2372"/>
      <c r="D322" s="2372"/>
      <c r="E322" s="2372"/>
      <c r="F322" s="2372"/>
      <c r="G322" s="2372"/>
      <c r="H322" s="2372"/>
      <c r="I322" s="2372"/>
      <c r="J322" s="2372"/>
      <c r="K322" s="2372"/>
      <c r="L322" s="2372"/>
      <c r="M322" s="2372"/>
      <c r="N322" s="2372"/>
      <c r="O322" s="2372"/>
      <c r="P322" s="2372"/>
      <c r="Q322" s="2372"/>
      <c r="R322" s="2372"/>
      <c r="S322" s="2372"/>
      <c r="T322" s="2372"/>
      <c r="U322" s="2372"/>
      <c r="V322" s="2372"/>
      <c r="W322" s="2372"/>
      <c r="X322" s="2372"/>
      <c r="Y322" s="2372"/>
      <c r="Z322" s="2372"/>
      <c r="AA322" s="2372"/>
      <c r="AB322" s="2372"/>
      <c r="AC322" s="2372"/>
      <c r="AD322" s="2372"/>
      <c r="AE322" s="2372"/>
      <c r="AF322" s="2372"/>
      <c r="AG322" s="2372"/>
      <c r="AH322" s="2372"/>
      <c r="AI322" s="2372"/>
      <c r="AJ322" s="2372"/>
      <c r="AK322" s="2372"/>
      <c r="AL322" s="2372"/>
      <c r="AM322" s="2372"/>
      <c r="AN322" s="2372"/>
      <c r="AO322" s="2372"/>
      <c r="AP322" s="2372"/>
      <c r="AQ322" s="2372"/>
      <c r="AR322" s="2372"/>
      <c r="AS322" s="2372"/>
      <c r="AT322" s="2372"/>
      <c r="AU322" s="2372"/>
      <c r="AV322" s="2372"/>
      <c r="AW322" s="2372"/>
      <c r="AX322" s="2372"/>
      <c r="AY322" s="2372"/>
      <c r="AZ322" s="2372"/>
      <c r="BA322" s="2372"/>
      <c r="BB322" s="2372"/>
      <c r="BC322" s="2372"/>
      <c r="BD322" s="2372"/>
      <c r="BE322" s="2372"/>
      <c r="BF322" s="2372"/>
      <c r="BG322" s="2372"/>
      <c r="BH322" s="2372"/>
      <c r="BI322" s="2372"/>
      <c r="BJ322" s="2372"/>
      <c r="BK322" s="2372"/>
      <c r="BL322" s="2372"/>
      <c r="BM322" s="2372"/>
      <c r="BN322" s="2372"/>
      <c r="BO322" s="2372"/>
      <c r="BP322" s="2372"/>
      <c r="BQ322" s="2372"/>
      <c r="BR322" s="2372"/>
      <c r="BS322" s="2372"/>
      <c r="BT322" s="2372"/>
      <c r="BU322" s="2372"/>
      <c r="BV322" s="2372"/>
      <c r="BW322" s="2372"/>
      <c r="BX322" s="2372"/>
      <c r="BY322" s="2372"/>
      <c r="BZ322" s="2372"/>
      <c r="CA322" s="2372"/>
      <c r="CB322" s="2372"/>
      <c r="CC322" s="2372"/>
      <c r="CD322" s="2372"/>
      <c r="CE322" s="2372"/>
      <c r="CF322" s="2372"/>
      <c r="CG322" s="2372"/>
      <c r="CH322" s="2372"/>
      <c r="CI322" s="2372"/>
      <c r="CJ322" s="2372"/>
      <c r="CK322" s="2372"/>
      <c r="CL322" s="2372"/>
      <c r="CM322" s="2372"/>
      <c r="CN322" s="2372"/>
      <c r="CO322" s="2372"/>
      <c r="CP322" s="2372"/>
      <c r="CQ322" s="2372"/>
      <c r="CR322" s="2372"/>
      <c r="CS322" s="2372"/>
      <c r="CT322" s="2372"/>
      <c r="CU322" s="2372"/>
      <c r="CV322" s="2372"/>
      <c r="CW322" s="2372"/>
      <c r="CX322" s="2372"/>
      <c r="CY322" s="2372"/>
      <c r="CZ322" s="2372"/>
      <c r="DA322" s="2372"/>
    </row>
    <row r="323" spans="1:105" ht="15" hidden="1" customHeight="1">
      <c r="A323" s="2372"/>
      <c r="B323" s="2372"/>
      <c r="C323" s="2372"/>
      <c r="D323" s="2372"/>
      <c r="E323" s="2372"/>
      <c r="F323" s="2372"/>
      <c r="G323" s="2372"/>
      <c r="H323" s="2372"/>
      <c r="I323" s="2372"/>
      <c r="J323" s="2372"/>
      <c r="K323" s="2372"/>
      <c r="L323" s="2372"/>
      <c r="M323" s="2372"/>
      <c r="N323" s="2372"/>
      <c r="O323" s="2372"/>
      <c r="P323" s="2372"/>
      <c r="Q323" s="2372"/>
      <c r="R323" s="2372"/>
      <c r="S323" s="2372"/>
      <c r="T323" s="2372"/>
      <c r="U323" s="2372"/>
      <c r="V323" s="2372"/>
      <c r="W323" s="2372"/>
      <c r="X323" s="2372"/>
      <c r="Y323" s="2372"/>
      <c r="Z323" s="2372"/>
      <c r="AA323" s="2372"/>
      <c r="AB323" s="2372"/>
      <c r="AC323" s="2372"/>
      <c r="AD323" s="2372"/>
      <c r="AE323" s="2372"/>
      <c r="AF323" s="2372"/>
      <c r="AG323" s="2372"/>
      <c r="AH323" s="2372"/>
      <c r="AI323" s="2372"/>
      <c r="AJ323" s="2372"/>
      <c r="AK323" s="2372"/>
      <c r="AL323" s="2372"/>
      <c r="AM323" s="2372"/>
      <c r="AN323" s="2372"/>
      <c r="AO323" s="2372"/>
      <c r="AP323" s="2372"/>
      <c r="AQ323" s="2372"/>
      <c r="AR323" s="2372"/>
      <c r="AS323" s="2372"/>
      <c r="AT323" s="2372"/>
      <c r="AU323" s="2372"/>
      <c r="AV323" s="2372"/>
      <c r="AW323" s="2372"/>
      <c r="AX323" s="2372"/>
      <c r="AY323" s="2372"/>
      <c r="AZ323" s="2372"/>
      <c r="BA323" s="2372"/>
      <c r="BB323" s="2372"/>
      <c r="BC323" s="2372"/>
      <c r="BD323" s="2372"/>
      <c r="BE323" s="2372"/>
      <c r="BF323" s="2372"/>
      <c r="BG323" s="2372"/>
      <c r="BH323" s="2372"/>
      <c r="BI323" s="2372"/>
      <c r="BJ323" s="2372"/>
      <c r="BK323" s="2372"/>
      <c r="BL323" s="2372"/>
      <c r="BM323" s="2372"/>
      <c r="BN323" s="2372"/>
      <c r="BO323" s="2372"/>
      <c r="BP323" s="2372"/>
      <c r="BQ323" s="2372"/>
      <c r="BR323" s="2372"/>
      <c r="BS323" s="2372"/>
      <c r="BT323" s="2372"/>
      <c r="BU323" s="2372"/>
      <c r="BV323" s="2372"/>
      <c r="BW323" s="2372"/>
      <c r="BX323" s="2372"/>
      <c r="BY323" s="2372"/>
      <c r="BZ323" s="2372"/>
      <c r="CA323" s="2372"/>
      <c r="CB323" s="2372"/>
      <c r="CC323" s="2372"/>
      <c r="CD323" s="2372"/>
      <c r="CE323" s="2372"/>
      <c r="CF323" s="2372"/>
      <c r="CG323" s="2372"/>
      <c r="CH323" s="2372"/>
      <c r="CI323" s="2372"/>
      <c r="CJ323" s="2372"/>
      <c r="CK323" s="2372"/>
      <c r="CL323" s="2372"/>
      <c r="CM323" s="2372"/>
      <c r="CN323" s="2372"/>
      <c r="CO323" s="2372"/>
      <c r="CP323" s="2372"/>
      <c r="CQ323" s="2372"/>
      <c r="CR323" s="2372"/>
      <c r="CS323" s="2372"/>
      <c r="CT323" s="2372"/>
      <c r="CU323" s="2372"/>
      <c r="CV323" s="2372"/>
      <c r="CW323" s="2372"/>
      <c r="CX323" s="2372"/>
      <c r="CY323" s="2372"/>
      <c r="CZ323" s="2372"/>
      <c r="DA323" s="2372"/>
    </row>
    <row r="324" spans="1:105" ht="3" hidden="1" customHeight="1">
      <c r="A324" s="2372"/>
      <c r="B324" s="2372"/>
      <c r="C324" s="2372"/>
      <c r="D324" s="2372"/>
      <c r="E324" s="2372"/>
      <c r="F324" s="2372"/>
      <c r="G324" s="2372"/>
      <c r="H324" s="2372"/>
      <c r="I324" s="2372"/>
      <c r="J324" s="2372"/>
      <c r="K324" s="2372"/>
      <c r="L324" s="2372"/>
      <c r="M324" s="2372"/>
      <c r="N324" s="2372"/>
      <c r="O324" s="2372"/>
      <c r="P324" s="2372"/>
      <c r="Q324" s="2372"/>
      <c r="R324" s="2372"/>
      <c r="S324" s="2372"/>
      <c r="T324" s="2372"/>
      <c r="U324" s="2372"/>
      <c r="V324" s="2372"/>
      <c r="W324" s="2372"/>
      <c r="X324" s="2372"/>
      <c r="Y324" s="2372"/>
      <c r="Z324" s="2372"/>
      <c r="AA324" s="2372"/>
      <c r="AB324" s="2372"/>
      <c r="AC324" s="2372"/>
      <c r="AD324" s="2372"/>
      <c r="AE324" s="2372"/>
      <c r="AF324" s="2372"/>
      <c r="AG324" s="2372"/>
      <c r="AH324" s="2372"/>
      <c r="AI324" s="2372"/>
      <c r="AJ324" s="2372"/>
      <c r="AK324" s="2372"/>
      <c r="AL324" s="2372"/>
      <c r="AM324" s="2372"/>
      <c r="AN324" s="2372"/>
      <c r="AO324" s="2372"/>
      <c r="AP324" s="2372"/>
      <c r="AQ324" s="2372"/>
      <c r="AR324" s="2372"/>
      <c r="AS324" s="2372"/>
      <c r="AT324" s="2372"/>
      <c r="AU324" s="2372"/>
      <c r="AV324" s="2372"/>
      <c r="AW324" s="2372"/>
      <c r="AX324" s="2372"/>
      <c r="AY324" s="2372"/>
      <c r="AZ324" s="2372"/>
      <c r="BA324" s="2372"/>
      <c r="BB324" s="2372"/>
      <c r="BC324" s="2372"/>
      <c r="BD324" s="2372"/>
      <c r="BE324" s="2372"/>
      <c r="BF324" s="2372"/>
      <c r="BG324" s="2372"/>
      <c r="BH324" s="2372"/>
      <c r="BI324" s="2372"/>
      <c r="BJ324" s="2372"/>
      <c r="BK324" s="2372"/>
      <c r="BL324" s="2372"/>
      <c r="BM324" s="2372"/>
      <c r="BN324" s="2372"/>
      <c r="BO324" s="2372"/>
      <c r="BP324" s="2372"/>
      <c r="BQ324" s="2372"/>
      <c r="BR324" s="2372"/>
      <c r="BS324" s="2372"/>
      <c r="BT324" s="2372"/>
      <c r="BU324" s="2372"/>
      <c r="BV324" s="2372"/>
      <c r="BW324" s="2372"/>
      <c r="BX324" s="2372"/>
      <c r="BY324" s="2372"/>
      <c r="BZ324" s="2372"/>
      <c r="CA324" s="2372"/>
      <c r="CB324" s="2372"/>
      <c r="CC324" s="2372"/>
      <c r="CD324" s="2372"/>
      <c r="CE324" s="2372"/>
      <c r="CF324" s="2372"/>
      <c r="CG324" s="2372"/>
      <c r="CH324" s="2372"/>
      <c r="CI324" s="2372"/>
      <c r="CJ324" s="2372"/>
      <c r="CK324" s="2372"/>
      <c r="CL324" s="2372"/>
      <c r="CM324" s="2372"/>
      <c r="CN324" s="2372"/>
      <c r="CO324" s="2372"/>
      <c r="CP324" s="2372"/>
      <c r="CQ324" s="2372"/>
      <c r="CR324" s="2372"/>
      <c r="CS324" s="2372"/>
      <c r="CT324" s="2372"/>
      <c r="CU324" s="2372"/>
      <c r="CV324" s="2372"/>
      <c r="CW324" s="2372"/>
      <c r="CX324" s="2372"/>
      <c r="CY324" s="2372"/>
      <c r="CZ324" s="2372"/>
      <c r="DA324" s="2372"/>
    </row>
    <row r="325" spans="1:105" ht="15" hidden="1" customHeight="1">
      <c r="A325" s="2372"/>
      <c r="B325" s="2372"/>
      <c r="C325" s="2372"/>
      <c r="D325" s="2372"/>
      <c r="E325" s="2372"/>
      <c r="F325" s="2372"/>
      <c r="G325" s="2372"/>
      <c r="H325" s="2372"/>
      <c r="I325" s="2372"/>
      <c r="J325" s="2372"/>
      <c r="K325" s="2372"/>
      <c r="L325" s="2372"/>
      <c r="M325" s="2372"/>
      <c r="N325" s="2372"/>
      <c r="O325" s="2372"/>
      <c r="P325" s="2372"/>
      <c r="Q325" s="2372"/>
      <c r="R325" s="2372"/>
      <c r="S325" s="2372"/>
      <c r="T325" s="2372"/>
      <c r="U325" s="2372"/>
      <c r="V325" s="2372"/>
      <c r="W325" s="2372"/>
      <c r="X325" s="2372"/>
      <c r="Y325" s="2372"/>
      <c r="Z325" s="2372"/>
      <c r="AA325" s="2372"/>
      <c r="AB325" s="2372"/>
      <c r="AC325" s="2372"/>
      <c r="AD325" s="2372"/>
      <c r="AE325" s="2372"/>
      <c r="AF325" s="2372"/>
      <c r="AG325" s="2372"/>
      <c r="AH325" s="2372"/>
      <c r="AI325" s="2372"/>
      <c r="AJ325" s="2372"/>
      <c r="AK325" s="2372"/>
      <c r="AL325" s="2372"/>
      <c r="AM325" s="2372"/>
      <c r="AN325" s="2372"/>
      <c r="AO325" s="2372"/>
      <c r="AP325" s="2372"/>
      <c r="AQ325" s="2372"/>
      <c r="AR325" s="2372"/>
      <c r="AS325" s="2372"/>
      <c r="AT325" s="2372"/>
      <c r="AU325" s="2372"/>
      <c r="AV325" s="2372"/>
      <c r="AW325" s="2372"/>
      <c r="AX325" s="2372"/>
      <c r="AY325" s="2372"/>
      <c r="AZ325" s="2372"/>
      <c r="BA325" s="2372"/>
      <c r="BB325" s="2372"/>
      <c r="BC325" s="2372"/>
      <c r="BD325" s="2372"/>
      <c r="BE325" s="2372"/>
      <c r="BF325" s="2372"/>
      <c r="BG325" s="2372"/>
      <c r="BH325" s="2372"/>
      <c r="BI325" s="2372"/>
      <c r="BJ325" s="2372"/>
      <c r="BK325" s="2372"/>
      <c r="BL325" s="2372"/>
      <c r="BM325" s="2372"/>
      <c r="BN325" s="2372"/>
      <c r="BO325" s="2372"/>
      <c r="BP325" s="2372"/>
      <c r="BQ325" s="2372"/>
      <c r="BR325" s="2372"/>
      <c r="BS325" s="2372"/>
      <c r="BT325" s="2372"/>
      <c r="BU325" s="2372"/>
      <c r="BV325" s="2372"/>
      <c r="BW325" s="2372"/>
      <c r="BX325" s="2372"/>
      <c r="BY325" s="2372"/>
      <c r="BZ325" s="2372"/>
      <c r="CA325" s="2372"/>
      <c r="CB325" s="2372"/>
      <c r="CC325" s="2372"/>
      <c r="CD325" s="2372"/>
      <c r="CE325" s="2372"/>
      <c r="CF325" s="2372"/>
      <c r="CG325" s="2372"/>
      <c r="CH325" s="2372"/>
      <c r="CI325" s="2372"/>
      <c r="CJ325" s="2372"/>
      <c r="CK325" s="2372"/>
      <c r="CL325" s="2372"/>
      <c r="CM325" s="2372"/>
      <c r="CN325" s="2372"/>
      <c r="CO325" s="2372"/>
      <c r="CP325" s="2372"/>
      <c r="CQ325" s="2372"/>
      <c r="CR325" s="2372"/>
      <c r="CS325" s="2372"/>
      <c r="CT325" s="2372"/>
      <c r="CU325" s="2372"/>
      <c r="CV325" s="2372"/>
      <c r="CW325" s="2372"/>
      <c r="CX325" s="2372"/>
      <c r="CY325" s="2372"/>
      <c r="CZ325" s="2372"/>
      <c r="DA325" s="2372"/>
    </row>
    <row r="326" spans="1:105" ht="3" hidden="1" customHeight="1">
      <c r="A326" s="2372"/>
      <c r="B326" s="2372"/>
      <c r="C326" s="2372"/>
      <c r="D326" s="2372"/>
      <c r="E326" s="2372"/>
      <c r="F326" s="2372"/>
      <c r="G326" s="2372"/>
      <c r="H326" s="2372"/>
      <c r="I326" s="2372"/>
      <c r="J326" s="2372"/>
      <c r="K326" s="2372"/>
      <c r="L326" s="2372"/>
      <c r="M326" s="2372"/>
      <c r="N326" s="2372"/>
      <c r="O326" s="2372"/>
      <c r="P326" s="2372"/>
      <c r="Q326" s="2372"/>
      <c r="R326" s="2372"/>
      <c r="S326" s="2372"/>
      <c r="T326" s="2372"/>
      <c r="U326" s="2372"/>
      <c r="V326" s="2372"/>
      <c r="W326" s="2372"/>
      <c r="X326" s="2372"/>
      <c r="Y326" s="2372"/>
      <c r="Z326" s="2372"/>
      <c r="AA326" s="2372"/>
      <c r="AB326" s="2372"/>
      <c r="AC326" s="2372"/>
      <c r="AD326" s="2372"/>
      <c r="AE326" s="2372"/>
      <c r="AF326" s="2372"/>
      <c r="AG326" s="2372"/>
      <c r="AH326" s="2372"/>
      <c r="AI326" s="2372"/>
      <c r="AJ326" s="2372"/>
      <c r="AK326" s="2372"/>
      <c r="AL326" s="2372"/>
      <c r="AM326" s="2372"/>
      <c r="AN326" s="2372"/>
      <c r="AO326" s="2372"/>
      <c r="AP326" s="2372"/>
      <c r="AQ326" s="2372"/>
      <c r="AR326" s="2372"/>
      <c r="AS326" s="2372"/>
      <c r="AT326" s="2372"/>
      <c r="AU326" s="2372"/>
      <c r="AV326" s="2372"/>
      <c r="AW326" s="2372"/>
      <c r="AX326" s="2372"/>
      <c r="AY326" s="2372"/>
      <c r="AZ326" s="2372"/>
      <c r="BA326" s="2372"/>
      <c r="BB326" s="2372"/>
      <c r="BC326" s="2372"/>
      <c r="BD326" s="2372"/>
      <c r="BE326" s="2372"/>
      <c r="BF326" s="2372"/>
      <c r="BG326" s="2372"/>
      <c r="BH326" s="2372"/>
      <c r="BI326" s="2372"/>
      <c r="BJ326" s="2372"/>
      <c r="BK326" s="2372"/>
      <c r="BL326" s="2372"/>
      <c r="BM326" s="2372"/>
      <c r="BN326" s="2372"/>
      <c r="BO326" s="2372"/>
      <c r="BP326" s="2372"/>
      <c r="BQ326" s="2372"/>
      <c r="BR326" s="2372"/>
      <c r="BS326" s="2372"/>
      <c r="BT326" s="2372"/>
      <c r="BU326" s="2372"/>
      <c r="BV326" s="2372"/>
      <c r="BW326" s="2372"/>
      <c r="BX326" s="2372"/>
      <c r="BY326" s="2372"/>
      <c r="BZ326" s="2372"/>
      <c r="CA326" s="2372"/>
      <c r="CB326" s="2372"/>
      <c r="CC326" s="2372"/>
      <c r="CD326" s="2372"/>
      <c r="CE326" s="2372"/>
      <c r="CF326" s="2372"/>
      <c r="CG326" s="2372"/>
      <c r="CH326" s="2372"/>
      <c r="CI326" s="2372"/>
      <c r="CJ326" s="2372"/>
      <c r="CK326" s="2372"/>
      <c r="CL326" s="2372"/>
      <c r="CM326" s="2372"/>
      <c r="CN326" s="2372"/>
      <c r="CO326" s="2372"/>
      <c r="CP326" s="2372"/>
      <c r="CQ326" s="2372"/>
      <c r="CR326" s="2372"/>
      <c r="CS326" s="2372"/>
      <c r="CT326" s="2372"/>
      <c r="CU326" s="2372"/>
      <c r="CV326" s="2372"/>
      <c r="CW326" s="2372"/>
      <c r="CX326" s="2372"/>
      <c r="CY326" s="2372"/>
      <c r="CZ326" s="2372"/>
      <c r="DA326" s="2372"/>
    </row>
    <row r="327" spans="1:105" ht="15" hidden="1" customHeight="1">
      <c r="A327" s="2372"/>
      <c r="B327" s="2372"/>
      <c r="C327" s="2372"/>
      <c r="D327" s="2372"/>
      <c r="E327" s="2372"/>
      <c r="F327" s="2372"/>
      <c r="G327" s="2372"/>
      <c r="H327" s="2372"/>
      <c r="I327" s="2372"/>
      <c r="J327" s="2372"/>
      <c r="K327" s="2372"/>
      <c r="L327" s="2372"/>
      <c r="M327" s="2372"/>
      <c r="N327" s="2372"/>
      <c r="O327" s="2372"/>
      <c r="P327" s="2372"/>
      <c r="Q327" s="2372"/>
      <c r="R327" s="2372"/>
      <c r="S327" s="2372"/>
      <c r="T327" s="2372"/>
      <c r="U327" s="2372"/>
      <c r="V327" s="2372"/>
      <c r="W327" s="2372"/>
      <c r="X327" s="2372"/>
      <c r="Y327" s="2372"/>
      <c r="Z327" s="2372"/>
      <c r="AA327" s="2372"/>
      <c r="AB327" s="2372"/>
      <c r="AC327" s="2372"/>
      <c r="AD327" s="2372"/>
      <c r="AE327" s="2372"/>
      <c r="AF327" s="2372"/>
      <c r="AG327" s="2372"/>
      <c r="AH327" s="2372"/>
      <c r="AI327" s="2372"/>
      <c r="AJ327" s="2372"/>
      <c r="AK327" s="2372"/>
      <c r="AL327" s="2372"/>
      <c r="AM327" s="2372"/>
      <c r="AN327" s="2372"/>
      <c r="AO327" s="2372"/>
      <c r="AP327" s="2372"/>
      <c r="AQ327" s="2372"/>
      <c r="AR327" s="2372"/>
      <c r="AS327" s="2372"/>
      <c r="AT327" s="2372"/>
      <c r="AU327" s="2372"/>
      <c r="AV327" s="2372"/>
      <c r="AW327" s="2372"/>
      <c r="AX327" s="2372"/>
      <c r="AY327" s="2372"/>
      <c r="AZ327" s="2372"/>
      <c r="BA327" s="2372"/>
      <c r="BB327" s="2372"/>
      <c r="BC327" s="2372"/>
      <c r="BD327" s="2372"/>
      <c r="BE327" s="2372"/>
      <c r="BF327" s="2372"/>
      <c r="BG327" s="2372"/>
      <c r="BH327" s="2372"/>
      <c r="BI327" s="2372"/>
      <c r="BJ327" s="2372"/>
      <c r="BK327" s="2372"/>
      <c r="BL327" s="2372"/>
      <c r="BM327" s="2372"/>
      <c r="BN327" s="2372"/>
      <c r="BO327" s="2372"/>
      <c r="BP327" s="2372"/>
      <c r="BQ327" s="2372"/>
      <c r="BR327" s="2372"/>
      <c r="BS327" s="2372"/>
      <c r="BT327" s="2372"/>
      <c r="BU327" s="2372"/>
      <c r="BV327" s="2372"/>
      <c r="BW327" s="2372"/>
      <c r="BX327" s="2372"/>
      <c r="BY327" s="2372"/>
      <c r="BZ327" s="2372"/>
      <c r="CA327" s="2372"/>
      <c r="CB327" s="2372"/>
      <c r="CC327" s="2372"/>
      <c r="CD327" s="2372"/>
      <c r="CE327" s="2372"/>
      <c r="CF327" s="2372"/>
      <c r="CG327" s="2372"/>
      <c r="CH327" s="2372"/>
      <c r="CI327" s="2372"/>
      <c r="CJ327" s="2372"/>
      <c r="CK327" s="2372"/>
      <c r="CL327" s="2372"/>
      <c r="CM327" s="2372"/>
      <c r="CN327" s="2372"/>
      <c r="CO327" s="2372"/>
      <c r="CP327" s="2372"/>
      <c r="CQ327" s="2372"/>
      <c r="CR327" s="2372"/>
      <c r="CS327" s="2372"/>
      <c r="CT327" s="2372"/>
      <c r="CU327" s="2372"/>
      <c r="CV327" s="2372"/>
      <c r="CW327" s="2372"/>
      <c r="CX327" s="2372"/>
      <c r="CY327" s="2372"/>
      <c r="CZ327" s="2372"/>
      <c r="DA327" s="2372"/>
    </row>
    <row r="328" spans="1:105" ht="3" hidden="1" customHeight="1">
      <c r="A328" s="2372"/>
      <c r="B328" s="2372"/>
      <c r="C328" s="2372"/>
      <c r="D328" s="2372"/>
      <c r="E328" s="2372"/>
      <c r="F328" s="2372"/>
      <c r="G328" s="2372"/>
      <c r="H328" s="2372"/>
      <c r="I328" s="2372"/>
      <c r="J328" s="2372"/>
      <c r="K328" s="2372"/>
      <c r="L328" s="2372"/>
      <c r="M328" s="2372"/>
      <c r="N328" s="2372"/>
      <c r="O328" s="2372"/>
      <c r="P328" s="2372"/>
      <c r="Q328" s="2372"/>
      <c r="R328" s="2372"/>
      <c r="S328" s="2372"/>
      <c r="T328" s="2372"/>
      <c r="U328" s="2372"/>
      <c r="V328" s="2372"/>
      <c r="W328" s="2372"/>
      <c r="X328" s="2372"/>
      <c r="Y328" s="2372"/>
      <c r="Z328" s="2372"/>
      <c r="AA328" s="2372"/>
      <c r="AB328" s="2372"/>
      <c r="AC328" s="2372"/>
      <c r="AD328" s="2372"/>
      <c r="AE328" s="2372"/>
      <c r="AF328" s="2372"/>
      <c r="AG328" s="2372"/>
      <c r="AH328" s="2372"/>
      <c r="AI328" s="2372"/>
      <c r="AJ328" s="2372"/>
      <c r="AK328" s="2372"/>
      <c r="AL328" s="2372"/>
      <c r="AM328" s="2372"/>
      <c r="AN328" s="2372"/>
      <c r="AO328" s="2372"/>
      <c r="AP328" s="2372"/>
      <c r="AQ328" s="2372"/>
      <c r="AR328" s="2372"/>
      <c r="AS328" s="2372"/>
      <c r="AT328" s="2372"/>
      <c r="AU328" s="2372"/>
      <c r="AV328" s="2372"/>
      <c r="AW328" s="2372"/>
      <c r="AX328" s="2372"/>
      <c r="AY328" s="2372"/>
      <c r="AZ328" s="2372"/>
      <c r="BA328" s="2372"/>
      <c r="BB328" s="2372"/>
      <c r="BC328" s="2372"/>
      <c r="BD328" s="2372"/>
      <c r="BE328" s="2372"/>
      <c r="BF328" s="2372"/>
      <c r="BG328" s="2372"/>
      <c r="BH328" s="2372"/>
      <c r="BI328" s="2372"/>
      <c r="BJ328" s="2372"/>
      <c r="BK328" s="2372"/>
      <c r="BL328" s="2372"/>
      <c r="BM328" s="2372"/>
      <c r="BN328" s="2372"/>
      <c r="BO328" s="2372"/>
      <c r="BP328" s="2372"/>
      <c r="BQ328" s="2372"/>
      <c r="BR328" s="2372"/>
      <c r="BS328" s="2372"/>
      <c r="BT328" s="2372"/>
      <c r="BU328" s="2372"/>
      <c r="BV328" s="2372"/>
      <c r="BW328" s="2372"/>
      <c r="BX328" s="2372"/>
      <c r="BY328" s="2372"/>
      <c r="BZ328" s="2372"/>
      <c r="CA328" s="2372"/>
      <c r="CB328" s="2372"/>
      <c r="CC328" s="2372"/>
      <c r="CD328" s="2372"/>
      <c r="CE328" s="2372"/>
      <c r="CF328" s="2372"/>
      <c r="CG328" s="2372"/>
      <c r="CH328" s="2372"/>
      <c r="CI328" s="2372"/>
      <c r="CJ328" s="2372"/>
      <c r="CK328" s="2372"/>
      <c r="CL328" s="2372"/>
      <c r="CM328" s="2372"/>
      <c r="CN328" s="2372"/>
      <c r="CO328" s="2372"/>
      <c r="CP328" s="2372"/>
      <c r="CQ328" s="2372"/>
      <c r="CR328" s="2372"/>
      <c r="CS328" s="2372"/>
      <c r="CT328" s="2372"/>
      <c r="CU328" s="2372"/>
      <c r="CV328" s="2372"/>
      <c r="CW328" s="2372"/>
      <c r="CX328" s="2372"/>
      <c r="CY328" s="2372"/>
      <c r="CZ328" s="2372"/>
      <c r="DA328" s="2372"/>
    </row>
    <row r="329" spans="1:105" ht="15" hidden="1" customHeight="1">
      <c r="A329" s="2372"/>
      <c r="B329" s="2372"/>
      <c r="C329" s="2372"/>
      <c r="D329" s="2372"/>
      <c r="E329" s="2372"/>
      <c r="F329" s="2372"/>
      <c r="G329" s="2372"/>
      <c r="H329" s="2372"/>
      <c r="I329" s="2372"/>
      <c r="J329" s="2372"/>
      <c r="K329" s="2372"/>
      <c r="L329" s="2372"/>
      <c r="M329" s="2372"/>
      <c r="N329" s="2372"/>
      <c r="O329" s="2372"/>
      <c r="P329" s="2372"/>
      <c r="Q329" s="2372"/>
      <c r="R329" s="2372"/>
      <c r="S329" s="2372"/>
      <c r="T329" s="2372"/>
      <c r="U329" s="2372"/>
      <c r="V329" s="2372"/>
      <c r="W329" s="2372"/>
      <c r="X329" s="2372"/>
      <c r="Y329" s="2372"/>
      <c r="Z329" s="2372"/>
      <c r="AA329" s="2372"/>
      <c r="AB329" s="2372"/>
      <c r="AC329" s="2372"/>
      <c r="AD329" s="2372"/>
      <c r="AE329" s="2372"/>
      <c r="AF329" s="2372"/>
      <c r="AG329" s="2372"/>
      <c r="AH329" s="2372"/>
      <c r="AI329" s="2372"/>
      <c r="AJ329" s="2372"/>
      <c r="AK329" s="2372"/>
      <c r="AL329" s="2372"/>
      <c r="AM329" s="2372"/>
      <c r="AN329" s="2372"/>
      <c r="AO329" s="2372"/>
      <c r="AP329" s="2372"/>
      <c r="AQ329" s="2372"/>
      <c r="AR329" s="2372"/>
      <c r="AS329" s="2372"/>
      <c r="AT329" s="2372"/>
      <c r="AU329" s="2372"/>
      <c r="AV329" s="2372"/>
      <c r="AW329" s="2372"/>
      <c r="AX329" s="2372"/>
      <c r="AY329" s="2372"/>
      <c r="AZ329" s="2372"/>
      <c r="BA329" s="2372"/>
      <c r="BB329" s="2372"/>
      <c r="BC329" s="2372"/>
      <c r="BD329" s="2372"/>
      <c r="BE329" s="2372"/>
      <c r="BF329" s="2372"/>
      <c r="BG329" s="2372"/>
      <c r="BH329" s="2372"/>
      <c r="BI329" s="2372"/>
      <c r="BJ329" s="2372"/>
      <c r="BK329" s="2372"/>
      <c r="BL329" s="2372"/>
      <c r="BM329" s="2372"/>
      <c r="BN329" s="2372"/>
      <c r="BO329" s="2372"/>
      <c r="BP329" s="2372"/>
      <c r="BQ329" s="2372"/>
      <c r="BR329" s="2372"/>
      <c r="BS329" s="2372"/>
      <c r="BT329" s="2372"/>
      <c r="BU329" s="2372"/>
      <c r="BV329" s="2372"/>
      <c r="BW329" s="2372"/>
      <c r="BX329" s="2372"/>
      <c r="BY329" s="2372"/>
      <c r="BZ329" s="2372"/>
      <c r="CA329" s="2372"/>
      <c r="CB329" s="2372"/>
      <c r="CC329" s="2372"/>
      <c r="CD329" s="2372"/>
      <c r="CE329" s="2372"/>
      <c r="CF329" s="2372"/>
      <c r="CG329" s="2372"/>
      <c r="CH329" s="2372"/>
      <c r="CI329" s="2372"/>
      <c r="CJ329" s="2372"/>
      <c r="CK329" s="2372"/>
      <c r="CL329" s="2372"/>
      <c r="CM329" s="2372"/>
      <c r="CN329" s="2372"/>
      <c r="CO329" s="2372"/>
      <c r="CP329" s="2372"/>
      <c r="CQ329" s="2372"/>
      <c r="CR329" s="2372"/>
      <c r="CS329" s="2372"/>
      <c r="CT329" s="2372"/>
      <c r="CU329" s="2372"/>
      <c r="CV329" s="2372"/>
      <c r="CW329" s="2372"/>
      <c r="CX329" s="2372"/>
      <c r="CY329" s="2372"/>
      <c r="CZ329" s="2372"/>
      <c r="DA329" s="2372"/>
    </row>
    <row r="330" spans="1:105" ht="3" hidden="1" customHeight="1">
      <c r="A330" s="2372"/>
      <c r="B330" s="2372"/>
      <c r="C330" s="2372"/>
      <c r="D330" s="2372"/>
      <c r="E330" s="2372"/>
      <c r="F330" s="2372"/>
      <c r="G330" s="2372"/>
      <c r="H330" s="2372"/>
      <c r="I330" s="2372"/>
      <c r="J330" s="2372"/>
      <c r="K330" s="2372"/>
      <c r="L330" s="2372"/>
      <c r="M330" s="2372"/>
      <c r="N330" s="2372"/>
      <c r="O330" s="2372"/>
      <c r="P330" s="2372"/>
      <c r="Q330" s="2372"/>
      <c r="R330" s="2372"/>
      <c r="S330" s="2372"/>
      <c r="T330" s="2372"/>
      <c r="U330" s="2372"/>
      <c r="V330" s="2372"/>
      <c r="W330" s="2372"/>
      <c r="X330" s="2372"/>
      <c r="Y330" s="2372"/>
      <c r="Z330" s="2372"/>
      <c r="AA330" s="2372"/>
      <c r="AB330" s="2372"/>
      <c r="AC330" s="2372"/>
      <c r="AD330" s="2372"/>
      <c r="AE330" s="2372"/>
      <c r="AF330" s="2372"/>
      <c r="AG330" s="2372"/>
      <c r="AH330" s="2372"/>
      <c r="AI330" s="2372"/>
      <c r="AJ330" s="2372"/>
      <c r="AK330" s="2372"/>
      <c r="AL330" s="2372"/>
      <c r="AM330" s="2372"/>
      <c r="AN330" s="2372"/>
      <c r="AO330" s="2372"/>
      <c r="AP330" s="2372"/>
      <c r="AQ330" s="2372"/>
      <c r="AR330" s="2372"/>
      <c r="AS330" s="2372"/>
      <c r="AT330" s="2372"/>
      <c r="AU330" s="2372"/>
      <c r="AV330" s="2372"/>
      <c r="AW330" s="2372"/>
      <c r="AX330" s="2372"/>
      <c r="AY330" s="2372"/>
      <c r="AZ330" s="2372"/>
      <c r="BA330" s="2372"/>
      <c r="BB330" s="2372"/>
      <c r="BC330" s="2372"/>
      <c r="BD330" s="2372"/>
      <c r="BE330" s="2372"/>
      <c r="BF330" s="2372"/>
      <c r="BG330" s="2372"/>
      <c r="BH330" s="2372"/>
      <c r="BI330" s="2372"/>
      <c r="BJ330" s="2372"/>
      <c r="BK330" s="2372"/>
      <c r="BL330" s="2372"/>
      <c r="BM330" s="2372"/>
      <c r="BN330" s="2372"/>
      <c r="BO330" s="2372"/>
      <c r="BP330" s="2372"/>
      <c r="BQ330" s="2372"/>
      <c r="BR330" s="2372"/>
      <c r="BS330" s="2372"/>
      <c r="BT330" s="2372"/>
      <c r="BU330" s="2372"/>
      <c r="BV330" s="2372"/>
      <c r="BW330" s="2372"/>
      <c r="BX330" s="2372"/>
      <c r="BY330" s="2372"/>
      <c r="BZ330" s="2372"/>
      <c r="CA330" s="2372"/>
      <c r="CB330" s="2372"/>
      <c r="CC330" s="2372"/>
      <c r="CD330" s="2372"/>
      <c r="CE330" s="2372"/>
      <c r="CF330" s="2372"/>
      <c r="CG330" s="2372"/>
      <c r="CH330" s="2372"/>
      <c r="CI330" s="2372"/>
      <c r="CJ330" s="2372"/>
      <c r="CK330" s="2372"/>
      <c r="CL330" s="2372"/>
      <c r="CM330" s="2372"/>
      <c r="CN330" s="2372"/>
      <c r="CO330" s="2372"/>
      <c r="CP330" s="2372"/>
      <c r="CQ330" s="2372"/>
      <c r="CR330" s="2372"/>
      <c r="CS330" s="2372"/>
      <c r="CT330" s="2372"/>
      <c r="CU330" s="2372"/>
      <c r="CV330" s="2372"/>
      <c r="CW330" s="2372"/>
      <c r="CX330" s="2372"/>
      <c r="CY330" s="2372"/>
      <c r="CZ330" s="2372"/>
      <c r="DA330" s="2372"/>
    </row>
    <row r="331" spans="1:105" ht="15" hidden="1" customHeight="1">
      <c r="A331" s="2372"/>
      <c r="B331" s="2372"/>
      <c r="C331" s="2372"/>
      <c r="D331" s="2372"/>
      <c r="E331" s="2372"/>
      <c r="F331" s="2372"/>
      <c r="G331" s="2372"/>
      <c r="H331" s="2372"/>
      <c r="I331" s="2372"/>
      <c r="J331" s="2372"/>
      <c r="K331" s="2372"/>
      <c r="L331" s="2372"/>
      <c r="M331" s="2372"/>
      <c r="N331" s="2372"/>
      <c r="O331" s="2372"/>
      <c r="P331" s="2372"/>
      <c r="Q331" s="2372"/>
      <c r="R331" s="2372"/>
      <c r="S331" s="2372"/>
      <c r="T331" s="2372"/>
      <c r="U331" s="2372"/>
      <c r="V331" s="2372"/>
      <c r="W331" s="2372"/>
      <c r="X331" s="2372"/>
      <c r="Y331" s="2372"/>
      <c r="Z331" s="2372"/>
      <c r="AA331" s="2372"/>
      <c r="AB331" s="2372"/>
      <c r="AC331" s="2372"/>
      <c r="AD331" s="2372"/>
      <c r="AE331" s="2372"/>
      <c r="AF331" s="2372"/>
      <c r="AG331" s="2372"/>
      <c r="AH331" s="2372"/>
      <c r="AI331" s="2372"/>
      <c r="AJ331" s="2372"/>
      <c r="AK331" s="2372"/>
      <c r="AL331" s="2372"/>
      <c r="AM331" s="2372"/>
      <c r="AN331" s="2372"/>
      <c r="AO331" s="2372"/>
      <c r="AP331" s="2372"/>
      <c r="AQ331" s="2372"/>
      <c r="AR331" s="2372"/>
      <c r="AS331" s="2372"/>
      <c r="AT331" s="2372"/>
      <c r="AU331" s="2372"/>
      <c r="AV331" s="2372"/>
      <c r="AW331" s="2372"/>
      <c r="AX331" s="2372"/>
      <c r="AY331" s="2372"/>
      <c r="AZ331" s="2372"/>
      <c r="BA331" s="2372"/>
      <c r="BB331" s="2372"/>
      <c r="BC331" s="2372"/>
      <c r="BD331" s="2372"/>
      <c r="BE331" s="2372"/>
      <c r="BF331" s="2372"/>
      <c r="BG331" s="2372"/>
      <c r="BH331" s="2372"/>
      <c r="BI331" s="2372"/>
      <c r="BJ331" s="2372"/>
      <c r="BK331" s="2372"/>
      <c r="BL331" s="2372"/>
      <c r="BM331" s="2372"/>
      <c r="BN331" s="2372"/>
      <c r="BO331" s="2372"/>
      <c r="BP331" s="2372"/>
      <c r="BQ331" s="2372"/>
      <c r="BR331" s="2372"/>
      <c r="BS331" s="2372"/>
      <c r="BT331" s="2372"/>
      <c r="BU331" s="2372"/>
      <c r="BV331" s="2372"/>
      <c r="BW331" s="2372"/>
      <c r="BX331" s="2372"/>
      <c r="BY331" s="2372"/>
      <c r="BZ331" s="2372"/>
      <c r="CA331" s="2372"/>
      <c r="CB331" s="2372"/>
      <c r="CC331" s="2372"/>
      <c r="CD331" s="2372"/>
      <c r="CE331" s="2372"/>
      <c r="CF331" s="2372"/>
      <c r="CG331" s="2372"/>
      <c r="CH331" s="2372"/>
      <c r="CI331" s="2372"/>
      <c r="CJ331" s="2372"/>
      <c r="CK331" s="2372"/>
      <c r="CL331" s="2372"/>
      <c r="CM331" s="2372"/>
      <c r="CN331" s="2372"/>
      <c r="CO331" s="2372"/>
      <c r="CP331" s="2372"/>
      <c r="CQ331" s="2372"/>
      <c r="CR331" s="2372"/>
      <c r="CS331" s="2372"/>
      <c r="CT331" s="2372"/>
      <c r="CU331" s="2372"/>
      <c r="CV331" s="2372"/>
      <c r="CW331" s="2372"/>
      <c r="CX331" s="2372"/>
      <c r="CY331" s="2372"/>
      <c r="CZ331" s="2372"/>
      <c r="DA331" s="2372"/>
    </row>
    <row r="332" spans="1:105" ht="15" hidden="1" customHeight="1">
      <c r="A332" s="2372"/>
      <c r="B332" s="2372"/>
      <c r="C332" s="2372"/>
      <c r="D332" s="2372"/>
      <c r="E332" s="2372"/>
      <c r="F332" s="2372"/>
      <c r="G332" s="2372"/>
      <c r="H332" s="2372"/>
      <c r="I332" s="2372"/>
      <c r="J332" s="2372"/>
      <c r="K332" s="2372"/>
      <c r="L332" s="2372"/>
      <c r="M332" s="2372"/>
      <c r="N332" s="2372"/>
      <c r="O332" s="2372"/>
      <c r="P332" s="2372"/>
      <c r="Q332" s="2372"/>
      <c r="R332" s="2372"/>
      <c r="S332" s="2372"/>
      <c r="T332" s="2372"/>
      <c r="U332" s="2372"/>
      <c r="V332" s="2372"/>
      <c r="W332" s="2372"/>
      <c r="X332" s="2372"/>
      <c r="Y332" s="2372"/>
      <c r="Z332" s="2372"/>
      <c r="AA332" s="2372"/>
      <c r="AB332" s="2372"/>
      <c r="AC332" s="2372"/>
      <c r="AD332" s="2372"/>
      <c r="AE332" s="2372"/>
      <c r="AF332" s="2372"/>
      <c r="AG332" s="2372"/>
      <c r="AH332" s="2372"/>
      <c r="AI332" s="2372"/>
      <c r="AJ332" s="2372"/>
      <c r="AK332" s="2372"/>
      <c r="AL332" s="2372"/>
      <c r="AM332" s="2372"/>
      <c r="AN332" s="2372"/>
      <c r="AO332" s="2372"/>
      <c r="AP332" s="2372"/>
      <c r="AQ332" s="2372"/>
      <c r="AR332" s="2372"/>
      <c r="AS332" s="2372"/>
      <c r="AT332" s="2372"/>
      <c r="AU332" s="2372"/>
      <c r="AV332" s="2372"/>
      <c r="AW332" s="2372"/>
      <c r="AX332" s="2372"/>
      <c r="AY332" s="2372"/>
      <c r="AZ332" s="2372"/>
      <c r="BA332" s="2372"/>
      <c r="BB332" s="2372"/>
      <c r="BC332" s="2372"/>
      <c r="BD332" s="2372"/>
      <c r="BE332" s="2372"/>
      <c r="BF332" s="2372"/>
      <c r="BG332" s="2372"/>
      <c r="BH332" s="2372"/>
      <c r="BI332" s="2372"/>
      <c r="BJ332" s="2372"/>
      <c r="BK332" s="2372"/>
      <c r="BL332" s="2372"/>
      <c r="BM332" s="2372"/>
      <c r="BN332" s="2372"/>
      <c r="BO332" s="2372"/>
      <c r="BP332" s="2372"/>
      <c r="BQ332" s="2372"/>
      <c r="BR332" s="2372"/>
      <c r="BS332" s="2372"/>
      <c r="BT332" s="2372"/>
      <c r="BU332" s="2372"/>
      <c r="BV332" s="2372"/>
      <c r="BW332" s="2372"/>
      <c r="BX332" s="2372"/>
      <c r="BY332" s="2372"/>
      <c r="BZ332" s="2372"/>
      <c r="CA332" s="2372"/>
      <c r="CB332" s="2372"/>
      <c r="CC332" s="2372"/>
      <c r="CD332" s="2372"/>
      <c r="CE332" s="2372"/>
      <c r="CF332" s="2372"/>
      <c r="CG332" s="2372"/>
      <c r="CH332" s="2372"/>
      <c r="CI332" s="2372"/>
      <c r="CJ332" s="2372"/>
      <c r="CK332" s="2372"/>
      <c r="CL332" s="2372"/>
      <c r="CM332" s="2372"/>
      <c r="CN332" s="2372"/>
      <c r="CO332" s="2372"/>
      <c r="CP332" s="2372"/>
      <c r="CQ332" s="2372"/>
      <c r="CR332" s="2372"/>
      <c r="CS332" s="2372"/>
      <c r="CT332" s="2372"/>
      <c r="CU332" s="2372"/>
      <c r="CV332" s="2372"/>
      <c r="CW332" s="2372"/>
      <c r="CX332" s="2372"/>
      <c r="CY332" s="2372"/>
      <c r="CZ332" s="2372"/>
      <c r="DA332" s="2372"/>
    </row>
    <row r="333" spans="1:105" ht="3" hidden="1" customHeight="1">
      <c r="A333" s="2372"/>
      <c r="B333" s="2372"/>
      <c r="C333" s="2372"/>
      <c r="D333" s="2372"/>
      <c r="E333" s="2372"/>
      <c r="F333" s="2372"/>
      <c r="G333" s="2372"/>
      <c r="H333" s="2372"/>
      <c r="I333" s="2372"/>
      <c r="J333" s="2372"/>
      <c r="K333" s="2372"/>
      <c r="L333" s="2372"/>
      <c r="M333" s="2372"/>
      <c r="N333" s="2372"/>
      <c r="O333" s="2372"/>
      <c r="P333" s="2372"/>
      <c r="Q333" s="2372"/>
      <c r="R333" s="2372"/>
      <c r="S333" s="2372"/>
      <c r="T333" s="2372"/>
      <c r="U333" s="2372"/>
      <c r="V333" s="2372"/>
      <c r="W333" s="2372"/>
      <c r="X333" s="2372"/>
      <c r="Y333" s="2372"/>
      <c r="Z333" s="2372"/>
      <c r="AA333" s="2372"/>
      <c r="AB333" s="2372"/>
      <c r="AC333" s="2372"/>
      <c r="AD333" s="2372"/>
      <c r="AE333" s="2372"/>
      <c r="AF333" s="2372"/>
      <c r="AG333" s="2372"/>
      <c r="AH333" s="2372"/>
      <c r="AI333" s="2372"/>
      <c r="AJ333" s="2372"/>
      <c r="AK333" s="2372"/>
      <c r="AL333" s="2372"/>
      <c r="AM333" s="2372"/>
      <c r="AN333" s="2372"/>
      <c r="AO333" s="2372"/>
      <c r="AP333" s="2372"/>
      <c r="AQ333" s="2372"/>
      <c r="AR333" s="2372"/>
      <c r="AS333" s="2372"/>
      <c r="AT333" s="2372"/>
      <c r="AU333" s="2372"/>
      <c r="AV333" s="2372"/>
      <c r="AW333" s="2372"/>
      <c r="AX333" s="2372"/>
      <c r="AY333" s="2372"/>
      <c r="AZ333" s="2372"/>
      <c r="BA333" s="2372"/>
      <c r="BB333" s="2372"/>
      <c r="BC333" s="2372"/>
      <c r="BD333" s="2372"/>
      <c r="BE333" s="2372"/>
      <c r="BF333" s="2372"/>
      <c r="BG333" s="2372"/>
      <c r="BH333" s="2372"/>
      <c r="BI333" s="2372"/>
      <c r="BJ333" s="2372"/>
      <c r="BK333" s="2372"/>
      <c r="BL333" s="2372"/>
      <c r="BM333" s="2372"/>
      <c r="BN333" s="2372"/>
      <c r="BO333" s="2372"/>
      <c r="BP333" s="2372"/>
      <c r="BQ333" s="2372"/>
      <c r="BR333" s="2372"/>
      <c r="BS333" s="2372"/>
      <c r="BT333" s="2372"/>
      <c r="BU333" s="2372"/>
      <c r="BV333" s="2372"/>
      <c r="BW333" s="2372"/>
      <c r="BX333" s="2372"/>
      <c r="BY333" s="2372"/>
      <c r="BZ333" s="2372"/>
      <c r="CA333" s="2372"/>
      <c r="CB333" s="2372"/>
      <c r="CC333" s="2372"/>
      <c r="CD333" s="2372"/>
      <c r="CE333" s="2372"/>
      <c r="CF333" s="2372"/>
      <c r="CG333" s="2372"/>
      <c r="CH333" s="2372"/>
      <c r="CI333" s="2372"/>
      <c r="CJ333" s="2372"/>
      <c r="CK333" s="2372"/>
      <c r="CL333" s="2372"/>
      <c r="CM333" s="2372"/>
      <c r="CN333" s="2372"/>
      <c r="CO333" s="2372"/>
      <c r="CP333" s="2372"/>
      <c r="CQ333" s="2372"/>
      <c r="CR333" s="2372"/>
      <c r="CS333" s="2372"/>
      <c r="CT333" s="2372"/>
      <c r="CU333" s="2372"/>
      <c r="CV333" s="2372"/>
      <c r="CW333" s="2372"/>
      <c r="CX333" s="2372"/>
      <c r="CY333" s="2372"/>
      <c r="CZ333" s="2372"/>
      <c r="DA333" s="2372"/>
    </row>
    <row r="334" spans="1:105" ht="15" hidden="1" customHeight="1">
      <c r="A334" s="2372"/>
      <c r="B334" s="2372"/>
      <c r="U334" s="2372"/>
      <c r="V334" s="2372"/>
      <c r="W334" s="2372"/>
      <c r="X334" s="2372"/>
      <c r="Y334" s="2372"/>
      <c r="Z334" s="2372"/>
      <c r="AA334" s="2372"/>
      <c r="AB334" s="2372"/>
      <c r="AC334" s="2372"/>
      <c r="AD334" s="2372"/>
      <c r="AE334" s="2372"/>
      <c r="AF334" s="2372"/>
      <c r="AG334" s="2372"/>
      <c r="AH334" s="2372"/>
      <c r="AI334" s="2372"/>
      <c r="AJ334" s="2372"/>
      <c r="AK334" s="2372"/>
      <c r="AL334" s="2372"/>
      <c r="AM334" s="2372"/>
      <c r="AN334" s="2372"/>
      <c r="AO334" s="2372"/>
      <c r="AP334" s="2372"/>
      <c r="AQ334" s="2372"/>
      <c r="AR334" s="2372"/>
      <c r="AS334" s="2372"/>
      <c r="AT334" s="2372"/>
      <c r="AU334" s="2372"/>
      <c r="AV334" s="2372"/>
      <c r="AW334" s="2372"/>
      <c r="AX334" s="2372"/>
      <c r="AY334" s="2372"/>
      <c r="AZ334" s="2372"/>
      <c r="BA334" s="2372"/>
      <c r="BB334" s="2372"/>
      <c r="BC334" s="2372"/>
      <c r="BD334" s="2372"/>
      <c r="BE334" s="2372"/>
      <c r="BF334" s="2372"/>
      <c r="BG334" s="2372"/>
      <c r="BH334" s="2372"/>
      <c r="BI334" s="2372"/>
      <c r="BJ334" s="2372"/>
      <c r="BK334" s="2372"/>
      <c r="BL334" s="2372"/>
      <c r="BM334" s="2372"/>
      <c r="BN334" s="2372"/>
      <c r="BO334" s="2372"/>
      <c r="BP334" s="2372"/>
      <c r="BQ334" s="2372"/>
      <c r="BR334" s="2372"/>
      <c r="BS334" s="2372"/>
      <c r="BT334" s="2372"/>
      <c r="BU334" s="2372"/>
      <c r="BV334" s="2372"/>
      <c r="BW334" s="2372"/>
      <c r="BX334" s="2372"/>
      <c r="BY334" s="2372"/>
      <c r="BZ334" s="2372"/>
      <c r="CA334" s="2372"/>
      <c r="CB334" s="2372"/>
      <c r="CC334" s="2372"/>
      <c r="CD334" s="2372"/>
      <c r="CE334" s="2372"/>
      <c r="CF334" s="2372"/>
      <c r="CG334" s="2372"/>
      <c r="CH334" s="2372"/>
      <c r="CI334" s="2372"/>
      <c r="CJ334" s="2372"/>
      <c r="CK334" s="2372"/>
      <c r="CL334" s="2372"/>
      <c r="CM334" s="2372"/>
      <c r="CN334" s="2372"/>
      <c r="CO334" s="2372"/>
      <c r="CP334" s="2372"/>
      <c r="CQ334" s="2372"/>
      <c r="CR334" s="2372"/>
      <c r="CS334" s="2372"/>
      <c r="CT334" s="2372"/>
      <c r="CU334" s="2372"/>
      <c r="CV334" s="2372"/>
      <c r="CW334" s="2372"/>
      <c r="CX334" s="2372"/>
      <c r="CY334" s="2372"/>
      <c r="CZ334" s="2372"/>
      <c r="DA334" s="2372"/>
    </row>
    <row r="335" spans="1:105" ht="3" hidden="1" customHeight="1">
      <c r="A335" s="2372"/>
      <c r="B335" s="2372"/>
      <c r="U335" s="2372"/>
      <c r="V335" s="2372"/>
      <c r="W335" s="2372"/>
      <c r="X335" s="2372"/>
      <c r="Y335" s="2372"/>
      <c r="Z335" s="2372"/>
      <c r="AA335" s="2372"/>
      <c r="AB335" s="2372"/>
      <c r="AC335" s="2372"/>
      <c r="AD335" s="2372"/>
      <c r="AE335" s="2372"/>
      <c r="AF335" s="2372"/>
      <c r="AG335" s="2372"/>
      <c r="AH335" s="2372"/>
      <c r="AI335" s="2372"/>
      <c r="AJ335" s="2372"/>
      <c r="AK335" s="2372"/>
      <c r="AL335" s="2372"/>
      <c r="AM335" s="2372"/>
      <c r="AN335" s="2372"/>
      <c r="AO335" s="2372"/>
      <c r="AP335" s="2372"/>
      <c r="AQ335" s="2372"/>
      <c r="AR335" s="2372"/>
      <c r="AS335" s="2372"/>
      <c r="AT335" s="2372"/>
      <c r="AU335" s="2372"/>
      <c r="AV335" s="2372"/>
      <c r="AW335" s="2372"/>
      <c r="AX335" s="2372"/>
      <c r="AY335" s="2372"/>
      <c r="AZ335" s="2372"/>
      <c r="BA335" s="2372"/>
      <c r="BB335" s="2372"/>
      <c r="BC335" s="2372"/>
      <c r="BD335" s="2372"/>
      <c r="BE335" s="2372"/>
      <c r="BF335" s="2372"/>
      <c r="BG335" s="2372"/>
      <c r="BH335" s="2372"/>
      <c r="BI335" s="2372"/>
      <c r="BJ335" s="2372"/>
      <c r="BK335" s="2372"/>
      <c r="BL335" s="2372"/>
      <c r="BM335" s="2372"/>
      <c r="BN335" s="2372"/>
      <c r="BO335" s="2372"/>
      <c r="BP335" s="2372"/>
      <c r="BQ335" s="2372"/>
      <c r="BR335" s="2372"/>
      <c r="BS335" s="2372"/>
      <c r="BT335" s="2372"/>
      <c r="BU335" s="2372"/>
      <c r="BV335" s="2372"/>
      <c r="BW335" s="2372"/>
      <c r="BX335" s="2372"/>
      <c r="BY335" s="2372"/>
      <c r="BZ335" s="2372"/>
      <c r="CA335" s="2372"/>
      <c r="CB335" s="2372"/>
      <c r="CC335" s="2372"/>
      <c r="CD335" s="2372"/>
      <c r="CE335" s="2372"/>
      <c r="CF335" s="2372"/>
      <c r="CG335" s="2372"/>
      <c r="CH335" s="2372"/>
      <c r="CI335" s="2372"/>
      <c r="CJ335" s="2372"/>
      <c r="CK335" s="2372"/>
      <c r="CL335" s="2372"/>
      <c r="CM335" s="2372"/>
      <c r="CN335" s="2372"/>
      <c r="CO335" s="2372"/>
      <c r="CP335" s="2372"/>
      <c r="CQ335" s="2372"/>
      <c r="CR335" s="2372"/>
      <c r="CS335" s="2372"/>
      <c r="CT335" s="2372"/>
      <c r="CU335" s="2372"/>
      <c r="CV335" s="2372"/>
      <c r="CW335" s="2372"/>
      <c r="CX335" s="2372"/>
      <c r="CY335" s="2372"/>
      <c r="CZ335" s="2372"/>
      <c r="DA335" s="2372"/>
    </row>
    <row r="336" spans="1:105" ht="15" hidden="1" customHeight="1">
      <c r="A336" s="2372"/>
      <c r="B336" s="2372"/>
      <c r="U336" s="2372"/>
      <c r="V336" s="2372"/>
      <c r="W336" s="2372"/>
      <c r="X336" s="2372"/>
      <c r="Y336" s="2372"/>
      <c r="Z336" s="2372"/>
      <c r="AA336" s="2372"/>
      <c r="AB336" s="2372"/>
      <c r="AC336" s="2372"/>
      <c r="AD336" s="2372"/>
      <c r="AE336" s="2372"/>
      <c r="AF336" s="2372"/>
      <c r="AG336" s="2372"/>
      <c r="AH336" s="2372"/>
      <c r="AI336" s="2372"/>
      <c r="AJ336" s="2372"/>
      <c r="AK336" s="2372"/>
      <c r="AL336" s="2372"/>
      <c r="AM336" s="2372"/>
      <c r="AN336" s="2372"/>
      <c r="AO336" s="2372"/>
      <c r="AP336" s="2372"/>
      <c r="AQ336" s="2372"/>
      <c r="AR336" s="2372"/>
      <c r="AS336" s="2372"/>
      <c r="AT336" s="2372"/>
      <c r="AU336" s="2372"/>
      <c r="AV336" s="2372"/>
      <c r="AW336" s="2372"/>
      <c r="AX336" s="2372"/>
      <c r="AY336" s="2372"/>
      <c r="AZ336" s="2372"/>
      <c r="BA336" s="2372"/>
      <c r="BB336" s="2372"/>
      <c r="BC336" s="2372"/>
      <c r="BD336" s="2372"/>
      <c r="BE336" s="2372"/>
      <c r="BF336" s="2372"/>
      <c r="BG336" s="2372"/>
      <c r="BH336" s="2372"/>
      <c r="BI336" s="2372"/>
      <c r="BJ336" s="2372"/>
      <c r="BK336" s="2372"/>
      <c r="BL336" s="2372"/>
      <c r="BM336" s="2372"/>
      <c r="BN336" s="2372"/>
      <c r="BO336" s="2372"/>
      <c r="BP336" s="2372"/>
      <c r="BQ336" s="2372"/>
      <c r="BR336" s="2372"/>
      <c r="BS336" s="2372"/>
      <c r="BT336" s="2372"/>
      <c r="BU336" s="2372"/>
      <c r="BV336" s="2372"/>
      <c r="BW336" s="2372"/>
      <c r="BX336" s="2372"/>
      <c r="BY336" s="2372"/>
      <c r="BZ336" s="2372"/>
      <c r="CA336" s="2372"/>
      <c r="CB336" s="2372"/>
      <c r="CC336" s="2372"/>
      <c r="CD336" s="2372"/>
      <c r="CE336" s="2372"/>
      <c r="CF336" s="2372"/>
      <c r="CG336" s="2372"/>
      <c r="CH336" s="2372"/>
      <c r="CI336" s="2372"/>
      <c r="CJ336" s="2372"/>
      <c r="CK336" s="2372"/>
      <c r="CL336" s="2372"/>
      <c r="CM336" s="2372"/>
      <c r="CN336" s="2372"/>
      <c r="CO336" s="2372"/>
      <c r="CP336" s="2372"/>
      <c r="CQ336" s="2372"/>
      <c r="CR336" s="2372"/>
      <c r="CS336" s="2372"/>
      <c r="CT336" s="2372"/>
      <c r="CU336" s="2372"/>
      <c r="CV336" s="2372"/>
      <c r="CW336" s="2372"/>
      <c r="CX336" s="2372"/>
      <c r="CY336" s="2372"/>
      <c r="CZ336" s="2372"/>
      <c r="DA336" s="2372"/>
    </row>
    <row r="337" spans="1:105" ht="3" hidden="1" customHeight="1">
      <c r="A337" s="2372"/>
      <c r="B337" s="2372"/>
      <c r="U337" s="2372"/>
      <c r="V337" s="2372"/>
      <c r="W337" s="2372"/>
      <c r="X337" s="2372"/>
      <c r="Y337" s="2372"/>
      <c r="Z337" s="2372"/>
      <c r="AA337" s="2372"/>
      <c r="AB337" s="2372"/>
      <c r="AC337" s="2372"/>
      <c r="AD337" s="2372"/>
      <c r="AE337" s="2372"/>
      <c r="AF337" s="2372"/>
      <c r="AG337" s="2372"/>
      <c r="AH337" s="2372"/>
      <c r="AI337" s="2372"/>
      <c r="AJ337" s="2372"/>
      <c r="AK337" s="2372"/>
      <c r="AL337" s="2372"/>
      <c r="AM337" s="2372"/>
      <c r="AN337" s="2372"/>
      <c r="AO337" s="2372"/>
      <c r="AP337" s="2372"/>
      <c r="AQ337" s="2372"/>
      <c r="AR337" s="2372"/>
      <c r="AS337" s="2372"/>
      <c r="AT337" s="2372"/>
      <c r="AU337" s="2372"/>
      <c r="AV337" s="2372"/>
      <c r="AW337" s="2372"/>
      <c r="AX337" s="2372"/>
      <c r="AY337" s="2372"/>
      <c r="AZ337" s="2372"/>
      <c r="BA337" s="2372"/>
      <c r="BB337" s="2372"/>
      <c r="BC337" s="2372"/>
      <c r="BD337" s="2372"/>
      <c r="BE337" s="2372"/>
      <c r="BF337" s="2372"/>
      <c r="BG337" s="2372"/>
      <c r="BH337" s="2372"/>
      <c r="BI337" s="2372"/>
      <c r="BJ337" s="2372"/>
      <c r="BK337" s="2372"/>
      <c r="BL337" s="2372"/>
      <c r="BM337" s="2372"/>
      <c r="BN337" s="2372"/>
      <c r="BO337" s="2372"/>
      <c r="BP337" s="2372"/>
      <c r="BQ337" s="2372"/>
      <c r="BR337" s="2372"/>
      <c r="BS337" s="2372"/>
      <c r="BT337" s="2372"/>
      <c r="BU337" s="2372"/>
      <c r="BV337" s="2372"/>
      <c r="BW337" s="2372"/>
      <c r="BX337" s="2372"/>
      <c r="BY337" s="2372"/>
      <c r="BZ337" s="2372"/>
      <c r="CA337" s="2372"/>
      <c r="CB337" s="2372"/>
      <c r="CC337" s="2372"/>
      <c r="CD337" s="2372"/>
      <c r="CE337" s="2372"/>
      <c r="CF337" s="2372"/>
      <c r="CG337" s="2372"/>
      <c r="CH337" s="2372"/>
      <c r="CI337" s="2372"/>
      <c r="CJ337" s="2372"/>
      <c r="CK337" s="2372"/>
      <c r="CL337" s="2372"/>
      <c r="CM337" s="2372"/>
      <c r="CN337" s="2372"/>
      <c r="CO337" s="2372"/>
      <c r="CP337" s="2372"/>
      <c r="CQ337" s="2372"/>
      <c r="CR337" s="2372"/>
      <c r="CS337" s="2372"/>
      <c r="CT337" s="2372"/>
      <c r="CU337" s="2372"/>
      <c r="CV337" s="2372"/>
      <c r="CW337" s="2372"/>
      <c r="CX337" s="2372"/>
      <c r="CY337" s="2372"/>
      <c r="CZ337" s="2372"/>
      <c r="DA337" s="2372"/>
    </row>
    <row r="338" spans="1:105" ht="15" hidden="1" customHeight="1">
      <c r="A338" s="2372"/>
      <c r="B338" s="2372"/>
      <c r="U338" s="2372"/>
      <c r="V338" s="2372"/>
      <c r="W338" s="2372"/>
      <c r="X338" s="2372"/>
      <c r="Y338" s="2372"/>
      <c r="Z338" s="2372"/>
      <c r="AA338" s="2372"/>
      <c r="AB338" s="2372"/>
      <c r="AC338" s="2372"/>
      <c r="AD338" s="2372"/>
      <c r="AE338" s="2372"/>
      <c r="AF338" s="2372"/>
      <c r="AG338" s="2372"/>
      <c r="AH338" s="2372"/>
      <c r="AI338" s="2372"/>
      <c r="AJ338" s="2372"/>
      <c r="AK338" s="2372"/>
      <c r="AL338" s="2372"/>
      <c r="AM338" s="2372"/>
      <c r="AN338" s="2372"/>
      <c r="AO338" s="2372"/>
      <c r="AP338" s="2372"/>
      <c r="AQ338" s="2372"/>
      <c r="AR338" s="2372"/>
      <c r="AS338" s="2372"/>
      <c r="AT338" s="2372"/>
      <c r="AU338" s="2372"/>
      <c r="AV338" s="2372"/>
      <c r="AW338" s="2372"/>
      <c r="AX338" s="2372"/>
      <c r="AY338" s="2372"/>
      <c r="AZ338" s="2372"/>
      <c r="BA338" s="2372"/>
      <c r="BB338" s="2372"/>
      <c r="BC338" s="2372"/>
      <c r="BD338" s="2372"/>
      <c r="BE338" s="2372"/>
      <c r="BF338" s="2372"/>
      <c r="BG338" s="2372"/>
      <c r="BH338" s="2372"/>
      <c r="BI338" s="2372"/>
      <c r="BJ338" s="2372"/>
      <c r="BK338" s="2372"/>
      <c r="BL338" s="2372"/>
      <c r="BM338" s="2372"/>
      <c r="BN338" s="2372"/>
      <c r="BO338" s="2372"/>
      <c r="BP338" s="2372"/>
      <c r="BQ338" s="2372"/>
      <c r="BR338" s="2372"/>
      <c r="BS338" s="2372"/>
      <c r="BT338" s="2372"/>
      <c r="BU338" s="2372"/>
      <c r="BV338" s="2372"/>
      <c r="BW338" s="2372"/>
      <c r="BX338" s="2372"/>
      <c r="BY338" s="2372"/>
      <c r="BZ338" s="2372"/>
      <c r="CA338" s="2372"/>
      <c r="CB338" s="2372"/>
      <c r="CC338" s="2372"/>
      <c r="CD338" s="2372"/>
      <c r="CE338" s="2372"/>
      <c r="CF338" s="2372"/>
      <c r="CG338" s="2372"/>
      <c r="CH338" s="2372"/>
      <c r="CI338" s="2372"/>
      <c r="CJ338" s="2372"/>
      <c r="CK338" s="2372"/>
      <c r="CL338" s="2372"/>
      <c r="CM338" s="2372"/>
      <c r="CN338" s="2372"/>
      <c r="CO338" s="2372"/>
      <c r="CP338" s="2372"/>
      <c r="CQ338" s="2372"/>
      <c r="CR338" s="2372"/>
      <c r="CS338" s="2372"/>
      <c r="CT338" s="2372"/>
      <c r="CU338" s="2372"/>
      <c r="CV338" s="2372"/>
      <c r="CW338" s="2372"/>
      <c r="CX338" s="2372"/>
      <c r="CY338" s="2372"/>
      <c r="CZ338" s="2372"/>
      <c r="DA338" s="2372"/>
    </row>
    <row r="339" spans="1:105" ht="3" hidden="1" customHeight="1">
      <c r="A339" s="2372"/>
      <c r="B339" s="2372"/>
      <c r="U339" s="2372"/>
      <c r="V339" s="2372"/>
      <c r="W339" s="2372"/>
      <c r="X339" s="2372"/>
      <c r="Y339" s="2372"/>
      <c r="Z339" s="2372"/>
      <c r="AA339" s="2372"/>
      <c r="AB339" s="2372"/>
      <c r="AC339" s="2372"/>
      <c r="AD339" s="2372"/>
      <c r="AE339" s="2372"/>
      <c r="AF339" s="2372"/>
      <c r="AG339" s="2372"/>
      <c r="AH339" s="2372"/>
      <c r="AI339" s="2372"/>
      <c r="AJ339" s="2372"/>
      <c r="AK339" s="2372"/>
      <c r="AL339" s="2372"/>
      <c r="AM339" s="2372"/>
      <c r="AN339" s="2372"/>
      <c r="AO339" s="2372"/>
      <c r="AP339" s="2372"/>
      <c r="AQ339" s="2372"/>
      <c r="AR339" s="2372"/>
      <c r="AS339" s="2372"/>
      <c r="AT339" s="2372"/>
      <c r="AU339" s="2372"/>
      <c r="AV339" s="2372"/>
      <c r="AW339" s="2372"/>
      <c r="AX339" s="2372"/>
      <c r="AY339" s="2372"/>
      <c r="AZ339" s="2372"/>
      <c r="BA339" s="2372"/>
      <c r="BB339" s="2372"/>
      <c r="BC339" s="2372"/>
      <c r="BD339" s="2372"/>
      <c r="BE339" s="2372"/>
      <c r="BF339" s="2372"/>
      <c r="BG339" s="2372"/>
      <c r="BH339" s="2372"/>
      <c r="BI339" s="2372"/>
      <c r="BJ339" s="2372"/>
      <c r="BK339" s="2372"/>
      <c r="BL339" s="2372"/>
      <c r="BM339" s="2372"/>
      <c r="BN339" s="2372"/>
      <c r="BO339" s="2372"/>
      <c r="BP339" s="2372"/>
      <c r="BQ339" s="2372"/>
      <c r="BR339" s="2372"/>
      <c r="BS339" s="2372"/>
      <c r="BT339" s="2372"/>
      <c r="BU339" s="2372"/>
      <c r="BV339" s="2372"/>
      <c r="BW339" s="2372"/>
      <c r="BX339" s="2372"/>
      <c r="BY339" s="2372"/>
      <c r="BZ339" s="2372"/>
      <c r="CA339" s="2372"/>
      <c r="CB339" s="2372"/>
      <c r="CC339" s="2372"/>
      <c r="CD339" s="2372"/>
      <c r="CE339" s="2372"/>
      <c r="CF339" s="2372"/>
      <c r="CG339" s="2372"/>
      <c r="CH339" s="2372"/>
      <c r="CI339" s="2372"/>
      <c r="CJ339" s="2372"/>
      <c r="CK339" s="2372"/>
      <c r="CL339" s="2372"/>
      <c r="CM339" s="2372"/>
      <c r="CN339" s="2372"/>
      <c r="CO339" s="2372"/>
      <c r="CP339" s="2372"/>
      <c r="CQ339" s="2372"/>
      <c r="CR339" s="2372"/>
      <c r="CS339" s="2372"/>
      <c r="CT339" s="2372"/>
      <c r="CU339" s="2372"/>
      <c r="CV339" s="2372"/>
      <c r="CW339" s="2372"/>
      <c r="CX339" s="2372"/>
      <c r="CY339" s="2372"/>
      <c r="CZ339" s="2372"/>
      <c r="DA339" s="2372"/>
    </row>
    <row r="340" spans="1:105" ht="15" hidden="1" customHeight="1">
      <c r="A340" s="2372"/>
      <c r="B340" s="2372"/>
      <c r="U340" s="2372"/>
      <c r="V340" s="2372"/>
      <c r="W340" s="2372"/>
      <c r="X340" s="2372"/>
      <c r="Y340" s="2372"/>
      <c r="Z340" s="2372"/>
      <c r="AA340" s="2372"/>
      <c r="AB340" s="2372"/>
      <c r="AC340" s="2372"/>
      <c r="AD340" s="2372"/>
      <c r="AE340" s="2372"/>
      <c r="AF340" s="2372"/>
      <c r="AG340" s="2372"/>
      <c r="AH340" s="2372"/>
      <c r="AI340" s="2372"/>
      <c r="AJ340" s="2372"/>
      <c r="AK340" s="2372"/>
      <c r="AL340" s="2372"/>
      <c r="AM340" s="2372"/>
      <c r="AN340" s="2372"/>
      <c r="AO340" s="2372"/>
      <c r="AP340" s="2372"/>
      <c r="AQ340" s="2372"/>
      <c r="AR340" s="2372"/>
      <c r="AS340" s="2372"/>
      <c r="AT340" s="2372"/>
      <c r="AU340" s="2372"/>
      <c r="AV340" s="2372"/>
      <c r="AW340" s="2372"/>
      <c r="AX340" s="2372"/>
      <c r="AY340" s="2372"/>
      <c r="AZ340" s="2372"/>
      <c r="BA340" s="2372"/>
      <c r="BB340" s="2372"/>
      <c r="BC340" s="2372"/>
      <c r="BD340" s="2372"/>
      <c r="BE340" s="2372"/>
      <c r="BF340" s="2372"/>
      <c r="BG340" s="2372"/>
      <c r="BH340" s="2372"/>
      <c r="BI340" s="2372"/>
      <c r="BJ340" s="2372"/>
      <c r="BK340" s="2372"/>
      <c r="BL340" s="2372"/>
      <c r="BM340" s="2372"/>
      <c r="BN340" s="2372"/>
      <c r="BO340" s="2372"/>
      <c r="BP340" s="2372"/>
      <c r="BQ340" s="2372"/>
      <c r="BR340" s="2372"/>
      <c r="BS340" s="2372"/>
      <c r="BT340" s="2372"/>
      <c r="BU340" s="2372"/>
      <c r="BV340" s="2372"/>
      <c r="BW340" s="2372"/>
      <c r="BX340" s="2372"/>
      <c r="BY340" s="2372"/>
      <c r="BZ340" s="2372"/>
      <c r="CA340" s="2372"/>
      <c r="CB340" s="2372"/>
      <c r="CC340" s="2372"/>
      <c r="CD340" s="2372"/>
      <c r="CE340" s="2372"/>
      <c r="CF340" s="2372"/>
      <c r="CG340" s="2372"/>
      <c r="CH340" s="2372"/>
      <c r="CI340" s="2372"/>
      <c r="CJ340" s="2372"/>
      <c r="CK340" s="2372"/>
      <c r="CL340" s="2372"/>
      <c r="CM340" s="2372"/>
      <c r="CN340" s="2372"/>
      <c r="CO340" s="2372"/>
      <c r="CP340" s="2372"/>
      <c r="CQ340" s="2372"/>
      <c r="CR340" s="2372"/>
      <c r="CS340" s="2372"/>
      <c r="CT340" s="2372"/>
      <c r="CU340" s="2372"/>
      <c r="CV340" s="2372"/>
      <c r="CW340" s="2372"/>
      <c r="CX340" s="2372"/>
      <c r="CY340" s="2372"/>
      <c r="CZ340" s="2372"/>
      <c r="DA340" s="2372"/>
    </row>
    <row r="341" spans="1:105" ht="3" hidden="1" customHeight="1">
      <c r="A341" s="2372"/>
      <c r="B341" s="2372"/>
      <c r="U341" s="2372"/>
      <c r="V341" s="2372"/>
      <c r="W341" s="2372"/>
      <c r="X341" s="2372"/>
      <c r="Y341" s="2372"/>
      <c r="Z341" s="2372"/>
      <c r="AA341" s="2372"/>
      <c r="AB341" s="2372"/>
      <c r="AC341" s="2372"/>
      <c r="AD341" s="2372"/>
      <c r="AE341" s="2372"/>
      <c r="AF341" s="2372"/>
      <c r="AG341" s="2372"/>
      <c r="AH341" s="2372"/>
      <c r="AI341" s="2372"/>
      <c r="AJ341" s="2372"/>
      <c r="AK341" s="2372"/>
      <c r="AL341" s="2372"/>
      <c r="AM341" s="2372"/>
      <c r="AN341" s="2372"/>
      <c r="AO341" s="2372"/>
      <c r="AP341" s="2372"/>
      <c r="AQ341" s="2372"/>
      <c r="AR341" s="2372"/>
      <c r="AS341" s="2372"/>
      <c r="AT341" s="2372"/>
      <c r="AU341" s="2372"/>
      <c r="AV341" s="2372"/>
      <c r="AW341" s="2372"/>
      <c r="AX341" s="2372"/>
      <c r="AY341" s="2372"/>
      <c r="AZ341" s="2372"/>
      <c r="BA341" s="2372"/>
      <c r="BB341" s="2372"/>
      <c r="BC341" s="2372"/>
      <c r="BD341" s="2372"/>
      <c r="BE341" s="2372"/>
      <c r="BF341" s="2372"/>
      <c r="BG341" s="2372"/>
      <c r="BH341" s="2372"/>
      <c r="BI341" s="2372"/>
      <c r="BJ341" s="2372"/>
      <c r="BK341" s="2372"/>
      <c r="BL341" s="2372"/>
      <c r="BM341" s="2372"/>
      <c r="BN341" s="2372"/>
      <c r="BO341" s="2372"/>
      <c r="BP341" s="2372"/>
      <c r="BQ341" s="2372"/>
      <c r="BR341" s="2372"/>
      <c r="BS341" s="2372"/>
      <c r="BT341" s="2372"/>
      <c r="BU341" s="2372"/>
      <c r="BV341" s="2372"/>
      <c r="BW341" s="2372"/>
      <c r="BX341" s="2372"/>
      <c r="BY341" s="2372"/>
      <c r="BZ341" s="2372"/>
      <c r="CA341" s="2372"/>
      <c r="CB341" s="2372"/>
      <c r="CC341" s="2372"/>
      <c r="CD341" s="2372"/>
      <c r="CE341" s="2372"/>
      <c r="CF341" s="2372"/>
      <c r="CG341" s="2372"/>
      <c r="CH341" s="2372"/>
      <c r="CI341" s="2372"/>
      <c r="CJ341" s="2372"/>
      <c r="CK341" s="2372"/>
      <c r="CL341" s="2372"/>
      <c r="CM341" s="2372"/>
      <c r="CN341" s="2372"/>
      <c r="CO341" s="2372"/>
      <c r="CP341" s="2372"/>
      <c r="CQ341" s="2372"/>
      <c r="CR341" s="2372"/>
      <c r="CS341" s="2372"/>
      <c r="CT341" s="2372"/>
      <c r="CU341" s="2372"/>
      <c r="CV341" s="2372"/>
      <c r="CW341" s="2372"/>
      <c r="CX341" s="2372"/>
      <c r="CY341" s="2372"/>
      <c r="CZ341" s="2372"/>
      <c r="DA341" s="2372"/>
    </row>
    <row r="342" spans="1:105" ht="15" hidden="1" customHeight="1">
      <c r="A342" s="2372"/>
      <c r="B342" s="2372"/>
      <c r="U342" s="2372"/>
      <c r="V342" s="2372"/>
      <c r="W342" s="2372"/>
      <c r="X342" s="2372"/>
      <c r="Y342" s="2372"/>
      <c r="Z342" s="2372"/>
      <c r="AA342" s="2372"/>
      <c r="AB342" s="2372"/>
      <c r="AC342" s="2372"/>
      <c r="AD342" s="2372"/>
      <c r="AE342" s="2372"/>
      <c r="AF342" s="2372"/>
      <c r="AG342" s="2372"/>
      <c r="AH342" s="2372"/>
      <c r="AI342" s="2372"/>
      <c r="AJ342" s="2372"/>
      <c r="AK342" s="2372"/>
      <c r="AL342" s="2372"/>
      <c r="AM342" s="2372"/>
      <c r="AN342" s="2372"/>
      <c r="AO342" s="2372"/>
      <c r="AP342" s="2372"/>
      <c r="AQ342" s="2372"/>
      <c r="AR342" s="2372"/>
      <c r="AS342" s="2372"/>
      <c r="AT342" s="2372"/>
      <c r="AU342" s="2372"/>
      <c r="AV342" s="2372"/>
      <c r="AW342" s="2372"/>
      <c r="AX342" s="2372"/>
      <c r="AY342" s="2372"/>
      <c r="AZ342" s="2372"/>
      <c r="BA342" s="2372"/>
      <c r="BB342" s="2372"/>
      <c r="BC342" s="2372"/>
      <c r="BD342" s="2372"/>
      <c r="BE342" s="2372"/>
      <c r="BF342" s="2372"/>
      <c r="BG342" s="2372"/>
      <c r="BH342" s="2372"/>
      <c r="BI342" s="2372"/>
      <c r="BJ342" s="2372"/>
      <c r="BK342" s="2372"/>
      <c r="BL342" s="2372"/>
      <c r="BM342" s="2372"/>
      <c r="BN342" s="2372"/>
      <c r="BO342" s="2372"/>
      <c r="BP342" s="2372"/>
      <c r="BQ342" s="2372"/>
      <c r="BR342" s="2372"/>
      <c r="BS342" s="2372"/>
      <c r="BT342" s="2372"/>
      <c r="BU342" s="2372"/>
      <c r="BV342" s="2372"/>
      <c r="BW342" s="2372"/>
      <c r="BX342" s="2372"/>
      <c r="BY342" s="2372"/>
      <c r="BZ342" s="2372"/>
      <c r="CA342" s="2372"/>
      <c r="CB342" s="2372"/>
      <c r="CC342" s="2372"/>
      <c r="CD342" s="2372"/>
      <c r="CE342" s="2372"/>
      <c r="CF342" s="2372"/>
      <c r="CG342" s="2372"/>
      <c r="CH342" s="2372"/>
      <c r="CI342" s="2372"/>
      <c r="CJ342" s="2372"/>
      <c r="CK342" s="2372"/>
      <c r="CL342" s="2372"/>
      <c r="CM342" s="2372"/>
      <c r="CN342" s="2372"/>
      <c r="CO342" s="2372"/>
      <c r="CP342" s="2372"/>
      <c r="CQ342" s="2372"/>
      <c r="CR342" s="2372"/>
      <c r="CS342" s="2372"/>
      <c r="CT342" s="2372"/>
      <c r="CU342" s="2372"/>
      <c r="CV342" s="2372"/>
      <c r="CW342" s="2372"/>
      <c r="CX342" s="2372"/>
      <c r="CY342" s="2372"/>
      <c r="CZ342" s="2372"/>
      <c r="DA342" s="2372"/>
    </row>
    <row r="343" spans="1:105" ht="3" hidden="1" customHeight="1">
      <c r="A343" s="2372"/>
      <c r="B343" s="2372"/>
      <c r="U343" s="2372"/>
      <c r="V343" s="2372"/>
      <c r="W343" s="2372"/>
      <c r="X343" s="2372"/>
      <c r="Y343" s="2372"/>
      <c r="Z343" s="2372"/>
      <c r="AA343" s="2372"/>
      <c r="AB343" s="2372"/>
      <c r="AC343" s="2372"/>
      <c r="AD343" s="2372"/>
      <c r="AE343" s="2372"/>
      <c r="AF343" s="2372"/>
      <c r="AG343" s="2372"/>
      <c r="AH343" s="2372"/>
      <c r="AI343" s="2372"/>
      <c r="AJ343" s="2372"/>
      <c r="AK343" s="2372"/>
      <c r="AL343" s="2372"/>
      <c r="AM343" s="2372"/>
      <c r="AN343" s="2372"/>
      <c r="AO343" s="2372"/>
      <c r="AP343" s="2372"/>
      <c r="AQ343" s="2372"/>
      <c r="AR343" s="2372"/>
      <c r="AS343" s="2372"/>
      <c r="AT343" s="2372"/>
      <c r="AU343" s="2372"/>
      <c r="AV343" s="2372"/>
      <c r="AW343" s="2372"/>
      <c r="AX343" s="2372"/>
      <c r="AY343" s="2372"/>
      <c r="AZ343" s="2372"/>
      <c r="BA343" s="2372"/>
      <c r="BB343" s="2372"/>
      <c r="BC343" s="2372"/>
      <c r="BD343" s="2372"/>
      <c r="BE343" s="2372"/>
      <c r="BF343" s="2372"/>
      <c r="BG343" s="2372"/>
      <c r="BH343" s="2372"/>
      <c r="BI343" s="2372"/>
      <c r="BJ343" s="2372"/>
      <c r="BK343" s="2372"/>
      <c r="BL343" s="2372"/>
      <c r="BM343" s="2372"/>
      <c r="BN343" s="2372"/>
      <c r="BO343" s="2372"/>
      <c r="BP343" s="2372"/>
      <c r="BQ343" s="2372"/>
      <c r="BR343" s="2372"/>
      <c r="BS343" s="2372"/>
      <c r="BT343" s="2372"/>
      <c r="BU343" s="2372"/>
      <c r="BV343" s="2372"/>
      <c r="BW343" s="2372"/>
      <c r="BX343" s="2372"/>
      <c r="BY343" s="2372"/>
      <c r="BZ343" s="2372"/>
      <c r="CA343" s="2372"/>
      <c r="CB343" s="2372"/>
      <c r="CC343" s="2372"/>
      <c r="CD343" s="2372"/>
      <c r="CE343" s="2372"/>
      <c r="CF343" s="2372"/>
      <c r="CG343" s="2372"/>
      <c r="CH343" s="2372"/>
      <c r="CI343" s="2372"/>
      <c r="CJ343" s="2372"/>
      <c r="CK343" s="2372"/>
      <c r="CL343" s="2372"/>
      <c r="CM343" s="2372"/>
      <c r="CN343" s="2372"/>
      <c r="CO343" s="2372"/>
      <c r="CP343" s="2372"/>
      <c r="CQ343" s="2372"/>
      <c r="CR343" s="2372"/>
      <c r="CS343" s="2372"/>
      <c r="CT343" s="2372"/>
      <c r="CU343" s="2372"/>
      <c r="CV343" s="2372"/>
      <c r="CW343" s="2372"/>
      <c r="CX343" s="2372"/>
      <c r="CY343" s="2372"/>
      <c r="CZ343" s="2372"/>
      <c r="DA343" s="2372"/>
    </row>
    <row r="344" spans="1:105" ht="15" hidden="1" customHeight="1">
      <c r="A344" s="2372"/>
      <c r="B344" s="2372"/>
      <c r="U344" s="2372"/>
      <c r="V344" s="2372"/>
      <c r="W344" s="2372"/>
      <c r="X344" s="2372"/>
      <c r="Y344" s="2372"/>
      <c r="Z344" s="2372"/>
      <c r="AA344" s="2372"/>
      <c r="AB344" s="2372"/>
      <c r="AC344" s="2372"/>
      <c r="AD344" s="2372"/>
      <c r="AE344" s="2372"/>
      <c r="AF344" s="2372"/>
      <c r="AG344" s="2372"/>
      <c r="AH344" s="2372"/>
      <c r="AI344" s="2372"/>
      <c r="AJ344" s="2372"/>
      <c r="AK344" s="2372"/>
      <c r="AL344" s="2372"/>
      <c r="AM344" s="2372"/>
      <c r="AN344" s="2372"/>
      <c r="AO344" s="2372"/>
      <c r="AP344" s="2372"/>
      <c r="AQ344" s="2372"/>
      <c r="AR344" s="2372"/>
      <c r="AS344" s="2372"/>
      <c r="AT344" s="2372"/>
      <c r="AU344" s="2372"/>
      <c r="AV344" s="2372"/>
      <c r="AW344" s="2372"/>
      <c r="AX344" s="2372"/>
      <c r="AY344" s="2372"/>
      <c r="AZ344" s="2372"/>
      <c r="BA344" s="2372"/>
      <c r="BB344" s="2372"/>
      <c r="BC344" s="2372"/>
      <c r="BD344" s="2372"/>
      <c r="BE344" s="2372"/>
      <c r="BF344" s="2372"/>
      <c r="BG344" s="2372"/>
      <c r="BH344" s="2372"/>
      <c r="BI344" s="2372"/>
      <c r="BJ344" s="2372"/>
      <c r="BK344" s="2372"/>
      <c r="BL344" s="2372"/>
      <c r="BM344" s="2372"/>
      <c r="BN344" s="2372"/>
      <c r="BO344" s="2372"/>
      <c r="BP344" s="2372"/>
      <c r="BQ344" s="2372"/>
      <c r="BR344" s="2372"/>
      <c r="BS344" s="2372"/>
      <c r="BT344" s="2372"/>
      <c r="BU344" s="2372"/>
      <c r="BV344" s="2372"/>
      <c r="BW344" s="2372"/>
      <c r="BX344" s="2372"/>
      <c r="BY344" s="2372"/>
      <c r="BZ344" s="2372"/>
      <c r="CA344" s="2372"/>
      <c r="CB344" s="2372"/>
      <c r="CC344" s="2372"/>
      <c r="CD344" s="2372"/>
      <c r="CE344" s="2372"/>
      <c r="CF344" s="2372"/>
      <c r="CG344" s="2372"/>
      <c r="CH344" s="2372"/>
      <c r="CI344" s="2372"/>
      <c r="CJ344" s="2372"/>
      <c r="CK344" s="2372"/>
      <c r="CL344" s="2372"/>
      <c r="CM344" s="2372"/>
      <c r="CN344" s="2372"/>
      <c r="CO344" s="2372"/>
      <c r="CP344" s="2372"/>
      <c r="CQ344" s="2372"/>
      <c r="CR344" s="2372"/>
      <c r="CS344" s="2372"/>
      <c r="CT344" s="2372"/>
      <c r="CU344" s="2372"/>
      <c r="CV344" s="2372"/>
      <c r="CW344" s="2372"/>
      <c r="CX344" s="2372"/>
      <c r="CY344" s="2372"/>
      <c r="CZ344" s="2372"/>
      <c r="DA344" s="2372"/>
    </row>
    <row r="345" spans="1:105" ht="3" hidden="1" customHeight="1">
      <c r="A345" s="2372"/>
      <c r="B345" s="2372"/>
      <c r="U345" s="2372"/>
      <c r="V345" s="2372"/>
      <c r="W345" s="2372"/>
      <c r="X345" s="2372"/>
      <c r="Y345" s="2372"/>
      <c r="Z345" s="2372"/>
      <c r="AA345" s="2372"/>
      <c r="AB345" s="2372"/>
      <c r="AC345" s="2372"/>
      <c r="AD345" s="2372"/>
      <c r="AE345" s="2372"/>
      <c r="AF345" s="2372"/>
      <c r="AG345" s="2372"/>
      <c r="AH345" s="2372"/>
      <c r="AI345" s="2372"/>
      <c r="AJ345" s="2372"/>
      <c r="AK345" s="2372"/>
      <c r="AL345" s="2372"/>
      <c r="AM345" s="2372"/>
      <c r="AN345" s="2372"/>
      <c r="AO345" s="2372"/>
      <c r="AP345" s="2372"/>
      <c r="AQ345" s="2372"/>
      <c r="AR345" s="2372"/>
      <c r="AS345" s="2372"/>
      <c r="AT345" s="2372"/>
      <c r="AU345" s="2372"/>
      <c r="AV345" s="2372"/>
      <c r="AW345" s="2372"/>
      <c r="AX345" s="2372"/>
      <c r="AY345" s="2372"/>
      <c r="AZ345" s="2372"/>
      <c r="BA345" s="2372"/>
      <c r="BB345" s="2372"/>
      <c r="BC345" s="2372"/>
      <c r="BD345" s="2372"/>
      <c r="BE345" s="2372"/>
      <c r="BF345" s="2372"/>
      <c r="BG345" s="2372"/>
      <c r="BH345" s="2372"/>
      <c r="BI345" s="2372"/>
      <c r="BJ345" s="2372"/>
      <c r="BK345" s="2372"/>
      <c r="BL345" s="2372"/>
      <c r="BM345" s="2372"/>
      <c r="BN345" s="2372"/>
      <c r="BO345" s="2372"/>
      <c r="BP345" s="2372"/>
      <c r="BQ345" s="2372"/>
      <c r="BR345" s="2372"/>
      <c r="BS345" s="2372"/>
      <c r="BT345" s="2372"/>
      <c r="BU345" s="2372"/>
      <c r="BV345" s="2372"/>
      <c r="BW345" s="2372"/>
      <c r="BX345" s="2372"/>
      <c r="BY345" s="2372"/>
      <c r="BZ345" s="2372"/>
      <c r="CA345" s="2372"/>
      <c r="CB345" s="2372"/>
      <c r="CC345" s="2372"/>
      <c r="CD345" s="2372"/>
      <c r="CE345" s="2372"/>
      <c r="CF345" s="2372"/>
      <c r="CG345" s="2372"/>
      <c r="CH345" s="2372"/>
      <c r="CI345" s="2372"/>
      <c r="CJ345" s="2372"/>
      <c r="CK345" s="2372"/>
      <c r="CL345" s="2372"/>
      <c r="CM345" s="2372"/>
      <c r="CN345" s="2372"/>
      <c r="CO345" s="2372"/>
      <c r="CP345" s="2372"/>
      <c r="CQ345" s="2372"/>
      <c r="CR345" s="2372"/>
      <c r="CS345" s="2372"/>
      <c r="CT345" s="2372"/>
      <c r="CU345" s="2372"/>
      <c r="CV345" s="2372"/>
      <c r="CW345" s="2372"/>
      <c r="CX345" s="2372"/>
      <c r="CY345" s="2372"/>
      <c r="CZ345" s="2372"/>
      <c r="DA345" s="2372"/>
    </row>
    <row r="346" spans="1:105" ht="15" hidden="1" customHeight="1">
      <c r="A346" s="2372"/>
      <c r="B346" s="2372"/>
      <c r="U346" s="2372"/>
      <c r="V346" s="2372"/>
      <c r="W346" s="2372"/>
      <c r="X346" s="2372"/>
      <c r="Y346" s="2372"/>
      <c r="Z346" s="2372"/>
      <c r="AA346" s="2372"/>
      <c r="AB346" s="2372"/>
      <c r="AC346" s="2372"/>
      <c r="AD346" s="2372"/>
      <c r="AE346" s="2372"/>
      <c r="AF346" s="2372"/>
      <c r="AG346" s="2372"/>
      <c r="AH346" s="2372"/>
      <c r="AI346" s="2372"/>
      <c r="AJ346" s="2372"/>
      <c r="AK346" s="2372"/>
      <c r="AL346" s="2372"/>
      <c r="AM346" s="2372"/>
      <c r="AN346" s="2372"/>
      <c r="AO346" s="2372"/>
      <c r="AP346" s="2372"/>
      <c r="AQ346" s="2372"/>
      <c r="AR346" s="2372"/>
      <c r="AS346" s="2372"/>
      <c r="AT346" s="2372"/>
      <c r="AU346" s="2372"/>
      <c r="AV346" s="2372"/>
      <c r="AW346" s="2372"/>
      <c r="AX346" s="2372"/>
      <c r="AY346" s="2372"/>
      <c r="AZ346" s="2372"/>
      <c r="BA346" s="2372"/>
      <c r="BB346" s="2372"/>
      <c r="BC346" s="2372"/>
      <c r="BD346" s="2372"/>
      <c r="BE346" s="2372"/>
      <c r="BF346" s="2372"/>
      <c r="BG346" s="2372"/>
      <c r="BH346" s="2372"/>
      <c r="BI346" s="2372"/>
      <c r="BJ346" s="2372"/>
      <c r="BK346" s="2372"/>
      <c r="BL346" s="2372"/>
      <c r="BM346" s="2372"/>
      <c r="BN346" s="2372"/>
      <c r="BO346" s="2372"/>
      <c r="BP346" s="2372"/>
      <c r="BQ346" s="2372"/>
      <c r="BR346" s="2372"/>
      <c r="BS346" s="2372"/>
      <c r="BT346" s="2372"/>
      <c r="BU346" s="2372"/>
      <c r="BV346" s="2372"/>
      <c r="BW346" s="2372"/>
      <c r="BX346" s="2372"/>
      <c r="BY346" s="2372"/>
      <c r="BZ346" s="2372"/>
      <c r="CA346" s="2372"/>
      <c r="CB346" s="2372"/>
      <c r="CC346" s="2372"/>
      <c r="CD346" s="2372"/>
      <c r="CE346" s="2372"/>
      <c r="CF346" s="2372"/>
      <c r="CG346" s="2372"/>
      <c r="CH346" s="2372"/>
      <c r="CI346" s="2372"/>
      <c r="CJ346" s="2372"/>
      <c r="CK346" s="2372"/>
      <c r="CL346" s="2372"/>
      <c r="CM346" s="2372"/>
      <c r="CN346" s="2372"/>
      <c r="CO346" s="2372"/>
      <c r="CP346" s="2372"/>
      <c r="CQ346" s="2372"/>
      <c r="CR346" s="2372"/>
      <c r="CS346" s="2372"/>
      <c r="CT346" s="2372"/>
      <c r="CU346" s="2372"/>
      <c r="CV346" s="2372"/>
      <c r="CW346" s="2372"/>
      <c r="CX346" s="2372"/>
      <c r="CY346" s="2372"/>
      <c r="CZ346" s="2372"/>
      <c r="DA346" s="2372"/>
    </row>
    <row r="347" spans="1:105" ht="3" hidden="1" customHeight="1">
      <c r="A347" s="2372"/>
      <c r="B347" s="2372"/>
      <c r="U347" s="2372"/>
      <c r="V347" s="2372"/>
      <c r="W347" s="2372"/>
      <c r="X347" s="2372"/>
      <c r="Y347" s="2372"/>
      <c r="Z347" s="2372"/>
      <c r="AA347" s="2372"/>
      <c r="AB347" s="2372"/>
      <c r="AC347" s="2372"/>
      <c r="AD347" s="2372"/>
      <c r="AE347" s="2372"/>
      <c r="AF347" s="2372"/>
      <c r="AG347" s="2372"/>
      <c r="AH347" s="2372"/>
      <c r="AI347" s="2372"/>
      <c r="AJ347" s="2372"/>
      <c r="AK347" s="2372"/>
      <c r="AL347" s="2372"/>
      <c r="AM347" s="2372"/>
      <c r="AN347" s="2372"/>
      <c r="AO347" s="2372"/>
      <c r="AP347" s="2372"/>
      <c r="AQ347" s="2372"/>
      <c r="AR347" s="2372"/>
      <c r="AS347" s="2372"/>
      <c r="AT347" s="2372"/>
      <c r="AU347" s="2372"/>
      <c r="AV347" s="2372"/>
      <c r="AW347" s="2372"/>
      <c r="AX347" s="2372"/>
      <c r="AY347" s="2372"/>
      <c r="AZ347" s="2372"/>
      <c r="BA347" s="2372"/>
      <c r="BB347" s="2372"/>
      <c r="BC347" s="2372"/>
      <c r="BD347" s="2372"/>
      <c r="BE347" s="2372"/>
      <c r="BF347" s="2372"/>
      <c r="BG347" s="2372"/>
      <c r="BH347" s="2372"/>
      <c r="BI347" s="2372"/>
      <c r="BJ347" s="2372"/>
      <c r="BK347" s="2372"/>
      <c r="BL347" s="2372"/>
      <c r="BM347" s="2372"/>
      <c r="BN347" s="2372"/>
      <c r="BO347" s="2372"/>
      <c r="BP347" s="2372"/>
      <c r="BQ347" s="2372"/>
      <c r="BR347" s="2372"/>
      <c r="BS347" s="2372"/>
      <c r="BT347" s="2372"/>
      <c r="BU347" s="2372"/>
      <c r="BV347" s="2372"/>
      <c r="BW347" s="2372"/>
      <c r="BX347" s="2372"/>
      <c r="BY347" s="2372"/>
      <c r="BZ347" s="2372"/>
      <c r="CA347" s="2372"/>
      <c r="CB347" s="2372"/>
      <c r="CC347" s="2372"/>
      <c r="CD347" s="2372"/>
      <c r="CE347" s="2372"/>
      <c r="CF347" s="2372"/>
      <c r="CG347" s="2372"/>
      <c r="CH347" s="2372"/>
      <c r="CI347" s="2372"/>
      <c r="CJ347" s="2372"/>
      <c r="CK347" s="2372"/>
      <c r="CL347" s="2372"/>
      <c r="CM347" s="2372"/>
      <c r="CN347" s="2372"/>
      <c r="CO347" s="2372"/>
      <c r="CP347" s="2372"/>
      <c r="CQ347" s="2372"/>
      <c r="CR347" s="2372"/>
      <c r="CS347" s="2372"/>
      <c r="CT347" s="2372"/>
      <c r="CU347" s="2372"/>
      <c r="CV347" s="2372"/>
      <c r="CW347" s="2372"/>
      <c r="CX347" s="2372"/>
      <c r="CY347" s="2372"/>
      <c r="CZ347" s="2372"/>
      <c r="DA347" s="2372"/>
    </row>
    <row r="348" spans="1:105" ht="15" hidden="1" customHeight="1">
      <c r="A348" s="2372"/>
      <c r="B348" s="2372"/>
      <c r="U348" s="2372"/>
      <c r="V348" s="2372"/>
      <c r="W348" s="2372"/>
      <c r="X348" s="2372"/>
      <c r="Y348" s="2372"/>
      <c r="Z348" s="2372"/>
      <c r="AA348" s="2372"/>
      <c r="AB348" s="2372"/>
      <c r="AC348" s="2372"/>
      <c r="AD348" s="2372"/>
      <c r="AE348" s="2372"/>
      <c r="AF348" s="2372"/>
      <c r="AG348" s="2372"/>
      <c r="AH348" s="2372"/>
      <c r="AI348" s="2372"/>
      <c r="AJ348" s="2372"/>
      <c r="AK348" s="2372"/>
      <c r="AL348" s="2372"/>
      <c r="AM348" s="2372"/>
      <c r="AN348" s="2372"/>
      <c r="AO348" s="2372"/>
      <c r="AP348" s="2372"/>
      <c r="AQ348" s="2372"/>
      <c r="AR348" s="2372"/>
      <c r="AS348" s="2372"/>
      <c r="AT348" s="2372"/>
      <c r="AU348" s="2372"/>
      <c r="AV348" s="2372"/>
      <c r="AW348" s="2372"/>
      <c r="AX348" s="2372"/>
      <c r="AY348" s="2372"/>
      <c r="AZ348" s="2372"/>
      <c r="BA348" s="2372"/>
      <c r="BB348" s="2372"/>
      <c r="BC348" s="2372"/>
      <c r="BD348" s="2372"/>
      <c r="BE348" s="2372"/>
      <c r="BF348" s="2372"/>
      <c r="BG348" s="2372"/>
      <c r="BH348" s="2372"/>
      <c r="BI348" s="2372"/>
      <c r="BJ348" s="2372"/>
      <c r="BK348" s="2372"/>
      <c r="BL348" s="2372"/>
      <c r="BM348" s="2372"/>
      <c r="BN348" s="2372"/>
      <c r="BO348" s="2372"/>
      <c r="BP348" s="2372"/>
      <c r="BQ348" s="2372"/>
      <c r="BR348" s="2372"/>
      <c r="BS348" s="2372"/>
      <c r="BT348" s="2372"/>
      <c r="BU348" s="2372"/>
      <c r="BV348" s="2372"/>
      <c r="BW348" s="2372"/>
      <c r="BX348" s="2372"/>
      <c r="BY348" s="2372"/>
      <c r="BZ348" s="2372"/>
      <c r="CA348" s="2372"/>
      <c r="CB348" s="2372"/>
      <c r="CC348" s="2372"/>
      <c r="CD348" s="2372"/>
      <c r="CE348" s="2372"/>
      <c r="CF348" s="2372"/>
      <c r="CG348" s="2372"/>
      <c r="CH348" s="2372"/>
      <c r="CI348" s="2372"/>
      <c r="CJ348" s="2372"/>
      <c r="CK348" s="2372"/>
      <c r="CL348" s="2372"/>
      <c r="CM348" s="2372"/>
      <c r="CN348" s="2372"/>
      <c r="CO348" s="2372"/>
      <c r="CP348" s="2372"/>
      <c r="CQ348" s="2372"/>
      <c r="CR348" s="2372"/>
      <c r="CS348" s="2372"/>
      <c r="CT348" s="2372"/>
      <c r="CU348" s="2372"/>
      <c r="CV348" s="2372"/>
      <c r="CW348" s="2372"/>
      <c r="CX348" s="2372"/>
      <c r="CY348" s="2372"/>
      <c r="CZ348" s="2372"/>
      <c r="DA348" s="2372"/>
    </row>
    <row r="349" spans="1:105" ht="3" hidden="1" customHeight="1">
      <c r="A349" s="2372"/>
      <c r="B349" s="2372"/>
      <c r="U349" s="2372"/>
      <c r="V349" s="2372"/>
      <c r="W349" s="2372"/>
      <c r="X349" s="2372"/>
      <c r="Y349" s="2372"/>
      <c r="Z349" s="2372"/>
      <c r="AA349" s="2372"/>
      <c r="AB349" s="2372"/>
      <c r="AC349" s="2372"/>
      <c r="AD349" s="2372"/>
      <c r="AE349" s="2372"/>
      <c r="AF349" s="2372"/>
      <c r="AG349" s="2372"/>
      <c r="AH349" s="2372"/>
      <c r="AI349" s="2372"/>
      <c r="AJ349" s="2372"/>
      <c r="AK349" s="2372"/>
      <c r="AL349" s="2372"/>
      <c r="AM349" s="2372"/>
      <c r="AN349" s="2372"/>
      <c r="AO349" s="2372"/>
      <c r="AP349" s="2372"/>
      <c r="AQ349" s="2372"/>
      <c r="AR349" s="2372"/>
      <c r="AS349" s="2372"/>
      <c r="AT349" s="2372"/>
      <c r="AU349" s="2372"/>
      <c r="AV349" s="2372"/>
      <c r="AW349" s="2372"/>
      <c r="AX349" s="2372"/>
      <c r="AY349" s="2372"/>
      <c r="AZ349" s="2372"/>
      <c r="BA349" s="2372"/>
      <c r="BB349" s="2372"/>
      <c r="BC349" s="2372"/>
      <c r="BD349" s="2372"/>
      <c r="BE349" s="2372"/>
      <c r="BF349" s="2372"/>
      <c r="BG349" s="2372"/>
      <c r="BH349" s="2372"/>
      <c r="BI349" s="2372"/>
      <c r="BJ349" s="2372"/>
      <c r="BK349" s="2372"/>
      <c r="BL349" s="2372"/>
      <c r="BM349" s="2372"/>
      <c r="BN349" s="2372"/>
      <c r="BO349" s="2372"/>
      <c r="BP349" s="2372"/>
      <c r="BQ349" s="2372"/>
      <c r="BR349" s="2372"/>
      <c r="BS349" s="2372"/>
      <c r="BT349" s="2372"/>
      <c r="BU349" s="2372"/>
      <c r="BV349" s="2372"/>
      <c r="BW349" s="2372"/>
      <c r="BX349" s="2372"/>
      <c r="BY349" s="2372"/>
      <c r="BZ349" s="2372"/>
      <c r="CA349" s="2372"/>
      <c r="CB349" s="2372"/>
      <c r="CC349" s="2372"/>
      <c r="CD349" s="2372"/>
      <c r="CE349" s="2372"/>
      <c r="CF349" s="2372"/>
      <c r="CG349" s="2372"/>
      <c r="CH349" s="2372"/>
      <c r="CI349" s="2372"/>
      <c r="CJ349" s="2372"/>
      <c r="CK349" s="2372"/>
      <c r="CL349" s="2372"/>
      <c r="CM349" s="2372"/>
      <c r="CN349" s="2372"/>
      <c r="CO349" s="2372"/>
      <c r="CP349" s="2372"/>
      <c r="CQ349" s="2372"/>
      <c r="CR349" s="2372"/>
      <c r="CS349" s="2372"/>
      <c r="CT349" s="2372"/>
      <c r="CU349" s="2372"/>
      <c r="CV349" s="2372"/>
      <c r="CW349" s="2372"/>
      <c r="CX349" s="2372"/>
      <c r="CY349" s="2372"/>
      <c r="CZ349" s="2372"/>
      <c r="DA349" s="2372"/>
    </row>
    <row r="350" spans="1:105" ht="15" hidden="1" customHeight="1">
      <c r="A350" s="2372"/>
      <c r="B350" s="2372"/>
      <c r="U350" s="2372"/>
      <c r="V350" s="2372"/>
      <c r="W350" s="2372"/>
      <c r="X350" s="2372"/>
      <c r="Y350" s="2372"/>
      <c r="Z350" s="2372"/>
      <c r="AA350" s="2372"/>
      <c r="AB350" s="2372"/>
      <c r="AC350" s="2372"/>
      <c r="AD350" s="2372"/>
      <c r="AE350" s="2372"/>
      <c r="AF350" s="2372"/>
      <c r="AG350" s="2372"/>
      <c r="AH350" s="2372"/>
      <c r="AI350" s="2372"/>
      <c r="AJ350" s="2372"/>
      <c r="AK350" s="2372"/>
      <c r="AL350" s="2372"/>
      <c r="AM350" s="2372"/>
      <c r="AN350" s="2372"/>
      <c r="AO350" s="2372"/>
      <c r="AP350" s="2372"/>
      <c r="AQ350" s="2372"/>
      <c r="AR350" s="2372"/>
      <c r="AS350" s="2372"/>
      <c r="AT350" s="2372"/>
      <c r="AU350" s="2372"/>
      <c r="AV350" s="2372"/>
      <c r="AW350" s="2372"/>
      <c r="AX350" s="2372"/>
      <c r="AY350" s="2372"/>
      <c r="AZ350" s="2372"/>
      <c r="BA350" s="2372"/>
      <c r="BB350" s="2372"/>
      <c r="BC350" s="2372"/>
      <c r="BD350" s="2372"/>
      <c r="BE350" s="2372"/>
      <c r="BF350" s="2372"/>
      <c r="BG350" s="2372"/>
      <c r="BH350" s="2372"/>
      <c r="BI350" s="2372"/>
      <c r="BJ350" s="2372"/>
      <c r="BK350" s="2372"/>
      <c r="BL350" s="2372"/>
      <c r="BM350" s="2372"/>
      <c r="BN350" s="2372"/>
      <c r="BO350" s="2372"/>
      <c r="BP350" s="2372"/>
      <c r="BQ350" s="2372"/>
      <c r="BR350" s="2372"/>
      <c r="BS350" s="2372"/>
      <c r="BT350" s="2372"/>
      <c r="BU350" s="2372"/>
      <c r="BV350" s="2372"/>
      <c r="BW350" s="2372"/>
      <c r="BX350" s="2372"/>
      <c r="BY350" s="2372"/>
      <c r="BZ350" s="2372"/>
      <c r="CA350" s="2372"/>
      <c r="CB350" s="2372"/>
      <c r="CC350" s="2372"/>
      <c r="CD350" s="2372"/>
      <c r="CE350" s="2372"/>
      <c r="CF350" s="2372"/>
      <c r="CG350" s="2372"/>
      <c r="CH350" s="2372"/>
      <c r="CI350" s="2372"/>
      <c r="CJ350" s="2372"/>
      <c r="CK350" s="2372"/>
      <c r="CL350" s="2372"/>
      <c r="CM350" s="2372"/>
      <c r="CN350" s="2372"/>
      <c r="CO350" s="2372"/>
      <c r="CP350" s="2372"/>
      <c r="CQ350" s="2372"/>
      <c r="CR350" s="2372"/>
      <c r="CS350" s="2372"/>
      <c r="CT350" s="2372"/>
      <c r="CU350" s="2372"/>
      <c r="CV350" s="2372"/>
      <c r="CW350" s="2372"/>
      <c r="CX350" s="2372"/>
      <c r="CY350" s="2372"/>
      <c r="CZ350" s="2372"/>
      <c r="DA350" s="2372"/>
    </row>
    <row r="351" spans="1:105" ht="3" hidden="1" customHeight="1">
      <c r="A351" s="2372"/>
      <c r="B351" s="2372"/>
      <c r="U351" s="2372"/>
      <c r="V351" s="2372"/>
      <c r="W351" s="2372"/>
      <c r="X351" s="2372"/>
      <c r="Y351" s="2372"/>
      <c r="Z351" s="2372"/>
      <c r="AA351" s="2372"/>
      <c r="AB351" s="2372"/>
      <c r="AC351" s="2372"/>
      <c r="AD351" s="2372"/>
      <c r="AE351" s="2372"/>
      <c r="AF351" s="2372"/>
      <c r="AG351" s="2372"/>
      <c r="AH351" s="2372"/>
      <c r="AI351" s="2372"/>
      <c r="AJ351" s="2372"/>
      <c r="AK351" s="2372"/>
      <c r="AL351" s="2372"/>
      <c r="AM351" s="2372"/>
      <c r="AN351" s="2372"/>
      <c r="AO351" s="2372"/>
      <c r="AP351" s="2372"/>
      <c r="AQ351" s="2372"/>
      <c r="AR351" s="2372"/>
      <c r="AS351" s="2372"/>
      <c r="AT351" s="2372"/>
      <c r="AU351" s="2372"/>
      <c r="AV351" s="2372"/>
      <c r="AW351" s="2372"/>
      <c r="AX351" s="2372"/>
      <c r="AY351" s="2372"/>
      <c r="AZ351" s="2372"/>
      <c r="BA351" s="2372"/>
      <c r="BB351" s="2372"/>
      <c r="BC351" s="2372"/>
      <c r="BD351" s="2372"/>
      <c r="BE351" s="2372"/>
      <c r="BF351" s="2372"/>
      <c r="BG351" s="2372"/>
      <c r="BH351" s="2372"/>
      <c r="BI351" s="2372"/>
      <c r="BJ351" s="2372"/>
      <c r="BK351" s="2372"/>
      <c r="BL351" s="2372"/>
      <c r="BM351" s="2372"/>
      <c r="BN351" s="2372"/>
      <c r="BO351" s="2372"/>
      <c r="BP351" s="2372"/>
      <c r="BQ351" s="2372"/>
      <c r="BR351" s="2372"/>
      <c r="BS351" s="2372"/>
      <c r="BT351" s="2372"/>
      <c r="BU351" s="2372"/>
      <c r="BV351" s="2372"/>
      <c r="BW351" s="2372"/>
      <c r="BX351" s="2372"/>
      <c r="BY351" s="2372"/>
      <c r="BZ351" s="2372"/>
      <c r="CA351" s="2372"/>
      <c r="CB351" s="2372"/>
      <c r="CC351" s="2372"/>
      <c r="CD351" s="2372"/>
      <c r="CE351" s="2372"/>
      <c r="CF351" s="2372"/>
      <c r="CG351" s="2372"/>
      <c r="CH351" s="2372"/>
      <c r="CI351" s="2372"/>
      <c r="CJ351" s="2372"/>
      <c r="CK351" s="2372"/>
      <c r="CL351" s="2372"/>
      <c r="CM351" s="2372"/>
      <c r="CN351" s="2372"/>
      <c r="CO351" s="2372"/>
      <c r="CP351" s="2372"/>
      <c r="CQ351" s="2372"/>
      <c r="CR351" s="2372"/>
      <c r="CS351" s="2372"/>
      <c r="CT351" s="2372"/>
      <c r="CU351" s="2372"/>
      <c r="CV351" s="2372"/>
      <c r="CW351" s="2372"/>
      <c r="CX351" s="2372"/>
      <c r="CY351" s="2372"/>
      <c r="CZ351" s="2372"/>
      <c r="DA351" s="2372"/>
    </row>
    <row r="352" spans="1:105" ht="15" hidden="1" customHeight="1">
      <c r="A352" s="2372"/>
      <c r="B352" s="2372"/>
      <c r="U352" s="2372"/>
      <c r="V352" s="2372"/>
      <c r="W352" s="2372"/>
      <c r="X352" s="2372"/>
      <c r="Y352" s="2372"/>
      <c r="Z352" s="2372"/>
      <c r="AA352" s="2372"/>
      <c r="AB352" s="2372"/>
      <c r="AC352" s="2372"/>
      <c r="AD352" s="2372"/>
      <c r="AE352" s="2372"/>
      <c r="AF352" s="2372"/>
      <c r="AG352" s="2372"/>
      <c r="AH352" s="2372"/>
      <c r="AI352" s="2372"/>
      <c r="AJ352" s="2372"/>
      <c r="AK352" s="2372"/>
      <c r="AL352" s="2372"/>
      <c r="AM352" s="2372"/>
      <c r="AN352" s="2372"/>
      <c r="AO352" s="2372"/>
      <c r="AP352" s="2372"/>
      <c r="AQ352" s="2372"/>
      <c r="AR352" s="2372"/>
      <c r="AS352" s="2372"/>
      <c r="AT352" s="2372"/>
      <c r="AU352" s="2372"/>
      <c r="AV352" s="2372"/>
      <c r="AW352" s="2372"/>
      <c r="AX352" s="2372"/>
      <c r="AY352" s="2372"/>
      <c r="AZ352" s="2372"/>
      <c r="BA352" s="2372"/>
      <c r="BB352" s="2372"/>
      <c r="BC352" s="2372"/>
      <c r="BD352" s="2372"/>
      <c r="BE352" s="2372"/>
      <c r="BF352" s="2372"/>
      <c r="BG352" s="2372"/>
      <c r="BH352" s="2372"/>
      <c r="BI352" s="2372"/>
      <c r="BJ352" s="2372"/>
      <c r="BK352" s="2372"/>
      <c r="BL352" s="2372"/>
      <c r="BM352" s="2372"/>
      <c r="BN352" s="2372"/>
      <c r="BO352" s="2372"/>
      <c r="BP352" s="2372"/>
      <c r="BQ352" s="2372"/>
      <c r="BR352" s="2372"/>
      <c r="BS352" s="2372"/>
      <c r="BT352" s="2372"/>
      <c r="BU352" s="2372"/>
      <c r="BV352" s="2372"/>
      <c r="BW352" s="2372"/>
      <c r="BX352" s="2372"/>
      <c r="BY352" s="2372"/>
      <c r="BZ352" s="2372"/>
      <c r="CA352" s="2372"/>
      <c r="CB352" s="2372"/>
      <c r="CC352" s="2372"/>
      <c r="CD352" s="2372"/>
      <c r="CE352" s="2372"/>
      <c r="CF352" s="2372"/>
      <c r="CG352" s="2372"/>
      <c r="CH352" s="2372"/>
      <c r="CI352" s="2372"/>
      <c r="CJ352" s="2372"/>
      <c r="CK352" s="2372"/>
      <c r="CL352" s="2372"/>
      <c r="CM352" s="2372"/>
      <c r="CN352" s="2372"/>
      <c r="CO352" s="2372"/>
      <c r="CP352" s="2372"/>
      <c r="CQ352" s="2372"/>
      <c r="CR352" s="2372"/>
      <c r="CS352" s="2372"/>
      <c r="CT352" s="2372"/>
      <c r="CU352" s="2372"/>
      <c r="CV352" s="2372"/>
      <c r="CW352" s="2372"/>
      <c r="CX352" s="2372"/>
      <c r="CY352" s="2372"/>
      <c r="CZ352" s="2372"/>
      <c r="DA352" s="2372"/>
    </row>
    <row r="353" spans="1:105" ht="3" hidden="1" customHeight="1">
      <c r="A353" s="2372"/>
      <c r="B353" s="2372"/>
      <c r="U353" s="2372"/>
      <c r="V353" s="2372"/>
      <c r="W353" s="2372"/>
      <c r="X353" s="2372"/>
      <c r="Y353" s="2372"/>
      <c r="Z353" s="2372"/>
      <c r="AA353" s="2372"/>
      <c r="AB353" s="2372"/>
      <c r="AC353" s="2372"/>
      <c r="AD353" s="2372"/>
      <c r="AE353" s="2372"/>
      <c r="AF353" s="2372"/>
      <c r="AG353" s="2372"/>
      <c r="AH353" s="2372"/>
      <c r="AI353" s="2372"/>
      <c r="AJ353" s="2372"/>
      <c r="AK353" s="2372"/>
      <c r="AL353" s="2372"/>
      <c r="AM353" s="2372"/>
      <c r="AN353" s="2372"/>
      <c r="AO353" s="2372"/>
      <c r="AP353" s="2372"/>
      <c r="AQ353" s="2372"/>
      <c r="AR353" s="2372"/>
      <c r="AS353" s="2372"/>
      <c r="AT353" s="2372"/>
      <c r="AU353" s="2372"/>
      <c r="AV353" s="2372"/>
      <c r="AW353" s="2372"/>
      <c r="AX353" s="2372"/>
      <c r="AY353" s="2372"/>
      <c r="AZ353" s="2372"/>
      <c r="BA353" s="2372"/>
      <c r="BB353" s="2372"/>
      <c r="BC353" s="2372"/>
      <c r="BD353" s="2372"/>
      <c r="BE353" s="2372"/>
      <c r="BF353" s="2372"/>
      <c r="BG353" s="2372"/>
      <c r="BH353" s="2372"/>
      <c r="BI353" s="2372"/>
      <c r="BJ353" s="2372"/>
      <c r="BK353" s="2372"/>
      <c r="BL353" s="2372"/>
      <c r="BM353" s="2372"/>
      <c r="BN353" s="2372"/>
      <c r="BO353" s="2372"/>
      <c r="BP353" s="2372"/>
      <c r="BQ353" s="2372"/>
      <c r="BR353" s="2372"/>
      <c r="BS353" s="2372"/>
      <c r="BT353" s="2372"/>
      <c r="BU353" s="2372"/>
      <c r="BV353" s="2372"/>
      <c r="BW353" s="2372"/>
      <c r="BX353" s="2372"/>
      <c r="BY353" s="2372"/>
      <c r="BZ353" s="2372"/>
      <c r="CA353" s="2372"/>
      <c r="CB353" s="2372"/>
      <c r="CC353" s="2372"/>
      <c r="CD353" s="2372"/>
      <c r="CE353" s="2372"/>
      <c r="CF353" s="2372"/>
      <c r="CG353" s="2372"/>
      <c r="CH353" s="2372"/>
      <c r="CI353" s="2372"/>
      <c r="CJ353" s="2372"/>
      <c r="CK353" s="2372"/>
      <c r="CL353" s="2372"/>
      <c r="CM353" s="2372"/>
      <c r="CN353" s="2372"/>
      <c r="CO353" s="2372"/>
      <c r="CP353" s="2372"/>
      <c r="CQ353" s="2372"/>
      <c r="CR353" s="2372"/>
      <c r="CS353" s="2372"/>
      <c r="CT353" s="2372"/>
      <c r="CU353" s="2372"/>
      <c r="CV353" s="2372"/>
      <c r="CW353" s="2372"/>
      <c r="CX353" s="2372"/>
      <c r="CY353" s="2372"/>
      <c r="CZ353" s="2372"/>
      <c r="DA353" s="2372"/>
    </row>
    <row r="354" spans="1:105" ht="15" hidden="1" customHeight="1">
      <c r="A354" s="2372"/>
      <c r="B354" s="2372"/>
      <c r="U354" s="2372"/>
      <c r="V354" s="2372"/>
      <c r="W354" s="2372"/>
      <c r="X354" s="2372"/>
      <c r="Y354" s="2372"/>
      <c r="Z354" s="2372"/>
      <c r="AA354" s="2372"/>
      <c r="AB354" s="2372"/>
      <c r="AC354" s="2372"/>
      <c r="AD354" s="2372"/>
      <c r="AE354" s="2372"/>
      <c r="AF354" s="2372"/>
      <c r="AG354" s="2372"/>
      <c r="AH354" s="2372"/>
      <c r="AI354" s="2372"/>
      <c r="AJ354" s="2372"/>
      <c r="AK354" s="2372"/>
      <c r="AL354" s="2372"/>
      <c r="AM354" s="2372"/>
      <c r="AN354" s="2372"/>
      <c r="AO354" s="2372"/>
      <c r="AP354" s="2372"/>
      <c r="AQ354" s="2372"/>
      <c r="AR354" s="2372"/>
      <c r="AS354" s="2372"/>
      <c r="AT354" s="2372"/>
      <c r="AU354" s="2372"/>
      <c r="AV354" s="2372"/>
      <c r="AW354" s="2372"/>
      <c r="AX354" s="2372"/>
      <c r="AY354" s="2372"/>
      <c r="AZ354" s="2372"/>
      <c r="BA354" s="2372"/>
      <c r="BB354" s="2372"/>
      <c r="BC354" s="2372"/>
      <c r="BD354" s="2372"/>
      <c r="BE354" s="2372"/>
      <c r="BF354" s="2372"/>
      <c r="BG354" s="2372"/>
      <c r="BH354" s="2372"/>
      <c r="BI354" s="2372"/>
      <c r="BJ354" s="2372"/>
      <c r="BK354" s="2372"/>
      <c r="BL354" s="2372"/>
      <c r="BM354" s="2372"/>
      <c r="BN354" s="2372"/>
      <c r="BO354" s="2372"/>
      <c r="BP354" s="2372"/>
      <c r="BQ354" s="2372"/>
      <c r="BR354" s="2372"/>
      <c r="BS354" s="2372"/>
      <c r="BT354" s="2372"/>
      <c r="BU354" s="2372"/>
      <c r="BV354" s="2372"/>
      <c r="BW354" s="2372"/>
      <c r="BX354" s="2372"/>
      <c r="BY354" s="2372"/>
      <c r="BZ354" s="2372"/>
      <c r="CA354" s="2372"/>
      <c r="CB354" s="2372"/>
      <c r="CC354" s="2372"/>
      <c r="CD354" s="2372"/>
      <c r="CE354" s="2372"/>
      <c r="CF354" s="2372"/>
      <c r="CG354" s="2372"/>
      <c r="CH354" s="2372"/>
      <c r="CI354" s="2372"/>
      <c r="CJ354" s="2372"/>
      <c r="CK354" s="2372"/>
      <c r="CL354" s="2372"/>
      <c r="CM354" s="2372"/>
      <c r="CN354" s="2372"/>
      <c r="CO354" s="2372"/>
      <c r="CP354" s="2372"/>
      <c r="CQ354" s="2372"/>
      <c r="CR354" s="2372"/>
      <c r="CS354" s="2372"/>
      <c r="CT354" s="2372"/>
      <c r="CU354" s="2372"/>
      <c r="CV354" s="2372"/>
      <c r="CW354" s="2372"/>
      <c r="CX354" s="2372"/>
      <c r="CY354" s="2372"/>
      <c r="CZ354" s="2372"/>
      <c r="DA354" s="2372"/>
    </row>
    <row r="355" spans="1:105" ht="3" hidden="1" customHeight="1">
      <c r="A355" s="2372"/>
      <c r="B355" s="2372"/>
      <c r="U355" s="2372"/>
      <c r="V355" s="2372"/>
      <c r="W355" s="2372"/>
      <c r="X355" s="2372"/>
      <c r="Y355" s="2372"/>
      <c r="Z355" s="2372"/>
      <c r="AA355" s="2372"/>
      <c r="AB355" s="2372"/>
      <c r="AC355" s="2372"/>
      <c r="AD355" s="2372"/>
      <c r="AE355" s="2372"/>
      <c r="AF355" s="2372"/>
      <c r="AG355" s="2372"/>
      <c r="AH355" s="2372"/>
      <c r="AI355" s="2372"/>
      <c r="AJ355" s="2372"/>
      <c r="AK355" s="2372"/>
      <c r="AL355" s="2372"/>
      <c r="AM355" s="2372"/>
      <c r="AN355" s="2372"/>
      <c r="AO355" s="2372"/>
      <c r="AP355" s="2372"/>
      <c r="AQ355" s="2372"/>
      <c r="AR355" s="2372"/>
      <c r="AS355" s="2372"/>
      <c r="AT355" s="2372"/>
      <c r="AU355" s="2372"/>
      <c r="AV355" s="2372"/>
      <c r="AW355" s="2372"/>
      <c r="AX355" s="2372"/>
      <c r="AY355" s="2372"/>
      <c r="AZ355" s="2372"/>
      <c r="BA355" s="2372"/>
      <c r="BB355" s="2372"/>
      <c r="BC355" s="2372"/>
      <c r="BD355" s="2372"/>
      <c r="BE355" s="2372"/>
      <c r="BF355" s="2372"/>
      <c r="BG355" s="2372"/>
      <c r="BH355" s="2372"/>
      <c r="BI355" s="2372"/>
      <c r="BJ355" s="2372"/>
      <c r="BK355" s="2372"/>
      <c r="BL355" s="2372"/>
      <c r="BM355" s="2372"/>
      <c r="BN355" s="2372"/>
      <c r="BO355" s="2372"/>
      <c r="BP355" s="2372"/>
      <c r="BQ355" s="2372"/>
      <c r="BR355" s="2372"/>
      <c r="BS355" s="2372"/>
      <c r="BT355" s="2372"/>
      <c r="BU355" s="2372"/>
      <c r="BV355" s="2372"/>
      <c r="BW355" s="2372"/>
      <c r="BX355" s="2372"/>
      <c r="BY355" s="2372"/>
      <c r="BZ355" s="2372"/>
      <c r="CA355" s="2372"/>
      <c r="CB355" s="2372"/>
      <c r="CC355" s="2372"/>
      <c r="CD355" s="2372"/>
      <c r="CE355" s="2372"/>
      <c r="CF355" s="2372"/>
      <c r="CG355" s="2372"/>
      <c r="CH355" s="2372"/>
      <c r="CI355" s="2372"/>
      <c r="CJ355" s="2372"/>
      <c r="CK355" s="2372"/>
      <c r="CL355" s="2372"/>
      <c r="CM355" s="2372"/>
      <c r="CN355" s="2372"/>
      <c r="CO355" s="2372"/>
      <c r="CP355" s="2372"/>
      <c r="CQ355" s="2372"/>
      <c r="CR355" s="2372"/>
      <c r="CS355" s="2372"/>
      <c r="CT355" s="2372"/>
      <c r="CU355" s="2372"/>
      <c r="CV355" s="2372"/>
      <c r="CW355" s="2372"/>
      <c r="CX355" s="2372"/>
      <c r="CY355" s="2372"/>
      <c r="CZ355" s="2372"/>
      <c r="DA355" s="2372"/>
    </row>
    <row r="356" spans="1:105" ht="15" hidden="1" customHeight="1">
      <c r="A356" s="2372"/>
      <c r="B356" s="2372"/>
      <c r="U356" s="2372"/>
      <c r="V356" s="2372"/>
      <c r="W356" s="2372"/>
      <c r="X356" s="2372"/>
      <c r="Y356" s="2372"/>
      <c r="Z356" s="2372"/>
      <c r="AA356" s="2372"/>
      <c r="AB356" s="2372"/>
      <c r="AC356" s="2372"/>
      <c r="AD356" s="2372"/>
      <c r="AE356" s="2372"/>
      <c r="AF356" s="2372"/>
      <c r="AG356" s="2372"/>
      <c r="AH356" s="2372"/>
      <c r="AI356" s="2372"/>
      <c r="AJ356" s="2372"/>
      <c r="AK356" s="2372"/>
      <c r="AL356" s="2372"/>
      <c r="AM356" s="2372"/>
      <c r="AN356" s="2372"/>
      <c r="AO356" s="2372"/>
      <c r="AP356" s="2372"/>
      <c r="AQ356" s="2372"/>
      <c r="AR356" s="2372"/>
      <c r="AS356" s="2372"/>
      <c r="AT356" s="2372"/>
      <c r="AU356" s="2372"/>
      <c r="AV356" s="2372"/>
      <c r="AW356" s="2372"/>
      <c r="AX356" s="2372"/>
      <c r="AY356" s="2372"/>
      <c r="AZ356" s="2372"/>
      <c r="BA356" s="2372"/>
      <c r="BB356" s="2372"/>
      <c r="BC356" s="2372"/>
      <c r="BD356" s="2372"/>
      <c r="BE356" s="2372"/>
      <c r="BF356" s="2372"/>
      <c r="BG356" s="2372"/>
      <c r="BH356" s="2372"/>
      <c r="BI356" s="2372"/>
      <c r="BJ356" s="2372"/>
      <c r="BK356" s="2372"/>
      <c r="BL356" s="2372"/>
      <c r="BM356" s="2372"/>
      <c r="BN356" s="2372"/>
      <c r="BO356" s="2372"/>
      <c r="BP356" s="2372"/>
      <c r="BQ356" s="2372"/>
      <c r="BR356" s="2372"/>
      <c r="BS356" s="2372"/>
      <c r="BT356" s="2372"/>
      <c r="BU356" s="2372"/>
      <c r="BV356" s="2372"/>
      <c r="BW356" s="2372"/>
      <c r="BX356" s="2372"/>
      <c r="BY356" s="2372"/>
      <c r="BZ356" s="2372"/>
      <c r="CA356" s="2372"/>
      <c r="CB356" s="2372"/>
      <c r="CC356" s="2372"/>
      <c r="CD356" s="2372"/>
      <c r="CE356" s="2372"/>
      <c r="CF356" s="2372"/>
      <c r="CG356" s="2372"/>
      <c r="CH356" s="2372"/>
      <c r="CI356" s="2372"/>
      <c r="CJ356" s="2372"/>
      <c r="CK356" s="2372"/>
      <c r="CL356" s="2372"/>
      <c r="CM356" s="2372"/>
      <c r="CN356" s="2372"/>
      <c r="CO356" s="2372"/>
      <c r="CP356" s="2372"/>
      <c r="CQ356" s="2372"/>
      <c r="CR356" s="2372"/>
      <c r="CS356" s="2372"/>
      <c r="CT356" s="2372"/>
      <c r="CU356" s="2372"/>
      <c r="CV356" s="2372"/>
      <c r="CW356" s="2372"/>
      <c r="CX356" s="2372"/>
      <c r="CY356" s="2372"/>
      <c r="CZ356" s="2372"/>
      <c r="DA356" s="2372"/>
    </row>
    <row r="357" spans="1:105" ht="3" hidden="1" customHeight="1">
      <c r="A357" s="2372"/>
      <c r="B357" s="2372"/>
      <c r="C357" s="2372"/>
      <c r="D357" s="2372"/>
      <c r="E357" s="2372"/>
      <c r="F357" s="2372"/>
      <c r="G357" s="2372"/>
      <c r="H357" s="2372"/>
      <c r="I357" s="2372"/>
      <c r="J357" s="2372"/>
      <c r="K357" s="2372"/>
      <c r="L357" s="2372"/>
      <c r="M357" s="2372"/>
      <c r="N357" s="2372"/>
      <c r="O357" s="2372"/>
      <c r="P357" s="2372"/>
      <c r="Q357" s="2372"/>
      <c r="R357" s="2372"/>
      <c r="S357" s="2372"/>
      <c r="T357" s="2372"/>
      <c r="U357" s="2372"/>
      <c r="V357" s="2372"/>
      <c r="W357" s="2372"/>
      <c r="X357" s="2372"/>
      <c r="Y357" s="2372"/>
      <c r="Z357" s="2372"/>
      <c r="AA357" s="2372"/>
      <c r="AB357" s="2372"/>
      <c r="AC357" s="2372"/>
      <c r="AD357" s="2372"/>
      <c r="AE357" s="2372"/>
      <c r="AF357" s="2372"/>
      <c r="AG357" s="2372"/>
      <c r="AH357" s="2372"/>
      <c r="AI357" s="2372"/>
      <c r="AJ357" s="2372"/>
      <c r="AK357" s="2372"/>
      <c r="AL357" s="2372"/>
      <c r="AM357" s="2372"/>
      <c r="AN357" s="2372"/>
      <c r="AO357" s="2372"/>
      <c r="AP357" s="2372"/>
      <c r="AQ357" s="2372"/>
      <c r="AR357" s="2372"/>
      <c r="AS357" s="2372"/>
      <c r="AT357" s="2372"/>
      <c r="AU357" s="2372"/>
      <c r="AV357" s="2372"/>
      <c r="AW357" s="2372"/>
      <c r="AX357" s="2372"/>
      <c r="AY357" s="2372"/>
      <c r="AZ357" s="2372"/>
      <c r="BA357" s="2372"/>
      <c r="BB357" s="2372"/>
      <c r="BC357" s="2372"/>
      <c r="BD357" s="2372"/>
      <c r="BE357" s="2372"/>
      <c r="BF357" s="2372"/>
      <c r="BG357" s="2372"/>
      <c r="BH357" s="2372"/>
      <c r="BI357" s="2372"/>
      <c r="BJ357" s="2372"/>
      <c r="BK357" s="2372"/>
      <c r="BL357" s="2372"/>
      <c r="BM357" s="2372"/>
      <c r="BN357" s="2372"/>
      <c r="BO357" s="2372"/>
      <c r="BP357" s="2372"/>
      <c r="BQ357" s="2372"/>
      <c r="BR357" s="2372"/>
      <c r="BS357" s="2372"/>
      <c r="BT357" s="2372"/>
      <c r="BU357" s="2372"/>
      <c r="BV357" s="2372"/>
      <c r="BW357" s="2372"/>
      <c r="BX357" s="2372"/>
      <c r="BY357" s="2372"/>
      <c r="BZ357" s="2372"/>
      <c r="CA357" s="2372"/>
      <c r="CB357" s="2372"/>
      <c r="CC357" s="2372"/>
      <c r="CD357" s="2372"/>
      <c r="CE357" s="2372"/>
      <c r="CF357" s="2372"/>
      <c r="CG357" s="2372"/>
      <c r="CH357" s="2372"/>
      <c r="CI357" s="2372"/>
      <c r="CJ357" s="2372"/>
      <c r="CK357" s="2372"/>
      <c r="CL357" s="2372"/>
      <c r="CM357" s="2372"/>
      <c r="CN357" s="2372"/>
      <c r="CO357" s="2372"/>
      <c r="CP357" s="2372"/>
      <c r="CQ357" s="2372"/>
      <c r="CR357" s="2372"/>
      <c r="CS357" s="2372"/>
      <c r="CT357" s="2372"/>
      <c r="CU357" s="2372"/>
      <c r="CV357" s="2372"/>
      <c r="CW357" s="2372"/>
      <c r="CX357" s="2372"/>
      <c r="CY357" s="2372"/>
      <c r="CZ357" s="2372"/>
      <c r="DA357" s="2372"/>
    </row>
    <row r="358" spans="1:105" ht="15" hidden="1" customHeight="1">
      <c r="A358" s="2372"/>
      <c r="B358" s="2372"/>
      <c r="C358" s="2372"/>
      <c r="D358" s="2372"/>
      <c r="E358" s="2372"/>
      <c r="F358" s="2372"/>
      <c r="G358" s="2372"/>
      <c r="H358" s="2372"/>
      <c r="I358" s="2372"/>
      <c r="J358" s="2372"/>
      <c r="K358" s="2372"/>
      <c r="L358" s="2372"/>
      <c r="M358" s="2372"/>
      <c r="N358" s="2372"/>
      <c r="O358" s="2372"/>
      <c r="P358" s="2372"/>
      <c r="Q358" s="2372"/>
      <c r="R358" s="2372"/>
      <c r="S358" s="2372"/>
      <c r="T358" s="2372"/>
      <c r="U358" s="2372"/>
      <c r="V358" s="2372"/>
      <c r="W358" s="2372"/>
      <c r="X358" s="2372"/>
      <c r="Y358" s="2372"/>
      <c r="Z358" s="2372"/>
      <c r="AA358" s="2372"/>
      <c r="AB358" s="2372"/>
      <c r="AC358" s="2372"/>
      <c r="AD358" s="2372"/>
      <c r="AE358" s="2372"/>
      <c r="AF358" s="2372"/>
      <c r="AG358" s="2372"/>
      <c r="AH358" s="2372"/>
      <c r="AI358" s="2372"/>
      <c r="AJ358" s="2372"/>
      <c r="AK358" s="2372"/>
      <c r="AL358" s="2372"/>
      <c r="AM358" s="2372"/>
      <c r="AN358" s="2372"/>
      <c r="AO358" s="2372"/>
      <c r="AP358" s="2372"/>
      <c r="AQ358" s="2372"/>
      <c r="AR358" s="2372"/>
      <c r="AS358" s="2372"/>
      <c r="AT358" s="2372"/>
      <c r="AU358" s="2372"/>
      <c r="AV358" s="2372"/>
      <c r="AW358" s="2372"/>
      <c r="AX358" s="2372"/>
      <c r="AY358" s="2372"/>
      <c r="AZ358" s="2372"/>
      <c r="BA358" s="2372"/>
      <c r="BB358" s="2372"/>
      <c r="BC358" s="2372"/>
      <c r="BD358" s="2372"/>
      <c r="BE358" s="2372"/>
      <c r="BF358" s="2372"/>
      <c r="BG358" s="2372"/>
      <c r="BH358" s="2372"/>
      <c r="BI358" s="2372"/>
      <c r="BJ358" s="2372"/>
      <c r="BK358" s="2372"/>
      <c r="BL358" s="2372"/>
      <c r="BM358" s="2372"/>
      <c r="BN358" s="2372"/>
      <c r="BO358" s="2372"/>
      <c r="BP358" s="2372"/>
      <c r="BQ358" s="2372"/>
      <c r="BR358" s="2372"/>
      <c r="BS358" s="2372"/>
      <c r="BT358" s="2372"/>
      <c r="BU358" s="2372"/>
      <c r="BV358" s="2372"/>
      <c r="BW358" s="2372"/>
      <c r="BX358" s="2372"/>
      <c r="BY358" s="2372"/>
      <c r="BZ358" s="2372"/>
      <c r="CA358" s="2372"/>
      <c r="CB358" s="2372"/>
      <c r="CC358" s="2372"/>
      <c r="CD358" s="2372"/>
      <c r="CE358" s="2372"/>
      <c r="CF358" s="2372"/>
      <c r="CG358" s="2372"/>
      <c r="CH358" s="2372"/>
      <c r="CI358" s="2372"/>
      <c r="CJ358" s="2372"/>
      <c r="CK358" s="2372"/>
      <c r="CL358" s="2372"/>
      <c r="CM358" s="2372"/>
      <c r="CN358" s="2372"/>
      <c r="CO358" s="2372"/>
      <c r="CP358" s="2372"/>
      <c r="CQ358" s="2372"/>
      <c r="CR358" s="2372"/>
      <c r="CS358" s="2372"/>
      <c r="CT358" s="2372"/>
      <c r="CU358" s="2372"/>
      <c r="CV358" s="2372"/>
      <c r="CW358" s="2372"/>
      <c r="CX358" s="2372"/>
      <c r="CY358" s="2372"/>
      <c r="CZ358" s="2372"/>
      <c r="DA358" s="2372"/>
    </row>
    <row r="359" spans="1:105" ht="3" hidden="1" customHeight="1">
      <c r="A359" s="2372"/>
      <c r="B359" s="2372"/>
      <c r="C359" s="2372"/>
      <c r="D359" s="2372"/>
      <c r="E359" s="2372"/>
      <c r="F359" s="2372"/>
      <c r="G359" s="2372"/>
      <c r="H359" s="2372"/>
      <c r="I359" s="2372"/>
      <c r="J359" s="2372"/>
      <c r="K359" s="2372"/>
      <c r="L359" s="2372"/>
      <c r="M359" s="2372"/>
      <c r="N359" s="2372"/>
      <c r="O359" s="2372"/>
      <c r="P359" s="2372"/>
      <c r="Q359" s="2372"/>
      <c r="R359" s="2372"/>
      <c r="S359" s="2372"/>
      <c r="T359" s="2372"/>
      <c r="U359" s="2372"/>
      <c r="V359" s="2372"/>
      <c r="W359" s="2372"/>
      <c r="X359" s="2372"/>
      <c r="Y359" s="2372"/>
      <c r="Z359" s="2372"/>
      <c r="AA359" s="2372"/>
      <c r="AB359" s="2372"/>
      <c r="AC359" s="2372"/>
      <c r="AD359" s="2372"/>
      <c r="AE359" s="2372"/>
      <c r="AF359" s="2372"/>
      <c r="AG359" s="2372"/>
      <c r="AH359" s="2372"/>
      <c r="AI359" s="2372"/>
      <c r="AJ359" s="2372"/>
      <c r="AK359" s="2372"/>
      <c r="AL359" s="2372"/>
      <c r="AM359" s="2372"/>
      <c r="AN359" s="2372"/>
      <c r="AO359" s="2372"/>
      <c r="AP359" s="2372"/>
      <c r="AQ359" s="2372"/>
      <c r="AR359" s="2372"/>
      <c r="AS359" s="2372"/>
      <c r="AT359" s="2372"/>
      <c r="AU359" s="2372"/>
      <c r="AV359" s="2372"/>
      <c r="AW359" s="2372"/>
      <c r="AX359" s="2372"/>
      <c r="AY359" s="2372"/>
      <c r="AZ359" s="2372"/>
      <c r="BA359" s="2372"/>
      <c r="BB359" s="2372"/>
      <c r="BC359" s="2372"/>
      <c r="BD359" s="2372"/>
      <c r="BE359" s="2372"/>
      <c r="BF359" s="2372"/>
      <c r="BG359" s="2372"/>
      <c r="BH359" s="2372"/>
      <c r="BI359" s="2372"/>
      <c r="BJ359" s="2372"/>
      <c r="BK359" s="2372"/>
      <c r="BL359" s="2372"/>
      <c r="BM359" s="2372"/>
      <c r="BN359" s="2372"/>
      <c r="BO359" s="2372"/>
      <c r="BP359" s="2372"/>
      <c r="BQ359" s="2372"/>
      <c r="BR359" s="2372"/>
      <c r="BS359" s="2372"/>
      <c r="BT359" s="2372"/>
      <c r="BU359" s="2372"/>
      <c r="BV359" s="2372"/>
      <c r="BW359" s="2372"/>
      <c r="BX359" s="2372"/>
      <c r="BY359" s="2372"/>
      <c r="BZ359" s="2372"/>
      <c r="CA359" s="2372"/>
      <c r="CB359" s="2372"/>
      <c r="CC359" s="2372"/>
      <c r="CD359" s="2372"/>
      <c r="CE359" s="2372"/>
      <c r="CF359" s="2372"/>
      <c r="CG359" s="2372"/>
      <c r="CH359" s="2372"/>
      <c r="CI359" s="2372"/>
      <c r="CJ359" s="2372"/>
      <c r="CK359" s="2372"/>
      <c r="CL359" s="2372"/>
      <c r="CM359" s="2372"/>
      <c r="CN359" s="2372"/>
      <c r="CO359" s="2372"/>
      <c r="CP359" s="2372"/>
      <c r="CQ359" s="2372"/>
      <c r="CR359" s="2372"/>
      <c r="CS359" s="2372"/>
      <c r="CT359" s="2372"/>
      <c r="CU359" s="2372"/>
      <c r="CV359" s="2372"/>
      <c r="CW359" s="2372"/>
      <c r="CX359" s="2372"/>
      <c r="CY359" s="2372"/>
      <c r="CZ359" s="2372"/>
      <c r="DA359" s="2372"/>
    </row>
    <row r="360" spans="1:105" ht="15" hidden="1" customHeight="1">
      <c r="A360" s="2372"/>
      <c r="B360" s="2372"/>
      <c r="C360" s="2372"/>
      <c r="D360" s="2372"/>
      <c r="E360" s="2372"/>
      <c r="F360" s="2372"/>
      <c r="G360" s="2372"/>
      <c r="H360" s="2372"/>
      <c r="I360" s="2372"/>
      <c r="J360" s="2372"/>
      <c r="K360" s="2372"/>
      <c r="L360" s="2372"/>
      <c r="M360" s="2372"/>
      <c r="N360" s="2372"/>
      <c r="O360" s="2372"/>
      <c r="P360" s="2372"/>
      <c r="Q360" s="2372"/>
      <c r="R360" s="2372"/>
      <c r="S360" s="2372"/>
      <c r="T360" s="2372"/>
      <c r="U360" s="2372"/>
      <c r="V360" s="2372"/>
      <c r="W360" s="2372"/>
      <c r="X360" s="2372"/>
      <c r="Y360" s="2372"/>
      <c r="Z360" s="2372"/>
      <c r="AA360" s="2372"/>
      <c r="AB360" s="2372"/>
      <c r="AC360" s="2372"/>
      <c r="AD360" s="2372"/>
      <c r="AE360" s="2372"/>
      <c r="AF360" s="2372"/>
      <c r="AG360" s="2372"/>
      <c r="AH360" s="2372"/>
      <c r="AI360" s="2372"/>
      <c r="AJ360" s="2372"/>
      <c r="AK360" s="2372"/>
      <c r="AL360" s="2372"/>
      <c r="AM360" s="2372"/>
      <c r="AN360" s="2372"/>
      <c r="AO360" s="2372"/>
      <c r="AP360" s="2372"/>
      <c r="AQ360" s="2372"/>
      <c r="AR360" s="2372"/>
      <c r="AS360" s="2372"/>
      <c r="AT360" s="2372"/>
      <c r="AU360" s="2372"/>
      <c r="AV360" s="2372"/>
      <c r="AW360" s="2372"/>
      <c r="AX360" s="2372"/>
      <c r="AY360" s="2372"/>
      <c r="AZ360" s="2372"/>
      <c r="BA360" s="2372"/>
      <c r="BB360" s="2372"/>
      <c r="BC360" s="2372"/>
      <c r="BD360" s="2372"/>
      <c r="BE360" s="2372"/>
      <c r="BF360" s="2372"/>
      <c r="BG360" s="2372"/>
      <c r="BH360" s="2372"/>
      <c r="BI360" s="2372"/>
      <c r="BJ360" s="2372"/>
      <c r="BK360" s="2372"/>
      <c r="BL360" s="2372"/>
      <c r="BM360" s="2372"/>
      <c r="BN360" s="2372"/>
      <c r="BO360" s="2372"/>
      <c r="BP360" s="2372"/>
      <c r="BQ360" s="2372"/>
      <c r="BR360" s="2372"/>
      <c r="BS360" s="2372"/>
      <c r="BT360" s="2372"/>
      <c r="BU360" s="2372"/>
      <c r="BV360" s="2372"/>
      <c r="BW360" s="2372"/>
      <c r="BX360" s="2372"/>
      <c r="BY360" s="2372"/>
      <c r="BZ360" s="2372"/>
      <c r="CA360" s="2372"/>
      <c r="CB360" s="2372"/>
      <c r="CC360" s="2372"/>
      <c r="CD360" s="2372"/>
      <c r="CE360" s="2372"/>
      <c r="CF360" s="2372"/>
      <c r="CG360" s="2372"/>
      <c r="CH360" s="2372"/>
      <c r="CI360" s="2372"/>
      <c r="CJ360" s="2372"/>
      <c r="CK360" s="2372"/>
      <c r="CL360" s="2372"/>
      <c r="CM360" s="2372"/>
      <c r="CN360" s="2372"/>
      <c r="CO360" s="2372"/>
      <c r="CP360" s="2372"/>
      <c r="CQ360" s="2372"/>
      <c r="CR360" s="2372"/>
      <c r="CS360" s="2372"/>
      <c r="CT360" s="2372"/>
      <c r="CU360" s="2372"/>
      <c r="CV360" s="2372"/>
      <c r="CW360" s="2372"/>
      <c r="CX360" s="2372"/>
      <c r="CY360" s="2372"/>
      <c r="CZ360" s="2372"/>
      <c r="DA360" s="2372"/>
    </row>
    <row r="361" spans="1:105" ht="3" hidden="1" customHeight="1">
      <c r="A361" s="2372"/>
      <c r="B361" s="2372"/>
      <c r="C361" s="2372"/>
      <c r="D361" s="2372"/>
      <c r="E361" s="2372"/>
      <c r="F361" s="2372"/>
      <c r="G361" s="2372"/>
      <c r="H361" s="2372"/>
      <c r="I361" s="2372"/>
      <c r="J361" s="2372"/>
      <c r="K361" s="2372"/>
      <c r="L361" s="2372"/>
      <c r="M361" s="2372"/>
      <c r="N361" s="2372"/>
      <c r="O361" s="2372"/>
      <c r="P361" s="2372"/>
      <c r="Q361" s="2372"/>
      <c r="R361" s="2372"/>
      <c r="S361" s="2372"/>
      <c r="T361" s="2372"/>
      <c r="U361" s="2372"/>
      <c r="V361" s="2372"/>
      <c r="W361" s="2372"/>
      <c r="X361" s="2372"/>
      <c r="Y361" s="2372"/>
      <c r="Z361" s="2372"/>
      <c r="AA361" s="2372"/>
      <c r="AB361" s="2372"/>
      <c r="AC361" s="2372"/>
      <c r="AD361" s="2372"/>
      <c r="AE361" s="2372"/>
      <c r="AF361" s="2372"/>
      <c r="AG361" s="2372"/>
      <c r="AH361" s="2372"/>
      <c r="AI361" s="2372"/>
      <c r="AJ361" s="2372"/>
      <c r="AK361" s="2372"/>
      <c r="AL361" s="2372"/>
      <c r="AM361" s="2372"/>
      <c r="AN361" s="2372"/>
      <c r="AO361" s="2372"/>
      <c r="AP361" s="2372"/>
      <c r="AQ361" s="2372"/>
      <c r="AR361" s="2372"/>
      <c r="AS361" s="2372"/>
      <c r="AT361" s="2372"/>
      <c r="AU361" s="2372"/>
      <c r="AV361" s="2372"/>
      <c r="AW361" s="2372"/>
      <c r="AX361" s="2372"/>
      <c r="AY361" s="2372"/>
      <c r="AZ361" s="2372"/>
      <c r="BA361" s="2372"/>
      <c r="BB361" s="2372"/>
      <c r="BC361" s="2372"/>
      <c r="BD361" s="2372"/>
      <c r="BE361" s="2372"/>
      <c r="BF361" s="2372"/>
      <c r="BG361" s="2372"/>
      <c r="BH361" s="2372"/>
      <c r="BI361" s="2372"/>
      <c r="BJ361" s="2372"/>
      <c r="BK361" s="2372"/>
      <c r="BL361" s="2372"/>
      <c r="BM361" s="2372"/>
      <c r="BN361" s="2372"/>
      <c r="BO361" s="2372"/>
      <c r="BP361" s="2372"/>
      <c r="BQ361" s="2372"/>
      <c r="BR361" s="2372"/>
      <c r="BS361" s="2372"/>
      <c r="BT361" s="2372"/>
      <c r="BU361" s="2372"/>
      <c r="BV361" s="2372"/>
      <c r="BW361" s="2372"/>
      <c r="BX361" s="2372"/>
      <c r="BY361" s="2372"/>
      <c r="BZ361" s="2372"/>
      <c r="CA361" s="2372"/>
      <c r="CB361" s="2372"/>
      <c r="CC361" s="2372"/>
      <c r="CD361" s="2372"/>
      <c r="CE361" s="2372"/>
      <c r="CF361" s="2372"/>
      <c r="CG361" s="2372"/>
      <c r="CH361" s="2372"/>
      <c r="CI361" s="2372"/>
      <c r="CJ361" s="2372"/>
      <c r="CK361" s="2372"/>
      <c r="CL361" s="2372"/>
      <c r="CM361" s="2372"/>
      <c r="CN361" s="2372"/>
      <c r="CO361" s="2372"/>
      <c r="CP361" s="2372"/>
      <c r="CQ361" s="2372"/>
      <c r="CR361" s="2372"/>
      <c r="CS361" s="2372"/>
      <c r="CT361" s="2372"/>
      <c r="CU361" s="2372"/>
      <c r="CV361" s="2372"/>
      <c r="CW361" s="2372"/>
      <c r="CX361" s="2372"/>
      <c r="CY361" s="2372"/>
      <c r="CZ361" s="2372"/>
      <c r="DA361" s="2372"/>
    </row>
    <row r="362" spans="1:105" ht="15" hidden="1" customHeight="1">
      <c r="A362" s="2372"/>
      <c r="B362" s="2372"/>
      <c r="C362" s="2372"/>
      <c r="D362" s="2372"/>
      <c r="E362" s="2372"/>
      <c r="F362" s="2372"/>
      <c r="G362" s="2372"/>
      <c r="H362" s="2372"/>
      <c r="I362" s="2372"/>
      <c r="J362" s="2372"/>
      <c r="K362" s="2372"/>
      <c r="L362" s="2372"/>
      <c r="M362" s="2372"/>
      <c r="N362" s="2372"/>
      <c r="O362" s="2372"/>
      <c r="P362" s="2372"/>
      <c r="Q362" s="2372"/>
      <c r="R362" s="2372"/>
      <c r="S362" s="2372"/>
      <c r="T362" s="2372"/>
      <c r="U362" s="2372"/>
      <c r="V362" s="2372"/>
      <c r="W362" s="2372"/>
      <c r="X362" s="2372"/>
      <c r="Y362" s="2372"/>
      <c r="Z362" s="2372"/>
      <c r="AA362" s="2372"/>
      <c r="AB362" s="2372"/>
      <c r="AC362" s="2372"/>
      <c r="AD362" s="2372"/>
      <c r="AE362" s="2372"/>
      <c r="AF362" s="2372"/>
      <c r="AG362" s="2372"/>
      <c r="AH362" s="2372"/>
      <c r="AI362" s="2372"/>
      <c r="AJ362" s="2372"/>
      <c r="AK362" s="2372"/>
      <c r="AL362" s="2372"/>
      <c r="AM362" s="2372"/>
      <c r="AN362" s="2372"/>
      <c r="AO362" s="2372"/>
      <c r="AP362" s="2372"/>
      <c r="AQ362" s="2372"/>
      <c r="AR362" s="2372"/>
      <c r="AS362" s="2372"/>
      <c r="AT362" s="2372"/>
      <c r="AU362" s="2372"/>
      <c r="AV362" s="2372"/>
      <c r="AW362" s="2372"/>
      <c r="AX362" s="2372"/>
      <c r="AY362" s="2372"/>
      <c r="AZ362" s="2372"/>
      <c r="BA362" s="2372"/>
      <c r="BB362" s="2372"/>
      <c r="BC362" s="2372"/>
      <c r="BD362" s="2372"/>
      <c r="BE362" s="2372"/>
      <c r="BF362" s="2372"/>
      <c r="BG362" s="2372"/>
      <c r="BH362" s="2372"/>
      <c r="BI362" s="2372"/>
      <c r="BJ362" s="2372"/>
      <c r="BK362" s="2372"/>
      <c r="BL362" s="2372"/>
      <c r="BM362" s="2372"/>
      <c r="BN362" s="2372"/>
      <c r="BO362" s="2372"/>
      <c r="BP362" s="2372"/>
      <c r="BQ362" s="2372"/>
      <c r="BR362" s="2372"/>
      <c r="BS362" s="2372"/>
      <c r="BT362" s="2372"/>
      <c r="BU362" s="2372"/>
      <c r="BV362" s="2372"/>
      <c r="BW362" s="2372"/>
      <c r="BX362" s="2372"/>
      <c r="BY362" s="2372"/>
      <c r="BZ362" s="2372"/>
      <c r="CA362" s="2372"/>
      <c r="CB362" s="2372"/>
      <c r="CC362" s="2372"/>
      <c r="CD362" s="2372"/>
      <c r="CE362" s="2372"/>
      <c r="CF362" s="2372"/>
      <c r="CG362" s="2372"/>
      <c r="CH362" s="2372"/>
      <c r="CI362" s="2372"/>
      <c r="CJ362" s="2372"/>
      <c r="CK362" s="2372"/>
      <c r="CL362" s="2372"/>
      <c r="CM362" s="2372"/>
      <c r="CN362" s="2372"/>
      <c r="CO362" s="2372"/>
      <c r="CP362" s="2372"/>
      <c r="CQ362" s="2372"/>
      <c r="CR362" s="2372"/>
      <c r="CS362" s="2372"/>
      <c r="CT362" s="2372"/>
      <c r="CU362" s="2372"/>
      <c r="CV362" s="2372"/>
      <c r="CW362" s="2372"/>
      <c r="CX362" s="2372"/>
      <c r="CY362" s="2372"/>
      <c r="CZ362" s="2372"/>
      <c r="DA362" s="2372"/>
    </row>
    <row r="363" spans="1:105" ht="3" hidden="1" customHeight="1">
      <c r="A363" s="2372"/>
      <c r="B363" s="2372"/>
      <c r="C363" s="2372"/>
      <c r="D363" s="2372"/>
      <c r="E363" s="2372"/>
      <c r="F363" s="2372"/>
      <c r="G363" s="2372"/>
      <c r="H363" s="2372"/>
      <c r="I363" s="2372"/>
      <c r="J363" s="2372"/>
      <c r="K363" s="2372"/>
      <c r="L363" s="2372"/>
      <c r="M363" s="2372"/>
      <c r="N363" s="2372"/>
      <c r="O363" s="2372"/>
      <c r="P363" s="2372"/>
      <c r="Q363" s="2372"/>
      <c r="R363" s="2372"/>
      <c r="S363" s="2372"/>
      <c r="T363" s="2372"/>
      <c r="U363" s="2372"/>
      <c r="V363" s="2372"/>
      <c r="W363" s="2372"/>
      <c r="X363" s="2372"/>
      <c r="Y363" s="2372"/>
      <c r="Z363" s="2372"/>
      <c r="AA363" s="2372"/>
      <c r="AB363" s="2372"/>
      <c r="AC363" s="2372"/>
      <c r="AD363" s="2372"/>
      <c r="AE363" s="2372"/>
      <c r="AF363" s="2372"/>
      <c r="AG363" s="2372"/>
      <c r="AH363" s="2372"/>
      <c r="AI363" s="2372"/>
      <c r="AJ363" s="2372"/>
      <c r="AK363" s="2372"/>
      <c r="AL363" s="2372"/>
      <c r="AM363" s="2372"/>
      <c r="AN363" s="2372"/>
      <c r="AO363" s="2372"/>
      <c r="AP363" s="2372"/>
      <c r="AQ363" s="2372"/>
      <c r="AR363" s="2372"/>
      <c r="AS363" s="2372"/>
      <c r="AT363" s="2372"/>
      <c r="AU363" s="2372"/>
      <c r="AV363" s="2372"/>
      <c r="AW363" s="2372"/>
      <c r="AX363" s="2372"/>
      <c r="AY363" s="2372"/>
      <c r="AZ363" s="2372"/>
      <c r="BA363" s="2372"/>
      <c r="BB363" s="2372"/>
      <c r="BC363" s="2372"/>
      <c r="BD363" s="2372"/>
      <c r="BE363" s="2372"/>
      <c r="BF363" s="2372"/>
      <c r="BG363" s="2372"/>
      <c r="BH363" s="2372"/>
      <c r="BI363" s="2372"/>
      <c r="BJ363" s="2372"/>
      <c r="BK363" s="2372"/>
      <c r="BL363" s="2372"/>
      <c r="BM363" s="2372"/>
      <c r="BN363" s="2372"/>
      <c r="BO363" s="2372"/>
      <c r="BP363" s="2372"/>
      <c r="BQ363" s="2372"/>
      <c r="BR363" s="2372"/>
      <c r="BS363" s="2372"/>
      <c r="BT363" s="2372"/>
      <c r="BU363" s="2372"/>
      <c r="BV363" s="2372"/>
      <c r="BW363" s="2372"/>
      <c r="BX363" s="2372"/>
      <c r="BY363" s="2372"/>
      <c r="BZ363" s="2372"/>
      <c r="CA363" s="2372"/>
      <c r="CB363" s="2372"/>
      <c r="CC363" s="2372"/>
      <c r="CD363" s="2372"/>
      <c r="CE363" s="2372"/>
      <c r="CF363" s="2372"/>
      <c r="CG363" s="2372"/>
      <c r="CH363" s="2372"/>
      <c r="CI363" s="2372"/>
      <c r="CJ363" s="2372"/>
      <c r="CK363" s="2372"/>
      <c r="CL363" s="2372"/>
      <c r="CM363" s="2372"/>
      <c r="CN363" s="2372"/>
      <c r="CO363" s="2372"/>
      <c r="CP363" s="2372"/>
      <c r="CQ363" s="2372"/>
      <c r="CR363" s="2372"/>
      <c r="CS363" s="2372"/>
      <c r="CT363" s="2372"/>
      <c r="CU363" s="2372"/>
      <c r="CV363" s="2372"/>
      <c r="CW363" s="2372"/>
      <c r="CX363" s="2372"/>
      <c r="CY363" s="2372"/>
      <c r="CZ363" s="2372"/>
      <c r="DA363" s="2372"/>
    </row>
    <row r="364" spans="1:105" ht="15" hidden="1" customHeight="1">
      <c r="A364" s="2372"/>
      <c r="B364" s="2372"/>
      <c r="C364" s="2372"/>
      <c r="D364" s="2372"/>
      <c r="E364" s="2372"/>
      <c r="F364" s="2372"/>
      <c r="G364" s="2372"/>
      <c r="H364" s="2372"/>
      <c r="I364" s="2372"/>
      <c r="J364" s="2372"/>
      <c r="K364" s="2372"/>
      <c r="L364" s="2372"/>
      <c r="M364" s="2372"/>
      <c r="N364" s="2372"/>
      <c r="O364" s="2372"/>
      <c r="P364" s="2372"/>
      <c r="Q364" s="2372"/>
      <c r="R364" s="2372"/>
      <c r="S364" s="2372"/>
      <c r="T364" s="2372"/>
      <c r="U364" s="2372"/>
      <c r="V364" s="2372"/>
      <c r="W364" s="2372"/>
      <c r="X364" s="2372"/>
      <c r="Y364" s="2372"/>
      <c r="Z364" s="2372"/>
      <c r="AA364" s="2372"/>
      <c r="AB364" s="2372"/>
      <c r="AC364" s="2372"/>
      <c r="AD364" s="2372"/>
      <c r="AE364" s="2372"/>
      <c r="AF364" s="2372"/>
      <c r="AG364" s="2372"/>
      <c r="AH364" s="2372"/>
      <c r="AI364" s="2372"/>
      <c r="AJ364" s="2372"/>
      <c r="AK364" s="2372"/>
      <c r="AL364" s="2372"/>
      <c r="AM364" s="2372"/>
      <c r="AN364" s="2372"/>
      <c r="AO364" s="2372"/>
      <c r="AP364" s="2372"/>
      <c r="AQ364" s="2372"/>
      <c r="AR364" s="2372"/>
      <c r="AS364" s="2372"/>
      <c r="AT364" s="2372"/>
      <c r="AU364" s="2372"/>
      <c r="AV364" s="2372"/>
      <c r="AW364" s="2372"/>
      <c r="AX364" s="2372"/>
      <c r="AY364" s="2372"/>
      <c r="AZ364" s="2372"/>
      <c r="BA364" s="2372"/>
      <c r="BB364" s="2372"/>
      <c r="BC364" s="2372"/>
      <c r="BD364" s="2372"/>
      <c r="BE364" s="2372"/>
      <c r="BF364" s="2372"/>
      <c r="BG364" s="2372"/>
      <c r="BH364" s="2372"/>
      <c r="BI364" s="2372"/>
      <c r="BJ364" s="2372"/>
      <c r="BK364" s="2372"/>
      <c r="BL364" s="2372"/>
      <c r="BM364" s="2372"/>
      <c r="BN364" s="2372"/>
      <c r="BO364" s="2372"/>
      <c r="BP364" s="2372"/>
      <c r="BQ364" s="2372"/>
      <c r="BR364" s="2372"/>
      <c r="BS364" s="2372"/>
      <c r="BT364" s="2372"/>
      <c r="BU364" s="2372"/>
      <c r="BV364" s="2372"/>
      <c r="BW364" s="2372"/>
      <c r="BX364" s="2372"/>
      <c r="BY364" s="2372"/>
      <c r="BZ364" s="2372"/>
      <c r="CA364" s="2372"/>
      <c r="CB364" s="2372"/>
      <c r="CC364" s="2372"/>
      <c r="CD364" s="2372"/>
      <c r="CE364" s="2372"/>
      <c r="CF364" s="2372"/>
      <c r="CG364" s="2372"/>
      <c r="CH364" s="2372"/>
      <c r="CI364" s="2372"/>
      <c r="CJ364" s="2372"/>
      <c r="CK364" s="2372"/>
      <c r="CL364" s="2372"/>
      <c r="CM364" s="2372"/>
      <c r="CN364" s="2372"/>
      <c r="CO364" s="2372"/>
      <c r="CP364" s="2372"/>
      <c r="CQ364" s="2372"/>
      <c r="CR364" s="2372"/>
      <c r="CS364" s="2372"/>
      <c r="CT364" s="2372"/>
      <c r="CU364" s="2372"/>
      <c r="CV364" s="2372"/>
      <c r="CW364" s="2372"/>
      <c r="CX364" s="2372"/>
      <c r="CY364" s="2372"/>
      <c r="CZ364" s="2372"/>
      <c r="DA364" s="2372"/>
    </row>
    <row r="365" spans="1:105" ht="3" hidden="1" customHeight="1">
      <c r="A365" s="2372"/>
      <c r="B365" s="2372"/>
      <c r="C365" s="2372"/>
      <c r="D365" s="2372"/>
      <c r="E365" s="2372"/>
      <c r="F365" s="2372"/>
      <c r="G365" s="2372"/>
      <c r="H365" s="2372"/>
      <c r="I365" s="2372"/>
      <c r="J365" s="2372"/>
      <c r="K365" s="2372"/>
      <c r="L365" s="2372"/>
      <c r="M365" s="2372"/>
      <c r="N365" s="2372"/>
      <c r="O365" s="2372"/>
      <c r="P365" s="2372"/>
      <c r="Q365" s="2372"/>
      <c r="R365" s="2372"/>
      <c r="S365" s="2372"/>
      <c r="T365" s="2372"/>
      <c r="U365" s="2372"/>
      <c r="V365" s="2372"/>
      <c r="W365" s="2372"/>
      <c r="X365" s="2372"/>
      <c r="Y365" s="2372"/>
      <c r="Z365" s="2372"/>
      <c r="AA365" s="2372"/>
      <c r="AB365" s="2372"/>
      <c r="AC365" s="2372"/>
      <c r="AD365" s="2372"/>
      <c r="AE365" s="2372"/>
      <c r="AF365" s="2372"/>
      <c r="AG365" s="2372"/>
      <c r="AH365" s="2372"/>
      <c r="AI365" s="2372"/>
      <c r="AJ365" s="2372"/>
      <c r="AK365" s="2372"/>
      <c r="AL365" s="2372"/>
      <c r="AM365" s="2372"/>
      <c r="AN365" s="2372"/>
      <c r="AO365" s="2372"/>
      <c r="AP365" s="2372"/>
      <c r="AQ365" s="2372"/>
      <c r="AR365" s="2372"/>
      <c r="AS365" s="2372"/>
      <c r="AT365" s="2372"/>
      <c r="AU365" s="2372"/>
      <c r="AV365" s="2372"/>
      <c r="AW365" s="2372"/>
      <c r="AX365" s="2372"/>
      <c r="AY365" s="2372"/>
      <c r="AZ365" s="2372"/>
      <c r="BA365" s="2372"/>
      <c r="BB365" s="2372"/>
      <c r="BC365" s="2372"/>
      <c r="BD365" s="2372"/>
      <c r="BE365" s="2372"/>
      <c r="BF365" s="2372"/>
      <c r="BG365" s="2372"/>
      <c r="BH365" s="2372"/>
      <c r="BI365" s="2372"/>
      <c r="BJ365" s="2372"/>
      <c r="BK365" s="2372"/>
      <c r="BL365" s="2372"/>
      <c r="BM365" s="2372"/>
      <c r="BN365" s="2372"/>
      <c r="BO365" s="2372"/>
      <c r="BP365" s="2372"/>
      <c r="BQ365" s="2372"/>
      <c r="BR365" s="2372"/>
      <c r="BS365" s="2372"/>
      <c r="BT365" s="2372"/>
      <c r="BU365" s="2372"/>
      <c r="BV365" s="2372"/>
      <c r="BW365" s="2372"/>
      <c r="BX365" s="2372"/>
      <c r="BY365" s="2372"/>
      <c r="BZ365" s="2372"/>
      <c r="CA365" s="2372"/>
      <c r="CB365" s="2372"/>
      <c r="CC365" s="2372"/>
      <c r="CD365" s="2372"/>
      <c r="CE365" s="2372"/>
      <c r="CF365" s="2372"/>
      <c r="CG365" s="2372"/>
      <c r="CH365" s="2372"/>
      <c r="CI365" s="2372"/>
      <c r="CJ365" s="2372"/>
      <c r="CK365" s="2372"/>
      <c r="CL365" s="2372"/>
      <c r="CM365" s="2372"/>
      <c r="CN365" s="2372"/>
      <c r="CO365" s="2372"/>
      <c r="CP365" s="2372"/>
      <c r="CQ365" s="2372"/>
      <c r="CR365" s="2372"/>
      <c r="CS365" s="2372"/>
      <c r="CT365" s="2372"/>
      <c r="CU365" s="2372"/>
      <c r="CV365" s="2372"/>
      <c r="CW365" s="2372"/>
      <c r="CX365" s="2372"/>
      <c r="CY365" s="2372"/>
      <c r="CZ365" s="2372"/>
      <c r="DA365" s="2372"/>
    </row>
    <row r="366" spans="1:105" ht="15" hidden="1" customHeight="1">
      <c r="A366" s="2372"/>
      <c r="B366" s="2372"/>
      <c r="C366" s="2372"/>
      <c r="D366" s="2372"/>
      <c r="E366" s="2372"/>
      <c r="F366" s="2372"/>
      <c r="G366" s="2372"/>
      <c r="H366" s="2372"/>
      <c r="I366" s="2372"/>
      <c r="J366" s="2372"/>
      <c r="K366" s="2372"/>
      <c r="L366" s="2372"/>
      <c r="M366" s="2372"/>
      <c r="N366" s="2372"/>
      <c r="O366" s="2372"/>
      <c r="P366" s="2372"/>
      <c r="Q366" s="2372"/>
      <c r="R366" s="2372"/>
      <c r="S366" s="2372"/>
      <c r="T366" s="2372"/>
      <c r="U366" s="2372"/>
      <c r="V366" s="2372"/>
      <c r="W366" s="2372"/>
      <c r="X366" s="2372"/>
      <c r="Y366" s="2372"/>
      <c r="Z366" s="2372"/>
      <c r="AA366" s="2372"/>
      <c r="AB366" s="2372"/>
      <c r="AC366" s="2372"/>
      <c r="AD366" s="2372"/>
      <c r="AE366" s="2372"/>
      <c r="AF366" s="2372"/>
      <c r="AG366" s="2372"/>
      <c r="AH366" s="2372"/>
      <c r="AI366" s="2372"/>
      <c r="AJ366" s="2372"/>
      <c r="AK366" s="2372"/>
      <c r="AL366" s="2372"/>
      <c r="AM366" s="2372"/>
      <c r="AN366" s="2372"/>
      <c r="AO366" s="2372"/>
      <c r="AP366" s="2372"/>
      <c r="AQ366" s="2372"/>
      <c r="AR366" s="2372"/>
      <c r="AS366" s="2372"/>
      <c r="AT366" s="2372"/>
      <c r="AU366" s="2372"/>
      <c r="AV366" s="2372"/>
      <c r="AW366" s="2372"/>
      <c r="AX366" s="2372"/>
      <c r="AY366" s="2372"/>
      <c r="AZ366" s="2372"/>
      <c r="BA366" s="2372"/>
      <c r="BB366" s="2372"/>
      <c r="BC366" s="2372"/>
      <c r="BD366" s="2372"/>
      <c r="BE366" s="2372"/>
      <c r="BF366" s="2372"/>
      <c r="BG366" s="2372"/>
      <c r="BH366" s="2372"/>
      <c r="BI366" s="2372"/>
      <c r="BJ366" s="2372"/>
      <c r="BK366" s="2372"/>
      <c r="BL366" s="2372"/>
      <c r="BM366" s="2372"/>
      <c r="BN366" s="2372"/>
      <c r="BO366" s="2372"/>
      <c r="BP366" s="2372"/>
      <c r="BQ366" s="2372"/>
      <c r="BR366" s="2372"/>
      <c r="BS366" s="2372"/>
      <c r="BT366" s="2372"/>
      <c r="BU366" s="2372"/>
      <c r="BV366" s="2372"/>
      <c r="BW366" s="2372"/>
      <c r="BX366" s="2372"/>
      <c r="BY366" s="2372"/>
      <c r="BZ366" s="2372"/>
      <c r="CA366" s="2372"/>
      <c r="CB366" s="2372"/>
      <c r="CC366" s="2372"/>
      <c r="CD366" s="2372"/>
      <c r="CE366" s="2372"/>
      <c r="CF366" s="2372"/>
      <c r="CG366" s="2372"/>
      <c r="CH366" s="2372"/>
      <c r="CI366" s="2372"/>
      <c r="CJ366" s="2372"/>
      <c r="CK366" s="2372"/>
      <c r="CL366" s="2372"/>
      <c r="CM366" s="2372"/>
      <c r="CN366" s="2372"/>
      <c r="CO366" s="2372"/>
      <c r="CP366" s="2372"/>
      <c r="CQ366" s="2372"/>
      <c r="CR366" s="2372"/>
      <c r="CS366" s="2372"/>
      <c r="CT366" s="2372"/>
      <c r="CU366" s="2372"/>
      <c r="CV366" s="2372"/>
      <c r="CW366" s="2372"/>
      <c r="CX366" s="2372"/>
      <c r="CY366" s="2372"/>
      <c r="CZ366" s="2372"/>
      <c r="DA366" s="2372"/>
    </row>
    <row r="367" spans="1:105" ht="3" hidden="1" customHeight="1">
      <c r="A367" s="2372"/>
      <c r="B367" s="2372"/>
      <c r="C367" s="2372"/>
      <c r="D367" s="2372"/>
      <c r="E367" s="2372"/>
      <c r="F367" s="2372"/>
      <c r="G367" s="2372"/>
      <c r="H367" s="2372"/>
      <c r="I367" s="2372"/>
      <c r="J367" s="2372"/>
      <c r="K367" s="2372"/>
      <c r="L367" s="2372"/>
      <c r="M367" s="2372"/>
      <c r="N367" s="2372"/>
      <c r="O367" s="2372"/>
      <c r="P367" s="2372"/>
      <c r="Q367" s="2372"/>
      <c r="R367" s="2372"/>
      <c r="S367" s="2372"/>
      <c r="T367" s="2372"/>
      <c r="U367" s="2372"/>
      <c r="V367" s="2372"/>
      <c r="W367" s="2372"/>
      <c r="X367" s="2372"/>
      <c r="Y367" s="2372"/>
      <c r="Z367" s="2372"/>
      <c r="AA367" s="2372"/>
      <c r="AB367" s="2372"/>
      <c r="AC367" s="2372"/>
      <c r="AD367" s="2372"/>
      <c r="AE367" s="2372"/>
      <c r="AF367" s="2372"/>
      <c r="AG367" s="2372"/>
      <c r="AH367" s="2372"/>
      <c r="AI367" s="2372"/>
      <c r="AJ367" s="2372"/>
      <c r="AK367" s="2372"/>
      <c r="AL367" s="2372"/>
      <c r="AM367" s="2372"/>
      <c r="AN367" s="2372"/>
      <c r="AO367" s="2372"/>
      <c r="AP367" s="2372"/>
      <c r="AQ367" s="2372"/>
      <c r="AR367" s="2372"/>
      <c r="AS367" s="2372"/>
      <c r="AT367" s="2372"/>
      <c r="AU367" s="2372"/>
      <c r="AV367" s="2372"/>
      <c r="AW367" s="2372"/>
      <c r="AX367" s="2372"/>
      <c r="AY367" s="2372"/>
      <c r="AZ367" s="2372"/>
      <c r="BA367" s="2372"/>
      <c r="BB367" s="2372"/>
      <c r="BC367" s="2372"/>
      <c r="BD367" s="2372"/>
      <c r="BE367" s="2372"/>
      <c r="BF367" s="2372"/>
      <c r="BG367" s="2372"/>
      <c r="BH367" s="2372"/>
      <c r="BI367" s="2372"/>
      <c r="BJ367" s="2372"/>
      <c r="BK367" s="2372"/>
      <c r="BL367" s="2372"/>
      <c r="BM367" s="2372"/>
      <c r="BN367" s="2372"/>
      <c r="BO367" s="2372"/>
      <c r="BP367" s="2372"/>
      <c r="BQ367" s="2372"/>
      <c r="BR367" s="2372"/>
      <c r="BS367" s="2372"/>
      <c r="BT367" s="2372"/>
      <c r="BU367" s="2372"/>
      <c r="BV367" s="2372"/>
      <c r="BW367" s="2372"/>
      <c r="BX367" s="2372"/>
      <c r="BY367" s="2372"/>
      <c r="BZ367" s="2372"/>
      <c r="CA367" s="2372"/>
      <c r="CB367" s="2372"/>
      <c r="CC367" s="2372"/>
      <c r="CD367" s="2372"/>
      <c r="CE367" s="2372"/>
      <c r="CF367" s="2372"/>
      <c r="CG367" s="2372"/>
      <c r="CH367" s="2372"/>
      <c r="CI367" s="2372"/>
      <c r="CJ367" s="2372"/>
      <c r="CK367" s="2372"/>
      <c r="CL367" s="2372"/>
      <c r="CM367" s="2372"/>
      <c r="CN367" s="2372"/>
      <c r="CO367" s="2372"/>
      <c r="CP367" s="2372"/>
      <c r="CQ367" s="2372"/>
      <c r="CR367" s="2372"/>
      <c r="CS367" s="2372"/>
      <c r="CT367" s="2372"/>
      <c r="CU367" s="2372"/>
      <c r="CV367" s="2372"/>
      <c r="CW367" s="2372"/>
      <c r="CX367" s="2372"/>
      <c r="CY367" s="2372"/>
      <c r="CZ367" s="2372"/>
      <c r="DA367" s="2372"/>
    </row>
    <row r="368" spans="1:105" ht="15" hidden="1" customHeight="1">
      <c r="A368" s="2372"/>
      <c r="B368" s="2372"/>
      <c r="C368" s="2372"/>
      <c r="D368" s="2372"/>
      <c r="E368" s="2372"/>
      <c r="F368" s="2372"/>
      <c r="G368" s="2372"/>
      <c r="H368" s="2372"/>
      <c r="I368" s="2372"/>
      <c r="J368" s="2372"/>
      <c r="K368" s="2372"/>
      <c r="L368" s="2372"/>
      <c r="M368" s="2372"/>
      <c r="N368" s="2372"/>
      <c r="O368" s="2372"/>
      <c r="P368" s="2372"/>
      <c r="Q368" s="2372"/>
      <c r="R368" s="2372"/>
      <c r="S368" s="2372"/>
      <c r="T368" s="2372"/>
      <c r="U368" s="2372"/>
      <c r="V368" s="2372"/>
      <c r="W368" s="2372"/>
      <c r="X368" s="2372"/>
      <c r="Y368" s="2372"/>
      <c r="Z368" s="2372"/>
      <c r="AA368" s="2372"/>
      <c r="AB368" s="2372"/>
      <c r="AC368" s="2372"/>
      <c r="AD368" s="2372"/>
      <c r="AE368" s="2372"/>
      <c r="AF368" s="2372"/>
      <c r="AG368" s="2372"/>
      <c r="AH368" s="2372"/>
      <c r="AI368" s="2372"/>
      <c r="AJ368" s="2372"/>
      <c r="AK368" s="2372"/>
      <c r="AL368" s="2372"/>
      <c r="AM368" s="2372"/>
      <c r="AN368" s="2372"/>
      <c r="AO368" s="2372"/>
      <c r="AP368" s="2372"/>
      <c r="AQ368" s="2372"/>
      <c r="AR368" s="2372"/>
      <c r="AS368" s="2372"/>
      <c r="AT368" s="2372"/>
      <c r="AU368" s="2372"/>
      <c r="AV368" s="2372"/>
      <c r="AW368" s="2372"/>
      <c r="AX368" s="2372"/>
      <c r="AY368" s="2372"/>
      <c r="AZ368" s="2372"/>
      <c r="BA368" s="2372"/>
      <c r="BB368" s="2372"/>
      <c r="BC368" s="2372"/>
      <c r="BD368" s="2372"/>
      <c r="BE368" s="2372"/>
      <c r="BF368" s="2372"/>
      <c r="BG368" s="2372"/>
      <c r="BH368" s="2372"/>
      <c r="BI368" s="2372"/>
      <c r="BJ368" s="2372"/>
      <c r="BK368" s="2372"/>
      <c r="BL368" s="2372"/>
      <c r="BM368" s="2372"/>
      <c r="BN368" s="2372"/>
      <c r="BO368" s="2372"/>
      <c r="BP368" s="2372"/>
      <c r="BQ368" s="2372"/>
      <c r="BR368" s="2372"/>
      <c r="BS368" s="2372"/>
      <c r="BT368" s="2372"/>
      <c r="BU368" s="2372"/>
      <c r="BV368" s="2372"/>
      <c r="BW368" s="2372"/>
      <c r="BX368" s="2372"/>
      <c r="BY368" s="2372"/>
      <c r="BZ368" s="2372"/>
      <c r="CA368" s="2372"/>
      <c r="CB368" s="2372"/>
      <c r="CC368" s="2372"/>
      <c r="CD368" s="2372"/>
      <c r="CE368" s="2372"/>
      <c r="CF368" s="2372"/>
      <c r="CG368" s="2372"/>
      <c r="CH368" s="2372"/>
      <c r="CI368" s="2372"/>
      <c r="CJ368" s="2372"/>
      <c r="CK368" s="2372"/>
      <c r="CL368" s="2372"/>
      <c r="CM368" s="2372"/>
      <c r="CN368" s="2372"/>
      <c r="CO368" s="2372"/>
      <c r="CP368" s="2372"/>
      <c r="CQ368" s="2372"/>
      <c r="CR368" s="2372"/>
      <c r="CS368" s="2372"/>
      <c r="CT368" s="2372"/>
      <c r="CU368" s="2372"/>
      <c r="CV368" s="2372"/>
      <c r="CW368" s="2372"/>
      <c r="CX368" s="2372"/>
      <c r="CY368" s="2372"/>
      <c r="CZ368" s="2372"/>
      <c r="DA368" s="2372"/>
    </row>
    <row r="369" spans="1:105" ht="3" hidden="1" customHeight="1">
      <c r="A369" s="2372"/>
      <c r="B369" s="2372"/>
      <c r="C369" s="2372"/>
      <c r="D369" s="2372"/>
      <c r="E369" s="2372"/>
      <c r="F369" s="2372"/>
      <c r="G369" s="2372"/>
      <c r="H369" s="2372"/>
      <c r="I369" s="2372"/>
      <c r="J369" s="2372"/>
      <c r="K369" s="2372"/>
      <c r="L369" s="2372"/>
      <c r="M369" s="2372"/>
      <c r="N369" s="2372"/>
      <c r="O369" s="2372"/>
      <c r="P369" s="2372"/>
      <c r="Q369" s="2372"/>
      <c r="R369" s="2372"/>
      <c r="S369" s="2372"/>
      <c r="T369" s="2372"/>
      <c r="U369" s="2372"/>
      <c r="V369" s="2372"/>
      <c r="W369" s="2372"/>
      <c r="X369" s="2372"/>
      <c r="Y369" s="2372"/>
      <c r="Z369" s="2372"/>
      <c r="AA369" s="2372"/>
      <c r="AB369" s="2372"/>
      <c r="AC369" s="2372"/>
      <c r="AD369" s="2372"/>
      <c r="AE369" s="2372"/>
      <c r="AF369" s="2372"/>
      <c r="AG369" s="2372"/>
      <c r="AH369" s="2372"/>
      <c r="AI369" s="2372"/>
      <c r="AJ369" s="2372"/>
      <c r="AK369" s="2372"/>
      <c r="AL369" s="2372"/>
      <c r="AM369" s="2372"/>
      <c r="AN369" s="2372"/>
      <c r="AO369" s="2372"/>
      <c r="AP369" s="2372"/>
      <c r="AQ369" s="2372"/>
      <c r="AR369" s="2372"/>
      <c r="AS369" s="2372"/>
      <c r="AT369" s="2372"/>
      <c r="AU369" s="2372"/>
      <c r="AV369" s="2372"/>
      <c r="AW369" s="2372"/>
      <c r="AX369" s="2372"/>
      <c r="AY369" s="2372"/>
      <c r="AZ369" s="2372"/>
      <c r="BA369" s="2372"/>
      <c r="BB369" s="2372"/>
      <c r="BC369" s="2372"/>
      <c r="BD369" s="2372"/>
      <c r="BE369" s="2372"/>
      <c r="BF369" s="2372"/>
      <c r="BG369" s="2372"/>
      <c r="BH369" s="2372"/>
      <c r="BI369" s="2372"/>
      <c r="BJ369" s="2372"/>
      <c r="BK369" s="2372"/>
      <c r="BL369" s="2372"/>
      <c r="BM369" s="2372"/>
      <c r="BN369" s="2372"/>
      <c r="BO369" s="2372"/>
      <c r="BP369" s="2372"/>
      <c r="BQ369" s="2372"/>
      <c r="BR369" s="2372"/>
      <c r="BS369" s="2372"/>
      <c r="BT369" s="2372"/>
      <c r="BU369" s="2372"/>
      <c r="BV369" s="2372"/>
      <c r="BW369" s="2372"/>
      <c r="BX369" s="2372"/>
      <c r="BY369" s="2372"/>
      <c r="BZ369" s="2372"/>
      <c r="CA369" s="2372"/>
      <c r="CB369" s="2372"/>
      <c r="CC369" s="2372"/>
      <c r="CD369" s="2372"/>
      <c r="CE369" s="2372"/>
      <c r="CF369" s="2372"/>
      <c r="CG369" s="2372"/>
      <c r="CH369" s="2372"/>
      <c r="CI369" s="2372"/>
      <c r="CJ369" s="2372"/>
      <c r="CK369" s="2372"/>
      <c r="CL369" s="2372"/>
      <c r="CM369" s="2372"/>
      <c r="CN369" s="2372"/>
      <c r="CO369" s="2372"/>
      <c r="CP369" s="2372"/>
      <c r="CQ369" s="2372"/>
      <c r="CR369" s="2372"/>
      <c r="CS369" s="2372"/>
      <c r="CT369" s="2372"/>
      <c r="CU369" s="2372"/>
      <c r="CV369" s="2372"/>
      <c r="CW369" s="2372"/>
      <c r="CX369" s="2372"/>
      <c r="CY369" s="2372"/>
      <c r="CZ369" s="2372"/>
      <c r="DA369" s="2372"/>
    </row>
    <row r="370" spans="1:105" ht="15" hidden="1" customHeight="1">
      <c r="A370" s="2372"/>
      <c r="B370" s="2372"/>
      <c r="U370" s="2372"/>
      <c r="V370" s="2372"/>
      <c r="W370" s="2372"/>
      <c r="X370" s="2372"/>
      <c r="Y370" s="2372"/>
      <c r="Z370" s="2372"/>
      <c r="AA370" s="2372"/>
      <c r="AB370" s="2372"/>
      <c r="AC370" s="2372"/>
      <c r="AD370" s="2372"/>
      <c r="AE370" s="2372"/>
      <c r="AF370" s="2372"/>
      <c r="AG370" s="2372"/>
      <c r="AH370" s="2372"/>
      <c r="AI370" s="2372"/>
      <c r="AJ370" s="2372"/>
      <c r="AK370" s="2372"/>
      <c r="AL370" s="2372"/>
      <c r="AM370" s="2372"/>
      <c r="AN370" s="2372"/>
      <c r="AO370" s="2372"/>
      <c r="AP370" s="2372"/>
      <c r="AQ370" s="2372"/>
      <c r="AR370" s="2372"/>
      <c r="AS370" s="2372"/>
      <c r="AT370" s="2372"/>
      <c r="AU370" s="2372"/>
      <c r="AV370" s="2372"/>
      <c r="AW370" s="2372"/>
      <c r="AX370" s="2372"/>
      <c r="AY370" s="2372"/>
      <c r="AZ370" s="2372"/>
      <c r="BA370" s="2372"/>
      <c r="BB370" s="2372"/>
      <c r="BC370" s="2372"/>
      <c r="BD370" s="2372"/>
      <c r="BE370" s="2372"/>
      <c r="BF370" s="2372"/>
      <c r="BG370" s="2372"/>
      <c r="BH370" s="2372"/>
      <c r="BI370" s="2372"/>
      <c r="BJ370" s="2372"/>
      <c r="BK370" s="2372"/>
      <c r="BL370" s="2372"/>
      <c r="BM370" s="2372"/>
      <c r="BN370" s="2372"/>
      <c r="BO370" s="2372"/>
      <c r="BP370" s="2372"/>
      <c r="BQ370" s="2372"/>
      <c r="BR370" s="2372"/>
      <c r="BS370" s="2372"/>
      <c r="BT370" s="2372"/>
      <c r="BU370" s="2372"/>
      <c r="BV370" s="2372"/>
      <c r="BW370" s="2372"/>
      <c r="BX370" s="2372"/>
      <c r="BY370" s="2372"/>
      <c r="BZ370" s="2372"/>
      <c r="CA370" s="2372"/>
      <c r="CB370" s="2372"/>
      <c r="CC370" s="2372"/>
      <c r="CD370" s="2372"/>
      <c r="CE370" s="2372"/>
      <c r="CF370" s="2372"/>
      <c r="CG370" s="2372"/>
      <c r="CH370" s="2372"/>
      <c r="CI370" s="2372"/>
      <c r="CJ370" s="2372"/>
      <c r="CK370" s="2372"/>
      <c r="CL370" s="2372"/>
      <c r="CM370" s="2372"/>
      <c r="CN370" s="2372"/>
      <c r="CO370" s="2372"/>
      <c r="CP370" s="2372"/>
      <c r="CQ370" s="2372"/>
      <c r="CR370" s="2372"/>
      <c r="CS370" s="2372"/>
      <c r="CT370" s="2372"/>
      <c r="CU370" s="2372"/>
      <c r="CV370" s="2372"/>
      <c r="CW370" s="2372"/>
      <c r="CX370" s="2372"/>
      <c r="CY370" s="2372"/>
      <c r="CZ370" s="2372"/>
      <c r="DA370" s="2372"/>
    </row>
    <row r="371" spans="1:105" ht="3" hidden="1" customHeight="1">
      <c r="A371" s="2372"/>
      <c r="B371" s="2372"/>
      <c r="U371" s="2372"/>
      <c r="V371" s="2372"/>
      <c r="W371" s="2372"/>
      <c r="X371" s="2372"/>
      <c r="Y371" s="2372"/>
      <c r="Z371" s="2372"/>
      <c r="AA371" s="2372"/>
      <c r="AB371" s="2372"/>
      <c r="AC371" s="2372"/>
      <c r="AD371" s="2372"/>
      <c r="AE371" s="2372"/>
      <c r="AF371" s="2372"/>
      <c r="AG371" s="2372"/>
      <c r="AH371" s="2372"/>
      <c r="AI371" s="2372"/>
      <c r="AJ371" s="2372"/>
      <c r="AK371" s="2372"/>
      <c r="AL371" s="2372"/>
      <c r="AM371" s="2372"/>
      <c r="AN371" s="2372"/>
      <c r="AO371" s="2372"/>
      <c r="AP371" s="2372"/>
      <c r="AQ371" s="2372"/>
      <c r="AR371" s="2372"/>
      <c r="AS371" s="2372"/>
      <c r="AT371" s="2372"/>
      <c r="AU371" s="2372"/>
      <c r="AV371" s="2372"/>
      <c r="AW371" s="2372"/>
      <c r="AX371" s="2372"/>
      <c r="AY371" s="2372"/>
      <c r="AZ371" s="2372"/>
      <c r="BA371" s="2372"/>
      <c r="BB371" s="2372"/>
      <c r="BC371" s="2372"/>
      <c r="BD371" s="2372"/>
      <c r="BE371" s="2372"/>
      <c r="BF371" s="2372"/>
      <c r="BG371" s="2372"/>
      <c r="BH371" s="2372"/>
      <c r="BI371" s="2372"/>
      <c r="BJ371" s="2372"/>
      <c r="BK371" s="2372"/>
      <c r="BL371" s="2372"/>
      <c r="BM371" s="2372"/>
      <c r="BN371" s="2372"/>
      <c r="BO371" s="2372"/>
      <c r="BP371" s="2372"/>
      <c r="BQ371" s="2372"/>
      <c r="BR371" s="2372"/>
      <c r="BS371" s="2372"/>
      <c r="BT371" s="2372"/>
      <c r="BU371" s="2372"/>
      <c r="BV371" s="2372"/>
      <c r="BW371" s="2372"/>
      <c r="BX371" s="2372"/>
      <c r="BY371" s="2372"/>
      <c r="BZ371" s="2372"/>
      <c r="CA371" s="2372"/>
      <c r="CB371" s="2372"/>
      <c r="CC371" s="2372"/>
      <c r="CD371" s="2372"/>
      <c r="CE371" s="2372"/>
      <c r="CF371" s="2372"/>
      <c r="CG371" s="2372"/>
      <c r="CH371" s="2372"/>
      <c r="CI371" s="2372"/>
      <c r="CJ371" s="2372"/>
      <c r="CK371" s="2372"/>
      <c r="CL371" s="2372"/>
      <c r="CM371" s="2372"/>
      <c r="CN371" s="2372"/>
      <c r="CO371" s="2372"/>
      <c r="CP371" s="2372"/>
      <c r="CQ371" s="2372"/>
      <c r="CR371" s="2372"/>
      <c r="CS371" s="2372"/>
      <c r="CT371" s="2372"/>
      <c r="CU371" s="2372"/>
      <c r="CV371" s="2372"/>
      <c r="CW371" s="2372"/>
      <c r="CX371" s="2372"/>
      <c r="CY371" s="2372"/>
      <c r="CZ371" s="2372"/>
      <c r="DA371" s="2372"/>
    </row>
    <row r="372" spans="1:105" ht="15" hidden="1" customHeight="1">
      <c r="A372" s="2372"/>
      <c r="B372" s="2372"/>
      <c r="U372" s="2372"/>
      <c r="V372" s="2372"/>
      <c r="W372" s="2372"/>
      <c r="X372" s="2372"/>
      <c r="Y372" s="2372"/>
      <c r="Z372" s="2372"/>
      <c r="AA372" s="2372"/>
      <c r="AB372" s="2372"/>
      <c r="AC372" s="2372"/>
      <c r="AD372" s="2372"/>
      <c r="AE372" s="2372"/>
      <c r="AF372" s="2372"/>
      <c r="AG372" s="2372"/>
      <c r="AH372" s="2372"/>
      <c r="AI372" s="2372"/>
      <c r="AJ372" s="2372"/>
      <c r="AK372" s="2372"/>
      <c r="AL372" s="2372"/>
      <c r="AM372" s="2372"/>
      <c r="AN372" s="2372"/>
      <c r="AO372" s="2372"/>
      <c r="AP372" s="2372"/>
      <c r="AQ372" s="2372"/>
      <c r="AR372" s="2372"/>
      <c r="AS372" s="2372"/>
      <c r="AT372" s="2372"/>
      <c r="AU372" s="2372"/>
      <c r="AV372" s="2372"/>
      <c r="AW372" s="2372"/>
      <c r="AX372" s="2372"/>
      <c r="AY372" s="2372"/>
      <c r="AZ372" s="2372"/>
      <c r="BA372" s="2372"/>
      <c r="BB372" s="2372"/>
      <c r="BC372" s="2372"/>
      <c r="BD372" s="2372"/>
      <c r="BE372" s="2372"/>
      <c r="BF372" s="2372"/>
      <c r="BG372" s="2372"/>
      <c r="BH372" s="2372"/>
      <c r="BI372" s="2372"/>
      <c r="BJ372" s="2372"/>
      <c r="BK372" s="2372"/>
      <c r="BL372" s="2372"/>
      <c r="BM372" s="2372"/>
      <c r="BN372" s="2372"/>
      <c r="BO372" s="2372"/>
      <c r="BP372" s="2372"/>
      <c r="BQ372" s="2372"/>
      <c r="BR372" s="2372"/>
      <c r="BS372" s="2372"/>
      <c r="BT372" s="2372"/>
      <c r="BU372" s="2372"/>
      <c r="BV372" s="2372"/>
      <c r="BW372" s="2372"/>
      <c r="BX372" s="2372"/>
      <c r="BY372" s="2372"/>
      <c r="BZ372" s="2372"/>
      <c r="CA372" s="2372"/>
      <c r="CB372" s="2372"/>
      <c r="CC372" s="2372"/>
      <c r="CD372" s="2372"/>
      <c r="CE372" s="2372"/>
      <c r="CF372" s="2372"/>
      <c r="CG372" s="2372"/>
      <c r="CH372" s="2372"/>
      <c r="CI372" s="2372"/>
      <c r="CJ372" s="2372"/>
      <c r="CK372" s="2372"/>
      <c r="CL372" s="2372"/>
      <c r="CM372" s="2372"/>
      <c r="CN372" s="2372"/>
      <c r="CO372" s="2372"/>
      <c r="CP372" s="2372"/>
      <c r="CQ372" s="2372"/>
      <c r="CR372" s="2372"/>
      <c r="CS372" s="2372"/>
      <c r="CT372" s="2372"/>
      <c r="CU372" s="2372"/>
      <c r="CV372" s="2372"/>
      <c r="CW372" s="2372"/>
      <c r="CX372" s="2372"/>
      <c r="CY372" s="2372"/>
      <c r="CZ372" s="2372"/>
      <c r="DA372" s="2372"/>
    </row>
    <row r="373" spans="1:105" ht="3" hidden="1" customHeight="1">
      <c r="A373" s="2372"/>
      <c r="B373" s="2372"/>
      <c r="U373" s="2372"/>
      <c r="V373" s="2372"/>
      <c r="W373" s="2372"/>
      <c r="X373" s="2372"/>
      <c r="Y373" s="2372"/>
      <c r="Z373" s="2372"/>
      <c r="AA373" s="2372"/>
      <c r="AB373" s="2372"/>
      <c r="AC373" s="2372"/>
      <c r="AD373" s="2372"/>
      <c r="AE373" s="2372"/>
      <c r="AF373" s="2372"/>
      <c r="AG373" s="2372"/>
      <c r="AH373" s="2372"/>
      <c r="AI373" s="2372"/>
      <c r="AJ373" s="2372"/>
      <c r="AK373" s="2372"/>
      <c r="AL373" s="2372"/>
      <c r="AM373" s="2372"/>
      <c r="AN373" s="2372"/>
      <c r="AO373" s="2372"/>
      <c r="AP373" s="2372"/>
      <c r="AQ373" s="2372"/>
      <c r="AR373" s="2372"/>
      <c r="AS373" s="2372"/>
      <c r="AT373" s="2372"/>
      <c r="AU373" s="2372"/>
      <c r="AV373" s="2372"/>
      <c r="AW373" s="2372"/>
      <c r="AX373" s="2372"/>
      <c r="AY373" s="2372"/>
      <c r="AZ373" s="2372"/>
      <c r="BA373" s="2372"/>
      <c r="BB373" s="2372"/>
      <c r="BC373" s="2372"/>
      <c r="BD373" s="2372"/>
      <c r="BE373" s="2372"/>
      <c r="BF373" s="2372"/>
      <c r="BG373" s="2372"/>
      <c r="BH373" s="2372"/>
      <c r="BI373" s="2372"/>
      <c r="BJ373" s="2372"/>
      <c r="BK373" s="2372"/>
      <c r="BL373" s="2372"/>
      <c r="BM373" s="2372"/>
      <c r="BN373" s="2372"/>
      <c r="BO373" s="2372"/>
      <c r="BP373" s="2372"/>
      <c r="BQ373" s="2372"/>
      <c r="BR373" s="2372"/>
      <c r="BS373" s="2372"/>
      <c r="BT373" s="2372"/>
      <c r="BU373" s="2372"/>
      <c r="BV373" s="2372"/>
      <c r="BW373" s="2372"/>
      <c r="BX373" s="2372"/>
      <c r="BY373" s="2372"/>
      <c r="BZ373" s="2372"/>
      <c r="CA373" s="2372"/>
      <c r="CB373" s="2372"/>
      <c r="CC373" s="2372"/>
      <c r="CD373" s="2372"/>
      <c r="CE373" s="2372"/>
      <c r="CF373" s="2372"/>
      <c r="CG373" s="2372"/>
      <c r="CH373" s="2372"/>
      <c r="CI373" s="2372"/>
      <c r="CJ373" s="2372"/>
      <c r="CK373" s="2372"/>
      <c r="CL373" s="2372"/>
      <c r="CM373" s="2372"/>
      <c r="CN373" s="2372"/>
      <c r="CO373" s="2372"/>
      <c r="CP373" s="2372"/>
      <c r="CQ373" s="2372"/>
      <c r="CR373" s="2372"/>
      <c r="CS373" s="2372"/>
      <c r="CT373" s="2372"/>
      <c r="CU373" s="2372"/>
      <c r="CV373" s="2372"/>
      <c r="CW373" s="2372"/>
      <c r="CX373" s="2372"/>
      <c r="CY373" s="2372"/>
      <c r="CZ373" s="2372"/>
      <c r="DA373" s="2372"/>
    </row>
    <row r="374" spans="1:105" ht="15" hidden="1" customHeight="1">
      <c r="A374" s="2372"/>
      <c r="B374" s="2372"/>
      <c r="U374" s="2372"/>
      <c r="V374" s="2372"/>
      <c r="W374" s="2372"/>
      <c r="X374" s="2372"/>
      <c r="Y374" s="2372"/>
      <c r="Z374" s="2372"/>
      <c r="AA374" s="2372"/>
      <c r="AB374" s="2372"/>
      <c r="AC374" s="2372"/>
      <c r="AD374" s="2372"/>
      <c r="AE374" s="2372"/>
      <c r="AF374" s="2372"/>
      <c r="AG374" s="2372"/>
      <c r="AH374" s="2372"/>
      <c r="AI374" s="2372"/>
      <c r="AJ374" s="2372"/>
      <c r="AK374" s="2372"/>
      <c r="AL374" s="2372"/>
      <c r="AM374" s="2372"/>
      <c r="AN374" s="2372"/>
      <c r="AO374" s="2372"/>
      <c r="AP374" s="2372"/>
      <c r="AQ374" s="2372"/>
      <c r="AR374" s="2372"/>
      <c r="AS374" s="2372"/>
      <c r="AT374" s="2372"/>
      <c r="AU374" s="2372"/>
      <c r="AV374" s="2372"/>
      <c r="AW374" s="2372"/>
      <c r="AX374" s="2372"/>
      <c r="AY374" s="2372"/>
      <c r="AZ374" s="2372"/>
      <c r="BA374" s="2372"/>
      <c r="BB374" s="2372"/>
      <c r="BC374" s="2372"/>
      <c r="BD374" s="2372"/>
      <c r="BE374" s="2372"/>
      <c r="BF374" s="2372"/>
      <c r="BG374" s="2372"/>
      <c r="BH374" s="2372"/>
      <c r="BI374" s="2372"/>
      <c r="BJ374" s="2372"/>
      <c r="BK374" s="2372"/>
      <c r="BL374" s="2372"/>
      <c r="BM374" s="2372"/>
      <c r="BN374" s="2372"/>
      <c r="BO374" s="2372"/>
      <c r="BP374" s="2372"/>
      <c r="BQ374" s="2372"/>
      <c r="BR374" s="2372"/>
      <c r="BS374" s="2372"/>
      <c r="BT374" s="2372"/>
      <c r="BU374" s="2372"/>
      <c r="BV374" s="2372"/>
      <c r="BW374" s="2372"/>
      <c r="BX374" s="2372"/>
      <c r="BY374" s="2372"/>
      <c r="BZ374" s="2372"/>
      <c r="CA374" s="2372"/>
      <c r="CB374" s="2372"/>
      <c r="CC374" s="2372"/>
      <c r="CD374" s="2372"/>
      <c r="CE374" s="2372"/>
      <c r="CF374" s="2372"/>
      <c r="CG374" s="2372"/>
      <c r="CH374" s="2372"/>
      <c r="CI374" s="2372"/>
      <c r="CJ374" s="2372"/>
      <c r="CK374" s="2372"/>
      <c r="CL374" s="2372"/>
      <c r="CM374" s="2372"/>
      <c r="CN374" s="2372"/>
      <c r="CO374" s="2372"/>
      <c r="CP374" s="2372"/>
      <c r="CQ374" s="2372"/>
      <c r="CR374" s="2372"/>
      <c r="CS374" s="2372"/>
      <c r="CT374" s="2372"/>
      <c r="CU374" s="2372"/>
      <c r="CV374" s="2372"/>
      <c r="CW374" s="2372"/>
      <c r="CX374" s="2372"/>
      <c r="CY374" s="2372"/>
      <c r="CZ374" s="2372"/>
      <c r="DA374" s="2372"/>
    </row>
    <row r="375" spans="1:105" ht="3" hidden="1" customHeight="1">
      <c r="A375" s="2372"/>
      <c r="B375" s="2372"/>
      <c r="U375" s="2372"/>
      <c r="V375" s="2372"/>
      <c r="W375" s="2372"/>
      <c r="X375" s="2372"/>
      <c r="Y375" s="2372"/>
      <c r="Z375" s="2372"/>
      <c r="AA375" s="2372"/>
      <c r="AB375" s="2372"/>
      <c r="AC375" s="2372"/>
      <c r="AD375" s="2372"/>
      <c r="AE375" s="2372"/>
      <c r="AF375" s="2372"/>
      <c r="AG375" s="2372"/>
      <c r="AH375" s="2372"/>
      <c r="AI375" s="2372"/>
      <c r="AJ375" s="2372"/>
      <c r="AK375" s="2372"/>
      <c r="AL375" s="2372"/>
      <c r="AM375" s="2372"/>
      <c r="AN375" s="2372"/>
      <c r="AO375" s="2372"/>
      <c r="AP375" s="2372"/>
      <c r="AQ375" s="2372"/>
      <c r="AR375" s="2372"/>
      <c r="AS375" s="2372"/>
      <c r="AT375" s="2372"/>
      <c r="AU375" s="2372"/>
      <c r="AV375" s="2372"/>
      <c r="AW375" s="2372"/>
      <c r="AX375" s="2372"/>
      <c r="AY375" s="2372"/>
      <c r="AZ375" s="2372"/>
      <c r="BA375" s="2372"/>
      <c r="BB375" s="2372"/>
      <c r="BC375" s="2372"/>
      <c r="BD375" s="2372"/>
      <c r="BE375" s="2372"/>
      <c r="BF375" s="2372"/>
      <c r="BG375" s="2372"/>
      <c r="BH375" s="2372"/>
      <c r="BI375" s="2372"/>
      <c r="BJ375" s="2372"/>
      <c r="BK375" s="2372"/>
      <c r="BL375" s="2372"/>
      <c r="BM375" s="2372"/>
      <c r="BN375" s="2372"/>
      <c r="BO375" s="2372"/>
      <c r="BP375" s="2372"/>
      <c r="BQ375" s="2372"/>
      <c r="BR375" s="2372"/>
      <c r="BS375" s="2372"/>
      <c r="BT375" s="2372"/>
      <c r="BU375" s="2372"/>
      <c r="BV375" s="2372"/>
      <c r="BW375" s="2372"/>
      <c r="BX375" s="2372"/>
      <c r="BY375" s="2372"/>
      <c r="BZ375" s="2372"/>
      <c r="CA375" s="2372"/>
      <c r="CB375" s="2372"/>
      <c r="CC375" s="2372"/>
      <c r="CD375" s="2372"/>
      <c r="CE375" s="2372"/>
      <c r="CF375" s="2372"/>
      <c r="CG375" s="2372"/>
      <c r="CH375" s="2372"/>
      <c r="CI375" s="2372"/>
      <c r="CJ375" s="2372"/>
      <c r="CK375" s="2372"/>
      <c r="CL375" s="2372"/>
      <c r="CM375" s="2372"/>
      <c r="CN375" s="2372"/>
      <c r="CO375" s="2372"/>
      <c r="CP375" s="2372"/>
      <c r="CQ375" s="2372"/>
      <c r="CR375" s="2372"/>
      <c r="CS375" s="2372"/>
      <c r="CT375" s="2372"/>
      <c r="CU375" s="2372"/>
      <c r="CV375" s="2372"/>
      <c r="CW375" s="2372"/>
      <c r="CX375" s="2372"/>
      <c r="CY375" s="2372"/>
      <c r="CZ375" s="2372"/>
      <c r="DA375" s="2372"/>
    </row>
    <row r="376" spans="1:105" ht="15" hidden="1" customHeight="1">
      <c r="A376" s="2372"/>
      <c r="B376" s="2372"/>
      <c r="U376" s="2372"/>
      <c r="V376" s="2372"/>
      <c r="W376" s="2372"/>
      <c r="X376" s="2372"/>
      <c r="Y376" s="2372"/>
      <c r="Z376" s="2372"/>
      <c r="AA376" s="2372"/>
      <c r="AB376" s="2372"/>
      <c r="AC376" s="2372"/>
      <c r="AD376" s="2372"/>
      <c r="AE376" s="2372"/>
      <c r="AF376" s="2372"/>
      <c r="AG376" s="2372"/>
      <c r="AH376" s="2372"/>
      <c r="AI376" s="2372"/>
      <c r="AJ376" s="2372"/>
      <c r="AK376" s="2372"/>
      <c r="AL376" s="2372"/>
      <c r="AM376" s="2372"/>
      <c r="AN376" s="2372"/>
      <c r="AO376" s="2372"/>
      <c r="AP376" s="2372"/>
      <c r="AQ376" s="2372"/>
      <c r="AR376" s="2372"/>
      <c r="AS376" s="2372"/>
      <c r="AT376" s="2372"/>
      <c r="AU376" s="2372"/>
      <c r="AV376" s="2372"/>
      <c r="AW376" s="2372"/>
      <c r="AX376" s="2372"/>
      <c r="AY376" s="2372"/>
      <c r="AZ376" s="2372"/>
      <c r="BA376" s="2372"/>
      <c r="BB376" s="2372"/>
      <c r="BC376" s="2372"/>
      <c r="BD376" s="2372"/>
      <c r="BE376" s="2372"/>
      <c r="BF376" s="2372"/>
      <c r="BG376" s="2372"/>
      <c r="BH376" s="2372"/>
      <c r="BI376" s="2372"/>
      <c r="BJ376" s="2372"/>
      <c r="BK376" s="2372"/>
      <c r="BL376" s="2372"/>
      <c r="BM376" s="2372"/>
      <c r="BN376" s="2372"/>
      <c r="BO376" s="2372"/>
      <c r="BP376" s="2372"/>
      <c r="BQ376" s="2372"/>
      <c r="BR376" s="2372"/>
      <c r="BS376" s="2372"/>
      <c r="BT376" s="2372"/>
      <c r="BU376" s="2372"/>
      <c r="BV376" s="2372"/>
      <c r="BW376" s="2372"/>
      <c r="BX376" s="2372"/>
      <c r="BY376" s="2372"/>
      <c r="BZ376" s="2372"/>
      <c r="CA376" s="2372"/>
      <c r="CB376" s="2372"/>
      <c r="CC376" s="2372"/>
      <c r="CD376" s="2372"/>
      <c r="CE376" s="2372"/>
      <c r="CF376" s="2372"/>
      <c r="CG376" s="2372"/>
      <c r="CH376" s="2372"/>
      <c r="CI376" s="2372"/>
      <c r="CJ376" s="2372"/>
      <c r="CK376" s="2372"/>
      <c r="CL376" s="2372"/>
      <c r="CM376" s="2372"/>
      <c r="CN376" s="2372"/>
      <c r="CO376" s="2372"/>
      <c r="CP376" s="2372"/>
      <c r="CQ376" s="2372"/>
      <c r="CR376" s="2372"/>
      <c r="CS376" s="2372"/>
      <c r="CT376" s="2372"/>
      <c r="CU376" s="2372"/>
      <c r="CV376" s="2372"/>
      <c r="CW376" s="2372"/>
      <c r="CX376" s="2372"/>
      <c r="CY376" s="2372"/>
      <c r="CZ376" s="2372"/>
      <c r="DA376" s="2372"/>
    </row>
    <row r="377" spans="1:105" ht="3" hidden="1" customHeight="1">
      <c r="A377" s="2372"/>
      <c r="B377" s="2372"/>
      <c r="U377" s="2372"/>
      <c r="V377" s="2372"/>
      <c r="W377" s="2372"/>
      <c r="X377" s="2372"/>
      <c r="Y377" s="2372"/>
      <c r="Z377" s="2372"/>
      <c r="AA377" s="2372"/>
      <c r="AB377" s="2372"/>
      <c r="AC377" s="2372"/>
      <c r="AD377" s="2372"/>
      <c r="AE377" s="2372"/>
      <c r="AF377" s="2372"/>
      <c r="AG377" s="2372"/>
      <c r="AH377" s="2372"/>
      <c r="AI377" s="2372"/>
      <c r="AJ377" s="2372"/>
      <c r="AK377" s="2372"/>
      <c r="AL377" s="2372"/>
      <c r="AM377" s="2372"/>
      <c r="AN377" s="2372"/>
      <c r="AO377" s="2372"/>
      <c r="AP377" s="2372"/>
      <c r="AQ377" s="2372"/>
      <c r="AR377" s="2372"/>
      <c r="AS377" s="2372"/>
      <c r="AT377" s="2372"/>
      <c r="AU377" s="2372"/>
      <c r="AV377" s="2372"/>
      <c r="AW377" s="2372"/>
      <c r="AX377" s="2372"/>
      <c r="AY377" s="2372"/>
      <c r="AZ377" s="2372"/>
      <c r="BA377" s="2372"/>
      <c r="BB377" s="2372"/>
      <c r="BC377" s="2372"/>
      <c r="BD377" s="2372"/>
      <c r="BE377" s="2372"/>
      <c r="BF377" s="2372"/>
      <c r="BG377" s="2372"/>
      <c r="BH377" s="2372"/>
      <c r="BI377" s="2372"/>
      <c r="BJ377" s="2372"/>
      <c r="BK377" s="2372"/>
      <c r="BL377" s="2372"/>
      <c r="BM377" s="2372"/>
      <c r="BN377" s="2372"/>
      <c r="BO377" s="2372"/>
      <c r="BP377" s="2372"/>
      <c r="BQ377" s="2372"/>
      <c r="BR377" s="2372"/>
      <c r="BS377" s="2372"/>
      <c r="BT377" s="2372"/>
      <c r="BU377" s="2372"/>
      <c r="BV377" s="2372"/>
      <c r="BW377" s="2372"/>
      <c r="BX377" s="2372"/>
      <c r="BY377" s="2372"/>
      <c r="BZ377" s="2372"/>
      <c r="CA377" s="2372"/>
      <c r="CB377" s="2372"/>
      <c r="CC377" s="2372"/>
      <c r="CD377" s="2372"/>
      <c r="CE377" s="2372"/>
      <c r="CF377" s="2372"/>
      <c r="CG377" s="2372"/>
      <c r="CH377" s="2372"/>
      <c r="CI377" s="2372"/>
      <c r="CJ377" s="2372"/>
      <c r="CK377" s="2372"/>
      <c r="CL377" s="2372"/>
      <c r="CM377" s="2372"/>
      <c r="CN377" s="2372"/>
      <c r="CO377" s="2372"/>
      <c r="CP377" s="2372"/>
      <c r="CQ377" s="2372"/>
      <c r="CR377" s="2372"/>
      <c r="CS377" s="2372"/>
      <c r="CT377" s="2372"/>
      <c r="CU377" s="2372"/>
      <c r="CV377" s="2372"/>
      <c r="CW377" s="2372"/>
      <c r="CX377" s="2372"/>
      <c r="CY377" s="2372"/>
      <c r="CZ377" s="2372"/>
      <c r="DA377" s="2372"/>
    </row>
    <row r="378" spans="1:105" ht="15" hidden="1" customHeight="1">
      <c r="A378" s="2372"/>
      <c r="B378" s="2372"/>
      <c r="U378" s="2372"/>
      <c r="V378" s="2372"/>
      <c r="W378" s="2372"/>
      <c r="X378" s="2372"/>
      <c r="Y378" s="2372"/>
      <c r="Z378" s="2372"/>
      <c r="AA378" s="2372"/>
      <c r="AB378" s="2372"/>
      <c r="AC378" s="2372"/>
      <c r="AD378" s="2372"/>
      <c r="AE378" s="2372"/>
      <c r="AF378" s="2372"/>
      <c r="AG378" s="2372"/>
      <c r="AH378" s="2372"/>
      <c r="AI378" s="2372"/>
      <c r="AJ378" s="2372"/>
      <c r="AK378" s="2372"/>
      <c r="AL378" s="2372"/>
      <c r="AM378" s="2372"/>
      <c r="AN378" s="2372"/>
      <c r="AO378" s="2372"/>
      <c r="AP378" s="2372"/>
      <c r="AQ378" s="2372"/>
      <c r="AR378" s="2372"/>
      <c r="AS378" s="2372"/>
      <c r="AT378" s="2372"/>
      <c r="AU378" s="2372"/>
      <c r="AV378" s="2372"/>
      <c r="AW378" s="2372"/>
      <c r="AX378" s="2372"/>
      <c r="AY378" s="2372"/>
      <c r="AZ378" s="2372"/>
      <c r="BA378" s="2372"/>
      <c r="BB378" s="2372"/>
      <c r="BC378" s="2372"/>
      <c r="BD378" s="2372"/>
      <c r="BE378" s="2372"/>
      <c r="BF378" s="2372"/>
      <c r="BG378" s="2372"/>
      <c r="BH378" s="2372"/>
      <c r="BI378" s="2372"/>
      <c r="BJ378" s="2372"/>
      <c r="BK378" s="2372"/>
      <c r="BL378" s="2372"/>
      <c r="BM378" s="2372"/>
      <c r="BN378" s="2372"/>
      <c r="BO378" s="2372"/>
      <c r="BP378" s="2372"/>
      <c r="BQ378" s="2372"/>
      <c r="BR378" s="2372"/>
      <c r="BS378" s="2372"/>
      <c r="BT378" s="2372"/>
      <c r="BU378" s="2372"/>
      <c r="BV378" s="2372"/>
      <c r="BW378" s="2372"/>
      <c r="BX378" s="2372"/>
      <c r="BY378" s="2372"/>
      <c r="BZ378" s="2372"/>
      <c r="CA378" s="2372"/>
      <c r="CB378" s="2372"/>
      <c r="CC378" s="2372"/>
      <c r="CD378" s="2372"/>
      <c r="CE378" s="2372"/>
      <c r="CF378" s="2372"/>
      <c r="CG378" s="2372"/>
      <c r="CH378" s="2372"/>
      <c r="CI378" s="2372"/>
      <c r="CJ378" s="2372"/>
      <c r="CK378" s="2372"/>
      <c r="CL378" s="2372"/>
      <c r="CM378" s="2372"/>
      <c r="CN378" s="2372"/>
      <c r="CO378" s="2372"/>
      <c r="CP378" s="2372"/>
      <c r="CQ378" s="2372"/>
      <c r="CR378" s="2372"/>
      <c r="CS378" s="2372"/>
      <c r="CT378" s="2372"/>
      <c r="CU378" s="2372"/>
      <c r="CV378" s="2372"/>
      <c r="CW378" s="2372"/>
      <c r="CX378" s="2372"/>
      <c r="CY378" s="2372"/>
      <c r="CZ378" s="2372"/>
      <c r="DA378" s="2372"/>
    </row>
    <row r="379" spans="1:105" ht="3" hidden="1" customHeight="1">
      <c r="A379" s="2372"/>
      <c r="B379" s="2372"/>
      <c r="U379" s="2372"/>
      <c r="V379" s="2372"/>
      <c r="W379" s="2372"/>
      <c r="X379" s="2372"/>
      <c r="Y379" s="2372"/>
      <c r="Z379" s="2372"/>
      <c r="AA379" s="2372"/>
      <c r="AB379" s="2372"/>
      <c r="AC379" s="2372"/>
      <c r="AD379" s="2372"/>
      <c r="AE379" s="2372"/>
      <c r="AF379" s="2372"/>
      <c r="AG379" s="2372"/>
      <c r="AH379" s="2372"/>
      <c r="AI379" s="2372"/>
      <c r="AJ379" s="2372"/>
      <c r="AK379" s="2372"/>
      <c r="AL379" s="2372"/>
      <c r="AM379" s="2372"/>
      <c r="AN379" s="2372"/>
      <c r="AO379" s="2372"/>
      <c r="AP379" s="2372"/>
      <c r="AQ379" s="2372"/>
      <c r="AR379" s="2372"/>
      <c r="AS379" s="2372"/>
      <c r="AT379" s="2372"/>
      <c r="AU379" s="2372"/>
      <c r="AV379" s="2372"/>
      <c r="AW379" s="2372"/>
      <c r="AX379" s="2372"/>
      <c r="AY379" s="2372"/>
      <c r="AZ379" s="2372"/>
      <c r="BA379" s="2372"/>
      <c r="BB379" s="2372"/>
      <c r="BC379" s="2372"/>
      <c r="BD379" s="2372"/>
      <c r="BE379" s="2372"/>
      <c r="BF379" s="2372"/>
      <c r="BG379" s="2372"/>
      <c r="BH379" s="2372"/>
      <c r="BI379" s="2372"/>
      <c r="BJ379" s="2372"/>
      <c r="BK379" s="2372"/>
      <c r="BL379" s="2372"/>
      <c r="BM379" s="2372"/>
      <c r="BN379" s="2372"/>
      <c r="BO379" s="2372"/>
      <c r="BP379" s="2372"/>
      <c r="BQ379" s="2372"/>
      <c r="BR379" s="2372"/>
      <c r="BS379" s="2372"/>
      <c r="BT379" s="2372"/>
      <c r="BU379" s="2372"/>
      <c r="BV379" s="2372"/>
      <c r="BW379" s="2372"/>
      <c r="BX379" s="2372"/>
      <c r="BY379" s="2372"/>
      <c r="BZ379" s="2372"/>
      <c r="CA379" s="2372"/>
      <c r="CB379" s="2372"/>
      <c r="CC379" s="2372"/>
      <c r="CD379" s="2372"/>
      <c r="CE379" s="2372"/>
      <c r="CF379" s="2372"/>
      <c r="CG379" s="2372"/>
      <c r="CH379" s="2372"/>
      <c r="CI379" s="2372"/>
      <c r="CJ379" s="2372"/>
      <c r="CK379" s="2372"/>
      <c r="CL379" s="2372"/>
      <c r="CM379" s="2372"/>
      <c r="CN379" s="2372"/>
      <c r="CO379" s="2372"/>
      <c r="CP379" s="2372"/>
      <c r="CQ379" s="2372"/>
      <c r="CR379" s="2372"/>
      <c r="CS379" s="2372"/>
      <c r="CT379" s="2372"/>
      <c r="CU379" s="2372"/>
      <c r="CV379" s="2372"/>
      <c r="CW379" s="2372"/>
      <c r="CX379" s="2372"/>
      <c r="CY379" s="2372"/>
      <c r="CZ379" s="2372"/>
      <c r="DA379" s="2372"/>
    </row>
    <row r="380" spans="1:105" ht="15" hidden="1" customHeight="1">
      <c r="A380" s="2372"/>
      <c r="B380" s="2372"/>
      <c r="U380" s="2372"/>
      <c r="V380" s="2372"/>
      <c r="W380" s="2372"/>
      <c r="X380" s="2372"/>
      <c r="Y380" s="2372"/>
      <c r="Z380" s="2372"/>
      <c r="AA380" s="2372"/>
      <c r="AB380" s="2372"/>
      <c r="AC380" s="2372"/>
      <c r="AD380" s="2372"/>
      <c r="AE380" s="2372"/>
      <c r="AF380" s="2372"/>
      <c r="AG380" s="2372"/>
      <c r="AH380" s="2372"/>
      <c r="AI380" s="2372"/>
      <c r="AJ380" s="2372"/>
      <c r="AK380" s="2372"/>
      <c r="AL380" s="2372"/>
      <c r="AM380" s="2372"/>
      <c r="AN380" s="2372"/>
      <c r="AO380" s="2372"/>
      <c r="AP380" s="2372"/>
      <c r="AQ380" s="2372"/>
      <c r="AR380" s="2372"/>
      <c r="AS380" s="2372"/>
      <c r="AT380" s="2372"/>
      <c r="AU380" s="2372"/>
      <c r="AV380" s="2372"/>
      <c r="AW380" s="2372"/>
      <c r="AX380" s="2372"/>
      <c r="AY380" s="2372"/>
      <c r="AZ380" s="2372"/>
      <c r="BA380" s="2372"/>
      <c r="BB380" s="2372"/>
      <c r="BC380" s="2372"/>
      <c r="BD380" s="2372"/>
      <c r="BE380" s="2372"/>
      <c r="BF380" s="2372"/>
      <c r="BG380" s="2372"/>
      <c r="BH380" s="2372"/>
      <c r="BI380" s="2372"/>
      <c r="BJ380" s="2372"/>
      <c r="BK380" s="2372"/>
      <c r="BL380" s="2372"/>
      <c r="BM380" s="2372"/>
      <c r="BN380" s="2372"/>
      <c r="BO380" s="2372"/>
      <c r="BP380" s="2372"/>
      <c r="BQ380" s="2372"/>
      <c r="BR380" s="2372"/>
      <c r="BS380" s="2372"/>
      <c r="BT380" s="2372"/>
      <c r="BU380" s="2372"/>
      <c r="BV380" s="2372"/>
      <c r="BW380" s="2372"/>
      <c r="BX380" s="2372"/>
      <c r="BY380" s="2372"/>
      <c r="BZ380" s="2372"/>
      <c r="CA380" s="2372"/>
      <c r="CB380" s="2372"/>
      <c r="CC380" s="2372"/>
      <c r="CD380" s="2372"/>
      <c r="CE380" s="2372"/>
      <c r="CF380" s="2372"/>
      <c r="CG380" s="2372"/>
      <c r="CH380" s="2372"/>
      <c r="CI380" s="2372"/>
      <c r="CJ380" s="2372"/>
      <c r="CK380" s="2372"/>
      <c r="CL380" s="2372"/>
      <c r="CM380" s="2372"/>
      <c r="CN380" s="2372"/>
      <c r="CO380" s="2372"/>
      <c r="CP380" s="2372"/>
      <c r="CQ380" s="2372"/>
      <c r="CR380" s="2372"/>
      <c r="CS380" s="2372"/>
      <c r="CT380" s="2372"/>
      <c r="CU380" s="2372"/>
      <c r="CV380" s="2372"/>
      <c r="CW380" s="2372"/>
      <c r="CX380" s="2372"/>
      <c r="CY380" s="2372"/>
      <c r="CZ380" s="2372"/>
      <c r="DA380" s="2372"/>
    </row>
    <row r="381" spans="1:105" ht="3" hidden="1" customHeight="1">
      <c r="A381" s="2372"/>
      <c r="B381" s="2372"/>
      <c r="U381" s="2372"/>
      <c r="V381" s="2372"/>
      <c r="W381" s="2372"/>
      <c r="X381" s="2372"/>
      <c r="Y381" s="2372"/>
      <c r="Z381" s="2372"/>
      <c r="AA381" s="2372"/>
      <c r="AB381" s="2372"/>
      <c r="AC381" s="2372"/>
      <c r="AD381" s="2372"/>
      <c r="AE381" s="2372"/>
      <c r="AF381" s="2372"/>
      <c r="AG381" s="2372"/>
      <c r="AH381" s="2372"/>
      <c r="AI381" s="2372"/>
      <c r="AJ381" s="2372"/>
      <c r="AK381" s="2372"/>
      <c r="AL381" s="2372"/>
      <c r="AM381" s="2372"/>
      <c r="AN381" s="2372"/>
      <c r="AO381" s="2372"/>
      <c r="AP381" s="2372"/>
      <c r="AQ381" s="2372"/>
      <c r="AR381" s="2372"/>
      <c r="AS381" s="2372"/>
      <c r="AT381" s="2372"/>
      <c r="AU381" s="2372"/>
      <c r="AV381" s="2372"/>
      <c r="AW381" s="2372"/>
      <c r="AX381" s="2372"/>
      <c r="AY381" s="2372"/>
      <c r="AZ381" s="2372"/>
      <c r="BA381" s="2372"/>
      <c r="BB381" s="2372"/>
      <c r="BC381" s="2372"/>
      <c r="BD381" s="2372"/>
      <c r="BE381" s="2372"/>
      <c r="BF381" s="2372"/>
      <c r="BG381" s="2372"/>
      <c r="BH381" s="2372"/>
      <c r="BI381" s="2372"/>
      <c r="BJ381" s="2372"/>
      <c r="BK381" s="2372"/>
      <c r="BL381" s="2372"/>
      <c r="BM381" s="2372"/>
      <c r="BN381" s="2372"/>
      <c r="BO381" s="2372"/>
      <c r="BP381" s="2372"/>
      <c r="BQ381" s="2372"/>
      <c r="BR381" s="2372"/>
      <c r="BS381" s="2372"/>
      <c r="BT381" s="2372"/>
      <c r="BU381" s="2372"/>
      <c r="BV381" s="2372"/>
      <c r="BW381" s="2372"/>
      <c r="BX381" s="2372"/>
      <c r="BY381" s="2372"/>
      <c r="BZ381" s="2372"/>
      <c r="CA381" s="2372"/>
      <c r="CB381" s="2372"/>
      <c r="CC381" s="2372"/>
      <c r="CD381" s="2372"/>
      <c r="CE381" s="2372"/>
      <c r="CF381" s="2372"/>
      <c r="CG381" s="2372"/>
      <c r="CH381" s="2372"/>
      <c r="CI381" s="2372"/>
      <c r="CJ381" s="2372"/>
      <c r="CK381" s="2372"/>
      <c r="CL381" s="2372"/>
      <c r="CM381" s="2372"/>
      <c r="CN381" s="2372"/>
      <c r="CO381" s="2372"/>
      <c r="CP381" s="2372"/>
      <c r="CQ381" s="2372"/>
      <c r="CR381" s="2372"/>
      <c r="CS381" s="2372"/>
      <c r="CT381" s="2372"/>
      <c r="CU381" s="2372"/>
      <c r="CV381" s="2372"/>
      <c r="CW381" s="2372"/>
      <c r="CX381" s="2372"/>
      <c r="CY381" s="2372"/>
      <c r="CZ381" s="2372"/>
      <c r="DA381" s="2372"/>
    </row>
    <row r="382" spans="1:105" ht="15" hidden="1" customHeight="1">
      <c r="A382" s="2372"/>
      <c r="B382" s="2372"/>
      <c r="U382" s="2372"/>
      <c r="V382" s="2372"/>
      <c r="W382" s="2372"/>
      <c r="X382" s="2372"/>
      <c r="Y382" s="2372"/>
      <c r="Z382" s="2372"/>
      <c r="AA382" s="2372"/>
      <c r="AB382" s="2372"/>
      <c r="AC382" s="2372"/>
      <c r="AD382" s="2372"/>
      <c r="AE382" s="2372"/>
      <c r="AF382" s="2372"/>
      <c r="AG382" s="2372"/>
      <c r="AH382" s="2372"/>
      <c r="AI382" s="2372"/>
      <c r="AJ382" s="2372"/>
      <c r="AK382" s="2372"/>
      <c r="AL382" s="2372"/>
      <c r="AM382" s="2372"/>
      <c r="AN382" s="2372"/>
      <c r="AO382" s="2372"/>
      <c r="AP382" s="2372"/>
      <c r="AQ382" s="2372"/>
      <c r="AR382" s="2372"/>
      <c r="AS382" s="2372"/>
      <c r="AT382" s="2372"/>
      <c r="AU382" s="2372"/>
      <c r="AV382" s="2372"/>
      <c r="AW382" s="2372"/>
      <c r="AX382" s="2372"/>
      <c r="AY382" s="2372"/>
      <c r="AZ382" s="2372"/>
      <c r="BA382" s="2372"/>
      <c r="BB382" s="2372"/>
      <c r="BC382" s="2372"/>
      <c r="BD382" s="2372"/>
      <c r="BE382" s="2372"/>
      <c r="BF382" s="2372"/>
      <c r="BG382" s="2372"/>
      <c r="BH382" s="2372"/>
      <c r="BI382" s="2372"/>
      <c r="BJ382" s="2372"/>
      <c r="BK382" s="2372"/>
      <c r="BL382" s="2372"/>
      <c r="BM382" s="2372"/>
      <c r="BN382" s="2372"/>
      <c r="BO382" s="2372"/>
      <c r="BP382" s="2372"/>
      <c r="BQ382" s="2372"/>
      <c r="BR382" s="2372"/>
      <c r="BS382" s="2372"/>
      <c r="BT382" s="2372"/>
      <c r="BU382" s="2372"/>
      <c r="BV382" s="2372"/>
      <c r="BW382" s="2372"/>
      <c r="BX382" s="2372"/>
      <c r="BY382" s="2372"/>
      <c r="BZ382" s="2372"/>
      <c r="CA382" s="2372"/>
      <c r="CB382" s="2372"/>
      <c r="CC382" s="2372"/>
      <c r="CD382" s="2372"/>
      <c r="CE382" s="2372"/>
      <c r="CF382" s="2372"/>
      <c r="CG382" s="2372"/>
      <c r="CH382" s="2372"/>
      <c r="CI382" s="2372"/>
      <c r="CJ382" s="2372"/>
      <c r="CK382" s="2372"/>
      <c r="CL382" s="2372"/>
      <c r="CM382" s="2372"/>
      <c r="CN382" s="2372"/>
      <c r="CO382" s="2372"/>
      <c r="CP382" s="2372"/>
      <c r="CQ382" s="2372"/>
      <c r="CR382" s="2372"/>
      <c r="CS382" s="2372"/>
      <c r="CT382" s="2372"/>
      <c r="CU382" s="2372"/>
      <c r="CV382" s="2372"/>
      <c r="CW382" s="2372"/>
      <c r="CX382" s="2372"/>
      <c r="CY382" s="2372"/>
      <c r="CZ382" s="2372"/>
      <c r="DA382" s="2372"/>
    </row>
    <row r="383" spans="1:105" ht="3" hidden="1" customHeight="1">
      <c r="A383" s="2372"/>
      <c r="B383" s="2372"/>
      <c r="U383" s="2372"/>
      <c r="V383" s="2372"/>
      <c r="W383" s="2372"/>
      <c r="X383" s="2372"/>
      <c r="Y383" s="2372"/>
      <c r="Z383" s="2372"/>
      <c r="AA383" s="2372"/>
      <c r="AB383" s="2372"/>
      <c r="AC383" s="2372"/>
      <c r="AD383" s="2372"/>
      <c r="AE383" s="2372"/>
      <c r="AF383" s="2372"/>
      <c r="AG383" s="2372"/>
      <c r="AH383" s="2372"/>
      <c r="AI383" s="2372"/>
      <c r="AJ383" s="2372"/>
      <c r="AK383" s="2372"/>
      <c r="AL383" s="2372"/>
      <c r="AM383" s="2372"/>
      <c r="AN383" s="2372"/>
      <c r="AO383" s="2372"/>
      <c r="AP383" s="2372"/>
      <c r="AQ383" s="2372"/>
      <c r="AR383" s="2372"/>
      <c r="AS383" s="2372"/>
      <c r="AT383" s="2372"/>
      <c r="AU383" s="2372"/>
      <c r="AV383" s="2372"/>
      <c r="AW383" s="2372"/>
      <c r="AX383" s="2372"/>
      <c r="AY383" s="2372"/>
      <c r="AZ383" s="2372"/>
      <c r="BA383" s="2372"/>
      <c r="BB383" s="2372"/>
      <c r="BC383" s="2372"/>
      <c r="BD383" s="2372"/>
      <c r="BE383" s="2372"/>
      <c r="BF383" s="2372"/>
      <c r="BG383" s="2372"/>
      <c r="BH383" s="2372"/>
      <c r="BI383" s="2372"/>
      <c r="BJ383" s="2372"/>
      <c r="BK383" s="2372"/>
      <c r="BL383" s="2372"/>
      <c r="BM383" s="2372"/>
      <c r="BN383" s="2372"/>
      <c r="BO383" s="2372"/>
      <c r="BP383" s="2372"/>
      <c r="BQ383" s="2372"/>
      <c r="BR383" s="2372"/>
      <c r="BS383" s="2372"/>
      <c r="BT383" s="2372"/>
      <c r="BU383" s="2372"/>
      <c r="BV383" s="2372"/>
      <c r="BW383" s="2372"/>
      <c r="BX383" s="2372"/>
      <c r="BY383" s="2372"/>
      <c r="BZ383" s="2372"/>
      <c r="CA383" s="2372"/>
      <c r="CB383" s="2372"/>
      <c r="CC383" s="2372"/>
      <c r="CD383" s="2372"/>
      <c r="CE383" s="2372"/>
      <c r="CF383" s="2372"/>
      <c r="CG383" s="2372"/>
      <c r="CH383" s="2372"/>
      <c r="CI383" s="2372"/>
      <c r="CJ383" s="2372"/>
      <c r="CK383" s="2372"/>
      <c r="CL383" s="2372"/>
      <c r="CM383" s="2372"/>
      <c r="CN383" s="2372"/>
      <c r="CO383" s="2372"/>
      <c r="CP383" s="2372"/>
      <c r="CQ383" s="2372"/>
      <c r="CR383" s="2372"/>
      <c r="CS383" s="2372"/>
      <c r="CT383" s="2372"/>
      <c r="CU383" s="2372"/>
      <c r="CV383" s="2372"/>
      <c r="CW383" s="2372"/>
      <c r="CX383" s="2372"/>
      <c r="CY383" s="2372"/>
      <c r="CZ383" s="2372"/>
      <c r="DA383" s="2372"/>
    </row>
    <row r="384" spans="1:105" ht="15" hidden="1" customHeight="1">
      <c r="A384" s="2372"/>
      <c r="B384" s="2372"/>
      <c r="U384" s="2372"/>
      <c r="V384" s="2372"/>
      <c r="W384" s="2372"/>
      <c r="X384" s="2372"/>
      <c r="Y384" s="2372"/>
      <c r="Z384" s="2372"/>
      <c r="AA384" s="2372"/>
      <c r="AB384" s="2372"/>
      <c r="AC384" s="2372"/>
      <c r="AD384" s="2372"/>
      <c r="AE384" s="2372"/>
      <c r="AF384" s="2372"/>
      <c r="AG384" s="2372"/>
      <c r="AH384" s="2372"/>
      <c r="AI384" s="2372"/>
      <c r="AJ384" s="2372"/>
      <c r="AK384" s="2372"/>
      <c r="AL384" s="2372"/>
      <c r="AM384" s="2372"/>
      <c r="AN384" s="2372"/>
      <c r="AO384" s="2372"/>
      <c r="AP384" s="2372"/>
      <c r="AQ384" s="2372"/>
      <c r="AR384" s="2372"/>
      <c r="AS384" s="2372"/>
      <c r="AT384" s="2372"/>
      <c r="AU384" s="2372"/>
      <c r="AV384" s="2372"/>
      <c r="AW384" s="2372"/>
      <c r="AX384" s="2372"/>
      <c r="AY384" s="2372"/>
      <c r="AZ384" s="2372"/>
      <c r="BA384" s="2372"/>
      <c r="BB384" s="2372"/>
      <c r="BC384" s="2372"/>
      <c r="BD384" s="2372"/>
      <c r="BE384" s="2372"/>
      <c r="BF384" s="2372"/>
      <c r="BG384" s="2372"/>
      <c r="BH384" s="2372"/>
      <c r="BI384" s="2372"/>
      <c r="BJ384" s="2372"/>
      <c r="BK384" s="2372"/>
      <c r="BL384" s="2372"/>
      <c r="BM384" s="2372"/>
      <c r="BN384" s="2372"/>
      <c r="BO384" s="2372"/>
      <c r="BP384" s="2372"/>
      <c r="BQ384" s="2372"/>
      <c r="BR384" s="2372"/>
      <c r="BS384" s="2372"/>
      <c r="BT384" s="2372"/>
      <c r="BU384" s="2372"/>
      <c r="BV384" s="2372"/>
      <c r="BW384" s="2372"/>
      <c r="BX384" s="2372"/>
      <c r="BY384" s="2372"/>
      <c r="BZ384" s="2372"/>
      <c r="CA384" s="2372"/>
      <c r="CB384" s="2372"/>
      <c r="CC384" s="2372"/>
      <c r="CD384" s="2372"/>
      <c r="CE384" s="2372"/>
      <c r="CF384" s="2372"/>
      <c r="CG384" s="2372"/>
      <c r="CH384" s="2372"/>
      <c r="CI384" s="2372"/>
      <c r="CJ384" s="2372"/>
      <c r="CK384" s="2372"/>
      <c r="CL384" s="2372"/>
      <c r="CM384" s="2372"/>
      <c r="CN384" s="2372"/>
      <c r="CO384" s="2372"/>
      <c r="CP384" s="2372"/>
      <c r="CQ384" s="2372"/>
      <c r="CR384" s="2372"/>
      <c r="CS384" s="2372"/>
      <c r="CT384" s="2372"/>
      <c r="CU384" s="2372"/>
      <c r="CV384" s="2372"/>
      <c r="CW384" s="2372"/>
      <c r="CX384" s="2372"/>
      <c r="CY384" s="2372"/>
      <c r="CZ384" s="2372"/>
      <c r="DA384" s="2372"/>
    </row>
    <row r="385" spans="1:105" ht="3" hidden="1" customHeight="1">
      <c r="A385" s="2372"/>
      <c r="B385" s="2372"/>
      <c r="U385" s="2372"/>
      <c r="V385" s="2372"/>
      <c r="W385" s="2372"/>
      <c r="X385" s="2372"/>
      <c r="Y385" s="2372"/>
      <c r="Z385" s="2372"/>
      <c r="AA385" s="2372"/>
      <c r="AB385" s="2372"/>
      <c r="AC385" s="2372"/>
      <c r="AD385" s="2372"/>
      <c r="AE385" s="2372"/>
      <c r="AF385" s="2372"/>
      <c r="AG385" s="2372"/>
      <c r="AH385" s="2372"/>
      <c r="AI385" s="2372"/>
      <c r="AJ385" s="2372"/>
      <c r="AK385" s="2372"/>
      <c r="AL385" s="2372"/>
      <c r="AM385" s="2372"/>
      <c r="AN385" s="2372"/>
      <c r="AO385" s="2372"/>
      <c r="AP385" s="2372"/>
      <c r="AQ385" s="2372"/>
      <c r="AR385" s="2372"/>
      <c r="AS385" s="2372"/>
      <c r="AT385" s="2372"/>
      <c r="AU385" s="2372"/>
      <c r="AV385" s="2372"/>
      <c r="AW385" s="2372"/>
      <c r="AX385" s="2372"/>
      <c r="AY385" s="2372"/>
      <c r="AZ385" s="2372"/>
      <c r="BA385" s="2372"/>
      <c r="BB385" s="2372"/>
      <c r="BC385" s="2372"/>
      <c r="BD385" s="2372"/>
      <c r="BE385" s="2372"/>
      <c r="BF385" s="2372"/>
      <c r="BG385" s="2372"/>
      <c r="BH385" s="2372"/>
      <c r="BI385" s="2372"/>
      <c r="BJ385" s="2372"/>
      <c r="BK385" s="2372"/>
      <c r="BL385" s="2372"/>
      <c r="BM385" s="2372"/>
      <c r="BN385" s="2372"/>
      <c r="BO385" s="2372"/>
      <c r="BP385" s="2372"/>
      <c r="BQ385" s="2372"/>
      <c r="BR385" s="2372"/>
      <c r="BS385" s="2372"/>
      <c r="BT385" s="2372"/>
      <c r="BU385" s="2372"/>
      <c r="BV385" s="2372"/>
      <c r="BW385" s="2372"/>
      <c r="BX385" s="2372"/>
      <c r="BY385" s="2372"/>
      <c r="BZ385" s="2372"/>
      <c r="CA385" s="2372"/>
      <c r="CB385" s="2372"/>
      <c r="CC385" s="2372"/>
      <c r="CD385" s="2372"/>
      <c r="CE385" s="2372"/>
      <c r="CF385" s="2372"/>
      <c r="CG385" s="2372"/>
      <c r="CH385" s="2372"/>
      <c r="CI385" s="2372"/>
      <c r="CJ385" s="2372"/>
      <c r="CK385" s="2372"/>
      <c r="CL385" s="2372"/>
      <c r="CM385" s="2372"/>
      <c r="CN385" s="2372"/>
      <c r="CO385" s="2372"/>
      <c r="CP385" s="2372"/>
      <c r="CQ385" s="2372"/>
      <c r="CR385" s="2372"/>
      <c r="CS385" s="2372"/>
      <c r="CT385" s="2372"/>
      <c r="CU385" s="2372"/>
      <c r="CV385" s="2372"/>
      <c r="CW385" s="2372"/>
      <c r="CX385" s="2372"/>
      <c r="CY385" s="2372"/>
      <c r="CZ385" s="2372"/>
      <c r="DA385" s="2372"/>
    </row>
    <row r="386" spans="1:105" ht="15" hidden="1" customHeight="1">
      <c r="A386" s="2372"/>
      <c r="B386" s="2372"/>
      <c r="U386" s="2372"/>
      <c r="V386" s="2372"/>
      <c r="W386" s="2372"/>
      <c r="X386" s="2372"/>
      <c r="Y386" s="2372"/>
      <c r="Z386" s="2372"/>
      <c r="AA386" s="2372"/>
      <c r="AB386" s="2372"/>
      <c r="AC386" s="2372"/>
      <c r="AD386" s="2372"/>
      <c r="AE386" s="2372"/>
      <c r="AF386" s="2372"/>
      <c r="AG386" s="2372"/>
      <c r="AH386" s="2372"/>
      <c r="AI386" s="2372"/>
      <c r="AJ386" s="2372"/>
      <c r="AK386" s="2372"/>
      <c r="AL386" s="2372"/>
      <c r="AM386" s="2372"/>
      <c r="AN386" s="2372"/>
      <c r="AO386" s="2372"/>
      <c r="AP386" s="2372"/>
      <c r="AQ386" s="2372"/>
      <c r="AR386" s="2372"/>
      <c r="AS386" s="2372"/>
      <c r="AT386" s="2372"/>
      <c r="AU386" s="2372"/>
      <c r="AV386" s="2372"/>
      <c r="AW386" s="2372"/>
      <c r="AX386" s="2372"/>
      <c r="AY386" s="2372"/>
      <c r="AZ386" s="2372"/>
      <c r="BA386" s="2372"/>
      <c r="BB386" s="2372"/>
      <c r="BC386" s="2372"/>
      <c r="BD386" s="2372"/>
      <c r="BE386" s="2372"/>
      <c r="BF386" s="2372"/>
      <c r="BG386" s="2372"/>
      <c r="BH386" s="2372"/>
      <c r="BI386" s="2372"/>
      <c r="BJ386" s="2372"/>
      <c r="BK386" s="2372"/>
      <c r="BL386" s="2372"/>
      <c r="BM386" s="2372"/>
      <c r="BN386" s="2372"/>
      <c r="BO386" s="2372"/>
      <c r="BP386" s="2372"/>
      <c r="BQ386" s="2372"/>
      <c r="BR386" s="2372"/>
      <c r="BS386" s="2372"/>
      <c r="BT386" s="2372"/>
      <c r="BU386" s="2372"/>
      <c r="BV386" s="2372"/>
      <c r="BW386" s="2372"/>
      <c r="BX386" s="2372"/>
      <c r="BY386" s="2372"/>
      <c r="BZ386" s="2372"/>
      <c r="CA386" s="2372"/>
      <c r="CB386" s="2372"/>
      <c r="CC386" s="2372"/>
      <c r="CD386" s="2372"/>
      <c r="CE386" s="2372"/>
      <c r="CF386" s="2372"/>
      <c r="CG386" s="2372"/>
      <c r="CH386" s="2372"/>
      <c r="CI386" s="2372"/>
      <c r="CJ386" s="2372"/>
      <c r="CK386" s="2372"/>
      <c r="CL386" s="2372"/>
      <c r="CM386" s="2372"/>
      <c r="CN386" s="2372"/>
      <c r="CO386" s="2372"/>
      <c r="CP386" s="2372"/>
      <c r="CQ386" s="2372"/>
      <c r="CR386" s="2372"/>
      <c r="CS386" s="2372"/>
      <c r="CT386" s="2372"/>
      <c r="CU386" s="2372"/>
      <c r="CV386" s="2372"/>
      <c r="CW386" s="2372"/>
      <c r="CX386" s="2372"/>
      <c r="CY386" s="2372"/>
      <c r="CZ386" s="2372"/>
      <c r="DA386" s="2372"/>
    </row>
    <row r="387" spans="1:105" ht="3" hidden="1" customHeight="1">
      <c r="A387" s="2372"/>
      <c r="B387" s="2372"/>
      <c r="U387" s="2372"/>
      <c r="V387" s="2372"/>
      <c r="W387" s="2372"/>
      <c r="X387" s="2372"/>
      <c r="Y387" s="2372"/>
      <c r="Z387" s="2372"/>
      <c r="AA387" s="2372"/>
      <c r="AB387" s="2372"/>
      <c r="AC387" s="2372"/>
      <c r="AD387" s="2372"/>
      <c r="AE387" s="2372"/>
      <c r="AF387" s="2372"/>
      <c r="AG387" s="2372"/>
      <c r="AH387" s="2372"/>
      <c r="AI387" s="2372"/>
      <c r="AJ387" s="2372"/>
      <c r="AK387" s="2372"/>
      <c r="AL387" s="2372"/>
      <c r="AM387" s="2372"/>
      <c r="AN387" s="2372"/>
      <c r="AO387" s="2372"/>
      <c r="AP387" s="2372"/>
      <c r="AQ387" s="2372"/>
      <c r="AR387" s="2372"/>
      <c r="AS387" s="2372"/>
      <c r="AT387" s="2372"/>
      <c r="AU387" s="2372"/>
      <c r="AV387" s="2372"/>
      <c r="AW387" s="2372"/>
      <c r="AX387" s="2372"/>
      <c r="AY387" s="2372"/>
      <c r="AZ387" s="2372"/>
      <c r="BA387" s="2372"/>
      <c r="BB387" s="2372"/>
      <c r="BC387" s="2372"/>
      <c r="BD387" s="2372"/>
      <c r="BE387" s="2372"/>
      <c r="BF387" s="2372"/>
      <c r="BG387" s="2372"/>
      <c r="BH387" s="2372"/>
      <c r="BI387" s="2372"/>
      <c r="BJ387" s="2372"/>
      <c r="BK387" s="2372"/>
      <c r="BL387" s="2372"/>
      <c r="BM387" s="2372"/>
      <c r="BN387" s="2372"/>
      <c r="BO387" s="2372"/>
      <c r="BP387" s="2372"/>
      <c r="BQ387" s="2372"/>
      <c r="BR387" s="2372"/>
      <c r="BS387" s="2372"/>
      <c r="BT387" s="2372"/>
      <c r="BU387" s="2372"/>
      <c r="BV387" s="2372"/>
      <c r="BW387" s="2372"/>
      <c r="BX387" s="2372"/>
      <c r="BY387" s="2372"/>
      <c r="BZ387" s="2372"/>
      <c r="CA387" s="2372"/>
      <c r="CB387" s="2372"/>
      <c r="CC387" s="2372"/>
      <c r="CD387" s="2372"/>
      <c r="CE387" s="2372"/>
      <c r="CF387" s="2372"/>
      <c r="CG387" s="2372"/>
      <c r="CH387" s="2372"/>
      <c r="CI387" s="2372"/>
      <c r="CJ387" s="2372"/>
      <c r="CK387" s="2372"/>
      <c r="CL387" s="2372"/>
      <c r="CM387" s="2372"/>
      <c r="CN387" s="2372"/>
      <c r="CO387" s="2372"/>
      <c r="CP387" s="2372"/>
      <c r="CQ387" s="2372"/>
      <c r="CR387" s="2372"/>
      <c r="CS387" s="2372"/>
      <c r="CT387" s="2372"/>
      <c r="CU387" s="2372"/>
      <c r="CV387" s="2372"/>
      <c r="CW387" s="2372"/>
      <c r="CX387" s="2372"/>
      <c r="CY387" s="2372"/>
      <c r="CZ387" s="2372"/>
      <c r="DA387" s="2372"/>
    </row>
    <row r="388" spans="1:105" ht="15" hidden="1" customHeight="1">
      <c r="A388" s="2372"/>
      <c r="B388" s="2372"/>
      <c r="U388" s="2372"/>
      <c r="V388" s="2372"/>
      <c r="W388" s="2372"/>
      <c r="X388" s="2372"/>
      <c r="Y388" s="2372"/>
      <c r="Z388" s="2372"/>
      <c r="AA388" s="2372"/>
      <c r="AB388" s="2372"/>
      <c r="AC388" s="2372"/>
      <c r="AD388" s="2372"/>
      <c r="AE388" s="2372"/>
      <c r="AF388" s="2372"/>
      <c r="AG388" s="2372"/>
      <c r="AH388" s="2372"/>
      <c r="AI388" s="2372"/>
      <c r="AJ388" s="2372"/>
      <c r="AK388" s="2372"/>
      <c r="AL388" s="2372"/>
      <c r="AM388" s="2372"/>
      <c r="AN388" s="2372"/>
      <c r="AO388" s="2372"/>
      <c r="AP388" s="2372"/>
      <c r="AQ388" s="2372"/>
      <c r="AR388" s="2372"/>
      <c r="AS388" s="2372"/>
      <c r="AT388" s="2372"/>
      <c r="AU388" s="2372"/>
      <c r="AV388" s="2372"/>
      <c r="AW388" s="2372"/>
      <c r="AX388" s="2372"/>
      <c r="AY388" s="2372"/>
      <c r="AZ388" s="2372"/>
      <c r="BA388" s="2372"/>
      <c r="BB388" s="2372"/>
      <c r="BC388" s="2372"/>
      <c r="BD388" s="2372"/>
      <c r="BE388" s="2372"/>
      <c r="BF388" s="2372"/>
      <c r="BG388" s="2372"/>
      <c r="BH388" s="2372"/>
      <c r="BI388" s="2372"/>
      <c r="BJ388" s="2372"/>
      <c r="BK388" s="2372"/>
      <c r="BL388" s="2372"/>
      <c r="BM388" s="2372"/>
      <c r="BN388" s="2372"/>
      <c r="BO388" s="2372"/>
      <c r="BP388" s="2372"/>
      <c r="BQ388" s="2372"/>
      <c r="BR388" s="2372"/>
      <c r="BS388" s="2372"/>
      <c r="BT388" s="2372"/>
      <c r="BU388" s="2372"/>
      <c r="BV388" s="2372"/>
      <c r="BW388" s="2372"/>
      <c r="BX388" s="2372"/>
      <c r="BY388" s="2372"/>
      <c r="BZ388" s="2372"/>
      <c r="CA388" s="2372"/>
      <c r="CB388" s="2372"/>
      <c r="CC388" s="2372"/>
      <c r="CD388" s="2372"/>
      <c r="CE388" s="2372"/>
      <c r="CF388" s="2372"/>
      <c r="CG388" s="2372"/>
      <c r="CH388" s="2372"/>
      <c r="CI388" s="2372"/>
      <c r="CJ388" s="2372"/>
      <c r="CK388" s="2372"/>
      <c r="CL388" s="2372"/>
      <c r="CM388" s="2372"/>
      <c r="CN388" s="2372"/>
      <c r="CO388" s="2372"/>
      <c r="CP388" s="2372"/>
      <c r="CQ388" s="2372"/>
      <c r="CR388" s="2372"/>
      <c r="CS388" s="2372"/>
      <c r="CT388" s="2372"/>
      <c r="CU388" s="2372"/>
      <c r="CV388" s="2372"/>
      <c r="CW388" s="2372"/>
      <c r="CX388" s="2372"/>
      <c r="CY388" s="2372"/>
      <c r="CZ388" s="2372"/>
      <c r="DA388" s="2372"/>
    </row>
    <row r="389" spans="1:105" ht="3" hidden="1" customHeight="1">
      <c r="A389" s="2372"/>
      <c r="B389" s="2372"/>
      <c r="U389" s="2372"/>
      <c r="V389" s="2372"/>
      <c r="W389" s="2372"/>
      <c r="X389" s="2372"/>
      <c r="Y389" s="2372"/>
      <c r="Z389" s="2372"/>
      <c r="AA389" s="2372"/>
      <c r="AB389" s="2372"/>
      <c r="AC389" s="2372"/>
      <c r="AD389" s="2372"/>
      <c r="AE389" s="2372"/>
      <c r="AF389" s="2372"/>
      <c r="AG389" s="2372"/>
      <c r="AH389" s="2372"/>
      <c r="AI389" s="2372"/>
      <c r="AJ389" s="2372"/>
      <c r="AK389" s="2372"/>
      <c r="AL389" s="2372"/>
      <c r="AM389" s="2372"/>
      <c r="AN389" s="2372"/>
      <c r="AO389" s="2372"/>
      <c r="AP389" s="2372"/>
      <c r="AQ389" s="2372"/>
      <c r="AR389" s="2372"/>
      <c r="AS389" s="2372"/>
      <c r="AT389" s="2372"/>
      <c r="AU389" s="2372"/>
      <c r="AV389" s="2372"/>
      <c r="AW389" s="2372"/>
      <c r="AX389" s="2372"/>
      <c r="AY389" s="2372"/>
      <c r="AZ389" s="2372"/>
      <c r="BA389" s="2372"/>
      <c r="BB389" s="2372"/>
      <c r="BC389" s="2372"/>
      <c r="BD389" s="2372"/>
      <c r="BE389" s="2372"/>
      <c r="BF389" s="2372"/>
      <c r="BG389" s="2372"/>
      <c r="BH389" s="2372"/>
      <c r="BI389" s="2372"/>
      <c r="BJ389" s="2372"/>
      <c r="BK389" s="2372"/>
      <c r="BL389" s="2372"/>
      <c r="BM389" s="2372"/>
      <c r="BN389" s="2372"/>
      <c r="BO389" s="2372"/>
      <c r="BP389" s="2372"/>
      <c r="BQ389" s="2372"/>
      <c r="BR389" s="2372"/>
      <c r="BS389" s="2372"/>
      <c r="BT389" s="2372"/>
      <c r="BU389" s="2372"/>
      <c r="BV389" s="2372"/>
      <c r="BW389" s="2372"/>
      <c r="BX389" s="2372"/>
      <c r="BY389" s="2372"/>
      <c r="BZ389" s="2372"/>
      <c r="CA389" s="2372"/>
      <c r="CB389" s="2372"/>
      <c r="CC389" s="2372"/>
      <c r="CD389" s="2372"/>
      <c r="CE389" s="2372"/>
      <c r="CF389" s="2372"/>
      <c r="CG389" s="2372"/>
      <c r="CH389" s="2372"/>
      <c r="CI389" s="2372"/>
      <c r="CJ389" s="2372"/>
      <c r="CK389" s="2372"/>
      <c r="CL389" s="2372"/>
      <c r="CM389" s="2372"/>
      <c r="CN389" s="2372"/>
      <c r="CO389" s="2372"/>
      <c r="CP389" s="2372"/>
      <c r="CQ389" s="2372"/>
      <c r="CR389" s="2372"/>
      <c r="CS389" s="2372"/>
      <c r="CT389" s="2372"/>
      <c r="CU389" s="2372"/>
      <c r="CV389" s="2372"/>
      <c r="CW389" s="2372"/>
      <c r="CX389" s="2372"/>
      <c r="CY389" s="2372"/>
      <c r="CZ389" s="2372"/>
      <c r="DA389" s="2372"/>
    </row>
    <row r="390" spans="1:105" ht="15" hidden="1" customHeight="1">
      <c r="A390" s="2372"/>
      <c r="B390" s="2372"/>
      <c r="U390" s="2372"/>
      <c r="V390" s="2372"/>
      <c r="W390" s="2372"/>
      <c r="X390" s="2372"/>
      <c r="Y390" s="2372"/>
      <c r="Z390" s="2372"/>
      <c r="AA390" s="2372"/>
      <c r="AB390" s="2372"/>
      <c r="AC390" s="2372"/>
      <c r="AD390" s="2372"/>
      <c r="AE390" s="2372"/>
      <c r="AF390" s="2372"/>
      <c r="AG390" s="2372"/>
      <c r="AH390" s="2372"/>
      <c r="AI390" s="2372"/>
      <c r="AJ390" s="2372"/>
      <c r="AK390" s="2372"/>
      <c r="AL390" s="2372"/>
      <c r="AM390" s="2372"/>
      <c r="AN390" s="2372"/>
      <c r="AO390" s="2372"/>
      <c r="AP390" s="2372"/>
      <c r="AQ390" s="2372"/>
      <c r="AR390" s="2372"/>
      <c r="AS390" s="2372"/>
      <c r="AT390" s="2372"/>
      <c r="AU390" s="2372"/>
      <c r="AV390" s="2372"/>
      <c r="AW390" s="2372"/>
      <c r="AX390" s="2372"/>
      <c r="AY390" s="2372"/>
      <c r="AZ390" s="2372"/>
      <c r="BA390" s="2372"/>
      <c r="BB390" s="2372"/>
      <c r="BC390" s="2372"/>
      <c r="BD390" s="2372"/>
      <c r="BE390" s="2372"/>
      <c r="BF390" s="2372"/>
      <c r="BG390" s="2372"/>
      <c r="BH390" s="2372"/>
      <c r="BI390" s="2372"/>
      <c r="BJ390" s="2372"/>
      <c r="BK390" s="2372"/>
      <c r="BL390" s="2372"/>
      <c r="BM390" s="2372"/>
      <c r="BN390" s="2372"/>
      <c r="BO390" s="2372"/>
      <c r="BP390" s="2372"/>
      <c r="BQ390" s="2372"/>
      <c r="BR390" s="2372"/>
      <c r="BS390" s="2372"/>
      <c r="BT390" s="2372"/>
      <c r="BU390" s="2372"/>
      <c r="BV390" s="2372"/>
      <c r="BW390" s="2372"/>
      <c r="BX390" s="2372"/>
      <c r="BY390" s="2372"/>
      <c r="BZ390" s="2372"/>
      <c r="CA390" s="2372"/>
      <c r="CB390" s="2372"/>
      <c r="CC390" s="2372"/>
      <c r="CD390" s="2372"/>
      <c r="CE390" s="2372"/>
      <c r="CF390" s="2372"/>
      <c r="CG390" s="2372"/>
      <c r="CH390" s="2372"/>
      <c r="CI390" s="2372"/>
      <c r="CJ390" s="2372"/>
      <c r="CK390" s="2372"/>
      <c r="CL390" s="2372"/>
      <c r="CM390" s="2372"/>
      <c r="CN390" s="2372"/>
      <c r="CO390" s="2372"/>
      <c r="CP390" s="2372"/>
      <c r="CQ390" s="2372"/>
      <c r="CR390" s="2372"/>
      <c r="CS390" s="2372"/>
      <c r="CT390" s="2372"/>
      <c r="CU390" s="2372"/>
      <c r="CV390" s="2372"/>
      <c r="CW390" s="2372"/>
      <c r="CX390" s="2372"/>
      <c r="CY390" s="2372"/>
      <c r="CZ390" s="2372"/>
      <c r="DA390" s="2372"/>
    </row>
    <row r="391" spans="1:105" ht="3" hidden="1" customHeight="1">
      <c r="A391" s="2372"/>
      <c r="B391" s="2372"/>
      <c r="U391" s="2372"/>
      <c r="V391" s="2372"/>
      <c r="W391" s="2372"/>
      <c r="X391" s="2372"/>
      <c r="Y391" s="2372"/>
      <c r="Z391" s="2372"/>
      <c r="AA391" s="2372"/>
      <c r="AB391" s="2372"/>
      <c r="AC391" s="2372"/>
      <c r="AD391" s="2372"/>
      <c r="AE391" s="2372"/>
      <c r="AF391" s="2372"/>
      <c r="AG391" s="2372"/>
      <c r="AH391" s="2372"/>
      <c r="AI391" s="2372"/>
      <c r="AJ391" s="2372"/>
      <c r="AK391" s="2372"/>
      <c r="AL391" s="2372"/>
      <c r="AM391" s="2372"/>
      <c r="AN391" s="2372"/>
      <c r="AO391" s="2372"/>
      <c r="AP391" s="2372"/>
      <c r="AQ391" s="2372"/>
      <c r="AR391" s="2372"/>
      <c r="AS391" s="2372"/>
      <c r="AT391" s="2372"/>
      <c r="AU391" s="2372"/>
      <c r="AV391" s="2372"/>
      <c r="AW391" s="2372"/>
      <c r="AX391" s="2372"/>
      <c r="AY391" s="2372"/>
      <c r="AZ391" s="2372"/>
      <c r="BA391" s="2372"/>
      <c r="BB391" s="2372"/>
      <c r="BC391" s="2372"/>
      <c r="BD391" s="2372"/>
      <c r="BE391" s="2372"/>
      <c r="BF391" s="2372"/>
      <c r="BG391" s="2372"/>
      <c r="BH391" s="2372"/>
      <c r="BI391" s="2372"/>
      <c r="BJ391" s="2372"/>
      <c r="BK391" s="2372"/>
      <c r="BL391" s="2372"/>
      <c r="BM391" s="2372"/>
      <c r="BN391" s="2372"/>
      <c r="BO391" s="2372"/>
      <c r="BP391" s="2372"/>
      <c r="BQ391" s="2372"/>
      <c r="BR391" s="2372"/>
      <c r="BS391" s="2372"/>
      <c r="BT391" s="2372"/>
      <c r="BU391" s="2372"/>
      <c r="BV391" s="2372"/>
      <c r="BW391" s="2372"/>
      <c r="BX391" s="2372"/>
      <c r="BY391" s="2372"/>
      <c r="BZ391" s="2372"/>
      <c r="CA391" s="2372"/>
      <c r="CB391" s="2372"/>
      <c r="CC391" s="2372"/>
      <c r="CD391" s="2372"/>
      <c r="CE391" s="2372"/>
      <c r="CF391" s="2372"/>
      <c r="CG391" s="2372"/>
      <c r="CH391" s="2372"/>
      <c r="CI391" s="2372"/>
      <c r="CJ391" s="2372"/>
      <c r="CK391" s="2372"/>
      <c r="CL391" s="2372"/>
      <c r="CM391" s="2372"/>
      <c r="CN391" s="2372"/>
      <c r="CO391" s="2372"/>
      <c r="CP391" s="2372"/>
      <c r="CQ391" s="2372"/>
      <c r="CR391" s="2372"/>
      <c r="CS391" s="2372"/>
      <c r="CT391" s="2372"/>
      <c r="CU391" s="2372"/>
      <c r="CV391" s="2372"/>
      <c r="CW391" s="2372"/>
      <c r="CX391" s="2372"/>
      <c r="CY391" s="2372"/>
      <c r="CZ391" s="2372"/>
      <c r="DA391" s="2372"/>
    </row>
    <row r="392" spans="1:105" ht="15" hidden="1" customHeight="1">
      <c r="A392" s="2372"/>
      <c r="B392" s="2372"/>
      <c r="U392" s="2372"/>
      <c r="V392" s="2372"/>
      <c r="W392" s="2372"/>
      <c r="X392" s="2372"/>
      <c r="Y392" s="2372"/>
      <c r="Z392" s="2372"/>
      <c r="AA392" s="2372"/>
      <c r="AB392" s="2372"/>
      <c r="AC392" s="2372"/>
      <c r="AD392" s="2372"/>
      <c r="AE392" s="2372"/>
      <c r="AF392" s="2372"/>
      <c r="AG392" s="2372"/>
      <c r="AH392" s="2372"/>
      <c r="AI392" s="2372"/>
      <c r="AJ392" s="2372"/>
      <c r="AK392" s="2372"/>
      <c r="AL392" s="2372"/>
      <c r="AM392" s="2372"/>
      <c r="AN392" s="2372"/>
      <c r="AO392" s="2372"/>
      <c r="AP392" s="2372"/>
      <c r="AQ392" s="2372"/>
      <c r="AR392" s="2372"/>
      <c r="AS392" s="2372"/>
      <c r="AT392" s="2372"/>
      <c r="AU392" s="2372"/>
      <c r="AV392" s="2372"/>
      <c r="AW392" s="2372"/>
      <c r="AX392" s="2372"/>
      <c r="AY392" s="2372"/>
      <c r="AZ392" s="2372"/>
      <c r="BA392" s="2372"/>
      <c r="BB392" s="2372"/>
      <c r="BC392" s="2372"/>
      <c r="BD392" s="2372"/>
      <c r="BE392" s="2372"/>
      <c r="BF392" s="2372"/>
      <c r="BG392" s="2372"/>
      <c r="BH392" s="2372"/>
      <c r="BI392" s="2372"/>
      <c r="BJ392" s="2372"/>
      <c r="BK392" s="2372"/>
      <c r="BL392" s="2372"/>
      <c r="BM392" s="2372"/>
      <c r="BN392" s="2372"/>
      <c r="BO392" s="2372"/>
      <c r="BP392" s="2372"/>
      <c r="BQ392" s="2372"/>
      <c r="BR392" s="2372"/>
      <c r="BS392" s="2372"/>
      <c r="BT392" s="2372"/>
      <c r="BU392" s="2372"/>
      <c r="BV392" s="2372"/>
      <c r="BW392" s="2372"/>
      <c r="BX392" s="2372"/>
      <c r="BY392" s="2372"/>
      <c r="BZ392" s="2372"/>
      <c r="CA392" s="2372"/>
      <c r="CB392" s="2372"/>
      <c r="CC392" s="2372"/>
      <c r="CD392" s="2372"/>
      <c r="CE392" s="2372"/>
      <c r="CF392" s="2372"/>
      <c r="CG392" s="2372"/>
      <c r="CH392" s="2372"/>
      <c r="CI392" s="2372"/>
      <c r="CJ392" s="2372"/>
      <c r="CK392" s="2372"/>
      <c r="CL392" s="2372"/>
      <c r="CM392" s="2372"/>
      <c r="CN392" s="2372"/>
      <c r="CO392" s="2372"/>
      <c r="CP392" s="2372"/>
      <c r="CQ392" s="2372"/>
      <c r="CR392" s="2372"/>
      <c r="CS392" s="2372"/>
      <c r="CT392" s="2372"/>
      <c r="CU392" s="2372"/>
      <c r="CV392" s="2372"/>
      <c r="CW392" s="2372"/>
      <c r="CX392" s="2372"/>
      <c r="CY392" s="2372"/>
      <c r="CZ392" s="2372"/>
      <c r="DA392" s="2372"/>
    </row>
    <row r="393" spans="1:105" ht="3" hidden="1" customHeight="1">
      <c r="A393" s="2372"/>
      <c r="B393" s="2372"/>
      <c r="C393" s="2372"/>
      <c r="D393" s="2372"/>
      <c r="E393" s="2372"/>
      <c r="F393" s="2372"/>
      <c r="G393" s="2372"/>
      <c r="H393" s="2372"/>
      <c r="I393" s="2372"/>
      <c r="J393" s="2372"/>
      <c r="K393" s="2372"/>
      <c r="L393" s="2372"/>
      <c r="M393" s="2372"/>
      <c r="N393" s="2372"/>
      <c r="O393" s="2372"/>
      <c r="P393" s="2372"/>
      <c r="Q393" s="2372"/>
      <c r="R393" s="2372"/>
      <c r="S393" s="2372"/>
      <c r="T393" s="2372"/>
      <c r="U393" s="2372"/>
      <c r="V393" s="2372"/>
      <c r="W393" s="2372"/>
      <c r="X393" s="2372"/>
      <c r="Y393" s="2372"/>
      <c r="Z393" s="2372"/>
      <c r="AA393" s="2372"/>
      <c r="AB393" s="2372"/>
      <c r="AC393" s="2372"/>
      <c r="AD393" s="2372"/>
      <c r="AE393" s="2372"/>
      <c r="AF393" s="2372"/>
      <c r="AG393" s="2372"/>
      <c r="AH393" s="2372"/>
      <c r="AI393" s="2372"/>
      <c r="AJ393" s="2372"/>
      <c r="AK393" s="2372"/>
      <c r="AL393" s="2372"/>
      <c r="AM393" s="2372"/>
      <c r="AN393" s="2372"/>
      <c r="AO393" s="2372"/>
      <c r="AP393" s="2372"/>
      <c r="AQ393" s="2372"/>
      <c r="AR393" s="2372"/>
      <c r="AS393" s="2372"/>
      <c r="AT393" s="2372"/>
      <c r="AU393" s="2372"/>
      <c r="AV393" s="2372"/>
      <c r="AW393" s="2372"/>
      <c r="AX393" s="2372"/>
      <c r="AY393" s="2372"/>
      <c r="AZ393" s="2372"/>
      <c r="BA393" s="2372"/>
      <c r="BB393" s="2372"/>
      <c r="BC393" s="2372"/>
      <c r="BD393" s="2372"/>
      <c r="BE393" s="2372"/>
      <c r="BF393" s="2372"/>
      <c r="BG393" s="2372"/>
      <c r="BH393" s="2372"/>
      <c r="BI393" s="2372"/>
      <c r="BJ393" s="2372"/>
      <c r="BK393" s="2372"/>
      <c r="BL393" s="2372"/>
      <c r="BM393" s="2372"/>
      <c r="BN393" s="2372"/>
      <c r="BO393" s="2372"/>
      <c r="BP393" s="2372"/>
      <c r="BQ393" s="2372"/>
      <c r="BR393" s="2372"/>
      <c r="BS393" s="2372"/>
      <c r="BT393" s="2372"/>
      <c r="BU393" s="2372"/>
      <c r="BV393" s="2372"/>
      <c r="BW393" s="2372"/>
      <c r="BX393" s="2372"/>
      <c r="BY393" s="2372"/>
      <c r="BZ393" s="2372"/>
      <c r="CA393" s="2372"/>
      <c r="CB393" s="2372"/>
      <c r="CC393" s="2372"/>
      <c r="CD393" s="2372"/>
      <c r="CE393" s="2372"/>
      <c r="CF393" s="2372"/>
      <c r="CG393" s="2372"/>
      <c r="CH393" s="2372"/>
      <c r="CI393" s="2372"/>
      <c r="CJ393" s="2372"/>
      <c r="CK393" s="2372"/>
      <c r="CL393" s="2372"/>
      <c r="CM393" s="2372"/>
      <c r="CN393" s="2372"/>
      <c r="CO393" s="2372"/>
      <c r="CP393" s="2372"/>
      <c r="CQ393" s="2372"/>
      <c r="CR393" s="2372"/>
      <c r="CS393" s="2372"/>
      <c r="CT393" s="2372"/>
      <c r="CU393" s="2372"/>
      <c r="CV393" s="2372"/>
      <c r="CW393" s="2372"/>
      <c r="CX393" s="2372"/>
      <c r="CY393" s="2372"/>
      <c r="CZ393" s="2372"/>
      <c r="DA393" s="2372"/>
    </row>
    <row r="394" spans="1:105" ht="15" hidden="1" customHeight="1">
      <c r="A394" s="2372"/>
      <c r="B394" s="2372"/>
      <c r="C394" s="2372"/>
      <c r="D394" s="2372"/>
      <c r="E394" s="2372"/>
      <c r="F394" s="2372"/>
      <c r="G394" s="2372"/>
      <c r="H394" s="2372"/>
      <c r="I394" s="2372"/>
      <c r="J394" s="2372"/>
      <c r="K394" s="2372"/>
      <c r="L394" s="2372"/>
      <c r="M394" s="2372"/>
      <c r="N394" s="2372"/>
      <c r="O394" s="2372"/>
      <c r="P394" s="2372"/>
      <c r="Q394" s="2372"/>
      <c r="R394" s="2372"/>
      <c r="S394" s="2372"/>
      <c r="T394" s="2372"/>
      <c r="U394" s="2372"/>
      <c r="V394" s="2372"/>
      <c r="W394" s="2372"/>
      <c r="X394" s="2372"/>
      <c r="Y394" s="2372"/>
      <c r="Z394" s="2372"/>
      <c r="AA394" s="2372"/>
      <c r="AB394" s="2372"/>
      <c r="AC394" s="2372"/>
      <c r="AD394" s="2372"/>
      <c r="AE394" s="2372"/>
      <c r="AF394" s="2372"/>
      <c r="AG394" s="2372"/>
      <c r="AH394" s="2372"/>
      <c r="AI394" s="2372"/>
      <c r="AJ394" s="2372"/>
      <c r="AK394" s="2372"/>
      <c r="AL394" s="2372"/>
      <c r="AM394" s="2372"/>
      <c r="AN394" s="2372"/>
      <c r="AO394" s="2372"/>
      <c r="AP394" s="2372"/>
      <c r="AQ394" s="2372"/>
      <c r="AR394" s="2372"/>
      <c r="AS394" s="2372"/>
      <c r="AT394" s="2372"/>
      <c r="AU394" s="2372"/>
      <c r="AV394" s="2372"/>
      <c r="AW394" s="2372"/>
      <c r="AX394" s="2372"/>
      <c r="AY394" s="2372"/>
      <c r="AZ394" s="2372"/>
      <c r="BA394" s="2372"/>
      <c r="BB394" s="2372"/>
      <c r="BC394" s="2372"/>
      <c r="BD394" s="2372"/>
      <c r="BE394" s="2372"/>
      <c r="BF394" s="2372"/>
      <c r="BG394" s="2372"/>
      <c r="BH394" s="2372"/>
      <c r="BI394" s="2372"/>
      <c r="BJ394" s="2372"/>
      <c r="BK394" s="2372"/>
      <c r="BL394" s="2372"/>
      <c r="BM394" s="2372"/>
      <c r="BN394" s="2372"/>
      <c r="BO394" s="2372"/>
      <c r="BP394" s="2372"/>
      <c r="BQ394" s="2372"/>
      <c r="BR394" s="2372"/>
      <c r="BS394" s="2372"/>
      <c r="BT394" s="2372"/>
      <c r="BU394" s="2372"/>
      <c r="BV394" s="2372"/>
      <c r="BW394" s="2372"/>
      <c r="BX394" s="2372"/>
      <c r="BY394" s="2372"/>
      <c r="BZ394" s="2372"/>
      <c r="CA394" s="2372"/>
      <c r="CB394" s="2372"/>
      <c r="CC394" s="2372"/>
      <c r="CD394" s="2372"/>
      <c r="CE394" s="2372"/>
      <c r="CF394" s="2372"/>
      <c r="CG394" s="2372"/>
      <c r="CH394" s="2372"/>
      <c r="CI394" s="2372"/>
      <c r="CJ394" s="2372"/>
      <c r="CK394" s="2372"/>
      <c r="CL394" s="2372"/>
      <c r="CM394" s="2372"/>
      <c r="CN394" s="2372"/>
      <c r="CO394" s="2372"/>
      <c r="CP394" s="2372"/>
      <c r="CQ394" s="2372"/>
      <c r="CR394" s="2372"/>
      <c r="CS394" s="2372"/>
      <c r="CT394" s="2372"/>
      <c r="CU394" s="2372"/>
      <c r="CV394" s="2372"/>
      <c r="CW394" s="2372"/>
      <c r="CX394" s="2372"/>
      <c r="CY394" s="2372"/>
      <c r="CZ394" s="2372"/>
      <c r="DA394" s="2372"/>
    </row>
    <row r="395" spans="1:105" ht="3" hidden="1" customHeight="1">
      <c r="A395" s="2372"/>
      <c r="B395" s="2372"/>
      <c r="C395" s="2372"/>
      <c r="D395" s="2372"/>
      <c r="E395" s="2372"/>
      <c r="F395" s="2372"/>
      <c r="G395" s="2372"/>
      <c r="H395" s="2372"/>
      <c r="I395" s="2372"/>
      <c r="J395" s="2372"/>
      <c r="K395" s="2372"/>
      <c r="L395" s="2372"/>
      <c r="M395" s="2372"/>
      <c r="N395" s="2372"/>
      <c r="O395" s="2372"/>
      <c r="P395" s="2372"/>
      <c r="Q395" s="2372"/>
      <c r="R395" s="2372"/>
      <c r="S395" s="2372"/>
      <c r="T395" s="2372"/>
      <c r="U395" s="2372"/>
      <c r="V395" s="2372"/>
      <c r="W395" s="2372"/>
      <c r="X395" s="2372"/>
      <c r="Y395" s="2372"/>
      <c r="Z395" s="2372"/>
      <c r="AA395" s="2372"/>
      <c r="AB395" s="2372"/>
      <c r="AC395" s="2372"/>
      <c r="AD395" s="2372"/>
      <c r="AE395" s="2372"/>
      <c r="AF395" s="2372"/>
      <c r="AG395" s="2372"/>
      <c r="AH395" s="2372"/>
      <c r="AI395" s="2372"/>
      <c r="AJ395" s="2372"/>
      <c r="AK395" s="2372"/>
      <c r="AL395" s="2372"/>
      <c r="AM395" s="2372"/>
      <c r="AN395" s="2372"/>
      <c r="AO395" s="2372"/>
      <c r="AP395" s="2372"/>
      <c r="AQ395" s="2372"/>
      <c r="AR395" s="2372"/>
      <c r="AS395" s="2372"/>
      <c r="AT395" s="2372"/>
      <c r="AU395" s="2372"/>
      <c r="AV395" s="2372"/>
      <c r="AW395" s="2372"/>
      <c r="AX395" s="2372"/>
      <c r="AY395" s="2372"/>
      <c r="AZ395" s="2372"/>
      <c r="BA395" s="2372"/>
      <c r="BB395" s="2372"/>
      <c r="BC395" s="2372"/>
      <c r="BD395" s="2372"/>
      <c r="BE395" s="2372"/>
      <c r="BF395" s="2372"/>
      <c r="BG395" s="2372"/>
      <c r="BH395" s="2372"/>
      <c r="BI395" s="2372"/>
      <c r="BJ395" s="2372"/>
      <c r="BK395" s="2372"/>
      <c r="BL395" s="2372"/>
      <c r="BM395" s="2372"/>
      <c r="BN395" s="2372"/>
      <c r="BO395" s="2372"/>
      <c r="BP395" s="2372"/>
      <c r="BQ395" s="2372"/>
      <c r="BR395" s="2372"/>
      <c r="BS395" s="2372"/>
      <c r="BT395" s="2372"/>
      <c r="BU395" s="2372"/>
      <c r="BV395" s="2372"/>
      <c r="BW395" s="2372"/>
      <c r="BX395" s="2372"/>
      <c r="BY395" s="2372"/>
      <c r="BZ395" s="2372"/>
      <c r="CA395" s="2372"/>
      <c r="CB395" s="2372"/>
      <c r="CC395" s="2372"/>
      <c r="CD395" s="2372"/>
      <c r="CE395" s="2372"/>
      <c r="CF395" s="2372"/>
      <c r="CG395" s="2372"/>
      <c r="CH395" s="2372"/>
      <c r="CI395" s="2372"/>
      <c r="CJ395" s="2372"/>
      <c r="CK395" s="2372"/>
      <c r="CL395" s="2372"/>
      <c r="CM395" s="2372"/>
      <c r="CN395" s="2372"/>
      <c r="CO395" s="2372"/>
      <c r="CP395" s="2372"/>
      <c r="CQ395" s="2372"/>
      <c r="CR395" s="2372"/>
      <c r="CS395" s="2372"/>
      <c r="CT395" s="2372"/>
      <c r="CU395" s="2372"/>
      <c r="CV395" s="2372"/>
      <c r="CW395" s="2372"/>
      <c r="CX395" s="2372"/>
      <c r="CY395" s="2372"/>
      <c r="CZ395" s="2372"/>
      <c r="DA395" s="2372"/>
    </row>
    <row r="396" spans="1:105" ht="15" hidden="1" customHeight="1">
      <c r="A396" s="2372"/>
      <c r="B396" s="2372"/>
      <c r="C396" s="2372"/>
      <c r="D396" s="2372"/>
      <c r="E396" s="2372"/>
      <c r="F396" s="2372"/>
      <c r="G396" s="2372"/>
      <c r="H396" s="2372"/>
      <c r="I396" s="2372"/>
      <c r="J396" s="2372"/>
      <c r="K396" s="2372"/>
      <c r="L396" s="2372"/>
      <c r="M396" s="2372"/>
      <c r="N396" s="2372"/>
      <c r="O396" s="2372"/>
      <c r="P396" s="2372"/>
      <c r="Q396" s="2372"/>
      <c r="R396" s="2372"/>
      <c r="S396" s="2372"/>
      <c r="T396" s="2372"/>
      <c r="U396" s="2372"/>
      <c r="V396" s="2372"/>
      <c r="W396" s="2372"/>
      <c r="X396" s="2372"/>
      <c r="Y396" s="2372"/>
      <c r="Z396" s="2372"/>
      <c r="AA396" s="2372"/>
      <c r="AB396" s="2372"/>
      <c r="AC396" s="2372"/>
      <c r="AD396" s="2372"/>
      <c r="AE396" s="2372"/>
      <c r="AF396" s="2372"/>
      <c r="AG396" s="2372"/>
      <c r="AH396" s="2372"/>
      <c r="AI396" s="2372"/>
      <c r="AJ396" s="2372"/>
      <c r="AK396" s="2372"/>
      <c r="AL396" s="2372"/>
      <c r="AM396" s="2372"/>
      <c r="AN396" s="2372"/>
      <c r="AO396" s="2372"/>
      <c r="AP396" s="2372"/>
      <c r="AQ396" s="2372"/>
      <c r="AR396" s="2372"/>
      <c r="AS396" s="2372"/>
      <c r="AT396" s="2372"/>
      <c r="AU396" s="2372"/>
      <c r="AV396" s="2372"/>
      <c r="AW396" s="2372"/>
      <c r="AX396" s="2372"/>
      <c r="AY396" s="2372"/>
      <c r="AZ396" s="2372"/>
      <c r="BA396" s="2372"/>
      <c r="BB396" s="2372"/>
      <c r="BC396" s="2372"/>
      <c r="BD396" s="2372"/>
      <c r="BE396" s="2372"/>
      <c r="BF396" s="2372"/>
      <c r="BG396" s="2372"/>
      <c r="BH396" s="2372"/>
      <c r="BI396" s="2372"/>
      <c r="BJ396" s="2372"/>
      <c r="BK396" s="2372"/>
      <c r="BL396" s="2372"/>
      <c r="BM396" s="2372"/>
      <c r="BN396" s="2372"/>
      <c r="BO396" s="2372"/>
      <c r="BP396" s="2372"/>
      <c r="BQ396" s="2372"/>
      <c r="BR396" s="2372"/>
      <c r="BS396" s="2372"/>
      <c r="BT396" s="2372"/>
      <c r="BU396" s="2372"/>
      <c r="BV396" s="2372"/>
      <c r="BW396" s="2372"/>
      <c r="BX396" s="2372"/>
      <c r="BY396" s="2372"/>
      <c r="BZ396" s="2372"/>
      <c r="CA396" s="2372"/>
      <c r="CB396" s="2372"/>
      <c r="CC396" s="2372"/>
      <c r="CD396" s="2372"/>
      <c r="CE396" s="2372"/>
      <c r="CF396" s="2372"/>
      <c r="CG396" s="2372"/>
      <c r="CH396" s="2372"/>
      <c r="CI396" s="2372"/>
      <c r="CJ396" s="2372"/>
      <c r="CK396" s="2372"/>
      <c r="CL396" s="2372"/>
      <c r="CM396" s="2372"/>
      <c r="CN396" s="2372"/>
      <c r="CO396" s="2372"/>
      <c r="CP396" s="2372"/>
      <c r="CQ396" s="2372"/>
      <c r="CR396" s="2372"/>
      <c r="CS396" s="2372"/>
      <c r="CT396" s="2372"/>
      <c r="CU396" s="2372"/>
      <c r="CV396" s="2372"/>
      <c r="CW396" s="2372"/>
      <c r="CX396" s="2372"/>
      <c r="CY396" s="2372"/>
      <c r="CZ396" s="2372"/>
      <c r="DA396" s="2372"/>
    </row>
    <row r="397" spans="1:105" ht="3" hidden="1" customHeight="1">
      <c r="A397" s="2372"/>
      <c r="B397" s="2372"/>
      <c r="C397" s="2372"/>
      <c r="D397" s="2372"/>
      <c r="E397" s="2372"/>
      <c r="F397" s="2372"/>
      <c r="G397" s="2372"/>
      <c r="H397" s="2372"/>
      <c r="I397" s="2372"/>
      <c r="J397" s="2372"/>
      <c r="K397" s="2372"/>
      <c r="L397" s="2372"/>
      <c r="M397" s="2372"/>
      <c r="N397" s="2372"/>
      <c r="O397" s="2372"/>
      <c r="P397" s="2372"/>
      <c r="Q397" s="2372"/>
      <c r="R397" s="2372"/>
      <c r="S397" s="2372"/>
      <c r="T397" s="2372"/>
      <c r="U397" s="2372"/>
      <c r="V397" s="2372"/>
      <c r="W397" s="2372"/>
      <c r="X397" s="2372"/>
      <c r="Y397" s="2372"/>
      <c r="Z397" s="2372"/>
      <c r="AA397" s="2372"/>
      <c r="AB397" s="2372"/>
      <c r="AC397" s="2372"/>
      <c r="AD397" s="2372"/>
      <c r="AE397" s="2372"/>
      <c r="AF397" s="2372"/>
      <c r="AG397" s="2372"/>
      <c r="AH397" s="2372"/>
      <c r="AI397" s="2372"/>
      <c r="AJ397" s="2372"/>
      <c r="AK397" s="2372"/>
      <c r="AL397" s="2372"/>
      <c r="AM397" s="2372"/>
      <c r="AN397" s="2372"/>
      <c r="AO397" s="2372"/>
      <c r="AP397" s="2372"/>
      <c r="AQ397" s="2372"/>
      <c r="AR397" s="2372"/>
      <c r="AS397" s="2372"/>
      <c r="AT397" s="2372"/>
      <c r="AU397" s="2372"/>
      <c r="AV397" s="2372"/>
      <c r="AW397" s="2372"/>
      <c r="AX397" s="2372"/>
      <c r="AY397" s="2372"/>
      <c r="AZ397" s="2372"/>
      <c r="BA397" s="2372"/>
      <c r="BB397" s="2372"/>
      <c r="BC397" s="2372"/>
      <c r="BD397" s="2372"/>
      <c r="BE397" s="2372"/>
      <c r="BF397" s="2372"/>
      <c r="BG397" s="2372"/>
      <c r="BH397" s="2372"/>
      <c r="BI397" s="2372"/>
      <c r="BJ397" s="2372"/>
      <c r="BK397" s="2372"/>
      <c r="BL397" s="2372"/>
      <c r="BM397" s="2372"/>
      <c r="BN397" s="2372"/>
      <c r="BO397" s="2372"/>
      <c r="BP397" s="2372"/>
      <c r="BQ397" s="2372"/>
      <c r="BR397" s="2372"/>
      <c r="BS397" s="2372"/>
      <c r="BT397" s="2372"/>
      <c r="BU397" s="2372"/>
      <c r="BV397" s="2372"/>
      <c r="BW397" s="2372"/>
      <c r="BX397" s="2372"/>
      <c r="BY397" s="2372"/>
      <c r="BZ397" s="2372"/>
      <c r="CA397" s="2372"/>
      <c r="CB397" s="2372"/>
      <c r="CC397" s="2372"/>
      <c r="CD397" s="2372"/>
      <c r="CE397" s="2372"/>
      <c r="CF397" s="2372"/>
      <c r="CG397" s="2372"/>
      <c r="CH397" s="2372"/>
      <c r="CI397" s="2372"/>
      <c r="CJ397" s="2372"/>
      <c r="CK397" s="2372"/>
      <c r="CL397" s="2372"/>
      <c r="CM397" s="2372"/>
      <c r="CN397" s="2372"/>
      <c r="CO397" s="2372"/>
      <c r="CP397" s="2372"/>
      <c r="CQ397" s="2372"/>
      <c r="CR397" s="2372"/>
      <c r="CS397" s="2372"/>
      <c r="CT397" s="2372"/>
      <c r="CU397" s="2372"/>
      <c r="CV397" s="2372"/>
      <c r="CW397" s="2372"/>
      <c r="CX397" s="2372"/>
      <c r="CY397" s="2372"/>
      <c r="CZ397" s="2372"/>
      <c r="DA397" s="2372"/>
    </row>
    <row r="398" spans="1:105" ht="15" hidden="1" customHeight="1">
      <c r="A398" s="2372"/>
      <c r="B398" s="2372"/>
      <c r="C398" s="2372"/>
      <c r="D398" s="2372"/>
      <c r="E398" s="2372"/>
      <c r="F398" s="2372"/>
      <c r="G398" s="2372"/>
      <c r="H398" s="2372"/>
      <c r="I398" s="2372"/>
      <c r="J398" s="2372"/>
      <c r="K398" s="2372"/>
      <c r="L398" s="2372"/>
      <c r="M398" s="2372"/>
      <c r="N398" s="2372"/>
      <c r="O398" s="2372"/>
      <c r="P398" s="2372"/>
      <c r="Q398" s="2372"/>
      <c r="R398" s="2372"/>
      <c r="S398" s="2372"/>
      <c r="T398" s="2372"/>
      <c r="U398" s="2372"/>
      <c r="V398" s="2372"/>
      <c r="W398" s="2372"/>
      <c r="X398" s="2372"/>
      <c r="Y398" s="2372"/>
      <c r="Z398" s="2372"/>
      <c r="AA398" s="2372"/>
      <c r="AB398" s="2372"/>
      <c r="AC398" s="2372"/>
      <c r="AD398" s="2372"/>
      <c r="AE398" s="2372"/>
      <c r="AF398" s="2372"/>
      <c r="AG398" s="2372"/>
      <c r="AH398" s="2372"/>
      <c r="AI398" s="2372"/>
      <c r="AJ398" s="2372"/>
      <c r="AK398" s="2372"/>
      <c r="AL398" s="2372"/>
      <c r="AM398" s="2372"/>
      <c r="AN398" s="2372"/>
      <c r="AO398" s="2372"/>
      <c r="AP398" s="2372"/>
      <c r="AQ398" s="2372"/>
      <c r="AR398" s="2372"/>
      <c r="AS398" s="2372"/>
      <c r="AT398" s="2372"/>
      <c r="AU398" s="2372"/>
      <c r="AV398" s="2372"/>
      <c r="AW398" s="2372"/>
      <c r="AX398" s="2372"/>
      <c r="AY398" s="2372"/>
      <c r="AZ398" s="2372"/>
      <c r="BA398" s="2372"/>
      <c r="BB398" s="2372"/>
      <c r="BC398" s="2372"/>
      <c r="BD398" s="2372"/>
      <c r="BE398" s="2372"/>
      <c r="BF398" s="2372"/>
      <c r="BG398" s="2372"/>
      <c r="BH398" s="2372"/>
      <c r="BI398" s="2372"/>
      <c r="BJ398" s="2372"/>
      <c r="BK398" s="2372"/>
      <c r="BL398" s="2372"/>
      <c r="BM398" s="2372"/>
      <c r="BN398" s="2372"/>
      <c r="BO398" s="2372"/>
      <c r="BP398" s="2372"/>
      <c r="BQ398" s="2372"/>
      <c r="BR398" s="2372"/>
      <c r="BS398" s="2372"/>
      <c r="BT398" s="2372"/>
      <c r="BU398" s="2372"/>
      <c r="BV398" s="2372"/>
      <c r="BW398" s="2372"/>
      <c r="BX398" s="2372"/>
      <c r="BY398" s="2372"/>
      <c r="BZ398" s="2372"/>
      <c r="CA398" s="2372"/>
      <c r="CB398" s="2372"/>
      <c r="CC398" s="2372"/>
      <c r="CD398" s="2372"/>
      <c r="CE398" s="2372"/>
      <c r="CF398" s="2372"/>
      <c r="CG398" s="2372"/>
      <c r="CH398" s="2372"/>
      <c r="CI398" s="2372"/>
      <c r="CJ398" s="2372"/>
      <c r="CK398" s="2372"/>
      <c r="CL398" s="2372"/>
      <c r="CM398" s="2372"/>
      <c r="CN398" s="2372"/>
      <c r="CO398" s="2372"/>
      <c r="CP398" s="2372"/>
      <c r="CQ398" s="2372"/>
      <c r="CR398" s="2372"/>
      <c r="CS398" s="2372"/>
      <c r="CT398" s="2372"/>
      <c r="CU398" s="2372"/>
      <c r="CV398" s="2372"/>
      <c r="CW398" s="2372"/>
      <c r="CX398" s="2372"/>
      <c r="CY398" s="2372"/>
      <c r="CZ398" s="2372"/>
      <c r="DA398" s="2372"/>
    </row>
    <row r="399" spans="1:105" ht="3" hidden="1" customHeight="1">
      <c r="A399" s="2372"/>
      <c r="B399" s="2372"/>
      <c r="C399" s="2372"/>
      <c r="D399" s="2372"/>
      <c r="E399" s="2372"/>
      <c r="F399" s="2372"/>
      <c r="G399" s="2372"/>
      <c r="H399" s="2372"/>
      <c r="I399" s="2372"/>
      <c r="J399" s="2372"/>
      <c r="K399" s="2372"/>
      <c r="L399" s="2372"/>
      <c r="M399" s="2372"/>
      <c r="N399" s="2372"/>
      <c r="O399" s="2372"/>
      <c r="P399" s="2372"/>
      <c r="Q399" s="2372"/>
      <c r="R399" s="2372"/>
      <c r="S399" s="2372"/>
      <c r="T399" s="2372"/>
      <c r="U399" s="2372"/>
      <c r="V399" s="2372"/>
      <c r="W399" s="2372"/>
      <c r="X399" s="2372"/>
      <c r="Y399" s="2372"/>
      <c r="Z399" s="2372"/>
      <c r="AA399" s="2372"/>
      <c r="AB399" s="2372"/>
      <c r="AC399" s="2372"/>
      <c r="AD399" s="2372"/>
      <c r="AE399" s="2372"/>
      <c r="AF399" s="2372"/>
      <c r="AG399" s="2372"/>
      <c r="AH399" s="2372"/>
      <c r="AI399" s="2372"/>
      <c r="AJ399" s="2372"/>
      <c r="AK399" s="2372"/>
      <c r="AL399" s="2372"/>
      <c r="AM399" s="2372"/>
      <c r="AN399" s="2372"/>
      <c r="AO399" s="2372"/>
      <c r="AP399" s="2372"/>
      <c r="AQ399" s="2372"/>
      <c r="AR399" s="2372"/>
      <c r="AS399" s="2372"/>
      <c r="AT399" s="2372"/>
      <c r="AU399" s="2372"/>
      <c r="AV399" s="2372"/>
      <c r="AW399" s="2372"/>
      <c r="AX399" s="2372"/>
      <c r="AY399" s="2372"/>
      <c r="AZ399" s="2372"/>
      <c r="BA399" s="2372"/>
      <c r="BB399" s="2372"/>
      <c r="BC399" s="2372"/>
      <c r="BD399" s="2372"/>
      <c r="BE399" s="2372"/>
      <c r="BF399" s="2372"/>
      <c r="BG399" s="2372"/>
      <c r="BH399" s="2372"/>
      <c r="BI399" s="2372"/>
      <c r="BJ399" s="2372"/>
      <c r="BK399" s="2372"/>
      <c r="BL399" s="2372"/>
      <c r="BM399" s="2372"/>
      <c r="BN399" s="2372"/>
      <c r="BO399" s="2372"/>
      <c r="BP399" s="2372"/>
      <c r="BQ399" s="2372"/>
      <c r="BR399" s="2372"/>
      <c r="BS399" s="2372"/>
      <c r="BT399" s="2372"/>
      <c r="BU399" s="2372"/>
      <c r="BV399" s="2372"/>
      <c r="BW399" s="2372"/>
      <c r="BX399" s="2372"/>
      <c r="BY399" s="2372"/>
      <c r="BZ399" s="2372"/>
      <c r="CA399" s="2372"/>
      <c r="CB399" s="2372"/>
      <c r="CC399" s="2372"/>
      <c r="CD399" s="2372"/>
      <c r="CE399" s="2372"/>
      <c r="CF399" s="2372"/>
      <c r="CG399" s="2372"/>
      <c r="CH399" s="2372"/>
      <c r="CI399" s="2372"/>
      <c r="CJ399" s="2372"/>
      <c r="CK399" s="2372"/>
      <c r="CL399" s="2372"/>
      <c r="CM399" s="2372"/>
      <c r="CN399" s="2372"/>
      <c r="CO399" s="2372"/>
      <c r="CP399" s="2372"/>
      <c r="CQ399" s="2372"/>
      <c r="CR399" s="2372"/>
      <c r="CS399" s="2372"/>
      <c r="CT399" s="2372"/>
      <c r="CU399" s="2372"/>
      <c r="CV399" s="2372"/>
      <c r="CW399" s="2372"/>
      <c r="CX399" s="2372"/>
      <c r="CY399" s="2372"/>
      <c r="CZ399" s="2372"/>
      <c r="DA399" s="2372"/>
    </row>
    <row r="400" spans="1:105" ht="15" hidden="1" customHeight="1">
      <c r="A400" s="2372"/>
      <c r="B400" s="2372"/>
      <c r="C400" s="2372"/>
      <c r="D400" s="2372"/>
      <c r="E400" s="2372"/>
      <c r="F400" s="2372"/>
      <c r="G400" s="2372"/>
      <c r="H400" s="2372"/>
      <c r="I400" s="2372"/>
      <c r="J400" s="2372"/>
      <c r="K400" s="2372"/>
      <c r="L400" s="2372"/>
      <c r="M400" s="2372"/>
      <c r="N400" s="2372"/>
      <c r="O400" s="2372"/>
      <c r="P400" s="2372"/>
      <c r="Q400" s="2372"/>
      <c r="R400" s="2372"/>
      <c r="S400" s="2372"/>
      <c r="T400" s="2372"/>
      <c r="U400" s="2372"/>
      <c r="V400" s="2372"/>
      <c r="W400" s="2372"/>
      <c r="X400" s="2372"/>
      <c r="Y400" s="2372"/>
      <c r="Z400" s="2372"/>
      <c r="AA400" s="2372"/>
      <c r="AB400" s="2372"/>
      <c r="AC400" s="2372"/>
      <c r="AD400" s="2372"/>
      <c r="AE400" s="2372"/>
      <c r="AF400" s="2372"/>
      <c r="AG400" s="2372"/>
      <c r="AH400" s="2372"/>
      <c r="AI400" s="2372"/>
      <c r="AJ400" s="2372"/>
      <c r="AK400" s="2372"/>
      <c r="AL400" s="2372"/>
      <c r="AM400" s="2372"/>
      <c r="AN400" s="2372"/>
      <c r="AO400" s="2372"/>
      <c r="AP400" s="2372"/>
      <c r="AQ400" s="2372"/>
      <c r="AR400" s="2372"/>
      <c r="AS400" s="2372"/>
      <c r="AT400" s="2372"/>
      <c r="AU400" s="2372"/>
      <c r="AV400" s="2372"/>
      <c r="AW400" s="2372"/>
      <c r="AX400" s="2372"/>
      <c r="AY400" s="2372"/>
      <c r="AZ400" s="2372"/>
      <c r="BA400" s="2372"/>
      <c r="BB400" s="2372"/>
      <c r="BC400" s="2372"/>
      <c r="BD400" s="2372"/>
      <c r="BE400" s="2372"/>
      <c r="BF400" s="2372"/>
      <c r="BG400" s="2372"/>
      <c r="BH400" s="2372"/>
      <c r="BI400" s="2372"/>
      <c r="BJ400" s="2372"/>
      <c r="BK400" s="2372"/>
      <c r="BL400" s="2372"/>
      <c r="BM400" s="2372"/>
      <c r="BN400" s="2372"/>
      <c r="BO400" s="2372"/>
      <c r="BP400" s="2372"/>
      <c r="BQ400" s="2372"/>
      <c r="BR400" s="2372"/>
      <c r="BS400" s="2372"/>
      <c r="BT400" s="2372"/>
      <c r="BU400" s="2372"/>
      <c r="BV400" s="2372"/>
      <c r="BW400" s="2372"/>
      <c r="BX400" s="2372"/>
      <c r="BY400" s="2372"/>
      <c r="BZ400" s="2372"/>
      <c r="CA400" s="2372"/>
      <c r="CB400" s="2372"/>
      <c r="CC400" s="2372"/>
      <c r="CD400" s="2372"/>
      <c r="CE400" s="2372"/>
      <c r="CF400" s="2372"/>
      <c r="CG400" s="2372"/>
      <c r="CH400" s="2372"/>
      <c r="CI400" s="2372"/>
      <c r="CJ400" s="2372"/>
      <c r="CK400" s="2372"/>
      <c r="CL400" s="2372"/>
      <c r="CM400" s="2372"/>
      <c r="CN400" s="2372"/>
      <c r="CO400" s="2372"/>
      <c r="CP400" s="2372"/>
      <c r="CQ400" s="2372"/>
      <c r="CR400" s="2372"/>
      <c r="CS400" s="2372"/>
      <c r="CT400" s="2372"/>
      <c r="CU400" s="2372"/>
      <c r="CV400" s="2372"/>
      <c r="CW400" s="2372"/>
      <c r="CX400" s="2372"/>
      <c r="CY400" s="2372"/>
      <c r="CZ400" s="2372"/>
      <c r="DA400" s="2372"/>
    </row>
    <row r="401" spans="1:105" ht="3" hidden="1" customHeight="1">
      <c r="A401" s="2372"/>
      <c r="B401" s="2372"/>
      <c r="C401" s="2372"/>
      <c r="D401" s="2372"/>
      <c r="E401" s="2372"/>
      <c r="F401" s="2372"/>
      <c r="G401" s="2372"/>
      <c r="H401" s="2372"/>
      <c r="I401" s="2372"/>
      <c r="J401" s="2372"/>
      <c r="K401" s="2372"/>
      <c r="L401" s="2372"/>
      <c r="M401" s="2372"/>
      <c r="N401" s="2372"/>
      <c r="O401" s="2372"/>
      <c r="P401" s="2372"/>
      <c r="Q401" s="2372"/>
      <c r="R401" s="2372"/>
      <c r="S401" s="2372"/>
      <c r="T401" s="2372"/>
      <c r="U401" s="2372"/>
      <c r="V401" s="2372"/>
      <c r="W401" s="2372"/>
      <c r="X401" s="2372"/>
      <c r="Y401" s="2372"/>
      <c r="Z401" s="2372"/>
      <c r="AA401" s="2372"/>
      <c r="AB401" s="2372"/>
      <c r="AC401" s="2372"/>
      <c r="AD401" s="2372"/>
      <c r="AE401" s="2372"/>
      <c r="AF401" s="2372"/>
      <c r="AG401" s="2372"/>
      <c r="AH401" s="2372"/>
      <c r="AI401" s="2372"/>
      <c r="AJ401" s="2372"/>
      <c r="AK401" s="2372"/>
      <c r="AL401" s="2372"/>
      <c r="AM401" s="2372"/>
      <c r="AN401" s="2372"/>
      <c r="AO401" s="2372"/>
      <c r="AP401" s="2372"/>
      <c r="AQ401" s="2372"/>
      <c r="AR401" s="2372"/>
      <c r="AS401" s="2372"/>
      <c r="AT401" s="2372"/>
      <c r="AU401" s="2372"/>
      <c r="AV401" s="2372"/>
      <c r="AW401" s="2372"/>
      <c r="AX401" s="2372"/>
      <c r="AY401" s="2372"/>
      <c r="AZ401" s="2372"/>
      <c r="BA401" s="2372"/>
      <c r="BB401" s="2372"/>
      <c r="BC401" s="2372"/>
      <c r="BD401" s="2372"/>
      <c r="BE401" s="2372"/>
      <c r="BF401" s="2372"/>
      <c r="BG401" s="2372"/>
      <c r="BH401" s="2372"/>
      <c r="BI401" s="2372"/>
      <c r="BJ401" s="2372"/>
      <c r="BK401" s="2372"/>
      <c r="BL401" s="2372"/>
      <c r="BM401" s="2372"/>
      <c r="BN401" s="2372"/>
      <c r="BO401" s="2372"/>
      <c r="BP401" s="2372"/>
      <c r="BQ401" s="2372"/>
      <c r="BR401" s="2372"/>
      <c r="BS401" s="2372"/>
      <c r="BT401" s="2372"/>
      <c r="BU401" s="2372"/>
      <c r="BV401" s="2372"/>
      <c r="BW401" s="2372"/>
      <c r="BX401" s="2372"/>
      <c r="BY401" s="2372"/>
      <c r="BZ401" s="2372"/>
      <c r="CA401" s="2372"/>
      <c r="CB401" s="2372"/>
      <c r="CC401" s="2372"/>
      <c r="CD401" s="2372"/>
      <c r="CE401" s="2372"/>
      <c r="CF401" s="2372"/>
      <c r="CG401" s="2372"/>
      <c r="CH401" s="2372"/>
      <c r="CI401" s="2372"/>
      <c r="CJ401" s="2372"/>
      <c r="CK401" s="2372"/>
      <c r="CL401" s="2372"/>
      <c r="CM401" s="2372"/>
      <c r="CN401" s="2372"/>
      <c r="CO401" s="2372"/>
      <c r="CP401" s="2372"/>
      <c r="CQ401" s="2372"/>
      <c r="CR401" s="2372"/>
      <c r="CS401" s="2372"/>
      <c r="CT401" s="2372"/>
      <c r="CU401" s="2372"/>
      <c r="CV401" s="2372"/>
      <c r="CW401" s="2372"/>
      <c r="CX401" s="2372"/>
      <c r="CY401" s="2372"/>
      <c r="CZ401" s="2372"/>
      <c r="DA401" s="2372"/>
    </row>
    <row r="402" spans="1:105" ht="15" hidden="1" customHeight="1">
      <c r="A402" s="2372"/>
      <c r="B402" s="2372"/>
      <c r="C402" s="2372"/>
      <c r="D402" s="2372"/>
      <c r="E402" s="2372"/>
      <c r="F402" s="2372"/>
      <c r="G402" s="2372"/>
      <c r="H402" s="2372"/>
      <c r="I402" s="2372"/>
      <c r="J402" s="2372"/>
      <c r="K402" s="2372"/>
      <c r="L402" s="2372"/>
      <c r="M402" s="2372"/>
      <c r="N402" s="2372"/>
      <c r="O402" s="2372"/>
      <c r="P402" s="2372"/>
      <c r="Q402" s="2372"/>
      <c r="R402" s="2372"/>
      <c r="S402" s="2372"/>
      <c r="T402" s="2372"/>
      <c r="U402" s="2372"/>
      <c r="V402" s="2372"/>
      <c r="W402" s="2372"/>
      <c r="X402" s="2372"/>
      <c r="Y402" s="2372"/>
      <c r="Z402" s="2372"/>
      <c r="AA402" s="2372"/>
      <c r="AB402" s="2372"/>
      <c r="AC402" s="2372"/>
      <c r="AD402" s="2372"/>
      <c r="AE402" s="2372"/>
      <c r="AF402" s="2372"/>
      <c r="AG402" s="2372"/>
      <c r="AH402" s="2372"/>
      <c r="AI402" s="2372"/>
      <c r="AJ402" s="2372"/>
      <c r="AK402" s="2372"/>
      <c r="AL402" s="2372"/>
      <c r="AM402" s="2372"/>
      <c r="AN402" s="2372"/>
      <c r="AO402" s="2372"/>
      <c r="AP402" s="2372"/>
      <c r="AQ402" s="2372"/>
      <c r="AR402" s="2372"/>
      <c r="AS402" s="2372"/>
      <c r="AT402" s="2372"/>
      <c r="AU402" s="2372"/>
      <c r="AV402" s="2372"/>
      <c r="AW402" s="2372"/>
      <c r="AX402" s="2372"/>
      <c r="AY402" s="2372"/>
      <c r="AZ402" s="2372"/>
      <c r="BA402" s="2372"/>
      <c r="BB402" s="2372"/>
      <c r="BC402" s="2372"/>
      <c r="BD402" s="2372"/>
      <c r="BE402" s="2372"/>
      <c r="BF402" s="2372"/>
      <c r="BG402" s="2372"/>
      <c r="BH402" s="2372"/>
      <c r="BI402" s="2372"/>
      <c r="BJ402" s="2372"/>
      <c r="BK402" s="2372"/>
      <c r="BL402" s="2372"/>
      <c r="BM402" s="2372"/>
      <c r="BN402" s="2372"/>
      <c r="BO402" s="2372"/>
      <c r="BP402" s="2372"/>
      <c r="BQ402" s="2372"/>
      <c r="BR402" s="2372"/>
      <c r="BS402" s="2372"/>
      <c r="BT402" s="2372"/>
      <c r="BU402" s="2372"/>
      <c r="BV402" s="2372"/>
      <c r="BW402" s="2372"/>
      <c r="BX402" s="2372"/>
      <c r="BY402" s="2372"/>
      <c r="BZ402" s="2372"/>
      <c r="CA402" s="2372"/>
      <c r="CB402" s="2372"/>
      <c r="CC402" s="2372"/>
      <c r="CD402" s="2372"/>
      <c r="CE402" s="2372"/>
      <c r="CF402" s="2372"/>
      <c r="CG402" s="2372"/>
      <c r="CH402" s="2372"/>
      <c r="CI402" s="2372"/>
      <c r="CJ402" s="2372"/>
      <c r="CK402" s="2372"/>
      <c r="CL402" s="2372"/>
      <c r="CM402" s="2372"/>
      <c r="CN402" s="2372"/>
      <c r="CO402" s="2372"/>
      <c r="CP402" s="2372"/>
      <c r="CQ402" s="2372"/>
      <c r="CR402" s="2372"/>
      <c r="CS402" s="2372"/>
      <c r="CT402" s="2372"/>
      <c r="CU402" s="2372"/>
      <c r="CV402" s="2372"/>
      <c r="CW402" s="2372"/>
      <c r="CX402" s="2372"/>
      <c r="CY402" s="2372"/>
      <c r="CZ402" s="2372"/>
      <c r="DA402" s="2372"/>
    </row>
    <row r="403" spans="1:105" ht="15" hidden="1" customHeight="1">
      <c r="A403" s="2372"/>
      <c r="B403" s="2372"/>
      <c r="C403" s="2372"/>
      <c r="D403" s="2372"/>
      <c r="E403" s="2372"/>
      <c r="F403" s="2372"/>
      <c r="G403" s="2372"/>
      <c r="H403" s="2372"/>
      <c r="I403" s="2372"/>
      <c r="J403" s="2372"/>
      <c r="K403" s="2372"/>
      <c r="L403" s="2372"/>
      <c r="M403" s="2372"/>
      <c r="N403" s="2372"/>
      <c r="O403" s="2372"/>
      <c r="P403" s="2372"/>
      <c r="Q403" s="2372"/>
      <c r="R403" s="2372"/>
      <c r="S403" s="2372"/>
      <c r="T403" s="2372"/>
      <c r="U403" s="2372"/>
      <c r="V403" s="2372"/>
      <c r="W403" s="2372"/>
      <c r="X403" s="2372"/>
      <c r="Y403" s="2372"/>
      <c r="Z403" s="2372"/>
      <c r="AA403" s="2372"/>
      <c r="AB403" s="2372"/>
      <c r="AC403" s="2372"/>
      <c r="AD403" s="2372"/>
      <c r="AE403" s="2372"/>
      <c r="AF403" s="2372"/>
      <c r="AG403" s="2372"/>
      <c r="AH403" s="2372"/>
      <c r="AI403" s="2372"/>
      <c r="AJ403" s="2372"/>
      <c r="AK403" s="2372"/>
      <c r="AL403" s="2372"/>
      <c r="AM403" s="2372"/>
      <c r="AN403" s="2372"/>
      <c r="AO403" s="2372"/>
      <c r="AP403" s="2372"/>
      <c r="AQ403" s="2372"/>
      <c r="AR403" s="2372"/>
      <c r="AS403" s="2372"/>
      <c r="AT403" s="2372"/>
      <c r="AU403" s="2372"/>
      <c r="AV403" s="2372"/>
      <c r="AW403" s="2372"/>
      <c r="AX403" s="2372"/>
      <c r="AY403" s="2372"/>
      <c r="AZ403" s="2372"/>
      <c r="BA403" s="2372"/>
      <c r="BB403" s="2372"/>
      <c r="BC403" s="2372"/>
      <c r="BD403" s="2372"/>
      <c r="BE403" s="2372"/>
      <c r="BF403" s="2372"/>
      <c r="BG403" s="2372"/>
      <c r="BH403" s="2372"/>
      <c r="BI403" s="2372"/>
      <c r="BJ403" s="2372"/>
      <c r="BK403" s="2372"/>
      <c r="BL403" s="2372"/>
      <c r="BM403" s="2372"/>
      <c r="BN403" s="2372"/>
      <c r="BO403" s="2372"/>
      <c r="BP403" s="2372"/>
      <c r="BQ403" s="2372"/>
      <c r="BR403" s="2372"/>
      <c r="BS403" s="2372"/>
      <c r="BT403" s="2372"/>
      <c r="BU403" s="2372"/>
      <c r="BV403" s="2372"/>
      <c r="BW403" s="2372"/>
      <c r="BX403" s="2372"/>
      <c r="BY403" s="2372"/>
      <c r="BZ403" s="2372"/>
      <c r="CA403" s="2372"/>
      <c r="CB403" s="2372"/>
      <c r="CC403" s="2372"/>
      <c r="CD403" s="2372"/>
      <c r="CE403" s="2372"/>
      <c r="CF403" s="2372"/>
      <c r="CG403" s="2372"/>
      <c r="CH403" s="2372"/>
      <c r="CI403" s="2372"/>
      <c r="CJ403" s="2372"/>
      <c r="CK403" s="2372"/>
      <c r="CL403" s="2372"/>
      <c r="CM403" s="2372"/>
      <c r="CN403" s="2372"/>
      <c r="CO403" s="2372"/>
      <c r="CP403" s="2372"/>
      <c r="CQ403" s="2372"/>
      <c r="CR403" s="2372"/>
      <c r="CS403" s="2372"/>
      <c r="CT403" s="2372"/>
      <c r="CU403" s="2372"/>
      <c r="CV403" s="2372"/>
      <c r="CW403" s="2372"/>
      <c r="CX403" s="2372"/>
      <c r="CY403" s="2372"/>
      <c r="CZ403" s="2372"/>
      <c r="DA403" s="2372"/>
    </row>
    <row r="404" spans="1:105" ht="15" hidden="1" customHeight="1">
      <c r="A404" s="2372"/>
      <c r="B404" s="2372"/>
      <c r="C404" s="2372"/>
      <c r="D404" s="2372"/>
      <c r="E404" s="2372"/>
      <c r="F404" s="2372"/>
      <c r="G404" s="2372"/>
      <c r="H404" s="2372"/>
      <c r="I404" s="2372"/>
      <c r="J404" s="2372"/>
      <c r="K404" s="2372"/>
      <c r="L404" s="2372"/>
      <c r="M404" s="2372"/>
      <c r="N404" s="2372"/>
      <c r="O404" s="2372"/>
      <c r="P404" s="2372"/>
      <c r="Q404" s="2372"/>
      <c r="R404" s="2372"/>
      <c r="S404" s="2372"/>
      <c r="T404" s="2372"/>
      <c r="U404" s="2372"/>
      <c r="V404" s="2372"/>
      <c r="W404" s="2372"/>
      <c r="X404" s="2372"/>
      <c r="Y404" s="2372"/>
      <c r="Z404" s="2372"/>
      <c r="AA404" s="2372"/>
      <c r="AB404" s="2372"/>
      <c r="AC404" s="2372"/>
      <c r="AD404" s="2372"/>
      <c r="AE404" s="2372"/>
      <c r="AF404" s="2372"/>
      <c r="AG404" s="2372"/>
      <c r="AH404" s="2372"/>
      <c r="AI404" s="2372"/>
      <c r="AJ404" s="2372"/>
      <c r="AK404" s="2372"/>
      <c r="AL404" s="2372"/>
      <c r="AM404" s="2372"/>
      <c r="AN404" s="2372"/>
      <c r="AO404" s="2372"/>
      <c r="AP404" s="2372"/>
      <c r="AQ404" s="2372"/>
      <c r="AR404" s="2372"/>
      <c r="AS404" s="2372"/>
      <c r="AT404" s="2372"/>
      <c r="AU404" s="2372"/>
      <c r="AV404" s="2372"/>
      <c r="AW404" s="2372"/>
      <c r="AX404" s="2372"/>
      <c r="AY404" s="2372"/>
      <c r="AZ404" s="2372"/>
      <c r="BA404" s="2372"/>
      <c r="BB404" s="2372"/>
      <c r="BC404" s="2372"/>
      <c r="BD404" s="2372"/>
      <c r="BE404" s="2372"/>
      <c r="BF404" s="2372"/>
      <c r="BG404" s="2372"/>
      <c r="BH404" s="2372"/>
      <c r="BI404" s="2372"/>
      <c r="BJ404" s="2372"/>
      <c r="BK404" s="2372"/>
      <c r="BL404" s="2372"/>
      <c r="BM404" s="2372"/>
      <c r="BN404" s="2372"/>
      <c r="BO404" s="2372"/>
      <c r="BP404" s="2372"/>
      <c r="BQ404" s="2372"/>
      <c r="BR404" s="2372"/>
      <c r="BS404" s="2372"/>
      <c r="BT404" s="2372"/>
      <c r="BU404" s="2372"/>
      <c r="BV404" s="2372"/>
      <c r="BW404" s="2372"/>
      <c r="BX404" s="2372"/>
      <c r="BY404" s="2372"/>
      <c r="BZ404" s="2372"/>
      <c r="CA404" s="2372"/>
      <c r="CB404" s="2372"/>
      <c r="CC404" s="2372"/>
      <c r="CD404" s="2372"/>
      <c r="CE404" s="2372"/>
      <c r="CF404" s="2372"/>
      <c r="CG404" s="2372"/>
      <c r="CH404" s="2372"/>
      <c r="CI404" s="2372"/>
      <c r="CJ404" s="2372"/>
      <c r="CK404" s="2372"/>
      <c r="CL404" s="2372"/>
      <c r="CM404" s="2372"/>
      <c r="CN404" s="2372"/>
      <c r="CO404" s="2372"/>
      <c r="CP404" s="2372"/>
      <c r="CQ404" s="2372"/>
      <c r="CR404" s="2372"/>
      <c r="CS404" s="2372"/>
      <c r="CT404" s="2372"/>
      <c r="CU404" s="2372"/>
      <c r="CV404" s="2372"/>
      <c r="CW404" s="2372"/>
      <c r="CX404" s="2372"/>
      <c r="CY404" s="2372"/>
      <c r="CZ404" s="2372"/>
      <c r="DA404" s="2372"/>
    </row>
    <row r="405" spans="1:105" ht="15" hidden="1" customHeight="1">
      <c r="A405" s="2372"/>
      <c r="B405" s="2372"/>
      <c r="C405" s="2372"/>
      <c r="D405" s="2372"/>
      <c r="E405" s="2372"/>
      <c r="F405" s="2372"/>
      <c r="G405" s="2372"/>
      <c r="H405" s="2372"/>
      <c r="I405" s="2372"/>
      <c r="J405" s="2372"/>
      <c r="K405" s="2372"/>
      <c r="L405" s="2372"/>
      <c r="M405" s="2372"/>
      <c r="N405" s="2372"/>
      <c r="O405" s="2372"/>
      <c r="P405" s="2372"/>
      <c r="Q405" s="2372"/>
      <c r="R405" s="2372"/>
      <c r="S405" s="2372"/>
      <c r="T405" s="2372"/>
      <c r="U405" s="2372"/>
      <c r="V405" s="2372"/>
      <c r="W405" s="2372"/>
      <c r="X405" s="2372"/>
      <c r="Y405" s="2372"/>
      <c r="Z405" s="2372"/>
      <c r="AA405" s="2372"/>
      <c r="AB405" s="2372"/>
      <c r="AC405" s="2372"/>
      <c r="AD405" s="2372"/>
      <c r="AE405" s="2372"/>
      <c r="AF405" s="2372"/>
      <c r="AG405" s="2372"/>
      <c r="AH405" s="2372"/>
      <c r="AI405" s="2372"/>
      <c r="AJ405" s="2372"/>
      <c r="AK405" s="2372"/>
      <c r="AL405" s="2372"/>
      <c r="AM405" s="2372"/>
      <c r="AN405" s="2372"/>
      <c r="AO405" s="2372"/>
      <c r="AP405" s="2372"/>
      <c r="AQ405" s="2372"/>
      <c r="AR405" s="2372"/>
      <c r="AS405" s="2372"/>
      <c r="AT405" s="2372"/>
      <c r="AU405" s="2372"/>
      <c r="AV405" s="2372"/>
      <c r="AW405" s="2372"/>
      <c r="AX405" s="2372"/>
      <c r="AY405" s="2372"/>
      <c r="AZ405" s="2372"/>
      <c r="BA405" s="2372"/>
      <c r="BB405" s="2372"/>
      <c r="BC405" s="2372"/>
      <c r="BD405" s="2372"/>
      <c r="BE405" s="2372"/>
      <c r="BF405" s="2372"/>
      <c r="BG405" s="2372"/>
      <c r="BH405" s="2372"/>
      <c r="BI405" s="2372"/>
      <c r="BJ405" s="2372"/>
      <c r="BK405" s="2372"/>
      <c r="BL405" s="2372"/>
      <c r="BM405" s="2372"/>
      <c r="BN405" s="2372"/>
      <c r="BO405" s="2372"/>
      <c r="BP405" s="2372"/>
      <c r="BQ405" s="2372"/>
      <c r="BR405" s="2372"/>
      <c r="BS405" s="2372"/>
      <c r="BT405" s="2372"/>
      <c r="BU405" s="2372"/>
      <c r="BV405" s="2372"/>
      <c r="BW405" s="2372"/>
      <c r="BX405" s="2372"/>
      <c r="BY405" s="2372"/>
      <c r="BZ405" s="2372"/>
      <c r="CA405" s="2372"/>
      <c r="CB405" s="2372"/>
      <c r="CC405" s="2372"/>
      <c r="CD405" s="2372"/>
      <c r="CE405" s="2372"/>
      <c r="CF405" s="2372"/>
      <c r="CG405" s="2372"/>
      <c r="CH405" s="2372"/>
      <c r="CI405" s="2372"/>
      <c r="CJ405" s="2372"/>
      <c r="CK405" s="2372"/>
      <c r="CL405" s="2372"/>
      <c r="CM405" s="2372"/>
      <c r="CN405" s="2372"/>
      <c r="CO405" s="2372"/>
      <c r="CP405" s="2372"/>
      <c r="CQ405" s="2372"/>
      <c r="CR405" s="2372"/>
      <c r="CS405" s="2372"/>
      <c r="CT405" s="2372"/>
      <c r="CU405" s="2372"/>
      <c r="CV405" s="2372"/>
      <c r="CW405" s="2372"/>
      <c r="CX405" s="2372"/>
      <c r="CY405" s="2372"/>
      <c r="CZ405" s="2372"/>
      <c r="DA405" s="2372"/>
    </row>
    <row r="406" spans="1:105" ht="15" hidden="1" customHeight="1">
      <c r="A406" s="2372"/>
      <c r="B406" s="2372"/>
      <c r="C406" s="2372"/>
      <c r="D406" s="2372"/>
      <c r="E406" s="2372"/>
      <c r="F406" s="2372"/>
      <c r="G406" s="2372"/>
      <c r="H406" s="2372"/>
      <c r="I406" s="2372"/>
      <c r="J406" s="2372"/>
      <c r="K406" s="2372"/>
      <c r="L406" s="2372"/>
      <c r="M406" s="2372"/>
      <c r="N406" s="2372"/>
      <c r="O406" s="2372"/>
      <c r="P406" s="2372"/>
      <c r="Q406" s="2372"/>
      <c r="R406" s="2372"/>
      <c r="S406" s="2372"/>
      <c r="T406" s="2372"/>
      <c r="U406" s="2372"/>
      <c r="V406" s="2372"/>
      <c r="W406" s="2372"/>
      <c r="X406" s="2372"/>
      <c r="Y406" s="2372"/>
      <c r="Z406" s="2372"/>
      <c r="AA406" s="2372"/>
      <c r="AB406" s="2372"/>
      <c r="AC406" s="2372"/>
      <c r="AD406" s="2372"/>
      <c r="AE406" s="2372"/>
      <c r="AF406" s="2372"/>
      <c r="AG406" s="2372"/>
      <c r="AH406" s="2372"/>
      <c r="AI406" s="2372"/>
      <c r="AJ406" s="2372"/>
      <c r="AK406" s="2372"/>
      <c r="AL406" s="2372"/>
      <c r="AM406" s="2372"/>
      <c r="AN406" s="2372"/>
      <c r="AO406" s="2372"/>
      <c r="AP406" s="2372"/>
      <c r="AQ406" s="2372"/>
      <c r="AR406" s="2372"/>
      <c r="AS406" s="2372"/>
      <c r="AT406" s="2372"/>
      <c r="AU406" s="2372"/>
      <c r="AV406" s="2372"/>
      <c r="AW406" s="2372"/>
      <c r="AX406" s="2372"/>
      <c r="AY406" s="2372"/>
      <c r="AZ406" s="2372"/>
      <c r="BA406" s="2372"/>
      <c r="BB406" s="2372"/>
      <c r="BC406" s="2372"/>
      <c r="BD406" s="2372"/>
      <c r="BE406" s="2372"/>
      <c r="BF406" s="2372"/>
      <c r="BG406" s="2372"/>
      <c r="BH406" s="2372"/>
      <c r="BI406" s="2372"/>
      <c r="BJ406" s="2372"/>
      <c r="BK406" s="2372"/>
      <c r="BL406" s="2372"/>
      <c r="BM406" s="2372"/>
      <c r="BN406" s="2372"/>
      <c r="BO406" s="2372"/>
      <c r="BP406" s="2372"/>
      <c r="BQ406" s="2372"/>
      <c r="BR406" s="2372"/>
      <c r="BS406" s="2372"/>
      <c r="BT406" s="2372"/>
      <c r="BU406" s="2372"/>
      <c r="BV406" s="2372"/>
      <c r="BW406" s="2372"/>
      <c r="BX406" s="2372"/>
      <c r="BY406" s="2372"/>
      <c r="BZ406" s="2372"/>
      <c r="CA406" s="2372"/>
      <c r="CB406" s="2372"/>
      <c r="CC406" s="2372"/>
      <c r="CD406" s="2372"/>
      <c r="CE406" s="2372"/>
      <c r="CF406" s="2372"/>
      <c r="CG406" s="2372"/>
      <c r="CH406" s="2372"/>
      <c r="CI406" s="2372"/>
      <c r="CJ406" s="2372"/>
      <c r="CK406" s="2372"/>
      <c r="CL406" s="2372"/>
      <c r="CM406" s="2372"/>
      <c r="CN406" s="2372"/>
      <c r="CO406" s="2372"/>
      <c r="CP406" s="2372"/>
      <c r="CQ406" s="2372"/>
      <c r="CR406" s="2372"/>
      <c r="CS406" s="2372"/>
      <c r="CT406" s="2372"/>
      <c r="CU406" s="2372"/>
      <c r="CV406" s="2372"/>
      <c r="CW406" s="2372"/>
      <c r="CX406" s="2372"/>
      <c r="CY406" s="2372"/>
      <c r="CZ406" s="2372"/>
      <c r="DA406" s="2372"/>
    </row>
    <row r="407" spans="1:105" ht="15" hidden="1" customHeight="1">
      <c r="A407" s="2372"/>
      <c r="B407" s="2372"/>
      <c r="C407" s="2372"/>
      <c r="D407" s="2372"/>
      <c r="E407" s="2372"/>
      <c r="F407" s="2372"/>
      <c r="G407" s="2372"/>
      <c r="H407" s="2372"/>
      <c r="I407" s="2372"/>
      <c r="J407" s="2372"/>
      <c r="K407" s="2372"/>
      <c r="L407" s="2372"/>
      <c r="M407" s="2372"/>
      <c r="N407" s="2372"/>
      <c r="O407" s="2372"/>
      <c r="P407" s="2372"/>
      <c r="Q407" s="2372"/>
      <c r="R407" s="2372"/>
      <c r="S407" s="2372"/>
      <c r="T407" s="2372"/>
      <c r="U407" s="2372"/>
      <c r="V407" s="2372"/>
      <c r="W407" s="2372"/>
      <c r="X407" s="2372"/>
      <c r="Y407" s="2372"/>
      <c r="Z407" s="2372"/>
      <c r="AA407" s="2372"/>
      <c r="AB407" s="2372"/>
      <c r="AC407" s="2372"/>
      <c r="AD407" s="2372"/>
      <c r="AE407" s="2372"/>
      <c r="AF407" s="2372"/>
      <c r="AG407" s="2372"/>
      <c r="AH407" s="2372"/>
      <c r="AI407" s="2372"/>
      <c r="AJ407" s="2372"/>
      <c r="AK407" s="2372"/>
      <c r="AL407" s="2372"/>
      <c r="AM407" s="2372"/>
      <c r="AN407" s="2372"/>
      <c r="AO407" s="2372"/>
      <c r="AP407" s="2372"/>
      <c r="AQ407" s="2372"/>
      <c r="AR407" s="2372"/>
      <c r="AS407" s="2372"/>
      <c r="AT407" s="2372"/>
      <c r="AU407" s="2372"/>
      <c r="AV407" s="2372"/>
      <c r="AW407" s="2372"/>
      <c r="AX407" s="2372"/>
      <c r="AY407" s="2372"/>
      <c r="AZ407" s="2372"/>
      <c r="BA407" s="2372"/>
      <c r="BB407" s="2372"/>
      <c r="BC407" s="2372"/>
      <c r="BD407" s="2372"/>
      <c r="BE407" s="2372"/>
      <c r="BF407" s="2372"/>
      <c r="BG407" s="2372"/>
      <c r="BH407" s="2372"/>
      <c r="BI407" s="2372"/>
      <c r="BJ407" s="2372"/>
      <c r="BK407" s="2372"/>
      <c r="BL407" s="2372"/>
      <c r="BM407" s="2372"/>
      <c r="BN407" s="2372"/>
      <c r="BO407" s="2372"/>
      <c r="BP407" s="2372"/>
      <c r="BQ407" s="2372"/>
      <c r="BR407" s="2372"/>
      <c r="BS407" s="2372"/>
      <c r="BT407" s="2372"/>
      <c r="BU407" s="2372"/>
      <c r="BV407" s="2372"/>
      <c r="BW407" s="2372"/>
      <c r="BX407" s="2372"/>
      <c r="BY407" s="2372"/>
      <c r="BZ407" s="2372"/>
      <c r="CA407" s="2372"/>
      <c r="CB407" s="2372"/>
      <c r="CC407" s="2372"/>
      <c r="CD407" s="2372"/>
      <c r="CE407" s="2372"/>
      <c r="CF407" s="2372"/>
      <c r="CG407" s="2372"/>
      <c r="CH407" s="2372"/>
      <c r="CI407" s="2372"/>
      <c r="CJ407" s="2372"/>
      <c r="CK407" s="2372"/>
      <c r="CL407" s="2372"/>
      <c r="CM407" s="2372"/>
      <c r="CN407" s="2372"/>
      <c r="CO407" s="2372"/>
      <c r="CP407" s="2372"/>
      <c r="CQ407" s="2372"/>
      <c r="CR407" s="2372"/>
      <c r="CS407" s="2372"/>
      <c r="CT407" s="2372"/>
      <c r="CU407" s="2372"/>
      <c r="CV407" s="2372"/>
      <c r="CW407" s="2372"/>
      <c r="CX407" s="2372"/>
      <c r="CY407" s="2372"/>
      <c r="CZ407" s="2372"/>
      <c r="DA407" s="2372"/>
    </row>
    <row r="408" spans="1:105" ht="15" hidden="1" customHeight="1">
      <c r="A408" s="2372"/>
      <c r="B408" s="2372"/>
      <c r="C408" s="2372"/>
      <c r="D408" s="2372"/>
      <c r="E408" s="2372"/>
      <c r="F408" s="2372"/>
      <c r="G408" s="2372"/>
      <c r="H408" s="2372"/>
      <c r="I408" s="2372"/>
      <c r="J408" s="2372"/>
      <c r="K408" s="2372"/>
      <c r="L408" s="2372"/>
      <c r="M408" s="2372"/>
      <c r="N408" s="2372"/>
      <c r="O408" s="2372"/>
      <c r="P408" s="2372"/>
      <c r="Q408" s="2372"/>
      <c r="R408" s="2372"/>
      <c r="S408" s="2372"/>
      <c r="T408" s="2372"/>
      <c r="U408" s="2372"/>
      <c r="V408" s="2372"/>
      <c r="W408" s="2372"/>
      <c r="X408" s="2372"/>
      <c r="Y408" s="2372"/>
      <c r="Z408" s="2372"/>
      <c r="AA408" s="2372"/>
      <c r="AB408" s="2372"/>
      <c r="AC408" s="2372"/>
      <c r="AD408" s="2372"/>
      <c r="AE408" s="2372"/>
      <c r="AF408" s="2372"/>
      <c r="AG408" s="2372"/>
      <c r="AH408" s="2372"/>
      <c r="AI408" s="2372"/>
      <c r="AJ408" s="2372"/>
      <c r="AK408" s="2372"/>
      <c r="AL408" s="2372"/>
      <c r="AM408" s="2372"/>
      <c r="AN408" s="2372"/>
      <c r="AO408" s="2372"/>
      <c r="AP408" s="2372"/>
      <c r="AQ408" s="2372"/>
      <c r="AR408" s="2372"/>
      <c r="AS408" s="2372"/>
      <c r="AT408" s="2372"/>
      <c r="AU408" s="2372"/>
      <c r="AV408" s="2372"/>
      <c r="AW408" s="2372"/>
      <c r="AX408" s="2372"/>
      <c r="AY408" s="2372"/>
      <c r="AZ408" s="2372"/>
      <c r="BA408" s="2372"/>
      <c r="BB408" s="2372"/>
      <c r="BC408" s="2372"/>
      <c r="BD408" s="2372"/>
      <c r="BE408" s="2372"/>
      <c r="BF408" s="2372"/>
      <c r="BG408" s="2372"/>
      <c r="BH408" s="2372"/>
      <c r="BI408" s="2372"/>
      <c r="BJ408" s="2372"/>
      <c r="BK408" s="2372"/>
      <c r="BL408" s="2372"/>
      <c r="BM408" s="2372"/>
      <c r="BN408" s="2372"/>
      <c r="BO408" s="2372"/>
      <c r="BP408" s="2372"/>
      <c r="BQ408" s="2372"/>
      <c r="BR408" s="2372"/>
      <c r="BS408" s="2372"/>
      <c r="BT408" s="2372"/>
      <c r="BU408" s="2372"/>
      <c r="BV408" s="2372"/>
      <c r="BW408" s="2372"/>
      <c r="BX408" s="2372"/>
      <c r="BY408" s="2372"/>
      <c r="BZ408" s="2372"/>
      <c r="CA408" s="2372"/>
      <c r="CB408" s="2372"/>
      <c r="CC408" s="2372"/>
      <c r="CD408" s="2372"/>
      <c r="CE408" s="2372"/>
      <c r="CF408" s="2372"/>
      <c r="CG408" s="2372"/>
      <c r="CH408" s="2372"/>
      <c r="CI408" s="2372"/>
      <c r="CJ408" s="2372"/>
      <c r="CK408" s="2372"/>
      <c r="CL408" s="2372"/>
      <c r="CM408" s="2372"/>
      <c r="CN408" s="2372"/>
      <c r="CO408" s="2372"/>
      <c r="CP408" s="2372"/>
      <c r="CQ408" s="2372"/>
      <c r="CR408" s="2372"/>
      <c r="CS408" s="2372"/>
      <c r="CT408" s="2372"/>
      <c r="CU408" s="2372"/>
      <c r="CV408" s="2372"/>
      <c r="CW408" s="2372"/>
      <c r="CX408" s="2372"/>
      <c r="CY408" s="2372"/>
      <c r="CZ408" s="2372"/>
      <c r="DA408" s="2372"/>
    </row>
    <row r="409" spans="1:105" ht="15" hidden="1" customHeight="1">
      <c r="A409" s="2372"/>
      <c r="B409" s="2372"/>
      <c r="C409" s="2372"/>
      <c r="D409" s="2372"/>
      <c r="E409" s="2372"/>
      <c r="F409" s="2372"/>
      <c r="G409" s="2372"/>
      <c r="H409" s="2372"/>
      <c r="I409" s="2372"/>
      <c r="J409" s="2372"/>
      <c r="K409" s="2372"/>
      <c r="L409" s="2372"/>
      <c r="M409" s="2372"/>
      <c r="N409" s="2372"/>
      <c r="O409" s="2372"/>
      <c r="P409" s="2372"/>
      <c r="Q409" s="2372"/>
      <c r="R409" s="2372"/>
      <c r="S409" s="2372"/>
      <c r="T409" s="2372"/>
      <c r="U409" s="2372"/>
      <c r="V409" s="2372"/>
      <c r="W409" s="2372"/>
      <c r="X409" s="2372"/>
      <c r="Y409" s="2372"/>
      <c r="Z409" s="2372"/>
      <c r="AA409" s="2372"/>
      <c r="AB409" s="2372"/>
      <c r="AC409" s="2372"/>
      <c r="AD409" s="2372"/>
      <c r="AE409" s="2372"/>
      <c r="AF409" s="2372"/>
      <c r="AG409" s="2372"/>
      <c r="AH409" s="2372"/>
      <c r="AI409" s="2372"/>
      <c r="AJ409" s="2372"/>
      <c r="AK409" s="2372"/>
      <c r="AL409" s="2372"/>
      <c r="AM409" s="2372"/>
      <c r="AN409" s="2372"/>
      <c r="AO409" s="2372"/>
      <c r="AP409" s="2372"/>
      <c r="AQ409" s="2372"/>
      <c r="AR409" s="2372"/>
      <c r="AS409" s="2372"/>
      <c r="AT409" s="2372"/>
      <c r="AU409" s="2372"/>
      <c r="AV409" s="2372"/>
      <c r="AW409" s="2372"/>
      <c r="AX409" s="2372"/>
      <c r="AY409" s="2372"/>
      <c r="AZ409" s="2372"/>
      <c r="BA409" s="2372"/>
      <c r="BB409" s="2372"/>
      <c r="BC409" s="2372"/>
      <c r="BD409" s="2372"/>
      <c r="BE409" s="2372"/>
      <c r="BF409" s="2372"/>
      <c r="BG409" s="2372"/>
      <c r="BH409" s="2372"/>
      <c r="BI409" s="2372"/>
      <c r="BJ409" s="2372"/>
      <c r="BK409" s="2372"/>
      <c r="BL409" s="2372"/>
      <c r="BM409" s="2372"/>
      <c r="BN409" s="2372"/>
      <c r="BO409" s="2372"/>
      <c r="BP409" s="2372"/>
      <c r="BQ409" s="2372"/>
      <c r="BR409" s="2372"/>
      <c r="BS409" s="2372"/>
      <c r="BT409" s="2372"/>
      <c r="BU409" s="2372"/>
      <c r="BV409" s="2372"/>
      <c r="BW409" s="2372"/>
      <c r="BX409" s="2372"/>
      <c r="BY409" s="2372"/>
      <c r="BZ409" s="2372"/>
      <c r="CA409" s="2372"/>
      <c r="CB409" s="2372"/>
      <c r="CC409" s="2372"/>
      <c r="CD409" s="2372"/>
      <c r="CE409" s="2372"/>
      <c r="CF409" s="2372"/>
      <c r="CG409" s="2372"/>
      <c r="CH409" s="2372"/>
      <c r="CI409" s="2372"/>
      <c r="CJ409" s="2372"/>
      <c r="CK409" s="2372"/>
      <c r="CL409" s="2372"/>
      <c r="CM409" s="2372"/>
      <c r="CN409" s="2372"/>
      <c r="CO409" s="2372"/>
      <c r="CP409" s="2372"/>
      <c r="CQ409" s="2372"/>
      <c r="CR409" s="2372"/>
      <c r="CS409" s="2372"/>
      <c r="CT409" s="2372"/>
      <c r="CU409" s="2372"/>
      <c r="CV409" s="2372"/>
      <c r="CW409" s="2372"/>
      <c r="CX409" s="2372"/>
      <c r="CY409" s="2372"/>
      <c r="CZ409" s="2372"/>
      <c r="DA409" s="2372"/>
    </row>
    <row r="410" spans="1:105" ht="15" hidden="1" customHeight="1">
      <c r="A410" s="2372"/>
      <c r="B410" s="2372"/>
      <c r="C410" s="2372"/>
      <c r="D410" s="2372"/>
      <c r="E410" s="2372"/>
      <c r="F410" s="2372"/>
      <c r="G410" s="2372"/>
      <c r="H410" s="2372"/>
      <c r="I410" s="2372"/>
      <c r="J410" s="2372"/>
      <c r="K410" s="2372"/>
      <c r="L410" s="2372"/>
      <c r="M410" s="2372"/>
      <c r="N410" s="2372"/>
      <c r="O410" s="2372"/>
      <c r="P410" s="2372"/>
      <c r="Q410" s="2372"/>
      <c r="R410" s="2372"/>
      <c r="S410" s="2372"/>
      <c r="T410" s="2372"/>
      <c r="U410" s="2372"/>
      <c r="V410" s="2372"/>
      <c r="W410" s="2372"/>
      <c r="X410" s="2372"/>
      <c r="Y410" s="2372"/>
      <c r="Z410" s="2372"/>
      <c r="AA410" s="2372"/>
      <c r="AB410" s="2372"/>
      <c r="AC410" s="2372"/>
      <c r="AD410" s="2372"/>
      <c r="AE410" s="2372"/>
      <c r="AF410" s="2372"/>
      <c r="AG410" s="2372"/>
      <c r="AH410" s="2372"/>
      <c r="AI410" s="2372"/>
      <c r="AJ410" s="2372"/>
      <c r="AK410" s="2372"/>
      <c r="AL410" s="2372"/>
      <c r="AM410" s="2372"/>
      <c r="AN410" s="2372"/>
      <c r="AO410" s="2372"/>
      <c r="AP410" s="2372"/>
      <c r="AQ410" s="2372"/>
      <c r="AR410" s="2372"/>
      <c r="AS410" s="2372"/>
      <c r="AT410" s="2372"/>
      <c r="AU410" s="2372"/>
      <c r="AV410" s="2372"/>
      <c r="AW410" s="2372"/>
      <c r="AX410" s="2372"/>
      <c r="AY410" s="2372"/>
      <c r="AZ410" s="2372"/>
      <c r="BA410" s="2372"/>
      <c r="BB410" s="2372"/>
      <c r="BC410" s="2372"/>
      <c r="BD410" s="2372"/>
      <c r="BE410" s="2372"/>
      <c r="BF410" s="2372"/>
      <c r="BG410" s="2372"/>
      <c r="BH410" s="2372"/>
      <c r="BI410" s="2372"/>
      <c r="BJ410" s="2372"/>
      <c r="BK410" s="2372"/>
      <c r="BL410" s="2372"/>
      <c r="BM410" s="2372"/>
      <c r="BN410" s="2372"/>
      <c r="BO410" s="2372"/>
      <c r="BP410" s="2372"/>
      <c r="BQ410" s="2372"/>
      <c r="BR410" s="2372"/>
      <c r="BS410" s="2372"/>
      <c r="BT410" s="2372"/>
      <c r="BU410" s="2372"/>
      <c r="BV410" s="2372"/>
      <c r="BW410" s="2372"/>
      <c r="BX410" s="2372"/>
      <c r="BY410" s="2372"/>
      <c r="BZ410" s="2372"/>
      <c r="CA410" s="2372"/>
      <c r="CB410" s="2372"/>
      <c r="CC410" s="2372"/>
      <c r="CD410" s="2372"/>
      <c r="CE410" s="2372"/>
      <c r="CF410" s="2372"/>
      <c r="CG410" s="2372"/>
      <c r="CH410" s="2372"/>
      <c r="CI410" s="2372"/>
      <c r="CJ410" s="2372"/>
      <c r="CK410" s="2372"/>
      <c r="CL410" s="2372"/>
      <c r="CM410" s="2372"/>
      <c r="CN410" s="2372"/>
      <c r="CO410" s="2372"/>
      <c r="CP410" s="2372"/>
      <c r="CQ410" s="2372"/>
      <c r="CR410" s="2372"/>
      <c r="CS410" s="2372"/>
      <c r="CT410" s="2372"/>
      <c r="CU410" s="2372"/>
      <c r="CV410" s="2372"/>
      <c r="CW410" s="2372"/>
      <c r="CX410" s="2372"/>
      <c r="CY410" s="2372"/>
      <c r="CZ410" s="2372"/>
      <c r="DA410" s="2372"/>
    </row>
    <row r="411" spans="1:105" ht="15" hidden="1" customHeight="1">
      <c r="A411" s="2372"/>
      <c r="B411" s="2372"/>
      <c r="C411" s="2372"/>
      <c r="D411" s="2372"/>
      <c r="E411" s="2372"/>
      <c r="F411" s="2372"/>
      <c r="G411" s="2372"/>
      <c r="H411" s="2372"/>
      <c r="I411" s="2372"/>
      <c r="J411" s="2372"/>
      <c r="K411" s="2372"/>
      <c r="L411" s="2372"/>
      <c r="M411" s="2372"/>
      <c r="N411" s="2372"/>
      <c r="O411" s="2372"/>
      <c r="P411" s="2372"/>
      <c r="Q411" s="2372"/>
      <c r="R411" s="2372"/>
      <c r="S411" s="2372"/>
      <c r="T411" s="2372"/>
      <c r="U411" s="2372"/>
      <c r="V411" s="2372"/>
      <c r="W411" s="2372"/>
      <c r="X411" s="2372"/>
      <c r="Y411" s="2372"/>
      <c r="Z411" s="2372"/>
      <c r="AA411" s="2372"/>
      <c r="AB411" s="2372"/>
      <c r="AC411" s="2372"/>
      <c r="AD411" s="2372"/>
      <c r="AE411" s="2372"/>
      <c r="AF411" s="2372"/>
      <c r="AG411" s="2372"/>
      <c r="AH411" s="2372"/>
      <c r="AI411" s="2372"/>
      <c r="AJ411" s="2372"/>
      <c r="AK411" s="2372"/>
      <c r="AL411" s="2372"/>
      <c r="AM411" s="2372"/>
      <c r="AN411" s="2372"/>
      <c r="AO411" s="2372"/>
      <c r="AP411" s="2372"/>
      <c r="AQ411" s="2372"/>
      <c r="AR411" s="2372"/>
      <c r="AS411" s="2372"/>
      <c r="AT411" s="2372"/>
      <c r="AU411" s="2372"/>
      <c r="AV411" s="2372"/>
      <c r="AW411" s="2372"/>
      <c r="AX411" s="2372"/>
      <c r="AY411" s="2372"/>
      <c r="AZ411" s="2372"/>
      <c r="BA411" s="2372"/>
      <c r="BB411" s="2372"/>
      <c r="BC411" s="2372"/>
      <c r="BD411" s="2372"/>
      <c r="BE411" s="2372"/>
      <c r="BF411" s="2372"/>
      <c r="BG411" s="2372"/>
      <c r="BH411" s="2372"/>
      <c r="BI411" s="2372"/>
      <c r="BJ411" s="2372"/>
      <c r="BK411" s="2372"/>
      <c r="BL411" s="2372"/>
      <c r="BM411" s="2372"/>
      <c r="BN411" s="2372"/>
      <c r="BO411" s="2372"/>
      <c r="BP411" s="2372"/>
      <c r="BQ411" s="2372"/>
      <c r="BR411" s="2372"/>
      <c r="BS411" s="2372"/>
      <c r="BT411" s="2372"/>
      <c r="BU411" s="2372"/>
      <c r="BV411" s="2372"/>
      <c r="BW411" s="2372"/>
      <c r="BX411" s="2372"/>
      <c r="BY411" s="2372"/>
      <c r="BZ411" s="2372"/>
      <c r="CA411" s="2372"/>
      <c r="CB411" s="2372"/>
      <c r="CC411" s="2372"/>
      <c r="CD411" s="2372"/>
      <c r="CE411" s="2372"/>
      <c r="CF411" s="2372"/>
      <c r="CG411" s="2372"/>
      <c r="CH411" s="2372"/>
      <c r="CI411" s="2372"/>
      <c r="CJ411" s="2372"/>
      <c r="CK411" s="2372"/>
      <c r="CL411" s="2372"/>
      <c r="CM411" s="2372"/>
      <c r="CN411" s="2372"/>
      <c r="CO411" s="2372"/>
      <c r="CP411" s="2372"/>
      <c r="CQ411" s="2372"/>
      <c r="CR411" s="2372"/>
      <c r="CS411" s="2372"/>
      <c r="CT411" s="2372"/>
      <c r="CU411" s="2372"/>
      <c r="CV411" s="2372"/>
      <c r="CW411" s="2372"/>
      <c r="CX411" s="2372"/>
      <c r="CY411" s="2372"/>
      <c r="CZ411" s="2372"/>
      <c r="DA411" s="2372"/>
    </row>
    <row r="412" spans="1:105" ht="15" hidden="1" customHeight="1">
      <c r="A412" s="2372"/>
      <c r="B412" s="2372"/>
      <c r="C412" s="2372"/>
      <c r="D412" s="2372"/>
      <c r="E412" s="2372"/>
      <c r="F412" s="2372"/>
      <c r="G412" s="2372"/>
      <c r="H412" s="2372"/>
      <c r="I412" s="2372"/>
      <c r="J412" s="2372"/>
      <c r="K412" s="2372"/>
      <c r="L412" s="2372"/>
      <c r="M412" s="2372"/>
      <c r="N412" s="2372"/>
      <c r="O412" s="2372"/>
      <c r="P412" s="2372"/>
      <c r="Q412" s="2372"/>
      <c r="R412" s="2372"/>
      <c r="S412" s="2372"/>
      <c r="T412" s="2372"/>
      <c r="U412" s="2372"/>
      <c r="V412" s="2372"/>
      <c r="W412" s="2372"/>
      <c r="X412" s="2372"/>
      <c r="Y412" s="2372"/>
      <c r="Z412" s="2372"/>
      <c r="AA412" s="2372"/>
      <c r="AB412" s="2372"/>
      <c r="AC412" s="2372"/>
      <c r="AD412" s="2372"/>
      <c r="AE412" s="2372"/>
      <c r="AF412" s="2372"/>
      <c r="AG412" s="2372"/>
      <c r="AH412" s="2372"/>
      <c r="AI412" s="2372"/>
      <c r="AJ412" s="2372"/>
      <c r="AK412" s="2372"/>
      <c r="AL412" s="2372"/>
      <c r="AM412" s="2372"/>
      <c r="AN412" s="2372"/>
      <c r="AO412" s="2372"/>
      <c r="AP412" s="2372"/>
      <c r="AQ412" s="2372"/>
      <c r="AR412" s="2372"/>
      <c r="AS412" s="2372"/>
      <c r="AT412" s="2372"/>
      <c r="AU412" s="2372"/>
      <c r="AV412" s="2372"/>
      <c r="AW412" s="2372"/>
      <c r="AX412" s="2372"/>
      <c r="AY412" s="2372"/>
      <c r="AZ412" s="2372"/>
      <c r="BA412" s="2372"/>
      <c r="BB412" s="2372"/>
      <c r="BC412" s="2372"/>
      <c r="BD412" s="2372"/>
      <c r="BE412" s="2372"/>
      <c r="BF412" s="2372"/>
      <c r="BG412" s="2372"/>
      <c r="BH412" s="2372"/>
      <c r="BI412" s="2372"/>
      <c r="BJ412" s="2372"/>
      <c r="BK412" s="2372"/>
      <c r="BL412" s="2372"/>
      <c r="BM412" s="2372"/>
      <c r="BN412" s="2372"/>
      <c r="BO412" s="2372"/>
      <c r="BP412" s="2372"/>
      <c r="BQ412" s="2372"/>
      <c r="BR412" s="2372"/>
      <c r="BS412" s="2372"/>
      <c r="BT412" s="2372"/>
      <c r="BU412" s="2372"/>
      <c r="BV412" s="2372"/>
      <c r="BW412" s="2372"/>
      <c r="BX412" s="2372"/>
      <c r="BY412" s="2372"/>
      <c r="BZ412" s="2372"/>
      <c r="CA412" s="2372"/>
      <c r="CB412" s="2372"/>
      <c r="CC412" s="2372"/>
      <c r="CD412" s="2372"/>
      <c r="CE412" s="2372"/>
      <c r="CF412" s="2372"/>
      <c r="CG412" s="2372"/>
      <c r="CH412" s="2372"/>
      <c r="CI412" s="2372"/>
      <c r="CJ412" s="2372"/>
      <c r="CK412" s="2372"/>
      <c r="CL412" s="2372"/>
      <c r="CM412" s="2372"/>
      <c r="CN412" s="2372"/>
      <c r="CO412" s="2372"/>
      <c r="CP412" s="2372"/>
      <c r="CQ412" s="2372"/>
      <c r="CR412" s="2372"/>
      <c r="CS412" s="2372"/>
      <c r="CT412" s="2372"/>
      <c r="CU412" s="2372"/>
      <c r="CV412" s="2372"/>
      <c r="CW412" s="2372"/>
      <c r="CX412" s="2372"/>
      <c r="CY412" s="2372"/>
      <c r="CZ412" s="2372"/>
      <c r="DA412" s="2372"/>
    </row>
    <row r="413" spans="1:105" ht="15" hidden="1" customHeight="1">
      <c r="A413" s="2372"/>
      <c r="B413" s="2372"/>
      <c r="C413" s="2372"/>
      <c r="D413" s="2372"/>
      <c r="E413" s="2372"/>
      <c r="F413" s="2372"/>
      <c r="G413" s="2372"/>
      <c r="H413" s="2372"/>
      <c r="I413" s="2372"/>
      <c r="J413" s="2372"/>
      <c r="K413" s="2372"/>
      <c r="L413" s="2372"/>
      <c r="M413" s="2372"/>
      <c r="N413" s="2372"/>
      <c r="O413" s="2372"/>
      <c r="P413" s="2372"/>
      <c r="Q413" s="2372"/>
      <c r="R413" s="2372"/>
      <c r="S413" s="2372"/>
      <c r="T413" s="2372"/>
      <c r="U413" s="2372"/>
      <c r="V413" s="2372"/>
      <c r="W413" s="2372"/>
      <c r="X413" s="2372"/>
      <c r="Y413" s="2372"/>
      <c r="Z413" s="2372"/>
      <c r="AA413" s="2372"/>
      <c r="AB413" s="2372"/>
      <c r="AC413" s="2372"/>
      <c r="AD413" s="2372"/>
      <c r="AE413" s="2372"/>
      <c r="AF413" s="2372"/>
      <c r="AG413" s="2372"/>
      <c r="AH413" s="2372"/>
      <c r="AI413" s="2372"/>
      <c r="AJ413" s="2372"/>
      <c r="AK413" s="2372"/>
      <c r="AL413" s="2372"/>
      <c r="AM413" s="2372"/>
      <c r="AN413" s="2372"/>
      <c r="AO413" s="2372"/>
      <c r="AP413" s="2372"/>
      <c r="AQ413" s="2372"/>
      <c r="AR413" s="2372"/>
      <c r="AS413" s="2372"/>
      <c r="AT413" s="2372"/>
      <c r="AU413" s="2372"/>
      <c r="AV413" s="2372"/>
      <c r="AW413" s="2372"/>
      <c r="AX413" s="2372"/>
      <c r="AY413" s="2372"/>
      <c r="AZ413" s="2372"/>
      <c r="BA413" s="2372"/>
      <c r="BB413" s="2372"/>
      <c r="BC413" s="2372"/>
      <c r="BD413" s="2372"/>
      <c r="BE413" s="2372"/>
      <c r="BF413" s="2372"/>
      <c r="BG413" s="2372"/>
      <c r="BH413" s="2372"/>
      <c r="BI413" s="2372"/>
      <c r="BJ413" s="2372"/>
      <c r="BK413" s="2372"/>
      <c r="BL413" s="2372"/>
      <c r="BM413" s="2372"/>
      <c r="BN413" s="2372"/>
      <c r="BO413" s="2372"/>
      <c r="BP413" s="2372"/>
      <c r="BQ413" s="2372"/>
      <c r="BR413" s="2372"/>
      <c r="BS413" s="2372"/>
      <c r="BT413" s="2372"/>
      <c r="BU413" s="2372"/>
      <c r="BV413" s="2372"/>
      <c r="BW413" s="2372"/>
      <c r="BX413" s="2372"/>
      <c r="BY413" s="2372"/>
      <c r="BZ413" s="2372"/>
      <c r="CA413" s="2372"/>
      <c r="CB413" s="2372"/>
      <c r="CC413" s="2372"/>
      <c r="CD413" s="2372"/>
      <c r="CE413" s="2372"/>
      <c r="CF413" s="2372"/>
      <c r="CG413" s="2372"/>
      <c r="CH413" s="2372"/>
      <c r="CI413" s="2372"/>
      <c r="CJ413" s="2372"/>
      <c r="CK413" s="2372"/>
      <c r="CL413" s="2372"/>
      <c r="CM413" s="2372"/>
      <c r="CN413" s="2372"/>
      <c r="CO413" s="2372"/>
      <c r="CP413" s="2372"/>
      <c r="CQ413" s="2372"/>
      <c r="CR413" s="2372"/>
      <c r="CS413" s="2372"/>
      <c r="CT413" s="2372"/>
      <c r="CU413" s="2372"/>
      <c r="CV413" s="2372"/>
      <c r="CW413" s="2372"/>
      <c r="CX413" s="2372"/>
      <c r="CY413" s="2372"/>
      <c r="CZ413" s="2372"/>
      <c r="DA413" s="2372"/>
    </row>
    <row r="414" spans="1:105" ht="15" hidden="1" customHeight="1">
      <c r="A414" s="2372"/>
      <c r="B414" s="2372"/>
      <c r="C414" s="2372"/>
      <c r="D414" s="2372"/>
      <c r="E414" s="2372"/>
      <c r="F414" s="2372"/>
      <c r="G414" s="2372"/>
      <c r="H414" s="2372"/>
      <c r="I414" s="2372"/>
      <c r="J414" s="2372"/>
      <c r="K414" s="2372"/>
      <c r="L414" s="2372"/>
      <c r="M414" s="2372"/>
      <c r="N414" s="2372"/>
      <c r="O414" s="2372"/>
      <c r="P414" s="2372"/>
      <c r="Q414" s="2372"/>
      <c r="R414" s="2372"/>
      <c r="S414" s="2372"/>
      <c r="T414" s="2372"/>
      <c r="U414" s="2372"/>
      <c r="V414" s="2372"/>
      <c r="W414" s="2372"/>
      <c r="X414" s="2372"/>
      <c r="Y414" s="2372"/>
      <c r="Z414" s="2372"/>
      <c r="AA414" s="2372"/>
      <c r="AB414" s="2372"/>
      <c r="AC414" s="2372"/>
      <c r="AD414" s="2372"/>
      <c r="AE414" s="2372"/>
      <c r="AF414" s="2372"/>
      <c r="AG414" s="2372"/>
      <c r="AH414" s="2372"/>
      <c r="AI414" s="2372"/>
      <c r="AJ414" s="2372"/>
      <c r="AK414" s="2372"/>
      <c r="AL414" s="2372"/>
      <c r="AM414" s="2372"/>
      <c r="AN414" s="2372"/>
      <c r="AO414" s="2372"/>
      <c r="AP414" s="2372"/>
      <c r="AQ414" s="2372"/>
      <c r="AR414" s="2372"/>
      <c r="AS414" s="2372"/>
      <c r="AT414" s="2372"/>
      <c r="AU414" s="2372"/>
      <c r="AV414" s="2372"/>
      <c r="AW414" s="2372"/>
      <c r="AX414" s="2372"/>
      <c r="AY414" s="2372"/>
      <c r="AZ414" s="2372"/>
      <c r="BA414" s="2372"/>
      <c r="BB414" s="2372"/>
      <c r="BC414" s="2372"/>
      <c r="BD414" s="2372"/>
      <c r="BE414" s="2372"/>
      <c r="BF414" s="2372"/>
      <c r="BG414" s="2372"/>
      <c r="BH414" s="2372"/>
      <c r="BI414" s="2372"/>
      <c r="BJ414" s="2372"/>
      <c r="BK414" s="2372"/>
      <c r="BL414" s="2372"/>
      <c r="BM414" s="2372"/>
      <c r="BN414" s="2372"/>
      <c r="BO414" s="2372"/>
      <c r="BP414" s="2372"/>
      <c r="BQ414" s="2372"/>
      <c r="BR414" s="2372"/>
      <c r="BS414" s="2372"/>
      <c r="BT414" s="2372"/>
      <c r="BU414" s="2372"/>
      <c r="BV414" s="2372"/>
      <c r="BW414" s="2372"/>
      <c r="BX414" s="2372"/>
      <c r="BY414" s="2372"/>
      <c r="BZ414" s="2372"/>
      <c r="CA414" s="2372"/>
      <c r="CB414" s="2372"/>
      <c r="CC414" s="2372"/>
      <c r="CD414" s="2372"/>
      <c r="CE414" s="2372"/>
      <c r="CF414" s="2372"/>
      <c r="CG414" s="2372"/>
      <c r="CH414" s="2372"/>
      <c r="CI414" s="2372"/>
      <c r="CJ414" s="2372"/>
      <c r="CK414" s="2372"/>
      <c r="CL414" s="2372"/>
      <c r="CM414" s="2372"/>
      <c r="CN414" s="2372"/>
      <c r="CO414" s="2372"/>
      <c r="CP414" s="2372"/>
      <c r="CQ414" s="2372"/>
      <c r="CR414" s="2372"/>
      <c r="CS414" s="2372"/>
      <c r="CT414" s="2372"/>
      <c r="CU414" s="2372"/>
      <c r="CV414" s="2372"/>
      <c r="CW414" s="2372"/>
      <c r="CX414" s="2372"/>
      <c r="CY414" s="2372"/>
      <c r="CZ414" s="2372"/>
      <c r="DA414" s="2372"/>
    </row>
    <row r="415" spans="1:105" ht="15" hidden="1" customHeight="1">
      <c r="A415" s="2372"/>
      <c r="B415" s="2372"/>
      <c r="C415" s="2372"/>
      <c r="D415" s="2372"/>
      <c r="E415" s="2372"/>
      <c r="F415" s="2372"/>
      <c r="G415" s="2372"/>
      <c r="H415" s="2372"/>
      <c r="I415" s="2372"/>
      <c r="J415" s="2372"/>
      <c r="K415" s="2372"/>
      <c r="L415" s="2372"/>
      <c r="M415" s="2372"/>
      <c r="N415" s="2372"/>
      <c r="O415" s="2372"/>
      <c r="P415" s="2372"/>
      <c r="Q415" s="2372"/>
      <c r="R415" s="2372"/>
      <c r="S415" s="2372"/>
      <c r="T415" s="2372"/>
      <c r="U415" s="2372"/>
      <c r="V415" s="2372"/>
      <c r="W415" s="2372"/>
      <c r="X415" s="2372"/>
      <c r="Y415" s="2372"/>
      <c r="Z415" s="2372"/>
      <c r="AA415" s="2372"/>
      <c r="AB415" s="2372"/>
      <c r="AC415" s="2372"/>
      <c r="AD415" s="2372"/>
      <c r="AE415" s="2372"/>
      <c r="AF415" s="2372"/>
      <c r="AG415" s="2372"/>
      <c r="AH415" s="2372"/>
      <c r="AI415" s="2372"/>
      <c r="AJ415" s="2372"/>
      <c r="AK415" s="2372"/>
      <c r="AL415" s="2372"/>
      <c r="AM415" s="2372"/>
      <c r="AN415" s="2372"/>
      <c r="AO415" s="2372"/>
      <c r="AP415" s="2372"/>
      <c r="AQ415" s="2372"/>
      <c r="AR415" s="2372"/>
      <c r="AS415" s="2372"/>
      <c r="AT415" s="2372"/>
      <c r="AU415" s="2372"/>
      <c r="AV415" s="2372"/>
      <c r="AW415" s="2372"/>
      <c r="AX415" s="2372"/>
      <c r="AY415" s="2372"/>
      <c r="AZ415" s="2372"/>
      <c r="BA415" s="2372"/>
      <c r="BB415" s="2372"/>
      <c r="BC415" s="2372"/>
      <c r="BD415" s="2372"/>
      <c r="BE415" s="2372"/>
      <c r="BF415" s="2372"/>
      <c r="BG415" s="2372"/>
      <c r="BH415" s="2372"/>
      <c r="BI415" s="2372"/>
      <c r="BJ415" s="2372"/>
      <c r="BK415" s="2372"/>
      <c r="BL415" s="2372"/>
      <c r="BM415" s="2372"/>
      <c r="BN415" s="2372"/>
      <c r="BO415" s="2372"/>
      <c r="BP415" s="2372"/>
      <c r="BQ415" s="2372"/>
      <c r="BR415" s="2372"/>
      <c r="BS415" s="2372"/>
      <c r="BT415" s="2372"/>
      <c r="BU415" s="2372"/>
      <c r="BV415" s="2372"/>
      <c r="BW415" s="2372"/>
      <c r="BX415" s="2372"/>
      <c r="BY415" s="2372"/>
      <c r="BZ415" s="2372"/>
      <c r="CA415" s="2372"/>
      <c r="CB415" s="2372"/>
      <c r="CC415" s="2372"/>
      <c r="CD415" s="2372"/>
      <c r="CE415" s="2372"/>
      <c r="CF415" s="2372"/>
      <c r="CG415" s="2372"/>
      <c r="CH415" s="2372"/>
      <c r="CI415" s="2372"/>
      <c r="CJ415" s="2372"/>
      <c r="CK415" s="2372"/>
      <c r="CL415" s="2372"/>
      <c r="CM415" s="2372"/>
      <c r="CN415" s="2372"/>
      <c r="CO415" s="2372"/>
      <c r="CP415" s="2372"/>
      <c r="CQ415" s="2372"/>
      <c r="CR415" s="2372"/>
      <c r="CS415" s="2372"/>
      <c r="CT415" s="2372"/>
      <c r="CU415" s="2372"/>
      <c r="CV415" s="2372"/>
      <c r="CW415" s="2372"/>
      <c r="CX415" s="2372"/>
      <c r="CY415" s="2372"/>
      <c r="CZ415" s="2372"/>
      <c r="DA415" s="2372"/>
    </row>
    <row r="416" spans="1:105" ht="15" hidden="1" customHeight="1">
      <c r="A416" s="2372"/>
      <c r="B416" s="2372"/>
      <c r="C416" s="2372"/>
      <c r="D416" s="2372"/>
      <c r="E416" s="2372"/>
      <c r="F416" s="2372"/>
      <c r="G416" s="2372"/>
      <c r="H416" s="2372"/>
      <c r="I416" s="2372"/>
      <c r="J416" s="2372"/>
      <c r="K416" s="2372"/>
      <c r="L416" s="2372"/>
      <c r="M416" s="2372"/>
      <c r="N416" s="2372"/>
      <c r="O416" s="2372"/>
      <c r="P416" s="2372"/>
      <c r="Q416" s="2372"/>
      <c r="R416" s="2372"/>
      <c r="S416" s="2372"/>
      <c r="T416" s="2372"/>
      <c r="U416" s="2372"/>
      <c r="V416" s="2372"/>
      <c r="W416" s="2372"/>
      <c r="X416" s="2372"/>
      <c r="Y416" s="2372"/>
      <c r="Z416" s="2372"/>
      <c r="AA416" s="2372"/>
      <c r="AB416" s="2372"/>
      <c r="AC416" s="2372"/>
      <c r="AD416" s="2372"/>
      <c r="AE416" s="2372"/>
      <c r="AF416" s="2372"/>
      <c r="AG416" s="2372"/>
      <c r="AH416" s="2372"/>
      <c r="AI416" s="2372"/>
      <c r="AJ416" s="2372"/>
      <c r="AK416" s="2372"/>
      <c r="AL416" s="2372"/>
      <c r="AM416" s="2372"/>
      <c r="AN416" s="2372"/>
      <c r="AO416" s="2372"/>
      <c r="AP416" s="2372"/>
      <c r="AQ416" s="2372"/>
      <c r="AR416" s="2372"/>
      <c r="AS416" s="2372"/>
      <c r="AT416" s="2372"/>
      <c r="AU416" s="2372"/>
      <c r="AV416" s="2372"/>
      <c r="AW416" s="2372"/>
      <c r="AX416" s="2372"/>
      <c r="AY416" s="2372"/>
      <c r="AZ416" s="2372"/>
      <c r="BA416" s="2372"/>
      <c r="BB416" s="2372"/>
      <c r="BC416" s="2372"/>
      <c r="BD416" s="2372"/>
      <c r="BE416" s="2372"/>
      <c r="BF416" s="2372"/>
      <c r="BG416" s="2372"/>
      <c r="BH416" s="2372"/>
      <c r="BI416" s="2372"/>
      <c r="BJ416" s="2372"/>
      <c r="BK416" s="2372"/>
      <c r="BL416" s="2372"/>
      <c r="BM416" s="2372"/>
      <c r="BN416" s="2372"/>
      <c r="BO416" s="2372"/>
      <c r="BP416" s="2372"/>
      <c r="BQ416" s="2372"/>
      <c r="BR416" s="2372"/>
      <c r="BS416" s="2372"/>
      <c r="BT416" s="2372"/>
      <c r="BU416" s="2372"/>
      <c r="BV416" s="2372"/>
      <c r="BW416" s="2372"/>
      <c r="BX416" s="2372"/>
      <c r="BY416" s="2372"/>
      <c r="BZ416" s="2372"/>
      <c r="CA416" s="2372"/>
      <c r="CB416" s="2372"/>
      <c r="CC416" s="2372"/>
      <c r="CD416" s="2372"/>
      <c r="CE416" s="2372"/>
      <c r="CF416" s="2372"/>
      <c r="CG416" s="2372"/>
      <c r="CH416" s="2372"/>
      <c r="CI416" s="2372"/>
      <c r="CJ416" s="2372"/>
      <c r="CK416" s="2372"/>
      <c r="CL416" s="2372"/>
      <c r="CM416" s="2372"/>
      <c r="CN416" s="2372"/>
      <c r="CO416" s="2372"/>
      <c r="CP416" s="2372"/>
      <c r="CQ416" s="2372"/>
      <c r="CR416" s="2372"/>
      <c r="CS416" s="2372"/>
      <c r="CT416" s="2372"/>
      <c r="CU416" s="2372"/>
      <c r="CV416" s="2372"/>
      <c r="CW416" s="2372"/>
      <c r="CX416" s="2372"/>
      <c r="CY416" s="2372"/>
      <c r="CZ416" s="2372"/>
      <c r="DA416" s="2372"/>
    </row>
    <row r="417" spans="1:105" ht="15" hidden="1" customHeight="1">
      <c r="A417" s="2372"/>
      <c r="B417" s="2372"/>
      <c r="C417" s="2372"/>
      <c r="D417" s="2372"/>
      <c r="E417" s="2372"/>
      <c r="F417" s="2372"/>
      <c r="G417" s="2372"/>
      <c r="H417" s="2372"/>
      <c r="I417" s="2372"/>
      <c r="J417" s="2372"/>
      <c r="K417" s="2372"/>
      <c r="L417" s="2372"/>
      <c r="M417" s="2372"/>
      <c r="N417" s="2372"/>
      <c r="O417" s="2372"/>
      <c r="P417" s="2372"/>
      <c r="Q417" s="2372"/>
      <c r="R417" s="2372"/>
      <c r="S417" s="2372"/>
      <c r="T417" s="2372"/>
      <c r="U417" s="2372"/>
      <c r="V417" s="2372"/>
      <c r="W417" s="2372"/>
      <c r="X417" s="2372"/>
      <c r="Y417" s="2372"/>
      <c r="Z417" s="2372"/>
      <c r="AA417" s="2372"/>
      <c r="AB417" s="2372"/>
      <c r="AC417" s="2372"/>
      <c r="AD417" s="2372"/>
      <c r="AE417" s="2372"/>
      <c r="AF417" s="2372"/>
      <c r="AG417" s="2372"/>
      <c r="AH417" s="2372"/>
      <c r="AI417" s="2372"/>
      <c r="AJ417" s="2372"/>
      <c r="AK417" s="2372"/>
      <c r="AL417" s="2372"/>
      <c r="AM417" s="2372"/>
      <c r="AN417" s="2372"/>
      <c r="AO417" s="2372"/>
      <c r="AP417" s="2372"/>
      <c r="AQ417" s="2372"/>
      <c r="AR417" s="2372"/>
      <c r="AS417" s="2372"/>
      <c r="AT417" s="2372"/>
      <c r="AU417" s="2372"/>
      <c r="AV417" s="2372"/>
      <c r="AW417" s="2372"/>
      <c r="AX417" s="2372"/>
      <c r="AY417" s="2372"/>
      <c r="AZ417" s="2372"/>
      <c r="BA417" s="2372"/>
      <c r="BB417" s="2372"/>
      <c r="BC417" s="2372"/>
      <c r="BD417" s="2372"/>
      <c r="BE417" s="2372"/>
      <c r="BF417" s="2372"/>
      <c r="BG417" s="2372"/>
      <c r="BH417" s="2372"/>
      <c r="BI417" s="2372"/>
      <c r="BJ417" s="2372"/>
      <c r="BK417" s="2372"/>
      <c r="BL417" s="2372"/>
      <c r="BM417" s="2372"/>
      <c r="BN417" s="2372"/>
      <c r="BO417" s="2372"/>
      <c r="BP417" s="2372"/>
      <c r="BQ417" s="2372"/>
      <c r="BR417" s="2372"/>
      <c r="BS417" s="2372"/>
      <c r="BT417" s="2372"/>
      <c r="BU417" s="2372"/>
      <c r="BV417" s="2372"/>
      <c r="BW417" s="2372"/>
      <c r="BX417" s="2372"/>
      <c r="BY417" s="2372"/>
      <c r="BZ417" s="2372"/>
      <c r="CA417" s="2372"/>
      <c r="CB417" s="2372"/>
      <c r="CC417" s="2372"/>
      <c r="CD417" s="2372"/>
      <c r="CE417" s="2372"/>
      <c r="CF417" s="2372"/>
      <c r="CG417" s="2372"/>
      <c r="CH417" s="2372"/>
      <c r="CI417" s="2372"/>
      <c r="CJ417" s="2372"/>
      <c r="CK417" s="2372"/>
      <c r="CL417" s="2372"/>
      <c r="CM417" s="2372"/>
      <c r="CN417" s="2372"/>
      <c r="CO417" s="2372"/>
      <c r="CP417" s="2372"/>
      <c r="CQ417" s="2372"/>
      <c r="CR417" s="2372"/>
      <c r="CS417" s="2372"/>
      <c r="CT417" s="2372"/>
      <c r="CU417" s="2372"/>
      <c r="CV417" s="2372"/>
      <c r="CW417" s="2372"/>
      <c r="CX417" s="2372"/>
      <c r="CY417" s="2372"/>
      <c r="CZ417" s="2372"/>
      <c r="DA417" s="2372"/>
    </row>
    <row r="418" spans="1:105" ht="15" hidden="1" customHeight="1">
      <c r="A418" s="2372"/>
      <c r="B418" s="2372"/>
      <c r="C418" s="2372"/>
      <c r="D418" s="2372"/>
      <c r="E418" s="2372"/>
      <c r="F418" s="2372"/>
      <c r="G418" s="2372"/>
      <c r="H418" s="2372"/>
      <c r="I418" s="2372"/>
      <c r="J418" s="2372"/>
      <c r="K418" s="2372"/>
      <c r="L418" s="2372"/>
      <c r="M418" s="2372"/>
      <c r="N418" s="2372"/>
      <c r="O418" s="2372"/>
      <c r="P418" s="2372"/>
      <c r="Q418" s="2372"/>
      <c r="R418" s="2372"/>
      <c r="S418" s="2372"/>
      <c r="T418" s="2372"/>
      <c r="U418" s="2372"/>
      <c r="V418" s="2372"/>
      <c r="W418" s="2372"/>
      <c r="X418" s="2372"/>
      <c r="Y418" s="2372"/>
      <c r="Z418" s="2372"/>
      <c r="AA418" s="2372"/>
      <c r="AB418" s="2372"/>
      <c r="AC418" s="2372"/>
      <c r="AD418" s="2372"/>
      <c r="AE418" s="2372"/>
      <c r="AF418" s="2372"/>
      <c r="AG418" s="2372"/>
      <c r="AH418" s="2372"/>
      <c r="AI418" s="2372"/>
      <c r="AJ418" s="2372"/>
      <c r="AK418" s="2372"/>
      <c r="AL418" s="2372"/>
      <c r="AM418" s="2372"/>
      <c r="AN418" s="2372"/>
      <c r="AO418" s="2372"/>
      <c r="AP418" s="2372"/>
      <c r="AQ418" s="2372"/>
      <c r="AR418" s="2372"/>
      <c r="AS418" s="2372"/>
      <c r="AT418" s="2372"/>
      <c r="AU418" s="2372"/>
      <c r="AV418" s="2372"/>
      <c r="AW418" s="2372"/>
      <c r="AX418" s="2372"/>
      <c r="AY418" s="2372"/>
      <c r="AZ418" s="2372"/>
      <c r="BA418" s="2372"/>
      <c r="BB418" s="2372"/>
      <c r="BC418" s="2372"/>
      <c r="BD418" s="2372"/>
      <c r="BE418" s="2372"/>
      <c r="BF418" s="2372"/>
      <c r="BG418" s="2372"/>
      <c r="BH418" s="2372"/>
      <c r="BI418" s="2372"/>
      <c r="BJ418" s="2372"/>
      <c r="BK418" s="2372"/>
      <c r="BL418" s="2372"/>
      <c r="BM418" s="2372"/>
      <c r="BN418" s="2372"/>
      <c r="BO418" s="2372"/>
      <c r="BP418" s="2372"/>
      <c r="BQ418" s="2372"/>
      <c r="BR418" s="2372"/>
      <c r="BS418" s="2372"/>
      <c r="BT418" s="2372"/>
      <c r="BU418" s="2372"/>
      <c r="BV418" s="2372"/>
      <c r="BW418" s="2372"/>
      <c r="BX418" s="2372"/>
      <c r="BY418" s="2372"/>
      <c r="BZ418" s="2372"/>
      <c r="CA418" s="2372"/>
      <c r="CB418" s="2372"/>
      <c r="CC418" s="2372"/>
      <c r="CD418" s="2372"/>
      <c r="CE418" s="2372"/>
      <c r="CF418" s="2372"/>
      <c r="CG418" s="2372"/>
      <c r="CH418" s="2372"/>
      <c r="CI418" s="2372"/>
      <c r="CJ418" s="2372"/>
      <c r="CK418" s="2372"/>
      <c r="CL418" s="2372"/>
      <c r="CM418" s="2372"/>
      <c r="CN418" s="2372"/>
      <c r="CO418" s="2372"/>
      <c r="CP418" s="2372"/>
      <c r="CQ418" s="2372"/>
      <c r="CR418" s="2372"/>
      <c r="CS418" s="2372"/>
      <c r="CT418" s="2372"/>
      <c r="CU418" s="2372"/>
      <c r="CV418" s="2372"/>
      <c r="CW418" s="2372"/>
      <c r="CX418" s="2372"/>
      <c r="CY418" s="2372"/>
      <c r="CZ418" s="2372"/>
      <c r="DA418" s="2372"/>
    </row>
    <row r="419" spans="1:105" ht="15" hidden="1" customHeight="1">
      <c r="A419" s="2372"/>
      <c r="B419" s="2372"/>
      <c r="C419" s="2372"/>
      <c r="D419" s="2372"/>
      <c r="E419" s="2372"/>
      <c r="F419" s="2372"/>
      <c r="G419" s="2372"/>
      <c r="H419" s="2372"/>
      <c r="I419" s="2372"/>
      <c r="J419" s="2372"/>
      <c r="K419" s="2372"/>
      <c r="L419" s="2372"/>
      <c r="M419" s="2372"/>
      <c r="N419" s="2372"/>
      <c r="O419" s="2372"/>
      <c r="P419" s="2372"/>
      <c r="Q419" s="2372"/>
      <c r="R419" s="2372"/>
      <c r="S419" s="2372"/>
      <c r="T419" s="2372"/>
      <c r="U419" s="2372"/>
      <c r="V419" s="2372"/>
      <c r="W419" s="2372"/>
      <c r="X419" s="2372"/>
      <c r="Y419" s="2372"/>
      <c r="Z419" s="2372"/>
      <c r="AA419" s="2372"/>
      <c r="AB419" s="2372"/>
      <c r="AC419" s="2372"/>
      <c r="AD419" s="2372"/>
      <c r="AE419" s="2372"/>
      <c r="AF419" s="2372"/>
      <c r="AG419" s="2372"/>
      <c r="AH419" s="2372"/>
      <c r="AI419" s="2372"/>
      <c r="AJ419" s="2372"/>
      <c r="AK419" s="2372"/>
      <c r="AL419" s="2372"/>
      <c r="AM419" s="2372"/>
      <c r="AN419" s="2372"/>
      <c r="AO419" s="2372"/>
      <c r="AP419" s="2372"/>
      <c r="AQ419" s="2372"/>
      <c r="AR419" s="2372"/>
      <c r="AS419" s="2372"/>
      <c r="AT419" s="2372"/>
      <c r="AU419" s="2372"/>
      <c r="AV419" s="2372"/>
      <c r="AW419" s="2372"/>
      <c r="AX419" s="2372"/>
      <c r="AY419" s="2372"/>
      <c r="AZ419" s="2372"/>
      <c r="BA419" s="2372"/>
      <c r="BB419" s="2372"/>
      <c r="BC419" s="2372"/>
      <c r="BD419" s="2372"/>
      <c r="BE419" s="2372"/>
      <c r="BF419" s="2372"/>
      <c r="BG419" s="2372"/>
      <c r="BH419" s="2372"/>
      <c r="BI419" s="2372"/>
      <c r="BJ419" s="2372"/>
      <c r="BK419" s="2372"/>
      <c r="BL419" s="2372"/>
      <c r="BM419" s="2372"/>
      <c r="BN419" s="2372"/>
      <c r="BO419" s="2372"/>
      <c r="BP419" s="2372"/>
      <c r="BQ419" s="2372"/>
      <c r="BR419" s="2372"/>
      <c r="BS419" s="2372"/>
      <c r="BT419" s="2372"/>
      <c r="BU419" s="2372"/>
      <c r="BV419" s="2372"/>
      <c r="BW419" s="2372"/>
      <c r="BX419" s="2372"/>
      <c r="BY419" s="2372"/>
      <c r="BZ419" s="2372"/>
      <c r="CA419" s="2372"/>
      <c r="CB419" s="2372"/>
      <c r="CC419" s="2372"/>
      <c r="CD419" s="2372"/>
      <c r="CE419" s="2372"/>
      <c r="CF419" s="2372"/>
      <c r="CG419" s="2372"/>
      <c r="CH419" s="2372"/>
      <c r="CI419" s="2372"/>
      <c r="CJ419" s="2372"/>
      <c r="CK419" s="2372"/>
      <c r="CL419" s="2372"/>
      <c r="CM419" s="2372"/>
      <c r="CN419" s="2372"/>
      <c r="CO419" s="2372"/>
      <c r="CP419" s="2372"/>
      <c r="CQ419" s="2372"/>
      <c r="CR419" s="2372"/>
      <c r="CS419" s="2372"/>
      <c r="CT419" s="2372"/>
      <c r="CU419" s="2372"/>
      <c r="CV419" s="2372"/>
      <c r="CW419" s="2372"/>
      <c r="CX419" s="2372"/>
      <c r="CY419" s="2372"/>
      <c r="CZ419" s="2372"/>
      <c r="DA419" s="2372"/>
    </row>
    <row r="420" spans="1:105" ht="15" hidden="1" customHeight="1">
      <c r="A420" s="2372"/>
      <c r="B420" s="2372"/>
      <c r="C420" s="2372"/>
      <c r="D420" s="2372"/>
      <c r="E420" s="2372"/>
      <c r="F420" s="2372"/>
      <c r="G420" s="2372"/>
      <c r="H420" s="2372"/>
      <c r="I420" s="2372"/>
      <c r="J420" s="2372"/>
      <c r="K420" s="2372"/>
      <c r="L420" s="2372"/>
      <c r="M420" s="2372"/>
      <c r="N420" s="2372"/>
      <c r="O420" s="2372"/>
      <c r="P420" s="2372"/>
      <c r="Q420" s="2372"/>
      <c r="R420" s="2372"/>
      <c r="S420" s="2372"/>
      <c r="T420" s="2372"/>
      <c r="U420" s="2372"/>
      <c r="V420" s="2372"/>
      <c r="W420" s="2372"/>
      <c r="X420" s="2372"/>
      <c r="Y420" s="2372"/>
      <c r="Z420" s="2372"/>
      <c r="AA420" s="2372"/>
      <c r="AB420" s="2372"/>
      <c r="AC420" s="2372"/>
      <c r="AD420" s="2372"/>
      <c r="AE420" s="2372"/>
      <c r="AF420" s="2372"/>
      <c r="AG420" s="2372"/>
      <c r="AH420" s="2372"/>
      <c r="AI420" s="2372"/>
      <c r="AJ420" s="2372"/>
      <c r="AK420" s="2372"/>
      <c r="AL420" s="2372"/>
      <c r="AM420" s="2372"/>
      <c r="AN420" s="2372"/>
      <c r="AO420" s="2372"/>
      <c r="AP420" s="2372"/>
      <c r="AQ420" s="2372"/>
      <c r="AR420" s="2372"/>
      <c r="AS420" s="2372"/>
      <c r="AT420" s="2372"/>
      <c r="AU420" s="2372"/>
      <c r="AV420" s="2372"/>
      <c r="AW420" s="2372"/>
      <c r="AX420" s="2372"/>
      <c r="AY420" s="2372"/>
      <c r="AZ420" s="2372"/>
      <c r="BA420" s="2372"/>
      <c r="BB420" s="2372"/>
      <c r="BC420" s="2372"/>
      <c r="BD420" s="2372"/>
      <c r="BE420" s="2372"/>
      <c r="BF420" s="2372"/>
      <c r="BG420" s="2372"/>
      <c r="BH420" s="2372"/>
      <c r="BI420" s="2372"/>
      <c r="BJ420" s="2372"/>
      <c r="BK420" s="2372"/>
      <c r="BL420" s="2372"/>
      <c r="BM420" s="2372"/>
      <c r="BN420" s="2372"/>
      <c r="BO420" s="2372"/>
      <c r="BP420" s="2372"/>
      <c r="BQ420" s="2372"/>
      <c r="BR420" s="2372"/>
      <c r="BS420" s="2372"/>
      <c r="BT420" s="2372"/>
      <c r="BU420" s="2372"/>
      <c r="BV420" s="2372"/>
      <c r="BW420" s="2372"/>
      <c r="BX420" s="2372"/>
      <c r="BY420" s="2372"/>
      <c r="BZ420" s="2372"/>
      <c r="CA420" s="2372"/>
      <c r="CB420" s="2372"/>
      <c r="CC420" s="2372"/>
      <c r="CD420" s="2372"/>
      <c r="CE420" s="2372"/>
      <c r="CF420" s="2372"/>
      <c r="CG420" s="2372"/>
      <c r="CH420" s="2372"/>
      <c r="CI420" s="2372"/>
      <c r="CJ420" s="2372"/>
      <c r="CK420" s="2372"/>
      <c r="CL420" s="2372"/>
      <c r="CM420" s="2372"/>
      <c r="CN420" s="2372"/>
      <c r="CO420" s="2372"/>
      <c r="CP420" s="2372"/>
      <c r="CQ420" s="2372"/>
      <c r="CR420" s="2372"/>
      <c r="CS420" s="2372"/>
      <c r="CT420" s="2372"/>
      <c r="CU420" s="2372"/>
      <c r="CV420" s="2372"/>
      <c r="CW420" s="2372"/>
      <c r="CX420" s="2372"/>
      <c r="CY420" s="2372"/>
      <c r="CZ420" s="2372"/>
      <c r="DA420" s="2372"/>
    </row>
    <row r="421" spans="1:105" ht="15" hidden="1" customHeight="1">
      <c r="A421" s="2372"/>
      <c r="B421" s="2372"/>
      <c r="C421" s="2372"/>
      <c r="D421" s="2372"/>
      <c r="E421" s="2372"/>
      <c r="F421" s="2372"/>
      <c r="G421" s="2372"/>
      <c r="H421" s="2372"/>
      <c r="I421" s="2372"/>
      <c r="J421" s="2372"/>
      <c r="K421" s="2372"/>
      <c r="L421" s="2372"/>
      <c r="M421" s="2372"/>
      <c r="N421" s="2372"/>
      <c r="O421" s="2372"/>
      <c r="P421" s="2372"/>
      <c r="Q421" s="2372"/>
      <c r="R421" s="2372"/>
      <c r="S421" s="2372"/>
      <c r="T421" s="2372"/>
      <c r="U421" s="2372"/>
      <c r="V421" s="2372"/>
      <c r="W421" s="2372"/>
      <c r="X421" s="2372"/>
      <c r="Y421" s="2372"/>
      <c r="Z421" s="2372"/>
      <c r="AA421" s="2372"/>
      <c r="AB421" s="2372"/>
      <c r="AC421" s="2372"/>
      <c r="AD421" s="2372"/>
      <c r="AE421" s="2372"/>
      <c r="AF421" s="2372"/>
      <c r="AG421" s="2372"/>
      <c r="AH421" s="2372"/>
      <c r="AI421" s="2372"/>
      <c r="AJ421" s="2372"/>
      <c r="AK421" s="2372"/>
      <c r="AL421" s="2372"/>
      <c r="AM421" s="2372"/>
      <c r="AN421" s="2372"/>
      <c r="AO421" s="2372"/>
      <c r="AP421" s="2372"/>
      <c r="AQ421" s="2372"/>
      <c r="AR421" s="2372"/>
      <c r="AS421" s="2372"/>
      <c r="AT421" s="2372"/>
      <c r="AU421" s="2372"/>
      <c r="AV421" s="2372"/>
      <c r="AW421" s="2372"/>
      <c r="AX421" s="2372"/>
      <c r="AY421" s="2372"/>
      <c r="AZ421" s="2372"/>
      <c r="BA421" s="2372"/>
      <c r="BB421" s="2372"/>
      <c r="BC421" s="2372"/>
      <c r="BD421" s="2372"/>
      <c r="BE421" s="2372"/>
      <c r="BF421" s="2372"/>
      <c r="BG421" s="2372"/>
      <c r="BH421" s="2372"/>
      <c r="BI421" s="2372"/>
      <c r="BJ421" s="2372"/>
      <c r="BK421" s="2372"/>
      <c r="BL421" s="2372"/>
      <c r="BM421" s="2372"/>
      <c r="BN421" s="2372"/>
      <c r="BO421" s="2372"/>
      <c r="BP421" s="2372"/>
      <c r="BQ421" s="2372"/>
      <c r="BR421" s="2372"/>
      <c r="BS421" s="2372"/>
      <c r="BT421" s="2372"/>
      <c r="BU421" s="2372"/>
      <c r="BV421" s="2372"/>
      <c r="BW421" s="2372"/>
      <c r="BX421" s="2372"/>
      <c r="BY421" s="2372"/>
      <c r="BZ421" s="2372"/>
      <c r="CA421" s="2372"/>
      <c r="CB421" s="2372"/>
      <c r="CC421" s="2372"/>
      <c r="CD421" s="2372"/>
      <c r="CE421" s="2372"/>
      <c r="CF421" s="2372"/>
      <c r="CG421" s="2372"/>
      <c r="CH421" s="2372"/>
      <c r="CI421" s="2372"/>
      <c r="CJ421" s="2372"/>
      <c r="CK421" s="2372"/>
      <c r="CL421" s="2372"/>
      <c r="CM421" s="2372"/>
      <c r="CN421" s="2372"/>
      <c r="CO421" s="2372"/>
      <c r="CP421" s="2372"/>
      <c r="CQ421" s="2372"/>
      <c r="CR421" s="2372"/>
      <c r="CS421" s="2372"/>
      <c r="CT421" s="2372"/>
      <c r="CU421" s="2372"/>
      <c r="CV421" s="2372"/>
      <c r="CW421" s="2372"/>
      <c r="CX421" s="2372"/>
      <c r="CY421" s="2372"/>
      <c r="CZ421" s="2372"/>
      <c r="DA421" s="2372"/>
    </row>
    <row r="422" spans="1:105" ht="15" hidden="1" customHeight="1">
      <c r="A422" s="2372"/>
      <c r="B422" s="2372"/>
      <c r="C422" s="2372"/>
      <c r="D422" s="2372"/>
      <c r="E422" s="2372"/>
      <c r="F422" s="2372"/>
      <c r="G422" s="2372"/>
      <c r="H422" s="2372"/>
      <c r="I422" s="2372"/>
      <c r="J422" s="2372"/>
      <c r="K422" s="2372"/>
      <c r="L422" s="2372"/>
      <c r="M422" s="2372"/>
      <c r="N422" s="2372"/>
      <c r="O422" s="2372"/>
      <c r="P422" s="2372"/>
      <c r="Q422" s="2372"/>
      <c r="R422" s="2372"/>
      <c r="S422" s="2372"/>
      <c r="T422" s="2372"/>
      <c r="U422" s="2372"/>
      <c r="V422" s="2372"/>
      <c r="W422" s="2372"/>
      <c r="X422" s="2372"/>
      <c r="Y422" s="2372"/>
      <c r="Z422" s="2372"/>
      <c r="AA422" s="2372"/>
      <c r="AB422" s="2372"/>
      <c r="AC422" s="2372"/>
      <c r="AD422" s="2372"/>
      <c r="AE422" s="2372"/>
      <c r="AF422" s="2372"/>
      <c r="AG422" s="2372"/>
      <c r="AH422" s="2372"/>
      <c r="AI422" s="2372"/>
      <c r="AJ422" s="2372"/>
      <c r="AK422" s="2372"/>
      <c r="AL422" s="2372"/>
      <c r="AM422" s="2372"/>
      <c r="AN422" s="2372"/>
      <c r="AO422" s="2372"/>
      <c r="AP422" s="2372"/>
      <c r="AQ422" s="2372"/>
      <c r="AR422" s="2372"/>
      <c r="AS422" s="2372"/>
      <c r="AT422" s="2372"/>
      <c r="AU422" s="2372"/>
      <c r="AV422" s="2372"/>
      <c r="AW422" s="2372"/>
      <c r="AX422" s="2372"/>
      <c r="AY422" s="2372"/>
      <c r="AZ422" s="2372"/>
      <c r="BA422" s="2372"/>
      <c r="BB422" s="2372"/>
      <c r="BC422" s="2372"/>
      <c r="BD422" s="2372"/>
      <c r="BE422" s="2372"/>
      <c r="BF422" s="2372"/>
      <c r="BG422" s="2372"/>
      <c r="BH422" s="2372"/>
      <c r="BI422" s="2372"/>
      <c r="BJ422" s="2372"/>
      <c r="BK422" s="2372"/>
      <c r="BL422" s="2372"/>
      <c r="BM422" s="2372"/>
      <c r="BN422" s="2372"/>
      <c r="BO422" s="2372"/>
      <c r="BP422" s="2372"/>
      <c r="BQ422" s="2372"/>
      <c r="BR422" s="2372"/>
      <c r="BS422" s="2372"/>
      <c r="BT422" s="2372"/>
      <c r="BU422" s="2372"/>
      <c r="BV422" s="2372"/>
      <c r="BW422" s="2372"/>
      <c r="BX422" s="2372"/>
      <c r="BY422" s="2372"/>
      <c r="BZ422" s="2372"/>
      <c r="CA422" s="2372"/>
      <c r="CB422" s="2372"/>
      <c r="CC422" s="2372"/>
      <c r="CD422" s="2372"/>
      <c r="CE422" s="2372"/>
      <c r="CF422" s="2372"/>
      <c r="CG422" s="2372"/>
      <c r="CH422" s="2372"/>
      <c r="CI422" s="2372"/>
      <c r="CJ422" s="2372"/>
      <c r="CK422" s="2372"/>
      <c r="CL422" s="2372"/>
      <c r="CM422" s="2372"/>
      <c r="CN422" s="2372"/>
      <c r="CO422" s="2372"/>
      <c r="CP422" s="2372"/>
      <c r="CQ422" s="2372"/>
      <c r="CR422" s="2372"/>
      <c r="CS422" s="2372"/>
      <c r="CT422" s="2372"/>
      <c r="CU422" s="2372"/>
      <c r="CV422" s="2372"/>
      <c r="CW422" s="2372"/>
      <c r="CX422" s="2372"/>
      <c r="CY422" s="2372"/>
      <c r="CZ422" s="2372"/>
      <c r="DA422" s="2372"/>
    </row>
    <row r="423" spans="1:105" ht="15" hidden="1" customHeight="1">
      <c r="A423" s="2372"/>
      <c r="B423" s="2372"/>
      <c r="C423" s="2372"/>
      <c r="D423" s="2372"/>
      <c r="E423" s="2372"/>
      <c r="F423" s="2372"/>
      <c r="G423" s="2372"/>
      <c r="H423" s="2372"/>
      <c r="I423" s="2372"/>
      <c r="J423" s="2372"/>
      <c r="K423" s="2372"/>
      <c r="L423" s="2372"/>
      <c r="M423" s="2372"/>
      <c r="N423" s="2372"/>
      <c r="O423" s="2372"/>
      <c r="P423" s="2372"/>
      <c r="Q423" s="2372"/>
      <c r="R423" s="2372"/>
      <c r="S423" s="2372"/>
      <c r="T423" s="2372"/>
      <c r="U423" s="2372"/>
      <c r="V423" s="2372"/>
      <c r="W423" s="2372"/>
      <c r="X423" s="2372"/>
      <c r="Y423" s="2372"/>
      <c r="Z423" s="2372"/>
      <c r="AA423" s="2372"/>
      <c r="AB423" s="2372"/>
      <c r="AC423" s="2372"/>
      <c r="AD423" s="2372"/>
      <c r="AE423" s="2372"/>
      <c r="AF423" s="2372"/>
      <c r="AG423" s="2372"/>
      <c r="AH423" s="2372"/>
      <c r="AI423" s="2372"/>
      <c r="AJ423" s="2372"/>
      <c r="AK423" s="2372"/>
      <c r="AL423" s="2372"/>
      <c r="AM423" s="2372"/>
      <c r="AN423" s="2372"/>
      <c r="AO423" s="2372"/>
      <c r="AP423" s="2372"/>
      <c r="AQ423" s="2372"/>
      <c r="AR423" s="2372"/>
      <c r="AS423" s="2372"/>
      <c r="AT423" s="2372"/>
      <c r="AU423" s="2372"/>
      <c r="AV423" s="2372"/>
      <c r="AW423" s="2372"/>
      <c r="AX423" s="2372"/>
      <c r="AY423" s="2372"/>
      <c r="AZ423" s="2372"/>
      <c r="BA423" s="2372"/>
      <c r="BB423" s="2372"/>
      <c r="BC423" s="2372"/>
      <c r="BD423" s="2372"/>
      <c r="BE423" s="2372"/>
      <c r="BF423" s="2372"/>
      <c r="BG423" s="2372"/>
      <c r="BH423" s="2372"/>
      <c r="BI423" s="2372"/>
      <c r="BJ423" s="2372"/>
      <c r="BK423" s="2372"/>
      <c r="BL423" s="2372"/>
      <c r="BM423" s="2372"/>
      <c r="BN423" s="2372"/>
      <c r="BO423" s="2372"/>
      <c r="BP423" s="2372"/>
      <c r="BQ423" s="2372"/>
      <c r="BR423" s="2372"/>
      <c r="BS423" s="2372"/>
      <c r="BT423" s="2372"/>
      <c r="BU423" s="2372"/>
      <c r="BV423" s="2372"/>
      <c r="BW423" s="2372"/>
      <c r="BX423" s="2372"/>
      <c r="BY423" s="2372"/>
      <c r="BZ423" s="2372"/>
      <c r="CA423" s="2372"/>
      <c r="CB423" s="2372"/>
      <c r="CC423" s="2372"/>
      <c r="CD423" s="2372"/>
      <c r="CE423" s="2372"/>
      <c r="CF423" s="2372"/>
      <c r="CG423" s="2372"/>
      <c r="CH423" s="2372"/>
      <c r="CI423" s="2372"/>
      <c r="CJ423" s="2372"/>
      <c r="CK423" s="2372"/>
      <c r="CL423" s="2372"/>
      <c r="CM423" s="2372"/>
      <c r="CN423" s="2372"/>
      <c r="CO423" s="2372"/>
      <c r="CP423" s="2372"/>
      <c r="CQ423" s="2372"/>
      <c r="CR423" s="2372"/>
      <c r="CS423" s="2372"/>
      <c r="CT423" s="2372"/>
      <c r="CU423" s="2372"/>
      <c r="CV423" s="2372"/>
      <c r="CW423" s="2372"/>
      <c r="CX423" s="2372"/>
      <c r="CY423" s="2372"/>
      <c r="CZ423" s="2372"/>
      <c r="DA423" s="2372"/>
    </row>
    <row r="424" spans="1:105" ht="15" hidden="1" customHeight="1">
      <c r="A424" s="2372"/>
      <c r="B424" s="2372"/>
      <c r="C424" s="2372"/>
      <c r="D424" s="2372"/>
      <c r="E424" s="2372"/>
      <c r="F424" s="2372"/>
      <c r="G424" s="2372"/>
      <c r="H424" s="2372"/>
      <c r="I424" s="2372"/>
      <c r="J424" s="2372"/>
      <c r="K424" s="2372"/>
      <c r="L424" s="2372"/>
      <c r="M424" s="2372"/>
      <c r="N424" s="2372"/>
      <c r="O424" s="2372"/>
      <c r="P424" s="2372"/>
      <c r="Q424" s="2372"/>
      <c r="R424" s="2372"/>
      <c r="S424" s="2372"/>
      <c r="T424" s="2372"/>
      <c r="U424" s="2372"/>
      <c r="V424" s="2372"/>
      <c r="W424" s="2372"/>
      <c r="X424" s="2372"/>
      <c r="Y424" s="2372"/>
      <c r="Z424" s="2372"/>
      <c r="AA424" s="2372"/>
      <c r="AB424" s="2372"/>
      <c r="AC424" s="2372"/>
      <c r="AD424" s="2372"/>
      <c r="AE424" s="2372"/>
      <c r="AF424" s="2372"/>
      <c r="AG424" s="2372"/>
      <c r="AH424" s="2372"/>
      <c r="AI424" s="2372"/>
      <c r="AJ424" s="2372"/>
      <c r="AK424" s="2372"/>
      <c r="AL424" s="2372"/>
      <c r="AM424" s="2372"/>
      <c r="AN424" s="2372"/>
      <c r="AO424" s="2372"/>
      <c r="AP424" s="2372"/>
      <c r="AQ424" s="2372"/>
      <c r="AR424" s="2372"/>
      <c r="AS424" s="2372"/>
      <c r="AT424" s="2372"/>
      <c r="AU424" s="2372"/>
      <c r="AV424" s="2372"/>
      <c r="AW424" s="2372"/>
      <c r="AX424" s="2372"/>
      <c r="AY424" s="2372"/>
      <c r="AZ424" s="2372"/>
      <c r="BA424" s="2372"/>
      <c r="BB424" s="2372"/>
      <c r="BC424" s="2372"/>
      <c r="BD424" s="2372"/>
      <c r="BE424" s="2372"/>
      <c r="BF424" s="2372"/>
      <c r="BG424" s="2372"/>
      <c r="BH424" s="2372"/>
      <c r="BI424" s="2372"/>
      <c r="BJ424" s="2372"/>
      <c r="BK424" s="2372"/>
      <c r="BL424" s="2372"/>
      <c r="BM424" s="2372"/>
      <c r="BN424" s="2372"/>
      <c r="BO424" s="2372"/>
      <c r="BP424" s="2372"/>
      <c r="BQ424" s="2372"/>
      <c r="BR424" s="2372"/>
      <c r="BS424" s="2372"/>
      <c r="BT424" s="2372"/>
      <c r="BU424" s="2372"/>
      <c r="BV424" s="2372"/>
      <c r="BW424" s="2372"/>
      <c r="BX424" s="2372"/>
      <c r="BY424" s="2372"/>
      <c r="BZ424" s="2372"/>
      <c r="CA424" s="2372"/>
      <c r="CB424" s="2372"/>
      <c r="CC424" s="2372"/>
      <c r="CD424" s="2372"/>
      <c r="CE424" s="2372"/>
      <c r="CF424" s="2372"/>
      <c r="CG424" s="2372"/>
      <c r="CH424" s="2372"/>
      <c r="CI424" s="2372"/>
      <c r="CJ424" s="2372"/>
      <c r="CK424" s="2372"/>
      <c r="CL424" s="2372"/>
      <c r="CM424" s="2372"/>
      <c r="CN424" s="2372"/>
      <c r="CO424" s="2372"/>
      <c r="CP424" s="2372"/>
      <c r="CQ424" s="2372"/>
      <c r="CR424" s="2372"/>
      <c r="CS424" s="2372"/>
      <c r="CT424" s="2372"/>
      <c r="CU424" s="2372"/>
      <c r="CV424" s="2372"/>
      <c r="CW424" s="2372"/>
      <c r="CX424" s="2372"/>
      <c r="CY424" s="2372"/>
      <c r="CZ424" s="2372"/>
      <c r="DA424" s="2372"/>
    </row>
    <row r="425" spans="1:105" ht="15" hidden="1" customHeight="1">
      <c r="A425" s="2372"/>
      <c r="B425" s="2372"/>
      <c r="C425" s="2372"/>
      <c r="D425" s="2372"/>
      <c r="E425" s="2372"/>
      <c r="F425" s="2372"/>
      <c r="G425" s="2372"/>
      <c r="H425" s="2372"/>
      <c r="I425" s="2372"/>
      <c r="J425" s="2372"/>
      <c r="K425" s="2372"/>
      <c r="L425" s="2372"/>
      <c r="M425" s="2372"/>
      <c r="N425" s="2372"/>
      <c r="O425" s="2372"/>
      <c r="P425" s="2372"/>
      <c r="Q425" s="2372"/>
      <c r="R425" s="2372"/>
      <c r="S425" s="2372"/>
      <c r="T425" s="2372"/>
      <c r="U425" s="2372"/>
      <c r="V425" s="2372"/>
      <c r="W425" s="2372"/>
      <c r="X425" s="2372"/>
      <c r="Y425" s="2372"/>
      <c r="Z425" s="2372"/>
      <c r="AA425" s="2372"/>
      <c r="AB425" s="2372"/>
      <c r="AC425" s="2372"/>
      <c r="AD425" s="2372"/>
      <c r="AE425" s="2372"/>
      <c r="AF425" s="2372"/>
      <c r="AG425" s="2372"/>
      <c r="AH425" s="2372"/>
      <c r="AI425" s="2372"/>
      <c r="AJ425" s="2372"/>
      <c r="AK425" s="2372"/>
      <c r="AL425" s="2372"/>
      <c r="AM425" s="2372"/>
      <c r="AN425" s="2372"/>
      <c r="AO425" s="2372"/>
      <c r="AP425" s="2372"/>
      <c r="AQ425" s="2372"/>
      <c r="AR425" s="2372"/>
      <c r="AS425" s="2372"/>
      <c r="AT425" s="2372"/>
      <c r="AU425" s="2372"/>
      <c r="AV425" s="2372"/>
      <c r="AW425" s="2372"/>
      <c r="AX425" s="2372"/>
      <c r="AY425" s="2372"/>
      <c r="AZ425" s="2372"/>
      <c r="BA425" s="2372"/>
      <c r="BB425" s="2372"/>
      <c r="BC425" s="2372"/>
      <c r="BD425" s="2372"/>
      <c r="BE425" s="2372"/>
      <c r="BF425" s="2372"/>
      <c r="BG425" s="2372"/>
      <c r="BH425" s="2372"/>
      <c r="BI425" s="2372"/>
      <c r="BJ425" s="2372"/>
      <c r="BK425" s="2372"/>
      <c r="BL425" s="2372"/>
      <c r="BM425" s="2372"/>
      <c r="BN425" s="2372"/>
      <c r="BO425" s="2372"/>
      <c r="BP425" s="2372"/>
      <c r="BQ425" s="2372"/>
      <c r="BR425" s="2372"/>
      <c r="BS425" s="2372"/>
      <c r="BT425" s="2372"/>
      <c r="BU425" s="2372"/>
      <c r="BV425" s="2372"/>
      <c r="BW425" s="2372"/>
      <c r="BX425" s="2372"/>
      <c r="BY425" s="2372"/>
      <c r="BZ425" s="2372"/>
      <c r="CA425" s="2372"/>
      <c r="CB425" s="2372"/>
      <c r="CC425" s="2372"/>
      <c r="CD425" s="2372"/>
      <c r="CE425" s="2372"/>
      <c r="CF425" s="2372"/>
      <c r="CG425" s="2372"/>
      <c r="CH425" s="2372"/>
      <c r="CI425" s="2372"/>
      <c r="CJ425" s="2372"/>
      <c r="CK425" s="2372"/>
      <c r="CL425" s="2372"/>
      <c r="CM425" s="2372"/>
      <c r="CN425" s="2372"/>
      <c r="CO425" s="2372"/>
      <c r="CP425" s="2372"/>
      <c r="CQ425" s="2372"/>
      <c r="CR425" s="2372"/>
      <c r="CS425" s="2372"/>
      <c r="CT425" s="2372"/>
      <c r="CU425" s="2372"/>
      <c r="CV425" s="2372"/>
      <c r="CW425" s="2372"/>
      <c r="CX425" s="2372"/>
      <c r="CY425" s="2372"/>
      <c r="CZ425" s="2372"/>
      <c r="DA425" s="2372"/>
    </row>
    <row r="426" spans="1:105" ht="15" hidden="1" customHeight="1">
      <c r="A426" s="2372"/>
      <c r="B426" s="2372"/>
      <c r="C426" s="2372"/>
      <c r="D426" s="2372"/>
      <c r="E426" s="2372"/>
      <c r="F426" s="2372"/>
      <c r="G426" s="2372"/>
      <c r="H426" s="2372"/>
      <c r="I426" s="2372"/>
      <c r="J426" s="2372"/>
      <c r="K426" s="2372"/>
      <c r="L426" s="2372"/>
      <c r="M426" s="2372"/>
      <c r="N426" s="2372"/>
      <c r="O426" s="2372"/>
      <c r="P426" s="2372"/>
      <c r="Q426" s="2372"/>
      <c r="R426" s="2372"/>
      <c r="S426" s="2372"/>
      <c r="T426" s="2372"/>
      <c r="U426" s="2372"/>
      <c r="V426" s="2372"/>
      <c r="W426" s="2372"/>
      <c r="X426" s="2372"/>
      <c r="Y426" s="2372"/>
      <c r="Z426" s="2372"/>
      <c r="AA426" s="2372"/>
      <c r="AB426" s="2372"/>
      <c r="AC426" s="2372"/>
      <c r="AD426" s="2372"/>
      <c r="AE426" s="2372"/>
      <c r="AF426" s="2372"/>
      <c r="AG426" s="2372"/>
      <c r="AH426" s="2372"/>
      <c r="AI426" s="2372"/>
      <c r="AJ426" s="2372"/>
      <c r="AK426" s="2372"/>
      <c r="AL426" s="2372"/>
      <c r="AM426" s="2372"/>
      <c r="AN426" s="2372"/>
      <c r="AO426" s="2372"/>
      <c r="AP426" s="2372"/>
      <c r="AQ426" s="2372"/>
      <c r="AR426" s="2372"/>
      <c r="AS426" s="2372"/>
      <c r="AT426" s="2372"/>
      <c r="AU426" s="2372"/>
      <c r="AV426" s="2372"/>
      <c r="AW426" s="2372"/>
      <c r="AX426" s="2372"/>
      <c r="AY426" s="2372"/>
      <c r="AZ426" s="2372"/>
      <c r="BA426" s="2372"/>
      <c r="BB426" s="2372"/>
      <c r="BC426" s="2372"/>
      <c r="BD426" s="2372"/>
      <c r="BE426" s="2372"/>
      <c r="BF426" s="2372"/>
      <c r="BG426" s="2372"/>
      <c r="BH426" s="2372"/>
      <c r="BI426" s="2372"/>
      <c r="BJ426" s="2372"/>
      <c r="BK426" s="2372"/>
      <c r="BL426" s="2372"/>
      <c r="BM426" s="2372"/>
      <c r="BN426" s="2372"/>
      <c r="BO426" s="2372"/>
      <c r="BP426" s="2372"/>
      <c r="BQ426" s="2372"/>
      <c r="BR426" s="2372"/>
      <c r="BS426" s="2372"/>
      <c r="BT426" s="2372"/>
      <c r="BU426" s="2372"/>
      <c r="BV426" s="2372"/>
      <c r="BW426" s="2372"/>
      <c r="BX426" s="2372"/>
      <c r="BY426" s="2372"/>
      <c r="BZ426" s="2372"/>
      <c r="CA426" s="2372"/>
      <c r="CB426" s="2372"/>
      <c r="CC426" s="2372"/>
      <c r="CD426" s="2372"/>
      <c r="CE426" s="2372"/>
      <c r="CF426" s="2372"/>
      <c r="CG426" s="2372"/>
      <c r="CH426" s="2372"/>
      <c r="CI426" s="2372"/>
      <c r="CJ426" s="2372"/>
      <c r="CK426" s="2372"/>
      <c r="CL426" s="2372"/>
      <c r="CM426" s="2372"/>
      <c r="CN426" s="2372"/>
      <c r="CO426" s="2372"/>
      <c r="CP426" s="2372"/>
      <c r="CQ426" s="2372"/>
      <c r="CR426" s="2372"/>
      <c r="CS426" s="2372"/>
      <c r="CT426" s="2372"/>
      <c r="CU426" s="2372"/>
      <c r="CV426" s="2372"/>
      <c r="CW426" s="2372"/>
      <c r="CX426" s="2372"/>
      <c r="CY426" s="2372"/>
      <c r="CZ426" s="2372"/>
      <c r="DA426" s="2372"/>
    </row>
    <row r="427" spans="1:105" ht="15" hidden="1" customHeight="1">
      <c r="A427" s="2372"/>
      <c r="B427" s="2372"/>
      <c r="C427" s="2372"/>
      <c r="D427" s="2372"/>
      <c r="E427" s="2372"/>
      <c r="F427" s="2372"/>
      <c r="G427" s="2372"/>
      <c r="H427" s="2372"/>
      <c r="I427" s="2372"/>
      <c r="J427" s="2372"/>
      <c r="K427" s="2372"/>
      <c r="L427" s="2372"/>
      <c r="M427" s="2372"/>
      <c r="N427" s="2372"/>
      <c r="O427" s="2372"/>
      <c r="P427" s="2372"/>
      <c r="Q427" s="2372"/>
      <c r="R427" s="2372"/>
      <c r="S427" s="2372"/>
      <c r="T427" s="2372"/>
      <c r="U427" s="2372"/>
      <c r="V427" s="2372"/>
      <c r="W427" s="2372"/>
      <c r="X427" s="2372"/>
      <c r="Y427" s="2372"/>
      <c r="Z427" s="2372"/>
      <c r="AA427" s="2372"/>
      <c r="AB427" s="2372"/>
      <c r="AC427" s="2372"/>
      <c r="AD427" s="2372"/>
      <c r="AE427" s="2372"/>
      <c r="AF427" s="2372"/>
      <c r="AG427" s="2372"/>
      <c r="AH427" s="2372"/>
      <c r="AI427" s="2372"/>
      <c r="AJ427" s="2372"/>
      <c r="AK427" s="2372"/>
      <c r="AL427" s="2372"/>
      <c r="AM427" s="2372"/>
      <c r="AN427" s="2372"/>
      <c r="AO427" s="2372"/>
      <c r="AP427" s="2372"/>
      <c r="AQ427" s="2372"/>
      <c r="AR427" s="2372"/>
      <c r="AS427" s="2372"/>
      <c r="AT427" s="2372"/>
      <c r="AU427" s="2372"/>
      <c r="AV427" s="2372"/>
      <c r="AW427" s="2372"/>
      <c r="AX427" s="2372"/>
      <c r="AY427" s="2372"/>
      <c r="AZ427" s="2372"/>
      <c r="BA427" s="2372"/>
      <c r="BB427" s="2372"/>
      <c r="BC427" s="2372"/>
      <c r="BD427" s="2372"/>
      <c r="BE427" s="2372"/>
      <c r="BF427" s="2372"/>
      <c r="BG427" s="2372"/>
      <c r="BH427" s="2372"/>
      <c r="BI427" s="2372"/>
      <c r="BJ427" s="2372"/>
      <c r="BK427" s="2372"/>
      <c r="BL427" s="2372"/>
      <c r="BM427" s="2372"/>
      <c r="BN427" s="2372"/>
      <c r="BO427" s="2372"/>
      <c r="BP427" s="2372"/>
      <c r="BQ427" s="2372"/>
      <c r="BR427" s="2372"/>
      <c r="BS427" s="2372"/>
      <c r="BT427" s="2372"/>
      <c r="BU427" s="2372"/>
      <c r="BV427" s="2372"/>
      <c r="BW427" s="2372"/>
      <c r="BX427" s="2372"/>
      <c r="BY427" s="2372"/>
      <c r="BZ427" s="2372"/>
      <c r="CA427" s="2372"/>
      <c r="CB427" s="2372"/>
      <c r="CC427" s="2372"/>
      <c r="CD427" s="2372"/>
      <c r="CE427" s="2372"/>
      <c r="CF427" s="2372"/>
      <c r="CG427" s="2372"/>
      <c r="CH427" s="2372"/>
      <c r="CI427" s="2372"/>
      <c r="CJ427" s="2372"/>
      <c r="CK427" s="2372"/>
      <c r="CL427" s="2372"/>
      <c r="CM427" s="2372"/>
      <c r="CN427" s="2372"/>
      <c r="CO427" s="2372"/>
      <c r="CP427" s="2372"/>
      <c r="CQ427" s="2372"/>
      <c r="CR427" s="2372"/>
      <c r="CS427" s="2372"/>
      <c r="CT427" s="2372"/>
      <c r="CU427" s="2372"/>
      <c r="CV427" s="2372"/>
      <c r="CW427" s="2372"/>
      <c r="CX427" s="2372"/>
      <c r="CY427" s="2372"/>
      <c r="CZ427" s="2372"/>
      <c r="DA427" s="2372"/>
    </row>
    <row r="428" spans="1:105" ht="15" hidden="1" customHeight="1">
      <c r="A428" s="2372"/>
      <c r="B428" s="2372"/>
      <c r="C428" s="2372"/>
      <c r="D428" s="2372"/>
      <c r="E428" s="2372"/>
      <c r="F428" s="2372"/>
      <c r="G428" s="2372"/>
      <c r="H428" s="2372"/>
      <c r="I428" s="2372"/>
      <c r="J428" s="2372"/>
      <c r="K428" s="2372"/>
      <c r="L428" s="2372"/>
      <c r="M428" s="2372"/>
      <c r="N428" s="2372"/>
      <c r="O428" s="2372"/>
      <c r="P428" s="2372"/>
      <c r="Q428" s="2372"/>
      <c r="R428" s="2372"/>
      <c r="S428" s="2372"/>
      <c r="T428" s="2372"/>
      <c r="U428" s="2372"/>
      <c r="V428" s="2372"/>
      <c r="W428" s="2372"/>
      <c r="X428" s="2372"/>
      <c r="Y428" s="2372"/>
      <c r="Z428" s="2372"/>
      <c r="AA428" s="2372"/>
      <c r="AB428" s="2372"/>
      <c r="AC428" s="2372"/>
      <c r="AD428" s="2372"/>
      <c r="AE428" s="2372"/>
      <c r="AF428" s="2372"/>
      <c r="AG428" s="2372"/>
      <c r="AH428" s="2372"/>
      <c r="AI428" s="2372"/>
      <c r="AJ428" s="2372"/>
      <c r="AK428" s="2372"/>
      <c r="AL428" s="2372"/>
      <c r="AM428" s="2372"/>
      <c r="AN428" s="2372"/>
      <c r="AO428" s="2372"/>
      <c r="AP428" s="2372"/>
      <c r="AQ428" s="2372"/>
      <c r="AR428" s="2372"/>
      <c r="AS428" s="2372"/>
      <c r="AT428" s="2372"/>
      <c r="AU428" s="2372"/>
      <c r="AV428" s="2372"/>
      <c r="AW428" s="2372"/>
      <c r="AX428" s="2372"/>
      <c r="AY428" s="2372"/>
      <c r="AZ428" s="2372"/>
      <c r="BA428" s="2372"/>
      <c r="BB428" s="2372"/>
      <c r="BC428" s="2372"/>
      <c r="BD428" s="2372"/>
      <c r="BE428" s="2372"/>
      <c r="BF428" s="2372"/>
      <c r="BG428" s="2372"/>
      <c r="BH428" s="2372"/>
      <c r="BI428" s="2372"/>
      <c r="BJ428" s="2372"/>
      <c r="BK428" s="2372"/>
      <c r="BL428" s="2372"/>
      <c r="BM428" s="2372"/>
      <c r="BN428" s="2372"/>
      <c r="BO428" s="2372"/>
      <c r="BP428" s="2372"/>
      <c r="BQ428" s="2372"/>
      <c r="BR428" s="2372"/>
      <c r="BS428" s="2372"/>
      <c r="BT428" s="2372"/>
      <c r="BU428" s="2372"/>
      <c r="BV428" s="2372"/>
      <c r="BW428" s="2372"/>
      <c r="BX428" s="2372"/>
      <c r="BY428" s="2372"/>
      <c r="BZ428" s="2372"/>
      <c r="CA428" s="2372"/>
      <c r="CB428" s="2372"/>
      <c r="CC428" s="2372"/>
      <c r="CD428" s="2372"/>
      <c r="CE428" s="2372"/>
      <c r="CF428" s="2372"/>
      <c r="CG428" s="2372"/>
      <c r="CH428" s="2372"/>
      <c r="CI428" s="2372"/>
      <c r="CJ428" s="2372"/>
      <c r="CK428" s="2372"/>
      <c r="CL428" s="2372"/>
      <c r="CM428" s="2372"/>
      <c r="CN428" s="2372"/>
      <c r="CO428" s="2372"/>
      <c r="CP428" s="2372"/>
      <c r="CQ428" s="2372"/>
      <c r="CR428" s="2372"/>
      <c r="CS428" s="2372"/>
      <c r="CT428" s="2372"/>
      <c r="CU428" s="2372"/>
      <c r="CV428" s="2372"/>
      <c r="CW428" s="2372"/>
      <c r="CX428" s="2372"/>
      <c r="CY428" s="2372"/>
      <c r="CZ428" s="2372"/>
      <c r="DA428" s="2372"/>
    </row>
    <row r="429" spans="1:105" ht="15" hidden="1" customHeight="1">
      <c r="A429" s="2372"/>
      <c r="B429" s="2372"/>
      <c r="C429" s="2372"/>
      <c r="D429" s="2372"/>
      <c r="E429" s="2372"/>
      <c r="F429" s="2372"/>
      <c r="G429" s="2372"/>
      <c r="H429" s="2372"/>
      <c r="I429" s="2372"/>
      <c r="J429" s="2372"/>
      <c r="K429" s="2372"/>
      <c r="L429" s="2372"/>
      <c r="M429" s="2372"/>
      <c r="N429" s="2372"/>
      <c r="O429" s="2372"/>
      <c r="P429" s="2372"/>
      <c r="Q429" s="2372"/>
      <c r="R429" s="2372"/>
      <c r="S429" s="2372"/>
      <c r="T429" s="2372"/>
      <c r="U429" s="2372"/>
      <c r="V429" s="2372"/>
      <c r="W429" s="2372"/>
      <c r="X429" s="2372"/>
      <c r="Y429" s="2372"/>
      <c r="Z429" s="2372"/>
      <c r="AA429" s="2372"/>
      <c r="AB429" s="2372"/>
      <c r="AC429" s="2372"/>
      <c r="AD429" s="2372"/>
      <c r="AE429" s="2372"/>
      <c r="AF429" s="2372"/>
      <c r="AG429" s="2372"/>
      <c r="AH429" s="2372"/>
      <c r="AI429" s="2372"/>
      <c r="AJ429" s="2372"/>
      <c r="AK429" s="2372"/>
      <c r="AL429" s="2372"/>
      <c r="AM429" s="2372"/>
      <c r="AN429" s="2372"/>
      <c r="AO429" s="2372"/>
      <c r="AP429" s="2372"/>
      <c r="AQ429" s="2372"/>
      <c r="AR429" s="2372"/>
      <c r="AS429" s="2372"/>
      <c r="AT429" s="2372"/>
      <c r="AU429" s="2372"/>
      <c r="AV429" s="2372"/>
      <c r="AW429" s="2372"/>
      <c r="AX429" s="2372"/>
      <c r="AY429" s="2372"/>
      <c r="AZ429" s="2372"/>
      <c r="BA429" s="2372"/>
      <c r="BB429" s="2372"/>
      <c r="BC429" s="2372"/>
      <c r="BD429" s="2372"/>
      <c r="BE429" s="2372"/>
      <c r="BF429" s="2372"/>
      <c r="BG429" s="2372"/>
      <c r="BH429" s="2372"/>
      <c r="BI429" s="2372"/>
      <c r="BJ429" s="2372"/>
      <c r="BK429" s="2372"/>
      <c r="BL429" s="2372"/>
      <c r="BM429" s="2372"/>
      <c r="BN429" s="2372"/>
      <c r="BO429" s="2372"/>
      <c r="BP429" s="2372"/>
      <c r="BQ429" s="2372"/>
      <c r="BR429" s="2372"/>
      <c r="BS429" s="2372"/>
      <c r="BT429" s="2372"/>
      <c r="BU429" s="2372"/>
      <c r="BV429" s="2372"/>
      <c r="BW429" s="2372"/>
      <c r="BX429" s="2372"/>
      <c r="BY429" s="2372"/>
      <c r="BZ429" s="2372"/>
      <c r="CA429" s="2372"/>
      <c r="CB429" s="2372"/>
      <c r="CC429" s="2372"/>
      <c r="CD429" s="2372"/>
      <c r="CE429" s="2372"/>
      <c r="CF429" s="2372"/>
      <c r="CG429" s="2372"/>
      <c r="CH429" s="2372"/>
      <c r="CI429" s="2372"/>
      <c r="CJ429" s="2372"/>
      <c r="CK429" s="2372"/>
      <c r="CL429" s="2372"/>
      <c r="CM429" s="2372"/>
      <c r="CN429" s="2372"/>
      <c r="CO429" s="2372"/>
      <c r="CP429" s="2372"/>
      <c r="CQ429" s="2372"/>
      <c r="CR429" s="2372"/>
      <c r="CS429" s="2372"/>
      <c r="CT429" s="2372"/>
      <c r="CU429" s="2372"/>
      <c r="CV429" s="2372"/>
      <c r="CW429" s="2372"/>
      <c r="CX429" s="2372"/>
      <c r="CY429" s="2372"/>
      <c r="CZ429" s="2372"/>
      <c r="DA429" s="2372"/>
    </row>
    <row r="430" spans="1:105" ht="15" hidden="1" customHeight="1">
      <c r="A430" s="2372"/>
      <c r="B430" s="2372"/>
      <c r="C430" s="2372"/>
      <c r="D430" s="2372"/>
      <c r="E430" s="2372"/>
      <c r="F430" s="2372"/>
      <c r="G430" s="2372"/>
      <c r="H430" s="2372"/>
      <c r="I430" s="2372"/>
      <c r="J430" s="2372"/>
      <c r="K430" s="2372"/>
      <c r="L430" s="2372"/>
      <c r="M430" s="2372"/>
      <c r="N430" s="2372"/>
      <c r="O430" s="2372"/>
      <c r="P430" s="2372"/>
      <c r="Q430" s="2372"/>
      <c r="R430" s="2372"/>
      <c r="S430" s="2372"/>
      <c r="T430" s="2372"/>
      <c r="U430" s="2372"/>
      <c r="V430" s="2372"/>
      <c r="W430" s="2372"/>
      <c r="X430" s="2372"/>
      <c r="Y430" s="2372"/>
      <c r="Z430" s="2372"/>
      <c r="AA430" s="2372"/>
      <c r="AB430" s="2372"/>
      <c r="AC430" s="2372"/>
      <c r="AD430" s="2372"/>
      <c r="AE430" s="2372"/>
      <c r="AF430" s="2372"/>
      <c r="AG430" s="2372"/>
      <c r="AH430" s="2372"/>
      <c r="AI430" s="2372"/>
      <c r="AJ430" s="2372"/>
      <c r="AK430" s="2372"/>
      <c r="AL430" s="2372"/>
      <c r="AM430" s="2372"/>
      <c r="AN430" s="2372"/>
      <c r="AO430" s="2372"/>
      <c r="AP430" s="2372"/>
      <c r="AQ430" s="2372"/>
      <c r="AR430" s="2372"/>
      <c r="AS430" s="2372"/>
      <c r="AT430" s="2372"/>
      <c r="AU430" s="2372"/>
      <c r="AV430" s="2372"/>
      <c r="AW430" s="2372"/>
      <c r="AX430" s="2372"/>
      <c r="AY430" s="2372"/>
      <c r="AZ430" s="2372"/>
      <c r="BA430" s="2372"/>
      <c r="BB430" s="2372"/>
      <c r="BC430" s="2372"/>
      <c r="BD430" s="2372"/>
      <c r="BE430" s="2372"/>
      <c r="BF430" s="2372"/>
      <c r="BG430" s="2372"/>
      <c r="BH430" s="2372"/>
      <c r="BI430" s="2372"/>
      <c r="BJ430" s="2372"/>
      <c r="BK430" s="2372"/>
      <c r="BL430" s="2372"/>
      <c r="BM430" s="2372"/>
      <c r="BN430" s="2372"/>
      <c r="BO430" s="2372"/>
      <c r="BP430" s="2372"/>
      <c r="BQ430" s="2372"/>
      <c r="BR430" s="2372"/>
      <c r="BS430" s="2372"/>
      <c r="BT430" s="2372"/>
      <c r="BU430" s="2372"/>
      <c r="BV430" s="2372"/>
      <c r="BW430" s="2372"/>
      <c r="BX430" s="2372"/>
      <c r="BY430" s="2372"/>
      <c r="BZ430" s="2372"/>
      <c r="CA430" s="2372"/>
      <c r="CB430" s="2372"/>
      <c r="CC430" s="2372"/>
      <c r="CD430" s="2372"/>
      <c r="CE430" s="2372"/>
      <c r="CF430" s="2372"/>
      <c r="CG430" s="2372"/>
      <c r="CH430" s="2372"/>
      <c r="CI430" s="2372"/>
      <c r="CJ430" s="2372"/>
      <c r="CK430" s="2372"/>
      <c r="CL430" s="2372"/>
      <c r="CM430" s="2372"/>
      <c r="CN430" s="2372"/>
      <c r="CO430" s="2372"/>
      <c r="CP430" s="2372"/>
      <c r="CQ430" s="2372"/>
      <c r="CR430" s="2372"/>
      <c r="CS430" s="2372"/>
      <c r="CT430" s="2372"/>
      <c r="CU430" s="2372"/>
      <c r="CV430" s="2372"/>
      <c r="CW430" s="2372"/>
      <c r="CX430" s="2372"/>
      <c r="CY430" s="2372"/>
      <c r="CZ430" s="2372"/>
      <c r="DA430" s="2372"/>
    </row>
    <row r="431" spans="1:105" ht="15" hidden="1" customHeight="1">
      <c r="A431" s="2372"/>
      <c r="B431" s="2372"/>
      <c r="C431" s="2372"/>
      <c r="D431" s="2372"/>
      <c r="E431" s="2372"/>
      <c r="F431" s="2372"/>
      <c r="G431" s="2372"/>
      <c r="H431" s="2372"/>
      <c r="I431" s="2372"/>
      <c r="J431" s="2372"/>
      <c r="K431" s="2372"/>
      <c r="L431" s="2372"/>
      <c r="M431" s="2372"/>
      <c r="N431" s="2372"/>
      <c r="O431" s="2372"/>
      <c r="P431" s="2372"/>
      <c r="Q431" s="2372"/>
      <c r="R431" s="2372"/>
      <c r="S431" s="2372"/>
      <c r="T431" s="2372"/>
      <c r="U431" s="2372"/>
      <c r="V431" s="2372"/>
      <c r="W431" s="2372"/>
      <c r="X431" s="2372"/>
      <c r="Y431" s="2372"/>
      <c r="Z431" s="2372"/>
      <c r="AA431" s="2372"/>
      <c r="AB431" s="2372"/>
      <c r="AC431" s="2372"/>
      <c r="AD431" s="2372"/>
      <c r="AE431" s="2372"/>
      <c r="AF431" s="2372"/>
      <c r="AG431" s="2372"/>
      <c r="AH431" s="2372"/>
      <c r="AI431" s="2372"/>
      <c r="AJ431" s="2372"/>
      <c r="AK431" s="2372"/>
      <c r="AL431" s="2372"/>
      <c r="AM431" s="2372"/>
      <c r="AN431" s="2372"/>
      <c r="AO431" s="2372"/>
      <c r="AP431" s="2372"/>
      <c r="AQ431" s="2372"/>
      <c r="AR431" s="2372"/>
      <c r="AS431" s="2372"/>
      <c r="AT431" s="2372"/>
      <c r="AU431" s="2372"/>
      <c r="AV431" s="2372"/>
      <c r="AW431" s="2372"/>
      <c r="AX431" s="2372"/>
      <c r="AY431" s="2372"/>
      <c r="AZ431" s="2372"/>
      <c r="BA431" s="2372"/>
      <c r="BB431" s="2372"/>
      <c r="BC431" s="2372"/>
      <c r="BD431" s="2372"/>
      <c r="BE431" s="2372"/>
      <c r="BF431" s="2372"/>
      <c r="BG431" s="2372"/>
      <c r="BH431" s="2372"/>
      <c r="BI431" s="2372"/>
      <c r="BJ431" s="2372"/>
      <c r="BK431" s="2372"/>
      <c r="BL431" s="2372"/>
      <c r="BM431" s="2372"/>
      <c r="BN431" s="2372"/>
      <c r="BO431" s="2372"/>
      <c r="BP431" s="2372"/>
      <c r="BQ431" s="2372"/>
      <c r="BR431" s="2372"/>
      <c r="BS431" s="2372"/>
      <c r="BT431" s="2372"/>
      <c r="BU431" s="2372"/>
      <c r="BV431" s="2372"/>
      <c r="BW431" s="2372"/>
      <c r="BX431" s="2372"/>
      <c r="BY431" s="2372"/>
      <c r="BZ431" s="2372"/>
      <c r="CA431" s="2372"/>
      <c r="CB431" s="2372"/>
      <c r="CC431" s="2372"/>
      <c r="CD431" s="2372"/>
      <c r="CE431" s="2372"/>
      <c r="CF431" s="2372"/>
      <c r="CG431" s="2372"/>
      <c r="CH431" s="2372"/>
      <c r="CI431" s="2372"/>
      <c r="CJ431" s="2372"/>
      <c r="CK431" s="2372"/>
      <c r="CL431" s="2372"/>
      <c r="CM431" s="2372"/>
      <c r="CN431" s="2372"/>
      <c r="CO431" s="2372"/>
      <c r="CP431" s="2372"/>
      <c r="CQ431" s="2372"/>
      <c r="CR431" s="2372"/>
      <c r="CS431" s="2372"/>
      <c r="CT431" s="2372"/>
      <c r="CU431" s="2372"/>
      <c r="CV431" s="2372"/>
      <c r="CW431" s="2372"/>
      <c r="CX431" s="2372"/>
      <c r="CY431" s="2372"/>
      <c r="CZ431" s="2372"/>
      <c r="DA431" s="2372"/>
    </row>
    <row r="432" spans="1:105" ht="15" hidden="1" customHeight="1">
      <c r="A432" s="2372"/>
      <c r="B432" s="2372"/>
      <c r="C432" s="2372"/>
      <c r="D432" s="2372"/>
      <c r="E432" s="2372"/>
      <c r="F432" s="2372"/>
      <c r="G432" s="2372"/>
      <c r="H432" s="2372"/>
      <c r="I432" s="2372"/>
      <c r="J432" s="2372"/>
      <c r="K432" s="2372"/>
      <c r="L432" s="2372"/>
      <c r="M432" s="2372"/>
      <c r="N432" s="2372"/>
      <c r="O432" s="2372"/>
      <c r="P432" s="2372"/>
      <c r="Q432" s="2372"/>
      <c r="R432" s="2372"/>
      <c r="S432" s="2372"/>
      <c r="T432" s="2372"/>
      <c r="U432" s="2372"/>
      <c r="V432" s="2372"/>
      <c r="W432" s="2372"/>
      <c r="X432" s="2372"/>
      <c r="Y432" s="2372"/>
      <c r="Z432" s="2372"/>
      <c r="AA432" s="2372"/>
      <c r="AB432" s="2372"/>
      <c r="AC432" s="2372"/>
      <c r="AD432" s="2372"/>
      <c r="AE432" s="2372"/>
      <c r="AF432" s="2372"/>
      <c r="AG432" s="2372"/>
      <c r="AH432" s="2372"/>
      <c r="AI432" s="2372"/>
      <c r="AJ432" s="2372"/>
      <c r="AK432" s="2372"/>
      <c r="AL432" s="2372"/>
      <c r="AM432" s="2372"/>
      <c r="AN432" s="2372"/>
      <c r="AO432" s="2372"/>
      <c r="AP432" s="2372"/>
      <c r="AQ432" s="2372"/>
      <c r="AR432" s="2372"/>
      <c r="AS432" s="2372"/>
      <c r="AT432" s="2372"/>
      <c r="AU432" s="2372"/>
      <c r="AV432" s="2372"/>
      <c r="AW432" s="2372"/>
      <c r="AX432" s="2372"/>
      <c r="AY432" s="2372"/>
      <c r="AZ432" s="2372"/>
      <c r="BA432" s="2372"/>
      <c r="BB432" s="2372"/>
      <c r="BC432" s="2372"/>
      <c r="BD432" s="2372"/>
      <c r="BE432" s="2372"/>
      <c r="BF432" s="2372"/>
      <c r="BG432" s="2372"/>
      <c r="BH432" s="2372"/>
      <c r="BI432" s="2372"/>
      <c r="BJ432" s="2372"/>
      <c r="BK432" s="2372"/>
      <c r="BL432" s="2372"/>
      <c r="BM432" s="2372"/>
      <c r="BN432" s="2372"/>
      <c r="BO432" s="2372"/>
      <c r="BP432" s="2372"/>
      <c r="BQ432" s="2372"/>
      <c r="BR432" s="2372"/>
      <c r="BS432" s="2372"/>
      <c r="BT432" s="2372"/>
      <c r="BU432" s="2372"/>
      <c r="BV432" s="2372"/>
      <c r="BW432" s="2372"/>
      <c r="BX432" s="2372"/>
      <c r="BY432" s="2372"/>
      <c r="BZ432" s="2372"/>
      <c r="CA432" s="2372"/>
      <c r="CB432" s="2372"/>
      <c r="CC432" s="2372"/>
      <c r="CD432" s="2372"/>
      <c r="CE432" s="2372"/>
      <c r="CF432" s="2372"/>
      <c r="CG432" s="2372"/>
      <c r="CH432" s="2372"/>
      <c r="CI432" s="2372"/>
      <c r="CJ432" s="2372"/>
      <c r="CK432" s="2372"/>
      <c r="CL432" s="2372"/>
      <c r="CM432" s="2372"/>
      <c r="CN432" s="2372"/>
      <c r="CO432" s="2372"/>
      <c r="CP432" s="2372"/>
      <c r="CQ432" s="2372"/>
      <c r="CR432" s="2372"/>
      <c r="CS432" s="2372"/>
      <c r="CT432" s="2372"/>
      <c r="CU432" s="2372"/>
      <c r="CV432" s="2372"/>
      <c r="CW432" s="2372"/>
      <c r="CX432" s="2372"/>
      <c r="CY432" s="2372"/>
      <c r="CZ432" s="2372"/>
      <c r="DA432" s="2372"/>
    </row>
    <row r="433" spans="1:105" ht="15" hidden="1" customHeight="1">
      <c r="A433" s="2372"/>
      <c r="B433" s="2372"/>
      <c r="C433" s="2372"/>
      <c r="D433" s="2372"/>
      <c r="E433" s="2372"/>
      <c r="F433" s="2372"/>
      <c r="G433" s="2372"/>
      <c r="H433" s="2372"/>
      <c r="I433" s="2372"/>
      <c r="J433" s="2372"/>
      <c r="K433" s="2372"/>
      <c r="L433" s="2372"/>
      <c r="M433" s="2372"/>
      <c r="N433" s="2372"/>
      <c r="O433" s="2372"/>
      <c r="P433" s="2372"/>
      <c r="Q433" s="2372"/>
      <c r="R433" s="2372"/>
      <c r="S433" s="2372"/>
      <c r="T433" s="2372"/>
      <c r="U433" s="2372"/>
      <c r="V433" s="2372"/>
      <c r="W433" s="2372"/>
      <c r="X433" s="2372"/>
      <c r="Y433" s="2372"/>
      <c r="Z433" s="2372"/>
      <c r="AA433" s="2372"/>
      <c r="AB433" s="2372"/>
      <c r="AC433" s="2372"/>
      <c r="AD433" s="2372"/>
      <c r="AE433" s="2372"/>
      <c r="AF433" s="2372"/>
      <c r="AG433" s="2372"/>
      <c r="AH433" s="2372"/>
      <c r="AI433" s="2372"/>
      <c r="AJ433" s="2372"/>
      <c r="AK433" s="2372"/>
      <c r="AL433" s="2372"/>
      <c r="AM433" s="2372"/>
      <c r="AN433" s="2372"/>
      <c r="AO433" s="2372"/>
      <c r="AP433" s="2372"/>
      <c r="AQ433" s="2372"/>
      <c r="AR433" s="2372"/>
      <c r="AS433" s="2372"/>
      <c r="AT433" s="2372"/>
      <c r="AU433" s="2372"/>
      <c r="AV433" s="2372"/>
      <c r="AW433" s="2372"/>
      <c r="AX433" s="2372"/>
      <c r="AY433" s="2372"/>
      <c r="AZ433" s="2372"/>
      <c r="BA433" s="2372"/>
      <c r="BB433" s="2372"/>
      <c r="BC433" s="2372"/>
      <c r="BD433" s="2372"/>
      <c r="BE433" s="2372"/>
      <c r="BF433" s="2372"/>
      <c r="BG433" s="2372"/>
      <c r="BH433" s="2372"/>
      <c r="BI433" s="2372"/>
      <c r="BJ433" s="2372"/>
      <c r="BK433" s="2372"/>
      <c r="BL433" s="2372"/>
      <c r="BM433" s="2372"/>
      <c r="BN433" s="2372"/>
      <c r="BO433" s="2372"/>
      <c r="BP433" s="2372"/>
      <c r="BQ433" s="2372"/>
      <c r="BR433" s="2372"/>
      <c r="BS433" s="2372"/>
      <c r="BT433" s="2372"/>
      <c r="BU433" s="2372"/>
      <c r="BV433" s="2372"/>
      <c r="BW433" s="2372"/>
      <c r="BX433" s="2372"/>
      <c r="BY433" s="2372"/>
      <c r="BZ433" s="2372"/>
      <c r="CA433" s="2372"/>
      <c r="CB433" s="2372"/>
      <c r="CC433" s="2372"/>
      <c r="CD433" s="2372"/>
      <c r="CE433" s="2372"/>
      <c r="CF433" s="2372"/>
      <c r="CG433" s="2372"/>
      <c r="CH433" s="2372"/>
      <c r="CI433" s="2372"/>
      <c r="CJ433" s="2372"/>
      <c r="CK433" s="2372"/>
      <c r="CL433" s="2372"/>
      <c r="CM433" s="2372"/>
      <c r="CN433" s="2372"/>
      <c r="CO433" s="2372"/>
      <c r="CP433" s="2372"/>
      <c r="CQ433" s="2372"/>
      <c r="CR433" s="2372"/>
      <c r="CS433" s="2372"/>
      <c r="CT433" s="2372"/>
      <c r="CU433" s="2372"/>
      <c r="CV433" s="2372"/>
      <c r="CW433" s="2372"/>
      <c r="CX433" s="2372"/>
      <c r="CY433" s="2372"/>
      <c r="CZ433" s="2372"/>
      <c r="DA433" s="2372"/>
    </row>
    <row r="434" spans="1:105" ht="15" hidden="1" customHeight="1">
      <c r="A434" s="2372"/>
      <c r="B434" s="2372"/>
      <c r="C434" s="2372"/>
      <c r="D434" s="2372"/>
      <c r="E434" s="2372"/>
      <c r="F434" s="2372"/>
      <c r="G434" s="2372"/>
      <c r="H434" s="2372"/>
      <c r="I434" s="2372"/>
      <c r="J434" s="2372"/>
      <c r="K434" s="2372"/>
      <c r="L434" s="2372"/>
      <c r="M434" s="2372"/>
      <c r="N434" s="2372"/>
      <c r="O434" s="2372"/>
      <c r="P434" s="2372"/>
      <c r="Q434" s="2372"/>
      <c r="R434" s="2372"/>
      <c r="S434" s="2372"/>
      <c r="T434" s="2372"/>
      <c r="U434" s="2372"/>
      <c r="V434" s="2372"/>
      <c r="W434" s="2372"/>
      <c r="X434" s="2372"/>
      <c r="Y434" s="2372"/>
      <c r="Z434" s="2372"/>
      <c r="AA434" s="2372"/>
      <c r="AB434" s="2372"/>
      <c r="AC434" s="2372"/>
      <c r="AD434" s="2372"/>
      <c r="AE434" s="2372"/>
      <c r="AF434" s="2372"/>
      <c r="AG434" s="2372"/>
      <c r="AH434" s="2372"/>
      <c r="AI434" s="2372"/>
      <c r="AJ434" s="2372"/>
      <c r="AK434" s="2372"/>
      <c r="AL434" s="2372"/>
      <c r="AM434" s="2372"/>
      <c r="AN434" s="2372"/>
      <c r="AO434" s="2372"/>
      <c r="AP434" s="2372"/>
      <c r="AQ434" s="2372"/>
      <c r="AR434" s="2372"/>
      <c r="AS434" s="2372"/>
      <c r="AT434" s="2372"/>
      <c r="AU434" s="2372"/>
      <c r="AV434" s="2372"/>
      <c r="AW434" s="2372"/>
      <c r="AX434" s="2372"/>
      <c r="AY434" s="2372"/>
      <c r="AZ434" s="2372"/>
      <c r="BA434" s="2372"/>
      <c r="BB434" s="2372"/>
      <c r="BC434" s="2372"/>
      <c r="BD434" s="2372"/>
      <c r="BE434" s="2372"/>
      <c r="BF434" s="2372"/>
      <c r="BG434" s="2372"/>
      <c r="BH434" s="2372"/>
      <c r="BI434" s="2372"/>
      <c r="BJ434" s="2372"/>
      <c r="BK434" s="2372"/>
      <c r="BL434" s="2372"/>
      <c r="BM434" s="2372"/>
      <c r="BN434" s="2372"/>
      <c r="BO434" s="2372"/>
      <c r="BP434" s="2372"/>
      <c r="BQ434" s="2372"/>
      <c r="BR434" s="2372"/>
      <c r="BS434" s="2372"/>
      <c r="BT434" s="2372"/>
      <c r="BU434" s="2372"/>
      <c r="BV434" s="2372"/>
      <c r="BW434" s="2372"/>
      <c r="BX434" s="2372"/>
      <c r="BY434" s="2372"/>
      <c r="BZ434" s="2372"/>
      <c r="CA434" s="2372"/>
      <c r="CB434" s="2372"/>
      <c r="CC434" s="2372"/>
      <c r="CD434" s="2372"/>
      <c r="CE434" s="2372"/>
      <c r="CF434" s="2372"/>
      <c r="CG434" s="2372"/>
      <c r="CH434" s="2372"/>
      <c r="CI434" s="2372"/>
      <c r="CJ434" s="2372"/>
      <c r="CK434" s="2372"/>
      <c r="CL434" s="2372"/>
      <c r="CM434" s="2372"/>
      <c r="CN434" s="2372"/>
      <c r="CO434" s="2372"/>
      <c r="CP434" s="2372"/>
      <c r="CQ434" s="2372"/>
      <c r="CR434" s="2372"/>
      <c r="CS434" s="2372"/>
      <c r="CT434" s="2372"/>
      <c r="CU434" s="2372"/>
      <c r="CV434" s="2372"/>
      <c r="CW434" s="2372"/>
      <c r="CX434" s="2372"/>
      <c r="CY434" s="2372"/>
      <c r="CZ434" s="2372"/>
      <c r="DA434" s="2372"/>
    </row>
    <row r="435" spans="1:105" ht="15" hidden="1" customHeight="1">
      <c r="A435" s="2372"/>
      <c r="B435" s="2372"/>
      <c r="C435" s="2372"/>
      <c r="D435" s="2372"/>
      <c r="E435" s="2372"/>
      <c r="F435" s="2372"/>
      <c r="G435" s="2372"/>
      <c r="H435" s="2372"/>
      <c r="I435" s="2372"/>
      <c r="J435" s="2372"/>
      <c r="K435" s="2372"/>
      <c r="L435" s="2372"/>
      <c r="M435" s="2372"/>
      <c r="N435" s="2372"/>
      <c r="O435" s="2372"/>
      <c r="P435" s="2372"/>
      <c r="Q435" s="2372"/>
      <c r="R435" s="2372"/>
      <c r="S435" s="2372"/>
      <c r="T435" s="2372"/>
      <c r="U435" s="2372"/>
      <c r="V435" s="2372"/>
      <c r="W435" s="2372"/>
      <c r="X435" s="2372"/>
      <c r="Y435" s="2372"/>
      <c r="Z435" s="2372"/>
      <c r="AA435" s="2372"/>
      <c r="AB435" s="2372"/>
      <c r="AC435" s="2372"/>
      <c r="AD435" s="2372"/>
      <c r="AE435" s="2372"/>
      <c r="AF435" s="2372"/>
      <c r="AG435" s="2372"/>
      <c r="AH435" s="2372"/>
      <c r="AI435" s="2372"/>
      <c r="AJ435" s="2372"/>
      <c r="AK435" s="2372"/>
      <c r="AL435" s="2372"/>
      <c r="AM435" s="2372"/>
      <c r="AN435" s="2372"/>
      <c r="AO435" s="2372"/>
      <c r="AP435" s="2372"/>
      <c r="AQ435" s="2372"/>
      <c r="AR435" s="2372"/>
      <c r="AS435" s="2372"/>
      <c r="AT435" s="2372"/>
      <c r="AU435" s="2372"/>
      <c r="AV435" s="2372"/>
      <c r="AW435" s="2372"/>
      <c r="AX435" s="2372"/>
      <c r="AY435" s="2372"/>
      <c r="AZ435" s="2372"/>
      <c r="BA435" s="2372"/>
      <c r="BB435" s="2372"/>
      <c r="BC435" s="2372"/>
      <c r="BD435" s="2372"/>
      <c r="BE435" s="2372"/>
      <c r="BF435" s="2372"/>
      <c r="BG435" s="2372"/>
      <c r="BH435" s="2372"/>
      <c r="BI435" s="2372"/>
      <c r="BJ435" s="2372"/>
      <c r="BK435" s="2372"/>
      <c r="BL435" s="2372"/>
      <c r="BM435" s="2372"/>
      <c r="BN435" s="2372"/>
      <c r="BO435" s="2372"/>
      <c r="BP435" s="2372"/>
      <c r="BQ435" s="2372"/>
      <c r="BR435" s="2372"/>
      <c r="BS435" s="2372"/>
      <c r="BT435" s="2372"/>
      <c r="BU435" s="2372"/>
      <c r="BV435" s="2372"/>
      <c r="BW435" s="2372"/>
      <c r="BX435" s="2372"/>
      <c r="BY435" s="2372"/>
      <c r="BZ435" s="2372"/>
      <c r="CA435" s="2372"/>
      <c r="CB435" s="2372"/>
      <c r="CC435" s="2372"/>
      <c r="CD435" s="2372"/>
      <c r="CE435" s="2372"/>
      <c r="CF435" s="2372"/>
      <c r="CG435" s="2372"/>
      <c r="CH435" s="2372"/>
      <c r="CI435" s="2372"/>
      <c r="CJ435" s="2372"/>
      <c r="CK435" s="2372"/>
      <c r="CL435" s="2372"/>
      <c r="CM435" s="2372"/>
      <c r="CN435" s="2372"/>
      <c r="CO435" s="2372"/>
      <c r="CP435" s="2372"/>
      <c r="CQ435" s="2372"/>
      <c r="CR435" s="2372"/>
      <c r="CS435" s="2372"/>
      <c r="CT435" s="2372"/>
      <c r="CU435" s="2372"/>
      <c r="CV435" s="2372"/>
      <c r="CW435" s="2372"/>
      <c r="CX435" s="2372"/>
      <c r="CY435" s="2372"/>
      <c r="CZ435" s="2372"/>
      <c r="DA435" s="2372"/>
    </row>
    <row r="436" spans="1:105" ht="15" hidden="1" customHeight="1">
      <c r="A436" s="2372"/>
      <c r="B436" s="2372"/>
      <c r="C436" s="2372"/>
      <c r="D436" s="2372"/>
      <c r="E436" s="2372"/>
      <c r="F436" s="2372"/>
      <c r="G436" s="2372"/>
      <c r="H436" s="2372"/>
      <c r="I436" s="2372"/>
      <c r="J436" s="2372"/>
      <c r="K436" s="2372"/>
      <c r="L436" s="2372"/>
      <c r="M436" s="2372"/>
      <c r="N436" s="2372"/>
      <c r="O436" s="2372"/>
      <c r="P436" s="2372"/>
      <c r="Q436" s="2372"/>
      <c r="R436" s="2372"/>
      <c r="S436" s="2372"/>
      <c r="T436" s="2372"/>
      <c r="U436" s="2372"/>
      <c r="V436" s="2372"/>
      <c r="W436" s="2372"/>
      <c r="X436" s="2372"/>
      <c r="Y436" s="2372"/>
      <c r="Z436" s="2372"/>
      <c r="AA436" s="2372"/>
      <c r="AB436" s="2372"/>
      <c r="AC436" s="2372"/>
      <c r="AD436" s="2372"/>
      <c r="AE436" s="2372"/>
      <c r="AF436" s="2372"/>
      <c r="AG436" s="2372"/>
      <c r="AH436" s="2372"/>
      <c r="AI436" s="2372"/>
      <c r="AJ436" s="2372"/>
      <c r="AK436" s="2372"/>
      <c r="AL436" s="2372"/>
      <c r="AM436" s="2372"/>
      <c r="AN436" s="2372"/>
      <c r="AO436" s="2372"/>
      <c r="AP436" s="2372"/>
      <c r="AQ436" s="2372"/>
      <c r="AR436" s="2372"/>
      <c r="AS436" s="2372"/>
      <c r="AT436" s="2372"/>
      <c r="AU436" s="2372"/>
      <c r="AV436" s="2372"/>
      <c r="AW436" s="2372"/>
      <c r="AX436" s="2372"/>
      <c r="AY436" s="2372"/>
      <c r="AZ436" s="2372"/>
      <c r="BA436" s="2372"/>
      <c r="BB436" s="2372"/>
      <c r="BC436" s="2372"/>
      <c r="BD436" s="2372"/>
      <c r="BE436" s="2372"/>
      <c r="BF436" s="2372"/>
      <c r="BG436" s="2372"/>
      <c r="BH436" s="2372"/>
      <c r="BI436" s="2372"/>
      <c r="BJ436" s="2372"/>
      <c r="BK436" s="2372"/>
      <c r="BL436" s="2372"/>
      <c r="BM436" s="2372"/>
      <c r="BN436" s="2372"/>
      <c r="BO436" s="2372"/>
      <c r="BP436" s="2372"/>
      <c r="BQ436" s="2372"/>
      <c r="BR436" s="2372"/>
      <c r="BS436" s="2372"/>
      <c r="BT436" s="2372"/>
      <c r="BU436" s="2372"/>
      <c r="BV436" s="2372"/>
      <c r="BW436" s="2372"/>
      <c r="BX436" s="2372"/>
      <c r="BY436" s="2372"/>
      <c r="BZ436" s="2372"/>
      <c r="CA436" s="2372"/>
      <c r="CB436" s="2372"/>
      <c r="CC436" s="2372"/>
      <c r="CD436" s="2372"/>
      <c r="CE436" s="2372"/>
      <c r="CF436" s="2372"/>
      <c r="CG436" s="2372"/>
      <c r="CH436" s="2372"/>
      <c r="CI436" s="2372"/>
      <c r="CJ436" s="2372"/>
      <c r="CK436" s="2372"/>
      <c r="CL436" s="2372"/>
      <c r="CM436" s="2372"/>
      <c r="CN436" s="2372"/>
      <c r="CO436" s="2372"/>
      <c r="CP436" s="2372"/>
      <c r="CQ436" s="2372"/>
      <c r="CR436" s="2372"/>
      <c r="CS436" s="2372"/>
      <c r="CT436" s="2372"/>
      <c r="CU436" s="2372"/>
      <c r="CV436" s="2372"/>
      <c r="CW436" s="2372"/>
      <c r="CX436" s="2372"/>
      <c r="CY436" s="2372"/>
      <c r="CZ436" s="2372"/>
      <c r="DA436" s="2372"/>
    </row>
    <row r="437" spans="1:105" ht="15" hidden="1" customHeight="1">
      <c r="A437" s="2372"/>
      <c r="B437" s="2372"/>
      <c r="C437" s="2372"/>
      <c r="D437" s="2372"/>
      <c r="E437" s="2372"/>
      <c r="F437" s="2372"/>
      <c r="G437" s="2372"/>
      <c r="H437" s="2372"/>
      <c r="I437" s="2372"/>
      <c r="J437" s="2372"/>
      <c r="K437" s="2372"/>
      <c r="L437" s="2372"/>
      <c r="M437" s="2372"/>
      <c r="N437" s="2372"/>
      <c r="O437" s="2372"/>
      <c r="P437" s="2372"/>
      <c r="Q437" s="2372"/>
      <c r="R437" s="2372"/>
      <c r="S437" s="2372"/>
      <c r="T437" s="2372"/>
      <c r="U437" s="2372"/>
      <c r="V437" s="2372"/>
      <c r="W437" s="2372"/>
      <c r="X437" s="2372"/>
      <c r="Y437" s="2372"/>
      <c r="Z437" s="2372"/>
      <c r="AA437" s="2372"/>
      <c r="AB437" s="2372"/>
      <c r="AC437" s="2372"/>
      <c r="AD437" s="2372"/>
      <c r="AE437" s="2372"/>
      <c r="AF437" s="2372"/>
      <c r="AG437" s="2372"/>
      <c r="AH437" s="2372"/>
      <c r="AI437" s="2372"/>
      <c r="AJ437" s="2372"/>
      <c r="AK437" s="2372"/>
      <c r="AL437" s="2372"/>
      <c r="AM437" s="2372"/>
      <c r="AN437" s="2372"/>
      <c r="AO437" s="2372"/>
      <c r="AP437" s="2372"/>
      <c r="AQ437" s="2372"/>
      <c r="AR437" s="2372"/>
      <c r="AS437" s="2372"/>
      <c r="AT437" s="2372"/>
      <c r="AU437" s="2372"/>
      <c r="AV437" s="2372"/>
      <c r="AW437" s="2372"/>
      <c r="AX437" s="2372"/>
      <c r="AY437" s="2372"/>
      <c r="AZ437" s="2372"/>
      <c r="BA437" s="2372"/>
      <c r="BB437" s="2372"/>
      <c r="BC437" s="2372"/>
      <c r="BD437" s="2372"/>
      <c r="BE437" s="2372"/>
      <c r="BF437" s="2372"/>
      <c r="BG437" s="2372"/>
      <c r="BH437" s="2372"/>
      <c r="BI437" s="2372"/>
      <c r="BJ437" s="2372"/>
      <c r="BK437" s="2372"/>
      <c r="BL437" s="2372"/>
      <c r="BM437" s="2372"/>
      <c r="BN437" s="2372"/>
      <c r="BO437" s="2372"/>
      <c r="BP437" s="2372"/>
      <c r="BQ437" s="2372"/>
      <c r="BR437" s="2372"/>
      <c r="BS437" s="2372"/>
      <c r="BT437" s="2372"/>
      <c r="BU437" s="2372"/>
      <c r="BV437" s="2372"/>
      <c r="BW437" s="2372"/>
      <c r="BX437" s="2372"/>
      <c r="BY437" s="2372"/>
      <c r="BZ437" s="2372"/>
      <c r="CA437" s="2372"/>
      <c r="CB437" s="2372"/>
      <c r="CC437" s="2372"/>
      <c r="CD437" s="2372"/>
      <c r="CE437" s="2372"/>
      <c r="CF437" s="2372"/>
      <c r="CG437" s="2372"/>
      <c r="CH437" s="2372"/>
      <c r="CI437" s="2372"/>
      <c r="CJ437" s="2372"/>
      <c r="CK437" s="2372"/>
      <c r="CL437" s="2372"/>
      <c r="CM437" s="2372"/>
      <c r="CN437" s="2372"/>
      <c r="CO437" s="2372"/>
      <c r="CP437" s="2372"/>
      <c r="CQ437" s="2372"/>
      <c r="CR437" s="2372"/>
      <c r="CS437" s="2372"/>
      <c r="CT437" s="2372"/>
      <c r="CU437" s="2372"/>
      <c r="CV437" s="2372"/>
      <c r="CW437" s="2372"/>
      <c r="CX437" s="2372"/>
      <c r="CY437" s="2372"/>
      <c r="CZ437" s="2372"/>
      <c r="DA437" s="2372"/>
    </row>
    <row r="438" spans="1:105" ht="15" hidden="1" customHeight="1">
      <c r="A438" s="2372"/>
      <c r="B438" s="2372"/>
      <c r="C438" s="2372"/>
      <c r="D438" s="2372"/>
      <c r="E438" s="2372"/>
      <c r="F438" s="2372"/>
      <c r="G438" s="2372"/>
      <c r="H438" s="2372"/>
      <c r="I438" s="2372"/>
      <c r="J438" s="2372"/>
      <c r="K438" s="2372"/>
      <c r="L438" s="2372"/>
      <c r="M438" s="2372"/>
      <c r="N438" s="2372"/>
      <c r="O438" s="2372"/>
      <c r="P438" s="2372"/>
      <c r="Q438" s="2372"/>
      <c r="R438" s="2372"/>
      <c r="S438" s="2372"/>
      <c r="T438" s="2372"/>
      <c r="U438" s="2372"/>
      <c r="V438" s="2372"/>
      <c r="W438" s="2372"/>
      <c r="X438" s="2372"/>
      <c r="Y438" s="2372"/>
      <c r="Z438" s="2372"/>
      <c r="AA438" s="2372"/>
      <c r="AB438" s="2372"/>
      <c r="AC438" s="2372"/>
      <c r="AD438" s="2372"/>
      <c r="AE438" s="2372"/>
      <c r="AF438" s="2372"/>
      <c r="AG438" s="2372"/>
      <c r="AH438" s="2372"/>
      <c r="AI438" s="2372"/>
      <c r="AJ438" s="2372"/>
      <c r="AK438" s="2372"/>
      <c r="AL438" s="2372"/>
      <c r="AM438" s="2372"/>
      <c r="AN438" s="2372"/>
      <c r="AO438" s="2372"/>
      <c r="AP438" s="2372"/>
      <c r="AQ438" s="2372"/>
      <c r="AR438" s="2372"/>
      <c r="AS438" s="2372"/>
      <c r="AT438" s="2372"/>
      <c r="AU438" s="2372"/>
      <c r="AV438" s="2372"/>
      <c r="AW438" s="2372"/>
      <c r="AX438" s="2372"/>
      <c r="AY438" s="2372"/>
      <c r="AZ438" s="2372"/>
      <c r="BA438" s="2372"/>
      <c r="BB438" s="2372"/>
      <c r="BC438" s="2372"/>
      <c r="BD438" s="2372"/>
      <c r="BE438" s="2372"/>
      <c r="BF438" s="2372"/>
      <c r="BG438" s="2372"/>
      <c r="BH438" s="2372"/>
      <c r="BI438" s="2372"/>
      <c r="BJ438" s="2372"/>
      <c r="BK438" s="2372"/>
      <c r="BL438" s="2372"/>
      <c r="BM438" s="2372"/>
      <c r="BN438" s="2372"/>
      <c r="BO438" s="2372"/>
      <c r="BP438" s="2372"/>
      <c r="BQ438" s="2372"/>
      <c r="BR438" s="2372"/>
      <c r="BS438" s="2372"/>
      <c r="BT438" s="2372"/>
      <c r="BU438" s="2372"/>
      <c r="BV438" s="2372"/>
      <c r="BW438" s="2372"/>
      <c r="BX438" s="2372"/>
      <c r="BY438" s="2372"/>
      <c r="BZ438" s="2372"/>
      <c r="CA438" s="2372"/>
      <c r="CB438" s="2372"/>
      <c r="CC438" s="2372"/>
      <c r="CD438" s="2372"/>
      <c r="CE438" s="2372"/>
      <c r="CF438" s="2372"/>
      <c r="CG438" s="2372"/>
      <c r="CH438" s="2372"/>
      <c r="CI438" s="2372"/>
      <c r="CJ438" s="2372"/>
      <c r="CK438" s="2372"/>
      <c r="CL438" s="2372"/>
      <c r="CM438" s="2372"/>
      <c r="CN438" s="2372"/>
      <c r="CO438" s="2372"/>
      <c r="CP438" s="2372"/>
      <c r="CQ438" s="2372"/>
      <c r="CR438" s="2372"/>
      <c r="CS438" s="2372"/>
      <c r="CT438" s="2372"/>
      <c r="CU438" s="2372"/>
      <c r="CV438" s="2372"/>
      <c r="CW438" s="2372"/>
      <c r="CX438" s="2372"/>
      <c r="CY438" s="2372"/>
      <c r="CZ438" s="2372"/>
      <c r="DA438" s="2372"/>
    </row>
    <row r="439" spans="1:105" ht="15" hidden="1" customHeight="1">
      <c r="A439" s="2372"/>
      <c r="B439" s="2372"/>
      <c r="C439" s="2372"/>
      <c r="D439" s="2372"/>
      <c r="E439" s="2372"/>
      <c r="F439" s="2372"/>
      <c r="G439" s="2372"/>
      <c r="H439" s="2372"/>
      <c r="I439" s="2372"/>
      <c r="J439" s="2372"/>
      <c r="K439" s="2372"/>
      <c r="L439" s="2372"/>
      <c r="M439" s="2372"/>
      <c r="N439" s="2372"/>
      <c r="O439" s="2372"/>
      <c r="P439" s="2372"/>
      <c r="Q439" s="2372"/>
      <c r="R439" s="2372"/>
      <c r="S439" s="2372"/>
      <c r="T439" s="2372"/>
      <c r="U439" s="2372"/>
      <c r="V439" s="2372"/>
      <c r="W439" s="2372"/>
      <c r="X439" s="2372"/>
      <c r="Y439" s="2372"/>
      <c r="Z439" s="2372"/>
      <c r="AA439" s="2372"/>
      <c r="AB439" s="2372"/>
      <c r="AC439" s="2372"/>
      <c r="AD439" s="2372"/>
      <c r="AE439" s="2372"/>
      <c r="AF439" s="2372"/>
      <c r="AG439" s="2372"/>
      <c r="AH439" s="2372"/>
      <c r="AI439" s="2372"/>
      <c r="AJ439" s="2372"/>
      <c r="AK439" s="2372"/>
      <c r="AL439" s="2372"/>
      <c r="AM439" s="2372"/>
      <c r="AN439" s="2372"/>
      <c r="AO439" s="2372"/>
      <c r="AP439" s="2372"/>
      <c r="AQ439" s="2372"/>
      <c r="AR439" s="2372"/>
      <c r="AS439" s="2372"/>
      <c r="AT439" s="2372"/>
      <c r="AU439" s="2372"/>
      <c r="AV439" s="2372"/>
      <c r="AW439" s="2372"/>
      <c r="AX439" s="2372"/>
      <c r="AY439" s="2372"/>
      <c r="AZ439" s="2372"/>
      <c r="BA439" s="2372"/>
      <c r="BB439" s="2372"/>
      <c r="BC439" s="2372"/>
      <c r="BD439" s="2372"/>
      <c r="BE439" s="2372"/>
      <c r="BF439" s="2372"/>
      <c r="BG439" s="2372"/>
      <c r="BH439" s="2372"/>
      <c r="BI439" s="2372"/>
      <c r="BJ439" s="2372"/>
      <c r="BK439" s="2372"/>
      <c r="BL439" s="2372"/>
      <c r="BM439" s="2372"/>
      <c r="BN439" s="2372"/>
      <c r="BO439" s="2372"/>
      <c r="BP439" s="2372"/>
      <c r="BQ439" s="2372"/>
      <c r="BR439" s="2372"/>
      <c r="BS439" s="2372"/>
      <c r="BT439" s="2372"/>
      <c r="BU439" s="2372"/>
      <c r="BV439" s="2372"/>
      <c r="BW439" s="2372"/>
      <c r="BX439" s="2372"/>
      <c r="BY439" s="2372"/>
      <c r="BZ439" s="2372"/>
      <c r="CA439" s="2372"/>
      <c r="CB439" s="2372"/>
      <c r="CC439" s="2372"/>
      <c r="CD439" s="2372"/>
      <c r="CE439" s="2372"/>
      <c r="CF439" s="2372"/>
      <c r="CG439" s="2372"/>
      <c r="CH439" s="2372"/>
      <c r="CI439" s="2372"/>
      <c r="CJ439" s="2372"/>
      <c r="CK439" s="2372"/>
      <c r="CL439" s="2372"/>
      <c r="CM439" s="2372"/>
      <c r="CN439" s="2372"/>
      <c r="CO439" s="2372"/>
      <c r="CP439" s="2372"/>
      <c r="CQ439" s="2372"/>
      <c r="CR439" s="2372"/>
      <c r="CS439" s="2372"/>
      <c r="CT439" s="2372"/>
      <c r="CU439" s="2372"/>
      <c r="CV439" s="2372"/>
      <c r="CW439" s="2372"/>
      <c r="CX439" s="2372"/>
      <c r="CY439" s="2372"/>
      <c r="CZ439" s="2372"/>
      <c r="DA439" s="2372"/>
    </row>
    <row r="440" spans="1:105" ht="15" hidden="1" customHeight="1">
      <c r="A440" s="2372"/>
      <c r="B440" s="2372"/>
      <c r="C440" s="2372"/>
      <c r="D440" s="2372"/>
      <c r="E440" s="2372"/>
      <c r="F440" s="2372"/>
      <c r="G440" s="2372"/>
      <c r="H440" s="2372"/>
      <c r="I440" s="2372"/>
      <c r="J440" s="2372"/>
      <c r="K440" s="2372"/>
      <c r="L440" s="2372"/>
      <c r="M440" s="2372"/>
      <c r="N440" s="2372"/>
      <c r="O440" s="2372"/>
      <c r="P440" s="2372"/>
      <c r="Q440" s="2372"/>
      <c r="R440" s="2372"/>
      <c r="S440" s="2372"/>
      <c r="T440" s="2372"/>
      <c r="U440" s="2372"/>
      <c r="V440" s="2372"/>
      <c r="W440" s="2372"/>
      <c r="X440" s="2372"/>
      <c r="Y440" s="2372"/>
      <c r="Z440" s="2372"/>
      <c r="AA440" s="2372"/>
      <c r="AB440" s="2372"/>
      <c r="AC440" s="2372"/>
      <c r="AD440" s="2372"/>
      <c r="AE440" s="2372"/>
      <c r="AF440" s="2372"/>
      <c r="AG440" s="2372"/>
      <c r="AH440" s="2372"/>
      <c r="AI440" s="2372"/>
      <c r="AJ440" s="2372"/>
      <c r="AK440" s="2372"/>
      <c r="AL440" s="2372"/>
      <c r="AM440" s="2372"/>
      <c r="AN440" s="2372"/>
      <c r="AO440" s="2372"/>
      <c r="AP440" s="2372"/>
      <c r="AQ440" s="2372"/>
      <c r="AR440" s="2372"/>
      <c r="AS440" s="2372"/>
      <c r="AT440" s="2372"/>
      <c r="AU440" s="2372"/>
      <c r="AV440" s="2372"/>
      <c r="AW440" s="2372"/>
      <c r="AX440" s="2372"/>
      <c r="AY440" s="2372"/>
      <c r="AZ440" s="2372"/>
      <c r="BA440" s="2372"/>
      <c r="BB440" s="2372"/>
      <c r="BC440" s="2372"/>
      <c r="BD440" s="2372"/>
      <c r="BE440" s="2372"/>
      <c r="BF440" s="2372"/>
      <c r="BG440" s="2372"/>
      <c r="BH440" s="2372"/>
      <c r="BI440" s="2372"/>
      <c r="BJ440" s="2372"/>
      <c r="BK440" s="2372"/>
      <c r="BL440" s="2372"/>
      <c r="BM440" s="2372"/>
      <c r="BN440" s="2372"/>
      <c r="BO440" s="2372"/>
      <c r="BP440" s="2372"/>
      <c r="BQ440" s="2372"/>
      <c r="BR440" s="2372"/>
      <c r="BS440" s="2372"/>
      <c r="BT440" s="2372"/>
      <c r="BU440" s="2372"/>
      <c r="BV440" s="2372"/>
      <c r="BW440" s="2372"/>
      <c r="BX440" s="2372"/>
      <c r="BY440" s="2372"/>
      <c r="BZ440" s="2372"/>
      <c r="CA440" s="2372"/>
      <c r="CB440" s="2372"/>
      <c r="CC440" s="2372"/>
      <c r="CD440" s="2372"/>
      <c r="CE440" s="2372"/>
      <c r="CF440" s="2372"/>
      <c r="CG440" s="2372"/>
      <c r="CH440" s="2372"/>
      <c r="CI440" s="2372"/>
      <c r="CJ440" s="2372"/>
      <c r="CK440" s="2372"/>
      <c r="CL440" s="2372"/>
      <c r="CM440" s="2372"/>
      <c r="CN440" s="2372"/>
      <c r="CO440" s="2372"/>
      <c r="CP440" s="2372"/>
      <c r="CQ440" s="2372"/>
      <c r="CR440" s="2372"/>
      <c r="CS440" s="2372"/>
      <c r="CT440" s="2372"/>
      <c r="CU440" s="2372"/>
      <c r="CV440" s="2372"/>
      <c r="CW440" s="2372"/>
      <c r="CX440" s="2372"/>
      <c r="CY440" s="2372"/>
      <c r="CZ440" s="2372"/>
      <c r="DA440" s="2372"/>
    </row>
    <row r="441" spans="1:105" ht="15" hidden="1" customHeight="1">
      <c r="A441" s="2372"/>
      <c r="B441" s="2372"/>
      <c r="C441" s="2372"/>
      <c r="D441" s="2372"/>
      <c r="E441" s="2372"/>
      <c r="F441" s="2372"/>
      <c r="G441" s="2372"/>
      <c r="H441" s="2372"/>
      <c r="I441" s="2372"/>
      <c r="J441" s="2372"/>
      <c r="K441" s="2372"/>
      <c r="L441" s="2372"/>
      <c r="M441" s="2372"/>
      <c r="N441" s="2372"/>
      <c r="O441" s="2372"/>
      <c r="P441" s="2372"/>
      <c r="Q441" s="2372"/>
      <c r="R441" s="2372"/>
      <c r="S441" s="2372"/>
      <c r="T441" s="2372"/>
      <c r="U441" s="2372"/>
      <c r="V441" s="2372"/>
      <c r="W441" s="2372"/>
      <c r="X441" s="2372"/>
      <c r="Y441" s="2372"/>
      <c r="Z441" s="2372"/>
      <c r="AA441" s="2372"/>
      <c r="AB441" s="2372"/>
      <c r="AC441" s="2372"/>
      <c r="AD441" s="2372"/>
      <c r="AE441" s="2372"/>
      <c r="AF441" s="2372"/>
      <c r="AG441" s="2372"/>
      <c r="AH441" s="2372"/>
      <c r="AI441" s="2372"/>
      <c r="AJ441" s="2372"/>
      <c r="AK441" s="2372"/>
      <c r="AL441" s="2372"/>
      <c r="AM441" s="2372"/>
      <c r="AN441" s="2372"/>
      <c r="AO441" s="2372"/>
      <c r="AP441" s="2372"/>
      <c r="AQ441" s="2372"/>
      <c r="AR441" s="2372"/>
      <c r="AS441" s="2372"/>
      <c r="AT441" s="2372"/>
      <c r="AU441" s="2372"/>
      <c r="AV441" s="2372"/>
      <c r="AW441" s="2372"/>
      <c r="AX441" s="2372"/>
      <c r="AY441" s="2372"/>
      <c r="AZ441" s="2372"/>
      <c r="BA441" s="2372"/>
      <c r="BB441" s="2372"/>
      <c r="BC441" s="2372"/>
      <c r="BD441" s="2372"/>
      <c r="BE441" s="2372"/>
      <c r="BF441" s="2372"/>
      <c r="BG441" s="2372"/>
      <c r="BH441" s="2372"/>
      <c r="BI441" s="2372"/>
      <c r="BJ441" s="2372"/>
      <c r="BK441" s="2372"/>
      <c r="BL441" s="2372"/>
      <c r="BM441" s="2372"/>
      <c r="BN441" s="2372"/>
      <c r="BO441" s="2372"/>
      <c r="BP441" s="2372"/>
      <c r="BQ441" s="2372"/>
      <c r="BR441" s="2372"/>
      <c r="BS441" s="2372"/>
      <c r="BT441" s="2372"/>
      <c r="BU441" s="2372"/>
      <c r="BV441" s="2372"/>
      <c r="BW441" s="2372"/>
      <c r="BX441" s="2372"/>
      <c r="BY441" s="2372"/>
      <c r="BZ441" s="2372"/>
      <c r="CA441" s="2372"/>
      <c r="CB441" s="2372"/>
      <c r="CC441" s="2372"/>
      <c r="CD441" s="2372"/>
      <c r="CE441" s="2372"/>
      <c r="CF441" s="2372"/>
      <c r="CG441" s="2372"/>
      <c r="CH441" s="2372"/>
      <c r="CI441" s="2372"/>
      <c r="CJ441" s="2372"/>
      <c r="CK441" s="2372"/>
      <c r="CL441" s="2372"/>
      <c r="CM441" s="2372"/>
      <c r="CN441" s="2372"/>
      <c r="CO441" s="2372"/>
      <c r="CP441" s="2372"/>
      <c r="CQ441" s="2372"/>
      <c r="CR441" s="2372"/>
      <c r="CS441" s="2372"/>
      <c r="CT441" s="2372"/>
      <c r="CU441" s="2372"/>
      <c r="CV441" s="2372"/>
      <c r="CW441" s="2372"/>
      <c r="CX441" s="2372"/>
      <c r="CY441" s="2372"/>
      <c r="CZ441" s="2372"/>
      <c r="DA441" s="2372"/>
    </row>
    <row r="442" spans="1:105" ht="15" hidden="1" customHeight="1">
      <c r="A442" s="2372"/>
      <c r="B442" s="2372"/>
      <c r="C442" s="2372"/>
      <c r="D442" s="2372"/>
      <c r="E442" s="2372"/>
      <c r="F442" s="2372"/>
      <c r="G442" s="2372"/>
      <c r="H442" s="2372"/>
      <c r="I442" s="2372"/>
      <c r="J442" s="2372"/>
      <c r="K442" s="2372"/>
      <c r="L442" s="2372"/>
      <c r="M442" s="2372"/>
      <c r="N442" s="2372"/>
      <c r="O442" s="2372"/>
      <c r="P442" s="2372"/>
      <c r="Q442" s="2372"/>
      <c r="R442" s="2372"/>
      <c r="S442" s="2372"/>
      <c r="T442" s="2372"/>
      <c r="U442" s="2372"/>
      <c r="V442" s="2372"/>
      <c r="W442" s="2372"/>
      <c r="X442" s="2372"/>
      <c r="Y442" s="2372"/>
      <c r="Z442" s="2372"/>
      <c r="AA442" s="2372"/>
      <c r="AB442" s="2372"/>
      <c r="AC442" s="2372"/>
      <c r="AD442" s="2372"/>
      <c r="AE442" s="2372"/>
      <c r="AF442" s="2372"/>
      <c r="AG442" s="2372"/>
      <c r="AH442" s="2372"/>
      <c r="AI442" s="2372"/>
      <c r="AJ442" s="2372"/>
      <c r="AK442" s="2372"/>
      <c r="AL442" s="2372"/>
      <c r="AM442" s="2372"/>
      <c r="AN442" s="2372"/>
      <c r="AO442" s="2372"/>
      <c r="AP442" s="2372"/>
      <c r="AQ442" s="2372"/>
      <c r="AR442" s="2372"/>
      <c r="AS442" s="2372"/>
      <c r="AT442" s="2372"/>
      <c r="AU442" s="2372"/>
      <c r="AV442" s="2372"/>
      <c r="AW442" s="2372"/>
      <c r="AX442" s="2372"/>
      <c r="AY442" s="2372"/>
      <c r="AZ442" s="2372"/>
      <c r="BA442" s="2372"/>
      <c r="BB442" s="2372"/>
      <c r="BC442" s="2372"/>
      <c r="BD442" s="2372"/>
      <c r="BE442" s="2372"/>
      <c r="BF442" s="2372"/>
      <c r="BG442" s="2372"/>
      <c r="BH442" s="2372"/>
      <c r="BI442" s="2372"/>
      <c r="BJ442" s="2372"/>
      <c r="BK442" s="2372"/>
      <c r="BL442" s="2372"/>
      <c r="BM442" s="2372"/>
      <c r="BN442" s="2372"/>
      <c r="BO442" s="2372"/>
      <c r="BP442" s="2372"/>
      <c r="BQ442" s="2372"/>
      <c r="BR442" s="2372"/>
      <c r="BS442" s="2372"/>
      <c r="BT442" s="2372"/>
      <c r="BU442" s="2372"/>
      <c r="BV442" s="2372"/>
      <c r="BW442" s="2372"/>
      <c r="BX442" s="2372"/>
      <c r="BY442" s="2372"/>
      <c r="BZ442" s="2372"/>
      <c r="CA442" s="2372"/>
      <c r="CB442" s="2372"/>
      <c r="CC442" s="2372"/>
      <c r="CD442" s="2372"/>
      <c r="CE442" s="2372"/>
      <c r="CF442" s="2372"/>
      <c r="CG442" s="2372"/>
      <c r="CH442" s="2372"/>
      <c r="CI442" s="2372"/>
      <c r="CJ442" s="2372"/>
      <c r="CK442" s="2372"/>
      <c r="CL442" s="2372"/>
      <c r="CM442" s="2372"/>
      <c r="CN442" s="2372"/>
      <c r="CO442" s="2372"/>
      <c r="CP442" s="2372"/>
      <c r="CQ442" s="2372"/>
      <c r="CR442" s="2372"/>
      <c r="CS442" s="2372"/>
      <c r="CT442" s="2372"/>
      <c r="CU442" s="2372"/>
      <c r="CV442" s="2372"/>
      <c r="CW442" s="2372"/>
      <c r="CX442" s="2372"/>
      <c r="CY442" s="2372"/>
      <c r="CZ442" s="2372"/>
      <c r="DA442" s="2372"/>
    </row>
    <row r="443" spans="1:105" ht="15" hidden="1" customHeight="1">
      <c r="A443" s="2372"/>
      <c r="B443" s="2372"/>
      <c r="C443" s="2372"/>
      <c r="D443" s="2372"/>
      <c r="E443" s="2372"/>
      <c r="F443" s="2372"/>
      <c r="G443" s="2372"/>
      <c r="H443" s="2372"/>
      <c r="I443" s="2372"/>
      <c r="J443" s="2372"/>
      <c r="K443" s="2372"/>
      <c r="L443" s="2372"/>
      <c r="M443" s="2372"/>
      <c r="N443" s="2372"/>
      <c r="O443" s="2372"/>
      <c r="P443" s="2372"/>
      <c r="Q443" s="2372"/>
      <c r="R443" s="2372"/>
      <c r="S443" s="2372"/>
      <c r="T443" s="2372"/>
      <c r="U443" s="2372"/>
      <c r="V443" s="2372"/>
      <c r="W443" s="2372"/>
      <c r="X443" s="2372"/>
      <c r="Y443" s="2372"/>
      <c r="Z443" s="2372"/>
      <c r="AA443" s="2372"/>
      <c r="AB443" s="2372"/>
      <c r="AC443" s="2372"/>
      <c r="AD443" s="2372"/>
      <c r="AE443" s="2372"/>
      <c r="AF443" s="2372"/>
      <c r="AG443" s="2372"/>
      <c r="AH443" s="2372"/>
      <c r="AI443" s="2372"/>
      <c r="AJ443" s="2372"/>
      <c r="AK443" s="2372"/>
      <c r="AL443" s="2372"/>
      <c r="AM443" s="2372"/>
      <c r="AN443" s="2372"/>
      <c r="AO443" s="2372"/>
      <c r="AP443" s="2372"/>
      <c r="AQ443" s="2372"/>
      <c r="AR443" s="2372"/>
      <c r="AS443" s="2372"/>
      <c r="AT443" s="2372"/>
      <c r="AU443" s="2372"/>
      <c r="AV443" s="2372"/>
      <c r="AW443" s="2372"/>
      <c r="AX443" s="2372"/>
      <c r="AY443" s="2372"/>
      <c r="AZ443" s="2372"/>
      <c r="BA443" s="2372"/>
      <c r="BB443" s="2372"/>
      <c r="BC443" s="2372"/>
      <c r="BD443" s="2372"/>
      <c r="BE443" s="2372"/>
      <c r="BF443" s="2372"/>
      <c r="BG443" s="2372"/>
      <c r="BH443" s="2372"/>
      <c r="BI443" s="2372"/>
      <c r="BJ443" s="2372"/>
      <c r="BK443" s="2372"/>
      <c r="BL443" s="2372"/>
      <c r="BM443" s="2372"/>
      <c r="BN443" s="2372"/>
      <c r="BO443" s="2372"/>
      <c r="BP443" s="2372"/>
      <c r="BQ443" s="2372"/>
      <c r="BR443" s="2372"/>
      <c r="BS443" s="2372"/>
      <c r="BT443" s="2372"/>
      <c r="BU443" s="2372"/>
      <c r="BV443" s="2372"/>
      <c r="BW443" s="2372"/>
      <c r="BX443" s="2372"/>
      <c r="BY443" s="2372"/>
      <c r="BZ443" s="2372"/>
      <c r="CA443" s="2372"/>
      <c r="CB443" s="2372"/>
      <c r="CC443" s="2372"/>
      <c r="CD443" s="2372"/>
      <c r="CE443" s="2372"/>
      <c r="CF443" s="2372"/>
      <c r="CG443" s="2372"/>
      <c r="CH443" s="2372"/>
      <c r="CI443" s="2372"/>
      <c r="CJ443" s="2372"/>
      <c r="CK443" s="2372"/>
      <c r="CL443" s="2372"/>
      <c r="CM443" s="2372"/>
      <c r="CN443" s="2372"/>
      <c r="CO443" s="2372"/>
      <c r="CP443" s="2372"/>
      <c r="CQ443" s="2372"/>
      <c r="CR443" s="2372"/>
      <c r="CS443" s="2372"/>
      <c r="CT443" s="2372"/>
      <c r="CU443" s="2372"/>
      <c r="CV443" s="2372"/>
      <c r="CW443" s="2372"/>
      <c r="CX443" s="2372"/>
      <c r="CY443" s="2372"/>
      <c r="CZ443" s="2372"/>
      <c r="DA443" s="2372"/>
    </row>
    <row r="444" spans="1:105" ht="15" hidden="1" customHeight="1">
      <c r="A444" s="2372"/>
      <c r="B444" s="2372"/>
      <c r="C444" s="2372"/>
      <c r="D444" s="2372"/>
      <c r="E444" s="2372"/>
      <c r="F444" s="2372"/>
      <c r="G444" s="2372"/>
      <c r="H444" s="2372"/>
      <c r="I444" s="2372"/>
      <c r="J444" s="2372"/>
      <c r="K444" s="2372"/>
      <c r="L444" s="2372"/>
      <c r="M444" s="2372"/>
      <c r="N444" s="2372"/>
      <c r="O444" s="2372"/>
      <c r="P444" s="2372"/>
      <c r="Q444" s="2372"/>
      <c r="R444" s="2372"/>
      <c r="S444" s="2372"/>
      <c r="T444" s="2372"/>
      <c r="U444" s="2372"/>
      <c r="V444" s="2372"/>
      <c r="W444" s="2372"/>
      <c r="X444" s="2372"/>
      <c r="Y444" s="2372"/>
      <c r="Z444" s="2372"/>
      <c r="AA444" s="2372"/>
      <c r="AB444" s="2372"/>
      <c r="AC444" s="2372"/>
      <c r="AD444" s="2372"/>
      <c r="AE444" s="2372"/>
      <c r="AF444" s="2372"/>
      <c r="AG444" s="2372"/>
      <c r="AH444" s="2372"/>
      <c r="AI444" s="2372"/>
      <c r="AJ444" s="2372"/>
      <c r="AK444" s="2372"/>
      <c r="AL444" s="2372"/>
      <c r="AM444" s="2372"/>
      <c r="AN444" s="2372"/>
      <c r="AO444" s="2372"/>
      <c r="AP444" s="2372"/>
      <c r="AQ444" s="2372"/>
      <c r="AR444" s="2372"/>
      <c r="AS444" s="2372"/>
      <c r="AT444" s="2372"/>
      <c r="AU444" s="2372"/>
      <c r="AV444" s="2372"/>
      <c r="AW444" s="2372"/>
      <c r="AX444" s="2372"/>
      <c r="AY444" s="2372"/>
      <c r="AZ444" s="2372"/>
      <c r="BA444" s="2372"/>
      <c r="BB444" s="2372"/>
      <c r="BC444" s="2372"/>
      <c r="BD444" s="2372"/>
      <c r="BE444" s="2372"/>
      <c r="BF444" s="2372"/>
      <c r="BG444" s="2372"/>
      <c r="BH444" s="2372"/>
      <c r="BI444" s="2372"/>
      <c r="BJ444" s="2372"/>
      <c r="BK444" s="2372"/>
      <c r="BL444" s="2372"/>
      <c r="BM444" s="2372"/>
      <c r="BN444" s="2372"/>
      <c r="BO444" s="2372"/>
      <c r="BP444" s="2372"/>
      <c r="BQ444" s="2372"/>
      <c r="BR444" s="2372"/>
      <c r="BS444" s="2372"/>
      <c r="BT444" s="2372"/>
      <c r="BU444" s="2372"/>
      <c r="BV444" s="2372"/>
      <c r="BW444" s="2372"/>
      <c r="BX444" s="2372"/>
      <c r="BY444" s="2372"/>
      <c r="BZ444" s="2372"/>
      <c r="CA444" s="2372"/>
      <c r="CB444" s="2372"/>
      <c r="CC444" s="2372"/>
      <c r="CD444" s="2372"/>
      <c r="CE444" s="2372"/>
      <c r="CF444" s="2372"/>
      <c r="CG444" s="2372"/>
      <c r="CH444" s="2372"/>
      <c r="CI444" s="2372"/>
      <c r="CJ444" s="2372"/>
      <c r="CK444" s="2372"/>
      <c r="CL444" s="2372"/>
      <c r="CM444" s="2372"/>
      <c r="CN444" s="2372"/>
      <c r="CO444" s="2372"/>
      <c r="CP444" s="2372"/>
      <c r="CQ444" s="2372"/>
      <c r="CR444" s="2372"/>
      <c r="CS444" s="2372"/>
      <c r="CT444" s="2372"/>
      <c r="CU444" s="2372"/>
      <c r="CV444" s="2372"/>
      <c r="CW444" s="2372"/>
      <c r="CX444" s="2372"/>
      <c r="CY444" s="2372"/>
      <c r="CZ444" s="2372"/>
      <c r="DA444" s="2372"/>
    </row>
    <row r="445" spans="1:105" ht="15" hidden="1" customHeight="1">
      <c r="A445" s="2372"/>
      <c r="B445" s="2372"/>
      <c r="C445" s="2372"/>
      <c r="D445" s="2372"/>
      <c r="E445" s="2372"/>
      <c r="F445" s="2372"/>
      <c r="G445" s="2372"/>
      <c r="H445" s="2372"/>
      <c r="I445" s="2372"/>
      <c r="J445" s="2372"/>
      <c r="K445" s="2372"/>
      <c r="L445" s="2372"/>
      <c r="M445" s="2372"/>
      <c r="N445" s="2372"/>
      <c r="O445" s="2372"/>
      <c r="P445" s="2372"/>
      <c r="Q445" s="2372"/>
      <c r="R445" s="2372"/>
      <c r="S445" s="2372"/>
      <c r="T445" s="2372"/>
      <c r="U445" s="2372"/>
      <c r="V445" s="2372"/>
      <c r="W445" s="2372"/>
      <c r="X445" s="2372"/>
      <c r="Y445" s="2372"/>
      <c r="Z445" s="2372"/>
      <c r="AA445" s="2372"/>
      <c r="AB445" s="2372"/>
      <c r="AC445" s="2372"/>
      <c r="AD445" s="2372"/>
      <c r="AE445" s="2372"/>
      <c r="AF445" s="2372"/>
      <c r="AG445" s="2372"/>
      <c r="AH445" s="2372"/>
      <c r="AI445" s="2372"/>
      <c r="AJ445" s="2372"/>
      <c r="AK445" s="2372"/>
      <c r="AL445" s="2372"/>
      <c r="AM445" s="2372"/>
      <c r="AN445" s="2372"/>
      <c r="AO445" s="2372"/>
      <c r="AP445" s="2372"/>
      <c r="AQ445" s="2372"/>
      <c r="AR445" s="2372"/>
      <c r="AS445" s="2372"/>
      <c r="AT445" s="2372"/>
      <c r="AU445" s="2372"/>
      <c r="AV445" s="2372"/>
      <c r="AW445" s="2372"/>
      <c r="AX445" s="2372"/>
      <c r="AY445" s="2372"/>
      <c r="AZ445" s="2372"/>
      <c r="BA445" s="2372"/>
      <c r="BB445" s="2372"/>
      <c r="BC445" s="2372"/>
      <c r="BD445" s="2372"/>
      <c r="BE445" s="2372"/>
      <c r="BF445" s="2372"/>
      <c r="BG445" s="2372"/>
      <c r="BH445" s="2372"/>
      <c r="BI445" s="2372"/>
      <c r="BJ445" s="2372"/>
      <c r="BK445" s="2372"/>
      <c r="BL445" s="2372"/>
      <c r="BM445" s="2372"/>
      <c r="BN445" s="2372"/>
      <c r="BO445" s="2372"/>
      <c r="BP445" s="2372"/>
      <c r="BQ445" s="2372"/>
      <c r="BR445" s="2372"/>
      <c r="BS445" s="2372"/>
      <c r="BT445" s="2372"/>
      <c r="BU445" s="2372"/>
      <c r="BV445" s="2372"/>
      <c r="BW445" s="2372"/>
      <c r="BX445" s="2372"/>
      <c r="BY445" s="2372"/>
      <c r="BZ445" s="2372"/>
      <c r="CA445" s="2372"/>
      <c r="CB445" s="2372"/>
      <c r="CC445" s="2372"/>
      <c r="CD445" s="2372"/>
      <c r="CE445" s="2372"/>
      <c r="CF445" s="2372"/>
      <c r="CG445" s="2372"/>
      <c r="CH445" s="2372"/>
      <c r="CI445" s="2372"/>
      <c r="CJ445" s="2372"/>
      <c r="CK445" s="2372"/>
      <c r="CL445" s="2372"/>
      <c r="CM445" s="2372"/>
      <c r="CN445" s="2372"/>
      <c r="CO445" s="2372"/>
      <c r="CP445" s="2372"/>
      <c r="CQ445" s="2372"/>
      <c r="CR445" s="2372"/>
      <c r="CS445" s="2372"/>
      <c r="CT445" s="2372"/>
      <c r="CU445" s="2372"/>
      <c r="CV445" s="2372"/>
      <c r="CW445" s="2372"/>
      <c r="CX445" s="2372"/>
      <c r="CY445" s="2372"/>
      <c r="CZ445" s="2372"/>
      <c r="DA445" s="2372"/>
    </row>
    <row r="446" spans="1:105" ht="15" hidden="1" customHeight="1">
      <c r="A446" s="2372"/>
      <c r="B446" s="2372"/>
      <c r="C446" s="2372"/>
      <c r="D446" s="2372"/>
      <c r="E446" s="2372"/>
      <c r="F446" s="2372"/>
      <c r="G446" s="2372"/>
      <c r="H446" s="2372"/>
      <c r="I446" s="2372"/>
      <c r="J446" s="2372"/>
      <c r="K446" s="2372"/>
      <c r="L446" s="2372"/>
      <c r="M446" s="2372"/>
      <c r="N446" s="2372"/>
      <c r="O446" s="2372"/>
      <c r="P446" s="2372"/>
      <c r="Q446" s="2372"/>
      <c r="R446" s="2372"/>
      <c r="S446" s="2372"/>
      <c r="T446" s="2372"/>
      <c r="U446" s="2372"/>
      <c r="V446" s="2372"/>
      <c r="W446" s="2372"/>
      <c r="X446" s="2372"/>
      <c r="Y446" s="2372"/>
      <c r="Z446" s="2372"/>
      <c r="AA446" s="2372"/>
      <c r="AB446" s="2372"/>
      <c r="AC446" s="2372"/>
      <c r="AD446" s="2372"/>
      <c r="AE446" s="2372"/>
      <c r="AF446" s="2372"/>
      <c r="AG446" s="2372"/>
      <c r="AH446" s="2372"/>
      <c r="AI446" s="2372"/>
      <c r="AJ446" s="2372"/>
      <c r="AK446" s="2372"/>
      <c r="AL446" s="2372"/>
      <c r="AM446" s="2372"/>
      <c r="AN446" s="2372"/>
      <c r="AO446" s="2372"/>
      <c r="AP446" s="2372"/>
      <c r="AQ446" s="2372"/>
      <c r="AR446" s="2372"/>
      <c r="AS446" s="2372"/>
      <c r="AT446" s="2372"/>
      <c r="AU446" s="2372"/>
      <c r="AV446" s="2372"/>
      <c r="AW446" s="2372"/>
      <c r="AX446" s="2372"/>
      <c r="AY446" s="2372"/>
      <c r="AZ446" s="2372"/>
      <c r="BA446" s="2372"/>
      <c r="BB446" s="2372"/>
      <c r="BC446" s="2372"/>
      <c r="BD446" s="2372"/>
      <c r="BE446" s="2372"/>
      <c r="BF446" s="2372"/>
      <c r="BG446" s="2372"/>
      <c r="BH446" s="2372"/>
      <c r="BI446" s="2372"/>
      <c r="BJ446" s="2372"/>
      <c r="BK446" s="2372"/>
      <c r="BL446" s="2372"/>
      <c r="BM446" s="2372"/>
      <c r="BN446" s="2372"/>
      <c r="BO446" s="2372"/>
      <c r="BP446" s="2372"/>
      <c r="BQ446" s="2372"/>
      <c r="BR446" s="2372"/>
      <c r="BS446" s="2372"/>
      <c r="BT446" s="2372"/>
      <c r="BU446" s="2372"/>
      <c r="BV446" s="2372"/>
      <c r="BW446" s="2372"/>
      <c r="BX446" s="2372"/>
      <c r="BY446" s="2372"/>
      <c r="BZ446" s="2372"/>
      <c r="CA446" s="2372"/>
      <c r="CB446" s="2372"/>
      <c r="CC446" s="2372"/>
      <c r="CD446" s="2372"/>
      <c r="CE446" s="2372"/>
      <c r="CF446" s="2372"/>
      <c r="CG446" s="2372"/>
      <c r="CH446" s="2372"/>
      <c r="CI446" s="2372"/>
      <c r="CJ446" s="2372"/>
      <c r="CK446" s="2372"/>
      <c r="CL446" s="2372"/>
      <c r="CM446" s="2372"/>
      <c r="CN446" s="2372"/>
      <c r="CO446" s="2372"/>
      <c r="CP446" s="2372"/>
      <c r="CQ446" s="2372"/>
      <c r="CR446" s="2372"/>
      <c r="CS446" s="2372"/>
      <c r="CT446" s="2372"/>
      <c r="CU446" s="2372"/>
      <c r="CV446" s="2372"/>
      <c r="CW446" s="2372"/>
      <c r="CX446" s="2372"/>
      <c r="CY446" s="2372"/>
      <c r="CZ446" s="2372"/>
      <c r="DA446" s="2372"/>
    </row>
    <row r="447" spans="1:105" ht="15" hidden="1" customHeight="1">
      <c r="A447" s="2372"/>
      <c r="B447" s="2372"/>
      <c r="C447" s="2372"/>
      <c r="D447" s="2372"/>
      <c r="E447" s="2372"/>
      <c r="F447" s="2372"/>
      <c r="G447" s="2372"/>
      <c r="H447" s="2372"/>
      <c r="I447" s="2372"/>
      <c r="J447" s="2372"/>
      <c r="K447" s="2372"/>
      <c r="L447" s="2372"/>
      <c r="M447" s="2372"/>
      <c r="N447" s="2372"/>
      <c r="O447" s="2372"/>
      <c r="P447" s="2372"/>
      <c r="Q447" s="2372"/>
      <c r="R447" s="2372"/>
      <c r="S447" s="2372"/>
      <c r="T447" s="2372"/>
      <c r="U447" s="2372"/>
      <c r="V447" s="2372"/>
      <c r="W447" s="2372"/>
      <c r="X447" s="2372"/>
      <c r="Y447" s="2372"/>
      <c r="Z447" s="2372"/>
      <c r="AA447" s="2372"/>
      <c r="AB447" s="2372"/>
      <c r="AC447" s="2372"/>
      <c r="AD447" s="2372"/>
      <c r="AE447" s="2372"/>
      <c r="AF447" s="2372"/>
      <c r="AG447" s="2372"/>
      <c r="AH447" s="2372"/>
      <c r="AI447" s="2372"/>
      <c r="AJ447" s="2372"/>
      <c r="AK447" s="2372"/>
      <c r="AL447" s="2372"/>
      <c r="AM447" s="2372"/>
      <c r="AN447" s="2372"/>
      <c r="AO447" s="2372"/>
      <c r="AP447" s="2372"/>
      <c r="AQ447" s="2372"/>
      <c r="AR447" s="2372"/>
      <c r="AS447" s="2372"/>
      <c r="AT447" s="2372"/>
      <c r="AU447" s="2372"/>
      <c r="AV447" s="2372"/>
      <c r="AW447" s="2372"/>
      <c r="AX447" s="2372"/>
      <c r="AY447" s="2372"/>
      <c r="AZ447" s="2372"/>
      <c r="BA447" s="2372"/>
      <c r="BB447" s="2372"/>
      <c r="BC447" s="2372"/>
      <c r="BD447" s="2372"/>
      <c r="BE447" s="2372"/>
      <c r="BF447" s="2372"/>
      <c r="BG447" s="2372"/>
      <c r="BH447" s="2372"/>
      <c r="BI447" s="2372"/>
      <c r="BJ447" s="2372"/>
      <c r="BK447" s="2372"/>
      <c r="BL447" s="2372"/>
      <c r="BM447" s="2372"/>
      <c r="BN447" s="2372"/>
      <c r="BO447" s="2372"/>
      <c r="BP447" s="2372"/>
      <c r="BQ447" s="2372"/>
      <c r="BR447" s="2372"/>
      <c r="BS447" s="2372"/>
      <c r="BT447" s="2372"/>
      <c r="BU447" s="2372"/>
      <c r="BV447" s="2372"/>
      <c r="BW447" s="2372"/>
      <c r="BX447" s="2372"/>
      <c r="BY447" s="2372"/>
      <c r="BZ447" s="2372"/>
      <c r="CA447" s="2372"/>
      <c r="CB447" s="2372"/>
      <c r="CC447" s="2372"/>
      <c r="CD447" s="2372"/>
      <c r="CE447" s="2372"/>
      <c r="CF447" s="2372"/>
      <c r="CG447" s="2372"/>
      <c r="CH447" s="2372"/>
      <c r="CI447" s="2372"/>
      <c r="CJ447" s="2372"/>
      <c r="CK447" s="2372"/>
      <c r="CL447" s="2372"/>
      <c r="CM447" s="2372"/>
      <c r="CN447" s="2372"/>
      <c r="CO447" s="2372"/>
      <c r="CP447" s="2372"/>
      <c r="CQ447" s="2372"/>
      <c r="CR447" s="2372"/>
      <c r="CS447" s="2372"/>
      <c r="CT447" s="2372"/>
      <c r="CU447" s="2372"/>
      <c r="CV447" s="2372"/>
      <c r="CW447" s="2372"/>
      <c r="CX447" s="2372"/>
      <c r="CY447" s="2372"/>
      <c r="CZ447" s="2372"/>
      <c r="DA447" s="2372"/>
    </row>
    <row r="448" spans="1:105" ht="15" hidden="1" customHeight="1">
      <c r="A448" s="2372"/>
      <c r="B448" s="2372"/>
      <c r="C448" s="2372"/>
      <c r="D448" s="2372"/>
      <c r="E448" s="2372"/>
      <c r="F448" s="2372"/>
      <c r="G448" s="2372"/>
      <c r="H448" s="2372"/>
      <c r="I448" s="2372"/>
      <c r="J448" s="2372"/>
      <c r="K448" s="2372"/>
      <c r="L448" s="2372"/>
      <c r="M448" s="2372"/>
      <c r="N448" s="2372"/>
      <c r="O448" s="2372"/>
      <c r="P448" s="2372"/>
      <c r="Q448" s="2372"/>
      <c r="R448" s="2372"/>
      <c r="S448" s="2372"/>
      <c r="T448" s="2372"/>
      <c r="U448" s="2372"/>
      <c r="V448" s="2372"/>
      <c r="W448" s="2372"/>
      <c r="X448" s="2372"/>
      <c r="Y448" s="2372"/>
      <c r="Z448" s="2372"/>
      <c r="AA448" s="2372"/>
      <c r="AB448" s="2372"/>
      <c r="AC448" s="2372"/>
      <c r="AD448" s="2372"/>
      <c r="AE448" s="2372"/>
      <c r="AF448" s="2372"/>
      <c r="AG448" s="2372"/>
      <c r="AH448" s="2372"/>
      <c r="AI448" s="2372"/>
      <c r="AJ448" s="2372"/>
      <c r="AK448" s="2372"/>
      <c r="AL448" s="2372"/>
      <c r="AM448" s="2372"/>
      <c r="AN448" s="2372"/>
      <c r="AO448" s="2372"/>
      <c r="AP448" s="2372"/>
      <c r="AQ448" s="2372"/>
      <c r="AR448" s="2372"/>
      <c r="AS448" s="2372"/>
      <c r="AT448" s="2372"/>
      <c r="AU448" s="2372"/>
      <c r="AV448" s="2372"/>
      <c r="AW448" s="2372"/>
      <c r="AX448" s="2372"/>
      <c r="AY448" s="2372"/>
      <c r="AZ448" s="2372"/>
      <c r="BA448" s="2372"/>
      <c r="BB448" s="2372"/>
      <c r="BC448" s="2372"/>
      <c r="BD448" s="2372"/>
      <c r="BE448" s="2372"/>
      <c r="BF448" s="2372"/>
      <c r="BG448" s="2372"/>
      <c r="BH448" s="2372"/>
      <c r="BI448" s="2372"/>
      <c r="BJ448" s="2372"/>
      <c r="BK448" s="2372"/>
      <c r="BL448" s="2372"/>
      <c r="BM448" s="2372"/>
      <c r="BN448" s="2372"/>
      <c r="BO448" s="2372"/>
      <c r="BP448" s="2372"/>
      <c r="BQ448" s="2372"/>
      <c r="BR448" s="2372"/>
      <c r="BS448" s="2372"/>
      <c r="BT448" s="2372"/>
      <c r="BU448" s="2372"/>
      <c r="BV448" s="2372"/>
      <c r="BW448" s="2372"/>
      <c r="BX448" s="2372"/>
      <c r="BY448" s="2372"/>
      <c r="BZ448" s="2372"/>
      <c r="CA448" s="2372"/>
      <c r="CB448" s="2372"/>
      <c r="CC448" s="2372"/>
      <c r="CD448" s="2372"/>
      <c r="CE448" s="2372"/>
      <c r="CF448" s="2372"/>
      <c r="CG448" s="2372"/>
      <c r="CH448" s="2372"/>
      <c r="CI448" s="2372"/>
      <c r="CJ448" s="2372"/>
      <c r="CK448" s="2372"/>
      <c r="CL448" s="2372"/>
      <c r="CM448" s="2372"/>
      <c r="CN448" s="2372"/>
      <c r="CO448" s="2372"/>
      <c r="CP448" s="2372"/>
      <c r="CQ448" s="2372"/>
      <c r="CR448" s="2372"/>
      <c r="CS448" s="2372"/>
      <c r="CT448" s="2372"/>
      <c r="CU448" s="2372"/>
      <c r="CV448" s="2372"/>
      <c r="CW448" s="2372"/>
      <c r="CX448" s="2372"/>
      <c r="CY448" s="2372"/>
      <c r="CZ448" s="2372"/>
      <c r="DA448" s="2372"/>
    </row>
    <row r="449" spans="1:105" ht="15" hidden="1" customHeight="1">
      <c r="A449" s="2372"/>
      <c r="B449" s="2372"/>
      <c r="C449" s="2372"/>
      <c r="D449" s="2372"/>
      <c r="E449" s="2372"/>
      <c r="F449" s="2372"/>
      <c r="G449" s="2372"/>
      <c r="H449" s="2372"/>
      <c r="I449" s="2372"/>
      <c r="J449" s="2372"/>
      <c r="K449" s="2372"/>
      <c r="L449" s="2372"/>
      <c r="M449" s="2372"/>
      <c r="N449" s="2372"/>
      <c r="O449" s="2372"/>
      <c r="P449" s="2372"/>
      <c r="Q449" s="2372"/>
      <c r="R449" s="2372"/>
      <c r="S449" s="2372"/>
      <c r="T449" s="2372"/>
      <c r="U449" s="2372"/>
      <c r="V449" s="2372"/>
      <c r="W449" s="2372"/>
      <c r="X449" s="2372"/>
      <c r="Y449" s="2372"/>
      <c r="Z449" s="2372"/>
      <c r="AA449" s="2372"/>
      <c r="AB449" s="2372"/>
      <c r="AC449" s="2372"/>
      <c r="AD449" s="2372"/>
      <c r="AE449" s="2372"/>
      <c r="AF449" s="2372"/>
      <c r="AG449" s="2372"/>
      <c r="AH449" s="2372"/>
      <c r="AI449" s="2372"/>
      <c r="AJ449" s="2372"/>
      <c r="AK449" s="2372"/>
      <c r="AL449" s="2372"/>
      <c r="AM449" s="2372"/>
      <c r="AN449" s="2372"/>
      <c r="AO449" s="2372"/>
      <c r="AP449" s="2372"/>
      <c r="AQ449" s="2372"/>
      <c r="AR449" s="2372"/>
      <c r="AS449" s="2372"/>
      <c r="AT449" s="2372"/>
      <c r="AU449" s="2372"/>
      <c r="AV449" s="2372"/>
      <c r="AW449" s="2372"/>
      <c r="AX449" s="2372"/>
      <c r="AY449" s="2372"/>
      <c r="AZ449" s="2372"/>
      <c r="BA449" s="2372"/>
      <c r="BB449" s="2372"/>
      <c r="BC449" s="2372"/>
      <c r="BD449" s="2372"/>
      <c r="BE449" s="2372"/>
      <c r="BF449" s="2372"/>
      <c r="BG449" s="2372"/>
      <c r="BH449" s="2372"/>
      <c r="BI449" s="2372"/>
      <c r="BJ449" s="2372"/>
      <c r="BK449" s="2372"/>
      <c r="BL449" s="2372"/>
      <c r="BM449" s="2372"/>
      <c r="BN449" s="2372"/>
      <c r="BO449" s="2372"/>
      <c r="BP449" s="2372"/>
      <c r="BQ449" s="2372"/>
      <c r="BR449" s="2372"/>
      <c r="BS449" s="2372"/>
      <c r="BT449" s="2372"/>
      <c r="BU449" s="2372"/>
      <c r="BV449" s="2372"/>
      <c r="BW449" s="2372"/>
      <c r="BX449" s="2372"/>
      <c r="BY449" s="2372"/>
      <c r="BZ449" s="2372"/>
      <c r="CA449" s="2372"/>
      <c r="CB449" s="2372"/>
      <c r="CC449" s="2372"/>
      <c r="CD449" s="2372"/>
      <c r="CE449" s="2372"/>
      <c r="CF449" s="2372"/>
      <c r="CG449" s="2372"/>
      <c r="CH449" s="2372"/>
      <c r="CI449" s="2372"/>
      <c r="CJ449" s="2372"/>
      <c r="CK449" s="2372"/>
      <c r="CL449" s="2372"/>
      <c r="CM449" s="2372"/>
      <c r="CN449" s="2372"/>
      <c r="CO449" s="2372"/>
      <c r="CP449" s="2372"/>
      <c r="CQ449" s="2372"/>
      <c r="CR449" s="2372"/>
      <c r="CS449" s="2372"/>
      <c r="CT449" s="2372"/>
      <c r="CU449" s="2372"/>
      <c r="CV449" s="2372"/>
      <c r="CW449" s="2372"/>
      <c r="CX449" s="2372"/>
      <c r="CY449" s="2372"/>
      <c r="CZ449" s="2372"/>
      <c r="DA449" s="2372"/>
    </row>
    <row r="450" spans="1:105" ht="15" hidden="1" customHeight="1">
      <c r="A450" s="2372"/>
      <c r="B450" s="2372"/>
      <c r="C450" s="2372"/>
      <c r="D450" s="2372"/>
      <c r="E450" s="2372"/>
      <c r="F450" s="2372"/>
      <c r="G450" s="2372"/>
      <c r="H450" s="2372"/>
      <c r="I450" s="2372"/>
      <c r="J450" s="2372"/>
      <c r="K450" s="2372"/>
      <c r="L450" s="2372"/>
      <c r="M450" s="2372"/>
      <c r="N450" s="2372"/>
      <c r="O450" s="2372"/>
      <c r="P450" s="2372"/>
      <c r="Q450" s="2372"/>
      <c r="R450" s="2372"/>
      <c r="S450" s="2372"/>
      <c r="T450" s="2372"/>
      <c r="U450" s="2372"/>
      <c r="V450" s="2372"/>
      <c r="W450" s="2372"/>
      <c r="X450" s="2372"/>
      <c r="Y450" s="2372"/>
      <c r="Z450" s="2372"/>
      <c r="AA450" s="2372"/>
      <c r="AB450" s="2372"/>
      <c r="AC450" s="2372"/>
      <c r="AD450" s="2372"/>
      <c r="AE450" s="2372"/>
      <c r="AF450" s="2372"/>
      <c r="AG450" s="2372"/>
      <c r="AH450" s="2372"/>
      <c r="AI450" s="2372"/>
      <c r="AJ450" s="2372"/>
      <c r="AK450" s="2372"/>
      <c r="AL450" s="2372"/>
      <c r="AM450" s="2372"/>
      <c r="AN450" s="2372"/>
      <c r="AO450" s="2372"/>
      <c r="AP450" s="2372"/>
      <c r="AQ450" s="2372"/>
      <c r="AR450" s="2372"/>
      <c r="AS450" s="2372"/>
      <c r="AT450" s="2372"/>
      <c r="AU450" s="2372"/>
      <c r="AV450" s="2372"/>
      <c r="AW450" s="2372"/>
      <c r="AX450" s="2372"/>
      <c r="AY450" s="2372"/>
      <c r="AZ450" s="2372"/>
      <c r="BA450" s="2372"/>
      <c r="BB450" s="2372"/>
      <c r="BC450" s="2372"/>
      <c r="BD450" s="2372"/>
      <c r="BE450" s="2372"/>
      <c r="BF450" s="2372"/>
      <c r="BG450" s="2372"/>
      <c r="BH450" s="2372"/>
      <c r="BI450" s="2372"/>
      <c r="BJ450" s="2372"/>
      <c r="BK450" s="2372"/>
      <c r="BL450" s="2372"/>
      <c r="BM450" s="2372"/>
      <c r="BN450" s="2372"/>
      <c r="BO450" s="2372"/>
      <c r="BP450" s="2372"/>
      <c r="BQ450" s="2372"/>
      <c r="BR450" s="2372"/>
      <c r="BS450" s="2372"/>
      <c r="BT450" s="2372"/>
      <c r="BU450" s="2372"/>
      <c r="BV450" s="2372"/>
      <c r="BW450" s="2372"/>
      <c r="BX450" s="2372"/>
      <c r="BY450" s="2372"/>
      <c r="BZ450" s="2372"/>
      <c r="CA450" s="2372"/>
      <c r="CB450" s="2372"/>
      <c r="CC450" s="2372"/>
      <c r="CD450" s="2372"/>
      <c r="CE450" s="2372"/>
      <c r="CF450" s="2372"/>
      <c r="CG450" s="2372"/>
      <c r="CH450" s="2372"/>
      <c r="CI450" s="2372"/>
      <c r="CJ450" s="2372"/>
      <c r="CK450" s="2372"/>
      <c r="CL450" s="2372"/>
      <c r="CM450" s="2372"/>
      <c r="CN450" s="2372"/>
      <c r="CO450" s="2372"/>
      <c r="CP450" s="2372"/>
      <c r="CQ450" s="2372"/>
      <c r="CR450" s="2372"/>
      <c r="CS450" s="2372"/>
      <c r="CT450" s="2372"/>
      <c r="CU450" s="2372"/>
      <c r="CV450" s="2372"/>
      <c r="CW450" s="2372"/>
      <c r="CX450" s="2372"/>
      <c r="CY450" s="2372"/>
      <c r="CZ450" s="2372"/>
      <c r="DA450" s="2372"/>
    </row>
    <row r="451" spans="1:105" ht="15" hidden="1" customHeight="1">
      <c r="A451" s="2372"/>
      <c r="B451" s="2372"/>
      <c r="C451" s="2372"/>
      <c r="D451" s="2372"/>
      <c r="E451" s="2372"/>
      <c r="F451" s="2372"/>
      <c r="G451" s="2372"/>
      <c r="H451" s="2372"/>
      <c r="I451" s="2372"/>
      <c r="J451" s="2372"/>
      <c r="K451" s="2372"/>
      <c r="L451" s="2372"/>
      <c r="M451" s="2372"/>
      <c r="N451" s="2372"/>
      <c r="O451" s="2372"/>
      <c r="P451" s="2372"/>
      <c r="Q451" s="2372"/>
      <c r="R451" s="2372"/>
      <c r="S451" s="2372"/>
      <c r="T451" s="2372"/>
      <c r="U451" s="2372"/>
      <c r="V451" s="2372"/>
      <c r="W451" s="2372"/>
      <c r="X451" s="2372"/>
      <c r="Y451" s="2372"/>
      <c r="Z451" s="2372"/>
      <c r="AA451" s="2372"/>
      <c r="AB451" s="2372"/>
      <c r="AC451" s="2372"/>
      <c r="AD451" s="2372"/>
      <c r="AE451" s="2372"/>
      <c r="AF451" s="2372"/>
      <c r="AG451" s="2372"/>
      <c r="AH451" s="2372"/>
      <c r="AI451" s="2372"/>
      <c r="AJ451" s="2372"/>
      <c r="AK451" s="2372"/>
      <c r="AL451" s="2372"/>
      <c r="AM451" s="2372"/>
      <c r="AN451" s="2372"/>
      <c r="AO451" s="2372"/>
      <c r="AP451" s="2372"/>
      <c r="AQ451" s="2372"/>
      <c r="AR451" s="2372"/>
      <c r="AS451" s="2372"/>
      <c r="AT451" s="2372"/>
      <c r="AU451" s="2372"/>
      <c r="AV451" s="2372"/>
      <c r="AW451" s="2372"/>
      <c r="AX451" s="2372"/>
      <c r="AY451" s="2372"/>
      <c r="AZ451" s="2372"/>
      <c r="BA451" s="2372"/>
      <c r="BB451" s="2372"/>
      <c r="BC451" s="2372"/>
      <c r="BD451" s="2372"/>
      <c r="BE451" s="2372"/>
      <c r="BF451" s="2372"/>
      <c r="BG451" s="2372"/>
      <c r="BH451" s="2372"/>
      <c r="BI451" s="2372"/>
      <c r="BJ451" s="2372"/>
      <c r="BK451" s="2372"/>
      <c r="BL451" s="2372"/>
      <c r="BM451" s="2372"/>
      <c r="BN451" s="2372"/>
      <c r="BO451" s="2372"/>
      <c r="BP451" s="2372"/>
      <c r="BQ451" s="2372"/>
      <c r="BR451" s="2372"/>
      <c r="BS451" s="2372"/>
      <c r="BT451" s="2372"/>
      <c r="BU451" s="2372"/>
      <c r="BV451" s="2372"/>
      <c r="BW451" s="2372"/>
      <c r="BX451" s="2372"/>
      <c r="BY451" s="2372"/>
      <c r="BZ451" s="2372"/>
      <c r="CA451" s="2372"/>
      <c r="CB451" s="2372"/>
      <c r="CC451" s="2372"/>
      <c r="CD451" s="2372"/>
      <c r="CE451" s="2372"/>
      <c r="CF451" s="2372"/>
      <c r="CG451" s="2372"/>
      <c r="CH451" s="2372"/>
      <c r="CI451" s="2372"/>
      <c r="CJ451" s="2372"/>
      <c r="CK451" s="2372"/>
      <c r="CL451" s="2372"/>
      <c r="CM451" s="2372"/>
      <c r="CN451" s="2372"/>
      <c r="CO451" s="2372"/>
      <c r="CP451" s="2372"/>
      <c r="CQ451" s="2372"/>
      <c r="CR451" s="2372"/>
      <c r="CS451" s="2372"/>
      <c r="CT451" s="2372"/>
      <c r="CU451" s="2372"/>
      <c r="CV451" s="2372"/>
      <c r="CW451" s="2372"/>
      <c r="CX451" s="2372"/>
      <c r="CY451" s="2372"/>
      <c r="CZ451" s="2372"/>
      <c r="DA451" s="2372"/>
    </row>
    <row r="452" spans="1:105" ht="15" hidden="1" customHeight="1">
      <c r="A452" s="2372"/>
      <c r="B452" s="2372"/>
      <c r="C452" s="2372"/>
      <c r="D452" s="2372"/>
      <c r="E452" s="2372"/>
      <c r="F452" s="2372"/>
      <c r="G452" s="2372"/>
      <c r="H452" s="2372"/>
      <c r="I452" s="2372"/>
      <c r="J452" s="2372"/>
      <c r="K452" s="2372"/>
      <c r="L452" s="2372"/>
      <c r="M452" s="2372"/>
      <c r="N452" s="2372"/>
      <c r="O452" s="2372"/>
      <c r="P452" s="2372"/>
      <c r="Q452" s="2372"/>
      <c r="R452" s="2372"/>
      <c r="S452" s="2372"/>
      <c r="T452" s="2372"/>
      <c r="U452" s="2372"/>
      <c r="V452" s="2372"/>
      <c r="W452" s="2372"/>
      <c r="X452" s="2372"/>
      <c r="Y452" s="2372"/>
      <c r="Z452" s="2372"/>
      <c r="AA452" s="2372"/>
      <c r="AB452" s="2372"/>
      <c r="AC452" s="2372"/>
      <c r="AD452" s="2372"/>
      <c r="AE452" s="2372"/>
      <c r="AF452" s="2372"/>
      <c r="AG452" s="2372"/>
      <c r="AH452" s="2372"/>
      <c r="AI452" s="2372"/>
      <c r="AJ452" s="2372"/>
      <c r="AK452" s="2372"/>
      <c r="AL452" s="2372"/>
      <c r="AM452" s="2372"/>
      <c r="AN452" s="2372"/>
      <c r="AO452" s="2372"/>
      <c r="AP452" s="2372"/>
      <c r="AQ452" s="2372"/>
      <c r="AR452" s="2372"/>
      <c r="AS452" s="2372"/>
      <c r="AT452" s="2372"/>
      <c r="AU452" s="2372"/>
      <c r="AV452" s="2372"/>
      <c r="AW452" s="2372"/>
      <c r="AX452" s="2372"/>
      <c r="AY452" s="2372"/>
      <c r="AZ452" s="2372"/>
      <c r="BA452" s="2372"/>
      <c r="BB452" s="2372"/>
      <c r="BC452" s="2372"/>
      <c r="BD452" s="2372"/>
      <c r="BE452" s="2372"/>
      <c r="BF452" s="2372"/>
      <c r="BG452" s="2372"/>
      <c r="BH452" s="2372"/>
      <c r="BI452" s="2372"/>
      <c r="BJ452" s="2372"/>
      <c r="BK452" s="2372"/>
      <c r="BL452" s="2372"/>
      <c r="BM452" s="2372"/>
      <c r="BN452" s="2372"/>
      <c r="BO452" s="2372"/>
      <c r="BP452" s="2372"/>
      <c r="BQ452" s="2372"/>
      <c r="BR452" s="2372"/>
      <c r="BS452" s="2372"/>
      <c r="BT452" s="2372"/>
      <c r="BU452" s="2372"/>
      <c r="BV452" s="2372"/>
      <c r="BW452" s="2372"/>
      <c r="BX452" s="2372"/>
      <c r="BY452" s="2372"/>
      <c r="BZ452" s="2372"/>
      <c r="CA452" s="2372"/>
      <c r="CB452" s="2372"/>
      <c r="CC452" s="2372"/>
      <c r="CD452" s="2372"/>
      <c r="CE452" s="2372"/>
      <c r="CF452" s="2372"/>
      <c r="CG452" s="2372"/>
      <c r="CH452" s="2372"/>
      <c r="CI452" s="2372"/>
      <c r="CJ452" s="2372"/>
      <c r="CK452" s="2372"/>
      <c r="CL452" s="2372"/>
      <c r="CM452" s="2372"/>
      <c r="CN452" s="2372"/>
      <c r="CO452" s="2372"/>
      <c r="CP452" s="2372"/>
      <c r="CQ452" s="2372"/>
      <c r="CR452" s="2372"/>
      <c r="CS452" s="2372"/>
      <c r="CT452" s="2372"/>
      <c r="CU452" s="2372"/>
      <c r="CV452" s="2372"/>
      <c r="CW452" s="2372"/>
      <c r="CX452" s="2372"/>
      <c r="CY452" s="2372"/>
      <c r="CZ452" s="2372"/>
      <c r="DA452" s="2372"/>
    </row>
    <row r="453" spans="1:105" ht="15" hidden="1" customHeight="1">
      <c r="A453" s="2372"/>
      <c r="B453" s="2372"/>
      <c r="C453" s="2372"/>
      <c r="D453" s="2372"/>
      <c r="E453" s="2372"/>
      <c r="F453" s="2372"/>
      <c r="G453" s="2372"/>
      <c r="H453" s="2372"/>
      <c r="I453" s="2372"/>
      <c r="J453" s="2372"/>
      <c r="K453" s="2372"/>
      <c r="L453" s="2372"/>
      <c r="M453" s="2372"/>
      <c r="N453" s="2372"/>
      <c r="O453" s="2372"/>
      <c r="P453" s="2372"/>
      <c r="Q453" s="2372"/>
      <c r="R453" s="2372"/>
      <c r="S453" s="2372"/>
      <c r="T453" s="2372"/>
      <c r="U453" s="2372"/>
      <c r="V453" s="2372"/>
      <c r="W453" s="2372"/>
      <c r="X453" s="2372"/>
      <c r="Y453" s="2372"/>
      <c r="Z453" s="2372"/>
      <c r="AA453" s="2372"/>
      <c r="AB453" s="2372"/>
      <c r="AC453" s="2372"/>
      <c r="AD453" s="2372"/>
      <c r="AE453" s="2372"/>
      <c r="AF453" s="2372"/>
      <c r="AG453" s="2372"/>
      <c r="AH453" s="2372"/>
      <c r="AI453" s="2372"/>
      <c r="AJ453" s="2372"/>
      <c r="AK453" s="2372"/>
      <c r="AL453" s="2372"/>
      <c r="AM453" s="2372"/>
      <c r="AN453" s="2372"/>
      <c r="AO453" s="2372"/>
      <c r="AP453" s="2372"/>
      <c r="AQ453" s="2372"/>
      <c r="AR453" s="2372"/>
      <c r="AS453" s="2372"/>
      <c r="AT453" s="2372"/>
      <c r="AU453" s="2372"/>
      <c r="AV453" s="2372"/>
      <c r="AW453" s="2372"/>
      <c r="AX453" s="2372"/>
      <c r="AY453" s="2372"/>
      <c r="AZ453" s="2372"/>
      <c r="BA453" s="2372"/>
      <c r="BB453" s="2372"/>
      <c r="BC453" s="2372"/>
      <c r="BD453" s="2372"/>
      <c r="BE453" s="2372"/>
      <c r="BF453" s="2372"/>
      <c r="BG453" s="2372"/>
      <c r="BH453" s="2372"/>
      <c r="BI453" s="2372"/>
      <c r="BJ453" s="2372"/>
      <c r="BK453" s="2372"/>
      <c r="BL453" s="2372"/>
      <c r="BM453" s="2372"/>
      <c r="BN453" s="2372"/>
      <c r="BO453" s="2372"/>
      <c r="BP453" s="2372"/>
      <c r="BQ453" s="2372"/>
      <c r="BR453" s="2372"/>
      <c r="BS453" s="2372"/>
      <c r="BT453" s="2372"/>
      <c r="BU453" s="2372"/>
      <c r="BV453" s="2372"/>
      <c r="BW453" s="2372"/>
      <c r="BX453" s="2372"/>
      <c r="BY453" s="2372"/>
      <c r="BZ453" s="2372"/>
      <c r="CA453" s="2372"/>
      <c r="CB453" s="2372"/>
      <c r="CC453" s="2372"/>
      <c r="CD453" s="2372"/>
      <c r="CE453" s="2372"/>
      <c r="CF453" s="2372"/>
      <c r="CG453" s="2372"/>
      <c r="CH453" s="2372"/>
      <c r="CI453" s="2372"/>
      <c r="CJ453" s="2372"/>
      <c r="CK453" s="2372"/>
      <c r="CL453" s="2372"/>
      <c r="CM453" s="2372"/>
      <c r="CN453" s="2372"/>
      <c r="CO453" s="2372"/>
      <c r="CP453" s="2372"/>
      <c r="CQ453" s="2372"/>
      <c r="CR453" s="2372"/>
      <c r="CS453" s="2372"/>
      <c r="CT453" s="2372"/>
      <c r="CU453" s="2372"/>
      <c r="CV453" s="2372"/>
      <c r="CW453" s="2372"/>
      <c r="CX453" s="2372"/>
      <c r="CY453" s="2372"/>
      <c r="CZ453" s="2372"/>
      <c r="DA453" s="2372"/>
    </row>
    <row r="454" spans="1:105" ht="15" hidden="1" customHeight="1">
      <c r="A454" s="2372"/>
      <c r="B454" s="2372"/>
      <c r="C454" s="2372"/>
      <c r="D454" s="2372"/>
      <c r="E454" s="2372"/>
      <c r="F454" s="2372"/>
      <c r="G454" s="2372"/>
      <c r="H454" s="2372"/>
      <c r="I454" s="2372"/>
      <c r="J454" s="2372"/>
      <c r="K454" s="2372"/>
      <c r="L454" s="2372"/>
      <c r="M454" s="2372"/>
      <c r="N454" s="2372"/>
      <c r="O454" s="2372"/>
      <c r="P454" s="2372"/>
      <c r="Q454" s="2372"/>
      <c r="R454" s="2372"/>
      <c r="S454" s="2372"/>
      <c r="T454" s="2372"/>
      <c r="U454" s="2372"/>
      <c r="V454" s="2372"/>
      <c r="W454" s="2372"/>
      <c r="X454" s="2372"/>
      <c r="Y454" s="2372"/>
      <c r="Z454" s="2372"/>
      <c r="AA454" s="2372"/>
      <c r="AB454" s="2372"/>
      <c r="AC454" s="2372"/>
      <c r="AD454" s="2372"/>
      <c r="AE454" s="2372"/>
      <c r="AF454" s="2372"/>
      <c r="AG454" s="2372"/>
      <c r="AH454" s="2372"/>
      <c r="AI454" s="2372"/>
      <c r="AJ454" s="2372"/>
      <c r="AK454" s="2372"/>
      <c r="AL454" s="2372"/>
      <c r="AM454" s="2372"/>
      <c r="AN454" s="2372"/>
      <c r="AO454" s="2372"/>
      <c r="AP454" s="2372"/>
      <c r="AQ454" s="2372"/>
      <c r="AR454" s="2372"/>
      <c r="AS454" s="2372"/>
      <c r="AT454" s="2372"/>
      <c r="AU454" s="2372"/>
      <c r="AV454" s="2372"/>
      <c r="AW454" s="2372"/>
      <c r="AX454" s="2372"/>
      <c r="AY454" s="2372"/>
      <c r="AZ454" s="2372"/>
      <c r="BA454" s="2372"/>
      <c r="BB454" s="2372"/>
      <c r="BC454" s="2372"/>
      <c r="BD454" s="2372"/>
      <c r="BE454" s="2372"/>
      <c r="BF454" s="2372"/>
      <c r="BG454" s="2372"/>
      <c r="BH454" s="2372"/>
      <c r="BI454" s="2372"/>
      <c r="BJ454" s="2372"/>
      <c r="BK454" s="2372"/>
      <c r="BL454" s="2372"/>
      <c r="BM454" s="2372"/>
      <c r="BN454" s="2372"/>
      <c r="BO454" s="2372"/>
      <c r="BP454" s="2372"/>
      <c r="BQ454" s="2372"/>
      <c r="BR454" s="2372"/>
      <c r="BS454" s="2372"/>
      <c r="BT454" s="2372"/>
      <c r="BU454" s="2372"/>
      <c r="BV454" s="2372"/>
      <c r="BW454" s="2372"/>
      <c r="BX454" s="2372"/>
      <c r="BY454" s="2372"/>
      <c r="BZ454" s="2372"/>
      <c r="CA454" s="2372"/>
      <c r="CB454" s="2372"/>
      <c r="CC454" s="2372"/>
      <c r="CD454" s="2372"/>
      <c r="CE454" s="2372"/>
      <c r="CF454" s="2372"/>
      <c r="CG454" s="2372"/>
      <c r="CH454" s="2372"/>
      <c r="CI454" s="2372"/>
      <c r="CJ454" s="2372"/>
      <c r="CK454" s="2372"/>
      <c r="CL454" s="2372"/>
      <c r="CM454" s="2372"/>
      <c r="CN454" s="2372"/>
      <c r="CO454" s="2372"/>
      <c r="CP454" s="2372"/>
      <c r="CQ454" s="2372"/>
      <c r="CR454" s="2372"/>
      <c r="CS454" s="2372"/>
      <c r="CT454" s="2372"/>
      <c r="CU454" s="2372"/>
      <c r="CV454" s="2372"/>
      <c r="CW454" s="2372"/>
      <c r="CX454" s="2372"/>
      <c r="CY454" s="2372"/>
      <c r="CZ454" s="2372"/>
      <c r="DA454" s="2372"/>
    </row>
    <row r="455" spans="1:105" ht="15" hidden="1" customHeight="1">
      <c r="A455" s="2372"/>
      <c r="B455" s="2372"/>
      <c r="C455" s="2372"/>
      <c r="D455" s="2372"/>
      <c r="E455" s="2372"/>
      <c r="F455" s="2372"/>
      <c r="G455" s="2372"/>
      <c r="H455" s="2372"/>
      <c r="I455" s="2372"/>
      <c r="J455" s="2372"/>
      <c r="K455" s="2372"/>
      <c r="L455" s="2372"/>
      <c r="M455" s="2372"/>
      <c r="N455" s="2372"/>
      <c r="O455" s="2372"/>
      <c r="P455" s="2372"/>
      <c r="Q455" s="2372"/>
      <c r="R455" s="2372"/>
      <c r="S455" s="2372"/>
      <c r="T455" s="2372"/>
      <c r="U455" s="2372"/>
      <c r="V455" s="2372"/>
      <c r="W455" s="2372"/>
      <c r="X455" s="2372"/>
      <c r="Y455" s="2372"/>
      <c r="Z455" s="2372"/>
      <c r="AA455" s="2372"/>
      <c r="AB455" s="2372"/>
      <c r="AC455" s="2372"/>
      <c r="AD455" s="2372"/>
      <c r="AE455" s="2372"/>
      <c r="AF455" s="2372"/>
      <c r="AG455" s="2372"/>
      <c r="AH455" s="2372"/>
      <c r="AI455" s="2372"/>
      <c r="AJ455" s="2372"/>
      <c r="AK455" s="2372"/>
      <c r="AL455" s="2372"/>
      <c r="AM455" s="2372"/>
      <c r="AN455" s="2372"/>
      <c r="AO455" s="2372"/>
      <c r="AP455" s="2372"/>
      <c r="AQ455" s="2372"/>
      <c r="AR455" s="2372"/>
      <c r="AS455" s="2372"/>
      <c r="AT455" s="2372"/>
      <c r="AU455" s="2372"/>
      <c r="AV455" s="2372"/>
      <c r="AW455" s="2372"/>
      <c r="AX455" s="2372"/>
      <c r="AY455" s="2372"/>
      <c r="AZ455" s="2372"/>
      <c r="BA455" s="2372"/>
      <c r="BB455" s="2372"/>
      <c r="BC455" s="2372"/>
      <c r="BD455" s="2372"/>
      <c r="BE455" s="2372"/>
      <c r="BF455" s="2372"/>
      <c r="BG455" s="2372"/>
      <c r="BH455" s="2372"/>
      <c r="BI455" s="2372"/>
      <c r="BJ455" s="2372"/>
      <c r="BK455" s="2372"/>
      <c r="BL455" s="2372"/>
      <c r="BM455" s="2372"/>
      <c r="BN455" s="2372"/>
      <c r="BO455" s="2372"/>
      <c r="BP455" s="2372"/>
      <c r="BQ455" s="2372"/>
      <c r="BR455" s="2372"/>
      <c r="BS455" s="2372"/>
      <c r="BT455" s="2372"/>
      <c r="BU455" s="2372"/>
      <c r="BV455" s="2372"/>
      <c r="BW455" s="2372"/>
      <c r="BX455" s="2372"/>
      <c r="BY455" s="2372"/>
      <c r="BZ455" s="2372"/>
      <c r="CA455" s="2372"/>
      <c r="CB455" s="2372"/>
      <c r="CC455" s="2372"/>
      <c r="CD455" s="2372"/>
      <c r="CE455" s="2372"/>
      <c r="CF455" s="2372"/>
      <c r="CG455" s="2372"/>
      <c r="CH455" s="2372"/>
      <c r="CI455" s="2372"/>
      <c r="CJ455" s="2372"/>
      <c r="CK455" s="2372"/>
      <c r="CL455" s="2372"/>
      <c r="CM455" s="2372"/>
      <c r="CN455" s="2372"/>
      <c r="CO455" s="2372"/>
      <c r="CP455" s="2372"/>
      <c r="CQ455" s="2372"/>
      <c r="CR455" s="2372"/>
      <c r="CS455" s="2372"/>
      <c r="CT455" s="2372"/>
      <c r="CU455" s="2372"/>
      <c r="CV455" s="2372"/>
      <c r="CW455" s="2372"/>
      <c r="CX455" s="2372"/>
      <c r="CY455" s="2372"/>
      <c r="CZ455" s="2372"/>
      <c r="DA455" s="2372"/>
    </row>
    <row r="456" spans="1:105" ht="15" hidden="1" customHeight="1">
      <c r="A456" s="2372"/>
      <c r="B456" s="2372"/>
      <c r="C456" s="2372"/>
      <c r="D456" s="2372"/>
      <c r="E456" s="2372"/>
      <c r="F456" s="2372"/>
      <c r="G456" s="2372"/>
      <c r="H456" s="2372"/>
      <c r="I456" s="2372"/>
      <c r="J456" s="2372"/>
      <c r="K456" s="2372"/>
      <c r="L456" s="2372"/>
      <c r="M456" s="2372"/>
      <c r="N456" s="2372"/>
      <c r="O456" s="2372"/>
      <c r="P456" s="2372"/>
      <c r="Q456" s="2372"/>
      <c r="R456" s="2372"/>
      <c r="S456" s="2372"/>
      <c r="T456" s="2372"/>
      <c r="U456" s="2372"/>
      <c r="V456" s="2372"/>
      <c r="W456" s="2372"/>
      <c r="X456" s="2372"/>
      <c r="Y456" s="2372"/>
      <c r="Z456" s="2372"/>
      <c r="AA456" s="2372"/>
      <c r="AB456" s="2372"/>
      <c r="AC456" s="2372"/>
      <c r="AD456" s="2372"/>
      <c r="AE456" s="2372"/>
      <c r="AF456" s="2372"/>
      <c r="AG456" s="2372"/>
      <c r="AH456" s="2372"/>
      <c r="AI456" s="2372"/>
      <c r="AJ456" s="2372"/>
      <c r="AK456" s="2372"/>
      <c r="AL456" s="2372"/>
      <c r="AM456" s="2372"/>
      <c r="AN456" s="2372"/>
      <c r="AO456" s="2372"/>
      <c r="AP456" s="2372"/>
      <c r="AQ456" s="2372"/>
      <c r="AR456" s="2372"/>
      <c r="AS456" s="2372"/>
      <c r="AT456" s="2372"/>
      <c r="AU456" s="2372"/>
      <c r="AV456" s="2372"/>
      <c r="AW456" s="2372"/>
      <c r="AX456" s="2372"/>
      <c r="AY456" s="2372"/>
      <c r="AZ456" s="2372"/>
      <c r="BA456" s="2372"/>
      <c r="BB456" s="2372"/>
      <c r="BC456" s="2372"/>
      <c r="BD456" s="2372"/>
      <c r="BE456" s="2372"/>
      <c r="BF456" s="2372"/>
      <c r="BG456" s="2372"/>
      <c r="BH456" s="2372"/>
      <c r="BI456" s="2372"/>
      <c r="BJ456" s="2372"/>
      <c r="BK456" s="2372"/>
      <c r="BL456" s="2372"/>
      <c r="BM456" s="2372"/>
      <c r="BN456" s="2372"/>
      <c r="BO456" s="2372"/>
      <c r="BP456" s="2372"/>
      <c r="BQ456" s="2372"/>
      <c r="BR456" s="2372"/>
      <c r="BS456" s="2372"/>
      <c r="BT456" s="2372"/>
      <c r="BU456" s="2372"/>
      <c r="BV456" s="2372"/>
      <c r="BW456" s="2372"/>
      <c r="BX456" s="2372"/>
      <c r="BY456" s="2372"/>
      <c r="BZ456" s="2372"/>
      <c r="CA456" s="2372"/>
      <c r="CB456" s="2372"/>
      <c r="CC456" s="2372"/>
      <c r="CD456" s="2372"/>
      <c r="CE456" s="2372"/>
      <c r="CF456" s="2372"/>
      <c r="CG456" s="2372"/>
      <c r="CH456" s="2372"/>
      <c r="CI456" s="2372"/>
      <c r="CJ456" s="2372"/>
      <c r="CK456" s="2372"/>
      <c r="CL456" s="2372"/>
      <c r="CM456" s="2372"/>
      <c r="CN456" s="2372"/>
      <c r="CO456" s="2372"/>
      <c r="CP456" s="2372"/>
      <c r="CQ456" s="2372"/>
      <c r="CR456" s="2372"/>
      <c r="CS456" s="2372"/>
      <c r="CT456" s="2372"/>
      <c r="CU456" s="2372"/>
      <c r="CV456" s="2372"/>
      <c r="CW456" s="2372"/>
      <c r="CX456" s="2372"/>
      <c r="CY456" s="2372"/>
      <c r="CZ456" s="2372"/>
      <c r="DA456" s="2372"/>
    </row>
    <row r="457" spans="1:105" ht="15" hidden="1" customHeight="1">
      <c r="A457" s="2372"/>
      <c r="B457" s="2372"/>
      <c r="C457" s="2372"/>
      <c r="D457" s="2372"/>
      <c r="E457" s="2372"/>
      <c r="F457" s="2372"/>
      <c r="G457" s="2372"/>
      <c r="H457" s="2372"/>
      <c r="I457" s="2372"/>
      <c r="J457" s="2372"/>
      <c r="K457" s="2372"/>
      <c r="L457" s="2372"/>
      <c r="M457" s="2372"/>
      <c r="N457" s="2372"/>
      <c r="O457" s="2372"/>
      <c r="P457" s="2372"/>
      <c r="Q457" s="2372"/>
      <c r="R457" s="2372"/>
      <c r="S457" s="2372"/>
      <c r="T457" s="2372"/>
      <c r="U457" s="2372"/>
      <c r="V457" s="2372"/>
      <c r="W457" s="2372"/>
      <c r="X457" s="2372"/>
      <c r="Y457" s="2372"/>
      <c r="Z457" s="2372"/>
      <c r="AA457" s="2372"/>
      <c r="AB457" s="2372"/>
      <c r="AC457" s="2372"/>
      <c r="AD457" s="2372"/>
      <c r="AE457" s="2372"/>
      <c r="AF457" s="2372"/>
      <c r="AG457" s="2372"/>
      <c r="AH457" s="2372"/>
      <c r="AI457" s="2372"/>
      <c r="AJ457" s="2372"/>
      <c r="AK457" s="2372"/>
      <c r="AL457" s="2372"/>
      <c r="AM457" s="2372"/>
      <c r="AN457" s="2372"/>
      <c r="AO457" s="2372"/>
      <c r="AP457" s="2372"/>
      <c r="AQ457" s="2372"/>
      <c r="AR457" s="2372"/>
      <c r="AS457" s="2372"/>
      <c r="AT457" s="2372"/>
      <c r="AU457" s="2372"/>
      <c r="AV457" s="2372"/>
      <c r="AW457" s="2372"/>
      <c r="AX457" s="2372"/>
      <c r="AY457" s="2372"/>
      <c r="AZ457" s="2372"/>
      <c r="BA457" s="2372"/>
      <c r="BB457" s="2372"/>
      <c r="BC457" s="2372"/>
      <c r="BD457" s="2372"/>
      <c r="BE457" s="2372"/>
      <c r="BF457" s="2372"/>
      <c r="BG457" s="2372"/>
      <c r="BH457" s="2372"/>
      <c r="BI457" s="2372"/>
      <c r="BJ457" s="2372"/>
      <c r="BK457" s="2372"/>
      <c r="BL457" s="2372"/>
      <c r="BM457" s="2372"/>
      <c r="BN457" s="2372"/>
      <c r="BO457" s="2372"/>
      <c r="BP457" s="2372"/>
      <c r="BQ457" s="2372"/>
      <c r="BR457" s="2372"/>
      <c r="BS457" s="2372"/>
      <c r="BT457" s="2372"/>
      <c r="BU457" s="2372"/>
      <c r="BV457" s="2372"/>
      <c r="BW457" s="2372"/>
      <c r="BX457" s="2372"/>
      <c r="BY457" s="2372"/>
      <c r="BZ457" s="2372"/>
      <c r="CA457" s="2372"/>
      <c r="CB457" s="2372"/>
      <c r="CC457" s="2372"/>
      <c r="CD457" s="2372"/>
      <c r="CE457" s="2372"/>
      <c r="CF457" s="2372"/>
      <c r="CG457" s="2372"/>
      <c r="CH457" s="2372"/>
      <c r="CI457" s="2372"/>
      <c r="CJ457" s="2372"/>
      <c r="CK457" s="2372"/>
      <c r="CL457" s="2372"/>
      <c r="CM457" s="2372"/>
      <c r="CN457" s="2372"/>
      <c r="CO457" s="2372"/>
      <c r="CP457" s="2372"/>
      <c r="CQ457" s="2372"/>
      <c r="CR457" s="2372"/>
      <c r="CS457" s="2372"/>
      <c r="CT457" s="2372"/>
      <c r="CU457" s="2372"/>
      <c r="CV457" s="2372"/>
      <c r="CW457" s="2372"/>
      <c r="CX457" s="2372"/>
      <c r="CY457" s="2372"/>
      <c r="CZ457" s="2372"/>
      <c r="DA457" s="2372"/>
    </row>
    <row r="458" spans="1:105" ht="15" hidden="1" customHeight="1">
      <c r="A458" s="2372"/>
      <c r="B458" s="2372"/>
      <c r="C458" s="2372"/>
      <c r="D458" s="2372"/>
      <c r="E458" s="2372"/>
      <c r="F458" s="2372"/>
      <c r="G458" s="2372"/>
      <c r="H458" s="2372"/>
      <c r="I458" s="2372"/>
      <c r="J458" s="2372"/>
      <c r="K458" s="2372"/>
      <c r="L458" s="2372"/>
      <c r="M458" s="2372"/>
      <c r="N458" s="2372"/>
      <c r="O458" s="2372"/>
      <c r="P458" s="2372"/>
      <c r="Q458" s="2372"/>
      <c r="R458" s="2372"/>
      <c r="S458" s="2372"/>
      <c r="T458" s="2372"/>
      <c r="U458" s="2372"/>
      <c r="V458" s="2372"/>
      <c r="W458" s="2372"/>
      <c r="X458" s="2372"/>
      <c r="Y458" s="2372"/>
      <c r="Z458" s="2372"/>
      <c r="AA458" s="2372"/>
      <c r="AB458" s="2372"/>
      <c r="AC458" s="2372"/>
      <c r="AD458" s="2372"/>
      <c r="AE458" s="2372"/>
      <c r="AF458" s="2372"/>
      <c r="AG458" s="2372"/>
      <c r="AH458" s="2372"/>
      <c r="AI458" s="2372"/>
      <c r="AJ458" s="2372"/>
      <c r="AK458" s="2372"/>
      <c r="AL458" s="2372"/>
      <c r="AM458" s="2372"/>
      <c r="AN458" s="2372"/>
      <c r="AO458" s="2372"/>
      <c r="AP458" s="2372"/>
      <c r="AQ458" s="2372"/>
      <c r="AR458" s="2372"/>
      <c r="AS458" s="2372"/>
      <c r="AT458" s="2372"/>
      <c r="AU458" s="2372"/>
      <c r="AV458" s="2372"/>
      <c r="AW458" s="2372"/>
      <c r="AX458" s="2372"/>
      <c r="AY458" s="2372"/>
      <c r="AZ458" s="2372"/>
      <c r="BA458" s="2372"/>
      <c r="BB458" s="2372"/>
      <c r="BC458" s="2372"/>
      <c r="BD458" s="2372"/>
      <c r="BE458" s="2372"/>
      <c r="BF458" s="2372"/>
      <c r="BG458" s="2372"/>
      <c r="BH458" s="2372"/>
      <c r="BI458" s="2372"/>
      <c r="BJ458" s="2372"/>
      <c r="BK458" s="2372"/>
      <c r="BL458" s="2372"/>
      <c r="BM458" s="2372"/>
      <c r="BN458" s="2372"/>
      <c r="BO458" s="2372"/>
      <c r="BP458" s="2372"/>
      <c r="BQ458" s="2372"/>
      <c r="BR458" s="2372"/>
      <c r="BS458" s="2372"/>
      <c r="BT458" s="2372"/>
      <c r="BU458" s="2372"/>
      <c r="BV458" s="2372"/>
      <c r="BW458" s="2372"/>
      <c r="BX458" s="2372"/>
      <c r="BY458" s="2372"/>
      <c r="BZ458" s="2372"/>
      <c r="CA458" s="2372"/>
      <c r="CB458" s="2372"/>
      <c r="CC458" s="2372"/>
      <c r="CD458" s="2372"/>
      <c r="CE458" s="2372"/>
      <c r="CF458" s="2372"/>
      <c r="CG458" s="2372"/>
      <c r="CH458" s="2372"/>
      <c r="CI458" s="2372"/>
      <c r="CJ458" s="2372"/>
      <c r="CK458" s="2372"/>
      <c r="CL458" s="2372"/>
      <c r="CM458" s="2372"/>
      <c r="CN458" s="2372"/>
      <c r="CO458" s="2372"/>
      <c r="CP458" s="2372"/>
      <c r="CQ458" s="2372"/>
      <c r="CR458" s="2372"/>
      <c r="CS458" s="2372"/>
      <c r="CT458" s="2372"/>
      <c r="CU458" s="2372"/>
      <c r="CV458" s="2372"/>
      <c r="CW458" s="2372"/>
      <c r="CX458" s="2372"/>
      <c r="CY458" s="2372"/>
      <c r="CZ458" s="2372"/>
      <c r="DA458" s="2372"/>
    </row>
    <row r="459" spans="1:105" ht="15" hidden="1" customHeight="1">
      <c r="A459" s="2372"/>
      <c r="B459" s="2372"/>
      <c r="C459" s="2372"/>
      <c r="D459" s="2372"/>
      <c r="E459" s="2372"/>
      <c r="F459" s="2372"/>
      <c r="G459" s="2372"/>
      <c r="H459" s="2372"/>
      <c r="I459" s="2372"/>
      <c r="J459" s="2372"/>
      <c r="K459" s="2372"/>
      <c r="L459" s="2372"/>
      <c r="M459" s="2372"/>
      <c r="N459" s="2372"/>
      <c r="O459" s="2372"/>
      <c r="P459" s="2372"/>
      <c r="Q459" s="2372"/>
      <c r="R459" s="2372"/>
      <c r="S459" s="2372"/>
      <c r="T459" s="2372"/>
      <c r="U459" s="2372"/>
      <c r="V459" s="2372"/>
      <c r="W459" s="2372"/>
      <c r="X459" s="2372"/>
      <c r="Y459" s="2372"/>
      <c r="Z459" s="2372"/>
      <c r="AA459" s="2372"/>
      <c r="AB459" s="2372"/>
      <c r="AC459" s="2372"/>
      <c r="AD459" s="2372"/>
      <c r="AE459" s="2372"/>
      <c r="AF459" s="2372"/>
      <c r="AG459" s="2372"/>
      <c r="AH459" s="2372"/>
      <c r="AI459" s="2372"/>
      <c r="AJ459" s="2372"/>
      <c r="AK459" s="2372"/>
      <c r="AL459" s="2372"/>
      <c r="AM459" s="2372"/>
      <c r="AN459" s="2372"/>
      <c r="AO459" s="2372"/>
      <c r="AP459" s="2372"/>
      <c r="AQ459" s="2372"/>
      <c r="AR459" s="2372"/>
      <c r="AS459" s="2372"/>
      <c r="AT459" s="2372"/>
      <c r="AU459" s="2372"/>
      <c r="AV459" s="2372"/>
      <c r="AW459" s="2372"/>
      <c r="AX459" s="2372"/>
      <c r="AY459" s="2372"/>
      <c r="AZ459" s="2372"/>
      <c r="BA459" s="2372"/>
      <c r="BB459" s="2372"/>
      <c r="BC459" s="2372"/>
      <c r="BD459" s="2372"/>
      <c r="BE459" s="2372"/>
      <c r="BF459" s="2372"/>
      <c r="BG459" s="2372"/>
      <c r="BH459" s="2372"/>
      <c r="BI459" s="2372"/>
      <c r="BJ459" s="2372"/>
      <c r="BK459" s="2372"/>
      <c r="BL459" s="2372"/>
      <c r="BM459" s="2372"/>
      <c r="BN459" s="2372"/>
      <c r="BO459" s="2372"/>
      <c r="BP459" s="2372"/>
      <c r="BQ459" s="2372"/>
      <c r="BR459" s="2372"/>
      <c r="BS459" s="2372"/>
      <c r="BT459" s="2372"/>
      <c r="BU459" s="2372"/>
      <c r="BV459" s="2372"/>
      <c r="BW459" s="2372"/>
      <c r="BX459" s="2372"/>
      <c r="BY459" s="2372"/>
      <c r="BZ459" s="2372"/>
      <c r="CA459" s="2372"/>
      <c r="CB459" s="2372"/>
      <c r="CC459" s="2372"/>
      <c r="CD459" s="2372"/>
      <c r="CE459" s="2372"/>
      <c r="CF459" s="2372"/>
      <c r="CG459" s="2372"/>
      <c r="CH459" s="2372"/>
      <c r="CI459" s="2372"/>
      <c r="CJ459" s="2372"/>
      <c r="CK459" s="2372"/>
      <c r="CL459" s="2372"/>
      <c r="CM459" s="2372"/>
      <c r="CN459" s="2372"/>
      <c r="CO459" s="2372"/>
      <c r="CP459" s="2372"/>
      <c r="CQ459" s="2372"/>
      <c r="CR459" s="2372"/>
      <c r="CS459" s="2372"/>
      <c r="CT459" s="2372"/>
      <c r="CU459" s="2372"/>
      <c r="CV459" s="2372"/>
      <c r="CW459" s="2372"/>
      <c r="CX459" s="2372"/>
      <c r="CY459" s="2372"/>
      <c r="CZ459" s="2372"/>
      <c r="DA459" s="2372"/>
    </row>
    <row r="460" spans="1:105" ht="15" hidden="1" customHeight="1">
      <c r="A460" s="2372"/>
      <c r="B460" s="2372"/>
      <c r="C460" s="2372"/>
      <c r="D460" s="2372"/>
      <c r="E460" s="2372"/>
      <c r="F460" s="2372"/>
      <c r="G460" s="2372"/>
      <c r="H460" s="2372"/>
      <c r="I460" s="2372"/>
      <c r="J460" s="2372"/>
      <c r="K460" s="2372"/>
      <c r="L460" s="2372"/>
      <c r="M460" s="2372"/>
      <c r="N460" s="2372"/>
      <c r="O460" s="2372"/>
      <c r="P460" s="2372"/>
      <c r="Q460" s="2372"/>
      <c r="R460" s="2372"/>
      <c r="S460" s="2372"/>
      <c r="T460" s="2372"/>
      <c r="U460" s="2372"/>
      <c r="V460" s="2372"/>
      <c r="W460" s="2372"/>
      <c r="X460" s="2372"/>
      <c r="Y460" s="2372"/>
      <c r="Z460" s="2372"/>
      <c r="AA460" s="2372"/>
      <c r="AB460" s="2372"/>
      <c r="AC460" s="2372"/>
      <c r="AD460" s="2372"/>
      <c r="AE460" s="2372"/>
      <c r="AF460" s="2372"/>
      <c r="AG460" s="2372"/>
      <c r="AH460" s="2372"/>
      <c r="AI460" s="2372"/>
      <c r="AJ460" s="2372"/>
      <c r="AK460" s="2372"/>
      <c r="AL460" s="2372"/>
      <c r="AM460" s="2372"/>
      <c r="AN460" s="2372"/>
      <c r="AO460" s="2372"/>
      <c r="AP460" s="2372"/>
      <c r="AQ460" s="2372"/>
      <c r="AR460" s="2372"/>
      <c r="AS460" s="2372"/>
      <c r="AT460" s="2372"/>
      <c r="AU460" s="2372"/>
      <c r="AV460" s="2372"/>
      <c r="AW460" s="2372"/>
      <c r="AX460" s="2372"/>
      <c r="AY460" s="2372"/>
      <c r="AZ460" s="2372"/>
      <c r="BA460" s="2372"/>
      <c r="BB460" s="2372"/>
      <c r="BC460" s="2372"/>
      <c r="BD460" s="2372"/>
      <c r="BE460" s="2372"/>
      <c r="BF460" s="2372"/>
      <c r="BG460" s="2372"/>
      <c r="BH460" s="2372"/>
      <c r="BI460" s="2372"/>
      <c r="BJ460" s="2372"/>
      <c r="BK460" s="2372"/>
      <c r="BL460" s="2372"/>
      <c r="BM460" s="2372"/>
      <c r="BN460" s="2372"/>
      <c r="BO460" s="2372"/>
      <c r="BP460" s="2372"/>
      <c r="BQ460" s="2372"/>
      <c r="BR460" s="2372"/>
      <c r="BS460" s="2372"/>
      <c r="BT460" s="2372"/>
      <c r="BU460" s="2372"/>
      <c r="BV460" s="2372"/>
      <c r="BW460" s="2372"/>
      <c r="BX460" s="2372"/>
      <c r="BY460" s="2372"/>
      <c r="BZ460" s="2372"/>
      <c r="CA460" s="2372"/>
      <c r="CB460" s="2372"/>
      <c r="CC460" s="2372"/>
      <c r="CD460" s="2372"/>
      <c r="CE460" s="2372"/>
      <c r="CF460" s="2372"/>
      <c r="CG460" s="2372"/>
      <c r="CH460" s="2372"/>
      <c r="CI460" s="2372"/>
      <c r="CJ460" s="2372"/>
      <c r="CK460" s="2372"/>
      <c r="CL460" s="2372"/>
      <c r="CM460" s="2372"/>
      <c r="CN460" s="2372"/>
      <c r="CO460" s="2372"/>
      <c r="CP460" s="2372"/>
      <c r="CQ460" s="2372"/>
      <c r="CR460" s="2372"/>
      <c r="CS460" s="2372"/>
      <c r="CT460" s="2372"/>
      <c r="CU460" s="2372"/>
      <c r="CV460" s="2372"/>
      <c r="CW460" s="2372"/>
      <c r="CX460" s="2372"/>
      <c r="CY460" s="2372"/>
      <c r="CZ460" s="2372"/>
      <c r="DA460" s="2372"/>
    </row>
    <row r="461" spans="1:105" ht="15" hidden="1" customHeight="1">
      <c r="A461" s="2372"/>
      <c r="B461" s="2372"/>
      <c r="C461" s="2372"/>
      <c r="D461" s="2372"/>
      <c r="E461" s="2372"/>
      <c r="F461" s="2372"/>
      <c r="G461" s="2372"/>
      <c r="H461" s="2372"/>
      <c r="I461" s="2372"/>
      <c r="J461" s="2372"/>
      <c r="K461" s="2372"/>
      <c r="L461" s="2372"/>
      <c r="M461" s="2372"/>
      <c r="N461" s="2372"/>
      <c r="O461" s="2372"/>
      <c r="P461" s="2372"/>
      <c r="Q461" s="2372"/>
      <c r="R461" s="2372"/>
      <c r="S461" s="2372"/>
      <c r="T461" s="2372"/>
      <c r="U461" s="2372"/>
      <c r="V461" s="2372"/>
      <c r="W461" s="2372"/>
      <c r="X461" s="2372"/>
      <c r="Y461" s="2372"/>
      <c r="Z461" s="2372"/>
      <c r="AA461" s="2372"/>
      <c r="AB461" s="2372"/>
      <c r="AC461" s="2372"/>
      <c r="AD461" s="2372"/>
      <c r="AE461" s="2372"/>
      <c r="AF461" s="2372"/>
      <c r="AG461" s="2372"/>
      <c r="AH461" s="2372"/>
      <c r="AI461" s="2372"/>
      <c r="AJ461" s="2372"/>
      <c r="AK461" s="2372"/>
      <c r="AL461" s="2372"/>
      <c r="AM461" s="2372"/>
      <c r="AN461" s="2372"/>
      <c r="AO461" s="2372"/>
      <c r="AP461" s="2372"/>
      <c r="AQ461" s="2372"/>
      <c r="AR461" s="2372"/>
      <c r="AS461" s="2372"/>
      <c r="AT461" s="2372"/>
      <c r="AU461" s="2372"/>
      <c r="AV461" s="2372"/>
      <c r="AW461" s="2372"/>
      <c r="AX461" s="2372"/>
      <c r="AY461" s="2372"/>
      <c r="AZ461" s="2372"/>
      <c r="BA461" s="2372"/>
      <c r="BB461" s="2372"/>
      <c r="BC461" s="2372"/>
      <c r="BD461" s="2372"/>
      <c r="BE461" s="2372"/>
      <c r="BF461" s="2372"/>
      <c r="BG461" s="2372"/>
      <c r="BH461" s="2372"/>
      <c r="BI461" s="2372"/>
      <c r="BJ461" s="2372"/>
      <c r="BK461" s="2372"/>
      <c r="BL461" s="2372"/>
      <c r="BM461" s="2372"/>
      <c r="BN461" s="2372"/>
      <c r="BO461" s="2372"/>
      <c r="BP461" s="2372"/>
      <c r="BQ461" s="2372"/>
      <c r="BR461" s="2372"/>
      <c r="BS461" s="2372"/>
      <c r="BT461" s="2372"/>
      <c r="BU461" s="2372"/>
      <c r="BV461" s="2372"/>
      <c r="BW461" s="2372"/>
      <c r="BX461" s="2372"/>
      <c r="BY461" s="2372"/>
      <c r="BZ461" s="2372"/>
      <c r="CA461" s="2372"/>
      <c r="CB461" s="2372"/>
      <c r="CC461" s="2372"/>
      <c r="CD461" s="2372"/>
      <c r="CE461" s="2372"/>
      <c r="CF461" s="2372"/>
      <c r="CG461" s="2372"/>
      <c r="CH461" s="2372"/>
      <c r="CI461" s="2372"/>
      <c r="CJ461" s="2372"/>
      <c r="CK461" s="2372"/>
      <c r="CL461" s="2372"/>
      <c r="CM461" s="2372"/>
      <c r="CN461" s="2372"/>
      <c r="CO461" s="2372"/>
      <c r="CP461" s="2372"/>
      <c r="CQ461" s="2372"/>
      <c r="CR461" s="2372"/>
      <c r="CS461" s="2372"/>
      <c r="CT461" s="2372"/>
      <c r="CU461" s="2372"/>
      <c r="CV461" s="2372"/>
      <c r="CW461" s="2372"/>
      <c r="CX461" s="2372"/>
      <c r="CY461" s="2372"/>
      <c r="CZ461" s="2372"/>
      <c r="DA461" s="2372"/>
    </row>
    <row r="462" spans="1:105" ht="15" hidden="1" customHeight="1">
      <c r="A462" s="2372"/>
      <c r="B462" s="2372"/>
      <c r="C462" s="2372"/>
      <c r="D462" s="2372"/>
      <c r="E462" s="2372"/>
      <c r="F462" s="2372"/>
      <c r="G462" s="2372"/>
      <c r="H462" s="2372"/>
      <c r="I462" s="2372"/>
      <c r="J462" s="2372"/>
      <c r="K462" s="2372"/>
      <c r="L462" s="2372"/>
      <c r="M462" s="2372"/>
      <c r="N462" s="2372"/>
      <c r="O462" s="2372"/>
      <c r="P462" s="2372"/>
      <c r="Q462" s="2372"/>
      <c r="R462" s="2372"/>
      <c r="S462" s="2372"/>
      <c r="T462" s="2372"/>
      <c r="U462" s="2372"/>
      <c r="V462" s="2372"/>
      <c r="W462" s="2372"/>
      <c r="X462" s="2372"/>
      <c r="Y462" s="2372"/>
      <c r="Z462" s="2372"/>
      <c r="AA462" s="2372"/>
      <c r="AB462" s="2372"/>
      <c r="AC462" s="2372"/>
      <c r="AD462" s="2372"/>
      <c r="AE462" s="2372"/>
      <c r="AF462" s="2372"/>
      <c r="AG462" s="2372"/>
      <c r="AH462" s="2372"/>
      <c r="AI462" s="2372"/>
      <c r="AJ462" s="2372"/>
      <c r="AK462" s="2372"/>
      <c r="AL462" s="2372"/>
      <c r="AM462" s="2372"/>
      <c r="AN462" s="2372"/>
      <c r="AO462" s="2372"/>
      <c r="AP462" s="2372"/>
      <c r="AQ462" s="2372"/>
      <c r="AR462" s="2372"/>
      <c r="AS462" s="2372"/>
      <c r="AT462" s="2372"/>
      <c r="AU462" s="2372"/>
      <c r="AV462" s="2372"/>
      <c r="AW462" s="2372"/>
      <c r="AX462" s="2372"/>
      <c r="AY462" s="2372"/>
      <c r="AZ462" s="2372"/>
      <c r="BA462" s="2372"/>
      <c r="BB462" s="2372"/>
      <c r="BC462" s="2372"/>
      <c r="BD462" s="2372"/>
      <c r="BE462" s="2372"/>
      <c r="BF462" s="2372"/>
      <c r="BG462" s="2372"/>
      <c r="BH462" s="2372"/>
      <c r="BI462" s="2372"/>
      <c r="BJ462" s="2372"/>
      <c r="BK462" s="2372"/>
      <c r="BL462" s="2372"/>
      <c r="BM462" s="2372"/>
      <c r="BN462" s="2372"/>
      <c r="BO462" s="2372"/>
      <c r="BP462" s="2372"/>
      <c r="BQ462" s="2372"/>
      <c r="BR462" s="2372"/>
      <c r="BS462" s="2372"/>
      <c r="BT462" s="2372"/>
      <c r="BU462" s="2372"/>
      <c r="BV462" s="2372"/>
      <c r="BW462" s="2372"/>
      <c r="BX462" s="2372"/>
      <c r="BY462" s="2372"/>
      <c r="BZ462" s="2372"/>
      <c r="CA462" s="2372"/>
      <c r="CB462" s="2372"/>
      <c r="CC462" s="2372"/>
      <c r="CD462" s="2372"/>
      <c r="CE462" s="2372"/>
      <c r="CF462" s="2372"/>
      <c r="CG462" s="2372"/>
      <c r="CH462" s="2372"/>
      <c r="CI462" s="2372"/>
      <c r="CJ462" s="2372"/>
      <c r="CK462" s="2372"/>
      <c r="CL462" s="2372"/>
      <c r="CM462" s="2372"/>
      <c r="CN462" s="2372"/>
      <c r="CO462" s="2372"/>
      <c r="CP462" s="2372"/>
      <c r="CQ462" s="2372"/>
      <c r="CR462" s="2372"/>
      <c r="CS462" s="2372"/>
      <c r="CT462" s="2372"/>
      <c r="CU462" s="2372"/>
      <c r="CV462" s="2372"/>
      <c r="CW462" s="2372"/>
      <c r="CX462" s="2372"/>
      <c r="CY462" s="2372"/>
      <c r="CZ462" s="2372"/>
      <c r="DA462" s="2372"/>
    </row>
    <row r="463" spans="1:105" ht="15" hidden="1" customHeight="1">
      <c r="A463" s="2372"/>
      <c r="B463" s="2372"/>
      <c r="C463" s="2372"/>
      <c r="D463" s="2372"/>
      <c r="E463" s="2372"/>
      <c r="F463" s="2372"/>
      <c r="G463" s="2372"/>
      <c r="H463" s="2372"/>
      <c r="I463" s="2372"/>
      <c r="J463" s="2372"/>
      <c r="K463" s="2372"/>
      <c r="L463" s="2372"/>
      <c r="M463" s="2372"/>
      <c r="N463" s="2372"/>
      <c r="O463" s="2372"/>
      <c r="P463" s="2372"/>
      <c r="Q463" s="2372"/>
      <c r="R463" s="2372"/>
      <c r="S463" s="2372"/>
      <c r="T463" s="2372"/>
      <c r="U463" s="2372"/>
      <c r="V463" s="2372"/>
      <c r="W463" s="2372"/>
      <c r="X463" s="2372"/>
      <c r="Y463" s="2372"/>
      <c r="Z463" s="2372"/>
      <c r="AA463" s="2372"/>
      <c r="AB463" s="2372"/>
      <c r="AC463" s="2372"/>
      <c r="AD463" s="2372"/>
      <c r="AE463" s="2372"/>
      <c r="AF463" s="2372"/>
      <c r="AG463" s="2372"/>
      <c r="AH463" s="2372"/>
      <c r="AI463" s="2372"/>
      <c r="AJ463" s="2372"/>
      <c r="AK463" s="2372"/>
      <c r="AL463" s="2372"/>
      <c r="AM463" s="2372"/>
      <c r="AN463" s="2372"/>
      <c r="AO463" s="2372"/>
      <c r="AP463" s="2372"/>
      <c r="AQ463" s="2372"/>
      <c r="AR463" s="2372"/>
      <c r="AS463" s="2372"/>
      <c r="AT463" s="2372"/>
      <c r="AU463" s="2372"/>
      <c r="AV463" s="2372"/>
      <c r="AW463" s="2372"/>
      <c r="AX463" s="2372"/>
      <c r="AY463" s="2372"/>
      <c r="AZ463" s="2372"/>
      <c r="BA463" s="2372"/>
      <c r="BB463" s="2372"/>
      <c r="BC463" s="2372"/>
      <c r="BD463" s="2372"/>
      <c r="BE463" s="2372"/>
      <c r="BF463" s="2372"/>
      <c r="BG463" s="2372"/>
      <c r="BH463" s="2372"/>
      <c r="BI463" s="2372"/>
      <c r="BJ463" s="2372"/>
      <c r="BK463" s="2372"/>
      <c r="BL463" s="2372"/>
      <c r="BM463" s="2372"/>
      <c r="BN463" s="2372"/>
      <c r="BO463" s="2372"/>
      <c r="BP463" s="2372"/>
      <c r="BQ463" s="2372"/>
      <c r="BR463" s="2372"/>
      <c r="BS463" s="2372"/>
      <c r="BT463" s="2372"/>
      <c r="BU463" s="2372"/>
      <c r="BV463" s="2372"/>
      <c r="BW463" s="2372"/>
      <c r="BX463" s="2372"/>
      <c r="BY463" s="2372"/>
      <c r="BZ463" s="2372"/>
      <c r="CA463" s="2372"/>
      <c r="CB463" s="2372"/>
      <c r="CC463" s="2372"/>
      <c r="CD463" s="2372"/>
      <c r="CE463" s="2372"/>
      <c r="CF463" s="2372"/>
      <c r="CG463" s="2372"/>
      <c r="CH463" s="2372"/>
      <c r="CI463" s="2372"/>
      <c r="CJ463" s="2372"/>
      <c r="CK463" s="2372"/>
      <c r="CL463" s="2372"/>
      <c r="CM463" s="2372"/>
      <c r="CN463" s="2372"/>
      <c r="CO463" s="2372"/>
      <c r="CP463" s="2372"/>
      <c r="CQ463" s="2372"/>
      <c r="CR463" s="2372"/>
      <c r="CS463" s="2372"/>
      <c r="CT463" s="2372"/>
      <c r="CU463" s="2372"/>
      <c r="CV463" s="2372"/>
      <c r="CW463" s="2372"/>
      <c r="CX463" s="2372"/>
      <c r="CY463" s="2372"/>
      <c r="CZ463" s="2372"/>
      <c r="DA463" s="2372"/>
    </row>
    <row r="464" spans="1:105" ht="15" hidden="1" customHeight="1">
      <c r="A464" s="2372"/>
      <c r="B464" s="2372"/>
      <c r="C464" s="2372"/>
      <c r="D464" s="2372"/>
      <c r="E464" s="2372"/>
      <c r="F464" s="2372"/>
      <c r="G464" s="2372"/>
      <c r="H464" s="2372"/>
      <c r="I464" s="2372"/>
      <c r="J464" s="2372"/>
      <c r="K464" s="2372"/>
      <c r="L464" s="2372"/>
      <c r="M464" s="2372"/>
      <c r="N464" s="2372"/>
      <c r="O464" s="2372"/>
      <c r="P464" s="2372"/>
      <c r="Q464" s="2372"/>
      <c r="R464" s="2372"/>
      <c r="S464" s="2372"/>
      <c r="T464" s="2372"/>
      <c r="U464" s="2372"/>
      <c r="V464" s="2372"/>
      <c r="W464" s="2372"/>
      <c r="X464" s="2372"/>
      <c r="Y464" s="2372"/>
      <c r="Z464" s="2372"/>
      <c r="AA464" s="2372"/>
      <c r="AB464" s="2372"/>
      <c r="AC464" s="2372"/>
      <c r="AD464" s="2372"/>
      <c r="AE464" s="2372"/>
      <c r="AF464" s="2372"/>
      <c r="AG464" s="2372"/>
      <c r="AH464" s="2372"/>
      <c r="AI464" s="2372"/>
      <c r="AJ464" s="2372"/>
      <c r="AK464" s="2372"/>
      <c r="AL464" s="2372"/>
      <c r="AM464" s="2372"/>
      <c r="AN464" s="2372"/>
      <c r="AO464" s="2372"/>
      <c r="AP464" s="2372"/>
      <c r="AQ464" s="2372"/>
      <c r="AR464" s="2372"/>
      <c r="AS464" s="2372"/>
      <c r="AT464" s="2372"/>
      <c r="AU464" s="2372"/>
      <c r="AV464" s="2372"/>
      <c r="AW464" s="2372"/>
      <c r="AX464" s="2372"/>
      <c r="AY464" s="2372"/>
      <c r="AZ464" s="2372"/>
      <c r="BA464" s="2372"/>
      <c r="BB464" s="2372"/>
      <c r="BC464" s="2372"/>
      <c r="BD464" s="2372"/>
      <c r="BE464" s="2372"/>
      <c r="BF464" s="2372"/>
      <c r="BG464" s="2372"/>
      <c r="BH464" s="2372"/>
      <c r="BI464" s="2372"/>
      <c r="BJ464" s="2372"/>
      <c r="BK464" s="2372"/>
      <c r="BL464" s="2372"/>
      <c r="BM464" s="2372"/>
      <c r="BN464" s="2372"/>
      <c r="BO464" s="2372"/>
      <c r="BP464" s="2372"/>
      <c r="BQ464" s="2372"/>
      <c r="BR464" s="2372"/>
      <c r="BS464" s="2372"/>
      <c r="BT464" s="2372"/>
      <c r="BU464" s="2372"/>
      <c r="BV464" s="2372"/>
      <c r="BW464" s="2372"/>
      <c r="BX464" s="2372"/>
      <c r="BY464" s="2372"/>
      <c r="BZ464" s="2372"/>
      <c r="CA464" s="2372"/>
      <c r="CB464" s="2372"/>
      <c r="CC464" s="2372"/>
      <c r="CD464" s="2372"/>
      <c r="CE464" s="2372"/>
      <c r="CF464" s="2372"/>
      <c r="CG464" s="2372"/>
      <c r="CH464" s="2372"/>
      <c r="CI464" s="2372"/>
      <c r="CJ464" s="2372"/>
      <c r="CK464" s="2372"/>
      <c r="CL464" s="2372"/>
      <c r="CM464" s="2372"/>
      <c r="CN464" s="2372"/>
      <c r="CO464" s="2372"/>
      <c r="CP464" s="2372"/>
      <c r="CQ464" s="2372"/>
      <c r="CR464" s="2372"/>
      <c r="CS464" s="2372"/>
      <c r="CT464" s="2372"/>
      <c r="CU464" s="2372"/>
      <c r="CV464" s="2372"/>
      <c r="CW464" s="2372"/>
      <c r="CX464" s="2372"/>
      <c r="CY464" s="2372"/>
      <c r="CZ464" s="2372"/>
      <c r="DA464" s="2372"/>
    </row>
    <row r="465" spans="1:105" ht="15" hidden="1" customHeight="1">
      <c r="A465" s="2372"/>
      <c r="B465" s="2372"/>
      <c r="C465" s="2372"/>
      <c r="D465" s="2372"/>
      <c r="E465" s="2372"/>
      <c r="F465" s="2372"/>
      <c r="G465" s="2372"/>
      <c r="H465" s="2372"/>
      <c r="I465" s="2372"/>
      <c r="J465" s="2372"/>
      <c r="K465" s="2372"/>
      <c r="L465" s="2372"/>
      <c r="M465" s="2372"/>
      <c r="N465" s="2372"/>
      <c r="O465" s="2372"/>
      <c r="P465" s="2372"/>
      <c r="Q465" s="2372"/>
      <c r="R465" s="2372"/>
      <c r="S465" s="2372"/>
      <c r="T465" s="2372"/>
      <c r="U465" s="2372"/>
      <c r="V465" s="2372"/>
      <c r="W465" s="2372"/>
      <c r="X465" s="2372"/>
      <c r="Y465" s="2372"/>
      <c r="Z465" s="2372"/>
      <c r="AA465" s="2372"/>
      <c r="AB465" s="2372"/>
      <c r="AC465" s="2372"/>
      <c r="AD465" s="2372"/>
      <c r="AE465" s="2372"/>
      <c r="AF465" s="2372"/>
      <c r="AG465" s="2372"/>
      <c r="AH465" s="2372"/>
      <c r="AI465" s="2372"/>
      <c r="AJ465" s="2372"/>
      <c r="AK465" s="2372"/>
      <c r="AL465" s="2372"/>
      <c r="AM465" s="2372"/>
      <c r="AN465" s="2372"/>
      <c r="AO465" s="2372"/>
      <c r="AP465" s="2372"/>
      <c r="AQ465" s="2372"/>
      <c r="AR465" s="2372"/>
      <c r="AS465" s="2372"/>
      <c r="AT465" s="2372"/>
      <c r="AU465" s="2372"/>
      <c r="AV465" s="2372"/>
      <c r="AW465" s="2372"/>
      <c r="AX465" s="2372"/>
      <c r="AY465" s="2372"/>
      <c r="AZ465" s="2372"/>
      <c r="BA465" s="2372"/>
      <c r="BB465" s="2372"/>
      <c r="BC465" s="2372"/>
      <c r="BD465" s="2372"/>
      <c r="BE465" s="2372"/>
      <c r="BF465" s="2372"/>
      <c r="BG465" s="2372"/>
      <c r="BH465" s="2372"/>
      <c r="BI465" s="2372"/>
      <c r="BJ465" s="2372"/>
      <c r="BK465" s="2372"/>
      <c r="BL465" s="2372"/>
      <c r="BM465" s="2372"/>
      <c r="BN465" s="2372"/>
      <c r="BO465" s="2372"/>
      <c r="BP465" s="2372"/>
      <c r="BQ465" s="2372"/>
      <c r="BR465" s="2372"/>
      <c r="BS465" s="2372"/>
      <c r="BT465" s="2372"/>
      <c r="BU465" s="2372"/>
      <c r="BV465" s="2372"/>
      <c r="BW465" s="2372"/>
      <c r="BX465" s="2372"/>
      <c r="BY465" s="2372"/>
      <c r="BZ465" s="2372"/>
      <c r="CA465" s="2372"/>
      <c r="CB465" s="2372"/>
      <c r="CC465" s="2372"/>
      <c r="CD465" s="2372"/>
      <c r="CE465" s="2372"/>
      <c r="CF465" s="2372"/>
      <c r="CG465" s="2372"/>
      <c r="CH465" s="2372"/>
      <c r="CI465" s="2372"/>
      <c r="CJ465" s="2372"/>
      <c r="CK465" s="2372"/>
      <c r="CL465" s="2372"/>
      <c r="CM465" s="2372"/>
      <c r="CN465" s="2372"/>
      <c r="CO465" s="2372"/>
      <c r="CP465" s="2372"/>
      <c r="CQ465" s="2372"/>
      <c r="CR465" s="2372"/>
      <c r="CS465" s="2372"/>
      <c r="CT465" s="2372"/>
      <c r="CU465" s="2372"/>
      <c r="CV465" s="2372"/>
      <c r="CW465" s="2372"/>
      <c r="CX465" s="2372"/>
      <c r="CY465" s="2372"/>
      <c r="CZ465" s="2372"/>
      <c r="DA465" s="2372"/>
    </row>
    <row r="466" spans="1:105" ht="15" hidden="1" customHeight="1">
      <c r="A466" s="2372"/>
      <c r="B466" s="2372"/>
      <c r="C466" s="2372"/>
      <c r="D466" s="2372"/>
      <c r="E466" s="2372"/>
      <c r="F466" s="2372"/>
      <c r="G466" s="2372"/>
      <c r="H466" s="2372"/>
      <c r="I466" s="2372"/>
      <c r="J466" s="2372"/>
      <c r="K466" s="2372"/>
      <c r="L466" s="2372"/>
      <c r="M466" s="2372"/>
      <c r="N466" s="2372"/>
      <c r="O466" s="2372"/>
      <c r="P466" s="2372"/>
      <c r="Q466" s="2372"/>
      <c r="R466" s="2372"/>
      <c r="S466" s="2372"/>
      <c r="T466" s="2372"/>
      <c r="U466" s="2372"/>
      <c r="V466" s="2372"/>
      <c r="W466" s="2372"/>
      <c r="X466" s="2372"/>
      <c r="Y466" s="2372"/>
      <c r="Z466" s="2372"/>
      <c r="AA466" s="2372"/>
      <c r="AB466" s="2372"/>
      <c r="AC466" s="2372"/>
      <c r="AD466" s="2372"/>
      <c r="AE466" s="2372"/>
      <c r="AF466" s="2372"/>
      <c r="AG466" s="2372"/>
      <c r="AH466" s="2372"/>
      <c r="AI466" s="2372"/>
      <c r="AJ466" s="2372"/>
      <c r="AK466" s="2372"/>
      <c r="AL466" s="2372"/>
      <c r="AM466" s="2372"/>
      <c r="AN466" s="2372"/>
      <c r="AO466" s="2372"/>
      <c r="AP466" s="2372"/>
      <c r="AQ466" s="2372"/>
      <c r="AR466" s="2372"/>
      <c r="AS466" s="2372"/>
      <c r="AT466" s="2372"/>
      <c r="AU466" s="2372"/>
      <c r="AV466" s="2372"/>
      <c r="AW466" s="2372"/>
      <c r="AX466" s="2372"/>
      <c r="AY466" s="2372"/>
      <c r="AZ466" s="2372"/>
      <c r="BA466" s="2372"/>
      <c r="BB466" s="2372"/>
      <c r="BC466" s="2372"/>
      <c r="BD466" s="2372"/>
      <c r="BE466" s="2372"/>
      <c r="BF466" s="2372"/>
      <c r="BG466" s="2372"/>
      <c r="BH466" s="2372"/>
      <c r="BI466" s="2372"/>
      <c r="BJ466" s="2372"/>
      <c r="BK466" s="2372"/>
      <c r="BL466" s="2372"/>
      <c r="BM466" s="2372"/>
      <c r="BN466" s="2372"/>
      <c r="BO466" s="2372"/>
      <c r="BP466" s="2372"/>
      <c r="BQ466" s="2372"/>
      <c r="BR466" s="2372"/>
      <c r="BS466" s="2372"/>
      <c r="BT466" s="2372"/>
      <c r="BU466" s="2372"/>
      <c r="BV466" s="2372"/>
      <c r="BW466" s="2372"/>
      <c r="BX466" s="2372"/>
      <c r="BY466" s="2372"/>
      <c r="BZ466" s="2372"/>
      <c r="CA466" s="2372"/>
      <c r="CB466" s="2372"/>
      <c r="CC466" s="2372"/>
      <c r="CD466" s="2372"/>
      <c r="CE466" s="2372"/>
      <c r="CF466" s="2372"/>
      <c r="CG466" s="2372"/>
      <c r="CH466" s="2372"/>
      <c r="CI466" s="2372"/>
      <c r="CJ466" s="2372"/>
      <c r="CK466" s="2372"/>
      <c r="CL466" s="2372"/>
      <c r="CM466" s="2372"/>
      <c r="CN466" s="2372"/>
      <c r="CO466" s="2372"/>
      <c r="CP466" s="2372"/>
      <c r="CQ466" s="2372"/>
      <c r="CR466" s="2372"/>
      <c r="CS466" s="2372"/>
      <c r="CT466" s="2372"/>
      <c r="CU466" s="2372"/>
      <c r="CV466" s="2372"/>
      <c r="CW466" s="2372"/>
      <c r="CX466" s="2372"/>
      <c r="CY466" s="2372"/>
      <c r="CZ466" s="2372"/>
      <c r="DA466" s="2372"/>
    </row>
    <row r="467" spans="1:105" ht="15" hidden="1" customHeight="1">
      <c r="A467" s="2372"/>
      <c r="B467" s="2372"/>
      <c r="C467" s="2372"/>
      <c r="D467" s="2372"/>
      <c r="E467" s="2372"/>
      <c r="F467" s="2372"/>
      <c r="G467" s="2372"/>
      <c r="H467" s="2372"/>
      <c r="I467" s="2372"/>
      <c r="J467" s="2372"/>
      <c r="K467" s="2372"/>
      <c r="L467" s="2372"/>
      <c r="M467" s="2372"/>
      <c r="N467" s="2372"/>
      <c r="O467" s="2372"/>
      <c r="P467" s="2372"/>
      <c r="Q467" s="2372"/>
      <c r="R467" s="2372"/>
      <c r="S467" s="2372"/>
      <c r="T467" s="2372"/>
      <c r="U467" s="2372"/>
      <c r="V467" s="2372"/>
      <c r="W467" s="2372"/>
      <c r="X467" s="2372"/>
      <c r="Y467" s="2372"/>
      <c r="Z467" s="2372"/>
      <c r="AA467" s="2372"/>
      <c r="AB467" s="2372"/>
      <c r="AC467" s="2372"/>
      <c r="AD467" s="2372"/>
      <c r="AE467" s="2372"/>
      <c r="AF467" s="2372"/>
      <c r="AG467" s="2372"/>
      <c r="AH467" s="2372"/>
      <c r="AI467" s="2372"/>
      <c r="AJ467" s="2372"/>
      <c r="AK467" s="2372"/>
      <c r="AL467" s="2372"/>
      <c r="AM467" s="2372"/>
      <c r="AN467" s="2372"/>
      <c r="AO467" s="2372"/>
      <c r="AP467" s="2372"/>
      <c r="AQ467" s="2372"/>
      <c r="AR467" s="2372"/>
      <c r="AS467" s="2372"/>
      <c r="AT467" s="2372"/>
      <c r="AU467" s="2372"/>
      <c r="AV467" s="2372"/>
      <c r="AW467" s="2372"/>
      <c r="AX467" s="2372"/>
      <c r="AY467" s="2372"/>
      <c r="AZ467" s="2372"/>
      <c r="BA467" s="2372"/>
      <c r="BB467" s="2372"/>
      <c r="BC467" s="2372"/>
      <c r="BD467" s="2372"/>
      <c r="BE467" s="2372"/>
      <c r="BF467" s="2372"/>
      <c r="BG467" s="2372"/>
      <c r="BH467" s="2372"/>
      <c r="BI467" s="2372"/>
      <c r="BJ467" s="2372"/>
      <c r="BK467" s="2372"/>
      <c r="BL467" s="2372"/>
      <c r="BM467" s="2372"/>
      <c r="BN467" s="2372"/>
      <c r="BO467" s="2372"/>
      <c r="BP467" s="2372"/>
      <c r="BQ467" s="2372"/>
      <c r="BR467" s="2372"/>
      <c r="BS467" s="2372"/>
      <c r="BT467" s="2372"/>
      <c r="BU467" s="2372"/>
      <c r="BV467" s="2372"/>
      <c r="BW467" s="2372"/>
      <c r="BX467" s="2372"/>
      <c r="BY467" s="2372"/>
      <c r="BZ467" s="2372"/>
      <c r="CA467" s="2372"/>
      <c r="CB467" s="2372"/>
      <c r="CC467" s="2372"/>
      <c r="CD467" s="2372"/>
      <c r="CE467" s="2372"/>
      <c r="CF467" s="2372"/>
      <c r="CG467" s="2372"/>
      <c r="CH467" s="2372"/>
      <c r="CI467" s="2372"/>
      <c r="CJ467" s="2372"/>
      <c r="CK467" s="2372"/>
      <c r="CL467" s="2372"/>
      <c r="CM467" s="2372"/>
      <c r="CN467" s="2372"/>
      <c r="CO467" s="2372"/>
      <c r="CP467" s="2372"/>
      <c r="CQ467" s="2372"/>
      <c r="CR467" s="2372"/>
      <c r="CS467" s="2372"/>
      <c r="CT467" s="2372"/>
      <c r="CU467" s="2372"/>
      <c r="CV467" s="2372"/>
      <c r="CW467" s="2372"/>
      <c r="CX467" s="2372"/>
      <c r="CY467" s="2372"/>
      <c r="CZ467" s="2372"/>
      <c r="DA467" s="2372"/>
    </row>
    <row r="468" spans="1:105" ht="15" hidden="1" customHeight="1">
      <c r="A468" s="2372"/>
      <c r="B468" s="2372"/>
      <c r="C468" s="2372"/>
      <c r="D468" s="2372"/>
      <c r="E468" s="2372"/>
      <c r="F468" s="2372"/>
      <c r="G468" s="2372"/>
      <c r="H468" s="2372"/>
      <c r="I468" s="2372"/>
      <c r="J468" s="2372"/>
      <c r="K468" s="2372"/>
      <c r="L468" s="2372"/>
      <c r="M468" s="2372"/>
      <c r="N468" s="2372"/>
      <c r="O468" s="2372"/>
      <c r="P468" s="2372"/>
      <c r="Q468" s="2372"/>
      <c r="R468" s="2372"/>
      <c r="S468" s="2372"/>
      <c r="T468" s="2372"/>
      <c r="U468" s="2372"/>
      <c r="V468" s="2372"/>
      <c r="W468" s="2372"/>
      <c r="X468" s="2372"/>
      <c r="Y468" s="2372"/>
      <c r="Z468" s="2372"/>
      <c r="AA468" s="2372"/>
      <c r="AB468" s="2372"/>
      <c r="AC468" s="2372"/>
      <c r="AD468" s="2372"/>
      <c r="AE468" s="2372"/>
      <c r="AF468" s="2372"/>
      <c r="AG468" s="2372"/>
      <c r="AH468" s="2372"/>
      <c r="AI468" s="2372"/>
      <c r="AJ468" s="2372"/>
      <c r="AK468" s="2372"/>
      <c r="AL468" s="2372"/>
      <c r="AM468" s="2372"/>
      <c r="AN468" s="2372"/>
      <c r="AO468" s="2372"/>
      <c r="AP468" s="2372"/>
      <c r="AQ468" s="2372"/>
      <c r="AR468" s="2372"/>
      <c r="AS468" s="2372"/>
      <c r="AT468" s="2372"/>
      <c r="AU468" s="2372"/>
      <c r="AV468" s="2372"/>
      <c r="AW468" s="2372"/>
      <c r="AX468" s="2372"/>
      <c r="AY468" s="2372"/>
      <c r="AZ468" s="2372"/>
      <c r="BA468" s="2372"/>
      <c r="BB468" s="2372"/>
      <c r="BC468" s="2372"/>
      <c r="BD468" s="2372"/>
      <c r="BE468" s="2372"/>
      <c r="BF468" s="2372"/>
      <c r="BG468" s="2372"/>
      <c r="BH468" s="2372"/>
      <c r="BI468" s="2372"/>
      <c r="BJ468" s="2372"/>
      <c r="BK468" s="2372"/>
      <c r="BL468" s="2372"/>
      <c r="BM468" s="2372"/>
      <c r="BN468" s="2372"/>
      <c r="BO468" s="2372"/>
      <c r="BP468" s="2372"/>
      <c r="BQ468" s="2372"/>
      <c r="BR468" s="2372"/>
      <c r="BS468" s="2372"/>
      <c r="BT468" s="2372"/>
      <c r="BU468" s="2372"/>
      <c r="BV468" s="2372"/>
      <c r="BW468" s="2372"/>
      <c r="BX468" s="2372"/>
      <c r="BY468" s="2372"/>
      <c r="BZ468" s="2372"/>
      <c r="CA468" s="2372"/>
      <c r="CB468" s="2372"/>
      <c r="CC468" s="2372"/>
      <c r="CD468" s="2372"/>
      <c r="CE468" s="2372"/>
      <c r="CF468" s="2372"/>
      <c r="CG468" s="2372"/>
      <c r="CH468" s="2372"/>
      <c r="CI468" s="2372"/>
      <c r="CJ468" s="2372"/>
      <c r="CK468" s="2372"/>
      <c r="CL468" s="2372"/>
      <c r="CM468" s="2372"/>
      <c r="CN468" s="2372"/>
      <c r="CO468" s="2372"/>
      <c r="CP468" s="2372"/>
      <c r="CQ468" s="2372"/>
      <c r="CR468" s="2372"/>
      <c r="CS468" s="2372"/>
      <c r="CT468" s="2372"/>
      <c r="CU468" s="2372"/>
      <c r="CV468" s="2372"/>
      <c r="CW468" s="2372"/>
      <c r="CX468" s="2372"/>
      <c r="CY468" s="2372"/>
      <c r="CZ468" s="2372"/>
      <c r="DA468" s="2372"/>
    </row>
    <row r="469" spans="1:105" ht="15" hidden="1" customHeight="1">
      <c r="A469" s="2372"/>
      <c r="B469" s="2372"/>
      <c r="C469" s="2372"/>
      <c r="D469" s="2372"/>
      <c r="E469" s="2372"/>
      <c r="F469" s="2372"/>
      <c r="G469" s="2372"/>
      <c r="H469" s="2372"/>
      <c r="I469" s="2372"/>
      <c r="J469" s="2372"/>
      <c r="K469" s="2372"/>
      <c r="L469" s="2372"/>
      <c r="M469" s="2372"/>
      <c r="N469" s="2372"/>
      <c r="O469" s="2372"/>
      <c r="P469" s="2372"/>
      <c r="Q469" s="2372"/>
      <c r="R469" s="2372"/>
      <c r="S469" s="2372"/>
      <c r="T469" s="2372"/>
      <c r="U469" s="2372"/>
      <c r="V469" s="2372"/>
      <c r="W469" s="2372"/>
      <c r="X469" s="2372"/>
      <c r="Y469" s="2372"/>
      <c r="Z469" s="2372"/>
      <c r="AA469" s="2372"/>
      <c r="AB469" s="2372"/>
      <c r="AC469" s="2372"/>
      <c r="AD469" s="2372"/>
      <c r="AE469" s="2372"/>
      <c r="AF469" s="2372"/>
      <c r="AG469" s="2372"/>
      <c r="AH469" s="2372"/>
      <c r="AI469" s="2372"/>
      <c r="AJ469" s="2372"/>
      <c r="AK469" s="2372"/>
      <c r="AL469" s="2372"/>
      <c r="AM469" s="2372"/>
      <c r="AN469" s="2372"/>
      <c r="AO469" s="2372"/>
      <c r="AP469" s="2372"/>
      <c r="AQ469" s="2372"/>
      <c r="AR469" s="2372"/>
      <c r="AS469" s="2372"/>
      <c r="AT469" s="2372"/>
      <c r="AU469" s="2372"/>
      <c r="AV469" s="2372"/>
      <c r="AW469" s="2372"/>
      <c r="AX469" s="2372"/>
      <c r="AY469" s="2372"/>
      <c r="AZ469" s="2372"/>
      <c r="BA469" s="2372"/>
      <c r="BB469" s="2372"/>
      <c r="BC469" s="2372"/>
      <c r="BD469" s="2372"/>
      <c r="BE469" s="2372"/>
      <c r="BF469" s="2372"/>
      <c r="BG469" s="2372"/>
      <c r="BH469" s="2372"/>
      <c r="BI469" s="2372"/>
      <c r="BJ469" s="2372"/>
      <c r="BK469" s="2372"/>
      <c r="BL469" s="2372"/>
      <c r="BM469" s="2372"/>
      <c r="BN469" s="2372"/>
      <c r="BO469" s="2372"/>
      <c r="BP469" s="2372"/>
      <c r="BQ469" s="2372"/>
      <c r="BR469" s="2372"/>
      <c r="BS469" s="2372"/>
      <c r="BT469" s="2372"/>
      <c r="BU469" s="2372"/>
      <c r="BV469" s="2372"/>
      <c r="BW469" s="2372"/>
      <c r="BX469" s="2372"/>
      <c r="BY469" s="2372"/>
      <c r="BZ469" s="2372"/>
      <c r="CA469" s="2372"/>
      <c r="CB469" s="2372"/>
      <c r="CC469" s="2372"/>
      <c r="CD469" s="2372"/>
      <c r="CE469" s="2372"/>
      <c r="CF469" s="2372"/>
      <c r="CG469" s="2372"/>
      <c r="CH469" s="2372"/>
      <c r="CI469" s="2372"/>
      <c r="CJ469" s="2372"/>
      <c r="CK469" s="2372"/>
      <c r="CL469" s="2372"/>
      <c r="CM469" s="2372"/>
      <c r="CN469" s="2372"/>
      <c r="CO469" s="2372"/>
      <c r="CP469" s="2372"/>
      <c r="CQ469" s="2372"/>
      <c r="CR469" s="2372"/>
      <c r="CS469" s="2372"/>
      <c r="CT469" s="2372"/>
      <c r="CU469" s="2372"/>
      <c r="CV469" s="2372"/>
      <c r="CW469" s="2372"/>
      <c r="CX469" s="2372"/>
      <c r="CY469" s="2372"/>
      <c r="CZ469" s="2372"/>
      <c r="DA469" s="2372"/>
    </row>
    <row r="470" spans="1:105" ht="15" hidden="1" customHeight="1">
      <c r="A470" s="2372"/>
      <c r="B470" s="2372"/>
      <c r="C470" s="2372"/>
      <c r="D470" s="2372"/>
      <c r="E470" s="2372"/>
      <c r="F470" s="2372"/>
      <c r="G470" s="2372"/>
      <c r="H470" s="2372"/>
      <c r="I470" s="2372"/>
      <c r="J470" s="2372"/>
      <c r="K470" s="2372"/>
      <c r="L470" s="2372"/>
      <c r="M470" s="2372"/>
      <c r="N470" s="2372"/>
      <c r="O470" s="2372"/>
      <c r="P470" s="2372"/>
      <c r="Q470" s="2372"/>
      <c r="R470" s="2372"/>
      <c r="S470" s="2372"/>
      <c r="T470" s="2372"/>
      <c r="U470" s="2372"/>
      <c r="V470" s="2372"/>
      <c r="W470" s="2372"/>
      <c r="X470" s="2372"/>
      <c r="Y470" s="2372"/>
      <c r="Z470" s="2372"/>
      <c r="AA470" s="2372"/>
      <c r="AB470" s="2372"/>
      <c r="AC470" s="2372"/>
      <c r="AD470" s="2372"/>
      <c r="AE470" s="2372"/>
      <c r="AF470" s="2372"/>
      <c r="AG470" s="2372"/>
      <c r="AH470" s="2372"/>
      <c r="AI470" s="2372"/>
      <c r="AJ470" s="2372"/>
      <c r="AK470" s="2372"/>
      <c r="AL470" s="2372"/>
      <c r="AM470" s="2372"/>
      <c r="AN470" s="2372"/>
      <c r="AO470" s="2372"/>
      <c r="AP470" s="2372"/>
      <c r="AQ470" s="2372"/>
      <c r="AR470" s="2372"/>
      <c r="AS470" s="2372"/>
      <c r="AT470" s="2372"/>
      <c r="AU470" s="2372"/>
      <c r="AV470" s="2372"/>
      <c r="AW470" s="2372"/>
      <c r="AX470" s="2372"/>
      <c r="AY470" s="2372"/>
      <c r="AZ470" s="2372"/>
      <c r="BA470" s="2372"/>
      <c r="BB470" s="2372"/>
      <c r="BC470" s="2372"/>
      <c r="BD470" s="2372"/>
      <c r="BE470" s="2372"/>
      <c r="BF470" s="2372"/>
      <c r="BG470" s="2372"/>
      <c r="BH470" s="2372"/>
      <c r="BI470" s="2372"/>
      <c r="BJ470" s="2372"/>
      <c r="BK470" s="2372"/>
      <c r="BL470" s="2372"/>
      <c r="BM470" s="2372"/>
      <c r="BN470" s="2372"/>
      <c r="BO470" s="2372"/>
      <c r="BP470" s="2372"/>
      <c r="BQ470" s="2372"/>
      <c r="BR470" s="2372"/>
      <c r="BS470" s="2372"/>
      <c r="BT470" s="2372"/>
      <c r="BU470" s="2372"/>
      <c r="BV470" s="2372"/>
      <c r="BW470" s="2372"/>
      <c r="BX470" s="2372"/>
      <c r="BY470" s="2372"/>
      <c r="BZ470" s="2372"/>
      <c r="CA470" s="2372"/>
      <c r="CB470" s="2372"/>
      <c r="CC470" s="2372"/>
      <c r="CD470" s="2372"/>
      <c r="CE470" s="2372"/>
      <c r="CF470" s="2372"/>
      <c r="CG470" s="2372"/>
      <c r="CH470" s="2372"/>
      <c r="CI470" s="2372"/>
      <c r="CJ470" s="2372"/>
      <c r="CK470" s="2372"/>
      <c r="CL470" s="2372"/>
      <c r="CM470" s="2372"/>
      <c r="CN470" s="2372"/>
      <c r="CO470" s="2372"/>
      <c r="CP470" s="2372"/>
      <c r="CQ470" s="2372"/>
      <c r="CR470" s="2372"/>
      <c r="CS470" s="2372"/>
      <c r="CT470" s="2372"/>
      <c r="CU470" s="2372"/>
      <c r="CV470" s="2372"/>
      <c r="CW470" s="2372"/>
      <c r="CX470" s="2372"/>
      <c r="CY470" s="2372"/>
      <c r="CZ470" s="2372"/>
      <c r="DA470" s="2372"/>
    </row>
    <row r="471" spans="1:105" ht="15" hidden="1" customHeight="1">
      <c r="A471" s="2372"/>
      <c r="B471" s="2372"/>
      <c r="C471" s="2372"/>
      <c r="D471" s="2372"/>
      <c r="E471" s="2372"/>
      <c r="F471" s="2372"/>
      <c r="G471" s="2372"/>
      <c r="H471" s="2372"/>
      <c r="I471" s="2372"/>
      <c r="J471" s="2372"/>
      <c r="K471" s="2372"/>
      <c r="L471" s="2372"/>
      <c r="M471" s="2372"/>
      <c r="N471" s="2372"/>
      <c r="O471" s="2372"/>
      <c r="P471" s="2372"/>
      <c r="Q471" s="2372"/>
      <c r="R471" s="2372"/>
      <c r="S471" s="2372"/>
      <c r="T471" s="2372"/>
      <c r="U471" s="2372"/>
      <c r="V471" s="2372"/>
      <c r="W471" s="2372"/>
      <c r="X471" s="2372"/>
      <c r="Y471" s="2372"/>
      <c r="Z471" s="2372"/>
      <c r="AA471" s="2372"/>
      <c r="AB471" s="2372"/>
      <c r="AC471" s="2372"/>
      <c r="AD471" s="2372"/>
      <c r="AE471" s="2372"/>
      <c r="AF471" s="2372"/>
      <c r="AG471" s="2372"/>
      <c r="AH471" s="2372"/>
      <c r="AI471" s="2372"/>
      <c r="AJ471" s="2372"/>
      <c r="AK471" s="2372"/>
      <c r="AL471" s="2372"/>
      <c r="AM471" s="2372"/>
      <c r="AN471" s="2372"/>
      <c r="AO471" s="2372"/>
      <c r="AP471" s="2372"/>
      <c r="AQ471" s="2372"/>
      <c r="AR471" s="2372"/>
      <c r="AS471" s="2372"/>
      <c r="AT471" s="2372"/>
      <c r="AU471" s="2372"/>
      <c r="AV471" s="2372"/>
      <c r="AW471" s="2372"/>
      <c r="AX471" s="2372"/>
      <c r="AY471" s="2372"/>
      <c r="AZ471" s="2372"/>
      <c r="BA471" s="2372"/>
      <c r="BB471" s="2372"/>
      <c r="BC471" s="2372"/>
      <c r="BD471" s="2372"/>
      <c r="BE471" s="2372"/>
      <c r="BF471" s="2372"/>
      <c r="BG471" s="2372"/>
      <c r="BH471" s="2372"/>
      <c r="BI471" s="2372"/>
      <c r="BJ471" s="2372"/>
      <c r="BK471" s="2372"/>
      <c r="BL471" s="2372"/>
      <c r="BM471" s="2372"/>
      <c r="BN471" s="2372"/>
      <c r="BO471" s="2372"/>
      <c r="BP471" s="2372"/>
      <c r="BQ471" s="2372"/>
      <c r="BR471" s="2372"/>
      <c r="BS471" s="2372"/>
      <c r="BT471" s="2372"/>
      <c r="BU471" s="2372"/>
      <c r="BV471" s="2372"/>
      <c r="BW471" s="2372"/>
      <c r="BX471" s="2372"/>
      <c r="BY471" s="2372"/>
      <c r="BZ471" s="2372"/>
      <c r="CA471" s="2372"/>
      <c r="CB471" s="2372"/>
      <c r="CC471" s="2372"/>
      <c r="CD471" s="2372"/>
      <c r="CE471" s="2372"/>
      <c r="CF471" s="2372"/>
      <c r="CG471" s="2372"/>
      <c r="CH471" s="2372"/>
      <c r="CI471" s="2372"/>
      <c r="CJ471" s="2372"/>
      <c r="CK471" s="2372"/>
      <c r="CL471" s="2372"/>
      <c r="CM471" s="2372"/>
      <c r="CN471" s="2372"/>
      <c r="CO471" s="2372"/>
      <c r="CP471" s="2372"/>
      <c r="CQ471" s="2372"/>
      <c r="CR471" s="2372"/>
      <c r="CS471" s="2372"/>
      <c r="CT471" s="2372"/>
      <c r="CU471" s="2372"/>
      <c r="CV471" s="2372"/>
      <c r="CW471" s="2372"/>
      <c r="CX471" s="2372"/>
      <c r="CY471" s="2372"/>
      <c r="CZ471" s="2372"/>
      <c r="DA471" s="2372"/>
    </row>
    <row r="472" spans="1:105" ht="15" hidden="1" customHeight="1">
      <c r="A472" s="2372"/>
      <c r="B472" s="2372"/>
      <c r="C472" s="2372"/>
      <c r="D472" s="2372"/>
      <c r="E472" s="2372"/>
      <c r="F472" s="2372"/>
      <c r="G472" s="2372"/>
      <c r="H472" s="2372"/>
      <c r="I472" s="2372"/>
      <c r="J472" s="2372"/>
      <c r="K472" s="2372"/>
      <c r="L472" s="2372"/>
      <c r="M472" s="2372"/>
      <c r="N472" s="2372"/>
      <c r="O472" s="2372"/>
      <c r="P472" s="2372"/>
      <c r="Q472" s="2372"/>
      <c r="R472" s="2372"/>
      <c r="S472" s="2372"/>
      <c r="T472" s="2372"/>
      <c r="U472" s="2372"/>
      <c r="V472" s="2372"/>
      <c r="W472" s="2372"/>
      <c r="X472" s="2372"/>
      <c r="Y472" s="2372"/>
      <c r="Z472" s="2372"/>
      <c r="AA472" s="2372"/>
      <c r="AB472" s="2372"/>
      <c r="AC472" s="2372"/>
      <c r="AD472" s="2372"/>
      <c r="AE472" s="2372"/>
      <c r="AF472" s="2372"/>
      <c r="AG472" s="2372"/>
      <c r="AH472" s="2372"/>
      <c r="AI472" s="2372"/>
      <c r="AJ472" s="2372"/>
      <c r="AK472" s="2372"/>
      <c r="AL472" s="2372"/>
      <c r="AM472" s="2372"/>
      <c r="AN472" s="2372"/>
      <c r="AO472" s="2372"/>
      <c r="AP472" s="2372"/>
      <c r="AQ472" s="2372"/>
      <c r="AR472" s="2372"/>
      <c r="AS472" s="2372"/>
      <c r="AT472" s="2372"/>
      <c r="AU472" s="2372"/>
      <c r="AV472" s="2372"/>
      <c r="AW472" s="2372"/>
      <c r="AX472" s="2372"/>
      <c r="AY472" s="2372"/>
      <c r="AZ472" s="2372"/>
      <c r="BA472" s="2372"/>
      <c r="BB472" s="2372"/>
      <c r="BC472" s="2372"/>
      <c r="BD472" s="2372"/>
      <c r="BE472" s="2372"/>
      <c r="BF472" s="2372"/>
      <c r="BG472" s="2372"/>
      <c r="BH472" s="2372"/>
      <c r="BI472" s="2372"/>
      <c r="BJ472" s="2372"/>
      <c r="BK472" s="2372"/>
      <c r="BL472" s="2372"/>
      <c r="BM472" s="2372"/>
      <c r="BN472" s="2372"/>
      <c r="BO472" s="2372"/>
      <c r="BP472" s="2372"/>
      <c r="BQ472" s="2372"/>
      <c r="BR472" s="2372"/>
      <c r="BS472" s="2372"/>
      <c r="BT472" s="2372"/>
      <c r="BU472" s="2372"/>
      <c r="BV472" s="2372"/>
      <c r="BW472" s="2372"/>
      <c r="BX472" s="2372"/>
      <c r="BY472" s="2372"/>
      <c r="BZ472" s="2372"/>
      <c r="CA472" s="2372"/>
      <c r="CB472" s="2372"/>
      <c r="CC472" s="2372"/>
      <c r="CD472" s="2372"/>
      <c r="CE472" s="2372"/>
      <c r="CF472" s="2372"/>
      <c r="CG472" s="2372"/>
      <c r="CH472" s="2372"/>
      <c r="CI472" s="2372"/>
      <c r="CJ472" s="2372"/>
      <c r="CK472" s="2372"/>
      <c r="CL472" s="2372"/>
      <c r="CM472" s="2372"/>
      <c r="CN472" s="2372"/>
      <c r="CO472" s="2372"/>
      <c r="CP472" s="2372"/>
      <c r="CQ472" s="2372"/>
      <c r="CR472" s="2372"/>
      <c r="CS472" s="2372"/>
      <c r="CT472" s="2372"/>
      <c r="CU472" s="2372"/>
      <c r="CV472" s="2372"/>
      <c r="CW472" s="2372"/>
      <c r="CX472" s="2372"/>
      <c r="CY472" s="2372"/>
      <c r="CZ472" s="2372"/>
      <c r="DA472" s="2372"/>
    </row>
    <row r="473" spans="1:105" ht="15" hidden="1" customHeight="1">
      <c r="A473" s="2372"/>
      <c r="B473" s="2372"/>
      <c r="C473" s="2372"/>
      <c r="D473" s="2372"/>
      <c r="E473" s="2372"/>
      <c r="F473" s="2372"/>
      <c r="G473" s="2372"/>
      <c r="H473" s="2372"/>
      <c r="I473" s="2372"/>
      <c r="J473" s="2372"/>
      <c r="K473" s="2372"/>
      <c r="L473" s="2372"/>
      <c r="M473" s="2372"/>
      <c r="N473" s="2372"/>
      <c r="O473" s="2372"/>
      <c r="P473" s="2372"/>
      <c r="Q473" s="2372"/>
      <c r="R473" s="2372"/>
      <c r="S473" s="2372"/>
      <c r="T473" s="2372"/>
      <c r="U473" s="2372"/>
      <c r="V473" s="2372"/>
      <c r="W473" s="2372"/>
      <c r="X473" s="2372"/>
      <c r="Y473" s="2372"/>
      <c r="Z473" s="2372"/>
      <c r="AA473" s="2372"/>
      <c r="AB473" s="2372"/>
      <c r="AC473" s="2372"/>
      <c r="AD473" s="2372"/>
      <c r="AE473" s="2372"/>
      <c r="AF473" s="2372"/>
      <c r="AG473" s="2372"/>
      <c r="AH473" s="2372"/>
      <c r="AI473" s="2372"/>
      <c r="AJ473" s="2372"/>
      <c r="AK473" s="2372"/>
      <c r="AL473" s="2372"/>
      <c r="AM473" s="2372"/>
      <c r="AN473" s="2372"/>
      <c r="AO473" s="2372"/>
      <c r="AP473" s="2372"/>
      <c r="AQ473" s="2372"/>
      <c r="AR473" s="2372"/>
      <c r="AS473" s="2372"/>
      <c r="AT473" s="2372"/>
      <c r="AU473" s="2372"/>
      <c r="AV473" s="2372"/>
      <c r="AW473" s="2372"/>
      <c r="AX473" s="2372"/>
      <c r="AY473" s="2372"/>
      <c r="AZ473" s="2372"/>
      <c r="BA473" s="2372"/>
      <c r="BB473" s="2372"/>
      <c r="BC473" s="2372"/>
      <c r="BD473" s="2372"/>
      <c r="BE473" s="2372"/>
      <c r="BF473" s="2372"/>
      <c r="BG473" s="2372"/>
      <c r="BH473" s="2372"/>
      <c r="BI473" s="2372"/>
      <c r="BJ473" s="2372"/>
      <c r="BK473" s="2372"/>
      <c r="BL473" s="2372"/>
      <c r="BM473" s="2372"/>
      <c r="BN473" s="2372"/>
      <c r="BO473" s="2372"/>
      <c r="BP473" s="2372"/>
      <c r="BQ473" s="2372"/>
      <c r="BR473" s="2372"/>
      <c r="BS473" s="2372"/>
      <c r="BT473" s="2372"/>
      <c r="BU473" s="2372"/>
      <c r="BV473" s="2372"/>
      <c r="BW473" s="2372"/>
      <c r="BX473" s="2372"/>
      <c r="BY473" s="2372"/>
      <c r="BZ473" s="2372"/>
      <c r="CA473" s="2372"/>
      <c r="CB473" s="2372"/>
      <c r="CC473" s="2372"/>
      <c r="CD473" s="2372"/>
      <c r="CE473" s="2372"/>
      <c r="CF473" s="2372"/>
      <c r="CG473" s="2372"/>
      <c r="CH473" s="2372"/>
      <c r="CI473" s="2372"/>
      <c r="CJ473" s="2372"/>
      <c r="CK473" s="2372"/>
      <c r="CL473" s="2372"/>
      <c r="CM473" s="2372"/>
      <c r="CN473" s="2372"/>
      <c r="CO473" s="2372"/>
      <c r="CP473" s="2372"/>
      <c r="CQ473" s="2372"/>
      <c r="CR473" s="2372"/>
      <c r="CS473" s="2372"/>
      <c r="CT473" s="2372"/>
      <c r="CU473" s="2372"/>
      <c r="CV473" s="2372"/>
      <c r="CW473" s="2372"/>
      <c r="CX473" s="2372"/>
      <c r="CY473" s="2372"/>
      <c r="CZ473" s="2372"/>
      <c r="DA473" s="2372"/>
    </row>
    <row r="474" spans="1:105" ht="15" hidden="1" customHeight="1">
      <c r="A474" s="2372"/>
      <c r="B474" s="2372"/>
      <c r="C474" s="2372"/>
      <c r="D474" s="2372"/>
      <c r="E474" s="2372"/>
      <c r="F474" s="2372"/>
      <c r="G474" s="2372"/>
      <c r="H474" s="2372"/>
      <c r="I474" s="2372"/>
      <c r="J474" s="2372"/>
      <c r="K474" s="2372"/>
      <c r="L474" s="2372"/>
      <c r="M474" s="2372"/>
      <c r="N474" s="2372"/>
      <c r="O474" s="2372"/>
      <c r="P474" s="2372"/>
      <c r="Q474" s="2372"/>
      <c r="R474" s="2372"/>
      <c r="S474" s="2372"/>
      <c r="T474" s="2372"/>
      <c r="U474" s="2372"/>
      <c r="V474" s="2372"/>
      <c r="W474" s="2372"/>
      <c r="X474" s="2372"/>
      <c r="Y474" s="2372"/>
      <c r="Z474" s="2372"/>
      <c r="AA474" s="2372"/>
      <c r="AB474" s="2372"/>
      <c r="AC474" s="2372"/>
      <c r="AD474" s="2372"/>
      <c r="AE474" s="2372"/>
      <c r="AF474" s="2372"/>
      <c r="AG474" s="2372"/>
      <c r="AH474" s="2372"/>
      <c r="AI474" s="2372"/>
      <c r="AJ474" s="2372"/>
      <c r="AK474" s="2372"/>
      <c r="AL474" s="2372"/>
      <c r="AM474" s="2372"/>
      <c r="AN474" s="2372"/>
      <c r="AO474" s="2372"/>
      <c r="AP474" s="2372"/>
      <c r="AQ474" s="2372"/>
      <c r="AR474" s="2372"/>
      <c r="AS474" s="2372"/>
      <c r="AT474" s="2372"/>
      <c r="AU474" s="2372"/>
      <c r="AV474" s="2372"/>
      <c r="AW474" s="2372"/>
      <c r="AX474" s="2372"/>
      <c r="AY474" s="2372"/>
      <c r="AZ474" s="2372"/>
      <c r="BA474" s="2372"/>
      <c r="BB474" s="2372"/>
      <c r="BC474" s="2372"/>
      <c r="BD474" s="2372"/>
      <c r="BE474" s="2372"/>
      <c r="BF474" s="2372"/>
      <c r="BG474" s="2372"/>
      <c r="BH474" s="2372"/>
      <c r="BI474" s="2372"/>
      <c r="BJ474" s="2372"/>
      <c r="BK474" s="2372"/>
      <c r="BL474" s="2372"/>
      <c r="BM474" s="2372"/>
      <c r="BN474" s="2372"/>
      <c r="BO474" s="2372"/>
      <c r="BP474" s="2372"/>
      <c r="BQ474" s="2372"/>
      <c r="BR474" s="2372"/>
      <c r="BS474" s="2372"/>
      <c r="BT474" s="2372"/>
      <c r="BU474" s="2372"/>
      <c r="BV474" s="2372"/>
      <c r="BW474" s="2372"/>
      <c r="BX474" s="2372"/>
      <c r="BY474" s="2372"/>
      <c r="BZ474" s="2372"/>
      <c r="CA474" s="2372"/>
      <c r="CB474" s="2372"/>
      <c r="CC474" s="2372"/>
      <c r="CD474" s="2372"/>
      <c r="CE474" s="2372"/>
      <c r="CF474" s="2372"/>
      <c r="CG474" s="2372"/>
      <c r="CH474" s="2372"/>
      <c r="CI474" s="2372"/>
      <c r="CJ474" s="2372"/>
      <c r="CK474" s="2372"/>
      <c r="CL474" s="2372"/>
      <c r="CM474" s="2372"/>
      <c r="CN474" s="2372"/>
      <c r="CO474" s="2372"/>
      <c r="CP474" s="2372"/>
      <c r="CQ474" s="2372"/>
      <c r="CR474" s="2372"/>
      <c r="CS474" s="2372"/>
      <c r="CT474" s="2372"/>
      <c r="CU474" s="2372"/>
      <c r="CV474" s="2372"/>
      <c r="CW474" s="2372"/>
      <c r="CX474" s="2372"/>
      <c r="CY474" s="2372"/>
      <c r="CZ474" s="2372"/>
      <c r="DA474" s="2372"/>
    </row>
    <row r="475" spans="1:105" ht="15" hidden="1" customHeight="1">
      <c r="A475" s="2372"/>
      <c r="B475" s="2372"/>
      <c r="C475" s="2372"/>
      <c r="D475" s="2372"/>
      <c r="E475" s="2372"/>
      <c r="F475" s="2372"/>
      <c r="G475" s="2372"/>
      <c r="H475" s="2372"/>
      <c r="I475" s="2372"/>
      <c r="J475" s="2372"/>
      <c r="K475" s="2372"/>
      <c r="L475" s="2372"/>
      <c r="M475" s="2372"/>
      <c r="N475" s="2372"/>
      <c r="O475" s="2372"/>
      <c r="P475" s="2372"/>
      <c r="Q475" s="2372"/>
      <c r="R475" s="2372"/>
      <c r="S475" s="2372"/>
      <c r="T475" s="2372"/>
      <c r="U475" s="2372"/>
      <c r="V475" s="2372"/>
      <c r="W475" s="2372"/>
      <c r="X475" s="2372"/>
      <c r="Y475" s="2372"/>
      <c r="Z475" s="2372"/>
      <c r="AA475" s="2372"/>
      <c r="AB475" s="2372"/>
      <c r="AC475" s="2372"/>
      <c r="AD475" s="2372"/>
      <c r="AE475" s="2372"/>
      <c r="AF475" s="2372"/>
      <c r="AG475" s="2372"/>
      <c r="AH475" s="2372"/>
      <c r="AI475" s="2372"/>
      <c r="AJ475" s="2372"/>
      <c r="AK475" s="2372"/>
      <c r="AL475" s="2372"/>
      <c r="AM475" s="2372"/>
      <c r="AN475" s="2372"/>
      <c r="AO475" s="2372"/>
      <c r="AP475" s="2372"/>
      <c r="AQ475" s="2372"/>
      <c r="AR475" s="2372"/>
      <c r="AS475" s="2372"/>
      <c r="AT475" s="2372"/>
      <c r="AU475" s="2372"/>
      <c r="AV475" s="2372"/>
      <c r="AW475" s="2372"/>
      <c r="AX475" s="2372"/>
      <c r="AY475" s="2372"/>
      <c r="AZ475" s="2372"/>
      <c r="BA475" s="2372"/>
      <c r="BB475" s="2372"/>
      <c r="BC475" s="2372"/>
      <c r="BD475" s="2372"/>
      <c r="BE475" s="2372"/>
      <c r="BF475" s="2372"/>
      <c r="BG475" s="2372"/>
      <c r="BH475" s="2372"/>
      <c r="BI475" s="2372"/>
      <c r="BJ475" s="2372"/>
      <c r="BK475" s="2372"/>
      <c r="BL475" s="2372"/>
      <c r="BM475" s="2372"/>
      <c r="BN475" s="2372"/>
      <c r="BO475" s="2372"/>
      <c r="BP475" s="2372"/>
      <c r="BQ475" s="2372"/>
      <c r="BR475" s="2372"/>
      <c r="BS475" s="2372"/>
      <c r="BT475" s="2372"/>
      <c r="BU475" s="2372"/>
      <c r="BV475" s="2372"/>
      <c r="BW475" s="2372"/>
      <c r="BX475" s="2372"/>
      <c r="BY475" s="2372"/>
      <c r="BZ475" s="2372"/>
      <c r="CA475" s="2372"/>
      <c r="CB475" s="2372"/>
      <c r="CC475" s="2372"/>
      <c r="CD475" s="2372"/>
      <c r="CE475" s="2372"/>
      <c r="CF475" s="2372"/>
      <c r="CG475" s="2372"/>
      <c r="CH475" s="2372"/>
      <c r="CI475" s="2372"/>
      <c r="CJ475" s="2372"/>
      <c r="CK475" s="2372"/>
      <c r="CL475" s="2372"/>
      <c r="CM475" s="2372"/>
      <c r="CN475" s="2372"/>
      <c r="CO475" s="2372"/>
      <c r="CP475" s="2372"/>
      <c r="CQ475" s="2372"/>
      <c r="CR475" s="2372"/>
      <c r="CS475" s="2372"/>
      <c r="CT475" s="2372"/>
      <c r="CU475" s="2372"/>
      <c r="CV475" s="2372"/>
      <c r="CW475" s="2372"/>
      <c r="CX475" s="2372"/>
      <c r="CY475" s="2372"/>
      <c r="CZ475" s="2372"/>
      <c r="DA475" s="2372"/>
    </row>
    <row r="476" spans="1:105" ht="15" hidden="1" customHeight="1">
      <c r="A476" s="2372"/>
      <c r="B476" s="2372"/>
      <c r="C476" s="2372"/>
      <c r="D476" s="2372"/>
      <c r="E476" s="2372"/>
      <c r="F476" s="2372"/>
      <c r="G476" s="2372"/>
      <c r="H476" s="2372"/>
      <c r="I476" s="2372"/>
      <c r="J476" s="2372"/>
      <c r="K476" s="2372"/>
      <c r="L476" s="2372"/>
      <c r="M476" s="2372"/>
      <c r="N476" s="2372"/>
      <c r="O476" s="2372"/>
      <c r="P476" s="2372"/>
      <c r="Q476" s="2372"/>
      <c r="R476" s="2372"/>
      <c r="S476" s="2372"/>
      <c r="T476" s="2372"/>
      <c r="U476" s="2372"/>
      <c r="V476" s="2372"/>
      <c r="W476" s="2372"/>
      <c r="X476" s="2372"/>
      <c r="Y476" s="2372"/>
      <c r="Z476" s="2372"/>
      <c r="AA476" s="2372"/>
      <c r="AB476" s="2372"/>
      <c r="AC476" s="2372"/>
      <c r="AD476" s="2372"/>
      <c r="AE476" s="2372"/>
      <c r="AF476" s="2372"/>
      <c r="AG476" s="2372"/>
      <c r="AH476" s="2372"/>
      <c r="AI476" s="2372"/>
      <c r="AJ476" s="2372"/>
      <c r="AK476" s="2372"/>
      <c r="AL476" s="2372"/>
      <c r="AM476" s="2372"/>
      <c r="AN476" s="2372"/>
      <c r="AO476" s="2372"/>
      <c r="AP476" s="2372"/>
      <c r="AQ476" s="2372"/>
      <c r="AR476" s="2372"/>
      <c r="AS476" s="2372"/>
      <c r="AT476" s="2372"/>
      <c r="AU476" s="2372"/>
      <c r="AV476" s="2372"/>
      <c r="AW476" s="2372"/>
      <c r="AX476" s="2372"/>
      <c r="AY476" s="2372"/>
      <c r="AZ476" s="2372"/>
      <c r="BA476" s="2372"/>
      <c r="BB476" s="2372"/>
      <c r="BC476" s="2372"/>
      <c r="BD476" s="2372"/>
      <c r="BE476" s="2372"/>
      <c r="BF476" s="2372"/>
      <c r="BG476" s="2372"/>
      <c r="BH476" s="2372"/>
      <c r="BI476" s="2372"/>
      <c r="BJ476" s="2372"/>
      <c r="BK476" s="2372"/>
      <c r="BL476" s="2372"/>
      <c r="BM476" s="2372"/>
      <c r="BN476" s="2372"/>
      <c r="BO476" s="2372"/>
      <c r="BP476" s="2372"/>
      <c r="BQ476" s="2372"/>
      <c r="BR476" s="2372"/>
      <c r="BS476" s="2372"/>
      <c r="BT476" s="2372"/>
      <c r="BU476" s="2372"/>
      <c r="BV476" s="2372"/>
      <c r="BW476" s="2372"/>
      <c r="BX476" s="2372"/>
      <c r="BY476" s="2372"/>
      <c r="BZ476" s="2372"/>
      <c r="CA476" s="2372"/>
      <c r="CB476" s="2372"/>
      <c r="CC476" s="2372"/>
      <c r="CD476" s="2372"/>
      <c r="CE476" s="2372"/>
      <c r="CF476" s="2372"/>
      <c r="CG476" s="2372"/>
      <c r="CH476" s="2372"/>
      <c r="CI476" s="2372"/>
      <c r="CJ476" s="2372"/>
      <c r="CK476" s="2372"/>
      <c r="CL476" s="2372"/>
      <c r="CM476" s="2372"/>
      <c r="CN476" s="2372"/>
      <c r="CO476" s="2372"/>
      <c r="CP476" s="2372"/>
      <c r="CQ476" s="2372"/>
      <c r="CR476" s="2372"/>
      <c r="CS476" s="2372"/>
      <c r="CT476" s="2372"/>
      <c r="CU476" s="2372"/>
      <c r="CV476" s="2372"/>
      <c r="CW476" s="2372"/>
      <c r="CX476" s="2372"/>
      <c r="CY476" s="2372"/>
      <c r="CZ476" s="2372"/>
      <c r="DA476" s="2372"/>
    </row>
    <row r="477" spans="1:105" ht="15" hidden="1" customHeight="1">
      <c r="A477" s="2372"/>
      <c r="B477" s="2372"/>
      <c r="C477" s="2372"/>
      <c r="D477" s="2372"/>
      <c r="E477" s="2372"/>
      <c r="F477" s="2372"/>
      <c r="G477" s="2372"/>
      <c r="H477" s="2372"/>
      <c r="I477" s="2372"/>
      <c r="J477" s="2372"/>
      <c r="K477" s="2372"/>
      <c r="L477" s="2372"/>
      <c r="M477" s="2372"/>
      <c r="N477" s="2372"/>
      <c r="O477" s="2372"/>
      <c r="P477" s="2372"/>
      <c r="Q477" s="2372"/>
      <c r="R477" s="2372"/>
      <c r="S477" s="2372"/>
      <c r="T477" s="2372"/>
      <c r="U477" s="2372"/>
      <c r="V477" s="2372"/>
      <c r="W477" s="2372"/>
      <c r="X477" s="2372"/>
      <c r="Y477" s="2372"/>
      <c r="Z477" s="2372"/>
      <c r="AA477" s="2372"/>
      <c r="AB477" s="2372"/>
      <c r="AC477" s="2372"/>
      <c r="AD477" s="2372"/>
      <c r="AE477" s="2372"/>
      <c r="AF477" s="2372"/>
      <c r="AG477" s="2372"/>
      <c r="AH477" s="2372"/>
      <c r="AI477" s="2372"/>
      <c r="AJ477" s="2372"/>
      <c r="AK477" s="2372"/>
      <c r="AL477" s="2372"/>
      <c r="AM477" s="2372"/>
      <c r="AN477" s="2372"/>
      <c r="AO477" s="2372"/>
      <c r="AP477" s="2372"/>
      <c r="AQ477" s="2372"/>
      <c r="AR477" s="2372"/>
      <c r="AS477" s="2372"/>
      <c r="AT477" s="2372"/>
      <c r="AU477" s="2372"/>
      <c r="AV477" s="2372"/>
      <c r="AW477" s="2372"/>
      <c r="AX477" s="2372"/>
      <c r="AY477" s="2372"/>
      <c r="AZ477" s="2372"/>
      <c r="BA477" s="2372"/>
      <c r="BB477" s="2372"/>
      <c r="BC477" s="2372"/>
      <c r="BD477" s="2372"/>
      <c r="BE477" s="2372"/>
      <c r="BF477" s="2372"/>
      <c r="BG477" s="2372"/>
      <c r="BH477" s="2372"/>
      <c r="BI477" s="2372"/>
      <c r="BJ477" s="2372"/>
      <c r="BK477" s="2372"/>
      <c r="BL477" s="2372"/>
      <c r="BM477" s="2372"/>
      <c r="BN477" s="2372"/>
      <c r="BO477" s="2372"/>
      <c r="BP477" s="2372"/>
      <c r="BQ477" s="2372"/>
      <c r="BR477" s="2372"/>
      <c r="BS477" s="2372"/>
      <c r="BT477" s="2372"/>
      <c r="BU477" s="2372"/>
      <c r="BV477" s="2372"/>
      <c r="BW477" s="2372"/>
      <c r="BX477" s="2372"/>
      <c r="BY477" s="2372"/>
      <c r="BZ477" s="2372"/>
      <c r="CA477" s="2372"/>
      <c r="CB477" s="2372"/>
      <c r="CC477" s="2372"/>
      <c r="CD477" s="2372"/>
      <c r="CE477" s="2372"/>
      <c r="CF477" s="2372"/>
      <c r="CG477" s="2372"/>
      <c r="CH477" s="2372"/>
      <c r="CI477" s="2372"/>
      <c r="CJ477" s="2372"/>
      <c r="CK477" s="2372"/>
      <c r="CL477" s="2372"/>
      <c r="CM477" s="2372"/>
      <c r="CN477" s="2372"/>
      <c r="CO477" s="2372"/>
      <c r="CP477" s="2372"/>
      <c r="CQ477" s="2372"/>
      <c r="CR477" s="2372"/>
      <c r="CS477" s="2372"/>
      <c r="CT477" s="2372"/>
      <c r="CU477" s="2372"/>
      <c r="CV477" s="2372"/>
      <c r="CW477" s="2372"/>
      <c r="CX477" s="2372"/>
      <c r="CY477" s="2372"/>
      <c r="CZ477" s="2372"/>
      <c r="DA477" s="2372"/>
    </row>
    <row r="478" spans="1:105" ht="15" hidden="1" customHeight="1">
      <c r="A478" s="2372"/>
      <c r="B478" s="2372"/>
      <c r="C478" s="2372"/>
      <c r="D478" s="2372"/>
      <c r="E478" s="2372"/>
      <c r="F478" s="2372"/>
      <c r="G478" s="2372"/>
      <c r="H478" s="2372"/>
      <c r="I478" s="2372"/>
      <c r="J478" s="2372"/>
      <c r="K478" s="2372"/>
      <c r="L478" s="2372"/>
      <c r="M478" s="2372"/>
      <c r="N478" s="2372"/>
      <c r="O478" s="2372"/>
      <c r="P478" s="2372"/>
      <c r="Q478" s="2372"/>
      <c r="R478" s="2372"/>
      <c r="S478" s="2372"/>
      <c r="T478" s="2372"/>
      <c r="U478" s="2372"/>
      <c r="V478" s="2372"/>
      <c r="W478" s="2372"/>
      <c r="X478" s="2372"/>
      <c r="Y478" s="2372"/>
      <c r="Z478" s="2372"/>
      <c r="AA478" s="2372"/>
      <c r="AB478" s="2372"/>
      <c r="AC478" s="2372"/>
      <c r="AD478" s="2372"/>
      <c r="AE478" s="2372"/>
      <c r="AF478" s="2372"/>
      <c r="AG478" s="2372"/>
      <c r="AH478" s="2372"/>
      <c r="AI478" s="2372"/>
      <c r="AJ478" s="2372"/>
      <c r="AK478" s="2372"/>
      <c r="AL478" s="2372"/>
      <c r="AM478" s="2372"/>
      <c r="AN478" s="2372"/>
      <c r="AO478" s="2372"/>
      <c r="AP478" s="2372"/>
      <c r="AQ478" s="2372"/>
      <c r="AR478" s="2372"/>
      <c r="AS478" s="2372"/>
      <c r="AT478" s="2372"/>
      <c r="AU478" s="2372"/>
      <c r="AV478" s="2372"/>
      <c r="AW478" s="2372"/>
      <c r="AX478" s="2372"/>
      <c r="AY478" s="2372"/>
      <c r="AZ478" s="2372"/>
      <c r="BA478" s="2372"/>
      <c r="BB478" s="2372"/>
      <c r="BC478" s="2372"/>
      <c r="BD478" s="2372"/>
      <c r="BE478" s="2372"/>
      <c r="BF478" s="2372"/>
      <c r="BG478" s="2372"/>
      <c r="BH478" s="2372"/>
      <c r="BI478" s="2372"/>
      <c r="BJ478" s="2372"/>
      <c r="BK478" s="2372"/>
      <c r="BL478" s="2372"/>
      <c r="BM478" s="2372"/>
      <c r="BN478" s="2372"/>
      <c r="BO478" s="2372"/>
      <c r="BP478" s="2372"/>
      <c r="BQ478" s="2372"/>
      <c r="BR478" s="2372"/>
      <c r="BS478" s="2372"/>
      <c r="BT478" s="2372"/>
      <c r="BU478" s="2372"/>
      <c r="BV478" s="2372"/>
      <c r="BW478" s="2372"/>
      <c r="BX478" s="2372"/>
      <c r="BY478" s="2372"/>
      <c r="BZ478" s="2372"/>
      <c r="CA478" s="2372"/>
      <c r="CB478" s="2372"/>
      <c r="CC478" s="2372"/>
      <c r="CD478" s="2372"/>
      <c r="CE478" s="2372"/>
      <c r="CF478" s="2372"/>
      <c r="CG478" s="2372"/>
      <c r="CH478" s="2372"/>
      <c r="CI478" s="2372"/>
      <c r="CJ478" s="2372"/>
      <c r="CK478" s="2372"/>
      <c r="CL478" s="2372"/>
      <c r="CM478" s="2372"/>
      <c r="CN478" s="2372"/>
      <c r="CO478" s="2372"/>
      <c r="CP478" s="2372"/>
      <c r="CQ478" s="2372"/>
      <c r="CR478" s="2372"/>
      <c r="CS478" s="2372"/>
      <c r="CT478" s="2372"/>
      <c r="CU478" s="2372"/>
      <c r="CV478" s="2372"/>
      <c r="CW478" s="2372"/>
      <c r="CX478" s="2372"/>
      <c r="CY478" s="2372"/>
      <c r="CZ478" s="2372"/>
      <c r="DA478" s="2372"/>
    </row>
    <row r="479" spans="1:105" ht="15" hidden="1" customHeight="1">
      <c r="A479" s="2372"/>
      <c r="B479" s="2372"/>
      <c r="C479" s="2372"/>
      <c r="D479" s="2372"/>
      <c r="E479" s="2372"/>
      <c r="F479" s="2372"/>
      <c r="G479" s="2372"/>
      <c r="H479" s="2372"/>
      <c r="I479" s="2372"/>
      <c r="J479" s="2372"/>
      <c r="K479" s="2372"/>
      <c r="L479" s="2372"/>
      <c r="M479" s="2372"/>
      <c r="N479" s="2372"/>
      <c r="O479" s="2372"/>
      <c r="P479" s="2372"/>
      <c r="Q479" s="2372"/>
      <c r="R479" s="2372"/>
      <c r="S479" s="2372"/>
      <c r="T479" s="2372"/>
      <c r="U479" s="2372"/>
      <c r="V479" s="2372"/>
      <c r="W479" s="2372"/>
      <c r="X479" s="2372"/>
      <c r="Y479" s="2372"/>
      <c r="Z479" s="2372"/>
      <c r="AA479" s="2372"/>
      <c r="AB479" s="2372"/>
      <c r="AC479" s="2372"/>
      <c r="AD479" s="2372"/>
      <c r="AE479" s="2372"/>
      <c r="AF479" s="2372"/>
      <c r="AG479" s="2372"/>
      <c r="AH479" s="2372"/>
      <c r="AI479" s="2372"/>
      <c r="AJ479" s="2372"/>
      <c r="AK479" s="2372"/>
      <c r="AL479" s="2372"/>
      <c r="AM479" s="2372"/>
      <c r="AN479" s="2372"/>
      <c r="AO479" s="2372"/>
      <c r="AP479" s="2372"/>
      <c r="AQ479" s="2372"/>
      <c r="AR479" s="2372"/>
      <c r="AS479" s="2372"/>
      <c r="AT479" s="2372"/>
      <c r="AU479" s="2372"/>
      <c r="AV479" s="2372"/>
      <c r="AW479" s="2372"/>
      <c r="AX479" s="2372"/>
      <c r="AY479" s="2372"/>
      <c r="AZ479" s="2372"/>
      <c r="BA479" s="2372"/>
      <c r="BB479" s="2372"/>
      <c r="BC479" s="2372"/>
      <c r="BD479" s="2372"/>
      <c r="BE479" s="2372"/>
      <c r="BF479" s="2372"/>
      <c r="BG479" s="2372"/>
      <c r="BH479" s="2372"/>
      <c r="BI479" s="2372"/>
      <c r="BJ479" s="2372"/>
      <c r="BK479" s="2372"/>
      <c r="BL479" s="2372"/>
      <c r="BM479" s="2372"/>
      <c r="BN479" s="2372"/>
      <c r="BO479" s="2372"/>
      <c r="BP479" s="2372"/>
      <c r="BQ479" s="2372"/>
      <c r="BR479" s="2372"/>
      <c r="BS479" s="2372"/>
      <c r="BT479" s="2372"/>
      <c r="BU479" s="2372"/>
      <c r="BV479" s="2372"/>
      <c r="BW479" s="2372"/>
      <c r="BX479" s="2372"/>
      <c r="BY479" s="2372"/>
      <c r="BZ479" s="2372"/>
      <c r="CA479" s="2372"/>
      <c r="CB479" s="2372"/>
      <c r="CC479" s="2372"/>
      <c r="CD479" s="2372"/>
      <c r="CE479" s="2372"/>
      <c r="CF479" s="2372"/>
      <c r="CG479" s="2372"/>
      <c r="CH479" s="2372"/>
      <c r="CI479" s="2372"/>
      <c r="CJ479" s="2372"/>
      <c r="CK479" s="2372"/>
      <c r="CL479" s="2372"/>
      <c r="CM479" s="2372"/>
      <c r="CN479" s="2372"/>
      <c r="CO479" s="2372"/>
      <c r="CP479" s="2372"/>
      <c r="CQ479" s="2372"/>
      <c r="CR479" s="2372"/>
      <c r="CS479" s="2372"/>
      <c r="CT479" s="2372"/>
      <c r="CU479" s="2372"/>
      <c r="CV479" s="2372"/>
      <c r="CW479" s="2372"/>
      <c r="CX479" s="2372"/>
      <c r="CY479" s="2372"/>
      <c r="CZ479" s="2372"/>
      <c r="DA479" s="2372"/>
    </row>
    <row r="480" spans="1:105" ht="15" hidden="1" customHeight="1">
      <c r="A480" s="2372"/>
      <c r="B480" s="2372"/>
      <c r="C480" s="2372"/>
      <c r="D480" s="2372"/>
      <c r="E480" s="2372"/>
      <c r="F480" s="2372"/>
      <c r="G480" s="2372"/>
      <c r="H480" s="2372"/>
      <c r="I480" s="2372"/>
      <c r="J480" s="2372"/>
      <c r="K480" s="2372"/>
      <c r="L480" s="2372"/>
      <c r="M480" s="2372"/>
      <c r="N480" s="2372"/>
      <c r="O480" s="2372"/>
      <c r="P480" s="2372"/>
      <c r="Q480" s="2372"/>
      <c r="R480" s="2372"/>
      <c r="S480" s="2372"/>
      <c r="T480" s="2372"/>
      <c r="U480" s="2372"/>
      <c r="V480" s="2372"/>
      <c r="W480" s="2372"/>
      <c r="X480" s="2372"/>
      <c r="Y480" s="2372"/>
      <c r="Z480" s="2372"/>
      <c r="AA480" s="2372"/>
      <c r="AB480" s="2372"/>
      <c r="AC480" s="2372"/>
      <c r="AD480" s="2372"/>
      <c r="AE480" s="2372"/>
      <c r="AF480" s="2372"/>
      <c r="AG480" s="2372"/>
      <c r="AH480" s="2372"/>
      <c r="AI480" s="2372"/>
      <c r="AJ480" s="2372"/>
      <c r="AK480" s="2372"/>
      <c r="AL480" s="2372"/>
      <c r="AM480" s="2372"/>
      <c r="AN480" s="2372"/>
      <c r="AO480" s="2372"/>
      <c r="AP480" s="2372"/>
      <c r="AQ480" s="2372"/>
      <c r="AR480" s="2372"/>
      <c r="AS480" s="2372"/>
      <c r="AT480" s="2372"/>
      <c r="AU480" s="2372"/>
      <c r="AV480" s="2372"/>
      <c r="AW480" s="2372"/>
      <c r="AX480" s="2372"/>
      <c r="AY480" s="2372"/>
      <c r="AZ480" s="2372"/>
      <c r="BA480" s="2372"/>
      <c r="BB480" s="2372"/>
      <c r="BC480" s="2372"/>
      <c r="BD480" s="2372"/>
      <c r="BE480" s="2372"/>
      <c r="BF480" s="2372"/>
      <c r="BG480" s="2372"/>
      <c r="BH480" s="2372"/>
      <c r="BI480" s="2372"/>
      <c r="BJ480" s="2372"/>
      <c r="BK480" s="2372"/>
      <c r="BL480" s="2372"/>
      <c r="BM480" s="2372"/>
      <c r="BN480" s="2372"/>
      <c r="BO480" s="2372"/>
      <c r="BP480" s="2372"/>
      <c r="BQ480" s="2372"/>
      <c r="BR480" s="2372"/>
      <c r="BS480" s="2372"/>
      <c r="BT480" s="2372"/>
      <c r="BU480" s="2372"/>
      <c r="BV480" s="2372"/>
      <c r="BW480" s="2372"/>
      <c r="BX480" s="2372"/>
      <c r="BY480" s="2372"/>
      <c r="BZ480" s="2372"/>
      <c r="CA480" s="2372"/>
      <c r="CB480" s="2372"/>
      <c r="CC480" s="2372"/>
      <c r="CD480" s="2372"/>
      <c r="CE480" s="2372"/>
      <c r="CF480" s="2372"/>
      <c r="CG480" s="2372"/>
      <c r="CH480" s="2372"/>
      <c r="CI480" s="2372"/>
      <c r="CJ480" s="2372"/>
      <c r="CK480" s="2372"/>
      <c r="CL480" s="2372"/>
      <c r="CM480" s="2372"/>
      <c r="CN480" s="2372"/>
      <c r="CO480" s="2372"/>
      <c r="CP480" s="2372"/>
      <c r="CQ480" s="2372"/>
      <c r="CR480" s="2372"/>
      <c r="CS480" s="2372"/>
      <c r="CT480" s="2372"/>
      <c r="CU480" s="2372"/>
      <c r="CV480" s="2372"/>
      <c r="CW480" s="2372"/>
      <c r="CX480" s="2372"/>
      <c r="CY480" s="2372"/>
      <c r="CZ480" s="2372"/>
      <c r="DA480" s="2372"/>
    </row>
    <row r="481" spans="1:105" ht="15" hidden="1" customHeight="1">
      <c r="A481" s="2372"/>
      <c r="B481" s="2372"/>
      <c r="C481" s="2372"/>
      <c r="D481" s="2372"/>
      <c r="E481" s="2372"/>
      <c r="F481" s="2372"/>
      <c r="G481" s="2372"/>
      <c r="H481" s="2372"/>
      <c r="I481" s="2372"/>
      <c r="J481" s="2372"/>
      <c r="K481" s="2372"/>
      <c r="L481" s="2372"/>
      <c r="M481" s="2372"/>
      <c r="N481" s="2372"/>
      <c r="O481" s="2372"/>
      <c r="P481" s="2372"/>
      <c r="Q481" s="2372"/>
      <c r="R481" s="2372"/>
      <c r="S481" s="2372"/>
      <c r="T481" s="2372"/>
      <c r="U481" s="2372"/>
      <c r="V481" s="2372"/>
      <c r="W481" s="2372"/>
      <c r="X481" s="2372"/>
      <c r="Y481" s="2372"/>
      <c r="Z481" s="2372"/>
      <c r="AA481" s="2372"/>
      <c r="AB481" s="2372"/>
      <c r="AC481" s="2372"/>
      <c r="AD481" s="2372"/>
      <c r="AE481" s="2372"/>
      <c r="AF481" s="2372"/>
      <c r="AG481" s="2372"/>
      <c r="AH481" s="2372"/>
      <c r="AI481" s="2372"/>
      <c r="AJ481" s="2372"/>
      <c r="AK481" s="2372"/>
      <c r="AL481" s="2372"/>
      <c r="AM481" s="2372"/>
      <c r="AN481" s="2372"/>
      <c r="AO481" s="2372"/>
      <c r="AP481" s="2372"/>
      <c r="AQ481" s="2372"/>
      <c r="AR481" s="2372"/>
      <c r="AS481" s="2372"/>
      <c r="AT481" s="2372"/>
      <c r="AU481" s="2372"/>
      <c r="AV481" s="2372"/>
      <c r="AW481" s="2372"/>
      <c r="AX481" s="2372"/>
      <c r="AY481" s="2372"/>
      <c r="AZ481" s="2372"/>
      <c r="BA481" s="2372"/>
      <c r="BB481" s="2372"/>
      <c r="BC481" s="2372"/>
      <c r="BD481" s="2372"/>
      <c r="BE481" s="2372"/>
      <c r="BF481" s="2372"/>
      <c r="BG481" s="2372"/>
      <c r="BH481" s="2372"/>
      <c r="BI481" s="2372"/>
      <c r="BJ481" s="2372"/>
      <c r="BK481" s="2372"/>
      <c r="BL481" s="2372"/>
      <c r="BM481" s="2372"/>
      <c r="BN481" s="2372"/>
      <c r="BO481" s="2372"/>
      <c r="BP481" s="2372"/>
      <c r="BQ481" s="2372"/>
      <c r="BR481" s="2372"/>
      <c r="BS481" s="2372"/>
      <c r="BT481" s="2372"/>
      <c r="BU481" s="2372"/>
      <c r="BV481" s="2372"/>
      <c r="BW481" s="2372"/>
      <c r="BX481" s="2372"/>
      <c r="BY481" s="2372"/>
      <c r="BZ481" s="2372"/>
      <c r="CA481" s="2372"/>
      <c r="CB481" s="2372"/>
      <c r="CC481" s="2372"/>
      <c r="CD481" s="2372"/>
      <c r="CE481" s="2372"/>
      <c r="CF481" s="2372"/>
      <c r="CG481" s="2372"/>
      <c r="CH481" s="2372"/>
      <c r="CI481" s="2372"/>
      <c r="CJ481" s="2372"/>
      <c r="CK481" s="2372"/>
      <c r="CL481" s="2372"/>
      <c r="CM481" s="2372"/>
      <c r="CN481" s="2372"/>
      <c r="CO481" s="2372"/>
      <c r="CP481" s="2372"/>
      <c r="CQ481" s="2372"/>
      <c r="CR481" s="2372"/>
      <c r="CS481" s="2372"/>
      <c r="CT481" s="2372"/>
      <c r="CU481" s="2372"/>
      <c r="CV481" s="2372"/>
      <c r="CW481" s="2372"/>
      <c r="CX481" s="2372"/>
      <c r="CY481" s="2372"/>
      <c r="CZ481" s="2372"/>
      <c r="DA481" s="2372"/>
    </row>
    <row r="482" spans="1:105" ht="15" hidden="1" customHeight="1">
      <c r="A482" s="2372"/>
      <c r="B482" s="2372"/>
      <c r="C482" s="2372"/>
      <c r="D482" s="2372"/>
      <c r="E482" s="2372"/>
      <c r="F482" s="2372"/>
      <c r="G482" s="2372"/>
      <c r="H482" s="2372"/>
      <c r="I482" s="2372"/>
      <c r="J482" s="2372"/>
      <c r="K482" s="2372"/>
      <c r="L482" s="2372"/>
      <c r="M482" s="2372"/>
      <c r="N482" s="2372"/>
      <c r="O482" s="2372"/>
      <c r="P482" s="2372"/>
      <c r="Q482" s="2372"/>
      <c r="R482" s="2372"/>
      <c r="S482" s="2372"/>
      <c r="T482" s="2372"/>
      <c r="U482" s="2372"/>
      <c r="V482" s="2372"/>
      <c r="W482" s="2372"/>
      <c r="X482" s="2372"/>
      <c r="Y482" s="2372"/>
      <c r="Z482" s="2372"/>
      <c r="AA482" s="2372"/>
      <c r="AB482" s="2372"/>
      <c r="AC482" s="2372"/>
      <c r="AD482" s="2372"/>
      <c r="AE482" s="2372"/>
      <c r="AF482" s="2372"/>
      <c r="AG482" s="2372"/>
      <c r="AH482" s="2372"/>
      <c r="AI482" s="2372"/>
      <c r="AJ482" s="2372"/>
      <c r="AK482" s="2372"/>
      <c r="AL482" s="2372"/>
      <c r="AM482" s="2372"/>
      <c r="AN482" s="2372"/>
      <c r="AO482" s="2372"/>
      <c r="AP482" s="2372"/>
      <c r="AQ482" s="2372"/>
      <c r="AR482" s="2372"/>
      <c r="AS482" s="2372"/>
      <c r="AT482" s="2372"/>
      <c r="AU482" s="2372"/>
      <c r="AV482" s="2372"/>
      <c r="AW482" s="2372"/>
      <c r="AX482" s="2372"/>
      <c r="AY482" s="2372"/>
      <c r="AZ482" s="2372"/>
      <c r="BA482" s="2372"/>
      <c r="BB482" s="2372"/>
      <c r="BC482" s="2372"/>
      <c r="BD482" s="2372"/>
      <c r="BE482" s="2372"/>
      <c r="BF482" s="2372"/>
      <c r="BG482" s="2372"/>
      <c r="BH482" s="2372"/>
      <c r="BI482" s="2372"/>
      <c r="BJ482" s="2372"/>
      <c r="BK482" s="2372"/>
      <c r="BL482" s="2372"/>
      <c r="BM482" s="2372"/>
      <c r="BN482" s="2372"/>
      <c r="BO482" s="2372"/>
      <c r="BP482" s="2372"/>
      <c r="BQ482" s="2372"/>
      <c r="BR482" s="2372"/>
      <c r="BS482" s="2372"/>
      <c r="BT482" s="2372"/>
      <c r="BU482" s="2372"/>
      <c r="BV482" s="2372"/>
      <c r="BW482" s="2372"/>
      <c r="BX482" s="2372"/>
      <c r="BY482" s="2372"/>
      <c r="BZ482" s="2372"/>
      <c r="CA482" s="2372"/>
      <c r="CB482" s="2372"/>
      <c r="CC482" s="2372"/>
      <c r="CD482" s="2372"/>
      <c r="CE482" s="2372"/>
      <c r="CF482" s="2372"/>
      <c r="CG482" s="2372"/>
      <c r="CH482" s="2372"/>
      <c r="CI482" s="2372"/>
      <c r="CJ482" s="2372"/>
      <c r="CK482" s="2372"/>
      <c r="CL482" s="2372"/>
      <c r="CM482" s="2372"/>
      <c r="CN482" s="2372"/>
      <c r="CO482" s="2372"/>
      <c r="CP482" s="2372"/>
      <c r="CQ482" s="2372"/>
      <c r="CR482" s="2372"/>
      <c r="CS482" s="2372"/>
      <c r="CT482" s="2372"/>
      <c r="CU482" s="2372"/>
      <c r="CV482" s="2372"/>
      <c r="CW482" s="2372"/>
      <c r="CX482" s="2372"/>
      <c r="CY482" s="2372"/>
      <c r="CZ482" s="2372"/>
      <c r="DA482" s="2372"/>
    </row>
    <row r="483" spans="1:105" ht="15" hidden="1" customHeight="1">
      <c r="A483" s="2372"/>
      <c r="B483" s="2372"/>
      <c r="C483" s="2372"/>
      <c r="D483" s="2372"/>
      <c r="E483" s="2372"/>
      <c r="F483" s="2372"/>
      <c r="G483" s="2372"/>
      <c r="H483" s="2372"/>
      <c r="I483" s="2372"/>
      <c r="J483" s="2372"/>
      <c r="K483" s="2372"/>
      <c r="L483" s="2372"/>
      <c r="M483" s="2372"/>
      <c r="N483" s="2372"/>
      <c r="O483" s="2372"/>
      <c r="P483" s="2372"/>
      <c r="Q483" s="2372"/>
      <c r="R483" s="2372"/>
      <c r="S483" s="2372"/>
      <c r="T483" s="2372"/>
      <c r="U483" s="2372"/>
      <c r="V483" s="2372"/>
      <c r="W483" s="2372"/>
      <c r="X483" s="2372"/>
      <c r="Y483" s="2372"/>
      <c r="Z483" s="2372"/>
      <c r="AA483" s="2372"/>
      <c r="AB483" s="2372"/>
      <c r="AC483" s="2372"/>
      <c r="AD483" s="2372"/>
      <c r="AE483" s="2372"/>
      <c r="AF483" s="2372"/>
      <c r="AG483" s="2372"/>
      <c r="AH483" s="2372"/>
      <c r="AI483" s="2372"/>
      <c r="AJ483" s="2372"/>
      <c r="AK483" s="2372"/>
      <c r="AL483" s="2372"/>
      <c r="AM483" s="2372"/>
      <c r="AN483" s="2372"/>
      <c r="AO483" s="2372"/>
      <c r="AP483" s="2372"/>
      <c r="AQ483" s="2372"/>
      <c r="AR483" s="2372"/>
      <c r="AS483" s="2372"/>
      <c r="AT483" s="2372"/>
      <c r="AU483" s="2372"/>
      <c r="AV483" s="2372"/>
      <c r="AW483" s="2372"/>
      <c r="AX483" s="2372"/>
      <c r="AY483" s="2372"/>
      <c r="AZ483" s="2372"/>
      <c r="BA483" s="2372"/>
      <c r="BB483" s="2372"/>
      <c r="BC483" s="2372"/>
      <c r="BD483" s="2372"/>
      <c r="BE483" s="2372"/>
      <c r="BF483" s="2372"/>
      <c r="BG483" s="2372"/>
      <c r="BH483" s="2372"/>
      <c r="BI483" s="2372"/>
      <c r="BJ483" s="2372"/>
      <c r="BK483" s="2372"/>
      <c r="BL483" s="2372"/>
      <c r="BM483" s="2372"/>
      <c r="BN483" s="2372"/>
      <c r="BO483" s="2372"/>
      <c r="BP483" s="2372"/>
      <c r="BQ483" s="2372"/>
      <c r="BR483" s="2372"/>
      <c r="BS483" s="2372"/>
      <c r="BT483" s="2372"/>
      <c r="BU483" s="2372"/>
      <c r="BV483" s="2372"/>
      <c r="BW483" s="2372"/>
      <c r="BX483" s="2372"/>
      <c r="BY483" s="2372"/>
      <c r="BZ483" s="2372"/>
      <c r="CA483" s="2372"/>
      <c r="CB483" s="2372"/>
      <c r="CC483" s="2372"/>
      <c r="CD483" s="2372"/>
      <c r="CE483" s="2372"/>
      <c r="CF483" s="2372"/>
      <c r="CG483" s="2372"/>
      <c r="CH483" s="2372"/>
      <c r="CI483" s="2372"/>
      <c r="CJ483" s="2372"/>
      <c r="CK483" s="2372"/>
      <c r="CL483" s="2372"/>
      <c r="CM483" s="2372"/>
      <c r="CN483" s="2372"/>
      <c r="CO483" s="2372"/>
      <c r="CP483" s="2372"/>
      <c r="CQ483" s="2372"/>
      <c r="CR483" s="2372"/>
      <c r="CS483" s="2372"/>
      <c r="CT483" s="2372"/>
      <c r="CU483" s="2372"/>
      <c r="CV483" s="2372"/>
      <c r="CW483" s="2372"/>
      <c r="CX483" s="2372"/>
      <c r="CY483" s="2372"/>
      <c r="CZ483" s="2372"/>
      <c r="DA483" s="2372"/>
    </row>
    <row r="484" spans="1:105" ht="15" hidden="1" customHeight="1">
      <c r="A484" s="2372"/>
      <c r="B484" s="2372"/>
      <c r="C484" s="2372"/>
      <c r="D484" s="2372"/>
      <c r="E484" s="2372"/>
      <c r="F484" s="2372"/>
      <c r="G484" s="2372"/>
      <c r="H484" s="2372"/>
      <c r="I484" s="2372"/>
      <c r="J484" s="2372"/>
      <c r="K484" s="2372"/>
      <c r="L484" s="2372"/>
      <c r="M484" s="2372"/>
      <c r="N484" s="2372"/>
      <c r="O484" s="2372"/>
      <c r="P484" s="2372"/>
      <c r="Q484" s="2372"/>
      <c r="R484" s="2372"/>
      <c r="S484" s="2372"/>
      <c r="T484" s="2372"/>
      <c r="U484" s="2372"/>
      <c r="V484" s="2372"/>
      <c r="W484" s="2372"/>
      <c r="X484" s="2372"/>
      <c r="Y484" s="2372"/>
      <c r="Z484" s="2372"/>
      <c r="AA484" s="2372"/>
      <c r="AB484" s="2372"/>
      <c r="AC484" s="2372"/>
      <c r="AD484" s="2372"/>
      <c r="AE484" s="2372"/>
      <c r="AF484" s="2372"/>
      <c r="AG484" s="2372"/>
      <c r="AH484" s="2372"/>
      <c r="AI484" s="2372"/>
      <c r="AJ484" s="2372"/>
      <c r="AK484" s="2372"/>
      <c r="AL484" s="2372"/>
      <c r="AM484" s="2372"/>
      <c r="AN484" s="2372"/>
      <c r="AO484" s="2372"/>
      <c r="AP484" s="2372"/>
      <c r="AQ484" s="2372"/>
      <c r="AR484" s="2372"/>
      <c r="AS484" s="2372"/>
      <c r="AT484" s="2372"/>
      <c r="AU484" s="2372"/>
      <c r="AV484" s="2372"/>
      <c r="AW484" s="2372"/>
      <c r="AX484" s="2372"/>
      <c r="AY484" s="2372"/>
      <c r="AZ484" s="2372"/>
      <c r="BA484" s="2372"/>
      <c r="BB484" s="2372"/>
      <c r="BC484" s="2372"/>
      <c r="BD484" s="2372"/>
      <c r="BE484" s="2372"/>
      <c r="BF484" s="2372"/>
      <c r="BG484" s="2372"/>
      <c r="BH484" s="2372"/>
      <c r="BI484" s="2372"/>
      <c r="BJ484" s="2372"/>
      <c r="BK484" s="2372"/>
      <c r="BL484" s="2372"/>
      <c r="BM484" s="2372"/>
      <c r="BN484" s="2372"/>
      <c r="BO484" s="2372"/>
      <c r="BP484" s="2372"/>
      <c r="BQ484" s="2372"/>
      <c r="BR484" s="2372"/>
      <c r="BS484" s="2372"/>
      <c r="BT484" s="2372"/>
      <c r="BU484" s="2372"/>
      <c r="BV484" s="2372"/>
      <c r="BW484" s="2372"/>
      <c r="BX484" s="2372"/>
      <c r="BY484" s="2372"/>
      <c r="BZ484" s="2372"/>
      <c r="CA484" s="2372"/>
      <c r="CB484" s="2372"/>
      <c r="CC484" s="2372"/>
      <c r="CD484" s="2372"/>
      <c r="CE484" s="2372"/>
      <c r="CF484" s="2372"/>
      <c r="CG484" s="2372"/>
      <c r="CH484" s="2372"/>
      <c r="CI484" s="2372"/>
      <c r="CJ484" s="2372"/>
      <c r="CK484" s="2372"/>
      <c r="CL484" s="2372"/>
      <c r="CM484" s="2372"/>
      <c r="CN484" s="2372"/>
      <c r="CO484" s="2372"/>
      <c r="CP484" s="2372"/>
      <c r="CQ484" s="2372"/>
      <c r="CR484" s="2372"/>
      <c r="CS484" s="2372"/>
      <c r="CT484" s="2372"/>
      <c r="CU484" s="2372"/>
      <c r="CV484" s="2372"/>
      <c r="CW484" s="2372"/>
      <c r="CX484" s="2372"/>
      <c r="CY484" s="2372"/>
      <c r="CZ484" s="2372"/>
      <c r="DA484" s="2372"/>
    </row>
    <row r="485" spans="1:105" ht="15" hidden="1" customHeight="1">
      <c r="A485" s="2372"/>
      <c r="B485" s="2372"/>
      <c r="C485" s="2372"/>
      <c r="D485" s="2372"/>
      <c r="E485" s="2372"/>
      <c r="F485" s="2372"/>
      <c r="G485" s="2372"/>
      <c r="H485" s="2372"/>
      <c r="I485" s="2372"/>
      <c r="J485" s="2372"/>
      <c r="K485" s="2372"/>
      <c r="L485" s="2372"/>
      <c r="M485" s="2372"/>
      <c r="N485" s="2372"/>
      <c r="O485" s="2372"/>
      <c r="P485" s="2372"/>
      <c r="Q485" s="2372"/>
      <c r="R485" s="2372"/>
      <c r="S485" s="2372"/>
      <c r="T485" s="2372"/>
      <c r="U485" s="2372"/>
      <c r="V485" s="2372"/>
      <c r="W485" s="2372"/>
      <c r="X485" s="2372"/>
      <c r="Y485" s="2372"/>
      <c r="Z485" s="2372"/>
      <c r="AA485" s="2372"/>
      <c r="AB485" s="2372"/>
      <c r="AC485" s="2372"/>
      <c r="AD485" s="2372"/>
      <c r="AE485" s="2372"/>
      <c r="AF485" s="2372"/>
      <c r="AG485" s="2372"/>
      <c r="AH485" s="2372"/>
      <c r="AI485" s="2372"/>
      <c r="AJ485" s="2372"/>
      <c r="AK485" s="2372"/>
      <c r="AL485" s="2372"/>
      <c r="AM485" s="2372"/>
      <c r="AN485" s="2372"/>
      <c r="AO485" s="2372"/>
      <c r="AP485" s="2372"/>
      <c r="AQ485" s="2372"/>
      <c r="AR485" s="2372"/>
      <c r="AS485" s="2372"/>
      <c r="AT485" s="2372"/>
      <c r="AU485" s="2372"/>
      <c r="AV485" s="2372"/>
      <c r="AW485" s="2372"/>
      <c r="AX485" s="2372"/>
      <c r="AY485" s="2372"/>
      <c r="AZ485" s="2372"/>
      <c r="BA485" s="2372"/>
      <c r="BB485" s="2372"/>
      <c r="BC485" s="2372"/>
      <c r="BD485" s="2372"/>
      <c r="BE485" s="2372"/>
      <c r="BF485" s="2372"/>
      <c r="BG485" s="2372"/>
      <c r="BH485" s="2372"/>
      <c r="BI485" s="2372"/>
      <c r="BJ485" s="2372"/>
      <c r="BK485" s="2372"/>
      <c r="BL485" s="2372"/>
      <c r="BM485" s="2372"/>
      <c r="BN485" s="2372"/>
      <c r="BO485" s="2372"/>
      <c r="BP485" s="2372"/>
      <c r="BQ485" s="2372"/>
      <c r="BR485" s="2372"/>
      <c r="BS485" s="2372"/>
      <c r="BT485" s="2372"/>
      <c r="BU485" s="2372"/>
      <c r="BV485" s="2372"/>
      <c r="BW485" s="2372"/>
      <c r="BX485" s="2372"/>
      <c r="BY485" s="2372"/>
      <c r="BZ485" s="2372"/>
      <c r="CA485" s="2372"/>
      <c r="CB485" s="2372"/>
      <c r="CC485" s="2372"/>
      <c r="CD485" s="2372"/>
      <c r="CE485" s="2372"/>
      <c r="CF485" s="2372"/>
      <c r="CG485" s="2372"/>
      <c r="CH485" s="2372"/>
      <c r="CI485" s="2372"/>
      <c r="CJ485" s="2372"/>
      <c r="CK485" s="2372"/>
      <c r="CL485" s="2372"/>
      <c r="CM485" s="2372"/>
      <c r="CN485" s="2372"/>
      <c r="CO485" s="2372"/>
      <c r="CP485" s="2372"/>
      <c r="CQ485" s="2372"/>
      <c r="CR485" s="2372"/>
      <c r="CS485" s="2372"/>
      <c r="CT485" s="2372"/>
      <c r="CU485" s="2372"/>
      <c r="CV485" s="2372"/>
      <c r="CW485" s="2372"/>
      <c r="CX485" s="2372"/>
      <c r="CY485" s="2372"/>
      <c r="CZ485" s="2372"/>
      <c r="DA485" s="2372"/>
    </row>
    <row r="486" spans="1:105" ht="15" hidden="1" customHeight="1">
      <c r="A486" s="2372"/>
      <c r="B486" s="2372"/>
      <c r="C486" s="2372"/>
      <c r="D486" s="2372"/>
      <c r="E486" s="2372"/>
      <c r="F486" s="2372"/>
      <c r="G486" s="2372"/>
      <c r="H486" s="2372"/>
      <c r="I486" s="2372"/>
      <c r="J486" s="2372"/>
      <c r="K486" s="2372"/>
      <c r="L486" s="2372"/>
      <c r="M486" s="2372"/>
      <c r="N486" s="2372"/>
      <c r="O486" s="2372"/>
      <c r="P486" s="2372"/>
      <c r="Q486" s="2372"/>
      <c r="R486" s="2372"/>
      <c r="S486" s="2372"/>
      <c r="T486" s="2372"/>
      <c r="U486" s="2372"/>
      <c r="V486" s="2372"/>
      <c r="W486" s="2372"/>
      <c r="X486" s="2372"/>
      <c r="Y486" s="2372"/>
      <c r="Z486" s="2372"/>
      <c r="AA486" s="2372"/>
      <c r="AB486" s="2372"/>
      <c r="AC486" s="2372"/>
      <c r="AD486" s="2372"/>
      <c r="AE486" s="2372"/>
      <c r="AF486" s="2372"/>
      <c r="AG486" s="2372"/>
      <c r="AH486" s="2372"/>
      <c r="AI486" s="2372"/>
      <c r="AJ486" s="2372"/>
      <c r="AK486" s="2372"/>
      <c r="AL486" s="2372"/>
      <c r="AM486" s="2372"/>
      <c r="AN486" s="2372"/>
      <c r="AO486" s="2372"/>
      <c r="AP486" s="2372"/>
      <c r="AQ486" s="2372"/>
      <c r="AR486" s="2372"/>
      <c r="AS486" s="2372"/>
      <c r="AT486" s="2372"/>
      <c r="AU486" s="2372"/>
      <c r="AV486" s="2372"/>
      <c r="AW486" s="2372"/>
      <c r="AX486" s="2372"/>
      <c r="AY486" s="2372"/>
      <c r="AZ486" s="2372"/>
      <c r="BA486" s="2372"/>
      <c r="BB486" s="2372"/>
      <c r="BC486" s="2372"/>
      <c r="BD486" s="2372"/>
      <c r="BE486" s="2372"/>
      <c r="BF486" s="2372"/>
      <c r="BG486" s="2372"/>
      <c r="BH486" s="2372"/>
      <c r="BI486" s="2372"/>
      <c r="BJ486" s="2372"/>
      <c r="BK486" s="2372"/>
      <c r="BL486" s="2372"/>
      <c r="BM486" s="2372"/>
      <c r="BN486" s="2372"/>
      <c r="BO486" s="2372"/>
      <c r="BP486" s="2372"/>
      <c r="BQ486" s="2372"/>
      <c r="BR486" s="2372"/>
      <c r="BS486" s="2372"/>
      <c r="BT486" s="2372"/>
      <c r="BU486" s="2372"/>
      <c r="BV486" s="2372"/>
      <c r="BW486" s="2372"/>
      <c r="BX486" s="2372"/>
      <c r="BY486" s="2372"/>
      <c r="BZ486" s="2372"/>
      <c r="CA486" s="2372"/>
      <c r="CB486" s="2372"/>
      <c r="CC486" s="2372"/>
      <c r="CD486" s="2372"/>
      <c r="CE486" s="2372"/>
      <c r="CF486" s="2372"/>
      <c r="CG486" s="2372"/>
      <c r="CH486" s="2372"/>
      <c r="CI486" s="2372"/>
      <c r="CJ486" s="2372"/>
      <c r="CK486" s="2372"/>
      <c r="CL486" s="2372"/>
      <c r="CM486" s="2372"/>
      <c r="CN486" s="2372"/>
      <c r="CO486" s="2372"/>
      <c r="CP486" s="2372"/>
      <c r="CQ486" s="2372"/>
      <c r="CR486" s="2372"/>
      <c r="CS486" s="2372"/>
      <c r="CT486" s="2372"/>
      <c r="CU486" s="2372"/>
      <c r="CV486" s="2372"/>
      <c r="CW486" s="2372"/>
      <c r="CX486" s="2372"/>
      <c r="CY486" s="2372"/>
      <c r="CZ486" s="2372"/>
      <c r="DA486" s="2372"/>
    </row>
    <row r="487" spans="1:105" ht="15" hidden="1" customHeight="1">
      <c r="A487" s="2372"/>
      <c r="B487" s="2372"/>
      <c r="C487" s="2372"/>
      <c r="D487" s="2372"/>
      <c r="E487" s="2372"/>
      <c r="F487" s="2372"/>
      <c r="G487" s="2372"/>
      <c r="H487" s="2372"/>
      <c r="I487" s="2372"/>
      <c r="J487" s="2372"/>
      <c r="K487" s="2372"/>
      <c r="L487" s="2372"/>
      <c r="M487" s="2372"/>
      <c r="N487" s="2372"/>
      <c r="O487" s="2372"/>
      <c r="P487" s="2372"/>
      <c r="Q487" s="2372"/>
      <c r="R487" s="2372"/>
      <c r="S487" s="2372"/>
      <c r="T487" s="2372"/>
      <c r="U487" s="2372"/>
      <c r="V487" s="2372"/>
      <c r="W487" s="2372"/>
      <c r="X487" s="2372"/>
      <c r="Y487" s="2372"/>
      <c r="Z487" s="2372"/>
      <c r="AA487" s="2372"/>
      <c r="AB487" s="2372"/>
      <c r="AC487" s="2372"/>
      <c r="AD487" s="2372"/>
      <c r="AE487" s="2372"/>
      <c r="AF487" s="2372"/>
      <c r="AG487" s="2372"/>
      <c r="AH487" s="2372"/>
      <c r="AI487" s="2372"/>
      <c r="AJ487" s="2372"/>
      <c r="AK487" s="2372"/>
      <c r="AL487" s="2372"/>
      <c r="AM487" s="2372"/>
      <c r="AN487" s="2372"/>
      <c r="AO487" s="2372"/>
      <c r="AP487" s="2372"/>
      <c r="AQ487" s="2372"/>
      <c r="AR487" s="2372"/>
      <c r="AS487" s="2372"/>
      <c r="AT487" s="2372"/>
      <c r="AU487" s="2372"/>
      <c r="AV487" s="2372"/>
      <c r="AW487" s="2372"/>
      <c r="AX487" s="2372"/>
      <c r="AY487" s="2372"/>
      <c r="AZ487" s="2372"/>
      <c r="BA487" s="2372"/>
      <c r="BB487" s="2372"/>
      <c r="BC487" s="2372"/>
      <c r="BD487" s="2372"/>
      <c r="BE487" s="2372"/>
      <c r="BF487" s="2372"/>
      <c r="BG487" s="2372"/>
      <c r="BH487" s="2372"/>
      <c r="BI487" s="2372"/>
      <c r="BJ487" s="2372"/>
      <c r="BK487" s="2372"/>
      <c r="BL487" s="2372"/>
      <c r="BM487" s="2372"/>
      <c r="BN487" s="2372"/>
      <c r="BO487" s="2372"/>
      <c r="BP487" s="2372"/>
      <c r="BQ487" s="2372"/>
      <c r="BR487" s="2372"/>
      <c r="BS487" s="2372"/>
      <c r="BT487" s="2372"/>
      <c r="BU487" s="2372"/>
      <c r="BV487" s="2372"/>
      <c r="BW487" s="2372"/>
      <c r="BX487" s="2372"/>
      <c r="BY487" s="2372"/>
      <c r="BZ487" s="2372"/>
      <c r="CA487" s="2372"/>
      <c r="CB487" s="2372"/>
      <c r="CC487" s="2372"/>
      <c r="CD487" s="2372"/>
      <c r="CE487" s="2372"/>
      <c r="CF487" s="2372"/>
      <c r="CG487" s="2372"/>
      <c r="CH487" s="2372"/>
      <c r="CI487" s="2372"/>
      <c r="CJ487" s="2372"/>
      <c r="CK487" s="2372"/>
      <c r="CL487" s="2372"/>
      <c r="CM487" s="2372"/>
      <c r="CN487" s="2372"/>
      <c r="CO487" s="2372"/>
      <c r="CP487" s="2372"/>
      <c r="CQ487" s="2372"/>
      <c r="CR487" s="2372"/>
      <c r="CS487" s="2372"/>
      <c r="CT487" s="2372"/>
      <c r="CU487" s="2372"/>
      <c r="CV487" s="2372"/>
      <c r="CW487" s="2372"/>
      <c r="CX487" s="2372"/>
      <c r="CY487" s="2372"/>
      <c r="CZ487" s="2372"/>
      <c r="DA487" s="2372"/>
    </row>
    <row r="488" spans="1:105" ht="15" hidden="1" customHeight="1">
      <c r="A488" s="2372"/>
      <c r="B488" s="2372"/>
      <c r="C488" s="2372"/>
      <c r="D488" s="2372"/>
      <c r="E488" s="2372"/>
      <c r="F488" s="2372"/>
      <c r="G488" s="2372"/>
      <c r="H488" s="2372"/>
      <c r="I488" s="2372"/>
      <c r="J488" s="2372"/>
      <c r="K488" s="2372"/>
      <c r="L488" s="2372"/>
      <c r="M488" s="2372"/>
      <c r="N488" s="2372"/>
      <c r="O488" s="2372"/>
      <c r="P488" s="2372"/>
      <c r="Q488" s="2372"/>
      <c r="R488" s="2372"/>
      <c r="S488" s="2372"/>
      <c r="T488" s="2372"/>
      <c r="U488" s="2372"/>
      <c r="V488" s="2372"/>
      <c r="W488" s="2372"/>
      <c r="X488" s="2372"/>
      <c r="Y488" s="2372"/>
      <c r="Z488" s="2372"/>
      <c r="AA488" s="2372"/>
      <c r="AB488" s="2372"/>
      <c r="AC488" s="2372"/>
      <c r="AD488" s="2372"/>
      <c r="AE488" s="2372"/>
      <c r="AF488" s="2372"/>
      <c r="AG488" s="2372"/>
      <c r="AH488" s="2372"/>
      <c r="AI488" s="2372"/>
      <c r="AJ488" s="2372"/>
      <c r="AK488" s="2372"/>
      <c r="AL488" s="2372"/>
      <c r="AM488" s="2372"/>
      <c r="AN488" s="2372"/>
      <c r="AO488" s="2372"/>
      <c r="AP488" s="2372"/>
      <c r="AQ488" s="2372"/>
      <c r="AR488" s="2372"/>
      <c r="AS488" s="2372"/>
      <c r="AT488" s="2372"/>
      <c r="AU488" s="2372"/>
      <c r="AV488" s="2372"/>
      <c r="AW488" s="2372"/>
      <c r="AX488" s="2372"/>
      <c r="AY488" s="2372"/>
      <c r="AZ488" s="2372"/>
      <c r="BA488" s="2372"/>
      <c r="BB488" s="2372"/>
      <c r="BC488" s="2372"/>
      <c r="BD488" s="2372"/>
      <c r="BE488" s="2372"/>
      <c r="BF488" s="2372"/>
      <c r="BG488" s="2372"/>
      <c r="BH488" s="2372"/>
      <c r="BI488" s="2372"/>
      <c r="BJ488" s="2372"/>
      <c r="BK488" s="2372"/>
      <c r="BL488" s="2372"/>
      <c r="BM488" s="2372"/>
      <c r="BN488" s="2372"/>
      <c r="BO488" s="2372"/>
      <c r="BP488" s="2372"/>
      <c r="BQ488" s="2372"/>
      <c r="BR488" s="2372"/>
      <c r="BS488" s="2372"/>
      <c r="BT488" s="2372"/>
      <c r="BU488" s="2372"/>
      <c r="BV488" s="2372"/>
      <c r="BW488" s="2372"/>
      <c r="BX488" s="2372"/>
      <c r="BY488" s="2372"/>
      <c r="BZ488" s="2372"/>
      <c r="CA488" s="2372"/>
      <c r="CB488" s="2372"/>
      <c r="CC488" s="2372"/>
      <c r="CD488" s="2372"/>
      <c r="CE488" s="2372"/>
      <c r="CF488" s="2372"/>
      <c r="CG488" s="2372"/>
      <c r="CH488" s="2372"/>
      <c r="CI488" s="2372"/>
      <c r="CJ488" s="2372"/>
      <c r="CK488" s="2372"/>
      <c r="CL488" s="2372"/>
      <c r="CM488" s="2372"/>
      <c r="CN488" s="2372"/>
      <c r="CO488" s="2372"/>
      <c r="CP488" s="2372"/>
      <c r="CQ488" s="2372"/>
      <c r="CR488" s="2372"/>
      <c r="CS488" s="2372"/>
      <c r="CT488" s="2372"/>
      <c r="CU488" s="2372"/>
      <c r="CV488" s="2372"/>
      <c r="CW488" s="2372"/>
      <c r="CX488" s="2372"/>
      <c r="CY488" s="2372"/>
      <c r="CZ488" s="2372"/>
      <c r="DA488" s="2372"/>
    </row>
    <row r="489" spans="1:105" ht="15" hidden="1" customHeight="1">
      <c r="A489" s="2372"/>
      <c r="B489" s="2372"/>
      <c r="C489" s="2372"/>
      <c r="D489" s="2372"/>
      <c r="E489" s="2372"/>
      <c r="F489" s="2372"/>
      <c r="G489" s="2372"/>
      <c r="H489" s="2372"/>
      <c r="I489" s="2372"/>
      <c r="J489" s="2372"/>
      <c r="K489" s="2372"/>
      <c r="L489" s="2372"/>
      <c r="M489" s="2372"/>
      <c r="N489" s="2372"/>
      <c r="O489" s="2372"/>
      <c r="P489" s="2372"/>
      <c r="Q489" s="2372"/>
      <c r="R489" s="2372"/>
      <c r="S489" s="2372"/>
      <c r="T489" s="2372"/>
      <c r="U489" s="2372"/>
      <c r="V489" s="2372"/>
      <c r="W489" s="2372"/>
      <c r="X489" s="2372"/>
      <c r="Y489" s="2372"/>
      <c r="Z489" s="2372"/>
      <c r="AA489" s="2372"/>
      <c r="AB489" s="2372"/>
      <c r="AC489" s="2372"/>
      <c r="AD489" s="2372"/>
      <c r="AE489" s="2372"/>
      <c r="AF489" s="2372"/>
      <c r="AG489" s="2372"/>
      <c r="AH489" s="2372"/>
      <c r="AI489" s="2372"/>
      <c r="AJ489" s="2372"/>
      <c r="AK489" s="2372"/>
      <c r="AL489" s="2372"/>
      <c r="AM489" s="2372"/>
      <c r="AN489" s="2372"/>
      <c r="AO489" s="2372"/>
      <c r="AP489" s="2372"/>
      <c r="AQ489" s="2372"/>
      <c r="AR489" s="2372"/>
      <c r="AS489" s="2372"/>
      <c r="AT489" s="2372"/>
      <c r="AU489" s="2372"/>
      <c r="AV489" s="2372"/>
      <c r="AW489" s="2372"/>
      <c r="AX489" s="2372"/>
      <c r="AY489" s="2372"/>
      <c r="AZ489" s="2372"/>
      <c r="BA489" s="2372"/>
      <c r="BB489" s="2372"/>
      <c r="BC489" s="2372"/>
      <c r="BD489" s="2372"/>
      <c r="BE489" s="2372"/>
      <c r="BF489" s="2372"/>
      <c r="BG489" s="2372"/>
      <c r="BH489" s="2372"/>
      <c r="BI489" s="2372"/>
      <c r="BJ489" s="2372"/>
      <c r="BK489" s="2372"/>
      <c r="BL489" s="2372"/>
      <c r="BM489" s="2372"/>
      <c r="BN489" s="2372"/>
      <c r="BO489" s="2372"/>
      <c r="BP489" s="2372"/>
      <c r="BQ489" s="2372"/>
      <c r="BR489" s="2372"/>
      <c r="BS489" s="2372"/>
      <c r="BT489" s="2372"/>
      <c r="BU489" s="2372"/>
      <c r="BV489" s="2372"/>
      <c r="BW489" s="2372"/>
      <c r="BX489" s="2372"/>
      <c r="BY489" s="2372"/>
      <c r="BZ489" s="2372"/>
      <c r="CA489" s="2372"/>
      <c r="CB489" s="2372"/>
      <c r="CC489" s="2372"/>
      <c r="CD489" s="2372"/>
      <c r="CE489" s="2372"/>
      <c r="CF489" s="2372"/>
      <c r="CG489" s="2372"/>
      <c r="CH489" s="2372"/>
      <c r="CI489" s="2372"/>
      <c r="CJ489" s="2372"/>
      <c r="CK489" s="2372"/>
      <c r="CL489" s="2372"/>
      <c r="CM489" s="2372"/>
      <c r="CN489" s="2372"/>
      <c r="CO489" s="2372"/>
      <c r="CP489" s="2372"/>
      <c r="CQ489" s="2372"/>
      <c r="CR489" s="2372"/>
      <c r="CS489" s="2372"/>
      <c r="CT489" s="2372"/>
      <c r="CU489" s="2372"/>
      <c r="CV489" s="2372"/>
      <c r="CW489" s="2372"/>
      <c r="CX489" s="2372"/>
      <c r="CY489" s="2372"/>
      <c r="CZ489" s="2372"/>
      <c r="DA489" s="2372"/>
    </row>
    <row r="490" spans="1:105" ht="15" hidden="1" customHeight="1">
      <c r="A490" s="2372"/>
      <c r="B490" s="2372"/>
      <c r="C490" s="2372"/>
      <c r="D490" s="2372"/>
      <c r="E490" s="2372"/>
      <c r="F490" s="2372"/>
      <c r="G490" s="2372"/>
      <c r="H490" s="2372"/>
      <c r="I490" s="2372"/>
      <c r="J490" s="2372"/>
      <c r="K490" s="2372"/>
      <c r="L490" s="2372"/>
      <c r="M490" s="2372"/>
      <c r="N490" s="2372"/>
      <c r="O490" s="2372"/>
      <c r="P490" s="2372"/>
      <c r="Q490" s="2372"/>
      <c r="R490" s="2372"/>
      <c r="S490" s="2372"/>
      <c r="T490" s="2372"/>
      <c r="U490" s="2372"/>
      <c r="V490" s="2372"/>
      <c r="W490" s="2372"/>
      <c r="X490" s="2372"/>
      <c r="Y490" s="2372"/>
      <c r="Z490" s="2372"/>
      <c r="AA490" s="2372"/>
      <c r="AB490" s="2372"/>
      <c r="AC490" s="2372"/>
      <c r="AD490" s="2372"/>
      <c r="AE490" s="2372"/>
      <c r="AF490" s="2372"/>
      <c r="AG490" s="2372"/>
      <c r="AH490" s="2372"/>
      <c r="AI490" s="2372"/>
      <c r="AJ490" s="2372"/>
      <c r="AK490" s="2372"/>
      <c r="AL490" s="2372"/>
      <c r="AM490" s="2372"/>
      <c r="AN490" s="2372"/>
      <c r="AO490" s="2372"/>
      <c r="AP490" s="2372"/>
      <c r="AQ490" s="2372"/>
      <c r="AR490" s="2372"/>
      <c r="AS490" s="2372"/>
      <c r="AT490" s="2372"/>
      <c r="AU490" s="2372"/>
      <c r="AV490" s="2372"/>
      <c r="AW490" s="2372"/>
      <c r="AX490" s="2372"/>
      <c r="AY490" s="2372"/>
      <c r="AZ490" s="2372"/>
      <c r="BA490" s="2372"/>
      <c r="BB490" s="2372"/>
      <c r="BC490" s="2372"/>
      <c r="BD490" s="2372"/>
      <c r="BE490" s="2372"/>
      <c r="BF490" s="2372"/>
      <c r="BG490" s="2372"/>
      <c r="BH490" s="2372"/>
      <c r="BI490" s="2372"/>
      <c r="BJ490" s="2372"/>
      <c r="BK490" s="2372"/>
      <c r="BL490" s="2372"/>
      <c r="BM490" s="2372"/>
      <c r="BN490" s="2372"/>
      <c r="BO490" s="2372"/>
      <c r="BP490" s="2372"/>
      <c r="BQ490" s="2372"/>
      <c r="BR490" s="2372"/>
      <c r="BS490" s="2372"/>
      <c r="BT490" s="2372"/>
      <c r="BU490" s="2372"/>
      <c r="BV490" s="2372"/>
      <c r="BW490" s="2372"/>
      <c r="BX490" s="2372"/>
      <c r="BY490" s="2372"/>
      <c r="BZ490" s="2372"/>
      <c r="CA490" s="2372"/>
      <c r="CB490" s="2372"/>
      <c r="CC490" s="2372"/>
      <c r="CD490" s="2372"/>
      <c r="CE490" s="2372"/>
      <c r="CF490" s="2372"/>
      <c r="CG490" s="2372"/>
      <c r="CH490" s="2372"/>
      <c r="CI490" s="2372"/>
      <c r="CJ490" s="2372"/>
      <c r="CK490" s="2372"/>
      <c r="CL490" s="2372"/>
      <c r="CM490" s="2372"/>
      <c r="CN490" s="2372"/>
      <c r="CO490" s="2372"/>
      <c r="CP490" s="2372"/>
      <c r="CQ490" s="2372"/>
      <c r="CR490" s="2372"/>
      <c r="CS490" s="2372"/>
      <c r="CT490" s="2372"/>
      <c r="CU490" s="2372"/>
      <c r="CV490" s="2372"/>
      <c r="CW490" s="2372"/>
      <c r="CX490" s="2372"/>
      <c r="CY490" s="2372"/>
      <c r="CZ490" s="2372"/>
      <c r="DA490" s="2372"/>
    </row>
    <row r="491" spans="1:105" ht="15" hidden="1" customHeight="1">
      <c r="A491" s="2372"/>
      <c r="B491" s="2372"/>
      <c r="C491" s="2372"/>
      <c r="D491" s="2372"/>
      <c r="E491" s="2372"/>
      <c r="F491" s="2372"/>
      <c r="G491" s="2372"/>
      <c r="H491" s="2372"/>
      <c r="I491" s="2372"/>
      <c r="J491" s="2372"/>
      <c r="K491" s="2372"/>
      <c r="L491" s="2372"/>
      <c r="M491" s="2372"/>
      <c r="N491" s="2372"/>
      <c r="O491" s="2372"/>
      <c r="P491" s="2372"/>
      <c r="Q491" s="2372"/>
      <c r="R491" s="2372"/>
      <c r="S491" s="2372"/>
      <c r="T491" s="2372"/>
      <c r="U491" s="2372"/>
      <c r="V491" s="2372"/>
      <c r="W491" s="2372"/>
      <c r="X491" s="2372"/>
      <c r="Y491" s="2372"/>
      <c r="Z491" s="2372"/>
      <c r="AA491" s="2372"/>
      <c r="AB491" s="2372"/>
      <c r="AC491" s="2372"/>
      <c r="AD491" s="2372"/>
      <c r="AE491" s="2372"/>
      <c r="AF491" s="2372"/>
      <c r="AG491" s="2372"/>
      <c r="AH491" s="2372"/>
      <c r="AI491" s="2372"/>
      <c r="AJ491" s="2372"/>
      <c r="AK491" s="2372"/>
      <c r="AL491" s="2372"/>
      <c r="AM491" s="2372"/>
      <c r="AN491" s="2372"/>
      <c r="AO491" s="2372"/>
      <c r="AP491" s="2372"/>
      <c r="AQ491" s="2372"/>
      <c r="AR491" s="2372"/>
      <c r="AS491" s="2372"/>
      <c r="AT491" s="2372"/>
      <c r="AU491" s="2372"/>
      <c r="AV491" s="2372"/>
      <c r="AW491" s="2372"/>
      <c r="AX491" s="2372"/>
      <c r="AY491" s="2372"/>
      <c r="AZ491" s="2372"/>
      <c r="BA491" s="2372"/>
      <c r="BB491" s="2372"/>
      <c r="BC491" s="2372"/>
      <c r="BD491" s="2372"/>
      <c r="BE491" s="2372"/>
      <c r="BF491" s="2372"/>
      <c r="BG491" s="2372"/>
      <c r="BH491" s="2372"/>
      <c r="BI491" s="2372"/>
      <c r="BJ491" s="2372"/>
      <c r="BK491" s="2372"/>
      <c r="BL491" s="2372"/>
      <c r="BM491" s="2372"/>
      <c r="BN491" s="2372"/>
      <c r="BO491" s="2372"/>
      <c r="BP491" s="2372"/>
      <c r="BQ491" s="2372"/>
      <c r="BR491" s="2372"/>
      <c r="BS491" s="2372"/>
      <c r="BT491" s="2372"/>
      <c r="BU491" s="2372"/>
      <c r="BV491" s="2372"/>
      <c r="BW491" s="2372"/>
      <c r="BX491" s="2372"/>
      <c r="BY491" s="2372"/>
      <c r="BZ491" s="2372"/>
      <c r="CA491" s="2372"/>
      <c r="CB491" s="2372"/>
      <c r="CC491" s="2372"/>
      <c r="CD491" s="2372"/>
      <c r="CE491" s="2372"/>
      <c r="CF491" s="2372"/>
      <c r="CG491" s="2372"/>
      <c r="CH491" s="2372"/>
      <c r="CI491" s="2372"/>
      <c r="CJ491" s="2372"/>
      <c r="CK491" s="2372"/>
      <c r="CL491" s="2372"/>
      <c r="CM491" s="2372"/>
      <c r="CN491" s="2372"/>
      <c r="CO491" s="2372"/>
      <c r="CP491" s="2372"/>
      <c r="CQ491" s="2372"/>
      <c r="CR491" s="2372"/>
      <c r="CS491" s="2372"/>
      <c r="CT491" s="2372"/>
      <c r="CU491" s="2372"/>
      <c r="CV491" s="2372"/>
      <c r="CW491" s="2372"/>
      <c r="CX491" s="2372"/>
      <c r="CY491" s="2372"/>
      <c r="CZ491" s="2372"/>
      <c r="DA491" s="2372"/>
    </row>
    <row r="492" spans="1:105" ht="15" hidden="1" customHeight="1">
      <c r="A492" s="2372"/>
      <c r="B492" s="2372"/>
      <c r="C492" s="2372"/>
      <c r="D492" s="2372"/>
      <c r="E492" s="2372"/>
      <c r="F492" s="2372"/>
      <c r="G492" s="2372"/>
      <c r="H492" s="2372"/>
      <c r="I492" s="2372"/>
      <c r="J492" s="2372"/>
      <c r="K492" s="2372"/>
      <c r="L492" s="2372"/>
      <c r="M492" s="2372"/>
      <c r="N492" s="2372"/>
      <c r="O492" s="2372"/>
      <c r="P492" s="2372"/>
      <c r="Q492" s="2372"/>
      <c r="R492" s="2372"/>
      <c r="S492" s="2372"/>
      <c r="T492" s="2372"/>
      <c r="U492" s="2372"/>
      <c r="V492" s="2372"/>
      <c r="W492" s="2372"/>
      <c r="X492" s="2372"/>
      <c r="Y492" s="2372"/>
      <c r="Z492" s="2372"/>
      <c r="AA492" s="2372"/>
      <c r="AB492" s="2372"/>
      <c r="AC492" s="2372"/>
      <c r="AD492" s="2372"/>
      <c r="AE492" s="2372"/>
      <c r="AF492" s="2372"/>
      <c r="AG492" s="2372"/>
      <c r="AH492" s="2372"/>
      <c r="AI492" s="2372"/>
      <c r="AJ492" s="2372"/>
      <c r="AK492" s="2372"/>
      <c r="AL492" s="2372"/>
      <c r="AM492" s="2372"/>
      <c r="AN492" s="2372"/>
      <c r="AO492" s="2372"/>
      <c r="AP492" s="2372"/>
      <c r="AQ492" s="2372"/>
      <c r="AR492" s="2372"/>
      <c r="AS492" s="2372"/>
      <c r="AT492" s="2372"/>
      <c r="AU492" s="2372"/>
      <c r="AV492" s="2372"/>
      <c r="AW492" s="2372"/>
      <c r="AX492" s="2372"/>
      <c r="AY492" s="2372"/>
      <c r="AZ492" s="2372"/>
      <c r="BA492" s="2372"/>
      <c r="BB492" s="2372"/>
      <c r="BC492" s="2372"/>
      <c r="BD492" s="2372"/>
      <c r="BE492" s="2372"/>
      <c r="BF492" s="2372"/>
      <c r="BG492" s="2372"/>
      <c r="BH492" s="2372"/>
      <c r="BI492" s="2372"/>
      <c r="BJ492" s="2372"/>
      <c r="BK492" s="2372"/>
      <c r="BL492" s="2372"/>
      <c r="BM492" s="2372"/>
      <c r="BN492" s="2372"/>
      <c r="BO492" s="2372"/>
      <c r="BP492" s="2372"/>
      <c r="BQ492" s="2372"/>
      <c r="BR492" s="2372"/>
      <c r="BS492" s="2372"/>
      <c r="BT492" s="2372"/>
      <c r="BU492" s="2372"/>
      <c r="BV492" s="2372"/>
      <c r="BW492" s="2372"/>
      <c r="BX492" s="2372"/>
      <c r="BY492" s="2372"/>
      <c r="BZ492" s="2372"/>
      <c r="CA492" s="2372"/>
      <c r="CB492" s="2372"/>
      <c r="CC492" s="2372"/>
      <c r="CD492" s="2372"/>
      <c r="CE492" s="2372"/>
      <c r="CF492" s="2372"/>
      <c r="CG492" s="2372"/>
      <c r="CH492" s="2372"/>
      <c r="CI492" s="2372"/>
      <c r="CJ492" s="2372"/>
      <c r="CK492" s="2372"/>
      <c r="CL492" s="2372"/>
      <c r="CM492" s="2372"/>
      <c r="CN492" s="2372"/>
      <c r="CO492" s="2372"/>
      <c r="CP492" s="2372"/>
      <c r="CQ492" s="2372"/>
      <c r="CR492" s="2372"/>
      <c r="CS492" s="2372"/>
      <c r="CT492" s="2372"/>
      <c r="CU492" s="2372"/>
      <c r="CV492" s="2372"/>
      <c r="CW492" s="2372"/>
      <c r="CX492" s="2372"/>
      <c r="CY492" s="2372"/>
      <c r="CZ492" s="2372"/>
      <c r="DA492" s="2372"/>
    </row>
    <row r="493" spans="1:105" ht="15" hidden="1" customHeight="1">
      <c r="A493" s="2372"/>
      <c r="B493" s="2372"/>
      <c r="C493" s="2372"/>
      <c r="D493" s="2372"/>
      <c r="E493" s="2372"/>
      <c r="F493" s="2372"/>
      <c r="G493" s="2372"/>
      <c r="H493" s="2372"/>
      <c r="I493" s="2372"/>
      <c r="J493" s="2372"/>
      <c r="K493" s="2372"/>
      <c r="L493" s="2372"/>
      <c r="M493" s="2372"/>
      <c r="N493" s="2372"/>
      <c r="O493" s="2372"/>
      <c r="P493" s="2372"/>
      <c r="Q493" s="2372"/>
      <c r="R493" s="2372"/>
      <c r="S493" s="2372"/>
      <c r="T493" s="2372"/>
      <c r="U493" s="2372"/>
      <c r="V493" s="2372"/>
      <c r="W493" s="2372"/>
      <c r="X493" s="2372"/>
      <c r="Y493" s="2372"/>
      <c r="Z493" s="2372"/>
      <c r="AA493" s="2372"/>
      <c r="AB493" s="2372"/>
      <c r="AC493" s="2372"/>
      <c r="AD493" s="2372"/>
      <c r="AE493" s="2372"/>
      <c r="AF493" s="2372"/>
      <c r="AG493" s="2372"/>
      <c r="AH493" s="2372"/>
      <c r="AI493" s="2372"/>
      <c r="AJ493" s="2372"/>
      <c r="AK493" s="2372"/>
      <c r="AL493" s="2372"/>
      <c r="AM493" s="2372"/>
      <c r="AN493" s="2372"/>
      <c r="AO493" s="2372"/>
      <c r="AP493" s="2372"/>
      <c r="AQ493" s="2372"/>
      <c r="AR493" s="2372"/>
      <c r="AS493" s="2372"/>
      <c r="AT493" s="2372"/>
      <c r="AU493" s="2372"/>
      <c r="AV493" s="2372"/>
      <c r="AW493" s="2372"/>
      <c r="AX493" s="2372"/>
      <c r="AY493" s="2372"/>
      <c r="AZ493" s="2372"/>
      <c r="BA493" s="2372"/>
      <c r="BB493" s="2372"/>
      <c r="BC493" s="2372"/>
      <c r="BD493" s="2372"/>
      <c r="BE493" s="2372"/>
      <c r="BF493" s="2372"/>
      <c r="BG493" s="2372"/>
      <c r="BH493" s="2372"/>
      <c r="BI493" s="2372"/>
      <c r="BJ493" s="2372"/>
      <c r="BK493" s="2372"/>
      <c r="BL493" s="2372"/>
      <c r="BM493" s="2372"/>
      <c r="BN493" s="2372"/>
      <c r="BO493" s="2372"/>
      <c r="BP493" s="2372"/>
      <c r="BQ493" s="2372"/>
      <c r="BR493" s="2372"/>
      <c r="BS493" s="2372"/>
      <c r="BT493" s="2372"/>
      <c r="BU493" s="2372"/>
      <c r="BV493" s="2372"/>
      <c r="BW493" s="2372"/>
      <c r="BX493" s="2372"/>
      <c r="BY493" s="2372"/>
      <c r="BZ493" s="2372"/>
      <c r="CA493" s="2372"/>
      <c r="CB493" s="2372"/>
      <c r="CC493" s="2372"/>
      <c r="CD493" s="2372"/>
      <c r="CE493" s="2372"/>
      <c r="CF493" s="2372"/>
      <c r="CG493" s="2372"/>
      <c r="CH493" s="2372"/>
      <c r="CI493" s="2372"/>
      <c r="CJ493" s="2372"/>
      <c r="CK493" s="2372"/>
      <c r="CL493" s="2372"/>
      <c r="CM493" s="2372"/>
      <c r="CN493" s="2372"/>
      <c r="CO493" s="2372"/>
      <c r="CP493" s="2372"/>
      <c r="CQ493" s="2372"/>
      <c r="CR493" s="2372"/>
      <c r="CS493" s="2372"/>
      <c r="CT493" s="2372"/>
      <c r="CU493" s="2372"/>
      <c r="CV493" s="2372"/>
      <c r="CW493" s="2372"/>
      <c r="CX493" s="2372"/>
      <c r="CY493" s="2372"/>
      <c r="CZ493" s="2372"/>
      <c r="DA493" s="2372"/>
    </row>
    <row r="494" spans="1:105" ht="15" hidden="1" customHeight="1">
      <c r="A494" s="2372"/>
      <c r="B494" s="2372"/>
      <c r="C494" s="2372"/>
      <c r="D494" s="2372"/>
      <c r="E494" s="2372"/>
      <c r="F494" s="2372"/>
      <c r="G494" s="2372"/>
      <c r="H494" s="2372"/>
      <c r="I494" s="2372"/>
      <c r="J494" s="2372"/>
      <c r="K494" s="2372"/>
      <c r="L494" s="2372"/>
      <c r="M494" s="2372"/>
      <c r="N494" s="2372"/>
      <c r="O494" s="2372"/>
      <c r="P494" s="2372"/>
      <c r="Q494" s="2372"/>
      <c r="R494" s="2372"/>
      <c r="S494" s="2372"/>
      <c r="T494" s="2372"/>
      <c r="U494" s="2372"/>
      <c r="V494" s="2372"/>
      <c r="W494" s="2372"/>
      <c r="X494" s="2372"/>
      <c r="Y494" s="2372"/>
      <c r="Z494" s="2372"/>
      <c r="AA494" s="2372"/>
      <c r="AB494" s="2372"/>
      <c r="AC494" s="2372"/>
      <c r="AD494" s="2372"/>
      <c r="AE494" s="2372"/>
      <c r="AF494" s="2372"/>
      <c r="AG494" s="2372"/>
      <c r="AH494" s="2372"/>
      <c r="AI494" s="2372"/>
      <c r="AJ494" s="2372"/>
      <c r="AK494" s="2372"/>
      <c r="AL494" s="2372"/>
      <c r="AM494" s="2372"/>
      <c r="AN494" s="2372"/>
      <c r="AO494" s="2372"/>
      <c r="AP494" s="2372"/>
      <c r="AQ494" s="2372"/>
      <c r="AR494" s="2372"/>
      <c r="AS494" s="2372"/>
      <c r="AT494" s="2372"/>
      <c r="AU494" s="2372"/>
      <c r="AV494" s="2372"/>
      <c r="AW494" s="2372"/>
      <c r="AX494" s="2372"/>
      <c r="AY494" s="2372"/>
      <c r="AZ494" s="2372"/>
      <c r="BA494" s="2372"/>
      <c r="BB494" s="2372"/>
      <c r="BC494" s="2372"/>
      <c r="BD494" s="2372"/>
      <c r="BE494" s="2372"/>
      <c r="BF494" s="2372"/>
      <c r="BG494" s="2372"/>
      <c r="BH494" s="2372"/>
      <c r="BI494" s="2372"/>
      <c r="BJ494" s="2372"/>
      <c r="BK494" s="2372"/>
      <c r="BL494" s="2372"/>
      <c r="BM494" s="2372"/>
      <c r="BN494" s="2372"/>
      <c r="BO494" s="2372"/>
      <c r="BP494" s="2372"/>
      <c r="BQ494" s="2372"/>
      <c r="BR494" s="2372"/>
      <c r="BS494" s="2372"/>
      <c r="BT494" s="2372"/>
      <c r="BU494" s="2372"/>
      <c r="BV494" s="2372"/>
      <c r="BW494" s="2372"/>
      <c r="BX494" s="2372"/>
      <c r="BY494" s="2372"/>
      <c r="BZ494" s="2372"/>
      <c r="CA494" s="2372"/>
      <c r="CB494" s="2372"/>
      <c r="CC494" s="2372"/>
      <c r="CD494" s="2372"/>
      <c r="CE494" s="2372"/>
      <c r="CF494" s="2372"/>
      <c r="CG494" s="2372"/>
      <c r="CH494" s="2372"/>
      <c r="CI494" s="2372"/>
      <c r="CJ494" s="2372"/>
      <c r="CK494" s="2372"/>
      <c r="CL494" s="2372"/>
      <c r="CM494" s="2372"/>
      <c r="CN494" s="2372"/>
      <c r="CO494" s="2372"/>
      <c r="CP494" s="2372"/>
      <c r="CQ494" s="2372"/>
      <c r="CR494" s="2372"/>
      <c r="CS494" s="2372"/>
      <c r="CT494" s="2372"/>
      <c r="CU494" s="2372"/>
      <c r="CV494" s="2372"/>
      <c r="CW494" s="2372"/>
      <c r="CX494" s="2372"/>
      <c r="CY494" s="2372"/>
      <c r="CZ494" s="2372"/>
      <c r="DA494" s="2372"/>
    </row>
    <row r="495" spans="1:105" ht="15" hidden="1" customHeight="1">
      <c r="A495" s="2372"/>
      <c r="B495" s="2372"/>
      <c r="C495" s="2372"/>
      <c r="D495" s="2372"/>
      <c r="E495" s="2372"/>
      <c r="F495" s="2372"/>
      <c r="G495" s="2372"/>
      <c r="H495" s="2372"/>
      <c r="I495" s="2372"/>
      <c r="J495" s="2372"/>
      <c r="K495" s="2372"/>
      <c r="L495" s="2372"/>
      <c r="M495" s="2372"/>
      <c r="N495" s="2372"/>
      <c r="O495" s="2372"/>
      <c r="P495" s="2372"/>
      <c r="Q495" s="2372"/>
      <c r="R495" s="2372"/>
      <c r="S495" s="2372"/>
      <c r="T495" s="2372"/>
      <c r="U495" s="2372"/>
      <c r="V495" s="2372"/>
      <c r="W495" s="2372"/>
      <c r="X495" s="2372"/>
      <c r="Y495" s="2372"/>
      <c r="Z495" s="2372"/>
      <c r="AA495" s="2372"/>
      <c r="AB495" s="2372"/>
      <c r="AC495" s="2372"/>
      <c r="AD495" s="2372"/>
      <c r="AE495" s="2372"/>
      <c r="AF495" s="2372"/>
      <c r="AG495" s="2372"/>
      <c r="AH495" s="2372"/>
      <c r="AI495" s="2372"/>
      <c r="AJ495" s="2372"/>
      <c r="AK495" s="2372"/>
      <c r="AL495" s="2372"/>
      <c r="AM495" s="2372"/>
      <c r="AN495" s="2372"/>
      <c r="AO495" s="2372"/>
      <c r="AP495" s="2372"/>
      <c r="AQ495" s="2372"/>
      <c r="AR495" s="2372"/>
      <c r="AS495" s="2372"/>
      <c r="AT495" s="2372"/>
      <c r="AU495" s="2372"/>
      <c r="AV495" s="2372"/>
      <c r="AW495" s="2372"/>
      <c r="AX495" s="2372"/>
      <c r="AY495" s="2372"/>
      <c r="AZ495" s="2372"/>
      <c r="BA495" s="2372"/>
      <c r="BB495" s="2372"/>
      <c r="BC495" s="2372"/>
      <c r="BD495" s="2372"/>
      <c r="BE495" s="2372"/>
      <c r="BF495" s="2372"/>
      <c r="BG495" s="2372"/>
      <c r="BH495" s="2372"/>
      <c r="BI495" s="2372"/>
      <c r="BJ495" s="2372"/>
      <c r="BK495" s="2372"/>
      <c r="BL495" s="2372"/>
      <c r="BM495" s="2372"/>
      <c r="BN495" s="2372"/>
      <c r="BO495" s="2372"/>
      <c r="BP495" s="2372"/>
      <c r="BQ495" s="2372"/>
      <c r="BR495" s="2372"/>
      <c r="BS495" s="2372"/>
      <c r="BT495" s="2372"/>
      <c r="BU495" s="2372"/>
      <c r="BV495" s="2372"/>
      <c r="BW495" s="2372"/>
      <c r="BX495" s="2372"/>
      <c r="BY495" s="2372"/>
      <c r="BZ495" s="2372"/>
      <c r="CA495" s="2372"/>
      <c r="CB495" s="2372"/>
      <c r="CC495" s="2372"/>
      <c r="CD495" s="2372"/>
      <c r="CE495" s="2372"/>
      <c r="CF495" s="2372"/>
      <c r="CG495" s="2372"/>
      <c r="CH495" s="2372"/>
      <c r="CI495" s="2372"/>
      <c r="CJ495" s="2372"/>
      <c r="CK495" s="2372"/>
      <c r="CL495" s="2372"/>
      <c r="CM495" s="2372"/>
      <c r="CN495" s="2372"/>
      <c r="CO495" s="2372"/>
      <c r="CP495" s="2372"/>
      <c r="CQ495" s="2372"/>
      <c r="CR495" s="2372"/>
      <c r="CS495" s="2372"/>
      <c r="CT495" s="2372"/>
      <c r="CU495" s="2372"/>
      <c r="CV495" s="2372"/>
      <c r="CW495" s="2372"/>
      <c r="CX495" s="2372"/>
      <c r="CY495" s="2372"/>
      <c r="CZ495" s="2372"/>
      <c r="DA495" s="2372"/>
    </row>
    <row r="496" spans="1:105" ht="15" hidden="1" customHeight="1">
      <c r="A496" s="2372"/>
      <c r="B496" s="2372"/>
      <c r="C496" s="2372"/>
      <c r="D496" s="2372"/>
      <c r="E496" s="2372"/>
      <c r="F496" s="2372"/>
      <c r="G496" s="2372"/>
      <c r="H496" s="2372"/>
      <c r="I496" s="2372"/>
      <c r="J496" s="2372"/>
      <c r="K496" s="2372"/>
      <c r="L496" s="2372"/>
      <c r="M496" s="2372"/>
      <c r="N496" s="2372"/>
      <c r="O496" s="2372"/>
      <c r="P496" s="2372"/>
      <c r="Q496" s="2372"/>
      <c r="R496" s="2372"/>
      <c r="S496" s="2372"/>
      <c r="T496" s="2372"/>
      <c r="U496" s="2372"/>
      <c r="V496" s="2372"/>
      <c r="W496" s="2372"/>
      <c r="X496" s="2372"/>
      <c r="Y496" s="2372"/>
      <c r="Z496" s="2372"/>
      <c r="AA496" s="2372"/>
      <c r="AB496" s="2372"/>
      <c r="AC496" s="2372"/>
      <c r="AD496" s="2372"/>
      <c r="AE496" s="2372"/>
      <c r="AF496" s="2372"/>
      <c r="AG496" s="2372"/>
      <c r="AH496" s="2372"/>
      <c r="AI496" s="2372"/>
      <c r="AJ496" s="2372"/>
      <c r="AK496" s="2372"/>
      <c r="AL496" s="2372"/>
      <c r="AM496" s="2372"/>
      <c r="AN496" s="2372"/>
      <c r="AO496" s="2372"/>
      <c r="AP496" s="2372"/>
      <c r="AQ496" s="2372"/>
      <c r="AR496" s="2372"/>
      <c r="AS496" s="2372"/>
      <c r="AT496" s="2372"/>
      <c r="AU496" s="2372"/>
      <c r="AV496" s="2372"/>
      <c r="AW496" s="2372"/>
      <c r="AX496" s="2372"/>
      <c r="AY496" s="2372"/>
      <c r="AZ496" s="2372"/>
      <c r="BA496" s="2372"/>
      <c r="BB496" s="2372"/>
      <c r="BC496" s="2372"/>
      <c r="BD496" s="2372"/>
      <c r="BE496" s="2372"/>
      <c r="BF496" s="2372"/>
      <c r="BG496" s="2372"/>
      <c r="BH496" s="2372"/>
      <c r="BI496" s="2372"/>
      <c r="BJ496" s="2372"/>
      <c r="BK496" s="2372"/>
      <c r="BL496" s="2372"/>
      <c r="BM496" s="2372"/>
      <c r="BN496" s="2372"/>
      <c r="BO496" s="2372"/>
      <c r="BP496" s="2372"/>
      <c r="BQ496" s="2372"/>
      <c r="BR496" s="2372"/>
      <c r="BS496" s="2372"/>
      <c r="BT496" s="2372"/>
      <c r="BU496" s="2372"/>
      <c r="BV496" s="2372"/>
      <c r="BW496" s="2372"/>
      <c r="BX496" s="2372"/>
      <c r="BY496" s="2372"/>
      <c r="BZ496" s="2372"/>
      <c r="CA496" s="2372"/>
      <c r="CB496" s="2372"/>
      <c r="CC496" s="2372"/>
      <c r="CD496" s="2372"/>
      <c r="CE496" s="2372"/>
      <c r="CF496" s="2372"/>
      <c r="CG496" s="2372"/>
      <c r="CH496" s="2372"/>
      <c r="CI496" s="2372"/>
      <c r="CJ496" s="2372"/>
      <c r="CK496" s="2372"/>
      <c r="CL496" s="2372"/>
      <c r="CM496" s="2372"/>
      <c r="CN496" s="2372"/>
      <c r="CO496" s="2372"/>
      <c r="CP496" s="2372"/>
      <c r="CQ496" s="2372"/>
      <c r="CR496" s="2372"/>
      <c r="CS496" s="2372"/>
      <c r="CT496" s="2372"/>
      <c r="CU496" s="2372"/>
      <c r="CV496" s="2372"/>
      <c r="CW496" s="2372"/>
      <c r="CX496" s="2372"/>
      <c r="CY496" s="2372"/>
      <c r="CZ496" s="2372"/>
      <c r="DA496" s="2372"/>
    </row>
    <row r="497" spans="1:105" ht="15" hidden="1" customHeight="1">
      <c r="A497" s="2372"/>
      <c r="B497" s="2372"/>
      <c r="C497" s="2372"/>
      <c r="D497" s="2372"/>
      <c r="E497" s="2372"/>
      <c r="F497" s="2372"/>
      <c r="G497" s="2372"/>
      <c r="H497" s="2372"/>
      <c r="I497" s="2372"/>
      <c r="J497" s="2372"/>
      <c r="K497" s="2372"/>
      <c r="L497" s="2372"/>
      <c r="M497" s="2372"/>
      <c r="N497" s="2372"/>
      <c r="O497" s="2372"/>
      <c r="P497" s="2372"/>
      <c r="Q497" s="2372"/>
      <c r="R497" s="2372"/>
      <c r="S497" s="2372"/>
      <c r="T497" s="2372"/>
      <c r="U497" s="2372"/>
      <c r="V497" s="2372"/>
      <c r="W497" s="2372"/>
      <c r="X497" s="2372"/>
      <c r="Y497" s="2372"/>
      <c r="Z497" s="2372"/>
      <c r="AA497" s="2372"/>
      <c r="AB497" s="2372"/>
      <c r="AC497" s="2372"/>
      <c r="AD497" s="2372"/>
      <c r="AE497" s="2372"/>
      <c r="AF497" s="2372"/>
      <c r="AG497" s="2372"/>
      <c r="AH497" s="2372"/>
      <c r="AI497" s="2372"/>
      <c r="AJ497" s="2372"/>
      <c r="AK497" s="2372"/>
      <c r="AL497" s="2372"/>
      <c r="AM497" s="2372"/>
      <c r="AN497" s="2372"/>
      <c r="AO497" s="2372"/>
      <c r="AP497" s="2372"/>
      <c r="AQ497" s="2372"/>
      <c r="AR497" s="2372"/>
      <c r="AS497" s="2372"/>
      <c r="AT497" s="2372"/>
      <c r="AU497" s="2372"/>
      <c r="AV497" s="2372"/>
      <c r="AW497" s="2372"/>
      <c r="AX497" s="2372"/>
      <c r="AY497" s="2372"/>
      <c r="AZ497" s="2372"/>
      <c r="BA497" s="2372"/>
      <c r="BB497" s="2372"/>
      <c r="BC497" s="2372"/>
      <c r="BD497" s="2372"/>
      <c r="BE497" s="2372"/>
      <c r="BF497" s="2372"/>
      <c r="BG497" s="2372"/>
      <c r="BH497" s="2372"/>
      <c r="BI497" s="2372"/>
      <c r="BJ497" s="2372"/>
      <c r="BK497" s="2372"/>
      <c r="BL497" s="2372"/>
      <c r="BM497" s="2372"/>
      <c r="BN497" s="2372"/>
      <c r="BO497" s="2372"/>
      <c r="BP497" s="2372"/>
      <c r="BQ497" s="2372"/>
      <c r="BR497" s="2372"/>
      <c r="BS497" s="2372"/>
      <c r="BT497" s="2372"/>
      <c r="BU497" s="2372"/>
      <c r="BV497" s="2372"/>
      <c r="BW497" s="2372"/>
      <c r="BX497" s="2372"/>
      <c r="BY497" s="2372"/>
      <c r="BZ497" s="2372"/>
      <c r="CA497" s="2372"/>
      <c r="CB497" s="2372"/>
      <c r="CC497" s="2372"/>
      <c r="CD497" s="2372"/>
      <c r="CE497" s="2372"/>
      <c r="CF497" s="2372"/>
      <c r="CG497" s="2372"/>
      <c r="CH497" s="2372"/>
      <c r="CI497" s="2372"/>
      <c r="CJ497" s="2372"/>
      <c r="CK497" s="2372"/>
      <c r="CL497" s="2372"/>
      <c r="CM497" s="2372"/>
      <c r="CN497" s="2372"/>
      <c r="CO497" s="2372"/>
      <c r="CP497" s="2372"/>
      <c r="CQ497" s="2372"/>
      <c r="CR497" s="2372"/>
      <c r="CS497" s="2372"/>
      <c r="CT497" s="2372"/>
      <c r="CU497" s="2372"/>
      <c r="CV497" s="2372"/>
      <c r="CW497" s="2372"/>
      <c r="CX497" s="2372"/>
      <c r="CY497" s="2372"/>
      <c r="CZ497" s="2372"/>
      <c r="DA497" s="2372"/>
    </row>
    <row r="498" spans="1:105" ht="15" hidden="1" customHeight="1">
      <c r="A498" s="2372"/>
      <c r="B498" s="2372"/>
      <c r="C498" s="2372"/>
      <c r="D498" s="2372"/>
      <c r="E498" s="2372"/>
      <c r="F498" s="2372"/>
      <c r="G498" s="2372"/>
      <c r="H498" s="2372"/>
      <c r="I498" s="2372"/>
      <c r="J498" s="2372"/>
      <c r="K498" s="2372"/>
      <c r="L498" s="2372"/>
      <c r="M498" s="2372"/>
      <c r="N498" s="2372"/>
      <c r="O498" s="2372"/>
      <c r="P498" s="2372"/>
      <c r="Q498" s="2372"/>
      <c r="R498" s="2372"/>
      <c r="S498" s="2372"/>
      <c r="T498" s="2372"/>
      <c r="U498" s="2372"/>
      <c r="V498" s="2372"/>
      <c r="W498" s="2372"/>
      <c r="X498" s="2372"/>
      <c r="Y498" s="2372"/>
      <c r="Z498" s="2372"/>
      <c r="AA498" s="2372"/>
      <c r="AB498" s="2372"/>
      <c r="AC498" s="2372"/>
      <c r="AD498" s="2372"/>
      <c r="AE498" s="2372"/>
      <c r="AF498" s="2372"/>
      <c r="AG498" s="2372"/>
      <c r="AH498" s="2372"/>
      <c r="AI498" s="2372"/>
      <c r="AJ498" s="2372"/>
      <c r="AK498" s="2372"/>
      <c r="AL498" s="2372"/>
      <c r="AM498" s="2372"/>
      <c r="AN498" s="2372"/>
      <c r="AO498" s="2372"/>
      <c r="AP498" s="2372"/>
      <c r="AQ498" s="2372"/>
      <c r="AR498" s="2372"/>
      <c r="AS498" s="2372"/>
      <c r="AT498" s="2372"/>
      <c r="AU498" s="2372"/>
      <c r="AV498" s="2372"/>
      <c r="AW498" s="2372"/>
      <c r="AX498" s="2372"/>
      <c r="AY498" s="2372"/>
      <c r="AZ498" s="2372"/>
      <c r="BA498" s="2372"/>
      <c r="BB498" s="2372"/>
      <c r="BC498" s="2372"/>
      <c r="BD498" s="2372"/>
      <c r="BE498" s="2372"/>
      <c r="BF498" s="2372"/>
      <c r="BG498" s="2372"/>
      <c r="BH498" s="2372"/>
      <c r="BI498" s="2372"/>
      <c r="BJ498" s="2372"/>
      <c r="BK498" s="2372"/>
      <c r="BL498" s="2372"/>
      <c r="BM498" s="2372"/>
      <c r="BN498" s="2372"/>
      <c r="BO498" s="2372"/>
      <c r="BP498" s="2372"/>
      <c r="BQ498" s="2372"/>
      <c r="BR498" s="2372"/>
      <c r="BS498" s="2372"/>
      <c r="BT498" s="2372"/>
      <c r="BU498" s="2372"/>
      <c r="BV498" s="2372"/>
      <c r="BW498" s="2372"/>
      <c r="BX498" s="2372"/>
      <c r="BY498" s="2372"/>
      <c r="BZ498" s="2372"/>
      <c r="CA498" s="2372"/>
      <c r="CB498" s="2372"/>
      <c r="CC498" s="2372"/>
      <c r="CD498" s="2372"/>
      <c r="CE498" s="2372"/>
      <c r="CF498" s="2372"/>
      <c r="CG498" s="2372"/>
      <c r="CH498" s="2372"/>
      <c r="CI498" s="2372"/>
      <c r="CJ498" s="2372"/>
      <c r="CK498" s="2372"/>
      <c r="CL498" s="2372"/>
      <c r="CM498" s="2372"/>
      <c r="CN498" s="2372"/>
      <c r="CO498" s="2372"/>
      <c r="CP498" s="2372"/>
      <c r="CQ498" s="2372"/>
      <c r="CR498" s="2372"/>
      <c r="CS498" s="2372"/>
      <c r="CT498" s="2372"/>
      <c r="CU498" s="2372"/>
      <c r="CV498" s="2372"/>
      <c r="CW498" s="2372"/>
      <c r="CX498" s="2372"/>
      <c r="CY498" s="2372"/>
      <c r="CZ498" s="2372"/>
      <c r="DA498" s="2372"/>
    </row>
    <row r="499" spans="1:105" ht="15" hidden="1" customHeight="1">
      <c r="A499" s="2372"/>
      <c r="B499" s="2372"/>
      <c r="C499" s="2372"/>
      <c r="D499" s="2372"/>
      <c r="E499" s="2372"/>
      <c r="F499" s="2372"/>
      <c r="G499" s="2372"/>
      <c r="H499" s="2372"/>
      <c r="I499" s="2372"/>
      <c r="J499" s="2372"/>
      <c r="K499" s="2372"/>
      <c r="L499" s="2372"/>
      <c r="M499" s="2372"/>
      <c r="N499" s="2372"/>
      <c r="O499" s="2372"/>
      <c r="P499" s="2372"/>
      <c r="Q499" s="2372"/>
      <c r="R499" s="2372"/>
      <c r="S499" s="2372"/>
      <c r="T499" s="2372"/>
      <c r="U499" s="2372"/>
      <c r="V499" s="2372"/>
      <c r="W499" s="2372"/>
      <c r="X499" s="2372"/>
      <c r="Y499" s="2372"/>
      <c r="Z499" s="2372"/>
      <c r="AA499" s="2372"/>
      <c r="AB499" s="2372"/>
      <c r="AC499" s="2372"/>
      <c r="AD499" s="2372"/>
      <c r="AE499" s="2372"/>
      <c r="AF499" s="2372"/>
      <c r="AG499" s="2372"/>
      <c r="AH499" s="2372"/>
      <c r="AI499" s="2372"/>
      <c r="AJ499" s="2372"/>
      <c r="AK499" s="2372"/>
      <c r="AL499" s="2372"/>
      <c r="AM499" s="2372"/>
      <c r="AN499" s="2372"/>
      <c r="AO499" s="2372"/>
      <c r="AP499" s="2372"/>
      <c r="AQ499" s="2372"/>
      <c r="AR499" s="2372"/>
      <c r="AS499" s="2372"/>
      <c r="AT499" s="2372"/>
      <c r="AU499" s="2372"/>
      <c r="AV499" s="2372"/>
      <c r="AW499" s="2372"/>
      <c r="AX499" s="2372"/>
      <c r="AY499" s="2372"/>
      <c r="AZ499" s="2372"/>
      <c r="BA499" s="2372"/>
      <c r="BB499" s="2372"/>
      <c r="BC499" s="2372"/>
      <c r="BD499" s="2372"/>
      <c r="BE499" s="2372"/>
      <c r="BF499" s="2372"/>
      <c r="BG499" s="2372"/>
      <c r="BH499" s="2372"/>
      <c r="BI499" s="2372"/>
      <c r="BJ499" s="2372"/>
      <c r="BK499" s="2372"/>
      <c r="BL499" s="2372"/>
      <c r="BM499" s="2372"/>
      <c r="BN499" s="2372"/>
      <c r="BO499" s="2372"/>
      <c r="BP499" s="2372"/>
      <c r="BQ499" s="2372"/>
      <c r="BR499" s="2372"/>
      <c r="BS499" s="2372"/>
      <c r="BT499" s="2372"/>
      <c r="BU499" s="2372"/>
      <c r="BV499" s="2372"/>
      <c r="BW499" s="2372"/>
      <c r="BX499" s="2372"/>
      <c r="BY499" s="2372"/>
      <c r="BZ499" s="2372"/>
      <c r="CA499" s="2372"/>
      <c r="CB499" s="2372"/>
      <c r="CC499" s="2372"/>
      <c r="CD499" s="2372"/>
      <c r="CE499" s="2372"/>
      <c r="CF499" s="2372"/>
      <c r="CG499" s="2372"/>
      <c r="CH499" s="2372"/>
      <c r="CI499" s="2372"/>
      <c r="CJ499" s="2372"/>
      <c r="CK499" s="2372"/>
      <c r="CL499" s="2372"/>
      <c r="CM499" s="2372"/>
      <c r="CN499" s="2372"/>
      <c r="CO499" s="2372"/>
      <c r="CP499" s="2372"/>
      <c r="CQ499" s="2372"/>
      <c r="CR499" s="2372"/>
      <c r="CS499" s="2372"/>
      <c r="CT499" s="2372"/>
      <c r="CU499" s="2372"/>
      <c r="CV499" s="2372"/>
      <c r="CW499" s="2372"/>
      <c r="CX499" s="2372"/>
      <c r="CY499" s="2372"/>
      <c r="CZ499" s="2372"/>
      <c r="DA499" s="2372"/>
    </row>
    <row r="500" spans="1:105" ht="15" hidden="1" customHeight="1">
      <c r="A500" s="2372"/>
      <c r="B500" s="2372"/>
      <c r="C500" s="2372"/>
      <c r="D500" s="2372"/>
      <c r="E500" s="2372"/>
      <c r="F500" s="2372"/>
      <c r="G500" s="2372"/>
      <c r="H500" s="2372"/>
      <c r="I500" s="2372"/>
      <c r="J500" s="2372"/>
      <c r="K500" s="2372"/>
      <c r="L500" s="2372"/>
      <c r="M500" s="2372"/>
      <c r="N500" s="2372"/>
      <c r="O500" s="2372"/>
      <c r="P500" s="2372"/>
      <c r="Q500" s="2372"/>
      <c r="R500" s="2372"/>
      <c r="S500" s="2372"/>
      <c r="T500" s="2372"/>
      <c r="U500" s="2372"/>
      <c r="V500" s="2372"/>
      <c r="W500" s="2372"/>
      <c r="X500" s="2372"/>
      <c r="Y500" s="2372"/>
      <c r="Z500" s="2372"/>
      <c r="AA500" s="2372"/>
      <c r="AB500" s="2372"/>
      <c r="AC500" s="2372"/>
      <c r="AD500" s="2372"/>
      <c r="AE500" s="2372"/>
      <c r="AF500" s="2372"/>
      <c r="AG500" s="2372"/>
      <c r="AH500" s="2372"/>
      <c r="AI500" s="2372"/>
      <c r="AJ500" s="2372"/>
      <c r="AK500" s="2372"/>
      <c r="AL500" s="2372"/>
      <c r="AM500" s="2372"/>
      <c r="AN500" s="2372"/>
      <c r="AO500" s="2372"/>
      <c r="AP500" s="2372"/>
      <c r="AQ500" s="2372"/>
      <c r="AR500" s="2372"/>
      <c r="AS500" s="2372"/>
      <c r="AT500" s="2372"/>
      <c r="AU500" s="2372"/>
      <c r="AV500" s="2372"/>
      <c r="AW500" s="2372"/>
      <c r="AX500" s="2372"/>
      <c r="AY500" s="2372"/>
      <c r="AZ500" s="2372"/>
      <c r="BA500" s="2372"/>
      <c r="BB500" s="2372"/>
      <c r="BC500" s="2372"/>
      <c r="BD500" s="2372"/>
      <c r="BE500" s="2372"/>
      <c r="BF500" s="2372"/>
      <c r="BG500" s="2372"/>
      <c r="BH500" s="2372"/>
      <c r="BI500" s="2372"/>
      <c r="BJ500" s="2372"/>
      <c r="BK500" s="2372"/>
      <c r="BL500" s="2372"/>
      <c r="BM500" s="2372"/>
      <c r="BN500" s="2372"/>
      <c r="BO500" s="2372"/>
      <c r="BP500" s="2372"/>
      <c r="BQ500" s="2372"/>
      <c r="BR500" s="2372"/>
      <c r="BS500" s="2372"/>
      <c r="BT500" s="2372"/>
      <c r="BU500" s="2372"/>
      <c r="BV500" s="2372"/>
      <c r="BW500" s="2372"/>
      <c r="BX500" s="2372"/>
      <c r="BY500" s="2372"/>
      <c r="BZ500" s="2372"/>
      <c r="CA500" s="2372"/>
      <c r="CB500" s="2372"/>
      <c r="CC500" s="2372"/>
      <c r="CD500" s="2372"/>
      <c r="CE500" s="2372"/>
      <c r="CF500" s="2372"/>
      <c r="CG500" s="2372"/>
      <c r="CH500" s="2372"/>
      <c r="CI500" s="2372"/>
      <c r="CJ500" s="2372"/>
      <c r="CK500" s="2372"/>
      <c r="CL500" s="2372"/>
      <c r="CM500" s="2372"/>
      <c r="CN500" s="2372"/>
      <c r="CO500" s="2372"/>
      <c r="CP500" s="2372"/>
      <c r="CQ500" s="2372"/>
      <c r="CR500" s="2372"/>
      <c r="CS500" s="2372"/>
      <c r="CT500" s="2372"/>
      <c r="CU500" s="2372"/>
      <c r="CV500" s="2372"/>
      <c r="CW500" s="2372"/>
      <c r="CX500" s="2372"/>
      <c r="CY500" s="2372"/>
      <c r="CZ500" s="2372"/>
      <c r="DA500" s="2372"/>
    </row>
    <row r="501" spans="1:105" ht="15" hidden="1" customHeight="1">
      <c r="A501" s="2372"/>
      <c r="B501" s="2372"/>
      <c r="C501" s="2372"/>
      <c r="D501" s="2372"/>
      <c r="E501" s="2372"/>
      <c r="F501" s="2372"/>
      <c r="G501" s="2372"/>
      <c r="H501" s="2372"/>
      <c r="I501" s="2372"/>
      <c r="J501" s="2372"/>
      <c r="K501" s="2372"/>
      <c r="L501" s="2372"/>
      <c r="M501" s="2372"/>
      <c r="N501" s="2372"/>
      <c r="O501" s="2372"/>
      <c r="P501" s="2372"/>
      <c r="Q501" s="2372"/>
      <c r="R501" s="2372"/>
      <c r="S501" s="2372"/>
      <c r="T501" s="2372"/>
      <c r="U501" s="2372"/>
      <c r="V501" s="2372"/>
      <c r="W501" s="2372"/>
      <c r="X501" s="2372"/>
      <c r="Y501" s="2372"/>
      <c r="Z501" s="2372"/>
      <c r="AA501" s="2372"/>
      <c r="AB501" s="2372"/>
      <c r="AC501" s="2372"/>
      <c r="AD501" s="2372"/>
      <c r="AE501" s="2372"/>
      <c r="AF501" s="2372"/>
      <c r="AG501" s="2372"/>
      <c r="AH501" s="2372"/>
      <c r="AI501" s="2372"/>
      <c r="AJ501" s="2372"/>
      <c r="AK501" s="2372"/>
      <c r="AL501" s="2372"/>
      <c r="AM501" s="2372"/>
      <c r="AN501" s="2372"/>
      <c r="AO501" s="2372"/>
      <c r="AP501" s="2372"/>
      <c r="AQ501" s="2372"/>
      <c r="AR501" s="2372"/>
      <c r="AS501" s="2372"/>
      <c r="AT501" s="2372"/>
      <c r="AU501" s="2372"/>
      <c r="AV501" s="2372"/>
      <c r="AW501" s="2372"/>
      <c r="AX501" s="2372"/>
      <c r="AY501" s="2372"/>
      <c r="AZ501" s="2372"/>
      <c r="BA501" s="2372"/>
      <c r="BB501" s="2372"/>
      <c r="BC501" s="2372"/>
      <c r="BD501" s="2372"/>
      <c r="BE501" s="2372"/>
      <c r="BF501" s="2372"/>
      <c r="BG501" s="2372"/>
      <c r="BH501" s="2372"/>
      <c r="BI501" s="2372"/>
      <c r="BJ501" s="2372"/>
      <c r="BK501" s="2372"/>
      <c r="BL501" s="2372"/>
      <c r="BM501" s="2372"/>
      <c r="BN501" s="2372"/>
      <c r="BO501" s="2372"/>
      <c r="BP501" s="2372"/>
      <c r="BQ501" s="2372"/>
      <c r="BR501" s="2372"/>
      <c r="BS501" s="2372"/>
      <c r="BT501" s="2372"/>
      <c r="BU501" s="2372"/>
      <c r="BV501" s="2372"/>
      <c r="BW501" s="2372"/>
      <c r="BX501" s="2372"/>
      <c r="BY501" s="2372"/>
      <c r="BZ501" s="2372"/>
      <c r="CA501" s="2372"/>
      <c r="CB501" s="2372"/>
      <c r="CC501" s="2372"/>
      <c r="CD501" s="2372"/>
      <c r="CE501" s="2372"/>
      <c r="CF501" s="2372"/>
      <c r="CG501" s="2372"/>
      <c r="CH501" s="2372"/>
      <c r="CI501" s="2372"/>
      <c r="CJ501" s="2372"/>
      <c r="CK501" s="2372"/>
      <c r="CL501" s="2372"/>
      <c r="CM501" s="2372"/>
      <c r="CN501" s="2372"/>
      <c r="CO501" s="2372"/>
      <c r="CP501" s="2372"/>
      <c r="CQ501" s="2372"/>
      <c r="CR501" s="2372"/>
      <c r="CS501" s="2372"/>
      <c r="CT501" s="2372"/>
      <c r="CU501" s="2372"/>
      <c r="CV501" s="2372"/>
      <c r="CW501" s="2372"/>
      <c r="CX501" s="2372"/>
      <c r="CY501" s="2372"/>
      <c r="CZ501" s="2372"/>
      <c r="DA501" s="2372"/>
    </row>
    <row r="502" spans="1:105" ht="15" hidden="1" customHeight="1">
      <c r="A502" s="2372"/>
      <c r="B502" s="2372"/>
      <c r="C502" s="2372"/>
      <c r="D502" s="2372"/>
      <c r="E502" s="2372"/>
      <c r="F502" s="2372"/>
      <c r="G502" s="2372"/>
      <c r="H502" s="2372"/>
      <c r="I502" s="2372"/>
      <c r="J502" s="2372"/>
      <c r="K502" s="2372"/>
      <c r="L502" s="2372"/>
      <c r="M502" s="2372"/>
      <c r="N502" s="2372"/>
      <c r="O502" s="2372"/>
      <c r="P502" s="2372"/>
      <c r="Q502" s="2372"/>
      <c r="R502" s="2372"/>
      <c r="S502" s="2372"/>
      <c r="T502" s="2372"/>
      <c r="U502" s="2372"/>
      <c r="V502" s="2372"/>
      <c r="W502" s="2372"/>
      <c r="X502" s="2372"/>
      <c r="Y502" s="2372"/>
      <c r="Z502" s="2372"/>
      <c r="AA502" s="2372"/>
      <c r="AB502" s="2372"/>
      <c r="AC502" s="2372"/>
      <c r="AD502" s="2372"/>
      <c r="AE502" s="2372"/>
      <c r="AF502" s="2372"/>
      <c r="AG502" s="2372"/>
      <c r="AH502" s="2372"/>
      <c r="AI502" s="2372"/>
      <c r="AJ502" s="2372"/>
      <c r="AK502" s="2372"/>
      <c r="AL502" s="2372"/>
      <c r="AM502" s="2372"/>
      <c r="AN502" s="2372"/>
      <c r="AO502" s="2372"/>
      <c r="AP502" s="2372"/>
      <c r="AQ502" s="2372"/>
      <c r="AR502" s="2372"/>
      <c r="AS502" s="2372"/>
      <c r="AT502" s="2372"/>
      <c r="AU502" s="2372"/>
      <c r="AV502" s="2372"/>
      <c r="AW502" s="2372"/>
      <c r="AX502" s="2372"/>
      <c r="AY502" s="2372"/>
      <c r="AZ502" s="2372"/>
      <c r="BA502" s="2372"/>
      <c r="BB502" s="2372"/>
      <c r="BC502" s="2372"/>
      <c r="BD502" s="2372"/>
      <c r="BE502" s="2372"/>
      <c r="BF502" s="2372"/>
      <c r="BG502" s="2372"/>
      <c r="BH502" s="2372"/>
      <c r="BI502" s="2372"/>
      <c r="BJ502" s="2372"/>
      <c r="BK502" s="2372"/>
      <c r="BL502" s="2372"/>
      <c r="BM502" s="2372"/>
      <c r="BN502" s="2372"/>
      <c r="BO502" s="2372"/>
      <c r="BP502" s="2372"/>
      <c r="BQ502" s="2372"/>
      <c r="BR502" s="2372"/>
      <c r="BS502" s="2372"/>
      <c r="BT502" s="2372"/>
      <c r="BU502" s="2372"/>
      <c r="BV502" s="2372"/>
      <c r="BW502" s="2372"/>
      <c r="BX502" s="2372"/>
      <c r="BY502" s="2372"/>
      <c r="BZ502" s="2372"/>
      <c r="CA502" s="2372"/>
      <c r="CB502" s="2372"/>
      <c r="CC502" s="2372"/>
      <c r="CD502" s="2372"/>
      <c r="CE502" s="2372"/>
      <c r="CF502" s="2372"/>
      <c r="CG502" s="2372"/>
      <c r="CH502" s="2372"/>
      <c r="CI502" s="2372"/>
      <c r="CJ502" s="2372"/>
      <c r="CK502" s="2372"/>
      <c r="CL502" s="2372"/>
      <c r="CM502" s="2372"/>
      <c r="CN502" s="2372"/>
      <c r="CO502" s="2372"/>
      <c r="CP502" s="2372"/>
      <c r="CQ502" s="2372"/>
      <c r="CR502" s="2372"/>
      <c r="CS502" s="2372"/>
      <c r="CT502" s="2372"/>
      <c r="CU502" s="2372"/>
      <c r="CV502" s="2372"/>
      <c r="CW502" s="2372"/>
      <c r="CX502" s="2372"/>
      <c r="CY502" s="2372"/>
      <c r="CZ502" s="2372"/>
      <c r="DA502" s="2372"/>
    </row>
    <row r="503" spans="1:105" ht="15" hidden="1" customHeight="1">
      <c r="A503" s="2372"/>
      <c r="B503" s="2372"/>
      <c r="C503" s="2372"/>
      <c r="D503" s="2372"/>
      <c r="E503" s="2372"/>
      <c r="F503" s="2372"/>
      <c r="G503" s="2372"/>
      <c r="H503" s="2372"/>
      <c r="I503" s="2372"/>
      <c r="J503" s="2372"/>
      <c r="K503" s="2372"/>
      <c r="L503" s="2372"/>
      <c r="M503" s="2372"/>
      <c r="N503" s="2372"/>
      <c r="O503" s="2372"/>
      <c r="P503" s="2372"/>
      <c r="Q503" s="2372"/>
      <c r="R503" s="2372"/>
      <c r="S503" s="2372"/>
      <c r="T503" s="2372"/>
      <c r="U503" s="2372"/>
      <c r="V503" s="2372"/>
      <c r="W503" s="2372"/>
      <c r="X503" s="2372"/>
      <c r="Y503" s="2372"/>
      <c r="Z503" s="2372"/>
      <c r="AA503" s="2372"/>
      <c r="AB503" s="2372"/>
      <c r="AC503" s="2372"/>
      <c r="AD503" s="2372"/>
      <c r="AE503" s="2372"/>
      <c r="AF503" s="2372"/>
      <c r="AG503" s="2372"/>
      <c r="AH503" s="2372"/>
      <c r="AI503" s="2372"/>
      <c r="AJ503" s="2372"/>
      <c r="AK503" s="2372"/>
      <c r="AL503" s="2372"/>
      <c r="AM503" s="2372"/>
      <c r="AN503" s="2372"/>
      <c r="AO503" s="2372"/>
      <c r="AP503" s="2372"/>
      <c r="AQ503" s="2372"/>
      <c r="AR503" s="2372"/>
      <c r="AS503" s="2372"/>
      <c r="AT503" s="2372"/>
      <c r="AU503" s="2372"/>
      <c r="AV503" s="2372"/>
      <c r="AW503" s="2372"/>
      <c r="AX503" s="2372"/>
      <c r="AY503" s="2372"/>
      <c r="AZ503" s="2372"/>
      <c r="BA503" s="2372"/>
      <c r="BB503" s="2372"/>
      <c r="BC503" s="2372"/>
      <c r="BD503" s="2372"/>
      <c r="BE503" s="2372"/>
      <c r="BF503" s="2372"/>
      <c r="BG503" s="2372"/>
      <c r="BH503" s="2372"/>
      <c r="BI503" s="2372"/>
      <c r="BJ503" s="2372"/>
      <c r="BK503" s="2372"/>
      <c r="BL503" s="2372"/>
      <c r="BM503" s="2372"/>
      <c r="BN503" s="2372"/>
      <c r="BO503" s="2372"/>
      <c r="BP503" s="2372"/>
      <c r="BQ503" s="2372"/>
      <c r="BR503" s="2372"/>
      <c r="BS503" s="2372"/>
      <c r="BT503" s="2372"/>
      <c r="BU503" s="2372"/>
      <c r="BV503" s="2372"/>
      <c r="BW503" s="2372"/>
      <c r="BX503" s="2372"/>
      <c r="BY503" s="2372"/>
      <c r="BZ503" s="2372"/>
      <c r="CA503" s="2372"/>
      <c r="CB503" s="2372"/>
      <c r="CC503" s="2372"/>
      <c r="CD503" s="2372"/>
      <c r="CE503" s="2372"/>
      <c r="CF503" s="2372"/>
      <c r="CG503" s="2372"/>
      <c r="CH503" s="2372"/>
      <c r="CI503" s="2372"/>
      <c r="CJ503" s="2372"/>
      <c r="CK503" s="2372"/>
      <c r="CL503" s="2372"/>
      <c r="CM503" s="2372"/>
      <c r="CN503" s="2372"/>
      <c r="CO503" s="2372"/>
      <c r="CP503" s="2372"/>
      <c r="CQ503" s="2372"/>
      <c r="CR503" s="2372"/>
      <c r="CS503" s="2372"/>
      <c r="CT503" s="2372"/>
      <c r="CU503" s="2372"/>
      <c r="CV503" s="2372"/>
      <c r="CW503" s="2372"/>
      <c r="CX503" s="2372"/>
      <c r="CY503" s="2372"/>
      <c r="CZ503" s="2372"/>
      <c r="DA503" s="2372"/>
    </row>
    <row r="504" spans="1:105" ht="15" hidden="1" customHeight="1">
      <c r="A504" s="2372"/>
      <c r="B504" s="2372"/>
      <c r="C504" s="2372"/>
      <c r="D504" s="2372"/>
      <c r="E504" s="2372"/>
      <c r="F504" s="2372"/>
      <c r="G504" s="2372"/>
      <c r="H504" s="2372"/>
      <c r="I504" s="2372"/>
      <c r="J504" s="2372"/>
      <c r="K504" s="2372"/>
      <c r="L504" s="2372"/>
      <c r="M504" s="2372"/>
      <c r="N504" s="2372"/>
      <c r="O504" s="2372"/>
      <c r="P504" s="2372"/>
      <c r="Q504" s="2372"/>
      <c r="R504" s="2372"/>
      <c r="S504" s="2372"/>
      <c r="T504" s="2372"/>
      <c r="U504" s="2372"/>
      <c r="V504" s="2372"/>
      <c r="W504" s="2372"/>
      <c r="X504" s="2372"/>
      <c r="Y504" s="2372"/>
      <c r="Z504" s="2372"/>
      <c r="AA504" s="2372"/>
      <c r="AB504" s="2372"/>
      <c r="AC504" s="2372"/>
      <c r="AD504" s="2372"/>
      <c r="AE504" s="2372"/>
      <c r="AF504" s="2372"/>
      <c r="AG504" s="2372"/>
      <c r="AH504" s="2372"/>
      <c r="AI504" s="2372"/>
      <c r="AJ504" s="2372"/>
      <c r="AK504" s="2372"/>
      <c r="AL504" s="2372"/>
      <c r="AM504" s="2372"/>
      <c r="AN504" s="2372"/>
      <c r="AO504" s="2372"/>
      <c r="AP504" s="2372"/>
      <c r="AQ504" s="2372"/>
      <c r="AR504" s="2372"/>
      <c r="AS504" s="2372"/>
      <c r="AT504" s="2372"/>
      <c r="AU504" s="2372"/>
      <c r="AV504" s="2372"/>
      <c r="AW504" s="2372"/>
      <c r="AX504" s="2372"/>
      <c r="AY504" s="2372"/>
      <c r="AZ504" s="2372"/>
      <c r="BA504" s="2372"/>
      <c r="BB504" s="2372"/>
      <c r="BC504" s="2372"/>
      <c r="BD504" s="2372"/>
      <c r="BE504" s="2372"/>
      <c r="BF504" s="2372"/>
      <c r="BG504" s="2372"/>
      <c r="BH504" s="2372"/>
      <c r="BI504" s="2372"/>
      <c r="BJ504" s="2372"/>
      <c r="BK504" s="2372"/>
      <c r="BL504" s="2372"/>
      <c r="BM504" s="2372"/>
      <c r="BN504" s="2372"/>
      <c r="BO504" s="2372"/>
      <c r="BP504" s="2372"/>
      <c r="BQ504" s="2372"/>
      <c r="BR504" s="2372"/>
      <c r="BS504" s="2372"/>
      <c r="BT504" s="2372"/>
      <c r="BU504" s="2372"/>
      <c r="BV504" s="2372"/>
      <c r="BW504" s="2372"/>
      <c r="BX504" s="2372"/>
      <c r="BY504" s="2372"/>
      <c r="BZ504" s="2372"/>
      <c r="CA504" s="2372"/>
      <c r="CB504" s="2372"/>
      <c r="CC504" s="2372"/>
      <c r="CD504" s="2372"/>
      <c r="CE504" s="2372"/>
      <c r="CF504" s="2372"/>
      <c r="CG504" s="2372"/>
      <c r="CH504" s="2372"/>
      <c r="CI504" s="2372"/>
      <c r="CJ504" s="2372"/>
      <c r="CK504" s="2372"/>
      <c r="CL504" s="2372"/>
      <c r="CM504" s="2372"/>
      <c r="CN504" s="2372"/>
      <c r="CO504" s="2372"/>
      <c r="CP504" s="2372"/>
      <c r="CQ504" s="2372"/>
      <c r="CR504" s="2372"/>
      <c r="CS504" s="2372"/>
      <c r="CT504" s="2372"/>
      <c r="CU504" s="2372"/>
      <c r="CV504" s="2372"/>
      <c r="CW504" s="2372"/>
      <c r="CX504" s="2372"/>
      <c r="CY504" s="2372"/>
      <c r="CZ504" s="2372"/>
      <c r="DA504" s="2372"/>
    </row>
    <row r="505" spans="1:105" ht="15" hidden="1" customHeight="1">
      <c r="A505" s="2372"/>
      <c r="B505" s="2372"/>
      <c r="C505" s="2372"/>
      <c r="D505" s="2372"/>
      <c r="E505" s="2372"/>
      <c r="F505" s="2372"/>
      <c r="G505" s="2372"/>
      <c r="H505" s="2372"/>
      <c r="I505" s="2372"/>
      <c r="J505" s="2372"/>
      <c r="K505" s="2372"/>
      <c r="L505" s="2372"/>
      <c r="M505" s="2372"/>
      <c r="N505" s="2372"/>
      <c r="O505" s="2372"/>
      <c r="P505" s="2372"/>
      <c r="Q505" s="2372"/>
      <c r="R505" s="2372"/>
      <c r="S505" s="2372"/>
      <c r="T505" s="2372"/>
      <c r="U505" s="2372"/>
      <c r="V505" s="2372"/>
      <c r="W505" s="2372"/>
      <c r="X505" s="2372"/>
      <c r="Y505" s="2372"/>
      <c r="Z505" s="2372"/>
      <c r="AA505" s="2372"/>
      <c r="AB505" s="2372"/>
      <c r="AC505" s="2372"/>
      <c r="AD505" s="2372"/>
      <c r="AE505" s="2372"/>
      <c r="AF505" s="2372"/>
      <c r="AG505" s="2372"/>
      <c r="AH505" s="2372"/>
      <c r="AI505" s="2372"/>
      <c r="AJ505" s="2372"/>
      <c r="AK505" s="2372"/>
      <c r="AL505" s="2372"/>
      <c r="AM505" s="2372"/>
      <c r="AN505" s="2372"/>
      <c r="AO505" s="2372"/>
      <c r="AP505" s="2372"/>
      <c r="AQ505" s="2372"/>
      <c r="AR505" s="2372"/>
      <c r="AS505" s="2372"/>
      <c r="AT505" s="2372"/>
      <c r="AU505" s="2372"/>
      <c r="AV505" s="2372"/>
      <c r="AW505" s="2372"/>
      <c r="AX505" s="2372"/>
      <c r="AY505" s="2372"/>
      <c r="AZ505" s="2372"/>
      <c r="BA505" s="2372"/>
      <c r="BB505" s="2372"/>
      <c r="BC505" s="2372"/>
      <c r="BD505" s="2372"/>
      <c r="BE505" s="2372"/>
      <c r="BF505" s="2372"/>
      <c r="BG505" s="2372"/>
      <c r="BH505" s="2372"/>
      <c r="BI505" s="2372"/>
      <c r="BJ505" s="2372"/>
      <c r="BK505" s="2372"/>
      <c r="BL505" s="2372"/>
      <c r="BM505" s="2372"/>
      <c r="BN505" s="2372"/>
      <c r="BO505" s="2372"/>
      <c r="BP505" s="2372"/>
      <c r="BQ505" s="2372"/>
      <c r="BR505" s="2372"/>
      <c r="BS505" s="2372"/>
      <c r="BT505" s="2372"/>
      <c r="BU505" s="2372"/>
      <c r="BV505" s="2372"/>
      <c r="BW505" s="2372"/>
      <c r="BX505" s="2372"/>
      <c r="BY505" s="2372"/>
      <c r="BZ505" s="2372"/>
      <c r="CA505" s="2372"/>
      <c r="CB505" s="2372"/>
      <c r="CC505" s="2372"/>
      <c r="CD505" s="2372"/>
      <c r="CE505" s="2372"/>
      <c r="CF505" s="2372"/>
      <c r="CG505" s="2372"/>
      <c r="CH505" s="2372"/>
      <c r="CI505" s="2372"/>
      <c r="CJ505" s="2372"/>
      <c r="CK505" s="2372"/>
      <c r="CL505" s="2372"/>
      <c r="CM505" s="2372"/>
      <c r="CN505" s="2372"/>
      <c r="CO505" s="2372"/>
      <c r="CP505" s="2372"/>
      <c r="CQ505" s="2372"/>
      <c r="CR505" s="2372"/>
      <c r="CS505" s="2372"/>
      <c r="CT505" s="2372"/>
      <c r="CU505" s="2372"/>
      <c r="CV505" s="2372"/>
      <c r="CW505" s="2372"/>
      <c r="CX505" s="2372"/>
      <c r="CY505" s="2372"/>
      <c r="CZ505" s="2372"/>
      <c r="DA505" s="2372"/>
    </row>
    <row r="506" spans="1:105" ht="15" hidden="1" customHeight="1">
      <c r="A506" s="2372"/>
      <c r="B506" s="2372"/>
      <c r="C506" s="2372"/>
      <c r="D506" s="2372"/>
      <c r="E506" s="2372"/>
      <c r="F506" s="2372"/>
      <c r="G506" s="2372"/>
      <c r="H506" s="2372"/>
      <c r="I506" s="2372"/>
      <c r="J506" s="2372"/>
      <c r="K506" s="2372"/>
      <c r="L506" s="2372"/>
      <c r="M506" s="2372"/>
      <c r="N506" s="2372"/>
      <c r="O506" s="2372"/>
      <c r="P506" s="2372"/>
      <c r="Q506" s="2372"/>
      <c r="R506" s="2372"/>
      <c r="S506" s="2372"/>
      <c r="T506" s="2372"/>
      <c r="U506" s="2372"/>
      <c r="V506" s="2372"/>
      <c r="W506" s="2372"/>
      <c r="X506" s="2372"/>
      <c r="Y506" s="2372"/>
      <c r="Z506" s="2372"/>
      <c r="AA506" s="2372"/>
      <c r="AB506" s="2372"/>
      <c r="AC506" s="2372"/>
      <c r="AD506" s="2372"/>
      <c r="AE506" s="2372"/>
      <c r="AF506" s="2372"/>
      <c r="AG506" s="2372"/>
      <c r="AH506" s="2372"/>
      <c r="AI506" s="2372"/>
      <c r="AJ506" s="2372"/>
      <c r="AK506" s="2372"/>
      <c r="AL506" s="2372"/>
      <c r="AM506" s="2372"/>
      <c r="AN506" s="2372"/>
      <c r="AO506" s="2372"/>
      <c r="AP506" s="2372"/>
      <c r="AQ506" s="2372"/>
      <c r="AR506" s="2372"/>
      <c r="AS506" s="2372"/>
      <c r="AT506" s="2372"/>
      <c r="AU506" s="2372"/>
      <c r="AV506" s="2372"/>
      <c r="AW506" s="2372"/>
      <c r="AX506" s="2372"/>
      <c r="AY506" s="2372"/>
      <c r="AZ506" s="2372"/>
      <c r="BA506" s="2372"/>
      <c r="BB506" s="2372"/>
      <c r="BC506" s="2372"/>
      <c r="BD506" s="2372"/>
      <c r="BE506" s="2372"/>
      <c r="BF506" s="2372"/>
      <c r="BG506" s="2372"/>
      <c r="BH506" s="2372"/>
      <c r="BI506" s="2372"/>
      <c r="BJ506" s="2372"/>
      <c r="BK506" s="2372"/>
      <c r="BL506" s="2372"/>
      <c r="BM506" s="2372"/>
      <c r="BN506" s="2372"/>
      <c r="BO506" s="2372"/>
      <c r="BP506" s="2372"/>
      <c r="BQ506" s="2372"/>
      <c r="BR506" s="2372"/>
      <c r="BS506" s="2372"/>
      <c r="BT506" s="2372"/>
      <c r="BU506" s="2372"/>
      <c r="BV506" s="2372"/>
      <c r="BW506" s="2372"/>
      <c r="BX506" s="2372"/>
      <c r="BY506" s="2372"/>
      <c r="BZ506" s="2372"/>
      <c r="CA506" s="2372"/>
      <c r="CB506" s="2372"/>
      <c r="CC506" s="2372"/>
      <c r="CD506" s="2372"/>
      <c r="CE506" s="2372"/>
      <c r="CF506" s="2372"/>
      <c r="CG506" s="2372"/>
      <c r="CH506" s="2372"/>
      <c r="CI506" s="2372"/>
      <c r="CJ506" s="2372"/>
      <c r="CK506" s="2372"/>
      <c r="CL506" s="2372"/>
      <c r="CM506" s="2372"/>
      <c r="CN506" s="2372"/>
      <c r="CO506" s="2372"/>
      <c r="CP506" s="2372"/>
      <c r="CQ506" s="2372"/>
      <c r="CR506" s="2372"/>
      <c r="CS506" s="2372"/>
      <c r="CT506" s="2372"/>
      <c r="CU506" s="2372"/>
      <c r="CV506" s="2372"/>
      <c r="CW506" s="2372"/>
      <c r="CX506" s="2372"/>
      <c r="CY506" s="2372"/>
      <c r="CZ506" s="2372"/>
      <c r="DA506" s="2372"/>
    </row>
    <row r="507" spans="1:105" ht="15" hidden="1" customHeight="1">
      <c r="A507" s="2372"/>
      <c r="B507" s="2372"/>
      <c r="C507" s="2372"/>
      <c r="D507" s="2372"/>
      <c r="E507" s="2372"/>
      <c r="F507" s="2372"/>
      <c r="G507" s="2372"/>
      <c r="H507" s="2372"/>
      <c r="I507" s="2372"/>
      <c r="J507" s="2372"/>
      <c r="K507" s="2372"/>
      <c r="L507" s="2372"/>
      <c r="M507" s="2372"/>
      <c r="N507" s="2372"/>
      <c r="O507" s="2372"/>
      <c r="P507" s="2372"/>
      <c r="Q507" s="2372"/>
      <c r="R507" s="2372"/>
      <c r="S507" s="2372"/>
      <c r="T507" s="2372"/>
      <c r="U507" s="2372"/>
      <c r="V507" s="2372"/>
      <c r="W507" s="2372"/>
      <c r="X507" s="2372"/>
      <c r="Y507" s="2372"/>
      <c r="Z507" s="2372"/>
      <c r="AA507" s="2372"/>
      <c r="AB507" s="2372"/>
      <c r="AC507" s="2372"/>
      <c r="AD507" s="2372"/>
      <c r="AE507" s="2372"/>
      <c r="AF507" s="2372"/>
      <c r="AG507" s="2372"/>
      <c r="AH507" s="2372"/>
      <c r="AI507" s="2372"/>
      <c r="AJ507" s="2372"/>
      <c r="AK507" s="2372"/>
      <c r="AL507" s="2372"/>
      <c r="AM507" s="2372"/>
      <c r="AN507" s="2372"/>
      <c r="AO507" s="2372"/>
      <c r="AP507" s="2372"/>
      <c r="AQ507" s="2372"/>
      <c r="AR507" s="2372"/>
      <c r="AS507" s="2372"/>
      <c r="AT507" s="2372"/>
      <c r="AU507" s="2372"/>
      <c r="AV507" s="2372"/>
      <c r="AW507" s="2372"/>
      <c r="AX507" s="2372"/>
      <c r="AY507" s="2372"/>
      <c r="AZ507" s="2372"/>
      <c r="BA507" s="2372"/>
      <c r="BB507" s="2372"/>
      <c r="BC507" s="2372"/>
      <c r="BD507" s="2372"/>
      <c r="BE507" s="2372"/>
      <c r="BF507" s="2372"/>
      <c r="BG507" s="2372"/>
      <c r="BH507" s="2372"/>
      <c r="BI507" s="2372"/>
      <c r="BJ507" s="2372"/>
      <c r="BK507" s="2372"/>
      <c r="BL507" s="2372"/>
      <c r="BM507" s="2372"/>
      <c r="BN507" s="2372"/>
      <c r="BO507" s="2372"/>
      <c r="BP507" s="2372"/>
      <c r="BQ507" s="2372"/>
      <c r="BR507" s="2372"/>
      <c r="BS507" s="2372"/>
      <c r="BT507" s="2372"/>
      <c r="BU507" s="2372"/>
      <c r="BV507" s="2372"/>
      <c r="BW507" s="2372"/>
      <c r="BX507" s="2372"/>
      <c r="BY507" s="2372"/>
      <c r="BZ507" s="2372"/>
      <c r="CA507" s="2372"/>
      <c r="CB507" s="2372"/>
      <c r="CC507" s="2372"/>
      <c r="CD507" s="2372"/>
      <c r="CE507" s="2372"/>
      <c r="CF507" s="2372"/>
      <c r="CG507" s="2372"/>
      <c r="CH507" s="2372"/>
      <c r="CI507" s="2372"/>
      <c r="CJ507" s="2372"/>
      <c r="CK507" s="2372"/>
      <c r="CL507" s="2372"/>
      <c r="CM507" s="2372"/>
      <c r="CN507" s="2372"/>
      <c r="CO507" s="2372"/>
      <c r="CP507" s="2372"/>
      <c r="CQ507" s="2372"/>
      <c r="CR507" s="2372"/>
      <c r="CS507" s="2372"/>
      <c r="CT507" s="2372"/>
      <c r="CU507" s="2372"/>
      <c r="CV507" s="2372"/>
      <c r="CW507" s="2372"/>
      <c r="CX507" s="2372"/>
      <c r="CY507" s="2372"/>
      <c r="CZ507" s="2372"/>
      <c r="DA507" s="2372"/>
    </row>
    <row r="508" spans="1:105" ht="15" hidden="1" customHeight="1">
      <c r="A508" s="2372"/>
      <c r="B508" s="2372"/>
      <c r="C508" s="2372"/>
      <c r="D508" s="2372"/>
      <c r="E508" s="2372"/>
      <c r="F508" s="2372"/>
      <c r="G508" s="2372"/>
      <c r="H508" s="2372"/>
      <c r="I508" s="2372"/>
      <c r="J508" s="2372"/>
      <c r="K508" s="2372"/>
      <c r="L508" s="2372"/>
      <c r="M508" s="2372"/>
      <c r="N508" s="2372"/>
      <c r="O508" s="2372"/>
      <c r="P508" s="2372"/>
      <c r="Q508" s="2372"/>
      <c r="R508" s="2372"/>
      <c r="S508" s="2372"/>
      <c r="T508" s="2372"/>
      <c r="U508" s="2372"/>
      <c r="V508" s="2372"/>
      <c r="W508" s="2372"/>
      <c r="X508" s="2372"/>
      <c r="Y508" s="2372"/>
      <c r="Z508" s="2372"/>
      <c r="AA508" s="2372"/>
      <c r="AB508" s="2372"/>
      <c r="AC508" s="2372"/>
      <c r="AD508" s="2372"/>
      <c r="AE508" s="2372"/>
      <c r="AF508" s="2372"/>
      <c r="AG508" s="2372"/>
      <c r="AH508" s="2372"/>
      <c r="AI508" s="2372"/>
      <c r="AJ508" s="2372"/>
      <c r="AK508" s="2372"/>
      <c r="AL508" s="2372"/>
      <c r="AM508" s="2372"/>
      <c r="AN508" s="2372"/>
      <c r="AO508" s="2372"/>
      <c r="AP508" s="2372"/>
      <c r="AQ508" s="2372"/>
      <c r="AR508" s="2372"/>
      <c r="AS508" s="2372"/>
      <c r="AT508" s="2372"/>
      <c r="AU508" s="2372"/>
      <c r="AV508" s="2372"/>
      <c r="AW508" s="2372"/>
      <c r="AX508" s="2372"/>
      <c r="AY508" s="2372"/>
      <c r="AZ508" s="2372"/>
      <c r="BA508" s="2372"/>
      <c r="BB508" s="2372"/>
      <c r="BC508" s="2372"/>
      <c r="BD508" s="2372"/>
      <c r="BE508" s="2372"/>
      <c r="BF508" s="2372"/>
      <c r="BG508" s="2372"/>
      <c r="BH508" s="2372"/>
      <c r="BI508" s="2372"/>
      <c r="BJ508" s="2372"/>
      <c r="BK508" s="2372"/>
      <c r="BL508" s="2372"/>
      <c r="BM508" s="2372"/>
      <c r="BN508" s="2372"/>
      <c r="BO508" s="2372"/>
      <c r="BP508" s="2372"/>
      <c r="BQ508" s="2372"/>
      <c r="BR508" s="2372"/>
      <c r="BS508" s="2372"/>
      <c r="BT508" s="2372"/>
      <c r="BU508" s="2372"/>
      <c r="BV508" s="2372"/>
      <c r="BW508" s="2372"/>
      <c r="BX508" s="2372"/>
      <c r="BY508" s="2372"/>
      <c r="BZ508" s="2372"/>
      <c r="CA508" s="2372"/>
      <c r="CB508" s="2372"/>
      <c r="CC508" s="2372"/>
      <c r="CD508" s="2372"/>
      <c r="CE508" s="2372"/>
      <c r="CF508" s="2372"/>
      <c r="CG508" s="2372"/>
      <c r="CH508" s="2372"/>
      <c r="CI508" s="2372"/>
      <c r="CJ508" s="2372"/>
      <c r="CK508" s="2372"/>
      <c r="CL508" s="2372"/>
      <c r="CM508" s="2372"/>
      <c r="CN508" s="2372"/>
      <c r="CO508" s="2372"/>
      <c r="CP508" s="2372"/>
      <c r="CQ508" s="2372"/>
      <c r="CR508" s="2372"/>
      <c r="CS508" s="2372"/>
      <c r="CT508" s="2372"/>
      <c r="CU508" s="2372"/>
      <c r="CV508" s="2372"/>
      <c r="CW508" s="2372"/>
      <c r="CX508" s="2372"/>
      <c r="CY508" s="2372"/>
      <c r="CZ508" s="2372"/>
      <c r="DA508" s="2372"/>
    </row>
    <row r="509" spans="1:105" ht="15" hidden="1" customHeight="1">
      <c r="A509" s="2372"/>
      <c r="B509" s="2372"/>
      <c r="C509" s="2372"/>
      <c r="D509" s="2372"/>
      <c r="E509" s="2372"/>
      <c r="F509" s="2372"/>
      <c r="G509" s="2372"/>
      <c r="H509" s="2372"/>
      <c r="I509" s="2372"/>
      <c r="J509" s="2372"/>
      <c r="K509" s="2372"/>
      <c r="L509" s="2372"/>
      <c r="M509" s="2372"/>
      <c r="N509" s="2372"/>
      <c r="O509" s="2372"/>
      <c r="P509" s="2372"/>
      <c r="Q509" s="2372"/>
      <c r="R509" s="2372"/>
      <c r="S509" s="2372"/>
      <c r="T509" s="2372"/>
      <c r="U509" s="2372"/>
      <c r="V509" s="2372"/>
      <c r="W509" s="2372"/>
      <c r="X509" s="2372"/>
      <c r="Y509" s="2372"/>
      <c r="Z509" s="2372"/>
      <c r="AA509" s="2372"/>
      <c r="AB509" s="2372"/>
      <c r="AC509" s="2372"/>
      <c r="AD509" s="2372"/>
      <c r="AE509" s="2372"/>
      <c r="AF509" s="2372"/>
      <c r="AG509" s="2372"/>
      <c r="AH509" s="2372"/>
      <c r="AI509" s="2372"/>
      <c r="AJ509" s="2372"/>
      <c r="AK509" s="2372"/>
      <c r="AL509" s="2372"/>
      <c r="AM509" s="2372"/>
      <c r="AN509" s="2372"/>
      <c r="AO509" s="2372"/>
      <c r="AP509" s="2372"/>
      <c r="AQ509" s="2372"/>
      <c r="AR509" s="2372"/>
      <c r="AS509" s="2372"/>
      <c r="AT509" s="2372"/>
      <c r="AU509" s="2372"/>
      <c r="AV509" s="2372"/>
      <c r="AW509" s="2372"/>
      <c r="AX509" s="2372"/>
      <c r="AY509" s="2372"/>
      <c r="AZ509" s="2372"/>
      <c r="BA509" s="2372"/>
      <c r="BB509" s="2372"/>
      <c r="BC509" s="2372"/>
      <c r="BD509" s="2372"/>
      <c r="BE509" s="2372"/>
      <c r="BF509" s="2372"/>
      <c r="BG509" s="2372"/>
      <c r="BH509" s="2372"/>
      <c r="BI509" s="2372"/>
      <c r="BJ509" s="2372"/>
      <c r="BK509" s="2372"/>
      <c r="BL509" s="2372"/>
      <c r="BM509" s="2372"/>
      <c r="BN509" s="2372"/>
      <c r="BO509" s="2372"/>
      <c r="BP509" s="2372"/>
      <c r="BQ509" s="2372"/>
      <c r="BR509" s="2372"/>
      <c r="BS509" s="2372"/>
      <c r="BT509" s="2372"/>
      <c r="BU509" s="2372"/>
      <c r="BV509" s="2372"/>
      <c r="BW509" s="2372"/>
      <c r="BX509" s="2372"/>
      <c r="BY509" s="2372"/>
      <c r="BZ509" s="2372"/>
      <c r="CA509" s="2372"/>
      <c r="CB509" s="2372"/>
      <c r="CC509" s="2372"/>
      <c r="CD509" s="2372"/>
      <c r="CE509" s="2372"/>
      <c r="CF509" s="2372"/>
      <c r="CG509" s="2372"/>
      <c r="CH509" s="2372"/>
      <c r="CI509" s="2372"/>
      <c r="CJ509" s="2372"/>
      <c r="CK509" s="2372"/>
      <c r="CL509" s="2372"/>
      <c r="CM509" s="2372"/>
      <c r="CN509" s="2372"/>
      <c r="CO509" s="2372"/>
      <c r="CP509" s="2372"/>
      <c r="CQ509" s="2372"/>
      <c r="CR509" s="2372"/>
      <c r="CS509" s="2372"/>
      <c r="CT509" s="2372"/>
      <c r="CU509" s="2372"/>
      <c r="CV509" s="2372"/>
      <c r="CW509" s="2372"/>
      <c r="CX509" s="2372"/>
      <c r="CY509" s="2372"/>
      <c r="CZ509" s="2372"/>
      <c r="DA509" s="2372"/>
    </row>
    <row r="510" spans="1:105" ht="15" hidden="1" customHeight="1">
      <c r="A510" s="2372"/>
      <c r="B510" s="2372"/>
      <c r="C510" s="2372"/>
      <c r="D510" s="2372"/>
      <c r="E510" s="2372"/>
      <c r="F510" s="2372"/>
      <c r="G510" s="2372"/>
      <c r="H510" s="2372"/>
      <c r="I510" s="2372"/>
      <c r="J510" s="2372"/>
      <c r="K510" s="2372"/>
      <c r="L510" s="2372"/>
      <c r="M510" s="2372"/>
      <c r="N510" s="2372"/>
      <c r="O510" s="2372"/>
      <c r="P510" s="2372"/>
      <c r="Q510" s="2372"/>
      <c r="R510" s="2372"/>
      <c r="S510" s="2372"/>
      <c r="T510" s="2372"/>
      <c r="U510" s="2372"/>
      <c r="V510" s="2372"/>
      <c r="W510" s="2372"/>
      <c r="X510" s="2372"/>
      <c r="Y510" s="2372"/>
      <c r="Z510" s="2372"/>
      <c r="AA510" s="2372"/>
      <c r="AB510" s="2372"/>
      <c r="AC510" s="2372"/>
      <c r="AD510" s="2372"/>
      <c r="AE510" s="2372"/>
      <c r="AF510" s="2372"/>
      <c r="AG510" s="2372"/>
      <c r="AH510" s="2372"/>
      <c r="AI510" s="2372"/>
      <c r="AJ510" s="2372"/>
      <c r="AK510" s="2372"/>
      <c r="AL510" s="2372"/>
      <c r="AM510" s="2372"/>
      <c r="AN510" s="2372"/>
      <c r="AO510" s="2372"/>
      <c r="AP510" s="2372"/>
      <c r="AQ510" s="2372"/>
      <c r="AR510" s="2372"/>
      <c r="AS510" s="2372"/>
      <c r="AT510" s="2372"/>
      <c r="AU510" s="2372"/>
      <c r="AV510" s="2372"/>
      <c r="AW510" s="2372"/>
      <c r="AX510" s="2372"/>
      <c r="AY510" s="2372"/>
      <c r="AZ510" s="2372"/>
      <c r="BA510" s="2372"/>
      <c r="BB510" s="2372"/>
      <c r="BC510" s="2372"/>
      <c r="BD510" s="2372"/>
      <c r="BE510" s="2372"/>
      <c r="BF510" s="2372"/>
      <c r="BG510" s="2372"/>
      <c r="BH510" s="2372"/>
      <c r="BI510" s="2372"/>
      <c r="BJ510" s="2372"/>
      <c r="BK510" s="2372"/>
      <c r="BL510" s="2372"/>
      <c r="BM510" s="2372"/>
      <c r="BN510" s="2372"/>
      <c r="BO510" s="2372"/>
      <c r="BP510" s="2372"/>
      <c r="BQ510" s="2372"/>
      <c r="BR510" s="2372"/>
      <c r="BS510" s="2372"/>
      <c r="BT510" s="2372"/>
      <c r="BU510" s="2372"/>
      <c r="BV510" s="2372"/>
      <c r="BW510" s="2372"/>
      <c r="BX510" s="2372"/>
      <c r="BY510" s="2372"/>
      <c r="BZ510" s="2372"/>
      <c r="CA510" s="2372"/>
      <c r="CB510" s="2372"/>
      <c r="CC510" s="2372"/>
      <c r="CD510" s="2372"/>
      <c r="CE510" s="2372"/>
      <c r="CF510" s="2372"/>
      <c r="CG510" s="2372"/>
      <c r="CH510" s="2372"/>
      <c r="CI510" s="2372"/>
      <c r="CJ510" s="2372"/>
      <c r="CK510" s="2372"/>
      <c r="CL510" s="2372"/>
      <c r="CM510" s="2372"/>
      <c r="CN510" s="2372"/>
      <c r="CO510" s="2372"/>
      <c r="CP510" s="2372"/>
      <c r="CQ510" s="2372"/>
      <c r="CR510" s="2372"/>
      <c r="CS510" s="2372"/>
      <c r="CT510" s="2372"/>
      <c r="CU510" s="2372"/>
      <c r="CV510" s="2372"/>
      <c r="CW510" s="2372"/>
      <c r="CX510" s="2372"/>
      <c r="CY510" s="2372"/>
      <c r="CZ510" s="2372"/>
      <c r="DA510" s="2372"/>
    </row>
    <row r="511" spans="1:105" ht="15" hidden="1" customHeight="1">
      <c r="A511" s="2372"/>
      <c r="B511" s="2372"/>
      <c r="C511" s="2372"/>
      <c r="D511" s="2372"/>
      <c r="E511" s="2372"/>
      <c r="F511" s="2372"/>
      <c r="G511" s="2372"/>
      <c r="H511" s="2372"/>
      <c r="I511" s="2372"/>
      <c r="J511" s="2372"/>
      <c r="K511" s="2372"/>
      <c r="L511" s="2372"/>
      <c r="M511" s="2372"/>
      <c r="N511" s="2372"/>
      <c r="O511" s="2372"/>
      <c r="P511" s="2372"/>
      <c r="Q511" s="2372"/>
      <c r="R511" s="2372"/>
      <c r="S511" s="2372"/>
      <c r="T511" s="2372"/>
      <c r="U511" s="2372"/>
      <c r="V511" s="2372"/>
      <c r="W511" s="2372"/>
      <c r="X511" s="2372"/>
      <c r="Y511" s="2372"/>
      <c r="Z511" s="2372"/>
      <c r="AA511" s="2372"/>
      <c r="AB511" s="2372"/>
      <c r="AC511" s="2372"/>
      <c r="AD511" s="2372"/>
      <c r="AE511" s="2372"/>
      <c r="AF511" s="2372"/>
      <c r="AG511" s="2372"/>
      <c r="AH511" s="2372"/>
      <c r="AI511" s="2372"/>
      <c r="AJ511" s="2372"/>
      <c r="AK511" s="2372"/>
      <c r="AL511" s="2372"/>
      <c r="AM511" s="2372"/>
      <c r="AN511" s="2372"/>
      <c r="AO511" s="2372"/>
      <c r="AP511" s="2372"/>
      <c r="AQ511" s="2372"/>
      <c r="AR511" s="2372"/>
      <c r="AS511" s="2372"/>
      <c r="AT511" s="2372"/>
      <c r="AU511" s="2372"/>
      <c r="AV511" s="2372"/>
      <c r="AW511" s="2372"/>
      <c r="AX511" s="2372"/>
      <c r="AY511" s="2372"/>
      <c r="AZ511" s="2372"/>
      <c r="BA511" s="2372"/>
      <c r="BB511" s="2372"/>
      <c r="BC511" s="2372"/>
      <c r="BD511" s="2372"/>
      <c r="BE511" s="2372"/>
      <c r="BF511" s="2372"/>
      <c r="BG511" s="2372"/>
      <c r="BH511" s="2372"/>
      <c r="BI511" s="2372"/>
      <c r="BJ511" s="2372"/>
      <c r="BK511" s="2372"/>
      <c r="BL511" s="2372"/>
      <c r="BM511" s="2372"/>
      <c r="BN511" s="2372"/>
      <c r="BO511" s="2372"/>
      <c r="BP511" s="2372"/>
      <c r="BQ511" s="2372"/>
      <c r="BR511" s="2372"/>
      <c r="BS511" s="2372"/>
      <c r="BT511" s="2372"/>
      <c r="BU511" s="2372"/>
      <c r="BV511" s="2372"/>
      <c r="BW511" s="2372"/>
      <c r="BX511" s="2372"/>
      <c r="BY511" s="2372"/>
      <c r="BZ511" s="2372"/>
      <c r="CA511" s="2372"/>
      <c r="CB511" s="2372"/>
      <c r="CC511" s="2372"/>
      <c r="CD511" s="2372"/>
      <c r="CE511" s="2372"/>
      <c r="CF511" s="2372"/>
      <c r="CG511" s="2372"/>
      <c r="CH511" s="2372"/>
      <c r="CI511" s="2372"/>
      <c r="CJ511" s="2372"/>
      <c r="CK511" s="2372"/>
      <c r="CL511" s="2372"/>
      <c r="CM511" s="2372"/>
      <c r="CN511" s="2372"/>
      <c r="CO511" s="2372"/>
      <c r="CP511" s="2372"/>
      <c r="CQ511" s="2372"/>
      <c r="CR511" s="2372"/>
      <c r="CS511" s="2372"/>
      <c r="CT511" s="2372"/>
      <c r="CU511" s="2372"/>
      <c r="CV511" s="2372"/>
      <c r="CW511" s="2372"/>
      <c r="CX511" s="2372"/>
      <c r="CY511" s="2372"/>
      <c r="CZ511" s="2372"/>
      <c r="DA511" s="2372"/>
    </row>
    <row r="512" spans="1:105" ht="15" hidden="1" customHeight="1">
      <c r="A512" s="2372"/>
      <c r="B512" s="2372"/>
      <c r="C512" s="2372"/>
      <c r="D512" s="2372"/>
      <c r="E512" s="2372"/>
      <c r="F512" s="2372"/>
      <c r="G512" s="2372"/>
      <c r="H512" s="2372"/>
      <c r="I512" s="2372"/>
      <c r="J512" s="2372"/>
      <c r="K512" s="2372"/>
      <c r="L512" s="2372"/>
      <c r="M512" s="2372"/>
      <c r="N512" s="2372"/>
      <c r="O512" s="2372"/>
      <c r="P512" s="2372"/>
      <c r="Q512" s="2372"/>
      <c r="R512" s="2372"/>
      <c r="S512" s="2372"/>
      <c r="T512" s="2372"/>
      <c r="U512" s="2372"/>
      <c r="V512" s="2372"/>
      <c r="W512" s="2372"/>
      <c r="X512" s="2372"/>
      <c r="Y512" s="2372"/>
      <c r="Z512" s="2372"/>
      <c r="AA512" s="2372"/>
      <c r="AB512" s="2372"/>
      <c r="AC512" s="2372"/>
      <c r="AD512" s="2372"/>
      <c r="AE512" s="2372"/>
      <c r="AF512" s="2372"/>
      <c r="AG512" s="2372"/>
      <c r="AH512" s="2372"/>
      <c r="AI512" s="2372"/>
      <c r="AJ512" s="2372"/>
      <c r="AK512" s="2372"/>
      <c r="AL512" s="2372"/>
      <c r="AM512" s="2372"/>
      <c r="AN512" s="2372"/>
      <c r="AO512" s="2372"/>
      <c r="AP512" s="2372"/>
      <c r="AQ512" s="2372"/>
      <c r="AR512" s="2372"/>
      <c r="AS512" s="2372"/>
      <c r="AT512" s="2372"/>
      <c r="AU512" s="2372"/>
      <c r="AV512" s="2372"/>
      <c r="AW512" s="2372"/>
      <c r="AX512" s="2372"/>
      <c r="AY512" s="2372"/>
      <c r="AZ512" s="2372"/>
      <c r="BA512" s="2372"/>
      <c r="BB512" s="2372"/>
      <c r="BC512" s="2372"/>
      <c r="BD512" s="2372"/>
      <c r="BE512" s="2372"/>
      <c r="BF512" s="2372"/>
      <c r="BG512" s="2372"/>
      <c r="BH512" s="2372"/>
      <c r="BI512" s="2372"/>
      <c r="BJ512" s="2372"/>
      <c r="BK512" s="2372"/>
      <c r="BL512" s="2372"/>
      <c r="BM512" s="2372"/>
      <c r="BN512" s="2372"/>
      <c r="BO512" s="2372"/>
      <c r="BP512" s="2372"/>
      <c r="BQ512" s="2372"/>
      <c r="BR512" s="2372"/>
      <c r="BS512" s="2372"/>
      <c r="BT512" s="2372"/>
      <c r="BU512" s="2372"/>
      <c r="BV512" s="2372"/>
      <c r="BW512" s="2372"/>
      <c r="BX512" s="2372"/>
      <c r="BY512" s="2372"/>
      <c r="BZ512" s="2372"/>
      <c r="CA512" s="2372"/>
      <c r="CB512" s="2372"/>
      <c r="CC512" s="2372"/>
      <c r="CD512" s="2372"/>
      <c r="CE512" s="2372"/>
      <c r="CF512" s="2372"/>
      <c r="CG512" s="2372"/>
      <c r="CH512" s="2372"/>
      <c r="CI512" s="2372"/>
      <c r="CJ512" s="2372"/>
      <c r="CK512" s="2372"/>
      <c r="CL512" s="2372"/>
      <c r="CM512" s="2372"/>
      <c r="CN512" s="2372"/>
      <c r="CO512" s="2372"/>
      <c r="CP512" s="2372"/>
      <c r="CQ512" s="2372"/>
      <c r="CR512" s="2372"/>
      <c r="CS512" s="2372"/>
      <c r="CT512" s="2372"/>
      <c r="CU512" s="2372"/>
      <c r="CV512" s="2372"/>
      <c r="CW512" s="2372"/>
      <c r="CX512" s="2372"/>
      <c r="CY512" s="2372"/>
      <c r="CZ512" s="2372"/>
      <c r="DA512" s="2372"/>
    </row>
    <row r="513" spans="1:105" ht="15" hidden="1" customHeight="1">
      <c r="A513" s="2372"/>
      <c r="B513" s="2372"/>
      <c r="C513" s="2372"/>
      <c r="D513" s="2372"/>
      <c r="E513" s="2372"/>
      <c r="F513" s="2372"/>
      <c r="G513" s="2372"/>
      <c r="H513" s="2372"/>
      <c r="I513" s="2372"/>
      <c r="J513" s="2372"/>
      <c r="K513" s="2372"/>
      <c r="L513" s="2372"/>
      <c r="M513" s="2372"/>
      <c r="N513" s="2372"/>
      <c r="O513" s="2372"/>
      <c r="P513" s="2372"/>
      <c r="Q513" s="2372"/>
      <c r="R513" s="2372"/>
      <c r="S513" s="2372"/>
      <c r="T513" s="2372"/>
      <c r="U513" s="2372"/>
      <c r="V513" s="2372"/>
      <c r="W513" s="2372"/>
      <c r="X513" s="2372"/>
      <c r="Y513" s="2372"/>
      <c r="Z513" s="2372"/>
      <c r="AA513" s="2372"/>
      <c r="AB513" s="2372"/>
      <c r="AC513" s="2372"/>
      <c r="AD513" s="2372"/>
      <c r="AE513" s="2372"/>
      <c r="AF513" s="2372"/>
      <c r="AG513" s="2372"/>
      <c r="AH513" s="2372"/>
      <c r="AI513" s="2372"/>
      <c r="AJ513" s="2372"/>
      <c r="AK513" s="2372"/>
      <c r="AL513" s="2372"/>
      <c r="AM513" s="2372"/>
      <c r="AN513" s="2372"/>
      <c r="AO513" s="2372"/>
      <c r="AP513" s="2372"/>
      <c r="AQ513" s="2372"/>
      <c r="AR513" s="2372"/>
      <c r="AS513" s="2372"/>
      <c r="AT513" s="2372"/>
      <c r="AU513" s="2372"/>
      <c r="AV513" s="2372"/>
      <c r="AW513" s="2372"/>
      <c r="AX513" s="2372"/>
      <c r="AY513" s="2372"/>
      <c r="AZ513" s="2372"/>
      <c r="BA513" s="2372"/>
      <c r="BB513" s="2372"/>
      <c r="BC513" s="2372"/>
      <c r="BD513" s="2372"/>
      <c r="BE513" s="2372"/>
      <c r="BF513" s="2372"/>
      <c r="BG513" s="2372"/>
      <c r="BH513" s="2372"/>
      <c r="BI513" s="2372"/>
      <c r="BJ513" s="2372"/>
      <c r="BK513" s="2372"/>
      <c r="BL513" s="2372"/>
      <c r="BM513" s="2372"/>
      <c r="BN513" s="2372"/>
      <c r="BO513" s="2372"/>
      <c r="BP513" s="2372"/>
      <c r="BQ513" s="2372"/>
      <c r="BR513" s="2372"/>
      <c r="BS513" s="2372"/>
      <c r="BT513" s="2372"/>
      <c r="BU513" s="2372"/>
      <c r="BV513" s="2372"/>
      <c r="BW513" s="2372"/>
      <c r="BX513" s="2372"/>
      <c r="BY513" s="2372"/>
      <c r="BZ513" s="2372"/>
      <c r="CA513" s="2372"/>
      <c r="CB513" s="2372"/>
      <c r="CC513" s="2372"/>
      <c r="CD513" s="2372"/>
      <c r="CE513" s="2372"/>
      <c r="CF513" s="2372"/>
      <c r="CG513" s="2372"/>
      <c r="CH513" s="2372"/>
      <c r="CI513" s="2372"/>
      <c r="CJ513" s="2372"/>
      <c r="CK513" s="2372"/>
      <c r="CL513" s="2372"/>
      <c r="CM513" s="2372"/>
      <c r="CN513" s="2372"/>
      <c r="CO513" s="2372"/>
      <c r="CP513" s="2372"/>
      <c r="CQ513" s="2372"/>
      <c r="CR513" s="2372"/>
      <c r="CS513" s="2372"/>
      <c r="CT513" s="2372"/>
      <c r="CU513" s="2372"/>
      <c r="CV513" s="2372"/>
      <c r="CW513" s="2372"/>
      <c r="CX513" s="2372"/>
      <c r="CY513" s="2372"/>
      <c r="CZ513" s="2372"/>
      <c r="DA513" s="2372"/>
    </row>
    <row r="514" spans="1:105" ht="15" hidden="1" customHeight="1">
      <c r="A514" s="2372"/>
      <c r="B514" s="2372"/>
      <c r="C514" s="2372"/>
      <c r="D514" s="2372"/>
      <c r="E514" s="2372"/>
      <c r="F514" s="2372"/>
      <c r="G514" s="2372"/>
      <c r="H514" s="2372"/>
      <c r="I514" s="2372"/>
      <c r="J514" s="2372"/>
      <c r="K514" s="2372"/>
      <c r="L514" s="2372"/>
      <c r="M514" s="2372"/>
      <c r="N514" s="2372"/>
      <c r="O514" s="2372"/>
      <c r="P514" s="2372"/>
      <c r="Q514" s="2372"/>
      <c r="R514" s="2372"/>
      <c r="S514" s="2372"/>
      <c r="T514" s="2372"/>
      <c r="U514" s="2372"/>
      <c r="V514" s="2372"/>
      <c r="W514" s="2372"/>
      <c r="X514" s="2372"/>
      <c r="Y514" s="2372"/>
      <c r="Z514" s="2372"/>
      <c r="AA514" s="2372"/>
      <c r="AB514" s="2372"/>
      <c r="AC514" s="2372"/>
      <c r="AD514" s="2372"/>
      <c r="AE514" s="2372"/>
      <c r="AF514" s="2372"/>
      <c r="AG514" s="2372"/>
      <c r="AH514" s="2372"/>
      <c r="AI514" s="2372"/>
      <c r="AJ514" s="2372"/>
      <c r="AK514" s="2372"/>
      <c r="AL514" s="2372"/>
      <c r="AM514" s="2372"/>
      <c r="AN514" s="2372"/>
      <c r="AO514" s="2372"/>
      <c r="AP514" s="2372"/>
      <c r="AQ514" s="2372"/>
      <c r="AR514" s="2372"/>
      <c r="AS514" s="2372"/>
      <c r="AT514" s="2372"/>
      <c r="AU514" s="2372"/>
      <c r="AV514" s="2372"/>
      <c r="AW514" s="2372"/>
      <c r="AX514" s="2372"/>
      <c r="AY514" s="2372"/>
      <c r="AZ514" s="2372"/>
      <c r="BA514" s="2372"/>
      <c r="BB514" s="2372"/>
      <c r="BC514" s="2372"/>
      <c r="BD514" s="2372"/>
      <c r="BE514" s="2372"/>
      <c r="BF514" s="2372"/>
      <c r="BG514" s="2372"/>
      <c r="BH514" s="2372"/>
      <c r="BI514" s="2372"/>
      <c r="BJ514" s="2372"/>
      <c r="BK514" s="2372"/>
      <c r="BL514" s="2372"/>
      <c r="BM514" s="2372"/>
      <c r="BN514" s="2372"/>
      <c r="BO514" s="2372"/>
      <c r="BP514" s="2372"/>
      <c r="BQ514" s="2372"/>
      <c r="BR514" s="2372"/>
      <c r="BS514" s="2372"/>
      <c r="BT514" s="2372"/>
      <c r="BU514" s="2372"/>
      <c r="BV514" s="2372"/>
      <c r="BW514" s="2372"/>
      <c r="BX514" s="2372"/>
      <c r="BY514" s="2372"/>
      <c r="BZ514" s="2372"/>
      <c r="CA514" s="2372"/>
      <c r="CB514" s="2372"/>
      <c r="CC514" s="2372"/>
      <c r="CD514" s="2372"/>
      <c r="CE514" s="2372"/>
      <c r="CF514" s="2372"/>
      <c r="CG514" s="2372"/>
      <c r="CH514" s="2372"/>
      <c r="CI514" s="2372"/>
      <c r="CJ514" s="2372"/>
      <c r="CK514" s="2372"/>
      <c r="CL514" s="2372"/>
      <c r="CM514" s="2372"/>
      <c r="CN514" s="2372"/>
      <c r="CO514" s="2372"/>
      <c r="CP514" s="2372"/>
      <c r="CQ514" s="2372"/>
      <c r="CR514" s="2372"/>
      <c r="CS514" s="2372"/>
      <c r="CT514" s="2372"/>
      <c r="CU514" s="2372"/>
      <c r="CV514" s="2372"/>
      <c r="CW514" s="2372"/>
      <c r="CX514" s="2372"/>
      <c r="CY514" s="2372"/>
      <c r="CZ514" s="2372"/>
      <c r="DA514" s="2372"/>
    </row>
    <row r="515" spans="1:105" ht="15" hidden="1" customHeight="1">
      <c r="A515" s="2372"/>
      <c r="B515" s="2372"/>
      <c r="C515" s="2372"/>
      <c r="D515" s="2372"/>
      <c r="E515" s="2372"/>
      <c r="F515" s="2372"/>
      <c r="G515" s="2372"/>
      <c r="H515" s="2372"/>
      <c r="I515" s="2372"/>
      <c r="J515" s="2372"/>
      <c r="K515" s="2372"/>
      <c r="L515" s="2372"/>
      <c r="M515" s="2372"/>
      <c r="N515" s="2372"/>
      <c r="O515" s="2372"/>
      <c r="P515" s="2372"/>
      <c r="Q515" s="2372"/>
      <c r="R515" s="2372"/>
      <c r="S515" s="2372"/>
      <c r="T515" s="2372"/>
      <c r="U515" s="2372"/>
      <c r="V515" s="2372"/>
      <c r="W515" s="2372"/>
      <c r="X515" s="2372"/>
      <c r="Y515" s="2372"/>
      <c r="Z515" s="2372"/>
      <c r="AA515" s="2372"/>
      <c r="AB515" s="2372"/>
      <c r="AC515" s="2372"/>
      <c r="AD515" s="2372"/>
      <c r="AE515" s="2372"/>
      <c r="AF515" s="2372"/>
      <c r="AG515" s="2372"/>
      <c r="AH515" s="2372"/>
      <c r="AI515" s="2372"/>
      <c r="AJ515" s="2372"/>
      <c r="AK515" s="2372"/>
      <c r="AL515" s="2372"/>
      <c r="AM515" s="2372"/>
      <c r="AN515" s="2372"/>
      <c r="AO515" s="2372"/>
      <c r="AP515" s="2372"/>
      <c r="AQ515" s="2372"/>
      <c r="AR515" s="2372"/>
      <c r="AS515" s="2372"/>
      <c r="AT515" s="2372"/>
      <c r="AU515" s="2372"/>
      <c r="AV515" s="2372"/>
      <c r="AW515" s="2372"/>
      <c r="AX515" s="2372"/>
      <c r="AY515" s="2372"/>
      <c r="AZ515" s="2372"/>
      <c r="BA515" s="2372"/>
      <c r="BB515" s="2372"/>
      <c r="BC515" s="2372"/>
      <c r="BD515" s="2372"/>
      <c r="BE515" s="2372"/>
      <c r="BF515" s="2372"/>
      <c r="BG515" s="2372"/>
      <c r="BH515" s="2372"/>
      <c r="BI515" s="2372"/>
      <c r="BJ515" s="2372"/>
      <c r="BK515" s="2372"/>
      <c r="BL515" s="2372"/>
      <c r="BM515" s="2372"/>
      <c r="BN515" s="2372"/>
      <c r="BO515" s="2372"/>
      <c r="BP515" s="2372"/>
      <c r="BQ515" s="2372"/>
      <c r="BR515" s="2372"/>
      <c r="BS515" s="2372"/>
      <c r="BT515" s="2372"/>
      <c r="BU515" s="2372"/>
      <c r="BV515" s="2372"/>
      <c r="BW515" s="2372"/>
      <c r="BX515" s="2372"/>
      <c r="BY515" s="2372"/>
      <c r="BZ515" s="2372"/>
      <c r="CA515" s="2372"/>
      <c r="CB515" s="2372"/>
      <c r="CC515" s="2372"/>
      <c r="CD515" s="2372"/>
      <c r="CE515" s="2372"/>
      <c r="CF515" s="2372"/>
      <c r="CG515" s="2372"/>
      <c r="CH515" s="2372"/>
      <c r="CI515" s="2372"/>
      <c r="CJ515" s="2372"/>
      <c r="CK515" s="2372"/>
      <c r="CL515" s="2372"/>
      <c r="CM515" s="2372"/>
      <c r="CN515" s="2372"/>
      <c r="CO515" s="2372"/>
      <c r="CP515" s="2372"/>
      <c r="CQ515" s="2372"/>
      <c r="CR515" s="2372"/>
      <c r="CS515" s="2372"/>
      <c r="CT515" s="2372"/>
      <c r="CU515" s="2372"/>
      <c r="CV515" s="2372"/>
      <c r="CW515" s="2372"/>
      <c r="CX515" s="2372"/>
      <c r="CY515" s="2372"/>
      <c r="CZ515" s="2372"/>
      <c r="DA515" s="2372"/>
    </row>
    <row r="516" spans="1:105" ht="15" hidden="1" customHeight="1">
      <c r="A516" s="2372"/>
      <c r="B516" s="2372"/>
      <c r="C516" s="2372"/>
      <c r="D516" s="2372"/>
      <c r="E516" s="2372"/>
      <c r="F516" s="2372"/>
      <c r="G516" s="2372"/>
      <c r="H516" s="2372"/>
      <c r="I516" s="2372"/>
      <c r="J516" s="2372"/>
      <c r="K516" s="2372"/>
      <c r="L516" s="2372"/>
      <c r="M516" s="2372"/>
      <c r="N516" s="2372"/>
      <c r="O516" s="2372"/>
      <c r="P516" s="2372"/>
      <c r="Q516" s="2372"/>
      <c r="R516" s="2372"/>
      <c r="S516" s="2372"/>
      <c r="T516" s="2372"/>
      <c r="U516" s="2372"/>
      <c r="V516" s="2372"/>
      <c r="W516" s="2372"/>
      <c r="X516" s="2372"/>
      <c r="Y516" s="2372"/>
      <c r="Z516" s="2372"/>
      <c r="AA516" s="2372"/>
      <c r="AB516" s="2372"/>
      <c r="AC516" s="2372"/>
      <c r="AD516" s="2372"/>
      <c r="AE516" s="2372"/>
      <c r="AF516" s="2372"/>
      <c r="AG516" s="2372"/>
      <c r="AH516" s="2372"/>
      <c r="AI516" s="2372"/>
      <c r="AJ516" s="2372"/>
      <c r="AK516" s="2372"/>
      <c r="AL516" s="2372"/>
      <c r="AM516" s="2372"/>
      <c r="AN516" s="2372"/>
      <c r="AO516" s="2372"/>
      <c r="AP516" s="2372"/>
      <c r="AQ516" s="2372"/>
      <c r="AR516" s="2372"/>
      <c r="AS516" s="2372"/>
      <c r="AT516" s="2372"/>
      <c r="AU516" s="2372"/>
      <c r="AV516" s="2372"/>
      <c r="AW516" s="2372"/>
      <c r="AX516" s="2372"/>
      <c r="AY516" s="2372"/>
      <c r="AZ516" s="2372"/>
      <c r="BA516" s="2372"/>
      <c r="BB516" s="2372"/>
      <c r="BC516" s="2372"/>
      <c r="BD516" s="2372"/>
      <c r="BE516" s="2372"/>
      <c r="BF516" s="2372"/>
      <c r="BG516" s="2372"/>
      <c r="BH516" s="2372"/>
      <c r="BI516" s="2372"/>
      <c r="BJ516" s="2372"/>
      <c r="BK516" s="2372"/>
      <c r="BL516" s="2372"/>
      <c r="BM516" s="2372"/>
      <c r="BN516" s="2372"/>
      <c r="BO516" s="2372"/>
      <c r="BP516" s="2372"/>
      <c r="BQ516" s="2372"/>
      <c r="BR516" s="2372"/>
      <c r="BS516" s="2372"/>
      <c r="BT516" s="2372"/>
      <c r="BU516" s="2372"/>
      <c r="BV516" s="2372"/>
      <c r="BW516" s="2372"/>
      <c r="BX516" s="2372"/>
      <c r="BY516" s="2372"/>
      <c r="BZ516" s="2372"/>
      <c r="CA516" s="2372"/>
      <c r="CB516" s="2372"/>
      <c r="CC516" s="2372"/>
      <c r="CD516" s="2372"/>
      <c r="CE516" s="2372"/>
      <c r="CF516" s="2372"/>
      <c r="CG516" s="2372"/>
      <c r="CH516" s="2372"/>
      <c r="CI516" s="2372"/>
      <c r="CJ516" s="2372"/>
      <c r="CK516" s="2372"/>
      <c r="CL516" s="2372"/>
      <c r="CM516" s="2372"/>
      <c r="CN516" s="2372"/>
      <c r="CO516" s="2372"/>
      <c r="CP516" s="2372"/>
      <c r="CQ516" s="2372"/>
      <c r="CR516" s="2372"/>
      <c r="CS516" s="2372"/>
      <c r="CT516" s="2372"/>
      <c r="CU516" s="2372"/>
      <c r="CV516" s="2372"/>
      <c r="CW516" s="2372"/>
      <c r="CX516" s="2372"/>
      <c r="CY516" s="2372"/>
      <c r="CZ516" s="2372"/>
      <c r="DA516" s="2372"/>
    </row>
    <row r="517" spans="1:105" ht="15" hidden="1" customHeight="1">
      <c r="A517" s="2372"/>
      <c r="B517" s="2372"/>
      <c r="C517" s="2372"/>
      <c r="D517" s="2372"/>
      <c r="E517" s="2372"/>
      <c r="F517" s="2372"/>
      <c r="G517" s="2372"/>
      <c r="H517" s="2372"/>
      <c r="I517" s="2372"/>
      <c r="J517" s="2372"/>
      <c r="K517" s="2372"/>
      <c r="L517" s="2372"/>
      <c r="M517" s="2372"/>
      <c r="N517" s="2372"/>
      <c r="O517" s="2372"/>
      <c r="P517" s="2372"/>
      <c r="Q517" s="2372"/>
      <c r="R517" s="2372"/>
      <c r="S517" s="2372"/>
      <c r="T517" s="2372"/>
      <c r="U517" s="2372"/>
      <c r="V517" s="2372"/>
      <c r="W517" s="2372"/>
      <c r="X517" s="2372"/>
      <c r="Y517" s="2372"/>
      <c r="Z517" s="2372"/>
      <c r="AA517" s="2372"/>
      <c r="AB517" s="2372"/>
      <c r="AC517" s="2372"/>
      <c r="AD517" s="2372"/>
      <c r="AE517" s="2372"/>
      <c r="AF517" s="2372"/>
      <c r="AG517" s="2372"/>
      <c r="AH517" s="2372"/>
      <c r="AI517" s="2372"/>
      <c r="AJ517" s="2372"/>
      <c r="AK517" s="2372"/>
      <c r="AL517" s="2372"/>
      <c r="AM517" s="2372"/>
      <c r="AN517" s="2372"/>
      <c r="AO517" s="2372"/>
      <c r="AP517" s="2372"/>
      <c r="AQ517" s="2372"/>
      <c r="AR517" s="2372"/>
      <c r="AS517" s="2372"/>
      <c r="AT517" s="2372"/>
      <c r="AU517" s="2372"/>
      <c r="AV517" s="2372"/>
      <c r="AW517" s="2372"/>
      <c r="AX517" s="2372"/>
      <c r="AY517" s="2372"/>
      <c r="AZ517" s="2372"/>
      <c r="BA517" s="2372"/>
      <c r="BB517" s="2372"/>
      <c r="BC517" s="2372"/>
      <c r="BD517" s="2372"/>
      <c r="BE517" s="2372"/>
      <c r="BF517" s="2372"/>
      <c r="BG517" s="2372"/>
      <c r="BH517" s="2372"/>
      <c r="BI517" s="2372"/>
      <c r="BJ517" s="2372"/>
      <c r="BK517" s="2372"/>
      <c r="BL517" s="2372"/>
      <c r="BM517" s="2372"/>
      <c r="BN517" s="2372"/>
      <c r="BO517" s="2372"/>
      <c r="BP517" s="2372"/>
      <c r="BQ517" s="2372"/>
      <c r="BR517" s="2372"/>
      <c r="BS517" s="2372"/>
      <c r="BT517" s="2372"/>
      <c r="BU517" s="2372"/>
      <c r="BV517" s="2372"/>
      <c r="BW517" s="2372"/>
      <c r="BX517" s="2372"/>
      <c r="BY517" s="2372"/>
      <c r="BZ517" s="2372"/>
      <c r="CA517" s="2372"/>
      <c r="CB517" s="2372"/>
      <c r="CC517" s="2372"/>
      <c r="CD517" s="2372"/>
      <c r="CE517" s="2372"/>
      <c r="CF517" s="2372"/>
      <c r="CG517" s="2372"/>
      <c r="CH517" s="2372"/>
      <c r="CI517" s="2372"/>
      <c r="CJ517" s="2372"/>
      <c r="CK517" s="2372"/>
      <c r="CL517" s="2372"/>
      <c r="CM517" s="2372"/>
      <c r="CN517" s="2372"/>
      <c r="CO517" s="2372"/>
      <c r="CP517" s="2372"/>
      <c r="CQ517" s="2372"/>
      <c r="CR517" s="2372"/>
      <c r="CS517" s="2372"/>
      <c r="CT517" s="2372"/>
      <c r="CU517" s="2372"/>
      <c r="CV517" s="2372"/>
      <c r="CW517" s="2372"/>
      <c r="CX517" s="2372"/>
      <c r="CY517" s="2372"/>
      <c r="CZ517" s="2372"/>
      <c r="DA517" s="2372"/>
    </row>
    <row r="518" spans="1:105" ht="15" hidden="1" customHeight="1">
      <c r="A518" s="2372"/>
      <c r="B518" s="2372"/>
      <c r="C518" s="2372"/>
      <c r="D518" s="2372"/>
      <c r="E518" s="2372"/>
      <c r="F518" s="2372"/>
      <c r="G518" s="2372"/>
      <c r="H518" s="2372"/>
      <c r="I518" s="2372"/>
      <c r="J518" s="2372"/>
      <c r="K518" s="2372"/>
      <c r="L518" s="2372"/>
      <c r="M518" s="2372"/>
      <c r="N518" s="2372"/>
      <c r="O518" s="2372"/>
      <c r="P518" s="2372"/>
      <c r="Q518" s="2372"/>
      <c r="R518" s="2372"/>
      <c r="S518" s="2372"/>
      <c r="T518" s="2372"/>
      <c r="U518" s="2372"/>
      <c r="V518" s="2372"/>
      <c r="W518" s="2372"/>
      <c r="X518" s="2372"/>
      <c r="Y518" s="2372"/>
      <c r="Z518" s="2372"/>
      <c r="AA518" s="2372"/>
      <c r="AB518" s="2372"/>
      <c r="AC518" s="2372"/>
      <c r="AD518" s="2372"/>
      <c r="AE518" s="2372"/>
      <c r="AF518" s="2372"/>
      <c r="AG518" s="2372"/>
      <c r="AH518" s="2372"/>
      <c r="AI518" s="2372"/>
      <c r="AJ518" s="2372"/>
      <c r="AK518" s="2372"/>
      <c r="AL518" s="2372"/>
      <c r="AM518" s="2372"/>
      <c r="AN518" s="2372"/>
      <c r="AO518" s="2372"/>
      <c r="AP518" s="2372"/>
      <c r="AQ518" s="2372"/>
      <c r="AR518" s="2372"/>
      <c r="AS518" s="2372"/>
      <c r="AT518" s="2372"/>
      <c r="AU518" s="2372"/>
      <c r="AV518" s="2372"/>
      <c r="AW518" s="2372"/>
      <c r="AX518" s="2372"/>
      <c r="AY518" s="2372"/>
      <c r="AZ518" s="2372"/>
      <c r="BA518" s="2372"/>
      <c r="BB518" s="2372"/>
      <c r="BC518" s="2372"/>
      <c r="BD518" s="2372"/>
      <c r="BE518" s="2372"/>
      <c r="BF518" s="2372"/>
      <c r="BG518" s="2372"/>
      <c r="BH518" s="2372"/>
      <c r="BI518" s="2372"/>
      <c r="BJ518" s="2372"/>
      <c r="BK518" s="2372"/>
      <c r="BL518" s="2372"/>
      <c r="BM518" s="2372"/>
      <c r="BN518" s="2372"/>
      <c r="BO518" s="2372"/>
      <c r="BP518" s="2372"/>
      <c r="BQ518" s="2372"/>
      <c r="BR518" s="2372"/>
      <c r="BS518" s="2372"/>
      <c r="BT518" s="2372"/>
      <c r="BU518" s="2372"/>
      <c r="BV518" s="2372"/>
      <c r="BW518" s="2372"/>
      <c r="BX518" s="2372"/>
      <c r="BY518" s="2372"/>
      <c r="BZ518" s="2372"/>
      <c r="CA518" s="2372"/>
      <c r="CB518" s="2372"/>
      <c r="CC518" s="2372"/>
      <c r="CD518" s="2372"/>
      <c r="CE518" s="2372"/>
      <c r="CF518" s="2372"/>
      <c r="CG518" s="2372"/>
      <c r="CH518" s="2372"/>
      <c r="CI518" s="2372"/>
      <c r="CJ518" s="2372"/>
      <c r="CK518" s="2372"/>
      <c r="CL518" s="2372"/>
      <c r="CM518" s="2372"/>
      <c r="CN518" s="2372"/>
      <c r="CO518" s="2372"/>
      <c r="CP518" s="2372"/>
      <c r="CQ518" s="2372"/>
      <c r="CR518" s="2372"/>
      <c r="CS518" s="2372"/>
      <c r="CT518" s="2372"/>
      <c r="CU518" s="2372"/>
      <c r="CV518" s="2372"/>
      <c r="CW518" s="2372"/>
      <c r="CX518" s="2372"/>
      <c r="CY518" s="2372"/>
      <c r="CZ518" s="2372"/>
      <c r="DA518" s="2372"/>
    </row>
    <row r="519" spans="1:105" ht="15" hidden="1" customHeight="1">
      <c r="A519" s="2372"/>
      <c r="B519" s="2372"/>
      <c r="C519" s="2372"/>
      <c r="D519" s="2372"/>
      <c r="E519" s="2372"/>
      <c r="F519" s="2372"/>
      <c r="G519" s="2372"/>
      <c r="H519" s="2372"/>
      <c r="I519" s="2372"/>
      <c r="J519" s="2372"/>
      <c r="K519" s="2372"/>
      <c r="L519" s="2372"/>
      <c r="M519" s="2372"/>
      <c r="N519" s="2372"/>
      <c r="O519" s="2372"/>
      <c r="P519" s="2372"/>
      <c r="Q519" s="2372"/>
      <c r="R519" s="2372"/>
      <c r="S519" s="2372"/>
      <c r="T519" s="2372"/>
      <c r="U519" s="2372"/>
      <c r="V519" s="2372"/>
      <c r="W519" s="2372"/>
      <c r="X519" s="2372"/>
      <c r="Y519" s="2372"/>
      <c r="Z519" s="2372"/>
      <c r="AA519" s="2372"/>
      <c r="AB519" s="2372"/>
      <c r="AC519" s="2372"/>
      <c r="AD519" s="2372"/>
      <c r="AE519" s="2372"/>
      <c r="AF519" s="2372"/>
      <c r="AG519" s="2372"/>
      <c r="AH519" s="2372"/>
      <c r="AI519" s="2372"/>
      <c r="AJ519" s="2372"/>
      <c r="AK519" s="2372"/>
      <c r="AL519" s="2372"/>
      <c r="AM519" s="2372"/>
      <c r="AN519" s="2372"/>
      <c r="AO519" s="2372"/>
      <c r="AP519" s="2372"/>
      <c r="AQ519" s="2372"/>
      <c r="AR519" s="2372"/>
      <c r="AS519" s="2372"/>
      <c r="AT519" s="2372"/>
      <c r="AU519" s="2372"/>
      <c r="AV519" s="2372"/>
      <c r="AW519" s="2372"/>
      <c r="AX519" s="2372"/>
      <c r="AY519" s="2372"/>
      <c r="AZ519" s="2372"/>
      <c r="BA519" s="2372"/>
      <c r="BB519" s="2372"/>
      <c r="BC519" s="2372"/>
      <c r="BD519" s="2372"/>
      <c r="BE519" s="2372"/>
      <c r="BF519" s="2372"/>
      <c r="BG519" s="2372"/>
      <c r="BH519" s="2372"/>
      <c r="BI519" s="2372"/>
      <c r="BJ519" s="2372"/>
      <c r="BK519" s="2372"/>
      <c r="BL519" s="2372"/>
      <c r="BM519" s="2372"/>
      <c r="BN519" s="2372"/>
      <c r="BO519" s="2372"/>
      <c r="BP519" s="2372"/>
      <c r="BQ519" s="2372"/>
      <c r="BR519" s="2372"/>
      <c r="BS519" s="2372"/>
      <c r="BT519" s="2372"/>
      <c r="BU519" s="2372"/>
      <c r="BV519" s="2372"/>
      <c r="BW519" s="2372"/>
      <c r="BX519" s="2372"/>
      <c r="BY519" s="2372"/>
      <c r="BZ519" s="2372"/>
      <c r="CA519" s="2372"/>
      <c r="CB519" s="2372"/>
      <c r="CC519" s="2372"/>
      <c r="CD519" s="2372"/>
      <c r="CE519" s="2372"/>
      <c r="CF519" s="2372"/>
      <c r="CG519" s="2372"/>
      <c r="CH519" s="2372"/>
      <c r="CI519" s="2372"/>
      <c r="CJ519" s="2372"/>
      <c r="CK519" s="2372"/>
      <c r="CL519" s="2372"/>
      <c r="CM519" s="2372"/>
      <c r="CN519" s="2372"/>
      <c r="CO519" s="2372"/>
      <c r="CP519" s="2372"/>
      <c r="CQ519" s="2372"/>
      <c r="CR519" s="2372"/>
      <c r="CS519" s="2372"/>
      <c r="CT519" s="2372"/>
      <c r="CU519" s="2372"/>
      <c r="CV519" s="2372"/>
      <c r="CW519" s="2372"/>
      <c r="CX519" s="2372"/>
      <c r="CY519" s="2372"/>
      <c r="CZ519" s="2372"/>
      <c r="DA519" s="2372"/>
    </row>
    <row r="520" spans="1:105" ht="15" hidden="1" customHeight="1">
      <c r="A520" s="2372"/>
      <c r="B520" s="2372"/>
      <c r="C520" s="2372"/>
      <c r="D520" s="2372"/>
      <c r="E520" s="2372"/>
      <c r="F520" s="2372"/>
      <c r="G520" s="2372"/>
      <c r="H520" s="2372"/>
      <c r="I520" s="2372"/>
      <c r="J520" s="2372"/>
      <c r="K520" s="2372"/>
      <c r="L520" s="2372"/>
      <c r="M520" s="2372"/>
      <c r="N520" s="2372"/>
      <c r="O520" s="2372"/>
      <c r="P520" s="2372"/>
      <c r="Q520" s="2372"/>
      <c r="R520" s="2372"/>
      <c r="S520" s="2372"/>
      <c r="T520" s="2372"/>
      <c r="U520" s="2372"/>
      <c r="V520" s="2372"/>
      <c r="W520" s="2372"/>
      <c r="X520" s="2372"/>
      <c r="Y520" s="2372"/>
      <c r="Z520" s="2372"/>
      <c r="AA520" s="2372"/>
      <c r="AB520" s="2372"/>
      <c r="AC520" s="2372"/>
      <c r="AD520" s="2372"/>
      <c r="AE520" s="2372"/>
      <c r="AF520" s="2372"/>
      <c r="AG520" s="2372"/>
      <c r="AH520" s="2372"/>
      <c r="AI520" s="2372"/>
      <c r="AJ520" s="2372"/>
      <c r="AK520" s="2372"/>
      <c r="AL520" s="2372"/>
      <c r="AM520" s="2372"/>
      <c r="AN520" s="2372"/>
      <c r="AO520" s="2372"/>
      <c r="AP520" s="2372"/>
      <c r="AQ520" s="2372"/>
      <c r="AR520" s="2372"/>
      <c r="AS520" s="2372"/>
      <c r="AT520" s="2372"/>
      <c r="AU520" s="2372"/>
      <c r="AV520" s="2372"/>
      <c r="AW520" s="2372"/>
      <c r="AX520" s="2372"/>
      <c r="AY520" s="2372"/>
      <c r="AZ520" s="2372"/>
      <c r="BA520" s="2372"/>
      <c r="BB520" s="2372"/>
      <c r="BC520" s="2372"/>
      <c r="BD520" s="2372"/>
      <c r="BE520" s="2372"/>
      <c r="BF520" s="2372"/>
      <c r="BG520" s="2372"/>
      <c r="BH520" s="2372"/>
      <c r="BI520" s="2372"/>
      <c r="BJ520" s="2372"/>
      <c r="BK520" s="2372"/>
      <c r="BL520" s="2372"/>
      <c r="BM520" s="2372"/>
      <c r="BN520" s="2372"/>
      <c r="BO520" s="2372"/>
      <c r="BP520" s="2372"/>
      <c r="BQ520" s="2372"/>
      <c r="BR520" s="2372"/>
      <c r="BS520" s="2372"/>
      <c r="BT520" s="2372"/>
      <c r="BU520" s="2372"/>
      <c r="BV520" s="2372"/>
      <c r="BW520" s="2372"/>
      <c r="BX520" s="2372"/>
      <c r="BY520" s="2372"/>
      <c r="BZ520" s="2372"/>
      <c r="CA520" s="2372"/>
      <c r="CB520" s="2372"/>
      <c r="CC520" s="2372"/>
      <c r="CD520" s="2372"/>
      <c r="CE520" s="2372"/>
      <c r="CF520" s="2372"/>
      <c r="CG520" s="2372"/>
      <c r="CH520" s="2372"/>
      <c r="CI520" s="2372"/>
      <c r="CJ520" s="2372"/>
      <c r="CK520" s="2372"/>
      <c r="CL520" s="2372"/>
      <c r="CM520" s="2372"/>
      <c r="CN520" s="2372"/>
      <c r="CO520" s="2372"/>
      <c r="CP520" s="2372"/>
      <c r="CQ520" s="2372"/>
      <c r="CR520" s="2372"/>
      <c r="CS520" s="2372"/>
      <c r="CT520" s="2372"/>
      <c r="CU520" s="2372"/>
      <c r="CV520" s="2372"/>
      <c r="CW520" s="2372"/>
      <c r="CX520" s="2372"/>
      <c r="CY520" s="2372"/>
      <c r="CZ520" s="2372"/>
      <c r="DA520" s="2372"/>
    </row>
    <row r="521" spans="1:105" ht="15" hidden="1" customHeight="1">
      <c r="A521" s="2372"/>
      <c r="B521" s="2372"/>
      <c r="C521" s="2372"/>
      <c r="D521" s="2372"/>
      <c r="E521" s="2372"/>
      <c r="F521" s="2372"/>
      <c r="G521" s="2372"/>
      <c r="H521" s="2372"/>
      <c r="I521" s="2372"/>
      <c r="J521" s="2372"/>
      <c r="K521" s="2372"/>
      <c r="L521" s="2372"/>
      <c r="M521" s="2372"/>
      <c r="N521" s="2372"/>
      <c r="O521" s="2372"/>
      <c r="P521" s="2372"/>
      <c r="Q521" s="2372"/>
      <c r="R521" s="2372"/>
      <c r="S521" s="2372"/>
      <c r="T521" s="2372"/>
      <c r="U521" s="2372"/>
      <c r="V521" s="2372"/>
      <c r="W521" s="2372"/>
      <c r="X521" s="2372"/>
      <c r="Y521" s="2372"/>
      <c r="Z521" s="2372"/>
      <c r="AA521" s="2372"/>
      <c r="AB521" s="2372"/>
      <c r="AC521" s="2372"/>
      <c r="AD521" s="2372"/>
      <c r="AE521" s="2372"/>
      <c r="AF521" s="2372"/>
      <c r="AG521" s="2372"/>
      <c r="AH521" s="2372"/>
      <c r="AI521" s="2372"/>
      <c r="AJ521" s="2372"/>
      <c r="AK521" s="2372"/>
      <c r="AL521" s="2372"/>
      <c r="AM521" s="2372"/>
      <c r="AN521" s="2372"/>
      <c r="AO521" s="2372"/>
      <c r="AP521" s="2372"/>
      <c r="AQ521" s="2372"/>
      <c r="AR521" s="2372"/>
      <c r="AS521" s="2372"/>
      <c r="AT521" s="2372"/>
      <c r="AU521" s="2372"/>
      <c r="AV521" s="2372"/>
      <c r="AW521" s="2372"/>
      <c r="AX521" s="2372"/>
      <c r="AY521" s="2372"/>
      <c r="AZ521" s="2372"/>
      <c r="BA521" s="2372"/>
      <c r="BB521" s="2372"/>
      <c r="BC521" s="2372"/>
      <c r="BD521" s="2372"/>
      <c r="BE521" s="2372"/>
      <c r="BF521" s="2372"/>
      <c r="BG521" s="2372"/>
      <c r="BH521" s="2372"/>
      <c r="BI521" s="2372"/>
      <c r="BJ521" s="2372"/>
      <c r="BK521" s="2372"/>
      <c r="BL521" s="2372"/>
      <c r="BM521" s="2372"/>
      <c r="BN521" s="2372"/>
      <c r="BO521" s="2372"/>
      <c r="BP521" s="2372"/>
      <c r="BQ521" s="2372"/>
      <c r="BR521" s="2372"/>
      <c r="BS521" s="2372"/>
      <c r="BT521" s="2372"/>
      <c r="BU521" s="2372"/>
      <c r="BV521" s="2372"/>
      <c r="BW521" s="2372"/>
      <c r="BX521" s="2372"/>
      <c r="BY521" s="2372"/>
      <c r="BZ521" s="2372"/>
      <c r="CA521" s="2372"/>
      <c r="CB521" s="2372"/>
      <c r="CC521" s="2372"/>
      <c r="CD521" s="2372"/>
      <c r="CE521" s="2372"/>
      <c r="CF521" s="2372"/>
      <c r="CG521" s="2372"/>
      <c r="CH521" s="2372"/>
      <c r="CI521" s="2372"/>
      <c r="CJ521" s="2372"/>
      <c r="CK521" s="2372"/>
      <c r="CL521" s="2372"/>
      <c r="CM521" s="2372"/>
      <c r="CN521" s="2372"/>
      <c r="CO521" s="2372"/>
      <c r="CP521" s="2372"/>
      <c r="CQ521" s="2372"/>
      <c r="CR521" s="2372"/>
      <c r="CS521" s="2372"/>
      <c r="CT521" s="2372"/>
      <c r="CU521" s="2372"/>
      <c r="CV521" s="2372"/>
      <c r="CW521" s="2372"/>
      <c r="CX521" s="2372"/>
      <c r="CY521" s="2372"/>
      <c r="CZ521" s="2372"/>
      <c r="DA521" s="2372"/>
    </row>
    <row r="522" spans="1:105" ht="15" hidden="1" customHeight="1">
      <c r="A522" s="2372"/>
      <c r="B522" s="2372"/>
      <c r="C522" s="2372"/>
      <c r="D522" s="2372"/>
      <c r="E522" s="2372"/>
      <c r="F522" s="2372"/>
      <c r="G522" s="2372"/>
      <c r="H522" s="2372"/>
      <c r="I522" s="2372"/>
      <c r="J522" s="2372"/>
      <c r="K522" s="2372"/>
      <c r="L522" s="2372"/>
      <c r="M522" s="2372"/>
      <c r="N522" s="2372"/>
      <c r="O522" s="2372"/>
      <c r="P522" s="2372"/>
      <c r="Q522" s="2372"/>
      <c r="R522" s="2372"/>
      <c r="S522" s="2372"/>
      <c r="T522" s="2372"/>
      <c r="U522" s="2372"/>
      <c r="V522" s="2372"/>
      <c r="W522" s="2372"/>
      <c r="X522" s="2372"/>
      <c r="Y522" s="2372"/>
      <c r="Z522" s="2372"/>
      <c r="AA522" s="2372"/>
      <c r="AB522" s="2372"/>
      <c r="AC522" s="2372"/>
      <c r="AD522" s="2372"/>
      <c r="AE522" s="2372"/>
      <c r="AF522" s="2372"/>
      <c r="AG522" s="2372"/>
      <c r="AH522" s="2372"/>
      <c r="AI522" s="2372"/>
      <c r="AJ522" s="2372"/>
      <c r="AK522" s="2372"/>
      <c r="AL522" s="2372"/>
      <c r="AM522" s="2372"/>
      <c r="AN522" s="2372"/>
      <c r="AO522" s="2372"/>
      <c r="AP522" s="2372"/>
      <c r="AQ522" s="2372"/>
      <c r="AR522" s="2372"/>
      <c r="AS522" s="2372"/>
      <c r="AT522" s="2372"/>
      <c r="AU522" s="2372"/>
      <c r="AV522" s="2372"/>
      <c r="AW522" s="2372"/>
      <c r="AX522" s="2372"/>
      <c r="AY522" s="2372"/>
      <c r="AZ522" s="2372"/>
      <c r="BA522" s="2372"/>
      <c r="BB522" s="2372"/>
      <c r="BC522" s="2372"/>
      <c r="BD522" s="2372"/>
      <c r="BE522" s="2372"/>
      <c r="BF522" s="2372"/>
      <c r="BG522" s="2372"/>
      <c r="BH522" s="2372"/>
      <c r="BI522" s="2372"/>
      <c r="BJ522" s="2372"/>
      <c r="BK522" s="2372"/>
      <c r="BL522" s="2372"/>
      <c r="BM522" s="2372"/>
      <c r="BN522" s="2372"/>
      <c r="BO522" s="2372"/>
      <c r="BP522" s="2372"/>
      <c r="BQ522" s="2372"/>
      <c r="BR522" s="2372"/>
      <c r="BS522" s="2372"/>
      <c r="BT522" s="2372"/>
      <c r="BU522" s="2372"/>
      <c r="BV522" s="2372"/>
      <c r="BW522" s="2372"/>
      <c r="BX522" s="2372"/>
      <c r="BY522" s="2372"/>
      <c r="BZ522" s="2372"/>
      <c r="CA522" s="2372"/>
      <c r="CB522" s="2372"/>
      <c r="CC522" s="2372"/>
      <c r="CD522" s="2372"/>
      <c r="CE522" s="2372"/>
      <c r="CF522" s="2372"/>
      <c r="CG522" s="2372"/>
      <c r="CH522" s="2372"/>
      <c r="CI522" s="2372"/>
      <c r="CJ522" s="2372"/>
      <c r="CK522" s="2372"/>
      <c r="CL522" s="2372"/>
      <c r="CM522" s="2372"/>
      <c r="CN522" s="2372"/>
      <c r="CO522" s="2372"/>
      <c r="CP522" s="2372"/>
      <c r="CQ522" s="2372"/>
      <c r="CR522" s="2372"/>
      <c r="CS522" s="2372"/>
      <c r="CT522" s="2372"/>
      <c r="CU522" s="2372"/>
      <c r="CV522" s="2372"/>
      <c r="CW522" s="2372"/>
      <c r="CX522" s="2372"/>
      <c r="CY522" s="2372"/>
      <c r="CZ522" s="2372"/>
      <c r="DA522" s="2372"/>
    </row>
    <row r="523" spans="1:105" ht="15" hidden="1" customHeight="1">
      <c r="A523" s="2372"/>
      <c r="B523" s="2372"/>
      <c r="C523" s="2372"/>
      <c r="D523" s="2372"/>
      <c r="E523" s="2372"/>
      <c r="F523" s="2372"/>
      <c r="G523" s="2372"/>
      <c r="H523" s="2372"/>
      <c r="I523" s="2372"/>
      <c r="J523" s="2372"/>
      <c r="K523" s="2372"/>
      <c r="L523" s="2372"/>
      <c r="M523" s="2372"/>
      <c r="N523" s="2372"/>
      <c r="O523" s="2372"/>
      <c r="P523" s="2372"/>
      <c r="Q523" s="2372"/>
      <c r="R523" s="2372"/>
      <c r="S523" s="2372"/>
      <c r="T523" s="2372"/>
      <c r="U523" s="2372"/>
      <c r="V523" s="2372"/>
      <c r="W523" s="2372"/>
      <c r="X523" s="2372"/>
      <c r="Y523" s="2372"/>
      <c r="Z523" s="2372"/>
      <c r="AA523" s="2372"/>
      <c r="AB523" s="2372"/>
      <c r="AC523" s="2372"/>
      <c r="AD523" s="2372"/>
      <c r="AE523" s="2372"/>
      <c r="AF523" s="2372"/>
      <c r="AG523" s="2372"/>
      <c r="AH523" s="2372"/>
      <c r="AI523" s="2372"/>
      <c r="AJ523" s="2372"/>
      <c r="AK523" s="2372"/>
      <c r="AL523" s="2372"/>
      <c r="AM523" s="2372"/>
      <c r="AN523" s="2372"/>
      <c r="AO523" s="2372"/>
      <c r="AP523" s="2372"/>
      <c r="AQ523" s="2372"/>
      <c r="AR523" s="2372"/>
      <c r="AS523" s="2372"/>
      <c r="AT523" s="2372"/>
      <c r="AU523" s="2372"/>
      <c r="AV523" s="2372"/>
      <c r="AW523" s="2372"/>
      <c r="AX523" s="2372"/>
      <c r="AY523" s="2372"/>
      <c r="AZ523" s="2372"/>
      <c r="BA523" s="2372"/>
      <c r="BB523" s="2372"/>
      <c r="BC523" s="2372"/>
      <c r="BD523" s="2372"/>
      <c r="BE523" s="2372"/>
      <c r="BF523" s="2372"/>
      <c r="BG523" s="2372"/>
      <c r="BH523" s="2372"/>
      <c r="BI523" s="2372"/>
      <c r="BJ523" s="2372"/>
      <c r="BK523" s="2372"/>
      <c r="BL523" s="2372"/>
      <c r="BM523" s="2372"/>
      <c r="BN523" s="2372"/>
      <c r="BO523" s="2372"/>
      <c r="BP523" s="2372"/>
      <c r="BQ523" s="2372"/>
      <c r="BR523" s="2372"/>
      <c r="BS523" s="2372"/>
      <c r="BT523" s="2372"/>
      <c r="BU523" s="2372"/>
      <c r="BV523" s="2372"/>
      <c r="BW523" s="2372"/>
      <c r="BX523" s="2372"/>
      <c r="BY523" s="2372"/>
      <c r="BZ523" s="2372"/>
      <c r="CA523" s="2372"/>
      <c r="CB523" s="2372"/>
      <c r="CC523" s="2372"/>
      <c r="CD523" s="2372"/>
      <c r="CE523" s="2372"/>
      <c r="CF523" s="2372"/>
      <c r="CG523" s="2372"/>
      <c r="CH523" s="2372"/>
      <c r="CI523" s="2372"/>
      <c r="CJ523" s="2372"/>
      <c r="CK523" s="2372"/>
      <c r="CL523" s="2372"/>
      <c r="CM523" s="2372"/>
      <c r="CN523" s="2372"/>
      <c r="CO523" s="2372"/>
      <c r="CP523" s="2372"/>
      <c r="CQ523" s="2372"/>
      <c r="CR523" s="2372"/>
      <c r="CS523" s="2372"/>
      <c r="CT523" s="2372"/>
      <c r="CU523" s="2372"/>
      <c r="CV523" s="2372"/>
      <c r="CW523" s="2372"/>
      <c r="CX523" s="2372"/>
      <c r="CY523" s="2372"/>
      <c r="CZ523" s="2372"/>
      <c r="DA523" s="2372"/>
    </row>
    <row r="524" spans="1:105" ht="15" hidden="1" customHeight="1">
      <c r="A524" s="2372"/>
      <c r="B524" s="2372"/>
      <c r="C524" s="2372"/>
      <c r="D524" s="2372"/>
      <c r="E524" s="2372"/>
      <c r="F524" s="2372"/>
      <c r="G524" s="2372"/>
      <c r="H524" s="2372"/>
      <c r="I524" s="2372"/>
      <c r="J524" s="2372"/>
      <c r="K524" s="2372"/>
      <c r="L524" s="2372"/>
      <c r="M524" s="2372"/>
      <c r="N524" s="2372"/>
      <c r="O524" s="2372"/>
      <c r="P524" s="2372"/>
      <c r="Q524" s="2372"/>
      <c r="R524" s="2372"/>
      <c r="S524" s="2372"/>
      <c r="T524" s="2372"/>
      <c r="U524" s="2372"/>
      <c r="V524" s="2372"/>
      <c r="W524" s="2372"/>
      <c r="X524" s="2372"/>
      <c r="Y524" s="2372"/>
      <c r="Z524" s="2372"/>
      <c r="AA524" s="2372"/>
      <c r="AB524" s="2372"/>
      <c r="AC524" s="2372"/>
      <c r="AD524" s="2372"/>
      <c r="AE524" s="2372"/>
      <c r="AF524" s="2372"/>
      <c r="AG524" s="2372"/>
      <c r="AH524" s="2372"/>
      <c r="AI524" s="2372"/>
      <c r="AJ524" s="2372"/>
      <c r="AK524" s="2372"/>
      <c r="AL524" s="2372"/>
      <c r="AM524" s="2372"/>
      <c r="AN524" s="2372"/>
      <c r="AO524" s="2372"/>
      <c r="AP524" s="2372"/>
      <c r="AQ524" s="2372"/>
      <c r="AR524" s="2372"/>
      <c r="AS524" s="2372"/>
      <c r="AT524" s="2372"/>
      <c r="AU524" s="2372"/>
      <c r="AV524" s="2372"/>
      <c r="AW524" s="2372"/>
      <c r="AX524" s="2372"/>
      <c r="AY524" s="2372"/>
      <c r="AZ524" s="2372"/>
      <c r="BA524" s="2372"/>
      <c r="BB524" s="2372"/>
      <c r="BC524" s="2372"/>
      <c r="BD524" s="2372"/>
      <c r="BE524" s="2372"/>
      <c r="BF524" s="2372"/>
      <c r="BG524" s="2372"/>
      <c r="BH524" s="2372"/>
      <c r="BI524" s="2372"/>
      <c r="BJ524" s="2372"/>
      <c r="BK524" s="2372"/>
      <c r="BL524" s="2372"/>
      <c r="BM524" s="2372"/>
      <c r="BN524" s="2372"/>
      <c r="BO524" s="2372"/>
      <c r="BP524" s="2372"/>
      <c r="BQ524" s="2372"/>
      <c r="BR524" s="2372"/>
      <c r="BS524" s="2372"/>
      <c r="BT524" s="2372"/>
      <c r="BU524" s="2372"/>
      <c r="BV524" s="2372"/>
      <c r="BW524" s="2372"/>
      <c r="BX524" s="2372"/>
      <c r="BY524" s="2372"/>
      <c r="BZ524" s="2372"/>
      <c r="CA524" s="2372"/>
      <c r="CB524" s="2372"/>
      <c r="CC524" s="2372"/>
      <c r="CD524" s="2372"/>
      <c r="CE524" s="2372"/>
      <c r="CF524" s="2372"/>
      <c r="CG524" s="2372"/>
      <c r="CH524" s="2372"/>
      <c r="CI524" s="2372"/>
      <c r="CJ524" s="2372"/>
      <c r="CK524" s="2372"/>
      <c r="CL524" s="2372"/>
      <c r="CM524" s="2372"/>
      <c r="CN524" s="2372"/>
      <c r="CO524" s="2372"/>
      <c r="CP524" s="2372"/>
      <c r="CQ524" s="2372"/>
      <c r="CR524" s="2372"/>
      <c r="CS524" s="2372"/>
      <c r="CT524" s="2372"/>
      <c r="CU524" s="2372"/>
      <c r="CV524" s="2372"/>
      <c r="CW524" s="2372"/>
      <c r="CX524" s="2372"/>
      <c r="CY524" s="2372"/>
      <c r="CZ524" s="2372"/>
      <c r="DA524" s="2372"/>
    </row>
    <row r="525" spans="1:105" ht="15" hidden="1" customHeight="1">
      <c r="A525" s="2372"/>
      <c r="B525" s="2372"/>
      <c r="C525" s="2372"/>
      <c r="D525" s="2372"/>
      <c r="E525" s="2372"/>
      <c r="F525" s="2372"/>
      <c r="G525" s="2372"/>
      <c r="H525" s="2372"/>
      <c r="I525" s="2372"/>
      <c r="J525" s="2372"/>
      <c r="K525" s="2372"/>
      <c r="L525" s="2372"/>
      <c r="M525" s="2372"/>
      <c r="N525" s="2372"/>
      <c r="O525" s="2372"/>
      <c r="P525" s="2372"/>
      <c r="Q525" s="2372"/>
      <c r="R525" s="2372"/>
      <c r="S525" s="2372"/>
      <c r="T525" s="2372"/>
      <c r="U525" s="2372"/>
      <c r="V525" s="2372"/>
      <c r="W525" s="2372"/>
      <c r="X525" s="2372"/>
      <c r="Y525" s="2372"/>
      <c r="Z525" s="2372"/>
      <c r="AA525" s="2372"/>
      <c r="AB525" s="2372"/>
      <c r="AC525" s="2372"/>
      <c r="AD525" s="2372"/>
      <c r="AE525" s="2372"/>
      <c r="AF525" s="2372"/>
      <c r="AG525" s="2372"/>
      <c r="AH525" s="2372"/>
      <c r="AI525" s="2372"/>
      <c r="AJ525" s="2372"/>
      <c r="AK525" s="2372"/>
      <c r="AL525" s="2372"/>
      <c r="AM525" s="2372"/>
      <c r="AN525" s="2372"/>
      <c r="AO525" s="2372"/>
      <c r="AP525" s="2372"/>
      <c r="AQ525" s="2372"/>
      <c r="AR525" s="2372"/>
      <c r="AS525" s="2372"/>
      <c r="AT525" s="2372"/>
      <c r="AU525" s="2372"/>
      <c r="AV525" s="2372"/>
      <c r="AW525" s="2372"/>
      <c r="AX525" s="2372"/>
      <c r="AY525" s="2372"/>
      <c r="AZ525" s="2372"/>
      <c r="BA525" s="2372"/>
      <c r="BB525" s="2372"/>
      <c r="BC525" s="2372"/>
      <c r="BD525" s="2372"/>
      <c r="BE525" s="2372"/>
      <c r="BF525" s="2372"/>
      <c r="BG525" s="2372"/>
      <c r="BH525" s="2372"/>
      <c r="BI525" s="2372"/>
      <c r="BJ525" s="2372"/>
      <c r="BK525" s="2372"/>
      <c r="BL525" s="2372"/>
      <c r="BM525" s="2372"/>
      <c r="BN525" s="2372"/>
      <c r="BO525" s="2372"/>
      <c r="BP525" s="2372"/>
      <c r="BQ525" s="2372"/>
      <c r="BR525" s="2372"/>
      <c r="BS525" s="2372"/>
      <c r="BT525" s="2372"/>
      <c r="BU525" s="2372"/>
      <c r="BV525" s="2372"/>
      <c r="BW525" s="2372"/>
      <c r="BX525" s="2372"/>
      <c r="BY525" s="2372"/>
      <c r="BZ525" s="2372"/>
      <c r="CA525" s="2372"/>
      <c r="CB525" s="2372"/>
      <c r="CC525" s="2372"/>
      <c r="CD525" s="2372"/>
      <c r="CE525" s="2372"/>
      <c r="CF525" s="2372"/>
      <c r="CG525" s="2372"/>
      <c r="CH525" s="2372"/>
      <c r="CI525" s="2372"/>
      <c r="CJ525" s="2372"/>
      <c r="CK525" s="2372"/>
      <c r="CL525" s="2372"/>
      <c r="CM525" s="2372"/>
      <c r="CN525" s="2372"/>
      <c r="CO525" s="2372"/>
      <c r="CP525" s="2372"/>
      <c r="CQ525" s="2372"/>
      <c r="CR525" s="2372"/>
      <c r="CS525" s="2372"/>
      <c r="CT525" s="2372"/>
      <c r="CU525" s="2372"/>
      <c r="CV525" s="2372"/>
      <c r="CW525" s="2372"/>
      <c r="CX525" s="2372"/>
      <c r="CY525" s="2372"/>
      <c r="CZ525" s="2372"/>
      <c r="DA525" s="2372"/>
    </row>
    <row r="526" spans="1:105" ht="15" hidden="1" customHeight="1">
      <c r="A526" s="2372"/>
      <c r="B526" s="2372"/>
      <c r="C526" s="2372"/>
      <c r="D526" s="2372"/>
      <c r="E526" s="2372"/>
      <c r="F526" s="2372"/>
      <c r="G526" s="2372"/>
      <c r="H526" s="2372"/>
      <c r="I526" s="2372"/>
      <c r="J526" s="2372"/>
      <c r="K526" s="2372"/>
      <c r="L526" s="2372"/>
      <c r="M526" s="2372"/>
      <c r="N526" s="2372"/>
      <c r="O526" s="2372"/>
      <c r="P526" s="2372"/>
      <c r="Q526" s="2372"/>
      <c r="R526" s="2372"/>
      <c r="S526" s="2372"/>
      <c r="T526" s="2372"/>
      <c r="U526" s="2372"/>
      <c r="V526" s="2372"/>
      <c r="W526" s="2372"/>
      <c r="X526" s="2372"/>
      <c r="Y526" s="2372"/>
      <c r="Z526" s="2372"/>
      <c r="AA526" s="2372"/>
      <c r="AB526" s="2372"/>
      <c r="AC526" s="2372"/>
      <c r="AD526" s="2372"/>
      <c r="AE526" s="2372"/>
      <c r="AF526" s="2372"/>
      <c r="AG526" s="2372"/>
      <c r="AH526" s="2372"/>
      <c r="AI526" s="2372"/>
      <c r="AJ526" s="2372"/>
      <c r="AK526" s="2372"/>
      <c r="AL526" s="2372"/>
      <c r="AM526" s="2372"/>
      <c r="AN526" s="2372"/>
      <c r="AO526" s="2372"/>
      <c r="AP526" s="2372"/>
      <c r="AQ526" s="2372"/>
      <c r="AR526" s="2372"/>
      <c r="AS526" s="2372"/>
      <c r="AT526" s="2372"/>
      <c r="AU526" s="2372"/>
      <c r="AV526" s="2372"/>
      <c r="AW526" s="2372"/>
      <c r="AX526" s="2372"/>
      <c r="AY526" s="2372"/>
      <c r="AZ526" s="2372"/>
      <c r="BA526" s="2372"/>
      <c r="BB526" s="2372"/>
      <c r="BC526" s="2372"/>
      <c r="BD526" s="2372"/>
      <c r="BE526" s="2372"/>
      <c r="BF526" s="2372"/>
      <c r="BG526" s="2372"/>
      <c r="BH526" s="2372"/>
      <c r="BI526" s="2372"/>
      <c r="BJ526" s="2372"/>
      <c r="BK526" s="2372"/>
      <c r="BL526" s="2372"/>
      <c r="BM526" s="2372"/>
      <c r="BN526" s="2372"/>
      <c r="BO526" s="2372"/>
      <c r="BP526" s="2372"/>
      <c r="BQ526" s="2372"/>
      <c r="BR526" s="2372"/>
      <c r="BS526" s="2372"/>
      <c r="BT526" s="2372"/>
      <c r="BU526" s="2372"/>
      <c r="BV526" s="2372"/>
      <c r="BW526" s="2372"/>
      <c r="BX526" s="2372"/>
      <c r="BY526" s="2372"/>
      <c r="BZ526" s="2372"/>
      <c r="CA526" s="2372"/>
      <c r="CB526" s="2372"/>
      <c r="CC526" s="2372"/>
      <c r="CD526" s="2372"/>
      <c r="CE526" s="2372"/>
      <c r="CF526" s="2372"/>
      <c r="CG526" s="2372"/>
      <c r="CH526" s="2372"/>
      <c r="CI526" s="2372"/>
      <c r="CJ526" s="2372"/>
      <c r="CK526" s="2372"/>
      <c r="CL526" s="2372"/>
      <c r="CM526" s="2372"/>
      <c r="CN526" s="2372"/>
      <c r="CO526" s="2372"/>
      <c r="CP526" s="2372"/>
      <c r="CQ526" s="2372"/>
      <c r="CR526" s="2372"/>
      <c r="CS526" s="2372"/>
      <c r="CT526" s="2372"/>
      <c r="CU526" s="2372"/>
      <c r="CV526" s="2372"/>
      <c r="CW526" s="2372"/>
      <c r="CX526" s="2372"/>
      <c r="CY526" s="2372"/>
      <c r="CZ526" s="2372"/>
      <c r="DA526" s="2372"/>
    </row>
    <row r="527" spans="1:105" ht="15" hidden="1" customHeight="1">
      <c r="A527" s="2372"/>
      <c r="B527" s="2372"/>
      <c r="C527" s="2372"/>
      <c r="D527" s="2372"/>
      <c r="E527" s="2372"/>
      <c r="F527" s="2372"/>
      <c r="G527" s="2372"/>
      <c r="H527" s="2372"/>
      <c r="I527" s="2372"/>
      <c r="J527" s="2372"/>
      <c r="K527" s="2372"/>
      <c r="L527" s="2372"/>
      <c r="M527" s="2372"/>
      <c r="N527" s="2372"/>
      <c r="O527" s="2372"/>
      <c r="P527" s="2372"/>
      <c r="Q527" s="2372"/>
      <c r="R527" s="2372"/>
      <c r="S527" s="2372"/>
      <c r="T527" s="2372"/>
      <c r="U527" s="2372"/>
      <c r="V527" s="2372"/>
      <c r="W527" s="2372"/>
      <c r="X527" s="2372"/>
      <c r="Y527" s="2372"/>
      <c r="Z527" s="2372"/>
      <c r="AA527" s="2372"/>
      <c r="AB527" s="2372"/>
      <c r="AC527" s="2372"/>
      <c r="AD527" s="2372"/>
      <c r="AE527" s="2372"/>
      <c r="AF527" s="2372"/>
      <c r="AG527" s="2372"/>
      <c r="AH527" s="2372"/>
      <c r="AI527" s="2372"/>
      <c r="AJ527" s="2372"/>
      <c r="AK527" s="2372"/>
      <c r="AL527" s="2372"/>
      <c r="AM527" s="2372"/>
      <c r="AN527" s="2372"/>
      <c r="AO527" s="2372"/>
      <c r="AP527" s="2372"/>
      <c r="AQ527" s="2372"/>
      <c r="AR527" s="2372"/>
      <c r="AS527" s="2372"/>
      <c r="AT527" s="2372"/>
      <c r="AU527" s="2372"/>
      <c r="AV527" s="2372"/>
      <c r="AW527" s="2372"/>
      <c r="AX527" s="2372"/>
      <c r="AY527" s="2372"/>
      <c r="AZ527" s="2372"/>
      <c r="BA527" s="2372"/>
      <c r="BB527" s="2372"/>
      <c r="BC527" s="2372"/>
      <c r="BD527" s="2372"/>
      <c r="BE527" s="2372"/>
      <c r="BF527" s="2372"/>
      <c r="BG527" s="2372"/>
      <c r="BH527" s="2372"/>
      <c r="BI527" s="2372"/>
      <c r="BJ527" s="2372"/>
      <c r="BK527" s="2372"/>
      <c r="BL527" s="2372"/>
      <c r="BM527" s="2372"/>
      <c r="BN527" s="2372"/>
      <c r="BO527" s="2372"/>
      <c r="BP527" s="2372"/>
      <c r="BQ527" s="2372"/>
      <c r="BR527" s="2372"/>
      <c r="BS527" s="2372"/>
      <c r="BT527" s="2372"/>
      <c r="BU527" s="2372"/>
      <c r="BV527" s="2372"/>
      <c r="BW527" s="2372"/>
      <c r="BX527" s="2372"/>
      <c r="BY527" s="2372"/>
      <c r="BZ527" s="2372"/>
      <c r="CA527" s="2372"/>
      <c r="CB527" s="2372"/>
      <c r="CC527" s="2372"/>
      <c r="CD527" s="2372"/>
      <c r="CE527" s="2372"/>
      <c r="CF527" s="2372"/>
      <c r="CG527" s="2372"/>
      <c r="CH527" s="2372"/>
      <c r="CI527" s="2372"/>
      <c r="CJ527" s="2372"/>
      <c r="CK527" s="2372"/>
      <c r="CL527" s="2372"/>
      <c r="CM527" s="2372"/>
      <c r="CN527" s="2372"/>
      <c r="CO527" s="2372"/>
      <c r="CP527" s="2372"/>
      <c r="CQ527" s="2372"/>
      <c r="CR527" s="2372"/>
      <c r="CS527" s="2372"/>
      <c r="CT527" s="2372"/>
      <c r="CU527" s="2372"/>
      <c r="CV527" s="2372"/>
      <c r="CW527" s="2372"/>
      <c r="CX527" s="2372"/>
      <c r="CY527" s="2372"/>
      <c r="CZ527" s="2372"/>
      <c r="DA527" s="2372"/>
    </row>
    <row r="528" spans="1:105" ht="15" hidden="1" customHeight="1">
      <c r="A528" s="2372"/>
      <c r="B528" s="2372"/>
      <c r="C528" s="2372"/>
      <c r="D528" s="2372"/>
      <c r="E528" s="2372"/>
      <c r="F528" s="2372"/>
      <c r="G528" s="2372"/>
      <c r="H528" s="2372"/>
      <c r="I528" s="2372"/>
      <c r="J528" s="2372"/>
      <c r="K528" s="2372"/>
      <c r="L528" s="2372"/>
      <c r="M528" s="2372"/>
      <c r="N528" s="2372"/>
      <c r="O528" s="2372"/>
      <c r="P528" s="2372"/>
      <c r="Q528" s="2372"/>
      <c r="R528" s="2372"/>
      <c r="S528" s="2372"/>
      <c r="T528" s="2372"/>
      <c r="U528" s="2372"/>
      <c r="V528" s="2372"/>
      <c r="W528" s="2372"/>
      <c r="X528" s="2372"/>
      <c r="Y528" s="2372"/>
      <c r="Z528" s="2372"/>
      <c r="AA528" s="2372"/>
      <c r="AB528" s="2372"/>
      <c r="AC528" s="2372"/>
      <c r="AD528" s="2372"/>
      <c r="AE528" s="2372"/>
      <c r="AF528" s="2372"/>
      <c r="AG528" s="2372"/>
      <c r="AH528" s="2372"/>
      <c r="AI528" s="2372"/>
      <c r="AJ528" s="2372"/>
      <c r="AK528" s="2372"/>
      <c r="AL528" s="2372"/>
      <c r="AM528" s="2372"/>
      <c r="AN528" s="2372"/>
      <c r="AO528" s="2372"/>
      <c r="AP528" s="2372"/>
      <c r="AQ528" s="2372"/>
      <c r="AR528" s="2372"/>
      <c r="AS528" s="2372"/>
      <c r="AT528" s="2372"/>
      <c r="AU528" s="2372"/>
      <c r="AV528" s="2372"/>
      <c r="AW528" s="2372"/>
      <c r="AX528" s="2372"/>
      <c r="AY528" s="2372"/>
      <c r="AZ528" s="2372"/>
      <c r="BA528" s="2372"/>
      <c r="BB528" s="2372"/>
      <c r="BC528" s="2372"/>
      <c r="BD528" s="2372"/>
      <c r="BE528" s="2372"/>
      <c r="BF528" s="2372"/>
      <c r="BG528" s="2372"/>
      <c r="BH528" s="2372"/>
      <c r="BI528" s="2372"/>
      <c r="BJ528" s="2372"/>
      <c r="BK528" s="2372"/>
      <c r="BL528" s="2372"/>
      <c r="BM528" s="2372"/>
      <c r="BN528" s="2372"/>
      <c r="BO528" s="2372"/>
      <c r="BP528" s="2372"/>
      <c r="BQ528" s="2372"/>
      <c r="BR528" s="2372"/>
      <c r="BS528" s="2372"/>
      <c r="BT528" s="2372"/>
      <c r="BU528" s="2372"/>
      <c r="BV528" s="2372"/>
      <c r="BW528" s="2372"/>
      <c r="BX528" s="2372"/>
      <c r="BY528" s="2372"/>
      <c r="BZ528" s="2372"/>
      <c r="CA528" s="2372"/>
      <c r="CB528" s="2372"/>
      <c r="CC528" s="2372"/>
      <c r="CD528" s="2372"/>
      <c r="CE528" s="2372"/>
      <c r="CF528" s="2372"/>
      <c r="CG528" s="2372"/>
      <c r="CH528" s="2372"/>
      <c r="CI528" s="2372"/>
      <c r="CJ528" s="2372"/>
      <c r="CK528" s="2372"/>
      <c r="CL528" s="2372"/>
      <c r="CM528" s="2372"/>
      <c r="CN528" s="2372"/>
      <c r="CO528" s="2372"/>
      <c r="CP528" s="2372"/>
      <c r="CQ528" s="2372"/>
      <c r="CR528" s="2372"/>
      <c r="CS528" s="2372"/>
      <c r="CT528" s="2372"/>
      <c r="CU528" s="2372"/>
      <c r="CV528" s="2372"/>
      <c r="CW528" s="2372"/>
      <c r="CX528" s="2372"/>
      <c r="CY528" s="2372"/>
      <c r="CZ528" s="2372"/>
      <c r="DA528" s="2372"/>
    </row>
    <row r="529" spans="1:105" ht="15" hidden="1" customHeight="1">
      <c r="A529" s="2372"/>
      <c r="B529" s="2372"/>
      <c r="C529" s="2372"/>
      <c r="D529" s="2372"/>
      <c r="E529" s="2372"/>
      <c r="F529" s="2372"/>
      <c r="G529" s="2372"/>
      <c r="H529" s="2372"/>
      <c r="I529" s="2372"/>
      <c r="J529" s="2372"/>
      <c r="K529" s="2372"/>
      <c r="L529" s="2372"/>
      <c r="M529" s="2372"/>
      <c r="N529" s="2372"/>
      <c r="O529" s="2372"/>
      <c r="P529" s="2372"/>
      <c r="Q529" s="2372"/>
      <c r="R529" s="2372"/>
      <c r="S529" s="2372"/>
      <c r="T529" s="2372"/>
      <c r="U529" s="2372"/>
      <c r="V529" s="2372"/>
      <c r="W529" s="2372"/>
      <c r="X529" s="2372"/>
      <c r="Y529" s="2372"/>
      <c r="Z529" s="2372"/>
      <c r="AA529" s="2372"/>
      <c r="AB529" s="2372"/>
      <c r="AC529" s="2372"/>
      <c r="AD529" s="2372"/>
      <c r="AE529" s="2372"/>
      <c r="AF529" s="2372"/>
      <c r="AG529" s="2372"/>
      <c r="AH529" s="2372"/>
      <c r="AI529" s="2372"/>
      <c r="AJ529" s="2372"/>
      <c r="AK529" s="2372"/>
      <c r="AL529" s="2372"/>
      <c r="AM529" s="2372"/>
      <c r="AN529" s="2372"/>
      <c r="AO529" s="2372"/>
      <c r="AP529" s="2372"/>
      <c r="AQ529" s="2372"/>
      <c r="AR529" s="2372"/>
      <c r="AS529" s="2372"/>
      <c r="AT529" s="2372"/>
      <c r="AU529" s="2372"/>
      <c r="AV529" s="2372"/>
      <c r="AW529" s="2372"/>
      <c r="AX529" s="2372"/>
      <c r="AY529" s="2372"/>
      <c r="AZ529" s="2372"/>
      <c r="BA529" s="2372"/>
      <c r="BB529" s="2372"/>
      <c r="BC529" s="2372"/>
      <c r="BD529" s="2372"/>
      <c r="BE529" s="2372"/>
      <c r="BF529" s="2372"/>
      <c r="BG529" s="2372"/>
      <c r="BH529" s="2372"/>
      <c r="BI529" s="2372"/>
      <c r="BJ529" s="2372"/>
      <c r="BK529" s="2372"/>
      <c r="BL529" s="2372"/>
      <c r="BM529" s="2372"/>
      <c r="BN529" s="2372"/>
      <c r="BO529" s="2372"/>
      <c r="BP529" s="2372"/>
      <c r="BQ529" s="2372"/>
      <c r="BR529" s="2372"/>
      <c r="BS529" s="2372"/>
      <c r="BT529" s="2372"/>
      <c r="BU529" s="2372"/>
      <c r="BV529" s="2372"/>
      <c r="BW529" s="2372"/>
      <c r="BX529" s="2372"/>
      <c r="BY529" s="2372"/>
      <c r="BZ529" s="2372"/>
      <c r="CA529" s="2372"/>
      <c r="CB529" s="2372"/>
      <c r="CC529" s="2372"/>
      <c r="CD529" s="2372"/>
      <c r="CE529" s="2372"/>
      <c r="CF529" s="2372"/>
      <c r="CG529" s="2372"/>
      <c r="CH529" s="2372"/>
      <c r="CI529" s="2372"/>
      <c r="CJ529" s="2372"/>
      <c r="CK529" s="2372"/>
      <c r="CL529" s="2372"/>
      <c r="CM529" s="2372"/>
      <c r="CN529" s="2372"/>
      <c r="CO529" s="2372"/>
      <c r="CP529" s="2372"/>
      <c r="CQ529" s="2372"/>
      <c r="CR529" s="2372"/>
      <c r="CS529" s="2372"/>
      <c r="CT529" s="2372"/>
      <c r="CU529" s="2372"/>
      <c r="CV529" s="2372"/>
      <c r="CW529" s="2372"/>
      <c r="CX529" s="2372"/>
      <c r="CY529" s="2372"/>
      <c r="CZ529" s="2372"/>
      <c r="DA529" s="2372"/>
    </row>
    <row r="530" spans="1:105" ht="15" hidden="1" customHeight="1">
      <c r="A530" s="2372"/>
      <c r="B530" s="2372"/>
      <c r="C530" s="2372"/>
      <c r="D530" s="2372"/>
      <c r="E530" s="2372"/>
      <c r="F530" s="2372"/>
      <c r="G530" s="2372"/>
      <c r="H530" s="2372"/>
      <c r="I530" s="2372"/>
      <c r="J530" s="2372"/>
      <c r="K530" s="2372"/>
      <c r="L530" s="2372"/>
      <c r="M530" s="2372"/>
      <c r="N530" s="2372"/>
      <c r="O530" s="2372"/>
      <c r="P530" s="2372"/>
      <c r="Q530" s="2372"/>
      <c r="R530" s="2372"/>
      <c r="S530" s="2372"/>
      <c r="T530" s="2372"/>
      <c r="U530" s="2372"/>
      <c r="V530" s="2372"/>
      <c r="W530" s="2372"/>
      <c r="X530" s="2372"/>
      <c r="Y530" s="2372"/>
      <c r="Z530" s="2372"/>
      <c r="AA530" s="2372"/>
      <c r="AB530" s="2372"/>
      <c r="AC530" s="2372"/>
      <c r="AD530" s="2372"/>
      <c r="AE530" s="2372"/>
      <c r="AF530" s="2372"/>
      <c r="AG530" s="2372"/>
      <c r="AH530" s="2372"/>
      <c r="AI530" s="2372"/>
      <c r="AJ530" s="2372"/>
      <c r="AK530" s="2372"/>
      <c r="AL530" s="2372"/>
      <c r="AM530" s="2372"/>
      <c r="AN530" s="2372"/>
      <c r="AO530" s="2372"/>
      <c r="AP530" s="2372"/>
      <c r="AQ530" s="2372"/>
      <c r="AR530" s="2372"/>
      <c r="AS530" s="2372"/>
      <c r="AT530" s="2372"/>
      <c r="AU530" s="2372"/>
      <c r="AV530" s="2372"/>
      <c r="AW530" s="2372"/>
      <c r="AX530" s="2372"/>
      <c r="AY530" s="2372"/>
      <c r="AZ530" s="2372"/>
      <c r="BA530" s="2372"/>
      <c r="BB530" s="2372"/>
      <c r="BC530" s="2372"/>
      <c r="BD530" s="2372"/>
      <c r="BE530" s="2372"/>
      <c r="BF530" s="2372"/>
      <c r="BG530" s="2372"/>
      <c r="BH530" s="2372"/>
      <c r="BI530" s="2372"/>
      <c r="BJ530" s="2372"/>
      <c r="BK530" s="2372"/>
      <c r="BL530" s="2372"/>
      <c r="BM530" s="2372"/>
      <c r="BN530" s="2372"/>
      <c r="BO530" s="2372"/>
      <c r="BP530" s="2372"/>
      <c r="BQ530" s="2372"/>
      <c r="BR530" s="2372"/>
      <c r="BS530" s="2372"/>
      <c r="BT530" s="2372"/>
      <c r="BU530" s="2372"/>
      <c r="BV530" s="2372"/>
      <c r="BW530" s="2372"/>
      <c r="BX530" s="2372"/>
      <c r="BY530" s="2372"/>
      <c r="BZ530" s="2372"/>
      <c r="CA530" s="2372"/>
      <c r="CB530" s="2372"/>
      <c r="CC530" s="2372"/>
      <c r="CD530" s="2372"/>
      <c r="CE530" s="2372"/>
      <c r="CF530" s="2372"/>
      <c r="CG530" s="2372"/>
      <c r="CH530" s="2372"/>
      <c r="CI530" s="2372"/>
      <c r="CJ530" s="2372"/>
      <c r="CK530" s="2372"/>
      <c r="CL530" s="2372"/>
      <c r="CM530" s="2372"/>
      <c r="CN530" s="2372"/>
      <c r="CO530" s="2372"/>
      <c r="CP530" s="2372"/>
      <c r="CQ530" s="2372"/>
      <c r="CR530" s="2372"/>
      <c r="CS530" s="2372"/>
      <c r="CT530" s="2372"/>
      <c r="CU530" s="2372"/>
      <c r="CV530" s="2372"/>
      <c r="CW530" s="2372"/>
      <c r="CX530" s="2372"/>
      <c r="CY530" s="2372"/>
      <c r="CZ530" s="2372"/>
      <c r="DA530" s="2372"/>
    </row>
    <row r="531" spans="1:105" ht="15" hidden="1" customHeight="1">
      <c r="A531" s="2372"/>
      <c r="B531" s="2372"/>
      <c r="C531" s="2372"/>
      <c r="D531" s="2372"/>
      <c r="E531" s="2372"/>
      <c r="F531" s="2372"/>
      <c r="G531" s="2372"/>
      <c r="H531" s="2372"/>
      <c r="I531" s="2372"/>
      <c r="J531" s="2372"/>
      <c r="K531" s="2372"/>
      <c r="L531" s="2372"/>
      <c r="M531" s="2372"/>
      <c r="N531" s="2372"/>
      <c r="O531" s="2372"/>
      <c r="P531" s="2372"/>
      <c r="Q531" s="2372"/>
      <c r="R531" s="2372"/>
      <c r="S531" s="2372"/>
      <c r="T531" s="2372"/>
      <c r="U531" s="2372"/>
      <c r="V531" s="2372"/>
      <c r="W531" s="2372"/>
      <c r="X531" s="2372"/>
      <c r="Y531" s="2372"/>
      <c r="Z531" s="2372"/>
      <c r="AA531" s="2372"/>
      <c r="AB531" s="2372"/>
      <c r="AC531" s="2372"/>
      <c r="AD531" s="2372"/>
      <c r="AE531" s="2372"/>
      <c r="AF531" s="2372"/>
      <c r="AG531" s="2372"/>
      <c r="AH531" s="2372"/>
      <c r="AI531" s="2372"/>
      <c r="AJ531" s="2372"/>
      <c r="AK531" s="2372"/>
      <c r="AL531" s="2372"/>
      <c r="AM531" s="2372"/>
      <c r="AN531" s="2372"/>
      <c r="AO531" s="2372"/>
      <c r="AP531" s="2372"/>
      <c r="AQ531" s="2372"/>
      <c r="AR531" s="2372"/>
      <c r="AS531" s="2372"/>
      <c r="AT531" s="2372"/>
      <c r="AU531" s="2372"/>
      <c r="AV531" s="2372"/>
      <c r="AW531" s="2372"/>
      <c r="AX531" s="2372"/>
      <c r="AY531" s="2372"/>
      <c r="AZ531" s="2372"/>
      <c r="BA531" s="2372"/>
      <c r="BB531" s="2372"/>
      <c r="BC531" s="2372"/>
      <c r="BD531" s="2372"/>
      <c r="BE531" s="2372"/>
      <c r="BF531" s="2372"/>
      <c r="BG531" s="2372"/>
      <c r="BH531" s="2372"/>
      <c r="BI531" s="2372"/>
      <c r="BJ531" s="2372"/>
      <c r="BK531" s="2372"/>
      <c r="BL531" s="2372"/>
      <c r="BM531" s="2372"/>
      <c r="BN531" s="2372"/>
      <c r="BO531" s="2372"/>
      <c r="BP531" s="2372"/>
      <c r="BQ531" s="2372"/>
      <c r="BR531" s="2372"/>
      <c r="BS531" s="2372"/>
      <c r="BT531" s="2372"/>
      <c r="BU531" s="2372"/>
      <c r="BV531" s="2372"/>
      <c r="BW531" s="2372"/>
      <c r="BX531" s="2372"/>
      <c r="BY531" s="2372"/>
      <c r="BZ531" s="2372"/>
      <c r="CA531" s="2372"/>
      <c r="CB531" s="2372"/>
      <c r="CC531" s="2372"/>
      <c r="CD531" s="2372"/>
      <c r="CE531" s="2372"/>
      <c r="CF531" s="2372"/>
      <c r="CG531" s="2372"/>
      <c r="CH531" s="2372"/>
      <c r="CI531" s="2372"/>
      <c r="CJ531" s="2372"/>
      <c r="CK531" s="2372"/>
      <c r="CL531" s="2372"/>
      <c r="CM531" s="2372"/>
      <c r="CN531" s="2372"/>
      <c r="CO531" s="2372"/>
      <c r="CP531" s="2372"/>
      <c r="CQ531" s="2372"/>
      <c r="CR531" s="2372"/>
      <c r="CS531" s="2372"/>
      <c r="CT531" s="2372"/>
      <c r="CU531" s="2372"/>
      <c r="CV531" s="2372"/>
      <c r="CW531" s="2372"/>
      <c r="CX531" s="2372"/>
      <c r="CY531" s="2372"/>
      <c r="CZ531" s="2372"/>
      <c r="DA531" s="2372"/>
    </row>
    <row r="532" spans="1:105" ht="15" hidden="1" customHeight="1">
      <c r="A532" s="2372"/>
      <c r="B532" s="2372"/>
      <c r="C532" s="2372"/>
      <c r="D532" s="2372"/>
      <c r="E532" s="2372"/>
      <c r="F532" s="2372"/>
      <c r="G532" s="2372"/>
      <c r="H532" s="2372"/>
      <c r="I532" s="2372"/>
      <c r="J532" s="2372"/>
      <c r="K532" s="2372"/>
      <c r="L532" s="2372"/>
      <c r="M532" s="2372"/>
      <c r="N532" s="2372"/>
      <c r="O532" s="2372"/>
      <c r="P532" s="2372"/>
      <c r="Q532" s="2372"/>
      <c r="R532" s="2372"/>
      <c r="S532" s="2372"/>
      <c r="T532" s="2372"/>
      <c r="U532" s="2372"/>
      <c r="V532" s="2372"/>
      <c r="W532" s="2372"/>
      <c r="X532" s="2372"/>
      <c r="Y532" s="2372"/>
      <c r="Z532" s="2372"/>
      <c r="AA532" s="2372"/>
      <c r="AB532" s="2372"/>
      <c r="AC532" s="2372"/>
      <c r="AD532" s="2372"/>
      <c r="AE532" s="2372"/>
      <c r="AF532" s="2372"/>
      <c r="AG532" s="2372"/>
      <c r="AH532" s="2372"/>
      <c r="AI532" s="2372"/>
      <c r="AJ532" s="2372"/>
      <c r="AK532" s="2372"/>
      <c r="AL532" s="2372"/>
      <c r="AM532" s="2372"/>
      <c r="AN532" s="2372"/>
      <c r="AO532" s="2372"/>
      <c r="AP532" s="2372"/>
      <c r="AQ532" s="2372"/>
      <c r="AR532" s="2372"/>
      <c r="AS532" s="2372"/>
      <c r="AT532" s="2372"/>
      <c r="AU532" s="2372"/>
      <c r="AV532" s="2372"/>
      <c r="AW532" s="2372"/>
      <c r="AX532" s="2372"/>
      <c r="AY532" s="2372"/>
      <c r="AZ532" s="2372"/>
      <c r="BA532" s="2372"/>
      <c r="BB532" s="2372"/>
      <c r="BC532" s="2372"/>
      <c r="BD532" s="2372"/>
      <c r="BE532" s="2372"/>
      <c r="BF532" s="2372"/>
      <c r="BG532" s="2372"/>
      <c r="BH532" s="2372"/>
      <c r="BI532" s="2372"/>
      <c r="BJ532" s="2372"/>
      <c r="BK532" s="2372"/>
      <c r="BL532" s="2372"/>
      <c r="BM532" s="2372"/>
      <c r="BN532" s="2372"/>
      <c r="BO532" s="2372"/>
      <c r="BP532" s="2372"/>
      <c r="BQ532" s="2372"/>
      <c r="BR532" s="2372"/>
      <c r="BS532" s="2372"/>
      <c r="BT532" s="2372"/>
      <c r="BU532" s="2372"/>
      <c r="BV532" s="2372"/>
      <c r="BW532" s="2372"/>
      <c r="BX532" s="2372"/>
      <c r="BY532" s="2372"/>
      <c r="BZ532" s="2372"/>
      <c r="CA532" s="2372"/>
      <c r="CB532" s="2372"/>
      <c r="CC532" s="2372"/>
      <c r="CD532" s="2372"/>
      <c r="CE532" s="2372"/>
      <c r="CF532" s="2372"/>
      <c r="CG532" s="2372"/>
      <c r="CH532" s="2372"/>
      <c r="CI532" s="2372"/>
      <c r="CJ532" s="2372"/>
      <c r="CK532" s="2372"/>
      <c r="CL532" s="2372"/>
      <c r="CM532" s="2372"/>
      <c r="CN532" s="2372"/>
      <c r="CO532" s="2372"/>
      <c r="CP532" s="2372"/>
      <c r="CQ532" s="2372"/>
      <c r="CR532" s="2372"/>
      <c r="CS532" s="2372"/>
      <c r="CT532" s="2372"/>
      <c r="CU532" s="2372"/>
      <c r="CV532" s="2372"/>
      <c r="CW532" s="2372"/>
      <c r="CX532" s="2372"/>
      <c r="CY532" s="2372"/>
      <c r="CZ532" s="2372"/>
      <c r="DA532" s="2372"/>
    </row>
    <row r="533" spans="1:105" ht="15" hidden="1" customHeight="1">
      <c r="A533" s="2372"/>
      <c r="B533" s="2372"/>
      <c r="C533" s="2372"/>
      <c r="D533" s="2372"/>
      <c r="E533" s="2372"/>
      <c r="F533" s="2372"/>
      <c r="G533" s="2372"/>
      <c r="H533" s="2372"/>
      <c r="I533" s="2372"/>
      <c r="J533" s="2372"/>
      <c r="K533" s="2372"/>
      <c r="L533" s="2372"/>
      <c r="M533" s="2372"/>
      <c r="N533" s="2372"/>
      <c r="O533" s="2372"/>
      <c r="P533" s="2372"/>
      <c r="Q533" s="2372"/>
      <c r="R533" s="2372"/>
      <c r="S533" s="2372"/>
      <c r="T533" s="2372"/>
      <c r="U533" s="2372"/>
      <c r="V533" s="2372"/>
      <c r="W533" s="2372"/>
      <c r="X533" s="2372"/>
      <c r="Y533" s="2372"/>
      <c r="Z533" s="2372"/>
      <c r="AA533" s="2372"/>
      <c r="AB533" s="2372"/>
      <c r="AC533" s="2372"/>
      <c r="AD533" s="2372"/>
      <c r="AE533" s="2372"/>
      <c r="AF533" s="2372"/>
      <c r="AG533" s="2372"/>
      <c r="AH533" s="2372"/>
      <c r="AI533" s="2372"/>
      <c r="AJ533" s="2372"/>
      <c r="AK533" s="2372"/>
      <c r="AL533" s="2372"/>
      <c r="AM533" s="2372"/>
      <c r="AN533" s="2372"/>
      <c r="AO533" s="2372"/>
      <c r="AP533" s="2372"/>
      <c r="AQ533" s="2372"/>
      <c r="AR533" s="2372"/>
      <c r="AS533" s="2372"/>
      <c r="AT533" s="2372"/>
      <c r="AU533" s="2372"/>
      <c r="AV533" s="2372"/>
      <c r="AW533" s="2372"/>
      <c r="AX533" s="2372"/>
      <c r="AY533" s="2372"/>
      <c r="AZ533" s="2372"/>
      <c r="BA533" s="2372"/>
      <c r="BB533" s="2372"/>
      <c r="BC533" s="2372"/>
      <c r="BD533" s="2372"/>
      <c r="BE533" s="2372"/>
      <c r="BF533" s="2372"/>
      <c r="BG533" s="2372"/>
      <c r="BH533" s="2372"/>
      <c r="BI533" s="2372"/>
      <c r="BJ533" s="2372"/>
      <c r="BK533" s="2372"/>
      <c r="BL533" s="2372"/>
      <c r="BM533" s="2372"/>
      <c r="BN533" s="2372"/>
      <c r="BO533" s="2372"/>
      <c r="BP533" s="2372"/>
      <c r="BQ533" s="2372"/>
      <c r="BR533" s="2372"/>
      <c r="BS533" s="2372"/>
      <c r="BT533" s="2372"/>
      <c r="BU533" s="2372"/>
      <c r="BV533" s="2372"/>
      <c r="BW533" s="2372"/>
      <c r="BX533" s="2372"/>
      <c r="BY533" s="2372"/>
      <c r="BZ533" s="2372"/>
      <c r="CA533" s="2372"/>
      <c r="CB533" s="2372"/>
      <c r="CC533" s="2372"/>
      <c r="CD533" s="2372"/>
      <c r="CE533" s="2372"/>
      <c r="CF533" s="2372"/>
      <c r="CG533" s="2372"/>
      <c r="CH533" s="2372"/>
      <c r="CI533" s="2372"/>
      <c r="CJ533" s="2372"/>
      <c r="CK533" s="2372"/>
      <c r="CL533" s="2372"/>
      <c r="CM533" s="2372"/>
      <c r="CN533" s="2372"/>
      <c r="CO533" s="2372"/>
      <c r="CP533" s="2372"/>
      <c r="CQ533" s="2372"/>
      <c r="CR533" s="2372"/>
      <c r="CS533" s="2372"/>
      <c r="CT533" s="2372"/>
      <c r="CU533" s="2372"/>
      <c r="CV533" s="2372"/>
      <c r="CW533" s="2372"/>
      <c r="CX533" s="2372"/>
      <c r="CY533" s="2372"/>
      <c r="CZ533" s="2372"/>
      <c r="DA533" s="2372"/>
    </row>
    <row r="534" spans="1:105" ht="15" hidden="1" customHeight="1">
      <c r="A534" s="2372"/>
      <c r="B534" s="2372"/>
      <c r="C534" s="2372"/>
      <c r="D534" s="2372"/>
      <c r="E534" s="2372"/>
      <c r="F534" s="2372"/>
      <c r="G534" s="2372"/>
      <c r="H534" s="2372"/>
      <c r="I534" s="2372"/>
      <c r="J534" s="2372"/>
      <c r="K534" s="2372"/>
      <c r="L534" s="2372"/>
      <c r="M534" s="2372"/>
      <c r="N534" s="2372"/>
      <c r="O534" s="2372"/>
      <c r="P534" s="2372"/>
      <c r="Q534" s="2372"/>
      <c r="R534" s="2372"/>
      <c r="S534" s="2372"/>
      <c r="T534" s="2372"/>
      <c r="U534" s="2372"/>
      <c r="V534" s="2372"/>
      <c r="W534" s="2372"/>
      <c r="X534" s="2372"/>
      <c r="Y534" s="2372"/>
      <c r="Z534" s="2372"/>
      <c r="AA534" s="2372"/>
      <c r="AB534" s="2372"/>
      <c r="AC534" s="2372"/>
      <c r="AD534" s="2372"/>
      <c r="AE534" s="2372"/>
      <c r="AF534" s="2372"/>
      <c r="AG534" s="2372"/>
      <c r="AH534" s="2372"/>
      <c r="AI534" s="2372"/>
      <c r="AJ534" s="2372"/>
      <c r="AK534" s="2372"/>
      <c r="AL534" s="2372"/>
      <c r="AM534" s="2372"/>
      <c r="AN534" s="2372"/>
      <c r="AO534" s="2372"/>
      <c r="AP534" s="2372"/>
      <c r="AQ534" s="2372"/>
      <c r="AR534" s="2372"/>
      <c r="AS534" s="2372"/>
      <c r="AT534" s="2372"/>
      <c r="AU534" s="2372"/>
      <c r="AV534" s="2372"/>
      <c r="AW534" s="2372"/>
      <c r="AX534" s="2372"/>
      <c r="AY534" s="2372"/>
      <c r="AZ534" s="2372"/>
      <c r="BA534" s="2372"/>
      <c r="BB534" s="2372"/>
      <c r="BC534" s="2372"/>
      <c r="BD534" s="2372"/>
      <c r="BE534" s="2372"/>
      <c r="BF534" s="2372"/>
      <c r="BG534" s="2372"/>
      <c r="BH534" s="2372"/>
      <c r="BI534" s="2372"/>
      <c r="BJ534" s="2372"/>
      <c r="BK534" s="2372"/>
      <c r="BL534" s="2372"/>
      <c r="BM534" s="2372"/>
      <c r="BN534" s="2372"/>
      <c r="BO534" s="2372"/>
      <c r="BP534" s="2372"/>
      <c r="BQ534" s="2372"/>
      <c r="BR534" s="2372"/>
      <c r="BS534" s="2372"/>
      <c r="BT534" s="2372"/>
      <c r="BU534" s="2372"/>
      <c r="BV534" s="2372"/>
      <c r="BW534" s="2372"/>
      <c r="BX534" s="2372"/>
      <c r="BY534" s="2372"/>
      <c r="BZ534" s="2372"/>
      <c r="CA534" s="2372"/>
      <c r="CB534" s="2372"/>
      <c r="CC534" s="2372"/>
      <c r="CD534" s="2372"/>
      <c r="CE534" s="2372"/>
      <c r="CF534" s="2372"/>
      <c r="CG534" s="2372"/>
      <c r="CH534" s="2372"/>
      <c r="CI534" s="2372"/>
      <c r="CJ534" s="2372"/>
      <c r="CK534" s="2372"/>
      <c r="CL534" s="2372"/>
      <c r="CM534" s="2372"/>
      <c r="CN534" s="2372"/>
      <c r="CO534" s="2372"/>
      <c r="CP534" s="2372"/>
      <c r="CQ534" s="2372"/>
      <c r="CR534" s="2372"/>
      <c r="CS534" s="2372"/>
      <c r="CT534" s="2372"/>
      <c r="CU534" s="2372"/>
      <c r="CV534" s="2372"/>
      <c r="CW534" s="2372"/>
      <c r="CX534" s="2372"/>
      <c r="CY534" s="2372"/>
      <c r="CZ534" s="2372"/>
      <c r="DA534" s="2372"/>
    </row>
    <row r="535" spans="1:105" ht="15" hidden="1" customHeight="1">
      <c r="A535" s="2372"/>
      <c r="B535" s="2372"/>
      <c r="C535" s="2372"/>
      <c r="D535" s="2372"/>
      <c r="E535" s="2372"/>
      <c r="F535" s="2372"/>
      <c r="G535" s="2372"/>
      <c r="H535" s="2372"/>
      <c r="I535" s="2372"/>
      <c r="J535" s="2372"/>
      <c r="K535" s="2372"/>
      <c r="L535" s="2372"/>
      <c r="M535" s="2372"/>
      <c r="N535" s="2372"/>
      <c r="O535" s="2372"/>
      <c r="P535" s="2372"/>
      <c r="Q535" s="2372"/>
      <c r="R535" s="2372"/>
      <c r="S535" s="2372"/>
      <c r="T535" s="2372"/>
      <c r="U535" s="2372"/>
      <c r="V535" s="2372"/>
      <c r="W535" s="2372"/>
      <c r="X535" s="2372"/>
      <c r="Y535" s="2372"/>
      <c r="Z535" s="2372"/>
      <c r="AA535" s="2372"/>
      <c r="AB535" s="2372"/>
      <c r="AC535" s="2372"/>
      <c r="AD535" s="2372"/>
      <c r="AE535" s="2372"/>
      <c r="AF535" s="2372"/>
      <c r="AG535" s="2372"/>
      <c r="AH535" s="2372"/>
      <c r="AI535" s="2372"/>
      <c r="AJ535" s="2372"/>
      <c r="AK535" s="2372"/>
      <c r="AL535" s="2372"/>
      <c r="AM535" s="2372"/>
      <c r="AN535" s="2372"/>
      <c r="AO535" s="2372"/>
      <c r="AP535" s="2372"/>
      <c r="AQ535" s="2372"/>
      <c r="AR535" s="2372"/>
      <c r="AS535" s="2372"/>
      <c r="AT535" s="2372"/>
      <c r="AU535" s="2372"/>
      <c r="AV535" s="2372"/>
      <c r="AW535" s="2372"/>
      <c r="AX535" s="2372"/>
      <c r="AY535" s="2372"/>
      <c r="AZ535" s="2372"/>
      <c r="BA535" s="2372"/>
      <c r="BB535" s="2372"/>
      <c r="BC535" s="2372"/>
      <c r="BD535" s="2372"/>
      <c r="BE535" s="2372"/>
      <c r="BF535" s="2372"/>
      <c r="BG535" s="2372"/>
      <c r="BH535" s="2372"/>
      <c r="BI535" s="2372"/>
      <c r="BJ535" s="2372"/>
      <c r="BK535" s="2372"/>
      <c r="BL535" s="2372"/>
      <c r="BM535" s="2372"/>
      <c r="BN535" s="2372"/>
      <c r="BO535" s="2372"/>
      <c r="BP535" s="2372"/>
      <c r="BQ535" s="2372"/>
      <c r="BR535" s="2372"/>
      <c r="BS535" s="2372"/>
      <c r="BT535" s="2372"/>
      <c r="BU535" s="2372"/>
      <c r="BV535" s="2372"/>
      <c r="BW535" s="2372"/>
      <c r="BX535" s="2372"/>
      <c r="BY535" s="2372"/>
      <c r="BZ535" s="2372"/>
      <c r="CA535" s="2372"/>
      <c r="CB535" s="2372"/>
      <c r="CC535" s="2372"/>
      <c r="CD535" s="2372"/>
      <c r="CE535" s="2372"/>
      <c r="CF535" s="2372"/>
      <c r="CG535" s="2372"/>
      <c r="CH535" s="2372"/>
      <c r="CI535" s="2372"/>
      <c r="CJ535" s="2372"/>
      <c r="CK535" s="2372"/>
      <c r="CL535" s="2372"/>
      <c r="CM535" s="2372"/>
      <c r="CN535" s="2372"/>
      <c r="CO535" s="2372"/>
      <c r="CP535" s="2372"/>
      <c r="CQ535" s="2372"/>
      <c r="CR535" s="2372"/>
      <c r="CS535" s="2372"/>
      <c r="CT535" s="2372"/>
      <c r="CU535" s="2372"/>
      <c r="CV535" s="2372"/>
      <c r="CW535" s="2372"/>
      <c r="CX535" s="2372"/>
      <c r="CY535" s="2372"/>
      <c r="CZ535" s="2372"/>
      <c r="DA535" s="2372"/>
    </row>
    <row r="536" spans="1:105" ht="15" hidden="1" customHeight="1">
      <c r="A536" s="2372"/>
      <c r="B536" s="2372"/>
      <c r="C536" s="2372"/>
      <c r="D536" s="2372"/>
      <c r="E536" s="2372"/>
      <c r="F536" s="2372"/>
      <c r="G536" s="2372"/>
      <c r="H536" s="2372"/>
      <c r="I536" s="2372"/>
      <c r="J536" s="2372"/>
      <c r="K536" s="2372"/>
      <c r="L536" s="2372"/>
      <c r="M536" s="2372"/>
      <c r="N536" s="2372"/>
      <c r="O536" s="2372"/>
      <c r="P536" s="2372"/>
      <c r="Q536" s="2372"/>
      <c r="R536" s="2372"/>
      <c r="S536" s="2372"/>
      <c r="T536" s="2372"/>
      <c r="U536" s="2372"/>
      <c r="V536" s="2372"/>
      <c r="W536" s="2372"/>
      <c r="X536" s="2372"/>
      <c r="Y536" s="2372"/>
      <c r="Z536" s="2372"/>
      <c r="AA536" s="2372"/>
      <c r="AB536" s="2372"/>
      <c r="AC536" s="2372"/>
      <c r="AD536" s="2372"/>
      <c r="AE536" s="2372"/>
      <c r="AF536" s="2372"/>
      <c r="AG536" s="2372"/>
      <c r="AH536" s="2372"/>
      <c r="AI536" s="2372"/>
      <c r="AJ536" s="2372"/>
      <c r="AK536" s="2372"/>
      <c r="AL536" s="2372"/>
      <c r="AM536" s="2372"/>
      <c r="AN536" s="2372"/>
      <c r="AO536" s="2372"/>
      <c r="AP536" s="2372"/>
      <c r="AQ536" s="2372"/>
      <c r="AR536" s="2372"/>
      <c r="AS536" s="2372"/>
      <c r="AT536" s="2372"/>
      <c r="AU536" s="2372"/>
      <c r="AV536" s="2372"/>
      <c r="AW536" s="2372"/>
      <c r="AX536" s="2372"/>
      <c r="AY536" s="2372"/>
      <c r="AZ536" s="2372"/>
      <c r="BA536" s="2372"/>
      <c r="BB536" s="2372"/>
      <c r="BC536" s="2372"/>
      <c r="BD536" s="2372"/>
      <c r="BE536" s="2372"/>
      <c r="BF536" s="2372"/>
      <c r="BG536" s="2372"/>
      <c r="BH536" s="2372"/>
      <c r="BI536" s="2372"/>
      <c r="BJ536" s="2372"/>
      <c r="BK536" s="2372"/>
      <c r="BL536" s="2372"/>
      <c r="BM536" s="2372"/>
      <c r="BN536" s="2372"/>
      <c r="BO536" s="2372"/>
      <c r="BP536" s="2372"/>
      <c r="BQ536" s="2372"/>
      <c r="BR536" s="2372"/>
      <c r="BS536" s="2372"/>
      <c r="BT536" s="2372"/>
      <c r="BU536" s="2372"/>
      <c r="BV536" s="2372"/>
      <c r="BW536" s="2372"/>
      <c r="BX536" s="2372"/>
      <c r="BY536" s="2372"/>
      <c r="BZ536" s="2372"/>
      <c r="CA536" s="2372"/>
      <c r="CB536" s="2372"/>
      <c r="CC536" s="2372"/>
      <c r="CD536" s="2372"/>
      <c r="CE536" s="2372"/>
      <c r="CF536" s="2372"/>
      <c r="CG536" s="2372"/>
      <c r="CH536" s="2372"/>
      <c r="CI536" s="2372"/>
      <c r="CJ536" s="2372"/>
      <c r="CK536" s="2372"/>
      <c r="CL536" s="2372"/>
      <c r="CM536" s="2372"/>
      <c r="CN536" s="2372"/>
      <c r="CO536" s="2372"/>
      <c r="CP536" s="2372"/>
      <c r="CQ536" s="2372"/>
      <c r="CR536" s="2372"/>
      <c r="CS536" s="2372"/>
      <c r="CT536" s="2372"/>
      <c r="CU536" s="2372"/>
      <c r="CV536" s="2372"/>
      <c r="CW536" s="2372"/>
      <c r="CX536" s="2372"/>
      <c r="CY536" s="2372"/>
      <c r="CZ536" s="2372"/>
      <c r="DA536" s="2372"/>
    </row>
    <row r="537" spans="1:105" ht="15" hidden="1" customHeight="1">
      <c r="A537" s="2372"/>
      <c r="B537" s="2372"/>
      <c r="C537" s="2372"/>
      <c r="D537" s="2372"/>
      <c r="E537" s="2372"/>
      <c r="F537" s="2372"/>
      <c r="G537" s="2372"/>
      <c r="H537" s="2372"/>
      <c r="I537" s="2372"/>
      <c r="J537" s="2372"/>
      <c r="K537" s="2372"/>
      <c r="L537" s="2372"/>
      <c r="M537" s="2372"/>
      <c r="N537" s="2372"/>
      <c r="O537" s="2372"/>
      <c r="P537" s="2372"/>
      <c r="Q537" s="2372"/>
      <c r="R537" s="2372"/>
      <c r="S537" s="2372"/>
      <c r="T537" s="2372"/>
      <c r="U537" s="2372"/>
      <c r="V537" s="2372"/>
      <c r="W537" s="2372"/>
      <c r="X537" s="2372"/>
      <c r="Y537" s="2372"/>
      <c r="Z537" s="2372"/>
      <c r="AA537" s="2372"/>
      <c r="AB537" s="2372"/>
      <c r="AC537" s="2372"/>
      <c r="AD537" s="2372"/>
      <c r="AE537" s="2372"/>
      <c r="AF537" s="2372"/>
      <c r="AG537" s="2372"/>
      <c r="AH537" s="2372"/>
      <c r="AI537" s="2372"/>
      <c r="AJ537" s="2372"/>
      <c r="AK537" s="2372"/>
      <c r="AL537" s="2372"/>
      <c r="AM537" s="2372"/>
      <c r="AN537" s="2372"/>
      <c r="AO537" s="2372"/>
      <c r="AP537" s="2372"/>
      <c r="AQ537" s="2372"/>
      <c r="AR537" s="2372"/>
      <c r="AS537" s="2372"/>
      <c r="AT537" s="2372"/>
      <c r="AU537" s="2372"/>
      <c r="AV537" s="2372"/>
      <c r="AW537" s="2372"/>
      <c r="AX537" s="2372"/>
      <c r="AY537" s="2372"/>
      <c r="AZ537" s="2372"/>
      <c r="BA537" s="2372"/>
      <c r="BB537" s="2372"/>
      <c r="BC537" s="2372"/>
      <c r="BD537" s="2372"/>
      <c r="BE537" s="2372"/>
      <c r="BF537" s="2372"/>
      <c r="BG537" s="2372"/>
      <c r="BH537" s="2372"/>
      <c r="BI537" s="2372"/>
      <c r="BJ537" s="2372"/>
      <c r="BK537" s="2372"/>
      <c r="BL537" s="2372"/>
      <c r="BM537" s="2372"/>
      <c r="BN537" s="2372"/>
      <c r="BO537" s="2372"/>
      <c r="BP537" s="2372"/>
      <c r="BQ537" s="2372"/>
      <c r="BR537" s="2372"/>
      <c r="BS537" s="2372"/>
      <c r="BT537" s="2372"/>
      <c r="BU537" s="2372"/>
      <c r="BV537" s="2372"/>
      <c r="BW537" s="2372"/>
      <c r="BX537" s="2372"/>
      <c r="BY537" s="2372"/>
      <c r="BZ537" s="2372"/>
      <c r="CA537" s="2372"/>
      <c r="CB537" s="2372"/>
      <c r="CC537" s="2372"/>
      <c r="CD537" s="2372"/>
      <c r="CE537" s="2372"/>
      <c r="CF537" s="2372"/>
      <c r="CG537" s="2372"/>
      <c r="CH537" s="2372"/>
      <c r="CI537" s="2372"/>
      <c r="CJ537" s="2372"/>
      <c r="CK537" s="2372"/>
      <c r="CL537" s="2372"/>
      <c r="CM537" s="2372"/>
      <c r="CN537" s="2372"/>
      <c r="CO537" s="2372"/>
      <c r="CP537" s="2372"/>
      <c r="CQ537" s="2372"/>
      <c r="CR537" s="2372"/>
      <c r="CS537" s="2372"/>
      <c r="CT537" s="2372"/>
      <c r="CU537" s="2372"/>
      <c r="CV537" s="2372"/>
      <c r="CW537" s="2372"/>
      <c r="CX537" s="2372"/>
      <c r="CY537" s="2372"/>
      <c r="CZ537" s="2372"/>
      <c r="DA537" s="2372"/>
    </row>
    <row r="538" spans="1:105" ht="15" hidden="1" customHeight="1">
      <c r="A538" s="2372"/>
      <c r="B538" s="2372"/>
      <c r="C538" s="2372"/>
      <c r="D538" s="2372"/>
      <c r="E538" s="2372"/>
      <c r="F538" s="2372"/>
      <c r="G538" s="2372"/>
      <c r="H538" s="2372"/>
      <c r="I538" s="2372"/>
      <c r="J538" s="2372"/>
      <c r="K538" s="2372"/>
      <c r="L538" s="2372"/>
      <c r="M538" s="2372"/>
      <c r="N538" s="2372"/>
      <c r="O538" s="2372"/>
      <c r="P538" s="2372"/>
      <c r="Q538" s="2372"/>
      <c r="R538" s="2372"/>
      <c r="S538" s="2372"/>
      <c r="T538" s="2372"/>
      <c r="U538" s="2372"/>
      <c r="V538" s="2372"/>
      <c r="W538" s="2372"/>
      <c r="X538" s="2372"/>
      <c r="Y538" s="2372"/>
      <c r="Z538" s="2372"/>
      <c r="AA538" s="2372"/>
      <c r="AB538" s="2372"/>
      <c r="AC538" s="2372"/>
      <c r="AD538" s="2372"/>
      <c r="AE538" s="2372"/>
      <c r="AF538" s="2372"/>
      <c r="AG538" s="2372"/>
      <c r="AH538" s="2372"/>
      <c r="AI538" s="2372"/>
      <c r="AJ538" s="2372"/>
      <c r="AK538" s="2372"/>
      <c r="AL538" s="2372"/>
      <c r="AM538" s="2372"/>
      <c r="AN538" s="2372"/>
      <c r="AO538" s="2372"/>
      <c r="AP538" s="2372"/>
      <c r="AQ538" s="2372"/>
      <c r="AR538" s="2372"/>
      <c r="AS538" s="2372"/>
      <c r="AT538" s="2372"/>
      <c r="AU538" s="2372"/>
      <c r="AV538" s="2372"/>
      <c r="AW538" s="2372"/>
      <c r="AX538" s="2372"/>
      <c r="AY538" s="2372"/>
      <c r="AZ538" s="2372"/>
      <c r="BA538" s="2372"/>
      <c r="BB538" s="2372"/>
      <c r="BC538" s="2372"/>
      <c r="BD538" s="2372"/>
      <c r="BE538" s="2372"/>
      <c r="BF538" s="2372"/>
      <c r="BG538" s="2372"/>
      <c r="BH538" s="2372"/>
      <c r="BI538" s="2372"/>
      <c r="BJ538" s="2372"/>
      <c r="BK538" s="2372"/>
      <c r="BL538" s="2372"/>
      <c r="BM538" s="2372"/>
      <c r="BN538" s="2372"/>
      <c r="BO538" s="2372"/>
      <c r="BP538" s="2372"/>
      <c r="BQ538" s="2372"/>
      <c r="BR538" s="2372"/>
      <c r="BS538" s="2372"/>
      <c r="BT538" s="2372"/>
      <c r="BU538" s="2372"/>
      <c r="BV538" s="2372"/>
      <c r="BW538" s="2372"/>
      <c r="BX538" s="2372"/>
      <c r="BY538" s="2372"/>
      <c r="BZ538" s="2372"/>
      <c r="CA538" s="2372"/>
      <c r="CB538" s="2372"/>
      <c r="CC538" s="2372"/>
      <c r="CD538" s="2372"/>
      <c r="CE538" s="2372"/>
      <c r="CF538" s="2372"/>
      <c r="CG538" s="2372"/>
      <c r="CH538" s="2372"/>
      <c r="CI538" s="2372"/>
      <c r="CJ538" s="2372"/>
      <c r="CK538" s="2372"/>
      <c r="CL538" s="2372"/>
      <c r="CM538" s="2372"/>
      <c r="CN538" s="2372"/>
      <c r="CO538" s="2372"/>
      <c r="CP538" s="2372"/>
      <c r="CQ538" s="2372"/>
      <c r="CR538" s="2372"/>
      <c r="CS538" s="2372"/>
      <c r="CT538" s="2372"/>
      <c r="CU538" s="2372"/>
      <c r="CV538" s="2372"/>
      <c r="CW538" s="2372"/>
      <c r="CX538" s="2372"/>
      <c r="CY538" s="2372"/>
      <c r="CZ538" s="2372"/>
      <c r="DA538" s="2372"/>
    </row>
    <row r="539" spans="1:105" ht="15" hidden="1" customHeight="1">
      <c r="A539" s="2372"/>
      <c r="B539" s="2372"/>
      <c r="C539" s="2372"/>
      <c r="D539" s="2372"/>
      <c r="E539" s="2372"/>
      <c r="F539" s="2372"/>
      <c r="G539" s="2372"/>
      <c r="H539" s="2372"/>
      <c r="I539" s="2372"/>
      <c r="J539" s="2372"/>
      <c r="K539" s="2372"/>
      <c r="L539" s="2372"/>
      <c r="M539" s="2372"/>
      <c r="N539" s="2372"/>
      <c r="O539" s="2372"/>
      <c r="P539" s="2372"/>
      <c r="Q539" s="2372"/>
      <c r="R539" s="2372"/>
      <c r="S539" s="2372"/>
      <c r="T539" s="2372"/>
      <c r="U539" s="2372"/>
      <c r="V539" s="2372"/>
      <c r="W539" s="2372"/>
      <c r="X539" s="2372"/>
      <c r="Y539" s="2372"/>
      <c r="Z539" s="2372"/>
      <c r="AA539" s="2372"/>
      <c r="AB539" s="2372"/>
      <c r="AC539" s="2372"/>
      <c r="AD539" s="2372"/>
      <c r="AE539" s="2372"/>
      <c r="AF539" s="2372"/>
      <c r="AG539" s="2372"/>
      <c r="AH539" s="2372"/>
      <c r="AI539" s="2372"/>
      <c r="AJ539" s="2372"/>
      <c r="AK539" s="2372"/>
      <c r="AL539" s="2372"/>
      <c r="AM539" s="2372"/>
      <c r="AN539" s="2372"/>
      <c r="AO539" s="2372"/>
      <c r="AP539" s="2372"/>
      <c r="AQ539" s="2372"/>
      <c r="AR539" s="2372"/>
      <c r="AS539" s="2372"/>
      <c r="AT539" s="2372"/>
      <c r="AU539" s="2372"/>
      <c r="AV539" s="2372"/>
      <c r="AW539" s="2372"/>
      <c r="AX539" s="2372"/>
      <c r="AY539" s="2372"/>
      <c r="AZ539" s="2372"/>
      <c r="BA539" s="2372"/>
      <c r="BB539" s="2372"/>
      <c r="BC539" s="2372"/>
      <c r="BD539" s="2372"/>
      <c r="BE539" s="2372"/>
      <c r="BF539" s="2372"/>
      <c r="BG539" s="2372"/>
      <c r="BH539" s="2372"/>
      <c r="BI539" s="2372"/>
      <c r="BJ539" s="2372"/>
      <c r="BK539" s="2372"/>
      <c r="BL539" s="2372"/>
      <c r="BM539" s="2372"/>
      <c r="BN539" s="2372"/>
      <c r="BO539" s="2372"/>
      <c r="BP539" s="2372"/>
      <c r="BQ539" s="2372"/>
      <c r="BR539" s="2372"/>
      <c r="BS539" s="2372"/>
      <c r="BT539" s="2372"/>
      <c r="BU539" s="2372"/>
      <c r="BV539" s="2372"/>
      <c r="BW539" s="2372"/>
      <c r="BX539" s="2372"/>
      <c r="BY539" s="2372"/>
      <c r="BZ539" s="2372"/>
      <c r="CA539" s="2372"/>
      <c r="CB539" s="2372"/>
      <c r="CC539" s="2372"/>
      <c r="CD539" s="2372"/>
      <c r="CE539" s="2372"/>
      <c r="CF539" s="2372"/>
      <c r="CG539" s="2372"/>
      <c r="CH539" s="2372"/>
      <c r="CI539" s="2372"/>
      <c r="CJ539" s="2372"/>
      <c r="CK539" s="2372"/>
      <c r="CL539" s="2372"/>
      <c r="CM539" s="2372"/>
      <c r="CN539" s="2372"/>
      <c r="CO539" s="2372"/>
      <c r="CP539" s="2372"/>
      <c r="CQ539" s="2372"/>
      <c r="CR539" s="2372"/>
      <c r="CS539" s="2372"/>
      <c r="CT539" s="2372"/>
      <c r="CU539" s="2372"/>
      <c r="CV539" s="2372"/>
      <c r="CW539" s="2372"/>
      <c r="CX539" s="2372"/>
      <c r="CY539" s="2372"/>
      <c r="CZ539" s="2372"/>
      <c r="DA539" s="2372"/>
    </row>
    <row r="540" spans="1:105" ht="15" hidden="1" customHeight="1">
      <c r="A540" s="2372"/>
      <c r="B540" s="2372"/>
      <c r="C540" s="2372"/>
      <c r="D540" s="2372"/>
      <c r="E540" s="2372"/>
      <c r="F540" s="2372"/>
      <c r="G540" s="2372"/>
      <c r="H540" s="2372"/>
      <c r="I540" s="2372"/>
      <c r="J540" s="2372"/>
      <c r="K540" s="2372"/>
      <c r="L540" s="2372"/>
      <c r="M540" s="2372"/>
      <c r="N540" s="2372"/>
      <c r="O540" s="2372"/>
      <c r="P540" s="2372"/>
      <c r="Q540" s="2372"/>
      <c r="R540" s="2372"/>
      <c r="S540" s="2372"/>
      <c r="T540" s="2372"/>
      <c r="U540" s="2372"/>
      <c r="V540" s="2372"/>
      <c r="W540" s="2372"/>
      <c r="X540" s="2372"/>
      <c r="Y540" s="2372"/>
      <c r="Z540" s="2372"/>
      <c r="AA540" s="2372"/>
      <c r="AB540" s="2372"/>
      <c r="AC540" s="2372"/>
      <c r="AD540" s="2372"/>
      <c r="AE540" s="2372"/>
      <c r="AF540" s="2372"/>
      <c r="AG540" s="2372"/>
      <c r="AH540" s="2372"/>
      <c r="AI540" s="2372"/>
      <c r="AJ540" s="2372"/>
      <c r="AK540" s="2372"/>
      <c r="AL540" s="2372"/>
      <c r="AM540" s="2372"/>
      <c r="AN540" s="2372"/>
      <c r="AO540" s="2372"/>
      <c r="AP540" s="2372"/>
      <c r="AQ540" s="2372"/>
      <c r="AR540" s="2372"/>
      <c r="AS540" s="2372"/>
      <c r="AT540" s="2372"/>
      <c r="AU540" s="2372"/>
      <c r="AV540" s="2372"/>
      <c r="AW540" s="2372"/>
      <c r="AX540" s="2372"/>
      <c r="AY540" s="2372"/>
      <c r="AZ540" s="2372"/>
      <c r="BA540" s="2372"/>
      <c r="BB540" s="2372"/>
      <c r="BC540" s="2372"/>
      <c r="BD540" s="2372"/>
      <c r="BE540" s="2372"/>
      <c r="BF540" s="2372"/>
      <c r="BG540" s="2372"/>
      <c r="BH540" s="2372"/>
      <c r="BI540" s="2372"/>
      <c r="BJ540" s="2372"/>
      <c r="BK540" s="2372"/>
      <c r="BL540" s="2372"/>
      <c r="BM540" s="2372"/>
      <c r="BN540" s="2372"/>
      <c r="BO540" s="2372"/>
      <c r="BP540" s="2372"/>
      <c r="BQ540" s="2372"/>
      <c r="BR540" s="2372"/>
      <c r="BS540" s="2372"/>
      <c r="BT540" s="2372"/>
      <c r="BU540" s="2372"/>
      <c r="BV540" s="2372"/>
      <c r="BW540" s="2372"/>
      <c r="BX540" s="2372"/>
      <c r="BY540" s="2372"/>
      <c r="BZ540" s="2372"/>
      <c r="CA540" s="2372"/>
      <c r="CB540" s="2372"/>
      <c r="CC540" s="2372"/>
      <c r="CD540" s="2372"/>
      <c r="CE540" s="2372"/>
      <c r="CF540" s="2372"/>
      <c r="CG540" s="2372"/>
      <c r="CH540" s="2372"/>
      <c r="CI540" s="2372"/>
      <c r="CJ540" s="2372"/>
      <c r="CK540" s="2372"/>
      <c r="CL540" s="2372"/>
      <c r="CM540" s="2372"/>
      <c r="CN540" s="2372"/>
      <c r="CO540" s="2372"/>
      <c r="CP540" s="2372"/>
      <c r="CQ540" s="2372"/>
      <c r="CR540" s="2372"/>
      <c r="CS540" s="2372"/>
      <c r="CT540" s="2372"/>
      <c r="CU540" s="2372"/>
      <c r="CV540" s="2372"/>
      <c r="CW540" s="2372"/>
      <c r="CX540" s="2372"/>
      <c r="CY540" s="2372"/>
      <c r="CZ540" s="2372"/>
      <c r="DA540" s="2372"/>
    </row>
    <row r="541" spans="1:105" ht="15" hidden="1" customHeight="1">
      <c r="A541" s="2372"/>
      <c r="B541" s="2372"/>
      <c r="C541" s="2372"/>
      <c r="D541" s="2372"/>
      <c r="E541" s="2372"/>
      <c r="F541" s="2372"/>
      <c r="G541" s="2372"/>
      <c r="H541" s="2372"/>
      <c r="I541" s="2372"/>
      <c r="J541" s="2372"/>
      <c r="K541" s="2372"/>
      <c r="L541" s="2372"/>
      <c r="M541" s="2372"/>
      <c r="N541" s="2372"/>
      <c r="O541" s="2372"/>
      <c r="P541" s="2372"/>
      <c r="Q541" s="2372"/>
      <c r="R541" s="2372"/>
      <c r="S541" s="2372"/>
      <c r="T541" s="2372"/>
      <c r="U541" s="2372"/>
      <c r="V541" s="2372"/>
      <c r="W541" s="2372"/>
      <c r="X541" s="2372"/>
      <c r="Y541" s="2372"/>
      <c r="Z541" s="2372"/>
      <c r="AA541" s="2372"/>
      <c r="AB541" s="2372"/>
      <c r="AC541" s="2372"/>
      <c r="AD541" s="2372"/>
      <c r="AE541" s="2372"/>
      <c r="AF541" s="2372"/>
      <c r="AG541" s="2372"/>
      <c r="AH541" s="2372"/>
      <c r="AI541" s="2372"/>
      <c r="AJ541" s="2372"/>
      <c r="AK541" s="2372"/>
      <c r="AL541" s="2372"/>
      <c r="AM541" s="2372"/>
      <c r="AN541" s="2372"/>
      <c r="AO541" s="2372"/>
      <c r="AP541" s="2372"/>
      <c r="AQ541" s="2372"/>
      <c r="AR541" s="2372"/>
      <c r="AS541" s="2372"/>
      <c r="AT541" s="2372"/>
      <c r="AU541" s="2372"/>
      <c r="AV541" s="2372"/>
      <c r="AW541" s="2372"/>
      <c r="AX541" s="2372"/>
      <c r="AY541" s="2372"/>
      <c r="AZ541" s="2372"/>
      <c r="BA541" s="2372"/>
      <c r="BB541" s="2372"/>
      <c r="BC541" s="2372"/>
      <c r="BD541" s="2372"/>
      <c r="BE541" s="2372"/>
      <c r="BF541" s="2372"/>
      <c r="BG541" s="2372"/>
      <c r="BH541" s="2372"/>
      <c r="BI541" s="2372"/>
      <c r="BJ541" s="2372"/>
      <c r="BK541" s="2372"/>
      <c r="BL541" s="2372"/>
      <c r="BM541" s="2372"/>
      <c r="BN541" s="2372"/>
      <c r="BO541" s="2372"/>
      <c r="BP541" s="2372"/>
      <c r="BQ541" s="2372"/>
      <c r="BR541" s="2372"/>
      <c r="BS541" s="2372"/>
      <c r="BT541" s="2372"/>
      <c r="BU541" s="2372"/>
      <c r="BV541" s="2372"/>
      <c r="BW541" s="2372"/>
      <c r="BX541" s="2372"/>
      <c r="BY541" s="2372"/>
      <c r="BZ541" s="2372"/>
      <c r="CA541" s="2372"/>
      <c r="CB541" s="2372"/>
      <c r="CC541" s="2372"/>
      <c r="CD541" s="2372"/>
      <c r="CE541" s="2372"/>
      <c r="CF541" s="2372"/>
      <c r="CG541" s="2372"/>
      <c r="CH541" s="2372"/>
      <c r="CI541" s="2372"/>
      <c r="CJ541" s="2372"/>
      <c r="CK541" s="2372"/>
      <c r="CL541" s="2372"/>
      <c r="CM541" s="2372"/>
      <c r="CN541" s="2372"/>
      <c r="CO541" s="2372"/>
      <c r="CP541" s="2372"/>
      <c r="CQ541" s="2372"/>
      <c r="CR541" s="2372"/>
      <c r="CS541" s="2372"/>
      <c r="CT541" s="2372"/>
      <c r="CU541" s="2372"/>
      <c r="CV541" s="2372"/>
      <c r="CW541" s="2372"/>
      <c r="CX541" s="2372"/>
      <c r="CY541" s="2372"/>
      <c r="CZ541" s="2372"/>
      <c r="DA541" s="2372"/>
    </row>
    <row r="542" spans="1:105" ht="15" hidden="1" customHeight="1">
      <c r="A542" s="2372"/>
      <c r="B542" s="2372"/>
      <c r="C542" s="2372"/>
      <c r="D542" s="2372"/>
      <c r="E542" s="2372"/>
      <c r="F542" s="2372"/>
      <c r="G542" s="2372"/>
      <c r="H542" s="2372"/>
      <c r="I542" s="2372"/>
      <c r="J542" s="2372"/>
      <c r="K542" s="2372"/>
      <c r="L542" s="2372"/>
      <c r="M542" s="2372"/>
      <c r="N542" s="2372"/>
      <c r="O542" s="2372"/>
      <c r="P542" s="2372"/>
      <c r="Q542" s="2372"/>
      <c r="R542" s="2372"/>
      <c r="S542" s="2372"/>
      <c r="T542" s="2372"/>
      <c r="U542" s="2372"/>
      <c r="V542" s="2372"/>
      <c r="W542" s="2372"/>
      <c r="X542" s="2372"/>
      <c r="Y542" s="2372"/>
      <c r="Z542" s="2372"/>
      <c r="AA542" s="2372"/>
      <c r="AB542" s="2372"/>
      <c r="AC542" s="2372"/>
      <c r="AD542" s="2372"/>
      <c r="AE542" s="2372"/>
      <c r="AF542" s="2372"/>
      <c r="AG542" s="2372"/>
      <c r="AH542" s="2372"/>
      <c r="AI542" s="2372"/>
      <c r="AJ542" s="2372"/>
      <c r="AK542" s="2372"/>
      <c r="AL542" s="2372"/>
      <c r="AM542" s="2372"/>
      <c r="AN542" s="2372"/>
      <c r="AO542" s="2372"/>
      <c r="AP542" s="2372"/>
      <c r="AQ542" s="2372"/>
      <c r="AR542" s="2372"/>
      <c r="AS542" s="2372"/>
      <c r="AT542" s="2372"/>
      <c r="AU542" s="2372"/>
      <c r="AV542" s="2372"/>
      <c r="AW542" s="2372"/>
      <c r="AX542" s="2372"/>
      <c r="AY542" s="2372"/>
      <c r="AZ542" s="2372"/>
      <c r="BA542" s="2372"/>
      <c r="BB542" s="2372"/>
      <c r="BC542" s="2372"/>
      <c r="BD542" s="2372"/>
      <c r="BE542" s="2372"/>
      <c r="BF542" s="2372"/>
      <c r="BG542" s="2372"/>
      <c r="BH542" s="2372"/>
      <c r="BI542" s="2372"/>
      <c r="BJ542" s="2372"/>
      <c r="BK542" s="2372"/>
      <c r="BL542" s="2372"/>
      <c r="BM542" s="2372"/>
      <c r="BN542" s="2372"/>
      <c r="BO542" s="2372"/>
      <c r="BP542" s="2372"/>
      <c r="BQ542" s="2372"/>
      <c r="BR542" s="2372"/>
      <c r="BS542" s="2372"/>
      <c r="BT542" s="2372"/>
      <c r="BU542" s="2372"/>
      <c r="BV542" s="2372"/>
      <c r="BW542" s="2372"/>
      <c r="BX542" s="2372"/>
      <c r="BY542" s="2372"/>
      <c r="BZ542" s="2372"/>
      <c r="CA542" s="2372"/>
      <c r="CB542" s="2372"/>
      <c r="CC542" s="2372"/>
      <c r="CD542" s="2372"/>
      <c r="CE542" s="2372"/>
      <c r="CF542" s="2372"/>
      <c r="CG542" s="2372"/>
      <c r="CH542" s="2372"/>
      <c r="CI542" s="2372"/>
      <c r="CJ542" s="2372"/>
      <c r="CK542" s="2372"/>
      <c r="CL542" s="2372"/>
      <c r="CM542" s="2372"/>
      <c r="CN542" s="2372"/>
      <c r="CO542" s="2372"/>
      <c r="CP542" s="2372"/>
      <c r="CQ542" s="2372"/>
      <c r="CR542" s="2372"/>
      <c r="CS542" s="2372"/>
      <c r="CT542" s="2372"/>
      <c r="CU542" s="2372"/>
      <c r="CV542" s="2372"/>
      <c r="CW542" s="2372"/>
      <c r="CX542" s="2372"/>
      <c r="CY542" s="2372"/>
      <c r="CZ542" s="2372"/>
      <c r="DA542" s="2372"/>
    </row>
    <row r="543" spans="1:105" ht="15" hidden="1" customHeight="1">
      <c r="A543" s="2372"/>
      <c r="B543" s="2372"/>
      <c r="C543" s="2372"/>
      <c r="D543" s="2372"/>
      <c r="E543" s="2372"/>
      <c r="F543" s="2372"/>
      <c r="G543" s="2372"/>
      <c r="H543" s="2372"/>
      <c r="I543" s="2372"/>
      <c r="J543" s="2372"/>
      <c r="K543" s="2372"/>
      <c r="L543" s="2372"/>
      <c r="M543" s="2372"/>
      <c r="N543" s="2372"/>
      <c r="O543" s="2372"/>
      <c r="P543" s="2372"/>
      <c r="Q543" s="2372"/>
      <c r="R543" s="2372"/>
      <c r="S543" s="2372"/>
      <c r="T543" s="2372"/>
      <c r="U543" s="2372"/>
      <c r="V543" s="2372"/>
      <c r="W543" s="2372"/>
      <c r="X543" s="2372"/>
      <c r="Y543" s="2372"/>
      <c r="Z543" s="2372"/>
      <c r="AA543" s="2372"/>
      <c r="AB543" s="2372"/>
      <c r="AC543" s="2372"/>
      <c r="AD543" s="2372"/>
      <c r="AE543" s="2372"/>
      <c r="AF543" s="2372"/>
      <c r="AG543" s="2372"/>
      <c r="AH543" s="2372"/>
      <c r="AI543" s="2372"/>
      <c r="AJ543" s="2372"/>
      <c r="AK543" s="2372"/>
      <c r="AL543" s="2372"/>
      <c r="AM543" s="2372"/>
      <c r="AN543" s="2372"/>
      <c r="AO543" s="2372"/>
      <c r="AP543" s="2372"/>
      <c r="AQ543" s="2372"/>
      <c r="AR543" s="2372"/>
      <c r="AS543" s="2372"/>
      <c r="AT543" s="2372"/>
      <c r="AU543" s="2372"/>
      <c r="AV543" s="2372"/>
      <c r="AW543" s="2372"/>
      <c r="AX543" s="2372"/>
      <c r="AY543" s="2372"/>
      <c r="AZ543" s="2372"/>
      <c r="BA543" s="2372"/>
      <c r="BB543" s="2372"/>
      <c r="BC543" s="2372"/>
      <c r="BD543" s="2372"/>
      <c r="BE543" s="2372"/>
      <c r="BF543" s="2372"/>
      <c r="BG543" s="2372"/>
      <c r="BH543" s="2372"/>
      <c r="BI543" s="2372"/>
      <c r="BJ543" s="2372"/>
      <c r="BK543" s="2372"/>
      <c r="BL543" s="2372"/>
      <c r="BM543" s="2372"/>
      <c r="BN543" s="2372"/>
      <c r="BO543" s="2372"/>
      <c r="BP543" s="2372"/>
      <c r="BQ543" s="2372"/>
      <c r="BR543" s="2372"/>
      <c r="BS543" s="2372"/>
      <c r="BT543" s="2372"/>
      <c r="BU543" s="2372"/>
      <c r="BV543" s="2372"/>
      <c r="BW543" s="2372"/>
      <c r="BX543" s="2372"/>
      <c r="BY543" s="2372"/>
      <c r="BZ543" s="2372"/>
      <c r="CA543" s="2372"/>
      <c r="CB543" s="2372"/>
      <c r="CC543" s="2372"/>
      <c r="CD543" s="2372"/>
      <c r="CE543" s="2372"/>
      <c r="CF543" s="2372"/>
      <c r="CG543" s="2372"/>
      <c r="CH543" s="2372"/>
      <c r="CI543" s="2372"/>
      <c r="CJ543" s="2372"/>
      <c r="CK543" s="2372"/>
      <c r="CL543" s="2372"/>
      <c r="CM543" s="2372"/>
      <c r="CN543" s="2372"/>
      <c r="CO543" s="2372"/>
      <c r="CP543" s="2372"/>
      <c r="CQ543" s="2372"/>
      <c r="CR543" s="2372"/>
      <c r="CS543" s="2372"/>
      <c r="CT543" s="2372"/>
      <c r="CU543" s="2372"/>
      <c r="CV543" s="2372"/>
      <c r="CW543" s="2372"/>
      <c r="CX543" s="2372"/>
      <c r="CY543" s="2372"/>
      <c r="CZ543" s="2372"/>
      <c r="DA543" s="2372"/>
    </row>
    <row r="544" spans="1:105" ht="15" hidden="1" customHeight="1">
      <c r="A544" s="2372"/>
      <c r="B544" s="2372"/>
      <c r="C544" s="2372"/>
      <c r="D544" s="2372"/>
      <c r="E544" s="2372"/>
      <c r="F544" s="2372"/>
      <c r="G544" s="2372"/>
      <c r="H544" s="2372"/>
      <c r="I544" s="2372"/>
      <c r="J544" s="2372"/>
      <c r="K544" s="2372"/>
      <c r="L544" s="2372"/>
      <c r="M544" s="2372"/>
      <c r="N544" s="2372"/>
      <c r="O544" s="2372"/>
      <c r="P544" s="2372"/>
      <c r="Q544" s="2372"/>
      <c r="R544" s="2372"/>
      <c r="S544" s="2372"/>
      <c r="T544" s="2372"/>
      <c r="U544" s="2372"/>
      <c r="V544" s="2372"/>
      <c r="W544" s="2372"/>
      <c r="X544" s="2372"/>
      <c r="Y544" s="2372"/>
      <c r="Z544" s="2372"/>
      <c r="AA544" s="2372"/>
      <c r="AB544" s="2372"/>
      <c r="AC544" s="2372"/>
      <c r="AD544" s="2372"/>
      <c r="AE544" s="2372"/>
      <c r="AF544" s="2372"/>
      <c r="AG544" s="2372"/>
      <c r="AH544" s="2372"/>
      <c r="AI544" s="2372"/>
      <c r="AJ544" s="2372"/>
      <c r="AK544" s="2372"/>
      <c r="AL544" s="2372"/>
      <c r="AM544" s="2372"/>
      <c r="AN544" s="2372"/>
      <c r="AO544" s="2372"/>
      <c r="AP544" s="2372"/>
      <c r="AQ544" s="2372"/>
      <c r="AR544" s="2372"/>
      <c r="AS544" s="2372"/>
      <c r="AT544" s="2372"/>
      <c r="AU544" s="2372"/>
      <c r="AV544" s="2372"/>
      <c r="AW544" s="2372"/>
      <c r="AX544" s="2372"/>
      <c r="AY544" s="2372"/>
      <c r="AZ544" s="2372"/>
      <c r="BA544" s="2372"/>
      <c r="BB544" s="2372"/>
      <c r="BC544" s="2372"/>
      <c r="BD544" s="2372"/>
      <c r="BE544" s="2372"/>
      <c r="BF544" s="2372"/>
      <c r="BG544" s="2372"/>
      <c r="BH544" s="2372"/>
      <c r="BI544" s="2372"/>
      <c r="BJ544" s="2372"/>
      <c r="BK544" s="2372"/>
      <c r="BL544" s="2372"/>
      <c r="BM544" s="2372"/>
      <c r="BN544" s="2372"/>
      <c r="BO544" s="2372"/>
      <c r="BP544" s="2372"/>
      <c r="BQ544" s="2372"/>
      <c r="BR544" s="2372"/>
      <c r="BS544" s="2372"/>
      <c r="BT544" s="2372"/>
      <c r="BU544" s="2372"/>
      <c r="BV544" s="2372"/>
      <c r="BW544" s="2372"/>
      <c r="BX544" s="2372"/>
      <c r="BY544" s="2372"/>
      <c r="BZ544" s="2372"/>
      <c r="CA544" s="2372"/>
      <c r="CB544" s="2372"/>
      <c r="CC544" s="2372"/>
      <c r="CD544" s="2372"/>
      <c r="CE544" s="2372"/>
      <c r="CF544" s="2372"/>
      <c r="CG544" s="2372"/>
      <c r="CH544" s="2372"/>
      <c r="CI544" s="2372"/>
      <c r="CJ544" s="2372"/>
      <c r="CK544" s="2372"/>
      <c r="CL544" s="2372"/>
      <c r="CM544" s="2372"/>
      <c r="CN544" s="2372"/>
      <c r="CO544" s="2372"/>
      <c r="CP544" s="2372"/>
      <c r="CQ544" s="2372"/>
      <c r="CR544" s="2372"/>
      <c r="CS544" s="2372"/>
      <c r="CT544" s="2372"/>
      <c r="CU544" s="2372"/>
      <c r="CV544" s="2372"/>
      <c r="CW544" s="2372"/>
      <c r="CX544" s="2372"/>
      <c r="CY544" s="2372"/>
      <c r="CZ544" s="2372"/>
      <c r="DA544" s="2372"/>
    </row>
    <row r="545" spans="1:105" ht="15" hidden="1" customHeight="1">
      <c r="A545" s="2372"/>
      <c r="B545" s="2372"/>
      <c r="C545" s="2372"/>
      <c r="D545" s="2372"/>
      <c r="E545" s="2372"/>
      <c r="F545" s="2372"/>
      <c r="G545" s="2372"/>
      <c r="H545" s="2372"/>
      <c r="I545" s="2372"/>
      <c r="J545" s="2372"/>
      <c r="K545" s="2372"/>
      <c r="L545" s="2372"/>
      <c r="M545" s="2372"/>
      <c r="N545" s="2372"/>
      <c r="O545" s="2372"/>
      <c r="P545" s="2372"/>
      <c r="Q545" s="2372"/>
      <c r="R545" s="2372"/>
      <c r="S545" s="2372"/>
      <c r="T545" s="2372"/>
      <c r="U545" s="2372"/>
      <c r="V545" s="2372"/>
      <c r="W545" s="2372"/>
      <c r="X545" s="2372"/>
      <c r="Y545" s="2372"/>
      <c r="Z545" s="2372"/>
      <c r="AA545" s="2372"/>
      <c r="AB545" s="2372"/>
      <c r="AC545" s="2372"/>
      <c r="AD545" s="2372"/>
      <c r="AE545" s="2372"/>
      <c r="AF545" s="2372"/>
      <c r="AG545" s="2372"/>
      <c r="AH545" s="2372"/>
      <c r="AI545" s="2372"/>
      <c r="AJ545" s="2372"/>
      <c r="AK545" s="2372"/>
      <c r="AL545" s="2372"/>
      <c r="AM545" s="2372"/>
      <c r="AN545" s="2372"/>
      <c r="AO545" s="2372"/>
      <c r="AP545" s="2372"/>
      <c r="AQ545" s="2372"/>
      <c r="AR545" s="2372"/>
      <c r="AS545" s="2372"/>
      <c r="AT545" s="2372"/>
      <c r="AU545" s="2372"/>
      <c r="AV545" s="2372"/>
      <c r="AW545" s="2372"/>
      <c r="AX545" s="2372"/>
      <c r="AY545" s="2372"/>
      <c r="AZ545" s="2372"/>
      <c r="BA545" s="2372"/>
      <c r="BB545" s="2372"/>
      <c r="BC545" s="2372"/>
      <c r="BD545" s="2372"/>
      <c r="BE545" s="2372"/>
      <c r="BF545" s="2372"/>
      <c r="BG545" s="2372"/>
      <c r="BH545" s="2372"/>
      <c r="BI545" s="2372"/>
      <c r="BJ545" s="2372"/>
      <c r="BK545" s="2372"/>
      <c r="BL545" s="2372"/>
      <c r="BM545" s="2372"/>
      <c r="BN545" s="2372"/>
      <c r="BO545" s="2372"/>
      <c r="BP545" s="2372"/>
      <c r="BQ545" s="2372"/>
      <c r="BR545" s="2372"/>
      <c r="BS545" s="2372"/>
      <c r="BT545" s="2372"/>
      <c r="BU545" s="2372"/>
      <c r="BV545" s="2372"/>
      <c r="BW545" s="2372"/>
      <c r="BX545" s="2372"/>
      <c r="BY545" s="2372"/>
      <c r="BZ545" s="2372"/>
      <c r="CA545" s="2372"/>
      <c r="CB545" s="2372"/>
      <c r="CC545" s="2372"/>
      <c r="CD545" s="2372"/>
      <c r="CE545" s="2372"/>
      <c r="CF545" s="2372"/>
      <c r="CG545" s="2372"/>
      <c r="CH545" s="2372"/>
      <c r="CI545" s="2372"/>
      <c r="CJ545" s="2372"/>
      <c r="CK545" s="2372"/>
      <c r="CL545" s="2372"/>
      <c r="CM545" s="2372"/>
      <c r="CN545" s="2372"/>
      <c r="CO545" s="2372"/>
      <c r="CP545" s="2372"/>
      <c r="CQ545" s="2372"/>
      <c r="CR545" s="2372"/>
      <c r="CS545" s="2372"/>
      <c r="CT545" s="2372"/>
      <c r="CU545" s="2372"/>
      <c r="CV545" s="2372"/>
      <c r="CW545" s="2372"/>
      <c r="CX545" s="2372"/>
      <c r="CY545" s="2372"/>
      <c r="CZ545" s="2372"/>
      <c r="DA545" s="2372"/>
    </row>
    <row r="546" spans="1:105" ht="15" hidden="1" customHeight="1">
      <c r="A546" s="2372"/>
      <c r="B546" s="2372"/>
      <c r="C546" s="2372"/>
      <c r="D546" s="2372"/>
      <c r="E546" s="2372"/>
      <c r="F546" s="2372"/>
      <c r="G546" s="2372"/>
      <c r="H546" s="2372"/>
      <c r="I546" s="2372"/>
      <c r="J546" s="2372"/>
      <c r="K546" s="2372"/>
      <c r="L546" s="2372"/>
      <c r="M546" s="2372"/>
      <c r="N546" s="2372"/>
      <c r="O546" s="2372"/>
      <c r="P546" s="2372"/>
      <c r="Q546" s="2372"/>
      <c r="R546" s="2372"/>
      <c r="S546" s="2372"/>
      <c r="T546" s="2372"/>
      <c r="U546" s="2372"/>
      <c r="V546" s="2372"/>
      <c r="W546" s="2372"/>
      <c r="X546" s="2372"/>
      <c r="Y546" s="2372"/>
      <c r="Z546" s="2372"/>
      <c r="AA546" s="2372"/>
      <c r="AB546" s="2372"/>
      <c r="AC546" s="2372"/>
      <c r="AD546" s="2372"/>
      <c r="AE546" s="2372"/>
      <c r="AF546" s="2372"/>
      <c r="AG546" s="2372"/>
      <c r="AH546" s="2372"/>
      <c r="AI546" s="2372"/>
      <c r="AJ546" s="2372"/>
      <c r="AK546" s="2372"/>
      <c r="AL546" s="2372"/>
      <c r="AM546" s="2372"/>
      <c r="AN546" s="2372"/>
      <c r="AO546" s="2372"/>
      <c r="AP546" s="2372"/>
      <c r="AQ546" s="2372"/>
      <c r="AR546" s="2372"/>
      <c r="AS546" s="2372"/>
      <c r="AT546" s="2372"/>
      <c r="AU546" s="2372"/>
      <c r="AV546" s="2372"/>
      <c r="AW546" s="2372"/>
      <c r="AX546" s="2372"/>
      <c r="AY546" s="2372"/>
      <c r="AZ546" s="2372"/>
      <c r="BA546" s="2372"/>
      <c r="BB546" s="2372"/>
      <c r="BC546" s="2372"/>
      <c r="BD546" s="2372"/>
      <c r="BE546" s="2372"/>
      <c r="BF546" s="2372"/>
      <c r="BG546" s="2372"/>
      <c r="BH546" s="2372"/>
      <c r="BI546" s="2372"/>
      <c r="BJ546" s="2372"/>
      <c r="BK546" s="2372"/>
      <c r="BL546" s="2372"/>
      <c r="BM546" s="2372"/>
      <c r="BN546" s="2372"/>
      <c r="BO546" s="2372"/>
      <c r="BP546" s="2372"/>
      <c r="BQ546" s="2372"/>
      <c r="BR546" s="2372"/>
      <c r="BS546" s="2372"/>
      <c r="BT546" s="2372"/>
      <c r="BU546" s="2372"/>
      <c r="BV546" s="2372"/>
      <c r="BW546" s="2372"/>
      <c r="BX546" s="2372"/>
      <c r="BY546" s="2372"/>
      <c r="BZ546" s="2372"/>
      <c r="CA546" s="2372"/>
      <c r="CB546" s="2372"/>
      <c r="CC546" s="2372"/>
      <c r="CD546" s="2372"/>
      <c r="CE546" s="2372"/>
      <c r="CF546" s="2372"/>
      <c r="CG546" s="2372"/>
      <c r="CH546" s="2372"/>
      <c r="CI546" s="2372"/>
      <c r="CJ546" s="2372"/>
      <c r="CK546" s="2372"/>
      <c r="CL546" s="2372"/>
      <c r="CM546" s="2372"/>
      <c r="CN546" s="2372"/>
      <c r="CO546" s="2372"/>
      <c r="CP546" s="2372"/>
      <c r="CQ546" s="2372"/>
      <c r="CR546" s="2372"/>
      <c r="CS546" s="2372"/>
      <c r="CT546" s="2372"/>
      <c r="CU546" s="2372"/>
      <c r="CV546" s="2372"/>
      <c r="CW546" s="2372"/>
      <c r="CX546" s="2372"/>
      <c r="CY546" s="2372"/>
      <c r="CZ546" s="2372"/>
      <c r="DA546" s="2372"/>
    </row>
    <row r="547" spans="1:105" ht="15" hidden="1" customHeight="1">
      <c r="A547" s="2372"/>
      <c r="B547" s="2372"/>
      <c r="C547" s="2372"/>
      <c r="D547" s="2372"/>
      <c r="E547" s="2372"/>
      <c r="F547" s="2372"/>
      <c r="G547" s="2372"/>
      <c r="H547" s="2372"/>
      <c r="I547" s="2372"/>
      <c r="J547" s="2372"/>
      <c r="K547" s="2372"/>
      <c r="L547" s="2372"/>
      <c r="M547" s="2372"/>
      <c r="N547" s="2372"/>
      <c r="O547" s="2372"/>
      <c r="P547" s="2372"/>
      <c r="Q547" s="2372"/>
      <c r="R547" s="2372"/>
      <c r="S547" s="2372"/>
      <c r="T547" s="2372"/>
      <c r="U547" s="2372"/>
      <c r="V547" s="2372"/>
      <c r="W547" s="2372"/>
      <c r="X547" s="2372"/>
      <c r="Y547" s="2372"/>
      <c r="Z547" s="2372"/>
      <c r="AA547" s="2372"/>
      <c r="AB547" s="2372"/>
      <c r="AC547" s="2372"/>
      <c r="AD547" s="2372"/>
      <c r="AE547" s="2372"/>
      <c r="AF547" s="2372"/>
      <c r="AG547" s="2372"/>
      <c r="AH547" s="2372"/>
      <c r="AI547" s="2372"/>
      <c r="AJ547" s="2372"/>
      <c r="AK547" s="2372"/>
      <c r="AL547" s="2372"/>
      <c r="AM547" s="2372"/>
      <c r="AN547" s="2372"/>
      <c r="AO547" s="2372"/>
      <c r="AP547" s="2372"/>
      <c r="AQ547" s="2372"/>
      <c r="AR547" s="2372"/>
      <c r="AS547" s="2372"/>
      <c r="AT547" s="2372"/>
      <c r="AU547" s="2372"/>
      <c r="AV547" s="2372"/>
      <c r="AW547" s="2372"/>
      <c r="AX547" s="2372"/>
      <c r="AY547" s="2372"/>
      <c r="AZ547" s="2372"/>
      <c r="BA547" s="2372"/>
      <c r="BB547" s="2372"/>
      <c r="BC547" s="2372"/>
      <c r="BD547" s="2372"/>
      <c r="BE547" s="2372"/>
      <c r="BF547" s="2372"/>
      <c r="BG547" s="2372"/>
      <c r="BH547" s="2372"/>
      <c r="BI547" s="2372"/>
      <c r="BJ547" s="2372"/>
      <c r="BK547" s="2372"/>
      <c r="BL547" s="2372"/>
      <c r="BM547" s="2372"/>
      <c r="BN547" s="2372"/>
      <c r="BO547" s="2372"/>
      <c r="BP547" s="2372"/>
      <c r="BQ547" s="2372"/>
      <c r="BR547" s="2372"/>
      <c r="BS547" s="2372"/>
      <c r="BT547" s="2372"/>
      <c r="BU547" s="2372"/>
      <c r="BV547" s="2372"/>
      <c r="BW547" s="2372"/>
      <c r="BX547" s="2372"/>
      <c r="BY547" s="2372"/>
      <c r="BZ547" s="2372"/>
      <c r="CA547" s="2372"/>
      <c r="CB547" s="2372"/>
      <c r="CC547" s="2372"/>
      <c r="CD547" s="2372"/>
      <c r="CE547" s="2372"/>
      <c r="CF547" s="2372"/>
      <c r="CG547" s="2372"/>
      <c r="CH547" s="2372"/>
      <c r="CI547" s="2372"/>
      <c r="CJ547" s="2372"/>
      <c r="CK547" s="2372"/>
      <c r="CL547" s="2372"/>
      <c r="CM547" s="2372"/>
      <c r="CN547" s="2372"/>
      <c r="CO547" s="2372"/>
      <c r="CP547" s="2372"/>
      <c r="CQ547" s="2372"/>
      <c r="CR547" s="2372"/>
      <c r="CS547" s="2372"/>
      <c r="CT547" s="2372"/>
      <c r="CU547" s="2372"/>
      <c r="CV547" s="2372"/>
      <c r="CW547" s="2372"/>
      <c r="CX547" s="2372"/>
      <c r="CY547" s="2372"/>
      <c r="CZ547" s="2372"/>
      <c r="DA547" s="2372"/>
    </row>
    <row r="548" spans="1:105" ht="15" hidden="1" customHeight="1">
      <c r="A548" s="2372"/>
      <c r="B548" s="2372"/>
      <c r="C548" s="2372"/>
      <c r="D548" s="2372"/>
      <c r="E548" s="2372"/>
      <c r="F548" s="2372"/>
      <c r="G548" s="2372"/>
      <c r="H548" s="2372"/>
      <c r="I548" s="2372"/>
      <c r="J548" s="2372"/>
      <c r="K548" s="2372"/>
      <c r="L548" s="2372"/>
      <c r="M548" s="2372"/>
      <c r="N548" s="2372"/>
      <c r="O548" s="2372"/>
      <c r="P548" s="2372"/>
      <c r="Q548" s="2372"/>
      <c r="R548" s="2372"/>
      <c r="S548" s="2372"/>
      <c r="T548" s="2372"/>
      <c r="U548" s="2372"/>
      <c r="V548" s="2372"/>
      <c r="W548" s="2372"/>
      <c r="X548" s="2372"/>
      <c r="Y548" s="2372"/>
      <c r="Z548" s="2372"/>
      <c r="AA548" s="2372"/>
      <c r="AB548" s="2372"/>
      <c r="AC548" s="2372"/>
      <c r="AD548" s="2372"/>
      <c r="AE548" s="2372"/>
      <c r="AF548" s="2372"/>
      <c r="AG548" s="2372"/>
      <c r="AH548" s="2372"/>
      <c r="AI548" s="2372"/>
      <c r="AJ548" s="2372"/>
      <c r="AK548" s="2372"/>
      <c r="AL548" s="2372"/>
      <c r="AM548" s="2372"/>
      <c r="AN548" s="2372"/>
      <c r="AO548" s="2372"/>
      <c r="AP548" s="2372"/>
      <c r="AQ548" s="2372"/>
      <c r="AR548" s="2372"/>
      <c r="AS548" s="2372"/>
      <c r="AT548" s="2372"/>
      <c r="AU548" s="2372"/>
      <c r="AV548" s="2372"/>
      <c r="AW548" s="2372"/>
      <c r="AX548" s="2372"/>
      <c r="AY548" s="2372"/>
      <c r="AZ548" s="2372"/>
      <c r="BA548" s="2372"/>
      <c r="BB548" s="2372"/>
      <c r="BC548" s="2372"/>
      <c r="BD548" s="2372"/>
      <c r="BE548" s="2372"/>
      <c r="BF548" s="2372"/>
      <c r="BG548" s="2372"/>
      <c r="BH548" s="2372"/>
      <c r="BI548" s="2372"/>
      <c r="BJ548" s="2372"/>
      <c r="BK548" s="2372"/>
      <c r="BL548" s="2372"/>
      <c r="BM548" s="2372"/>
      <c r="BN548" s="2372"/>
      <c r="BO548" s="2372"/>
      <c r="BP548" s="2372"/>
      <c r="BQ548" s="2372"/>
      <c r="BR548" s="2372"/>
      <c r="BS548" s="2372"/>
      <c r="BT548" s="2372"/>
      <c r="BU548" s="2372"/>
      <c r="BV548" s="2372"/>
      <c r="BW548" s="2372"/>
      <c r="BX548" s="2372"/>
      <c r="BY548" s="2372"/>
      <c r="BZ548" s="2372"/>
      <c r="CA548" s="2372"/>
      <c r="CB548" s="2372"/>
      <c r="CC548" s="2372"/>
      <c r="CD548" s="2372"/>
      <c r="CE548" s="2372"/>
      <c r="CF548" s="2372"/>
      <c r="CG548" s="2372"/>
      <c r="CH548" s="2372"/>
      <c r="CI548" s="2372"/>
      <c r="CJ548" s="2372"/>
      <c r="CK548" s="2372"/>
      <c r="CL548" s="2372"/>
      <c r="CM548" s="2372"/>
      <c r="CN548" s="2372"/>
      <c r="CO548" s="2372"/>
      <c r="CP548" s="2372"/>
      <c r="CQ548" s="2372"/>
      <c r="CR548" s="2372"/>
      <c r="CS548" s="2372"/>
      <c r="CT548" s="2372"/>
      <c r="CU548" s="2372"/>
      <c r="CV548" s="2372"/>
      <c r="CW548" s="2372"/>
      <c r="CX548" s="2372"/>
      <c r="CY548" s="2372"/>
      <c r="CZ548" s="2372"/>
      <c r="DA548" s="2372"/>
    </row>
    <row r="549" spans="1:105" ht="15" hidden="1" customHeight="1">
      <c r="A549" s="2372"/>
      <c r="B549" s="2372"/>
      <c r="C549" s="2372"/>
      <c r="D549" s="2372"/>
      <c r="E549" s="2372"/>
      <c r="F549" s="2372"/>
      <c r="G549" s="2372"/>
      <c r="H549" s="2372"/>
      <c r="I549" s="2372"/>
      <c r="J549" s="2372"/>
      <c r="K549" s="2372"/>
      <c r="L549" s="2372"/>
      <c r="M549" s="2372"/>
      <c r="N549" s="2372"/>
      <c r="O549" s="2372"/>
      <c r="P549" s="2372"/>
      <c r="Q549" s="2372"/>
      <c r="R549" s="2372"/>
      <c r="S549" s="2372"/>
      <c r="T549" s="2372"/>
      <c r="U549" s="2372"/>
      <c r="V549" s="2372"/>
      <c r="W549" s="2372"/>
      <c r="X549" s="2372"/>
      <c r="Y549" s="2372"/>
      <c r="Z549" s="2372"/>
      <c r="AA549" s="2372"/>
      <c r="AB549" s="2372"/>
      <c r="AC549" s="2372"/>
      <c r="AD549" s="2372"/>
      <c r="AE549" s="2372"/>
      <c r="AF549" s="2372"/>
      <c r="AG549" s="2372"/>
      <c r="AH549" s="2372"/>
      <c r="AI549" s="2372"/>
      <c r="AJ549" s="2372"/>
      <c r="AK549" s="2372"/>
      <c r="AL549" s="2372"/>
      <c r="AM549" s="2372"/>
      <c r="AN549" s="2372"/>
      <c r="AO549" s="2372"/>
      <c r="AP549" s="2372"/>
      <c r="AQ549" s="2372"/>
      <c r="AR549" s="2372"/>
      <c r="AS549" s="2372"/>
      <c r="AT549" s="2372"/>
      <c r="AU549" s="2372"/>
      <c r="AV549" s="2372"/>
      <c r="AW549" s="2372"/>
      <c r="AX549" s="2372"/>
      <c r="AY549" s="2372"/>
      <c r="AZ549" s="2372"/>
      <c r="BA549" s="2372"/>
      <c r="BB549" s="2372"/>
      <c r="BC549" s="2372"/>
      <c r="BD549" s="2372"/>
      <c r="BE549" s="2372"/>
      <c r="BF549" s="2372"/>
      <c r="BG549" s="2372"/>
      <c r="BH549" s="2372"/>
      <c r="BI549" s="2372"/>
      <c r="BJ549" s="2372"/>
      <c r="BK549" s="2372"/>
      <c r="BL549" s="2372"/>
      <c r="BM549" s="2372"/>
      <c r="BN549" s="2372"/>
      <c r="BO549" s="2372"/>
      <c r="BP549" s="2372"/>
      <c r="BQ549" s="2372"/>
      <c r="BR549" s="2372"/>
      <c r="BS549" s="2372"/>
      <c r="BT549" s="2372"/>
      <c r="BU549" s="2372"/>
      <c r="BV549" s="2372"/>
      <c r="BW549" s="2372"/>
      <c r="BX549" s="2372"/>
      <c r="BY549" s="2372"/>
      <c r="BZ549" s="2372"/>
      <c r="CA549" s="2372"/>
      <c r="CB549" s="2372"/>
      <c r="CC549" s="2372"/>
      <c r="CD549" s="2372"/>
      <c r="CE549" s="2372"/>
      <c r="CF549" s="2372"/>
      <c r="CG549" s="2372"/>
      <c r="CH549" s="2372"/>
      <c r="CI549" s="2372"/>
      <c r="CJ549" s="2372"/>
      <c r="CK549" s="2372"/>
      <c r="CL549" s="2372"/>
      <c r="CM549" s="2372"/>
      <c r="CN549" s="2372"/>
      <c r="CO549" s="2372"/>
      <c r="CP549" s="2372"/>
      <c r="CQ549" s="2372"/>
      <c r="CR549" s="2372"/>
      <c r="CS549" s="2372"/>
      <c r="CT549" s="2372"/>
      <c r="CU549" s="2372"/>
      <c r="CV549" s="2372"/>
      <c r="CW549" s="2372"/>
      <c r="CX549" s="2372"/>
      <c r="CY549" s="2372"/>
      <c r="CZ549" s="2372"/>
      <c r="DA549" s="2372"/>
    </row>
    <row r="550" spans="1:105" ht="15" hidden="1" customHeight="1">
      <c r="A550" s="2372"/>
      <c r="B550" s="2372"/>
      <c r="C550" s="2372"/>
      <c r="D550" s="2372"/>
      <c r="E550" s="2372"/>
      <c r="F550" s="2372"/>
      <c r="G550" s="2372"/>
      <c r="H550" s="2372"/>
      <c r="I550" s="2372"/>
      <c r="J550" s="2372"/>
      <c r="K550" s="2372"/>
      <c r="L550" s="2372"/>
      <c r="M550" s="2372"/>
      <c r="N550" s="2372"/>
      <c r="O550" s="2372"/>
      <c r="P550" s="2372"/>
      <c r="Q550" s="2372"/>
      <c r="R550" s="2372"/>
      <c r="S550" s="2372"/>
      <c r="T550" s="2372"/>
      <c r="U550" s="2372"/>
      <c r="V550" s="2372"/>
      <c r="W550" s="2372"/>
      <c r="X550" s="2372"/>
      <c r="Y550" s="2372"/>
      <c r="Z550" s="2372"/>
      <c r="AA550" s="2372"/>
      <c r="AB550" s="2372"/>
      <c r="AC550" s="2372"/>
      <c r="AD550" s="2372"/>
      <c r="AE550" s="2372"/>
      <c r="AF550" s="2372"/>
      <c r="AG550" s="2372"/>
      <c r="AH550" s="2372"/>
      <c r="AI550" s="2372"/>
      <c r="AJ550" s="2372"/>
      <c r="AK550" s="2372"/>
      <c r="AL550" s="2372"/>
      <c r="AM550" s="2372"/>
      <c r="AN550" s="2372"/>
      <c r="AO550" s="2372"/>
      <c r="AP550" s="2372"/>
      <c r="AQ550" s="2372"/>
      <c r="AR550" s="2372"/>
      <c r="AS550" s="2372"/>
      <c r="AT550" s="2372"/>
      <c r="AU550" s="2372"/>
      <c r="AV550" s="2372"/>
      <c r="AW550" s="2372"/>
      <c r="AX550" s="2372"/>
      <c r="AY550" s="2372"/>
      <c r="AZ550" s="2372"/>
      <c r="BA550" s="2372"/>
      <c r="BB550" s="2372"/>
      <c r="BC550" s="2372"/>
      <c r="BD550" s="2372"/>
      <c r="BE550" s="2372"/>
      <c r="BF550" s="2372"/>
      <c r="BG550" s="2372"/>
      <c r="BH550" s="2372"/>
      <c r="BI550" s="2372"/>
      <c r="BJ550" s="2372"/>
      <c r="BK550" s="2372"/>
      <c r="BL550" s="2372"/>
      <c r="BM550" s="2372"/>
      <c r="BN550" s="2372"/>
      <c r="BO550" s="2372"/>
      <c r="BP550" s="2372"/>
      <c r="BQ550" s="2372"/>
      <c r="BR550" s="2372"/>
      <c r="BS550" s="2372"/>
      <c r="BT550" s="2372"/>
      <c r="BU550" s="2372"/>
      <c r="BV550" s="2372"/>
      <c r="BW550" s="2372"/>
      <c r="BX550" s="2372"/>
      <c r="BY550" s="2372"/>
      <c r="BZ550" s="2372"/>
      <c r="CA550" s="2372"/>
      <c r="CB550" s="2372"/>
      <c r="CC550" s="2372"/>
      <c r="CD550" s="2372"/>
      <c r="CE550" s="2372"/>
      <c r="CF550" s="2372"/>
      <c r="CG550" s="2372"/>
      <c r="CH550" s="2372"/>
      <c r="CI550" s="2372"/>
      <c r="CJ550" s="2372"/>
      <c r="CK550" s="2372"/>
      <c r="CL550" s="2372"/>
      <c r="CM550" s="2372"/>
      <c r="CN550" s="2372"/>
      <c r="CO550" s="2372"/>
      <c r="CP550" s="2372"/>
      <c r="CQ550" s="2372"/>
      <c r="CR550" s="2372"/>
      <c r="CS550" s="2372"/>
      <c r="CT550" s="2372"/>
      <c r="CU550" s="2372"/>
      <c r="CV550" s="2372"/>
      <c r="CW550" s="2372"/>
      <c r="CX550" s="2372"/>
      <c r="CY550" s="2372"/>
      <c r="CZ550" s="2372"/>
      <c r="DA550" s="2372"/>
    </row>
    <row r="551" spans="1:105" ht="15" hidden="1" customHeight="1">
      <c r="A551" s="2372"/>
      <c r="B551" s="2372"/>
      <c r="C551" s="2372"/>
      <c r="D551" s="2372"/>
      <c r="E551" s="2372"/>
      <c r="F551" s="2372"/>
      <c r="G551" s="2372"/>
      <c r="H551" s="2372"/>
      <c r="I551" s="2372"/>
      <c r="J551" s="2372"/>
      <c r="K551" s="2372"/>
      <c r="L551" s="2372"/>
      <c r="M551" s="2372"/>
      <c r="N551" s="2372"/>
      <c r="O551" s="2372"/>
      <c r="P551" s="2372"/>
      <c r="Q551" s="2372"/>
      <c r="R551" s="2372"/>
      <c r="S551" s="2372"/>
      <c r="T551" s="2372"/>
      <c r="U551" s="2372"/>
      <c r="V551" s="2372"/>
      <c r="W551" s="2372"/>
      <c r="X551" s="2372"/>
      <c r="Y551" s="2372"/>
      <c r="Z551" s="2372"/>
      <c r="AA551" s="2372"/>
      <c r="AB551" s="2372"/>
      <c r="AC551" s="2372"/>
      <c r="AD551" s="2372"/>
      <c r="AE551" s="2372"/>
      <c r="AF551" s="2372"/>
      <c r="AG551" s="2372"/>
      <c r="AH551" s="2372"/>
      <c r="AI551" s="2372"/>
      <c r="AJ551" s="2372"/>
      <c r="AK551" s="2372"/>
      <c r="AL551" s="2372"/>
      <c r="AM551" s="2372"/>
      <c r="AN551" s="2372"/>
      <c r="AO551" s="2372"/>
      <c r="AP551" s="2372"/>
      <c r="AQ551" s="2372"/>
      <c r="AR551" s="2372"/>
      <c r="AS551" s="2372"/>
      <c r="AT551" s="2372"/>
      <c r="AU551" s="2372"/>
      <c r="AV551" s="2372"/>
      <c r="AW551" s="2372"/>
      <c r="AX551" s="2372"/>
      <c r="AY551" s="2372"/>
      <c r="AZ551" s="2372"/>
      <c r="BA551" s="2372"/>
      <c r="BB551" s="2372"/>
      <c r="BC551" s="2372"/>
      <c r="BD551" s="2372"/>
      <c r="BE551" s="2372"/>
      <c r="BF551" s="2372"/>
      <c r="BG551" s="2372"/>
      <c r="BH551" s="2372"/>
      <c r="BI551" s="2372"/>
      <c r="BJ551" s="2372"/>
      <c r="BK551" s="2372"/>
      <c r="BL551" s="2372"/>
      <c r="BM551" s="2372"/>
      <c r="BN551" s="2372"/>
      <c r="BO551" s="2372"/>
      <c r="BP551" s="2372"/>
      <c r="BQ551" s="2372"/>
      <c r="BR551" s="2372"/>
      <c r="BS551" s="2372"/>
      <c r="BT551" s="2372"/>
      <c r="BU551" s="2372"/>
      <c r="BV551" s="2372"/>
      <c r="BW551" s="2372"/>
      <c r="BX551" s="2372"/>
      <c r="BY551" s="2372"/>
      <c r="BZ551" s="2372"/>
      <c r="CA551" s="2372"/>
      <c r="CB551" s="2372"/>
      <c r="CC551" s="2372"/>
      <c r="CD551" s="2372"/>
      <c r="CE551" s="2372"/>
      <c r="CF551" s="2372"/>
      <c r="CG551" s="2372"/>
      <c r="CH551" s="2372"/>
      <c r="CI551" s="2372"/>
      <c r="CJ551" s="2372"/>
      <c r="CK551" s="2372"/>
      <c r="CL551" s="2372"/>
      <c r="CM551" s="2372"/>
      <c r="CN551" s="2372"/>
      <c r="CO551" s="2372"/>
      <c r="CP551" s="2372"/>
      <c r="CQ551" s="2372"/>
      <c r="CR551" s="2372"/>
      <c r="CS551" s="2372"/>
      <c r="CT551" s="2372"/>
      <c r="CU551" s="2372"/>
      <c r="CV551" s="2372"/>
      <c r="CW551" s="2372"/>
      <c r="CX551" s="2372"/>
      <c r="CY551" s="2372"/>
      <c r="CZ551" s="2372"/>
      <c r="DA551" s="2372"/>
    </row>
    <row r="552" spans="1:105" ht="15" hidden="1" customHeight="1">
      <c r="A552" s="2372"/>
      <c r="B552" s="2372"/>
      <c r="C552" s="2372"/>
      <c r="D552" s="2372"/>
      <c r="E552" s="2372"/>
      <c r="F552" s="2372"/>
      <c r="G552" s="2372"/>
      <c r="H552" s="2372"/>
      <c r="I552" s="2372"/>
      <c r="J552" s="2372"/>
      <c r="K552" s="2372"/>
      <c r="L552" s="2372"/>
      <c r="M552" s="2372"/>
      <c r="N552" s="2372"/>
      <c r="O552" s="2372"/>
      <c r="P552" s="2372"/>
      <c r="Q552" s="2372"/>
      <c r="R552" s="2372"/>
      <c r="S552" s="2372"/>
      <c r="T552" s="2372"/>
      <c r="U552" s="2372"/>
      <c r="V552" s="2372"/>
      <c r="W552" s="2372"/>
      <c r="X552" s="2372"/>
      <c r="Y552" s="2372"/>
      <c r="Z552" s="2372"/>
      <c r="AA552" s="2372"/>
      <c r="AB552" s="2372"/>
      <c r="AC552" s="2372"/>
      <c r="AD552" s="2372"/>
      <c r="AE552" s="2372"/>
      <c r="AF552" s="2372"/>
      <c r="AG552" s="2372"/>
      <c r="AH552" s="2372"/>
      <c r="AI552" s="2372"/>
      <c r="AJ552" s="2372"/>
      <c r="AK552" s="2372"/>
      <c r="AL552" s="2372"/>
      <c r="AM552" s="2372"/>
      <c r="AN552" s="2372"/>
      <c r="AO552" s="2372"/>
      <c r="AP552" s="2372"/>
      <c r="AQ552" s="2372"/>
      <c r="AR552" s="2372"/>
      <c r="AS552" s="2372"/>
      <c r="AT552" s="2372"/>
      <c r="AU552" s="2372"/>
      <c r="AV552" s="2372"/>
      <c r="AW552" s="2372"/>
      <c r="AX552" s="2372"/>
      <c r="AY552" s="2372"/>
      <c r="AZ552" s="2372"/>
      <c r="BA552" s="2372"/>
      <c r="BB552" s="2372"/>
      <c r="BC552" s="2372"/>
      <c r="BD552" s="2372"/>
      <c r="BE552" s="2372"/>
      <c r="BF552" s="2372"/>
      <c r="BG552" s="2372"/>
      <c r="BH552" s="2372"/>
      <c r="BI552" s="2372"/>
      <c r="BJ552" s="2372"/>
      <c r="BK552" s="2372"/>
      <c r="BL552" s="2372"/>
      <c r="BM552" s="2372"/>
      <c r="BN552" s="2372"/>
      <c r="BO552" s="2372"/>
      <c r="BP552" s="2372"/>
      <c r="BQ552" s="2372"/>
      <c r="BR552" s="2372"/>
      <c r="BS552" s="2372"/>
      <c r="BT552" s="2372"/>
      <c r="BU552" s="2372"/>
      <c r="BV552" s="2372"/>
      <c r="BW552" s="2372"/>
      <c r="BX552" s="2372"/>
      <c r="BY552" s="2372"/>
      <c r="BZ552" s="2372"/>
      <c r="CA552" s="2372"/>
      <c r="CB552" s="2372"/>
      <c r="CC552" s="2372"/>
      <c r="CD552" s="2372"/>
      <c r="CE552" s="2372"/>
      <c r="CF552" s="2372"/>
      <c r="CG552" s="2372"/>
      <c r="CH552" s="2372"/>
      <c r="CI552" s="2372"/>
      <c r="CJ552" s="2372"/>
      <c r="CK552" s="2372"/>
      <c r="CL552" s="2372"/>
      <c r="CM552" s="2372"/>
      <c r="CN552" s="2372"/>
      <c r="CO552" s="2372"/>
      <c r="CP552" s="2372"/>
      <c r="CQ552" s="2372"/>
      <c r="CR552" s="2372"/>
      <c r="CS552" s="2372"/>
      <c r="CT552" s="2372"/>
      <c r="CU552" s="2372"/>
      <c r="CV552" s="2372"/>
      <c r="CW552" s="2372"/>
      <c r="CX552" s="2372"/>
      <c r="CY552" s="2372"/>
      <c r="CZ552" s="2372"/>
      <c r="DA552" s="2372"/>
    </row>
    <row r="553" spans="1:105" ht="15" hidden="1" customHeight="1">
      <c r="A553" s="2372"/>
      <c r="B553" s="2372"/>
      <c r="C553" s="2372"/>
      <c r="D553" s="2372"/>
      <c r="E553" s="2372"/>
      <c r="F553" s="2372"/>
      <c r="G553" s="2372"/>
      <c r="H553" s="2372"/>
      <c r="I553" s="2372"/>
      <c r="J553" s="2372"/>
      <c r="K553" s="2372"/>
      <c r="L553" s="2372"/>
      <c r="M553" s="2372"/>
      <c r="N553" s="2372"/>
      <c r="O553" s="2372"/>
      <c r="P553" s="2372"/>
      <c r="Q553" s="2372"/>
      <c r="R553" s="2372"/>
      <c r="S553" s="2372"/>
      <c r="T553" s="2372"/>
      <c r="U553" s="2372"/>
      <c r="V553" s="2372"/>
      <c r="W553" s="2372"/>
      <c r="X553" s="2372"/>
      <c r="Y553" s="2372"/>
      <c r="Z553" s="2372"/>
      <c r="AA553" s="2372"/>
      <c r="AB553" s="2372"/>
      <c r="AC553" s="2372"/>
      <c r="AD553" s="2372"/>
      <c r="AE553" s="2372"/>
      <c r="AF553" s="2372"/>
      <c r="AG553" s="2372"/>
      <c r="AH553" s="2372"/>
      <c r="AI553" s="2372"/>
      <c r="AJ553" s="2372"/>
      <c r="AK553" s="2372"/>
      <c r="AL553" s="2372"/>
      <c r="AM553" s="2372"/>
      <c r="AN553" s="2372"/>
      <c r="AO553" s="2372"/>
      <c r="AP553" s="2372"/>
      <c r="AQ553" s="2372"/>
      <c r="AR553" s="2372"/>
      <c r="AS553" s="2372"/>
      <c r="AT553" s="2372"/>
      <c r="AU553" s="2372"/>
      <c r="AV553" s="2372"/>
      <c r="AW553" s="2372"/>
      <c r="AX553" s="2372"/>
      <c r="AY553" s="2372"/>
      <c r="AZ553" s="2372"/>
      <c r="BA553" s="2372"/>
      <c r="BB553" s="2372"/>
      <c r="BC553" s="2372"/>
      <c r="BD553" s="2372"/>
      <c r="BE553" s="2372"/>
      <c r="BF553" s="2372"/>
      <c r="BG553" s="2372"/>
      <c r="BH553" s="2372"/>
      <c r="BI553" s="2372"/>
      <c r="BJ553" s="2372"/>
      <c r="BK553" s="2372"/>
      <c r="BL553" s="2372"/>
      <c r="BM553" s="2372"/>
      <c r="BN553" s="2372"/>
      <c r="BO553" s="2372"/>
      <c r="BP553" s="2372"/>
      <c r="BQ553" s="2372"/>
      <c r="BR553" s="2372"/>
      <c r="BS553" s="2372"/>
      <c r="BT553" s="2372"/>
      <c r="BU553" s="2372"/>
      <c r="BV553" s="2372"/>
      <c r="BW553" s="2372"/>
      <c r="BX553" s="2372"/>
      <c r="BY553" s="2372"/>
      <c r="BZ553" s="2372"/>
      <c r="CA553" s="2372"/>
      <c r="CB553" s="2372"/>
      <c r="CC553" s="2372"/>
      <c r="CD553" s="2372"/>
      <c r="CE553" s="2372"/>
      <c r="CF553" s="2372"/>
      <c r="CG553" s="2372"/>
      <c r="CH553" s="2372"/>
      <c r="CI553" s="2372"/>
      <c r="CJ553" s="2372"/>
      <c r="CK553" s="2372"/>
      <c r="CL553" s="2372"/>
      <c r="CM553" s="2372"/>
      <c r="CN553" s="2372"/>
      <c r="CO553" s="2372"/>
      <c r="CP553" s="2372"/>
      <c r="CQ553" s="2372"/>
      <c r="CR553" s="2372"/>
      <c r="CS553" s="2372"/>
      <c r="CT553" s="2372"/>
      <c r="CU553" s="2372"/>
      <c r="CV553" s="2372"/>
      <c r="CW553" s="2372"/>
      <c r="CX553" s="2372"/>
      <c r="CY553" s="2372"/>
      <c r="CZ553" s="2372"/>
      <c r="DA553" s="2372"/>
    </row>
    <row r="554" spans="1:105" ht="15" hidden="1" customHeight="1">
      <c r="A554" s="2372"/>
      <c r="B554" s="2372"/>
      <c r="C554" s="2372"/>
      <c r="D554" s="2372"/>
      <c r="E554" s="2372"/>
      <c r="F554" s="2372"/>
      <c r="G554" s="2372"/>
      <c r="H554" s="2372"/>
      <c r="I554" s="2372"/>
      <c r="J554" s="2372"/>
      <c r="K554" s="2372"/>
      <c r="L554" s="2372"/>
      <c r="M554" s="2372"/>
      <c r="N554" s="2372"/>
      <c r="O554" s="2372"/>
      <c r="P554" s="2372"/>
      <c r="Q554" s="2372"/>
      <c r="R554" s="2372"/>
      <c r="S554" s="2372"/>
      <c r="T554" s="2372"/>
      <c r="U554" s="2372"/>
      <c r="V554" s="2372"/>
      <c r="W554" s="2372"/>
      <c r="X554" s="2372"/>
      <c r="Y554" s="2372"/>
      <c r="Z554" s="2372"/>
      <c r="AA554" s="2372"/>
      <c r="AB554" s="2372"/>
      <c r="AC554" s="2372"/>
      <c r="AD554" s="2372"/>
      <c r="AE554" s="2372"/>
      <c r="AF554" s="2372"/>
      <c r="AG554" s="2372"/>
      <c r="AH554" s="2372"/>
      <c r="AI554" s="2372"/>
      <c r="AJ554" s="2372"/>
      <c r="AK554" s="2372"/>
      <c r="AL554" s="2372"/>
      <c r="AM554" s="2372"/>
      <c r="AN554" s="2372"/>
      <c r="AO554" s="2372"/>
      <c r="AP554" s="2372"/>
      <c r="AQ554" s="2372"/>
      <c r="AR554" s="2372"/>
      <c r="AS554" s="2372"/>
      <c r="AT554" s="2372"/>
      <c r="AU554" s="2372"/>
      <c r="AV554" s="2372"/>
      <c r="AW554" s="2372"/>
      <c r="AX554" s="2372"/>
      <c r="AY554" s="2372"/>
      <c r="AZ554" s="2372"/>
      <c r="BA554" s="2372"/>
      <c r="BB554" s="2372"/>
      <c r="BC554" s="2372"/>
      <c r="BD554" s="2372"/>
      <c r="BE554" s="2372"/>
      <c r="BF554" s="2372"/>
      <c r="BG554" s="2372"/>
      <c r="BH554" s="2372"/>
      <c r="BI554" s="2372"/>
      <c r="BJ554" s="2372"/>
      <c r="BK554" s="2372"/>
      <c r="BL554" s="2372"/>
      <c r="BM554" s="2372"/>
      <c r="BN554" s="2372"/>
      <c r="BO554" s="2372"/>
      <c r="BP554" s="2372"/>
      <c r="BQ554" s="2372"/>
      <c r="BR554" s="2372"/>
      <c r="BS554" s="2372"/>
      <c r="BT554" s="2372"/>
      <c r="BU554" s="2372"/>
      <c r="BV554" s="2372"/>
      <c r="BW554" s="2372"/>
      <c r="BX554" s="2372"/>
      <c r="BY554" s="2372"/>
      <c r="BZ554" s="2372"/>
      <c r="CA554" s="2372"/>
      <c r="CB554" s="2372"/>
      <c r="CC554" s="2372"/>
      <c r="CD554" s="2372"/>
      <c r="CE554" s="2372"/>
      <c r="CF554" s="2372"/>
      <c r="CG554" s="2372"/>
      <c r="CH554" s="2372"/>
      <c r="CI554" s="2372"/>
      <c r="CJ554" s="2372"/>
      <c r="CK554" s="2372"/>
      <c r="CL554" s="2372"/>
      <c r="CM554" s="2372"/>
      <c r="CN554" s="2372"/>
      <c r="CO554" s="2372"/>
      <c r="CP554" s="2372"/>
      <c r="CQ554" s="2372"/>
      <c r="CR554" s="2372"/>
      <c r="CS554" s="2372"/>
      <c r="CT554" s="2372"/>
      <c r="CU554" s="2372"/>
      <c r="CV554" s="2372"/>
      <c r="CW554" s="2372"/>
      <c r="CX554" s="2372"/>
      <c r="CY554" s="2372"/>
      <c r="CZ554" s="2372"/>
      <c r="DA554" s="2372"/>
    </row>
    <row r="555" spans="1:105" ht="15" hidden="1" customHeight="1">
      <c r="A555" s="2372"/>
      <c r="B555" s="2372"/>
      <c r="C555" s="2372"/>
      <c r="D555" s="2372"/>
      <c r="E555" s="2372"/>
      <c r="F555" s="2372"/>
      <c r="G555" s="2372"/>
      <c r="H555" s="2372"/>
      <c r="I555" s="2372"/>
      <c r="J555" s="2372"/>
      <c r="K555" s="2372"/>
      <c r="L555" s="2372"/>
      <c r="M555" s="2372"/>
      <c r="N555" s="2372"/>
      <c r="O555" s="2372"/>
      <c r="P555" s="2372"/>
      <c r="Q555" s="2372"/>
      <c r="R555" s="2372"/>
      <c r="S555" s="2372"/>
      <c r="T555" s="2372"/>
      <c r="U555" s="2372"/>
      <c r="V555" s="2372"/>
      <c r="W555" s="2372"/>
      <c r="X555" s="2372"/>
      <c r="Y555" s="2372"/>
      <c r="Z555" s="2372"/>
      <c r="AA555" s="2372"/>
      <c r="AB555" s="2372"/>
      <c r="AC555" s="2372"/>
      <c r="AD555" s="2372"/>
      <c r="AE555" s="2372"/>
      <c r="AF555" s="2372"/>
      <c r="AG555" s="2372"/>
      <c r="AH555" s="2372"/>
      <c r="AI555" s="2372"/>
      <c r="AJ555" s="2372"/>
      <c r="AK555" s="2372"/>
      <c r="AL555" s="2372"/>
      <c r="AM555" s="2372"/>
      <c r="AN555" s="2372"/>
      <c r="AO555" s="2372"/>
      <c r="AP555" s="2372"/>
      <c r="AQ555" s="2372"/>
      <c r="AR555" s="2372"/>
      <c r="AS555" s="2372"/>
      <c r="AT555" s="2372"/>
      <c r="AU555" s="2372"/>
      <c r="AV555" s="2372"/>
      <c r="AW555" s="2372"/>
      <c r="AX555" s="2372"/>
      <c r="AY555" s="2372"/>
      <c r="AZ555" s="2372"/>
      <c r="BA555" s="2372"/>
      <c r="BB555" s="2372"/>
      <c r="BC555" s="2372"/>
      <c r="BD555" s="2372"/>
      <c r="BE555" s="2372"/>
      <c r="BF555" s="2372"/>
      <c r="BG555" s="2372"/>
      <c r="BH555" s="2372"/>
      <c r="BI555" s="2372"/>
      <c r="BJ555" s="2372"/>
      <c r="BK555" s="2372"/>
      <c r="BL555" s="2372"/>
      <c r="BM555" s="2372"/>
      <c r="BN555" s="2372"/>
      <c r="BO555" s="2372"/>
      <c r="BP555" s="2372"/>
      <c r="BQ555" s="2372"/>
      <c r="BR555" s="2372"/>
      <c r="BS555" s="2372"/>
      <c r="BT555" s="2372"/>
      <c r="BU555" s="2372"/>
      <c r="BV555" s="2372"/>
      <c r="BW555" s="2372"/>
      <c r="BX555" s="2372"/>
      <c r="BY555" s="2372"/>
      <c r="BZ555" s="2372"/>
      <c r="CA555" s="2372"/>
      <c r="CB555" s="2372"/>
      <c r="CC555" s="2372"/>
      <c r="CD555" s="2372"/>
      <c r="CE555" s="2372"/>
      <c r="CF555" s="2372"/>
      <c r="CG555" s="2372"/>
      <c r="CH555" s="2372"/>
      <c r="CI555" s="2372"/>
      <c r="CJ555" s="2372"/>
      <c r="CK555" s="2372"/>
      <c r="CL555" s="2372"/>
      <c r="CM555" s="2372"/>
      <c r="CN555" s="2372"/>
      <c r="CO555" s="2372"/>
      <c r="CP555" s="2372"/>
      <c r="CQ555" s="2372"/>
      <c r="CR555" s="2372"/>
      <c r="CS555" s="2372"/>
      <c r="CT555" s="2372"/>
      <c r="CU555" s="2372"/>
      <c r="CV555" s="2372"/>
      <c r="CW555" s="2372"/>
      <c r="CX555" s="2372"/>
      <c r="CY555" s="2372"/>
      <c r="CZ555" s="2372"/>
      <c r="DA555" s="2372"/>
    </row>
    <row r="556" spans="1:105" ht="15" hidden="1" customHeight="1">
      <c r="A556" s="2372"/>
      <c r="B556" s="2372"/>
      <c r="C556" s="2372"/>
      <c r="D556" s="2372"/>
      <c r="E556" s="2372"/>
      <c r="F556" s="2372"/>
      <c r="G556" s="2372"/>
      <c r="H556" s="2372"/>
      <c r="I556" s="2372"/>
      <c r="J556" s="2372"/>
      <c r="K556" s="2372"/>
      <c r="L556" s="2372"/>
      <c r="M556" s="2372"/>
      <c r="N556" s="2372"/>
      <c r="O556" s="2372"/>
      <c r="P556" s="2372"/>
      <c r="Q556" s="2372"/>
      <c r="R556" s="2372"/>
      <c r="S556" s="2372"/>
      <c r="T556" s="2372"/>
      <c r="U556" s="2372"/>
      <c r="V556" s="2372"/>
      <c r="W556" s="2372"/>
      <c r="X556" s="2372"/>
      <c r="Y556" s="2372"/>
      <c r="Z556" s="2372"/>
      <c r="AA556" s="2372"/>
      <c r="AB556" s="2372"/>
      <c r="AC556" s="2372"/>
      <c r="AD556" s="2372"/>
      <c r="AE556" s="2372"/>
      <c r="AF556" s="2372"/>
      <c r="AG556" s="2372"/>
      <c r="AH556" s="2372"/>
      <c r="AI556" s="2372"/>
      <c r="AJ556" s="2372"/>
      <c r="AK556" s="2372"/>
      <c r="AL556" s="2372"/>
      <c r="AM556" s="2372"/>
      <c r="AN556" s="2372"/>
      <c r="AO556" s="2372"/>
      <c r="AP556" s="2372"/>
      <c r="AQ556" s="2372"/>
      <c r="AR556" s="2372"/>
      <c r="AS556" s="2372"/>
      <c r="AT556" s="2372"/>
      <c r="AU556" s="2372"/>
      <c r="AV556" s="2372"/>
      <c r="AW556" s="2372"/>
      <c r="AX556" s="2372"/>
      <c r="AY556" s="2372"/>
      <c r="AZ556" s="2372"/>
      <c r="BA556" s="2372"/>
      <c r="BB556" s="2372"/>
      <c r="BC556" s="2372"/>
      <c r="BD556" s="2372"/>
      <c r="BE556" s="2372"/>
      <c r="BF556" s="2372"/>
      <c r="BG556" s="2372"/>
      <c r="BH556" s="2372"/>
      <c r="BI556" s="2372"/>
      <c r="BJ556" s="2372"/>
      <c r="BK556" s="2372"/>
      <c r="BL556" s="2372"/>
      <c r="BM556" s="2372"/>
      <c r="BN556" s="2372"/>
      <c r="BO556" s="2372"/>
      <c r="BP556" s="2372"/>
      <c r="BQ556" s="2372"/>
      <c r="BR556" s="2372"/>
      <c r="BS556" s="2372"/>
      <c r="BT556" s="2372"/>
      <c r="BU556" s="2372"/>
      <c r="BV556" s="2372"/>
      <c r="BW556" s="2372"/>
      <c r="BX556" s="2372"/>
      <c r="BY556" s="2372"/>
      <c r="BZ556" s="2372"/>
      <c r="CA556" s="2372"/>
      <c r="CB556" s="2372"/>
      <c r="CC556" s="2372"/>
      <c r="CD556" s="2372"/>
      <c r="CE556" s="2372"/>
      <c r="CF556" s="2372"/>
      <c r="CG556" s="2372"/>
      <c r="CH556" s="2372"/>
      <c r="CI556" s="2372"/>
      <c r="CJ556" s="2372"/>
      <c r="CK556" s="2372"/>
      <c r="CL556" s="2372"/>
      <c r="CM556" s="2372"/>
      <c r="CN556" s="2372"/>
      <c r="CO556" s="2372"/>
      <c r="CP556" s="2372"/>
      <c r="CQ556" s="2372"/>
      <c r="CR556" s="2372"/>
      <c r="CS556" s="2372"/>
      <c r="CT556" s="2372"/>
      <c r="CU556" s="2372"/>
      <c r="CV556" s="2372"/>
      <c r="CW556" s="2372"/>
      <c r="CX556" s="2372"/>
      <c r="CY556" s="2372"/>
      <c r="CZ556" s="2372"/>
      <c r="DA556" s="2372"/>
    </row>
    <row r="557" spans="1:105" ht="15" hidden="1" customHeight="1">
      <c r="A557" s="2372"/>
      <c r="B557" s="2372"/>
      <c r="C557" s="2372"/>
      <c r="D557" s="2372"/>
      <c r="E557" s="2372"/>
      <c r="F557" s="2372"/>
      <c r="G557" s="2372"/>
      <c r="H557" s="2372"/>
      <c r="I557" s="2372"/>
      <c r="J557" s="2372"/>
      <c r="K557" s="2372"/>
      <c r="L557" s="2372"/>
      <c r="M557" s="2372"/>
      <c r="N557" s="2372"/>
      <c r="O557" s="2372"/>
      <c r="P557" s="2372"/>
      <c r="Q557" s="2372"/>
      <c r="R557" s="2372"/>
      <c r="S557" s="2372"/>
      <c r="T557" s="2372"/>
      <c r="U557" s="2372"/>
      <c r="V557" s="2372"/>
      <c r="W557" s="2372"/>
      <c r="X557" s="2372"/>
      <c r="Y557" s="2372"/>
      <c r="Z557" s="2372"/>
      <c r="AA557" s="2372"/>
      <c r="AB557" s="2372"/>
      <c r="AC557" s="2372"/>
      <c r="AD557" s="2372"/>
      <c r="AE557" s="2372"/>
      <c r="AF557" s="2372"/>
      <c r="AG557" s="2372"/>
      <c r="AH557" s="2372"/>
      <c r="AI557" s="2372"/>
      <c r="AJ557" s="2372"/>
      <c r="AK557" s="2372"/>
      <c r="AL557" s="2372"/>
      <c r="AM557" s="2372"/>
      <c r="AN557" s="2372"/>
      <c r="AO557" s="2372"/>
      <c r="AP557" s="2372"/>
      <c r="AQ557" s="2372"/>
      <c r="AR557" s="2372"/>
      <c r="AS557" s="2372"/>
      <c r="AT557" s="2372"/>
      <c r="AU557" s="2372"/>
      <c r="AV557" s="2372"/>
      <c r="AW557" s="2372"/>
      <c r="AX557" s="2372"/>
      <c r="AY557" s="2372"/>
      <c r="AZ557" s="2372"/>
      <c r="BA557" s="2372"/>
      <c r="BB557" s="2372"/>
      <c r="BC557" s="2372"/>
      <c r="BD557" s="2372"/>
      <c r="BE557" s="2372"/>
      <c r="BF557" s="2372"/>
      <c r="BG557" s="2372"/>
      <c r="BH557" s="2372"/>
      <c r="BI557" s="2372"/>
      <c r="BJ557" s="2372"/>
      <c r="BK557" s="2372"/>
      <c r="BL557" s="2372"/>
      <c r="BM557" s="2372"/>
      <c r="BN557" s="2372"/>
      <c r="BO557" s="2372"/>
      <c r="BP557" s="2372"/>
      <c r="BQ557" s="2372"/>
      <c r="BR557" s="2372"/>
      <c r="BS557" s="2372"/>
      <c r="BT557" s="2372"/>
      <c r="BU557" s="2372"/>
      <c r="BV557" s="2372"/>
      <c r="BW557" s="2372"/>
      <c r="BX557" s="2372"/>
      <c r="BY557" s="2372"/>
      <c r="BZ557" s="2372"/>
      <c r="CA557" s="2372"/>
      <c r="CB557" s="2372"/>
      <c r="CC557" s="2372"/>
      <c r="CD557" s="2372"/>
      <c r="CE557" s="2372"/>
      <c r="CF557" s="2372"/>
      <c r="CG557" s="2372"/>
      <c r="CH557" s="2372"/>
      <c r="CI557" s="2372"/>
      <c r="CJ557" s="2372"/>
      <c r="CK557" s="2372"/>
      <c r="CL557" s="2372"/>
      <c r="CM557" s="2372"/>
      <c r="CN557" s="2372"/>
      <c r="CO557" s="2372"/>
      <c r="CP557" s="2372"/>
      <c r="CQ557" s="2372"/>
      <c r="CR557" s="2372"/>
      <c r="CS557" s="2372"/>
      <c r="CT557" s="2372"/>
      <c r="CU557" s="2372"/>
      <c r="CV557" s="2372"/>
      <c r="CW557" s="2372"/>
      <c r="CX557" s="2372"/>
      <c r="CY557" s="2372"/>
      <c r="CZ557" s="2372"/>
      <c r="DA557" s="2372"/>
    </row>
    <row r="558" spans="1:105" ht="15" hidden="1" customHeight="1">
      <c r="A558" s="2372"/>
      <c r="B558" s="2372"/>
      <c r="C558" s="2372"/>
      <c r="D558" s="2372"/>
      <c r="E558" s="2372"/>
      <c r="F558" s="2372"/>
      <c r="G558" s="2372"/>
      <c r="H558" s="2372"/>
      <c r="I558" s="2372"/>
      <c r="J558" s="2372"/>
      <c r="K558" s="2372"/>
      <c r="L558" s="2372"/>
      <c r="M558" s="2372"/>
      <c r="N558" s="2372"/>
      <c r="O558" s="2372"/>
      <c r="P558" s="2372"/>
      <c r="Q558" s="2372"/>
      <c r="R558" s="2372"/>
      <c r="S558" s="2372"/>
      <c r="T558" s="2372"/>
      <c r="U558" s="2372"/>
      <c r="V558" s="2372"/>
      <c r="W558" s="2372"/>
      <c r="X558" s="2372"/>
      <c r="Y558" s="2372"/>
      <c r="Z558" s="2372"/>
      <c r="AA558" s="2372"/>
      <c r="AB558" s="2372"/>
      <c r="AC558" s="2372"/>
      <c r="AD558" s="2372"/>
      <c r="AE558" s="2372"/>
      <c r="AF558" s="2372"/>
      <c r="AG558" s="2372"/>
      <c r="AH558" s="2372"/>
      <c r="AI558" s="2372"/>
      <c r="AJ558" s="2372"/>
      <c r="AK558" s="2372"/>
      <c r="AL558" s="2372"/>
      <c r="AM558" s="2372"/>
      <c r="AN558" s="2372"/>
      <c r="AO558" s="2372"/>
      <c r="AP558" s="2372"/>
      <c r="AQ558" s="2372"/>
      <c r="AR558" s="2372"/>
      <c r="AS558" s="2372"/>
      <c r="AT558" s="2372"/>
      <c r="AU558" s="2372"/>
      <c r="AV558" s="2372"/>
      <c r="AW558" s="2372"/>
      <c r="AX558" s="2372"/>
      <c r="AY558" s="2372"/>
      <c r="AZ558" s="2372"/>
      <c r="BA558" s="2372"/>
      <c r="BB558" s="2372"/>
      <c r="BC558" s="2372"/>
      <c r="BD558" s="2372"/>
      <c r="BE558" s="2372"/>
      <c r="BF558" s="2372"/>
      <c r="BG558" s="2372"/>
      <c r="BH558" s="2372"/>
      <c r="BI558" s="2372"/>
      <c r="BJ558" s="2372"/>
      <c r="BK558" s="2372"/>
      <c r="BL558" s="2372"/>
      <c r="BM558" s="2372"/>
      <c r="BN558" s="2372"/>
      <c r="BO558" s="2372"/>
      <c r="BP558" s="2372"/>
      <c r="BQ558" s="2372"/>
      <c r="BR558" s="2372"/>
      <c r="BS558" s="2372"/>
      <c r="BT558" s="2372"/>
      <c r="BU558" s="2372"/>
      <c r="BV558" s="2372"/>
      <c r="BW558" s="2372"/>
      <c r="BX558" s="2372"/>
      <c r="BY558" s="2372"/>
      <c r="BZ558" s="2372"/>
      <c r="CA558" s="2372"/>
      <c r="CB558" s="2372"/>
      <c r="CC558" s="2372"/>
      <c r="CD558" s="2372"/>
      <c r="CE558" s="2372"/>
      <c r="CF558" s="2372"/>
      <c r="CG558" s="2372"/>
      <c r="CH558" s="2372"/>
      <c r="CI558" s="2372"/>
      <c r="CJ558" s="2372"/>
      <c r="CK558" s="2372"/>
      <c r="CL558" s="2372"/>
      <c r="CM558" s="2372"/>
      <c r="CN558" s="2372"/>
      <c r="CO558" s="2372"/>
      <c r="CP558" s="2372"/>
      <c r="CQ558" s="2372"/>
      <c r="CR558" s="2372"/>
      <c r="CS558" s="2372"/>
      <c r="CT558" s="2372"/>
      <c r="CU558" s="2372"/>
      <c r="CV558" s="2372"/>
      <c r="CW558" s="2372"/>
      <c r="CX558" s="2372"/>
      <c r="CY558" s="2372"/>
      <c r="CZ558" s="2372"/>
      <c r="DA558" s="2372"/>
    </row>
    <row r="559" spans="1:105" ht="15" hidden="1" customHeight="1">
      <c r="A559" s="2372"/>
      <c r="B559" s="2372"/>
      <c r="C559" s="2372"/>
      <c r="D559" s="2372"/>
      <c r="E559" s="2372"/>
      <c r="F559" s="2372"/>
      <c r="G559" s="2372"/>
      <c r="H559" s="2372"/>
      <c r="I559" s="2372"/>
      <c r="J559" s="2372"/>
      <c r="K559" s="2372"/>
      <c r="L559" s="2372"/>
      <c r="M559" s="2372"/>
      <c r="N559" s="2372"/>
      <c r="O559" s="2372"/>
      <c r="P559" s="2372"/>
      <c r="Q559" s="2372"/>
      <c r="R559" s="2372"/>
      <c r="S559" s="2372"/>
      <c r="T559" s="2372"/>
      <c r="U559" s="2372"/>
      <c r="V559" s="2372"/>
      <c r="W559" s="2372"/>
      <c r="X559" s="2372"/>
      <c r="Y559" s="2372"/>
      <c r="Z559" s="2372"/>
      <c r="AA559" s="2372"/>
      <c r="AB559" s="2372"/>
      <c r="AC559" s="2372"/>
      <c r="AD559" s="2372"/>
      <c r="AE559" s="2372"/>
      <c r="AF559" s="2372"/>
      <c r="AG559" s="2372"/>
      <c r="AH559" s="2372"/>
      <c r="AI559" s="2372"/>
      <c r="AJ559" s="2372"/>
      <c r="AK559" s="2372"/>
      <c r="AL559" s="2372"/>
      <c r="AM559" s="2372"/>
      <c r="AN559" s="2372"/>
      <c r="AO559" s="2372"/>
      <c r="AP559" s="2372"/>
      <c r="AQ559" s="2372"/>
      <c r="AR559" s="2372"/>
      <c r="AS559" s="2372"/>
      <c r="AT559" s="2372"/>
      <c r="AU559" s="2372"/>
      <c r="AV559" s="2372"/>
      <c r="AW559" s="2372"/>
      <c r="AX559" s="2372"/>
      <c r="AY559" s="2372"/>
      <c r="AZ559" s="2372"/>
      <c r="BA559" s="2372"/>
      <c r="BB559" s="2372"/>
      <c r="BC559" s="2372"/>
      <c r="BD559" s="2372"/>
      <c r="BE559" s="2372"/>
      <c r="BF559" s="2372"/>
      <c r="BG559" s="2372"/>
      <c r="BH559" s="2372"/>
      <c r="BI559" s="2372"/>
      <c r="BJ559" s="2372"/>
      <c r="BK559" s="2372"/>
      <c r="BL559" s="2372"/>
      <c r="BM559" s="2372"/>
      <c r="BN559" s="2372"/>
      <c r="BO559" s="2372"/>
      <c r="BP559" s="2372"/>
      <c r="BQ559" s="2372"/>
      <c r="BR559" s="2372"/>
      <c r="BS559" s="2372"/>
      <c r="BT559" s="2372"/>
      <c r="BU559" s="2372"/>
      <c r="BV559" s="2372"/>
      <c r="BW559" s="2372"/>
      <c r="BX559" s="2372"/>
      <c r="BY559" s="2372"/>
      <c r="BZ559" s="2372"/>
      <c r="CA559" s="2372"/>
      <c r="CB559" s="2372"/>
      <c r="CC559" s="2372"/>
      <c r="CD559" s="2372"/>
      <c r="CE559" s="2372"/>
      <c r="CF559" s="2372"/>
      <c r="CG559" s="2372"/>
      <c r="CH559" s="2372"/>
      <c r="CI559" s="2372"/>
      <c r="CJ559" s="2372"/>
      <c r="CK559" s="2372"/>
      <c r="CL559" s="2372"/>
      <c r="CM559" s="2372"/>
      <c r="CN559" s="2372"/>
      <c r="CO559" s="2372"/>
      <c r="CP559" s="2372"/>
      <c r="CQ559" s="2372"/>
      <c r="CR559" s="2372"/>
      <c r="CS559" s="2372"/>
      <c r="CT559" s="2372"/>
      <c r="CU559" s="2372"/>
      <c r="CV559" s="2372"/>
      <c r="CW559" s="2372"/>
      <c r="CX559" s="2372"/>
      <c r="CY559" s="2372"/>
      <c r="CZ559" s="2372"/>
      <c r="DA559" s="2372"/>
    </row>
    <row r="560" spans="1:105" ht="15" hidden="1" customHeight="1">
      <c r="A560" s="2372"/>
      <c r="B560" s="2372"/>
      <c r="C560" s="2372"/>
      <c r="D560" s="2372"/>
      <c r="E560" s="2372"/>
      <c r="F560" s="2372"/>
      <c r="G560" s="2372"/>
      <c r="H560" s="2372"/>
      <c r="I560" s="2372"/>
      <c r="J560" s="2372"/>
      <c r="K560" s="2372"/>
      <c r="L560" s="2372"/>
      <c r="M560" s="2372"/>
      <c r="N560" s="2372"/>
      <c r="O560" s="2372"/>
      <c r="P560" s="2372"/>
      <c r="Q560" s="2372"/>
      <c r="R560" s="2372"/>
      <c r="S560" s="2372"/>
      <c r="T560" s="2372"/>
      <c r="U560" s="2372"/>
      <c r="V560" s="2372"/>
      <c r="W560" s="2372"/>
      <c r="X560" s="2372"/>
      <c r="Y560" s="2372"/>
      <c r="Z560" s="2372"/>
      <c r="AA560" s="2372"/>
      <c r="AB560" s="2372"/>
      <c r="AC560" s="2372"/>
      <c r="AD560" s="2372"/>
      <c r="AE560" s="2372"/>
      <c r="AF560" s="2372"/>
      <c r="AG560" s="2372"/>
      <c r="AH560" s="2372"/>
      <c r="AI560" s="2372"/>
      <c r="AJ560" s="2372"/>
      <c r="AK560" s="2372"/>
      <c r="AL560" s="2372"/>
      <c r="AM560" s="2372"/>
      <c r="AN560" s="2372"/>
      <c r="AO560" s="2372"/>
      <c r="AP560" s="2372"/>
      <c r="AQ560" s="2372"/>
      <c r="AR560" s="2372"/>
      <c r="AS560" s="2372"/>
      <c r="AT560" s="2372"/>
      <c r="AU560" s="2372"/>
      <c r="AV560" s="2372"/>
      <c r="AW560" s="2372"/>
      <c r="AX560" s="2372"/>
      <c r="AY560" s="2372"/>
      <c r="AZ560" s="2372"/>
      <c r="BA560" s="2372"/>
      <c r="BB560" s="2372"/>
      <c r="BC560" s="2372"/>
      <c r="BD560" s="2372"/>
      <c r="BE560" s="2372"/>
      <c r="BF560" s="2372"/>
      <c r="BG560" s="2372"/>
      <c r="BH560" s="2372"/>
      <c r="BI560" s="2372"/>
      <c r="BJ560" s="2372"/>
      <c r="BK560" s="2372"/>
      <c r="BL560" s="2372"/>
      <c r="BM560" s="2372"/>
      <c r="BN560" s="2372"/>
      <c r="BO560" s="2372"/>
      <c r="BP560" s="2372"/>
      <c r="BQ560" s="2372"/>
      <c r="BR560" s="2372"/>
      <c r="BS560" s="2372"/>
      <c r="BT560" s="2372"/>
      <c r="BU560" s="2372"/>
      <c r="BV560" s="2372"/>
      <c r="BW560" s="2372"/>
      <c r="BX560" s="2372"/>
      <c r="BY560" s="2372"/>
      <c r="BZ560" s="2372"/>
      <c r="CA560" s="2372"/>
      <c r="CB560" s="2372"/>
      <c r="CC560" s="2372"/>
      <c r="CD560" s="2372"/>
      <c r="CE560" s="2372"/>
      <c r="CF560" s="2372"/>
      <c r="CG560" s="2372"/>
      <c r="CH560" s="2372"/>
      <c r="CI560" s="2372"/>
      <c r="CJ560" s="2372"/>
      <c r="CK560" s="2372"/>
      <c r="CL560" s="2372"/>
      <c r="CM560" s="2372"/>
      <c r="CN560" s="2372"/>
      <c r="CO560" s="2372"/>
      <c r="CP560" s="2372"/>
      <c r="CQ560" s="2372"/>
      <c r="CR560" s="2372"/>
      <c r="CS560" s="2372"/>
      <c r="CT560" s="2372"/>
      <c r="CU560" s="2372"/>
      <c r="CV560" s="2372"/>
      <c r="CW560" s="2372"/>
      <c r="CX560" s="2372"/>
      <c r="CY560" s="2372"/>
      <c r="CZ560" s="2372"/>
      <c r="DA560" s="2372"/>
    </row>
    <row r="561" spans="1:105" ht="15" hidden="1" customHeight="1">
      <c r="A561" s="2372"/>
      <c r="B561" s="2372"/>
      <c r="C561" s="2372"/>
      <c r="D561" s="2372"/>
      <c r="E561" s="2372"/>
      <c r="F561" s="2372"/>
      <c r="G561" s="2372"/>
      <c r="H561" s="2372"/>
      <c r="I561" s="2372"/>
      <c r="J561" s="2372"/>
      <c r="K561" s="2372"/>
      <c r="L561" s="2372"/>
      <c r="M561" s="2372"/>
      <c r="N561" s="2372"/>
      <c r="O561" s="2372"/>
      <c r="P561" s="2372"/>
      <c r="Q561" s="2372"/>
      <c r="R561" s="2372"/>
      <c r="S561" s="2372"/>
      <c r="T561" s="2372"/>
      <c r="U561" s="2372"/>
      <c r="V561" s="2372"/>
      <c r="W561" s="2372"/>
      <c r="X561" s="2372"/>
      <c r="Y561" s="2372"/>
      <c r="Z561" s="2372"/>
      <c r="AA561" s="2372"/>
      <c r="AB561" s="2372"/>
      <c r="AC561" s="2372"/>
      <c r="AD561" s="2372"/>
      <c r="AE561" s="2372"/>
      <c r="AF561" s="2372"/>
      <c r="AG561" s="2372"/>
      <c r="AH561" s="2372"/>
      <c r="AI561" s="2372"/>
      <c r="AJ561" s="2372"/>
      <c r="AK561" s="2372"/>
      <c r="AL561" s="2372"/>
      <c r="AM561" s="2372"/>
      <c r="AN561" s="2372"/>
      <c r="AO561" s="2372"/>
      <c r="AP561" s="2372"/>
      <c r="AQ561" s="2372"/>
      <c r="AR561" s="2372"/>
      <c r="AS561" s="2372"/>
      <c r="AT561" s="2372"/>
      <c r="AU561" s="2372"/>
      <c r="AV561" s="2372"/>
      <c r="AW561" s="2372"/>
      <c r="AX561" s="2372"/>
      <c r="AY561" s="2372"/>
      <c r="AZ561" s="2372"/>
      <c r="BA561" s="2372"/>
      <c r="BB561" s="2372"/>
      <c r="BC561" s="2372"/>
      <c r="BD561" s="2372"/>
      <c r="BE561" s="2372"/>
      <c r="BF561" s="2372"/>
      <c r="BG561" s="2372"/>
      <c r="BH561" s="2372"/>
      <c r="BI561" s="2372"/>
      <c r="BJ561" s="2372"/>
      <c r="BK561" s="2372"/>
      <c r="BL561" s="2372"/>
      <c r="BM561" s="2372"/>
      <c r="BN561" s="2372"/>
      <c r="BO561" s="2372"/>
      <c r="BP561" s="2372"/>
      <c r="BQ561" s="2372"/>
      <c r="BR561" s="2372"/>
      <c r="BS561" s="2372"/>
      <c r="BT561" s="2372"/>
      <c r="BU561" s="2372"/>
      <c r="BV561" s="2372"/>
      <c r="BW561" s="2372"/>
      <c r="BX561" s="2372"/>
      <c r="BY561" s="2372"/>
      <c r="BZ561" s="2372"/>
      <c r="CA561" s="2372"/>
      <c r="CB561" s="2372"/>
      <c r="CC561" s="2372"/>
      <c r="CD561" s="2372"/>
      <c r="CE561" s="2372"/>
      <c r="CF561" s="2372"/>
      <c r="CG561" s="2372"/>
      <c r="CH561" s="2372"/>
      <c r="CI561" s="2372"/>
      <c r="CJ561" s="2372"/>
      <c r="CK561" s="2372"/>
      <c r="CL561" s="2372"/>
      <c r="CM561" s="2372"/>
      <c r="CN561" s="2372"/>
      <c r="CO561" s="2372"/>
      <c r="CP561" s="2372"/>
      <c r="CQ561" s="2372"/>
      <c r="CR561" s="2372"/>
      <c r="CS561" s="2372"/>
      <c r="CT561" s="2372"/>
      <c r="CU561" s="2372"/>
      <c r="CV561" s="2372"/>
      <c r="CW561" s="2372"/>
      <c r="CX561" s="2372"/>
      <c r="CY561" s="2372"/>
      <c r="CZ561" s="2372"/>
      <c r="DA561" s="2372"/>
    </row>
    <row r="562" spans="1:105" ht="15" hidden="1" customHeight="1">
      <c r="A562" s="2372"/>
      <c r="B562" s="2372"/>
      <c r="C562" s="2372"/>
      <c r="D562" s="2372"/>
      <c r="E562" s="2372"/>
      <c r="F562" s="2372"/>
      <c r="G562" s="2372"/>
      <c r="H562" s="2372"/>
      <c r="I562" s="2372"/>
      <c r="J562" s="2372"/>
      <c r="K562" s="2372"/>
      <c r="L562" s="2372"/>
      <c r="M562" s="2372"/>
      <c r="N562" s="2372"/>
      <c r="O562" s="2372"/>
      <c r="P562" s="2372"/>
      <c r="Q562" s="2372"/>
      <c r="R562" s="2372"/>
      <c r="S562" s="2372"/>
      <c r="T562" s="2372"/>
      <c r="U562" s="2372"/>
      <c r="V562" s="2372"/>
      <c r="W562" s="2372"/>
      <c r="X562" s="2372"/>
      <c r="Y562" s="2372"/>
      <c r="Z562" s="2372"/>
      <c r="AA562" s="2372"/>
      <c r="AB562" s="2372"/>
      <c r="AC562" s="2372"/>
      <c r="AD562" s="2372"/>
      <c r="AE562" s="2372"/>
      <c r="AF562" s="2372"/>
      <c r="AG562" s="2372"/>
      <c r="AH562" s="2372"/>
      <c r="AI562" s="2372"/>
      <c r="AJ562" s="2372"/>
      <c r="AK562" s="2372"/>
      <c r="AL562" s="2372"/>
      <c r="AM562" s="2372"/>
      <c r="AN562" s="2372"/>
      <c r="AO562" s="2372"/>
      <c r="AP562" s="2372"/>
      <c r="AQ562" s="2372"/>
      <c r="AR562" s="2372"/>
      <c r="AS562" s="2372"/>
      <c r="AT562" s="2372"/>
      <c r="AU562" s="2372"/>
      <c r="AV562" s="2372"/>
      <c r="AW562" s="2372"/>
      <c r="AX562" s="2372"/>
      <c r="AY562" s="2372"/>
      <c r="AZ562" s="2372"/>
      <c r="BA562" s="2372"/>
      <c r="BB562" s="2372"/>
      <c r="BC562" s="2372"/>
      <c r="BD562" s="2372"/>
      <c r="BE562" s="2372"/>
      <c r="BF562" s="2372"/>
      <c r="BG562" s="2372"/>
      <c r="BH562" s="2372"/>
      <c r="BI562" s="2372"/>
      <c r="BJ562" s="2372"/>
      <c r="BK562" s="2372"/>
      <c r="BL562" s="2372"/>
      <c r="BM562" s="2372"/>
      <c r="BN562" s="2372"/>
      <c r="BO562" s="2372"/>
      <c r="BP562" s="2372"/>
      <c r="BQ562" s="2372"/>
      <c r="BR562" s="2372"/>
      <c r="BS562" s="2372"/>
      <c r="BT562" s="2372"/>
      <c r="BU562" s="2372"/>
      <c r="BV562" s="2372"/>
      <c r="BW562" s="2372"/>
      <c r="BX562" s="2372"/>
      <c r="BY562" s="2372"/>
      <c r="BZ562" s="2372"/>
      <c r="CA562" s="2372"/>
      <c r="CB562" s="2372"/>
      <c r="CC562" s="2372"/>
      <c r="CD562" s="2372"/>
      <c r="CE562" s="2372"/>
      <c r="CF562" s="2372"/>
      <c r="CG562" s="2372"/>
      <c r="CH562" s="2372"/>
      <c r="CI562" s="2372"/>
      <c r="CJ562" s="2372"/>
      <c r="CK562" s="2372"/>
      <c r="CL562" s="2372"/>
      <c r="CM562" s="2372"/>
      <c r="CN562" s="2372"/>
      <c r="CO562" s="2372"/>
      <c r="CP562" s="2372"/>
      <c r="CQ562" s="2372"/>
      <c r="CR562" s="2372"/>
      <c r="CS562" s="2372"/>
      <c r="CT562" s="2372"/>
      <c r="CU562" s="2372"/>
      <c r="CV562" s="2372"/>
      <c r="CW562" s="2372"/>
      <c r="CX562" s="2372"/>
      <c r="CY562" s="2372"/>
      <c r="CZ562" s="2372"/>
      <c r="DA562" s="2372"/>
    </row>
    <row r="563" spans="1:105" ht="15" hidden="1" customHeight="1">
      <c r="A563" s="2372"/>
      <c r="B563" s="2372"/>
      <c r="C563" s="2372"/>
      <c r="D563" s="2372"/>
      <c r="E563" s="2372"/>
      <c r="F563" s="2372"/>
      <c r="G563" s="2372"/>
      <c r="H563" s="2372"/>
      <c r="I563" s="2372"/>
      <c r="J563" s="2372"/>
      <c r="K563" s="2372"/>
      <c r="L563" s="2372"/>
      <c r="M563" s="2372"/>
      <c r="N563" s="2372"/>
      <c r="O563" s="2372"/>
      <c r="P563" s="2372"/>
      <c r="Q563" s="2372"/>
      <c r="R563" s="2372"/>
      <c r="S563" s="2372"/>
      <c r="T563" s="2372"/>
      <c r="U563" s="2372"/>
      <c r="V563" s="2372"/>
      <c r="W563" s="2372"/>
      <c r="X563" s="2372"/>
      <c r="Y563" s="2372"/>
      <c r="Z563" s="2372"/>
      <c r="AA563" s="2372"/>
      <c r="AB563" s="2372"/>
      <c r="AC563" s="2372"/>
      <c r="AD563" s="2372"/>
      <c r="AE563" s="2372"/>
      <c r="AF563" s="2372"/>
      <c r="AG563" s="2372"/>
      <c r="AH563" s="2372"/>
      <c r="AI563" s="2372"/>
      <c r="AJ563" s="2372"/>
      <c r="AK563" s="2372"/>
      <c r="AL563" s="2372"/>
      <c r="AM563" s="2372"/>
      <c r="AN563" s="2372"/>
      <c r="AO563" s="2372"/>
      <c r="AP563" s="2372"/>
      <c r="AQ563" s="2372"/>
      <c r="AR563" s="2372"/>
      <c r="AS563" s="2372"/>
      <c r="AT563" s="2372"/>
      <c r="AU563" s="2372"/>
      <c r="AV563" s="2372"/>
      <c r="AW563" s="2372"/>
      <c r="AX563" s="2372"/>
      <c r="AY563" s="2372"/>
      <c r="AZ563" s="2372"/>
      <c r="BA563" s="2372"/>
      <c r="BB563" s="2372"/>
      <c r="BC563" s="2372"/>
      <c r="BD563" s="2372"/>
      <c r="BE563" s="2372"/>
      <c r="BF563" s="2372"/>
      <c r="BG563" s="2372"/>
      <c r="BH563" s="2372"/>
      <c r="BI563" s="2372"/>
      <c r="BJ563" s="2372"/>
      <c r="BK563" s="2372"/>
      <c r="BL563" s="2372"/>
      <c r="BM563" s="2372"/>
      <c r="BN563" s="2372"/>
      <c r="BO563" s="2372"/>
      <c r="BP563" s="2372"/>
      <c r="BQ563" s="2372"/>
      <c r="BR563" s="2372"/>
      <c r="BS563" s="2372"/>
      <c r="BT563" s="2372"/>
      <c r="BU563" s="2372"/>
      <c r="BV563" s="2372"/>
      <c r="BW563" s="2372"/>
      <c r="BX563" s="2372"/>
      <c r="BY563" s="2372"/>
      <c r="BZ563" s="2372"/>
      <c r="CA563" s="2372"/>
      <c r="CB563" s="2372"/>
      <c r="CC563" s="2372"/>
      <c r="CD563" s="2372"/>
      <c r="CE563" s="2372"/>
      <c r="CF563" s="2372"/>
      <c r="CG563" s="2372"/>
      <c r="CH563" s="2372"/>
      <c r="CI563" s="2372"/>
      <c r="CJ563" s="2372"/>
      <c r="CK563" s="2372"/>
      <c r="CL563" s="2372"/>
      <c r="CM563" s="2372"/>
      <c r="CN563" s="2372"/>
      <c r="CO563" s="2372"/>
      <c r="CP563" s="2372"/>
      <c r="CQ563" s="2372"/>
      <c r="CR563" s="2372"/>
      <c r="CS563" s="2372"/>
      <c r="CT563" s="2372"/>
      <c r="CU563" s="2372"/>
      <c r="CV563" s="2372"/>
      <c r="CW563" s="2372"/>
      <c r="CX563" s="2372"/>
      <c r="CY563" s="2372"/>
      <c r="CZ563" s="2372"/>
      <c r="DA563" s="2372"/>
    </row>
    <row r="564" spans="1:105" ht="15" hidden="1" customHeight="1">
      <c r="A564" s="2372"/>
      <c r="B564" s="2372"/>
      <c r="C564" s="2372"/>
      <c r="D564" s="2372"/>
      <c r="E564" s="2372"/>
      <c r="F564" s="2372"/>
      <c r="G564" s="2372"/>
      <c r="H564" s="2372"/>
      <c r="I564" s="2372"/>
      <c r="J564" s="2372"/>
      <c r="K564" s="2372"/>
      <c r="L564" s="2372"/>
      <c r="M564" s="2372"/>
      <c r="N564" s="2372"/>
      <c r="O564" s="2372"/>
      <c r="P564" s="2372"/>
      <c r="Q564" s="2372"/>
      <c r="R564" s="2372"/>
      <c r="S564" s="2372"/>
      <c r="T564" s="2372"/>
      <c r="U564" s="2372"/>
      <c r="V564" s="2372"/>
      <c r="W564" s="2372"/>
      <c r="X564" s="2372"/>
      <c r="Y564" s="2372"/>
      <c r="Z564" s="2372"/>
      <c r="AA564" s="2372"/>
      <c r="AB564" s="2372"/>
      <c r="AC564" s="2372"/>
      <c r="AD564" s="2372"/>
      <c r="AE564" s="2372"/>
      <c r="AF564" s="2372"/>
      <c r="AG564" s="2372"/>
      <c r="AH564" s="2372"/>
      <c r="AI564" s="2372"/>
      <c r="AJ564" s="2372"/>
      <c r="AK564" s="2372"/>
      <c r="AL564" s="2372"/>
      <c r="AM564" s="2372"/>
      <c r="AN564" s="2372"/>
      <c r="AO564" s="2372"/>
      <c r="AP564" s="2372"/>
      <c r="AQ564" s="2372"/>
      <c r="AR564" s="2372"/>
      <c r="AS564" s="2372"/>
      <c r="AT564" s="2372"/>
      <c r="AU564" s="2372"/>
      <c r="AV564" s="2372"/>
      <c r="AW564" s="2372"/>
      <c r="AX564" s="2372"/>
      <c r="AY564" s="2372"/>
      <c r="AZ564" s="2372"/>
      <c r="BA564" s="2372"/>
      <c r="BB564" s="2372"/>
      <c r="BC564" s="2372"/>
      <c r="BD564" s="2372"/>
      <c r="BE564" s="2372"/>
      <c r="BF564" s="2372"/>
      <c r="BG564" s="2372"/>
      <c r="BH564" s="2372"/>
      <c r="BI564" s="2372"/>
      <c r="BJ564" s="2372"/>
      <c r="BK564" s="2372"/>
      <c r="BL564" s="2372"/>
      <c r="BM564" s="2372"/>
      <c r="BN564" s="2372"/>
      <c r="BO564" s="2372"/>
      <c r="BP564" s="2372"/>
      <c r="BQ564" s="2372"/>
      <c r="BR564" s="2372"/>
      <c r="BS564" s="2372"/>
      <c r="BT564" s="2372"/>
      <c r="BU564" s="2372"/>
      <c r="BV564" s="2372"/>
      <c r="BW564" s="2372"/>
      <c r="BX564" s="2372"/>
      <c r="BY564" s="2372"/>
      <c r="BZ564" s="2372"/>
      <c r="CA564" s="2372"/>
      <c r="CB564" s="2372"/>
      <c r="CC564" s="2372"/>
      <c r="CD564" s="2372"/>
      <c r="CE564" s="2372"/>
      <c r="CF564" s="2372"/>
      <c r="CG564" s="2372"/>
      <c r="CH564" s="2372"/>
      <c r="CI564" s="2372"/>
      <c r="CJ564" s="2372"/>
      <c r="CK564" s="2372"/>
      <c r="CL564" s="2372"/>
      <c r="CM564" s="2372"/>
      <c r="CN564" s="2372"/>
      <c r="CO564" s="2372"/>
      <c r="CP564" s="2372"/>
      <c r="CQ564" s="2372"/>
      <c r="CR564" s="2372"/>
      <c r="CS564" s="2372"/>
      <c r="CT564" s="2372"/>
      <c r="CU564" s="2372"/>
      <c r="CV564" s="2372"/>
      <c r="CW564" s="2372"/>
      <c r="CX564" s="2372"/>
      <c r="CY564" s="2372"/>
      <c r="CZ564" s="2372"/>
      <c r="DA564" s="2372"/>
    </row>
    <row r="565" spans="1:105" ht="15" hidden="1" customHeight="1">
      <c r="A565" s="2372"/>
      <c r="B565" s="2372"/>
      <c r="C565" s="2372"/>
      <c r="D565" s="2372"/>
      <c r="E565" s="2372"/>
      <c r="F565" s="2372"/>
      <c r="G565" s="2372"/>
      <c r="H565" s="2372"/>
      <c r="I565" s="2372"/>
      <c r="J565" s="2372"/>
      <c r="K565" s="2372"/>
      <c r="L565" s="2372"/>
      <c r="M565" s="2372"/>
      <c r="N565" s="2372"/>
      <c r="O565" s="2372"/>
      <c r="P565" s="2372"/>
      <c r="Q565" s="2372"/>
      <c r="R565" s="2372"/>
      <c r="S565" s="2372"/>
      <c r="T565" s="2372"/>
      <c r="U565" s="2372"/>
      <c r="V565" s="2372"/>
      <c r="W565" s="2372"/>
      <c r="X565" s="2372"/>
      <c r="Y565" s="2372"/>
      <c r="Z565" s="2372"/>
      <c r="AA565" s="2372"/>
      <c r="AB565" s="2372"/>
      <c r="AC565" s="2372"/>
      <c r="AD565" s="2372"/>
      <c r="AE565" s="2372"/>
      <c r="AF565" s="2372"/>
      <c r="AG565" s="2372"/>
      <c r="AH565" s="2372"/>
      <c r="AI565" s="2372"/>
      <c r="AJ565" s="2372"/>
      <c r="AK565" s="2372"/>
      <c r="AL565" s="2372"/>
      <c r="AM565" s="2372"/>
      <c r="AN565" s="2372"/>
      <c r="AO565" s="2372"/>
      <c r="AP565" s="2372"/>
      <c r="AQ565" s="2372"/>
      <c r="AR565" s="2372"/>
      <c r="AS565" s="2372"/>
      <c r="AT565" s="2372"/>
      <c r="AU565" s="2372"/>
      <c r="AV565" s="2372"/>
      <c r="AW565" s="2372"/>
      <c r="AX565" s="2372"/>
      <c r="AY565" s="2372"/>
      <c r="AZ565" s="2372"/>
      <c r="BA565" s="2372"/>
      <c r="BB565" s="2372"/>
      <c r="BC565" s="2372"/>
      <c r="BD565" s="2372"/>
      <c r="BE565" s="2372"/>
      <c r="BF565" s="2372"/>
      <c r="BG565" s="2372"/>
      <c r="BH565" s="2372"/>
      <c r="BI565" s="2372"/>
      <c r="BJ565" s="2372"/>
      <c r="BK565" s="2372"/>
      <c r="BL565" s="2372"/>
      <c r="BM565" s="2372"/>
      <c r="BN565" s="2372"/>
      <c r="BO565" s="2372"/>
      <c r="BP565" s="2372"/>
      <c r="BQ565" s="2372"/>
      <c r="BR565" s="2372"/>
      <c r="BS565" s="2372"/>
      <c r="BT565" s="2372"/>
      <c r="BU565" s="2372"/>
      <c r="BV565" s="2372"/>
      <c r="BW565" s="2372"/>
      <c r="BX565" s="2372"/>
      <c r="BY565" s="2372"/>
      <c r="BZ565" s="2372"/>
      <c r="CA565" s="2372"/>
      <c r="CB565" s="2372"/>
      <c r="CC565" s="2372"/>
      <c r="CD565" s="2372"/>
      <c r="CE565" s="2372"/>
      <c r="CF565" s="2372"/>
      <c r="CG565" s="2372"/>
      <c r="CH565" s="2372"/>
      <c r="CI565" s="2372"/>
      <c r="CJ565" s="2372"/>
      <c r="CK565" s="2372"/>
      <c r="CL565" s="2372"/>
      <c r="CM565" s="2372"/>
      <c r="CN565" s="2372"/>
      <c r="CO565" s="2372"/>
      <c r="CP565" s="2372"/>
      <c r="CQ565" s="2372"/>
      <c r="CR565" s="2372"/>
      <c r="CS565" s="2372"/>
      <c r="CT565" s="2372"/>
      <c r="CU565" s="2372"/>
      <c r="CV565" s="2372"/>
      <c r="CW565" s="2372"/>
      <c r="CX565" s="2372"/>
      <c r="CY565" s="2372"/>
      <c r="CZ565" s="2372"/>
      <c r="DA565" s="2372"/>
    </row>
    <row r="566" spans="1:105" ht="15" hidden="1" customHeight="1">
      <c r="A566" s="2372"/>
      <c r="B566" s="2372"/>
      <c r="C566" s="2372"/>
      <c r="D566" s="2372"/>
      <c r="E566" s="2372"/>
      <c r="F566" s="2372"/>
      <c r="G566" s="2372"/>
      <c r="H566" s="2372"/>
      <c r="I566" s="2372"/>
      <c r="J566" s="2372"/>
      <c r="K566" s="2372"/>
      <c r="L566" s="2372"/>
      <c r="M566" s="2372"/>
      <c r="N566" s="2372"/>
      <c r="O566" s="2372"/>
      <c r="P566" s="2372"/>
      <c r="Q566" s="2372"/>
      <c r="R566" s="2372"/>
      <c r="S566" s="2372"/>
      <c r="T566" s="2372"/>
      <c r="U566" s="2372"/>
      <c r="V566" s="2372"/>
      <c r="W566" s="2372"/>
      <c r="X566" s="2372"/>
      <c r="Y566" s="2372"/>
      <c r="Z566" s="2372"/>
      <c r="AA566" s="2372"/>
      <c r="AB566" s="2372"/>
      <c r="AC566" s="2372"/>
      <c r="AD566" s="2372"/>
      <c r="AE566" s="2372"/>
      <c r="AF566" s="2372"/>
      <c r="AG566" s="2372"/>
      <c r="AH566" s="2372"/>
      <c r="AI566" s="2372"/>
      <c r="AJ566" s="2372"/>
      <c r="AK566" s="2372"/>
      <c r="AL566" s="2372"/>
      <c r="AM566" s="2372"/>
      <c r="AN566" s="2372"/>
      <c r="AO566" s="2372"/>
      <c r="AP566" s="2372"/>
      <c r="AQ566" s="2372"/>
      <c r="AR566" s="2372"/>
      <c r="AS566" s="2372"/>
      <c r="AT566" s="2372"/>
      <c r="AU566" s="2372"/>
      <c r="AV566" s="2372"/>
      <c r="AW566" s="2372"/>
      <c r="AX566" s="2372"/>
      <c r="AY566" s="2372"/>
      <c r="AZ566" s="2372"/>
      <c r="BA566" s="2372"/>
      <c r="BB566" s="2372"/>
      <c r="BC566" s="2372"/>
      <c r="BD566" s="2372"/>
      <c r="BE566" s="2372"/>
      <c r="BF566" s="2372"/>
      <c r="BG566" s="2372"/>
      <c r="BH566" s="2372"/>
      <c r="BI566" s="2372"/>
      <c r="BJ566" s="2372"/>
      <c r="BK566" s="2372"/>
      <c r="BL566" s="2372"/>
      <c r="BM566" s="2372"/>
      <c r="BN566" s="2372"/>
      <c r="BO566" s="2372"/>
      <c r="BP566" s="2372"/>
      <c r="BQ566" s="2372"/>
      <c r="BR566" s="2372"/>
      <c r="BS566" s="2372"/>
      <c r="BT566" s="2372"/>
      <c r="BU566" s="2372"/>
      <c r="BV566" s="2372"/>
      <c r="BW566" s="2372"/>
      <c r="BX566" s="2372"/>
      <c r="BY566" s="2372"/>
      <c r="BZ566" s="2372"/>
      <c r="CA566" s="2372"/>
      <c r="CB566" s="2372"/>
      <c r="CC566" s="2372"/>
      <c r="CD566" s="2372"/>
      <c r="CE566" s="2372"/>
      <c r="CF566" s="2372"/>
      <c r="CG566" s="2372"/>
      <c r="CH566" s="2372"/>
      <c r="CI566" s="2372"/>
      <c r="CJ566" s="2372"/>
      <c r="CK566" s="2372"/>
      <c r="CL566" s="2372"/>
      <c r="CM566" s="2372"/>
      <c r="CN566" s="2372"/>
      <c r="CO566" s="2372"/>
      <c r="CP566" s="2372"/>
      <c r="CQ566" s="2372"/>
      <c r="CR566" s="2372"/>
      <c r="CS566" s="2372"/>
      <c r="CT566" s="2372"/>
      <c r="CU566" s="2372"/>
      <c r="CV566" s="2372"/>
      <c r="CW566" s="2372"/>
      <c r="CX566" s="2372"/>
      <c r="CY566" s="2372"/>
      <c r="CZ566" s="2372"/>
      <c r="DA566" s="2372"/>
    </row>
    <row r="567" spans="1:105" ht="15" hidden="1" customHeight="1">
      <c r="A567" s="2372"/>
      <c r="B567" s="2372"/>
      <c r="C567" s="2372"/>
      <c r="D567" s="2372"/>
      <c r="E567" s="2372"/>
      <c r="F567" s="2372"/>
      <c r="G567" s="2372"/>
      <c r="H567" s="2372"/>
      <c r="I567" s="2372"/>
      <c r="J567" s="2372"/>
      <c r="K567" s="2372"/>
      <c r="L567" s="2372"/>
      <c r="M567" s="2372"/>
      <c r="N567" s="2372"/>
      <c r="O567" s="2372"/>
      <c r="P567" s="2372"/>
      <c r="Q567" s="2372"/>
      <c r="R567" s="2372"/>
      <c r="S567" s="2372"/>
      <c r="T567" s="2372"/>
      <c r="U567" s="2372"/>
      <c r="V567" s="2372"/>
      <c r="W567" s="2372"/>
      <c r="X567" s="2372"/>
      <c r="Y567" s="2372"/>
      <c r="Z567" s="2372"/>
      <c r="AA567" s="2372"/>
      <c r="AB567" s="2372"/>
      <c r="AC567" s="2372"/>
      <c r="AD567" s="2372"/>
      <c r="AE567" s="2372"/>
      <c r="AF567" s="2372"/>
      <c r="AG567" s="2372"/>
      <c r="AH567" s="2372"/>
      <c r="AI567" s="2372"/>
      <c r="AJ567" s="2372"/>
      <c r="AK567" s="2372"/>
      <c r="AL567" s="2372"/>
      <c r="AM567" s="2372"/>
      <c r="AN567" s="2372"/>
      <c r="AO567" s="2372"/>
      <c r="AP567" s="2372"/>
      <c r="AQ567" s="2372"/>
      <c r="AR567" s="2372"/>
      <c r="AS567" s="2372"/>
      <c r="AT567" s="2372"/>
      <c r="AU567" s="2372"/>
      <c r="AV567" s="2372"/>
      <c r="AW567" s="2372"/>
      <c r="AX567" s="2372"/>
      <c r="AY567" s="2372"/>
      <c r="AZ567" s="2372"/>
      <c r="BA567" s="2372"/>
      <c r="BB567" s="2372"/>
      <c r="BC567" s="2372"/>
      <c r="BD567" s="2372"/>
      <c r="BE567" s="2372"/>
      <c r="BF567" s="2372"/>
      <c r="BG567" s="2372"/>
      <c r="BH567" s="2372"/>
      <c r="BI567" s="2372"/>
      <c r="BJ567" s="2372"/>
      <c r="BK567" s="2372"/>
      <c r="BL567" s="2372"/>
      <c r="BM567" s="2372"/>
      <c r="BN567" s="2372"/>
      <c r="BO567" s="2372"/>
      <c r="BP567" s="2372"/>
      <c r="BQ567" s="2372"/>
      <c r="BR567" s="2372"/>
      <c r="BS567" s="2372"/>
      <c r="BT567" s="2372"/>
      <c r="BU567" s="2372"/>
      <c r="BV567" s="2372"/>
      <c r="BW567" s="2372"/>
      <c r="BX567" s="2372"/>
      <c r="BY567" s="2372"/>
      <c r="BZ567" s="2372"/>
      <c r="CA567" s="2372"/>
      <c r="CB567" s="2372"/>
      <c r="CC567" s="2372"/>
      <c r="CD567" s="2372"/>
      <c r="CE567" s="2372"/>
      <c r="CF567" s="2372"/>
      <c r="CG567" s="2372"/>
      <c r="CH567" s="2372"/>
      <c r="CI567" s="2372"/>
      <c r="CJ567" s="2372"/>
      <c r="CK567" s="2372"/>
      <c r="CL567" s="2372"/>
      <c r="CM567" s="2372"/>
      <c r="CN567" s="2372"/>
      <c r="CO567" s="2372"/>
      <c r="CP567" s="2372"/>
      <c r="CQ567" s="2372"/>
      <c r="CR567" s="2372"/>
      <c r="CS567" s="2372"/>
      <c r="CT567" s="2372"/>
      <c r="CU567" s="2372"/>
      <c r="CV567" s="2372"/>
      <c r="CW567" s="2372"/>
      <c r="CX567" s="2372"/>
      <c r="CY567" s="2372"/>
      <c r="CZ567" s="2372"/>
      <c r="DA567" s="2372"/>
    </row>
    <row r="568" spans="1:105" ht="15" hidden="1" customHeight="1">
      <c r="A568" s="2372"/>
      <c r="B568" s="2372"/>
      <c r="C568" s="2372"/>
      <c r="D568" s="2372"/>
      <c r="E568" s="2372"/>
      <c r="F568" s="2372"/>
      <c r="G568" s="2372"/>
      <c r="H568" s="2372"/>
      <c r="I568" s="2372"/>
      <c r="J568" s="2372"/>
      <c r="K568" s="2372"/>
      <c r="L568" s="2372"/>
      <c r="M568" s="2372"/>
      <c r="N568" s="2372"/>
      <c r="O568" s="2372"/>
      <c r="P568" s="2372"/>
      <c r="Q568" s="2372"/>
      <c r="R568" s="2372"/>
      <c r="S568" s="2372"/>
      <c r="T568" s="2372"/>
      <c r="U568" s="2372"/>
      <c r="V568" s="2372"/>
      <c r="W568" s="2372"/>
      <c r="X568" s="2372"/>
      <c r="Y568" s="2372"/>
      <c r="Z568" s="2372"/>
      <c r="AA568" s="2372"/>
      <c r="AB568" s="2372"/>
      <c r="AC568" s="2372"/>
      <c r="AD568" s="2372"/>
      <c r="AE568" s="2372"/>
      <c r="AF568" s="2372"/>
      <c r="AG568" s="2372"/>
      <c r="AH568" s="2372"/>
      <c r="AI568" s="2372"/>
      <c r="AJ568" s="2372"/>
      <c r="AK568" s="2372"/>
      <c r="AL568" s="2372"/>
      <c r="AM568" s="2372"/>
      <c r="AN568" s="2372"/>
      <c r="AO568" s="2372"/>
      <c r="AP568" s="2372"/>
      <c r="AQ568" s="2372"/>
      <c r="AR568" s="2372"/>
      <c r="AS568" s="2372"/>
      <c r="AT568" s="2372"/>
      <c r="AU568" s="2372"/>
      <c r="AV568" s="2372"/>
      <c r="AW568" s="2372"/>
      <c r="AX568" s="2372"/>
      <c r="AY568" s="2372"/>
      <c r="AZ568" s="2372"/>
      <c r="BA568" s="2372"/>
      <c r="BB568" s="2372"/>
      <c r="BC568" s="2372"/>
      <c r="BD568" s="2372"/>
      <c r="BE568" s="2372"/>
      <c r="BF568" s="2372"/>
      <c r="BG568" s="2372"/>
      <c r="BH568" s="2372"/>
      <c r="BI568" s="2372"/>
      <c r="BJ568" s="2372"/>
      <c r="BK568" s="2372"/>
      <c r="BL568" s="2372"/>
      <c r="BM568" s="2372"/>
      <c r="BN568" s="2372"/>
      <c r="BO568" s="2372"/>
      <c r="BP568" s="2372"/>
      <c r="BQ568" s="2372"/>
      <c r="BR568" s="2372"/>
      <c r="BS568" s="2372"/>
      <c r="BT568" s="2372"/>
      <c r="BU568" s="2372"/>
      <c r="BV568" s="2372"/>
      <c r="BW568" s="2372"/>
      <c r="BX568" s="2372"/>
      <c r="BY568" s="2372"/>
      <c r="BZ568" s="2372"/>
      <c r="CA568" s="2372"/>
      <c r="CB568" s="2372"/>
      <c r="CC568" s="2372"/>
      <c r="CD568" s="2372"/>
      <c r="CE568" s="2372"/>
      <c r="CF568" s="2372"/>
      <c r="CG568" s="2372"/>
      <c r="CH568" s="2372"/>
      <c r="CI568" s="2372"/>
      <c r="CJ568" s="2372"/>
      <c r="CK568" s="2372"/>
      <c r="CL568" s="2372"/>
      <c r="CM568" s="2372"/>
      <c r="CN568" s="2372"/>
      <c r="CO568" s="2372"/>
      <c r="CP568" s="2372"/>
      <c r="CQ568" s="2372"/>
      <c r="CR568" s="2372"/>
      <c r="CS568" s="2372"/>
      <c r="CT568" s="2372"/>
      <c r="CU568" s="2372"/>
      <c r="CV568" s="2372"/>
      <c r="CW568" s="2372"/>
      <c r="CX568" s="2372"/>
      <c r="CY568" s="2372"/>
      <c r="CZ568" s="2372"/>
      <c r="DA568" s="2372"/>
    </row>
    <row r="569" spans="1:105" ht="15" hidden="1" customHeight="1">
      <c r="A569" s="2372"/>
      <c r="B569" s="2372"/>
      <c r="C569" s="2372"/>
      <c r="D569" s="2372"/>
      <c r="E569" s="2372"/>
      <c r="F569" s="2372"/>
      <c r="G569" s="2372"/>
      <c r="H569" s="2372"/>
      <c r="I569" s="2372"/>
      <c r="J569" s="2372"/>
      <c r="K569" s="2372"/>
      <c r="L569" s="2372"/>
      <c r="M569" s="2372"/>
      <c r="N569" s="2372"/>
      <c r="O569" s="2372"/>
      <c r="P569" s="2372"/>
      <c r="Q569" s="2372"/>
      <c r="R569" s="2372"/>
      <c r="S569" s="2372"/>
      <c r="T569" s="2372"/>
      <c r="U569" s="2372"/>
      <c r="V569" s="2372"/>
      <c r="W569" s="2372"/>
      <c r="X569" s="2372"/>
      <c r="Y569" s="2372"/>
      <c r="Z569" s="2372"/>
      <c r="AA569" s="2372"/>
      <c r="AB569" s="2372"/>
      <c r="AC569" s="2372"/>
      <c r="AD569" s="2372"/>
      <c r="AE569" s="2372"/>
      <c r="AF569" s="2372"/>
      <c r="AG569" s="2372"/>
      <c r="AH569" s="2372"/>
      <c r="AI569" s="2372"/>
      <c r="AJ569" s="2372"/>
      <c r="AK569" s="2372"/>
      <c r="AL569" s="2372"/>
      <c r="AM569" s="2372"/>
      <c r="AN569" s="2372"/>
      <c r="AO569" s="2372"/>
      <c r="AP569" s="2372"/>
      <c r="AQ569" s="2372"/>
      <c r="AR569" s="2372"/>
      <c r="AS569" s="2372"/>
      <c r="AT569" s="2372"/>
      <c r="AU569" s="2372"/>
      <c r="AV569" s="2372"/>
      <c r="AW569" s="2372"/>
      <c r="AX569" s="2372"/>
      <c r="AY569" s="2372"/>
      <c r="AZ569" s="2372"/>
      <c r="BA569" s="2372"/>
      <c r="BB569" s="2372"/>
      <c r="BC569" s="2372"/>
      <c r="BD569" s="2372"/>
      <c r="BE569" s="2372"/>
      <c r="BF569" s="2372"/>
      <c r="BG569" s="2372"/>
      <c r="BH569" s="2372"/>
      <c r="BI569" s="2372"/>
      <c r="BJ569" s="2372"/>
      <c r="BK569" s="2372"/>
      <c r="BL569" s="2372"/>
      <c r="BM569" s="2372"/>
      <c r="BN569" s="2372"/>
      <c r="BO569" s="2372"/>
      <c r="BP569" s="2372"/>
      <c r="BQ569" s="2372"/>
      <c r="BR569" s="2372"/>
      <c r="BS569" s="2372"/>
      <c r="BT569" s="2372"/>
      <c r="BU569" s="2372"/>
      <c r="BV569" s="2372"/>
      <c r="BW569" s="2372"/>
      <c r="BX569" s="2372"/>
      <c r="BY569" s="2372"/>
      <c r="BZ569" s="2372"/>
      <c r="CA569" s="2372"/>
      <c r="CB569" s="2372"/>
      <c r="CC569" s="2372"/>
      <c r="CD569" s="2372"/>
      <c r="CE569" s="2372"/>
      <c r="CF569" s="2372"/>
      <c r="CG569" s="2372"/>
      <c r="CH569" s="2372"/>
      <c r="CI569" s="2372"/>
      <c r="CJ569" s="2372"/>
      <c r="CK569" s="2372"/>
      <c r="CL569" s="2372"/>
      <c r="CM569" s="2372"/>
      <c r="CN569" s="2372"/>
      <c r="CO569" s="2372"/>
      <c r="CP569" s="2372"/>
      <c r="CQ569" s="2372"/>
      <c r="CR569" s="2372"/>
      <c r="CS569" s="2372"/>
      <c r="CT569" s="2372"/>
      <c r="CU569" s="2372"/>
      <c r="CV569" s="2372"/>
      <c r="CW569" s="2372"/>
      <c r="CX569" s="2372"/>
      <c r="CY569" s="2372"/>
      <c r="CZ569" s="2372"/>
      <c r="DA569" s="2372"/>
    </row>
    <row r="570" spans="1:105" ht="15" hidden="1" customHeight="1">
      <c r="A570" s="2372"/>
      <c r="B570" s="2372"/>
      <c r="C570" s="2372"/>
      <c r="D570" s="2372"/>
      <c r="E570" s="2372"/>
      <c r="F570" s="2372"/>
      <c r="G570" s="2372"/>
      <c r="H570" s="2372"/>
      <c r="I570" s="2372"/>
      <c r="J570" s="2372"/>
      <c r="K570" s="2372"/>
      <c r="L570" s="2372"/>
      <c r="M570" s="2372"/>
      <c r="N570" s="2372"/>
      <c r="O570" s="2372"/>
      <c r="P570" s="2372"/>
      <c r="Q570" s="2372"/>
      <c r="R570" s="2372"/>
      <c r="S570" s="2372"/>
      <c r="T570" s="2372"/>
      <c r="U570" s="2372"/>
      <c r="V570" s="2372"/>
      <c r="W570" s="2372"/>
      <c r="X570" s="2372"/>
      <c r="Y570" s="2372"/>
      <c r="Z570" s="2372"/>
      <c r="AA570" s="2372"/>
      <c r="AB570" s="2372"/>
      <c r="AC570" s="2372"/>
      <c r="AD570" s="2372"/>
      <c r="AE570" s="2372"/>
      <c r="AF570" s="2372"/>
      <c r="AG570" s="2372"/>
      <c r="AH570" s="2372"/>
      <c r="AI570" s="2372"/>
      <c r="AJ570" s="2372"/>
      <c r="AK570" s="2372"/>
      <c r="AL570" s="2372"/>
      <c r="AM570" s="2372"/>
      <c r="AN570" s="2372"/>
      <c r="AO570" s="2372"/>
      <c r="AP570" s="2372"/>
      <c r="AQ570" s="2372"/>
      <c r="AR570" s="2372"/>
      <c r="AS570" s="2372"/>
      <c r="AT570" s="2372"/>
      <c r="AU570" s="2372"/>
      <c r="AV570" s="2372"/>
      <c r="AW570" s="2372"/>
      <c r="AX570" s="2372"/>
      <c r="AY570" s="2372"/>
      <c r="AZ570" s="2372"/>
      <c r="BA570" s="2372"/>
      <c r="BB570" s="2372"/>
      <c r="BC570" s="2372"/>
      <c r="BD570" s="2372"/>
      <c r="BE570" s="2372"/>
      <c r="BF570" s="2372"/>
      <c r="BG570" s="2372"/>
      <c r="BH570" s="2372"/>
      <c r="BI570" s="2372"/>
      <c r="BJ570" s="2372"/>
      <c r="BK570" s="2372"/>
      <c r="BL570" s="2372"/>
      <c r="BM570" s="2372"/>
      <c r="BN570" s="2372"/>
      <c r="BO570" s="2372"/>
      <c r="BP570" s="2372"/>
      <c r="BQ570" s="2372"/>
      <c r="BR570" s="2372"/>
      <c r="BS570" s="2372"/>
      <c r="BT570" s="2372"/>
      <c r="BU570" s="2372"/>
      <c r="BV570" s="2372"/>
      <c r="BW570" s="2372"/>
      <c r="BX570" s="2372"/>
      <c r="BY570" s="2372"/>
      <c r="BZ570" s="2372"/>
      <c r="CA570" s="2372"/>
      <c r="CB570" s="2372"/>
      <c r="CC570" s="2372"/>
      <c r="CD570" s="2372"/>
      <c r="CE570" s="2372"/>
      <c r="CF570" s="2372"/>
      <c r="CG570" s="2372"/>
      <c r="CH570" s="2372"/>
      <c r="CI570" s="2372"/>
      <c r="CJ570" s="2372"/>
      <c r="CK570" s="2372"/>
      <c r="CL570" s="2372"/>
      <c r="CM570" s="2372"/>
      <c r="CN570" s="2372"/>
      <c r="CO570" s="2372"/>
      <c r="CP570" s="2372"/>
      <c r="CQ570" s="2372"/>
      <c r="CR570" s="2372"/>
      <c r="CS570" s="2372"/>
      <c r="CT570" s="2372"/>
      <c r="CU570" s="2372"/>
      <c r="CV570" s="2372"/>
      <c r="CW570" s="2372"/>
      <c r="CX570" s="2372"/>
      <c r="CY570" s="2372"/>
      <c r="CZ570" s="2372"/>
      <c r="DA570" s="2372"/>
    </row>
    <row r="571" spans="1:105" ht="15" hidden="1" customHeight="1">
      <c r="A571" s="2372"/>
      <c r="B571" s="2372"/>
      <c r="C571" s="2372"/>
      <c r="D571" s="2372"/>
      <c r="E571" s="2372"/>
      <c r="F571" s="2372"/>
      <c r="G571" s="2372"/>
      <c r="H571" s="2372"/>
      <c r="I571" s="2372"/>
      <c r="J571" s="2372"/>
      <c r="K571" s="2372"/>
      <c r="L571" s="2372"/>
      <c r="M571" s="2372"/>
      <c r="N571" s="2372"/>
      <c r="O571" s="2372"/>
      <c r="P571" s="2372"/>
      <c r="Q571" s="2372"/>
      <c r="R571" s="2372"/>
      <c r="S571" s="2372"/>
      <c r="T571" s="2372"/>
      <c r="U571" s="2372"/>
      <c r="V571" s="2372"/>
      <c r="W571" s="2372"/>
      <c r="X571" s="2372"/>
      <c r="Y571" s="2372"/>
      <c r="Z571" s="2372"/>
      <c r="AA571" s="2372"/>
      <c r="AB571" s="2372"/>
      <c r="AC571" s="2372"/>
      <c r="AD571" s="2372"/>
      <c r="AE571" s="2372"/>
      <c r="AF571" s="2372"/>
      <c r="AG571" s="2372"/>
      <c r="AH571" s="2372"/>
      <c r="AI571" s="2372"/>
      <c r="AJ571" s="2372"/>
      <c r="AK571" s="2372"/>
      <c r="AL571" s="2372"/>
      <c r="AM571" s="2372"/>
      <c r="AN571" s="2372"/>
      <c r="AO571" s="2372"/>
      <c r="AP571" s="2372"/>
      <c r="AQ571" s="2372"/>
      <c r="AR571" s="2372"/>
      <c r="AS571" s="2372"/>
      <c r="AT571" s="2372"/>
      <c r="AU571" s="2372"/>
      <c r="AV571" s="2372"/>
      <c r="AW571" s="2372"/>
      <c r="AX571" s="2372"/>
      <c r="AY571" s="2372"/>
      <c r="AZ571" s="2372"/>
      <c r="BA571" s="2372"/>
      <c r="BB571" s="2372"/>
      <c r="BC571" s="2372"/>
      <c r="BD571" s="2372"/>
      <c r="BE571" s="2372"/>
      <c r="BF571" s="2372"/>
      <c r="BG571" s="2372"/>
      <c r="BH571" s="2372"/>
      <c r="BI571" s="2372"/>
      <c r="BJ571" s="2372"/>
      <c r="BK571" s="2372"/>
      <c r="BL571" s="2372"/>
      <c r="BM571" s="2372"/>
      <c r="BN571" s="2372"/>
      <c r="BO571" s="2372"/>
      <c r="BP571" s="2372"/>
      <c r="BQ571" s="2372"/>
      <c r="BR571" s="2372"/>
      <c r="BS571" s="2372"/>
      <c r="BT571" s="2372"/>
      <c r="BU571" s="2372"/>
      <c r="BV571" s="2372"/>
      <c r="BW571" s="2372"/>
      <c r="BX571" s="2372"/>
      <c r="BY571" s="2372"/>
      <c r="BZ571" s="2372"/>
      <c r="CA571" s="2372"/>
      <c r="CB571" s="2372"/>
      <c r="CC571" s="2372"/>
      <c r="CD571" s="2372"/>
      <c r="CE571" s="2372"/>
      <c r="CF571" s="2372"/>
      <c r="CG571" s="2372"/>
      <c r="CH571" s="2372"/>
      <c r="CI571" s="2372"/>
      <c r="CJ571" s="2372"/>
      <c r="CK571" s="2372"/>
      <c r="CL571" s="2372"/>
      <c r="CM571" s="2372"/>
      <c r="CN571" s="2372"/>
      <c r="CO571" s="2372"/>
      <c r="CP571" s="2372"/>
      <c r="CQ571" s="2372"/>
      <c r="CR571" s="2372"/>
      <c r="CS571" s="2372"/>
      <c r="CT571" s="2372"/>
      <c r="CU571" s="2372"/>
      <c r="CV571" s="2372"/>
      <c r="CW571" s="2372"/>
      <c r="CX571" s="2372"/>
      <c r="CY571" s="2372"/>
      <c r="CZ571" s="2372"/>
      <c r="DA571" s="2372"/>
    </row>
    <row r="572" spans="1:105" ht="15" hidden="1" customHeight="1">
      <c r="A572" s="2372"/>
      <c r="B572" s="2372"/>
      <c r="C572" s="2372"/>
      <c r="D572" s="2372"/>
      <c r="E572" s="2372"/>
      <c r="F572" s="2372"/>
      <c r="G572" s="2372"/>
      <c r="H572" s="2372"/>
      <c r="I572" s="2372"/>
      <c r="J572" s="2372"/>
      <c r="K572" s="2372"/>
      <c r="L572" s="2372"/>
      <c r="M572" s="2372"/>
      <c r="N572" s="2372"/>
      <c r="O572" s="2372"/>
      <c r="P572" s="2372"/>
      <c r="Q572" s="2372"/>
      <c r="R572" s="2372"/>
      <c r="S572" s="2372"/>
      <c r="T572" s="2372"/>
      <c r="U572" s="2372"/>
      <c r="V572" s="2372"/>
      <c r="W572" s="2372"/>
      <c r="X572" s="2372"/>
      <c r="Y572" s="2372"/>
      <c r="Z572" s="2372"/>
      <c r="AA572" s="2372"/>
      <c r="AB572" s="2372"/>
      <c r="AC572" s="2372"/>
      <c r="AD572" s="2372"/>
      <c r="AE572" s="2372"/>
      <c r="AF572" s="2372"/>
      <c r="AG572" s="2372"/>
      <c r="AH572" s="2372"/>
      <c r="AI572" s="2372"/>
      <c r="AJ572" s="2372"/>
      <c r="AK572" s="2372"/>
      <c r="AL572" s="2372"/>
      <c r="AM572" s="2372"/>
      <c r="AN572" s="2372"/>
      <c r="AO572" s="2372"/>
      <c r="AP572" s="2372"/>
      <c r="AQ572" s="2372"/>
      <c r="AR572" s="2372"/>
      <c r="AS572" s="2372"/>
      <c r="AT572" s="2372"/>
      <c r="AU572" s="2372"/>
      <c r="AV572" s="2372"/>
      <c r="AW572" s="2372"/>
      <c r="AX572" s="2372"/>
      <c r="AY572" s="2372"/>
      <c r="AZ572" s="2372"/>
      <c r="BA572" s="2372"/>
      <c r="BB572" s="2372"/>
      <c r="BC572" s="2372"/>
      <c r="BD572" s="2372"/>
      <c r="BE572" s="2372"/>
      <c r="BF572" s="2372"/>
      <c r="BG572" s="2372"/>
      <c r="BH572" s="2372"/>
      <c r="BI572" s="2372"/>
      <c r="BJ572" s="2372"/>
      <c r="BK572" s="2372"/>
      <c r="BL572" s="2372"/>
      <c r="BM572" s="2372"/>
      <c r="BN572" s="2372"/>
      <c r="BO572" s="2372"/>
      <c r="BP572" s="2372"/>
      <c r="BQ572" s="2372"/>
      <c r="BR572" s="2372"/>
      <c r="BS572" s="2372"/>
      <c r="BT572" s="2372"/>
      <c r="BU572" s="2372"/>
      <c r="BV572" s="2372"/>
      <c r="BW572" s="2372"/>
      <c r="BX572" s="2372"/>
      <c r="BY572" s="2372"/>
      <c r="BZ572" s="2372"/>
      <c r="CA572" s="2372"/>
      <c r="CB572" s="2372"/>
      <c r="CC572" s="2372"/>
      <c r="CD572" s="2372"/>
      <c r="CE572" s="2372"/>
      <c r="CF572" s="2372"/>
      <c r="CG572" s="2372"/>
      <c r="CH572" s="2372"/>
      <c r="CI572" s="2372"/>
      <c r="CJ572" s="2372"/>
      <c r="CK572" s="2372"/>
      <c r="CL572" s="2372"/>
      <c r="CM572" s="2372"/>
      <c r="CN572" s="2372"/>
      <c r="CO572" s="2372"/>
      <c r="CP572" s="2372"/>
      <c r="CQ572" s="2372"/>
      <c r="CR572" s="2372"/>
      <c r="CS572" s="2372"/>
      <c r="CT572" s="2372"/>
      <c r="CU572" s="2372"/>
      <c r="CV572" s="2372"/>
      <c r="CW572" s="2372"/>
      <c r="CX572" s="2372"/>
      <c r="CY572" s="2372"/>
      <c r="CZ572" s="2372"/>
      <c r="DA572" s="2372"/>
    </row>
    <row r="573" spans="1:105" ht="15" hidden="1" customHeight="1">
      <c r="A573" s="2372"/>
      <c r="B573" s="2372"/>
      <c r="C573" s="2372"/>
      <c r="D573" s="2372"/>
      <c r="E573" s="2372"/>
      <c r="F573" s="2372"/>
      <c r="G573" s="2372"/>
      <c r="H573" s="2372"/>
      <c r="I573" s="2372"/>
      <c r="J573" s="2372"/>
      <c r="K573" s="2372"/>
      <c r="L573" s="2372"/>
      <c r="M573" s="2372"/>
      <c r="N573" s="2372"/>
      <c r="O573" s="2372"/>
      <c r="P573" s="2372"/>
      <c r="Q573" s="2372"/>
      <c r="R573" s="2372"/>
      <c r="S573" s="2372"/>
      <c r="T573" s="2372"/>
      <c r="U573" s="2372"/>
      <c r="V573" s="2372"/>
      <c r="W573" s="2372"/>
      <c r="X573" s="2372"/>
      <c r="Y573" s="2372"/>
      <c r="Z573" s="2372"/>
      <c r="AA573" s="2372"/>
      <c r="AB573" s="2372"/>
      <c r="AC573" s="2372"/>
      <c r="AD573" s="2372"/>
      <c r="AE573" s="2372"/>
      <c r="AF573" s="2372"/>
      <c r="AG573" s="2372"/>
      <c r="AH573" s="2372"/>
      <c r="AI573" s="2372"/>
      <c r="AJ573" s="2372"/>
      <c r="AK573" s="2372"/>
      <c r="AL573" s="2372"/>
      <c r="AM573" s="2372"/>
      <c r="AN573" s="2372"/>
      <c r="AO573" s="2372"/>
      <c r="AP573" s="2372"/>
      <c r="AQ573" s="2372"/>
      <c r="AR573" s="2372"/>
      <c r="AS573" s="2372"/>
      <c r="AT573" s="2372"/>
      <c r="AU573" s="2372"/>
      <c r="AV573" s="2372"/>
      <c r="AW573" s="2372"/>
      <c r="AX573" s="2372"/>
      <c r="AY573" s="2372"/>
      <c r="AZ573" s="2372"/>
      <c r="BA573" s="2372"/>
      <c r="BB573" s="2372"/>
      <c r="BC573" s="2372"/>
      <c r="BD573" s="2372"/>
      <c r="BE573" s="2372"/>
      <c r="BF573" s="2372"/>
      <c r="BG573" s="2372"/>
      <c r="BH573" s="2372"/>
      <c r="BI573" s="2372"/>
      <c r="BJ573" s="2372"/>
      <c r="BK573" s="2372"/>
      <c r="BL573" s="2372"/>
      <c r="BM573" s="2372"/>
      <c r="BN573" s="2372"/>
      <c r="BO573" s="2372"/>
      <c r="BP573" s="2372"/>
      <c r="BQ573" s="2372"/>
      <c r="BR573" s="2372"/>
      <c r="BS573" s="2372"/>
      <c r="BT573" s="2372"/>
      <c r="BU573" s="2372"/>
      <c r="BV573" s="2372"/>
      <c r="BW573" s="2372"/>
      <c r="BX573" s="2372"/>
      <c r="BY573" s="2372"/>
      <c r="BZ573" s="2372"/>
      <c r="CA573" s="2372"/>
      <c r="CB573" s="2372"/>
      <c r="CC573" s="2372"/>
      <c r="CD573" s="2372"/>
      <c r="CE573" s="2372"/>
      <c r="CF573" s="2372"/>
      <c r="CG573" s="2372"/>
      <c r="CH573" s="2372"/>
      <c r="CI573" s="2372"/>
      <c r="CJ573" s="2372"/>
      <c r="CK573" s="2372"/>
      <c r="CL573" s="2372"/>
      <c r="CM573" s="2372"/>
      <c r="CN573" s="2372"/>
      <c r="CO573" s="2372"/>
      <c r="CP573" s="2372"/>
      <c r="CQ573" s="2372"/>
      <c r="CR573" s="2372"/>
      <c r="CS573" s="2372"/>
      <c r="CT573" s="2372"/>
      <c r="CU573" s="2372"/>
      <c r="CV573" s="2372"/>
      <c r="CW573" s="2372"/>
      <c r="CX573" s="2372"/>
      <c r="CY573" s="2372"/>
      <c r="CZ573" s="2372"/>
      <c r="DA573" s="2372"/>
    </row>
    <row r="574" spans="1:105" ht="15" hidden="1" customHeight="1">
      <c r="A574" s="2372"/>
      <c r="B574" s="2372"/>
      <c r="C574" s="2372"/>
      <c r="D574" s="2372"/>
      <c r="E574" s="2372"/>
      <c r="F574" s="2372"/>
      <c r="G574" s="2372"/>
      <c r="H574" s="2372"/>
      <c r="I574" s="2372"/>
      <c r="J574" s="2372"/>
      <c r="K574" s="2372"/>
      <c r="L574" s="2372"/>
      <c r="M574" s="2372"/>
      <c r="N574" s="2372"/>
      <c r="O574" s="2372"/>
      <c r="P574" s="2372"/>
      <c r="Q574" s="2372"/>
      <c r="R574" s="2372"/>
      <c r="S574" s="2372"/>
      <c r="T574" s="2372"/>
      <c r="U574" s="2372"/>
      <c r="V574" s="2372"/>
      <c r="W574" s="2372"/>
      <c r="X574" s="2372"/>
      <c r="Y574" s="2372"/>
      <c r="Z574" s="2372"/>
      <c r="AA574" s="2372"/>
      <c r="AB574" s="2372"/>
      <c r="AC574" s="2372"/>
      <c r="AD574" s="2372"/>
      <c r="AE574" s="2372"/>
      <c r="AF574" s="2372"/>
      <c r="AG574" s="2372"/>
      <c r="AH574" s="2372"/>
      <c r="AI574" s="2372"/>
      <c r="AJ574" s="2372"/>
      <c r="AK574" s="2372"/>
      <c r="AL574" s="2372"/>
      <c r="AM574" s="2372"/>
      <c r="AN574" s="2372"/>
      <c r="AO574" s="2372"/>
      <c r="AP574" s="2372"/>
      <c r="AQ574" s="2372"/>
      <c r="AR574" s="2372"/>
      <c r="AS574" s="2372"/>
      <c r="AT574" s="2372"/>
      <c r="AU574" s="2372"/>
      <c r="AV574" s="2372"/>
      <c r="AW574" s="2372"/>
      <c r="AX574" s="2372"/>
      <c r="AY574" s="2372"/>
      <c r="AZ574" s="2372"/>
      <c r="BA574" s="2372"/>
      <c r="BB574" s="2372"/>
      <c r="BC574" s="2372"/>
      <c r="BD574" s="2372"/>
      <c r="BE574" s="2372"/>
      <c r="BF574" s="2372"/>
      <c r="BG574" s="2372"/>
      <c r="BH574" s="2372"/>
      <c r="BI574" s="2372"/>
      <c r="BJ574" s="2372"/>
      <c r="BK574" s="2372"/>
      <c r="BL574" s="2372"/>
      <c r="BM574" s="2372"/>
      <c r="BN574" s="2372"/>
      <c r="BO574" s="2372"/>
      <c r="BP574" s="2372"/>
      <c r="BQ574" s="2372"/>
      <c r="BR574" s="2372"/>
      <c r="BS574" s="2372"/>
      <c r="BT574" s="2372"/>
      <c r="BU574" s="2372"/>
      <c r="BV574" s="2372"/>
      <c r="BW574" s="2372"/>
      <c r="BX574" s="2372"/>
      <c r="BY574" s="2372"/>
      <c r="BZ574" s="2372"/>
      <c r="CA574" s="2372"/>
      <c r="CB574" s="2372"/>
      <c r="CC574" s="2372"/>
      <c r="CD574" s="2372"/>
      <c r="CE574" s="2372"/>
      <c r="CF574" s="2372"/>
      <c r="CG574" s="2372"/>
      <c r="CH574" s="2372"/>
      <c r="CI574" s="2372"/>
      <c r="CJ574" s="2372"/>
      <c r="CK574" s="2372"/>
      <c r="CL574" s="2372"/>
      <c r="CM574" s="2372"/>
      <c r="CN574" s="2372"/>
      <c r="CO574" s="2372"/>
      <c r="CP574" s="2372"/>
      <c r="CQ574" s="2372"/>
      <c r="CR574" s="2372"/>
      <c r="CS574" s="2372"/>
      <c r="CT574" s="2372"/>
      <c r="CU574" s="2372"/>
      <c r="CV574" s="2372"/>
      <c r="CW574" s="2372"/>
      <c r="CX574" s="2372"/>
      <c r="CY574" s="2372"/>
      <c r="CZ574" s="2372"/>
      <c r="DA574" s="2372"/>
    </row>
    <row r="575" spans="1:105" ht="15" hidden="1" customHeight="1">
      <c r="A575" s="2372"/>
      <c r="B575" s="2372"/>
      <c r="C575" s="2372"/>
      <c r="D575" s="2372"/>
      <c r="E575" s="2372"/>
      <c r="F575" s="2372"/>
      <c r="G575" s="2372"/>
      <c r="H575" s="2372"/>
      <c r="I575" s="2372"/>
      <c r="J575" s="2372"/>
      <c r="K575" s="2372"/>
      <c r="L575" s="2372"/>
      <c r="M575" s="2372"/>
      <c r="N575" s="2372"/>
      <c r="O575" s="2372"/>
      <c r="P575" s="2372"/>
      <c r="Q575" s="2372"/>
      <c r="R575" s="2372"/>
      <c r="S575" s="2372"/>
      <c r="T575" s="2372"/>
      <c r="U575" s="2372"/>
      <c r="V575" s="2372"/>
      <c r="W575" s="2372"/>
      <c r="X575" s="2372"/>
      <c r="Y575" s="2372"/>
      <c r="Z575" s="2372"/>
      <c r="AA575" s="2372"/>
      <c r="AB575" s="2372"/>
      <c r="AC575" s="2372"/>
      <c r="AD575" s="2372"/>
      <c r="AE575" s="2372"/>
      <c r="AF575" s="2372"/>
      <c r="AG575" s="2372"/>
      <c r="AH575" s="2372"/>
      <c r="AI575" s="2372"/>
      <c r="AJ575" s="2372"/>
      <c r="AK575" s="2372"/>
      <c r="AL575" s="2372"/>
      <c r="AM575" s="2372"/>
      <c r="AN575" s="2372"/>
      <c r="AO575" s="2372"/>
      <c r="AP575" s="2372"/>
      <c r="AQ575" s="2372"/>
      <c r="AR575" s="2372"/>
      <c r="AS575" s="2372"/>
      <c r="AT575" s="2372"/>
      <c r="AU575" s="2372"/>
      <c r="AV575" s="2372"/>
      <c r="AW575" s="2372"/>
      <c r="AX575" s="2372"/>
      <c r="AY575" s="2372"/>
      <c r="AZ575" s="2372"/>
      <c r="BA575" s="2372"/>
      <c r="BB575" s="2372"/>
      <c r="BC575" s="2372"/>
      <c r="BD575" s="2372"/>
      <c r="BE575" s="2372"/>
      <c r="BF575" s="2372"/>
      <c r="BG575" s="2372"/>
      <c r="BH575" s="2372"/>
      <c r="BI575" s="2372"/>
      <c r="BJ575" s="2372"/>
      <c r="BK575" s="2372"/>
      <c r="BL575" s="2372"/>
      <c r="BM575" s="2372"/>
      <c r="BN575" s="2372"/>
      <c r="BO575" s="2372"/>
      <c r="BP575" s="2372"/>
      <c r="BQ575" s="2372"/>
      <c r="BR575" s="2372"/>
      <c r="BS575" s="2372"/>
      <c r="BT575" s="2372"/>
      <c r="BU575" s="2372"/>
      <c r="BV575" s="2372"/>
      <c r="BW575" s="2372"/>
      <c r="BX575" s="2372"/>
      <c r="BY575" s="2372"/>
      <c r="BZ575" s="2372"/>
      <c r="CA575" s="2372"/>
      <c r="CB575" s="2372"/>
      <c r="CC575" s="2372"/>
      <c r="CD575" s="2372"/>
      <c r="CE575" s="2372"/>
      <c r="CF575" s="2372"/>
      <c r="CG575" s="2372"/>
      <c r="CH575" s="2372"/>
      <c r="CI575" s="2372"/>
      <c r="CJ575" s="2372"/>
      <c r="CK575" s="2372"/>
      <c r="CL575" s="2372"/>
      <c r="CM575" s="2372"/>
      <c r="CN575" s="2372"/>
      <c r="CO575" s="2372"/>
      <c r="CP575" s="2372"/>
      <c r="CQ575" s="2372"/>
      <c r="CR575" s="2372"/>
      <c r="CS575" s="2372"/>
      <c r="CT575" s="2372"/>
      <c r="CU575" s="2372"/>
      <c r="CV575" s="2372"/>
      <c r="CW575" s="2372"/>
      <c r="CX575" s="2372"/>
      <c r="CY575" s="2372"/>
      <c r="CZ575" s="2372"/>
      <c r="DA575" s="2372"/>
    </row>
    <row r="576" spans="1:105" ht="15" hidden="1" customHeight="1">
      <c r="A576" s="2372"/>
      <c r="B576" s="2372"/>
      <c r="C576" s="2372"/>
      <c r="D576" s="2372"/>
      <c r="E576" s="2372"/>
      <c r="F576" s="2372"/>
      <c r="G576" s="2372"/>
      <c r="H576" s="2372"/>
      <c r="I576" s="2372"/>
      <c r="J576" s="2372"/>
      <c r="K576" s="2372"/>
      <c r="L576" s="2372"/>
      <c r="M576" s="2372"/>
      <c r="N576" s="2372"/>
      <c r="O576" s="2372"/>
      <c r="P576" s="2372"/>
      <c r="Q576" s="2372"/>
      <c r="R576" s="2372"/>
      <c r="S576" s="2372"/>
      <c r="T576" s="2372"/>
      <c r="U576" s="2372"/>
      <c r="V576" s="2372"/>
      <c r="W576" s="2372"/>
      <c r="X576" s="2372"/>
      <c r="Y576" s="2372"/>
      <c r="Z576" s="2372"/>
      <c r="AA576" s="2372"/>
      <c r="AB576" s="2372"/>
      <c r="AC576" s="2372"/>
      <c r="AD576" s="2372"/>
      <c r="AE576" s="2372"/>
      <c r="AF576" s="2372"/>
      <c r="AG576" s="2372"/>
      <c r="AH576" s="2372"/>
      <c r="AI576" s="2372"/>
      <c r="AJ576" s="2372"/>
      <c r="AK576" s="2372"/>
      <c r="AL576" s="2372"/>
      <c r="AM576" s="2372"/>
      <c r="AN576" s="2372"/>
      <c r="AO576" s="2372"/>
      <c r="AP576" s="2372"/>
      <c r="AQ576" s="2372"/>
      <c r="AR576" s="2372"/>
      <c r="AS576" s="2372"/>
      <c r="AT576" s="2372"/>
      <c r="AU576" s="2372"/>
      <c r="AV576" s="2372"/>
      <c r="AW576" s="2372"/>
      <c r="AX576" s="2372"/>
      <c r="AY576" s="2372"/>
      <c r="AZ576" s="2372"/>
      <c r="BA576" s="2372"/>
      <c r="BB576" s="2372"/>
      <c r="BC576" s="2372"/>
      <c r="BD576" s="2372"/>
      <c r="BE576" s="2372"/>
      <c r="BF576" s="2372"/>
      <c r="BG576" s="2372"/>
      <c r="BH576" s="2372"/>
      <c r="BI576" s="2372"/>
      <c r="BJ576" s="2372"/>
      <c r="BK576" s="2372"/>
      <c r="BL576" s="2372"/>
      <c r="BM576" s="2372"/>
      <c r="BN576" s="2372"/>
      <c r="BO576" s="2372"/>
      <c r="BP576" s="2372"/>
      <c r="BQ576" s="2372"/>
      <c r="BR576" s="2372"/>
      <c r="BS576" s="2372"/>
      <c r="BT576" s="2372"/>
      <c r="BU576" s="2372"/>
      <c r="BV576" s="2372"/>
      <c r="BW576" s="2372"/>
      <c r="BX576" s="2372"/>
      <c r="BY576" s="2372"/>
      <c r="BZ576" s="2372"/>
      <c r="CA576" s="2372"/>
      <c r="CB576" s="2372"/>
      <c r="CC576" s="2372"/>
      <c r="CD576" s="2372"/>
      <c r="CE576" s="2372"/>
      <c r="CF576" s="2372"/>
      <c r="CG576" s="2372"/>
      <c r="CH576" s="2372"/>
      <c r="CI576" s="2372"/>
      <c r="CJ576" s="2372"/>
      <c r="CK576" s="2372"/>
      <c r="CL576" s="2372"/>
      <c r="CM576" s="2372"/>
      <c r="CN576" s="2372"/>
      <c r="CO576" s="2372"/>
      <c r="CP576" s="2372"/>
      <c r="CQ576" s="2372"/>
      <c r="CR576" s="2372"/>
      <c r="CS576" s="2372"/>
      <c r="CT576" s="2372"/>
      <c r="CU576" s="2372"/>
      <c r="CV576" s="2372"/>
      <c r="CW576" s="2372"/>
      <c r="CX576" s="2372"/>
      <c r="CY576" s="2372"/>
      <c r="CZ576" s="2372"/>
      <c r="DA576" s="2372"/>
    </row>
    <row r="577" spans="1:105" ht="15" hidden="1" customHeight="1">
      <c r="A577" s="2372"/>
      <c r="B577" s="2372"/>
      <c r="C577" s="2372"/>
      <c r="D577" s="2372"/>
      <c r="E577" s="2372"/>
      <c r="F577" s="2372"/>
      <c r="G577" s="2372"/>
      <c r="H577" s="2372"/>
      <c r="I577" s="2372"/>
      <c r="J577" s="2372"/>
      <c r="K577" s="2372"/>
      <c r="L577" s="2372"/>
      <c r="M577" s="2372"/>
      <c r="N577" s="2372"/>
      <c r="O577" s="2372"/>
      <c r="P577" s="2372"/>
      <c r="Q577" s="2372"/>
      <c r="R577" s="2372"/>
      <c r="S577" s="2372"/>
      <c r="T577" s="2372"/>
      <c r="U577" s="2372"/>
      <c r="V577" s="2372"/>
      <c r="W577" s="2372"/>
      <c r="X577" s="2372"/>
      <c r="Y577" s="2372"/>
      <c r="Z577" s="2372"/>
      <c r="AA577" s="2372"/>
      <c r="AB577" s="2372"/>
      <c r="AC577" s="2372"/>
      <c r="AD577" s="2372"/>
      <c r="AE577" s="2372"/>
      <c r="AF577" s="2372"/>
      <c r="AG577" s="2372"/>
      <c r="AH577" s="2372"/>
      <c r="AI577" s="2372"/>
      <c r="AJ577" s="2372"/>
      <c r="AK577" s="2372"/>
      <c r="AL577" s="2372"/>
      <c r="AM577" s="2372"/>
      <c r="AN577" s="2372"/>
      <c r="AO577" s="2372"/>
      <c r="AP577" s="2372"/>
      <c r="AQ577" s="2372"/>
      <c r="AR577" s="2372"/>
      <c r="AS577" s="2372"/>
      <c r="AT577" s="2372"/>
      <c r="AU577" s="2372"/>
      <c r="AV577" s="2372"/>
      <c r="AW577" s="2372"/>
      <c r="AX577" s="2372"/>
      <c r="AY577" s="2372"/>
      <c r="AZ577" s="2372"/>
      <c r="BA577" s="2372"/>
      <c r="BB577" s="2372"/>
      <c r="BC577" s="2372"/>
      <c r="BD577" s="2372"/>
      <c r="BE577" s="2372"/>
      <c r="BF577" s="2372"/>
      <c r="BG577" s="2372"/>
      <c r="BH577" s="2372"/>
      <c r="BI577" s="2372"/>
      <c r="BJ577" s="2372"/>
      <c r="BK577" s="2372"/>
      <c r="BL577" s="2372"/>
      <c r="BM577" s="2372"/>
      <c r="BN577" s="2372"/>
      <c r="BO577" s="2372"/>
      <c r="BP577" s="2372"/>
      <c r="BQ577" s="2372"/>
      <c r="BR577" s="2372"/>
      <c r="BS577" s="2372"/>
      <c r="BT577" s="2372"/>
      <c r="BU577" s="2372"/>
      <c r="BV577" s="2372"/>
      <c r="BW577" s="2372"/>
      <c r="BX577" s="2372"/>
      <c r="BY577" s="2372"/>
      <c r="BZ577" s="2372"/>
      <c r="CA577" s="2372"/>
      <c r="CB577" s="2372"/>
      <c r="CC577" s="2372"/>
      <c r="CD577" s="2372"/>
      <c r="CE577" s="2372"/>
      <c r="CF577" s="2372"/>
      <c r="CG577" s="2372"/>
      <c r="CH577" s="2372"/>
      <c r="CI577" s="2372"/>
      <c r="CJ577" s="2372"/>
      <c r="CK577" s="2372"/>
      <c r="CL577" s="2372"/>
      <c r="CM577" s="2372"/>
      <c r="CN577" s="2372"/>
      <c r="CO577" s="2372"/>
      <c r="CP577" s="2372"/>
      <c r="CQ577" s="2372"/>
      <c r="CR577" s="2372"/>
      <c r="CS577" s="2372"/>
      <c r="CT577" s="2372"/>
      <c r="CU577" s="2372"/>
      <c r="CV577" s="2372"/>
      <c r="CW577" s="2372"/>
      <c r="CX577" s="2372"/>
      <c r="CY577" s="2372"/>
      <c r="CZ577" s="2372"/>
      <c r="DA577" s="2372"/>
    </row>
    <row r="578" spans="1:105" ht="15" hidden="1" customHeight="1">
      <c r="A578" s="2372"/>
      <c r="B578" s="2372"/>
      <c r="C578" s="2372"/>
      <c r="D578" s="2372"/>
      <c r="E578" s="2372"/>
      <c r="F578" s="2372"/>
      <c r="G578" s="2372"/>
      <c r="H578" s="2372"/>
      <c r="I578" s="2372"/>
      <c r="J578" s="2372"/>
      <c r="K578" s="2372"/>
      <c r="L578" s="2372"/>
      <c r="M578" s="2372"/>
      <c r="N578" s="2372"/>
      <c r="O578" s="2372"/>
      <c r="P578" s="2372"/>
      <c r="Q578" s="2372"/>
      <c r="R578" s="2372"/>
      <c r="S578" s="2372"/>
      <c r="T578" s="2372"/>
      <c r="U578" s="2372"/>
      <c r="V578" s="2372"/>
      <c r="W578" s="2372"/>
      <c r="X578" s="2372"/>
      <c r="Y578" s="2372"/>
      <c r="Z578" s="2372"/>
      <c r="AA578" s="2372"/>
      <c r="AB578" s="2372"/>
      <c r="AC578" s="2372"/>
      <c r="AD578" s="2372"/>
      <c r="AE578" s="2372"/>
      <c r="AF578" s="2372"/>
      <c r="AG578" s="2372"/>
      <c r="AH578" s="2372"/>
      <c r="AI578" s="2372"/>
      <c r="AJ578" s="2372"/>
      <c r="AK578" s="2372"/>
      <c r="AL578" s="2372"/>
      <c r="AM578" s="2372"/>
      <c r="AN578" s="2372"/>
      <c r="AO578" s="2372"/>
      <c r="AP578" s="2372"/>
      <c r="AQ578" s="2372"/>
      <c r="AR578" s="2372"/>
      <c r="AS578" s="2372"/>
      <c r="AT578" s="2372"/>
      <c r="AU578" s="2372"/>
      <c r="AV578" s="2372"/>
      <c r="AW578" s="2372"/>
      <c r="AX578" s="2372"/>
      <c r="AY578" s="2372"/>
      <c r="AZ578" s="2372"/>
      <c r="BA578" s="2372"/>
      <c r="BB578" s="2372"/>
      <c r="BC578" s="2372"/>
      <c r="BD578" s="2372"/>
      <c r="BE578" s="2372"/>
      <c r="BF578" s="2372"/>
      <c r="BG578" s="2372"/>
      <c r="BH578" s="2372"/>
      <c r="BI578" s="2372"/>
      <c r="BJ578" s="2372"/>
      <c r="BK578" s="2372"/>
      <c r="BL578" s="2372"/>
      <c r="BM578" s="2372"/>
      <c r="BN578" s="2372"/>
      <c r="BO578" s="2372"/>
      <c r="BP578" s="2372"/>
      <c r="BQ578" s="2372"/>
      <c r="BR578" s="2372"/>
      <c r="BS578" s="2372"/>
      <c r="BT578" s="2372"/>
      <c r="BU578" s="2372"/>
      <c r="BV578" s="2372"/>
      <c r="BW578" s="2372"/>
      <c r="BX578" s="2372"/>
      <c r="BY578" s="2372"/>
      <c r="BZ578" s="2372"/>
      <c r="CA578" s="2372"/>
      <c r="CB578" s="2372"/>
      <c r="CC578" s="2372"/>
      <c r="CD578" s="2372"/>
      <c r="CE578" s="2372"/>
      <c r="CF578" s="2372"/>
      <c r="CG578" s="2372"/>
      <c r="CH578" s="2372"/>
      <c r="CI578" s="2372"/>
      <c r="CJ578" s="2372"/>
      <c r="CK578" s="2372"/>
      <c r="CL578" s="2372"/>
      <c r="CM578" s="2372"/>
      <c r="CN578" s="2372"/>
      <c r="CO578" s="2372"/>
      <c r="CP578" s="2372"/>
      <c r="CQ578" s="2372"/>
      <c r="CR578" s="2372"/>
      <c r="CS578" s="2372"/>
      <c r="CT578" s="2372"/>
      <c r="CU578" s="2372"/>
      <c r="CV578" s="2372"/>
      <c r="CW578" s="2372"/>
      <c r="CX578" s="2372"/>
      <c r="CY578" s="2372"/>
      <c r="CZ578" s="2372"/>
      <c r="DA578" s="2372"/>
    </row>
    <row r="579" spans="1:105" ht="15" hidden="1" customHeight="1">
      <c r="A579" s="2372"/>
      <c r="B579" s="2372"/>
      <c r="C579" s="2372"/>
      <c r="D579" s="2372"/>
      <c r="E579" s="2372"/>
      <c r="F579" s="2372"/>
      <c r="G579" s="2372"/>
      <c r="H579" s="2372"/>
      <c r="I579" s="2372"/>
      <c r="J579" s="2372"/>
      <c r="K579" s="2372"/>
      <c r="L579" s="2372"/>
      <c r="M579" s="2372"/>
      <c r="N579" s="2372"/>
      <c r="O579" s="2372"/>
      <c r="P579" s="2372"/>
      <c r="Q579" s="2372"/>
      <c r="R579" s="2372"/>
      <c r="S579" s="2372"/>
      <c r="T579" s="2372"/>
      <c r="U579" s="2372"/>
      <c r="V579" s="2372"/>
      <c r="W579" s="2372"/>
      <c r="X579" s="2372"/>
      <c r="Y579" s="2372"/>
      <c r="Z579" s="2372"/>
      <c r="AA579" s="2372"/>
      <c r="AB579" s="2372"/>
      <c r="AC579" s="2372"/>
      <c r="AD579" s="2372"/>
      <c r="AE579" s="2372"/>
      <c r="AF579" s="2372"/>
      <c r="AG579" s="2372"/>
      <c r="AH579" s="2372"/>
      <c r="AI579" s="2372"/>
      <c r="AJ579" s="2372"/>
      <c r="AK579" s="2372"/>
      <c r="AL579" s="2372"/>
      <c r="AM579" s="2372"/>
      <c r="AN579" s="2372"/>
      <c r="AO579" s="2372"/>
      <c r="AP579" s="2372"/>
      <c r="AQ579" s="2372"/>
      <c r="AR579" s="2372"/>
      <c r="AS579" s="2372"/>
      <c r="AT579" s="2372"/>
      <c r="AU579" s="2372"/>
      <c r="AV579" s="2372"/>
      <c r="AW579" s="2372"/>
      <c r="AX579" s="2372"/>
      <c r="AY579" s="2372"/>
      <c r="AZ579" s="2372"/>
      <c r="BA579" s="2372"/>
      <c r="BB579" s="2372"/>
      <c r="BC579" s="2372"/>
      <c r="BD579" s="2372"/>
      <c r="BE579" s="2372"/>
      <c r="BF579" s="2372"/>
      <c r="BG579" s="2372"/>
      <c r="BH579" s="2372"/>
      <c r="BI579" s="2372"/>
      <c r="BJ579" s="2372"/>
      <c r="BK579" s="2372"/>
      <c r="BL579" s="2372"/>
      <c r="BM579" s="2372"/>
      <c r="BN579" s="2372"/>
      <c r="BO579" s="2372"/>
      <c r="BP579" s="2372"/>
      <c r="BQ579" s="2372"/>
      <c r="BR579" s="2372"/>
      <c r="BS579" s="2372"/>
      <c r="BT579" s="2372"/>
      <c r="BU579" s="2372"/>
      <c r="BV579" s="2372"/>
      <c r="BW579" s="2372"/>
      <c r="BX579" s="2372"/>
      <c r="BY579" s="2372"/>
      <c r="BZ579" s="2372"/>
      <c r="CA579" s="2372"/>
      <c r="CB579" s="2372"/>
      <c r="CC579" s="2372"/>
      <c r="CD579" s="2372"/>
      <c r="CE579" s="2372"/>
      <c r="CF579" s="2372"/>
      <c r="CG579" s="2372"/>
      <c r="CH579" s="2372"/>
      <c r="CI579" s="2372"/>
      <c r="CJ579" s="2372"/>
      <c r="CK579" s="2372"/>
      <c r="CL579" s="2372"/>
      <c r="CM579" s="2372"/>
      <c r="CN579" s="2372"/>
      <c r="CO579" s="2372"/>
      <c r="CP579" s="2372"/>
      <c r="CQ579" s="2372"/>
      <c r="CR579" s="2372"/>
      <c r="CS579" s="2372"/>
      <c r="CT579" s="2372"/>
      <c r="CU579" s="2372"/>
      <c r="CV579" s="2372"/>
      <c r="CW579" s="2372"/>
      <c r="CX579" s="2372"/>
      <c r="CY579" s="2372"/>
      <c r="CZ579" s="2372"/>
      <c r="DA579" s="2372"/>
    </row>
    <row r="580" spans="1:105" ht="15" hidden="1" customHeight="1">
      <c r="A580" s="2372"/>
      <c r="B580" s="2372"/>
      <c r="C580" s="2372"/>
      <c r="D580" s="2372"/>
      <c r="E580" s="2372"/>
      <c r="F580" s="2372"/>
      <c r="G580" s="2372"/>
      <c r="H580" s="2372"/>
      <c r="I580" s="2372"/>
      <c r="J580" s="2372"/>
      <c r="K580" s="2372"/>
      <c r="L580" s="2372"/>
      <c r="M580" s="2372"/>
      <c r="N580" s="2372"/>
      <c r="O580" s="2372"/>
      <c r="P580" s="2372"/>
      <c r="Q580" s="2372"/>
      <c r="R580" s="2372"/>
      <c r="S580" s="2372"/>
      <c r="T580" s="2372"/>
      <c r="U580" s="2372"/>
      <c r="V580" s="2372"/>
      <c r="W580" s="2372"/>
      <c r="X580" s="2372"/>
      <c r="Y580" s="2372"/>
      <c r="Z580" s="2372"/>
      <c r="AA580" s="2372"/>
      <c r="AB580" s="2372"/>
      <c r="AC580" s="2372"/>
      <c r="AD580" s="2372"/>
      <c r="AE580" s="2372"/>
      <c r="AF580" s="2372"/>
      <c r="AG580" s="2372"/>
      <c r="AH580" s="2372"/>
      <c r="AI580" s="2372"/>
      <c r="AJ580" s="2372"/>
      <c r="AK580" s="2372"/>
      <c r="AL580" s="2372"/>
      <c r="AM580" s="2372"/>
      <c r="AN580" s="2372"/>
      <c r="AO580" s="2372"/>
      <c r="AP580" s="2372"/>
      <c r="AQ580" s="2372"/>
      <c r="AR580" s="2372"/>
      <c r="AS580" s="2372"/>
      <c r="AT580" s="2372"/>
      <c r="AU580" s="2372"/>
      <c r="AV580" s="2372"/>
      <c r="AW580" s="2372"/>
      <c r="AX580" s="2372"/>
      <c r="AY580" s="2372"/>
      <c r="AZ580" s="2372"/>
      <c r="BA580" s="2372"/>
      <c r="BB580" s="2372"/>
      <c r="BC580" s="2372"/>
      <c r="BD580" s="2372"/>
      <c r="BE580" s="2372"/>
      <c r="BF580" s="2372"/>
      <c r="BG580" s="2372"/>
      <c r="BH580" s="2372"/>
      <c r="BI580" s="2372"/>
      <c r="BJ580" s="2372"/>
      <c r="BK580" s="2372"/>
      <c r="BL580" s="2372"/>
      <c r="BM580" s="2372"/>
      <c r="BN580" s="2372"/>
      <c r="BO580" s="2372"/>
      <c r="BP580" s="2372"/>
      <c r="BQ580" s="2372"/>
      <c r="BR580" s="2372"/>
      <c r="BS580" s="2372"/>
      <c r="BT580" s="2372"/>
      <c r="BU580" s="2372"/>
      <c r="BV580" s="2372"/>
      <c r="BW580" s="2372"/>
      <c r="BX580" s="2372"/>
      <c r="BY580" s="2372"/>
      <c r="BZ580" s="2372"/>
      <c r="CA580" s="2372"/>
      <c r="CB580" s="2372"/>
      <c r="CC580" s="2372"/>
      <c r="CD580" s="2372"/>
      <c r="CE580" s="2372"/>
      <c r="CF580" s="2372"/>
      <c r="CG580" s="2372"/>
      <c r="CH580" s="2372"/>
      <c r="CI580" s="2372"/>
      <c r="CJ580" s="2372"/>
      <c r="CK580" s="2372"/>
      <c r="CL580" s="2372"/>
      <c r="CM580" s="2372"/>
      <c r="CN580" s="2372"/>
      <c r="CO580" s="2372"/>
      <c r="CP580" s="2372"/>
      <c r="CQ580" s="2372"/>
      <c r="CR580" s="2372"/>
      <c r="CS580" s="2372"/>
      <c r="CT580" s="2372"/>
      <c r="CU580" s="2372"/>
      <c r="CV580" s="2372"/>
      <c r="CW580" s="2372"/>
      <c r="CX580" s="2372"/>
      <c r="CY580" s="2372"/>
      <c r="CZ580" s="2372"/>
      <c r="DA580" s="2372"/>
    </row>
    <row r="581" spans="1:105" ht="15" hidden="1" customHeight="1">
      <c r="A581" s="2372"/>
      <c r="B581" s="2372"/>
      <c r="C581" s="2372"/>
      <c r="D581" s="2372"/>
      <c r="E581" s="2372"/>
      <c r="F581" s="2372"/>
      <c r="G581" s="2372"/>
      <c r="H581" s="2372"/>
      <c r="I581" s="2372"/>
      <c r="J581" s="2372"/>
      <c r="K581" s="2372"/>
      <c r="L581" s="2372"/>
      <c r="M581" s="2372"/>
      <c r="N581" s="2372"/>
      <c r="O581" s="2372"/>
      <c r="P581" s="2372"/>
      <c r="Q581" s="2372"/>
      <c r="R581" s="2372"/>
      <c r="S581" s="2372"/>
      <c r="T581" s="2372"/>
      <c r="U581" s="2372"/>
      <c r="V581" s="2372"/>
      <c r="W581" s="2372"/>
      <c r="X581" s="2372"/>
      <c r="Y581" s="2372"/>
      <c r="Z581" s="2372"/>
      <c r="AA581" s="2372"/>
      <c r="AB581" s="2372"/>
      <c r="AC581" s="2372"/>
      <c r="AD581" s="2372"/>
      <c r="AE581" s="2372"/>
      <c r="AF581" s="2372"/>
      <c r="AG581" s="2372"/>
      <c r="AH581" s="2372"/>
      <c r="AI581" s="2372"/>
      <c r="AJ581" s="2372"/>
      <c r="AK581" s="2372"/>
      <c r="AL581" s="2372"/>
      <c r="AM581" s="2372"/>
      <c r="AN581" s="2372"/>
      <c r="AO581" s="2372"/>
      <c r="AP581" s="2372"/>
      <c r="AQ581" s="2372"/>
      <c r="AR581" s="2372"/>
      <c r="AS581" s="2372"/>
      <c r="AT581" s="2372"/>
      <c r="AU581" s="2372"/>
      <c r="AV581" s="2372"/>
      <c r="AW581" s="2372"/>
      <c r="AX581" s="2372"/>
      <c r="AY581" s="2372"/>
      <c r="AZ581" s="2372"/>
      <c r="BA581" s="2372"/>
      <c r="BB581" s="2372"/>
      <c r="BC581" s="2372"/>
      <c r="BD581" s="2372"/>
      <c r="BE581" s="2372"/>
      <c r="BF581" s="2372"/>
      <c r="BG581" s="2372"/>
      <c r="BH581" s="2372"/>
      <c r="BI581" s="2372"/>
      <c r="BJ581" s="2372"/>
      <c r="BK581" s="2372"/>
      <c r="BL581" s="2372"/>
      <c r="BM581" s="2372"/>
      <c r="BN581" s="2372"/>
      <c r="BO581" s="2372"/>
      <c r="BP581" s="2372"/>
      <c r="BQ581" s="2372"/>
      <c r="BR581" s="2372"/>
      <c r="BS581" s="2372"/>
      <c r="BT581" s="2372"/>
      <c r="BU581" s="2372"/>
      <c r="BV581" s="2372"/>
      <c r="BW581" s="2372"/>
      <c r="BX581" s="2372"/>
      <c r="BY581" s="2372"/>
      <c r="BZ581" s="2372"/>
      <c r="CA581" s="2372"/>
      <c r="CB581" s="2372"/>
      <c r="CC581" s="2372"/>
      <c r="CD581" s="2372"/>
      <c r="CE581" s="2372"/>
      <c r="CF581" s="2372"/>
      <c r="CG581" s="2372"/>
      <c r="CH581" s="2372"/>
      <c r="CI581" s="2372"/>
      <c r="CJ581" s="2372"/>
      <c r="CK581" s="2372"/>
      <c r="CL581" s="2372"/>
      <c r="CM581" s="2372"/>
      <c r="CN581" s="2372"/>
      <c r="CO581" s="2372"/>
      <c r="CP581" s="2372"/>
      <c r="CQ581" s="2372"/>
      <c r="CR581" s="2372"/>
      <c r="CS581" s="2372"/>
      <c r="CT581" s="2372"/>
      <c r="CU581" s="2372"/>
      <c r="CV581" s="2372"/>
      <c r="CW581" s="2372"/>
      <c r="CX581" s="2372"/>
      <c r="CY581" s="2372"/>
      <c r="CZ581" s="2372"/>
      <c r="DA581" s="2372"/>
    </row>
    <row r="582" spans="1:105" ht="15" hidden="1" customHeight="1">
      <c r="A582" s="2372"/>
      <c r="B582" s="2372"/>
      <c r="C582" s="2372"/>
      <c r="D582" s="2372"/>
      <c r="E582" s="2372"/>
      <c r="F582" s="2372"/>
      <c r="G582" s="2372"/>
      <c r="H582" s="2372"/>
      <c r="I582" s="2372"/>
      <c r="J582" s="2372"/>
      <c r="K582" s="2372"/>
      <c r="L582" s="2372"/>
      <c r="M582" s="2372"/>
      <c r="N582" s="2372"/>
      <c r="O582" s="2372"/>
      <c r="P582" s="2372"/>
      <c r="Q582" s="2372"/>
      <c r="R582" s="2372"/>
      <c r="S582" s="2372"/>
      <c r="T582" s="2372"/>
      <c r="U582" s="2372"/>
      <c r="V582" s="2372"/>
      <c r="W582" s="2372"/>
      <c r="X582" s="2372"/>
      <c r="Y582" s="2372"/>
      <c r="Z582" s="2372"/>
      <c r="AA582" s="2372"/>
      <c r="AB582" s="2372"/>
      <c r="AC582" s="2372"/>
      <c r="AD582" s="2372"/>
      <c r="AE582" s="2372"/>
      <c r="AF582" s="2372"/>
      <c r="AG582" s="2372"/>
      <c r="AH582" s="2372"/>
      <c r="AI582" s="2372"/>
      <c r="AJ582" s="2372"/>
      <c r="AK582" s="2372"/>
      <c r="AL582" s="2372"/>
      <c r="AM582" s="2372"/>
      <c r="AN582" s="2372"/>
      <c r="AO582" s="2372"/>
      <c r="AP582" s="2372"/>
      <c r="AQ582" s="2372"/>
      <c r="AR582" s="2372"/>
      <c r="AS582" s="2372"/>
      <c r="AT582" s="2372"/>
      <c r="AU582" s="2372"/>
      <c r="AV582" s="2372"/>
      <c r="AW582" s="2372"/>
      <c r="AX582" s="2372"/>
      <c r="AY582" s="2372"/>
      <c r="AZ582" s="2372"/>
      <c r="BA582" s="2372"/>
      <c r="BB582" s="2372"/>
      <c r="BC582" s="2372"/>
      <c r="BD582" s="2372"/>
      <c r="BE582" s="2372"/>
      <c r="BF582" s="2372"/>
      <c r="BG582" s="2372"/>
      <c r="BH582" s="2372"/>
      <c r="BI582" s="2372"/>
      <c r="BJ582" s="2372"/>
      <c r="BK582" s="2372"/>
      <c r="BL582" s="2372"/>
      <c r="BM582" s="2372"/>
      <c r="BN582" s="2372"/>
      <c r="BO582" s="2372"/>
      <c r="BP582" s="2372"/>
      <c r="BQ582" s="2372"/>
      <c r="BR582" s="2372"/>
      <c r="BS582" s="2372"/>
      <c r="BT582" s="2372"/>
      <c r="BU582" s="2372"/>
      <c r="BV582" s="2372"/>
      <c r="BW582" s="2372"/>
      <c r="BX582" s="2372"/>
      <c r="BY582" s="2372"/>
      <c r="BZ582" s="2372"/>
      <c r="CA582" s="2372"/>
      <c r="CB582" s="2372"/>
      <c r="CC582" s="2372"/>
      <c r="CD582" s="2372"/>
      <c r="CE582" s="2372"/>
      <c r="CF582" s="2372"/>
      <c r="CG582" s="2372"/>
      <c r="CH582" s="2372"/>
      <c r="CI582" s="2372"/>
      <c r="CJ582" s="2372"/>
      <c r="CK582" s="2372"/>
      <c r="CL582" s="2372"/>
      <c r="CM582" s="2372"/>
      <c r="CN582" s="2372"/>
      <c r="CO582" s="2372"/>
      <c r="CP582" s="2372"/>
      <c r="CQ582" s="2372"/>
      <c r="CR582" s="2372"/>
      <c r="CS582" s="2372"/>
      <c r="CT582" s="2372"/>
      <c r="CU582" s="2372"/>
      <c r="CV582" s="2372"/>
      <c r="CW582" s="2372"/>
      <c r="CX582" s="2372"/>
      <c r="CY582" s="2372"/>
      <c r="CZ582" s="2372"/>
      <c r="DA582" s="2372"/>
    </row>
    <row r="583" spans="1:105" ht="15" hidden="1" customHeight="1">
      <c r="A583" s="2372"/>
      <c r="B583" s="2372"/>
      <c r="C583" s="2372"/>
      <c r="D583" s="2372"/>
      <c r="E583" s="2372"/>
      <c r="F583" s="2372"/>
      <c r="G583" s="2372"/>
      <c r="H583" s="2372"/>
      <c r="I583" s="2372"/>
      <c r="J583" s="2372"/>
      <c r="K583" s="2372"/>
      <c r="L583" s="2372"/>
      <c r="M583" s="2372"/>
      <c r="N583" s="2372"/>
      <c r="O583" s="2372"/>
      <c r="P583" s="2372"/>
      <c r="Q583" s="2372"/>
      <c r="R583" s="2372"/>
      <c r="S583" s="2372"/>
      <c r="T583" s="2372"/>
      <c r="U583" s="2372"/>
      <c r="V583" s="2372"/>
      <c r="W583" s="2372"/>
      <c r="X583" s="2372"/>
      <c r="Y583" s="2372"/>
      <c r="Z583" s="2372"/>
      <c r="AA583" s="2372"/>
      <c r="AB583" s="2372"/>
      <c r="AC583" s="2372"/>
      <c r="AD583" s="2372"/>
      <c r="AE583" s="2372"/>
      <c r="AF583" s="2372"/>
      <c r="AG583" s="2372"/>
      <c r="AH583" s="2372"/>
      <c r="AI583" s="2372"/>
      <c r="AJ583" s="2372"/>
      <c r="AK583" s="2372"/>
      <c r="AL583" s="2372"/>
      <c r="AM583" s="2372"/>
      <c r="AN583" s="2372"/>
      <c r="AO583" s="2372"/>
      <c r="AP583" s="2372"/>
      <c r="AQ583" s="2372"/>
      <c r="AR583" s="2372"/>
      <c r="AS583" s="2372"/>
      <c r="AT583" s="2372"/>
      <c r="AU583" s="2372"/>
      <c r="AV583" s="2372"/>
      <c r="AW583" s="2372"/>
      <c r="AX583" s="2372"/>
      <c r="AY583" s="2372"/>
      <c r="AZ583" s="2372"/>
      <c r="BA583" s="2372"/>
      <c r="BB583" s="2372"/>
      <c r="BC583" s="2372"/>
      <c r="BD583" s="2372"/>
      <c r="BE583" s="2372"/>
      <c r="BF583" s="2372"/>
      <c r="BG583" s="2372"/>
      <c r="BH583" s="2372"/>
      <c r="BI583" s="2372"/>
      <c r="BJ583" s="2372"/>
      <c r="BK583" s="2372"/>
      <c r="BL583" s="2372"/>
      <c r="BM583" s="2372"/>
      <c r="BN583" s="2372"/>
      <c r="BO583" s="2372"/>
      <c r="BP583" s="2372"/>
      <c r="BQ583" s="2372"/>
      <c r="BR583" s="2372"/>
      <c r="BS583" s="2372"/>
      <c r="BT583" s="2372"/>
      <c r="BU583" s="2372"/>
      <c r="BV583" s="2372"/>
      <c r="BW583" s="2372"/>
      <c r="BX583" s="2372"/>
      <c r="BY583" s="2372"/>
      <c r="BZ583" s="2372"/>
      <c r="CA583" s="2372"/>
      <c r="CB583" s="2372"/>
      <c r="CC583" s="2372"/>
      <c r="CD583" s="2372"/>
      <c r="CE583" s="2372"/>
      <c r="CF583" s="2372"/>
      <c r="CG583" s="2372"/>
      <c r="CH583" s="2372"/>
      <c r="CI583" s="2372"/>
      <c r="CJ583" s="2372"/>
      <c r="CK583" s="2372"/>
      <c r="CL583" s="2372"/>
      <c r="CM583" s="2372"/>
      <c r="CN583" s="2372"/>
      <c r="CO583" s="2372"/>
      <c r="CP583" s="2372"/>
      <c r="CQ583" s="2372"/>
      <c r="CR583" s="2372"/>
      <c r="CS583" s="2372"/>
      <c r="CT583" s="2372"/>
      <c r="CU583" s="2372"/>
      <c r="CV583" s="2372"/>
      <c r="CW583" s="2372"/>
      <c r="CX583" s="2372"/>
      <c r="CY583" s="2372"/>
      <c r="CZ583" s="2372"/>
      <c r="DA583" s="2372"/>
    </row>
    <row r="584" spans="1:105" ht="15" hidden="1" customHeight="1">
      <c r="A584" s="2372"/>
      <c r="B584" s="2372"/>
      <c r="C584" s="2372"/>
      <c r="D584" s="2372"/>
      <c r="E584" s="2372"/>
      <c r="F584" s="2372"/>
      <c r="G584" s="2372"/>
      <c r="H584" s="2372"/>
      <c r="I584" s="2372"/>
      <c r="J584" s="2372"/>
      <c r="K584" s="2372"/>
      <c r="L584" s="2372"/>
      <c r="M584" s="2372"/>
      <c r="N584" s="2372"/>
      <c r="O584" s="2372"/>
      <c r="P584" s="2372"/>
      <c r="Q584" s="2372"/>
      <c r="R584" s="2372"/>
      <c r="S584" s="2372"/>
      <c r="T584" s="2372"/>
      <c r="U584" s="2372"/>
      <c r="V584" s="2372"/>
      <c r="W584" s="2372"/>
      <c r="X584" s="2372"/>
      <c r="Y584" s="2372"/>
      <c r="Z584" s="2372"/>
      <c r="AA584" s="2372"/>
      <c r="AB584" s="2372"/>
      <c r="AC584" s="2372"/>
      <c r="AD584" s="2372"/>
      <c r="AE584" s="2372"/>
      <c r="AF584" s="2372"/>
      <c r="AG584" s="2372"/>
      <c r="AH584" s="2372"/>
      <c r="AI584" s="2372"/>
      <c r="AJ584" s="2372"/>
      <c r="AK584" s="2372"/>
      <c r="AL584" s="2372"/>
      <c r="AM584" s="2372"/>
      <c r="AN584" s="2372"/>
      <c r="AO584" s="2372"/>
      <c r="AP584" s="2372"/>
      <c r="AQ584" s="2372"/>
      <c r="AR584" s="2372"/>
      <c r="AS584" s="2372"/>
      <c r="AT584" s="2372"/>
      <c r="AU584" s="2372"/>
      <c r="AV584" s="2372"/>
      <c r="AW584" s="2372"/>
      <c r="AX584" s="2372"/>
      <c r="AY584" s="2372"/>
      <c r="AZ584" s="2372"/>
      <c r="BA584" s="2372"/>
      <c r="BB584" s="2372"/>
      <c r="BC584" s="2372"/>
      <c r="BD584" s="2372"/>
      <c r="BE584" s="2372"/>
      <c r="BF584" s="2372"/>
      <c r="BG584" s="2372"/>
      <c r="BH584" s="2372"/>
      <c r="BI584" s="2372"/>
      <c r="BJ584" s="2372"/>
      <c r="BK584" s="2372"/>
      <c r="BL584" s="2372"/>
      <c r="BM584" s="2372"/>
      <c r="BN584" s="2372"/>
      <c r="BO584" s="2372"/>
      <c r="BP584" s="2372"/>
      <c r="BQ584" s="2372"/>
      <c r="BR584" s="2372"/>
      <c r="BS584" s="2372"/>
      <c r="BT584" s="2372"/>
      <c r="BU584" s="2372"/>
      <c r="BV584" s="2372"/>
      <c r="BW584" s="2372"/>
      <c r="BX584" s="2372"/>
      <c r="BY584" s="2372"/>
      <c r="BZ584" s="2372"/>
      <c r="CA584" s="2372"/>
      <c r="CB584" s="2372"/>
      <c r="CC584" s="2372"/>
      <c r="CD584" s="2372"/>
      <c r="CE584" s="2372"/>
      <c r="CF584" s="2372"/>
      <c r="CG584" s="2372"/>
      <c r="CH584" s="2372"/>
      <c r="CI584" s="2372"/>
      <c r="CJ584" s="2372"/>
      <c r="CK584" s="2372"/>
      <c r="CL584" s="2372"/>
      <c r="CM584" s="2372"/>
      <c r="CN584" s="2372"/>
      <c r="CO584" s="2372"/>
      <c r="CP584" s="2372"/>
      <c r="CQ584" s="2372"/>
      <c r="CR584" s="2372"/>
      <c r="CS584" s="2372"/>
      <c r="CT584" s="2372"/>
      <c r="CU584" s="2372"/>
      <c r="CV584" s="2372"/>
      <c r="CW584" s="2372"/>
      <c r="CX584" s="2372"/>
      <c r="CY584" s="2372"/>
      <c r="CZ584" s="2372"/>
      <c r="DA584" s="2372"/>
    </row>
    <row r="585" spans="1:105" ht="15" hidden="1" customHeight="1">
      <c r="A585" s="2372"/>
      <c r="B585" s="2372"/>
      <c r="C585" s="2372"/>
      <c r="D585" s="2372"/>
      <c r="E585" s="2372"/>
      <c r="F585" s="2372"/>
      <c r="G585" s="2372"/>
      <c r="H585" s="2372"/>
      <c r="I585" s="2372"/>
      <c r="J585" s="2372"/>
      <c r="K585" s="2372"/>
      <c r="L585" s="2372"/>
      <c r="M585" s="2372"/>
      <c r="N585" s="2372"/>
      <c r="O585" s="2372"/>
      <c r="P585" s="2372"/>
      <c r="Q585" s="2372"/>
      <c r="R585" s="2372"/>
      <c r="S585" s="2372"/>
      <c r="T585" s="2372"/>
      <c r="U585" s="2372"/>
      <c r="V585" s="2372"/>
      <c r="W585" s="2372"/>
      <c r="X585" s="2372"/>
      <c r="Y585" s="2372"/>
      <c r="Z585" s="2372"/>
      <c r="AA585" s="2372"/>
      <c r="AB585" s="2372"/>
      <c r="AC585" s="2372"/>
      <c r="AD585" s="2372"/>
      <c r="AE585" s="2372"/>
      <c r="AF585" s="2372"/>
      <c r="AG585" s="2372"/>
      <c r="AH585" s="2372"/>
      <c r="AI585" s="2372"/>
      <c r="AJ585" s="2372"/>
      <c r="AK585" s="2372"/>
      <c r="AL585" s="2372"/>
      <c r="AM585" s="2372"/>
      <c r="AN585" s="2372"/>
      <c r="AO585" s="2372"/>
      <c r="AP585" s="2372"/>
      <c r="AQ585" s="2372"/>
      <c r="AR585" s="2372"/>
      <c r="AS585" s="2372"/>
      <c r="AT585" s="2372"/>
      <c r="AU585" s="2372"/>
      <c r="AV585" s="2372"/>
      <c r="AW585" s="2372"/>
      <c r="AX585" s="2372"/>
      <c r="AY585" s="2372"/>
      <c r="AZ585" s="2372"/>
      <c r="BA585" s="2372"/>
      <c r="BB585" s="2372"/>
      <c r="BC585" s="2372"/>
      <c r="BD585" s="2372"/>
      <c r="BE585" s="2372"/>
      <c r="BF585" s="2372"/>
      <c r="BG585" s="2372"/>
      <c r="BH585" s="2372"/>
      <c r="BI585" s="2372"/>
      <c r="BJ585" s="2372"/>
      <c r="BK585" s="2372"/>
      <c r="BL585" s="2372"/>
      <c r="BM585" s="2372"/>
      <c r="BN585" s="2372"/>
      <c r="BO585" s="2372"/>
      <c r="BP585" s="2372"/>
      <c r="BQ585" s="2372"/>
      <c r="BR585" s="2372"/>
      <c r="BS585" s="2372"/>
      <c r="BT585" s="2372"/>
      <c r="BU585" s="2372"/>
      <c r="BV585" s="2372"/>
      <c r="BW585" s="2372"/>
      <c r="BX585" s="2372"/>
      <c r="BY585" s="2372"/>
      <c r="BZ585" s="2372"/>
      <c r="CA585" s="2372"/>
      <c r="CB585" s="2372"/>
      <c r="CC585" s="2372"/>
      <c r="CD585" s="2372"/>
      <c r="CE585" s="2372"/>
      <c r="CF585" s="2372"/>
      <c r="CG585" s="2372"/>
      <c r="CH585" s="2372"/>
      <c r="CI585" s="2372"/>
      <c r="CJ585" s="2372"/>
      <c r="CK585" s="2372"/>
      <c r="CL585" s="2372"/>
      <c r="CM585" s="2372"/>
      <c r="CN585" s="2372"/>
      <c r="CO585" s="2372"/>
      <c r="CP585" s="2372"/>
      <c r="CQ585" s="2372"/>
      <c r="CR585" s="2372"/>
      <c r="CS585" s="2372"/>
      <c r="CT585" s="2372"/>
      <c r="CU585" s="2372"/>
      <c r="CV585" s="2372"/>
      <c r="CW585" s="2372"/>
      <c r="CX585" s="2372"/>
      <c r="CY585" s="2372"/>
      <c r="CZ585" s="2372"/>
      <c r="DA585" s="2372"/>
    </row>
    <row r="586" spans="1:105" ht="15" hidden="1" customHeight="1">
      <c r="A586" s="2372"/>
      <c r="B586" s="2372"/>
      <c r="C586" s="2372"/>
      <c r="D586" s="2372"/>
      <c r="E586" s="2372"/>
      <c r="F586" s="2372"/>
      <c r="G586" s="2372"/>
      <c r="H586" s="2372"/>
      <c r="I586" s="2372"/>
      <c r="J586" s="2372"/>
      <c r="K586" s="2372"/>
      <c r="L586" s="2372"/>
      <c r="M586" s="2372"/>
      <c r="N586" s="2372"/>
      <c r="O586" s="2372"/>
      <c r="P586" s="2372"/>
      <c r="Q586" s="2372"/>
      <c r="R586" s="2372"/>
      <c r="S586" s="2372"/>
      <c r="T586" s="2372"/>
      <c r="U586" s="2372"/>
      <c r="V586" s="2372"/>
      <c r="W586" s="2372"/>
      <c r="X586" s="2372"/>
      <c r="Y586" s="2372"/>
      <c r="Z586" s="2372"/>
      <c r="AA586" s="2372"/>
      <c r="AB586" s="2372"/>
      <c r="AC586" s="2372"/>
      <c r="AD586" s="2372"/>
      <c r="AE586" s="2372"/>
      <c r="AF586" s="2372"/>
      <c r="AG586" s="2372"/>
      <c r="AH586" s="2372"/>
      <c r="AI586" s="2372"/>
      <c r="AJ586" s="2372"/>
      <c r="AK586" s="2372"/>
      <c r="AL586" s="2372"/>
      <c r="AM586" s="2372"/>
      <c r="AN586" s="2372"/>
      <c r="AO586" s="2372"/>
      <c r="AP586" s="2372"/>
      <c r="AQ586" s="2372"/>
      <c r="AR586" s="2372"/>
      <c r="AS586" s="2372"/>
      <c r="AT586" s="2372"/>
      <c r="AU586" s="2372"/>
      <c r="AV586" s="2372"/>
      <c r="AW586" s="2372"/>
      <c r="AX586" s="2372"/>
      <c r="AY586" s="2372"/>
      <c r="AZ586" s="2372"/>
      <c r="BA586" s="2372"/>
      <c r="BB586" s="2372"/>
      <c r="BC586" s="2372"/>
      <c r="BD586" s="2372"/>
      <c r="BE586" s="2372"/>
      <c r="BF586" s="2372"/>
      <c r="BG586" s="2372"/>
      <c r="BH586" s="2372"/>
      <c r="BI586" s="2372"/>
      <c r="BJ586" s="2372"/>
      <c r="BK586" s="2372"/>
      <c r="BL586" s="2372"/>
      <c r="BM586" s="2372"/>
      <c r="BN586" s="2372"/>
      <c r="BO586" s="2372"/>
      <c r="BP586" s="2372"/>
      <c r="BQ586" s="2372"/>
      <c r="BR586" s="2372"/>
      <c r="BS586" s="2372"/>
      <c r="BT586" s="2372"/>
      <c r="BU586" s="2372"/>
      <c r="BV586" s="2372"/>
      <c r="BW586" s="2372"/>
      <c r="BX586" s="2372"/>
      <c r="BY586" s="2372"/>
      <c r="BZ586" s="2372"/>
      <c r="CA586" s="2372"/>
      <c r="CB586" s="2372"/>
      <c r="CC586" s="2372"/>
      <c r="CD586" s="2372"/>
      <c r="CE586" s="2372"/>
      <c r="CF586" s="2372"/>
      <c r="CG586" s="2372"/>
      <c r="CH586" s="2372"/>
      <c r="CI586" s="2372"/>
      <c r="CJ586" s="2372"/>
      <c r="CK586" s="2372"/>
      <c r="CL586" s="2372"/>
      <c r="CM586" s="2372"/>
      <c r="CN586" s="2372"/>
      <c r="CO586" s="2372"/>
      <c r="CP586" s="2372"/>
      <c r="CQ586" s="2372"/>
      <c r="CR586" s="2372"/>
      <c r="CS586" s="2372"/>
      <c r="CT586" s="2372"/>
      <c r="CU586" s="2372"/>
      <c r="CV586" s="2372"/>
      <c r="CW586" s="2372"/>
      <c r="CX586" s="2372"/>
      <c r="CY586" s="2372"/>
      <c r="CZ586" s="2372"/>
      <c r="DA586" s="2372"/>
    </row>
    <row r="587" spans="1:105" ht="15" hidden="1" customHeight="1">
      <c r="A587" s="2372"/>
      <c r="B587" s="2372"/>
      <c r="C587" s="2372"/>
      <c r="D587" s="2372"/>
      <c r="E587" s="2372"/>
      <c r="F587" s="2372"/>
      <c r="G587" s="2372"/>
      <c r="H587" s="2372"/>
      <c r="I587" s="2372"/>
      <c r="J587" s="2372"/>
      <c r="K587" s="2372"/>
      <c r="L587" s="2372"/>
      <c r="M587" s="2372"/>
      <c r="N587" s="2372"/>
      <c r="O587" s="2372"/>
      <c r="P587" s="2372"/>
      <c r="Q587" s="2372"/>
      <c r="R587" s="2372"/>
      <c r="S587" s="2372"/>
      <c r="T587" s="2372"/>
      <c r="U587" s="2372"/>
      <c r="V587" s="2372"/>
      <c r="W587" s="2372"/>
      <c r="X587" s="2372"/>
      <c r="Y587" s="2372"/>
      <c r="Z587" s="2372"/>
      <c r="AA587" s="2372"/>
      <c r="AB587" s="2372"/>
      <c r="AC587" s="2372"/>
      <c r="AD587" s="2372"/>
      <c r="AE587" s="2372"/>
      <c r="AF587" s="2372"/>
      <c r="AG587" s="2372"/>
      <c r="AH587" s="2372"/>
      <c r="AI587" s="2372"/>
      <c r="AJ587" s="2372"/>
      <c r="AK587" s="2372"/>
      <c r="AL587" s="2372"/>
      <c r="AM587" s="2372"/>
      <c r="AN587" s="2372"/>
      <c r="AO587" s="2372"/>
      <c r="AP587" s="2372"/>
      <c r="AQ587" s="2372"/>
      <c r="AR587" s="2372"/>
      <c r="AS587" s="2372"/>
      <c r="AT587" s="2372"/>
      <c r="AU587" s="2372"/>
      <c r="AV587" s="2372"/>
      <c r="AW587" s="2372"/>
      <c r="AX587" s="2372"/>
      <c r="AY587" s="2372"/>
      <c r="AZ587" s="2372"/>
      <c r="BA587" s="2372"/>
      <c r="BB587" s="2372"/>
      <c r="BC587" s="2372"/>
      <c r="BD587" s="2372"/>
      <c r="BE587" s="2372"/>
      <c r="BF587" s="2372"/>
      <c r="BG587" s="2372"/>
      <c r="BH587" s="2372"/>
      <c r="BI587" s="2372"/>
      <c r="BJ587" s="2372"/>
      <c r="BK587" s="2372"/>
      <c r="BL587" s="2372"/>
      <c r="BM587" s="2372"/>
      <c r="BN587" s="2372"/>
      <c r="BO587" s="2372"/>
      <c r="BP587" s="2372"/>
      <c r="BQ587" s="2372"/>
      <c r="BR587" s="2372"/>
      <c r="BS587" s="2372"/>
      <c r="BT587" s="2372"/>
      <c r="BU587" s="2372"/>
      <c r="BV587" s="2372"/>
      <c r="BW587" s="2372"/>
      <c r="BX587" s="2372"/>
      <c r="BY587" s="2372"/>
      <c r="BZ587" s="2372"/>
      <c r="CA587" s="2372"/>
      <c r="CB587" s="2372"/>
      <c r="CC587" s="2372"/>
      <c r="CD587" s="2372"/>
      <c r="CE587" s="2372"/>
      <c r="CF587" s="2372"/>
      <c r="CG587" s="2372"/>
      <c r="CH587" s="2372"/>
      <c r="CI587" s="2372"/>
      <c r="CJ587" s="2372"/>
      <c r="CK587" s="2372"/>
      <c r="CL587" s="2372"/>
      <c r="CM587" s="2372"/>
      <c r="CN587" s="2372"/>
      <c r="CO587" s="2372"/>
      <c r="CP587" s="2372"/>
      <c r="CQ587" s="2372"/>
      <c r="CR587" s="2372"/>
      <c r="CS587" s="2372"/>
      <c r="CT587" s="2372"/>
      <c r="CU587" s="2372"/>
      <c r="CV587" s="2372"/>
      <c r="CW587" s="2372"/>
      <c r="CX587" s="2372"/>
      <c r="CY587" s="2372"/>
      <c r="CZ587" s="2372"/>
      <c r="DA587" s="2372"/>
    </row>
    <row r="588" spans="1:105" ht="15" hidden="1" customHeight="1">
      <c r="A588" s="2372"/>
      <c r="B588" s="2372"/>
      <c r="C588" s="2372"/>
      <c r="D588" s="2372"/>
      <c r="E588" s="2372"/>
      <c r="F588" s="2372"/>
      <c r="G588" s="2372"/>
      <c r="H588" s="2372"/>
      <c r="I588" s="2372"/>
      <c r="J588" s="2372"/>
      <c r="K588" s="2372"/>
      <c r="L588" s="2372"/>
      <c r="M588" s="2372"/>
      <c r="N588" s="2372"/>
      <c r="O588" s="2372"/>
      <c r="P588" s="2372"/>
      <c r="Q588" s="2372"/>
      <c r="R588" s="2372"/>
      <c r="S588" s="2372"/>
      <c r="T588" s="2372"/>
      <c r="U588" s="2372"/>
      <c r="V588" s="2372"/>
      <c r="W588" s="2372"/>
      <c r="X588" s="2372"/>
      <c r="Y588" s="2372"/>
      <c r="Z588" s="2372"/>
      <c r="AA588" s="2372"/>
      <c r="AB588" s="2372"/>
      <c r="AC588" s="2372"/>
      <c r="AD588" s="2372"/>
      <c r="AE588" s="2372"/>
      <c r="AF588" s="2372"/>
      <c r="AG588" s="2372"/>
      <c r="AH588" s="2372"/>
      <c r="AI588" s="2372"/>
      <c r="AJ588" s="2372"/>
      <c r="AK588" s="2372"/>
      <c r="AL588" s="2372"/>
      <c r="AM588" s="2372"/>
      <c r="AN588" s="2372"/>
      <c r="AO588" s="2372"/>
      <c r="AP588" s="2372"/>
      <c r="AQ588" s="2372"/>
      <c r="AR588" s="2372"/>
      <c r="AS588" s="2372"/>
      <c r="AT588" s="2372"/>
      <c r="AU588" s="2372"/>
      <c r="AV588" s="2372"/>
      <c r="AW588" s="2372"/>
      <c r="AX588" s="2372"/>
      <c r="AY588" s="2372"/>
      <c r="AZ588" s="2372"/>
      <c r="BA588" s="2372"/>
      <c r="BB588" s="2372"/>
      <c r="BC588" s="2372"/>
      <c r="BD588" s="2372"/>
      <c r="BE588" s="2372"/>
      <c r="BF588" s="2372"/>
      <c r="BG588" s="2372"/>
      <c r="BH588" s="2372"/>
      <c r="BI588" s="2372"/>
      <c r="BJ588" s="2372"/>
      <c r="BK588" s="2372"/>
      <c r="BL588" s="2372"/>
      <c r="BM588" s="2372"/>
      <c r="BN588" s="2372"/>
      <c r="BO588" s="2372"/>
      <c r="BP588" s="2372"/>
      <c r="BQ588" s="2372"/>
      <c r="BR588" s="2372"/>
      <c r="BS588" s="2372"/>
      <c r="BT588" s="2372"/>
      <c r="BU588" s="2372"/>
      <c r="BV588" s="2372"/>
      <c r="BW588" s="2372"/>
      <c r="BX588" s="2372"/>
      <c r="BY588" s="2372"/>
      <c r="BZ588" s="2372"/>
      <c r="CA588" s="2372"/>
      <c r="CB588" s="2372"/>
      <c r="CC588" s="2372"/>
      <c r="CD588" s="2372"/>
      <c r="CE588" s="2372"/>
      <c r="CF588" s="2372"/>
      <c r="CG588" s="2372"/>
      <c r="CH588" s="2372"/>
      <c r="CI588" s="2372"/>
      <c r="CJ588" s="2372"/>
      <c r="CK588" s="2372"/>
      <c r="CL588" s="2372"/>
      <c r="CM588" s="2372"/>
      <c r="CN588" s="2372"/>
      <c r="CO588" s="2372"/>
      <c r="CP588" s="2372"/>
      <c r="CQ588" s="2372"/>
      <c r="CR588" s="2372"/>
      <c r="CS588" s="2372"/>
      <c r="CT588" s="2372"/>
      <c r="CU588" s="2372"/>
      <c r="CV588" s="2372"/>
      <c r="CW588" s="2372"/>
      <c r="CX588" s="2372"/>
      <c r="CY588" s="2372"/>
      <c r="CZ588" s="2372"/>
      <c r="DA588" s="2372"/>
    </row>
    <row r="589" spans="1:105" ht="15" hidden="1" customHeight="1">
      <c r="A589" s="2372"/>
      <c r="B589" s="2372"/>
      <c r="C589" s="2372"/>
      <c r="D589" s="2372"/>
      <c r="E589" s="2372"/>
      <c r="F589" s="2372"/>
      <c r="G589" s="2372"/>
      <c r="H589" s="2372"/>
      <c r="I589" s="2372"/>
      <c r="J589" s="2372"/>
      <c r="K589" s="2372"/>
      <c r="L589" s="2372"/>
      <c r="M589" s="2372"/>
      <c r="N589" s="2372"/>
      <c r="O589" s="2372"/>
      <c r="P589" s="2372"/>
      <c r="Q589" s="2372"/>
      <c r="R589" s="2372"/>
      <c r="S589" s="2372"/>
      <c r="T589" s="2372"/>
      <c r="U589" s="2372"/>
      <c r="V589" s="2372"/>
      <c r="W589" s="2372"/>
      <c r="X589" s="2372"/>
      <c r="Y589" s="2372"/>
      <c r="Z589" s="2372"/>
      <c r="AA589" s="2372"/>
      <c r="AB589" s="2372"/>
      <c r="AC589" s="2372"/>
      <c r="AD589" s="2372"/>
      <c r="AE589" s="2372"/>
      <c r="AF589" s="2372"/>
      <c r="AG589" s="2372"/>
      <c r="AH589" s="2372"/>
      <c r="AI589" s="2372"/>
      <c r="AJ589" s="2372"/>
      <c r="AK589" s="2372"/>
      <c r="AL589" s="2372"/>
      <c r="AM589" s="2372"/>
      <c r="AN589" s="2372"/>
      <c r="AO589" s="2372"/>
      <c r="AP589" s="2372"/>
      <c r="AQ589" s="2372"/>
      <c r="AR589" s="2372"/>
      <c r="AS589" s="2372"/>
      <c r="AT589" s="2372"/>
      <c r="AU589" s="2372"/>
      <c r="AV589" s="2372"/>
      <c r="AW589" s="2372"/>
      <c r="AX589" s="2372"/>
      <c r="AY589" s="2372"/>
      <c r="AZ589" s="2372"/>
      <c r="BA589" s="2372"/>
      <c r="BB589" s="2372"/>
      <c r="BC589" s="2372"/>
      <c r="BD589" s="2372"/>
      <c r="BE589" s="2372"/>
      <c r="BF589" s="2372"/>
      <c r="BG589" s="2372"/>
      <c r="BH589" s="2372"/>
      <c r="BI589" s="2372"/>
      <c r="BJ589" s="2372"/>
      <c r="BK589" s="2372"/>
      <c r="BL589" s="2372"/>
      <c r="BM589" s="2372"/>
      <c r="BN589" s="2372"/>
      <c r="BO589" s="2372"/>
      <c r="BP589" s="2372"/>
      <c r="BQ589" s="2372"/>
      <c r="BR589" s="2372"/>
      <c r="BS589" s="2372"/>
      <c r="BT589" s="2372"/>
      <c r="BU589" s="2372"/>
      <c r="BV589" s="2372"/>
      <c r="BW589" s="2372"/>
      <c r="BX589" s="2372"/>
      <c r="BY589" s="2372"/>
      <c r="BZ589" s="2372"/>
      <c r="CA589" s="2372"/>
      <c r="CB589" s="2372"/>
      <c r="CC589" s="2372"/>
      <c r="CD589" s="2372"/>
      <c r="CE589" s="2372"/>
      <c r="CF589" s="2372"/>
      <c r="CG589" s="2372"/>
      <c r="CH589" s="2372"/>
      <c r="CI589" s="2372"/>
      <c r="CJ589" s="2372"/>
      <c r="CK589" s="2372"/>
      <c r="CL589" s="2372"/>
      <c r="CM589" s="2372"/>
      <c r="CN589" s="2372"/>
      <c r="CO589" s="2372"/>
      <c r="CP589" s="2372"/>
      <c r="CQ589" s="2372"/>
      <c r="CR589" s="2372"/>
      <c r="CS589" s="2372"/>
      <c r="CT589" s="2372"/>
      <c r="CU589" s="2372"/>
      <c r="CV589" s="2372"/>
      <c r="CW589" s="2372"/>
      <c r="CX589" s="2372"/>
      <c r="CY589" s="2372"/>
      <c r="CZ589" s="2372"/>
      <c r="DA589" s="2372"/>
    </row>
    <row r="590" spans="1:105" ht="15" hidden="1" customHeight="1">
      <c r="A590" s="2372"/>
      <c r="B590" s="2372"/>
      <c r="C590" s="2372"/>
      <c r="D590" s="2372"/>
      <c r="E590" s="2372"/>
      <c r="F590" s="2372"/>
      <c r="G590" s="2372"/>
      <c r="H590" s="2372"/>
      <c r="I590" s="2372"/>
      <c r="J590" s="2372"/>
      <c r="K590" s="2372"/>
      <c r="L590" s="2372"/>
      <c r="M590" s="2372"/>
      <c r="N590" s="2372"/>
      <c r="O590" s="2372"/>
      <c r="P590" s="2372"/>
      <c r="Q590" s="2372"/>
      <c r="R590" s="2372"/>
      <c r="S590" s="2372"/>
      <c r="T590" s="2372"/>
      <c r="U590" s="2372"/>
      <c r="V590" s="2372"/>
      <c r="W590" s="2372"/>
      <c r="X590" s="2372"/>
      <c r="Y590" s="2372"/>
      <c r="Z590" s="2372"/>
      <c r="AA590" s="2372"/>
      <c r="AB590" s="2372"/>
      <c r="AC590" s="2372"/>
      <c r="AD590" s="2372"/>
      <c r="AE590" s="2372"/>
      <c r="AF590" s="2372"/>
      <c r="AG590" s="2372"/>
      <c r="AH590" s="2372"/>
      <c r="AI590" s="2372"/>
      <c r="AJ590" s="2372"/>
      <c r="AK590" s="2372"/>
      <c r="AL590" s="2372"/>
      <c r="AM590" s="2372"/>
      <c r="AN590" s="2372"/>
      <c r="AO590" s="2372"/>
      <c r="AP590" s="2372"/>
      <c r="AQ590" s="2372"/>
      <c r="AR590" s="2372"/>
      <c r="AS590" s="2372"/>
      <c r="AT590" s="2372"/>
      <c r="AU590" s="2372"/>
      <c r="AV590" s="2372"/>
      <c r="AW590" s="2372"/>
      <c r="AX590" s="2372"/>
      <c r="AY590" s="2372"/>
      <c r="AZ590" s="2372"/>
      <c r="BA590" s="2372"/>
      <c r="BB590" s="2372"/>
      <c r="BC590" s="2372"/>
      <c r="BD590" s="2372"/>
      <c r="BE590" s="2372"/>
      <c r="BF590" s="2372"/>
      <c r="BG590" s="2372"/>
      <c r="BH590" s="2372"/>
      <c r="BI590" s="2372"/>
      <c r="BJ590" s="2372"/>
      <c r="BK590" s="2372"/>
      <c r="BL590" s="2372"/>
      <c r="BM590" s="2372"/>
      <c r="BN590" s="2372"/>
      <c r="BO590" s="2372"/>
      <c r="BP590" s="2372"/>
      <c r="BQ590" s="2372"/>
      <c r="BR590" s="2372"/>
      <c r="BS590" s="2372"/>
      <c r="BT590" s="2372"/>
      <c r="BU590" s="2372"/>
      <c r="BV590" s="2372"/>
      <c r="BW590" s="2372"/>
      <c r="BX590" s="2372"/>
      <c r="BY590" s="2372"/>
      <c r="BZ590" s="2372"/>
      <c r="CA590" s="2372"/>
      <c r="CB590" s="2372"/>
      <c r="CC590" s="2372"/>
      <c r="CD590" s="2372"/>
      <c r="CE590" s="2372"/>
      <c r="CF590" s="2372"/>
      <c r="CG590" s="2372"/>
      <c r="CH590" s="2372"/>
      <c r="CI590" s="2372"/>
      <c r="CJ590" s="2372"/>
      <c r="CK590" s="2372"/>
      <c r="CL590" s="2372"/>
      <c r="CM590" s="2372"/>
      <c r="CN590" s="2372"/>
      <c r="CO590" s="2372"/>
      <c r="CP590" s="2372"/>
      <c r="CQ590" s="2372"/>
      <c r="CR590" s="2372"/>
      <c r="CS590" s="2372"/>
      <c r="CT590" s="2372"/>
      <c r="CU590" s="2372"/>
      <c r="CV590" s="2372"/>
      <c r="CW590" s="2372"/>
      <c r="CX590" s="2372"/>
      <c r="CY590" s="2372"/>
      <c r="CZ590" s="2372"/>
      <c r="DA590" s="2372"/>
    </row>
    <row r="591" spans="1:105" ht="15" hidden="1" customHeight="1">
      <c r="A591" s="2372"/>
      <c r="B591" s="2372"/>
      <c r="C591" s="2372"/>
      <c r="D591" s="2372"/>
      <c r="E591" s="2372"/>
      <c r="F591" s="2372"/>
      <c r="G591" s="2372"/>
      <c r="H591" s="2372"/>
      <c r="I591" s="2372"/>
      <c r="J591" s="2372"/>
      <c r="K591" s="2372"/>
      <c r="L591" s="2372"/>
      <c r="M591" s="2372"/>
      <c r="N591" s="2372"/>
      <c r="O591" s="2372"/>
      <c r="P591" s="2372"/>
      <c r="Q591" s="2372"/>
      <c r="R591" s="2372"/>
      <c r="S591" s="2372"/>
      <c r="T591" s="2372"/>
      <c r="U591" s="2372"/>
      <c r="V591" s="2372"/>
      <c r="W591" s="2372"/>
      <c r="X591" s="2372"/>
      <c r="Y591" s="2372"/>
      <c r="Z591" s="2372"/>
      <c r="AA591" s="2372"/>
      <c r="AB591" s="2372"/>
      <c r="AC591" s="2372"/>
      <c r="AD591" s="2372"/>
      <c r="AE591" s="2372"/>
      <c r="AF591" s="2372"/>
      <c r="AG591" s="2372"/>
      <c r="AH591" s="2372"/>
      <c r="AI591" s="2372"/>
      <c r="AJ591" s="2372"/>
      <c r="AK591" s="2372"/>
      <c r="AL591" s="2372"/>
      <c r="AM591" s="2372"/>
      <c r="AN591" s="2372"/>
      <c r="AO591" s="2372"/>
      <c r="AP591" s="2372"/>
      <c r="AQ591" s="2372"/>
      <c r="AR591" s="2372"/>
      <c r="AS591" s="2372"/>
      <c r="AT591" s="2372"/>
      <c r="AU591" s="2372"/>
      <c r="AV591" s="2372"/>
      <c r="AW591" s="2372"/>
      <c r="AX591" s="2372"/>
      <c r="AY591" s="2372"/>
      <c r="AZ591" s="2372"/>
      <c r="BA591" s="2372"/>
      <c r="BB591" s="2372"/>
      <c r="BC591" s="2372"/>
      <c r="BD591" s="2372"/>
      <c r="BE591" s="2372"/>
      <c r="BF591" s="2372"/>
      <c r="BG591" s="2372"/>
      <c r="BH591" s="2372"/>
      <c r="BI591" s="2372"/>
      <c r="BJ591" s="2372"/>
      <c r="BK591" s="2372"/>
      <c r="BL591" s="2372"/>
      <c r="BM591" s="2372"/>
      <c r="BN591" s="2372"/>
      <c r="BO591" s="2372"/>
      <c r="BP591" s="2372"/>
      <c r="BQ591" s="2372"/>
      <c r="BR591" s="2372"/>
      <c r="BS591" s="2372"/>
      <c r="BT591" s="2372"/>
      <c r="BU591" s="2372"/>
      <c r="BV591" s="2372"/>
      <c r="BW591" s="2372"/>
      <c r="BX591" s="2372"/>
      <c r="BY591" s="2372"/>
      <c r="BZ591" s="2372"/>
      <c r="CA591" s="2372"/>
      <c r="CB591" s="2372"/>
      <c r="CC591" s="2372"/>
      <c r="CD591" s="2372"/>
      <c r="CE591" s="2372"/>
      <c r="CF591" s="2372"/>
      <c r="CG591" s="2372"/>
      <c r="CH591" s="2372"/>
      <c r="CI591" s="2372"/>
      <c r="CJ591" s="2372"/>
      <c r="CK591" s="2372"/>
      <c r="CL591" s="2372"/>
      <c r="CM591" s="2372"/>
      <c r="CN591" s="2372"/>
      <c r="CO591" s="2372"/>
      <c r="CP591" s="2372"/>
      <c r="CQ591" s="2372"/>
      <c r="CR591" s="2372"/>
      <c r="CS591" s="2372"/>
      <c r="CT591" s="2372"/>
      <c r="CU591" s="2372"/>
      <c r="CV591" s="2372"/>
      <c r="CW591" s="2372"/>
      <c r="CX591" s="2372"/>
      <c r="CY591" s="2372"/>
      <c r="CZ591" s="2372"/>
      <c r="DA591" s="2372"/>
    </row>
    <row r="592" spans="1:105" ht="15" hidden="1" customHeight="1">
      <c r="A592" s="2372"/>
      <c r="B592" s="2372"/>
      <c r="C592" s="2372"/>
      <c r="D592" s="2372"/>
      <c r="E592" s="2372"/>
      <c r="F592" s="2372"/>
      <c r="G592" s="2372"/>
      <c r="H592" s="2372"/>
      <c r="I592" s="2372"/>
      <c r="J592" s="2372"/>
      <c r="K592" s="2372"/>
      <c r="L592" s="2372"/>
      <c r="M592" s="2372"/>
      <c r="N592" s="2372"/>
      <c r="O592" s="2372"/>
      <c r="P592" s="2372"/>
      <c r="Q592" s="2372"/>
      <c r="R592" s="2372"/>
      <c r="S592" s="2372"/>
      <c r="T592" s="2372"/>
      <c r="U592" s="2372"/>
      <c r="V592" s="2372"/>
      <c r="W592" s="2372"/>
      <c r="X592" s="2372"/>
      <c r="Y592" s="2372"/>
      <c r="Z592" s="2372"/>
      <c r="AA592" s="2372"/>
      <c r="AB592" s="2372"/>
      <c r="AC592" s="2372"/>
      <c r="AD592" s="2372"/>
      <c r="AE592" s="2372"/>
      <c r="AF592" s="2372"/>
      <c r="AG592" s="2372"/>
      <c r="AH592" s="2372"/>
      <c r="AI592" s="2372"/>
      <c r="AJ592" s="2372"/>
      <c r="AK592" s="2372"/>
      <c r="AL592" s="2372"/>
      <c r="AM592" s="2372"/>
      <c r="AN592" s="2372"/>
      <c r="AO592" s="2372"/>
      <c r="AP592" s="2372"/>
      <c r="AQ592" s="2372"/>
      <c r="AR592" s="2372"/>
      <c r="AS592" s="2372"/>
      <c r="AT592" s="2372"/>
      <c r="AU592" s="2372"/>
      <c r="AV592" s="2372"/>
      <c r="AW592" s="2372"/>
      <c r="AX592" s="2372"/>
      <c r="AY592" s="2372"/>
      <c r="AZ592" s="2372"/>
      <c r="BA592" s="2372"/>
      <c r="BB592" s="2372"/>
      <c r="BC592" s="2372"/>
      <c r="BD592" s="2372"/>
      <c r="BE592" s="2372"/>
      <c r="BF592" s="2372"/>
      <c r="BG592" s="2372"/>
      <c r="BH592" s="2372"/>
      <c r="BI592" s="2372"/>
      <c r="BJ592" s="2372"/>
      <c r="BK592" s="2372"/>
      <c r="BL592" s="2372"/>
      <c r="BM592" s="2372"/>
      <c r="BN592" s="2372"/>
      <c r="BO592" s="2372"/>
      <c r="BP592" s="2372"/>
      <c r="BQ592" s="2372"/>
      <c r="BR592" s="2372"/>
      <c r="BS592" s="2372"/>
      <c r="BT592" s="2372"/>
      <c r="BU592" s="2372"/>
      <c r="BV592" s="2372"/>
      <c r="BW592" s="2372"/>
      <c r="BX592" s="2372"/>
      <c r="BY592" s="2372"/>
      <c r="BZ592" s="2372"/>
      <c r="CA592" s="2372"/>
      <c r="CB592" s="2372"/>
      <c r="CC592" s="2372"/>
      <c r="CD592" s="2372"/>
      <c r="CE592" s="2372"/>
      <c r="CF592" s="2372"/>
      <c r="CG592" s="2372"/>
      <c r="CH592" s="2372"/>
      <c r="CI592" s="2372"/>
      <c r="CJ592" s="2372"/>
      <c r="CK592" s="2372"/>
      <c r="CL592" s="2372"/>
      <c r="CM592" s="2372"/>
      <c r="CN592" s="2372"/>
      <c r="CO592" s="2372"/>
      <c r="CP592" s="2372"/>
      <c r="CQ592" s="2372"/>
      <c r="CR592" s="2372"/>
      <c r="CS592" s="2372"/>
      <c r="CT592" s="2372"/>
      <c r="CU592" s="2372"/>
      <c r="CV592" s="2372"/>
      <c r="CW592" s="2372"/>
      <c r="CX592" s="2372"/>
      <c r="CY592" s="2372"/>
      <c r="CZ592" s="2372"/>
      <c r="DA592" s="2372"/>
    </row>
    <row r="593" spans="1:105" ht="15" hidden="1" customHeight="1">
      <c r="A593" s="2372"/>
      <c r="B593" s="2372"/>
      <c r="C593" s="2372"/>
      <c r="D593" s="2372"/>
      <c r="E593" s="2372"/>
      <c r="F593" s="2372"/>
      <c r="G593" s="2372"/>
      <c r="H593" s="2372"/>
      <c r="I593" s="2372"/>
      <c r="J593" s="2372"/>
      <c r="K593" s="2372"/>
      <c r="L593" s="2372"/>
      <c r="M593" s="2372"/>
      <c r="N593" s="2372"/>
      <c r="O593" s="2372"/>
      <c r="P593" s="2372"/>
      <c r="Q593" s="2372"/>
      <c r="R593" s="2372"/>
      <c r="S593" s="2372"/>
      <c r="T593" s="2372"/>
      <c r="U593" s="2372"/>
      <c r="V593" s="2372"/>
      <c r="W593" s="2372"/>
      <c r="X593" s="2372"/>
      <c r="Y593" s="2372"/>
      <c r="Z593" s="2372"/>
      <c r="AA593" s="2372"/>
      <c r="AB593" s="2372"/>
      <c r="AC593" s="2372"/>
      <c r="AD593" s="2372"/>
      <c r="AE593" s="2372"/>
      <c r="AF593" s="2372"/>
      <c r="AG593" s="2372"/>
      <c r="AH593" s="2372"/>
      <c r="AI593" s="2372"/>
      <c r="AJ593" s="2372"/>
      <c r="AK593" s="2372"/>
      <c r="AL593" s="2372"/>
      <c r="AM593" s="2372"/>
      <c r="AN593" s="2372"/>
      <c r="AO593" s="2372"/>
      <c r="AP593" s="2372"/>
      <c r="AQ593" s="2372"/>
      <c r="AR593" s="2372"/>
      <c r="AS593" s="2372"/>
      <c r="AT593" s="2372"/>
      <c r="AU593" s="2372"/>
      <c r="AV593" s="2372"/>
      <c r="AW593" s="2372"/>
      <c r="AX593" s="2372"/>
      <c r="AY593" s="2372"/>
      <c r="AZ593" s="2372"/>
      <c r="BA593" s="2372"/>
      <c r="BB593" s="2372"/>
      <c r="BC593" s="2372"/>
      <c r="BD593" s="2372"/>
      <c r="BE593" s="2372"/>
      <c r="BF593" s="2372"/>
      <c r="BG593" s="2372"/>
      <c r="BH593" s="2372"/>
      <c r="BI593" s="2372"/>
      <c r="BJ593" s="2372"/>
      <c r="BK593" s="2372"/>
      <c r="BL593" s="2372"/>
      <c r="BM593" s="2372"/>
      <c r="BN593" s="2372"/>
      <c r="BO593" s="2372"/>
      <c r="BP593" s="2372"/>
      <c r="BQ593" s="2372"/>
      <c r="BR593" s="2372"/>
      <c r="BS593" s="2372"/>
      <c r="BT593" s="2372"/>
      <c r="BU593" s="2372"/>
      <c r="BV593" s="2372"/>
      <c r="BW593" s="2372"/>
      <c r="BX593" s="2372"/>
      <c r="BY593" s="2372"/>
      <c r="BZ593" s="2372"/>
      <c r="CA593" s="2372"/>
      <c r="CB593" s="2372"/>
      <c r="CC593" s="2372"/>
      <c r="CD593" s="2372"/>
      <c r="CE593" s="2372"/>
      <c r="CF593" s="2372"/>
      <c r="CG593" s="2372"/>
      <c r="CH593" s="2372"/>
      <c r="CI593" s="2372"/>
      <c r="CJ593" s="2372"/>
      <c r="CK593" s="2372"/>
      <c r="CL593" s="2372"/>
      <c r="CM593" s="2372"/>
      <c r="CN593" s="2372"/>
      <c r="CO593" s="2372"/>
      <c r="CP593" s="2372"/>
      <c r="CQ593" s="2372"/>
      <c r="CR593" s="2372"/>
      <c r="CS593" s="2372"/>
      <c r="CT593" s="2372"/>
      <c r="CU593" s="2372"/>
      <c r="CV593" s="2372"/>
      <c r="CW593" s="2372"/>
      <c r="CX593" s="2372"/>
      <c r="CY593" s="2372"/>
      <c r="CZ593" s="2372"/>
      <c r="DA593" s="2372"/>
    </row>
    <row r="594" spans="1:105" ht="15" hidden="1" customHeight="1">
      <c r="A594" s="2372"/>
      <c r="B594" s="2372"/>
      <c r="C594" s="2372"/>
      <c r="D594" s="2372"/>
      <c r="E594" s="2372"/>
      <c r="F594" s="2372"/>
      <c r="G594" s="2372"/>
      <c r="H594" s="2372"/>
      <c r="I594" s="2372"/>
      <c r="J594" s="2372"/>
      <c r="K594" s="2372"/>
      <c r="L594" s="2372"/>
      <c r="M594" s="2372"/>
      <c r="N594" s="2372"/>
      <c r="O594" s="2372"/>
      <c r="P594" s="2372"/>
      <c r="Q594" s="2372"/>
      <c r="R594" s="2372"/>
      <c r="S594" s="2372"/>
      <c r="T594" s="2372"/>
      <c r="U594" s="2372"/>
      <c r="V594" s="2372"/>
      <c r="W594" s="2372"/>
      <c r="X594" s="2372"/>
      <c r="Y594" s="2372"/>
      <c r="Z594" s="2372"/>
      <c r="AA594" s="2372"/>
      <c r="AB594" s="2372"/>
      <c r="AC594" s="2372"/>
      <c r="AD594" s="2372"/>
      <c r="AE594" s="2372"/>
      <c r="AF594" s="2372"/>
      <c r="AG594" s="2372"/>
      <c r="AH594" s="2372"/>
      <c r="AI594" s="2372"/>
      <c r="AJ594" s="2372"/>
      <c r="AK594" s="2372"/>
      <c r="AL594" s="2372"/>
      <c r="AM594" s="2372"/>
      <c r="AN594" s="2372"/>
      <c r="AO594" s="2372"/>
      <c r="AP594" s="2372"/>
      <c r="AQ594" s="2372"/>
      <c r="AR594" s="2372"/>
      <c r="AS594" s="2372"/>
      <c r="AT594" s="2372"/>
      <c r="AU594" s="2372"/>
      <c r="AV594" s="2372"/>
      <c r="AW594" s="2372"/>
      <c r="AX594" s="2372"/>
      <c r="AY594" s="2372"/>
      <c r="AZ594" s="2372"/>
      <c r="BA594" s="2372"/>
      <c r="BB594" s="2372"/>
      <c r="BC594" s="2372"/>
      <c r="BD594" s="2372"/>
      <c r="BE594" s="2372"/>
      <c r="BF594" s="2372"/>
      <c r="BG594" s="2372"/>
      <c r="BH594" s="2372"/>
      <c r="BI594" s="2372"/>
      <c r="BJ594" s="2372"/>
      <c r="BK594" s="2372"/>
      <c r="BL594" s="2372"/>
      <c r="BM594" s="2372"/>
      <c r="BN594" s="2372"/>
      <c r="BO594" s="2372"/>
      <c r="BP594" s="2372"/>
      <c r="BQ594" s="2372"/>
      <c r="BR594" s="2372"/>
      <c r="BS594" s="2372"/>
      <c r="BT594" s="2372"/>
      <c r="BU594" s="2372"/>
      <c r="BV594" s="2372"/>
      <c r="BW594" s="2372"/>
      <c r="BX594" s="2372"/>
      <c r="BY594" s="2372"/>
      <c r="BZ594" s="2372"/>
      <c r="CA594" s="2372"/>
      <c r="CB594" s="2372"/>
      <c r="CC594" s="2372"/>
      <c r="CD594" s="2372"/>
      <c r="CE594" s="2372"/>
      <c r="CF594" s="2372"/>
      <c r="CG594" s="2372"/>
      <c r="CH594" s="2372"/>
      <c r="CI594" s="2372"/>
      <c r="CJ594" s="2372"/>
      <c r="CK594" s="2372"/>
      <c r="CL594" s="2372"/>
      <c r="CM594" s="2372"/>
      <c r="CN594" s="2372"/>
      <c r="CO594" s="2372"/>
      <c r="CP594" s="2372"/>
      <c r="CQ594" s="2372"/>
      <c r="CR594" s="2372"/>
      <c r="CS594" s="2372"/>
      <c r="CT594" s="2372"/>
      <c r="CU594" s="2372"/>
      <c r="CV594" s="2372"/>
      <c r="CW594" s="2372"/>
      <c r="CX594" s="2372"/>
      <c r="CY594" s="2372"/>
      <c r="CZ594" s="2372"/>
      <c r="DA594" s="2372"/>
    </row>
    <row r="595" spans="1:105" ht="15" hidden="1" customHeight="1">
      <c r="A595" s="2372"/>
      <c r="B595" s="2372"/>
      <c r="C595" s="2372"/>
      <c r="D595" s="2372"/>
      <c r="E595" s="2372"/>
      <c r="F595" s="2372"/>
      <c r="G595" s="2372"/>
      <c r="H595" s="2372"/>
      <c r="I595" s="2372"/>
      <c r="J595" s="2372"/>
      <c r="K595" s="2372"/>
      <c r="L595" s="2372"/>
      <c r="M595" s="2372"/>
      <c r="N595" s="2372"/>
      <c r="O595" s="2372"/>
      <c r="P595" s="2372"/>
      <c r="Q595" s="2372"/>
      <c r="R595" s="2372"/>
      <c r="S595" s="2372"/>
      <c r="T595" s="2372"/>
      <c r="U595" s="2372"/>
      <c r="V595" s="2372"/>
      <c r="W595" s="2372"/>
      <c r="X595" s="2372"/>
      <c r="Y595" s="2372"/>
      <c r="Z595" s="2372"/>
      <c r="AA595" s="2372"/>
      <c r="AB595" s="2372"/>
      <c r="AC595" s="2372"/>
      <c r="AD595" s="2372"/>
      <c r="AE595" s="2372"/>
      <c r="AF595" s="2372"/>
      <c r="AG595" s="2372"/>
      <c r="AH595" s="2372"/>
      <c r="AI595" s="2372"/>
      <c r="AJ595" s="2372"/>
      <c r="AK595" s="2372"/>
      <c r="AL595" s="2372"/>
      <c r="AM595" s="2372"/>
      <c r="AN595" s="2372"/>
      <c r="AO595" s="2372"/>
      <c r="AP595" s="2372"/>
      <c r="AQ595" s="2372"/>
      <c r="AR595" s="2372"/>
      <c r="AS595" s="2372"/>
      <c r="AT595" s="2372"/>
      <c r="AU595" s="2372"/>
      <c r="AV595" s="2372"/>
      <c r="AW595" s="2372"/>
      <c r="AX595" s="2372"/>
      <c r="AY595" s="2372"/>
      <c r="AZ595" s="2372"/>
      <c r="BA595" s="2372"/>
      <c r="BB595" s="2372"/>
      <c r="BC595" s="2372"/>
      <c r="BD595" s="2372"/>
      <c r="BE595" s="2372"/>
      <c r="BF595" s="2372"/>
      <c r="BG595" s="2372"/>
      <c r="BH595" s="2372"/>
      <c r="BI595" s="2372"/>
      <c r="BJ595" s="2372"/>
      <c r="BK595" s="2372"/>
      <c r="BL595" s="2372"/>
      <c r="BM595" s="2372"/>
      <c r="BN595" s="2372"/>
      <c r="BO595" s="2372"/>
      <c r="BP595" s="2372"/>
      <c r="BQ595" s="2372"/>
      <c r="BR595" s="2372"/>
      <c r="BS595" s="2372"/>
      <c r="BT595" s="2372"/>
      <c r="BU595" s="2372"/>
      <c r="BV595" s="2372"/>
      <c r="BW595" s="2372"/>
      <c r="BX595" s="2372"/>
      <c r="BY595" s="2372"/>
      <c r="BZ595" s="2372"/>
      <c r="CA595" s="2372"/>
      <c r="CB595" s="2372"/>
      <c r="CC595" s="2372"/>
      <c r="CD595" s="2372"/>
      <c r="CE595" s="2372"/>
      <c r="CF595" s="2372"/>
      <c r="CG595" s="2372"/>
      <c r="CH595" s="2372"/>
      <c r="CI595" s="2372"/>
      <c r="CJ595" s="2372"/>
      <c r="CK595" s="2372"/>
      <c r="CL595" s="2372"/>
      <c r="CM595" s="2372"/>
      <c r="CN595" s="2372"/>
      <c r="CO595" s="2372"/>
      <c r="CP595" s="2372"/>
      <c r="CQ595" s="2372"/>
      <c r="CR595" s="2372"/>
      <c r="CS595" s="2372"/>
      <c r="CT595" s="2372"/>
      <c r="CU595" s="2372"/>
      <c r="CV595" s="2372"/>
      <c r="CW595" s="2372"/>
      <c r="CX595" s="2372"/>
      <c r="CY595" s="2372"/>
      <c r="CZ595" s="2372"/>
      <c r="DA595" s="2372"/>
    </row>
    <row r="596" spans="1:105" ht="15" hidden="1" customHeight="1">
      <c r="A596" s="2372"/>
      <c r="B596" s="2372"/>
      <c r="C596" s="2372"/>
      <c r="D596" s="2372"/>
      <c r="E596" s="2372"/>
      <c r="F596" s="2372"/>
      <c r="G596" s="2372"/>
      <c r="H596" s="2372"/>
      <c r="I596" s="2372"/>
      <c r="J596" s="2372"/>
      <c r="K596" s="2372"/>
      <c r="L596" s="2372"/>
      <c r="M596" s="2372"/>
      <c r="N596" s="2372"/>
      <c r="O596" s="2372"/>
      <c r="P596" s="2372"/>
      <c r="Q596" s="2372"/>
      <c r="R596" s="2372"/>
      <c r="S596" s="2372"/>
      <c r="T596" s="2372"/>
      <c r="U596" s="2372"/>
      <c r="V596" s="2372"/>
      <c r="W596" s="2372"/>
      <c r="X596" s="2372"/>
      <c r="Y596" s="2372"/>
      <c r="Z596" s="2372"/>
      <c r="AA596" s="2372"/>
      <c r="AB596" s="2372"/>
      <c r="AC596" s="2372"/>
      <c r="AD596" s="2372"/>
      <c r="AE596" s="2372"/>
      <c r="AF596" s="2372"/>
      <c r="AG596" s="2372"/>
      <c r="AH596" s="2372"/>
      <c r="AI596" s="2372"/>
      <c r="AJ596" s="2372"/>
      <c r="AK596" s="2372"/>
      <c r="AL596" s="2372"/>
      <c r="AM596" s="2372"/>
      <c r="AN596" s="2372"/>
      <c r="AO596" s="2372"/>
      <c r="AP596" s="2372"/>
      <c r="AQ596" s="2372"/>
      <c r="AR596" s="2372"/>
      <c r="AS596" s="2372"/>
      <c r="AT596" s="2372"/>
      <c r="AU596" s="2372"/>
      <c r="AV596" s="2372"/>
      <c r="AW596" s="2372"/>
      <c r="AX596" s="2372"/>
      <c r="AY596" s="2372"/>
      <c r="AZ596" s="2372"/>
      <c r="BA596" s="2372"/>
      <c r="BB596" s="2372"/>
      <c r="BC596" s="2372"/>
      <c r="BD596" s="2372"/>
      <c r="BE596" s="2372"/>
      <c r="BF596" s="2372"/>
      <c r="BG596" s="2372"/>
      <c r="BH596" s="2372"/>
      <c r="BI596" s="2372"/>
      <c r="BJ596" s="2372"/>
      <c r="BK596" s="2372"/>
      <c r="BL596" s="2372"/>
      <c r="BM596" s="2372"/>
      <c r="BN596" s="2372"/>
      <c r="BO596" s="2372"/>
      <c r="BP596" s="2372"/>
      <c r="BQ596" s="2372"/>
      <c r="BR596" s="2372"/>
      <c r="BS596" s="2372"/>
      <c r="BT596" s="2372"/>
      <c r="BU596" s="2372"/>
      <c r="BV596" s="2372"/>
      <c r="BW596" s="2372"/>
      <c r="BX596" s="2372"/>
      <c r="BY596" s="2372"/>
      <c r="BZ596" s="2372"/>
      <c r="CA596" s="2372"/>
      <c r="CB596" s="2372"/>
      <c r="CC596" s="2372"/>
      <c r="CD596" s="2372"/>
      <c r="CE596" s="2372"/>
      <c r="CF596" s="2372"/>
      <c r="CG596" s="2372"/>
      <c r="CH596" s="2372"/>
      <c r="CI596" s="2372"/>
      <c r="CJ596" s="2372"/>
      <c r="CK596" s="2372"/>
      <c r="CL596" s="2372"/>
      <c r="CM596" s="2372"/>
      <c r="CN596" s="2372"/>
      <c r="CO596" s="2372"/>
      <c r="CP596" s="2372"/>
      <c r="CQ596" s="2372"/>
      <c r="CR596" s="2372"/>
      <c r="CS596" s="2372"/>
      <c r="CT596" s="2372"/>
      <c r="CU596" s="2372"/>
      <c r="CV596" s="2372"/>
      <c r="CW596" s="2372"/>
      <c r="CX596" s="2372"/>
      <c r="CY596" s="2372"/>
      <c r="CZ596" s="2372"/>
      <c r="DA596" s="2372"/>
    </row>
    <row r="597" spans="1:105" ht="15" hidden="1" customHeight="1">
      <c r="A597" s="2372"/>
      <c r="B597" s="2372"/>
      <c r="C597" s="2372"/>
      <c r="D597" s="2372"/>
      <c r="E597" s="2372"/>
      <c r="F597" s="2372"/>
      <c r="G597" s="2372"/>
      <c r="H597" s="2372"/>
      <c r="I597" s="2372"/>
      <c r="J597" s="2372"/>
      <c r="K597" s="2372"/>
      <c r="L597" s="2372"/>
      <c r="M597" s="2372"/>
      <c r="N597" s="2372"/>
      <c r="O597" s="2372"/>
      <c r="P597" s="2372"/>
      <c r="Q597" s="2372"/>
      <c r="R597" s="2372"/>
      <c r="S597" s="2372"/>
      <c r="T597" s="2372"/>
      <c r="U597" s="2372"/>
      <c r="V597" s="2372"/>
      <c r="W597" s="2372"/>
      <c r="X597" s="2372"/>
      <c r="Y597" s="2372"/>
      <c r="Z597" s="2372"/>
      <c r="AA597" s="2372"/>
      <c r="AB597" s="2372"/>
      <c r="AC597" s="2372"/>
      <c r="AD597" s="2372"/>
      <c r="AE597" s="2372"/>
      <c r="AF597" s="2372"/>
      <c r="AG597" s="2372"/>
      <c r="AH597" s="2372"/>
      <c r="AI597" s="2372"/>
      <c r="AJ597" s="2372"/>
      <c r="AK597" s="2372"/>
      <c r="AL597" s="2372"/>
      <c r="AM597" s="2372"/>
      <c r="AN597" s="2372"/>
      <c r="AO597" s="2372"/>
      <c r="AP597" s="2372"/>
      <c r="AQ597" s="2372"/>
      <c r="AR597" s="2372"/>
      <c r="AS597" s="2372"/>
      <c r="AT597" s="2372"/>
      <c r="AU597" s="2372"/>
      <c r="AV597" s="2372"/>
      <c r="AW597" s="2372"/>
      <c r="AX597" s="2372"/>
      <c r="AY597" s="2372"/>
      <c r="AZ597" s="2372"/>
      <c r="BA597" s="2372"/>
      <c r="BB597" s="2372"/>
      <c r="BC597" s="2372"/>
      <c r="BD597" s="2372"/>
      <c r="BE597" s="2372"/>
      <c r="BF597" s="2372"/>
      <c r="BG597" s="2372"/>
      <c r="BH597" s="2372"/>
      <c r="BI597" s="2372"/>
      <c r="BJ597" s="2372"/>
      <c r="BK597" s="2372"/>
      <c r="BL597" s="2372"/>
      <c r="BM597" s="2372"/>
      <c r="BN597" s="2372"/>
      <c r="BO597" s="2372"/>
      <c r="BP597" s="2372"/>
      <c r="BQ597" s="2372"/>
      <c r="BR597" s="2372"/>
      <c r="BS597" s="2372"/>
      <c r="BT597" s="2372"/>
      <c r="BU597" s="2372"/>
      <c r="BV597" s="2372"/>
      <c r="BW597" s="2372"/>
      <c r="BX597" s="2372"/>
      <c r="BY597" s="2372"/>
      <c r="BZ597" s="2372"/>
      <c r="CA597" s="2372"/>
      <c r="CB597" s="2372"/>
      <c r="CC597" s="2372"/>
      <c r="CD597" s="2372"/>
      <c r="CE597" s="2372"/>
      <c r="CF597" s="2372"/>
      <c r="CG597" s="2372"/>
      <c r="CH597" s="2372"/>
      <c r="CI597" s="2372"/>
      <c r="CJ597" s="2372"/>
      <c r="CK597" s="2372"/>
      <c r="CL597" s="2372"/>
      <c r="CM597" s="2372"/>
      <c r="CN597" s="2372"/>
      <c r="CO597" s="2372"/>
      <c r="CP597" s="2372"/>
      <c r="CQ597" s="2372"/>
      <c r="CR597" s="2372"/>
      <c r="CS597" s="2372"/>
      <c r="CT597" s="2372"/>
      <c r="CU597" s="2372"/>
      <c r="CV597" s="2372"/>
      <c r="CW597" s="2372"/>
      <c r="CX597" s="2372"/>
      <c r="CY597" s="2372"/>
      <c r="CZ597" s="2372"/>
      <c r="DA597" s="2372"/>
    </row>
    <row r="598" spans="1:105" ht="15" hidden="1" customHeight="1">
      <c r="A598" s="2372"/>
      <c r="B598" s="2372"/>
      <c r="C598" s="2372"/>
      <c r="D598" s="2372"/>
      <c r="E598" s="2372"/>
      <c r="F598" s="2372"/>
      <c r="G598" s="2372"/>
      <c r="H598" s="2372"/>
      <c r="I598" s="2372"/>
      <c r="J598" s="2372"/>
      <c r="K598" s="2372"/>
      <c r="L598" s="2372"/>
      <c r="M598" s="2372"/>
      <c r="N598" s="2372"/>
      <c r="O598" s="2372"/>
      <c r="P598" s="2372"/>
      <c r="Q598" s="2372"/>
      <c r="R598" s="2372"/>
      <c r="S598" s="2372"/>
      <c r="T598" s="2372"/>
      <c r="U598" s="2372"/>
      <c r="V598" s="2372"/>
      <c r="W598" s="2372"/>
      <c r="X598" s="2372"/>
      <c r="Y598" s="2372"/>
      <c r="Z598" s="2372"/>
      <c r="AA598" s="2372"/>
      <c r="AB598" s="2372"/>
      <c r="AC598" s="2372"/>
      <c r="AD598" s="2372"/>
      <c r="AE598" s="2372"/>
      <c r="AF598" s="2372"/>
      <c r="AG598" s="2372"/>
      <c r="AH598" s="2372"/>
      <c r="AI598" s="2372"/>
      <c r="AJ598" s="2372"/>
      <c r="AK598" s="2372"/>
      <c r="AL598" s="2372"/>
      <c r="AM598" s="2372"/>
      <c r="AN598" s="2372"/>
      <c r="AO598" s="2372"/>
      <c r="AP598" s="2372"/>
      <c r="AQ598" s="2372"/>
      <c r="AR598" s="2372"/>
      <c r="AS598" s="2372"/>
      <c r="AT598" s="2372"/>
      <c r="AU598" s="2372"/>
      <c r="AV598" s="2372"/>
      <c r="AW598" s="2372"/>
      <c r="AX598" s="2372"/>
      <c r="AY598" s="2372"/>
      <c r="AZ598" s="2372"/>
      <c r="BA598" s="2372"/>
      <c r="BB598" s="2372"/>
      <c r="BC598" s="2372"/>
      <c r="BD598" s="2372"/>
      <c r="BE598" s="2372"/>
      <c r="BF598" s="2372"/>
      <c r="BG598" s="2372"/>
      <c r="BH598" s="2372"/>
      <c r="BI598" s="2372"/>
      <c r="BJ598" s="2372"/>
      <c r="BK598" s="2372"/>
      <c r="BL598" s="2372"/>
      <c r="BM598" s="2372"/>
      <c r="BN598" s="2372"/>
      <c r="BO598" s="2372"/>
      <c r="BP598" s="2372"/>
      <c r="BQ598" s="2372"/>
      <c r="BR598" s="2372"/>
      <c r="BS598" s="2372"/>
      <c r="BT598" s="2372"/>
      <c r="BU598" s="2372"/>
      <c r="BV598" s="2372"/>
      <c r="BW598" s="2372"/>
      <c r="BX598" s="2372"/>
      <c r="BY598" s="2372"/>
      <c r="BZ598" s="2372"/>
      <c r="CA598" s="2372"/>
      <c r="CB598" s="2372"/>
      <c r="CC598" s="2372"/>
      <c r="CD598" s="2372"/>
      <c r="CE598" s="2372"/>
      <c r="CF598" s="2372"/>
      <c r="CG598" s="2372"/>
      <c r="CH598" s="2372"/>
      <c r="CI598" s="2372"/>
      <c r="CJ598" s="2372"/>
      <c r="CK598" s="2372"/>
      <c r="CL598" s="2372"/>
      <c r="CM598" s="2372"/>
      <c r="CN598" s="2372"/>
      <c r="CO598" s="2372"/>
      <c r="CP598" s="2372"/>
      <c r="CQ598" s="2372"/>
      <c r="CR598" s="2372"/>
      <c r="CS598" s="2372"/>
      <c r="CT598" s="2372"/>
      <c r="CU598" s="2372"/>
      <c r="CV598" s="2372"/>
      <c r="CW598" s="2372"/>
      <c r="CX598" s="2372"/>
      <c r="CY598" s="2372"/>
      <c r="CZ598" s="2372"/>
      <c r="DA598" s="2372"/>
    </row>
    <row r="599" spans="1:105" ht="15" hidden="1" customHeight="1">
      <c r="A599" s="2372"/>
      <c r="B599" s="2372"/>
      <c r="C599" s="2372"/>
      <c r="D599" s="2372"/>
      <c r="E599" s="2372"/>
      <c r="F599" s="2372"/>
      <c r="G599" s="2372"/>
      <c r="H599" s="2372"/>
      <c r="I599" s="2372"/>
      <c r="J599" s="2372"/>
      <c r="K599" s="2372"/>
      <c r="L599" s="2372"/>
      <c r="M599" s="2372"/>
      <c r="N599" s="2372"/>
      <c r="O599" s="2372"/>
      <c r="P599" s="2372"/>
      <c r="Q599" s="2372"/>
      <c r="R599" s="2372"/>
      <c r="S599" s="2372"/>
      <c r="T599" s="2372"/>
      <c r="U599" s="2372"/>
      <c r="V599" s="2372"/>
      <c r="W599" s="2372"/>
      <c r="X599" s="2372"/>
      <c r="Y599" s="2372"/>
      <c r="Z599" s="2372"/>
      <c r="AA599" s="2372"/>
      <c r="AB599" s="2372"/>
      <c r="AC599" s="2372"/>
      <c r="AD599" s="2372"/>
      <c r="AE599" s="2372"/>
      <c r="AF599" s="2372"/>
      <c r="AG599" s="2372"/>
      <c r="AH599" s="2372"/>
      <c r="AI599" s="2372"/>
      <c r="AJ599" s="2372"/>
      <c r="AK599" s="2372"/>
      <c r="AL599" s="2372"/>
      <c r="AM599" s="2372"/>
      <c r="AN599" s="2372"/>
      <c r="AO599" s="2372"/>
      <c r="AP599" s="2372"/>
      <c r="AQ599" s="2372"/>
      <c r="AR599" s="2372"/>
      <c r="AS599" s="2372"/>
      <c r="AT599" s="2372"/>
      <c r="AU599" s="2372"/>
      <c r="AV599" s="2372"/>
      <c r="AW599" s="2372"/>
      <c r="AX599" s="2372"/>
      <c r="AY599" s="2372"/>
      <c r="AZ599" s="2372"/>
      <c r="BA599" s="2372"/>
      <c r="BB599" s="2372"/>
      <c r="BC599" s="2372"/>
      <c r="BD599" s="2372"/>
      <c r="BE599" s="2372"/>
      <c r="BF599" s="2372"/>
      <c r="BG599" s="2372"/>
      <c r="BH599" s="2372"/>
      <c r="BI599" s="2372"/>
      <c r="BJ599" s="2372"/>
      <c r="BK599" s="2372"/>
      <c r="BL599" s="2372"/>
      <c r="BM599" s="2372"/>
      <c r="BN599" s="2372"/>
      <c r="BO599" s="2372"/>
      <c r="BP599" s="2372"/>
      <c r="BQ599" s="2372"/>
      <c r="BR599" s="2372"/>
      <c r="BS599" s="2372"/>
      <c r="BT599" s="2372"/>
      <c r="BU599" s="2372"/>
      <c r="BV599" s="2372"/>
      <c r="BW599" s="2372"/>
      <c r="BX599" s="2372"/>
      <c r="BY599" s="2372"/>
      <c r="BZ599" s="2372"/>
      <c r="CA599" s="2372"/>
      <c r="CB599" s="2372"/>
      <c r="CC599" s="2372"/>
      <c r="CD599" s="2372"/>
      <c r="CE599" s="2372"/>
      <c r="CF599" s="2372"/>
      <c r="CG599" s="2372"/>
      <c r="CH599" s="2372"/>
      <c r="CI599" s="2372"/>
      <c r="CJ599" s="2372"/>
      <c r="CK599" s="2372"/>
      <c r="CL599" s="2372"/>
      <c r="CM599" s="2372"/>
      <c r="CN599" s="2372"/>
      <c r="CO599" s="2372"/>
      <c r="CP599" s="2372"/>
      <c r="CQ599" s="2372"/>
      <c r="CR599" s="2372"/>
      <c r="CS599" s="2372"/>
      <c r="CT599" s="2372"/>
      <c r="CU599" s="2372"/>
      <c r="CV599" s="2372"/>
      <c r="CW599" s="2372"/>
      <c r="CX599" s="2372"/>
      <c r="CY599" s="2372"/>
      <c r="CZ599" s="2372"/>
      <c r="DA599" s="2372"/>
    </row>
    <row r="600" spans="1:105" ht="15" hidden="1" customHeight="1">
      <c r="A600" s="2372"/>
      <c r="B600" s="2372"/>
      <c r="C600" s="2372"/>
      <c r="D600" s="2372"/>
      <c r="E600" s="2372"/>
      <c r="F600" s="2372"/>
      <c r="G600" s="2372"/>
      <c r="H600" s="2372"/>
      <c r="I600" s="2372"/>
      <c r="J600" s="2372"/>
      <c r="K600" s="2372"/>
      <c r="L600" s="2372"/>
      <c r="M600" s="2372"/>
      <c r="N600" s="2372"/>
      <c r="O600" s="2372"/>
      <c r="P600" s="2372"/>
      <c r="Q600" s="2372"/>
      <c r="R600" s="2372"/>
      <c r="S600" s="2372"/>
      <c r="T600" s="2372"/>
      <c r="U600" s="2372"/>
      <c r="V600" s="2372"/>
      <c r="W600" s="2372"/>
      <c r="X600" s="2372"/>
      <c r="Y600" s="2372"/>
      <c r="Z600" s="2372"/>
      <c r="AA600" s="2372"/>
      <c r="AB600" s="2372"/>
      <c r="AC600" s="2372"/>
      <c r="AD600" s="2372"/>
      <c r="AE600" s="2372"/>
      <c r="AF600" s="2372"/>
      <c r="AG600" s="2372"/>
      <c r="AH600" s="2372"/>
      <c r="AI600" s="2372"/>
      <c r="AJ600" s="2372"/>
      <c r="AK600" s="2372"/>
      <c r="AL600" s="2372"/>
      <c r="AM600" s="2372"/>
      <c r="AN600" s="2372"/>
      <c r="AO600" s="2372"/>
      <c r="AP600" s="2372"/>
      <c r="AQ600" s="2372"/>
      <c r="AR600" s="2372"/>
      <c r="AS600" s="2372"/>
      <c r="AT600" s="2372"/>
      <c r="AU600" s="2372"/>
      <c r="AV600" s="2372"/>
      <c r="AW600" s="2372"/>
      <c r="AX600" s="2372"/>
      <c r="AY600" s="2372"/>
      <c r="AZ600" s="2372"/>
      <c r="BA600" s="2372"/>
      <c r="BB600" s="2372"/>
      <c r="BC600" s="2372"/>
      <c r="BD600" s="2372"/>
      <c r="BE600" s="2372"/>
      <c r="BF600" s="2372"/>
      <c r="BG600" s="2372"/>
      <c r="BH600" s="2372"/>
      <c r="BI600" s="2372"/>
      <c r="BJ600" s="2372"/>
      <c r="BK600" s="2372"/>
      <c r="BL600" s="2372"/>
      <c r="BM600" s="2372"/>
      <c r="BN600" s="2372"/>
      <c r="BO600" s="2372"/>
      <c r="BP600" s="2372"/>
      <c r="BQ600" s="2372"/>
      <c r="BR600" s="2372"/>
      <c r="BS600" s="2372"/>
      <c r="BT600" s="2372"/>
      <c r="BU600" s="2372"/>
      <c r="BV600" s="2372"/>
      <c r="BW600" s="2372"/>
      <c r="BX600" s="2372"/>
      <c r="BY600" s="2372"/>
      <c r="BZ600" s="2372"/>
      <c r="CA600" s="2372"/>
      <c r="CB600" s="2372"/>
      <c r="CC600" s="2372"/>
      <c r="CD600" s="2372"/>
      <c r="CE600" s="2372"/>
      <c r="CF600" s="2372"/>
      <c r="CG600" s="2372"/>
      <c r="CH600" s="2372"/>
      <c r="CI600" s="2372"/>
      <c r="CJ600" s="2372"/>
      <c r="CK600" s="2372"/>
      <c r="CL600" s="2372"/>
      <c r="CM600" s="2372"/>
      <c r="CN600" s="2372"/>
      <c r="CO600" s="2372"/>
      <c r="CP600" s="2372"/>
      <c r="CQ600" s="2372"/>
      <c r="CR600" s="2372"/>
      <c r="CS600" s="2372"/>
      <c r="CT600" s="2372"/>
      <c r="CU600" s="2372"/>
      <c r="CV600" s="2372"/>
      <c r="CW600" s="2372"/>
      <c r="CX600" s="2372"/>
      <c r="CY600" s="2372"/>
      <c r="CZ600" s="2372"/>
      <c r="DA600" s="2372"/>
    </row>
    <row r="601" spans="1:105" ht="15" hidden="1" customHeight="1">
      <c r="A601" s="2372"/>
      <c r="B601" s="2372"/>
      <c r="C601" s="2372"/>
      <c r="D601" s="2372"/>
      <c r="E601" s="2372"/>
      <c r="F601" s="2372"/>
      <c r="G601" s="2372"/>
      <c r="H601" s="2372"/>
      <c r="I601" s="2372"/>
      <c r="J601" s="2372"/>
      <c r="K601" s="2372"/>
      <c r="L601" s="2372"/>
      <c r="M601" s="2372"/>
      <c r="N601" s="2372"/>
      <c r="O601" s="2372"/>
      <c r="P601" s="2372"/>
      <c r="Q601" s="2372"/>
      <c r="R601" s="2372"/>
      <c r="S601" s="2372"/>
      <c r="T601" s="2372"/>
      <c r="U601" s="2372"/>
      <c r="V601" s="2372"/>
      <c r="W601" s="2372"/>
      <c r="X601" s="2372"/>
      <c r="Y601" s="2372"/>
      <c r="Z601" s="2372"/>
      <c r="AA601" s="2372"/>
      <c r="AB601" s="2372"/>
      <c r="AC601" s="2372"/>
      <c r="AD601" s="2372"/>
      <c r="AE601" s="2372"/>
      <c r="AF601" s="2372"/>
      <c r="AG601" s="2372"/>
      <c r="AH601" s="2372"/>
      <c r="AI601" s="2372"/>
      <c r="AJ601" s="2372"/>
      <c r="AK601" s="2372"/>
      <c r="AL601" s="2372"/>
      <c r="AM601" s="2372"/>
      <c r="AN601" s="2372"/>
      <c r="AO601" s="2372"/>
      <c r="AP601" s="2372"/>
      <c r="AQ601" s="2372"/>
      <c r="AR601" s="2372"/>
      <c r="AS601" s="2372"/>
      <c r="AT601" s="2372"/>
      <c r="AU601" s="2372"/>
      <c r="AV601" s="2372"/>
      <c r="AW601" s="2372"/>
      <c r="AX601" s="2372"/>
      <c r="AY601" s="2372"/>
      <c r="AZ601" s="2372"/>
      <c r="BA601" s="2372"/>
      <c r="BB601" s="2372"/>
      <c r="BC601" s="2372"/>
      <c r="BD601" s="2372"/>
      <c r="BE601" s="2372"/>
      <c r="BF601" s="2372"/>
      <c r="BG601" s="2372"/>
      <c r="BH601" s="2372"/>
      <c r="BI601" s="2372"/>
      <c r="BJ601" s="2372"/>
      <c r="BK601" s="2372"/>
      <c r="BL601" s="2372"/>
      <c r="BM601" s="2372"/>
      <c r="BN601" s="2372"/>
      <c r="BO601" s="2372"/>
      <c r="BP601" s="2372"/>
      <c r="BQ601" s="2372"/>
      <c r="BR601" s="2372"/>
      <c r="BS601" s="2372"/>
      <c r="BT601" s="2372"/>
      <c r="BU601" s="2372"/>
      <c r="BV601" s="2372"/>
      <c r="BW601" s="2372"/>
      <c r="BX601" s="2372"/>
      <c r="BY601" s="2372"/>
      <c r="BZ601" s="2372"/>
      <c r="CA601" s="2372"/>
      <c r="CB601" s="2372"/>
      <c r="CC601" s="2372"/>
      <c r="CD601" s="2372"/>
      <c r="CE601" s="2372"/>
      <c r="CF601" s="2372"/>
      <c r="CG601" s="2372"/>
      <c r="CH601" s="2372"/>
      <c r="CI601" s="2372"/>
      <c r="CJ601" s="2372"/>
      <c r="CK601" s="2372"/>
      <c r="CL601" s="2372"/>
      <c r="CM601" s="2372"/>
      <c r="CN601" s="2372"/>
      <c r="CO601" s="2372"/>
      <c r="CP601" s="2372"/>
      <c r="CQ601" s="2372"/>
      <c r="CR601" s="2372"/>
      <c r="CS601" s="2372"/>
      <c r="CT601" s="2372"/>
      <c r="CU601" s="2372"/>
      <c r="CV601" s="2372"/>
      <c r="CW601" s="2372"/>
      <c r="CX601" s="2372"/>
      <c r="CY601" s="2372"/>
      <c r="CZ601" s="2372"/>
      <c r="DA601" s="2372"/>
    </row>
    <row r="602" spans="1:105" ht="15" hidden="1" customHeight="1">
      <c r="A602" s="2372"/>
      <c r="B602" s="2372"/>
      <c r="C602" s="2372"/>
      <c r="D602" s="2372"/>
      <c r="E602" s="2372"/>
      <c r="F602" s="2372"/>
      <c r="G602" s="2372"/>
      <c r="H602" s="2372"/>
      <c r="I602" s="2372"/>
      <c r="J602" s="2372"/>
      <c r="K602" s="2372"/>
      <c r="L602" s="2372"/>
      <c r="M602" s="2372"/>
      <c r="N602" s="2372"/>
      <c r="O602" s="2372"/>
      <c r="P602" s="2372"/>
      <c r="Q602" s="2372"/>
      <c r="R602" s="2372"/>
      <c r="S602" s="2372"/>
      <c r="T602" s="2372"/>
      <c r="U602" s="2372"/>
      <c r="V602" s="2372"/>
      <c r="W602" s="2372"/>
      <c r="X602" s="2372"/>
      <c r="Y602" s="2372"/>
      <c r="Z602" s="2372"/>
      <c r="AA602" s="2372"/>
      <c r="AB602" s="2372"/>
      <c r="AC602" s="2372"/>
      <c r="AD602" s="2372"/>
      <c r="AE602" s="2372"/>
      <c r="AF602" s="2372"/>
      <c r="AG602" s="2372"/>
      <c r="AH602" s="2372"/>
      <c r="AI602" s="2372"/>
      <c r="AJ602" s="2372"/>
      <c r="AK602" s="2372"/>
      <c r="AL602" s="2372"/>
      <c r="AM602" s="2372"/>
      <c r="AN602" s="2372"/>
      <c r="AO602" s="2372"/>
      <c r="AP602" s="2372"/>
      <c r="AQ602" s="2372"/>
      <c r="AR602" s="2372"/>
      <c r="AS602" s="2372"/>
      <c r="AT602" s="2372"/>
      <c r="AU602" s="2372"/>
      <c r="AV602" s="2372"/>
      <c r="AW602" s="2372"/>
      <c r="AX602" s="2372"/>
      <c r="AY602" s="2372"/>
      <c r="AZ602" s="2372"/>
      <c r="BA602" s="2372"/>
      <c r="BB602" s="2372"/>
      <c r="BC602" s="2372"/>
      <c r="BD602" s="2372"/>
      <c r="BE602" s="2372"/>
      <c r="BF602" s="2372"/>
      <c r="BG602" s="2372"/>
      <c r="BH602" s="2372"/>
      <c r="BI602" s="2372"/>
      <c r="BJ602" s="2372"/>
      <c r="BK602" s="2372"/>
      <c r="BL602" s="2372"/>
      <c r="BM602" s="2372"/>
      <c r="BN602" s="2372"/>
      <c r="BO602" s="2372"/>
      <c r="BP602" s="2372"/>
      <c r="BQ602" s="2372"/>
      <c r="BR602" s="2372"/>
      <c r="BS602" s="2372"/>
      <c r="BT602" s="2372"/>
      <c r="BU602" s="2372"/>
      <c r="BV602" s="2372"/>
      <c r="BW602" s="2372"/>
      <c r="BX602" s="2372"/>
      <c r="BY602" s="2372"/>
      <c r="BZ602" s="2372"/>
      <c r="CA602" s="2372"/>
      <c r="CB602" s="2372"/>
      <c r="CC602" s="2372"/>
      <c r="CD602" s="2372"/>
      <c r="CE602" s="2372"/>
      <c r="CF602" s="2372"/>
      <c r="CG602" s="2372"/>
      <c r="CH602" s="2372"/>
      <c r="CI602" s="2372"/>
      <c r="CJ602" s="2372"/>
      <c r="CK602" s="2372"/>
      <c r="CL602" s="2372"/>
      <c r="CM602" s="2372"/>
      <c r="CN602" s="2372"/>
      <c r="CO602" s="2372"/>
      <c r="CP602" s="2372"/>
      <c r="CQ602" s="2372"/>
      <c r="CR602" s="2372"/>
      <c r="CS602" s="2372"/>
      <c r="CT602" s="2372"/>
      <c r="CU602" s="2372"/>
      <c r="CV602" s="2372"/>
      <c r="CW602" s="2372"/>
      <c r="CX602" s="2372"/>
      <c r="CY602" s="2372"/>
      <c r="CZ602" s="2372"/>
      <c r="DA602" s="2372"/>
    </row>
    <row r="603" spans="1:105" ht="15" hidden="1" customHeight="1">
      <c r="A603" s="2372"/>
      <c r="B603" s="2372"/>
      <c r="C603" s="2372"/>
      <c r="D603" s="2372"/>
      <c r="E603" s="2372"/>
      <c r="F603" s="2372"/>
      <c r="G603" s="2372"/>
      <c r="H603" s="2372"/>
      <c r="I603" s="2372"/>
      <c r="J603" s="2372"/>
      <c r="K603" s="2372"/>
      <c r="L603" s="2372"/>
      <c r="M603" s="2372"/>
      <c r="N603" s="2372"/>
      <c r="O603" s="2372"/>
      <c r="P603" s="2372"/>
      <c r="Q603" s="2372"/>
      <c r="R603" s="2372"/>
      <c r="S603" s="2372"/>
      <c r="T603" s="2372"/>
      <c r="U603" s="2372"/>
      <c r="V603" s="2372"/>
      <c r="W603" s="2372"/>
      <c r="X603" s="2372"/>
      <c r="Y603" s="2372"/>
      <c r="Z603" s="2372"/>
      <c r="AA603" s="2372"/>
      <c r="AB603" s="2372"/>
      <c r="AC603" s="2372"/>
      <c r="AD603" s="2372"/>
      <c r="AE603" s="2372"/>
      <c r="AF603" s="2372"/>
      <c r="AG603" s="2372"/>
      <c r="AH603" s="2372"/>
      <c r="AI603" s="2372"/>
      <c r="AJ603" s="2372"/>
      <c r="AK603" s="2372"/>
      <c r="AL603" s="2372"/>
      <c r="AM603" s="2372"/>
      <c r="AN603" s="2372"/>
      <c r="AO603" s="2372"/>
      <c r="AP603" s="2372"/>
      <c r="AQ603" s="2372"/>
      <c r="AR603" s="2372"/>
      <c r="AS603" s="2372"/>
      <c r="AT603" s="2372"/>
      <c r="AU603" s="2372"/>
      <c r="AV603" s="2372"/>
      <c r="AW603" s="2372"/>
      <c r="AX603" s="2372"/>
      <c r="AY603" s="2372"/>
      <c r="AZ603" s="2372"/>
      <c r="BA603" s="2372"/>
      <c r="BB603" s="2372"/>
      <c r="BC603" s="2372"/>
      <c r="BD603" s="2372"/>
      <c r="BE603" s="2372"/>
      <c r="BF603" s="2372"/>
      <c r="BG603" s="2372"/>
      <c r="BH603" s="2372"/>
      <c r="BI603" s="2372"/>
      <c r="BJ603" s="2372"/>
      <c r="BK603" s="2372"/>
      <c r="BL603" s="2372"/>
      <c r="BM603" s="2372"/>
      <c r="BN603" s="2372"/>
      <c r="BO603" s="2372"/>
      <c r="BP603" s="2372"/>
      <c r="BQ603" s="2372"/>
      <c r="BR603" s="2372"/>
      <c r="BS603" s="2372"/>
      <c r="BT603" s="2372"/>
      <c r="BU603" s="2372"/>
      <c r="BV603" s="2372"/>
      <c r="BW603" s="2372"/>
      <c r="BX603" s="2372"/>
      <c r="BY603" s="2372"/>
      <c r="BZ603" s="2372"/>
      <c r="CA603" s="2372"/>
      <c r="CB603" s="2372"/>
      <c r="CC603" s="2372"/>
      <c r="CD603" s="2372"/>
      <c r="CE603" s="2372"/>
      <c r="CF603" s="2372"/>
      <c r="CG603" s="2372"/>
      <c r="CH603" s="2372"/>
      <c r="CI603" s="2372"/>
      <c r="CJ603" s="2372"/>
      <c r="CK603" s="2372"/>
      <c r="CL603" s="2372"/>
      <c r="CM603" s="2372"/>
      <c r="CN603" s="2372"/>
      <c r="CO603" s="2372"/>
      <c r="CP603" s="2372"/>
      <c r="CQ603" s="2372"/>
      <c r="CR603" s="2372"/>
      <c r="CS603" s="2372"/>
      <c r="CT603" s="2372"/>
      <c r="CU603" s="2372"/>
      <c r="CV603" s="2372"/>
      <c r="CW603" s="2372"/>
      <c r="CX603" s="2372"/>
      <c r="CY603" s="2372"/>
      <c r="CZ603" s="2372"/>
      <c r="DA603" s="2372"/>
    </row>
    <row r="604" spans="1:105" ht="15" hidden="1" customHeight="1">
      <c r="A604" s="2372"/>
      <c r="B604" s="2372"/>
      <c r="C604" s="2372"/>
      <c r="D604" s="2372"/>
      <c r="E604" s="2372"/>
      <c r="F604" s="2372"/>
      <c r="G604" s="2372"/>
      <c r="H604" s="2372"/>
      <c r="I604" s="2372"/>
      <c r="J604" s="2372"/>
      <c r="K604" s="2372"/>
      <c r="L604" s="2372"/>
      <c r="M604" s="2372"/>
      <c r="N604" s="2372"/>
      <c r="O604" s="2372"/>
      <c r="P604" s="2372"/>
      <c r="Q604" s="2372"/>
      <c r="R604" s="2372"/>
      <c r="S604" s="2372"/>
      <c r="T604" s="2372"/>
      <c r="U604" s="2372"/>
      <c r="V604" s="2372"/>
      <c r="W604" s="2372"/>
      <c r="X604" s="2372"/>
      <c r="Y604" s="2372"/>
      <c r="Z604" s="2372"/>
      <c r="AA604" s="2372"/>
      <c r="AB604" s="2372"/>
      <c r="AC604" s="2372"/>
      <c r="AD604" s="2372"/>
      <c r="AE604" s="2372"/>
      <c r="AF604" s="2372"/>
      <c r="AG604" s="2372"/>
      <c r="AH604" s="2372"/>
      <c r="AI604" s="2372"/>
      <c r="AJ604" s="2372"/>
      <c r="AK604" s="2372"/>
      <c r="AL604" s="2372"/>
      <c r="AM604" s="2372"/>
      <c r="AN604" s="2372"/>
      <c r="AO604" s="2372"/>
      <c r="AP604" s="2372"/>
      <c r="AQ604" s="2372"/>
      <c r="AR604" s="2372"/>
      <c r="AS604" s="2372"/>
      <c r="AT604" s="2372"/>
      <c r="AU604" s="2372"/>
      <c r="AV604" s="2372"/>
      <c r="AW604" s="2372"/>
      <c r="AX604" s="2372"/>
      <c r="AY604" s="2372"/>
      <c r="AZ604" s="2372"/>
      <c r="BA604" s="2372"/>
      <c r="BB604" s="2372"/>
      <c r="BC604" s="2372"/>
      <c r="BD604" s="2372"/>
      <c r="BE604" s="2372"/>
      <c r="BF604" s="2372"/>
      <c r="BG604" s="2372"/>
      <c r="BH604" s="2372"/>
      <c r="BI604" s="2372"/>
      <c r="BJ604" s="2372"/>
      <c r="BK604" s="2372"/>
      <c r="BL604" s="2372"/>
      <c r="BM604" s="2372"/>
      <c r="BN604" s="2372"/>
      <c r="BO604" s="2372"/>
      <c r="BP604" s="2372"/>
      <c r="BQ604" s="2372"/>
      <c r="BR604" s="2372"/>
      <c r="BS604" s="2372"/>
      <c r="BT604" s="2372"/>
      <c r="BU604" s="2372"/>
      <c r="BV604" s="2372"/>
      <c r="BW604" s="2372"/>
      <c r="BX604" s="2372"/>
      <c r="BY604" s="2372"/>
      <c r="BZ604" s="2372"/>
      <c r="CA604" s="2372"/>
      <c r="CB604" s="2372"/>
      <c r="CC604" s="2372"/>
      <c r="CD604" s="2372"/>
      <c r="CE604" s="2372"/>
      <c r="CF604" s="2372"/>
      <c r="CG604" s="2372"/>
      <c r="CH604" s="2372"/>
      <c r="CI604" s="2372"/>
      <c r="CJ604" s="2372"/>
      <c r="CK604" s="2372"/>
      <c r="CL604" s="2372"/>
      <c r="CM604" s="2372"/>
      <c r="CN604" s="2372"/>
      <c r="CO604" s="2372"/>
      <c r="CP604" s="2372"/>
      <c r="CQ604" s="2372"/>
      <c r="CR604" s="2372"/>
      <c r="CS604" s="2372"/>
      <c r="CT604" s="2372"/>
      <c r="CU604" s="2372"/>
      <c r="CV604" s="2372"/>
      <c r="CW604" s="2372"/>
      <c r="CX604" s="2372"/>
      <c r="CY604" s="2372"/>
      <c r="CZ604" s="2372"/>
      <c r="DA604" s="2372"/>
    </row>
    <row r="605" spans="1:105" ht="15" hidden="1" customHeight="1">
      <c r="A605" s="2372"/>
      <c r="B605" s="2372"/>
      <c r="C605" s="2372"/>
      <c r="D605" s="2372"/>
      <c r="E605" s="2372"/>
      <c r="F605" s="2372"/>
      <c r="G605" s="2372"/>
      <c r="H605" s="2372"/>
      <c r="I605" s="2372"/>
      <c r="J605" s="2372"/>
      <c r="K605" s="2372"/>
      <c r="L605" s="2372"/>
      <c r="M605" s="2372"/>
      <c r="N605" s="2372"/>
      <c r="O605" s="2372"/>
      <c r="P605" s="2372"/>
      <c r="Q605" s="2372"/>
      <c r="R605" s="2372"/>
      <c r="S605" s="2372"/>
      <c r="T605" s="2372"/>
      <c r="U605" s="2372"/>
      <c r="V605" s="2372"/>
      <c r="W605" s="2372"/>
      <c r="X605" s="2372"/>
      <c r="Y605" s="2372"/>
      <c r="Z605" s="2372"/>
      <c r="AA605" s="2372"/>
      <c r="AB605" s="2372"/>
      <c r="AC605" s="2372"/>
      <c r="AD605" s="2372"/>
      <c r="AE605" s="2372"/>
      <c r="AF605" s="2372"/>
      <c r="AG605" s="2372"/>
      <c r="AH605" s="2372"/>
      <c r="AI605" s="2372"/>
      <c r="AJ605" s="2372"/>
      <c r="AK605" s="2372"/>
      <c r="AL605" s="2372"/>
      <c r="AM605" s="2372"/>
      <c r="AN605" s="2372"/>
      <c r="AO605" s="2372"/>
      <c r="AP605" s="2372"/>
      <c r="AQ605" s="2372"/>
      <c r="AR605" s="2372"/>
      <c r="AS605" s="2372"/>
      <c r="AT605" s="2372"/>
      <c r="AU605" s="2372"/>
      <c r="AV605" s="2372"/>
      <c r="AW605" s="2372"/>
      <c r="AX605" s="2372"/>
      <c r="AY605" s="2372"/>
      <c r="AZ605" s="2372"/>
      <c r="BA605" s="2372"/>
      <c r="BB605" s="2372"/>
      <c r="BC605" s="2372"/>
      <c r="BD605" s="2372"/>
      <c r="BE605" s="2372"/>
      <c r="BF605" s="2372"/>
      <c r="BG605" s="2372"/>
      <c r="BH605" s="2372"/>
      <c r="BI605" s="2372"/>
      <c r="BJ605" s="2372"/>
      <c r="BK605" s="2372"/>
      <c r="BL605" s="2372"/>
      <c r="BM605" s="2372"/>
      <c r="BN605" s="2372"/>
      <c r="BO605" s="2372"/>
      <c r="BP605" s="2372"/>
      <c r="BQ605" s="2372"/>
      <c r="BR605" s="2372"/>
      <c r="BS605" s="2372"/>
      <c r="BT605" s="2372"/>
      <c r="BU605" s="2372"/>
      <c r="BV605" s="2372"/>
      <c r="BW605" s="2372"/>
      <c r="BX605" s="2372"/>
      <c r="BY605" s="2372"/>
      <c r="BZ605" s="2372"/>
      <c r="CA605" s="2372"/>
      <c r="CB605" s="2372"/>
      <c r="CC605" s="2372"/>
      <c r="CD605" s="2372"/>
      <c r="CE605" s="2372"/>
      <c r="CF605" s="2372"/>
      <c r="CG605" s="2372"/>
      <c r="CH605" s="2372"/>
      <c r="CI605" s="2372"/>
      <c r="CJ605" s="2372"/>
      <c r="CK605" s="2372"/>
      <c r="CL605" s="2372"/>
      <c r="CM605" s="2372"/>
      <c r="CN605" s="2372"/>
      <c r="CO605" s="2372"/>
      <c r="CP605" s="2372"/>
      <c r="CQ605" s="2372"/>
      <c r="CR605" s="2372"/>
      <c r="CS605" s="2372"/>
      <c r="CT605" s="2372"/>
      <c r="CU605" s="2372"/>
      <c r="CV605" s="2372"/>
      <c r="CW605" s="2372"/>
      <c r="CX605" s="2372"/>
      <c r="CY605" s="2372"/>
      <c r="CZ605" s="2372"/>
      <c r="DA605" s="2372"/>
    </row>
    <row r="606" spans="1:105" ht="15" hidden="1" customHeight="1">
      <c r="A606" s="2372"/>
      <c r="B606" s="2372"/>
      <c r="C606" s="2372"/>
      <c r="D606" s="2372"/>
      <c r="E606" s="2372"/>
      <c r="F606" s="2372"/>
      <c r="G606" s="2372"/>
      <c r="H606" s="2372"/>
      <c r="I606" s="2372"/>
      <c r="J606" s="2372"/>
      <c r="K606" s="2372"/>
      <c r="L606" s="2372"/>
      <c r="M606" s="2372"/>
      <c r="N606" s="2372"/>
      <c r="O606" s="2372"/>
      <c r="P606" s="2372"/>
      <c r="Q606" s="2372"/>
      <c r="R606" s="2372"/>
      <c r="S606" s="2372"/>
      <c r="T606" s="2372"/>
      <c r="U606" s="2372"/>
      <c r="V606" s="2372"/>
      <c r="W606" s="2372"/>
      <c r="X606" s="2372"/>
      <c r="Y606" s="2372"/>
      <c r="Z606" s="2372"/>
      <c r="AA606" s="2372"/>
      <c r="AB606" s="2372"/>
      <c r="AC606" s="2372"/>
      <c r="AD606" s="2372"/>
      <c r="AE606" s="2372"/>
      <c r="AF606" s="2372"/>
      <c r="AG606" s="2372"/>
      <c r="AH606" s="2372"/>
      <c r="AI606" s="2372"/>
      <c r="AJ606" s="2372"/>
      <c r="AK606" s="2372"/>
      <c r="AL606" s="2372"/>
      <c r="AM606" s="2372"/>
      <c r="AN606" s="2372"/>
      <c r="AO606" s="2372"/>
      <c r="AP606" s="2372"/>
      <c r="AQ606" s="2372"/>
      <c r="AR606" s="2372"/>
      <c r="AS606" s="2372"/>
      <c r="AT606" s="2372"/>
      <c r="AU606" s="2372"/>
      <c r="AV606" s="2372"/>
      <c r="AW606" s="2372"/>
      <c r="AX606" s="2372"/>
      <c r="AY606" s="2372"/>
      <c r="AZ606" s="2372"/>
      <c r="BA606" s="2372"/>
      <c r="BB606" s="2372"/>
      <c r="BC606" s="2372"/>
      <c r="BD606" s="2372"/>
      <c r="BE606" s="2372"/>
      <c r="BF606" s="2372"/>
      <c r="BG606" s="2372"/>
      <c r="BH606" s="2372"/>
      <c r="BI606" s="2372"/>
      <c r="BJ606" s="2372"/>
      <c r="BK606" s="2372"/>
      <c r="BL606" s="2372"/>
      <c r="BM606" s="2372"/>
      <c r="BN606" s="2372"/>
      <c r="BO606" s="2372"/>
      <c r="BP606" s="2372"/>
      <c r="BQ606" s="2372"/>
      <c r="BR606" s="2372"/>
      <c r="BS606" s="2372"/>
      <c r="BT606" s="2372"/>
      <c r="BU606" s="2372"/>
      <c r="BV606" s="2372"/>
      <c r="BW606" s="2372"/>
      <c r="BX606" s="2372"/>
      <c r="BY606" s="2372"/>
      <c r="BZ606" s="2372"/>
      <c r="CA606" s="2372"/>
      <c r="CB606" s="2372"/>
      <c r="CC606" s="2372"/>
      <c r="CD606" s="2372"/>
      <c r="CE606" s="2372"/>
      <c r="CF606" s="2372"/>
      <c r="CG606" s="2372"/>
      <c r="CH606" s="2372"/>
      <c r="CI606" s="2372"/>
      <c r="CJ606" s="2372"/>
      <c r="CK606" s="2372"/>
      <c r="CL606" s="2372"/>
      <c r="CM606" s="2372"/>
      <c r="CN606" s="2372"/>
      <c r="CO606" s="2372"/>
      <c r="CP606" s="2372"/>
      <c r="CQ606" s="2372"/>
      <c r="CR606" s="2372"/>
      <c r="CS606" s="2372"/>
      <c r="CT606" s="2372"/>
      <c r="CU606" s="2372"/>
      <c r="CV606" s="2372"/>
      <c r="CW606" s="2372"/>
      <c r="CX606" s="2372"/>
      <c r="CY606" s="2372"/>
      <c r="CZ606" s="2372"/>
      <c r="DA606" s="2372"/>
    </row>
    <row r="607" spans="1:105" ht="15" hidden="1" customHeight="1">
      <c r="A607" s="2372"/>
      <c r="B607" s="2372"/>
      <c r="C607" s="2372"/>
      <c r="D607" s="2372"/>
      <c r="E607" s="2372"/>
      <c r="F607" s="2372"/>
      <c r="G607" s="2372"/>
      <c r="H607" s="2372"/>
      <c r="I607" s="2372"/>
      <c r="J607" s="2372"/>
      <c r="K607" s="2372"/>
      <c r="L607" s="2372"/>
      <c r="M607" s="2372"/>
      <c r="N607" s="2372"/>
      <c r="O607" s="2372"/>
      <c r="P607" s="2372"/>
      <c r="Q607" s="2372"/>
      <c r="R607" s="2372"/>
      <c r="S607" s="2372"/>
      <c r="T607" s="2372"/>
      <c r="U607" s="2372"/>
      <c r="V607" s="2372"/>
      <c r="W607" s="2372"/>
      <c r="X607" s="2372"/>
      <c r="Y607" s="2372"/>
      <c r="Z607" s="2372"/>
      <c r="AA607" s="2372"/>
      <c r="AB607" s="2372"/>
      <c r="AC607" s="2372"/>
      <c r="AD607" s="2372"/>
      <c r="AE607" s="2372"/>
      <c r="AF607" s="2372"/>
      <c r="AG607" s="2372"/>
      <c r="AH607" s="2372"/>
      <c r="AI607" s="2372"/>
      <c r="AJ607" s="2372"/>
      <c r="AK607" s="2372"/>
      <c r="AL607" s="2372"/>
      <c r="AM607" s="2372"/>
      <c r="AN607" s="2372"/>
      <c r="AO607" s="2372"/>
      <c r="AP607" s="2372"/>
      <c r="AQ607" s="2372"/>
      <c r="AR607" s="2372"/>
      <c r="AS607" s="2372"/>
      <c r="AT607" s="2372"/>
      <c r="AU607" s="2372"/>
      <c r="AV607" s="2372"/>
      <c r="AW607" s="2372"/>
      <c r="AX607" s="2372"/>
      <c r="AY607" s="2372"/>
      <c r="AZ607" s="2372"/>
      <c r="BA607" s="2372"/>
      <c r="BB607" s="2372"/>
      <c r="BC607" s="2372"/>
      <c r="BD607" s="2372"/>
      <c r="BE607" s="2372"/>
      <c r="BF607" s="2372"/>
      <c r="BG607" s="2372"/>
      <c r="BH607" s="2372"/>
      <c r="BI607" s="2372"/>
      <c r="BJ607" s="2372"/>
      <c r="BK607" s="2372"/>
      <c r="BL607" s="2372"/>
      <c r="BM607" s="2372"/>
      <c r="BN607" s="2372"/>
      <c r="BO607" s="2372"/>
      <c r="BP607" s="2372"/>
      <c r="BQ607" s="2372"/>
      <c r="BR607" s="2372"/>
      <c r="BS607" s="2372"/>
      <c r="BT607" s="2372"/>
      <c r="BU607" s="2372"/>
      <c r="BV607" s="2372"/>
      <c r="BW607" s="2372"/>
      <c r="BX607" s="2372"/>
      <c r="BY607" s="2372"/>
      <c r="BZ607" s="2372"/>
      <c r="CA607" s="2372"/>
      <c r="CB607" s="2372"/>
      <c r="CC607" s="2372"/>
      <c r="CD607" s="2372"/>
      <c r="CE607" s="2372"/>
      <c r="CF607" s="2372"/>
      <c r="CG607" s="2372"/>
      <c r="CH607" s="2372"/>
      <c r="CI607" s="2372"/>
      <c r="CJ607" s="2372"/>
      <c r="CK607" s="2372"/>
      <c r="CL607" s="2372"/>
      <c r="CM607" s="2372"/>
      <c r="CN607" s="2372"/>
      <c r="CO607" s="2372"/>
      <c r="CP607" s="2372"/>
      <c r="CQ607" s="2372"/>
      <c r="CR607" s="2372"/>
      <c r="CS607" s="2372"/>
      <c r="CT607" s="2372"/>
      <c r="CU607" s="2372"/>
      <c r="CV607" s="2372"/>
      <c r="CW607" s="2372"/>
      <c r="CX607" s="2372"/>
      <c r="CY607" s="2372"/>
      <c r="CZ607" s="2372"/>
      <c r="DA607" s="2372"/>
    </row>
    <row r="608" spans="1:105" ht="15" hidden="1" customHeight="1">
      <c r="A608" s="2372"/>
      <c r="B608" s="2372"/>
      <c r="C608" s="2372"/>
      <c r="D608" s="2372"/>
      <c r="E608" s="2372"/>
      <c r="F608" s="2372"/>
      <c r="G608" s="2372"/>
      <c r="H608" s="2372"/>
      <c r="I608" s="2372"/>
      <c r="J608" s="2372"/>
      <c r="K608" s="2372"/>
      <c r="L608" s="2372"/>
      <c r="M608" s="2372"/>
      <c r="N608" s="2372"/>
      <c r="O608" s="2372"/>
      <c r="P608" s="2372"/>
      <c r="Q608" s="2372"/>
      <c r="R608" s="2372"/>
      <c r="S608" s="2372"/>
      <c r="T608" s="2372"/>
      <c r="U608" s="2372"/>
      <c r="V608" s="2372"/>
      <c r="W608" s="2372"/>
      <c r="X608" s="2372"/>
      <c r="Y608" s="2372"/>
      <c r="Z608" s="2372"/>
      <c r="AA608" s="2372"/>
      <c r="AB608" s="2372"/>
      <c r="AC608" s="2372"/>
      <c r="AD608" s="2372"/>
      <c r="AE608" s="2372"/>
      <c r="AF608" s="2372"/>
      <c r="AG608" s="2372"/>
      <c r="AH608" s="2372"/>
      <c r="AI608" s="2372"/>
      <c r="AJ608" s="2372"/>
      <c r="AK608" s="2372"/>
      <c r="AL608" s="2372"/>
      <c r="AM608" s="2372"/>
      <c r="AN608" s="2372"/>
      <c r="AO608" s="2372"/>
      <c r="AP608" s="2372"/>
      <c r="AQ608" s="2372"/>
      <c r="AR608" s="2372"/>
      <c r="AS608" s="2372"/>
      <c r="AT608" s="2372"/>
      <c r="AU608" s="2372"/>
      <c r="AV608" s="2372"/>
      <c r="AW608" s="2372"/>
      <c r="AX608" s="2372"/>
      <c r="AY608" s="2372"/>
      <c r="AZ608" s="2372"/>
      <c r="BA608" s="2372"/>
      <c r="BB608" s="2372"/>
      <c r="BC608" s="2372"/>
      <c r="BD608" s="2372"/>
      <c r="BE608" s="2372"/>
      <c r="BF608" s="2372"/>
      <c r="BG608" s="2372"/>
      <c r="BH608" s="2372"/>
      <c r="BI608" s="2372"/>
      <c r="BJ608" s="2372"/>
      <c r="BK608" s="2372"/>
      <c r="BL608" s="2372"/>
      <c r="BM608" s="2372"/>
      <c r="BN608" s="2372"/>
      <c r="BO608" s="2372"/>
      <c r="BP608" s="2372"/>
      <c r="BQ608" s="2372"/>
      <c r="BR608" s="2372"/>
      <c r="BS608" s="2372"/>
      <c r="BT608" s="2372"/>
      <c r="BU608" s="2372"/>
      <c r="BV608" s="2372"/>
      <c r="BW608" s="2372"/>
      <c r="BX608" s="2372"/>
      <c r="BY608" s="2372"/>
      <c r="BZ608" s="2372"/>
      <c r="CA608" s="2372"/>
      <c r="CB608" s="2372"/>
      <c r="CC608" s="2372"/>
      <c r="CD608" s="2372"/>
      <c r="CE608" s="2372"/>
      <c r="CF608" s="2372"/>
      <c r="CG608" s="2372"/>
      <c r="CH608" s="2372"/>
      <c r="CI608" s="2372"/>
      <c r="CJ608" s="2372"/>
      <c r="CK608" s="2372"/>
      <c r="CL608" s="2372"/>
      <c r="CM608" s="2372"/>
      <c r="CN608" s="2372"/>
      <c r="CO608" s="2372"/>
      <c r="CP608" s="2372"/>
      <c r="CQ608" s="2372"/>
      <c r="CR608" s="2372"/>
      <c r="CS608" s="2372"/>
      <c r="CT608" s="2372"/>
      <c r="CU608" s="2372"/>
      <c r="CV608" s="2372"/>
      <c r="CW608" s="2372"/>
      <c r="CX608" s="2372"/>
      <c r="CY608" s="2372"/>
      <c r="CZ608" s="2372"/>
      <c r="DA608" s="2372"/>
    </row>
    <row r="609" spans="1:105" ht="15" hidden="1" customHeight="1">
      <c r="A609" s="2372"/>
      <c r="B609" s="2372"/>
      <c r="C609" s="2372"/>
      <c r="D609" s="2372"/>
      <c r="E609" s="2372"/>
      <c r="F609" s="2372"/>
      <c r="G609" s="2372"/>
      <c r="H609" s="2372"/>
      <c r="I609" s="2372"/>
      <c r="J609" s="2372"/>
      <c r="K609" s="2372"/>
      <c r="L609" s="2372"/>
      <c r="M609" s="2372"/>
      <c r="N609" s="2372"/>
      <c r="O609" s="2372"/>
      <c r="P609" s="2372"/>
      <c r="Q609" s="2372"/>
      <c r="R609" s="2372"/>
      <c r="S609" s="2372"/>
      <c r="T609" s="2372"/>
      <c r="U609" s="2372"/>
      <c r="V609" s="2372"/>
      <c r="W609" s="2372"/>
      <c r="X609" s="2372"/>
      <c r="Y609" s="2372"/>
      <c r="Z609" s="2372"/>
      <c r="AA609" s="2372"/>
      <c r="AB609" s="2372"/>
      <c r="AC609" s="2372"/>
      <c r="AD609" s="2372"/>
      <c r="AE609" s="2372"/>
      <c r="AF609" s="2372"/>
      <c r="AG609" s="2372"/>
      <c r="AH609" s="2372"/>
      <c r="AI609" s="2372"/>
      <c r="AJ609" s="2372"/>
      <c r="AK609" s="2372"/>
      <c r="AL609" s="2372"/>
      <c r="AM609" s="2372"/>
      <c r="AN609" s="2372"/>
      <c r="AO609" s="2372"/>
      <c r="AP609" s="2372"/>
      <c r="AQ609" s="2372"/>
      <c r="AR609" s="2372"/>
      <c r="AS609" s="2372"/>
      <c r="AT609" s="2372"/>
      <c r="AU609" s="2372"/>
      <c r="AV609" s="2372"/>
      <c r="AW609" s="2372"/>
      <c r="AX609" s="2372"/>
      <c r="AY609" s="2372"/>
      <c r="AZ609" s="2372"/>
      <c r="BA609" s="2372"/>
      <c r="BB609" s="2372"/>
      <c r="BC609" s="2372"/>
      <c r="BD609" s="2372"/>
      <c r="BE609" s="2372"/>
      <c r="BF609" s="2372"/>
      <c r="BG609" s="2372"/>
      <c r="BH609" s="2372"/>
      <c r="BI609" s="2372"/>
      <c r="BJ609" s="2372"/>
      <c r="BK609" s="2372"/>
      <c r="BL609" s="2372"/>
      <c r="BM609" s="2372"/>
      <c r="BN609" s="2372"/>
      <c r="BO609" s="2372"/>
      <c r="BP609" s="2372"/>
      <c r="BQ609" s="2372"/>
      <c r="BR609" s="2372"/>
      <c r="BS609" s="2372"/>
      <c r="BT609" s="2372"/>
      <c r="BU609" s="2372"/>
      <c r="BV609" s="2372"/>
      <c r="BW609" s="2372"/>
      <c r="BX609" s="2372"/>
      <c r="BY609" s="2372"/>
      <c r="BZ609" s="2372"/>
      <c r="CA609" s="2372"/>
      <c r="CB609" s="2372"/>
      <c r="CC609" s="2372"/>
      <c r="CD609" s="2372"/>
      <c r="CE609" s="2372"/>
      <c r="CF609" s="2372"/>
      <c r="CG609" s="2372"/>
      <c r="CH609" s="2372"/>
      <c r="CI609" s="2372"/>
      <c r="CJ609" s="2372"/>
      <c r="CK609" s="2372"/>
      <c r="CL609" s="2372"/>
      <c r="CM609" s="2372"/>
      <c r="CN609" s="2372"/>
      <c r="CO609" s="2372"/>
      <c r="CP609" s="2372"/>
      <c r="CQ609" s="2372"/>
      <c r="CR609" s="2372"/>
      <c r="CS609" s="2372"/>
      <c r="CT609" s="2372"/>
      <c r="CU609" s="2372"/>
      <c r="CV609" s="2372"/>
      <c r="CW609" s="2372"/>
      <c r="CX609" s="2372"/>
      <c r="CY609" s="2372"/>
      <c r="CZ609" s="2372"/>
      <c r="DA609" s="2372"/>
    </row>
    <row r="610" spans="1:105" ht="15" hidden="1" customHeight="1">
      <c r="A610" s="2372"/>
      <c r="B610" s="2372"/>
      <c r="C610" s="2372"/>
      <c r="D610" s="2372"/>
      <c r="E610" s="2372"/>
      <c r="F610" s="2372"/>
      <c r="G610" s="2372"/>
      <c r="H610" s="2372"/>
      <c r="I610" s="2372"/>
      <c r="J610" s="2372"/>
      <c r="K610" s="2372"/>
      <c r="L610" s="2372"/>
      <c r="M610" s="2372"/>
      <c r="N610" s="2372"/>
      <c r="O610" s="2372"/>
      <c r="P610" s="2372"/>
      <c r="Q610" s="2372"/>
      <c r="R610" s="2372"/>
      <c r="S610" s="2372"/>
      <c r="T610" s="2372"/>
      <c r="U610" s="2372"/>
      <c r="V610" s="2372"/>
      <c r="W610" s="2372"/>
      <c r="X610" s="2372"/>
      <c r="Y610" s="2372"/>
      <c r="Z610" s="2372"/>
      <c r="AA610" s="2372"/>
      <c r="AB610" s="2372"/>
      <c r="AC610" s="2372"/>
      <c r="AD610" s="2372"/>
      <c r="AE610" s="2372"/>
      <c r="AF610" s="2372"/>
      <c r="AG610" s="2372"/>
      <c r="AH610" s="2372"/>
      <c r="AI610" s="2372"/>
      <c r="AJ610" s="2372"/>
      <c r="AK610" s="2372"/>
      <c r="AL610" s="2372"/>
      <c r="AM610" s="2372"/>
      <c r="AN610" s="2372"/>
      <c r="AO610" s="2372"/>
      <c r="AP610" s="2372"/>
      <c r="AQ610" s="2372"/>
      <c r="AR610" s="2372"/>
      <c r="AS610" s="2372"/>
      <c r="AT610" s="2372"/>
      <c r="AU610" s="2372"/>
      <c r="AV610" s="2372"/>
      <c r="AW610" s="2372"/>
      <c r="AX610" s="2372"/>
      <c r="AY610" s="2372"/>
      <c r="AZ610" s="2372"/>
      <c r="BA610" s="2372"/>
      <c r="BB610" s="2372"/>
      <c r="BC610" s="2372"/>
      <c r="BD610" s="2372"/>
      <c r="BE610" s="2372"/>
      <c r="BF610" s="2372"/>
      <c r="BG610" s="2372"/>
      <c r="BH610" s="2372"/>
      <c r="BI610" s="2372"/>
      <c r="BJ610" s="2372"/>
      <c r="BK610" s="2372"/>
      <c r="BL610" s="2372"/>
      <c r="BM610" s="2372"/>
      <c r="BN610" s="2372"/>
      <c r="BO610" s="2372"/>
      <c r="BP610" s="2372"/>
      <c r="BQ610" s="2372"/>
      <c r="BR610" s="2372"/>
      <c r="BS610" s="2372"/>
      <c r="BT610" s="2372"/>
      <c r="BU610" s="2372"/>
      <c r="BV610" s="2372"/>
      <c r="BW610" s="2372"/>
      <c r="BX610" s="2372"/>
      <c r="BY610" s="2372"/>
      <c r="BZ610" s="2372"/>
      <c r="CA610" s="2372"/>
      <c r="CB610" s="2372"/>
      <c r="CC610" s="2372"/>
      <c r="CD610" s="2372"/>
      <c r="CE610" s="2372"/>
      <c r="CF610" s="2372"/>
      <c r="CG610" s="2372"/>
      <c r="CH610" s="2372"/>
      <c r="CI610" s="2372"/>
      <c r="CJ610" s="2372"/>
      <c r="CK610" s="2372"/>
      <c r="CL610" s="2372"/>
      <c r="CM610" s="2372"/>
      <c r="CN610" s="2372"/>
      <c r="CO610" s="2372"/>
      <c r="CP610" s="2372"/>
      <c r="CQ610" s="2372"/>
      <c r="CR610" s="2372"/>
      <c r="CS610" s="2372"/>
      <c r="CT610" s="2372"/>
      <c r="CU610" s="2372"/>
      <c r="CV610" s="2372"/>
      <c r="CW610" s="2372"/>
      <c r="CX610" s="2372"/>
      <c r="CY610" s="2372"/>
      <c r="CZ610" s="2372"/>
      <c r="DA610" s="2372"/>
    </row>
    <row r="611" spans="1:105" ht="15" hidden="1" customHeight="1">
      <c r="A611" s="2372"/>
      <c r="B611" s="2372"/>
      <c r="C611" s="2372"/>
      <c r="D611" s="2372"/>
      <c r="E611" s="2372"/>
      <c r="F611" s="2372"/>
      <c r="G611" s="2372"/>
      <c r="H611" s="2372"/>
      <c r="I611" s="2372"/>
      <c r="J611" s="2372"/>
      <c r="K611" s="2372"/>
      <c r="L611" s="2372"/>
      <c r="M611" s="2372"/>
      <c r="N611" s="2372"/>
      <c r="O611" s="2372"/>
      <c r="P611" s="2372"/>
      <c r="Q611" s="2372"/>
      <c r="R611" s="2372"/>
      <c r="S611" s="2372"/>
      <c r="T611" s="2372"/>
      <c r="U611" s="2372"/>
      <c r="V611" s="2372"/>
      <c r="W611" s="2372"/>
      <c r="X611" s="2372"/>
      <c r="Y611" s="2372"/>
      <c r="Z611" s="2372"/>
      <c r="AA611" s="2372"/>
      <c r="AB611" s="2372"/>
      <c r="AC611" s="2372"/>
      <c r="AD611" s="2372"/>
      <c r="AE611" s="2372"/>
      <c r="AF611" s="2372"/>
      <c r="AG611" s="2372"/>
      <c r="AH611" s="2372"/>
      <c r="AI611" s="2372"/>
      <c r="AJ611" s="2372"/>
      <c r="AK611" s="2372"/>
      <c r="AL611" s="2372"/>
      <c r="AM611" s="2372"/>
      <c r="AN611" s="2372"/>
      <c r="AO611" s="2372"/>
      <c r="AP611" s="2372"/>
      <c r="AQ611" s="2372"/>
      <c r="AR611" s="2372"/>
      <c r="AS611" s="2372"/>
      <c r="AT611" s="2372"/>
      <c r="AU611" s="2372"/>
      <c r="AV611" s="2372"/>
      <c r="AW611" s="2372"/>
      <c r="AX611" s="2372"/>
      <c r="AY611" s="2372"/>
      <c r="AZ611" s="2372"/>
      <c r="BA611" s="2372"/>
      <c r="BB611" s="2372"/>
      <c r="BC611" s="2372"/>
      <c r="BD611" s="2372"/>
      <c r="BE611" s="2372"/>
      <c r="BF611" s="2372"/>
      <c r="BG611" s="2372"/>
      <c r="BH611" s="2372"/>
      <c r="BI611" s="2372"/>
      <c r="BJ611" s="2372"/>
      <c r="BK611" s="2372"/>
      <c r="BL611" s="2372"/>
      <c r="BM611" s="2372"/>
      <c r="BN611" s="2372"/>
      <c r="BO611" s="2372"/>
      <c r="BP611" s="2372"/>
      <c r="BQ611" s="2372"/>
      <c r="BR611" s="2372"/>
      <c r="BS611" s="2372"/>
      <c r="BT611" s="2372"/>
      <c r="BU611" s="2372"/>
      <c r="BV611" s="2372"/>
      <c r="BW611" s="2372"/>
      <c r="BX611" s="2372"/>
      <c r="BY611" s="2372"/>
      <c r="BZ611" s="2372"/>
      <c r="CA611" s="2372"/>
      <c r="CB611" s="2372"/>
      <c r="CC611" s="2372"/>
      <c r="CD611" s="2372"/>
      <c r="CE611" s="2372"/>
      <c r="CF611" s="2372"/>
      <c r="CG611" s="2372"/>
      <c r="CH611" s="2372"/>
      <c r="CI611" s="2372"/>
      <c r="CJ611" s="2372"/>
      <c r="CK611" s="2372"/>
      <c r="CL611" s="2372"/>
      <c r="CM611" s="2372"/>
      <c r="CN611" s="2372"/>
      <c r="CO611" s="2372"/>
      <c r="CP611" s="2372"/>
      <c r="CQ611" s="2372"/>
      <c r="CR611" s="2372"/>
      <c r="CS611" s="2372"/>
      <c r="CT611" s="2372"/>
      <c r="CU611" s="2372"/>
      <c r="CV611" s="2372"/>
      <c r="CW611" s="2372"/>
      <c r="CX611" s="2372"/>
      <c r="CY611" s="2372"/>
      <c r="CZ611" s="2372"/>
      <c r="DA611" s="2372"/>
    </row>
    <row r="612" spans="1:105" ht="15" hidden="1" customHeight="1">
      <c r="A612" s="2372"/>
      <c r="B612" s="2372"/>
      <c r="C612" s="2372"/>
      <c r="D612" s="2372"/>
      <c r="E612" s="2372"/>
      <c r="F612" s="2372"/>
      <c r="G612" s="2372"/>
      <c r="H612" s="2372"/>
      <c r="I612" s="2372"/>
      <c r="J612" s="2372"/>
      <c r="K612" s="2372"/>
      <c r="L612" s="2372"/>
      <c r="M612" s="2372"/>
      <c r="N612" s="2372"/>
      <c r="O612" s="2372"/>
      <c r="P612" s="2372"/>
      <c r="Q612" s="2372"/>
      <c r="R612" s="2372"/>
      <c r="S612" s="2372"/>
      <c r="T612" s="2372"/>
      <c r="U612" s="2372"/>
      <c r="V612" s="2372"/>
      <c r="W612" s="2372"/>
      <c r="X612" s="2372"/>
      <c r="Y612" s="2372"/>
      <c r="Z612" s="2372"/>
      <c r="AA612" s="2372"/>
      <c r="AB612" s="2372"/>
      <c r="AC612" s="2372"/>
      <c r="AD612" s="2372"/>
      <c r="AE612" s="2372"/>
      <c r="AF612" s="2372"/>
      <c r="AG612" s="2372"/>
      <c r="AH612" s="2372"/>
      <c r="AI612" s="2372"/>
      <c r="AJ612" s="2372"/>
      <c r="AK612" s="2372"/>
      <c r="AL612" s="2372"/>
      <c r="AM612" s="2372"/>
      <c r="AN612" s="2372"/>
      <c r="AO612" s="2372"/>
      <c r="AP612" s="2372"/>
      <c r="AQ612" s="2372"/>
      <c r="AR612" s="2372"/>
      <c r="AS612" s="2372"/>
      <c r="AT612" s="2372"/>
      <c r="AU612" s="2372"/>
      <c r="AV612" s="2372"/>
      <c r="AW612" s="2372"/>
      <c r="AX612" s="2372"/>
      <c r="AY612" s="2372"/>
      <c r="AZ612" s="2372"/>
      <c r="BA612" s="2372"/>
      <c r="BB612" s="2372"/>
      <c r="BC612" s="2372"/>
      <c r="BD612" s="2372"/>
      <c r="BE612" s="2372"/>
      <c r="BF612" s="2372"/>
      <c r="BG612" s="2372"/>
      <c r="BH612" s="2372"/>
      <c r="BI612" s="2372"/>
      <c r="BJ612" s="2372"/>
      <c r="BK612" s="2372"/>
      <c r="BL612" s="2372"/>
      <c r="BM612" s="2372"/>
      <c r="BN612" s="2372"/>
      <c r="BO612" s="2372"/>
      <c r="BP612" s="2372"/>
      <c r="BQ612" s="2372"/>
      <c r="BR612" s="2372"/>
      <c r="BS612" s="2372"/>
      <c r="BT612" s="2372"/>
      <c r="BU612" s="2372"/>
      <c r="BV612" s="2372"/>
      <c r="BW612" s="2372"/>
      <c r="BX612" s="2372"/>
      <c r="BY612" s="2372"/>
      <c r="BZ612" s="2372"/>
      <c r="CA612" s="2372"/>
      <c r="CB612" s="2372"/>
      <c r="CC612" s="2372"/>
      <c r="CD612" s="2372"/>
      <c r="CE612" s="2372"/>
      <c r="CF612" s="2372"/>
      <c r="CG612" s="2372"/>
      <c r="CH612" s="2372"/>
      <c r="CI612" s="2372"/>
      <c r="CJ612" s="2372"/>
      <c r="CK612" s="2372"/>
      <c r="CL612" s="2372"/>
      <c r="CM612" s="2372"/>
      <c r="CN612" s="2372"/>
      <c r="CO612" s="2372"/>
      <c r="CP612" s="2372"/>
      <c r="CQ612" s="2372"/>
      <c r="CR612" s="2372"/>
      <c r="CS612" s="2372"/>
      <c r="CT612" s="2372"/>
      <c r="CU612" s="2372"/>
      <c r="CV612" s="2372"/>
      <c r="CW612" s="2372"/>
      <c r="CX612" s="2372"/>
      <c r="CY612" s="2372"/>
      <c r="CZ612" s="2372"/>
      <c r="DA612" s="2372"/>
    </row>
    <row r="613" spans="1:105" ht="15" hidden="1" customHeight="1">
      <c r="A613" s="2372"/>
      <c r="B613" s="2372"/>
      <c r="C613" s="2372"/>
      <c r="D613" s="2372"/>
      <c r="E613" s="2372"/>
      <c r="F613" s="2372"/>
      <c r="G613" s="2372"/>
      <c r="H613" s="2372"/>
      <c r="I613" s="2372"/>
      <c r="J613" s="2372"/>
      <c r="K613" s="2372"/>
      <c r="L613" s="2372"/>
      <c r="M613" s="2372"/>
      <c r="N613" s="2372"/>
      <c r="O613" s="2372"/>
      <c r="P613" s="2372"/>
      <c r="Q613" s="2372"/>
      <c r="R613" s="2372"/>
      <c r="S613" s="2372"/>
      <c r="T613" s="2372"/>
      <c r="U613" s="2372"/>
      <c r="V613" s="2372"/>
      <c r="W613" s="2372"/>
      <c r="X613" s="2372"/>
      <c r="Y613" s="2372"/>
      <c r="Z613" s="2372"/>
      <c r="AA613" s="2372"/>
      <c r="AB613" s="2372"/>
      <c r="AC613" s="2372"/>
      <c r="AD613" s="2372"/>
      <c r="AE613" s="2372"/>
      <c r="AF613" s="2372"/>
      <c r="AG613" s="2372"/>
      <c r="AH613" s="2372"/>
      <c r="AI613" s="2372"/>
      <c r="AJ613" s="2372"/>
      <c r="AK613" s="2372"/>
      <c r="AL613" s="2372"/>
      <c r="AM613" s="2372"/>
      <c r="AN613" s="2372"/>
      <c r="AO613" s="2372"/>
      <c r="AP613" s="2372"/>
      <c r="AQ613" s="2372"/>
      <c r="AR613" s="2372"/>
      <c r="AS613" s="2372"/>
      <c r="AT613" s="2372"/>
      <c r="AU613" s="2372"/>
      <c r="AV613" s="2372"/>
      <c r="AW613" s="2372"/>
      <c r="AX613" s="2372"/>
      <c r="AY613" s="2372"/>
      <c r="AZ613" s="2372"/>
      <c r="BA613" s="2372"/>
      <c r="BB613" s="2372"/>
      <c r="BC613" s="2372"/>
      <c r="BD613" s="2372"/>
      <c r="BE613" s="2372"/>
      <c r="BF613" s="2372"/>
      <c r="BG613" s="2372"/>
      <c r="BH613" s="2372"/>
      <c r="BI613" s="2372"/>
      <c r="BJ613" s="2372"/>
      <c r="BK613" s="2372"/>
      <c r="BL613" s="2372"/>
      <c r="BM613" s="2372"/>
      <c r="BN613" s="2372"/>
      <c r="BO613" s="2372"/>
      <c r="BP613" s="2372"/>
      <c r="BQ613" s="2372"/>
      <c r="BR613" s="2372"/>
      <c r="BS613" s="2372"/>
      <c r="BT613" s="2372"/>
      <c r="BU613" s="2372"/>
      <c r="BV613" s="2372"/>
      <c r="BW613" s="2372"/>
      <c r="BX613" s="2372"/>
      <c r="BY613" s="2372"/>
      <c r="BZ613" s="2372"/>
      <c r="CA613" s="2372"/>
      <c r="CB613" s="2372"/>
      <c r="CC613" s="2372"/>
      <c r="CD613" s="2372"/>
      <c r="CE613" s="2372"/>
      <c r="CF613" s="2372"/>
      <c r="CG613" s="2372"/>
      <c r="CH613" s="2372"/>
      <c r="CI613" s="2372"/>
      <c r="CJ613" s="2372"/>
      <c r="CK613" s="2372"/>
      <c r="CL613" s="2372"/>
      <c r="CM613" s="2372"/>
      <c r="CN613" s="2372"/>
      <c r="CO613" s="2372"/>
      <c r="CP613" s="2372"/>
      <c r="CQ613" s="2372"/>
      <c r="CR613" s="2372"/>
      <c r="CS613" s="2372"/>
      <c r="CT613" s="2372"/>
      <c r="CU613" s="2372"/>
      <c r="CV613" s="2372"/>
      <c r="CW613" s="2372"/>
      <c r="CX613" s="2372"/>
      <c r="CY613" s="2372"/>
      <c r="CZ613" s="2372"/>
      <c r="DA613" s="2372"/>
    </row>
    <row r="614" spans="1:105" ht="15" hidden="1" customHeight="1">
      <c r="A614" s="2372"/>
      <c r="B614" s="2372"/>
      <c r="C614" s="2372"/>
      <c r="D614" s="2372"/>
      <c r="E614" s="2372"/>
      <c r="F614" s="2372"/>
      <c r="G614" s="2372"/>
      <c r="H614" s="2372"/>
      <c r="I614" s="2372"/>
      <c r="J614" s="2372"/>
      <c r="K614" s="2372"/>
      <c r="L614" s="2372"/>
      <c r="M614" s="2372"/>
      <c r="N614" s="2372"/>
      <c r="O614" s="2372"/>
      <c r="P614" s="2372"/>
      <c r="Q614" s="2372"/>
      <c r="R614" s="2372"/>
      <c r="S614" s="2372"/>
      <c r="T614" s="2372"/>
      <c r="U614" s="2372"/>
      <c r="V614" s="2372"/>
      <c r="W614" s="2372"/>
      <c r="X614" s="2372"/>
      <c r="Y614" s="2372"/>
      <c r="Z614" s="2372"/>
      <c r="AA614" s="2372"/>
      <c r="AB614" s="2372"/>
      <c r="AC614" s="2372"/>
      <c r="AD614" s="2372"/>
      <c r="AE614" s="2372"/>
      <c r="AF614" s="2372"/>
      <c r="AG614" s="2372"/>
      <c r="AH614" s="2372"/>
      <c r="AI614" s="2372"/>
      <c r="AJ614" s="2372"/>
      <c r="AK614" s="2372"/>
      <c r="AL614" s="2372"/>
      <c r="AM614" s="2372"/>
      <c r="AN614" s="2372"/>
      <c r="AO614" s="2372"/>
      <c r="AP614" s="2372"/>
      <c r="AQ614" s="2372"/>
      <c r="AR614" s="2372"/>
      <c r="AS614" s="2372"/>
      <c r="AT614" s="2372"/>
      <c r="AU614" s="2372"/>
      <c r="AV614" s="2372"/>
      <c r="AW614" s="2372"/>
      <c r="AX614" s="2372"/>
      <c r="AY614" s="2372"/>
      <c r="AZ614" s="2372"/>
      <c r="BA614" s="2372"/>
      <c r="BB614" s="2372"/>
      <c r="BC614" s="2372"/>
      <c r="BD614" s="2372"/>
      <c r="BE614" s="2372"/>
      <c r="BF614" s="2372"/>
      <c r="BG614" s="2372"/>
      <c r="BH614" s="2372"/>
      <c r="BI614" s="2372"/>
      <c r="BJ614" s="2372"/>
      <c r="BK614" s="2372"/>
      <c r="BL614" s="2372"/>
      <c r="BM614" s="2372"/>
      <c r="BN614" s="2372"/>
      <c r="BO614" s="2372"/>
      <c r="BP614" s="2372"/>
      <c r="BQ614" s="2372"/>
      <c r="BR614" s="2372"/>
      <c r="BS614" s="2372"/>
      <c r="BT614" s="2372"/>
      <c r="BU614" s="2372"/>
      <c r="BV614" s="2372"/>
      <c r="BW614" s="2372"/>
      <c r="BX614" s="2372"/>
      <c r="BY614" s="2372"/>
      <c r="BZ614" s="2372"/>
      <c r="CA614" s="2372"/>
      <c r="CB614" s="2372"/>
      <c r="CC614" s="2372"/>
      <c r="CD614" s="2372"/>
      <c r="CE614" s="2372"/>
      <c r="CF614" s="2372"/>
      <c r="CG614" s="2372"/>
      <c r="CH614" s="2372"/>
      <c r="CI614" s="2372"/>
      <c r="CJ614" s="2372"/>
      <c r="CK614" s="2372"/>
      <c r="CL614" s="2372"/>
      <c r="CM614" s="2372"/>
      <c r="CN614" s="2372"/>
      <c r="CO614" s="2372"/>
      <c r="CP614" s="2372"/>
      <c r="CQ614" s="2372"/>
      <c r="CR614" s="2372"/>
      <c r="CS614" s="2372"/>
      <c r="CT614" s="2372"/>
      <c r="CU614" s="2372"/>
      <c r="CV614" s="2372"/>
      <c r="CW614" s="2372"/>
      <c r="CX614" s="2372"/>
      <c r="CY614" s="2372"/>
      <c r="CZ614" s="2372"/>
      <c r="DA614" s="2372"/>
    </row>
    <row r="615" spans="1:105" ht="15" hidden="1" customHeight="1">
      <c r="A615" s="2372"/>
      <c r="B615" s="2372"/>
      <c r="C615" s="2372"/>
      <c r="D615" s="2372"/>
      <c r="E615" s="2372"/>
      <c r="F615" s="2372"/>
      <c r="G615" s="2372"/>
      <c r="H615" s="2372"/>
      <c r="I615" s="2372"/>
      <c r="J615" s="2372"/>
      <c r="K615" s="2372"/>
      <c r="L615" s="2372"/>
      <c r="M615" s="2372"/>
      <c r="N615" s="2372"/>
      <c r="O615" s="2372"/>
      <c r="P615" s="2372"/>
      <c r="Q615" s="2372"/>
      <c r="R615" s="2372"/>
      <c r="S615" s="2372"/>
      <c r="T615" s="2372"/>
      <c r="U615" s="2372"/>
      <c r="V615" s="2372"/>
      <c r="W615" s="2372"/>
      <c r="X615" s="2372"/>
      <c r="Y615" s="2372"/>
      <c r="Z615" s="2372"/>
      <c r="AA615" s="2372"/>
      <c r="AB615" s="2372"/>
      <c r="AC615" s="2372"/>
      <c r="AD615" s="2372"/>
      <c r="AE615" s="2372"/>
      <c r="AF615" s="2372"/>
      <c r="AG615" s="2372"/>
      <c r="AH615" s="2372"/>
      <c r="AI615" s="2372"/>
      <c r="AJ615" s="2372"/>
      <c r="AK615" s="2372"/>
      <c r="AL615" s="2372"/>
      <c r="AM615" s="2372"/>
      <c r="AN615" s="2372"/>
      <c r="AO615" s="2372"/>
      <c r="AP615" s="2372"/>
      <c r="AQ615" s="2372"/>
      <c r="AR615" s="2372"/>
      <c r="AS615" s="2372"/>
      <c r="AT615" s="2372"/>
      <c r="AU615" s="2372"/>
      <c r="AV615" s="2372"/>
      <c r="AW615" s="2372"/>
      <c r="AX615" s="2372"/>
      <c r="AY615" s="2372"/>
      <c r="AZ615" s="2372"/>
      <c r="BA615" s="2372"/>
      <c r="BB615" s="2372"/>
      <c r="BC615" s="2372"/>
      <c r="BD615" s="2372"/>
      <c r="BE615" s="2372"/>
      <c r="BF615" s="2372"/>
      <c r="BG615" s="2372"/>
      <c r="BH615" s="2372"/>
      <c r="BI615" s="2372"/>
      <c r="BJ615" s="2372"/>
      <c r="BK615" s="2372"/>
      <c r="BL615" s="2372"/>
      <c r="BM615" s="2372"/>
      <c r="BN615" s="2372"/>
      <c r="BO615" s="2372"/>
      <c r="BP615" s="2372"/>
      <c r="BQ615" s="2372"/>
      <c r="BR615" s="2372"/>
      <c r="BS615" s="2372"/>
      <c r="BT615" s="2372"/>
      <c r="BU615" s="2372"/>
      <c r="BV615" s="2372"/>
      <c r="BW615" s="2372"/>
      <c r="BX615" s="2372"/>
      <c r="BY615" s="2372"/>
      <c r="BZ615" s="2372"/>
      <c r="CA615" s="2372"/>
      <c r="CB615" s="2372"/>
      <c r="CC615" s="2372"/>
      <c r="CD615" s="2372"/>
      <c r="CE615" s="2372"/>
      <c r="CF615" s="2372"/>
      <c r="CG615" s="2372"/>
      <c r="CH615" s="2372"/>
      <c r="CI615" s="2372"/>
      <c r="CJ615" s="2372"/>
      <c r="CK615" s="2372"/>
      <c r="CL615" s="2372"/>
      <c r="CM615" s="2372"/>
      <c r="CN615" s="2372"/>
      <c r="CO615" s="2372"/>
      <c r="CP615" s="2372"/>
      <c r="CQ615" s="2372"/>
      <c r="CR615" s="2372"/>
      <c r="CS615" s="2372"/>
      <c r="CT615" s="2372"/>
      <c r="CU615" s="2372"/>
      <c r="CV615" s="2372"/>
      <c r="CW615" s="2372"/>
      <c r="CX615" s="2372"/>
      <c r="CY615" s="2372"/>
      <c r="CZ615" s="2372"/>
      <c r="DA615" s="2372"/>
    </row>
    <row r="616" spans="1:105" ht="15" hidden="1" customHeight="1">
      <c r="A616" s="2372"/>
      <c r="B616" s="2372"/>
      <c r="C616" s="2372"/>
      <c r="D616" s="2372"/>
      <c r="E616" s="2372"/>
      <c r="F616" s="2372"/>
      <c r="G616" s="2372"/>
      <c r="H616" s="2372"/>
      <c r="I616" s="2372"/>
      <c r="J616" s="2372"/>
      <c r="K616" s="2372"/>
      <c r="L616" s="2372"/>
      <c r="M616" s="2372"/>
      <c r="N616" s="2372"/>
      <c r="O616" s="2372"/>
      <c r="P616" s="2372"/>
      <c r="Q616" s="2372"/>
      <c r="R616" s="2372"/>
      <c r="S616" s="2372"/>
      <c r="T616" s="2372"/>
      <c r="U616" s="2372"/>
      <c r="V616" s="2372"/>
      <c r="W616" s="2372"/>
      <c r="X616" s="2372"/>
      <c r="Y616" s="2372"/>
      <c r="Z616" s="2372"/>
      <c r="AA616" s="2372"/>
      <c r="AB616" s="2372"/>
      <c r="AC616" s="2372"/>
      <c r="AD616" s="2372"/>
      <c r="AE616" s="2372"/>
      <c r="AF616" s="2372"/>
      <c r="AG616" s="2372"/>
      <c r="AH616" s="2372"/>
      <c r="AI616" s="2372"/>
      <c r="AJ616" s="2372"/>
      <c r="AK616" s="2372"/>
      <c r="AL616" s="2372"/>
      <c r="AM616" s="2372"/>
      <c r="AN616" s="2372"/>
      <c r="AO616" s="2372"/>
      <c r="AP616" s="2372"/>
      <c r="AQ616" s="2372"/>
      <c r="AR616" s="2372"/>
      <c r="AS616" s="2372"/>
      <c r="AT616" s="2372"/>
      <c r="AU616" s="2372"/>
      <c r="AV616" s="2372"/>
      <c r="AW616" s="2372"/>
      <c r="AX616" s="2372"/>
      <c r="AY616" s="2372"/>
      <c r="AZ616" s="2372"/>
      <c r="BA616" s="2372"/>
      <c r="BB616" s="2372"/>
      <c r="BC616" s="2372"/>
      <c r="BD616" s="2372"/>
      <c r="BE616" s="2372"/>
      <c r="BF616" s="2372"/>
      <c r="BG616" s="2372"/>
      <c r="BH616" s="2372"/>
      <c r="BI616" s="2372"/>
      <c r="BJ616" s="2372"/>
      <c r="BK616" s="2372"/>
      <c r="BL616" s="2372"/>
      <c r="BM616" s="2372"/>
      <c r="BN616" s="2372"/>
      <c r="BO616" s="2372"/>
      <c r="BP616" s="2372"/>
      <c r="BQ616" s="2372"/>
      <c r="BR616" s="2372"/>
      <c r="BS616" s="2372"/>
      <c r="BT616" s="2372"/>
      <c r="BU616" s="2372"/>
      <c r="BV616" s="2372"/>
      <c r="BW616" s="2372"/>
      <c r="BX616" s="2372"/>
      <c r="BY616" s="2372"/>
      <c r="BZ616" s="2372"/>
      <c r="CA616" s="2372"/>
      <c r="CB616" s="2372"/>
      <c r="CC616" s="2372"/>
      <c r="CD616" s="2372"/>
      <c r="CE616" s="2372"/>
      <c r="CF616" s="2372"/>
      <c r="CG616" s="2372"/>
      <c r="CH616" s="2372"/>
      <c r="CI616" s="2372"/>
      <c r="CJ616" s="2372"/>
      <c r="CK616" s="2372"/>
      <c r="CL616" s="2372"/>
      <c r="CM616" s="2372"/>
      <c r="CN616" s="2372"/>
      <c r="CO616" s="2372"/>
      <c r="CP616" s="2372"/>
      <c r="CQ616" s="2372"/>
      <c r="CR616" s="2372"/>
      <c r="CS616" s="2372"/>
      <c r="CT616" s="2372"/>
      <c r="CU616" s="2372"/>
      <c r="CV616" s="2372"/>
      <c r="CW616" s="2372"/>
      <c r="CX616" s="2372"/>
      <c r="CY616" s="2372"/>
      <c r="CZ616" s="2372"/>
      <c r="DA616" s="2372"/>
    </row>
    <row r="617" spans="1:105" ht="15" hidden="1" customHeight="1">
      <c r="A617" s="2372"/>
      <c r="B617" s="2372"/>
      <c r="C617" s="2372"/>
      <c r="D617" s="2372"/>
      <c r="E617" s="2372"/>
      <c r="F617" s="2372"/>
      <c r="G617" s="2372"/>
      <c r="H617" s="2372"/>
      <c r="I617" s="2372"/>
      <c r="J617" s="2372"/>
      <c r="K617" s="2372"/>
      <c r="L617" s="2372"/>
      <c r="M617" s="2372"/>
      <c r="N617" s="2372"/>
      <c r="O617" s="2372"/>
      <c r="P617" s="2372"/>
      <c r="Q617" s="2372"/>
      <c r="R617" s="2372"/>
      <c r="S617" s="2372"/>
      <c r="T617" s="2372"/>
      <c r="U617" s="2372"/>
      <c r="V617" s="2372"/>
      <c r="W617" s="2372"/>
      <c r="X617" s="2372"/>
      <c r="Y617" s="2372"/>
      <c r="Z617" s="2372"/>
      <c r="AA617" s="2372"/>
      <c r="AB617" s="2372"/>
      <c r="AC617" s="2372"/>
      <c r="AD617" s="2372"/>
      <c r="AE617" s="2372"/>
      <c r="AF617" s="2372"/>
      <c r="AG617" s="2372"/>
      <c r="AH617" s="2372"/>
      <c r="AI617" s="2372"/>
      <c r="AJ617" s="2372"/>
      <c r="AK617" s="2372"/>
      <c r="AL617" s="2372"/>
      <c r="AM617" s="2372"/>
      <c r="AN617" s="2372"/>
      <c r="AO617" s="2372"/>
      <c r="AP617" s="2372"/>
      <c r="AQ617" s="2372"/>
      <c r="AR617" s="2372"/>
      <c r="AS617" s="2372"/>
      <c r="AT617" s="2372"/>
      <c r="AU617" s="2372"/>
      <c r="AV617" s="2372"/>
      <c r="AW617" s="2372"/>
      <c r="AX617" s="2372"/>
      <c r="AY617" s="2372"/>
      <c r="AZ617" s="2372"/>
      <c r="BA617" s="2372"/>
      <c r="BB617" s="2372"/>
      <c r="BC617" s="2372"/>
      <c r="BD617" s="2372"/>
      <c r="BE617" s="2372"/>
      <c r="BF617" s="2372"/>
      <c r="BG617" s="2372"/>
      <c r="BH617" s="2372"/>
      <c r="BI617" s="2372"/>
      <c r="BJ617" s="2372"/>
      <c r="BK617" s="2372"/>
      <c r="BL617" s="2372"/>
      <c r="BM617" s="2372"/>
      <c r="BN617" s="2372"/>
      <c r="BO617" s="2372"/>
      <c r="BP617" s="2372"/>
      <c r="BQ617" s="2372"/>
      <c r="BR617" s="2372"/>
      <c r="BS617" s="2372"/>
      <c r="BT617" s="2372"/>
      <c r="BU617" s="2372"/>
      <c r="BV617" s="2372"/>
      <c r="BW617" s="2372"/>
      <c r="BX617" s="2372"/>
      <c r="BY617" s="2372"/>
      <c r="BZ617" s="2372"/>
      <c r="CA617" s="2372"/>
      <c r="CB617" s="2372"/>
      <c r="CC617" s="2372"/>
      <c r="CD617" s="2372"/>
      <c r="CE617" s="2372"/>
      <c r="CF617" s="2372"/>
      <c r="CG617" s="2372"/>
      <c r="CH617" s="2372"/>
      <c r="CI617" s="2372"/>
      <c r="CJ617" s="2372"/>
      <c r="CK617" s="2372"/>
      <c r="CL617" s="2372"/>
      <c r="CM617" s="2372"/>
      <c r="CN617" s="2372"/>
      <c r="CO617" s="2372"/>
      <c r="CP617" s="2372"/>
      <c r="CQ617" s="2372"/>
      <c r="CR617" s="2372"/>
      <c r="CS617" s="2372"/>
      <c r="CT617" s="2372"/>
      <c r="CU617" s="2372"/>
      <c r="CV617" s="2372"/>
      <c r="CW617" s="2372"/>
      <c r="CX617" s="2372"/>
      <c r="CY617" s="2372"/>
      <c r="CZ617" s="2372"/>
      <c r="DA617" s="2372"/>
    </row>
    <row r="618" spans="1:105" ht="15" hidden="1" customHeight="1">
      <c r="A618" s="2372"/>
      <c r="B618" s="2372"/>
      <c r="C618" s="2372"/>
      <c r="D618" s="2372"/>
      <c r="E618" s="2372"/>
      <c r="F618" s="2372"/>
      <c r="G618" s="2372"/>
      <c r="H618" s="2372"/>
      <c r="I618" s="2372"/>
      <c r="J618" s="2372"/>
      <c r="K618" s="2372"/>
      <c r="L618" s="2372"/>
      <c r="M618" s="2372"/>
      <c r="N618" s="2372"/>
      <c r="O618" s="2372"/>
      <c r="P618" s="2372"/>
      <c r="Q618" s="2372"/>
      <c r="R618" s="2372"/>
      <c r="S618" s="2372"/>
      <c r="T618" s="2372"/>
      <c r="U618" s="2372"/>
      <c r="V618" s="2372"/>
      <c r="W618" s="2372"/>
      <c r="X618" s="2372"/>
      <c r="Y618" s="2372"/>
      <c r="Z618" s="2372"/>
      <c r="AA618" s="2372"/>
      <c r="AB618" s="2372"/>
      <c r="AC618" s="2372"/>
      <c r="AD618" s="2372"/>
      <c r="AE618" s="2372"/>
      <c r="AF618" s="2372"/>
      <c r="AG618" s="2372"/>
      <c r="AH618" s="2372"/>
      <c r="AI618" s="2372"/>
      <c r="AJ618" s="2372"/>
      <c r="AK618" s="2372"/>
      <c r="AL618" s="2372"/>
      <c r="AM618" s="2372"/>
      <c r="AN618" s="2372"/>
      <c r="AO618" s="2372"/>
      <c r="AP618" s="2372"/>
      <c r="AQ618" s="2372"/>
      <c r="AR618" s="2372"/>
      <c r="AS618" s="2372"/>
      <c r="AT618" s="2372"/>
      <c r="AU618" s="2372"/>
      <c r="AV618" s="2372"/>
      <c r="AW618" s="2372"/>
      <c r="AX618" s="2372"/>
      <c r="AY618" s="2372"/>
      <c r="AZ618" s="2372"/>
      <c r="BA618" s="2372"/>
      <c r="BB618" s="2372"/>
      <c r="BC618" s="2372"/>
      <c r="BD618" s="2372"/>
      <c r="BE618" s="2372"/>
      <c r="BF618" s="2372"/>
      <c r="BG618" s="2372"/>
      <c r="BH618" s="2372"/>
      <c r="BI618" s="2372"/>
      <c r="BJ618" s="2372"/>
      <c r="BK618" s="2372"/>
      <c r="BL618" s="2372"/>
      <c r="BM618" s="2372"/>
      <c r="BN618" s="2372"/>
      <c r="BO618" s="2372"/>
      <c r="BP618" s="2372"/>
      <c r="BQ618" s="2372"/>
      <c r="BR618" s="2372"/>
      <c r="BS618" s="2372"/>
      <c r="BT618" s="2372"/>
      <c r="BU618" s="2372"/>
      <c r="BV618" s="2372"/>
      <c r="BW618" s="2372"/>
      <c r="BX618" s="2372"/>
      <c r="BY618" s="2372"/>
      <c r="BZ618" s="2372"/>
      <c r="CA618" s="2372"/>
      <c r="CB618" s="2372"/>
      <c r="CC618" s="2372"/>
      <c r="CD618" s="2372"/>
      <c r="CE618" s="2372"/>
      <c r="CF618" s="2372"/>
      <c r="CG618" s="2372"/>
      <c r="CH618" s="2372"/>
      <c r="CI618" s="2372"/>
      <c r="CJ618" s="2372"/>
      <c r="CK618" s="2372"/>
      <c r="CL618" s="2372"/>
      <c r="CM618" s="2372"/>
      <c r="CN618" s="2372"/>
      <c r="CO618" s="2372"/>
      <c r="CP618" s="2372"/>
      <c r="CQ618" s="2372"/>
      <c r="CR618" s="2372"/>
      <c r="CS618" s="2372"/>
      <c r="CT618" s="2372"/>
      <c r="CU618" s="2372"/>
      <c r="CV618" s="2372"/>
      <c r="CW618" s="2372"/>
      <c r="CX618" s="2372"/>
      <c r="CY618" s="2372"/>
      <c r="CZ618" s="2372"/>
      <c r="DA618" s="2372"/>
    </row>
    <row r="619" spans="1:105" ht="15" hidden="1" customHeight="1">
      <c r="A619" s="2372"/>
      <c r="B619" s="2372"/>
      <c r="C619" s="2372"/>
      <c r="D619" s="2372"/>
      <c r="E619" s="2372"/>
      <c r="F619" s="2372"/>
      <c r="G619" s="2372"/>
      <c r="H619" s="2372"/>
      <c r="I619" s="2372"/>
      <c r="J619" s="2372"/>
      <c r="K619" s="2372"/>
      <c r="L619" s="2372"/>
      <c r="M619" s="2372"/>
      <c r="N619" s="2372"/>
      <c r="O619" s="2372"/>
      <c r="P619" s="2372"/>
      <c r="Q619" s="2372"/>
      <c r="R619" s="2372"/>
      <c r="S619" s="2372"/>
      <c r="T619" s="2372"/>
      <c r="U619" s="2372"/>
      <c r="V619" s="2372"/>
      <c r="W619" s="2372"/>
      <c r="X619" s="2372"/>
      <c r="Y619" s="2372"/>
      <c r="Z619" s="2372"/>
      <c r="AA619" s="2372"/>
      <c r="AB619" s="2372"/>
      <c r="AC619" s="2372"/>
      <c r="AD619" s="2372"/>
      <c r="AE619" s="2372"/>
      <c r="AF619" s="2372"/>
      <c r="AG619" s="2372"/>
      <c r="AH619" s="2372"/>
      <c r="AI619" s="2372"/>
      <c r="AJ619" s="2372"/>
      <c r="AK619" s="2372"/>
      <c r="AL619" s="2372"/>
      <c r="AM619" s="2372"/>
      <c r="AN619" s="2372"/>
      <c r="AO619" s="2372"/>
      <c r="AP619" s="2372"/>
      <c r="AQ619" s="2372"/>
      <c r="AR619" s="2372"/>
      <c r="AS619" s="2372"/>
      <c r="AT619" s="2372"/>
      <c r="AU619" s="2372"/>
      <c r="AV619" s="2372"/>
      <c r="AW619" s="2372"/>
      <c r="AX619" s="2372"/>
      <c r="AY619" s="2372"/>
      <c r="AZ619" s="2372"/>
      <c r="BA619" s="2372"/>
      <c r="BB619" s="2372"/>
      <c r="BC619" s="2372"/>
      <c r="BD619" s="2372"/>
      <c r="BE619" s="2372"/>
      <c r="BF619" s="2372"/>
      <c r="BG619" s="2372"/>
      <c r="BH619" s="2372"/>
      <c r="BI619" s="2372"/>
      <c r="BJ619" s="2372"/>
      <c r="BK619" s="2372"/>
      <c r="BL619" s="2372"/>
      <c r="BM619" s="2372"/>
      <c r="BN619" s="2372"/>
      <c r="BO619" s="2372"/>
      <c r="BP619" s="2372"/>
      <c r="BQ619" s="2372"/>
      <c r="BR619" s="2372"/>
      <c r="BS619" s="2372"/>
      <c r="BT619" s="2372"/>
      <c r="BU619" s="2372"/>
      <c r="BV619" s="2372"/>
      <c r="BW619" s="2372"/>
      <c r="BX619" s="2372"/>
      <c r="BY619" s="2372"/>
      <c r="BZ619" s="2372"/>
      <c r="CA619" s="2372"/>
      <c r="CB619" s="2372"/>
      <c r="CC619" s="2372"/>
      <c r="CD619" s="2372"/>
      <c r="CE619" s="2372"/>
      <c r="CF619" s="2372"/>
      <c r="CG619" s="2372"/>
      <c r="CH619" s="2372"/>
      <c r="CI619" s="2372"/>
      <c r="CJ619" s="2372"/>
      <c r="CK619" s="2372"/>
      <c r="CL619" s="2372"/>
      <c r="CM619" s="2372"/>
      <c r="CN619" s="2372"/>
      <c r="CO619" s="2372"/>
      <c r="CP619" s="2372"/>
      <c r="CQ619" s="2372"/>
      <c r="CR619" s="2372"/>
      <c r="CS619" s="2372"/>
      <c r="CT619" s="2372"/>
      <c r="CU619" s="2372"/>
      <c r="CV619" s="2372"/>
      <c r="CW619" s="2372"/>
      <c r="CX619" s="2372"/>
      <c r="CY619" s="2372"/>
      <c r="CZ619" s="2372"/>
      <c r="DA619" s="2372"/>
    </row>
    <row r="620" spans="1:105" ht="15" hidden="1" customHeight="1">
      <c r="A620" s="2372"/>
      <c r="B620" s="2372"/>
      <c r="C620" s="2372"/>
      <c r="D620" s="2372"/>
      <c r="E620" s="2372"/>
      <c r="F620" s="2372"/>
      <c r="G620" s="2372"/>
      <c r="H620" s="2372"/>
      <c r="I620" s="2372"/>
      <c r="J620" s="2372"/>
      <c r="K620" s="2372"/>
      <c r="L620" s="2372"/>
      <c r="M620" s="2372"/>
      <c r="N620" s="2372"/>
      <c r="O620" s="2372"/>
      <c r="P620" s="2372"/>
      <c r="Q620" s="2372"/>
      <c r="R620" s="2372"/>
      <c r="S620" s="2372"/>
      <c r="T620" s="2372"/>
      <c r="U620" s="2372"/>
      <c r="V620" s="2372"/>
      <c r="W620" s="2372"/>
      <c r="X620" s="2372"/>
      <c r="Y620" s="2372"/>
      <c r="Z620" s="2372"/>
      <c r="AA620" s="2372"/>
      <c r="AB620" s="2372"/>
      <c r="AC620" s="2372"/>
      <c r="AD620" s="2372"/>
      <c r="AE620" s="2372"/>
      <c r="AF620" s="2372"/>
      <c r="AG620" s="2372"/>
      <c r="AH620" s="2372"/>
      <c r="AI620" s="2372"/>
      <c r="AJ620" s="2372"/>
      <c r="AK620" s="2372"/>
      <c r="AL620" s="2372"/>
      <c r="AM620" s="2372"/>
      <c r="AN620" s="2372"/>
      <c r="AO620" s="2372"/>
      <c r="AP620" s="2372"/>
      <c r="AQ620" s="2372"/>
      <c r="AR620" s="2372"/>
      <c r="AS620" s="2372"/>
      <c r="AT620" s="2372"/>
      <c r="AU620" s="2372"/>
      <c r="AV620" s="2372"/>
      <c r="AW620" s="2372"/>
      <c r="AX620" s="2372"/>
      <c r="AY620" s="2372"/>
      <c r="AZ620" s="2372"/>
      <c r="BA620" s="2372"/>
      <c r="BB620" s="2372"/>
      <c r="BC620" s="2372"/>
      <c r="BD620" s="2372"/>
      <c r="BE620" s="2372"/>
      <c r="BF620" s="2372"/>
      <c r="BG620" s="2372"/>
      <c r="BH620" s="2372"/>
      <c r="BI620" s="2372"/>
      <c r="BJ620" s="2372"/>
      <c r="BK620" s="2372"/>
      <c r="BL620" s="2372"/>
      <c r="BM620" s="2372"/>
      <c r="BN620" s="2372"/>
      <c r="BO620" s="2372"/>
      <c r="BP620" s="2372"/>
      <c r="BQ620" s="2372"/>
      <c r="BR620" s="2372"/>
      <c r="BS620" s="2372"/>
      <c r="BT620" s="2372"/>
      <c r="BU620" s="2372"/>
      <c r="BV620" s="2372"/>
      <c r="BW620" s="2372"/>
      <c r="BX620" s="2372"/>
      <c r="BY620" s="2372"/>
      <c r="BZ620" s="2372"/>
      <c r="CA620" s="2372"/>
      <c r="CB620" s="2372"/>
      <c r="CC620" s="2372"/>
      <c r="CD620" s="2372"/>
      <c r="CE620" s="2372"/>
      <c r="CF620" s="2372"/>
      <c r="CG620" s="2372"/>
      <c r="CH620" s="2372"/>
      <c r="CI620" s="2372"/>
      <c r="CJ620" s="2372"/>
      <c r="CK620" s="2372"/>
      <c r="CL620" s="2372"/>
      <c r="CM620" s="2372"/>
      <c r="CN620" s="2372"/>
      <c r="CO620" s="2372"/>
      <c r="CP620" s="2372"/>
      <c r="CQ620" s="2372"/>
      <c r="CR620" s="2372"/>
      <c r="CS620" s="2372"/>
      <c r="CT620" s="2372"/>
      <c r="CU620" s="2372"/>
      <c r="CV620" s="2372"/>
      <c r="CW620" s="2372"/>
      <c r="CX620" s="2372"/>
      <c r="CY620" s="2372"/>
      <c r="CZ620" s="2372"/>
      <c r="DA620" s="2372"/>
    </row>
    <row r="621" spans="1:105" ht="15" hidden="1" customHeight="1">
      <c r="A621" s="2372"/>
      <c r="B621" s="2372"/>
      <c r="C621" s="2372"/>
      <c r="D621" s="2372"/>
      <c r="E621" s="2372"/>
      <c r="F621" s="2372"/>
      <c r="G621" s="2372"/>
      <c r="H621" s="2372"/>
      <c r="I621" s="2372"/>
      <c r="J621" s="2372"/>
      <c r="K621" s="2372"/>
      <c r="L621" s="2372"/>
      <c r="M621" s="2372"/>
      <c r="N621" s="2372"/>
      <c r="O621" s="2372"/>
      <c r="P621" s="2372"/>
      <c r="Q621" s="2372"/>
      <c r="R621" s="2372"/>
      <c r="S621" s="2372"/>
      <c r="T621" s="2372"/>
      <c r="U621" s="2372"/>
      <c r="V621" s="2372"/>
      <c r="W621" s="2372"/>
      <c r="X621" s="2372"/>
      <c r="Y621" s="2372"/>
      <c r="Z621" s="2372"/>
      <c r="AA621" s="2372"/>
      <c r="AB621" s="2372"/>
      <c r="AC621" s="2372"/>
      <c r="AD621" s="2372"/>
      <c r="AE621" s="2372"/>
      <c r="AF621" s="2372"/>
      <c r="AG621" s="2372"/>
      <c r="AH621" s="2372"/>
      <c r="AI621" s="2372"/>
      <c r="AJ621" s="2372"/>
      <c r="AK621" s="2372"/>
      <c r="AL621" s="2372"/>
      <c r="AM621" s="2372"/>
      <c r="AN621" s="2372"/>
      <c r="AO621" s="2372"/>
      <c r="AP621" s="2372"/>
      <c r="AQ621" s="2372"/>
      <c r="AR621" s="2372"/>
      <c r="AS621" s="2372"/>
      <c r="AT621" s="2372"/>
      <c r="AU621" s="2372"/>
      <c r="AV621" s="2372"/>
      <c r="AW621" s="2372"/>
      <c r="AX621" s="2372"/>
      <c r="AY621" s="2372"/>
      <c r="AZ621" s="2372"/>
      <c r="BA621" s="2372"/>
      <c r="BB621" s="2372"/>
      <c r="BC621" s="2372"/>
      <c r="BD621" s="2372"/>
      <c r="BE621" s="2372"/>
      <c r="BF621" s="2372"/>
      <c r="BG621" s="2372"/>
      <c r="BH621" s="2372"/>
      <c r="BI621" s="2372"/>
      <c r="BJ621" s="2372"/>
      <c r="BK621" s="2372"/>
      <c r="BL621" s="2372"/>
      <c r="BM621" s="2372"/>
      <c r="BN621" s="2372"/>
      <c r="BO621" s="2372"/>
      <c r="BP621" s="2372"/>
      <c r="BQ621" s="2372"/>
      <c r="BR621" s="2372"/>
      <c r="BS621" s="2372"/>
      <c r="BT621" s="2372"/>
      <c r="BU621" s="2372"/>
      <c r="BV621" s="2372"/>
      <c r="BW621" s="2372"/>
      <c r="BX621" s="2372"/>
      <c r="BY621" s="2372"/>
      <c r="BZ621" s="2372"/>
      <c r="CA621" s="2372"/>
      <c r="CB621" s="2372"/>
      <c r="CC621" s="2372"/>
      <c r="CD621" s="2372"/>
      <c r="CE621" s="2372"/>
      <c r="CF621" s="2372"/>
      <c r="CG621" s="2372"/>
      <c r="CH621" s="2372"/>
      <c r="CI621" s="2372"/>
      <c r="CJ621" s="2372"/>
      <c r="CK621" s="2372"/>
      <c r="CL621" s="2372"/>
      <c r="CM621" s="2372"/>
      <c r="CN621" s="2372"/>
      <c r="CO621" s="2372"/>
      <c r="CP621" s="2372"/>
      <c r="CQ621" s="2372"/>
      <c r="CR621" s="2372"/>
      <c r="CS621" s="2372"/>
      <c r="CT621" s="2372"/>
      <c r="CU621" s="2372"/>
      <c r="CV621" s="2372"/>
      <c r="CW621" s="2372"/>
      <c r="CX621" s="2372"/>
      <c r="CY621" s="2372"/>
      <c r="CZ621" s="2372"/>
      <c r="DA621" s="2372"/>
    </row>
    <row r="622" spans="1:105" ht="15" hidden="1" customHeight="1">
      <c r="A622" s="2372"/>
      <c r="B622" s="2372"/>
      <c r="C622" s="2372"/>
      <c r="D622" s="2372"/>
      <c r="E622" s="2372"/>
      <c r="F622" s="2372"/>
      <c r="G622" s="2372"/>
      <c r="H622" s="2372"/>
      <c r="I622" s="2372"/>
      <c r="J622" s="2372"/>
      <c r="K622" s="2372"/>
      <c r="L622" s="2372"/>
      <c r="M622" s="2372"/>
      <c r="N622" s="2372"/>
      <c r="O622" s="2372"/>
      <c r="P622" s="2372"/>
      <c r="Q622" s="2372"/>
      <c r="R622" s="2372"/>
      <c r="S622" s="2372"/>
      <c r="T622" s="2372"/>
      <c r="U622" s="2372"/>
      <c r="V622" s="2372"/>
      <c r="W622" s="2372"/>
      <c r="X622" s="2372"/>
      <c r="Y622" s="2372"/>
      <c r="Z622" s="2372"/>
      <c r="AA622" s="2372"/>
      <c r="AB622" s="2372"/>
      <c r="AC622" s="2372"/>
      <c r="AD622" s="2372"/>
      <c r="AE622" s="2372"/>
      <c r="AF622" s="2372"/>
      <c r="AG622" s="2372"/>
      <c r="AH622" s="2372"/>
      <c r="AI622" s="2372"/>
      <c r="AJ622" s="2372"/>
      <c r="AK622" s="2372"/>
      <c r="AL622" s="2372"/>
      <c r="AM622" s="2372"/>
      <c r="AN622" s="2372"/>
      <c r="AO622" s="2372"/>
      <c r="AP622" s="2372"/>
      <c r="AQ622" s="2372"/>
      <c r="AR622" s="2372"/>
      <c r="AS622" s="2372"/>
      <c r="AT622" s="2372"/>
      <c r="AU622" s="2372"/>
      <c r="AV622" s="2372"/>
      <c r="AW622" s="2372"/>
      <c r="AX622" s="2372"/>
      <c r="AY622" s="2372"/>
      <c r="AZ622" s="2372"/>
      <c r="BA622" s="2372"/>
      <c r="BB622" s="2372"/>
      <c r="BC622" s="2372"/>
      <c r="BD622" s="2372"/>
      <c r="BE622" s="2372"/>
      <c r="BF622" s="2372"/>
      <c r="BG622" s="2372"/>
      <c r="BH622" s="2372"/>
      <c r="BI622" s="2372"/>
      <c r="BJ622" s="2372"/>
      <c r="BK622" s="2372"/>
      <c r="BL622" s="2372"/>
      <c r="BM622" s="2372"/>
      <c r="BN622" s="2372"/>
      <c r="BO622" s="2372"/>
      <c r="BP622" s="2372"/>
      <c r="BQ622" s="2372"/>
      <c r="BR622" s="2372"/>
      <c r="BS622" s="2372"/>
      <c r="BT622" s="2372"/>
      <c r="BU622" s="2372"/>
      <c r="BV622" s="2372"/>
      <c r="BW622" s="2372"/>
      <c r="BX622" s="2372"/>
      <c r="BY622" s="2372"/>
      <c r="BZ622" s="2372"/>
      <c r="CA622" s="2372"/>
      <c r="CB622" s="2372"/>
      <c r="CC622" s="2372"/>
      <c r="CD622" s="2372"/>
      <c r="CE622" s="2372"/>
      <c r="CF622" s="2372"/>
      <c r="CG622" s="2372"/>
      <c r="CH622" s="2372"/>
      <c r="CI622" s="2372"/>
      <c r="CJ622" s="2372"/>
      <c r="CK622" s="2372"/>
      <c r="CL622" s="2372"/>
      <c r="CM622" s="2372"/>
      <c r="CN622" s="2372"/>
      <c r="CO622" s="2372"/>
      <c r="CP622" s="2372"/>
      <c r="CQ622" s="2372"/>
      <c r="CR622" s="2372"/>
      <c r="CS622" s="2372"/>
      <c r="CT622" s="2372"/>
      <c r="CU622" s="2372"/>
      <c r="CV622" s="2372"/>
      <c r="CW622" s="2372"/>
      <c r="CX622" s="2372"/>
      <c r="CY622" s="2372"/>
      <c r="CZ622" s="2372"/>
      <c r="DA622" s="2372"/>
    </row>
    <row r="623" spans="1:105" ht="15" hidden="1" customHeight="1">
      <c r="A623" s="2372"/>
      <c r="B623" s="2372"/>
      <c r="C623" s="2372"/>
      <c r="D623" s="2372"/>
      <c r="E623" s="2372"/>
      <c r="F623" s="2372"/>
      <c r="G623" s="2372"/>
      <c r="H623" s="2372"/>
      <c r="I623" s="2372"/>
      <c r="J623" s="2372"/>
      <c r="K623" s="2372"/>
      <c r="L623" s="2372"/>
      <c r="M623" s="2372"/>
      <c r="N623" s="2372"/>
      <c r="O623" s="2372"/>
      <c r="P623" s="2372"/>
      <c r="Q623" s="2372"/>
      <c r="R623" s="2372"/>
      <c r="S623" s="2372"/>
      <c r="T623" s="2372"/>
      <c r="U623" s="2372"/>
      <c r="V623" s="2372"/>
      <c r="W623" s="2372"/>
      <c r="X623" s="2372"/>
      <c r="Y623" s="2372"/>
      <c r="Z623" s="2372"/>
      <c r="AA623" s="2372"/>
      <c r="AB623" s="2372"/>
      <c r="AC623" s="2372"/>
      <c r="AD623" s="2372"/>
      <c r="AE623" s="2372"/>
      <c r="AF623" s="2372"/>
      <c r="AG623" s="2372"/>
      <c r="AH623" s="2372"/>
      <c r="AI623" s="2372"/>
      <c r="AJ623" s="2372"/>
      <c r="AK623" s="2372"/>
      <c r="AL623" s="2372"/>
      <c r="AM623" s="2372"/>
      <c r="AN623" s="2372"/>
      <c r="AO623" s="2372"/>
      <c r="AP623" s="2372"/>
      <c r="AQ623" s="2372"/>
      <c r="AR623" s="2372"/>
      <c r="AS623" s="2372"/>
      <c r="AT623" s="2372"/>
      <c r="AU623" s="2372"/>
      <c r="AV623" s="2372"/>
      <c r="AW623" s="2372"/>
      <c r="AX623" s="2372"/>
      <c r="AY623" s="2372"/>
      <c r="AZ623" s="2372"/>
      <c r="BA623" s="2372"/>
      <c r="BB623" s="2372"/>
      <c r="BC623" s="2372"/>
      <c r="BD623" s="2372"/>
      <c r="BE623" s="2372"/>
      <c r="BF623" s="2372"/>
      <c r="BG623" s="2372"/>
      <c r="BH623" s="2372"/>
      <c r="BI623" s="2372"/>
      <c r="BJ623" s="2372"/>
      <c r="BK623" s="2372"/>
      <c r="BL623" s="2372"/>
      <c r="BM623" s="2372"/>
      <c r="BN623" s="2372"/>
      <c r="BO623" s="2372"/>
      <c r="BP623" s="2372"/>
      <c r="BQ623" s="2372"/>
      <c r="BR623" s="2372"/>
      <c r="BS623" s="2372"/>
      <c r="BT623" s="2372"/>
      <c r="BU623" s="2372"/>
      <c r="BV623" s="2372"/>
      <c r="BW623" s="2372"/>
      <c r="BX623" s="2372"/>
      <c r="BY623" s="2372"/>
      <c r="BZ623" s="2372"/>
      <c r="CA623" s="2372"/>
      <c r="CB623" s="2372"/>
      <c r="CC623" s="2372"/>
      <c r="CD623" s="2372"/>
      <c r="CE623" s="2372"/>
      <c r="CF623" s="2372"/>
      <c r="CG623" s="2372"/>
      <c r="CH623" s="2372"/>
      <c r="CI623" s="2372"/>
      <c r="CJ623" s="2372"/>
      <c r="CK623" s="2372"/>
      <c r="CL623" s="2372"/>
      <c r="CM623" s="2372"/>
      <c r="CN623" s="2372"/>
      <c r="CO623" s="2372"/>
      <c r="CP623" s="2372"/>
      <c r="CQ623" s="2372"/>
      <c r="CR623" s="2372"/>
      <c r="CS623" s="2372"/>
      <c r="CT623" s="2372"/>
      <c r="CU623" s="2372"/>
      <c r="CV623" s="2372"/>
      <c r="CW623" s="2372"/>
      <c r="CX623" s="2372"/>
      <c r="CY623" s="2372"/>
      <c r="CZ623" s="2372"/>
      <c r="DA623" s="2372"/>
    </row>
    <row r="624" spans="1:105" ht="15" hidden="1" customHeight="1">
      <c r="A624" s="2372"/>
      <c r="B624" s="2372"/>
      <c r="C624" s="2372"/>
      <c r="D624" s="2372"/>
      <c r="E624" s="2372"/>
      <c r="F624" s="2372"/>
      <c r="G624" s="2372"/>
      <c r="H624" s="2372"/>
      <c r="I624" s="2372"/>
      <c r="J624" s="2372"/>
      <c r="K624" s="2372"/>
      <c r="L624" s="2372"/>
      <c r="M624" s="2372"/>
      <c r="N624" s="2372"/>
      <c r="O624" s="2372"/>
      <c r="P624" s="2372"/>
      <c r="Q624" s="2372"/>
      <c r="R624" s="2372"/>
      <c r="S624" s="2372"/>
      <c r="T624" s="2372"/>
      <c r="U624" s="2372"/>
      <c r="V624" s="2372"/>
      <c r="W624" s="2372"/>
      <c r="X624" s="2372"/>
      <c r="Y624" s="2372"/>
      <c r="Z624" s="2372"/>
      <c r="AA624" s="2372"/>
      <c r="AB624" s="2372"/>
      <c r="AC624" s="2372"/>
      <c r="AD624" s="2372"/>
      <c r="AE624" s="2372"/>
      <c r="AF624" s="2372"/>
      <c r="AG624" s="2372"/>
      <c r="AH624" s="2372"/>
      <c r="AI624" s="2372"/>
      <c r="AJ624" s="2372"/>
      <c r="AK624" s="2372"/>
      <c r="AL624" s="2372"/>
      <c r="AM624" s="2372"/>
      <c r="AN624" s="2372"/>
      <c r="AO624" s="2372"/>
      <c r="AP624" s="2372"/>
      <c r="AQ624" s="2372"/>
      <c r="AR624" s="2372"/>
      <c r="AS624" s="2372"/>
      <c r="AT624" s="2372"/>
      <c r="AU624" s="2372"/>
      <c r="AV624" s="2372"/>
      <c r="AW624" s="2372"/>
      <c r="AX624" s="2372"/>
      <c r="AY624" s="2372"/>
      <c r="AZ624" s="2372"/>
      <c r="BA624" s="2372"/>
      <c r="BB624" s="2372"/>
      <c r="BC624" s="2372"/>
      <c r="BD624" s="2372"/>
      <c r="BE624" s="2372"/>
      <c r="BF624" s="2372"/>
      <c r="BG624" s="2372"/>
      <c r="BH624" s="2372"/>
      <c r="BI624" s="2372"/>
      <c r="BJ624" s="2372"/>
      <c r="BK624" s="2372"/>
      <c r="BL624" s="2372"/>
      <c r="BM624" s="2372"/>
      <c r="BN624" s="2372"/>
      <c r="BO624" s="2372"/>
      <c r="BP624" s="2372"/>
      <c r="BQ624" s="2372"/>
      <c r="BR624" s="2372"/>
      <c r="BS624" s="2372"/>
      <c r="BT624" s="2372"/>
      <c r="BU624" s="2372"/>
      <c r="BV624" s="2372"/>
      <c r="BW624" s="2372"/>
      <c r="BX624" s="2372"/>
      <c r="BY624" s="2372"/>
      <c r="BZ624" s="2372"/>
      <c r="CA624" s="2372"/>
      <c r="CB624" s="2372"/>
      <c r="CC624" s="2372"/>
      <c r="CD624" s="2372"/>
      <c r="CE624" s="2372"/>
      <c r="CF624" s="2372"/>
      <c r="CG624" s="2372"/>
      <c r="CH624" s="2372"/>
      <c r="CI624" s="2372"/>
      <c r="CJ624" s="2372"/>
      <c r="CK624" s="2372"/>
      <c r="CL624" s="2372"/>
      <c r="CM624" s="2372"/>
      <c r="CN624" s="2372"/>
      <c r="CO624" s="2372"/>
      <c r="CP624" s="2372"/>
      <c r="CQ624" s="2372"/>
      <c r="CR624" s="2372"/>
      <c r="CS624" s="2372"/>
      <c r="CT624" s="2372"/>
      <c r="CU624" s="2372"/>
      <c r="CV624" s="2372"/>
      <c r="CW624" s="2372"/>
      <c r="CX624" s="2372"/>
      <c r="CY624" s="2372"/>
      <c r="CZ624" s="2372"/>
      <c r="DA624" s="2372"/>
    </row>
    <row r="625" spans="1:105" ht="15" hidden="1" customHeight="1">
      <c r="A625" s="2372"/>
      <c r="B625" s="2372"/>
      <c r="C625" s="2372"/>
      <c r="D625" s="2372"/>
      <c r="E625" s="2372"/>
      <c r="F625" s="2372"/>
      <c r="G625" s="2372"/>
      <c r="H625" s="2372"/>
      <c r="I625" s="2372"/>
      <c r="J625" s="2372"/>
      <c r="K625" s="2372"/>
      <c r="L625" s="2372"/>
      <c r="M625" s="2372"/>
      <c r="N625" s="2372"/>
      <c r="O625" s="2372"/>
      <c r="P625" s="2372"/>
      <c r="Q625" s="2372"/>
      <c r="R625" s="2372"/>
      <c r="S625" s="2372"/>
      <c r="T625" s="2372"/>
      <c r="U625" s="2372"/>
      <c r="V625" s="2372"/>
      <c r="W625" s="2372"/>
      <c r="X625" s="2372"/>
      <c r="Y625" s="2372"/>
      <c r="Z625" s="2372"/>
      <c r="AA625" s="2372"/>
      <c r="AB625" s="2372"/>
      <c r="AC625" s="2372"/>
      <c r="AD625" s="2372"/>
      <c r="AE625" s="2372"/>
      <c r="AF625" s="2372"/>
      <c r="AG625" s="2372"/>
      <c r="AH625" s="2372"/>
      <c r="AI625" s="2372"/>
      <c r="AJ625" s="2372"/>
      <c r="AK625" s="2372"/>
      <c r="AL625" s="2372"/>
      <c r="AM625" s="2372"/>
      <c r="AN625" s="2372"/>
      <c r="AO625" s="2372"/>
      <c r="AP625" s="2372"/>
      <c r="AQ625" s="2372"/>
      <c r="AR625" s="2372"/>
      <c r="AS625" s="2372"/>
      <c r="AT625" s="2372"/>
      <c r="AU625" s="2372"/>
      <c r="AV625" s="2372"/>
      <c r="AW625" s="2372"/>
      <c r="AX625" s="2372"/>
      <c r="AY625" s="2372"/>
      <c r="AZ625" s="2372"/>
      <c r="BA625" s="2372"/>
      <c r="BB625" s="2372"/>
      <c r="BC625" s="2372"/>
      <c r="BD625" s="2372"/>
      <c r="BE625" s="2372"/>
      <c r="BF625" s="2372"/>
      <c r="BG625" s="2372"/>
      <c r="BH625" s="2372"/>
      <c r="BI625" s="2372"/>
      <c r="BJ625" s="2372"/>
      <c r="BK625" s="2372"/>
      <c r="BL625" s="2372"/>
      <c r="BM625" s="2372"/>
      <c r="BN625" s="2372"/>
      <c r="BO625" s="2372"/>
      <c r="BP625" s="2372"/>
      <c r="BQ625" s="2372"/>
      <c r="BR625" s="2372"/>
      <c r="BS625" s="2372"/>
      <c r="BT625" s="2372"/>
      <c r="BU625" s="2372"/>
      <c r="BV625" s="2372"/>
      <c r="BW625" s="2372"/>
      <c r="BX625" s="2372"/>
      <c r="BY625" s="2372"/>
      <c r="BZ625" s="2372"/>
      <c r="CA625" s="2372"/>
      <c r="CB625" s="2372"/>
      <c r="CC625" s="2372"/>
      <c r="CD625" s="2372"/>
      <c r="CE625" s="2372"/>
      <c r="CF625" s="2372"/>
      <c r="CG625" s="2372"/>
      <c r="CH625" s="2372"/>
      <c r="CI625" s="2372"/>
      <c r="CJ625" s="2372"/>
      <c r="CK625" s="2372"/>
      <c r="CL625" s="2372"/>
      <c r="CM625" s="2372"/>
      <c r="CN625" s="2372"/>
      <c r="CO625" s="2372"/>
      <c r="CP625" s="2372"/>
      <c r="CQ625" s="2372"/>
      <c r="CR625" s="2372"/>
      <c r="CS625" s="2372"/>
      <c r="CT625" s="2372"/>
      <c r="CU625" s="2372"/>
      <c r="CV625" s="2372"/>
      <c r="CW625" s="2372"/>
      <c r="CX625" s="2372"/>
      <c r="CY625" s="2372"/>
      <c r="CZ625" s="2372"/>
      <c r="DA625" s="2372"/>
    </row>
    <row r="626" spans="1:105" ht="15" hidden="1" customHeight="1">
      <c r="A626" s="2372"/>
      <c r="B626" s="2372"/>
      <c r="C626" s="2372"/>
      <c r="D626" s="2372"/>
      <c r="E626" s="2372"/>
      <c r="F626" s="2372"/>
      <c r="G626" s="2372"/>
      <c r="H626" s="2372"/>
      <c r="I626" s="2372"/>
      <c r="J626" s="2372"/>
      <c r="K626" s="2372"/>
      <c r="L626" s="2372"/>
      <c r="M626" s="2372"/>
      <c r="N626" s="2372"/>
      <c r="O626" s="2372"/>
      <c r="P626" s="2372"/>
      <c r="Q626" s="2372"/>
      <c r="R626" s="2372"/>
      <c r="S626" s="2372"/>
      <c r="T626" s="2372"/>
      <c r="U626" s="2372"/>
      <c r="V626" s="2372"/>
      <c r="W626" s="2372"/>
      <c r="X626" s="2372"/>
      <c r="Y626" s="2372"/>
      <c r="Z626" s="2372"/>
      <c r="AA626" s="2372"/>
      <c r="AB626" s="2372"/>
      <c r="AC626" s="2372"/>
      <c r="AD626" s="2372"/>
      <c r="AE626" s="2372"/>
      <c r="AF626" s="2372"/>
      <c r="AG626" s="2372"/>
      <c r="AH626" s="2372"/>
      <c r="AI626" s="2372"/>
      <c r="AJ626" s="2372"/>
      <c r="AK626" s="2372"/>
      <c r="AL626" s="2372"/>
      <c r="AM626" s="2372"/>
      <c r="AN626" s="2372"/>
      <c r="AO626" s="2372"/>
      <c r="AP626" s="2372"/>
      <c r="AQ626" s="2372"/>
      <c r="AR626" s="2372"/>
      <c r="AS626" s="2372"/>
      <c r="AT626" s="2372"/>
      <c r="AU626" s="2372"/>
      <c r="AV626" s="2372"/>
      <c r="AW626" s="2372"/>
      <c r="AX626" s="2372"/>
      <c r="AY626" s="2372"/>
      <c r="AZ626" s="2372"/>
      <c r="BA626" s="2372"/>
      <c r="BB626" s="2372"/>
      <c r="BC626" s="2372"/>
      <c r="BD626" s="2372"/>
      <c r="BE626" s="2372"/>
      <c r="BF626" s="2372"/>
      <c r="BG626" s="2372"/>
      <c r="BH626" s="2372"/>
      <c r="BI626" s="2372"/>
      <c r="BJ626" s="2372"/>
      <c r="BK626" s="2372"/>
      <c r="BL626" s="2372"/>
      <c r="BM626" s="2372"/>
      <c r="BN626" s="2372"/>
      <c r="BO626" s="2372"/>
      <c r="BP626" s="2372"/>
      <c r="BQ626" s="2372"/>
      <c r="BR626" s="2372"/>
      <c r="BS626" s="2372"/>
      <c r="BT626" s="2372"/>
      <c r="BU626" s="2372"/>
      <c r="BV626" s="2372"/>
      <c r="BW626" s="2372"/>
      <c r="BX626" s="2372"/>
      <c r="BY626" s="2372"/>
      <c r="BZ626" s="2372"/>
      <c r="CA626" s="2372"/>
      <c r="CB626" s="2372"/>
      <c r="CC626" s="2372"/>
      <c r="CD626" s="2372"/>
      <c r="CE626" s="2372"/>
      <c r="CF626" s="2372"/>
      <c r="CG626" s="2372"/>
      <c r="CH626" s="2372"/>
      <c r="CI626" s="2372"/>
      <c r="CJ626" s="2372"/>
      <c r="CK626" s="2372"/>
      <c r="CL626" s="2372"/>
      <c r="CM626" s="2372"/>
      <c r="CN626" s="2372"/>
      <c r="CO626" s="2372"/>
      <c r="CP626" s="2372"/>
      <c r="CQ626" s="2372"/>
      <c r="CR626" s="2372"/>
      <c r="CS626" s="2372"/>
      <c r="CT626" s="2372"/>
      <c r="CU626" s="2372"/>
      <c r="CV626" s="2372"/>
      <c r="CW626" s="2372"/>
      <c r="CX626" s="2372"/>
      <c r="CY626" s="2372"/>
      <c r="CZ626" s="2372"/>
      <c r="DA626" s="2372"/>
    </row>
    <row r="627" spans="1:105" ht="15" hidden="1" customHeight="1">
      <c r="A627" s="2372"/>
      <c r="B627" s="2372"/>
      <c r="C627" s="2372"/>
      <c r="D627" s="2372"/>
      <c r="E627" s="2372"/>
      <c r="F627" s="2372"/>
      <c r="G627" s="2372"/>
      <c r="H627" s="2372"/>
      <c r="I627" s="2372"/>
      <c r="J627" s="2372"/>
      <c r="K627" s="2372"/>
      <c r="L627" s="2372"/>
      <c r="M627" s="2372"/>
      <c r="N627" s="2372"/>
      <c r="O627" s="2372"/>
      <c r="P627" s="2372"/>
      <c r="Q627" s="2372"/>
      <c r="R627" s="2372"/>
      <c r="S627" s="2372"/>
      <c r="T627" s="2372"/>
      <c r="U627" s="2372"/>
      <c r="V627" s="2372"/>
      <c r="W627" s="2372"/>
      <c r="X627" s="2372"/>
      <c r="Y627" s="2372"/>
      <c r="Z627" s="2372"/>
      <c r="AA627" s="2372"/>
      <c r="AB627" s="2372"/>
      <c r="AC627" s="2372"/>
      <c r="AD627" s="2372"/>
      <c r="AE627" s="2372"/>
      <c r="AF627" s="2372"/>
      <c r="AG627" s="2372"/>
      <c r="AH627" s="2372"/>
      <c r="AI627" s="2372"/>
      <c r="AJ627" s="2372"/>
      <c r="AK627" s="2372"/>
      <c r="AL627" s="2372"/>
      <c r="AM627" s="2372"/>
      <c r="AN627" s="2372"/>
      <c r="AO627" s="2372"/>
      <c r="AP627" s="2372"/>
      <c r="AQ627" s="2372"/>
      <c r="AR627" s="2372"/>
      <c r="AS627" s="2372"/>
      <c r="AT627" s="2372"/>
      <c r="AU627" s="2372"/>
      <c r="AV627" s="2372"/>
      <c r="AW627" s="2372"/>
      <c r="AX627" s="2372"/>
      <c r="AY627" s="2372"/>
      <c r="AZ627" s="2372"/>
      <c r="BA627" s="2372"/>
      <c r="BB627" s="2372"/>
      <c r="BC627" s="2372"/>
      <c r="BD627" s="2372"/>
      <c r="BE627" s="2372"/>
      <c r="BF627" s="2372"/>
      <c r="BG627" s="2372"/>
      <c r="BH627" s="2372"/>
      <c r="BI627" s="2372"/>
      <c r="BJ627" s="2372"/>
      <c r="BK627" s="2372"/>
      <c r="BL627" s="2372"/>
      <c r="BM627" s="2372"/>
      <c r="BN627" s="2372"/>
      <c r="BO627" s="2372"/>
      <c r="BP627" s="2372"/>
      <c r="BQ627" s="2372"/>
      <c r="BR627" s="2372"/>
      <c r="BS627" s="2372"/>
      <c r="BT627" s="2372"/>
      <c r="BU627" s="2372"/>
      <c r="BV627" s="2372"/>
      <c r="BW627" s="2372"/>
      <c r="BX627" s="2372"/>
      <c r="BY627" s="2372"/>
      <c r="BZ627" s="2372"/>
      <c r="CA627" s="2372"/>
      <c r="CB627" s="2372"/>
      <c r="CC627" s="2372"/>
      <c r="CD627" s="2372"/>
      <c r="CE627" s="2372"/>
      <c r="CF627" s="2372"/>
      <c r="CG627" s="2372"/>
      <c r="CH627" s="2372"/>
      <c r="CI627" s="2372"/>
      <c r="CJ627" s="2372"/>
      <c r="CK627" s="2372"/>
      <c r="CL627" s="2372"/>
      <c r="CM627" s="2372"/>
      <c r="CN627" s="2372"/>
      <c r="CO627" s="2372"/>
      <c r="CP627" s="2372"/>
      <c r="CQ627" s="2372"/>
      <c r="CR627" s="2372"/>
      <c r="CS627" s="2372"/>
      <c r="CT627" s="2372"/>
      <c r="CU627" s="2372"/>
      <c r="CV627" s="2372"/>
      <c r="CW627" s="2372"/>
      <c r="CX627" s="2372"/>
      <c r="CY627" s="2372"/>
      <c r="CZ627" s="2372"/>
      <c r="DA627" s="2372"/>
    </row>
    <row r="628" spans="1:105" ht="15" hidden="1" customHeight="1">
      <c r="A628" s="2372"/>
      <c r="B628" s="2372"/>
      <c r="C628" s="2372"/>
      <c r="D628" s="2372"/>
      <c r="E628" s="2372"/>
      <c r="F628" s="2372"/>
      <c r="G628" s="2372"/>
      <c r="H628" s="2372"/>
      <c r="I628" s="2372"/>
      <c r="J628" s="2372"/>
      <c r="K628" s="2372"/>
      <c r="L628" s="2372"/>
      <c r="M628" s="2372"/>
      <c r="N628" s="2372"/>
      <c r="O628" s="2372"/>
      <c r="P628" s="2372"/>
      <c r="Q628" s="2372"/>
      <c r="R628" s="2372"/>
      <c r="S628" s="2372"/>
      <c r="T628" s="2372"/>
      <c r="U628" s="2372"/>
      <c r="V628" s="2372"/>
      <c r="W628" s="2372"/>
      <c r="X628" s="2372"/>
      <c r="Y628" s="2372"/>
      <c r="Z628" s="2372"/>
      <c r="AA628" s="2372"/>
      <c r="AB628" s="2372"/>
      <c r="AC628" s="2372"/>
      <c r="AD628" s="2372"/>
      <c r="AE628" s="2372"/>
      <c r="AF628" s="2372"/>
      <c r="AG628" s="2372"/>
      <c r="AH628" s="2372"/>
      <c r="AI628" s="2372"/>
      <c r="AJ628" s="2372"/>
      <c r="AK628" s="2372"/>
      <c r="AL628" s="2372"/>
      <c r="AM628" s="2372"/>
      <c r="AN628" s="2372"/>
      <c r="AO628" s="2372"/>
      <c r="AP628" s="2372"/>
      <c r="AQ628" s="2372"/>
      <c r="AR628" s="2372"/>
      <c r="AS628" s="2372"/>
      <c r="AT628" s="2372"/>
      <c r="AU628" s="2372"/>
      <c r="AV628" s="2372"/>
      <c r="AW628" s="2372"/>
      <c r="AX628" s="2372"/>
      <c r="AY628" s="2372"/>
      <c r="AZ628" s="2372"/>
      <c r="BA628" s="2372"/>
      <c r="BB628" s="2372"/>
      <c r="BC628" s="2372"/>
      <c r="BD628" s="2372"/>
      <c r="BE628" s="2372"/>
      <c r="BF628" s="2372"/>
      <c r="BG628" s="2372"/>
      <c r="BH628" s="2372"/>
      <c r="BI628" s="2372"/>
      <c r="BJ628" s="2372"/>
      <c r="BK628" s="2372"/>
      <c r="BL628" s="2372"/>
      <c r="BM628" s="2372"/>
      <c r="BN628" s="2372"/>
      <c r="BO628" s="2372"/>
      <c r="BP628" s="2372"/>
      <c r="BQ628" s="2372"/>
      <c r="BR628" s="2372"/>
      <c r="BS628" s="2372"/>
      <c r="BT628" s="2372"/>
      <c r="BU628" s="2372"/>
      <c r="BV628" s="2372"/>
      <c r="BW628" s="2372"/>
      <c r="BX628" s="2372"/>
      <c r="BY628" s="2372"/>
      <c r="BZ628" s="2372"/>
      <c r="CA628" s="2372"/>
      <c r="CB628" s="2372"/>
      <c r="CC628" s="2372"/>
      <c r="CD628" s="2372"/>
      <c r="CE628" s="2372"/>
      <c r="CF628" s="2372"/>
      <c r="CG628" s="2372"/>
      <c r="CH628" s="2372"/>
      <c r="CI628" s="2372"/>
      <c r="CJ628" s="2372"/>
      <c r="CK628" s="2372"/>
      <c r="CL628" s="2372"/>
      <c r="CM628" s="2372"/>
      <c r="CN628" s="2372"/>
      <c r="CO628" s="2372"/>
      <c r="CP628" s="2372"/>
      <c r="CQ628" s="2372"/>
      <c r="CR628" s="2372"/>
      <c r="CS628" s="2372"/>
      <c r="CT628" s="2372"/>
      <c r="CU628" s="2372"/>
      <c r="CV628" s="2372"/>
      <c r="CW628" s="2372"/>
      <c r="CX628" s="2372"/>
      <c r="CY628" s="2372"/>
      <c r="CZ628" s="2372"/>
      <c r="DA628" s="2372"/>
    </row>
    <row r="629" spans="1:105" ht="15" hidden="1" customHeight="1">
      <c r="A629" s="2372"/>
      <c r="B629" s="2372"/>
      <c r="C629" s="2372"/>
      <c r="D629" s="2372"/>
      <c r="E629" s="2372"/>
      <c r="F629" s="2372"/>
      <c r="G629" s="2372"/>
      <c r="H629" s="2372"/>
      <c r="I629" s="2372"/>
      <c r="J629" s="2372"/>
      <c r="K629" s="2372"/>
      <c r="L629" s="2372"/>
      <c r="M629" s="2372"/>
      <c r="N629" s="2372"/>
      <c r="O629" s="2372"/>
      <c r="P629" s="2372"/>
      <c r="Q629" s="2372"/>
      <c r="R629" s="2372"/>
      <c r="S629" s="2372"/>
      <c r="T629" s="2372"/>
      <c r="U629" s="2372"/>
      <c r="V629" s="2372"/>
      <c r="W629" s="2372"/>
      <c r="X629" s="2372"/>
      <c r="Y629" s="2372"/>
      <c r="Z629" s="2372"/>
      <c r="AA629" s="2372"/>
      <c r="AB629" s="2372"/>
      <c r="AC629" s="2372"/>
      <c r="AD629" s="2372"/>
      <c r="AE629" s="2372"/>
      <c r="AF629" s="2372"/>
      <c r="AG629" s="2372"/>
      <c r="AH629" s="2372"/>
      <c r="AI629" s="2372"/>
      <c r="AJ629" s="2372"/>
      <c r="AK629" s="2372"/>
      <c r="AL629" s="2372"/>
      <c r="AM629" s="2372"/>
      <c r="AN629" s="2372"/>
      <c r="AO629" s="2372"/>
      <c r="AP629" s="2372"/>
      <c r="AQ629" s="2372"/>
      <c r="AR629" s="2372"/>
      <c r="AS629" s="2372"/>
      <c r="AT629" s="2372"/>
      <c r="AU629" s="2372"/>
      <c r="AV629" s="2372"/>
      <c r="AW629" s="2372"/>
      <c r="AX629" s="2372"/>
      <c r="AY629" s="2372"/>
      <c r="AZ629" s="2372"/>
      <c r="BA629" s="2372"/>
      <c r="BB629" s="2372"/>
      <c r="BC629" s="2372"/>
      <c r="BD629" s="2372"/>
      <c r="BE629" s="2372"/>
      <c r="BF629" s="2372"/>
      <c r="BG629" s="2372"/>
      <c r="BH629" s="2372"/>
      <c r="BI629" s="2372"/>
      <c r="BJ629" s="2372"/>
      <c r="BK629" s="2372"/>
      <c r="BL629" s="2372"/>
      <c r="BM629" s="2372"/>
      <c r="BN629" s="2372"/>
      <c r="BO629" s="2372"/>
      <c r="BP629" s="2372"/>
      <c r="BQ629" s="2372"/>
      <c r="BR629" s="2372"/>
      <c r="BS629" s="2372"/>
      <c r="BT629" s="2372"/>
      <c r="BU629" s="2372"/>
      <c r="BV629" s="2372"/>
      <c r="BW629" s="2372"/>
      <c r="BX629" s="2372"/>
      <c r="BY629" s="2372"/>
      <c r="BZ629" s="2372"/>
      <c r="CA629" s="2372"/>
      <c r="CB629" s="2372"/>
      <c r="CC629" s="2372"/>
      <c r="CD629" s="2372"/>
      <c r="CE629" s="2372"/>
      <c r="CF629" s="2372"/>
      <c r="CG629" s="2372"/>
      <c r="CH629" s="2372"/>
      <c r="CI629" s="2372"/>
      <c r="CJ629" s="2372"/>
      <c r="CK629" s="2372"/>
      <c r="CL629" s="2372"/>
      <c r="CM629" s="2372"/>
      <c r="CN629" s="2372"/>
      <c r="CO629" s="2372"/>
      <c r="CP629" s="2372"/>
      <c r="CQ629" s="2372"/>
      <c r="CR629" s="2372"/>
      <c r="CS629" s="2372"/>
      <c r="CT629" s="2372"/>
      <c r="CU629" s="2372"/>
      <c r="CV629" s="2372"/>
      <c r="CW629" s="2372"/>
      <c r="CX629" s="2372"/>
      <c r="CY629" s="2372"/>
      <c r="CZ629" s="2372"/>
      <c r="DA629" s="2372"/>
    </row>
    <row r="630" spans="1:105" ht="15" hidden="1" customHeight="1">
      <c r="A630" s="2372"/>
      <c r="B630" s="2372"/>
      <c r="C630" s="2372"/>
      <c r="D630" s="2372"/>
      <c r="E630" s="2372"/>
      <c r="F630" s="2372"/>
      <c r="G630" s="2372"/>
      <c r="H630" s="2372"/>
      <c r="I630" s="2372"/>
      <c r="J630" s="2372"/>
      <c r="K630" s="2372"/>
      <c r="L630" s="2372"/>
      <c r="M630" s="2372"/>
      <c r="N630" s="2372"/>
      <c r="O630" s="2372"/>
      <c r="P630" s="2372"/>
      <c r="Q630" s="2372"/>
      <c r="R630" s="2372"/>
      <c r="S630" s="2372"/>
      <c r="T630" s="2372"/>
      <c r="U630" s="2372"/>
      <c r="V630" s="2372"/>
      <c r="W630" s="2372"/>
      <c r="X630" s="2372"/>
      <c r="Y630" s="2372"/>
      <c r="Z630" s="2372"/>
      <c r="AA630" s="2372"/>
      <c r="AB630" s="2372"/>
      <c r="AC630" s="2372"/>
      <c r="AD630" s="2372"/>
      <c r="AE630" s="2372"/>
      <c r="AF630" s="2372"/>
      <c r="AG630" s="2372"/>
      <c r="AH630" s="2372"/>
      <c r="AI630" s="2372"/>
      <c r="AJ630" s="2372"/>
      <c r="AK630" s="2372"/>
      <c r="AL630" s="2372"/>
      <c r="AM630" s="2372"/>
      <c r="AN630" s="2372"/>
      <c r="AO630" s="2372"/>
      <c r="AP630" s="2372"/>
      <c r="AQ630" s="2372"/>
      <c r="AR630" s="2372"/>
      <c r="AS630" s="2372"/>
      <c r="AT630" s="2372"/>
      <c r="AU630" s="2372"/>
      <c r="AV630" s="2372"/>
      <c r="AW630" s="2372"/>
      <c r="AX630" s="2372"/>
      <c r="AY630" s="2372"/>
      <c r="AZ630" s="2372"/>
      <c r="BA630" s="2372"/>
      <c r="BB630" s="2372"/>
      <c r="BC630" s="2372"/>
      <c r="BD630" s="2372"/>
      <c r="BE630" s="2372"/>
      <c r="BF630" s="2372"/>
      <c r="BG630" s="2372"/>
      <c r="BH630" s="2372"/>
      <c r="BI630" s="2372"/>
      <c r="BJ630" s="2372"/>
      <c r="BK630" s="2372"/>
      <c r="BL630" s="2372"/>
      <c r="BM630" s="2372"/>
      <c r="BN630" s="2372"/>
      <c r="BO630" s="2372"/>
      <c r="BP630" s="2372"/>
      <c r="BQ630" s="2372"/>
      <c r="BR630" s="2372"/>
      <c r="BS630" s="2372"/>
      <c r="BT630" s="2372"/>
      <c r="BU630" s="2372"/>
      <c r="BV630" s="2372"/>
      <c r="BW630" s="2372"/>
      <c r="BX630" s="2372"/>
      <c r="BY630" s="2372"/>
      <c r="BZ630" s="2372"/>
      <c r="CA630" s="2372"/>
      <c r="CB630" s="2372"/>
      <c r="CC630" s="2372"/>
      <c r="CD630" s="2372"/>
      <c r="CE630" s="2372"/>
      <c r="CF630" s="2372"/>
      <c r="CG630" s="2372"/>
      <c r="CH630" s="2372"/>
      <c r="CI630" s="2372"/>
      <c r="CJ630" s="2372"/>
      <c r="CK630" s="2372"/>
      <c r="CL630" s="2372"/>
      <c r="CM630" s="2372"/>
      <c r="CN630" s="2372"/>
      <c r="CO630" s="2372"/>
      <c r="CP630" s="2372"/>
      <c r="CQ630" s="2372"/>
      <c r="CR630" s="2372"/>
      <c r="CS630" s="2372"/>
      <c r="CT630" s="2372"/>
      <c r="CU630" s="2372"/>
      <c r="CV630" s="2372"/>
      <c r="CW630" s="2372"/>
      <c r="CX630" s="2372"/>
      <c r="CY630" s="2372"/>
      <c r="CZ630" s="2372"/>
      <c r="DA630" s="2372"/>
    </row>
    <row r="631" spans="1:105" ht="15" hidden="1" customHeight="1">
      <c r="A631" s="2372"/>
      <c r="B631" s="2372"/>
      <c r="C631" s="2372"/>
      <c r="D631" s="2372"/>
      <c r="E631" s="2372"/>
      <c r="F631" s="2372"/>
      <c r="G631" s="2372"/>
      <c r="H631" s="2372"/>
      <c r="I631" s="2372"/>
      <c r="J631" s="2372"/>
      <c r="K631" s="2372"/>
      <c r="L631" s="2372"/>
      <c r="M631" s="2372"/>
      <c r="N631" s="2372"/>
      <c r="O631" s="2372"/>
      <c r="P631" s="2372"/>
      <c r="Q631" s="2372"/>
      <c r="R631" s="2372"/>
      <c r="S631" s="2372"/>
      <c r="T631" s="2372"/>
      <c r="U631" s="2372"/>
      <c r="V631" s="2372"/>
      <c r="W631" s="2372"/>
      <c r="X631" s="2372"/>
      <c r="Y631" s="2372"/>
      <c r="Z631" s="2372"/>
      <c r="AA631" s="2372"/>
      <c r="AB631" s="2372"/>
      <c r="AC631" s="2372"/>
      <c r="AD631" s="2372"/>
      <c r="AE631" s="2372"/>
      <c r="AF631" s="2372"/>
      <c r="AG631" s="2372"/>
      <c r="AH631" s="2372"/>
      <c r="AI631" s="2372"/>
      <c r="AJ631" s="2372"/>
      <c r="AK631" s="2372"/>
      <c r="AL631" s="2372"/>
      <c r="AM631" s="2372"/>
      <c r="AN631" s="2372"/>
      <c r="AO631" s="2372"/>
      <c r="AP631" s="2372"/>
      <c r="AQ631" s="2372"/>
      <c r="AR631" s="2372"/>
      <c r="AS631" s="2372"/>
      <c r="AT631" s="2372"/>
      <c r="AU631" s="2372"/>
      <c r="AV631" s="2372"/>
      <c r="AW631" s="2372"/>
      <c r="AX631" s="2372"/>
      <c r="AY631" s="2372"/>
      <c r="AZ631" s="2372"/>
      <c r="BA631" s="2372"/>
      <c r="BB631" s="2372"/>
      <c r="BC631" s="2372"/>
      <c r="BD631" s="2372"/>
      <c r="BE631" s="2372"/>
      <c r="BF631" s="2372"/>
      <c r="BG631" s="2372"/>
      <c r="BH631" s="2372"/>
      <c r="BI631" s="2372"/>
      <c r="BJ631" s="2372"/>
      <c r="BK631" s="2372"/>
      <c r="BL631" s="2372"/>
      <c r="BM631" s="2372"/>
      <c r="BN631" s="2372"/>
      <c r="BO631" s="2372"/>
      <c r="BP631" s="2372"/>
      <c r="BQ631" s="2372"/>
      <c r="BR631" s="2372"/>
      <c r="BS631" s="2372"/>
      <c r="BT631" s="2372"/>
      <c r="BU631" s="2372"/>
      <c r="BV631" s="2372"/>
      <c r="BW631" s="2372"/>
      <c r="BX631" s="2372"/>
      <c r="BY631" s="2372"/>
      <c r="BZ631" s="2372"/>
      <c r="CA631" s="2372"/>
      <c r="CB631" s="2372"/>
      <c r="CC631" s="2372"/>
      <c r="CD631" s="2372"/>
      <c r="CE631" s="2372"/>
      <c r="CF631" s="2372"/>
      <c r="CG631" s="2372"/>
      <c r="CH631" s="2372"/>
      <c r="CI631" s="2372"/>
      <c r="CJ631" s="2372"/>
      <c r="CK631" s="2372"/>
      <c r="CL631" s="2372"/>
      <c r="CM631" s="2372"/>
      <c r="CN631" s="2372"/>
      <c r="CO631" s="2372"/>
      <c r="CP631" s="2372"/>
      <c r="CQ631" s="2372"/>
      <c r="CR631" s="2372"/>
      <c r="CS631" s="2372"/>
      <c r="CT631" s="2372"/>
      <c r="CU631" s="2372"/>
      <c r="CV631" s="2372"/>
      <c r="CW631" s="2372"/>
      <c r="CX631" s="2372"/>
      <c r="CY631" s="2372"/>
      <c r="CZ631" s="2372"/>
      <c r="DA631" s="2372"/>
    </row>
    <row r="632" spans="1:105" ht="15" hidden="1" customHeight="1">
      <c r="A632" s="2372"/>
      <c r="B632" s="2372"/>
      <c r="C632" s="2372"/>
      <c r="D632" s="2372"/>
      <c r="E632" s="2372"/>
      <c r="F632" s="2372"/>
      <c r="G632" s="2372"/>
      <c r="H632" s="2372"/>
      <c r="I632" s="2372"/>
      <c r="J632" s="2372"/>
      <c r="K632" s="2372"/>
      <c r="L632" s="2372"/>
      <c r="M632" s="2372"/>
      <c r="N632" s="2372"/>
      <c r="O632" s="2372"/>
      <c r="P632" s="2372"/>
      <c r="Q632" s="2372"/>
      <c r="R632" s="2372"/>
      <c r="S632" s="2372"/>
      <c r="T632" s="2372"/>
      <c r="U632" s="2372"/>
      <c r="V632" s="2372"/>
      <c r="W632" s="2372"/>
      <c r="X632" s="2372"/>
      <c r="Y632" s="2372"/>
      <c r="Z632" s="2372"/>
      <c r="AA632" s="2372"/>
      <c r="AB632" s="2372"/>
      <c r="AC632" s="2372"/>
      <c r="AD632" s="2372"/>
      <c r="AE632" s="2372"/>
      <c r="AF632" s="2372"/>
      <c r="AG632" s="2372"/>
      <c r="AH632" s="2372"/>
      <c r="AI632" s="2372"/>
      <c r="AJ632" s="2372"/>
      <c r="AK632" s="2372"/>
      <c r="AL632" s="2372"/>
      <c r="AM632" s="2372"/>
      <c r="AN632" s="2372"/>
      <c r="AO632" s="2372"/>
      <c r="AP632" s="2372"/>
      <c r="AQ632" s="2372"/>
      <c r="AR632" s="2372"/>
      <c r="AS632" s="2372"/>
      <c r="AT632" s="2372"/>
      <c r="AU632" s="2372"/>
      <c r="AV632" s="2372"/>
      <c r="AW632" s="2372"/>
      <c r="AX632" s="2372"/>
      <c r="AY632" s="2372"/>
      <c r="AZ632" s="2372"/>
      <c r="BA632" s="2372"/>
      <c r="BB632" s="2372"/>
      <c r="BC632" s="2372"/>
      <c r="BD632" s="2372"/>
      <c r="BE632" s="2372"/>
      <c r="BF632" s="2372"/>
      <c r="BG632" s="2372"/>
      <c r="BH632" s="2372"/>
      <c r="BI632" s="2372"/>
      <c r="BJ632" s="2372"/>
      <c r="BK632" s="2372"/>
      <c r="BL632" s="2372"/>
      <c r="BM632" s="2372"/>
      <c r="BN632" s="2372"/>
      <c r="BO632" s="2372"/>
      <c r="BP632" s="2372"/>
      <c r="BQ632" s="2372"/>
      <c r="BR632" s="2372"/>
      <c r="BS632" s="2372"/>
      <c r="BT632" s="2372"/>
      <c r="BU632" s="2372"/>
      <c r="BV632" s="2372"/>
      <c r="BW632" s="2372"/>
      <c r="BX632" s="2372"/>
      <c r="BY632" s="2372"/>
      <c r="BZ632" s="2372"/>
      <c r="CA632" s="2372"/>
      <c r="CB632" s="2372"/>
      <c r="CC632" s="2372"/>
      <c r="CD632" s="2372"/>
      <c r="CE632" s="2372"/>
      <c r="CF632" s="2372"/>
      <c r="CG632" s="2372"/>
      <c r="CH632" s="2372"/>
      <c r="CI632" s="2372"/>
      <c r="CJ632" s="2372"/>
      <c r="CK632" s="2372"/>
      <c r="CL632" s="2372"/>
      <c r="CM632" s="2372"/>
      <c r="CN632" s="2372"/>
      <c r="CO632" s="2372"/>
      <c r="CP632" s="2372"/>
      <c r="CQ632" s="2372"/>
      <c r="CR632" s="2372"/>
      <c r="CS632" s="2372"/>
      <c r="CT632" s="2372"/>
      <c r="CU632" s="2372"/>
      <c r="CV632" s="2372"/>
      <c r="CW632" s="2372"/>
      <c r="CX632" s="2372"/>
      <c r="CY632" s="2372"/>
      <c r="CZ632" s="2372"/>
      <c r="DA632" s="2372"/>
    </row>
    <row r="633" spans="1:105" ht="15" hidden="1" customHeight="1">
      <c r="A633" s="2372"/>
      <c r="B633" s="2372"/>
      <c r="C633" s="2372"/>
      <c r="D633" s="2372"/>
      <c r="E633" s="2372"/>
      <c r="F633" s="2372"/>
      <c r="G633" s="2372"/>
      <c r="H633" s="2372"/>
      <c r="I633" s="2372"/>
      <c r="J633" s="2372"/>
      <c r="K633" s="2372"/>
      <c r="L633" s="2372"/>
      <c r="M633" s="2372"/>
      <c r="N633" s="2372"/>
      <c r="O633" s="2372"/>
      <c r="P633" s="2372"/>
      <c r="Q633" s="2372"/>
      <c r="R633" s="2372"/>
      <c r="S633" s="2372"/>
      <c r="T633" s="2372"/>
      <c r="U633" s="2372"/>
      <c r="V633" s="2372"/>
      <c r="W633" s="2372"/>
      <c r="X633" s="2372"/>
      <c r="Y633" s="2372"/>
      <c r="Z633" s="2372"/>
      <c r="AA633" s="2372"/>
      <c r="AB633" s="2372"/>
      <c r="AC633" s="2372"/>
      <c r="AD633" s="2372"/>
      <c r="AE633" s="2372"/>
      <c r="AF633" s="2372"/>
      <c r="AG633" s="2372"/>
      <c r="AH633" s="2372"/>
      <c r="AI633" s="2372"/>
      <c r="AJ633" s="2372"/>
      <c r="AK633" s="2372"/>
      <c r="AL633" s="2372"/>
      <c r="AM633" s="2372"/>
      <c r="AN633" s="2372"/>
      <c r="AO633" s="2372"/>
      <c r="AP633" s="2372"/>
      <c r="AQ633" s="2372"/>
      <c r="AR633" s="2372"/>
      <c r="AS633" s="2372"/>
      <c r="AT633" s="2372"/>
      <c r="AU633" s="2372"/>
      <c r="AV633" s="2372"/>
      <c r="AW633" s="2372"/>
      <c r="AX633" s="2372"/>
      <c r="AY633" s="2372"/>
      <c r="AZ633" s="2372"/>
      <c r="BA633" s="2372"/>
      <c r="BB633" s="2372"/>
      <c r="BC633" s="2372"/>
      <c r="BD633" s="2372"/>
      <c r="BE633" s="2372"/>
      <c r="BF633" s="2372"/>
      <c r="BG633" s="2372"/>
      <c r="BH633" s="2372"/>
      <c r="BI633" s="2372"/>
      <c r="BJ633" s="2372"/>
      <c r="BK633" s="2372"/>
      <c r="BL633" s="2372"/>
      <c r="BM633" s="2372"/>
      <c r="BN633" s="2372"/>
      <c r="BO633" s="2372"/>
      <c r="BP633" s="2372"/>
      <c r="BQ633" s="2372"/>
      <c r="BR633" s="2372"/>
      <c r="BS633" s="2372"/>
      <c r="BT633" s="2372"/>
      <c r="BU633" s="2372"/>
      <c r="BV633" s="2372"/>
      <c r="BW633" s="2372"/>
      <c r="BX633" s="2372"/>
      <c r="BY633" s="2372"/>
      <c r="BZ633" s="2372"/>
      <c r="CA633" s="2372"/>
      <c r="CB633" s="2372"/>
      <c r="CC633" s="2372"/>
      <c r="CD633" s="2372"/>
      <c r="CE633" s="2372"/>
      <c r="CF633" s="2372"/>
      <c r="CG633" s="2372"/>
      <c r="CH633" s="2372"/>
      <c r="CI633" s="2372"/>
      <c r="CJ633" s="2372"/>
      <c r="CK633" s="2372"/>
      <c r="CL633" s="2372"/>
      <c r="CM633" s="2372"/>
      <c r="CN633" s="2372"/>
      <c r="CO633" s="2372"/>
      <c r="CP633" s="2372"/>
      <c r="CQ633" s="2372"/>
      <c r="CR633" s="2372"/>
      <c r="CS633" s="2372"/>
      <c r="CT633" s="2372"/>
      <c r="CU633" s="2372"/>
      <c r="CV633" s="2372"/>
      <c r="CW633" s="2372"/>
      <c r="CX633" s="2372"/>
      <c r="CY633" s="2372"/>
      <c r="CZ633" s="2372"/>
      <c r="DA633" s="2372"/>
    </row>
    <row r="634" spans="1:105" ht="15" hidden="1" customHeight="1">
      <c r="A634" s="2372"/>
      <c r="B634" s="2372"/>
      <c r="C634" s="2372"/>
      <c r="D634" s="2372"/>
      <c r="E634" s="2372"/>
      <c r="F634" s="2372"/>
      <c r="G634" s="2372"/>
      <c r="H634" s="2372"/>
      <c r="I634" s="2372"/>
      <c r="J634" s="2372"/>
      <c r="K634" s="2372"/>
      <c r="L634" s="2372"/>
      <c r="M634" s="2372"/>
      <c r="N634" s="2372"/>
      <c r="O634" s="2372"/>
      <c r="P634" s="2372"/>
      <c r="Q634" s="2372"/>
      <c r="R634" s="2372"/>
      <c r="S634" s="2372"/>
      <c r="T634" s="2372"/>
      <c r="U634" s="2372"/>
      <c r="V634" s="2372"/>
      <c r="W634" s="2372"/>
      <c r="X634" s="2372"/>
      <c r="Y634" s="2372"/>
      <c r="Z634" s="2372"/>
      <c r="AA634" s="2372"/>
      <c r="AB634" s="2372"/>
      <c r="AC634" s="2372"/>
      <c r="AD634" s="2372"/>
      <c r="AE634" s="2372"/>
      <c r="AF634" s="2372"/>
      <c r="AG634" s="2372"/>
      <c r="AH634" s="2372"/>
      <c r="AI634" s="2372"/>
      <c r="AJ634" s="2372"/>
      <c r="AK634" s="2372"/>
      <c r="AL634" s="2372"/>
      <c r="AM634" s="2372"/>
      <c r="AN634" s="2372"/>
      <c r="AO634" s="2372"/>
      <c r="AP634" s="2372"/>
      <c r="AQ634" s="2372"/>
      <c r="AR634" s="2372"/>
      <c r="AS634" s="2372"/>
      <c r="AT634" s="2372"/>
      <c r="AU634" s="2372"/>
      <c r="AV634" s="2372"/>
      <c r="AW634" s="2372"/>
      <c r="AX634" s="2372"/>
      <c r="AY634" s="2372"/>
      <c r="AZ634" s="2372"/>
      <c r="BA634" s="2372"/>
      <c r="BB634" s="2372"/>
      <c r="BC634" s="2372"/>
      <c r="BD634" s="2372"/>
      <c r="BE634" s="2372"/>
      <c r="BF634" s="2372"/>
      <c r="BG634" s="2372"/>
      <c r="BH634" s="2372"/>
      <c r="BI634" s="2372"/>
      <c r="BJ634" s="2372"/>
      <c r="BK634" s="2372"/>
      <c r="BL634" s="2372"/>
      <c r="BM634" s="2372"/>
      <c r="BN634" s="2372"/>
      <c r="BO634" s="2372"/>
      <c r="BP634" s="2372"/>
      <c r="BQ634" s="2372"/>
      <c r="BR634" s="2372"/>
      <c r="BS634" s="2372"/>
      <c r="BT634" s="2372"/>
      <c r="BU634" s="2372"/>
      <c r="BV634" s="2372"/>
      <c r="BW634" s="2372"/>
      <c r="BX634" s="2372"/>
      <c r="BY634" s="2372"/>
      <c r="BZ634" s="2372"/>
      <c r="CA634" s="2372"/>
      <c r="CB634" s="2372"/>
      <c r="CC634" s="2372"/>
      <c r="CD634" s="2372"/>
      <c r="CE634" s="2372"/>
      <c r="CF634" s="2372"/>
      <c r="CG634" s="2372"/>
      <c r="CH634" s="2372"/>
      <c r="CI634" s="2372"/>
      <c r="CJ634" s="2372"/>
      <c r="CK634" s="2372"/>
      <c r="CL634" s="2372"/>
      <c r="CM634" s="2372"/>
      <c r="CN634" s="2372"/>
      <c r="CO634" s="2372"/>
      <c r="CP634" s="2372"/>
      <c r="CQ634" s="2372"/>
      <c r="CR634" s="2372"/>
      <c r="CS634" s="2372"/>
      <c r="CT634" s="2372"/>
      <c r="CU634" s="2372"/>
      <c r="CV634" s="2372"/>
      <c r="CW634" s="2372"/>
      <c r="CX634" s="2372"/>
      <c r="CY634" s="2372"/>
      <c r="CZ634" s="2372"/>
      <c r="DA634" s="2372"/>
    </row>
    <row r="635" spans="1:105" ht="15" hidden="1" customHeight="1">
      <c r="A635" s="2372"/>
      <c r="B635" s="2372"/>
      <c r="C635" s="2372"/>
      <c r="D635" s="2372"/>
      <c r="E635" s="2372"/>
      <c r="F635" s="2372"/>
      <c r="G635" s="2372"/>
      <c r="H635" s="2372"/>
      <c r="I635" s="2372"/>
      <c r="J635" s="2372"/>
      <c r="K635" s="2372"/>
      <c r="L635" s="2372"/>
      <c r="M635" s="2372"/>
      <c r="N635" s="2372"/>
      <c r="O635" s="2372"/>
      <c r="P635" s="2372"/>
      <c r="Q635" s="2372"/>
      <c r="R635" s="2372"/>
      <c r="S635" s="2372"/>
      <c r="T635" s="2372"/>
      <c r="U635" s="2372"/>
      <c r="V635" s="2372"/>
      <c r="W635" s="2372"/>
      <c r="X635" s="2372"/>
      <c r="Y635" s="2372"/>
      <c r="Z635" s="2372"/>
      <c r="AA635" s="2372"/>
      <c r="AB635" s="2372"/>
      <c r="AC635" s="2372"/>
      <c r="AD635" s="2372"/>
      <c r="AE635" s="2372"/>
      <c r="AF635" s="2372"/>
      <c r="AG635" s="2372"/>
      <c r="AH635" s="2372"/>
      <c r="AI635" s="2372"/>
      <c r="AJ635" s="2372"/>
      <c r="AK635" s="2372"/>
      <c r="AL635" s="2372"/>
      <c r="AM635" s="2372"/>
      <c r="AN635" s="2372"/>
      <c r="AO635" s="2372"/>
      <c r="AP635" s="2372"/>
      <c r="AQ635" s="2372"/>
      <c r="AR635" s="2372"/>
      <c r="AS635" s="2372"/>
      <c r="AT635" s="2372"/>
      <c r="AU635" s="2372"/>
      <c r="AV635" s="2372"/>
      <c r="AW635" s="2372"/>
      <c r="AX635" s="2372"/>
      <c r="AY635" s="2372"/>
      <c r="AZ635" s="2372"/>
      <c r="BA635" s="2372"/>
      <c r="BB635" s="2372"/>
      <c r="BC635" s="2372"/>
      <c r="BD635" s="2372"/>
      <c r="BE635" s="2372"/>
      <c r="BF635" s="2372"/>
      <c r="BG635" s="2372"/>
      <c r="BH635" s="2372"/>
      <c r="BI635" s="2372"/>
      <c r="BJ635" s="2372"/>
      <c r="BK635" s="2372"/>
      <c r="BL635" s="2372"/>
      <c r="BM635" s="2372"/>
      <c r="BN635" s="2372"/>
      <c r="BO635" s="2372"/>
      <c r="BP635" s="2372"/>
      <c r="BQ635" s="2372"/>
      <c r="BR635" s="2372"/>
      <c r="BS635" s="2372"/>
      <c r="BT635" s="2372"/>
      <c r="BU635" s="2372"/>
      <c r="BV635" s="2372"/>
      <c r="BW635" s="2372"/>
      <c r="BX635" s="2372"/>
      <c r="BY635" s="2372"/>
      <c r="BZ635" s="2372"/>
      <c r="CA635" s="2372"/>
      <c r="CB635" s="2372"/>
      <c r="CC635" s="2372"/>
      <c r="CD635" s="2372"/>
      <c r="CE635" s="2372"/>
      <c r="CF635" s="2372"/>
      <c r="CG635" s="2372"/>
      <c r="CH635" s="2372"/>
      <c r="CI635" s="2372"/>
      <c r="CJ635" s="2372"/>
      <c r="CK635" s="2372"/>
      <c r="CL635" s="2372"/>
      <c r="CM635" s="2372"/>
      <c r="CN635" s="2372"/>
      <c r="CO635" s="2372"/>
      <c r="CP635" s="2372"/>
      <c r="CQ635" s="2372"/>
      <c r="CR635" s="2372"/>
      <c r="CS635" s="2372"/>
      <c r="CT635" s="2372"/>
      <c r="CU635" s="2372"/>
      <c r="CV635" s="2372"/>
      <c r="CW635" s="2372"/>
      <c r="CX635" s="2372"/>
      <c r="CY635" s="2372"/>
      <c r="CZ635" s="2372"/>
      <c r="DA635" s="2372"/>
    </row>
    <row r="636" spans="1:105" ht="15" hidden="1" customHeight="1">
      <c r="A636" s="2372"/>
      <c r="B636" s="2372"/>
      <c r="C636" s="2372"/>
      <c r="D636" s="2372"/>
      <c r="E636" s="2372"/>
      <c r="F636" s="2372"/>
      <c r="G636" s="2372"/>
      <c r="H636" s="2372"/>
      <c r="I636" s="2372"/>
      <c r="J636" s="2372"/>
      <c r="K636" s="2372"/>
      <c r="L636" s="2372"/>
      <c r="M636" s="2372"/>
      <c r="N636" s="2372"/>
      <c r="O636" s="2372"/>
      <c r="P636" s="2372"/>
      <c r="Q636" s="2372"/>
      <c r="R636" s="2372"/>
      <c r="S636" s="2372"/>
      <c r="T636" s="2372"/>
      <c r="U636" s="2372"/>
      <c r="V636" s="2372"/>
      <c r="W636" s="2372"/>
      <c r="X636" s="2372"/>
      <c r="Y636" s="2372"/>
      <c r="Z636" s="2372"/>
      <c r="AA636" s="2372"/>
      <c r="AB636" s="2372"/>
      <c r="AC636" s="2372"/>
      <c r="AD636" s="2372"/>
      <c r="AE636" s="2372"/>
      <c r="AF636" s="2372"/>
      <c r="AG636" s="2372"/>
      <c r="AH636" s="2372"/>
      <c r="AI636" s="2372"/>
      <c r="AJ636" s="2372"/>
      <c r="AK636" s="2372"/>
      <c r="AL636" s="2372"/>
      <c r="AM636" s="2372"/>
      <c r="AN636" s="2372"/>
      <c r="AO636" s="2372"/>
      <c r="AP636" s="2372"/>
      <c r="AQ636" s="2372"/>
      <c r="AR636" s="2372"/>
      <c r="AS636" s="2372"/>
      <c r="AT636" s="2372"/>
      <c r="AU636" s="2372"/>
      <c r="AV636" s="2372"/>
      <c r="AW636" s="2372"/>
      <c r="AX636" s="2372"/>
      <c r="AY636" s="2372"/>
      <c r="AZ636" s="2372"/>
      <c r="BA636" s="2372"/>
      <c r="BB636" s="2372"/>
      <c r="BC636" s="2372"/>
      <c r="BD636" s="2372"/>
      <c r="BE636" s="2372"/>
      <c r="BF636" s="2372"/>
      <c r="BG636" s="2372"/>
      <c r="BH636" s="2372"/>
      <c r="BI636" s="2372"/>
      <c r="BJ636" s="2372"/>
      <c r="BK636" s="2372"/>
      <c r="BL636" s="2372"/>
      <c r="BM636" s="2372"/>
      <c r="BN636" s="2372"/>
      <c r="BO636" s="2372"/>
      <c r="BP636" s="2372"/>
      <c r="BQ636" s="2372"/>
      <c r="BR636" s="2372"/>
      <c r="BS636" s="2372"/>
      <c r="BT636" s="2372"/>
      <c r="BU636" s="2372"/>
      <c r="BV636" s="2372"/>
      <c r="BW636" s="2372"/>
      <c r="BX636" s="2372"/>
      <c r="BY636" s="2372"/>
      <c r="BZ636" s="2372"/>
      <c r="CA636" s="2372"/>
      <c r="CB636" s="2372"/>
      <c r="CC636" s="2372"/>
      <c r="CD636" s="2372"/>
      <c r="CE636" s="2372"/>
      <c r="CF636" s="2372"/>
      <c r="CG636" s="2372"/>
      <c r="CH636" s="2372"/>
      <c r="CI636" s="2372"/>
      <c r="CJ636" s="2372"/>
      <c r="CK636" s="2372"/>
      <c r="CL636" s="2372"/>
      <c r="CM636" s="2372"/>
      <c r="CN636" s="2372"/>
      <c r="CO636" s="2372"/>
      <c r="CP636" s="2372"/>
      <c r="CQ636" s="2372"/>
      <c r="CR636" s="2372"/>
      <c r="CS636" s="2372"/>
      <c r="CT636" s="2372"/>
      <c r="CU636" s="2372"/>
      <c r="CV636" s="2372"/>
      <c r="CW636" s="2372"/>
      <c r="CX636" s="2372"/>
      <c r="CY636" s="2372"/>
      <c r="CZ636" s="2372"/>
      <c r="DA636" s="2372"/>
    </row>
    <row r="637" spans="1:105" ht="15" hidden="1" customHeight="1">
      <c r="A637" s="2372"/>
      <c r="B637" s="2372"/>
      <c r="C637" s="2372"/>
      <c r="D637" s="2372"/>
      <c r="E637" s="2372"/>
      <c r="F637" s="2372"/>
      <c r="G637" s="2372"/>
      <c r="H637" s="2372"/>
      <c r="I637" s="2372"/>
      <c r="J637" s="2372"/>
      <c r="K637" s="2372"/>
      <c r="L637" s="2372"/>
      <c r="M637" s="2372"/>
      <c r="N637" s="2372"/>
      <c r="O637" s="2372"/>
      <c r="P637" s="2372"/>
      <c r="Q637" s="2372"/>
      <c r="R637" s="2372"/>
      <c r="S637" s="2372"/>
      <c r="T637" s="2372"/>
      <c r="U637" s="2372"/>
      <c r="V637" s="2372"/>
      <c r="W637" s="2372"/>
      <c r="X637" s="2372"/>
      <c r="Y637" s="2372"/>
      <c r="Z637" s="2372"/>
      <c r="AA637" s="2372"/>
      <c r="AB637" s="2372"/>
      <c r="AC637" s="2372"/>
      <c r="AD637" s="2372"/>
      <c r="AE637" s="2372"/>
      <c r="AF637" s="2372"/>
      <c r="AG637" s="2372"/>
      <c r="AH637" s="2372"/>
      <c r="AI637" s="2372"/>
      <c r="AJ637" s="2372"/>
      <c r="AK637" s="2372"/>
      <c r="AL637" s="2372"/>
      <c r="AM637" s="2372"/>
      <c r="AN637" s="2372"/>
      <c r="AO637" s="2372"/>
      <c r="AP637" s="2372"/>
      <c r="AQ637" s="2372"/>
      <c r="AR637" s="2372"/>
      <c r="AS637" s="2372"/>
      <c r="AT637" s="2372"/>
      <c r="AU637" s="2372"/>
      <c r="AV637" s="2372"/>
      <c r="AW637" s="2372"/>
      <c r="AX637" s="2372"/>
      <c r="AY637" s="2372"/>
      <c r="AZ637" s="2372"/>
      <c r="BA637" s="2372"/>
      <c r="BB637" s="2372"/>
      <c r="BC637" s="2372"/>
      <c r="BD637" s="2372"/>
      <c r="BE637" s="2372"/>
      <c r="BF637" s="2372"/>
      <c r="BG637" s="2372"/>
      <c r="BH637" s="2372"/>
      <c r="BI637" s="2372"/>
      <c r="BJ637" s="2372"/>
      <c r="BK637" s="2372"/>
      <c r="BL637" s="2372"/>
      <c r="BM637" s="2372"/>
      <c r="BN637" s="2372"/>
      <c r="BO637" s="2372"/>
      <c r="BP637" s="2372"/>
      <c r="BQ637" s="2372"/>
      <c r="BR637" s="2372"/>
      <c r="BS637" s="2372"/>
      <c r="BT637" s="2372"/>
      <c r="BU637" s="2372"/>
      <c r="BV637" s="2372"/>
      <c r="BW637" s="2372"/>
      <c r="BX637" s="2372"/>
      <c r="BY637" s="2372"/>
      <c r="BZ637" s="2372"/>
      <c r="CA637" s="2372"/>
      <c r="CB637" s="2372"/>
      <c r="CC637" s="2372"/>
      <c r="CD637" s="2372"/>
      <c r="CE637" s="2372"/>
      <c r="CF637" s="2372"/>
      <c r="CG637" s="2372"/>
      <c r="CH637" s="2372"/>
      <c r="CI637" s="2372"/>
      <c r="CJ637" s="2372"/>
      <c r="CK637" s="2372"/>
      <c r="CL637" s="2372"/>
      <c r="CM637" s="2372"/>
      <c r="CN637" s="2372"/>
      <c r="CO637" s="2372"/>
      <c r="CP637" s="2372"/>
      <c r="CQ637" s="2372"/>
      <c r="CR637" s="2372"/>
      <c r="CS637" s="2372"/>
      <c r="CT637" s="2372"/>
      <c r="CU637" s="2372"/>
      <c r="CV637" s="2372"/>
      <c r="CW637" s="2372"/>
      <c r="CX637" s="2372"/>
      <c r="CY637" s="2372"/>
      <c r="CZ637" s="2372"/>
      <c r="DA637" s="2372"/>
    </row>
    <row r="638" spans="1:105" ht="15" hidden="1" customHeight="1">
      <c r="A638" s="2372"/>
      <c r="B638" s="2372"/>
      <c r="C638" s="2372"/>
      <c r="D638" s="2372"/>
      <c r="E638" s="2372"/>
      <c r="F638" s="2372"/>
      <c r="G638" s="2372"/>
      <c r="H638" s="2372"/>
      <c r="I638" s="2372"/>
      <c r="J638" s="2372"/>
      <c r="K638" s="2372"/>
      <c r="L638" s="2372"/>
      <c r="M638" s="2372"/>
      <c r="N638" s="2372"/>
      <c r="O638" s="2372"/>
      <c r="P638" s="2372"/>
      <c r="Q638" s="2372"/>
      <c r="R638" s="2372"/>
      <c r="S638" s="2372"/>
      <c r="T638" s="2372"/>
      <c r="U638" s="2372"/>
      <c r="V638" s="2372"/>
      <c r="W638" s="2372"/>
      <c r="X638" s="2372"/>
      <c r="Y638" s="2372"/>
      <c r="Z638" s="2372"/>
      <c r="AA638" s="2372"/>
      <c r="AB638" s="2372"/>
      <c r="AC638" s="2372"/>
      <c r="AD638" s="2372"/>
      <c r="AE638" s="2372"/>
      <c r="AF638" s="2372"/>
      <c r="AG638" s="2372"/>
      <c r="AH638" s="2372"/>
      <c r="AI638" s="2372"/>
      <c r="AJ638" s="2372"/>
      <c r="AK638" s="2372"/>
      <c r="AL638" s="2372"/>
      <c r="AM638" s="2372"/>
      <c r="AN638" s="2372"/>
      <c r="AO638" s="2372"/>
      <c r="AP638" s="2372"/>
      <c r="AQ638" s="2372"/>
      <c r="AR638" s="2372"/>
      <c r="AS638" s="2372"/>
      <c r="AT638" s="2372"/>
      <c r="AU638" s="2372"/>
      <c r="AV638" s="2372"/>
      <c r="AW638" s="2372"/>
      <c r="AX638" s="2372"/>
      <c r="AY638" s="2372"/>
      <c r="AZ638" s="2372"/>
      <c r="BA638" s="2372"/>
      <c r="BB638" s="2372"/>
      <c r="BC638" s="2372"/>
      <c r="BD638" s="2372"/>
      <c r="BE638" s="2372"/>
      <c r="BF638" s="2372"/>
      <c r="BG638" s="2372"/>
      <c r="BH638" s="2372"/>
      <c r="BI638" s="2372"/>
      <c r="BJ638" s="2372"/>
      <c r="BK638" s="2372"/>
      <c r="BL638" s="2372"/>
      <c r="BM638" s="2372"/>
      <c r="BN638" s="2372"/>
      <c r="BO638" s="2372"/>
      <c r="BP638" s="2372"/>
      <c r="BQ638" s="2372"/>
      <c r="BR638" s="2372"/>
      <c r="BS638" s="2372"/>
      <c r="BT638" s="2372"/>
      <c r="BU638" s="2372"/>
      <c r="BV638" s="2372"/>
      <c r="BW638" s="2372"/>
      <c r="BX638" s="2372"/>
      <c r="BY638" s="2372"/>
      <c r="BZ638" s="2372"/>
      <c r="CA638" s="2372"/>
      <c r="CB638" s="2372"/>
      <c r="CC638" s="2372"/>
      <c r="CD638" s="2372"/>
      <c r="CE638" s="2372"/>
      <c r="CF638" s="2372"/>
      <c r="CG638" s="2372"/>
      <c r="CH638" s="2372"/>
      <c r="CI638" s="2372"/>
      <c r="CJ638" s="2372"/>
      <c r="CK638" s="2372"/>
      <c r="CL638" s="2372"/>
      <c r="CM638" s="2372"/>
      <c r="CN638" s="2372"/>
      <c r="CO638" s="2372"/>
      <c r="CP638" s="2372"/>
      <c r="CQ638" s="2372"/>
      <c r="CR638" s="2372"/>
      <c r="CS638" s="2372"/>
      <c r="CT638" s="2372"/>
      <c r="CU638" s="2372"/>
      <c r="CV638" s="2372"/>
      <c r="CW638" s="2372"/>
      <c r="CX638" s="2372"/>
      <c r="CY638" s="2372"/>
      <c r="CZ638" s="2372"/>
      <c r="DA638" s="2372"/>
    </row>
    <row r="639" spans="1:105" ht="15" hidden="1" customHeight="1">
      <c r="A639" s="2372"/>
      <c r="B639" s="2372"/>
      <c r="C639" s="2372"/>
      <c r="D639" s="2372"/>
      <c r="E639" s="2372"/>
      <c r="F639" s="2372"/>
      <c r="G639" s="2372"/>
      <c r="H639" s="2372"/>
      <c r="I639" s="2372"/>
      <c r="J639" s="2372"/>
      <c r="K639" s="2372"/>
      <c r="L639" s="2372"/>
      <c r="M639" s="2372"/>
      <c r="N639" s="2372"/>
      <c r="O639" s="2372"/>
      <c r="P639" s="2372"/>
      <c r="Q639" s="2372"/>
      <c r="R639" s="2372"/>
      <c r="S639" s="2372"/>
      <c r="T639" s="2372"/>
      <c r="U639" s="2372"/>
      <c r="V639" s="2372"/>
      <c r="W639" s="2372"/>
      <c r="X639" s="2372"/>
      <c r="Y639" s="2372"/>
      <c r="Z639" s="2372"/>
      <c r="AA639" s="2372"/>
      <c r="AB639" s="2372"/>
      <c r="AC639" s="2372"/>
      <c r="AD639" s="2372"/>
      <c r="AE639" s="2372"/>
      <c r="AF639" s="2372"/>
      <c r="AG639" s="2372"/>
      <c r="AH639" s="2372"/>
      <c r="AI639" s="2372"/>
      <c r="AJ639" s="2372"/>
      <c r="AK639" s="2372"/>
      <c r="AL639" s="2372"/>
      <c r="AM639" s="2372"/>
      <c r="AN639" s="2372"/>
      <c r="AO639" s="2372"/>
      <c r="AP639" s="2372"/>
      <c r="AQ639" s="2372"/>
      <c r="AR639" s="2372"/>
      <c r="AS639" s="2372"/>
      <c r="AT639" s="2372"/>
      <c r="AU639" s="2372"/>
      <c r="AV639" s="2372"/>
      <c r="AW639" s="2372"/>
      <c r="AX639" s="2372"/>
      <c r="AY639" s="2372"/>
      <c r="AZ639" s="2372"/>
      <c r="BA639" s="2372"/>
      <c r="BB639" s="2372"/>
      <c r="BC639" s="2372"/>
      <c r="BD639" s="2372"/>
      <c r="BE639" s="2372"/>
      <c r="BF639" s="2372"/>
      <c r="BG639" s="2372"/>
      <c r="BH639" s="2372"/>
      <c r="BI639" s="2372"/>
      <c r="BJ639" s="2372"/>
      <c r="BK639" s="2372"/>
      <c r="BL639" s="2372"/>
      <c r="BM639" s="2372"/>
      <c r="BN639" s="2372"/>
      <c r="BO639" s="2372"/>
      <c r="BP639" s="2372"/>
      <c r="BQ639" s="2372"/>
      <c r="BR639" s="2372"/>
      <c r="BS639" s="2372"/>
      <c r="BT639" s="2372"/>
      <c r="BU639" s="2372"/>
      <c r="BV639" s="2372"/>
      <c r="BW639" s="2372"/>
      <c r="BX639" s="2372"/>
      <c r="BY639" s="2372"/>
      <c r="BZ639" s="2372"/>
      <c r="CA639" s="2372"/>
      <c r="CB639" s="2372"/>
      <c r="CC639" s="2372"/>
      <c r="CD639" s="2372"/>
      <c r="CE639" s="2372"/>
      <c r="CF639" s="2372"/>
      <c r="CG639" s="2372"/>
      <c r="CH639" s="2372"/>
      <c r="CI639" s="2372"/>
      <c r="CJ639" s="2372"/>
      <c r="CK639" s="2372"/>
      <c r="CL639" s="2372"/>
      <c r="CM639" s="2372"/>
      <c r="CN639" s="2372"/>
      <c r="CO639" s="2372"/>
      <c r="CP639" s="2372"/>
      <c r="CQ639" s="2372"/>
      <c r="CR639" s="2372"/>
      <c r="CS639" s="2372"/>
      <c r="CT639" s="2372"/>
      <c r="CU639" s="2372"/>
      <c r="CV639" s="2372"/>
      <c r="CW639" s="2372"/>
      <c r="CX639" s="2372"/>
      <c r="CY639" s="2372"/>
      <c r="CZ639" s="2372"/>
      <c r="DA639" s="2372"/>
    </row>
    <row r="640" spans="1:105" ht="15" hidden="1" customHeight="1">
      <c r="A640" s="2372"/>
      <c r="B640" s="2372"/>
      <c r="C640" s="2372"/>
      <c r="D640" s="2372"/>
      <c r="E640" s="2372"/>
      <c r="F640" s="2372"/>
      <c r="G640" s="2372"/>
      <c r="H640" s="2372"/>
      <c r="I640" s="2372"/>
      <c r="J640" s="2372"/>
      <c r="K640" s="2372"/>
      <c r="L640" s="2372"/>
      <c r="M640" s="2372"/>
      <c r="N640" s="2372"/>
      <c r="O640" s="2372"/>
      <c r="P640" s="2372"/>
      <c r="Q640" s="2372"/>
      <c r="R640" s="2372"/>
      <c r="S640" s="2372"/>
      <c r="T640" s="2372"/>
      <c r="U640" s="2372"/>
      <c r="V640" s="2372"/>
      <c r="W640" s="2372"/>
      <c r="X640" s="2372"/>
      <c r="Y640" s="2372"/>
      <c r="Z640" s="2372"/>
      <c r="AA640" s="2372"/>
      <c r="AB640" s="2372"/>
      <c r="AC640" s="2372"/>
      <c r="AD640" s="2372"/>
      <c r="AE640" s="2372"/>
      <c r="AF640" s="2372"/>
      <c r="AG640" s="2372"/>
      <c r="AH640" s="2372"/>
      <c r="AI640" s="2372"/>
      <c r="AJ640" s="2372"/>
      <c r="AK640" s="2372"/>
      <c r="AL640" s="2372"/>
      <c r="AM640" s="2372"/>
      <c r="AN640" s="2372"/>
      <c r="AO640" s="2372"/>
      <c r="AP640" s="2372"/>
      <c r="AQ640" s="2372"/>
      <c r="AR640" s="2372"/>
      <c r="AS640" s="2372"/>
      <c r="AT640" s="2372"/>
      <c r="AU640" s="2372"/>
      <c r="AV640" s="2372"/>
      <c r="AW640" s="2372"/>
      <c r="AX640" s="2372"/>
      <c r="AY640" s="2372"/>
      <c r="AZ640" s="2372"/>
      <c r="BA640" s="2372"/>
      <c r="BB640" s="2372"/>
      <c r="BC640" s="2372"/>
      <c r="BD640" s="2372"/>
      <c r="BE640" s="2372"/>
      <c r="BF640" s="2372"/>
      <c r="BG640" s="2372"/>
      <c r="BH640" s="2372"/>
      <c r="BI640" s="2372"/>
      <c r="BJ640" s="2372"/>
      <c r="BK640" s="2372"/>
      <c r="BL640" s="2372"/>
      <c r="BM640" s="2372"/>
      <c r="BN640" s="2372"/>
      <c r="BO640" s="2372"/>
      <c r="BP640" s="2372"/>
      <c r="BQ640" s="2372"/>
      <c r="BR640" s="2372"/>
      <c r="BS640" s="2372"/>
      <c r="BT640" s="2372"/>
      <c r="BU640" s="2372"/>
      <c r="BV640" s="2372"/>
      <c r="BW640" s="2372"/>
      <c r="BX640" s="2372"/>
      <c r="BY640" s="2372"/>
      <c r="BZ640" s="2372"/>
      <c r="CA640" s="2372"/>
      <c r="CB640" s="2372"/>
      <c r="CC640" s="2372"/>
      <c r="CD640" s="2372"/>
      <c r="CE640" s="2372"/>
      <c r="CF640" s="2372"/>
      <c r="CG640" s="2372"/>
      <c r="CH640" s="2372"/>
      <c r="CI640" s="2372"/>
      <c r="CJ640" s="2372"/>
      <c r="CK640" s="2372"/>
      <c r="CL640" s="2372"/>
      <c r="CM640" s="2372"/>
      <c r="CN640" s="2372"/>
      <c r="CO640" s="2372"/>
      <c r="CP640" s="2372"/>
      <c r="CQ640" s="2372"/>
      <c r="CR640" s="2372"/>
      <c r="CS640" s="2372"/>
      <c r="CT640" s="2372"/>
      <c r="CU640" s="2372"/>
      <c r="CV640" s="2372"/>
      <c r="CW640" s="2372"/>
      <c r="CX640" s="2372"/>
      <c r="CY640" s="2372"/>
      <c r="CZ640" s="2372"/>
      <c r="DA640" s="2372"/>
    </row>
    <row r="641" spans="1:105" ht="15" hidden="1" customHeight="1">
      <c r="A641" s="2372"/>
      <c r="B641" s="2372"/>
      <c r="C641" s="2372"/>
      <c r="D641" s="2372"/>
      <c r="E641" s="2372"/>
      <c r="F641" s="2372"/>
      <c r="G641" s="2372"/>
      <c r="H641" s="2372"/>
      <c r="I641" s="2372"/>
      <c r="J641" s="2372"/>
      <c r="K641" s="2372"/>
      <c r="L641" s="2372"/>
      <c r="M641" s="2372"/>
      <c r="N641" s="2372"/>
      <c r="O641" s="2372"/>
      <c r="P641" s="2372"/>
      <c r="Q641" s="2372"/>
      <c r="R641" s="2372"/>
      <c r="S641" s="2372"/>
      <c r="T641" s="2372"/>
      <c r="U641" s="2372"/>
      <c r="V641" s="2372"/>
      <c r="W641" s="2372"/>
      <c r="X641" s="2372"/>
      <c r="Y641" s="2372"/>
      <c r="Z641" s="2372"/>
      <c r="AA641" s="2372"/>
      <c r="AB641" s="2372"/>
      <c r="AC641" s="2372"/>
      <c r="AD641" s="2372"/>
      <c r="AE641" s="2372"/>
      <c r="AF641" s="2372"/>
      <c r="AG641" s="2372"/>
      <c r="AH641" s="2372"/>
      <c r="AI641" s="2372"/>
      <c r="AJ641" s="2372"/>
      <c r="AK641" s="2372"/>
      <c r="AL641" s="2372"/>
      <c r="AM641" s="2372"/>
      <c r="AN641" s="2372"/>
      <c r="AO641" s="2372"/>
      <c r="AP641" s="2372"/>
      <c r="AQ641" s="2372"/>
      <c r="AR641" s="2372"/>
      <c r="AS641" s="2372"/>
      <c r="AT641" s="2372"/>
      <c r="AU641" s="2372"/>
      <c r="AV641" s="2372"/>
      <c r="AW641" s="2372"/>
      <c r="AX641" s="2372"/>
      <c r="AY641" s="2372"/>
      <c r="AZ641" s="2372"/>
      <c r="BA641" s="2372"/>
      <c r="BB641" s="2372"/>
      <c r="BC641" s="2372"/>
      <c r="BD641" s="2372"/>
      <c r="BE641" s="2372"/>
      <c r="BF641" s="2372"/>
      <c r="BG641" s="2372"/>
      <c r="BH641" s="2372"/>
      <c r="BI641" s="2372"/>
      <c r="BJ641" s="2372"/>
      <c r="BK641" s="2372"/>
      <c r="BL641" s="2372"/>
      <c r="BM641" s="2372"/>
      <c r="BN641" s="2372"/>
      <c r="BO641" s="2372"/>
      <c r="BP641" s="2372"/>
      <c r="BQ641" s="2372"/>
      <c r="BR641" s="2372"/>
      <c r="BS641" s="2372"/>
      <c r="BT641" s="2372"/>
      <c r="BU641" s="2372"/>
      <c r="BV641" s="2372"/>
      <c r="BW641" s="2372"/>
      <c r="BX641" s="2372"/>
      <c r="BY641" s="2372"/>
      <c r="BZ641" s="2372"/>
      <c r="CA641" s="2372"/>
      <c r="CB641" s="2372"/>
      <c r="CC641" s="2372"/>
      <c r="CD641" s="2372"/>
      <c r="CE641" s="2372"/>
      <c r="CF641" s="2372"/>
      <c r="CG641" s="2372"/>
      <c r="CH641" s="2372"/>
      <c r="CI641" s="2372"/>
      <c r="CJ641" s="2372"/>
      <c r="CK641" s="2372"/>
      <c r="CL641" s="2372"/>
      <c r="CM641" s="2372"/>
      <c r="CN641" s="2372"/>
      <c r="CO641" s="2372"/>
      <c r="CP641" s="2372"/>
      <c r="CQ641" s="2372"/>
      <c r="CR641" s="2372"/>
      <c r="CS641" s="2372"/>
      <c r="CT641" s="2372"/>
      <c r="CU641" s="2372"/>
      <c r="CV641" s="2372"/>
      <c r="CW641" s="2372"/>
      <c r="CX641" s="2372"/>
      <c r="CY641" s="2372"/>
      <c r="CZ641" s="2372"/>
      <c r="DA641" s="2372"/>
    </row>
    <row r="642" spans="1:105" ht="15" hidden="1" customHeight="1">
      <c r="A642" s="2372"/>
      <c r="B642" s="2372"/>
      <c r="C642" s="2372"/>
      <c r="D642" s="2372"/>
      <c r="E642" s="2372"/>
      <c r="F642" s="2372"/>
      <c r="G642" s="2372"/>
      <c r="H642" s="2372"/>
      <c r="I642" s="2372"/>
      <c r="J642" s="2372"/>
      <c r="K642" s="2372"/>
      <c r="L642" s="2372"/>
      <c r="M642" s="2372"/>
      <c r="N642" s="2372"/>
      <c r="O642" s="2372"/>
      <c r="P642" s="2372"/>
      <c r="Q642" s="2372"/>
      <c r="R642" s="2372"/>
      <c r="S642" s="2372"/>
      <c r="T642" s="2372"/>
      <c r="U642" s="2372"/>
      <c r="V642" s="2372"/>
      <c r="W642" s="2372"/>
      <c r="X642" s="2372"/>
      <c r="Y642" s="2372"/>
      <c r="Z642" s="2372"/>
      <c r="AA642" s="2372"/>
      <c r="AB642" s="2372"/>
      <c r="AC642" s="2372"/>
      <c r="AD642" s="2372"/>
      <c r="AE642" s="2372"/>
      <c r="AF642" s="2372"/>
      <c r="AG642" s="2372"/>
      <c r="AH642" s="2372"/>
      <c r="AI642" s="2372"/>
      <c r="AJ642" s="2372"/>
      <c r="AK642" s="2372"/>
      <c r="AL642" s="2372"/>
      <c r="AM642" s="2372"/>
      <c r="AN642" s="2372"/>
      <c r="AO642" s="2372"/>
      <c r="AP642" s="2372"/>
      <c r="AQ642" s="2372"/>
      <c r="AR642" s="2372"/>
      <c r="AS642" s="2372"/>
      <c r="AT642" s="2372"/>
      <c r="AU642" s="2372"/>
      <c r="AV642" s="2372"/>
      <c r="AW642" s="2372"/>
      <c r="AX642" s="2372"/>
      <c r="AY642" s="2372"/>
      <c r="AZ642" s="2372"/>
      <c r="BA642" s="2372"/>
      <c r="BB642" s="2372"/>
      <c r="BC642" s="2372"/>
      <c r="BD642" s="2372"/>
      <c r="BE642" s="2372"/>
      <c r="BF642" s="2372"/>
      <c r="BG642" s="2372"/>
      <c r="BH642" s="2372"/>
      <c r="BI642" s="2372"/>
      <c r="BJ642" s="2372"/>
      <c r="BK642" s="2372"/>
      <c r="BL642" s="2372"/>
      <c r="BM642" s="2372"/>
      <c r="BN642" s="2372"/>
      <c r="BO642" s="2372"/>
      <c r="BP642" s="2372"/>
      <c r="BQ642" s="2372"/>
      <c r="BR642" s="2372"/>
      <c r="BS642" s="2372"/>
      <c r="BT642" s="2372"/>
      <c r="BU642" s="2372"/>
      <c r="BV642" s="2372"/>
      <c r="BW642" s="2372"/>
      <c r="BX642" s="2372"/>
      <c r="BY642" s="2372"/>
      <c r="BZ642" s="2372"/>
      <c r="CA642" s="2372"/>
      <c r="CB642" s="2372"/>
      <c r="CC642" s="2372"/>
      <c r="CD642" s="2372"/>
      <c r="CE642" s="2372"/>
      <c r="CF642" s="2372"/>
      <c r="CG642" s="2372"/>
      <c r="CH642" s="2372"/>
      <c r="CI642" s="2372"/>
      <c r="CJ642" s="2372"/>
      <c r="CK642" s="2372"/>
      <c r="CL642" s="2372"/>
      <c r="CM642" s="2372"/>
      <c r="CN642" s="2372"/>
      <c r="CO642" s="2372"/>
      <c r="CP642" s="2372"/>
      <c r="CQ642" s="2372"/>
      <c r="CR642" s="2372"/>
      <c r="CS642" s="2372"/>
      <c r="CT642" s="2372"/>
      <c r="CU642" s="2372"/>
      <c r="CV642" s="2372"/>
      <c r="CW642" s="2372"/>
      <c r="CX642" s="2372"/>
      <c r="CY642" s="2372"/>
      <c r="CZ642" s="2372"/>
      <c r="DA642" s="2372"/>
    </row>
    <row r="643" spans="1:105" ht="15" hidden="1" customHeight="1">
      <c r="A643" s="2372"/>
      <c r="B643" s="2372"/>
      <c r="C643" s="2372"/>
      <c r="D643" s="2372"/>
      <c r="E643" s="2372"/>
      <c r="F643" s="2372"/>
      <c r="G643" s="2372"/>
      <c r="H643" s="2372"/>
      <c r="I643" s="2372"/>
      <c r="J643" s="2372"/>
      <c r="K643" s="2372"/>
      <c r="L643" s="2372"/>
      <c r="M643" s="2372"/>
      <c r="N643" s="2372"/>
      <c r="O643" s="2372"/>
      <c r="P643" s="2372"/>
      <c r="Q643" s="2372"/>
      <c r="R643" s="2372"/>
      <c r="S643" s="2372"/>
      <c r="T643" s="2372"/>
      <c r="U643" s="2372"/>
      <c r="V643" s="2372"/>
      <c r="W643" s="2372"/>
      <c r="X643" s="2372"/>
      <c r="Y643" s="2372"/>
      <c r="Z643" s="2372"/>
      <c r="AA643" s="2372"/>
      <c r="AB643" s="2372"/>
      <c r="AC643" s="2372"/>
      <c r="AD643" s="2372"/>
      <c r="AE643" s="2372"/>
      <c r="AF643" s="2372"/>
      <c r="AG643" s="2372"/>
      <c r="AH643" s="2372"/>
      <c r="AI643" s="2372"/>
      <c r="AJ643" s="2372"/>
      <c r="AK643" s="2372"/>
      <c r="AL643" s="2372"/>
      <c r="AM643" s="2372"/>
      <c r="AN643" s="2372"/>
      <c r="AO643" s="2372"/>
      <c r="AP643" s="2372"/>
      <c r="AQ643" s="2372"/>
      <c r="AR643" s="2372"/>
      <c r="AS643" s="2372"/>
      <c r="AT643" s="2372"/>
      <c r="AU643" s="2372"/>
      <c r="AV643" s="2372"/>
      <c r="AW643" s="2372"/>
      <c r="AX643" s="2372"/>
      <c r="AY643" s="2372"/>
      <c r="AZ643" s="2372"/>
      <c r="BA643" s="2372"/>
      <c r="BB643" s="2372"/>
      <c r="BC643" s="2372"/>
      <c r="BD643" s="2372"/>
      <c r="BE643" s="2372"/>
      <c r="BF643" s="2372"/>
      <c r="BG643" s="2372"/>
      <c r="BH643" s="2372"/>
      <c r="BI643" s="2372"/>
      <c r="BJ643" s="2372"/>
      <c r="BK643" s="2372"/>
      <c r="BL643" s="2372"/>
      <c r="BM643" s="2372"/>
      <c r="BN643" s="2372"/>
      <c r="BO643" s="2372"/>
      <c r="BP643" s="2372"/>
      <c r="BQ643" s="2372"/>
      <c r="BR643" s="2372"/>
      <c r="BS643" s="2372"/>
      <c r="BT643" s="2372"/>
      <c r="BU643" s="2372"/>
      <c r="BV643" s="2372"/>
      <c r="BW643" s="2372"/>
      <c r="BX643" s="2372"/>
      <c r="BY643" s="2372"/>
      <c r="BZ643" s="2372"/>
      <c r="CA643" s="2372"/>
      <c r="CB643" s="2372"/>
      <c r="CC643" s="2372"/>
      <c r="CD643" s="2372"/>
      <c r="CE643" s="2372"/>
      <c r="CF643" s="2372"/>
      <c r="CG643" s="2372"/>
      <c r="CH643" s="2372"/>
      <c r="CI643" s="2372"/>
      <c r="CJ643" s="2372"/>
      <c r="CK643" s="2372"/>
      <c r="CL643" s="2372"/>
      <c r="CM643" s="2372"/>
      <c r="CN643" s="2372"/>
      <c r="CO643" s="2372"/>
      <c r="CP643" s="2372"/>
      <c r="CQ643" s="2372"/>
      <c r="CR643" s="2372"/>
      <c r="CS643" s="2372"/>
      <c r="CT643" s="2372"/>
      <c r="CU643" s="2372"/>
      <c r="CV643" s="2372"/>
      <c r="CW643" s="2372"/>
      <c r="CX643" s="2372"/>
      <c r="CY643" s="2372"/>
      <c r="CZ643" s="2372"/>
      <c r="DA643" s="2372"/>
    </row>
    <row r="644" spans="1:105" ht="15" hidden="1" customHeight="1">
      <c r="A644" s="2372"/>
      <c r="B644" s="2372"/>
      <c r="C644" s="2372"/>
      <c r="D644" s="2372"/>
      <c r="E644" s="2372"/>
      <c r="F644" s="2372"/>
      <c r="G644" s="2372"/>
      <c r="H644" s="2372"/>
      <c r="I644" s="2372"/>
      <c r="J644" s="2372"/>
      <c r="K644" s="2372"/>
      <c r="L644" s="2372"/>
      <c r="M644" s="2372"/>
      <c r="N644" s="2372"/>
      <c r="O644" s="2372"/>
      <c r="P644" s="2372"/>
      <c r="Q644" s="2372"/>
      <c r="R644" s="2372"/>
      <c r="S644" s="2372"/>
      <c r="T644" s="2372"/>
      <c r="U644" s="2372"/>
      <c r="V644" s="2372"/>
      <c r="W644" s="2372"/>
      <c r="X644" s="2372"/>
      <c r="Y644" s="2372"/>
      <c r="Z644" s="2372"/>
      <c r="AA644" s="2372"/>
      <c r="AB644" s="2372"/>
      <c r="AC644" s="2372"/>
      <c r="AD644" s="2372"/>
      <c r="AE644" s="2372"/>
      <c r="AF644" s="2372"/>
      <c r="AG644" s="2372"/>
      <c r="AH644" s="2372"/>
      <c r="AI644" s="2372"/>
      <c r="AJ644" s="2372"/>
      <c r="AK644" s="2372"/>
      <c r="AL644" s="2372"/>
      <c r="AM644" s="2372"/>
      <c r="AN644" s="2372"/>
      <c r="AO644" s="2372"/>
      <c r="AP644" s="2372"/>
      <c r="AQ644" s="2372"/>
      <c r="AR644" s="2372"/>
      <c r="AS644" s="2372"/>
      <c r="AT644" s="2372"/>
      <c r="AU644" s="2372"/>
      <c r="AV644" s="2372"/>
      <c r="AW644" s="2372"/>
      <c r="AX644" s="2372"/>
      <c r="AY644" s="2372"/>
      <c r="AZ644" s="2372"/>
      <c r="BA644" s="2372"/>
      <c r="BB644" s="2372"/>
      <c r="BC644" s="2372"/>
      <c r="BD644" s="2372"/>
      <c r="BE644" s="2372"/>
      <c r="BF644" s="2372"/>
      <c r="BG644" s="2372"/>
      <c r="BH644" s="2372"/>
      <c r="BI644" s="2372"/>
      <c r="BJ644" s="2372"/>
      <c r="BK644" s="2372"/>
      <c r="BL644" s="2372"/>
      <c r="BM644" s="2372"/>
      <c r="BN644" s="2372"/>
      <c r="BO644" s="2372"/>
      <c r="BP644" s="2372"/>
      <c r="BQ644" s="2372"/>
      <c r="BR644" s="2372"/>
      <c r="BS644" s="2372"/>
      <c r="BT644" s="2372"/>
      <c r="BU644" s="2372"/>
      <c r="BV644" s="2372"/>
      <c r="BW644" s="2372"/>
      <c r="BX644" s="2372"/>
      <c r="BY644" s="2372"/>
      <c r="BZ644" s="2372"/>
      <c r="CA644" s="2372"/>
      <c r="CB644" s="2372"/>
      <c r="CC644" s="2372"/>
      <c r="CD644" s="2372"/>
      <c r="CE644" s="2372"/>
      <c r="CF644" s="2372"/>
      <c r="CG644" s="2372"/>
      <c r="CH644" s="2372"/>
      <c r="CI644" s="2372"/>
      <c r="CJ644" s="2372"/>
      <c r="CK644" s="2372"/>
      <c r="CL644" s="2372"/>
      <c r="CM644" s="2372"/>
      <c r="CN644" s="2372"/>
      <c r="CO644" s="2372"/>
      <c r="CP644" s="2372"/>
      <c r="CQ644" s="2372"/>
      <c r="CR644" s="2372"/>
      <c r="CS644" s="2372"/>
      <c r="CT644" s="2372"/>
      <c r="CU644" s="2372"/>
      <c r="CV644" s="2372"/>
      <c r="CW644" s="2372"/>
      <c r="CX644" s="2372"/>
      <c r="CY644" s="2372"/>
      <c r="CZ644" s="2372"/>
      <c r="DA644" s="2372"/>
    </row>
    <row r="645" spans="1:105" ht="15" hidden="1" customHeight="1">
      <c r="A645" s="2372"/>
      <c r="B645" s="2372"/>
      <c r="C645" s="2372"/>
      <c r="D645" s="2372"/>
      <c r="E645" s="2372"/>
      <c r="F645" s="2372"/>
      <c r="G645" s="2372"/>
      <c r="H645" s="2372"/>
      <c r="I645" s="2372"/>
      <c r="J645" s="2372"/>
      <c r="K645" s="2372"/>
      <c r="L645" s="2372"/>
      <c r="M645" s="2372"/>
      <c r="N645" s="2372"/>
      <c r="O645" s="2372"/>
      <c r="P645" s="2372"/>
      <c r="Q645" s="2372"/>
      <c r="R645" s="2372"/>
      <c r="S645" s="2372"/>
      <c r="T645" s="2372"/>
      <c r="U645" s="2372"/>
      <c r="V645" s="2372"/>
      <c r="W645" s="2372"/>
      <c r="X645" s="2372"/>
      <c r="Y645" s="2372"/>
      <c r="Z645" s="2372"/>
      <c r="AA645" s="2372"/>
      <c r="AB645" s="2372"/>
      <c r="AC645" s="2372"/>
      <c r="AD645" s="2372"/>
      <c r="AE645" s="2372"/>
      <c r="AF645" s="2372"/>
      <c r="AG645" s="2372"/>
      <c r="AH645" s="2372"/>
      <c r="AI645" s="2372"/>
      <c r="AJ645" s="2372"/>
      <c r="AK645" s="2372"/>
      <c r="AL645" s="2372"/>
      <c r="AM645" s="2372"/>
      <c r="AN645" s="2372"/>
      <c r="AO645" s="2372"/>
      <c r="AP645" s="2372"/>
      <c r="AQ645" s="2372"/>
      <c r="AR645" s="2372"/>
      <c r="AS645" s="2372"/>
      <c r="AT645" s="2372"/>
      <c r="AU645" s="2372"/>
      <c r="AV645" s="2372"/>
      <c r="AW645" s="2372"/>
      <c r="AX645" s="2372"/>
      <c r="AY645" s="2372"/>
      <c r="AZ645" s="2372"/>
      <c r="BA645" s="2372"/>
      <c r="BB645" s="2372"/>
      <c r="BC645" s="2372"/>
      <c r="BD645" s="2372"/>
      <c r="BE645" s="2372"/>
      <c r="BF645" s="2372"/>
      <c r="BG645" s="2372"/>
      <c r="BH645" s="2372"/>
      <c r="BI645" s="2372"/>
      <c r="BJ645" s="2372"/>
      <c r="BK645" s="2372"/>
      <c r="BL645" s="2372"/>
      <c r="BM645" s="2372"/>
      <c r="BN645" s="2372"/>
      <c r="BO645" s="2372"/>
      <c r="BP645" s="2372"/>
      <c r="BQ645" s="2372"/>
      <c r="BR645" s="2372"/>
      <c r="BS645" s="2372"/>
      <c r="BT645" s="2372"/>
      <c r="BU645" s="2372"/>
      <c r="BV645" s="2372"/>
      <c r="BW645" s="2372"/>
      <c r="BX645" s="2372"/>
      <c r="BY645" s="2372"/>
      <c r="BZ645" s="2372"/>
      <c r="CA645" s="2372"/>
      <c r="CB645" s="2372"/>
      <c r="CC645" s="2372"/>
      <c r="CD645" s="2372"/>
      <c r="CE645" s="2372"/>
      <c r="CF645" s="2372"/>
      <c r="CG645" s="2372"/>
      <c r="CH645" s="2372"/>
      <c r="CI645" s="2372"/>
      <c r="CJ645" s="2372"/>
      <c r="CK645" s="2372"/>
      <c r="CL645" s="2372"/>
      <c r="CM645" s="2372"/>
      <c r="CN645" s="2372"/>
      <c r="CO645" s="2372"/>
      <c r="CP645" s="2372"/>
      <c r="CQ645" s="2372"/>
      <c r="CR645" s="2372"/>
      <c r="CS645" s="2372"/>
      <c r="CT645" s="2372"/>
      <c r="CU645" s="2372"/>
      <c r="CV645" s="2372"/>
      <c r="CW645" s="2372"/>
      <c r="CX645" s="2372"/>
      <c r="CY645" s="2372"/>
      <c r="CZ645" s="2372"/>
      <c r="DA645" s="2372"/>
    </row>
    <row r="646" spans="1:105" ht="15" hidden="1" customHeight="1">
      <c r="A646" s="2372"/>
      <c r="B646" s="2372"/>
      <c r="C646" s="2372"/>
      <c r="D646" s="2372"/>
      <c r="E646" s="2372"/>
      <c r="F646" s="2372"/>
      <c r="G646" s="2372"/>
      <c r="H646" s="2372"/>
      <c r="I646" s="2372"/>
      <c r="J646" s="2372"/>
      <c r="K646" s="2372"/>
      <c r="L646" s="2372"/>
      <c r="M646" s="2372"/>
      <c r="N646" s="2372"/>
      <c r="O646" s="2372"/>
      <c r="P646" s="2372"/>
      <c r="Q646" s="2372"/>
      <c r="R646" s="2372"/>
      <c r="S646" s="2372"/>
      <c r="T646" s="2372"/>
      <c r="U646" s="2372"/>
      <c r="V646" s="2372"/>
      <c r="W646" s="2372"/>
      <c r="X646" s="2372"/>
      <c r="Y646" s="2372"/>
      <c r="Z646" s="2372"/>
      <c r="AA646" s="2372"/>
      <c r="AB646" s="2372"/>
      <c r="AC646" s="2372"/>
      <c r="AD646" s="2372"/>
      <c r="AE646" s="2372"/>
      <c r="AF646" s="2372"/>
      <c r="AG646" s="2372"/>
      <c r="AH646" s="2372"/>
      <c r="AI646" s="2372"/>
      <c r="AJ646" s="2372"/>
      <c r="AK646" s="2372"/>
      <c r="AL646" s="2372"/>
      <c r="AM646" s="2372"/>
      <c r="AN646" s="2372"/>
      <c r="AO646" s="2372"/>
      <c r="AP646" s="2372"/>
      <c r="AQ646" s="2372"/>
      <c r="AR646" s="2372"/>
      <c r="AS646" s="2372"/>
      <c r="AT646" s="2372"/>
      <c r="AU646" s="2372"/>
      <c r="AV646" s="2372"/>
      <c r="AW646" s="2372"/>
      <c r="AX646" s="2372"/>
      <c r="AY646" s="2372"/>
      <c r="AZ646" s="2372"/>
      <c r="BA646" s="2372"/>
      <c r="BB646" s="2372"/>
      <c r="BC646" s="2372"/>
      <c r="BD646" s="2372"/>
      <c r="BE646" s="2372"/>
      <c r="BF646" s="2372"/>
      <c r="BG646" s="2372"/>
      <c r="BH646" s="2372"/>
      <c r="BI646" s="2372"/>
      <c r="BJ646" s="2372"/>
      <c r="BK646" s="2372"/>
      <c r="BL646" s="2372"/>
      <c r="BM646" s="2372"/>
      <c r="BN646" s="2372"/>
      <c r="BO646" s="2372"/>
      <c r="BP646" s="2372"/>
      <c r="BQ646" s="2372"/>
      <c r="BR646" s="2372"/>
      <c r="BS646" s="2372"/>
      <c r="BT646" s="2372"/>
      <c r="BU646" s="2372"/>
      <c r="BV646" s="2372"/>
      <c r="BW646" s="2372"/>
      <c r="BX646" s="2372"/>
      <c r="BY646" s="2372"/>
      <c r="BZ646" s="2372"/>
      <c r="CA646" s="2372"/>
      <c r="CB646" s="2372"/>
      <c r="CC646" s="2372"/>
      <c r="CD646" s="2372"/>
      <c r="CE646" s="2372"/>
      <c r="CF646" s="2372"/>
      <c r="CG646" s="2372"/>
      <c r="CH646" s="2372"/>
      <c r="CI646" s="2372"/>
      <c r="CJ646" s="2372"/>
      <c r="CK646" s="2372"/>
      <c r="CL646" s="2372"/>
      <c r="CM646" s="2372"/>
      <c r="CN646" s="2372"/>
      <c r="CO646" s="2372"/>
      <c r="CP646" s="2372"/>
      <c r="CQ646" s="2372"/>
      <c r="CR646" s="2372"/>
      <c r="CS646" s="2372"/>
      <c r="CT646" s="2372"/>
      <c r="CU646" s="2372"/>
      <c r="CV646" s="2372"/>
      <c r="CW646" s="2372"/>
      <c r="CX646" s="2372"/>
      <c r="CY646" s="2372"/>
      <c r="CZ646" s="2372"/>
      <c r="DA646" s="2372"/>
    </row>
    <row r="647" spans="1:105" ht="15" hidden="1" customHeight="1">
      <c r="A647" s="2372"/>
      <c r="B647" s="2372"/>
      <c r="C647" s="2372"/>
      <c r="D647" s="2372"/>
      <c r="E647" s="2372"/>
      <c r="F647" s="2372"/>
      <c r="G647" s="2372"/>
      <c r="H647" s="2372"/>
      <c r="I647" s="2372"/>
      <c r="J647" s="2372"/>
      <c r="K647" s="2372"/>
      <c r="L647" s="2372"/>
      <c r="M647" s="2372"/>
      <c r="N647" s="2372"/>
      <c r="O647" s="2372"/>
      <c r="P647" s="2372"/>
      <c r="Q647" s="2372"/>
      <c r="R647" s="2372"/>
      <c r="S647" s="2372"/>
      <c r="T647" s="2372"/>
      <c r="U647" s="2372"/>
      <c r="V647" s="2372"/>
      <c r="W647" s="2372"/>
      <c r="X647" s="2372"/>
      <c r="Y647" s="2372"/>
      <c r="Z647" s="2372"/>
      <c r="AA647" s="2372"/>
      <c r="AB647" s="2372"/>
      <c r="AC647" s="2372"/>
      <c r="AD647" s="2372"/>
      <c r="AE647" s="2372"/>
      <c r="AF647" s="2372"/>
      <c r="AG647" s="2372"/>
      <c r="AH647" s="2372"/>
      <c r="AI647" s="2372"/>
      <c r="AJ647" s="2372"/>
      <c r="AK647" s="2372"/>
      <c r="AL647" s="2372"/>
      <c r="AM647" s="2372"/>
      <c r="AN647" s="2372"/>
      <c r="AO647" s="2372"/>
      <c r="AP647" s="2372"/>
      <c r="AQ647" s="2372"/>
      <c r="AR647" s="2372"/>
      <c r="AS647" s="2372"/>
      <c r="AT647" s="2372"/>
      <c r="AU647" s="2372"/>
      <c r="AV647" s="2372"/>
      <c r="AW647" s="2372"/>
      <c r="AX647" s="2372"/>
      <c r="AY647" s="2372"/>
      <c r="AZ647" s="2372"/>
      <c r="BA647" s="2372"/>
      <c r="BB647" s="2372"/>
      <c r="BC647" s="2372"/>
      <c r="BD647" s="2372"/>
      <c r="BE647" s="2372"/>
      <c r="BF647" s="2372"/>
      <c r="BG647" s="2372"/>
      <c r="BH647" s="2372"/>
      <c r="BI647" s="2372"/>
      <c r="BJ647" s="2372"/>
      <c r="BK647" s="2372"/>
      <c r="BL647" s="2372"/>
      <c r="BM647" s="2372"/>
      <c r="BN647" s="2372"/>
      <c r="BO647" s="2372"/>
      <c r="BP647" s="2372"/>
      <c r="BQ647" s="2372"/>
      <c r="BR647" s="2372"/>
      <c r="BS647" s="2372"/>
      <c r="BT647" s="2372"/>
      <c r="BU647" s="2372"/>
      <c r="BV647" s="2372"/>
      <c r="BW647" s="2372"/>
      <c r="BX647" s="2372"/>
      <c r="BY647" s="2372"/>
      <c r="BZ647" s="2372"/>
      <c r="CA647" s="2372"/>
      <c r="CB647" s="2372"/>
      <c r="CC647" s="2372"/>
      <c r="CD647" s="2372"/>
      <c r="CE647" s="2372"/>
      <c r="CF647" s="2372"/>
      <c r="CG647" s="2372"/>
      <c r="CH647" s="2372"/>
      <c r="CI647" s="2372"/>
      <c r="CJ647" s="2372"/>
      <c r="CK647" s="2372"/>
      <c r="CL647" s="2372"/>
      <c r="CM647" s="2372"/>
      <c r="CN647" s="2372"/>
      <c r="CO647" s="2372"/>
      <c r="CP647" s="2372"/>
      <c r="CQ647" s="2372"/>
      <c r="CR647" s="2372"/>
      <c r="CS647" s="2372"/>
      <c r="CT647" s="2372"/>
      <c r="CU647" s="2372"/>
      <c r="CV647" s="2372"/>
      <c r="CW647" s="2372"/>
      <c r="CX647" s="2372"/>
      <c r="CY647" s="2372"/>
      <c r="CZ647" s="2372"/>
      <c r="DA647" s="2372"/>
    </row>
    <row r="648" spans="1:105" ht="15" hidden="1" customHeight="1">
      <c r="A648" s="2372"/>
      <c r="B648" s="2372"/>
      <c r="C648" s="2372"/>
      <c r="D648" s="2372"/>
      <c r="E648" s="2372"/>
      <c r="F648" s="2372"/>
      <c r="G648" s="2372"/>
      <c r="H648" s="2372"/>
      <c r="I648" s="2372"/>
      <c r="J648" s="2372"/>
      <c r="K648" s="2372"/>
      <c r="L648" s="2372"/>
      <c r="M648" s="2372"/>
      <c r="N648" s="2372"/>
      <c r="O648" s="2372"/>
      <c r="P648" s="2372"/>
      <c r="Q648" s="2372"/>
      <c r="R648" s="2372"/>
      <c r="S648" s="2372"/>
      <c r="T648" s="2372"/>
      <c r="U648" s="2372"/>
      <c r="V648" s="2372"/>
      <c r="W648" s="2372"/>
      <c r="X648" s="2372"/>
      <c r="Y648" s="2372"/>
      <c r="Z648" s="2372"/>
      <c r="AA648" s="2372"/>
      <c r="AB648" s="2372"/>
      <c r="AC648" s="2372"/>
      <c r="AD648" s="2372"/>
      <c r="AE648" s="2372"/>
      <c r="AF648" s="2372"/>
      <c r="AG648" s="2372"/>
      <c r="AH648" s="2372"/>
      <c r="AI648" s="2372"/>
      <c r="AJ648" s="2372"/>
      <c r="AK648" s="2372"/>
      <c r="AL648" s="2372"/>
      <c r="AM648" s="2372"/>
      <c r="AN648" s="2372"/>
      <c r="AO648" s="2372"/>
      <c r="AP648" s="2372"/>
      <c r="AQ648" s="2372"/>
      <c r="AR648" s="2372"/>
      <c r="AS648" s="2372"/>
      <c r="AT648" s="2372"/>
      <c r="AU648" s="2372"/>
      <c r="AV648" s="2372"/>
      <c r="AW648" s="2372"/>
      <c r="AX648" s="2372"/>
      <c r="AY648" s="2372"/>
      <c r="AZ648" s="2372"/>
      <c r="BA648" s="2372"/>
      <c r="BB648" s="2372"/>
      <c r="BC648" s="2372"/>
      <c r="BD648" s="2372"/>
      <c r="BE648" s="2372"/>
      <c r="BF648" s="2372"/>
      <c r="BG648" s="2372"/>
      <c r="BH648" s="2372"/>
      <c r="BI648" s="2372"/>
      <c r="BJ648" s="2372"/>
      <c r="BK648" s="2372"/>
      <c r="BL648" s="2372"/>
      <c r="BM648" s="2372"/>
      <c r="BN648" s="2372"/>
      <c r="BO648" s="2372"/>
      <c r="BP648" s="2372"/>
      <c r="BQ648" s="2372"/>
      <c r="BR648" s="2372"/>
      <c r="BS648" s="2372"/>
      <c r="BT648" s="2372"/>
      <c r="BU648" s="2372"/>
      <c r="BV648" s="2372"/>
      <c r="BW648" s="2372"/>
      <c r="BX648" s="2372"/>
      <c r="BY648" s="2372"/>
      <c r="BZ648" s="2372"/>
      <c r="CA648" s="2372"/>
      <c r="CB648" s="2372"/>
      <c r="CC648" s="2372"/>
      <c r="CD648" s="2372"/>
      <c r="CE648" s="2372"/>
      <c r="CF648" s="2372"/>
      <c r="CG648" s="2372"/>
      <c r="CH648" s="2372"/>
      <c r="CI648" s="2372"/>
      <c r="CJ648" s="2372"/>
      <c r="CK648" s="2372"/>
      <c r="CL648" s="2372"/>
      <c r="CM648" s="2372"/>
      <c r="CN648" s="2372"/>
      <c r="CO648" s="2372"/>
      <c r="CP648" s="2372"/>
      <c r="CQ648" s="2372"/>
      <c r="CR648" s="2372"/>
      <c r="CS648" s="2372"/>
      <c r="CT648" s="2372"/>
      <c r="CU648" s="2372"/>
      <c r="CV648" s="2372"/>
      <c r="CW648" s="2372"/>
      <c r="CX648" s="2372"/>
      <c r="CY648" s="2372"/>
      <c r="CZ648" s="2372"/>
      <c r="DA648" s="2372"/>
    </row>
    <row r="649" spans="1:105" ht="15" hidden="1" customHeight="1">
      <c r="A649" s="2372"/>
      <c r="B649" s="2372"/>
      <c r="C649" s="2372"/>
      <c r="D649" s="2372"/>
      <c r="E649" s="2372"/>
      <c r="F649" s="2372"/>
      <c r="G649" s="2372"/>
      <c r="H649" s="2372"/>
      <c r="I649" s="2372"/>
      <c r="J649" s="2372"/>
      <c r="K649" s="2372"/>
      <c r="L649" s="2372"/>
      <c r="M649" s="2372"/>
      <c r="N649" s="2372"/>
      <c r="O649" s="2372"/>
      <c r="P649" s="2372"/>
      <c r="Q649" s="2372"/>
      <c r="R649" s="2372"/>
      <c r="S649" s="2372"/>
      <c r="T649" s="2372"/>
      <c r="U649" s="2372"/>
      <c r="V649" s="2372"/>
      <c r="W649" s="2372"/>
      <c r="X649" s="2372"/>
      <c r="Y649" s="2372"/>
      <c r="Z649" s="2372"/>
      <c r="AA649" s="2372"/>
      <c r="AB649" s="2372"/>
      <c r="AC649" s="2372"/>
      <c r="AD649" s="2372"/>
      <c r="AE649" s="2372"/>
      <c r="AF649" s="2372"/>
      <c r="AG649" s="2372"/>
      <c r="AH649" s="2372"/>
      <c r="AI649" s="2372"/>
      <c r="AJ649" s="2372"/>
      <c r="AK649" s="2372"/>
      <c r="AL649" s="2372"/>
      <c r="AM649" s="2372"/>
      <c r="AN649" s="2372"/>
      <c r="AO649" s="2372"/>
      <c r="AP649" s="2372"/>
      <c r="AQ649" s="2372"/>
      <c r="AR649" s="2372"/>
      <c r="AS649" s="2372"/>
      <c r="AT649" s="2372"/>
      <c r="AU649" s="2372"/>
      <c r="AV649" s="2372"/>
      <c r="AW649" s="2372"/>
      <c r="AX649" s="2372"/>
      <c r="AY649" s="2372"/>
      <c r="AZ649" s="2372"/>
      <c r="BA649" s="2372"/>
      <c r="BB649" s="2372"/>
      <c r="BC649" s="2372"/>
      <c r="BD649" s="2372"/>
      <c r="BE649" s="2372"/>
      <c r="BF649" s="2372"/>
      <c r="BG649" s="2372"/>
      <c r="BH649" s="2372"/>
      <c r="BI649" s="2372"/>
      <c r="BJ649" s="2372"/>
      <c r="BK649" s="2372"/>
      <c r="BL649" s="2372"/>
      <c r="BM649" s="2372"/>
      <c r="BN649" s="2372"/>
      <c r="BO649" s="2372"/>
      <c r="BP649" s="2372"/>
      <c r="BQ649" s="2372"/>
      <c r="BR649" s="2372"/>
      <c r="BS649" s="2372"/>
      <c r="BT649" s="2372"/>
      <c r="BU649" s="2372"/>
      <c r="BV649" s="2372"/>
      <c r="BW649" s="2372"/>
      <c r="BX649" s="2372"/>
      <c r="BY649" s="2372"/>
      <c r="BZ649" s="2372"/>
      <c r="CA649" s="2372"/>
      <c r="CB649" s="2372"/>
      <c r="CC649" s="2372"/>
      <c r="CD649" s="2372"/>
      <c r="CE649" s="2372"/>
      <c r="CF649" s="2372"/>
      <c r="CG649" s="2372"/>
      <c r="CH649" s="2372"/>
      <c r="CI649" s="2372"/>
      <c r="CJ649" s="2372"/>
      <c r="CK649" s="2372"/>
      <c r="CL649" s="2372"/>
      <c r="CM649" s="2372"/>
      <c r="CN649" s="2372"/>
      <c r="CO649" s="2372"/>
      <c r="CP649" s="2372"/>
      <c r="CQ649" s="2372"/>
      <c r="CR649" s="2372"/>
      <c r="CS649" s="2372"/>
      <c r="CT649" s="2372"/>
      <c r="CU649" s="2372"/>
      <c r="CV649" s="2372"/>
      <c r="CW649" s="2372"/>
      <c r="CX649" s="2372"/>
      <c r="CY649" s="2372"/>
      <c r="CZ649" s="2372"/>
      <c r="DA649" s="2372"/>
    </row>
    <row r="650" spans="1:105" ht="15" hidden="1" customHeight="1">
      <c r="A650" s="2372"/>
      <c r="B650" s="2372"/>
      <c r="C650" s="2372"/>
      <c r="D650" s="2372"/>
      <c r="E650" s="2372"/>
      <c r="F650" s="2372"/>
      <c r="G650" s="2372"/>
      <c r="H650" s="2372"/>
      <c r="I650" s="2372"/>
      <c r="J650" s="2372"/>
      <c r="K650" s="2372"/>
      <c r="L650" s="2372"/>
      <c r="M650" s="2372"/>
      <c r="N650" s="2372"/>
      <c r="O650" s="2372"/>
      <c r="P650" s="2372"/>
      <c r="Q650" s="2372"/>
      <c r="R650" s="2372"/>
      <c r="S650" s="2372"/>
      <c r="T650" s="2372"/>
      <c r="U650" s="2372"/>
      <c r="V650" s="2372"/>
      <c r="W650" s="2372"/>
      <c r="X650" s="2372"/>
      <c r="Y650" s="2372"/>
      <c r="Z650" s="2372"/>
      <c r="AA650" s="2372"/>
      <c r="AB650" s="2372"/>
      <c r="AC650" s="2372"/>
      <c r="AD650" s="2372"/>
      <c r="AE650" s="2372"/>
      <c r="AF650" s="2372"/>
      <c r="AG650" s="2372"/>
      <c r="AH650" s="2372"/>
      <c r="AI650" s="2372"/>
      <c r="AJ650" s="2372"/>
      <c r="AK650" s="2372"/>
      <c r="AL650" s="2372"/>
      <c r="AM650" s="2372"/>
      <c r="AN650" s="2372"/>
      <c r="AO650" s="2372"/>
      <c r="AP650" s="2372"/>
      <c r="AQ650" s="2372"/>
      <c r="AR650" s="2372"/>
      <c r="AS650" s="2372"/>
      <c r="AT650" s="2372"/>
      <c r="AU650" s="2372"/>
      <c r="AV650" s="2372"/>
      <c r="AW650" s="2372"/>
      <c r="AX650" s="2372"/>
      <c r="AY650" s="2372"/>
      <c r="AZ650" s="2372"/>
      <c r="BA650" s="2372"/>
      <c r="BB650" s="2372"/>
      <c r="BC650" s="2372"/>
      <c r="BD650" s="2372"/>
      <c r="BE650" s="2372"/>
      <c r="BF650" s="2372"/>
      <c r="BG650" s="2372"/>
      <c r="BH650" s="2372"/>
      <c r="BI650" s="2372"/>
      <c r="BJ650" s="2372"/>
      <c r="BK650" s="2372"/>
      <c r="BL650" s="2372"/>
      <c r="BM650" s="2372"/>
      <c r="BN650" s="2372"/>
      <c r="BO650" s="2372"/>
      <c r="BP650" s="2372"/>
      <c r="BQ650" s="2372"/>
      <c r="BR650" s="2372"/>
      <c r="BS650" s="2372"/>
      <c r="BT650" s="2372"/>
      <c r="BU650" s="2372"/>
      <c r="BV650" s="2372"/>
      <c r="BW650" s="2372"/>
      <c r="BX650" s="2372"/>
      <c r="BY650" s="2372"/>
      <c r="BZ650" s="2372"/>
      <c r="CA650" s="2372"/>
      <c r="CB650" s="2372"/>
      <c r="CC650" s="2372"/>
      <c r="CD650" s="2372"/>
      <c r="CE650" s="2372"/>
      <c r="CF650" s="2372"/>
      <c r="CG650" s="2372"/>
      <c r="CH650" s="2372"/>
      <c r="CI650" s="2372"/>
      <c r="CJ650" s="2372"/>
      <c r="CK650" s="2372"/>
      <c r="CL650" s="2372"/>
      <c r="CM650" s="2372"/>
      <c r="CN650" s="2372"/>
      <c r="CO650" s="2372"/>
      <c r="CP650" s="2372"/>
      <c r="CQ650" s="2372"/>
      <c r="CR650" s="2372"/>
      <c r="CS650" s="2372"/>
      <c r="CT650" s="2372"/>
      <c r="CU650" s="2372"/>
      <c r="CV650" s="2372"/>
      <c r="CW650" s="2372"/>
      <c r="CX650" s="2372"/>
      <c r="CY650" s="2372"/>
      <c r="CZ650" s="2372"/>
      <c r="DA650" s="2372"/>
    </row>
    <row r="651" spans="1:105" ht="15" hidden="1" customHeight="1">
      <c r="A651" s="2372"/>
      <c r="B651" s="2372"/>
      <c r="C651" s="2372"/>
      <c r="D651" s="2372"/>
      <c r="E651" s="2372"/>
      <c r="F651" s="2372"/>
      <c r="G651" s="2372"/>
      <c r="H651" s="2372"/>
      <c r="I651" s="2372"/>
      <c r="J651" s="2372"/>
      <c r="K651" s="2372"/>
      <c r="L651" s="2372"/>
      <c r="M651" s="2372"/>
      <c r="N651" s="2372"/>
      <c r="O651" s="2372"/>
      <c r="P651" s="2372"/>
      <c r="Q651" s="2372"/>
      <c r="R651" s="2372"/>
      <c r="S651" s="2372"/>
      <c r="T651" s="2372"/>
      <c r="U651" s="2372"/>
      <c r="V651" s="2372"/>
      <c r="W651" s="2372"/>
      <c r="X651" s="2372"/>
      <c r="Y651" s="2372"/>
      <c r="Z651" s="2372"/>
      <c r="AA651" s="2372"/>
      <c r="AB651" s="2372"/>
      <c r="AC651" s="2372"/>
      <c r="AD651" s="2372"/>
      <c r="AE651" s="2372"/>
      <c r="AF651" s="2372"/>
      <c r="AG651" s="2372"/>
      <c r="AH651" s="2372"/>
      <c r="AI651" s="2372"/>
      <c r="AJ651" s="2372"/>
      <c r="AK651" s="2372"/>
      <c r="AL651" s="2372"/>
      <c r="AM651" s="2372"/>
      <c r="AN651" s="2372"/>
      <c r="AO651" s="2372"/>
      <c r="AP651" s="2372"/>
      <c r="AQ651" s="2372"/>
      <c r="AR651" s="2372"/>
      <c r="AS651" s="2372"/>
      <c r="AT651" s="2372"/>
      <c r="AU651" s="2372"/>
      <c r="AV651" s="2372"/>
      <c r="AW651" s="2372"/>
      <c r="AX651" s="2372"/>
      <c r="AY651" s="2372"/>
      <c r="AZ651" s="2372"/>
      <c r="BA651" s="2372"/>
      <c r="BB651" s="2372"/>
      <c r="BC651" s="2372"/>
      <c r="BD651" s="2372"/>
      <c r="BE651" s="2372"/>
      <c r="BF651" s="2372"/>
      <c r="BG651" s="2372"/>
      <c r="BH651" s="2372"/>
      <c r="BI651" s="2372"/>
      <c r="BJ651" s="2372"/>
      <c r="BK651" s="2372"/>
      <c r="BL651" s="2372"/>
      <c r="BM651" s="2372"/>
      <c r="BN651" s="2372"/>
      <c r="BO651" s="2372"/>
      <c r="BP651" s="2372"/>
      <c r="BQ651" s="2372"/>
      <c r="BR651" s="2372"/>
      <c r="BS651" s="2372"/>
      <c r="BT651" s="2372"/>
      <c r="BU651" s="2372"/>
      <c r="BV651" s="2372"/>
      <c r="BW651" s="2372"/>
      <c r="BX651" s="2372"/>
      <c r="BY651" s="2372"/>
      <c r="BZ651" s="2372"/>
      <c r="CA651" s="2372"/>
      <c r="CB651" s="2372"/>
      <c r="CC651" s="2372"/>
      <c r="CD651" s="2372"/>
      <c r="CE651" s="2372"/>
      <c r="CF651" s="2372"/>
      <c r="CG651" s="2372"/>
      <c r="CH651" s="2372"/>
      <c r="CI651" s="2372"/>
      <c r="CJ651" s="2372"/>
      <c r="CK651" s="2372"/>
      <c r="CL651" s="2372"/>
      <c r="CM651" s="2372"/>
      <c r="CN651" s="2372"/>
      <c r="CO651" s="2372"/>
      <c r="CP651" s="2372"/>
      <c r="CQ651" s="2372"/>
      <c r="CR651" s="2372"/>
      <c r="CS651" s="2372"/>
      <c r="CT651" s="2372"/>
      <c r="CU651" s="2372"/>
      <c r="CV651" s="2372"/>
      <c r="CW651" s="2372"/>
      <c r="CX651" s="2372"/>
      <c r="CY651" s="2372"/>
      <c r="CZ651" s="2372"/>
      <c r="DA651" s="2372"/>
    </row>
    <row r="652" spans="1:105" ht="15" hidden="1" customHeight="1">
      <c r="A652" s="2372"/>
      <c r="B652" s="2372"/>
      <c r="C652" s="2372"/>
      <c r="D652" s="2372"/>
      <c r="E652" s="2372"/>
      <c r="F652" s="2372"/>
      <c r="G652" s="2372"/>
      <c r="H652" s="2372"/>
      <c r="I652" s="2372"/>
      <c r="J652" s="2372"/>
      <c r="K652" s="2372"/>
      <c r="L652" s="2372"/>
      <c r="M652" s="2372"/>
      <c r="N652" s="2372"/>
      <c r="O652" s="2372"/>
      <c r="P652" s="2372"/>
      <c r="Q652" s="2372"/>
      <c r="R652" s="2372"/>
      <c r="S652" s="2372"/>
      <c r="T652" s="2372"/>
      <c r="U652" s="2372"/>
      <c r="V652" s="2372"/>
      <c r="W652" s="2372"/>
      <c r="X652" s="2372"/>
      <c r="Y652" s="2372"/>
      <c r="Z652" s="2372"/>
      <c r="AA652" s="2372"/>
      <c r="AB652" s="2372"/>
      <c r="AC652" s="2372"/>
      <c r="AD652" s="2372"/>
      <c r="AE652" s="2372"/>
      <c r="AF652" s="2372"/>
      <c r="AG652" s="2372"/>
      <c r="AH652" s="2372"/>
      <c r="AI652" s="2372"/>
      <c r="AJ652" s="2372"/>
      <c r="AK652" s="2372"/>
      <c r="AL652" s="2372"/>
      <c r="AM652" s="2372"/>
      <c r="AN652" s="2372"/>
      <c r="AO652" s="2372"/>
      <c r="AP652" s="2372"/>
      <c r="AQ652" s="2372"/>
      <c r="AR652" s="2372"/>
      <c r="AS652" s="2372"/>
      <c r="AT652" s="2372"/>
      <c r="AU652" s="2372"/>
      <c r="AV652" s="2372"/>
      <c r="AW652" s="2372"/>
      <c r="AX652" s="2372"/>
      <c r="AY652" s="2372"/>
      <c r="AZ652" s="2372"/>
      <c r="BA652" s="2372"/>
      <c r="BB652" s="2372"/>
      <c r="BC652" s="2372"/>
      <c r="BD652" s="2372"/>
      <c r="BE652" s="2372"/>
      <c r="BF652" s="2372"/>
      <c r="BG652" s="2372"/>
      <c r="BH652" s="2372"/>
      <c r="BI652" s="2372"/>
      <c r="BJ652" s="2372"/>
      <c r="BK652" s="2372"/>
      <c r="BL652" s="2372"/>
      <c r="BM652" s="2372"/>
      <c r="BN652" s="2372"/>
      <c r="BO652" s="2372"/>
      <c r="BP652" s="2372"/>
      <c r="BQ652" s="2372"/>
      <c r="BR652" s="2372"/>
      <c r="BS652" s="2372"/>
      <c r="BT652" s="2372"/>
      <c r="BU652" s="2372"/>
      <c r="BV652" s="2372"/>
      <c r="BW652" s="2372"/>
      <c r="BX652" s="2372"/>
      <c r="BY652" s="2372"/>
      <c r="BZ652" s="2372"/>
      <c r="CA652" s="2372"/>
      <c r="CB652" s="2372"/>
      <c r="CC652" s="2372"/>
      <c r="CD652" s="2372"/>
      <c r="CE652" s="2372"/>
      <c r="CF652" s="2372"/>
      <c r="CG652" s="2372"/>
      <c r="CH652" s="2372"/>
      <c r="CI652" s="2372"/>
      <c r="CJ652" s="2372"/>
      <c r="CK652" s="2372"/>
      <c r="CL652" s="2372"/>
      <c r="CM652" s="2372"/>
      <c r="CN652" s="2372"/>
      <c r="CO652" s="2372"/>
      <c r="CP652" s="2372"/>
      <c r="CQ652" s="2372"/>
      <c r="CR652" s="2372"/>
      <c r="CS652" s="2372"/>
      <c r="CT652" s="2372"/>
      <c r="CU652" s="2372"/>
      <c r="CV652" s="2372"/>
      <c r="CW652" s="2372"/>
      <c r="CX652" s="2372"/>
      <c r="CY652" s="2372"/>
      <c r="CZ652" s="2372"/>
      <c r="DA652" s="2372"/>
    </row>
    <row r="653" spans="1:105" ht="15" hidden="1" customHeight="1">
      <c r="A653" s="2372"/>
      <c r="B653" s="2372"/>
      <c r="C653" s="2372"/>
      <c r="D653" s="2372"/>
      <c r="E653" s="2372"/>
      <c r="F653" s="2372"/>
      <c r="G653" s="2372"/>
      <c r="H653" s="2372"/>
      <c r="I653" s="2372"/>
      <c r="J653" s="2372"/>
      <c r="K653" s="2372"/>
      <c r="L653" s="2372"/>
      <c r="M653" s="2372"/>
      <c r="N653" s="2372"/>
      <c r="O653" s="2372"/>
      <c r="P653" s="2372"/>
      <c r="Q653" s="2372"/>
      <c r="R653" s="2372"/>
      <c r="S653" s="2372"/>
      <c r="T653" s="2372"/>
      <c r="U653" s="2372"/>
      <c r="V653" s="2372"/>
      <c r="W653" s="2372"/>
      <c r="X653" s="2372"/>
      <c r="Y653" s="2372"/>
      <c r="Z653" s="2372"/>
      <c r="AA653" s="2372"/>
      <c r="AB653" s="2372"/>
      <c r="AC653" s="2372"/>
      <c r="AD653" s="2372"/>
      <c r="AE653" s="2372"/>
      <c r="AF653" s="2372"/>
      <c r="AG653" s="2372"/>
      <c r="AH653" s="2372"/>
      <c r="AI653" s="2372"/>
      <c r="AJ653" s="2372"/>
      <c r="AK653" s="2372"/>
      <c r="AL653" s="2372"/>
      <c r="AM653" s="2372"/>
      <c r="AN653" s="2372"/>
      <c r="AO653" s="2372"/>
      <c r="AP653" s="2372"/>
      <c r="AQ653" s="2372"/>
      <c r="AR653" s="2372"/>
      <c r="AS653" s="2372"/>
      <c r="AT653" s="2372"/>
      <c r="AU653" s="2372"/>
      <c r="AV653" s="2372"/>
      <c r="AW653" s="2372"/>
      <c r="AX653" s="2372"/>
      <c r="AY653" s="2372"/>
      <c r="AZ653" s="2372"/>
      <c r="BA653" s="2372"/>
      <c r="BB653" s="2372"/>
      <c r="BC653" s="2372"/>
      <c r="BD653" s="2372"/>
      <c r="BE653" s="2372"/>
      <c r="BF653" s="2372"/>
      <c r="BG653" s="2372"/>
      <c r="BH653" s="2372"/>
      <c r="BI653" s="2372"/>
      <c r="BJ653" s="2372"/>
      <c r="BK653" s="2372"/>
      <c r="BL653" s="2372"/>
      <c r="BM653" s="2372"/>
      <c r="BN653" s="2372"/>
      <c r="BO653" s="2372"/>
      <c r="BP653" s="2372"/>
      <c r="BQ653" s="2372"/>
      <c r="BR653" s="2372"/>
      <c r="BS653" s="2372"/>
      <c r="BT653" s="2372"/>
      <c r="BU653" s="2372"/>
      <c r="BV653" s="2372"/>
      <c r="BW653" s="2372"/>
      <c r="BX653" s="2372"/>
      <c r="BY653" s="2372"/>
      <c r="BZ653" s="2372"/>
      <c r="CA653" s="2372"/>
      <c r="CB653" s="2372"/>
      <c r="CC653" s="2372"/>
      <c r="CD653" s="2372"/>
      <c r="CE653" s="2372"/>
      <c r="CF653" s="2372"/>
      <c r="CG653" s="2372"/>
      <c r="CH653" s="2372"/>
      <c r="CI653" s="2372"/>
      <c r="CJ653" s="2372"/>
      <c r="CK653" s="2372"/>
      <c r="CL653" s="2372"/>
      <c r="CM653" s="2372"/>
      <c r="CN653" s="2372"/>
      <c r="CO653" s="2372"/>
      <c r="CP653" s="2372"/>
      <c r="CQ653" s="2372"/>
      <c r="CR653" s="2372"/>
      <c r="CS653" s="2372"/>
      <c r="CT653" s="2372"/>
      <c r="CU653" s="2372"/>
      <c r="CV653" s="2372"/>
      <c r="CW653" s="2372"/>
      <c r="CX653" s="2372"/>
      <c r="CY653" s="2372"/>
      <c r="CZ653" s="2372"/>
      <c r="DA653" s="2372"/>
    </row>
    <row r="654" spans="1:105" ht="15" hidden="1" customHeight="1">
      <c r="A654" s="2372"/>
      <c r="B654" s="2372"/>
      <c r="C654" s="2372"/>
      <c r="D654" s="2372"/>
      <c r="E654" s="2372"/>
      <c r="F654" s="2372"/>
      <c r="G654" s="2372"/>
      <c r="H654" s="2372"/>
      <c r="I654" s="2372"/>
      <c r="J654" s="2372"/>
      <c r="K654" s="2372"/>
      <c r="L654" s="2372"/>
      <c r="M654" s="2372"/>
      <c r="N654" s="2372"/>
      <c r="O654" s="2372"/>
      <c r="P654" s="2372"/>
      <c r="Q654" s="2372"/>
      <c r="R654" s="2372"/>
      <c r="S654" s="2372"/>
      <c r="T654" s="2372"/>
      <c r="U654" s="2372"/>
      <c r="V654" s="2372"/>
      <c r="W654" s="2372"/>
      <c r="X654" s="2372"/>
      <c r="Y654" s="2372"/>
      <c r="Z654" s="2372"/>
      <c r="AA654" s="2372"/>
      <c r="AB654" s="2372"/>
      <c r="AC654" s="2372"/>
      <c r="AD654" s="2372"/>
      <c r="AE654" s="2372"/>
      <c r="AF654" s="2372"/>
      <c r="AG654" s="2372"/>
      <c r="AH654" s="2372"/>
      <c r="AI654" s="2372"/>
      <c r="AJ654" s="2372"/>
      <c r="AK654" s="2372"/>
      <c r="AL654" s="2372"/>
      <c r="AM654" s="2372"/>
      <c r="AN654" s="2372"/>
      <c r="AO654" s="2372"/>
      <c r="AP654" s="2372"/>
      <c r="AQ654" s="2372"/>
      <c r="AR654" s="2372"/>
      <c r="AS654" s="2372"/>
      <c r="AT654" s="2372"/>
      <c r="AU654" s="2372"/>
      <c r="AV654" s="2372"/>
      <c r="AW654" s="2372"/>
      <c r="AX654" s="2372"/>
      <c r="AY654" s="2372"/>
      <c r="AZ654" s="2372"/>
      <c r="BA654" s="2372"/>
      <c r="BB654" s="2372"/>
      <c r="BC654" s="2372"/>
      <c r="BD654" s="2372"/>
      <c r="BE654" s="2372"/>
      <c r="BF654" s="2372"/>
      <c r="BG654" s="2372"/>
      <c r="BH654" s="2372"/>
      <c r="BI654" s="2372"/>
      <c r="BJ654" s="2372"/>
      <c r="BK654" s="2372"/>
      <c r="BL654" s="2372"/>
      <c r="BM654" s="2372"/>
      <c r="BN654" s="2372"/>
      <c r="BO654" s="2372"/>
      <c r="BP654" s="2372"/>
      <c r="BQ654" s="2372"/>
      <c r="BR654" s="2372"/>
      <c r="BS654" s="2372"/>
      <c r="BT654" s="2372"/>
      <c r="BU654" s="2372"/>
      <c r="BV654" s="2372"/>
      <c r="BW654" s="2372"/>
      <c r="BX654" s="2372"/>
      <c r="BY654" s="2372"/>
      <c r="BZ654" s="2372"/>
      <c r="CA654" s="2372"/>
      <c r="CB654" s="2372"/>
      <c r="CC654" s="2372"/>
      <c r="CD654" s="2372"/>
      <c r="CE654" s="2372"/>
      <c r="CF654" s="2372"/>
      <c r="CG654" s="2372"/>
      <c r="CH654" s="2372"/>
      <c r="CI654" s="2372"/>
      <c r="CJ654" s="2372"/>
      <c r="CK654" s="2372"/>
      <c r="CL654" s="2372"/>
      <c r="CM654" s="2372"/>
      <c r="CN654" s="2372"/>
      <c r="CO654" s="2372"/>
      <c r="CP654" s="2372"/>
      <c r="CQ654" s="2372"/>
      <c r="CR654" s="2372"/>
      <c r="CS654" s="2372"/>
      <c r="CT654" s="2372"/>
      <c r="CU654" s="2372"/>
      <c r="CV654" s="2372"/>
      <c r="CW654" s="2372"/>
      <c r="CX654" s="2372"/>
      <c r="CY654" s="2372"/>
      <c r="CZ654" s="2372"/>
      <c r="DA654" s="2372"/>
    </row>
    <row r="655" spans="1:105" ht="15" hidden="1" customHeight="1">
      <c r="A655" s="2372"/>
      <c r="B655" s="2372"/>
      <c r="C655" s="2372"/>
      <c r="D655" s="2372"/>
      <c r="E655" s="2372"/>
      <c r="F655" s="2372"/>
      <c r="G655" s="2372"/>
      <c r="H655" s="2372"/>
      <c r="I655" s="2372"/>
      <c r="J655" s="2372"/>
      <c r="K655" s="2372"/>
      <c r="L655" s="2372"/>
      <c r="M655" s="2372"/>
      <c r="N655" s="2372"/>
      <c r="O655" s="2372"/>
      <c r="P655" s="2372"/>
      <c r="Q655" s="2372"/>
      <c r="R655" s="2372"/>
      <c r="S655" s="2372"/>
      <c r="T655" s="2372"/>
      <c r="U655" s="2372"/>
      <c r="V655" s="2372"/>
      <c r="W655" s="2372"/>
      <c r="X655" s="2372"/>
      <c r="Y655" s="2372"/>
      <c r="Z655" s="2372"/>
      <c r="AA655" s="2372"/>
      <c r="AB655" s="2372"/>
      <c r="AC655" s="2372"/>
      <c r="AD655" s="2372"/>
      <c r="AE655" s="2372"/>
      <c r="AF655" s="2372"/>
      <c r="AG655" s="2372"/>
      <c r="AH655" s="2372"/>
      <c r="AI655" s="2372"/>
      <c r="AJ655" s="2372"/>
      <c r="AK655" s="2372"/>
      <c r="AL655" s="2372"/>
      <c r="AM655" s="2372"/>
      <c r="AN655" s="2372"/>
      <c r="AO655" s="2372"/>
      <c r="AP655" s="2372"/>
      <c r="AQ655" s="2372"/>
      <c r="AR655" s="2372"/>
      <c r="AS655" s="2372"/>
      <c r="AT655" s="2372"/>
      <c r="AU655" s="2372"/>
      <c r="AV655" s="2372"/>
      <c r="AW655" s="2372"/>
      <c r="AX655" s="2372"/>
      <c r="AY655" s="2372"/>
      <c r="AZ655" s="2372"/>
      <c r="BA655" s="2372"/>
      <c r="BB655" s="2372"/>
      <c r="BC655" s="2372"/>
      <c r="BD655" s="2372"/>
      <c r="BE655" s="2372"/>
      <c r="BF655" s="2372"/>
      <c r="BG655" s="2372"/>
      <c r="BH655" s="2372"/>
      <c r="BI655" s="2372"/>
      <c r="BJ655" s="2372"/>
      <c r="BK655" s="2372"/>
      <c r="BL655" s="2372"/>
      <c r="BM655" s="2372"/>
      <c r="BN655" s="2372"/>
      <c r="BO655" s="2372"/>
      <c r="BP655" s="2372"/>
      <c r="BQ655" s="2372"/>
      <c r="BR655" s="2372"/>
      <c r="BS655" s="2372"/>
      <c r="BT655" s="2372"/>
      <c r="BU655" s="2372"/>
      <c r="BV655" s="2372"/>
      <c r="BW655" s="2372"/>
      <c r="BX655" s="2372"/>
      <c r="BY655" s="2372"/>
      <c r="BZ655" s="2372"/>
      <c r="CA655" s="2372"/>
      <c r="CB655" s="2372"/>
      <c r="CC655" s="2372"/>
      <c r="CD655" s="2372"/>
      <c r="CE655" s="2372"/>
      <c r="CF655" s="2372"/>
      <c r="CG655" s="2372"/>
      <c r="CH655" s="2372"/>
      <c r="CI655" s="2372"/>
      <c r="CJ655" s="2372"/>
      <c r="CK655" s="2372"/>
      <c r="CL655" s="2372"/>
      <c r="CM655" s="2372"/>
      <c r="CN655" s="2372"/>
      <c r="CO655" s="2372"/>
      <c r="CP655" s="2372"/>
      <c r="CQ655" s="2372"/>
      <c r="CR655" s="2372"/>
      <c r="CS655" s="2372"/>
      <c r="CT655" s="2372"/>
      <c r="CU655" s="2372"/>
      <c r="CV655" s="2372"/>
      <c r="CW655" s="2372"/>
      <c r="CX655" s="2372"/>
      <c r="CY655" s="2372"/>
      <c r="CZ655" s="2372"/>
      <c r="DA655" s="2372"/>
    </row>
    <row r="656" spans="1:105" ht="15" hidden="1" customHeight="1">
      <c r="A656" s="2372"/>
      <c r="B656" s="2372"/>
      <c r="C656" s="2372"/>
      <c r="D656" s="2372"/>
      <c r="E656" s="2372"/>
      <c r="F656" s="2372"/>
      <c r="G656" s="2372"/>
      <c r="H656" s="2372"/>
      <c r="I656" s="2372"/>
      <c r="J656" s="2372"/>
      <c r="K656" s="2372"/>
      <c r="L656" s="2372"/>
      <c r="M656" s="2372"/>
      <c r="N656" s="2372"/>
      <c r="O656" s="2372"/>
      <c r="P656" s="2372"/>
      <c r="Q656" s="2372"/>
      <c r="R656" s="2372"/>
      <c r="S656" s="2372"/>
      <c r="T656" s="2372"/>
      <c r="U656" s="2372"/>
      <c r="V656" s="2372"/>
      <c r="W656" s="2372"/>
      <c r="X656" s="2372"/>
      <c r="Y656" s="2372"/>
      <c r="Z656" s="2372"/>
      <c r="AA656" s="2372"/>
      <c r="AB656" s="2372"/>
      <c r="AC656" s="2372"/>
      <c r="AD656" s="2372"/>
      <c r="AE656" s="2372"/>
      <c r="AF656" s="2372"/>
      <c r="AG656" s="2372"/>
      <c r="AH656" s="2372"/>
      <c r="AI656" s="2372"/>
      <c r="AJ656" s="2372"/>
      <c r="AK656" s="2372"/>
      <c r="AL656" s="2372"/>
      <c r="AM656" s="2372"/>
      <c r="AN656" s="2372"/>
      <c r="AO656" s="2372"/>
      <c r="AP656" s="2372"/>
      <c r="AQ656" s="2372"/>
      <c r="AR656" s="2372"/>
      <c r="AS656" s="2372"/>
      <c r="AT656" s="2372"/>
      <c r="AU656" s="2372"/>
      <c r="AV656" s="2372"/>
      <c r="AW656" s="2372"/>
      <c r="AX656" s="2372"/>
      <c r="AY656" s="2372"/>
      <c r="AZ656" s="2372"/>
      <c r="BA656" s="2372"/>
      <c r="BB656" s="2372"/>
      <c r="BC656" s="2372"/>
      <c r="BD656" s="2372"/>
      <c r="BE656" s="2372"/>
      <c r="BF656" s="2372"/>
      <c r="BG656" s="2372"/>
      <c r="BH656" s="2372"/>
      <c r="BI656" s="2372"/>
      <c r="BJ656" s="2372"/>
      <c r="BK656" s="2372"/>
      <c r="BL656" s="2372"/>
      <c r="BM656" s="2372"/>
      <c r="BN656" s="2372"/>
      <c r="BO656" s="2372"/>
      <c r="BP656" s="2372"/>
      <c r="BQ656" s="2372"/>
      <c r="BR656" s="2372"/>
      <c r="BS656" s="2372"/>
      <c r="BT656" s="2372"/>
      <c r="BU656" s="2372"/>
      <c r="BV656" s="2372"/>
      <c r="BW656" s="2372"/>
      <c r="BX656" s="2372"/>
      <c r="BY656" s="2372"/>
      <c r="BZ656" s="2372"/>
      <c r="CA656" s="2372"/>
      <c r="CB656" s="2372"/>
      <c r="CC656" s="2372"/>
      <c r="CD656" s="2372"/>
      <c r="CE656" s="2372"/>
      <c r="CF656" s="2372"/>
      <c r="CG656" s="2372"/>
      <c r="CH656" s="2372"/>
      <c r="CI656" s="2372"/>
      <c r="CJ656" s="2372"/>
      <c r="CK656" s="2372"/>
      <c r="CL656" s="2372"/>
      <c r="CM656" s="2372"/>
      <c r="CN656" s="2372"/>
      <c r="CO656" s="2372"/>
      <c r="CP656" s="2372"/>
      <c r="CQ656" s="2372"/>
      <c r="CR656" s="2372"/>
      <c r="CS656" s="2372"/>
      <c r="CT656" s="2372"/>
      <c r="CU656" s="2372"/>
      <c r="CV656" s="2372"/>
      <c r="CW656" s="2372"/>
      <c r="CX656" s="2372"/>
      <c r="CY656" s="2372"/>
      <c r="CZ656" s="2372"/>
      <c r="DA656" s="2372"/>
    </row>
    <row r="657" spans="1:105" ht="15" hidden="1" customHeight="1">
      <c r="A657" s="2372"/>
      <c r="B657" s="2372"/>
      <c r="C657" s="2372"/>
      <c r="D657" s="2372"/>
      <c r="E657" s="2372"/>
      <c r="F657" s="2372"/>
      <c r="G657" s="2372"/>
      <c r="H657" s="2372"/>
      <c r="I657" s="2372"/>
      <c r="J657" s="2372"/>
      <c r="K657" s="2372"/>
      <c r="L657" s="2372"/>
      <c r="M657" s="2372"/>
      <c r="N657" s="2372"/>
      <c r="O657" s="2372"/>
      <c r="P657" s="2372"/>
      <c r="Q657" s="2372"/>
      <c r="R657" s="2372"/>
      <c r="S657" s="2372"/>
      <c r="T657" s="2372"/>
      <c r="U657" s="2372"/>
      <c r="V657" s="2372"/>
      <c r="W657" s="2372"/>
      <c r="X657" s="2372"/>
      <c r="Y657" s="2372"/>
      <c r="Z657" s="2372"/>
      <c r="AA657" s="2372"/>
      <c r="AB657" s="2372"/>
      <c r="AC657" s="2372"/>
      <c r="AD657" s="2372"/>
      <c r="AE657" s="2372"/>
      <c r="AF657" s="2372"/>
      <c r="AG657" s="2372"/>
      <c r="AH657" s="2372"/>
      <c r="AI657" s="2372"/>
      <c r="AJ657" s="2372"/>
      <c r="AK657" s="2372"/>
      <c r="AL657" s="2372"/>
      <c r="AM657" s="2372"/>
      <c r="AN657" s="2372"/>
      <c r="AO657" s="2372"/>
      <c r="AP657" s="2372"/>
      <c r="AQ657" s="2372"/>
      <c r="AR657" s="2372"/>
      <c r="AS657" s="2372"/>
      <c r="AT657" s="2372"/>
      <c r="AU657" s="2372"/>
      <c r="AV657" s="2372"/>
      <c r="AW657" s="2372"/>
      <c r="AX657" s="2372"/>
      <c r="AY657" s="2372"/>
      <c r="AZ657" s="2372"/>
      <c r="BA657" s="2372"/>
      <c r="BB657" s="2372"/>
      <c r="BC657" s="2372"/>
      <c r="BD657" s="2372"/>
      <c r="BE657" s="2372"/>
      <c r="BF657" s="2372"/>
      <c r="BG657" s="2372"/>
      <c r="BH657" s="2372"/>
      <c r="BI657" s="2372"/>
      <c r="BJ657" s="2372"/>
      <c r="BK657" s="2372"/>
      <c r="BL657" s="2372"/>
      <c r="BM657" s="2372"/>
      <c r="BN657" s="2372"/>
      <c r="BO657" s="2372"/>
      <c r="BP657" s="2372"/>
      <c r="BQ657" s="2372"/>
      <c r="BR657" s="2372"/>
      <c r="BS657" s="2372"/>
      <c r="BT657" s="2372"/>
      <c r="BU657" s="2372"/>
      <c r="BV657" s="2372"/>
      <c r="BW657" s="2372"/>
      <c r="BX657" s="2372"/>
      <c r="BY657" s="2372"/>
      <c r="BZ657" s="2372"/>
      <c r="CA657" s="2372"/>
      <c r="CB657" s="2372"/>
      <c r="CC657" s="2372"/>
      <c r="CD657" s="2372"/>
      <c r="CE657" s="2372"/>
      <c r="CF657" s="2372"/>
      <c r="CG657" s="2372"/>
      <c r="CH657" s="2372"/>
      <c r="CI657" s="2372"/>
      <c r="CJ657" s="2372"/>
      <c r="CK657" s="2372"/>
      <c r="CL657" s="2372"/>
      <c r="CM657" s="2372"/>
      <c r="CN657" s="2372"/>
      <c r="CO657" s="2372"/>
      <c r="CP657" s="2372"/>
      <c r="CQ657" s="2372"/>
      <c r="CR657" s="2372"/>
      <c r="CS657" s="2372"/>
      <c r="CT657" s="2372"/>
      <c r="CU657" s="2372"/>
      <c r="CV657" s="2372"/>
      <c r="CW657" s="2372"/>
      <c r="CX657" s="2372"/>
      <c r="CY657" s="2372"/>
      <c r="CZ657" s="2372"/>
      <c r="DA657" s="2372"/>
    </row>
    <row r="658" spans="1:105" ht="15" hidden="1" customHeight="1">
      <c r="A658" s="2372"/>
      <c r="B658" s="2372"/>
      <c r="C658" s="2372"/>
      <c r="D658" s="2372"/>
      <c r="E658" s="2372"/>
      <c r="F658" s="2372"/>
      <c r="G658" s="2372"/>
      <c r="H658" s="2372"/>
      <c r="I658" s="2372"/>
      <c r="J658" s="2372"/>
      <c r="K658" s="2372"/>
      <c r="L658" s="2372"/>
      <c r="M658" s="2372"/>
      <c r="N658" s="2372"/>
      <c r="O658" s="2372"/>
      <c r="P658" s="2372"/>
      <c r="Q658" s="2372"/>
      <c r="R658" s="2372"/>
      <c r="S658" s="2372"/>
      <c r="T658" s="2372"/>
      <c r="U658" s="2372"/>
      <c r="V658" s="2372"/>
      <c r="W658" s="2372"/>
      <c r="X658" s="2372"/>
      <c r="Y658" s="2372"/>
      <c r="Z658" s="2372"/>
      <c r="AA658" s="2372"/>
      <c r="AB658" s="2372"/>
      <c r="AC658" s="2372"/>
      <c r="AD658" s="2372"/>
      <c r="AE658" s="2372"/>
      <c r="AF658" s="2372"/>
      <c r="AG658" s="2372"/>
      <c r="AH658" s="2372"/>
      <c r="AI658" s="2372"/>
      <c r="AJ658" s="2372"/>
      <c r="AK658" s="2372"/>
      <c r="AL658" s="2372"/>
      <c r="AM658" s="2372"/>
      <c r="AN658" s="2372"/>
      <c r="AO658" s="2372"/>
      <c r="AP658" s="2372"/>
      <c r="AQ658" s="2372"/>
      <c r="AR658" s="2372"/>
      <c r="AS658" s="2372"/>
      <c r="AT658" s="2372"/>
      <c r="AU658" s="2372"/>
      <c r="AV658" s="2372"/>
      <c r="AW658" s="2372"/>
      <c r="AX658" s="2372"/>
      <c r="AY658" s="2372"/>
      <c r="AZ658" s="2372"/>
      <c r="BA658" s="2372"/>
      <c r="BB658" s="2372"/>
      <c r="BC658" s="2372"/>
      <c r="BD658" s="2372"/>
      <c r="BE658" s="2372"/>
      <c r="BF658" s="2372"/>
      <c r="BG658" s="2372"/>
      <c r="BH658" s="2372"/>
      <c r="BI658" s="2372"/>
      <c r="BJ658" s="2372"/>
      <c r="BK658" s="2372"/>
      <c r="BL658" s="2372"/>
      <c r="BM658" s="2372"/>
      <c r="BN658" s="2372"/>
      <c r="BO658" s="2372"/>
      <c r="BP658" s="2372"/>
      <c r="BQ658" s="2372"/>
      <c r="BR658" s="2372"/>
      <c r="BS658" s="2372"/>
      <c r="BT658" s="2372"/>
      <c r="BU658" s="2372"/>
      <c r="BV658" s="2372"/>
      <c r="BW658" s="2372"/>
      <c r="BX658" s="2372"/>
      <c r="BY658" s="2372"/>
      <c r="BZ658" s="2372"/>
      <c r="CA658" s="2372"/>
      <c r="CB658" s="2372"/>
      <c r="CC658" s="2372"/>
      <c r="CD658" s="2372"/>
      <c r="CE658" s="2372"/>
      <c r="CF658" s="2372"/>
      <c r="CG658" s="2372"/>
      <c r="CH658" s="2372"/>
      <c r="CI658" s="2372"/>
      <c r="CJ658" s="2372"/>
      <c r="CK658" s="2372"/>
      <c r="CL658" s="2372"/>
      <c r="CM658" s="2372"/>
      <c r="CN658" s="2372"/>
      <c r="CO658" s="2372"/>
      <c r="CP658" s="2372"/>
      <c r="CQ658" s="2372"/>
      <c r="CR658" s="2372"/>
      <c r="CS658" s="2372"/>
      <c r="CT658" s="2372"/>
      <c r="CU658" s="2372"/>
      <c r="CV658" s="2372"/>
      <c r="CW658" s="2372"/>
      <c r="CX658" s="2372"/>
      <c r="CY658" s="2372"/>
      <c r="CZ658" s="2372"/>
      <c r="DA658" s="2372"/>
    </row>
    <row r="659" spans="1:105" ht="15" hidden="1" customHeight="1">
      <c r="A659" s="2372"/>
      <c r="B659" s="2372"/>
      <c r="C659" s="2372"/>
      <c r="D659" s="2372"/>
      <c r="E659" s="2372"/>
      <c r="F659" s="2372"/>
      <c r="G659" s="2372"/>
      <c r="H659" s="2372"/>
      <c r="I659" s="2372"/>
      <c r="J659" s="2372"/>
      <c r="K659" s="2372"/>
      <c r="L659" s="2372"/>
      <c r="M659" s="2372"/>
      <c r="N659" s="2372"/>
      <c r="O659" s="2372"/>
      <c r="P659" s="2372"/>
      <c r="Q659" s="2372"/>
      <c r="R659" s="2372"/>
      <c r="S659" s="2372"/>
      <c r="T659" s="2372"/>
      <c r="U659" s="2372"/>
      <c r="V659" s="2372"/>
      <c r="W659" s="2372"/>
      <c r="X659" s="2372"/>
      <c r="Y659" s="2372"/>
      <c r="Z659" s="2372"/>
      <c r="AA659" s="2372"/>
      <c r="AB659" s="2372"/>
      <c r="AC659" s="2372"/>
      <c r="AD659" s="2372"/>
      <c r="AE659" s="2372"/>
      <c r="AF659" s="2372"/>
      <c r="AG659" s="2372"/>
      <c r="AH659" s="2372"/>
      <c r="AI659" s="2372"/>
      <c r="AJ659" s="2372"/>
      <c r="AK659" s="2372"/>
      <c r="AL659" s="2372"/>
      <c r="AM659" s="2372"/>
      <c r="AN659" s="2372"/>
      <c r="AO659" s="2372"/>
      <c r="AP659" s="2372"/>
      <c r="AQ659" s="2372"/>
      <c r="AR659" s="2372"/>
      <c r="AS659" s="2372"/>
      <c r="AT659" s="2372"/>
      <c r="AU659" s="2372"/>
      <c r="AV659" s="2372"/>
      <c r="AW659" s="2372"/>
      <c r="AX659" s="2372"/>
      <c r="AY659" s="2372"/>
      <c r="AZ659" s="2372"/>
      <c r="BA659" s="2372"/>
      <c r="BB659" s="2372"/>
      <c r="BC659" s="2372"/>
      <c r="BD659" s="2372"/>
      <c r="BE659" s="2372"/>
      <c r="BF659" s="2372"/>
      <c r="BG659" s="2372"/>
      <c r="BH659" s="2372"/>
      <c r="BI659" s="2372"/>
      <c r="BJ659" s="2372"/>
      <c r="BK659" s="2372"/>
      <c r="BL659" s="2372"/>
      <c r="BM659" s="2372"/>
      <c r="BN659" s="2372"/>
      <c r="BO659" s="2372"/>
      <c r="BP659" s="2372"/>
      <c r="BQ659" s="2372"/>
      <c r="BR659" s="2372"/>
      <c r="BS659" s="2372"/>
      <c r="BT659" s="2372"/>
      <c r="BU659" s="2372"/>
      <c r="BV659" s="2372"/>
      <c r="BW659" s="2372"/>
      <c r="BX659" s="2372"/>
      <c r="BY659" s="2372"/>
      <c r="BZ659" s="2372"/>
      <c r="CA659" s="2372"/>
      <c r="CB659" s="2372"/>
      <c r="CC659" s="2372"/>
      <c r="CD659" s="2372"/>
      <c r="CE659" s="2372"/>
      <c r="CF659" s="2372"/>
      <c r="CG659" s="2372"/>
      <c r="CH659" s="2372"/>
      <c r="CI659" s="2372"/>
      <c r="CJ659" s="2372"/>
      <c r="CK659" s="2372"/>
      <c r="CL659" s="2372"/>
      <c r="CM659" s="2372"/>
      <c r="CN659" s="2372"/>
      <c r="CO659" s="2372"/>
      <c r="CP659" s="2372"/>
      <c r="CQ659" s="2372"/>
      <c r="CR659" s="2372"/>
      <c r="CS659" s="2372"/>
      <c r="CT659" s="2372"/>
      <c r="CU659" s="2372"/>
      <c r="CV659" s="2372"/>
      <c r="CW659" s="2372"/>
      <c r="CX659" s="2372"/>
      <c r="CY659" s="2372"/>
      <c r="CZ659" s="2372"/>
      <c r="DA659" s="2372"/>
    </row>
    <row r="660" spans="1:105" ht="15" hidden="1" customHeight="1">
      <c r="A660" s="2372"/>
      <c r="B660" s="2372"/>
      <c r="C660" s="2372"/>
      <c r="D660" s="2372"/>
      <c r="E660" s="2372"/>
      <c r="F660" s="2372"/>
      <c r="G660" s="2372"/>
      <c r="H660" s="2372"/>
      <c r="I660" s="2372"/>
      <c r="J660" s="2372"/>
      <c r="K660" s="2372"/>
      <c r="L660" s="2372"/>
      <c r="M660" s="2372"/>
      <c r="N660" s="2372"/>
      <c r="O660" s="2372"/>
      <c r="P660" s="2372"/>
      <c r="Q660" s="2372"/>
      <c r="R660" s="2372"/>
      <c r="S660" s="2372"/>
      <c r="T660" s="2372"/>
      <c r="U660" s="2372"/>
      <c r="V660" s="2372"/>
      <c r="W660" s="2372"/>
      <c r="X660" s="2372"/>
      <c r="Y660" s="2372"/>
      <c r="Z660" s="2372"/>
      <c r="AA660" s="2372"/>
      <c r="AB660" s="2372"/>
      <c r="AC660" s="2372"/>
      <c r="AD660" s="2372"/>
      <c r="AE660" s="2372"/>
      <c r="AF660" s="2372"/>
      <c r="AG660" s="2372"/>
      <c r="AH660" s="2372"/>
      <c r="AI660" s="2372"/>
      <c r="AJ660" s="2372"/>
      <c r="AK660" s="2372"/>
      <c r="AL660" s="2372"/>
      <c r="AM660" s="2372"/>
      <c r="AN660" s="2372"/>
      <c r="AO660" s="2372"/>
      <c r="AP660" s="2372"/>
      <c r="AQ660" s="2372"/>
      <c r="AR660" s="2372"/>
      <c r="AS660" s="2372"/>
      <c r="AT660" s="2372"/>
      <c r="AU660" s="2372"/>
      <c r="AV660" s="2372"/>
      <c r="AW660" s="2372"/>
      <c r="AX660" s="2372"/>
      <c r="AY660" s="2372"/>
      <c r="AZ660" s="2372"/>
      <c r="BA660" s="2372"/>
      <c r="BB660" s="2372"/>
      <c r="BC660" s="2372"/>
      <c r="BD660" s="2372"/>
      <c r="BE660" s="2372"/>
      <c r="BF660" s="2372"/>
      <c r="BG660" s="2372"/>
      <c r="BH660" s="2372"/>
      <c r="BI660" s="2372"/>
      <c r="BJ660" s="2372"/>
      <c r="BK660" s="2372"/>
      <c r="BL660" s="2372"/>
      <c r="BM660" s="2372"/>
      <c r="BN660" s="2372"/>
      <c r="BO660" s="2372"/>
      <c r="BP660" s="2372"/>
      <c r="BQ660" s="2372"/>
      <c r="BR660" s="2372"/>
      <c r="BS660" s="2372"/>
      <c r="BT660" s="2372"/>
      <c r="BU660" s="2372"/>
      <c r="BV660" s="2372"/>
      <c r="BW660" s="2372"/>
      <c r="BX660" s="2372"/>
      <c r="BY660" s="2372"/>
      <c r="BZ660" s="2372"/>
      <c r="CA660" s="2372"/>
      <c r="CB660" s="2372"/>
      <c r="CC660" s="2372"/>
      <c r="CD660" s="2372"/>
      <c r="CE660" s="2372"/>
      <c r="CF660" s="2372"/>
      <c r="CG660" s="2372"/>
      <c r="CH660" s="2372"/>
      <c r="CI660" s="2372"/>
      <c r="CJ660" s="2372"/>
      <c r="CK660" s="2372"/>
      <c r="CL660" s="2372"/>
      <c r="CM660" s="2372"/>
      <c r="CN660" s="2372"/>
      <c r="CO660" s="2372"/>
      <c r="CP660" s="2372"/>
      <c r="CQ660" s="2372"/>
      <c r="CR660" s="2372"/>
      <c r="CS660" s="2372"/>
      <c r="CT660" s="2372"/>
      <c r="CU660" s="2372"/>
      <c r="CV660" s="2372"/>
      <c r="CW660" s="2372"/>
      <c r="CX660" s="2372"/>
      <c r="CY660" s="2372"/>
      <c r="CZ660" s="2372"/>
      <c r="DA660" s="2372"/>
    </row>
    <row r="661" spans="1:105" ht="15" hidden="1" customHeight="1">
      <c r="A661" s="2372"/>
      <c r="B661" s="2372"/>
      <c r="C661" s="2372"/>
      <c r="D661" s="2372"/>
      <c r="E661" s="2372"/>
      <c r="F661" s="2372"/>
      <c r="G661" s="2372"/>
      <c r="H661" s="2372"/>
      <c r="I661" s="2372"/>
      <c r="J661" s="2372"/>
      <c r="K661" s="2372"/>
      <c r="L661" s="2372"/>
      <c r="M661" s="2372"/>
      <c r="N661" s="2372"/>
      <c r="O661" s="2372"/>
      <c r="P661" s="2372"/>
      <c r="Q661" s="2372"/>
      <c r="R661" s="2372"/>
      <c r="S661" s="2372"/>
      <c r="T661" s="2372"/>
      <c r="U661" s="2372"/>
      <c r="V661" s="2372"/>
      <c r="W661" s="2372"/>
      <c r="X661" s="2372"/>
      <c r="Y661" s="2372"/>
      <c r="Z661" s="2372"/>
      <c r="AA661" s="2372"/>
      <c r="AB661" s="2372"/>
      <c r="AC661" s="2372"/>
      <c r="AD661" s="2372"/>
      <c r="AE661" s="2372"/>
      <c r="AF661" s="2372"/>
      <c r="AG661" s="2372"/>
      <c r="AH661" s="2372"/>
      <c r="AI661" s="2372"/>
      <c r="AJ661" s="2372"/>
      <c r="AK661" s="2372"/>
      <c r="AL661" s="2372"/>
      <c r="AM661" s="2372"/>
      <c r="AN661" s="2372"/>
      <c r="AO661" s="2372"/>
      <c r="AP661" s="2372"/>
      <c r="AQ661" s="2372"/>
      <c r="AR661" s="2372"/>
      <c r="AS661" s="2372"/>
      <c r="AT661" s="2372"/>
      <c r="AU661" s="2372"/>
      <c r="AV661" s="2372"/>
      <c r="AW661" s="2372"/>
      <c r="AX661" s="2372"/>
      <c r="AY661" s="2372"/>
      <c r="AZ661" s="2372"/>
      <c r="BA661" s="2372"/>
      <c r="BB661" s="2372"/>
      <c r="BC661" s="2372"/>
      <c r="BD661" s="2372"/>
      <c r="BE661" s="2372"/>
      <c r="BF661" s="2372"/>
      <c r="BG661" s="2372"/>
      <c r="BH661" s="2372"/>
      <c r="BI661" s="2372"/>
      <c r="BJ661" s="2372"/>
      <c r="BK661" s="2372"/>
      <c r="BL661" s="2372"/>
      <c r="BM661" s="2372"/>
      <c r="BN661" s="2372"/>
      <c r="BO661" s="2372"/>
      <c r="BP661" s="2372"/>
      <c r="BQ661" s="2372"/>
      <c r="BR661" s="2372"/>
      <c r="BS661" s="2372"/>
      <c r="BT661" s="2372"/>
      <c r="BU661" s="2372"/>
      <c r="BV661" s="2372"/>
      <c r="BW661" s="2372"/>
      <c r="BX661" s="2372"/>
      <c r="BY661" s="2372"/>
      <c r="BZ661" s="2372"/>
      <c r="CA661" s="2372"/>
      <c r="CB661" s="2372"/>
      <c r="CC661" s="2372"/>
      <c r="CD661" s="2372"/>
      <c r="CE661" s="2372"/>
      <c r="CF661" s="2372"/>
      <c r="CG661" s="2372"/>
      <c r="CH661" s="2372"/>
      <c r="CI661" s="2372"/>
      <c r="CJ661" s="2372"/>
      <c r="CK661" s="2372"/>
      <c r="CL661" s="2372"/>
      <c r="CM661" s="2372"/>
      <c r="CN661" s="2372"/>
      <c r="CO661" s="2372"/>
      <c r="CP661" s="2372"/>
      <c r="CQ661" s="2372"/>
      <c r="CR661" s="2372"/>
      <c r="CS661" s="2372"/>
      <c r="CT661" s="2372"/>
      <c r="CU661" s="2372"/>
      <c r="CV661" s="2372"/>
      <c r="CW661" s="2372"/>
      <c r="CX661" s="2372"/>
      <c r="CY661" s="2372"/>
      <c r="CZ661" s="2372"/>
      <c r="DA661" s="2372"/>
    </row>
    <row r="662" spans="1:105" ht="15" hidden="1" customHeight="1">
      <c r="A662" s="2372"/>
      <c r="B662" s="2372"/>
      <c r="C662" s="2372"/>
      <c r="D662" s="2372"/>
      <c r="E662" s="2372"/>
      <c r="F662" s="2372"/>
      <c r="G662" s="2372"/>
      <c r="H662" s="2372"/>
      <c r="I662" s="2372"/>
      <c r="J662" s="2372"/>
      <c r="K662" s="2372"/>
      <c r="L662" s="2372"/>
      <c r="M662" s="2372"/>
      <c r="N662" s="2372"/>
      <c r="O662" s="2372"/>
      <c r="P662" s="2372"/>
      <c r="Q662" s="2372"/>
      <c r="R662" s="2372"/>
      <c r="S662" s="2372"/>
      <c r="T662" s="2372"/>
      <c r="U662" s="2372"/>
      <c r="V662" s="2372"/>
      <c r="W662" s="2372"/>
      <c r="X662" s="2372"/>
      <c r="Y662" s="2372"/>
      <c r="Z662" s="2372"/>
      <c r="AA662" s="2372"/>
      <c r="AB662" s="2372"/>
      <c r="AC662" s="2372"/>
      <c r="AD662" s="2372"/>
      <c r="AE662" s="2372"/>
      <c r="AF662" s="2372"/>
      <c r="AG662" s="2372"/>
      <c r="AH662" s="2372"/>
      <c r="AI662" s="2372"/>
      <c r="AJ662" s="2372"/>
      <c r="AK662" s="2372"/>
      <c r="AL662" s="2372"/>
      <c r="AM662" s="2372"/>
      <c r="AN662" s="2372"/>
      <c r="AO662" s="2372"/>
      <c r="AP662" s="2372"/>
      <c r="AQ662" s="2372"/>
      <c r="AR662" s="2372"/>
      <c r="AS662" s="2372"/>
      <c r="AT662" s="2372"/>
      <c r="AU662" s="2372"/>
      <c r="AV662" s="2372"/>
      <c r="AW662" s="2372"/>
      <c r="AX662" s="2372"/>
      <c r="AY662" s="2372"/>
      <c r="AZ662" s="2372"/>
      <c r="BA662" s="2372"/>
      <c r="BB662" s="2372"/>
      <c r="BC662" s="2372"/>
      <c r="BD662" s="2372"/>
      <c r="BE662" s="2372"/>
      <c r="BF662" s="2372"/>
      <c r="BG662" s="2372"/>
      <c r="BH662" s="2372"/>
      <c r="BI662" s="2372"/>
      <c r="BJ662" s="2372"/>
      <c r="BK662" s="2372"/>
      <c r="BL662" s="2372"/>
      <c r="BM662" s="2372"/>
      <c r="BN662" s="2372"/>
      <c r="BO662" s="2372"/>
      <c r="BP662" s="2372"/>
      <c r="BQ662" s="2372"/>
      <c r="BR662" s="2372"/>
      <c r="BS662" s="2372"/>
      <c r="BT662" s="2372"/>
      <c r="BU662" s="2372"/>
      <c r="BV662" s="2372"/>
      <c r="BW662" s="2372"/>
      <c r="BX662" s="2372"/>
      <c r="BY662" s="2372"/>
      <c r="BZ662" s="2372"/>
      <c r="CA662" s="2372"/>
      <c r="CB662" s="2372"/>
      <c r="CC662" s="2372"/>
      <c r="CD662" s="2372"/>
      <c r="CE662" s="2372"/>
      <c r="CF662" s="2372"/>
      <c r="CG662" s="2372"/>
      <c r="CH662" s="2372"/>
      <c r="CI662" s="2372"/>
      <c r="CJ662" s="2372"/>
      <c r="CK662" s="2372"/>
      <c r="CL662" s="2372"/>
      <c r="CM662" s="2372"/>
      <c r="CN662" s="2372"/>
      <c r="CO662" s="2372"/>
      <c r="CP662" s="2372"/>
      <c r="CQ662" s="2372"/>
      <c r="CR662" s="2372"/>
      <c r="CS662" s="2372"/>
      <c r="CT662" s="2372"/>
      <c r="CU662" s="2372"/>
      <c r="CV662" s="2372"/>
      <c r="CW662" s="2372"/>
      <c r="CX662" s="2372"/>
      <c r="CY662" s="2372"/>
      <c r="CZ662" s="2372"/>
      <c r="DA662" s="2372"/>
    </row>
    <row r="663" spans="1:105" ht="15" hidden="1" customHeight="1">
      <c r="A663" s="2372"/>
      <c r="B663" s="2372"/>
      <c r="C663" s="2372"/>
      <c r="D663" s="2372"/>
      <c r="E663" s="2372"/>
      <c r="F663" s="2372"/>
      <c r="G663" s="2372"/>
      <c r="H663" s="2372"/>
      <c r="I663" s="2372"/>
      <c r="J663" s="2372"/>
      <c r="K663" s="2372"/>
      <c r="L663" s="2372"/>
      <c r="M663" s="2372"/>
      <c r="N663" s="2372"/>
      <c r="O663" s="2372"/>
      <c r="P663" s="2372"/>
      <c r="Q663" s="2372"/>
      <c r="R663" s="2372"/>
      <c r="S663" s="2372"/>
      <c r="T663" s="2372"/>
      <c r="U663" s="2372"/>
      <c r="V663" s="2372"/>
      <c r="W663" s="2372"/>
      <c r="X663" s="2372"/>
      <c r="Y663" s="2372"/>
      <c r="Z663" s="2372"/>
      <c r="AA663" s="2372"/>
      <c r="AB663" s="2372"/>
      <c r="AC663" s="2372"/>
      <c r="AD663" s="2372"/>
      <c r="AE663" s="2372"/>
      <c r="AF663" s="2372"/>
      <c r="AG663" s="2372"/>
      <c r="AH663" s="2372"/>
      <c r="AI663" s="2372"/>
      <c r="AJ663" s="2372"/>
      <c r="AK663" s="2372"/>
      <c r="AL663" s="2372"/>
      <c r="AM663" s="2372"/>
      <c r="AN663" s="2372"/>
      <c r="AO663" s="2372"/>
      <c r="AP663" s="2372"/>
      <c r="AQ663" s="2372"/>
      <c r="AR663" s="2372"/>
      <c r="AS663" s="2372"/>
      <c r="AT663" s="2372"/>
      <c r="AU663" s="2372"/>
      <c r="AV663" s="2372"/>
      <c r="AW663" s="2372"/>
      <c r="AX663" s="2372"/>
      <c r="AY663" s="2372"/>
      <c r="AZ663" s="2372"/>
      <c r="BA663" s="2372"/>
      <c r="BB663" s="2372"/>
      <c r="BC663" s="2372"/>
      <c r="BD663" s="2372"/>
      <c r="BE663" s="2372"/>
      <c r="BF663" s="2372"/>
      <c r="BG663" s="2372"/>
      <c r="BH663" s="2372"/>
      <c r="BI663" s="2372"/>
      <c r="BJ663" s="2372"/>
      <c r="BK663" s="2372"/>
      <c r="BL663" s="2372"/>
      <c r="BM663" s="2372"/>
      <c r="BN663" s="2372"/>
      <c r="BO663" s="2372"/>
      <c r="BP663" s="2372"/>
      <c r="BQ663" s="2372"/>
      <c r="BR663" s="2372"/>
      <c r="BS663" s="2372"/>
      <c r="BT663" s="2372"/>
      <c r="BU663" s="2372"/>
      <c r="BV663" s="2372"/>
      <c r="BW663" s="2372"/>
      <c r="BX663" s="2372"/>
      <c r="BY663" s="2372"/>
      <c r="BZ663" s="2372"/>
      <c r="CA663" s="2372"/>
      <c r="CB663" s="2372"/>
      <c r="CC663" s="2372"/>
      <c r="CD663" s="2372"/>
      <c r="CE663" s="2372"/>
      <c r="CF663" s="2372"/>
      <c r="CG663" s="2372"/>
      <c r="CH663" s="2372"/>
      <c r="CI663" s="2372"/>
      <c r="CJ663" s="2372"/>
      <c r="CK663" s="2372"/>
      <c r="CL663" s="2372"/>
      <c r="CM663" s="2372"/>
      <c r="CN663" s="2372"/>
      <c r="CO663" s="2372"/>
      <c r="CP663" s="2372"/>
      <c r="CQ663" s="2372"/>
      <c r="CR663" s="2372"/>
      <c r="CS663" s="2372"/>
      <c r="CT663" s="2372"/>
      <c r="CU663" s="2372"/>
      <c r="CV663" s="2372"/>
      <c r="CW663" s="2372"/>
      <c r="CX663" s="2372"/>
      <c r="CY663" s="2372"/>
      <c r="CZ663" s="2372"/>
      <c r="DA663" s="2372"/>
    </row>
    <row r="664" spans="1:105" ht="15" hidden="1" customHeight="1">
      <c r="A664" s="2372"/>
      <c r="B664" s="2372"/>
      <c r="C664" s="2372"/>
      <c r="D664" s="2372"/>
      <c r="E664" s="2372"/>
      <c r="F664" s="2372"/>
      <c r="G664" s="2372"/>
      <c r="H664" s="2372"/>
      <c r="I664" s="2372"/>
      <c r="J664" s="2372"/>
      <c r="K664" s="2372"/>
      <c r="L664" s="2372"/>
      <c r="M664" s="2372"/>
      <c r="N664" s="2372"/>
      <c r="O664" s="2372"/>
      <c r="P664" s="2372"/>
      <c r="Q664" s="2372"/>
      <c r="R664" s="2372"/>
      <c r="S664" s="2372"/>
      <c r="T664" s="2372"/>
      <c r="U664" s="2372"/>
      <c r="V664" s="2372"/>
      <c r="W664" s="2372"/>
      <c r="X664" s="2372"/>
      <c r="Y664" s="2372"/>
      <c r="Z664" s="2372"/>
      <c r="AA664" s="2372"/>
      <c r="AB664" s="2372"/>
      <c r="AC664" s="2372"/>
      <c r="AD664" s="2372"/>
      <c r="AE664" s="2372"/>
      <c r="AF664" s="2372"/>
      <c r="AG664" s="2372"/>
      <c r="AH664" s="2372"/>
      <c r="AI664" s="2372"/>
      <c r="AJ664" s="2372"/>
      <c r="AK664" s="2372"/>
      <c r="AL664" s="2372"/>
      <c r="AM664" s="2372"/>
      <c r="AN664" s="2372"/>
      <c r="AO664" s="2372"/>
      <c r="AP664" s="2372"/>
      <c r="AQ664" s="2372"/>
      <c r="AR664" s="2372"/>
      <c r="AS664" s="2372"/>
      <c r="AT664" s="2372"/>
      <c r="AU664" s="2372"/>
      <c r="AV664" s="2372"/>
      <c r="AW664" s="2372"/>
      <c r="AX664" s="2372"/>
      <c r="AY664" s="2372"/>
      <c r="AZ664" s="2372"/>
      <c r="BA664" s="2372"/>
      <c r="BB664" s="2372"/>
      <c r="BC664" s="2372"/>
      <c r="BD664" s="2372"/>
      <c r="BE664" s="2372"/>
      <c r="BF664" s="2372"/>
      <c r="BG664" s="2372"/>
      <c r="BH664" s="2372"/>
      <c r="BI664" s="2372"/>
      <c r="BJ664" s="2372"/>
      <c r="BK664" s="2372"/>
      <c r="BL664" s="2372"/>
      <c r="BM664" s="2372"/>
      <c r="BN664" s="2372"/>
      <c r="BO664" s="2372"/>
      <c r="BP664" s="2372"/>
      <c r="BQ664" s="2372"/>
      <c r="BR664" s="2372"/>
      <c r="BS664" s="2372"/>
      <c r="BT664" s="2372"/>
      <c r="BU664" s="2372"/>
      <c r="BV664" s="2372"/>
      <c r="BW664" s="2372"/>
      <c r="BX664" s="2372"/>
      <c r="BY664" s="2372"/>
      <c r="BZ664" s="2372"/>
      <c r="CA664" s="2372"/>
      <c r="CB664" s="2372"/>
      <c r="CC664" s="2372"/>
      <c r="CD664" s="2372"/>
      <c r="CE664" s="2372"/>
      <c r="CF664" s="2372"/>
      <c r="CG664" s="2372"/>
      <c r="CH664" s="2372"/>
      <c r="CI664" s="2372"/>
      <c r="CJ664" s="2372"/>
      <c r="CK664" s="2372"/>
      <c r="CL664" s="2372"/>
      <c r="CM664" s="2372"/>
      <c r="CN664" s="2372"/>
      <c r="CO664" s="2372"/>
      <c r="CP664" s="2372"/>
      <c r="CQ664" s="2372"/>
      <c r="CR664" s="2372"/>
      <c r="CS664" s="2372"/>
      <c r="CT664" s="2372"/>
      <c r="CU664" s="2372"/>
      <c r="CV664" s="2372"/>
      <c r="CW664" s="2372"/>
      <c r="CX664" s="2372"/>
      <c r="CY664" s="2372"/>
      <c r="CZ664" s="2372"/>
      <c r="DA664" s="2372"/>
    </row>
    <row r="665" spans="1:105" ht="15" hidden="1" customHeight="1">
      <c r="A665" s="2372"/>
      <c r="B665" s="2372"/>
      <c r="C665" s="2372"/>
      <c r="D665" s="2372"/>
      <c r="E665" s="2372"/>
      <c r="F665" s="2372"/>
      <c r="G665" s="2372"/>
      <c r="H665" s="2372"/>
      <c r="I665" s="2372"/>
      <c r="J665" s="2372"/>
      <c r="K665" s="2372"/>
      <c r="L665" s="2372"/>
      <c r="M665" s="2372"/>
      <c r="N665" s="2372"/>
      <c r="O665" s="2372"/>
      <c r="P665" s="2372"/>
      <c r="Q665" s="2372"/>
      <c r="R665" s="2372"/>
      <c r="S665" s="2372"/>
      <c r="T665" s="2372"/>
      <c r="U665" s="2372"/>
      <c r="V665" s="2372"/>
      <c r="W665" s="2372"/>
      <c r="X665" s="2372"/>
      <c r="Y665" s="2372"/>
      <c r="Z665" s="2372"/>
      <c r="AA665" s="2372"/>
      <c r="AB665" s="2372"/>
      <c r="AC665" s="2372"/>
      <c r="AD665" s="2372"/>
      <c r="AE665" s="2372"/>
      <c r="AF665" s="2372"/>
      <c r="AG665" s="2372"/>
      <c r="AH665" s="2372"/>
      <c r="AI665" s="2372"/>
      <c r="AJ665" s="2372"/>
      <c r="AK665" s="2372"/>
      <c r="AL665" s="2372"/>
      <c r="AM665" s="2372"/>
      <c r="AN665" s="2372"/>
      <c r="AO665" s="2372"/>
      <c r="AP665" s="2372"/>
      <c r="AQ665" s="2372"/>
      <c r="AR665" s="2372"/>
      <c r="AS665" s="2372"/>
      <c r="AT665" s="2372"/>
      <c r="AU665" s="2372"/>
      <c r="AV665" s="2372"/>
      <c r="AW665" s="2372"/>
      <c r="AX665" s="2372"/>
      <c r="AY665" s="2372"/>
      <c r="AZ665" s="2372"/>
      <c r="BA665" s="2372"/>
      <c r="BB665" s="2372"/>
      <c r="BC665" s="2372"/>
      <c r="BD665" s="2372"/>
      <c r="BE665" s="2372"/>
      <c r="BF665" s="2372"/>
      <c r="BG665" s="2372"/>
      <c r="BH665" s="2372"/>
      <c r="BI665" s="2372"/>
      <c r="BJ665" s="2372"/>
      <c r="BK665" s="2372"/>
      <c r="BL665" s="2372"/>
      <c r="BM665" s="2372"/>
      <c r="BN665" s="2372"/>
      <c r="BO665" s="2372"/>
      <c r="BP665" s="2372"/>
      <c r="BQ665" s="2372"/>
      <c r="BR665" s="2372"/>
      <c r="BS665" s="2372"/>
      <c r="BT665" s="2372"/>
      <c r="BU665" s="2372"/>
      <c r="BV665" s="2372"/>
      <c r="BW665" s="2372"/>
      <c r="BX665" s="2372"/>
      <c r="BY665" s="2372"/>
      <c r="BZ665" s="2372"/>
      <c r="CA665" s="2372"/>
      <c r="CB665" s="2372"/>
      <c r="CC665" s="2372"/>
      <c r="CD665" s="2372"/>
      <c r="CE665" s="2372"/>
      <c r="CF665" s="2372"/>
      <c r="CG665" s="2372"/>
      <c r="CH665" s="2372"/>
      <c r="CI665" s="2372"/>
      <c r="CJ665" s="2372"/>
      <c r="CK665" s="2372"/>
      <c r="CL665" s="2372"/>
      <c r="CM665" s="2372"/>
      <c r="CN665" s="2372"/>
      <c r="CO665" s="2372"/>
      <c r="CP665" s="2372"/>
      <c r="CQ665" s="2372"/>
      <c r="CR665" s="2372"/>
      <c r="CS665" s="2372"/>
      <c r="CT665" s="2372"/>
      <c r="CU665" s="2372"/>
      <c r="CV665" s="2372"/>
      <c r="CW665" s="2372"/>
      <c r="CX665" s="2372"/>
      <c r="CY665" s="2372"/>
      <c r="CZ665" s="2372"/>
      <c r="DA665" s="2372"/>
    </row>
    <row r="666" spans="1:105" ht="15" hidden="1" customHeight="1">
      <c r="A666" s="2372"/>
      <c r="B666" s="2372"/>
      <c r="C666" s="2372"/>
      <c r="D666" s="2372"/>
      <c r="E666" s="2372"/>
      <c r="F666" s="2372"/>
      <c r="G666" s="2372"/>
      <c r="H666" s="2372"/>
      <c r="I666" s="2372"/>
      <c r="J666" s="2372"/>
      <c r="K666" s="2372"/>
      <c r="L666" s="2372"/>
      <c r="M666" s="2372"/>
      <c r="N666" s="2372"/>
      <c r="O666" s="2372"/>
      <c r="P666" s="2372"/>
      <c r="Q666" s="2372"/>
      <c r="R666" s="2372"/>
      <c r="S666" s="2372"/>
      <c r="T666" s="2372"/>
      <c r="U666" s="2372"/>
      <c r="V666" s="2372"/>
      <c r="W666" s="2372"/>
      <c r="X666" s="2372"/>
      <c r="Y666" s="2372"/>
      <c r="Z666" s="2372"/>
      <c r="AA666" s="2372"/>
      <c r="AB666" s="2372"/>
      <c r="AC666" s="2372"/>
      <c r="AD666" s="2372"/>
      <c r="AE666" s="2372"/>
      <c r="AF666" s="2372"/>
      <c r="AG666" s="2372"/>
      <c r="AH666" s="2372"/>
      <c r="AI666" s="2372"/>
      <c r="AJ666" s="2372"/>
      <c r="AK666" s="2372"/>
      <c r="AL666" s="2372"/>
      <c r="AM666" s="2372"/>
      <c r="AN666" s="2372"/>
      <c r="AO666" s="2372"/>
      <c r="AP666" s="2372"/>
      <c r="AQ666" s="2372"/>
      <c r="AR666" s="2372"/>
      <c r="AS666" s="2372"/>
      <c r="AT666" s="2372"/>
      <c r="AU666" s="2372"/>
      <c r="AV666" s="2372"/>
      <c r="AW666" s="2372"/>
      <c r="AX666" s="2372"/>
      <c r="AY666" s="2372"/>
      <c r="AZ666" s="2372"/>
      <c r="BA666" s="2372"/>
      <c r="BB666" s="2372"/>
      <c r="BC666" s="2372"/>
      <c r="BD666" s="2372"/>
      <c r="BE666" s="2372"/>
      <c r="BF666" s="2372"/>
      <c r="BG666" s="2372"/>
      <c r="BH666" s="2372"/>
      <c r="BI666" s="2372"/>
      <c r="BJ666" s="2372"/>
      <c r="BK666" s="2372"/>
      <c r="BL666" s="2372"/>
      <c r="BM666" s="2372"/>
      <c r="BN666" s="2372"/>
      <c r="BO666" s="2372"/>
      <c r="BP666" s="2372"/>
      <c r="BQ666" s="2372"/>
      <c r="BR666" s="2372"/>
      <c r="BS666" s="2372"/>
      <c r="BT666" s="2372"/>
      <c r="BU666" s="2372"/>
      <c r="BV666" s="2372"/>
      <c r="BW666" s="2372"/>
      <c r="BX666" s="2372"/>
      <c r="BY666" s="2372"/>
      <c r="BZ666" s="2372"/>
      <c r="CA666" s="2372"/>
      <c r="CB666" s="2372"/>
      <c r="CC666" s="2372"/>
      <c r="CD666" s="2372"/>
      <c r="CE666" s="2372"/>
      <c r="CF666" s="2372"/>
      <c r="CG666" s="2372"/>
      <c r="CH666" s="2372"/>
      <c r="CI666" s="2372"/>
      <c r="CJ666" s="2372"/>
      <c r="CK666" s="2372"/>
      <c r="CL666" s="2372"/>
      <c r="CM666" s="2372"/>
      <c r="CN666" s="2372"/>
      <c r="CO666" s="2372"/>
      <c r="CP666" s="2372"/>
      <c r="CQ666" s="2372"/>
      <c r="CR666" s="2372"/>
      <c r="CS666" s="2372"/>
      <c r="CT666" s="2372"/>
      <c r="CU666" s="2372"/>
      <c r="CV666" s="2372"/>
      <c r="CW666" s="2372"/>
      <c r="CX666" s="2372"/>
      <c r="CY666" s="2372"/>
      <c r="CZ666" s="2372"/>
      <c r="DA666" s="2372"/>
    </row>
    <row r="667" spans="1:105" ht="15" hidden="1" customHeight="1">
      <c r="A667" s="2372"/>
      <c r="B667" s="2372"/>
      <c r="C667" s="2372"/>
      <c r="D667" s="2372"/>
      <c r="E667" s="2372"/>
      <c r="F667" s="2372"/>
      <c r="G667" s="2372"/>
      <c r="H667" s="2372"/>
      <c r="I667" s="2372"/>
      <c r="J667" s="2372"/>
      <c r="K667" s="2372"/>
      <c r="L667" s="2372"/>
      <c r="M667" s="2372"/>
      <c r="N667" s="2372"/>
      <c r="O667" s="2372"/>
      <c r="P667" s="2372"/>
      <c r="Q667" s="2372"/>
      <c r="R667" s="2372"/>
      <c r="S667" s="2372"/>
      <c r="T667" s="2372"/>
      <c r="U667" s="2372"/>
      <c r="V667" s="2372"/>
      <c r="W667" s="2372"/>
      <c r="X667" s="2372"/>
      <c r="Y667" s="2372"/>
      <c r="Z667" s="2372"/>
      <c r="AA667" s="2372"/>
      <c r="AB667" s="2372"/>
      <c r="AC667" s="2372"/>
      <c r="AD667" s="2372"/>
      <c r="AE667" s="2372"/>
      <c r="AF667" s="2372"/>
      <c r="AG667" s="2372"/>
      <c r="AH667" s="2372"/>
      <c r="AI667" s="2372"/>
      <c r="AJ667" s="2372"/>
      <c r="AK667" s="2372"/>
      <c r="AL667" s="2372"/>
      <c r="AM667" s="2372"/>
      <c r="AN667" s="2372"/>
      <c r="AO667" s="2372"/>
      <c r="AP667" s="2372"/>
      <c r="AQ667" s="2372"/>
      <c r="AR667" s="2372"/>
      <c r="AS667" s="2372"/>
      <c r="AT667" s="2372"/>
      <c r="AU667" s="2372"/>
      <c r="AV667" s="2372"/>
      <c r="AW667" s="2372"/>
      <c r="AX667" s="2372"/>
      <c r="AY667" s="2372"/>
      <c r="AZ667" s="2372"/>
      <c r="BA667" s="2372"/>
      <c r="BB667" s="2372"/>
      <c r="BC667" s="2372"/>
      <c r="BD667" s="2372"/>
      <c r="BE667" s="2372"/>
      <c r="BF667" s="2372"/>
      <c r="BG667" s="2372"/>
      <c r="BH667" s="2372"/>
      <c r="BI667" s="2372"/>
      <c r="BJ667" s="2372"/>
      <c r="BK667" s="2372"/>
      <c r="BL667" s="2372"/>
      <c r="BM667" s="2372"/>
      <c r="BN667" s="2372"/>
      <c r="BO667" s="2372"/>
      <c r="BP667" s="2372"/>
      <c r="BQ667" s="2372"/>
      <c r="BR667" s="2372"/>
      <c r="BS667" s="2372"/>
      <c r="BT667" s="2372"/>
      <c r="BU667" s="2372"/>
      <c r="BV667" s="2372"/>
      <c r="BW667" s="2372"/>
      <c r="BX667" s="2372"/>
      <c r="BY667" s="2372"/>
      <c r="BZ667" s="2372"/>
      <c r="CA667" s="2372"/>
      <c r="CB667" s="2372"/>
      <c r="CC667" s="2372"/>
      <c r="CD667" s="2372"/>
      <c r="CE667" s="2372"/>
      <c r="CF667" s="2372"/>
      <c r="CG667" s="2372"/>
      <c r="CH667" s="2372"/>
      <c r="CI667" s="2372"/>
      <c r="CJ667" s="2372"/>
      <c r="CK667" s="2372"/>
      <c r="CL667" s="2372"/>
      <c r="CM667" s="2372"/>
      <c r="CN667" s="2372"/>
      <c r="CO667" s="2372"/>
      <c r="CP667" s="2372"/>
      <c r="CQ667" s="2372"/>
      <c r="CR667" s="2372"/>
      <c r="CS667" s="2372"/>
      <c r="CT667" s="2372"/>
      <c r="CU667" s="2372"/>
      <c r="CV667" s="2372"/>
      <c r="CW667" s="2372"/>
      <c r="CX667" s="2372"/>
      <c r="CY667" s="2372"/>
      <c r="CZ667" s="2372"/>
      <c r="DA667" s="2372"/>
    </row>
    <row r="668" spans="1:105" ht="15" hidden="1" customHeight="1">
      <c r="A668" s="2372"/>
      <c r="B668" s="2372"/>
      <c r="C668" s="2372"/>
      <c r="D668" s="2372"/>
      <c r="E668" s="2372"/>
      <c r="F668" s="2372"/>
      <c r="G668" s="2372"/>
      <c r="H668" s="2372"/>
      <c r="I668" s="2372"/>
      <c r="J668" s="2372"/>
      <c r="K668" s="2372"/>
      <c r="L668" s="2372"/>
      <c r="M668" s="2372"/>
      <c r="N668" s="2372"/>
      <c r="O668" s="2372"/>
      <c r="P668" s="2372"/>
      <c r="Q668" s="2372"/>
      <c r="R668" s="2372"/>
      <c r="S668" s="2372"/>
      <c r="T668" s="2372"/>
      <c r="U668" s="2372"/>
      <c r="V668" s="2372"/>
      <c r="W668" s="2372"/>
      <c r="X668" s="2372"/>
      <c r="Y668" s="2372"/>
      <c r="Z668" s="2372"/>
      <c r="AA668" s="2372"/>
      <c r="AB668" s="2372"/>
      <c r="AC668" s="2372"/>
      <c r="AD668" s="2372"/>
      <c r="AE668" s="2372"/>
      <c r="AF668" s="2372"/>
      <c r="AG668" s="2372"/>
      <c r="AH668" s="2372"/>
      <c r="AI668" s="2372"/>
      <c r="AJ668" s="2372"/>
      <c r="AK668" s="2372"/>
      <c r="AL668" s="2372"/>
      <c r="AM668" s="2372"/>
      <c r="AN668" s="2372"/>
      <c r="AO668" s="2372"/>
      <c r="AP668" s="2372"/>
      <c r="AQ668" s="2372"/>
      <c r="AR668" s="2372"/>
      <c r="AS668" s="2372"/>
      <c r="AT668" s="2372"/>
      <c r="AU668" s="2372"/>
      <c r="AV668" s="2372"/>
      <c r="AW668" s="2372"/>
      <c r="AX668" s="2372"/>
      <c r="AY668" s="2372"/>
      <c r="AZ668" s="2372"/>
      <c r="BA668" s="2372"/>
      <c r="BB668" s="2372"/>
      <c r="BC668" s="2372"/>
      <c r="BD668" s="2372"/>
      <c r="BE668" s="2372"/>
      <c r="BF668" s="2372"/>
      <c r="BG668" s="2372"/>
      <c r="BH668" s="2372"/>
      <c r="BI668" s="2372"/>
      <c r="BJ668" s="2372"/>
      <c r="BK668" s="2372"/>
      <c r="BL668" s="2372"/>
      <c r="BM668" s="2372"/>
      <c r="BN668" s="2372"/>
      <c r="BO668" s="2372"/>
      <c r="BP668" s="2372"/>
      <c r="BQ668" s="2372"/>
      <c r="BR668" s="2372"/>
      <c r="BS668" s="2372"/>
      <c r="BT668" s="2372"/>
      <c r="BU668" s="2372"/>
      <c r="BV668" s="2372"/>
      <c r="BW668" s="2372"/>
      <c r="BX668" s="2372"/>
      <c r="BY668" s="2372"/>
      <c r="BZ668" s="2372"/>
      <c r="CA668" s="2372"/>
      <c r="CB668" s="2372"/>
      <c r="CC668" s="2372"/>
      <c r="CD668" s="2372"/>
      <c r="CE668" s="2372"/>
      <c r="CF668" s="2372"/>
      <c r="CG668" s="2372"/>
      <c r="CH668" s="2372"/>
      <c r="CI668" s="2372"/>
      <c r="CJ668" s="2372"/>
      <c r="CK668" s="2372"/>
      <c r="CL668" s="2372"/>
      <c r="CM668" s="2372"/>
      <c r="CN668" s="2372"/>
      <c r="CO668" s="2372"/>
      <c r="CP668" s="2372"/>
      <c r="CQ668" s="2372"/>
      <c r="CR668" s="2372"/>
      <c r="CS668" s="2372"/>
      <c r="CT668" s="2372"/>
      <c r="CU668" s="2372"/>
      <c r="CV668" s="2372"/>
      <c r="CW668" s="2372"/>
      <c r="CX668" s="2372"/>
      <c r="CY668" s="2372"/>
      <c r="CZ668" s="2372"/>
      <c r="DA668" s="2372"/>
    </row>
    <row r="669" spans="1:105" ht="15" hidden="1" customHeight="1">
      <c r="A669" s="2372"/>
      <c r="B669" s="2372"/>
      <c r="C669" s="2372"/>
      <c r="D669" s="2372"/>
      <c r="E669" s="2372"/>
      <c r="F669" s="2372"/>
      <c r="G669" s="2372"/>
      <c r="H669" s="2372"/>
      <c r="I669" s="2372"/>
      <c r="J669" s="2372"/>
      <c r="K669" s="2372"/>
      <c r="L669" s="2372"/>
      <c r="M669" s="2372"/>
      <c r="N669" s="2372"/>
      <c r="O669" s="2372"/>
      <c r="P669" s="2372"/>
      <c r="Q669" s="2372"/>
      <c r="R669" s="2372"/>
      <c r="S669" s="2372"/>
      <c r="T669" s="2372"/>
      <c r="U669" s="2372"/>
      <c r="V669" s="2372"/>
      <c r="W669" s="2372"/>
      <c r="X669" s="2372"/>
      <c r="Y669" s="2372"/>
      <c r="Z669" s="2372"/>
      <c r="AA669" s="2372"/>
      <c r="AB669" s="2372"/>
      <c r="AC669" s="2372"/>
      <c r="AD669" s="2372"/>
      <c r="AE669" s="2372"/>
      <c r="AF669" s="2372"/>
      <c r="AG669" s="2372"/>
      <c r="AH669" s="2372"/>
      <c r="AI669" s="2372"/>
      <c r="AJ669" s="2372"/>
      <c r="AK669" s="2372"/>
      <c r="AL669" s="2372"/>
      <c r="AM669" s="2372"/>
      <c r="AN669" s="2372"/>
      <c r="AO669" s="2372"/>
      <c r="AP669" s="2372"/>
      <c r="AQ669" s="2372"/>
      <c r="AR669" s="2372"/>
      <c r="AS669" s="2372"/>
      <c r="AT669" s="2372"/>
      <c r="AU669" s="2372"/>
      <c r="AV669" s="2372"/>
      <c r="AW669" s="2372"/>
      <c r="AX669" s="2372"/>
      <c r="AY669" s="2372"/>
      <c r="AZ669" s="2372"/>
      <c r="BA669" s="2372"/>
      <c r="BB669" s="2372"/>
      <c r="BC669" s="2372"/>
      <c r="BD669" s="2372"/>
      <c r="BE669" s="2372"/>
      <c r="BF669" s="2372"/>
      <c r="BG669" s="2372"/>
      <c r="BH669" s="2372"/>
      <c r="BI669" s="2372"/>
      <c r="BJ669" s="2372"/>
      <c r="BK669" s="2372"/>
      <c r="BL669" s="2372"/>
      <c r="BM669" s="2372"/>
      <c r="BN669" s="2372"/>
      <c r="BO669" s="2372"/>
      <c r="BP669" s="2372"/>
      <c r="BQ669" s="2372"/>
      <c r="BR669" s="2372"/>
      <c r="BS669" s="2372"/>
      <c r="BT669" s="2372"/>
      <c r="BU669" s="2372"/>
      <c r="BV669" s="2372"/>
      <c r="BW669" s="2372"/>
      <c r="BX669" s="2372"/>
      <c r="BY669" s="2372"/>
      <c r="BZ669" s="2372"/>
      <c r="CA669" s="2372"/>
      <c r="CB669" s="2372"/>
      <c r="CC669" s="2372"/>
      <c r="CD669" s="2372"/>
      <c r="CE669" s="2372"/>
      <c r="CF669" s="2372"/>
      <c r="CG669" s="2372"/>
      <c r="CH669" s="2372"/>
      <c r="CI669" s="2372"/>
      <c r="CJ669" s="2372"/>
      <c r="CK669" s="2372"/>
      <c r="CL669" s="2372"/>
      <c r="CM669" s="2372"/>
      <c r="CN669" s="2372"/>
      <c r="CO669" s="2372"/>
      <c r="CP669" s="2372"/>
      <c r="CQ669" s="2372"/>
      <c r="CR669" s="2372"/>
      <c r="CS669" s="2372"/>
      <c r="CT669" s="2372"/>
      <c r="CU669" s="2372"/>
      <c r="CV669" s="2372"/>
      <c r="CW669" s="2372"/>
      <c r="CX669" s="2372"/>
      <c r="CY669" s="2372"/>
      <c r="CZ669" s="2372"/>
      <c r="DA669" s="2372"/>
    </row>
    <row r="670" spans="1:105" ht="15" hidden="1" customHeight="1">
      <c r="A670" s="2372"/>
      <c r="B670" s="2372"/>
      <c r="C670" s="2372"/>
      <c r="D670" s="2372"/>
      <c r="E670" s="2372"/>
      <c r="F670" s="2372"/>
      <c r="G670" s="2372"/>
      <c r="H670" s="2372"/>
      <c r="I670" s="2372"/>
      <c r="J670" s="2372"/>
      <c r="K670" s="2372"/>
      <c r="L670" s="2372"/>
      <c r="M670" s="2372"/>
      <c r="N670" s="2372"/>
      <c r="O670" s="2372"/>
      <c r="P670" s="2372"/>
      <c r="Q670" s="2372"/>
      <c r="R670" s="2372"/>
      <c r="S670" s="2372"/>
      <c r="T670" s="2372"/>
      <c r="U670" s="2372"/>
      <c r="V670" s="2372"/>
      <c r="W670" s="2372"/>
      <c r="X670" s="2372"/>
      <c r="Y670" s="2372"/>
      <c r="Z670" s="2372"/>
      <c r="AA670" s="2372"/>
      <c r="AB670" s="2372"/>
      <c r="AC670" s="2372"/>
      <c r="AD670" s="2372"/>
      <c r="AE670" s="2372"/>
      <c r="AF670" s="2372"/>
      <c r="AG670" s="2372"/>
      <c r="AH670" s="2372"/>
      <c r="AI670" s="2372"/>
      <c r="AJ670" s="2372"/>
      <c r="AK670" s="2372"/>
      <c r="AL670" s="2372"/>
      <c r="AM670" s="2372"/>
      <c r="AN670" s="2372"/>
      <c r="AO670" s="2372"/>
      <c r="AP670" s="2372"/>
      <c r="AQ670" s="2372"/>
      <c r="AR670" s="2372"/>
      <c r="AS670" s="2372"/>
      <c r="AT670" s="2372"/>
      <c r="AU670" s="2372"/>
      <c r="AV670" s="2372"/>
      <c r="AW670" s="2372"/>
      <c r="AX670" s="2372"/>
      <c r="AY670" s="2372"/>
      <c r="AZ670" s="2372"/>
      <c r="BA670" s="2372"/>
      <c r="BB670" s="2372"/>
      <c r="BC670" s="2372"/>
      <c r="BD670" s="2372"/>
      <c r="BE670" s="2372"/>
      <c r="BF670" s="2372"/>
      <c r="BG670" s="2372"/>
      <c r="BH670" s="2372"/>
      <c r="BI670" s="2372"/>
      <c r="BJ670" s="2372"/>
      <c r="BK670" s="2372"/>
      <c r="BL670" s="2372"/>
      <c r="BM670" s="2372"/>
      <c r="BN670" s="2372"/>
      <c r="BO670" s="2372"/>
      <c r="BP670" s="2372"/>
      <c r="BQ670" s="2372"/>
      <c r="BR670" s="2372"/>
      <c r="BS670" s="2372"/>
      <c r="BT670" s="2372"/>
      <c r="BU670" s="2372"/>
      <c r="BV670" s="2372"/>
      <c r="BW670" s="2372"/>
      <c r="BX670" s="2372"/>
      <c r="BY670" s="2372"/>
      <c r="BZ670" s="2372"/>
      <c r="CA670" s="2372"/>
      <c r="CB670" s="2372"/>
      <c r="CC670" s="2372"/>
      <c r="CD670" s="2372"/>
      <c r="CE670" s="2372"/>
      <c r="CF670" s="2372"/>
      <c r="CG670" s="2372"/>
      <c r="CH670" s="2372"/>
      <c r="CI670" s="2372"/>
      <c r="CJ670" s="2372"/>
      <c r="CK670" s="2372"/>
      <c r="CL670" s="2372"/>
      <c r="CM670" s="2372"/>
      <c r="CN670" s="2372"/>
      <c r="CO670" s="2372"/>
      <c r="CP670" s="2372"/>
      <c r="CQ670" s="2372"/>
      <c r="CR670" s="2372"/>
      <c r="CS670" s="2372"/>
      <c r="CT670" s="2372"/>
      <c r="CU670" s="2372"/>
      <c r="CV670" s="2372"/>
      <c r="CW670" s="2372"/>
      <c r="CX670" s="2372"/>
      <c r="CY670" s="2372"/>
      <c r="CZ670" s="2372"/>
      <c r="DA670" s="2372"/>
    </row>
    <row r="671" spans="1:105" ht="15" hidden="1" customHeight="1">
      <c r="A671" s="2372"/>
      <c r="B671" s="2372"/>
      <c r="C671" s="2372"/>
      <c r="D671" s="2372"/>
      <c r="E671" s="2372"/>
      <c r="F671" s="2372"/>
      <c r="G671" s="2372"/>
      <c r="H671" s="2372"/>
      <c r="I671" s="2372"/>
      <c r="J671" s="2372"/>
      <c r="K671" s="2372"/>
      <c r="L671" s="2372"/>
      <c r="M671" s="2372"/>
      <c r="N671" s="2372"/>
      <c r="O671" s="2372"/>
      <c r="P671" s="2372"/>
      <c r="Q671" s="2372"/>
      <c r="R671" s="2372"/>
      <c r="S671" s="2372"/>
      <c r="T671" s="2372"/>
      <c r="U671" s="2372"/>
      <c r="V671" s="2372"/>
      <c r="W671" s="2372"/>
      <c r="X671" s="2372"/>
      <c r="Y671" s="2372"/>
      <c r="Z671" s="2372"/>
      <c r="AA671" s="2372"/>
      <c r="AB671" s="2372"/>
      <c r="AC671" s="2372"/>
      <c r="AD671" s="2372"/>
      <c r="AE671" s="2372"/>
      <c r="AF671" s="2372"/>
      <c r="AG671" s="2372"/>
      <c r="AH671" s="2372"/>
      <c r="AI671" s="2372"/>
      <c r="AJ671" s="2372"/>
      <c r="AK671" s="2372"/>
      <c r="AL671" s="2372"/>
      <c r="AM671" s="2372"/>
      <c r="AN671" s="2372"/>
      <c r="AO671" s="2372"/>
      <c r="AP671" s="2372"/>
      <c r="AQ671" s="2372"/>
      <c r="AR671" s="2372"/>
      <c r="AS671" s="2372"/>
      <c r="AT671" s="2372"/>
      <c r="AU671" s="2372"/>
      <c r="AV671" s="2372"/>
      <c r="AW671" s="2372"/>
      <c r="AX671" s="2372"/>
      <c r="AY671" s="2372"/>
      <c r="AZ671" s="2372"/>
      <c r="BA671" s="2372"/>
      <c r="BB671" s="2372"/>
      <c r="BC671" s="2372"/>
      <c r="BD671" s="2372"/>
      <c r="BE671" s="2372"/>
      <c r="BF671" s="2372"/>
      <c r="BG671" s="2372"/>
      <c r="BH671" s="2372"/>
      <c r="BI671" s="2372"/>
      <c r="BJ671" s="2372"/>
      <c r="BK671" s="2372"/>
      <c r="BL671" s="2372"/>
      <c r="BM671" s="2372"/>
      <c r="BN671" s="2372"/>
      <c r="BO671" s="2372"/>
      <c r="BP671" s="2372"/>
      <c r="BQ671" s="2372"/>
      <c r="BR671" s="2372"/>
      <c r="BS671" s="2372"/>
      <c r="BT671" s="2372"/>
      <c r="BU671" s="2372"/>
      <c r="BV671" s="2372"/>
      <c r="BW671" s="2372"/>
      <c r="BX671" s="2372"/>
      <c r="BY671" s="2372"/>
      <c r="BZ671" s="2372"/>
      <c r="CA671" s="2372"/>
      <c r="CB671" s="2372"/>
      <c r="CC671" s="2372"/>
      <c r="CD671" s="2372"/>
      <c r="CE671" s="2372"/>
      <c r="CF671" s="2372"/>
      <c r="CG671" s="2372"/>
      <c r="CH671" s="2372"/>
      <c r="CI671" s="2372"/>
      <c r="CJ671" s="2372"/>
      <c r="CK671" s="2372"/>
      <c r="CL671" s="2372"/>
      <c r="CM671" s="2372"/>
      <c r="CN671" s="2372"/>
      <c r="CO671" s="2372"/>
      <c r="CP671" s="2372"/>
      <c r="CQ671" s="2372"/>
      <c r="CR671" s="2372"/>
      <c r="CS671" s="2372"/>
      <c r="CT671" s="2372"/>
      <c r="CU671" s="2372"/>
      <c r="CV671" s="2372"/>
      <c r="CW671" s="2372"/>
      <c r="CX671" s="2372"/>
      <c r="CY671" s="2372"/>
      <c r="CZ671" s="2372"/>
      <c r="DA671" s="2372"/>
    </row>
    <row r="672" spans="1:105" ht="15" hidden="1" customHeight="1">
      <c r="A672" s="2372"/>
      <c r="B672" s="2372"/>
      <c r="C672" s="2372"/>
      <c r="D672" s="2372"/>
      <c r="E672" s="2372"/>
      <c r="F672" s="2372"/>
      <c r="G672" s="2372"/>
      <c r="H672" s="2372"/>
      <c r="I672" s="2372"/>
      <c r="J672" s="2372"/>
      <c r="K672" s="2372"/>
      <c r="L672" s="2372"/>
      <c r="M672" s="2372"/>
      <c r="N672" s="2372"/>
      <c r="O672" s="2372"/>
      <c r="P672" s="2372"/>
      <c r="Q672" s="2372"/>
      <c r="R672" s="2372"/>
      <c r="S672" s="2372"/>
      <c r="T672" s="2372"/>
      <c r="U672" s="2372"/>
      <c r="V672" s="2372"/>
      <c r="W672" s="2372"/>
      <c r="X672" s="2372"/>
      <c r="Y672" s="2372"/>
      <c r="Z672" s="2372"/>
      <c r="AA672" s="2372"/>
      <c r="AB672" s="2372"/>
      <c r="AC672" s="2372"/>
      <c r="AD672" s="2372"/>
      <c r="AE672" s="2372"/>
      <c r="AF672" s="2372"/>
      <c r="AG672" s="2372"/>
      <c r="AH672" s="2372"/>
      <c r="AI672" s="2372"/>
      <c r="AJ672" s="2372"/>
      <c r="AK672" s="2372"/>
      <c r="AL672" s="2372"/>
      <c r="AM672" s="2372"/>
      <c r="AN672" s="2372"/>
      <c r="AO672" s="2372"/>
      <c r="AP672" s="2372"/>
      <c r="AQ672" s="2372"/>
      <c r="AR672" s="2372"/>
      <c r="AS672" s="2372"/>
      <c r="AT672" s="2372"/>
      <c r="AU672" s="2372"/>
      <c r="AV672" s="2372"/>
      <c r="AW672" s="2372"/>
      <c r="AX672" s="2372"/>
      <c r="AY672" s="2372"/>
      <c r="AZ672" s="2372"/>
      <c r="BA672" s="2372"/>
      <c r="BB672" s="2372"/>
      <c r="BC672" s="2372"/>
      <c r="BD672" s="2372"/>
      <c r="BE672" s="2372"/>
      <c r="BF672" s="2372"/>
      <c r="BG672" s="2372"/>
      <c r="BH672" s="2372"/>
      <c r="BI672" s="2372"/>
      <c r="BJ672" s="2372"/>
      <c r="BK672" s="2372"/>
      <c r="BL672" s="2372"/>
      <c r="BM672" s="2372"/>
      <c r="BN672" s="2372"/>
      <c r="BO672" s="2372"/>
      <c r="BP672" s="2372"/>
      <c r="BQ672" s="2372"/>
      <c r="BR672" s="2372"/>
      <c r="BS672" s="2372"/>
      <c r="BT672" s="2372"/>
      <c r="BU672" s="2372"/>
      <c r="BV672" s="2372"/>
      <c r="BW672" s="2372"/>
      <c r="BX672" s="2372"/>
      <c r="BY672" s="2372"/>
      <c r="BZ672" s="2372"/>
      <c r="CA672" s="2372"/>
      <c r="CB672" s="2372"/>
      <c r="CC672" s="2372"/>
      <c r="CD672" s="2372"/>
      <c r="CE672" s="2372"/>
      <c r="CF672" s="2372"/>
      <c r="CG672" s="2372"/>
      <c r="CH672" s="2372"/>
      <c r="CI672" s="2372"/>
      <c r="CJ672" s="2372"/>
      <c r="CK672" s="2372"/>
      <c r="CL672" s="2372"/>
      <c r="CM672" s="2372"/>
      <c r="CN672" s="2372"/>
      <c r="CO672" s="2372"/>
      <c r="CP672" s="2372"/>
      <c r="CQ672" s="2372"/>
      <c r="CR672" s="2372"/>
      <c r="CS672" s="2372"/>
      <c r="CT672" s="2372"/>
      <c r="CU672" s="2372"/>
      <c r="CV672" s="2372"/>
      <c r="CW672" s="2372"/>
      <c r="CX672" s="2372"/>
      <c r="CY672" s="2372"/>
      <c r="CZ672" s="2372"/>
      <c r="DA672" s="2372"/>
    </row>
    <row r="673" spans="1:105" ht="15" hidden="1" customHeight="1">
      <c r="A673" s="2372"/>
      <c r="B673" s="2372"/>
      <c r="C673" s="2372"/>
      <c r="D673" s="2372"/>
      <c r="E673" s="2372"/>
      <c r="F673" s="2372"/>
      <c r="G673" s="2372"/>
      <c r="H673" s="2372"/>
      <c r="I673" s="2372"/>
      <c r="J673" s="2372"/>
      <c r="K673" s="2372"/>
      <c r="L673" s="2372"/>
      <c r="M673" s="2372"/>
      <c r="N673" s="2372"/>
      <c r="O673" s="2372"/>
      <c r="P673" s="2372"/>
      <c r="Q673" s="2372"/>
      <c r="R673" s="2372"/>
      <c r="S673" s="2372"/>
      <c r="T673" s="2372"/>
      <c r="U673" s="2372"/>
      <c r="V673" s="2372"/>
      <c r="W673" s="2372"/>
      <c r="X673" s="2372"/>
      <c r="Y673" s="2372"/>
      <c r="Z673" s="2372"/>
      <c r="AA673" s="2372"/>
      <c r="AB673" s="2372"/>
      <c r="AC673" s="2372"/>
      <c r="AD673" s="2372"/>
      <c r="AE673" s="2372"/>
      <c r="AF673" s="2372"/>
      <c r="AG673" s="2372"/>
      <c r="AH673" s="2372"/>
      <c r="AI673" s="2372"/>
      <c r="AJ673" s="2372"/>
      <c r="AK673" s="2372"/>
      <c r="AL673" s="2372"/>
      <c r="AM673" s="2372"/>
      <c r="AN673" s="2372"/>
      <c r="AO673" s="2372"/>
      <c r="AP673" s="2372"/>
      <c r="AQ673" s="2372"/>
      <c r="AR673" s="2372"/>
      <c r="AS673" s="2372"/>
      <c r="AT673" s="2372"/>
      <c r="AU673" s="2372"/>
      <c r="AV673" s="2372"/>
      <c r="AW673" s="2372"/>
      <c r="AX673" s="2372"/>
      <c r="AY673" s="2372"/>
      <c r="AZ673" s="2372"/>
      <c r="BA673" s="2372"/>
      <c r="BB673" s="2372"/>
      <c r="BC673" s="2372"/>
      <c r="BD673" s="2372"/>
      <c r="BE673" s="2372"/>
      <c r="BF673" s="2372"/>
      <c r="BG673" s="2372"/>
      <c r="BH673" s="2372"/>
      <c r="BI673" s="2372"/>
      <c r="BJ673" s="2372"/>
      <c r="BK673" s="2372"/>
      <c r="BL673" s="2372"/>
      <c r="BM673" s="2372"/>
      <c r="BN673" s="2372"/>
      <c r="BO673" s="2372"/>
      <c r="BP673" s="2372"/>
      <c r="BQ673" s="2372"/>
      <c r="BR673" s="2372"/>
      <c r="BS673" s="2372"/>
      <c r="BT673" s="2372"/>
      <c r="BU673" s="2372"/>
      <c r="BV673" s="2372"/>
      <c r="BW673" s="2372"/>
      <c r="BX673" s="2372"/>
      <c r="BY673" s="2372"/>
      <c r="BZ673" s="2372"/>
      <c r="CA673" s="2372"/>
      <c r="CB673" s="2372"/>
      <c r="CC673" s="2372"/>
      <c r="CD673" s="2372"/>
      <c r="CE673" s="2372"/>
      <c r="CF673" s="2372"/>
      <c r="CG673" s="2372"/>
      <c r="CH673" s="2372"/>
      <c r="CI673" s="2372"/>
      <c r="CJ673" s="2372"/>
      <c r="CK673" s="2372"/>
      <c r="CL673" s="2372"/>
      <c r="CM673" s="2372"/>
      <c r="CN673" s="2372"/>
      <c r="CO673" s="2372"/>
      <c r="CP673" s="2372"/>
      <c r="CQ673" s="2372"/>
      <c r="CR673" s="2372"/>
      <c r="CS673" s="2372"/>
      <c r="CT673" s="2372"/>
      <c r="CU673" s="2372"/>
      <c r="CV673" s="2372"/>
      <c r="CW673" s="2372"/>
      <c r="CX673" s="2372"/>
      <c r="CY673" s="2372"/>
      <c r="CZ673" s="2372"/>
      <c r="DA673" s="2372"/>
    </row>
    <row r="674" spans="1:105" ht="15" hidden="1" customHeight="1">
      <c r="A674" s="2372"/>
      <c r="B674" s="2372"/>
      <c r="C674" s="2372"/>
      <c r="D674" s="2372"/>
      <c r="E674" s="2372"/>
      <c r="F674" s="2372"/>
      <c r="G674" s="2372"/>
      <c r="H674" s="2372"/>
      <c r="I674" s="2372"/>
      <c r="J674" s="2372"/>
      <c r="K674" s="2372"/>
      <c r="L674" s="2372"/>
      <c r="M674" s="2372"/>
      <c r="N674" s="2372"/>
      <c r="O674" s="2372"/>
      <c r="P674" s="2372"/>
      <c r="Q674" s="2372"/>
      <c r="R674" s="2372"/>
      <c r="S674" s="2372"/>
      <c r="T674" s="2372"/>
      <c r="U674" s="2372"/>
      <c r="V674" s="2372"/>
      <c r="W674" s="2372"/>
      <c r="X674" s="2372"/>
      <c r="Y674" s="2372"/>
      <c r="Z674" s="2372"/>
      <c r="AA674" s="2372"/>
      <c r="AB674" s="2372"/>
      <c r="AC674" s="2372"/>
      <c r="AD674" s="2372"/>
      <c r="AE674" s="2372"/>
      <c r="AF674" s="2372"/>
      <c r="AG674" s="2372"/>
      <c r="AH674" s="2372"/>
      <c r="AI674" s="2372"/>
      <c r="AJ674" s="2372"/>
      <c r="AK674" s="2372"/>
      <c r="AL674" s="2372"/>
      <c r="AM674" s="2372"/>
      <c r="AN674" s="2372"/>
      <c r="AO674" s="2372"/>
      <c r="AP674" s="2372"/>
      <c r="AQ674" s="2372"/>
      <c r="AR674" s="2372"/>
      <c r="AS674" s="2372"/>
      <c r="AT674" s="2372"/>
      <c r="AU674" s="2372"/>
      <c r="AV674" s="2372"/>
      <c r="AW674" s="2372"/>
      <c r="AX674" s="2372"/>
      <c r="AY674" s="2372"/>
      <c r="AZ674" s="2372"/>
      <c r="BA674" s="2372"/>
      <c r="BB674" s="2372"/>
      <c r="BC674" s="2372"/>
      <c r="BD674" s="2372"/>
      <c r="BE674" s="2372"/>
      <c r="BF674" s="2372"/>
      <c r="BG674" s="2372"/>
      <c r="BH674" s="2372"/>
      <c r="BI674" s="2372"/>
      <c r="BJ674" s="2372"/>
      <c r="BK674" s="2372"/>
      <c r="BL674" s="2372"/>
      <c r="BM674" s="2372"/>
      <c r="BN674" s="2372"/>
      <c r="BO674" s="2372"/>
      <c r="BP674" s="2372"/>
      <c r="BQ674" s="2372"/>
      <c r="BR674" s="2372"/>
      <c r="BS674" s="2372"/>
      <c r="BT674" s="2372"/>
      <c r="BU674" s="2372"/>
      <c r="BV674" s="2372"/>
      <c r="BW674" s="2372"/>
      <c r="BX674" s="2372"/>
      <c r="BY674" s="2372"/>
      <c r="BZ674" s="2372"/>
      <c r="CA674" s="2372"/>
      <c r="CB674" s="2372"/>
      <c r="CC674" s="2372"/>
      <c r="CD674" s="2372"/>
      <c r="CE674" s="2372"/>
      <c r="CF674" s="2372"/>
      <c r="CG674" s="2372"/>
      <c r="CH674" s="2372"/>
      <c r="CI674" s="2372"/>
      <c r="CJ674" s="2372"/>
      <c r="CK674" s="2372"/>
      <c r="CL674" s="2372"/>
      <c r="CM674" s="2372"/>
      <c r="CN674" s="2372"/>
      <c r="CO674" s="2372"/>
      <c r="CP674" s="2372"/>
      <c r="CQ674" s="2372"/>
      <c r="CR674" s="2372"/>
      <c r="CS674" s="2372"/>
      <c r="CT674" s="2372"/>
      <c r="CU674" s="2372"/>
      <c r="CV674" s="2372"/>
      <c r="CW674" s="2372"/>
      <c r="CX674" s="2372"/>
      <c r="CY674" s="2372"/>
      <c r="CZ674" s="2372"/>
      <c r="DA674" s="2372"/>
    </row>
    <row r="675" spans="1:105" ht="15" hidden="1" customHeight="1">
      <c r="A675" s="2372"/>
      <c r="B675" s="2372"/>
      <c r="C675" s="2372"/>
      <c r="D675" s="2372"/>
      <c r="E675" s="2372"/>
      <c r="F675" s="2372"/>
      <c r="G675" s="2372"/>
      <c r="H675" s="2372"/>
      <c r="I675" s="2372"/>
      <c r="J675" s="2372"/>
      <c r="K675" s="2372"/>
      <c r="L675" s="2372"/>
      <c r="M675" s="2372"/>
      <c r="N675" s="2372"/>
      <c r="O675" s="2372"/>
      <c r="P675" s="2372"/>
      <c r="Q675" s="2372"/>
      <c r="R675" s="2372"/>
      <c r="S675" s="2372"/>
      <c r="T675" s="2372"/>
      <c r="U675" s="2372"/>
      <c r="V675" s="2372"/>
      <c r="W675" s="2372"/>
      <c r="X675" s="2372"/>
      <c r="Y675" s="2372"/>
      <c r="Z675" s="2372"/>
      <c r="AA675" s="2372"/>
      <c r="AB675" s="2372"/>
      <c r="AC675" s="2372"/>
      <c r="AD675" s="2372"/>
      <c r="AE675" s="2372"/>
      <c r="AF675" s="2372"/>
      <c r="AG675" s="2372"/>
      <c r="AH675" s="2372"/>
      <c r="AI675" s="2372"/>
      <c r="AJ675" s="2372"/>
      <c r="AK675" s="2372"/>
      <c r="AL675" s="2372"/>
      <c r="AM675" s="2372"/>
      <c r="AN675" s="2372"/>
      <c r="AO675" s="2372"/>
      <c r="AP675" s="2372"/>
      <c r="AQ675" s="2372"/>
      <c r="AR675" s="2372"/>
      <c r="AS675" s="2372"/>
      <c r="AT675" s="2372"/>
      <c r="AU675" s="2372"/>
      <c r="AV675" s="2372"/>
      <c r="AW675" s="2372"/>
      <c r="AX675" s="2372"/>
      <c r="AY675" s="2372"/>
      <c r="AZ675" s="2372"/>
      <c r="BA675" s="2372"/>
      <c r="BB675" s="2372"/>
      <c r="BC675" s="2372"/>
      <c r="BD675" s="2372"/>
      <c r="BE675" s="2372"/>
      <c r="BF675" s="2372"/>
      <c r="BG675" s="2372"/>
      <c r="BH675" s="2372"/>
      <c r="BI675" s="2372"/>
      <c r="BJ675" s="2372"/>
      <c r="BK675" s="2372"/>
      <c r="BL675" s="2372"/>
      <c r="BM675" s="2372"/>
      <c r="BN675" s="2372"/>
      <c r="BO675" s="2372"/>
      <c r="BP675" s="2372"/>
      <c r="BQ675" s="2372"/>
      <c r="BR675" s="2372"/>
      <c r="BS675" s="2372"/>
      <c r="BT675" s="2372"/>
      <c r="BU675" s="2372"/>
      <c r="BV675" s="2372"/>
      <c r="BW675" s="2372"/>
      <c r="BX675" s="2372"/>
      <c r="BY675" s="2372"/>
      <c r="BZ675" s="2372"/>
      <c r="CA675" s="2372"/>
      <c r="CB675" s="2372"/>
      <c r="CC675" s="2372"/>
      <c r="CD675" s="2372"/>
      <c r="CE675" s="2372"/>
      <c r="CF675" s="2372"/>
      <c r="CG675" s="2372"/>
      <c r="CH675" s="2372"/>
      <c r="CI675" s="2372"/>
      <c r="CJ675" s="2372"/>
      <c r="CK675" s="2372"/>
      <c r="CL675" s="2372"/>
      <c r="CM675" s="2372"/>
      <c r="CN675" s="2372"/>
      <c r="CO675" s="2372"/>
      <c r="CP675" s="2372"/>
      <c r="CQ675" s="2372"/>
      <c r="CR675" s="2372"/>
      <c r="CS675" s="2372"/>
      <c r="CT675" s="2372"/>
      <c r="CU675" s="2372"/>
      <c r="CV675" s="2372"/>
      <c r="CW675" s="2372"/>
      <c r="CX675" s="2372"/>
      <c r="CY675" s="2372"/>
      <c r="CZ675" s="2372"/>
      <c r="DA675" s="2372"/>
    </row>
    <row r="676" spans="1:105" ht="15" hidden="1" customHeight="1">
      <c r="A676" s="2372"/>
      <c r="B676" s="2372"/>
      <c r="C676" s="2372"/>
      <c r="D676" s="2372"/>
      <c r="E676" s="2372"/>
      <c r="F676" s="2372"/>
      <c r="G676" s="2372"/>
      <c r="H676" s="2372"/>
      <c r="I676" s="2372"/>
      <c r="J676" s="2372"/>
      <c r="K676" s="2372"/>
      <c r="L676" s="2372"/>
      <c r="M676" s="2372"/>
      <c r="N676" s="2372"/>
      <c r="O676" s="2372"/>
      <c r="P676" s="2372"/>
      <c r="Q676" s="2372"/>
      <c r="R676" s="2372"/>
      <c r="S676" s="2372"/>
      <c r="T676" s="2372"/>
      <c r="U676" s="2372"/>
      <c r="V676" s="2372"/>
      <c r="W676" s="2372"/>
      <c r="X676" s="2372"/>
      <c r="Y676" s="2372"/>
      <c r="Z676" s="2372"/>
      <c r="AA676" s="2372"/>
      <c r="AB676" s="2372"/>
      <c r="AC676" s="2372"/>
      <c r="AD676" s="2372"/>
      <c r="AE676" s="2372"/>
      <c r="AF676" s="2372"/>
      <c r="AG676" s="2372"/>
      <c r="AH676" s="2372"/>
      <c r="AI676" s="2372"/>
      <c r="AJ676" s="2372"/>
      <c r="AK676" s="2372"/>
      <c r="AL676" s="2372"/>
      <c r="AM676" s="2372"/>
      <c r="AN676" s="2372"/>
      <c r="AO676" s="2372"/>
      <c r="AP676" s="2372"/>
      <c r="AQ676" s="2372"/>
      <c r="AR676" s="2372"/>
      <c r="AS676" s="2372"/>
      <c r="AT676" s="2372"/>
      <c r="AU676" s="2372"/>
      <c r="AV676" s="2372"/>
      <c r="AW676" s="2372"/>
      <c r="AX676" s="2372"/>
      <c r="AY676" s="2372"/>
      <c r="AZ676" s="2372"/>
      <c r="BA676" s="2372"/>
      <c r="BB676" s="2372"/>
      <c r="BC676" s="2372"/>
      <c r="BD676" s="2372"/>
      <c r="BE676" s="2372"/>
      <c r="BF676" s="2372"/>
      <c r="BG676" s="2372"/>
      <c r="BH676" s="2372"/>
      <c r="BI676" s="2372"/>
      <c r="BJ676" s="2372"/>
      <c r="BK676" s="2372"/>
      <c r="BL676" s="2372"/>
      <c r="BM676" s="2372"/>
      <c r="BN676" s="2372"/>
      <c r="BO676" s="2372"/>
      <c r="BP676" s="2372"/>
      <c r="BQ676" s="2372"/>
      <c r="BR676" s="2372"/>
      <c r="BS676" s="2372"/>
      <c r="BT676" s="2372"/>
      <c r="BU676" s="2372"/>
      <c r="BV676" s="2372"/>
      <c r="BW676" s="2372"/>
      <c r="BX676" s="2372"/>
      <c r="BY676" s="2372"/>
      <c r="BZ676" s="2372"/>
      <c r="CA676" s="2372"/>
      <c r="CB676" s="2372"/>
      <c r="CC676" s="2372"/>
      <c r="CD676" s="2372"/>
      <c r="CE676" s="2372"/>
      <c r="CF676" s="2372"/>
      <c r="CG676" s="2372"/>
      <c r="CH676" s="2372"/>
      <c r="CI676" s="2372"/>
      <c r="CJ676" s="2372"/>
      <c r="CK676" s="2372"/>
      <c r="CL676" s="2372"/>
      <c r="CM676" s="2372"/>
      <c r="CN676" s="2372"/>
      <c r="CO676" s="2372"/>
      <c r="CP676" s="2372"/>
      <c r="CQ676" s="2372"/>
      <c r="CR676" s="2372"/>
      <c r="CS676" s="2372"/>
      <c r="CT676" s="2372"/>
      <c r="CU676" s="2372"/>
      <c r="CV676" s="2372"/>
      <c r="CW676" s="2372"/>
      <c r="CX676" s="2372"/>
      <c r="CY676" s="2372"/>
      <c r="CZ676" s="2372"/>
      <c r="DA676" s="2372"/>
    </row>
    <row r="677" spans="1:105" ht="15" hidden="1" customHeight="1">
      <c r="A677" s="2372"/>
      <c r="B677" s="2372"/>
      <c r="C677" s="2372"/>
      <c r="D677" s="2372"/>
      <c r="E677" s="2372"/>
      <c r="F677" s="2372"/>
      <c r="G677" s="2372"/>
      <c r="H677" s="2372"/>
      <c r="I677" s="2372"/>
      <c r="J677" s="2372"/>
      <c r="K677" s="2372"/>
      <c r="L677" s="2372"/>
      <c r="M677" s="2372"/>
      <c r="N677" s="2372"/>
      <c r="O677" s="2372"/>
      <c r="P677" s="2372"/>
      <c r="Q677" s="2372"/>
      <c r="R677" s="2372"/>
      <c r="S677" s="2372"/>
      <c r="T677" s="2372"/>
      <c r="U677" s="2372"/>
      <c r="V677" s="2372"/>
      <c r="W677" s="2372"/>
      <c r="X677" s="2372"/>
      <c r="Y677" s="2372"/>
      <c r="Z677" s="2372"/>
      <c r="AA677" s="2372"/>
      <c r="AB677" s="2372"/>
      <c r="AC677" s="2372"/>
      <c r="AD677" s="2372"/>
      <c r="AE677" s="2372"/>
      <c r="AF677" s="2372"/>
      <c r="AG677" s="2372"/>
      <c r="AH677" s="2372"/>
      <c r="AI677" s="2372"/>
      <c r="AJ677" s="2372"/>
      <c r="AK677" s="2372"/>
      <c r="AL677" s="2372"/>
      <c r="AM677" s="2372"/>
      <c r="AN677" s="2372"/>
      <c r="AO677" s="2372"/>
      <c r="AP677" s="2372"/>
      <c r="AQ677" s="2372"/>
      <c r="AR677" s="2372"/>
      <c r="AS677" s="2372"/>
      <c r="AT677" s="2372"/>
      <c r="AU677" s="2372"/>
      <c r="AV677" s="2372"/>
      <c r="AW677" s="2372"/>
      <c r="AX677" s="2372"/>
      <c r="AY677" s="2372"/>
      <c r="AZ677" s="2372"/>
      <c r="BA677" s="2372"/>
      <c r="BB677" s="2372"/>
      <c r="BC677" s="2372"/>
      <c r="BD677" s="2372"/>
      <c r="BE677" s="2372"/>
      <c r="BF677" s="2372"/>
      <c r="BG677" s="2372"/>
      <c r="BH677" s="2372"/>
      <c r="BI677" s="2372"/>
      <c r="BJ677" s="2372"/>
      <c r="BK677" s="2372"/>
      <c r="BL677" s="2372"/>
      <c r="BM677" s="2372"/>
      <c r="BN677" s="2372"/>
      <c r="BO677" s="2372"/>
      <c r="BP677" s="2372"/>
      <c r="BQ677" s="2372"/>
      <c r="BR677" s="2372"/>
      <c r="BS677" s="2372"/>
      <c r="BT677" s="2372"/>
      <c r="BU677" s="2372"/>
      <c r="BV677" s="2372"/>
      <c r="BW677" s="2372"/>
      <c r="BX677" s="2372"/>
      <c r="BY677" s="2372"/>
      <c r="BZ677" s="2372"/>
      <c r="CA677" s="2372"/>
      <c r="CB677" s="2372"/>
      <c r="CC677" s="2372"/>
      <c r="CD677" s="2372"/>
      <c r="CE677" s="2372"/>
      <c r="CF677" s="2372"/>
      <c r="CG677" s="2372"/>
      <c r="CH677" s="2372"/>
      <c r="CI677" s="2372"/>
      <c r="CJ677" s="2372"/>
      <c r="CK677" s="2372"/>
      <c r="CL677" s="2372"/>
      <c r="CM677" s="2372"/>
      <c r="CN677" s="2372"/>
      <c r="CO677" s="2372"/>
      <c r="CP677" s="2372"/>
      <c r="CQ677" s="2372"/>
      <c r="CR677" s="2372"/>
      <c r="CS677" s="2372"/>
      <c r="CT677" s="2372"/>
      <c r="CU677" s="2372"/>
      <c r="CV677" s="2372"/>
      <c r="CW677" s="2372"/>
      <c r="CX677" s="2372"/>
      <c r="CY677" s="2372"/>
      <c r="CZ677" s="2372"/>
      <c r="DA677" s="2372"/>
    </row>
    <row r="678" spans="1:105" ht="15" hidden="1" customHeight="1">
      <c r="A678" s="2372"/>
      <c r="B678" s="2372"/>
      <c r="C678" s="2372"/>
      <c r="D678" s="2372"/>
      <c r="E678" s="2372"/>
      <c r="F678" s="2372"/>
      <c r="G678" s="2372"/>
      <c r="H678" s="2372"/>
      <c r="I678" s="2372"/>
      <c r="J678" s="2372"/>
      <c r="K678" s="2372"/>
      <c r="L678" s="2372"/>
      <c r="M678" s="2372"/>
      <c r="N678" s="2372"/>
      <c r="O678" s="2372"/>
      <c r="P678" s="2372"/>
      <c r="Q678" s="2372"/>
      <c r="R678" s="2372"/>
      <c r="S678" s="2372"/>
      <c r="T678" s="2372"/>
      <c r="U678" s="2372"/>
      <c r="V678" s="2372"/>
      <c r="W678" s="2372"/>
      <c r="X678" s="2372"/>
      <c r="Y678" s="2372"/>
      <c r="Z678" s="2372"/>
      <c r="AA678" s="2372"/>
      <c r="AB678" s="2372"/>
      <c r="AC678" s="2372"/>
      <c r="AD678" s="2372"/>
      <c r="AE678" s="2372"/>
      <c r="AF678" s="2372"/>
      <c r="AG678" s="2372"/>
      <c r="AH678" s="2372"/>
      <c r="AI678" s="2372"/>
      <c r="AJ678" s="2372"/>
      <c r="AK678" s="2372"/>
      <c r="AL678" s="2372"/>
      <c r="AM678" s="2372"/>
      <c r="AN678" s="2372"/>
      <c r="AO678" s="2372"/>
      <c r="AP678" s="2372"/>
      <c r="AQ678" s="2372"/>
      <c r="AR678" s="2372"/>
      <c r="AS678" s="2372"/>
      <c r="AT678" s="2372"/>
      <c r="AU678" s="2372"/>
      <c r="AV678" s="2372"/>
      <c r="AW678" s="2372"/>
      <c r="AX678" s="2372"/>
      <c r="AY678" s="2372"/>
      <c r="AZ678" s="2372"/>
      <c r="BA678" s="2372"/>
      <c r="BB678" s="2372"/>
      <c r="BC678" s="2372"/>
      <c r="BD678" s="2372"/>
      <c r="BE678" s="2372"/>
      <c r="BF678" s="2372"/>
      <c r="BG678" s="2372"/>
      <c r="BH678" s="2372"/>
      <c r="BI678" s="2372"/>
      <c r="BJ678" s="2372"/>
      <c r="BK678" s="2372"/>
      <c r="BL678" s="2372"/>
      <c r="BM678" s="2372"/>
      <c r="BN678" s="2372"/>
      <c r="BO678" s="2372"/>
      <c r="BP678" s="2372"/>
      <c r="BQ678" s="2372"/>
      <c r="BR678" s="2372"/>
      <c r="BS678" s="2372"/>
      <c r="BT678" s="2372"/>
      <c r="BU678" s="2372"/>
      <c r="BV678" s="2372"/>
      <c r="BW678" s="2372"/>
      <c r="BX678" s="2372"/>
      <c r="BY678" s="2372"/>
      <c r="BZ678" s="2372"/>
      <c r="CA678" s="2372"/>
      <c r="CB678" s="2372"/>
      <c r="CC678" s="2372"/>
      <c r="CD678" s="2372"/>
      <c r="CE678" s="2372"/>
      <c r="CF678" s="2372"/>
      <c r="CG678" s="2372"/>
      <c r="CH678" s="2372"/>
      <c r="CI678" s="2372"/>
      <c r="CJ678" s="2372"/>
      <c r="CK678" s="2372"/>
      <c r="CL678" s="2372"/>
      <c r="CM678" s="2372"/>
      <c r="CN678" s="2372"/>
      <c r="CO678" s="2372"/>
      <c r="CP678" s="2372"/>
      <c r="CQ678" s="2372"/>
      <c r="CR678" s="2372"/>
      <c r="CS678" s="2372"/>
      <c r="CT678" s="2372"/>
      <c r="CU678" s="2372"/>
      <c r="CV678" s="2372"/>
      <c r="CW678" s="2372"/>
      <c r="CX678" s="2372"/>
      <c r="CY678" s="2372"/>
      <c r="CZ678" s="2372"/>
      <c r="DA678" s="2372"/>
    </row>
    <row r="679" spans="1:105" ht="15" hidden="1" customHeight="1">
      <c r="A679" s="2372"/>
      <c r="B679" s="2372"/>
      <c r="C679" s="2372"/>
      <c r="D679" s="2372"/>
      <c r="E679" s="2372"/>
      <c r="F679" s="2372"/>
      <c r="G679" s="2372"/>
      <c r="H679" s="2372"/>
      <c r="I679" s="2372"/>
      <c r="J679" s="2372"/>
      <c r="K679" s="2372"/>
      <c r="L679" s="2372"/>
      <c r="M679" s="2372"/>
      <c r="N679" s="2372"/>
      <c r="O679" s="2372"/>
      <c r="P679" s="2372"/>
      <c r="Q679" s="2372"/>
      <c r="R679" s="2372"/>
      <c r="S679" s="2372"/>
      <c r="T679" s="2372"/>
      <c r="U679" s="2372"/>
      <c r="V679" s="2372"/>
      <c r="W679" s="2372"/>
      <c r="X679" s="2372"/>
      <c r="Y679" s="2372"/>
      <c r="Z679" s="2372"/>
      <c r="AA679" s="2372"/>
      <c r="AB679" s="2372"/>
      <c r="AC679" s="2372"/>
      <c r="AD679" s="2372"/>
      <c r="AE679" s="2372"/>
      <c r="AF679" s="2372"/>
      <c r="AG679" s="2372"/>
      <c r="AH679" s="2372"/>
      <c r="AI679" s="2372"/>
      <c r="AJ679" s="2372"/>
      <c r="AK679" s="2372"/>
      <c r="AL679" s="2372"/>
      <c r="AM679" s="2372"/>
      <c r="AN679" s="2372"/>
      <c r="AO679" s="2372"/>
      <c r="AP679" s="2372"/>
      <c r="AQ679" s="2372"/>
      <c r="AR679" s="2372"/>
      <c r="AS679" s="2372"/>
      <c r="AT679" s="2372"/>
      <c r="AU679" s="2372"/>
      <c r="AV679" s="2372"/>
      <c r="AW679" s="2372"/>
      <c r="AX679" s="2372"/>
      <c r="AY679" s="2372"/>
      <c r="AZ679" s="2372"/>
      <c r="BA679" s="2372"/>
      <c r="BB679" s="2372"/>
      <c r="BC679" s="2372"/>
      <c r="BD679" s="2372"/>
      <c r="BE679" s="2372"/>
      <c r="BF679" s="2372"/>
      <c r="BG679" s="2372"/>
      <c r="BH679" s="2372"/>
      <c r="BI679" s="2372"/>
      <c r="BJ679" s="2372"/>
      <c r="BK679" s="2372"/>
      <c r="BL679" s="2372"/>
      <c r="BM679" s="2372"/>
      <c r="BN679" s="2372"/>
      <c r="BO679" s="2372"/>
      <c r="BP679" s="2372"/>
      <c r="BQ679" s="2372"/>
      <c r="BR679" s="2372"/>
      <c r="BS679" s="2372"/>
      <c r="BT679" s="2372"/>
      <c r="BU679" s="2372"/>
      <c r="BV679" s="2372"/>
      <c r="BW679" s="2372"/>
      <c r="BX679" s="2372"/>
      <c r="BY679" s="2372"/>
      <c r="BZ679" s="2372"/>
      <c r="CA679" s="2372"/>
      <c r="CB679" s="2372"/>
      <c r="CC679" s="2372"/>
      <c r="CD679" s="2372"/>
      <c r="CE679" s="2372"/>
      <c r="CF679" s="2372"/>
      <c r="CG679" s="2372"/>
      <c r="CH679" s="2372"/>
      <c r="CI679" s="2372"/>
      <c r="CJ679" s="2372"/>
      <c r="CK679" s="2372"/>
      <c r="CL679" s="2372"/>
      <c r="CM679" s="2372"/>
      <c r="CN679" s="2372"/>
      <c r="CO679" s="2372"/>
      <c r="CP679" s="2372"/>
      <c r="CQ679" s="2372"/>
      <c r="CR679" s="2372"/>
      <c r="CS679" s="2372"/>
      <c r="CT679" s="2372"/>
      <c r="CU679" s="2372"/>
      <c r="CV679" s="2372"/>
      <c r="CW679" s="2372"/>
      <c r="CX679" s="2372"/>
      <c r="CY679" s="2372"/>
      <c r="CZ679" s="2372"/>
      <c r="DA679" s="2372"/>
    </row>
    <row r="680" spans="1:105" ht="15" hidden="1" customHeight="1">
      <c r="A680" s="2372"/>
      <c r="B680" s="2372"/>
      <c r="C680" s="2372"/>
      <c r="D680" s="2372"/>
      <c r="E680" s="2372"/>
      <c r="F680" s="2372"/>
      <c r="G680" s="2372"/>
      <c r="H680" s="2372"/>
      <c r="I680" s="2372"/>
      <c r="J680" s="2372"/>
      <c r="K680" s="2372"/>
      <c r="L680" s="2372"/>
      <c r="M680" s="2372"/>
      <c r="N680" s="2372"/>
      <c r="O680" s="2372"/>
      <c r="P680" s="2372"/>
      <c r="Q680" s="2372"/>
      <c r="R680" s="2372"/>
      <c r="S680" s="2372"/>
      <c r="T680" s="2372"/>
      <c r="U680" s="2372"/>
      <c r="V680" s="2372"/>
      <c r="W680" s="2372"/>
      <c r="X680" s="2372"/>
      <c r="Y680" s="2372"/>
      <c r="Z680" s="2372"/>
      <c r="AA680" s="2372"/>
      <c r="AB680" s="2372"/>
      <c r="AC680" s="2372"/>
      <c r="AD680" s="2372"/>
      <c r="AE680" s="2372"/>
      <c r="AF680" s="2372"/>
      <c r="AG680" s="2372"/>
      <c r="AH680" s="2372"/>
      <c r="AI680" s="2372"/>
      <c r="AJ680" s="2372"/>
      <c r="AK680" s="2372"/>
      <c r="AL680" s="2372"/>
      <c r="AM680" s="2372"/>
      <c r="AN680" s="2372"/>
      <c r="AO680" s="2372"/>
      <c r="AP680" s="2372"/>
      <c r="AQ680" s="2372"/>
      <c r="AR680" s="2372"/>
      <c r="AS680" s="2372"/>
      <c r="AT680" s="2372"/>
      <c r="AU680" s="2372"/>
      <c r="AV680" s="2372"/>
      <c r="AW680" s="2372"/>
      <c r="AX680" s="2372"/>
      <c r="AY680" s="2372"/>
      <c r="AZ680" s="2372"/>
      <c r="BA680" s="2372"/>
      <c r="BB680" s="2372"/>
      <c r="BC680" s="2372"/>
      <c r="BD680" s="2372"/>
      <c r="BE680" s="2372"/>
      <c r="BF680" s="2372"/>
      <c r="BG680" s="2372"/>
      <c r="BH680" s="2372"/>
      <c r="BI680" s="2372"/>
      <c r="BJ680" s="2372"/>
      <c r="BK680" s="2372"/>
      <c r="BL680" s="2372"/>
      <c r="BM680" s="2372"/>
      <c r="BN680" s="2372"/>
      <c r="BO680" s="2372"/>
      <c r="BP680" s="2372"/>
      <c r="BQ680" s="2372"/>
      <c r="BR680" s="2372"/>
      <c r="BS680" s="2372"/>
      <c r="BT680" s="2372"/>
      <c r="BU680" s="2372"/>
      <c r="BV680" s="2372"/>
      <c r="BW680" s="2372"/>
      <c r="BX680" s="2372"/>
      <c r="BY680" s="2372"/>
      <c r="BZ680" s="2372"/>
      <c r="CA680" s="2372"/>
      <c r="CB680" s="2372"/>
      <c r="CC680" s="2372"/>
      <c r="CD680" s="2372"/>
      <c r="CE680" s="2372"/>
      <c r="CF680" s="2372"/>
      <c r="CG680" s="2372"/>
      <c r="CH680" s="2372"/>
      <c r="CI680" s="2372"/>
      <c r="CJ680" s="2372"/>
      <c r="CK680" s="2372"/>
      <c r="CL680" s="2372"/>
      <c r="CM680" s="2372"/>
      <c r="CN680" s="2372"/>
      <c r="CO680" s="2372"/>
      <c r="CP680" s="2372"/>
      <c r="CQ680" s="2372"/>
      <c r="CR680" s="2372"/>
      <c r="CS680" s="2372"/>
      <c r="CT680" s="2372"/>
      <c r="CU680" s="2372"/>
      <c r="CV680" s="2372"/>
      <c r="CW680" s="2372"/>
      <c r="CX680" s="2372"/>
      <c r="CY680" s="2372"/>
      <c r="CZ680" s="2372"/>
      <c r="DA680" s="2372"/>
    </row>
    <row r="681" spans="1:105" ht="15" hidden="1" customHeight="1">
      <c r="A681" s="2372"/>
      <c r="B681" s="2372"/>
      <c r="C681" s="2372"/>
      <c r="D681" s="2372"/>
      <c r="E681" s="2372"/>
      <c r="F681" s="2372"/>
      <c r="G681" s="2372"/>
      <c r="H681" s="2372"/>
      <c r="I681" s="2372"/>
      <c r="J681" s="2372"/>
      <c r="K681" s="2372"/>
      <c r="L681" s="2372"/>
      <c r="M681" s="2372"/>
      <c r="N681" s="2372"/>
      <c r="O681" s="2372"/>
      <c r="P681" s="2372"/>
      <c r="Q681" s="2372"/>
      <c r="R681" s="2372"/>
      <c r="S681" s="2372"/>
      <c r="T681" s="2372"/>
      <c r="U681" s="2372"/>
      <c r="V681" s="2372"/>
      <c r="W681" s="2372"/>
      <c r="X681" s="2372"/>
      <c r="Y681" s="2372"/>
      <c r="Z681" s="2372"/>
      <c r="AA681" s="2372"/>
      <c r="AB681" s="2372"/>
      <c r="AC681" s="2372"/>
      <c r="AD681" s="2372"/>
      <c r="AE681" s="2372"/>
      <c r="AF681" s="2372"/>
      <c r="AG681" s="2372"/>
      <c r="AH681" s="2372"/>
      <c r="AI681" s="2372"/>
      <c r="AJ681" s="2372"/>
      <c r="AK681" s="2372"/>
      <c r="AL681" s="2372"/>
      <c r="AM681" s="2372"/>
      <c r="AN681" s="2372"/>
      <c r="AO681" s="2372"/>
      <c r="AP681" s="2372"/>
      <c r="AQ681" s="2372"/>
      <c r="AR681" s="2372"/>
      <c r="AS681" s="2372"/>
      <c r="AT681" s="2372"/>
      <c r="AU681" s="2372"/>
      <c r="AV681" s="2372"/>
      <c r="AW681" s="2372"/>
      <c r="AX681" s="2372"/>
      <c r="AY681" s="2372"/>
      <c r="AZ681" s="2372"/>
      <c r="BA681" s="2372"/>
      <c r="BB681" s="2372"/>
      <c r="BC681" s="2372"/>
      <c r="BD681" s="2372"/>
      <c r="BE681" s="2372"/>
      <c r="BF681" s="2372"/>
      <c r="BG681" s="2372"/>
      <c r="BH681" s="2372"/>
      <c r="BI681" s="2372"/>
      <c r="BJ681" s="2372"/>
      <c r="BK681" s="2372"/>
      <c r="BL681" s="2372"/>
      <c r="BM681" s="2372"/>
      <c r="BN681" s="2372"/>
      <c r="BO681" s="2372"/>
      <c r="BP681" s="2372"/>
      <c r="BQ681" s="2372"/>
      <c r="BR681" s="2372"/>
      <c r="BS681" s="2372"/>
      <c r="BT681" s="2372"/>
      <c r="BU681" s="2372"/>
      <c r="BV681" s="2372"/>
      <c r="BW681" s="2372"/>
      <c r="BX681" s="2372"/>
      <c r="BY681" s="2372"/>
      <c r="BZ681" s="2372"/>
      <c r="CA681" s="2372"/>
      <c r="CB681" s="2372"/>
      <c r="CC681" s="2372"/>
      <c r="CD681" s="2372"/>
      <c r="CE681" s="2372"/>
      <c r="CF681" s="2372"/>
      <c r="CG681" s="2372"/>
      <c r="CH681" s="2372"/>
      <c r="CI681" s="2372"/>
      <c r="CJ681" s="2372"/>
      <c r="CK681" s="2372"/>
      <c r="CL681" s="2372"/>
      <c r="CM681" s="2372"/>
      <c r="CN681" s="2372"/>
      <c r="CO681" s="2372"/>
      <c r="CP681" s="2372"/>
      <c r="CQ681" s="2372"/>
      <c r="CR681" s="2372"/>
      <c r="CS681" s="2372"/>
      <c r="CT681" s="2372"/>
      <c r="CU681" s="2372"/>
      <c r="CV681" s="2372"/>
      <c r="CW681" s="2372"/>
      <c r="CX681" s="2372"/>
      <c r="CY681" s="2372"/>
      <c r="CZ681" s="2372"/>
      <c r="DA681" s="2372"/>
    </row>
    <row r="682" spans="1:105" ht="15" hidden="1" customHeight="1">
      <c r="A682" s="2372"/>
      <c r="B682" s="2372"/>
      <c r="C682" s="2372"/>
      <c r="D682" s="2372"/>
      <c r="E682" s="2372"/>
      <c r="F682" s="2372"/>
      <c r="G682" s="2372"/>
      <c r="H682" s="2372"/>
      <c r="I682" s="2372"/>
      <c r="J682" s="2372"/>
      <c r="K682" s="2372"/>
      <c r="L682" s="2372"/>
      <c r="M682" s="2372"/>
      <c r="N682" s="2372"/>
      <c r="O682" s="2372"/>
      <c r="P682" s="2372"/>
      <c r="Q682" s="2372"/>
      <c r="R682" s="2372"/>
      <c r="S682" s="2372"/>
      <c r="T682" s="2372"/>
      <c r="U682" s="2372"/>
      <c r="V682" s="2372"/>
      <c r="W682" s="2372"/>
      <c r="X682" s="2372"/>
      <c r="Y682" s="2372"/>
      <c r="Z682" s="2372"/>
      <c r="AA682" s="2372"/>
      <c r="AB682" s="2372"/>
      <c r="AC682" s="2372"/>
      <c r="AD682" s="2372"/>
      <c r="AE682" s="2372"/>
      <c r="AF682" s="2372"/>
      <c r="AG682" s="2372"/>
      <c r="AH682" s="2372"/>
      <c r="AI682" s="2372"/>
      <c r="AJ682" s="2372"/>
      <c r="AK682" s="2372"/>
      <c r="AL682" s="2372"/>
      <c r="AM682" s="2372"/>
      <c r="AN682" s="2372"/>
      <c r="AO682" s="2372"/>
      <c r="AP682" s="2372"/>
      <c r="AQ682" s="2372"/>
      <c r="AR682" s="2372"/>
      <c r="AS682" s="2372"/>
      <c r="AT682" s="2372"/>
      <c r="AU682" s="2372"/>
      <c r="AV682" s="2372"/>
      <c r="AW682" s="2372"/>
      <c r="AX682" s="2372"/>
      <c r="AY682" s="2372"/>
      <c r="AZ682" s="2372"/>
      <c r="BA682" s="2372"/>
      <c r="BB682" s="2372"/>
      <c r="BC682" s="2372"/>
      <c r="BD682" s="2372"/>
      <c r="BE682" s="2372"/>
      <c r="BF682" s="2372"/>
      <c r="BG682" s="2372"/>
      <c r="BH682" s="2372"/>
      <c r="BI682" s="2372"/>
      <c r="BJ682" s="2372"/>
      <c r="BK682" s="2372"/>
      <c r="BL682" s="2372"/>
      <c r="BM682" s="2372"/>
      <c r="BN682" s="2372"/>
      <c r="BO682" s="2372"/>
      <c r="BP682" s="2372"/>
      <c r="BQ682" s="2372"/>
      <c r="BR682" s="2372"/>
      <c r="BS682" s="2372"/>
      <c r="BT682" s="2372"/>
      <c r="BU682" s="2372"/>
      <c r="BV682" s="2372"/>
      <c r="BW682" s="2372"/>
      <c r="BX682" s="2372"/>
      <c r="BY682" s="2372"/>
      <c r="BZ682" s="2372"/>
      <c r="CA682" s="2372"/>
      <c r="CB682" s="2372"/>
      <c r="CC682" s="2372"/>
      <c r="CD682" s="2372"/>
      <c r="CE682" s="2372"/>
      <c r="CF682" s="2372"/>
      <c r="CG682" s="2372"/>
      <c r="CH682" s="2372"/>
      <c r="CI682" s="2372"/>
      <c r="CJ682" s="2372"/>
      <c r="CK682" s="2372"/>
      <c r="CL682" s="2372"/>
      <c r="CM682" s="2372"/>
      <c r="CN682" s="2372"/>
      <c r="CO682" s="2372"/>
      <c r="CP682" s="2372"/>
      <c r="CQ682" s="2372"/>
      <c r="CR682" s="2372"/>
      <c r="CS682" s="2372"/>
      <c r="CT682" s="2372"/>
      <c r="CU682" s="2372"/>
      <c r="CV682" s="2372"/>
      <c r="CW682" s="2372"/>
      <c r="CX682" s="2372"/>
      <c r="CY682" s="2372"/>
      <c r="CZ682" s="2372"/>
      <c r="DA682" s="2372"/>
    </row>
    <row r="683" spans="1:105" ht="15" hidden="1" customHeight="1">
      <c r="A683" s="2372"/>
      <c r="B683" s="2372"/>
      <c r="C683" s="2372"/>
      <c r="D683" s="2372"/>
      <c r="E683" s="2372"/>
      <c r="F683" s="2372"/>
      <c r="G683" s="2372"/>
      <c r="H683" s="2372"/>
      <c r="I683" s="2372"/>
      <c r="J683" s="2372"/>
      <c r="K683" s="2372"/>
      <c r="L683" s="2372"/>
      <c r="M683" s="2372"/>
      <c r="N683" s="2372"/>
      <c r="O683" s="2372"/>
      <c r="P683" s="2372"/>
      <c r="Q683" s="2372"/>
      <c r="R683" s="2372"/>
      <c r="S683" s="2372"/>
      <c r="T683" s="2372"/>
      <c r="U683" s="2372"/>
      <c r="V683" s="2372"/>
      <c r="W683" s="2372"/>
      <c r="X683" s="2372"/>
      <c r="Y683" s="2372"/>
      <c r="Z683" s="2372"/>
      <c r="AA683" s="2372"/>
      <c r="AB683" s="2372"/>
      <c r="AC683" s="2372"/>
      <c r="AD683" s="2372"/>
      <c r="AE683" s="2372"/>
      <c r="AF683" s="2372"/>
      <c r="AG683" s="2372"/>
      <c r="AH683" s="2372"/>
      <c r="AI683" s="2372"/>
      <c r="AJ683" s="2372"/>
      <c r="AK683" s="2372"/>
      <c r="AL683" s="2372"/>
      <c r="AM683" s="2372"/>
      <c r="AN683" s="2372"/>
      <c r="AO683" s="2372"/>
      <c r="AP683" s="2372"/>
      <c r="AQ683" s="2372"/>
      <c r="AR683" s="2372"/>
      <c r="AS683" s="2372"/>
      <c r="AT683" s="2372"/>
      <c r="AU683" s="2372"/>
      <c r="AV683" s="2372"/>
      <c r="AW683" s="2372"/>
      <c r="AX683" s="2372"/>
      <c r="AY683" s="2372"/>
      <c r="AZ683" s="2372"/>
      <c r="BA683" s="2372"/>
      <c r="BB683" s="2372"/>
      <c r="BC683" s="2372"/>
      <c r="BD683" s="2372"/>
      <c r="BE683" s="2372"/>
      <c r="BF683" s="2372"/>
      <c r="BG683" s="2372"/>
      <c r="BH683" s="2372"/>
      <c r="BI683" s="2372"/>
      <c r="BJ683" s="2372"/>
      <c r="BK683" s="2372"/>
      <c r="BL683" s="2372"/>
      <c r="BM683" s="2372"/>
      <c r="BN683" s="2372"/>
      <c r="BO683" s="2372"/>
      <c r="BP683" s="2372"/>
      <c r="BQ683" s="2372"/>
      <c r="BR683" s="2372"/>
      <c r="BS683" s="2372"/>
      <c r="BT683" s="2372"/>
      <c r="BU683" s="2372"/>
      <c r="BV683" s="2372"/>
      <c r="BW683" s="2372"/>
      <c r="BX683" s="2372"/>
      <c r="BY683" s="2372"/>
      <c r="BZ683" s="2372"/>
      <c r="CA683" s="2372"/>
      <c r="CB683" s="2372"/>
      <c r="CC683" s="2372"/>
      <c r="CD683" s="2372"/>
      <c r="CE683" s="2372"/>
      <c r="CF683" s="2372"/>
      <c r="CG683" s="2372"/>
      <c r="CH683" s="2372"/>
      <c r="CI683" s="2372"/>
      <c r="CJ683" s="2372"/>
      <c r="CK683" s="2372"/>
      <c r="CL683" s="2372"/>
      <c r="CM683" s="2372"/>
      <c r="CN683" s="2372"/>
      <c r="CO683" s="2372"/>
      <c r="CP683" s="2372"/>
      <c r="CQ683" s="2372"/>
      <c r="CR683" s="2372"/>
      <c r="CS683" s="2372"/>
      <c r="CT683" s="2372"/>
      <c r="CU683" s="2372"/>
      <c r="CV683" s="2372"/>
      <c r="CW683" s="2372"/>
      <c r="CX683" s="2372"/>
      <c r="CY683" s="2372"/>
      <c r="CZ683" s="2372"/>
      <c r="DA683" s="2372"/>
    </row>
    <row r="684" spans="1:105" ht="15" hidden="1" customHeight="1">
      <c r="A684" s="2372"/>
      <c r="B684" s="2372"/>
      <c r="C684" s="2372"/>
      <c r="D684" s="2372"/>
      <c r="E684" s="2372"/>
      <c r="F684" s="2372"/>
      <c r="G684" s="2372"/>
      <c r="H684" s="2372"/>
      <c r="I684" s="2372"/>
      <c r="J684" s="2372"/>
      <c r="K684" s="2372"/>
      <c r="L684" s="2372"/>
      <c r="M684" s="2372"/>
      <c r="N684" s="2372"/>
      <c r="O684" s="2372"/>
      <c r="P684" s="2372"/>
      <c r="Q684" s="2372"/>
      <c r="R684" s="2372"/>
      <c r="S684" s="2372"/>
      <c r="T684" s="2372"/>
      <c r="U684" s="2372"/>
      <c r="V684" s="2372"/>
      <c r="W684" s="2372"/>
      <c r="X684" s="2372"/>
      <c r="Y684" s="2372"/>
      <c r="Z684" s="2372"/>
      <c r="AA684" s="2372"/>
      <c r="AB684" s="2372"/>
      <c r="AC684" s="2372"/>
      <c r="AD684" s="2372"/>
      <c r="AE684" s="2372"/>
      <c r="AF684" s="2372"/>
      <c r="AG684" s="2372"/>
      <c r="AH684" s="2372"/>
      <c r="AI684" s="2372"/>
      <c r="AJ684" s="2372"/>
      <c r="AK684" s="2372"/>
      <c r="AL684" s="2372"/>
      <c r="AM684" s="2372"/>
      <c r="AN684" s="2372"/>
      <c r="AO684" s="2372"/>
      <c r="AP684" s="2372"/>
      <c r="AQ684" s="2372"/>
      <c r="AR684" s="2372"/>
      <c r="AS684" s="2372"/>
      <c r="AT684" s="2372"/>
      <c r="AU684" s="2372"/>
      <c r="AV684" s="2372"/>
      <c r="AW684" s="2372"/>
      <c r="AX684" s="2372"/>
      <c r="AY684" s="2372"/>
      <c r="AZ684" s="2372"/>
      <c r="BA684" s="2372"/>
      <c r="BB684" s="2372"/>
      <c r="BC684" s="2372"/>
      <c r="BD684" s="2372"/>
      <c r="BE684" s="2372"/>
      <c r="BF684" s="2372"/>
      <c r="BG684" s="2372"/>
      <c r="BH684" s="2372"/>
      <c r="BI684" s="2372"/>
      <c r="BJ684" s="2372"/>
      <c r="BK684" s="2372"/>
      <c r="BL684" s="2372"/>
      <c r="BM684" s="2372"/>
      <c r="BN684" s="2372"/>
      <c r="BO684" s="2372"/>
      <c r="BP684" s="2372"/>
      <c r="BQ684" s="2372"/>
      <c r="BR684" s="2372"/>
      <c r="BS684" s="2372"/>
      <c r="BT684" s="2372"/>
      <c r="BU684" s="2372"/>
      <c r="BV684" s="2372"/>
      <c r="BW684" s="2372"/>
      <c r="BX684" s="2372"/>
      <c r="BY684" s="2372"/>
      <c r="BZ684" s="2372"/>
      <c r="CA684" s="2372"/>
      <c r="CB684" s="2372"/>
      <c r="CC684" s="2372"/>
      <c r="CD684" s="2372"/>
      <c r="CE684" s="2372"/>
      <c r="CF684" s="2372"/>
      <c r="CG684" s="2372"/>
      <c r="CH684" s="2372"/>
      <c r="CI684" s="2372"/>
      <c r="CJ684" s="2372"/>
      <c r="CK684" s="2372"/>
      <c r="CL684" s="2372"/>
      <c r="CM684" s="2372"/>
      <c r="CN684" s="2372"/>
      <c r="CO684" s="2372"/>
      <c r="CP684" s="2372"/>
      <c r="CQ684" s="2372"/>
      <c r="CR684" s="2372"/>
      <c r="CS684" s="2372"/>
      <c r="CT684" s="2372"/>
      <c r="CU684" s="2372"/>
      <c r="CV684" s="2372"/>
      <c r="CW684" s="2372"/>
      <c r="CX684" s="2372"/>
      <c r="CY684" s="2372"/>
      <c r="CZ684" s="2372"/>
      <c r="DA684" s="2372"/>
    </row>
    <row r="685" spans="1:105" ht="15" hidden="1" customHeight="1">
      <c r="A685" s="2372"/>
      <c r="B685" s="2372"/>
      <c r="C685" s="2372"/>
      <c r="D685" s="2372"/>
      <c r="E685" s="2372"/>
      <c r="F685" s="2372"/>
      <c r="G685" s="2372"/>
      <c r="H685" s="2372"/>
      <c r="I685" s="2372"/>
      <c r="J685" s="2372"/>
      <c r="K685" s="2372"/>
      <c r="L685" s="2372"/>
      <c r="M685" s="2372"/>
      <c r="N685" s="2372"/>
      <c r="O685" s="2372"/>
      <c r="P685" s="2372"/>
      <c r="Q685" s="2372"/>
      <c r="R685" s="2372"/>
      <c r="S685" s="2372"/>
      <c r="T685" s="2372"/>
      <c r="U685" s="2372"/>
      <c r="V685" s="2372"/>
      <c r="W685" s="2372"/>
      <c r="X685" s="2372"/>
      <c r="Y685" s="2372"/>
      <c r="Z685" s="2372"/>
      <c r="AA685" s="2372"/>
      <c r="AB685" s="2372"/>
      <c r="AC685" s="2372"/>
      <c r="AD685" s="2372"/>
      <c r="AE685" s="2372"/>
      <c r="AF685" s="2372"/>
      <c r="AG685" s="2372"/>
      <c r="AH685" s="2372"/>
      <c r="AI685" s="2372"/>
      <c r="AJ685" s="2372"/>
      <c r="AK685" s="2372"/>
      <c r="AL685" s="2372"/>
      <c r="AM685" s="2372"/>
      <c r="AN685" s="2372"/>
      <c r="AO685" s="2372"/>
      <c r="AP685" s="2372"/>
      <c r="AQ685" s="2372"/>
      <c r="AR685" s="2372"/>
      <c r="AS685" s="2372"/>
      <c r="AT685" s="2372"/>
      <c r="AU685" s="2372"/>
      <c r="AV685" s="2372"/>
      <c r="AW685" s="2372"/>
      <c r="AX685" s="2372"/>
      <c r="AY685" s="2372"/>
      <c r="AZ685" s="2372"/>
      <c r="BA685" s="2372"/>
      <c r="BB685" s="2372"/>
      <c r="BC685" s="2372"/>
      <c r="BD685" s="2372"/>
      <c r="BE685" s="2372"/>
      <c r="BF685" s="2372"/>
      <c r="BG685" s="2372"/>
      <c r="BH685" s="2372"/>
      <c r="BI685" s="2372"/>
      <c r="BJ685" s="2372"/>
      <c r="BK685" s="2372"/>
      <c r="BL685" s="2372"/>
      <c r="BM685" s="2372"/>
      <c r="BN685" s="2372"/>
      <c r="BO685" s="2372"/>
      <c r="BP685" s="2372"/>
      <c r="BQ685" s="2372"/>
      <c r="BR685" s="2372"/>
      <c r="BS685" s="2372"/>
      <c r="BT685" s="2372"/>
      <c r="BU685" s="2372"/>
      <c r="BV685" s="2372"/>
      <c r="BW685" s="2372"/>
      <c r="BX685" s="2372"/>
      <c r="BY685" s="2372"/>
      <c r="BZ685" s="2372"/>
      <c r="CA685" s="2372"/>
      <c r="CB685" s="2372"/>
      <c r="CC685" s="2372"/>
      <c r="CD685" s="2372"/>
      <c r="CE685" s="2372"/>
      <c r="CF685" s="2372"/>
      <c r="CG685" s="2372"/>
      <c r="CH685" s="2372"/>
      <c r="CI685" s="2372"/>
      <c r="CJ685" s="2372"/>
      <c r="CK685" s="2372"/>
      <c r="CL685" s="2372"/>
      <c r="CM685" s="2372"/>
      <c r="CN685" s="2372"/>
      <c r="CO685" s="2372"/>
      <c r="CP685" s="2372"/>
      <c r="CQ685" s="2372"/>
      <c r="CR685" s="2372"/>
      <c r="CS685" s="2372"/>
      <c r="CT685" s="2372"/>
      <c r="CU685" s="2372"/>
      <c r="CV685" s="2372"/>
      <c r="CW685" s="2372"/>
      <c r="CX685" s="2372"/>
      <c r="CY685" s="2372"/>
      <c r="CZ685" s="2372"/>
      <c r="DA685" s="2372"/>
    </row>
    <row r="686" spans="1:105" ht="15" hidden="1" customHeight="1">
      <c r="A686" s="2372"/>
      <c r="B686" s="2372"/>
      <c r="C686" s="2372"/>
      <c r="D686" s="2372"/>
      <c r="E686" s="2372"/>
      <c r="F686" s="2372"/>
      <c r="G686" s="2372"/>
      <c r="H686" s="2372"/>
      <c r="I686" s="2372"/>
      <c r="J686" s="2372"/>
      <c r="K686" s="2372"/>
      <c r="L686" s="2372"/>
      <c r="M686" s="2372"/>
      <c r="N686" s="2372"/>
      <c r="O686" s="2372"/>
      <c r="P686" s="2372"/>
      <c r="Q686" s="2372"/>
      <c r="R686" s="2372"/>
      <c r="S686" s="2372"/>
      <c r="T686" s="2372"/>
      <c r="U686" s="2372"/>
      <c r="V686" s="2372"/>
      <c r="W686" s="2372"/>
      <c r="X686" s="2372"/>
      <c r="Y686" s="2372"/>
      <c r="Z686" s="2372"/>
      <c r="AA686" s="2372"/>
      <c r="AB686" s="2372"/>
      <c r="AC686" s="2372"/>
      <c r="AD686" s="2372"/>
      <c r="AE686" s="2372"/>
      <c r="AF686" s="2372"/>
      <c r="AG686" s="2372"/>
      <c r="AH686" s="2372"/>
      <c r="AI686" s="2372"/>
      <c r="AJ686" s="2372"/>
      <c r="AK686" s="2372"/>
      <c r="AL686" s="2372"/>
      <c r="AM686" s="2372"/>
      <c r="AN686" s="2372"/>
      <c r="AO686" s="2372"/>
      <c r="AP686" s="2372"/>
      <c r="AQ686" s="2372"/>
      <c r="AR686" s="2372"/>
      <c r="AS686" s="2372"/>
      <c r="AT686" s="2372"/>
      <c r="AU686" s="2372"/>
      <c r="AV686" s="2372"/>
      <c r="AW686" s="2372"/>
      <c r="AX686" s="2372"/>
      <c r="AY686" s="2372"/>
      <c r="AZ686" s="2372"/>
      <c r="BA686" s="2372"/>
      <c r="BB686" s="2372"/>
      <c r="BC686" s="2372"/>
      <c r="BD686" s="2372"/>
      <c r="BE686" s="2372"/>
      <c r="BF686" s="2372"/>
      <c r="BG686" s="2372"/>
      <c r="BH686" s="2372"/>
      <c r="BI686" s="2372"/>
      <c r="BJ686" s="2372"/>
      <c r="BK686" s="2372"/>
      <c r="BL686" s="2372"/>
      <c r="BM686" s="2372"/>
      <c r="BN686" s="2372"/>
      <c r="BO686" s="2372"/>
      <c r="BP686" s="2372"/>
      <c r="BQ686" s="2372"/>
      <c r="BR686" s="2372"/>
      <c r="BS686" s="2372"/>
      <c r="BT686" s="2372"/>
      <c r="BU686" s="2372"/>
      <c r="BV686" s="2372"/>
      <c r="BW686" s="2372"/>
      <c r="BX686" s="2372"/>
      <c r="BY686" s="2372"/>
      <c r="BZ686" s="2372"/>
      <c r="CA686" s="2372"/>
      <c r="CB686" s="2372"/>
      <c r="CC686" s="2372"/>
      <c r="CD686" s="2372"/>
      <c r="CE686" s="2372"/>
      <c r="CF686" s="2372"/>
      <c r="CG686" s="2372"/>
      <c r="CH686" s="2372"/>
      <c r="CI686" s="2372"/>
      <c r="CJ686" s="2372"/>
      <c r="CK686" s="2372"/>
      <c r="CL686" s="2372"/>
      <c r="CM686" s="2372"/>
      <c r="CN686" s="2372"/>
      <c r="CO686" s="2372"/>
      <c r="CP686" s="2372"/>
      <c r="CQ686" s="2372"/>
      <c r="CR686" s="2372"/>
      <c r="CS686" s="2372"/>
      <c r="CT686" s="2372"/>
      <c r="CU686" s="2372"/>
      <c r="CV686" s="2372"/>
      <c r="CW686" s="2372"/>
      <c r="CX686" s="2372"/>
      <c r="CY686" s="2372"/>
      <c r="CZ686" s="2372"/>
      <c r="DA686" s="2372"/>
    </row>
    <row r="687" spans="1:105" ht="15" hidden="1" customHeight="1">
      <c r="A687" s="2372"/>
      <c r="B687" s="2372"/>
      <c r="C687" s="2372"/>
      <c r="D687" s="2372"/>
      <c r="E687" s="2372"/>
      <c r="F687" s="2372"/>
      <c r="G687" s="2372"/>
      <c r="H687" s="2372"/>
      <c r="I687" s="2372"/>
      <c r="J687" s="2372"/>
      <c r="K687" s="2372"/>
      <c r="L687" s="2372"/>
      <c r="M687" s="2372"/>
      <c r="N687" s="2372"/>
      <c r="O687" s="2372"/>
      <c r="P687" s="2372"/>
      <c r="Q687" s="2372"/>
      <c r="R687" s="2372"/>
      <c r="S687" s="2372"/>
      <c r="T687" s="2372"/>
      <c r="U687" s="2372"/>
      <c r="V687" s="2372"/>
      <c r="W687" s="2372"/>
      <c r="X687" s="2372"/>
      <c r="Y687" s="2372"/>
      <c r="Z687" s="2372"/>
      <c r="AA687" s="2372"/>
      <c r="AB687" s="2372"/>
      <c r="AC687" s="2372"/>
      <c r="AD687" s="2372"/>
      <c r="AE687" s="2372"/>
      <c r="AF687" s="2372"/>
      <c r="AG687" s="2372"/>
      <c r="AH687" s="2372"/>
      <c r="AI687" s="2372"/>
      <c r="AJ687" s="2372"/>
      <c r="AK687" s="2372"/>
      <c r="AL687" s="2372"/>
      <c r="AM687" s="2372"/>
      <c r="AN687" s="2372"/>
      <c r="AO687" s="2372"/>
      <c r="AP687" s="2372"/>
      <c r="AQ687" s="2372"/>
      <c r="AR687" s="2372"/>
      <c r="AS687" s="2372"/>
      <c r="AT687" s="2372"/>
      <c r="AU687" s="2372"/>
      <c r="AV687" s="2372"/>
      <c r="AW687" s="2372"/>
      <c r="AX687" s="2372"/>
      <c r="AY687" s="2372"/>
      <c r="AZ687" s="2372"/>
      <c r="BA687" s="2372"/>
      <c r="BB687" s="2372"/>
      <c r="BC687" s="2372"/>
      <c r="BD687" s="2372"/>
      <c r="BE687" s="2372"/>
      <c r="BF687" s="2372"/>
      <c r="BG687" s="2372"/>
      <c r="BH687" s="2372"/>
      <c r="BI687" s="2372"/>
      <c r="BJ687" s="2372"/>
      <c r="BK687" s="2372"/>
      <c r="BL687" s="2372"/>
      <c r="BM687" s="2372"/>
      <c r="BN687" s="2372"/>
      <c r="BO687" s="2372"/>
      <c r="BP687" s="2372"/>
      <c r="BQ687" s="2372"/>
      <c r="BR687" s="2372"/>
      <c r="BS687" s="2372"/>
      <c r="BT687" s="2372"/>
      <c r="BU687" s="2372"/>
      <c r="BV687" s="2372"/>
      <c r="BW687" s="2372"/>
      <c r="BX687" s="2372"/>
      <c r="BY687" s="2372"/>
      <c r="BZ687" s="2372"/>
      <c r="CA687" s="2372"/>
      <c r="CB687" s="2372"/>
      <c r="CC687" s="2372"/>
      <c r="CD687" s="2372"/>
      <c r="CE687" s="2372"/>
      <c r="CF687" s="2372"/>
      <c r="CG687" s="2372"/>
      <c r="CH687" s="2372"/>
      <c r="CI687" s="2372"/>
      <c r="CJ687" s="2372"/>
      <c r="CK687" s="2372"/>
      <c r="CL687" s="2372"/>
      <c r="CM687" s="2372"/>
      <c r="CN687" s="2372"/>
      <c r="CO687" s="2372"/>
      <c r="CP687" s="2372"/>
      <c r="CQ687" s="2372"/>
      <c r="CR687" s="2372"/>
      <c r="CS687" s="2372"/>
      <c r="CT687" s="2372"/>
      <c r="CU687" s="2372"/>
      <c r="CV687" s="2372"/>
      <c r="CW687" s="2372"/>
      <c r="CX687" s="2372"/>
      <c r="CY687" s="2372"/>
      <c r="CZ687" s="2372"/>
      <c r="DA687" s="2372"/>
    </row>
    <row r="688" spans="1:105" ht="15" hidden="1" customHeight="1">
      <c r="A688" s="2372"/>
      <c r="B688" s="2372"/>
      <c r="C688" s="2372"/>
      <c r="D688" s="2372"/>
      <c r="E688" s="2372"/>
      <c r="F688" s="2372"/>
      <c r="G688" s="2372"/>
      <c r="H688" s="2372"/>
      <c r="I688" s="2372"/>
      <c r="J688" s="2372"/>
      <c r="K688" s="2372"/>
      <c r="L688" s="2372"/>
      <c r="M688" s="2372"/>
      <c r="N688" s="2372"/>
      <c r="O688" s="2372"/>
      <c r="P688" s="2372"/>
      <c r="Q688" s="2372"/>
      <c r="R688" s="2372"/>
      <c r="S688" s="2372"/>
      <c r="T688" s="2372"/>
      <c r="U688" s="2372"/>
      <c r="V688" s="2372"/>
      <c r="W688" s="2372"/>
      <c r="X688" s="2372"/>
      <c r="Y688" s="2372"/>
      <c r="Z688" s="2372"/>
      <c r="AA688" s="2372"/>
      <c r="AB688" s="2372"/>
      <c r="AC688" s="2372"/>
      <c r="AD688" s="2372"/>
      <c r="AE688" s="2372"/>
      <c r="AF688" s="2372"/>
      <c r="AG688" s="2372"/>
      <c r="AH688" s="2372"/>
      <c r="AI688" s="2372"/>
      <c r="AJ688" s="2372"/>
      <c r="AK688" s="2372"/>
      <c r="AL688" s="2372"/>
      <c r="AM688" s="2372"/>
      <c r="AN688" s="2372"/>
      <c r="AO688" s="2372"/>
      <c r="AP688" s="2372"/>
      <c r="AQ688" s="2372"/>
      <c r="AR688" s="2372"/>
      <c r="AS688" s="2372"/>
      <c r="AT688" s="2372"/>
      <c r="AU688" s="2372"/>
      <c r="AV688" s="2372"/>
      <c r="AW688" s="2372"/>
      <c r="AX688" s="2372"/>
      <c r="AY688" s="2372"/>
      <c r="AZ688" s="2372"/>
      <c r="BA688" s="2372"/>
      <c r="BB688" s="2372"/>
      <c r="BC688" s="2372"/>
      <c r="BD688" s="2372"/>
      <c r="BE688" s="2372"/>
      <c r="BF688" s="2372"/>
      <c r="BG688" s="2372"/>
      <c r="BH688" s="2372"/>
      <c r="BI688" s="2372"/>
      <c r="BJ688" s="2372"/>
      <c r="BK688" s="2372"/>
      <c r="BL688" s="2372"/>
      <c r="BM688" s="2372"/>
      <c r="BN688" s="2372"/>
      <c r="BO688" s="2372"/>
      <c r="BP688" s="2372"/>
      <c r="BQ688" s="2372"/>
      <c r="BR688" s="2372"/>
      <c r="BS688" s="2372"/>
      <c r="BT688" s="2372"/>
      <c r="BU688" s="2372"/>
      <c r="BV688" s="2372"/>
      <c r="BW688" s="2372"/>
      <c r="BX688" s="2372"/>
      <c r="BY688" s="2372"/>
      <c r="BZ688" s="2372"/>
      <c r="CA688" s="2372"/>
      <c r="CB688" s="2372"/>
      <c r="CC688" s="2372"/>
      <c r="CD688" s="2372"/>
      <c r="CE688" s="2372"/>
      <c r="CF688" s="2372"/>
      <c r="CG688" s="2372"/>
      <c r="CH688" s="2372"/>
      <c r="CI688" s="2372"/>
      <c r="CJ688" s="2372"/>
      <c r="CK688" s="2372"/>
      <c r="CL688" s="2372"/>
      <c r="CM688" s="2372"/>
      <c r="CN688" s="2372"/>
      <c r="CO688" s="2372"/>
      <c r="CP688" s="2372"/>
      <c r="CQ688" s="2372"/>
      <c r="CR688" s="2372"/>
      <c r="CS688" s="2372"/>
      <c r="CT688" s="2372"/>
      <c r="CU688" s="2372"/>
      <c r="CV688" s="2372"/>
      <c r="CW688" s="2372"/>
      <c r="CX688" s="2372"/>
      <c r="CY688" s="2372"/>
      <c r="CZ688" s="2372"/>
      <c r="DA688" s="2372"/>
    </row>
    <row r="689" spans="1:105" ht="15" hidden="1" customHeight="1">
      <c r="A689" s="2372"/>
      <c r="B689" s="2372"/>
      <c r="C689" s="2372"/>
      <c r="D689" s="2372"/>
      <c r="E689" s="2372"/>
      <c r="F689" s="2372"/>
      <c r="G689" s="2372"/>
      <c r="H689" s="2372"/>
      <c r="I689" s="2372"/>
      <c r="J689" s="2372"/>
      <c r="K689" s="2372"/>
      <c r="L689" s="2372"/>
      <c r="M689" s="2372"/>
      <c r="N689" s="2372"/>
      <c r="O689" s="2372"/>
      <c r="P689" s="2372"/>
      <c r="Q689" s="2372"/>
      <c r="R689" s="2372"/>
      <c r="S689" s="2372"/>
      <c r="T689" s="2372"/>
      <c r="U689" s="2372"/>
      <c r="V689" s="2372"/>
      <c r="W689" s="2372"/>
      <c r="X689" s="2372"/>
      <c r="Y689" s="2372"/>
      <c r="Z689" s="2372"/>
      <c r="AA689" s="2372"/>
      <c r="AB689" s="2372"/>
      <c r="AC689" s="2372"/>
      <c r="AD689" s="2372"/>
      <c r="AE689" s="2372"/>
      <c r="AF689" s="2372"/>
      <c r="AG689" s="2372"/>
      <c r="AH689" s="2372"/>
      <c r="AI689" s="2372"/>
      <c r="AJ689" s="2372"/>
      <c r="AK689" s="2372"/>
      <c r="AL689" s="2372"/>
      <c r="AM689" s="2372"/>
      <c r="AN689" s="2372"/>
      <c r="AO689" s="2372"/>
      <c r="AP689" s="2372"/>
      <c r="AQ689" s="2372"/>
      <c r="AR689" s="2372"/>
      <c r="AS689" s="2372"/>
      <c r="AT689" s="2372"/>
      <c r="AU689" s="2372"/>
      <c r="AV689" s="2372"/>
      <c r="AW689" s="2372"/>
      <c r="AX689" s="2372"/>
      <c r="AY689" s="2372"/>
      <c r="AZ689" s="2372"/>
      <c r="BA689" s="2372"/>
      <c r="BB689" s="2372"/>
      <c r="BC689" s="2372"/>
      <c r="BD689" s="2372"/>
      <c r="BE689" s="2372"/>
      <c r="BF689" s="2372"/>
      <c r="BG689" s="2372"/>
      <c r="BH689" s="2372"/>
      <c r="BI689" s="2372"/>
      <c r="BJ689" s="2372"/>
      <c r="BK689" s="2372"/>
      <c r="BL689" s="2372"/>
      <c r="BM689" s="2372"/>
      <c r="BN689" s="2372"/>
      <c r="BO689" s="2372"/>
      <c r="BP689" s="2372"/>
      <c r="BQ689" s="2372"/>
      <c r="BR689" s="2372"/>
      <c r="BS689" s="2372"/>
      <c r="BT689" s="2372"/>
      <c r="BU689" s="2372"/>
      <c r="BV689" s="2372"/>
      <c r="BW689" s="2372"/>
      <c r="BX689" s="2372"/>
      <c r="BY689" s="2372"/>
      <c r="BZ689" s="2372"/>
      <c r="CA689" s="2372"/>
      <c r="CB689" s="2372"/>
      <c r="CC689" s="2372"/>
      <c r="CD689" s="2372"/>
      <c r="CE689" s="2372"/>
      <c r="CF689" s="2372"/>
      <c r="CG689" s="2372"/>
      <c r="CH689" s="2372"/>
      <c r="CI689" s="2372"/>
      <c r="CJ689" s="2372"/>
      <c r="CK689" s="2372"/>
      <c r="CL689" s="2372"/>
      <c r="CM689" s="2372"/>
      <c r="CN689" s="2372"/>
      <c r="CO689" s="2372"/>
      <c r="CP689" s="2372"/>
      <c r="CQ689" s="2372"/>
      <c r="CR689" s="2372"/>
      <c r="CS689" s="2372"/>
      <c r="CT689" s="2372"/>
      <c r="CU689" s="2372"/>
      <c r="CV689" s="2372"/>
      <c r="CW689" s="2372"/>
      <c r="CX689" s="2372"/>
      <c r="CY689" s="2372"/>
      <c r="CZ689" s="2372"/>
      <c r="DA689" s="2372"/>
    </row>
    <row r="690" spans="1:105" ht="15" hidden="1" customHeight="1">
      <c r="A690" s="2372"/>
      <c r="B690" s="2372"/>
      <c r="C690" s="2372"/>
      <c r="D690" s="2372"/>
      <c r="E690" s="2372"/>
      <c r="F690" s="2372"/>
      <c r="G690" s="2372"/>
      <c r="H690" s="2372"/>
      <c r="I690" s="2372"/>
      <c r="J690" s="2372"/>
      <c r="K690" s="2372"/>
      <c r="L690" s="2372"/>
      <c r="M690" s="2372"/>
      <c r="N690" s="2372"/>
      <c r="O690" s="2372"/>
      <c r="P690" s="2372"/>
      <c r="Q690" s="2372"/>
      <c r="R690" s="2372"/>
      <c r="S690" s="2372"/>
      <c r="T690" s="2372"/>
      <c r="U690" s="2372"/>
      <c r="V690" s="2372"/>
      <c r="W690" s="2372"/>
      <c r="X690" s="2372"/>
      <c r="Y690" s="2372"/>
      <c r="Z690" s="2372"/>
      <c r="AA690" s="2372"/>
      <c r="AB690" s="2372"/>
      <c r="AC690" s="2372"/>
      <c r="AD690" s="2372"/>
      <c r="AE690" s="2372"/>
      <c r="AF690" s="2372"/>
      <c r="AG690" s="2372"/>
      <c r="AH690" s="2372"/>
      <c r="AI690" s="2372"/>
      <c r="AJ690" s="2372"/>
      <c r="AK690" s="2372"/>
      <c r="AL690" s="2372"/>
      <c r="AM690" s="2372"/>
      <c r="AN690" s="2372"/>
      <c r="AO690" s="2372"/>
      <c r="AP690" s="2372"/>
      <c r="AQ690" s="2372"/>
      <c r="AR690" s="2372"/>
      <c r="AS690" s="2372"/>
      <c r="AT690" s="2372"/>
      <c r="AU690" s="2372"/>
      <c r="AV690" s="2372"/>
      <c r="AW690" s="2372"/>
      <c r="AX690" s="2372"/>
      <c r="AY690" s="2372"/>
      <c r="AZ690" s="2372"/>
      <c r="BA690" s="2372"/>
      <c r="BB690" s="2372"/>
      <c r="BC690" s="2372"/>
      <c r="BD690" s="2372"/>
      <c r="BE690" s="2372"/>
      <c r="BF690" s="2372"/>
      <c r="BG690" s="2372"/>
      <c r="BH690" s="2372"/>
      <c r="BI690" s="2372"/>
      <c r="BJ690" s="2372"/>
      <c r="BK690" s="2372"/>
      <c r="BL690" s="2372"/>
      <c r="BM690" s="2372"/>
      <c r="BN690" s="2372"/>
      <c r="BO690" s="2372"/>
      <c r="BP690" s="2372"/>
      <c r="BQ690" s="2372"/>
      <c r="BR690" s="2372"/>
      <c r="BS690" s="2372"/>
      <c r="BT690" s="2372"/>
      <c r="BU690" s="2372"/>
      <c r="BV690" s="2372"/>
      <c r="BW690" s="2372"/>
      <c r="BX690" s="2372"/>
      <c r="BY690" s="2372"/>
      <c r="BZ690" s="2372"/>
      <c r="CA690" s="2372"/>
      <c r="CB690" s="2372"/>
      <c r="CC690" s="2372"/>
      <c r="CD690" s="2372"/>
      <c r="CE690" s="2372"/>
      <c r="CF690" s="2372"/>
      <c r="CG690" s="2372"/>
      <c r="CH690" s="2372"/>
      <c r="CI690" s="2372"/>
      <c r="CJ690" s="2372"/>
      <c r="CK690" s="2372"/>
      <c r="CL690" s="2372"/>
      <c r="CM690" s="2372"/>
      <c r="CN690" s="2372"/>
      <c r="CO690" s="2372"/>
      <c r="CP690" s="2372"/>
      <c r="CQ690" s="2372"/>
      <c r="CR690" s="2372"/>
      <c r="CS690" s="2372"/>
      <c r="CT690" s="2372"/>
      <c r="CU690" s="2372"/>
      <c r="CV690" s="2372"/>
      <c r="CW690" s="2372"/>
      <c r="CX690" s="2372"/>
      <c r="CY690" s="2372"/>
      <c r="CZ690" s="2372"/>
      <c r="DA690" s="2372"/>
    </row>
    <row r="691" spans="1:105" ht="15" hidden="1" customHeight="1">
      <c r="A691" s="2372"/>
      <c r="B691" s="2372"/>
      <c r="C691" s="2372"/>
      <c r="D691" s="2372"/>
      <c r="E691" s="2372"/>
      <c r="F691" s="2372"/>
      <c r="G691" s="2372"/>
      <c r="H691" s="2372"/>
      <c r="I691" s="2372"/>
      <c r="J691" s="2372"/>
      <c r="K691" s="2372"/>
      <c r="L691" s="2372"/>
      <c r="M691" s="2372"/>
      <c r="N691" s="2372"/>
      <c r="O691" s="2372"/>
      <c r="P691" s="2372"/>
      <c r="Q691" s="2372"/>
      <c r="R691" s="2372"/>
      <c r="S691" s="2372"/>
      <c r="T691" s="2372"/>
      <c r="U691" s="2372"/>
      <c r="V691" s="2372"/>
      <c r="W691" s="2372"/>
      <c r="X691" s="2372"/>
      <c r="Y691" s="2372"/>
      <c r="Z691" s="2372"/>
      <c r="AA691" s="2372"/>
      <c r="AB691" s="2372"/>
      <c r="AC691" s="2372"/>
      <c r="AD691" s="2372"/>
      <c r="AE691" s="2372"/>
      <c r="AF691" s="2372"/>
      <c r="AG691" s="2372"/>
      <c r="AH691" s="2372"/>
      <c r="AI691" s="2372"/>
      <c r="AJ691" s="2372"/>
      <c r="AK691" s="2372"/>
      <c r="AL691" s="2372"/>
      <c r="AM691" s="2372"/>
      <c r="AN691" s="2372"/>
      <c r="AO691" s="2372"/>
      <c r="AP691" s="2372"/>
      <c r="AQ691" s="2372"/>
      <c r="AR691" s="2372"/>
      <c r="AS691" s="2372"/>
      <c r="AT691" s="2372"/>
      <c r="AU691" s="2372"/>
      <c r="AV691" s="2372"/>
      <c r="AW691" s="2372"/>
      <c r="AX691" s="2372"/>
      <c r="AY691" s="2372"/>
      <c r="AZ691" s="2372"/>
      <c r="BA691" s="2372"/>
      <c r="BB691" s="2372"/>
      <c r="BC691" s="2372"/>
      <c r="BD691" s="2372"/>
      <c r="BE691" s="2372"/>
      <c r="BF691" s="2372"/>
      <c r="BG691" s="2372"/>
      <c r="BH691" s="2372"/>
      <c r="BI691" s="2372"/>
      <c r="BJ691" s="2372"/>
      <c r="BK691" s="2372"/>
      <c r="BL691" s="2372"/>
      <c r="BM691" s="2372"/>
      <c r="BN691" s="2372"/>
      <c r="BO691" s="2372"/>
      <c r="BP691" s="2372"/>
      <c r="BQ691" s="2372"/>
      <c r="BR691" s="2372"/>
      <c r="BS691" s="2372"/>
      <c r="BT691" s="2372"/>
      <c r="BU691" s="2372"/>
      <c r="BV691" s="2372"/>
      <c r="BW691" s="2372"/>
      <c r="BX691" s="2372"/>
      <c r="BY691" s="2372"/>
      <c r="BZ691" s="2372"/>
      <c r="CA691" s="2372"/>
      <c r="CB691" s="2372"/>
      <c r="CC691" s="2372"/>
      <c r="CD691" s="2372"/>
      <c r="CE691" s="2372"/>
      <c r="CF691" s="2372"/>
      <c r="CG691" s="2372"/>
      <c r="CH691" s="2372"/>
      <c r="CI691" s="2372"/>
      <c r="CJ691" s="2372"/>
      <c r="CK691" s="2372"/>
      <c r="CL691" s="2372"/>
      <c r="CM691" s="2372"/>
      <c r="CN691" s="2372"/>
      <c r="CO691" s="2372"/>
      <c r="CP691" s="2372"/>
      <c r="CQ691" s="2372"/>
      <c r="CR691" s="2372"/>
      <c r="CS691" s="2372"/>
      <c r="CT691" s="2372"/>
      <c r="CU691" s="2372"/>
      <c r="CV691" s="2372"/>
      <c r="CW691" s="2372"/>
      <c r="CX691" s="2372"/>
      <c r="CY691" s="2372"/>
      <c r="CZ691" s="2372"/>
      <c r="DA691" s="2372"/>
    </row>
    <row r="692" spans="1:105" ht="15" hidden="1" customHeight="1">
      <c r="A692" s="2372"/>
      <c r="B692" s="2372"/>
      <c r="C692" s="2372"/>
      <c r="D692" s="2372"/>
      <c r="E692" s="2372"/>
      <c r="F692" s="2372"/>
      <c r="G692" s="2372"/>
      <c r="H692" s="2372"/>
      <c r="I692" s="2372"/>
      <c r="J692" s="2372"/>
      <c r="K692" s="2372"/>
      <c r="L692" s="2372"/>
      <c r="M692" s="2372"/>
      <c r="N692" s="2372"/>
      <c r="O692" s="2372"/>
      <c r="P692" s="2372"/>
      <c r="Q692" s="2372"/>
      <c r="R692" s="2372"/>
      <c r="S692" s="2372"/>
      <c r="T692" s="2372"/>
      <c r="U692" s="2372"/>
      <c r="V692" s="2372"/>
      <c r="W692" s="2372"/>
      <c r="X692" s="2372"/>
      <c r="Y692" s="2372"/>
      <c r="Z692" s="2372"/>
      <c r="AA692" s="2372"/>
      <c r="AB692" s="2372"/>
      <c r="AC692" s="2372"/>
      <c r="AD692" s="2372"/>
      <c r="AE692" s="2372"/>
      <c r="AF692" s="2372"/>
      <c r="AG692" s="2372"/>
      <c r="AH692" s="2372"/>
      <c r="AI692" s="2372"/>
      <c r="AJ692" s="2372"/>
      <c r="AK692" s="2372"/>
      <c r="AL692" s="2372"/>
      <c r="AM692" s="2372"/>
      <c r="AN692" s="2372"/>
      <c r="AO692" s="2372"/>
      <c r="AP692" s="2372"/>
      <c r="AQ692" s="2372"/>
      <c r="AR692" s="2372"/>
      <c r="AS692" s="2372"/>
      <c r="AT692" s="2372"/>
      <c r="AU692" s="2372"/>
      <c r="AV692" s="2372"/>
      <c r="AW692" s="2372"/>
      <c r="AX692" s="2372"/>
      <c r="AY692" s="2372"/>
      <c r="AZ692" s="2372"/>
      <c r="BA692" s="2372"/>
      <c r="BB692" s="2372"/>
      <c r="BC692" s="2372"/>
      <c r="BD692" s="2372"/>
      <c r="BE692" s="2372"/>
      <c r="BF692" s="2372"/>
      <c r="BG692" s="2372"/>
      <c r="BH692" s="2372"/>
      <c r="BI692" s="2372"/>
      <c r="BJ692" s="2372"/>
      <c r="BK692" s="2372"/>
      <c r="BL692" s="2372"/>
      <c r="BM692" s="2372"/>
      <c r="BN692" s="2372"/>
      <c r="BO692" s="2372"/>
      <c r="BP692" s="2372"/>
      <c r="BQ692" s="2372"/>
      <c r="BR692" s="2372"/>
      <c r="BS692" s="2372"/>
      <c r="BT692" s="2372"/>
      <c r="BU692" s="2372"/>
      <c r="BV692" s="2372"/>
      <c r="BW692" s="2372"/>
      <c r="BX692" s="2372"/>
      <c r="BY692" s="2372"/>
      <c r="BZ692" s="2372"/>
      <c r="CA692" s="2372"/>
      <c r="CB692" s="2372"/>
      <c r="CC692" s="2372"/>
      <c r="CD692" s="2372"/>
      <c r="CE692" s="2372"/>
      <c r="CF692" s="2372"/>
      <c r="CG692" s="2372"/>
      <c r="CH692" s="2372"/>
      <c r="CI692" s="2372"/>
      <c r="CJ692" s="2372"/>
      <c r="CK692" s="2372"/>
      <c r="CL692" s="2372"/>
      <c r="CM692" s="2372"/>
      <c r="CN692" s="2372"/>
      <c r="CO692" s="2372"/>
      <c r="CP692" s="2372"/>
      <c r="CQ692" s="2372"/>
      <c r="CR692" s="2372"/>
      <c r="CS692" s="2372"/>
      <c r="CT692" s="2372"/>
      <c r="CU692" s="2372"/>
      <c r="CV692" s="2372"/>
      <c r="CW692" s="2372"/>
      <c r="CX692" s="2372"/>
      <c r="CY692" s="2372"/>
      <c r="CZ692" s="2372"/>
      <c r="DA692" s="2372"/>
    </row>
    <row r="693" spans="1:105" ht="15" hidden="1" customHeight="1">
      <c r="A693" s="2372"/>
      <c r="B693" s="2372"/>
      <c r="C693" s="2372"/>
      <c r="D693" s="2372"/>
      <c r="E693" s="2372"/>
      <c r="F693" s="2372"/>
      <c r="G693" s="2372"/>
      <c r="H693" s="2372"/>
      <c r="I693" s="2372"/>
      <c r="J693" s="2372"/>
      <c r="K693" s="2372"/>
      <c r="L693" s="2372"/>
      <c r="M693" s="2372"/>
      <c r="N693" s="2372"/>
      <c r="O693" s="2372"/>
      <c r="P693" s="2372"/>
      <c r="Q693" s="2372"/>
      <c r="R693" s="2372"/>
      <c r="S693" s="2372"/>
      <c r="T693" s="2372"/>
      <c r="U693" s="2372"/>
      <c r="V693" s="2372"/>
      <c r="W693" s="2372"/>
      <c r="X693" s="2372"/>
      <c r="Y693" s="2372"/>
      <c r="Z693" s="2372"/>
      <c r="AA693" s="2372"/>
      <c r="AB693" s="2372"/>
      <c r="AC693" s="2372"/>
      <c r="AD693" s="2372"/>
      <c r="AE693" s="2372"/>
      <c r="AF693" s="2372"/>
      <c r="AG693" s="2372"/>
      <c r="AH693" s="2372"/>
      <c r="AI693" s="2372"/>
      <c r="AJ693" s="2372"/>
      <c r="AK693" s="2372"/>
      <c r="AL693" s="2372"/>
      <c r="AM693" s="2372"/>
      <c r="AN693" s="2372"/>
      <c r="AO693" s="2372"/>
      <c r="AP693" s="2372"/>
      <c r="AQ693" s="2372"/>
      <c r="AR693" s="2372"/>
      <c r="AS693" s="2372"/>
      <c r="AT693" s="2372"/>
      <c r="AU693" s="2372"/>
      <c r="AV693" s="2372"/>
      <c r="AW693" s="2372"/>
      <c r="AX693" s="2372"/>
      <c r="AY693" s="2372"/>
      <c r="AZ693" s="2372"/>
      <c r="BA693" s="2372"/>
      <c r="BB693" s="2372"/>
      <c r="BC693" s="2372"/>
      <c r="BD693" s="2372"/>
      <c r="BE693" s="2372"/>
      <c r="BF693" s="2372"/>
      <c r="BG693" s="2372"/>
      <c r="BH693" s="2372"/>
      <c r="BI693" s="2372"/>
      <c r="BJ693" s="2372"/>
      <c r="BK693" s="2372"/>
      <c r="BL693" s="2372"/>
      <c r="BM693" s="2372"/>
      <c r="BN693" s="2372"/>
      <c r="BO693" s="2372"/>
      <c r="BP693" s="2372"/>
      <c r="BQ693" s="2372"/>
      <c r="BR693" s="2372"/>
      <c r="BS693" s="2372"/>
      <c r="BT693" s="2372"/>
      <c r="BU693" s="2372"/>
      <c r="BV693" s="2372"/>
      <c r="BW693" s="2372"/>
      <c r="BX693" s="2372"/>
      <c r="BY693" s="2372"/>
      <c r="BZ693" s="2372"/>
      <c r="CA693" s="2372"/>
      <c r="CB693" s="2372"/>
      <c r="CC693" s="2372"/>
      <c r="CD693" s="2372"/>
      <c r="CE693" s="2372"/>
      <c r="CF693" s="2372"/>
      <c r="CG693" s="2372"/>
      <c r="CH693" s="2372"/>
      <c r="CI693" s="2372"/>
      <c r="CJ693" s="2372"/>
      <c r="CK693" s="2372"/>
      <c r="CL693" s="2372"/>
      <c r="CM693" s="2372"/>
      <c r="CN693" s="2372"/>
      <c r="CO693" s="2372"/>
      <c r="CP693" s="2372"/>
      <c r="CQ693" s="2372"/>
      <c r="CR693" s="2372"/>
      <c r="CS693" s="2372"/>
      <c r="CT693" s="2372"/>
      <c r="CU693" s="2372"/>
      <c r="CV693" s="2372"/>
      <c r="CW693" s="2372"/>
      <c r="CX693" s="2372"/>
      <c r="CY693" s="2372"/>
      <c r="CZ693" s="2372"/>
      <c r="DA693" s="2372"/>
    </row>
    <row r="694" spans="1:105" ht="15" hidden="1" customHeight="1">
      <c r="A694" s="2372"/>
      <c r="B694" s="2372"/>
      <c r="C694" s="2372"/>
      <c r="D694" s="2372"/>
      <c r="E694" s="2372"/>
      <c r="F694" s="2372"/>
      <c r="G694" s="2372"/>
      <c r="H694" s="2372"/>
      <c r="I694" s="2372"/>
      <c r="J694" s="2372"/>
      <c r="K694" s="2372"/>
      <c r="L694" s="2372"/>
      <c r="M694" s="2372"/>
      <c r="N694" s="2372"/>
      <c r="O694" s="2372"/>
      <c r="P694" s="2372"/>
      <c r="Q694" s="2372"/>
      <c r="R694" s="2372"/>
      <c r="S694" s="2372"/>
      <c r="T694" s="2372"/>
      <c r="U694" s="2372"/>
      <c r="V694" s="2372"/>
      <c r="W694" s="2372"/>
      <c r="X694" s="2372"/>
      <c r="Y694" s="2372"/>
      <c r="Z694" s="2372"/>
      <c r="AA694" s="2372"/>
      <c r="AB694" s="2372"/>
      <c r="AC694" s="2372"/>
      <c r="AD694" s="2372"/>
      <c r="AE694" s="2372"/>
      <c r="AF694" s="2372"/>
      <c r="AG694" s="2372"/>
      <c r="AH694" s="2372"/>
      <c r="AI694" s="2372"/>
      <c r="AJ694" s="2372"/>
      <c r="AK694" s="2372"/>
      <c r="AL694" s="2372"/>
      <c r="AM694" s="2372"/>
      <c r="AN694" s="2372"/>
      <c r="AO694" s="2372"/>
      <c r="AP694" s="2372"/>
      <c r="AQ694" s="2372"/>
      <c r="AR694" s="2372"/>
      <c r="AS694" s="2372"/>
      <c r="AT694" s="2372"/>
      <c r="AU694" s="2372"/>
      <c r="AV694" s="2372"/>
      <c r="AW694" s="2372"/>
      <c r="AX694" s="2372"/>
      <c r="AY694" s="2372"/>
      <c r="AZ694" s="2372"/>
      <c r="BA694" s="2372"/>
      <c r="BB694" s="2372"/>
      <c r="BC694" s="2372"/>
      <c r="BD694" s="2372"/>
      <c r="BE694" s="2372"/>
      <c r="BF694" s="2372"/>
      <c r="BG694" s="2372"/>
      <c r="BH694" s="2372"/>
      <c r="BI694" s="2372"/>
      <c r="BJ694" s="2372"/>
      <c r="BK694" s="2372"/>
      <c r="BL694" s="2372"/>
      <c r="BM694" s="2372"/>
      <c r="BN694" s="2372"/>
      <c r="BO694" s="2372"/>
      <c r="BP694" s="2372"/>
      <c r="BQ694" s="2372"/>
      <c r="BR694" s="2372"/>
      <c r="BS694" s="2372"/>
      <c r="BT694" s="2372"/>
      <c r="BU694" s="2372"/>
      <c r="BV694" s="2372"/>
      <c r="BW694" s="2372"/>
      <c r="BX694" s="2372"/>
      <c r="BY694" s="2372"/>
      <c r="BZ694" s="2372"/>
      <c r="CA694" s="2372"/>
      <c r="CB694" s="2372"/>
      <c r="CC694" s="2372"/>
      <c r="CD694" s="2372"/>
      <c r="CE694" s="2372"/>
      <c r="CF694" s="2372"/>
      <c r="CG694" s="2372"/>
      <c r="CH694" s="2372"/>
      <c r="CI694" s="2372"/>
      <c r="CJ694" s="2372"/>
      <c r="CK694" s="2372"/>
      <c r="CL694" s="2372"/>
      <c r="CM694" s="2372"/>
      <c r="CN694" s="2372"/>
      <c r="CO694" s="2372"/>
      <c r="CP694" s="2372"/>
      <c r="CQ694" s="2372"/>
      <c r="CR694" s="2372"/>
      <c r="CS694" s="2372"/>
      <c r="CT694" s="2372"/>
      <c r="CU694" s="2372"/>
      <c r="CV694" s="2372"/>
      <c r="CW694" s="2372"/>
      <c r="CX694" s="2372"/>
      <c r="CY694" s="2372"/>
      <c r="CZ694" s="2372"/>
      <c r="DA694" s="2372"/>
    </row>
    <row r="695" spans="1:105" ht="15" hidden="1" customHeight="1">
      <c r="A695" s="2372"/>
      <c r="B695" s="2372"/>
      <c r="C695" s="2372"/>
      <c r="D695" s="2372"/>
      <c r="E695" s="2372"/>
      <c r="F695" s="2372"/>
      <c r="G695" s="2372"/>
      <c r="H695" s="2372"/>
      <c r="I695" s="2372"/>
      <c r="J695" s="2372"/>
      <c r="K695" s="2372"/>
      <c r="L695" s="2372"/>
      <c r="M695" s="2372"/>
      <c r="N695" s="2372"/>
      <c r="O695" s="2372"/>
      <c r="P695" s="2372"/>
      <c r="Q695" s="2372"/>
      <c r="R695" s="2372"/>
      <c r="S695" s="2372"/>
      <c r="T695" s="2372"/>
      <c r="U695" s="2372"/>
      <c r="V695" s="2372"/>
      <c r="W695" s="2372"/>
      <c r="X695" s="2372"/>
      <c r="Y695" s="2372"/>
      <c r="Z695" s="2372"/>
      <c r="AA695" s="2372"/>
      <c r="AB695" s="2372"/>
      <c r="AC695" s="2372"/>
      <c r="AD695" s="2372"/>
      <c r="AE695" s="2372"/>
      <c r="AF695" s="2372"/>
      <c r="AG695" s="2372"/>
      <c r="AH695" s="2372"/>
      <c r="AI695" s="2372"/>
      <c r="AJ695" s="2372"/>
      <c r="AK695" s="2372"/>
      <c r="AL695" s="2372"/>
      <c r="AM695" s="2372"/>
      <c r="AN695" s="2372"/>
      <c r="AO695" s="2372"/>
      <c r="AP695" s="2372"/>
      <c r="AQ695" s="2372"/>
      <c r="AR695" s="2372"/>
      <c r="AS695" s="2372"/>
      <c r="AT695" s="2372"/>
      <c r="AU695" s="2372"/>
      <c r="AV695" s="2372"/>
      <c r="AW695" s="2372"/>
      <c r="AX695" s="2372"/>
      <c r="AY695" s="2372"/>
      <c r="AZ695" s="2372"/>
      <c r="BA695" s="2372"/>
      <c r="BB695" s="2372"/>
      <c r="BC695" s="2372"/>
      <c r="BD695" s="2372"/>
      <c r="BE695" s="2372"/>
      <c r="BF695" s="2372"/>
      <c r="BG695" s="2372"/>
      <c r="BH695" s="2372"/>
      <c r="BI695" s="2372"/>
      <c r="BJ695" s="2372"/>
      <c r="BK695" s="2372"/>
      <c r="BL695" s="2372"/>
      <c r="BM695" s="2372"/>
      <c r="BN695" s="2372"/>
      <c r="BO695" s="2372"/>
      <c r="BP695" s="2372"/>
      <c r="BQ695" s="2372"/>
      <c r="BR695" s="2372"/>
      <c r="BS695" s="2372"/>
      <c r="BT695" s="2372"/>
      <c r="BU695" s="2372"/>
      <c r="BV695" s="2372"/>
      <c r="BW695" s="2372"/>
      <c r="BX695" s="2372"/>
      <c r="BY695" s="2372"/>
      <c r="BZ695" s="2372"/>
      <c r="CA695" s="2372"/>
      <c r="CB695" s="2372"/>
      <c r="CC695" s="2372"/>
      <c r="CD695" s="2372"/>
      <c r="CE695" s="2372"/>
      <c r="CF695" s="2372"/>
      <c r="CG695" s="2372"/>
      <c r="CH695" s="2372"/>
      <c r="CI695" s="2372"/>
      <c r="CJ695" s="2372"/>
      <c r="CK695" s="2372"/>
      <c r="CL695" s="2372"/>
      <c r="CM695" s="2372"/>
      <c r="CN695" s="2372"/>
      <c r="CO695" s="2372"/>
      <c r="CP695" s="2372"/>
      <c r="CQ695" s="2372"/>
      <c r="CR695" s="2372"/>
      <c r="CS695" s="2372"/>
      <c r="CT695" s="2372"/>
      <c r="CU695" s="2372"/>
      <c r="CV695" s="2372"/>
      <c r="CW695" s="2372"/>
      <c r="CX695" s="2372"/>
      <c r="CY695" s="2372"/>
      <c r="CZ695" s="2372"/>
      <c r="DA695" s="2372"/>
    </row>
    <row r="696" spans="1:105" ht="15" hidden="1" customHeight="1">
      <c r="A696" s="2372"/>
      <c r="B696" s="2372"/>
      <c r="C696" s="2372"/>
      <c r="D696" s="2372"/>
      <c r="E696" s="2372"/>
      <c r="F696" s="2372"/>
      <c r="G696" s="2372"/>
      <c r="H696" s="2372"/>
      <c r="I696" s="2372"/>
      <c r="J696" s="2372"/>
      <c r="K696" s="2372"/>
      <c r="L696" s="2372"/>
      <c r="M696" s="2372"/>
      <c r="N696" s="2372"/>
      <c r="O696" s="2372"/>
      <c r="P696" s="2372"/>
      <c r="Q696" s="2372"/>
      <c r="R696" s="2372"/>
      <c r="S696" s="2372"/>
      <c r="T696" s="2372"/>
      <c r="U696" s="2372"/>
      <c r="V696" s="2372"/>
      <c r="W696" s="2372"/>
      <c r="X696" s="2372"/>
      <c r="Y696" s="2372"/>
      <c r="Z696" s="2372"/>
      <c r="AA696" s="2372"/>
      <c r="AB696" s="2372"/>
      <c r="AC696" s="2372"/>
      <c r="AD696" s="2372"/>
      <c r="AE696" s="2372"/>
      <c r="AF696" s="2372"/>
      <c r="AG696" s="2372"/>
      <c r="AH696" s="2372"/>
      <c r="AI696" s="2372"/>
      <c r="AJ696" s="2372"/>
      <c r="AK696" s="2372"/>
      <c r="AL696" s="2372"/>
      <c r="AM696" s="2372"/>
      <c r="AN696" s="2372"/>
      <c r="AO696" s="2372"/>
      <c r="AP696" s="2372"/>
      <c r="AQ696" s="2372"/>
      <c r="AR696" s="2372"/>
      <c r="AS696" s="2372"/>
      <c r="AT696" s="2372"/>
      <c r="AU696" s="2372"/>
      <c r="AV696" s="2372"/>
      <c r="AW696" s="2372"/>
      <c r="AX696" s="2372"/>
      <c r="AY696" s="2372"/>
      <c r="AZ696" s="2372"/>
      <c r="BA696" s="2372"/>
      <c r="BB696" s="2372"/>
      <c r="BC696" s="2372"/>
      <c r="BD696" s="2372"/>
      <c r="BE696" s="2372"/>
      <c r="BF696" s="2372"/>
      <c r="BG696" s="2372"/>
      <c r="BH696" s="2372"/>
      <c r="BI696" s="2372"/>
      <c r="BJ696" s="2372"/>
      <c r="BK696" s="2372"/>
      <c r="BL696" s="2372"/>
      <c r="BM696" s="2372"/>
      <c r="BN696" s="2372"/>
      <c r="BO696" s="2372"/>
      <c r="BP696" s="2372"/>
      <c r="BQ696" s="2372"/>
      <c r="BR696" s="2372"/>
      <c r="BS696" s="2372"/>
      <c r="BT696" s="2372"/>
      <c r="BU696" s="2372"/>
      <c r="BV696" s="2372"/>
      <c r="BW696" s="2372"/>
      <c r="BX696" s="2372"/>
      <c r="BY696" s="2372"/>
      <c r="BZ696" s="2372"/>
      <c r="CA696" s="2372"/>
      <c r="CB696" s="2372"/>
      <c r="CC696" s="2372"/>
      <c r="CD696" s="2372"/>
      <c r="CE696" s="2372"/>
      <c r="CF696" s="2372"/>
      <c r="CG696" s="2372"/>
      <c r="CH696" s="2372"/>
      <c r="CI696" s="2372"/>
      <c r="CJ696" s="2372"/>
      <c r="CK696" s="2372"/>
      <c r="CL696" s="2372"/>
      <c r="CM696" s="2372"/>
      <c r="CN696" s="2372"/>
      <c r="CO696" s="2372"/>
      <c r="CP696" s="2372"/>
      <c r="CQ696" s="2372"/>
      <c r="CR696" s="2372"/>
      <c r="CS696" s="2372"/>
      <c r="CT696" s="2372"/>
      <c r="CU696" s="2372"/>
      <c r="CV696" s="2372"/>
      <c r="CW696" s="2372"/>
      <c r="CX696" s="2372"/>
      <c r="CY696" s="2372"/>
      <c r="CZ696" s="2372"/>
      <c r="DA696" s="2372"/>
    </row>
    <row r="697" spans="1:105" ht="15" hidden="1" customHeight="1">
      <c r="A697" s="2372"/>
      <c r="B697" s="2372"/>
      <c r="C697" s="2372"/>
      <c r="D697" s="2372"/>
      <c r="E697" s="2372"/>
      <c r="F697" s="2372"/>
      <c r="G697" s="2372"/>
      <c r="H697" s="2372"/>
      <c r="I697" s="2372"/>
      <c r="J697" s="2372"/>
      <c r="K697" s="2372"/>
      <c r="L697" s="2372"/>
      <c r="M697" s="2372"/>
      <c r="N697" s="2372"/>
      <c r="O697" s="2372"/>
      <c r="P697" s="2372"/>
      <c r="Q697" s="2372"/>
      <c r="R697" s="2372"/>
      <c r="S697" s="2372"/>
      <c r="T697" s="2372"/>
      <c r="U697" s="2372"/>
      <c r="V697" s="2372"/>
      <c r="W697" s="2372"/>
      <c r="X697" s="2372"/>
      <c r="Y697" s="2372"/>
      <c r="Z697" s="2372"/>
      <c r="AA697" s="2372"/>
      <c r="AB697" s="2372"/>
      <c r="AC697" s="2372"/>
      <c r="AD697" s="2372"/>
      <c r="AE697" s="2372"/>
      <c r="AF697" s="2372"/>
      <c r="AG697" s="2372"/>
      <c r="AH697" s="2372"/>
      <c r="AI697" s="2372"/>
      <c r="AJ697" s="2372"/>
      <c r="AK697" s="2372"/>
      <c r="AL697" s="2372"/>
      <c r="AM697" s="2372"/>
      <c r="AN697" s="2372"/>
      <c r="AO697" s="2372"/>
      <c r="AP697" s="2372"/>
      <c r="AQ697" s="2372"/>
      <c r="AR697" s="2372"/>
      <c r="AS697" s="2372"/>
      <c r="AT697" s="2372"/>
      <c r="AU697" s="2372"/>
      <c r="AV697" s="2372"/>
      <c r="AW697" s="2372"/>
      <c r="AX697" s="2372"/>
      <c r="AY697" s="2372"/>
      <c r="AZ697" s="2372"/>
      <c r="BA697" s="2372"/>
      <c r="BB697" s="2372"/>
      <c r="BC697" s="2372"/>
      <c r="BD697" s="2372"/>
      <c r="BE697" s="2372"/>
      <c r="BF697" s="2372"/>
      <c r="BG697" s="2372"/>
      <c r="BH697" s="2372"/>
      <c r="BI697" s="2372"/>
      <c r="BJ697" s="2372"/>
      <c r="BK697" s="2372"/>
      <c r="BL697" s="2372"/>
      <c r="BM697" s="2372"/>
      <c r="BN697" s="2372"/>
      <c r="BO697" s="2372"/>
      <c r="BP697" s="2372"/>
      <c r="BQ697" s="2372"/>
      <c r="BR697" s="2372"/>
      <c r="BS697" s="2372"/>
      <c r="BT697" s="2372"/>
      <c r="BU697" s="2372"/>
      <c r="BV697" s="2372"/>
      <c r="BW697" s="2372"/>
      <c r="BX697" s="2372"/>
      <c r="BY697" s="2372"/>
      <c r="BZ697" s="2372"/>
      <c r="CA697" s="2372"/>
      <c r="CB697" s="2372"/>
      <c r="CC697" s="2372"/>
      <c r="CD697" s="2372"/>
      <c r="CE697" s="2372"/>
      <c r="CF697" s="2372"/>
      <c r="CG697" s="2372"/>
      <c r="CH697" s="2372"/>
      <c r="CI697" s="2372"/>
      <c r="CJ697" s="2372"/>
      <c r="CK697" s="2372"/>
      <c r="CL697" s="2372"/>
      <c r="CM697" s="2372"/>
      <c r="CN697" s="2372"/>
      <c r="CO697" s="2372"/>
      <c r="CP697" s="2372"/>
      <c r="CQ697" s="2372"/>
      <c r="CR697" s="2372"/>
      <c r="CS697" s="2372"/>
      <c r="CT697" s="2372"/>
      <c r="CU697" s="2372"/>
      <c r="CV697" s="2372"/>
      <c r="CW697" s="2372"/>
      <c r="CX697" s="2372"/>
      <c r="CY697" s="2372"/>
      <c r="CZ697" s="2372"/>
      <c r="DA697" s="2372"/>
    </row>
    <row r="698" spans="1:105" ht="15" hidden="1" customHeight="1">
      <c r="A698" s="2372"/>
      <c r="B698" s="2372"/>
      <c r="C698" s="2372"/>
      <c r="D698" s="2372"/>
      <c r="E698" s="2372"/>
      <c r="F698" s="2372"/>
      <c r="G698" s="2372"/>
      <c r="H698" s="2372"/>
      <c r="I698" s="2372"/>
      <c r="J698" s="2372"/>
      <c r="K698" s="2372"/>
      <c r="L698" s="2372"/>
      <c r="M698" s="2372"/>
      <c r="N698" s="2372"/>
      <c r="O698" s="2372"/>
      <c r="P698" s="2372"/>
      <c r="Q698" s="2372"/>
      <c r="R698" s="2372"/>
      <c r="S698" s="2372"/>
      <c r="T698" s="2372"/>
      <c r="U698" s="2372"/>
      <c r="V698" s="2372"/>
      <c r="W698" s="2372"/>
      <c r="X698" s="2372"/>
      <c r="Y698" s="2372"/>
      <c r="Z698" s="2372"/>
      <c r="AA698" s="2372"/>
      <c r="AB698" s="2372"/>
      <c r="AC698" s="2372"/>
      <c r="AD698" s="2372"/>
      <c r="AE698" s="2372"/>
      <c r="AF698" s="2372"/>
      <c r="AG698" s="2372"/>
      <c r="AH698" s="2372"/>
      <c r="AI698" s="2372"/>
      <c r="AJ698" s="2372"/>
      <c r="AK698" s="2372"/>
      <c r="AL698" s="2372"/>
      <c r="AM698" s="2372"/>
      <c r="AN698" s="2372"/>
      <c r="AO698" s="2372"/>
      <c r="AP698" s="2372"/>
      <c r="AQ698" s="2372"/>
      <c r="AR698" s="2372"/>
      <c r="AS698" s="2372"/>
      <c r="AT698" s="2372"/>
      <c r="AU698" s="2372"/>
      <c r="AV698" s="2372"/>
      <c r="AW698" s="2372"/>
      <c r="AX698" s="2372"/>
      <c r="AY698" s="2372"/>
      <c r="AZ698" s="2372"/>
      <c r="BA698" s="2372"/>
      <c r="BB698" s="2372"/>
      <c r="BC698" s="2372"/>
      <c r="BD698" s="2372"/>
      <c r="BE698" s="2372"/>
      <c r="BF698" s="2372"/>
      <c r="BG698" s="2372"/>
      <c r="BH698" s="2372"/>
      <c r="BI698" s="2372"/>
      <c r="BJ698" s="2372"/>
      <c r="BK698" s="2372"/>
      <c r="BL698" s="2372"/>
      <c r="BM698" s="2372"/>
      <c r="BN698" s="2372"/>
      <c r="BO698" s="2372"/>
      <c r="BP698" s="2372"/>
      <c r="BQ698" s="2372"/>
      <c r="BR698" s="2372"/>
      <c r="BS698" s="2372"/>
      <c r="BT698" s="2372"/>
      <c r="BU698" s="2372"/>
      <c r="BV698" s="2372"/>
      <c r="BW698" s="2372"/>
      <c r="BX698" s="2372"/>
      <c r="BY698" s="2372"/>
      <c r="BZ698" s="2372"/>
      <c r="CA698" s="2372"/>
      <c r="CB698" s="2372"/>
      <c r="CC698" s="2372"/>
      <c r="CD698" s="2372"/>
      <c r="CE698" s="2372"/>
      <c r="CF698" s="2372"/>
      <c r="CG698" s="2372"/>
      <c r="CH698" s="2372"/>
      <c r="CI698" s="2372"/>
      <c r="CJ698" s="2372"/>
      <c r="CK698" s="2372"/>
      <c r="CL698" s="2372"/>
      <c r="CM698" s="2372"/>
      <c r="CN698" s="2372"/>
      <c r="CO698" s="2372"/>
      <c r="CP698" s="2372"/>
      <c r="CQ698" s="2372"/>
      <c r="CR698" s="2372"/>
      <c r="CS698" s="2372"/>
      <c r="CT698" s="2372"/>
      <c r="CU698" s="2372"/>
      <c r="CV698" s="2372"/>
      <c r="CW698" s="2372"/>
      <c r="CX698" s="2372"/>
      <c r="CY698" s="2372"/>
      <c r="CZ698" s="2372"/>
      <c r="DA698" s="2372"/>
    </row>
    <row r="699" spans="1:105" ht="15" hidden="1" customHeight="1">
      <c r="A699" s="2372"/>
      <c r="B699" s="2372"/>
      <c r="C699" s="2372"/>
      <c r="D699" s="2372"/>
      <c r="E699" s="2372"/>
      <c r="F699" s="2372"/>
      <c r="G699" s="2372"/>
      <c r="H699" s="2372"/>
      <c r="I699" s="2372"/>
      <c r="J699" s="2372"/>
      <c r="K699" s="2372"/>
      <c r="L699" s="2372"/>
      <c r="M699" s="2372"/>
      <c r="N699" s="2372"/>
      <c r="O699" s="2372"/>
      <c r="P699" s="2372"/>
      <c r="Q699" s="2372"/>
      <c r="R699" s="2372"/>
      <c r="S699" s="2372"/>
      <c r="T699" s="2372"/>
      <c r="U699" s="2372"/>
      <c r="V699" s="2372"/>
      <c r="W699" s="2372"/>
      <c r="X699" s="2372"/>
      <c r="Y699" s="2372"/>
      <c r="Z699" s="2372"/>
      <c r="AA699" s="2372"/>
      <c r="AB699" s="2372"/>
      <c r="AC699" s="2372"/>
      <c r="AD699" s="2372"/>
      <c r="AE699" s="2372"/>
      <c r="AF699" s="2372"/>
      <c r="AG699" s="2372"/>
      <c r="AH699" s="2372"/>
      <c r="AI699" s="2372"/>
      <c r="AJ699" s="2372"/>
      <c r="AK699" s="2372"/>
      <c r="AL699" s="2372"/>
      <c r="AM699" s="2372"/>
      <c r="AN699" s="2372"/>
      <c r="AO699" s="2372"/>
      <c r="AP699" s="2372"/>
      <c r="AQ699" s="2372"/>
      <c r="AR699" s="2372"/>
      <c r="AS699" s="2372"/>
      <c r="AT699" s="2372"/>
      <c r="AU699" s="2372"/>
      <c r="AV699" s="2372"/>
      <c r="AW699" s="2372"/>
      <c r="AX699" s="2372"/>
      <c r="AY699" s="2372"/>
      <c r="AZ699" s="2372"/>
      <c r="BA699" s="2372"/>
      <c r="BB699" s="2372"/>
      <c r="BC699" s="2372"/>
      <c r="BD699" s="2372"/>
      <c r="BE699" s="2372"/>
      <c r="BF699" s="2372"/>
      <c r="BG699" s="2372"/>
      <c r="BH699" s="2372"/>
      <c r="BI699" s="2372"/>
      <c r="BJ699" s="2372"/>
      <c r="BK699" s="2372"/>
      <c r="BL699" s="2372"/>
      <c r="BM699" s="2372"/>
      <c r="BN699" s="2372"/>
      <c r="BO699" s="2372"/>
      <c r="BP699" s="2372"/>
      <c r="BQ699" s="2372"/>
      <c r="BR699" s="2372"/>
      <c r="BS699" s="2372"/>
      <c r="BT699" s="2372"/>
      <c r="BU699" s="2372"/>
      <c r="BV699" s="2372"/>
      <c r="BW699" s="2372"/>
      <c r="BX699" s="2372"/>
      <c r="BY699" s="2372"/>
      <c r="BZ699" s="2372"/>
      <c r="CA699" s="2372"/>
      <c r="CB699" s="2372"/>
      <c r="CC699" s="2372"/>
      <c r="CD699" s="2372"/>
      <c r="CE699" s="2372"/>
      <c r="CF699" s="2372"/>
      <c r="CG699" s="2372"/>
      <c r="CH699" s="2372"/>
      <c r="CI699" s="2372"/>
      <c r="CJ699" s="2372"/>
      <c r="CK699" s="2372"/>
      <c r="CL699" s="2372"/>
      <c r="CM699" s="2372"/>
      <c r="CN699" s="2372"/>
      <c r="CO699" s="2372"/>
      <c r="CP699" s="2372"/>
      <c r="CQ699" s="2372"/>
      <c r="CR699" s="2372"/>
      <c r="CS699" s="2372"/>
      <c r="CT699" s="2372"/>
      <c r="CU699" s="2372"/>
      <c r="CV699" s="2372"/>
      <c r="CW699" s="2372"/>
      <c r="CX699" s="2372"/>
      <c r="CY699" s="2372"/>
      <c r="CZ699" s="2372"/>
      <c r="DA699" s="2372"/>
    </row>
    <row r="700" spans="1:105" ht="15" hidden="1" customHeight="1">
      <c r="A700" s="2372"/>
      <c r="B700" s="2372"/>
      <c r="C700" s="2372"/>
      <c r="D700" s="2372"/>
      <c r="E700" s="2372"/>
      <c r="F700" s="2372"/>
      <c r="G700" s="2372"/>
      <c r="H700" s="2372"/>
      <c r="I700" s="2372"/>
      <c r="J700" s="2372"/>
      <c r="K700" s="2372"/>
      <c r="L700" s="2372"/>
      <c r="M700" s="2372"/>
      <c r="N700" s="2372"/>
      <c r="O700" s="2372"/>
      <c r="P700" s="2372"/>
      <c r="Q700" s="2372"/>
      <c r="R700" s="2372"/>
      <c r="S700" s="2372"/>
      <c r="T700" s="2372"/>
      <c r="U700" s="2372"/>
      <c r="V700" s="2372"/>
      <c r="W700" s="2372"/>
      <c r="X700" s="2372"/>
      <c r="Y700" s="2372"/>
      <c r="Z700" s="2372"/>
      <c r="AA700" s="2372"/>
      <c r="AB700" s="2372"/>
      <c r="AC700" s="2372"/>
      <c r="AD700" s="2372"/>
      <c r="AE700" s="2372"/>
      <c r="AF700" s="2372"/>
      <c r="AG700" s="2372"/>
      <c r="AH700" s="2372"/>
      <c r="AI700" s="2372"/>
      <c r="AJ700" s="2372"/>
      <c r="AK700" s="2372"/>
      <c r="AL700" s="2372"/>
      <c r="AM700" s="2372"/>
      <c r="AN700" s="2372"/>
      <c r="AO700" s="2372"/>
      <c r="AP700" s="2372"/>
      <c r="AQ700" s="2372"/>
      <c r="AR700" s="2372"/>
      <c r="AS700" s="2372"/>
      <c r="AT700" s="2372"/>
      <c r="AU700" s="2372"/>
      <c r="AV700" s="2372"/>
      <c r="AW700" s="2372"/>
      <c r="AX700" s="2372"/>
      <c r="AY700" s="2372"/>
      <c r="AZ700" s="2372"/>
      <c r="BA700" s="2372"/>
      <c r="BB700" s="2372"/>
      <c r="BC700" s="2372"/>
      <c r="BD700" s="2372"/>
      <c r="BE700" s="2372"/>
      <c r="BF700" s="2372"/>
      <c r="BG700" s="2372"/>
      <c r="BH700" s="2372"/>
      <c r="BI700" s="2372"/>
      <c r="BJ700" s="2372"/>
      <c r="BK700" s="2372"/>
      <c r="BL700" s="2372"/>
      <c r="BM700" s="2372"/>
      <c r="BN700" s="2372"/>
      <c r="BO700" s="2372"/>
      <c r="BP700" s="2372"/>
      <c r="BQ700" s="2372"/>
      <c r="BR700" s="2372"/>
      <c r="BS700" s="2372"/>
      <c r="BT700" s="2372"/>
      <c r="BU700" s="2372"/>
      <c r="BV700" s="2372"/>
      <c r="BW700" s="2372"/>
      <c r="BX700" s="2372"/>
      <c r="BY700" s="2372"/>
      <c r="BZ700" s="2372"/>
      <c r="CA700" s="2372"/>
      <c r="CB700" s="2372"/>
      <c r="CC700" s="2372"/>
      <c r="CD700" s="2372"/>
      <c r="CE700" s="2372"/>
      <c r="CF700" s="2372"/>
      <c r="CG700" s="2372"/>
      <c r="CH700" s="2372"/>
      <c r="CI700" s="2372"/>
      <c r="CJ700" s="2372"/>
      <c r="CK700" s="2372"/>
      <c r="CL700" s="2372"/>
      <c r="CM700" s="2372"/>
      <c r="CN700" s="2372"/>
      <c r="CO700" s="2372"/>
      <c r="CP700" s="2372"/>
      <c r="CQ700" s="2372"/>
      <c r="CR700" s="2372"/>
      <c r="CS700" s="2372"/>
      <c r="CT700" s="2372"/>
      <c r="CU700" s="2372"/>
      <c r="CV700" s="2372"/>
      <c r="CW700" s="2372"/>
      <c r="CX700" s="2372"/>
      <c r="CY700" s="2372"/>
      <c r="CZ700" s="2372"/>
      <c r="DA700" s="2372"/>
    </row>
    <row r="701" spans="1:105" ht="15" hidden="1" customHeight="1">
      <c r="A701" s="2372"/>
      <c r="B701" s="2372"/>
      <c r="C701" s="2372"/>
      <c r="D701" s="2372"/>
      <c r="E701" s="2372"/>
      <c r="F701" s="2372"/>
      <c r="G701" s="2372"/>
      <c r="H701" s="2372"/>
      <c r="I701" s="2372"/>
      <c r="J701" s="2372"/>
      <c r="K701" s="2372"/>
      <c r="L701" s="2372"/>
      <c r="M701" s="2372"/>
      <c r="N701" s="2372"/>
      <c r="O701" s="2372"/>
      <c r="P701" s="2372"/>
      <c r="Q701" s="2372"/>
      <c r="R701" s="2372"/>
      <c r="S701" s="2372"/>
      <c r="T701" s="2372"/>
      <c r="U701" s="2372"/>
      <c r="V701" s="2372"/>
      <c r="W701" s="2372"/>
      <c r="X701" s="2372"/>
      <c r="Y701" s="2372"/>
      <c r="Z701" s="2372"/>
      <c r="AA701" s="2372"/>
      <c r="AB701" s="2372"/>
      <c r="AC701" s="2372"/>
      <c r="AD701" s="2372"/>
      <c r="AE701" s="2372"/>
      <c r="AF701" s="2372"/>
      <c r="AG701" s="2372"/>
      <c r="AH701" s="2372"/>
      <c r="AI701" s="2372"/>
      <c r="AJ701" s="2372"/>
      <c r="AK701" s="2372"/>
      <c r="AL701" s="2372"/>
      <c r="AM701" s="2372"/>
      <c r="AN701" s="2372"/>
      <c r="AO701" s="2372"/>
      <c r="AP701" s="2372"/>
      <c r="AQ701" s="2372"/>
      <c r="AR701" s="2372"/>
      <c r="AS701" s="2372"/>
      <c r="AT701" s="2372"/>
      <c r="AU701" s="2372"/>
      <c r="AV701" s="2372"/>
      <c r="AW701" s="2372"/>
      <c r="AX701" s="2372"/>
      <c r="AY701" s="2372"/>
      <c r="AZ701" s="2372"/>
      <c r="BA701" s="2372"/>
      <c r="BB701" s="2372"/>
      <c r="BC701" s="2372"/>
      <c r="BD701" s="2372"/>
      <c r="BE701" s="2372"/>
      <c r="BF701" s="2372"/>
      <c r="BG701" s="2372"/>
      <c r="BH701" s="2372"/>
      <c r="BI701" s="2372"/>
      <c r="BJ701" s="2372"/>
      <c r="BK701" s="2372"/>
      <c r="BL701" s="2372"/>
      <c r="BM701" s="2372"/>
      <c r="BN701" s="2372"/>
      <c r="BO701" s="2372"/>
      <c r="BP701" s="2372"/>
      <c r="BQ701" s="2372"/>
      <c r="BR701" s="2372"/>
      <c r="BS701" s="2372"/>
      <c r="BT701" s="2372"/>
      <c r="BU701" s="2372"/>
      <c r="BV701" s="2372"/>
      <c r="BW701" s="2372"/>
      <c r="BX701" s="2372"/>
      <c r="BY701" s="2372"/>
      <c r="BZ701" s="2372"/>
      <c r="CA701" s="2372"/>
      <c r="CB701" s="2372"/>
      <c r="CC701" s="2372"/>
      <c r="CD701" s="2372"/>
      <c r="CE701" s="2372"/>
      <c r="CF701" s="2372"/>
      <c r="CG701" s="2372"/>
      <c r="CH701" s="2372"/>
      <c r="CI701" s="2372"/>
      <c r="CJ701" s="2372"/>
      <c r="CK701" s="2372"/>
      <c r="CL701" s="2372"/>
      <c r="CM701" s="2372"/>
      <c r="CN701" s="2372"/>
      <c r="CO701" s="2372"/>
      <c r="CP701" s="2372"/>
      <c r="CQ701" s="2372"/>
      <c r="CR701" s="2372"/>
      <c r="CS701" s="2372"/>
      <c r="CT701" s="2372"/>
      <c r="CU701" s="2372"/>
      <c r="CV701" s="2372"/>
      <c r="CW701" s="2372"/>
      <c r="CX701" s="2372"/>
      <c r="CY701" s="2372"/>
      <c r="CZ701" s="2372"/>
      <c r="DA701" s="2372"/>
    </row>
    <row r="702" spans="1:105" ht="15" hidden="1" customHeight="1">
      <c r="A702" s="2372"/>
      <c r="B702" s="2372"/>
      <c r="C702" s="2372"/>
      <c r="D702" s="2372"/>
      <c r="E702" s="2372"/>
      <c r="F702" s="2372"/>
      <c r="G702" s="2372"/>
      <c r="H702" s="2372"/>
      <c r="I702" s="2372"/>
      <c r="J702" s="2372"/>
      <c r="K702" s="2372"/>
      <c r="L702" s="2372"/>
      <c r="M702" s="2372"/>
      <c r="N702" s="2372"/>
      <c r="O702" s="2372"/>
      <c r="P702" s="2372"/>
      <c r="Q702" s="2372"/>
      <c r="R702" s="2372"/>
      <c r="S702" s="2372"/>
      <c r="T702" s="2372"/>
      <c r="U702" s="2372"/>
      <c r="V702" s="2372"/>
      <c r="W702" s="2372"/>
      <c r="X702" s="2372"/>
      <c r="Y702" s="2372"/>
      <c r="Z702" s="2372"/>
      <c r="AA702" s="2372"/>
      <c r="AB702" s="2372"/>
      <c r="AC702" s="2372"/>
      <c r="AD702" s="2372"/>
      <c r="AE702" s="2372"/>
      <c r="AF702" s="2372"/>
      <c r="AG702" s="2372"/>
      <c r="AH702" s="2372"/>
      <c r="AI702" s="2372"/>
      <c r="AJ702" s="2372"/>
      <c r="AK702" s="2372"/>
      <c r="AL702" s="2372"/>
      <c r="AM702" s="2372"/>
      <c r="AN702" s="2372"/>
      <c r="AO702" s="2372"/>
      <c r="AP702" s="2372"/>
      <c r="AQ702" s="2372"/>
      <c r="AR702" s="2372"/>
      <c r="AS702" s="2372"/>
      <c r="AT702" s="2372"/>
      <c r="AU702" s="2372"/>
      <c r="AV702" s="2372"/>
      <c r="AW702" s="2372"/>
      <c r="AX702" s="2372"/>
      <c r="AY702" s="2372"/>
      <c r="AZ702" s="2372"/>
      <c r="BA702" s="2372"/>
      <c r="BB702" s="2372"/>
      <c r="BC702" s="2372"/>
      <c r="BD702" s="2372"/>
      <c r="BE702" s="2372"/>
      <c r="BF702" s="2372"/>
      <c r="BG702" s="2372"/>
      <c r="BH702" s="2372"/>
      <c r="BI702" s="2372"/>
      <c r="BJ702" s="2372"/>
      <c r="BK702" s="2372"/>
      <c r="BL702" s="2372"/>
      <c r="BM702" s="2372"/>
      <c r="BN702" s="2372"/>
      <c r="BO702" s="2372"/>
      <c r="BP702" s="2372"/>
      <c r="BQ702" s="2372"/>
      <c r="BR702" s="2372"/>
      <c r="BS702" s="2372"/>
      <c r="BT702" s="2372"/>
      <c r="BU702" s="2372"/>
      <c r="BV702" s="2372"/>
      <c r="BW702" s="2372"/>
      <c r="BX702" s="2372"/>
      <c r="BY702" s="2372"/>
      <c r="BZ702" s="2372"/>
      <c r="CA702" s="2372"/>
      <c r="CB702" s="2372"/>
      <c r="CC702" s="2372"/>
      <c r="CD702" s="2372"/>
      <c r="CE702" s="2372"/>
      <c r="CF702" s="2372"/>
      <c r="CG702" s="2372"/>
      <c r="CH702" s="2372"/>
      <c r="CI702" s="2372"/>
      <c r="CJ702" s="2372"/>
      <c r="CK702" s="2372"/>
      <c r="CL702" s="2372"/>
      <c r="CM702" s="2372"/>
      <c r="CN702" s="2372"/>
      <c r="CO702" s="2372"/>
      <c r="CP702" s="2372"/>
      <c r="CQ702" s="2372"/>
      <c r="CR702" s="2372"/>
      <c r="CS702" s="2372"/>
      <c r="CT702" s="2372"/>
      <c r="CU702" s="2372"/>
      <c r="CV702" s="2372"/>
      <c r="CW702" s="2372"/>
      <c r="CX702" s="2372"/>
      <c r="CY702" s="2372"/>
      <c r="CZ702" s="2372"/>
      <c r="DA702" s="2372"/>
    </row>
    <row r="703" spans="1:105" ht="15" hidden="1" customHeight="1">
      <c r="A703" s="2372"/>
      <c r="B703" s="2372"/>
      <c r="C703" s="2372"/>
      <c r="D703" s="2372"/>
      <c r="E703" s="2372"/>
      <c r="F703" s="2372"/>
      <c r="G703" s="2372"/>
      <c r="H703" s="2372"/>
      <c r="I703" s="2372"/>
      <c r="J703" s="2372"/>
      <c r="K703" s="2372"/>
      <c r="L703" s="2372"/>
      <c r="M703" s="2372"/>
      <c r="N703" s="2372"/>
      <c r="O703" s="2372"/>
      <c r="P703" s="2372"/>
      <c r="Q703" s="2372"/>
      <c r="R703" s="2372"/>
      <c r="S703" s="2372"/>
      <c r="T703" s="2372"/>
      <c r="U703" s="2372"/>
      <c r="V703" s="2372"/>
      <c r="W703" s="2372"/>
      <c r="X703" s="2372"/>
      <c r="Y703" s="2372"/>
      <c r="Z703" s="2372"/>
      <c r="AA703" s="2372"/>
      <c r="AB703" s="2372"/>
      <c r="AC703" s="2372"/>
      <c r="AD703" s="2372"/>
      <c r="AE703" s="2372"/>
      <c r="AF703" s="2372"/>
      <c r="AG703" s="2372"/>
      <c r="AH703" s="2372"/>
      <c r="AI703" s="2372"/>
      <c r="AJ703" s="2372"/>
      <c r="AK703" s="2372"/>
      <c r="AL703" s="2372"/>
      <c r="AM703" s="2372"/>
      <c r="AN703" s="2372"/>
      <c r="AO703" s="2372"/>
      <c r="AP703" s="2372"/>
      <c r="AQ703" s="2372"/>
      <c r="AR703" s="2372"/>
      <c r="AS703" s="2372"/>
      <c r="AT703" s="2372"/>
      <c r="AU703" s="2372"/>
      <c r="AV703" s="2372"/>
      <c r="AW703" s="2372"/>
      <c r="AX703" s="2372"/>
      <c r="AY703" s="2372"/>
      <c r="AZ703" s="2372"/>
      <c r="BA703" s="2372"/>
      <c r="BB703" s="2372"/>
      <c r="BC703" s="2372"/>
      <c r="BD703" s="2372"/>
      <c r="BE703" s="2372"/>
      <c r="BF703" s="2372"/>
      <c r="BG703" s="2372"/>
      <c r="BH703" s="2372"/>
      <c r="BI703" s="2372"/>
      <c r="BJ703" s="2372"/>
      <c r="BK703" s="2372"/>
      <c r="BL703" s="2372"/>
      <c r="BM703" s="2372"/>
      <c r="BN703" s="2372"/>
      <c r="BO703" s="2372"/>
      <c r="BP703" s="2372"/>
      <c r="BQ703" s="2372"/>
      <c r="BR703" s="2372"/>
      <c r="BS703" s="2372"/>
      <c r="BT703" s="2372"/>
      <c r="BU703" s="2372"/>
      <c r="BV703" s="2372"/>
      <c r="BW703" s="2372"/>
      <c r="BX703" s="2372"/>
      <c r="BY703" s="2372"/>
      <c r="BZ703" s="2372"/>
      <c r="CA703" s="2372"/>
      <c r="CB703" s="2372"/>
      <c r="CC703" s="2372"/>
      <c r="CD703" s="2372"/>
      <c r="CE703" s="2372"/>
      <c r="CF703" s="2372"/>
      <c r="CG703" s="2372"/>
      <c r="CH703" s="2372"/>
      <c r="CI703" s="2372"/>
      <c r="CJ703" s="2372"/>
      <c r="CK703" s="2372"/>
      <c r="CL703" s="2372"/>
      <c r="CM703" s="2372"/>
      <c r="CN703" s="2372"/>
      <c r="CO703" s="2372"/>
      <c r="CP703" s="2372"/>
      <c r="CQ703" s="2372"/>
      <c r="CR703" s="2372"/>
      <c r="CS703" s="2372"/>
      <c r="CT703" s="2372"/>
      <c r="CU703" s="2372"/>
      <c r="CV703" s="2372"/>
      <c r="CW703" s="2372"/>
      <c r="CX703" s="2372"/>
      <c r="CY703" s="2372"/>
      <c r="CZ703" s="2372"/>
      <c r="DA703" s="2372"/>
    </row>
    <row r="704" spans="1:105" ht="15" hidden="1" customHeight="1">
      <c r="A704" s="2372"/>
      <c r="B704" s="2372"/>
      <c r="C704" s="2372"/>
      <c r="D704" s="2372"/>
      <c r="E704" s="2372"/>
      <c r="F704" s="2372"/>
      <c r="G704" s="2372"/>
      <c r="H704" s="2372"/>
      <c r="I704" s="2372"/>
      <c r="J704" s="2372"/>
      <c r="K704" s="2372"/>
      <c r="L704" s="2372"/>
      <c r="M704" s="2372"/>
      <c r="N704" s="2372"/>
      <c r="O704" s="2372"/>
      <c r="P704" s="2372"/>
      <c r="Q704" s="2372"/>
      <c r="R704" s="2372"/>
      <c r="S704" s="2372"/>
      <c r="T704" s="2372"/>
      <c r="U704" s="2372"/>
      <c r="V704" s="2372"/>
      <c r="W704" s="2372"/>
      <c r="X704" s="2372"/>
      <c r="Y704" s="2372"/>
      <c r="Z704" s="2372"/>
      <c r="AA704" s="2372"/>
      <c r="AB704" s="2372"/>
      <c r="AC704" s="2372"/>
      <c r="AD704" s="2372"/>
      <c r="AE704" s="2372"/>
      <c r="AF704" s="2372"/>
      <c r="AG704" s="2372"/>
      <c r="AH704" s="2372"/>
      <c r="AI704" s="2372"/>
      <c r="AJ704" s="2372"/>
      <c r="AK704" s="2372"/>
      <c r="AL704" s="2372"/>
      <c r="AM704" s="2372"/>
      <c r="AN704" s="2372"/>
      <c r="AO704" s="2372"/>
      <c r="AP704" s="2372"/>
      <c r="AQ704" s="2372"/>
      <c r="AR704" s="2372"/>
      <c r="AS704" s="2372"/>
      <c r="AT704" s="2372"/>
      <c r="AU704" s="2372"/>
      <c r="AV704" s="2372"/>
      <c r="AW704" s="2372"/>
      <c r="AX704" s="2372"/>
      <c r="AY704" s="2372"/>
      <c r="AZ704" s="2372"/>
      <c r="BA704" s="2372"/>
      <c r="BB704" s="2372"/>
      <c r="BC704" s="2372"/>
      <c r="BD704" s="2372"/>
      <c r="BE704" s="2372"/>
      <c r="BF704" s="2372"/>
      <c r="BG704" s="2372"/>
      <c r="BH704" s="2372"/>
      <c r="BI704" s="2372"/>
      <c r="BJ704" s="2372"/>
      <c r="BK704" s="2372"/>
      <c r="BL704" s="2372"/>
      <c r="BM704" s="2372"/>
      <c r="BN704" s="2372"/>
      <c r="BO704" s="2372"/>
      <c r="BP704" s="2372"/>
      <c r="BQ704" s="2372"/>
      <c r="BR704" s="2372"/>
      <c r="BS704" s="2372"/>
      <c r="BT704" s="2372"/>
      <c r="BU704" s="2372"/>
      <c r="BV704" s="2372"/>
      <c r="BW704" s="2372"/>
      <c r="BX704" s="2372"/>
      <c r="BY704" s="2372"/>
      <c r="BZ704" s="2372"/>
      <c r="CA704" s="2372"/>
      <c r="CB704" s="2372"/>
      <c r="CC704" s="2372"/>
      <c r="CD704" s="2372"/>
      <c r="CE704" s="2372"/>
      <c r="CF704" s="2372"/>
      <c r="CG704" s="2372"/>
      <c r="CH704" s="2372"/>
      <c r="CI704" s="2372"/>
      <c r="CJ704" s="2372"/>
      <c r="CK704" s="2372"/>
      <c r="CL704" s="2372"/>
      <c r="CM704" s="2372"/>
      <c r="CN704" s="2372"/>
      <c r="CO704" s="2372"/>
      <c r="CP704" s="2372"/>
      <c r="CQ704" s="2372"/>
      <c r="CR704" s="2372"/>
      <c r="CS704" s="2372"/>
      <c r="CT704" s="2372"/>
      <c r="CU704" s="2372"/>
      <c r="CV704" s="2372"/>
      <c r="CW704" s="2372"/>
      <c r="CX704" s="2372"/>
      <c r="CY704" s="2372"/>
      <c r="CZ704" s="2372"/>
      <c r="DA704" s="2372"/>
    </row>
    <row r="705" spans="1:105" ht="15" hidden="1" customHeight="1">
      <c r="A705" s="2372"/>
      <c r="B705" s="2372"/>
      <c r="C705" s="2372"/>
      <c r="D705" s="2372"/>
      <c r="E705" s="2372"/>
      <c r="F705" s="2372"/>
      <c r="G705" s="2372"/>
      <c r="H705" s="2372"/>
      <c r="I705" s="2372"/>
      <c r="J705" s="2372"/>
      <c r="K705" s="2372"/>
      <c r="L705" s="2372"/>
      <c r="M705" s="2372"/>
      <c r="N705" s="2372"/>
      <c r="O705" s="2372"/>
      <c r="P705" s="2372"/>
      <c r="Q705" s="2372"/>
      <c r="R705" s="2372"/>
      <c r="S705" s="2372"/>
      <c r="T705" s="2372"/>
      <c r="U705" s="2372"/>
      <c r="V705" s="2372"/>
      <c r="W705" s="2372"/>
      <c r="X705" s="2372"/>
      <c r="Y705" s="2372"/>
      <c r="Z705" s="2372"/>
      <c r="AA705" s="2372"/>
      <c r="AB705" s="2372"/>
      <c r="AC705" s="2372"/>
      <c r="AD705" s="2372"/>
      <c r="AE705" s="2372"/>
      <c r="AF705" s="2372"/>
      <c r="AG705" s="2372"/>
      <c r="AH705" s="2372"/>
      <c r="AI705" s="2372"/>
      <c r="AJ705" s="2372"/>
      <c r="AK705" s="2372"/>
      <c r="AL705" s="2372"/>
      <c r="AM705" s="2372"/>
      <c r="AN705" s="2372"/>
      <c r="AO705" s="2372"/>
      <c r="AP705" s="2372"/>
      <c r="AQ705" s="2372"/>
      <c r="AR705" s="2372"/>
      <c r="AS705" s="2372"/>
      <c r="AT705" s="2372"/>
      <c r="AU705" s="2372"/>
      <c r="AV705" s="2372"/>
      <c r="AW705" s="2372"/>
      <c r="AX705" s="2372"/>
      <c r="AY705" s="2372"/>
      <c r="AZ705" s="2372"/>
      <c r="BA705" s="2372"/>
      <c r="BB705" s="2372"/>
      <c r="BC705" s="2372"/>
      <c r="BD705" s="2372"/>
      <c r="BE705" s="2372"/>
      <c r="BF705" s="2372"/>
      <c r="BG705" s="2372"/>
      <c r="BH705" s="2372"/>
      <c r="BI705" s="2372"/>
      <c r="BJ705" s="2372"/>
      <c r="BK705" s="2372"/>
      <c r="BL705" s="2372"/>
      <c r="BM705" s="2372"/>
      <c r="BN705" s="2372"/>
      <c r="BO705" s="2372"/>
      <c r="BP705" s="2372"/>
      <c r="BQ705" s="2372"/>
      <c r="BR705" s="2372"/>
      <c r="BS705" s="2372"/>
      <c r="BT705" s="2372"/>
      <c r="BU705" s="2372"/>
      <c r="BV705" s="2372"/>
      <c r="BW705" s="2372"/>
      <c r="BX705" s="2372"/>
      <c r="BY705" s="2372"/>
      <c r="BZ705" s="2372"/>
      <c r="CA705" s="2372"/>
      <c r="CB705" s="2372"/>
      <c r="CC705" s="2372"/>
      <c r="CD705" s="2372"/>
      <c r="CE705" s="2372"/>
      <c r="CF705" s="2372"/>
      <c r="CG705" s="2372"/>
      <c r="CH705" s="2372"/>
      <c r="CI705" s="2372"/>
      <c r="CJ705" s="2372"/>
      <c r="CK705" s="2372"/>
      <c r="CL705" s="2372"/>
      <c r="CM705" s="2372"/>
      <c r="CN705" s="2372"/>
      <c r="CO705" s="2372"/>
      <c r="CP705" s="2372"/>
      <c r="CQ705" s="2372"/>
      <c r="CR705" s="2372"/>
      <c r="CS705" s="2372"/>
      <c r="CT705" s="2372"/>
      <c r="CU705" s="2372"/>
      <c r="CV705" s="2372"/>
      <c r="CW705" s="2372"/>
      <c r="CX705" s="2372"/>
      <c r="CY705" s="2372"/>
      <c r="CZ705" s="2372"/>
      <c r="DA705" s="2372"/>
    </row>
    <row r="706" spans="1:105" ht="15" hidden="1" customHeight="1">
      <c r="A706" s="2372"/>
      <c r="B706" s="2372"/>
      <c r="C706" s="2372"/>
      <c r="D706" s="2372"/>
      <c r="E706" s="2372"/>
      <c r="F706" s="2372"/>
      <c r="G706" s="2372"/>
      <c r="H706" s="2372"/>
      <c r="I706" s="2372"/>
      <c r="J706" s="2372"/>
      <c r="K706" s="2372"/>
      <c r="L706" s="2372"/>
      <c r="M706" s="2372"/>
      <c r="N706" s="2372"/>
      <c r="O706" s="2372"/>
      <c r="P706" s="2372"/>
      <c r="Q706" s="2372"/>
      <c r="R706" s="2372"/>
      <c r="S706" s="2372"/>
      <c r="T706" s="2372"/>
      <c r="U706" s="2372"/>
      <c r="V706" s="2372"/>
      <c r="W706" s="2372"/>
      <c r="X706" s="2372"/>
      <c r="Y706" s="2372"/>
      <c r="Z706" s="2372"/>
      <c r="AA706" s="2372"/>
      <c r="AB706" s="2372"/>
      <c r="AC706" s="2372"/>
      <c r="AD706" s="2372"/>
      <c r="AE706" s="2372"/>
      <c r="AF706" s="2372"/>
      <c r="AG706" s="2372"/>
      <c r="AH706" s="2372"/>
      <c r="AI706" s="2372"/>
      <c r="AJ706" s="2372"/>
      <c r="AK706" s="2372"/>
      <c r="AL706" s="2372"/>
      <c r="AM706" s="2372"/>
      <c r="AN706" s="2372"/>
      <c r="AO706" s="2372"/>
      <c r="AP706" s="2372"/>
      <c r="AQ706" s="2372"/>
      <c r="AR706" s="2372"/>
      <c r="AS706" s="2372"/>
      <c r="AT706" s="2372"/>
      <c r="AU706" s="2372"/>
      <c r="AV706" s="2372"/>
      <c r="AW706" s="2372"/>
      <c r="AX706" s="2372"/>
      <c r="AY706" s="2372"/>
      <c r="AZ706" s="2372"/>
      <c r="BA706" s="2372"/>
      <c r="BB706" s="2372"/>
      <c r="BC706" s="2372"/>
      <c r="BD706" s="2372"/>
      <c r="BE706" s="2372"/>
      <c r="BF706" s="2372"/>
      <c r="BG706" s="2372"/>
      <c r="BH706" s="2372"/>
      <c r="BI706" s="2372"/>
      <c r="BJ706" s="2372"/>
      <c r="BK706" s="2372"/>
      <c r="BL706" s="2372"/>
      <c r="BM706" s="2372"/>
      <c r="BN706" s="2372"/>
      <c r="BO706" s="2372"/>
      <c r="BP706" s="2372"/>
      <c r="BQ706" s="2372"/>
      <c r="BR706" s="2372"/>
      <c r="BS706" s="2372"/>
      <c r="BT706" s="2372"/>
      <c r="BU706" s="2372"/>
      <c r="BV706" s="2372"/>
      <c r="BW706" s="2372"/>
      <c r="BX706" s="2372"/>
      <c r="BY706" s="2372"/>
      <c r="BZ706" s="2372"/>
      <c r="CA706" s="2372"/>
      <c r="CB706" s="2372"/>
      <c r="CC706" s="2372"/>
      <c r="CD706" s="2372"/>
      <c r="CE706" s="2372"/>
      <c r="CF706" s="2372"/>
      <c r="CG706" s="2372"/>
      <c r="CH706" s="2372"/>
      <c r="CI706" s="2372"/>
      <c r="CJ706" s="2372"/>
      <c r="CK706" s="2372"/>
      <c r="CL706" s="2372"/>
      <c r="CM706" s="2372"/>
      <c r="CN706" s="2372"/>
      <c r="CO706" s="2372"/>
      <c r="CP706" s="2372"/>
      <c r="CQ706" s="2372"/>
      <c r="CR706" s="2372"/>
      <c r="CS706" s="2372"/>
      <c r="CT706" s="2372"/>
      <c r="CU706" s="2372"/>
      <c r="CV706" s="2372"/>
      <c r="CW706" s="2372"/>
      <c r="CX706" s="2372"/>
      <c r="CY706" s="2372"/>
      <c r="CZ706" s="2372"/>
      <c r="DA706" s="2372"/>
    </row>
    <row r="707" spans="1:105" ht="15" hidden="1" customHeight="1">
      <c r="A707" s="2372"/>
      <c r="B707" s="2372"/>
      <c r="C707" s="2372"/>
      <c r="D707" s="2372"/>
      <c r="E707" s="2372"/>
      <c r="F707" s="2372"/>
      <c r="G707" s="2372"/>
      <c r="H707" s="2372"/>
      <c r="I707" s="2372"/>
      <c r="J707" s="2372"/>
      <c r="K707" s="2372"/>
      <c r="L707" s="2372"/>
      <c r="M707" s="2372"/>
      <c r="N707" s="2372"/>
      <c r="O707" s="2372"/>
      <c r="P707" s="2372"/>
      <c r="Q707" s="2372"/>
      <c r="R707" s="2372"/>
      <c r="S707" s="2372"/>
      <c r="T707" s="2372"/>
      <c r="U707" s="2372"/>
      <c r="V707" s="2372"/>
      <c r="W707" s="2372"/>
      <c r="X707" s="2372"/>
      <c r="Y707" s="2372"/>
      <c r="Z707" s="2372"/>
      <c r="AA707" s="2372"/>
      <c r="AB707" s="2372"/>
      <c r="AC707" s="2372"/>
      <c r="AD707" s="2372"/>
      <c r="AE707" s="2372"/>
      <c r="AF707" s="2372"/>
      <c r="AG707" s="2372"/>
      <c r="AH707" s="2372"/>
      <c r="AI707" s="2372"/>
      <c r="AJ707" s="2372"/>
      <c r="AK707" s="2372"/>
      <c r="AL707" s="2372"/>
      <c r="AM707" s="2372"/>
      <c r="AN707" s="2372"/>
      <c r="AO707" s="2372"/>
      <c r="AP707" s="2372"/>
      <c r="AQ707" s="2372"/>
      <c r="AR707" s="2372"/>
      <c r="AS707" s="2372"/>
      <c r="AT707" s="2372"/>
      <c r="AU707" s="2372"/>
      <c r="AV707" s="2372"/>
      <c r="AW707" s="2372"/>
      <c r="AX707" s="2372"/>
      <c r="AY707" s="2372"/>
      <c r="AZ707" s="2372"/>
      <c r="BA707" s="2372"/>
      <c r="BB707" s="2372"/>
      <c r="BC707" s="2372"/>
      <c r="BD707" s="2372"/>
      <c r="BE707" s="2372"/>
      <c r="BF707" s="2372"/>
      <c r="BG707" s="2372"/>
      <c r="BH707" s="2372"/>
      <c r="BI707" s="2372"/>
      <c r="BJ707" s="2372"/>
      <c r="BK707" s="2372"/>
      <c r="BL707" s="2372"/>
      <c r="BM707" s="2372"/>
      <c r="BN707" s="2372"/>
      <c r="BO707" s="2372"/>
      <c r="BP707" s="2372"/>
      <c r="BQ707" s="2372"/>
      <c r="BR707" s="2372"/>
      <c r="BS707" s="2372"/>
      <c r="BT707" s="2372"/>
      <c r="BU707" s="2372"/>
      <c r="BV707" s="2372"/>
      <c r="BW707" s="2372"/>
      <c r="BX707" s="2372"/>
      <c r="BY707" s="2372"/>
      <c r="BZ707" s="2372"/>
      <c r="CA707" s="2372"/>
      <c r="CB707" s="2372"/>
      <c r="CC707" s="2372"/>
      <c r="CD707" s="2372"/>
      <c r="CE707" s="2372"/>
      <c r="CF707" s="2372"/>
      <c r="CG707" s="2372"/>
      <c r="CH707" s="2372"/>
      <c r="CI707" s="2372"/>
      <c r="CJ707" s="2372"/>
      <c r="CK707" s="2372"/>
      <c r="CL707" s="2372"/>
      <c r="CM707" s="2372"/>
      <c r="CN707" s="2372"/>
      <c r="CO707" s="2372"/>
      <c r="CP707" s="2372"/>
      <c r="CQ707" s="2372"/>
      <c r="CR707" s="2372"/>
      <c r="CS707" s="2372"/>
      <c r="CT707" s="2372"/>
      <c r="CU707" s="2372"/>
      <c r="CV707" s="2372"/>
      <c r="CW707" s="2372"/>
      <c r="CX707" s="2372"/>
      <c r="CY707" s="2372"/>
      <c r="CZ707" s="2372"/>
      <c r="DA707" s="2372"/>
    </row>
    <row r="708" spans="1:105" ht="15" hidden="1" customHeight="1">
      <c r="A708" s="2372"/>
      <c r="B708" s="2372"/>
      <c r="C708" s="2372"/>
      <c r="D708" s="2372"/>
      <c r="E708" s="2372"/>
      <c r="F708" s="2372"/>
      <c r="G708" s="2372"/>
      <c r="H708" s="2372"/>
      <c r="I708" s="2372"/>
      <c r="J708" s="2372"/>
      <c r="K708" s="2372"/>
      <c r="L708" s="2372"/>
      <c r="M708" s="2372"/>
      <c r="N708" s="2372"/>
      <c r="O708" s="2372"/>
      <c r="P708" s="2372"/>
      <c r="Q708" s="2372"/>
      <c r="R708" s="2372"/>
      <c r="S708" s="2372"/>
      <c r="T708" s="2372"/>
      <c r="U708" s="2372"/>
      <c r="V708" s="2372"/>
      <c r="W708" s="2372"/>
      <c r="X708" s="2372"/>
      <c r="Y708" s="2372"/>
      <c r="Z708" s="2372"/>
      <c r="AA708" s="2372"/>
      <c r="AB708" s="2372"/>
      <c r="AC708" s="2372"/>
      <c r="AD708" s="2372"/>
      <c r="AE708" s="2372"/>
      <c r="AF708" s="2372"/>
      <c r="AG708" s="2372"/>
      <c r="AH708" s="2372"/>
      <c r="AI708" s="2372"/>
      <c r="AJ708" s="2372"/>
      <c r="AK708" s="2372"/>
      <c r="AL708" s="2372"/>
      <c r="AM708" s="2372"/>
      <c r="AN708" s="2372"/>
      <c r="AO708" s="2372"/>
      <c r="AP708" s="2372"/>
      <c r="AQ708" s="2372"/>
      <c r="AR708" s="2372"/>
      <c r="AS708" s="2372"/>
      <c r="AT708" s="2372"/>
      <c r="AU708" s="2372"/>
      <c r="AV708" s="2372"/>
      <c r="AW708" s="2372"/>
      <c r="AX708" s="2372"/>
      <c r="AY708" s="2372"/>
      <c r="AZ708" s="2372"/>
      <c r="BA708" s="2372"/>
      <c r="BB708" s="2372"/>
      <c r="BC708" s="2372"/>
      <c r="BD708" s="2372"/>
      <c r="BE708" s="2372"/>
      <c r="BF708" s="2372"/>
      <c r="BG708" s="2372"/>
      <c r="BH708" s="2372"/>
      <c r="BI708" s="2372"/>
      <c r="BJ708" s="2372"/>
      <c r="BK708" s="2372"/>
      <c r="BL708" s="2372"/>
      <c r="BM708" s="2372"/>
      <c r="BN708" s="2372"/>
      <c r="BO708" s="2372"/>
      <c r="BP708" s="2372"/>
      <c r="BQ708" s="2372"/>
      <c r="BR708" s="2372"/>
      <c r="BS708" s="2372"/>
      <c r="BT708" s="2372"/>
      <c r="BU708" s="2372"/>
      <c r="BV708" s="2372"/>
      <c r="BW708" s="2372"/>
      <c r="BX708" s="2372"/>
      <c r="BY708" s="2372"/>
      <c r="BZ708" s="2372"/>
      <c r="CA708" s="2372"/>
      <c r="CB708" s="2372"/>
      <c r="CC708" s="2372"/>
      <c r="CD708" s="2372"/>
      <c r="CE708" s="2372"/>
      <c r="CF708" s="2372"/>
      <c r="CG708" s="2372"/>
      <c r="CH708" s="2372"/>
      <c r="CI708" s="2372"/>
      <c r="CJ708" s="2372"/>
      <c r="CK708" s="2372"/>
      <c r="CL708" s="2372"/>
      <c r="CM708" s="2372"/>
      <c r="CN708" s="2372"/>
      <c r="CO708" s="2372"/>
      <c r="CP708" s="2372"/>
      <c r="CQ708" s="2372"/>
      <c r="CR708" s="2372"/>
      <c r="CS708" s="2372"/>
      <c r="CT708" s="2372"/>
      <c r="CU708" s="2372"/>
      <c r="CV708" s="2372"/>
      <c r="CW708" s="2372"/>
      <c r="CX708" s="2372"/>
      <c r="CY708" s="2372"/>
      <c r="CZ708" s="2372"/>
      <c r="DA708" s="2372"/>
    </row>
    <row r="709" spans="1:105" ht="15" hidden="1" customHeight="1">
      <c r="A709" s="2372"/>
      <c r="B709" s="2372"/>
      <c r="C709" s="2372"/>
      <c r="D709" s="2372"/>
      <c r="E709" s="2372"/>
      <c r="F709" s="2372"/>
      <c r="G709" s="2372"/>
      <c r="H709" s="2372"/>
      <c r="I709" s="2372"/>
      <c r="J709" s="2372"/>
      <c r="K709" s="2372"/>
      <c r="L709" s="2372"/>
      <c r="M709" s="2372"/>
      <c r="N709" s="2372"/>
      <c r="O709" s="2372"/>
      <c r="P709" s="2372"/>
      <c r="Q709" s="2372"/>
      <c r="R709" s="2372"/>
      <c r="S709" s="2372"/>
      <c r="T709" s="2372"/>
      <c r="U709" s="2372"/>
      <c r="V709" s="2372"/>
      <c r="W709" s="2372"/>
      <c r="X709" s="2372"/>
      <c r="Y709" s="2372"/>
      <c r="Z709" s="2372"/>
      <c r="AA709" s="2372"/>
      <c r="AB709" s="2372"/>
      <c r="AC709" s="2372"/>
      <c r="AD709" s="2372"/>
      <c r="AE709" s="2372"/>
      <c r="AF709" s="2372"/>
      <c r="AG709" s="2372"/>
      <c r="AH709" s="2372"/>
      <c r="AI709" s="2372"/>
      <c r="AJ709" s="2372"/>
      <c r="AK709" s="2372"/>
      <c r="AL709" s="2372"/>
      <c r="AM709" s="2372"/>
      <c r="AN709" s="2372"/>
      <c r="AO709" s="2372"/>
      <c r="AP709" s="2372"/>
      <c r="AQ709" s="2372"/>
      <c r="AR709" s="2372"/>
      <c r="AS709" s="2372"/>
      <c r="AT709" s="2372"/>
      <c r="AU709" s="2372"/>
      <c r="AV709" s="2372"/>
      <c r="AW709" s="2372"/>
      <c r="AX709" s="2372"/>
      <c r="AY709" s="2372"/>
      <c r="AZ709" s="2372"/>
      <c r="BA709" s="2372"/>
      <c r="BB709" s="2372"/>
      <c r="BC709" s="2372"/>
      <c r="BD709" s="2372"/>
      <c r="BE709" s="2372"/>
      <c r="BF709" s="2372"/>
      <c r="BG709" s="2372"/>
      <c r="BH709" s="2372"/>
      <c r="BI709" s="2372"/>
      <c r="BJ709" s="2372"/>
      <c r="BK709" s="2372"/>
      <c r="BL709" s="2372"/>
      <c r="BM709" s="2372"/>
      <c r="BN709" s="2372"/>
      <c r="BO709" s="2372"/>
      <c r="BP709" s="2372"/>
      <c r="BQ709" s="2372"/>
      <c r="BR709" s="2372"/>
      <c r="BS709" s="2372"/>
      <c r="BT709" s="2372"/>
      <c r="BU709" s="2372"/>
      <c r="BV709" s="2372"/>
      <c r="BW709" s="2372"/>
      <c r="BX709" s="2372"/>
      <c r="BY709" s="2372"/>
      <c r="BZ709" s="2372"/>
      <c r="CA709" s="2372"/>
      <c r="CB709" s="2372"/>
      <c r="CC709" s="2372"/>
      <c r="CD709" s="2372"/>
      <c r="CE709" s="2372"/>
      <c r="CF709" s="2372"/>
      <c r="CG709" s="2372"/>
      <c r="CH709" s="2372"/>
      <c r="CI709" s="2372"/>
      <c r="CJ709" s="2372"/>
      <c r="CK709" s="2372"/>
      <c r="CL709" s="2372"/>
      <c r="CM709" s="2372"/>
      <c r="CN709" s="2372"/>
      <c r="CO709" s="2372"/>
      <c r="CP709" s="2372"/>
      <c r="CQ709" s="2372"/>
      <c r="CR709" s="2372"/>
      <c r="CS709" s="2372"/>
      <c r="CT709" s="2372"/>
      <c r="CU709" s="2372"/>
      <c r="CV709" s="2372"/>
      <c r="CW709" s="2372"/>
      <c r="CX709" s="2372"/>
      <c r="CY709" s="2372"/>
      <c r="CZ709" s="2372"/>
      <c r="DA709" s="2372"/>
    </row>
    <row r="710" spans="1:105" ht="15" hidden="1" customHeight="1">
      <c r="A710" s="2372"/>
      <c r="B710" s="2372"/>
      <c r="C710" s="2372"/>
      <c r="D710" s="2372"/>
      <c r="E710" s="2372"/>
      <c r="F710" s="2372"/>
      <c r="G710" s="2372"/>
      <c r="H710" s="2372"/>
      <c r="I710" s="2372"/>
      <c r="J710" s="2372"/>
      <c r="K710" s="2372"/>
      <c r="L710" s="2372"/>
      <c r="M710" s="2372"/>
      <c r="N710" s="2372"/>
      <c r="O710" s="2372"/>
      <c r="P710" s="2372"/>
      <c r="Q710" s="2372"/>
      <c r="R710" s="2372"/>
      <c r="S710" s="2372"/>
      <c r="T710" s="2372"/>
      <c r="U710" s="2372"/>
      <c r="V710" s="2372"/>
      <c r="W710" s="2372"/>
      <c r="X710" s="2372"/>
      <c r="Y710" s="2372"/>
      <c r="Z710" s="2372"/>
      <c r="AA710" s="2372"/>
      <c r="AB710" s="2372"/>
      <c r="AC710" s="2372"/>
      <c r="AD710" s="2372"/>
      <c r="AE710" s="2372"/>
      <c r="AF710" s="2372"/>
      <c r="AG710" s="2372"/>
      <c r="AH710" s="2372"/>
      <c r="AI710" s="2372"/>
      <c r="AJ710" s="2372"/>
      <c r="AK710" s="2372"/>
      <c r="AL710" s="2372"/>
      <c r="AM710" s="2372"/>
      <c r="AN710" s="2372"/>
      <c r="AO710" s="2372"/>
      <c r="AP710" s="2372"/>
      <c r="AQ710" s="2372"/>
      <c r="AR710" s="2372"/>
      <c r="AS710" s="2372"/>
      <c r="AT710" s="2372"/>
      <c r="AU710" s="2372"/>
      <c r="AV710" s="2372"/>
      <c r="AW710" s="2372"/>
      <c r="AX710" s="2372"/>
      <c r="AY710" s="2372"/>
      <c r="AZ710" s="2372"/>
      <c r="BA710" s="2372"/>
      <c r="BB710" s="2372"/>
      <c r="BC710" s="2372"/>
      <c r="BD710" s="2372"/>
      <c r="BE710" s="2372"/>
      <c r="BF710" s="2372"/>
      <c r="BG710" s="2372"/>
      <c r="BH710" s="2372"/>
      <c r="BI710" s="2372"/>
      <c r="BJ710" s="2372"/>
      <c r="BK710" s="2372"/>
      <c r="BL710" s="2372"/>
      <c r="BM710" s="2372"/>
      <c r="BN710" s="2372"/>
      <c r="BO710" s="2372"/>
      <c r="BP710" s="2372"/>
      <c r="BQ710" s="2372"/>
      <c r="BR710" s="2372"/>
      <c r="BS710" s="2372"/>
      <c r="BT710" s="2372"/>
      <c r="BU710" s="2372"/>
      <c r="BV710" s="2372"/>
      <c r="BW710" s="2372"/>
      <c r="BX710" s="2372"/>
      <c r="BY710" s="2372"/>
      <c r="BZ710" s="2372"/>
      <c r="CA710" s="2372"/>
      <c r="CB710" s="2372"/>
      <c r="CC710" s="2372"/>
      <c r="CD710" s="2372"/>
      <c r="CE710" s="2372"/>
      <c r="CF710" s="2372"/>
      <c r="CG710" s="2372"/>
      <c r="CH710" s="2372"/>
      <c r="CI710" s="2372"/>
      <c r="CJ710" s="2372"/>
      <c r="CK710" s="2372"/>
      <c r="CL710" s="2372"/>
      <c r="CM710" s="2372"/>
      <c r="CN710" s="2372"/>
      <c r="CO710" s="2372"/>
      <c r="CP710" s="2372"/>
      <c r="CQ710" s="2372"/>
      <c r="CR710" s="2372"/>
      <c r="CS710" s="2372"/>
      <c r="CT710" s="2372"/>
      <c r="CU710" s="2372"/>
      <c r="CV710" s="2372"/>
      <c r="CW710" s="2372"/>
      <c r="CX710" s="2372"/>
      <c r="CY710" s="2372"/>
      <c r="CZ710" s="2372"/>
      <c r="DA710" s="2372"/>
    </row>
    <row r="711" spans="1:105" ht="15" hidden="1" customHeight="1">
      <c r="A711" s="2372"/>
      <c r="B711" s="2372"/>
      <c r="C711" s="2372"/>
      <c r="D711" s="2372"/>
      <c r="E711" s="2372"/>
      <c r="F711" s="2372"/>
      <c r="G711" s="2372"/>
      <c r="H711" s="2372"/>
      <c r="I711" s="2372"/>
      <c r="J711" s="2372"/>
      <c r="K711" s="2372"/>
      <c r="L711" s="2372"/>
      <c r="M711" s="2372"/>
      <c r="N711" s="2372"/>
      <c r="O711" s="2372"/>
      <c r="P711" s="2372"/>
      <c r="Q711" s="2372"/>
      <c r="R711" s="2372"/>
      <c r="S711" s="2372"/>
      <c r="T711" s="2372"/>
      <c r="U711" s="2372"/>
      <c r="V711" s="2372"/>
      <c r="W711" s="2372"/>
      <c r="X711" s="2372"/>
      <c r="Y711" s="2372"/>
      <c r="Z711" s="2372"/>
      <c r="AA711" s="2372"/>
      <c r="AB711" s="2372"/>
      <c r="AC711" s="2372"/>
      <c r="AD711" s="2372"/>
      <c r="AE711" s="2372"/>
      <c r="AF711" s="2372"/>
      <c r="AG711" s="2372"/>
      <c r="AH711" s="2372"/>
      <c r="AI711" s="2372"/>
      <c r="AJ711" s="2372"/>
      <c r="AK711" s="2372"/>
      <c r="AL711" s="2372"/>
      <c r="AM711" s="2372"/>
      <c r="AN711" s="2372"/>
      <c r="AO711" s="2372"/>
      <c r="AP711" s="2372"/>
      <c r="AQ711" s="2372"/>
      <c r="AR711" s="2372"/>
      <c r="AS711" s="2372"/>
      <c r="AT711" s="2372"/>
      <c r="AU711" s="2372"/>
      <c r="AV711" s="2372"/>
      <c r="AW711" s="2372"/>
      <c r="AX711" s="2372"/>
      <c r="AY711" s="2372"/>
      <c r="AZ711" s="2372"/>
      <c r="BA711" s="2372"/>
      <c r="BB711" s="2372"/>
      <c r="BC711" s="2372"/>
      <c r="BD711" s="2372"/>
      <c r="BE711" s="2372"/>
      <c r="BF711" s="2372"/>
      <c r="BG711" s="2372"/>
      <c r="BH711" s="2372"/>
      <c r="BI711" s="2372"/>
      <c r="BJ711" s="2372"/>
      <c r="BK711" s="2372"/>
      <c r="BL711" s="2372"/>
      <c r="BM711" s="2372"/>
      <c r="BN711" s="2372"/>
      <c r="BO711" s="2372"/>
      <c r="BP711" s="2372"/>
      <c r="BQ711" s="2372"/>
      <c r="BR711" s="2372"/>
      <c r="BS711" s="2372"/>
      <c r="BT711" s="2372"/>
      <c r="BU711" s="2372"/>
      <c r="BV711" s="2372"/>
      <c r="BW711" s="2372"/>
      <c r="BX711" s="2372"/>
      <c r="BY711" s="2372"/>
      <c r="BZ711" s="2372"/>
      <c r="CA711" s="2372"/>
      <c r="CB711" s="2372"/>
      <c r="CC711" s="2372"/>
      <c r="CD711" s="2372"/>
      <c r="CE711" s="2372"/>
      <c r="CF711" s="2372"/>
      <c r="CG711" s="2372"/>
      <c r="CH711" s="2372"/>
      <c r="CI711" s="2372"/>
      <c r="CJ711" s="2372"/>
      <c r="CK711" s="2372"/>
      <c r="CL711" s="2372"/>
      <c r="CM711" s="2372"/>
      <c r="CN711" s="2372"/>
      <c r="CO711" s="2372"/>
      <c r="CP711" s="2372"/>
      <c r="CQ711" s="2372"/>
      <c r="CR711" s="2372"/>
      <c r="CS711" s="2372"/>
      <c r="CT711" s="2372"/>
      <c r="CU711" s="2372"/>
      <c r="CV711" s="2372"/>
      <c r="CW711" s="2372"/>
      <c r="CX711" s="2372"/>
      <c r="CY711" s="2372"/>
      <c r="CZ711" s="2372"/>
      <c r="DA711" s="2372"/>
    </row>
    <row r="712" spans="1:105" ht="15" hidden="1" customHeight="1">
      <c r="A712" s="2372"/>
      <c r="B712" s="2372"/>
      <c r="C712" s="2372"/>
      <c r="D712" s="2372"/>
      <c r="E712" s="2372"/>
      <c r="F712" s="2372"/>
      <c r="G712" s="2372"/>
      <c r="H712" s="2372"/>
      <c r="I712" s="2372"/>
      <c r="J712" s="2372"/>
      <c r="K712" s="2372"/>
      <c r="L712" s="2372"/>
      <c r="M712" s="2372"/>
      <c r="N712" s="2372"/>
      <c r="O712" s="2372"/>
      <c r="P712" s="2372"/>
      <c r="Q712" s="2372"/>
      <c r="R712" s="2372"/>
      <c r="S712" s="2372"/>
      <c r="T712" s="2372"/>
      <c r="U712" s="2372"/>
      <c r="V712" s="2372"/>
      <c r="W712" s="2372"/>
      <c r="X712" s="2372"/>
      <c r="Y712" s="2372"/>
      <c r="Z712" s="2372"/>
      <c r="AA712" s="2372"/>
      <c r="AB712" s="2372"/>
      <c r="AC712" s="2372"/>
      <c r="AD712" s="2372"/>
      <c r="AE712" s="2372"/>
      <c r="AF712" s="2372"/>
      <c r="AG712" s="2372"/>
      <c r="AH712" s="2372"/>
      <c r="AI712" s="2372"/>
      <c r="AJ712" s="2372"/>
      <c r="AK712" s="2372"/>
      <c r="AL712" s="2372"/>
      <c r="AM712" s="2372"/>
      <c r="AN712" s="2372"/>
      <c r="AO712" s="2372"/>
      <c r="AP712" s="2372"/>
      <c r="AQ712" s="2372"/>
      <c r="AR712" s="2372"/>
      <c r="AS712" s="2372"/>
      <c r="AT712" s="2372"/>
      <c r="AU712" s="2372"/>
      <c r="AV712" s="2372"/>
      <c r="AW712" s="2372"/>
      <c r="AX712" s="2372"/>
      <c r="AY712" s="2372"/>
      <c r="AZ712" s="2372"/>
      <c r="BA712" s="2372"/>
      <c r="BB712" s="2372"/>
      <c r="BC712" s="2372"/>
      <c r="BD712" s="2372"/>
      <c r="BE712" s="2372"/>
      <c r="BF712" s="2372"/>
      <c r="BG712" s="2372"/>
      <c r="BH712" s="2372"/>
      <c r="BI712" s="2372"/>
      <c r="BJ712" s="2372"/>
      <c r="BK712" s="2372"/>
      <c r="BL712" s="2372"/>
      <c r="BM712" s="2372"/>
      <c r="BN712" s="2372"/>
      <c r="BO712" s="2372"/>
      <c r="BP712" s="2372"/>
      <c r="BQ712" s="2372"/>
      <c r="BR712" s="2372"/>
      <c r="BS712" s="2372"/>
      <c r="BT712" s="2372"/>
      <c r="BU712" s="2372"/>
      <c r="BV712" s="2372"/>
      <c r="BW712" s="2372"/>
      <c r="BX712" s="2372"/>
      <c r="BY712" s="2372"/>
      <c r="BZ712" s="2372"/>
      <c r="CA712" s="2372"/>
      <c r="CB712" s="2372"/>
      <c r="CC712" s="2372"/>
      <c r="CD712" s="2372"/>
      <c r="CE712" s="2372"/>
      <c r="CF712" s="2372"/>
      <c r="CG712" s="2372"/>
      <c r="CH712" s="2372"/>
      <c r="CI712" s="2372"/>
      <c r="CJ712" s="2372"/>
      <c r="CK712" s="2372"/>
      <c r="CL712" s="2372"/>
      <c r="CM712" s="2372"/>
      <c r="CN712" s="2372"/>
      <c r="CO712" s="2372"/>
      <c r="CP712" s="2372"/>
      <c r="CQ712" s="2372"/>
      <c r="CR712" s="2372"/>
      <c r="CS712" s="2372"/>
      <c r="CT712" s="2372"/>
      <c r="CU712" s="2372"/>
      <c r="CV712" s="2372"/>
      <c r="CW712" s="2372"/>
      <c r="CX712" s="2372"/>
      <c r="CY712" s="2372"/>
      <c r="CZ712" s="2372"/>
      <c r="DA712" s="2372"/>
    </row>
    <row r="713" spans="1:105" ht="15" hidden="1" customHeight="1">
      <c r="A713" s="2372"/>
      <c r="B713" s="2372"/>
      <c r="C713" s="2372"/>
      <c r="D713" s="2372"/>
      <c r="E713" s="2372"/>
      <c r="F713" s="2372"/>
      <c r="G713" s="2372"/>
      <c r="H713" s="2372"/>
      <c r="I713" s="2372"/>
      <c r="J713" s="2372"/>
      <c r="K713" s="2372"/>
      <c r="L713" s="2372"/>
      <c r="M713" s="2372"/>
      <c r="N713" s="2372"/>
      <c r="O713" s="2372"/>
      <c r="P713" s="2372"/>
      <c r="Q713" s="2372"/>
      <c r="R713" s="2372"/>
      <c r="S713" s="2372"/>
      <c r="T713" s="2372"/>
      <c r="U713" s="2372"/>
      <c r="V713" s="2372"/>
      <c r="W713" s="2372"/>
      <c r="X713" s="2372"/>
      <c r="Y713" s="2372"/>
      <c r="Z713" s="2372"/>
      <c r="AA713" s="2372"/>
      <c r="AB713" s="2372"/>
      <c r="AC713" s="2372"/>
      <c r="AD713" s="2372"/>
      <c r="AE713" s="2372"/>
      <c r="AF713" s="2372"/>
      <c r="AG713" s="2372"/>
      <c r="AH713" s="2372"/>
      <c r="AI713" s="2372"/>
      <c r="AJ713" s="2372"/>
      <c r="AK713" s="2372"/>
      <c r="AL713" s="2372"/>
      <c r="AM713" s="2372"/>
      <c r="AN713" s="2372"/>
      <c r="AO713" s="2372"/>
      <c r="AP713" s="2372"/>
      <c r="AQ713" s="2372"/>
      <c r="AR713" s="2372"/>
      <c r="AS713" s="2372"/>
      <c r="AT713" s="2372"/>
      <c r="AU713" s="2372"/>
      <c r="AV713" s="2372"/>
      <c r="AW713" s="2372"/>
      <c r="AX713" s="2372"/>
      <c r="AY713" s="2372"/>
      <c r="AZ713" s="2372"/>
      <c r="BA713" s="2372"/>
      <c r="BB713" s="2372"/>
      <c r="BC713" s="2372"/>
      <c r="BD713" s="2372"/>
      <c r="BE713" s="2372"/>
      <c r="BF713" s="2372"/>
      <c r="BG713" s="2372"/>
      <c r="BH713" s="2372"/>
      <c r="BI713" s="2372"/>
      <c r="BJ713" s="2372"/>
      <c r="BK713" s="2372"/>
      <c r="BL713" s="2372"/>
      <c r="BM713" s="2372"/>
      <c r="BN713" s="2372"/>
      <c r="BO713" s="2372"/>
      <c r="BP713" s="2372"/>
      <c r="BQ713" s="2372"/>
      <c r="BR713" s="2372"/>
      <c r="BS713" s="2372"/>
      <c r="BT713" s="2372"/>
      <c r="BU713" s="2372"/>
      <c r="BV713" s="2372"/>
      <c r="BW713" s="2372"/>
      <c r="BX713" s="2372"/>
      <c r="BY713" s="2372"/>
      <c r="BZ713" s="2372"/>
      <c r="CA713" s="2372"/>
      <c r="CB713" s="2372"/>
      <c r="CC713" s="2372"/>
      <c r="CD713" s="2372"/>
      <c r="CE713" s="2372"/>
      <c r="CF713" s="2372"/>
      <c r="CG713" s="2372"/>
      <c r="CH713" s="2372"/>
      <c r="CI713" s="2372"/>
      <c r="CJ713" s="2372"/>
      <c r="CK713" s="2372"/>
      <c r="CL713" s="2372"/>
      <c r="CM713" s="2372"/>
      <c r="CN713" s="2372"/>
      <c r="CO713" s="2372"/>
      <c r="CP713" s="2372"/>
      <c r="CQ713" s="2372"/>
      <c r="CR713" s="2372"/>
      <c r="CS713" s="2372"/>
      <c r="CT713" s="2372"/>
      <c r="CU713" s="2372"/>
      <c r="CV713" s="2372"/>
      <c r="CW713" s="2372"/>
      <c r="CX713" s="2372"/>
      <c r="CY713" s="2372"/>
      <c r="CZ713" s="2372"/>
      <c r="DA713" s="2372"/>
    </row>
    <row r="714" spans="1:105" ht="15" hidden="1" customHeight="1">
      <c r="A714" s="2372"/>
      <c r="B714" s="2372"/>
      <c r="C714" s="2372"/>
      <c r="D714" s="2372"/>
      <c r="E714" s="2372"/>
      <c r="F714" s="2372"/>
      <c r="G714" s="2372"/>
      <c r="H714" s="2372"/>
      <c r="I714" s="2372"/>
      <c r="J714" s="2372"/>
      <c r="K714" s="2372"/>
      <c r="L714" s="2372"/>
      <c r="M714" s="2372"/>
      <c r="N714" s="2372"/>
      <c r="O714" s="2372"/>
      <c r="P714" s="2372"/>
      <c r="Q714" s="2372"/>
      <c r="R714" s="2372"/>
      <c r="S714" s="2372"/>
      <c r="T714" s="2372"/>
      <c r="U714" s="2372"/>
      <c r="V714" s="2372"/>
      <c r="W714" s="2372"/>
      <c r="X714" s="2372"/>
      <c r="Y714" s="2372"/>
      <c r="Z714" s="2372"/>
      <c r="AA714" s="2372"/>
      <c r="AB714" s="2372"/>
      <c r="AC714" s="2372"/>
      <c r="AD714" s="2372"/>
      <c r="AE714" s="2372"/>
      <c r="AF714" s="2372"/>
      <c r="AG714" s="2372"/>
      <c r="AH714" s="2372"/>
      <c r="AI714" s="2372"/>
      <c r="AJ714" s="2372"/>
      <c r="AK714" s="2372"/>
      <c r="AL714" s="2372"/>
      <c r="AM714" s="2372"/>
      <c r="AN714" s="2372"/>
      <c r="AO714" s="2372"/>
      <c r="AP714" s="2372"/>
      <c r="AQ714" s="2372"/>
      <c r="AR714" s="2372"/>
      <c r="AS714" s="2372"/>
      <c r="AT714" s="2372"/>
      <c r="AU714" s="2372"/>
      <c r="AV714" s="2372"/>
      <c r="AW714" s="2372"/>
      <c r="AX714" s="2372"/>
      <c r="AY714" s="2372"/>
      <c r="AZ714" s="2372"/>
      <c r="BA714" s="2372"/>
      <c r="BB714" s="2372"/>
      <c r="BC714" s="2372"/>
      <c r="BD714" s="2372"/>
      <c r="BE714" s="2372"/>
      <c r="BF714" s="2372"/>
      <c r="BG714" s="2372"/>
      <c r="BH714" s="2372"/>
      <c r="BI714" s="2372"/>
      <c r="BJ714" s="2372"/>
      <c r="BK714" s="2372"/>
      <c r="BL714" s="2372"/>
      <c r="BM714" s="2372"/>
      <c r="BN714" s="2372"/>
      <c r="BO714" s="2372"/>
      <c r="BP714" s="2372"/>
      <c r="BQ714" s="2372"/>
      <c r="BR714" s="2372"/>
      <c r="BS714" s="2372"/>
      <c r="BT714" s="2372"/>
      <c r="BU714" s="2372"/>
      <c r="BV714" s="2372"/>
      <c r="BW714" s="2372"/>
      <c r="BX714" s="2372"/>
      <c r="BY714" s="2372"/>
      <c r="BZ714" s="2372"/>
      <c r="CA714" s="2372"/>
      <c r="CB714" s="2372"/>
      <c r="CC714" s="2372"/>
      <c r="CD714" s="2372"/>
      <c r="CE714" s="2372"/>
      <c r="CF714" s="2372"/>
      <c r="CG714" s="2372"/>
      <c r="CH714" s="2372"/>
      <c r="CI714" s="2372"/>
      <c r="CJ714" s="2372"/>
      <c r="CK714" s="2372"/>
      <c r="CL714" s="2372"/>
      <c r="CM714" s="2372"/>
      <c r="CN714" s="2372"/>
      <c r="CO714" s="2372"/>
      <c r="CP714" s="2372"/>
      <c r="CQ714" s="2372"/>
      <c r="CR714" s="2372"/>
      <c r="CS714" s="2372"/>
      <c r="CT714" s="2372"/>
      <c r="CU714" s="2372"/>
      <c r="CV714" s="2372"/>
      <c r="CW714" s="2372"/>
      <c r="CX714" s="2372"/>
      <c r="CY714" s="2372"/>
      <c r="CZ714" s="2372"/>
      <c r="DA714" s="2372"/>
    </row>
    <row r="715" spans="1:105" ht="15" hidden="1" customHeight="1">
      <c r="A715" s="2372"/>
      <c r="B715" s="2372"/>
      <c r="C715" s="2372"/>
      <c r="D715" s="2372"/>
      <c r="E715" s="2372"/>
      <c r="F715" s="2372"/>
      <c r="G715" s="2372"/>
      <c r="H715" s="2372"/>
      <c r="I715" s="2372"/>
      <c r="J715" s="2372"/>
      <c r="K715" s="2372"/>
      <c r="L715" s="2372"/>
      <c r="M715" s="2372"/>
      <c r="N715" s="2372"/>
      <c r="O715" s="2372"/>
      <c r="P715" s="2372"/>
      <c r="Q715" s="2372"/>
      <c r="R715" s="2372"/>
      <c r="S715" s="2372"/>
      <c r="T715" s="2372"/>
      <c r="U715" s="2372"/>
      <c r="V715" s="2372"/>
      <c r="W715" s="2372"/>
      <c r="X715" s="2372"/>
      <c r="Y715" s="2372"/>
      <c r="Z715" s="2372"/>
      <c r="AA715" s="2372"/>
      <c r="AB715" s="2372"/>
      <c r="AC715" s="2372"/>
      <c r="AD715" s="2372"/>
      <c r="AE715" s="2372"/>
      <c r="AF715" s="2372"/>
      <c r="AG715" s="2372"/>
      <c r="AH715" s="2372"/>
      <c r="AI715" s="2372"/>
      <c r="AJ715" s="2372"/>
      <c r="AK715" s="2372"/>
      <c r="AL715" s="2372"/>
      <c r="AM715" s="2372"/>
      <c r="AN715" s="2372"/>
      <c r="AO715" s="2372"/>
      <c r="AP715" s="2372"/>
      <c r="AQ715" s="2372"/>
      <c r="AR715" s="2372"/>
      <c r="AS715" s="2372"/>
      <c r="AT715" s="2372"/>
      <c r="AU715" s="2372"/>
      <c r="AV715" s="2372"/>
      <c r="AW715" s="2372"/>
      <c r="AX715" s="2372"/>
      <c r="AY715" s="2372"/>
      <c r="AZ715" s="2372"/>
      <c r="BA715" s="2372"/>
      <c r="BB715" s="2372"/>
      <c r="BC715" s="2372"/>
      <c r="BD715" s="2372"/>
      <c r="BE715" s="2372"/>
      <c r="BF715" s="2372"/>
      <c r="BG715" s="2372"/>
      <c r="BH715" s="2372"/>
      <c r="BI715" s="2372"/>
      <c r="BJ715" s="2372"/>
      <c r="BK715" s="2372"/>
      <c r="BL715" s="2372"/>
      <c r="BM715" s="2372"/>
      <c r="BN715" s="2372"/>
      <c r="BO715" s="2372"/>
      <c r="BP715" s="2372"/>
      <c r="BQ715" s="2372"/>
      <c r="BR715" s="2372"/>
      <c r="BS715" s="2372"/>
      <c r="BT715" s="2372"/>
      <c r="BU715" s="2372"/>
      <c r="BV715" s="2372"/>
      <c r="BW715" s="2372"/>
      <c r="BX715" s="2372"/>
      <c r="BY715" s="2372"/>
      <c r="BZ715" s="2372"/>
      <c r="CA715" s="2372"/>
      <c r="CB715" s="2372"/>
      <c r="CC715" s="2372"/>
      <c r="CD715" s="2372"/>
      <c r="CE715" s="2372"/>
      <c r="CF715" s="2372"/>
      <c r="CG715" s="2372"/>
      <c r="CH715" s="2372"/>
      <c r="CI715" s="2372"/>
      <c r="CJ715" s="2372"/>
      <c r="CK715" s="2372"/>
      <c r="CL715" s="2372"/>
      <c r="CM715" s="2372"/>
      <c r="CN715" s="2372"/>
      <c r="CO715" s="2372"/>
      <c r="CP715" s="2372"/>
      <c r="CQ715" s="2372"/>
      <c r="CR715" s="2372"/>
      <c r="CS715" s="2372"/>
      <c r="CT715" s="2372"/>
      <c r="CU715" s="2372"/>
      <c r="CV715" s="2372"/>
      <c r="CW715" s="2372"/>
      <c r="CX715" s="2372"/>
      <c r="CY715" s="2372"/>
      <c r="CZ715" s="2372"/>
      <c r="DA715" s="2372"/>
    </row>
    <row r="716" spans="1:105" ht="15" hidden="1" customHeight="1">
      <c r="A716" s="2372"/>
      <c r="B716" s="2372"/>
      <c r="C716" s="2372"/>
      <c r="D716" s="2372"/>
      <c r="E716" s="2372"/>
      <c r="F716" s="2372"/>
      <c r="G716" s="2372"/>
      <c r="H716" s="2372"/>
      <c r="I716" s="2372"/>
      <c r="J716" s="2372"/>
      <c r="K716" s="2372"/>
      <c r="L716" s="2372"/>
      <c r="M716" s="2372"/>
      <c r="N716" s="2372"/>
      <c r="O716" s="2372"/>
      <c r="P716" s="2372"/>
      <c r="Q716" s="2372"/>
      <c r="R716" s="2372"/>
      <c r="S716" s="2372"/>
      <c r="T716" s="2372"/>
      <c r="U716" s="2372"/>
      <c r="V716" s="2372"/>
      <c r="W716" s="2372"/>
      <c r="X716" s="2372"/>
      <c r="Y716" s="2372"/>
      <c r="Z716" s="2372"/>
      <c r="AA716" s="2372"/>
      <c r="AB716" s="2372"/>
      <c r="AC716" s="2372"/>
      <c r="AD716" s="2372"/>
      <c r="AE716" s="2372"/>
      <c r="AF716" s="2372"/>
      <c r="AG716" s="2372"/>
      <c r="AH716" s="2372"/>
      <c r="AI716" s="2372"/>
      <c r="AJ716" s="2372"/>
      <c r="AK716" s="2372"/>
      <c r="AL716" s="2372"/>
      <c r="AM716" s="2372"/>
      <c r="AN716" s="2372"/>
      <c r="AO716" s="2372"/>
      <c r="AP716" s="2372"/>
      <c r="AQ716" s="2372"/>
      <c r="AR716" s="2372"/>
      <c r="AS716" s="2372"/>
      <c r="AT716" s="2372"/>
      <c r="AU716" s="2372"/>
      <c r="AV716" s="2372"/>
      <c r="AW716" s="2372"/>
      <c r="AX716" s="2372"/>
      <c r="AY716" s="2372"/>
      <c r="AZ716" s="2372"/>
      <c r="BA716" s="2372"/>
      <c r="BB716" s="2372"/>
      <c r="BC716" s="2372"/>
      <c r="BD716" s="2372"/>
      <c r="BE716" s="2372"/>
      <c r="BF716" s="2372"/>
      <c r="BG716" s="2372"/>
      <c r="BH716" s="2372"/>
      <c r="BI716" s="2372"/>
      <c r="BJ716" s="2372"/>
      <c r="BK716" s="2372"/>
      <c r="BL716" s="2372"/>
      <c r="BM716" s="2372"/>
      <c r="BN716" s="2372"/>
      <c r="BO716" s="2372"/>
      <c r="BP716" s="2372"/>
      <c r="BQ716" s="2372"/>
      <c r="BR716" s="2372"/>
      <c r="BS716" s="2372"/>
      <c r="BT716" s="2372"/>
      <c r="BU716" s="2372"/>
      <c r="BV716" s="2372"/>
      <c r="BW716" s="2372"/>
      <c r="BX716" s="2372"/>
      <c r="BY716" s="2372"/>
      <c r="BZ716" s="2372"/>
      <c r="CA716" s="2372"/>
      <c r="CB716" s="2372"/>
      <c r="CC716" s="2372"/>
      <c r="CD716" s="2372"/>
      <c r="CE716" s="2372"/>
      <c r="CF716" s="2372"/>
      <c r="CG716" s="2372"/>
      <c r="CH716" s="2372"/>
      <c r="CI716" s="2372"/>
      <c r="CJ716" s="2372"/>
      <c r="CK716" s="2372"/>
      <c r="CL716" s="2372"/>
      <c r="CM716" s="2372"/>
      <c r="CN716" s="2372"/>
      <c r="CO716" s="2372"/>
      <c r="CP716" s="2372"/>
      <c r="CQ716" s="2372"/>
      <c r="CR716" s="2372"/>
      <c r="CS716" s="2372"/>
      <c r="CT716" s="2372"/>
      <c r="CU716" s="2372"/>
      <c r="CV716" s="2372"/>
      <c r="CW716" s="2372"/>
      <c r="CX716" s="2372"/>
      <c r="CY716" s="2372"/>
      <c r="CZ716" s="2372"/>
      <c r="DA716" s="2372"/>
    </row>
    <row r="717" spans="1:105" ht="15" hidden="1" customHeight="1">
      <c r="A717" s="2372"/>
      <c r="B717" s="2372"/>
      <c r="C717" s="2372"/>
      <c r="D717" s="2372"/>
      <c r="E717" s="2372"/>
      <c r="F717" s="2372"/>
      <c r="G717" s="2372"/>
      <c r="H717" s="2372"/>
      <c r="I717" s="2372"/>
      <c r="J717" s="2372"/>
      <c r="K717" s="2372"/>
      <c r="L717" s="2372"/>
      <c r="M717" s="2372"/>
      <c r="N717" s="2372"/>
      <c r="O717" s="2372"/>
      <c r="P717" s="2372"/>
      <c r="Q717" s="2372"/>
      <c r="R717" s="2372"/>
      <c r="S717" s="2372"/>
      <c r="T717" s="2372"/>
      <c r="U717" s="2372"/>
      <c r="V717" s="2372"/>
      <c r="W717" s="2372"/>
      <c r="X717" s="2372"/>
      <c r="Y717" s="2372"/>
      <c r="Z717" s="2372"/>
      <c r="AA717" s="2372"/>
      <c r="AB717" s="2372"/>
      <c r="AC717" s="2372"/>
      <c r="AD717" s="2372"/>
      <c r="AE717" s="2372"/>
      <c r="AF717" s="2372"/>
      <c r="AG717" s="2372"/>
      <c r="AH717" s="2372"/>
      <c r="AI717" s="2372"/>
      <c r="AJ717" s="2372"/>
      <c r="AK717" s="2372"/>
      <c r="AL717" s="2372"/>
      <c r="AM717" s="2372"/>
      <c r="AN717" s="2372"/>
      <c r="AO717" s="2372"/>
      <c r="AP717" s="2372"/>
      <c r="AQ717" s="2372"/>
      <c r="AR717" s="2372"/>
      <c r="AS717" s="2372"/>
      <c r="AT717" s="2372"/>
      <c r="AU717" s="2372"/>
      <c r="AV717" s="2372"/>
      <c r="AW717" s="2372"/>
      <c r="AX717" s="2372"/>
      <c r="AY717" s="2372"/>
      <c r="AZ717" s="2372"/>
      <c r="BA717" s="2372"/>
      <c r="BB717" s="2372"/>
      <c r="BC717" s="2372"/>
      <c r="BD717" s="2372"/>
      <c r="BE717" s="2372"/>
      <c r="BF717" s="2372"/>
      <c r="BG717" s="2372"/>
      <c r="BH717" s="2372"/>
      <c r="BI717" s="2372"/>
      <c r="BJ717" s="2372"/>
      <c r="BK717" s="2372"/>
      <c r="BL717" s="2372"/>
      <c r="BM717" s="2372"/>
      <c r="BN717" s="2372"/>
      <c r="BO717" s="2372"/>
      <c r="BP717" s="2372"/>
      <c r="BQ717" s="2372"/>
      <c r="BR717" s="2372"/>
      <c r="BS717" s="2372"/>
      <c r="BT717" s="2372"/>
      <c r="BU717" s="2372"/>
      <c r="BV717" s="2372"/>
      <c r="BW717" s="2372"/>
      <c r="BX717" s="2372"/>
      <c r="BY717" s="2372"/>
      <c r="BZ717" s="2372"/>
      <c r="CA717" s="2372"/>
      <c r="CB717" s="2372"/>
      <c r="CC717" s="2372"/>
      <c r="CD717" s="2372"/>
      <c r="CE717" s="2372"/>
      <c r="CF717" s="2372"/>
      <c r="CG717" s="2372"/>
      <c r="CH717" s="2372"/>
      <c r="CI717" s="2372"/>
      <c r="CJ717" s="2372"/>
      <c r="CK717" s="2372"/>
      <c r="CL717" s="2372"/>
      <c r="CM717" s="2372"/>
      <c r="CN717" s="2372"/>
      <c r="CO717" s="2372"/>
      <c r="CP717" s="2372"/>
      <c r="CQ717" s="2372"/>
      <c r="CR717" s="2372"/>
      <c r="CS717" s="2372"/>
      <c r="CT717" s="2372"/>
      <c r="CU717" s="2372"/>
      <c r="CV717" s="2372"/>
      <c r="CW717" s="2372"/>
      <c r="CX717" s="2372"/>
      <c r="CY717" s="2372"/>
      <c r="CZ717" s="2372"/>
      <c r="DA717" s="2372"/>
    </row>
    <row r="718" spans="1:105" ht="15" hidden="1" customHeight="1">
      <c r="A718" s="2372"/>
      <c r="B718" s="2372"/>
      <c r="C718" s="2372"/>
      <c r="D718" s="2372"/>
      <c r="E718" s="2372"/>
      <c r="F718" s="2372"/>
      <c r="G718" s="2372"/>
      <c r="H718" s="2372"/>
      <c r="I718" s="2372"/>
      <c r="J718" s="2372"/>
      <c r="K718" s="2372"/>
      <c r="L718" s="2372"/>
      <c r="M718" s="2372"/>
      <c r="N718" s="2372"/>
      <c r="O718" s="2372"/>
      <c r="P718" s="2372"/>
      <c r="Q718" s="2372"/>
      <c r="R718" s="2372"/>
      <c r="S718" s="2372"/>
      <c r="T718" s="2372"/>
      <c r="U718" s="2372"/>
      <c r="V718" s="2372"/>
      <c r="W718" s="2372"/>
      <c r="X718" s="2372"/>
      <c r="Y718" s="2372"/>
      <c r="Z718" s="2372"/>
      <c r="AA718" s="2372"/>
      <c r="AB718" s="2372"/>
      <c r="AC718" s="2372"/>
      <c r="AD718" s="2372"/>
      <c r="AE718" s="2372"/>
      <c r="AF718" s="2372"/>
      <c r="AG718" s="2372"/>
      <c r="AH718" s="2372"/>
      <c r="AI718" s="2372"/>
      <c r="AJ718" s="2372"/>
      <c r="AK718" s="2372"/>
      <c r="AL718" s="2372"/>
      <c r="AM718" s="2372"/>
      <c r="AN718" s="2372"/>
      <c r="AO718" s="2372"/>
      <c r="AP718" s="2372"/>
      <c r="AQ718" s="2372"/>
      <c r="AR718" s="2372"/>
      <c r="AS718" s="2372"/>
      <c r="AT718" s="2372"/>
      <c r="AU718" s="2372"/>
      <c r="AV718" s="2372"/>
      <c r="AW718" s="2372"/>
      <c r="AX718" s="2372"/>
      <c r="AY718" s="2372"/>
      <c r="AZ718" s="2372"/>
      <c r="BA718" s="2372"/>
      <c r="BB718" s="2372"/>
      <c r="BC718" s="2372"/>
      <c r="BD718" s="2372"/>
      <c r="BE718" s="2372"/>
      <c r="BF718" s="2372"/>
      <c r="BG718" s="2372"/>
      <c r="BH718" s="2372"/>
      <c r="BI718" s="2372"/>
      <c r="BJ718" s="2372"/>
      <c r="BK718" s="2372"/>
      <c r="BL718" s="2372"/>
      <c r="BM718" s="2372"/>
      <c r="BN718" s="2372"/>
      <c r="BO718" s="2372"/>
      <c r="BP718" s="2372"/>
      <c r="BQ718" s="2372"/>
      <c r="BR718" s="2372"/>
      <c r="BS718" s="2372"/>
      <c r="BT718" s="2372"/>
      <c r="BU718" s="2372"/>
      <c r="BV718" s="2372"/>
      <c r="BW718" s="2372"/>
      <c r="BX718" s="2372"/>
      <c r="BY718" s="2372"/>
      <c r="BZ718" s="2372"/>
      <c r="CA718" s="2372"/>
      <c r="CB718" s="2372"/>
      <c r="CC718" s="2372"/>
      <c r="CD718" s="2372"/>
      <c r="CE718" s="2372"/>
      <c r="CF718" s="2372"/>
      <c r="CG718" s="2372"/>
      <c r="CH718" s="2372"/>
      <c r="CI718" s="2372"/>
      <c r="CJ718" s="2372"/>
      <c r="CK718" s="2372"/>
      <c r="CL718" s="2372"/>
      <c r="CM718" s="2372"/>
      <c r="CN718" s="2372"/>
      <c r="CO718" s="2372"/>
      <c r="CP718" s="2372"/>
      <c r="CQ718" s="2372"/>
      <c r="CR718" s="2372"/>
      <c r="CS718" s="2372"/>
      <c r="CT718" s="2372"/>
      <c r="CU718" s="2372"/>
      <c r="CV718" s="2372"/>
      <c r="CW718" s="2372"/>
      <c r="CX718" s="2372"/>
      <c r="CY718" s="2372"/>
      <c r="CZ718" s="2372"/>
      <c r="DA718" s="2372"/>
    </row>
    <row r="719" spans="1:105" ht="15" hidden="1" customHeight="1">
      <c r="A719" s="2372"/>
      <c r="B719" s="2372"/>
      <c r="C719" s="2372"/>
      <c r="D719" s="2372"/>
      <c r="E719" s="2372"/>
      <c r="F719" s="2372"/>
      <c r="G719" s="2372"/>
      <c r="H719" s="2372"/>
      <c r="I719" s="2372"/>
      <c r="J719" s="2372"/>
      <c r="K719" s="2372"/>
      <c r="L719" s="2372"/>
      <c r="M719" s="2372"/>
      <c r="N719" s="2372"/>
      <c r="O719" s="2372"/>
      <c r="P719" s="2372"/>
      <c r="Q719" s="2372"/>
      <c r="R719" s="2372"/>
      <c r="S719" s="2372"/>
      <c r="T719" s="2372"/>
      <c r="U719" s="2372"/>
      <c r="V719" s="2372"/>
      <c r="W719" s="2372"/>
      <c r="X719" s="2372"/>
      <c r="Y719" s="2372"/>
      <c r="Z719" s="2372"/>
      <c r="AA719" s="2372"/>
      <c r="AB719" s="2372"/>
      <c r="AC719" s="2372"/>
      <c r="AD719" s="2372"/>
      <c r="AE719" s="2372"/>
      <c r="AF719" s="2372"/>
      <c r="AG719" s="2372"/>
      <c r="AH719" s="2372"/>
      <c r="AI719" s="2372"/>
      <c r="AJ719" s="2372"/>
      <c r="AK719" s="2372"/>
      <c r="AL719" s="2372"/>
      <c r="AM719" s="2372"/>
      <c r="AN719" s="2372"/>
      <c r="AO719" s="2372"/>
      <c r="AP719" s="2372"/>
      <c r="AQ719" s="2372"/>
      <c r="AR719" s="2372"/>
      <c r="AS719" s="2372"/>
      <c r="AT719" s="2372"/>
      <c r="AU719" s="2372"/>
      <c r="AV719" s="2372"/>
      <c r="AW719" s="2372"/>
      <c r="AX719" s="2372"/>
      <c r="AY719" s="2372"/>
      <c r="AZ719" s="2372"/>
      <c r="BA719" s="2372"/>
      <c r="BB719" s="2372"/>
      <c r="BC719" s="2372"/>
      <c r="BD719" s="2372"/>
      <c r="BE719" s="2372"/>
      <c r="BF719" s="2372"/>
      <c r="BG719" s="2372"/>
      <c r="BH719" s="2372"/>
      <c r="BI719" s="2372"/>
      <c r="BJ719" s="2372"/>
      <c r="BK719" s="2372"/>
      <c r="BL719" s="2372"/>
      <c r="BM719" s="2372"/>
      <c r="BN719" s="2372"/>
      <c r="BO719" s="2372"/>
      <c r="BP719" s="2372"/>
      <c r="BQ719" s="2372"/>
      <c r="BR719" s="2372"/>
      <c r="BS719" s="2372"/>
      <c r="BT719" s="2372"/>
      <c r="BU719" s="2372"/>
      <c r="BV719" s="2372"/>
      <c r="BW719" s="2372"/>
      <c r="BX719" s="2372"/>
      <c r="BY719" s="2372"/>
      <c r="BZ719" s="2372"/>
      <c r="CA719" s="2372"/>
      <c r="CB719" s="2372"/>
      <c r="CC719" s="2372"/>
      <c r="CD719" s="2372"/>
      <c r="CE719" s="2372"/>
      <c r="CF719" s="2372"/>
      <c r="CG719" s="2372"/>
      <c r="CH719" s="2372"/>
      <c r="CI719" s="2372"/>
      <c r="CJ719" s="2372"/>
      <c r="CK719" s="2372"/>
      <c r="CL719" s="2372"/>
      <c r="CM719" s="2372"/>
      <c r="CN719" s="2372"/>
      <c r="CO719" s="2372"/>
      <c r="CP719" s="2372"/>
      <c r="CQ719" s="2372"/>
      <c r="CR719" s="2372"/>
      <c r="CS719" s="2372"/>
      <c r="CT719" s="2372"/>
      <c r="CU719" s="2372"/>
      <c r="CV719" s="2372"/>
      <c r="CW719" s="2372"/>
      <c r="CX719" s="2372"/>
      <c r="CY719" s="2372"/>
      <c r="CZ719" s="2372"/>
      <c r="DA719" s="2372"/>
    </row>
    <row r="720" spans="1:105" ht="15" hidden="1" customHeight="1">
      <c r="A720" s="2372"/>
      <c r="B720" s="2372"/>
      <c r="C720" s="2372"/>
      <c r="D720" s="2372"/>
      <c r="E720" s="2372"/>
      <c r="F720" s="2372"/>
      <c r="G720" s="2372"/>
      <c r="H720" s="2372"/>
      <c r="I720" s="2372"/>
      <c r="J720" s="2372"/>
      <c r="K720" s="2372"/>
      <c r="L720" s="2372"/>
      <c r="M720" s="2372"/>
      <c r="N720" s="2372"/>
      <c r="O720" s="2372"/>
      <c r="P720" s="2372"/>
      <c r="Q720" s="2372"/>
      <c r="R720" s="2372"/>
      <c r="S720" s="2372"/>
      <c r="T720" s="2372"/>
      <c r="U720" s="2372"/>
      <c r="V720" s="2372"/>
      <c r="W720" s="2372"/>
      <c r="X720" s="2372"/>
      <c r="Y720" s="2372"/>
      <c r="Z720" s="2372"/>
      <c r="AA720" s="2372"/>
      <c r="AB720" s="2372"/>
      <c r="AC720" s="2372"/>
      <c r="AD720" s="2372"/>
      <c r="AE720" s="2372"/>
      <c r="AF720" s="2372"/>
      <c r="AG720" s="2372"/>
      <c r="AH720" s="2372"/>
      <c r="AI720" s="2372"/>
      <c r="AJ720" s="2372"/>
      <c r="AK720" s="2372"/>
      <c r="AL720" s="2372"/>
      <c r="AM720" s="2372"/>
      <c r="AN720" s="2372"/>
      <c r="AO720" s="2372"/>
      <c r="AP720" s="2372"/>
      <c r="AQ720" s="2372"/>
      <c r="AR720" s="2372"/>
      <c r="AS720" s="2372"/>
      <c r="AT720" s="2372"/>
      <c r="AU720" s="2372"/>
      <c r="AV720" s="2372"/>
      <c r="AW720" s="2372"/>
      <c r="AX720" s="2372"/>
      <c r="AY720" s="2372"/>
      <c r="AZ720" s="2372"/>
      <c r="BA720" s="2372"/>
      <c r="BB720" s="2372"/>
      <c r="BC720" s="2372"/>
      <c r="BD720" s="2372"/>
      <c r="BE720" s="2372"/>
      <c r="BF720" s="2372"/>
      <c r="BG720" s="2372"/>
      <c r="BH720" s="2372"/>
      <c r="BI720" s="2372"/>
      <c r="BJ720" s="2372"/>
      <c r="BK720" s="2372"/>
      <c r="BL720" s="2372"/>
      <c r="BM720" s="2372"/>
      <c r="BN720" s="2372"/>
      <c r="BO720" s="2372"/>
      <c r="BP720" s="2372"/>
      <c r="BQ720" s="2372"/>
      <c r="BR720" s="2372"/>
      <c r="BS720" s="2372"/>
      <c r="BT720" s="2372"/>
      <c r="BU720" s="2372"/>
      <c r="BV720" s="2372"/>
      <c r="BW720" s="2372"/>
      <c r="BX720" s="2372"/>
      <c r="BY720" s="2372"/>
      <c r="BZ720" s="2372"/>
      <c r="CA720" s="2372"/>
      <c r="CB720" s="2372"/>
      <c r="CC720" s="2372"/>
      <c r="CD720" s="2372"/>
      <c r="CE720" s="2372"/>
      <c r="CF720" s="2372"/>
      <c r="CG720" s="2372"/>
      <c r="CH720" s="2372"/>
      <c r="CI720" s="2372"/>
      <c r="CJ720" s="2372"/>
      <c r="CK720" s="2372"/>
      <c r="CL720" s="2372"/>
      <c r="CM720" s="2372"/>
      <c r="CN720" s="2372"/>
      <c r="CO720" s="2372"/>
      <c r="CP720" s="2372"/>
      <c r="CQ720" s="2372"/>
      <c r="CR720" s="2372"/>
      <c r="CS720" s="2372"/>
      <c r="CT720" s="2372"/>
      <c r="CU720" s="2372"/>
      <c r="CV720" s="2372"/>
      <c r="CW720" s="2372"/>
      <c r="CX720" s="2372"/>
      <c r="CY720" s="2372"/>
      <c r="CZ720" s="2372"/>
      <c r="DA720" s="2372"/>
    </row>
    <row r="721" spans="1:105" ht="15" hidden="1" customHeight="1">
      <c r="A721" s="2372"/>
      <c r="B721" s="2372"/>
      <c r="C721" s="2372"/>
      <c r="D721" s="2372"/>
      <c r="E721" s="2372"/>
      <c r="F721" s="2372"/>
      <c r="G721" s="2372"/>
      <c r="H721" s="2372"/>
      <c r="I721" s="2372"/>
      <c r="J721" s="2372"/>
      <c r="K721" s="2372"/>
      <c r="L721" s="2372"/>
      <c r="M721" s="2372"/>
      <c r="N721" s="2372"/>
      <c r="O721" s="2372"/>
      <c r="P721" s="2372"/>
      <c r="Q721" s="2372"/>
      <c r="R721" s="2372"/>
      <c r="S721" s="2372"/>
      <c r="T721" s="2372"/>
      <c r="U721" s="2372"/>
      <c r="V721" s="2372"/>
      <c r="W721" s="2372"/>
      <c r="X721" s="2372"/>
      <c r="Y721" s="2372"/>
      <c r="Z721" s="2372"/>
      <c r="AA721" s="2372"/>
      <c r="AB721" s="2372"/>
      <c r="AC721" s="2372"/>
      <c r="AD721" s="2372"/>
      <c r="AE721" s="2372"/>
      <c r="AF721" s="2372"/>
      <c r="AG721" s="2372"/>
      <c r="AH721" s="2372"/>
      <c r="AI721" s="2372"/>
      <c r="AJ721" s="2372"/>
      <c r="AK721" s="2372"/>
      <c r="AL721" s="2372"/>
      <c r="AM721" s="2372"/>
      <c r="AN721" s="2372"/>
      <c r="AO721" s="2372"/>
      <c r="AP721" s="2372"/>
      <c r="AQ721" s="2372"/>
      <c r="AR721" s="2372"/>
      <c r="AS721" s="2372"/>
      <c r="AT721" s="2372"/>
      <c r="AU721" s="2372"/>
      <c r="AV721" s="2372"/>
      <c r="AW721" s="2372"/>
      <c r="AX721" s="2372"/>
      <c r="AY721" s="2372"/>
      <c r="AZ721" s="2372"/>
      <c r="BA721" s="2372"/>
      <c r="BB721" s="2372"/>
      <c r="BC721" s="2372"/>
      <c r="BD721" s="2372"/>
      <c r="BE721" s="2372"/>
      <c r="BF721" s="2372"/>
      <c r="BG721" s="2372"/>
      <c r="BH721" s="2372"/>
      <c r="BI721" s="2372"/>
      <c r="BJ721" s="2372"/>
      <c r="BK721" s="2372"/>
      <c r="BL721" s="2372"/>
      <c r="BM721" s="2372"/>
      <c r="BN721" s="2372"/>
      <c r="BO721" s="2372"/>
      <c r="BP721" s="2372"/>
      <c r="BQ721" s="2372"/>
      <c r="BR721" s="2372"/>
      <c r="BS721" s="2372"/>
      <c r="BT721" s="2372"/>
      <c r="BU721" s="2372"/>
      <c r="BV721" s="2372"/>
      <c r="BW721" s="2372"/>
      <c r="BX721" s="2372"/>
      <c r="BY721" s="2372"/>
      <c r="BZ721" s="2372"/>
      <c r="CA721" s="2372"/>
      <c r="CB721" s="2372"/>
      <c r="CC721" s="2372"/>
      <c r="CD721" s="2372"/>
      <c r="CE721" s="2372"/>
      <c r="CF721" s="2372"/>
      <c r="CG721" s="2372"/>
      <c r="CH721" s="2372"/>
      <c r="CI721" s="2372"/>
      <c r="CJ721" s="2372"/>
      <c r="CK721" s="2372"/>
      <c r="CL721" s="2372"/>
      <c r="CM721" s="2372"/>
      <c r="CN721" s="2372"/>
      <c r="CO721" s="2372"/>
      <c r="CP721" s="2372"/>
      <c r="CQ721" s="2372"/>
      <c r="CR721" s="2372"/>
      <c r="CS721" s="2372"/>
      <c r="CT721" s="2372"/>
      <c r="CU721" s="2372"/>
      <c r="CV721" s="2372"/>
      <c r="CW721" s="2372"/>
      <c r="CX721" s="2372"/>
      <c r="CY721" s="2372"/>
      <c r="CZ721" s="2372"/>
      <c r="DA721" s="2372"/>
    </row>
    <row r="722" spans="1:105" ht="15" hidden="1" customHeight="1">
      <c r="A722" s="2372"/>
      <c r="B722" s="2372"/>
      <c r="C722" s="2372"/>
      <c r="D722" s="2372"/>
      <c r="E722" s="2372"/>
      <c r="F722" s="2372"/>
      <c r="G722" s="2372"/>
      <c r="H722" s="2372"/>
      <c r="I722" s="2372"/>
      <c r="J722" s="2372"/>
      <c r="K722" s="2372"/>
      <c r="L722" s="2372"/>
      <c r="M722" s="2372"/>
      <c r="N722" s="2372"/>
      <c r="O722" s="2372"/>
      <c r="P722" s="2372"/>
      <c r="Q722" s="2372"/>
      <c r="R722" s="2372"/>
      <c r="S722" s="2372"/>
      <c r="T722" s="2372"/>
      <c r="U722" s="2372"/>
      <c r="V722" s="2372"/>
      <c r="W722" s="2372"/>
      <c r="X722" s="2372"/>
      <c r="Y722" s="2372"/>
      <c r="Z722" s="2372"/>
      <c r="AA722" s="2372"/>
      <c r="AB722" s="2372"/>
      <c r="AC722" s="2372"/>
      <c r="AD722" s="2372"/>
      <c r="AE722" s="2372"/>
      <c r="AF722" s="2372"/>
      <c r="AG722" s="2372"/>
      <c r="AH722" s="2372"/>
      <c r="AI722" s="2372"/>
      <c r="AJ722" s="2372"/>
      <c r="AK722" s="2372"/>
      <c r="AL722" s="2372"/>
      <c r="AM722" s="2372"/>
      <c r="AN722" s="2372"/>
      <c r="AO722" s="2372"/>
      <c r="AP722" s="2372"/>
      <c r="AQ722" s="2372"/>
      <c r="AR722" s="2372"/>
      <c r="AS722" s="2372"/>
      <c r="AT722" s="2372"/>
      <c r="AU722" s="2372"/>
      <c r="AV722" s="2372"/>
      <c r="AW722" s="2372"/>
      <c r="AX722" s="2372"/>
      <c r="AY722" s="2372"/>
      <c r="AZ722" s="2372"/>
      <c r="BA722" s="2372"/>
      <c r="BB722" s="2372"/>
      <c r="BC722" s="2372"/>
      <c r="BD722" s="2372"/>
      <c r="BE722" s="2372"/>
      <c r="BF722" s="2372"/>
      <c r="BG722" s="2372"/>
      <c r="BH722" s="2372"/>
      <c r="BI722" s="2372"/>
      <c r="BJ722" s="2372"/>
      <c r="BK722" s="2372"/>
      <c r="BL722" s="2372"/>
      <c r="BM722" s="2372"/>
      <c r="BN722" s="2372"/>
      <c r="BO722" s="2372"/>
      <c r="BP722" s="2372"/>
      <c r="BQ722" s="2372"/>
      <c r="BR722" s="2372"/>
      <c r="BS722" s="2372"/>
      <c r="BT722" s="2372"/>
      <c r="BU722" s="2372"/>
      <c r="BV722" s="2372"/>
      <c r="BW722" s="2372"/>
      <c r="BX722" s="2372"/>
      <c r="BY722" s="2372"/>
      <c r="BZ722" s="2372"/>
      <c r="CA722" s="2372"/>
      <c r="CB722" s="2372"/>
      <c r="CC722" s="2372"/>
      <c r="CD722" s="2372"/>
      <c r="CE722" s="2372"/>
      <c r="CF722" s="2372"/>
      <c r="CG722" s="2372"/>
      <c r="CH722" s="2372"/>
      <c r="CI722" s="2372"/>
      <c r="CJ722" s="2372"/>
      <c r="CK722" s="2372"/>
      <c r="CL722" s="2372"/>
      <c r="CM722" s="2372"/>
      <c r="CN722" s="2372"/>
      <c r="CO722" s="2372"/>
      <c r="CP722" s="2372"/>
      <c r="CQ722" s="2372"/>
      <c r="CR722" s="2372"/>
      <c r="CS722" s="2372"/>
      <c r="CT722" s="2372"/>
      <c r="CU722" s="2372"/>
      <c r="CV722" s="2372"/>
      <c r="CW722" s="2372"/>
      <c r="CX722" s="2372"/>
      <c r="CY722" s="2372"/>
      <c r="CZ722" s="2372"/>
      <c r="DA722" s="2372"/>
    </row>
    <row r="723" spans="1:105" ht="15" hidden="1" customHeight="1">
      <c r="A723" s="2372"/>
      <c r="B723" s="2372"/>
      <c r="C723" s="2372"/>
      <c r="D723" s="2372"/>
      <c r="E723" s="2372"/>
      <c r="F723" s="2372"/>
      <c r="G723" s="2372"/>
      <c r="H723" s="2372"/>
      <c r="I723" s="2372"/>
      <c r="J723" s="2372"/>
      <c r="K723" s="2372"/>
      <c r="L723" s="2372"/>
      <c r="M723" s="2372"/>
      <c r="N723" s="2372"/>
      <c r="O723" s="2372"/>
      <c r="P723" s="2372"/>
      <c r="Q723" s="2372"/>
      <c r="R723" s="2372"/>
      <c r="S723" s="2372"/>
      <c r="T723" s="2372"/>
      <c r="U723" s="2372"/>
      <c r="V723" s="2372"/>
      <c r="W723" s="2372"/>
      <c r="X723" s="2372"/>
      <c r="Y723" s="2372"/>
      <c r="Z723" s="2372"/>
      <c r="AA723" s="2372"/>
      <c r="AB723" s="2372"/>
      <c r="AC723" s="2372"/>
      <c r="AD723" s="2372"/>
      <c r="AE723" s="2372"/>
      <c r="AF723" s="2372"/>
      <c r="AG723" s="2372"/>
      <c r="AH723" s="2372"/>
      <c r="AI723" s="2372"/>
      <c r="AJ723" s="2372"/>
      <c r="AK723" s="2372"/>
      <c r="AL723" s="2372"/>
      <c r="AM723" s="2372"/>
      <c r="AN723" s="2372"/>
      <c r="AO723" s="2372"/>
      <c r="AP723" s="2372"/>
      <c r="AQ723" s="2372"/>
      <c r="AR723" s="2372"/>
      <c r="AS723" s="2372"/>
      <c r="AT723" s="2372"/>
      <c r="AU723" s="2372"/>
      <c r="AV723" s="2372"/>
      <c r="AW723" s="2372"/>
      <c r="AX723" s="2372"/>
      <c r="AY723" s="2372"/>
      <c r="AZ723" s="2372"/>
      <c r="BA723" s="2372"/>
      <c r="BB723" s="2372"/>
      <c r="BC723" s="2372"/>
      <c r="BD723" s="2372"/>
      <c r="BE723" s="2372"/>
      <c r="BF723" s="2372"/>
      <c r="BG723" s="2372"/>
      <c r="BH723" s="2372"/>
      <c r="BI723" s="2372"/>
      <c r="BJ723" s="2372"/>
      <c r="BK723" s="2372"/>
      <c r="BL723" s="2372"/>
      <c r="BM723" s="2372"/>
      <c r="BN723" s="2372"/>
      <c r="BO723" s="2372"/>
      <c r="BP723" s="2372"/>
      <c r="BQ723" s="2372"/>
      <c r="BR723" s="2372"/>
      <c r="BS723" s="2372"/>
      <c r="BT723" s="2372"/>
      <c r="BU723" s="2372"/>
      <c r="BV723" s="2372"/>
      <c r="BW723" s="2372"/>
      <c r="BX723" s="2372"/>
      <c r="BY723" s="2372"/>
      <c r="BZ723" s="2372"/>
      <c r="CA723" s="2372"/>
      <c r="CB723" s="2372"/>
      <c r="CC723" s="2372"/>
      <c r="CD723" s="2372"/>
      <c r="CE723" s="2372"/>
      <c r="CF723" s="2372"/>
      <c r="CG723" s="2372"/>
      <c r="CH723" s="2372"/>
      <c r="CI723" s="2372"/>
      <c r="CJ723" s="2372"/>
      <c r="CK723" s="2372"/>
      <c r="CL723" s="2372"/>
      <c r="CM723" s="2372"/>
      <c r="CN723" s="2372"/>
      <c r="CO723" s="2372"/>
      <c r="CP723" s="2372"/>
      <c r="CQ723" s="2372"/>
      <c r="CR723" s="2372"/>
      <c r="CS723" s="2372"/>
      <c r="CT723" s="2372"/>
      <c r="CU723" s="2372"/>
      <c r="CV723" s="2372"/>
      <c r="CW723" s="2372"/>
      <c r="CX723" s="2372"/>
      <c r="CY723" s="2372"/>
      <c r="CZ723" s="2372"/>
      <c r="DA723" s="2372"/>
    </row>
    <row r="724" spans="1:105" ht="15" hidden="1" customHeight="1">
      <c r="A724" s="2372"/>
      <c r="B724" s="2372"/>
      <c r="C724" s="2372"/>
      <c r="D724" s="2372"/>
      <c r="E724" s="2372"/>
      <c r="F724" s="2372"/>
      <c r="G724" s="2372"/>
      <c r="H724" s="2372"/>
      <c r="I724" s="2372"/>
      <c r="J724" s="2372"/>
      <c r="K724" s="2372"/>
      <c r="L724" s="2372"/>
      <c r="M724" s="2372"/>
      <c r="N724" s="2372"/>
      <c r="O724" s="2372"/>
      <c r="P724" s="2372"/>
      <c r="Q724" s="2372"/>
      <c r="R724" s="2372"/>
      <c r="S724" s="2372"/>
      <c r="T724" s="2372"/>
      <c r="U724" s="2372"/>
      <c r="V724" s="2372"/>
      <c r="W724" s="2372"/>
      <c r="X724" s="2372"/>
      <c r="Y724" s="2372"/>
      <c r="Z724" s="2372"/>
      <c r="AA724" s="2372"/>
      <c r="AB724" s="2372"/>
      <c r="AC724" s="2372"/>
      <c r="AD724" s="2372"/>
      <c r="AE724" s="2372"/>
      <c r="AF724" s="2372"/>
      <c r="AG724" s="2372"/>
      <c r="AH724" s="2372"/>
      <c r="AI724" s="2372"/>
      <c r="AJ724" s="2372"/>
      <c r="AK724" s="2372"/>
      <c r="AL724" s="2372"/>
      <c r="AM724" s="2372"/>
      <c r="AN724" s="2372"/>
      <c r="AO724" s="2372"/>
      <c r="AP724" s="2372"/>
      <c r="AQ724" s="2372"/>
      <c r="AR724" s="2372"/>
      <c r="AS724" s="2372"/>
      <c r="AT724" s="2372"/>
      <c r="AU724" s="2372"/>
      <c r="AV724" s="2372"/>
      <c r="AW724" s="2372"/>
      <c r="AX724" s="2372"/>
      <c r="AY724" s="2372"/>
      <c r="AZ724" s="2372"/>
      <c r="BA724" s="2372"/>
      <c r="BB724" s="2372"/>
      <c r="BC724" s="2372"/>
      <c r="BD724" s="2372"/>
      <c r="BE724" s="2372"/>
      <c r="BF724" s="2372"/>
      <c r="BG724" s="2372"/>
      <c r="BH724" s="2372"/>
      <c r="BI724" s="2372"/>
      <c r="BJ724" s="2372"/>
      <c r="BK724" s="2372"/>
      <c r="BL724" s="2372"/>
      <c r="BM724" s="2372"/>
      <c r="BN724" s="2372"/>
      <c r="BO724" s="2372"/>
      <c r="BP724" s="2372"/>
      <c r="BQ724" s="2372"/>
      <c r="BR724" s="2372"/>
      <c r="BS724" s="2372"/>
      <c r="BT724" s="2372"/>
      <c r="BU724" s="2372"/>
      <c r="BV724" s="2372"/>
      <c r="BW724" s="2372"/>
      <c r="BX724" s="2372"/>
      <c r="BY724" s="2372"/>
      <c r="BZ724" s="2372"/>
      <c r="CA724" s="2372"/>
      <c r="CB724" s="2372"/>
      <c r="CC724" s="2372"/>
      <c r="CD724" s="2372"/>
      <c r="CE724" s="2372"/>
      <c r="CF724" s="2372"/>
      <c r="CG724" s="2372"/>
      <c r="CH724" s="2372"/>
      <c r="CI724" s="2372"/>
      <c r="CJ724" s="2372"/>
      <c r="CK724" s="2372"/>
      <c r="CL724" s="2372"/>
      <c r="CM724" s="2372"/>
      <c r="CN724" s="2372"/>
      <c r="CO724" s="2372"/>
      <c r="CP724" s="2372"/>
      <c r="CQ724" s="2372"/>
      <c r="CR724" s="2372"/>
      <c r="CS724" s="2372"/>
      <c r="CT724" s="2372"/>
      <c r="CU724" s="2372"/>
      <c r="CV724" s="2372"/>
      <c r="CW724" s="2372"/>
      <c r="CX724" s="2372"/>
      <c r="CY724" s="2372"/>
      <c r="CZ724" s="2372"/>
      <c r="DA724" s="2372"/>
    </row>
    <row r="725" spans="1:105" ht="15" hidden="1" customHeight="1">
      <c r="A725" s="2372"/>
      <c r="B725" s="2372"/>
      <c r="C725" s="2372"/>
      <c r="D725" s="2372"/>
      <c r="E725" s="2372"/>
      <c r="F725" s="2372"/>
      <c r="G725" s="2372"/>
      <c r="H725" s="2372"/>
      <c r="I725" s="2372"/>
      <c r="J725" s="2372"/>
      <c r="K725" s="2372"/>
      <c r="L725" s="2372"/>
      <c r="M725" s="2372"/>
      <c r="N725" s="2372"/>
      <c r="O725" s="2372"/>
      <c r="P725" s="2372"/>
      <c r="Q725" s="2372"/>
      <c r="R725" s="2372"/>
      <c r="S725" s="2372"/>
      <c r="T725" s="2372"/>
      <c r="U725" s="2372"/>
      <c r="V725" s="2372"/>
      <c r="W725" s="2372"/>
      <c r="X725" s="2372"/>
      <c r="Y725" s="2372"/>
      <c r="Z725" s="2372"/>
      <c r="AA725" s="2372"/>
      <c r="AB725" s="2372"/>
      <c r="AC725" s="2372"/>
      <c r="AD725" s="2372"/>
      <c r="AE725" s="2372"/>
      <c r="AF725" s="2372"/>
      <c r="AG725" s="2372"/>
      <c r="AH725" s="2372"/>
      <c r="AI725" s="2372"/>
      <c r="AJ725" s="2372"/>
      <c r="AK725" s="2372"/>
      <c r="AL725" s="2372"/>
      <c r="AM725" s="2372"/>
      <c r="AN725" s="2372"/>
      <c r="AO725" s="2372"/>
      <c r="AP725" s="2372"/>
      <c r="AQ725" s="2372"/>
      <c r="AR725" s="2372"/>
      <c r="AS725" s="2372"/>
      <c r="AT725" s="2372"/>
      <c r="AU725" s="2372"/>
      <c r="AV725" s="2372"/>
      <c r="AW725" s="2372"/>
      <c r="AX725" s="2372"/>
      <c r="AY725" s="2372"/>
      <c r="AZ725" s="2372"/>
      <c r="BA725" s="2372"/>
      <c r="BB725" s="2372"/>
      <c r="BC725" s="2372"/>
      <c r="BD725" s="2372"/>
      <c r="BE725" s="2372"/>
      <c r="BF725" s="2372"/>
      <c r="BG725" s="2372"/>
      <c r="BH725" s="2372"/>
      <c r="BI725" s="2372"/>
      <c r="BJ725" s="2372"/>
      <c r="BK725" s="2372"/>
      <c r="BL725" s="2372"/>
      <c r="BM725" s="2372"/>
      <c r="BN725" s="2372"/>
      <c r="BO725" s="2372"/>
      <c r="BP725" s="2372"/>
      <c r="BQ725" s="2372"/>
      <c r="BR725" s="2372"/>
      <c r="BS725" s="2372"/>
      <c r="BT725" s="2372"/>
      <c r="BU725" s="2372"/>
      <c r="BV725" s="2372"/>
      <c r="BW725" s="2372"/>
      <c r="BX725" s="2372"/>
      <c r="BY725" s="2372"/>
      <c r="BZ725" s="2372"/>
      <c r="CA725" s="2372"/>
      <c r="CB725" s="2372"/>
      <c r="CC725" s="2372"/>
      <c r="CD725" s="2372"/>
      <c r="CE725" s="2372"/>
      <c r="CF725" s="2372"/>
      <c r="CG725" s="2372"/>
      <c r="CH725" s="2372"/>
      <c r="CI725" s="2372"/>
      <c r="CJ725" s="2372"/>
      <c r="CK725" s="2372"/>
      <c r="CL725" s="2372"/>
      <c r="CM725" s="2372"/>
      <c r="CN725" s="2372"/>
      <c r="CO725" s="2372"/>
      <c r="CP725" s="2372"/>
      <c r="CQ725" s="2372"/>
      <c r="CR725" s="2372"/>
      <c r="CS725" s="2372"/>
      <c r="CT725" s="2372"/>
      <c r="CU725" s="2372"/>
      <c r="CV725" s="2372"/>
      <c r="CW725" s="2372"/>
      <c r="CX725" s="2372"/>
      <c r="CY725" s="2372"/>
      <c r="CZ725" s="2372"/>
      <c r="DA725" s="2372"/>
    </row>
    <row r="726" spans="1:105" ht="15" hidden="1" customHeight="1">
      <c r="A726" s="2372"/>
      <c r="B726" s="2372"/>
      <c r="C726" s="2372"/>
      <c r="D726" s="2372"/>
      <c r="E726" s="2372"/>
      <c r="F726" s="2372"/>
      <c r="G726" s="2372"/>
      <c r="H726" s="2372"/>
      <c r="I726" s="2372"/>
      <c r="J726" s="2372"/>
      <c r="K726" s="2372"/>
      <c r="L726" s="2372"/>
      <c r="M726" s="2372"/>
      <c r="N726" s="2372"/>
      <c r="O726" s="2372"/>
      <c r="P726" s="2372"/>
      <c r="Q726" s="2372"/>
      <c r="R726" s="2372"/>
      <c r="S726" s="2372"/>
      <c r="T726" s="2372"/>
      <c r="U726" s="2372"/>
      <c r="V726" s="2372"/>
      <c r="W726" s="2372"/>
      <c r="X726" s="2372"/>
      <c r="Y726" s="2372"/>
      <c r="Z726" s="2372"/>
      <c r="AA726" s="2372"/>
      <c r="AB726" s="2372"/>
      <c r="AC726" s="2372"/>
      <c r="AD726" s="2372"/>
      <c r="AE726" s="2372"/>
      <c r="AF726" s="2372"/>
      <c r="AG726" s="2372"/>
      <c r="AH726" s="2372"/>
      <c r="AI726" s="2372"/>
      <c r="AJ726" s="2372"/>
      <c r="AK726" s="2372"/>
      <c r="AL726" s="2372"/>
      <c r="AM726" s="2372"/>
      <c r="AN726" s="2372"/>
      <c r="AO726" s="2372"/>
      <c r="AP726" s="2372"/>
      <c r="AQ726" s="2372"/>
      <c r="AR726" s="2372"/>
      <c r="AS726" s="2372"/>
      <c r="AT726" s="2372"/>
      <c r="AU726" s="2372"/>
      <c r="AV726" s="2372"/>
      <c r="AW726" s="2372"/>
      <c r="AX726" s="2372"/>
      <c r="AY726" s="2372"/>
      <c r="AZ726" s="2372"/>
      <c r="BA726" s="2372"/>
      <c r="BB726" s="2372"/>
      <c r="BC726" s="2372"/>
      <c r="BD726" s="2372"/>
      <c r="BE726" s="2372"/>
      <c r="BF726" s="2372"/>
      <c r="BG726" s="2372"/>
      <c r="BH726" s="2372"/>
      <c r="BI726" s="2372"/>
      <c r="BJ726" s="2372"/>
      <c r="BK726" s="2372"/>
      <c r="BL726" s="2372"/>
      <c r="BM726" s="2372"/>
      <c r="BN726" s="2372"/>
      <c r="BO726" s="2372"/>
      <c r="BP726" s="2372"/>
      <c r="BQ726" s="2372"/>
      <c r="BR726" s="2372"/>
      <c r="BS726" s="2372"/>
      <c r="BT726" s="2372"/>
      <c r="BU726" s="2372"/>
      <c r="BV726" s="2372"/>
      <c r="BW726" s="2372"/>
      <c r="BX726" s="2372"/>
      <c r="BY726" s="2372"/>
      <c r="BZ726" s="2372"/>
      <c r="CA726" s="2372"/>
      <c r="CB726" s="2372"/>
      <c r="CC726" s="2372"/>
      <c r="CD726" s="2372"/>
      <c r="CE726" s="2372"/>
      <c r="CF726" s="2372"/>
      <c r="CG726" s="2372"/>
      <c r="CH726" s="2372"/>
      <c r="CI726" s="2372"/>
      <c r="CJ726" s="2372"/>
      <c r="CK726" s="2372"/>
      <c r="CL726" s="2372"/>
      <c r="CM726" s="2372"/>
      <c r="CN726" s="2372"/>
      <c r="CO726" s="2372"/>
      <c r="CP726" s="2372"/>
      <c r="CQ726" s="2372"/>
      <c r="CR726" s="2372"/>
      <c r="CS726" s="2372"/>
      <c r="CT726" s="2372"/>
      <c r="CU726" s="2372"/>
      <c r="CV726" s="2372"/>
      <c r="CW726" s="2372"/>
      <c r="CX726" s="2372"/>
      <c r="CY726" s="2372"/>
      <c r="CZ726" s="2372"/>
      <c r="DA726" s="2372"/>
    </row>
    <row r="727" spans="1:105" ht="15" hidden="1" customHeight="1">
      <c r="A727" s="2372"/>
      <c r="B727" s="2372"/>
      <c r="C727" s="2372"/>
      <c r="D727" s="2372"/>
      <c r="E727" s="2372"/>
      <c r="F727" s="2372"/>
      <c r="G727" s="2372"/>
      <c r="H727" s="2372"/>
      <c r="I727" s="2372"/>
      <c r="J727" s="2372"/>
      <c r="K727" s="2372"/>
      <c r="L727" s="2372"/>
      <c r="M727" s="2372"/>
      <c r="N727" s="2372"/>
      <c r="O727" s="2372"/>
      <c r="P727" s="2372"/>
      <c r="Q727" s="2372"/>
      <c r="R727" s="2372"/>
      <c r="S727" s="2372"/>
      <c r="T727" s="2372"/>
      <c r="U727" s="2372"/>
      <c r="V727" s="2372"/>
      <c r="W727" s="2372"/>
      <c r="X727" s="2372"/>
      <c r="Y727" s="2372"/>
      <c r="Z727" s="2372"/>
      <c r="AA727" s="2372"/>
      <c r="AB727" s="2372"/>
      <c r="AC727" s="2372"/>
      <c r="AD727" s="2372"/>
      <c r="AE727" s="2372"/>
      <c r="AF727" s="2372"/>
      <c r="AG727" s="2372"/>
      <c r="AH727" s="2372"/>
      <c r="AI727" s="2372"/>
      <c r="AJ727" s="2372"/>
      <c r="AK727" s="2372"/>
      <c r="AL727" s="2372"/>
      <c r="AM727" s="2372"/>
      <c r="AN727" s="2372"/>
      <c r="AO727" s="2372"/>
      <c r="AP727" s="2372"/>
      <c r="AQ727" s="2372"/>
      <c r="AR727" s="2372"/>
      <c r="AS727" s="2372"/>
      <c r="AT727" s="2372"/>
      <c r="AU727" s="2372"/>
      <c r="AV727" s="2372"/>
      <c r="AW727" s="2372"/>
      <c r="AX727" s="2372"/>
      <c r="AY727" s="2372"/>
      <c r="AZ727" s="2372"/>
      <c r="BA727" s="2372"/>
      <c r="BB727" s="2372"/>
      <c r="BC727" s="2372"/>
      <c r="BD727" s="2372"/>
      <c r="BE727" s="2372"/>
      <c r="BF727" s="2372"/>
      <c r="BG727" s="2372"/>
      <c r="BH727" s="2372"/>
      <c r="BI727" s="2372"/>
      <c r="BJ727" s="2372"/>
      <c r="BK727" s="2372"/>
      <c r="BL727" s="2372"/>
      <c r="BM727" s="2372"/>
      <c r="BN727" s="2372"/>
      <c r="BO727" s="2372"/>
      <c r="BP727" s="2372"/>
      <c r="BQ727" s="2372"/>
      <c r="BR727" s="2372"/>
      <c r="BS727" s="2372"/>
      <c r="BT727" s="2372"/>
      <c r="BU727" s="2372"/>
      <c r="BV727" s="2372"/>
      <c r="BW727" s="2372"/>
      <c r="BX727" s="2372"/>
      <c r="BY727" s="2372"/>
      <c r="BZ727" s="2372"/>
      <c r="CA727" s="2372"/>
      <c r="CB727" s="2372"/>
      <c r="CC727" s="2372"/>
      <c r="CD727" s="2372"/>
      <c r="CE727" s="2372"/>
      <c r="CF727" s="2372"/>
      <c r="CG727" s="2372"/>
      <c r="CH727" s="2372"/>
      <c r="CI727" s="2372"/>
      <c r="CJ727" s="2372"/>
      <c r="CK727" s="2372"/>
      <c r="CL727" s="2372"/>
      <c r="CM727" s="2372"/>
      <c r="CN727" s="2372"/>
      <c r="CO727" s="2372"/>
      <c r="CP727" s="2372"/>
      <c r="CQ727" s="2372"/>
      <c r="CR727" s="2372"/>
      <c r="CS727" s="2372"/>
      <c r="CT727" s="2372"/>
      <c r="CU727" s="2372"/>
      <c r="CV727" s="2372"/>
      <c r="CW727" s="2372"/>
      <c r="CX727" s="2372"/>
      <c r="CY727" s="2372"/>
      <c r="CZ727" s="2372"/>
      <c r="DA727" s="2372"/>
    </row>
    <row r="728" spans="1:105" ht="15" hidden="1" customHeight="1">
      <c r="A728" s="2372"/>
      <c r="B728" s="2372"/>
      <c r="C728" s="2372"/>
      <c r="D728" s="2372"/>
      <c r="E728" s="2372"/>
      <c r="F728" s="2372"/>
      <c r="G728" s="2372"/>
      <c r="H728" s="2372"/>
      <c r="I728" s="2372"/>
      <c r="J728" s="2372"/>
      <c r="K728" s="2372"/>
      <c r="L728" s="2372"/>
      <c r="M728" s="2372"/>
      <c r="N728" s="2372"/>
      <c r="O728" s="2372"/>
      <c r="P728" s="2372"/>
      <c r="Q728" s="2372"/>
      <c r="R728" s="2372"/>
      <c r="S728" s="2372"/>
      <c r="T728" s="2372"/>
      <c r="U728" s="2372"/>
      <c r="V728" s="2372"/>
      <c r="W728" s="2372"/>
      <c r="X728" s="2372"/>
      <c r="Y728" s="2372"/>
      <c r="Z728" s="2372"/>
      <c r="AA728" s="2372"/>
      <c r="AB728" s="2372"/>
      <c r="AC728" s="2372"/>
      <c r="AD728" s="2372"/>
      <c r="AE728" s="2372"/>
      <c r="AF728" s="2372"/>
      <c r="AG728" s="2372"/>
      <c r="AH728" s="2372"/>
      <c r="AI728" s="2372"/>
      <c r="AJ728" s="2372"/>
      <c r="AK728" s="2372"/>
      <c r="AL728" s="2372"/>
      <c r="AM728" s="2372"/>
      <c r="AN728" s="2372"/>
      <c r="AO728" s="2372"/>
      <c r="AP728" s="2372"/>
      <c r="AQ728" s="2372"/>
      <c r="AR728" s="2372"/>
      <c r="AS728" s="2372"/>
      <c r="AT728" s="2372"/>
      <c r="AU728" s="2372"/>
      <c r="AV728" s="2372"/>
      <c r="AW728" s="2372"/>
      <c r="AX728" s="2372"/>
      <c r="AY728" s="2372"/>
      <c r="AZ728" s="2372"/>
      <c r="BA728" s="2372"/>
      <c r="BB728" s="2372"/>
      <c r="BC728" s="2372"/>
      <c r="BD728" s="2372"/>
      <c r="BE728" s="2372"/>
      <c r="BF728" s="2372"/>
      <c r="BG728" s="2372"/>
      <c r="BH728" s="2372"/>
      <c r="BI728" s="2372"/>
      <c r="BJ728" s="2372"/>
      <c r="BK728" s="2372"/>
      <c r="BL728" s="2372"/>
      <c r="BM728" s="2372"/>
      <c r="BN728" s="2372"/>
      <c r="BO728" s="2372"/>
      <c r="BP728" s="2372"/>
      <c r="BQ728" s="2372"/>
      <c r="BR728" s="2372"/>
      <c r="BS728" s="2372"/>
      <c r="BT728" s="2372"/>
      <c r="BU728" s="2372"/>
      <c r="BV728" s="2372"/>
      <c r="BW728" s="2372"/>
      <c r="BX728" s="2372"/>
      <c r="BY728" s="2372"/>
      <c r="BZ728" s="2372"/>
      <c r="CA728" s="2372"/>
      <c r="CB728" s="2372"/>
      <c r="CC728" s="2372"/>
      <c r="CD728" s="2372"/>
      <c r="CE728" s="2372"/>
      <c r="CF728" s="2372"/>
      <c r="CG728" s="2372"/>
      <c r="CH728" s="2372"/>
      <c r="CI728" s="2372"/>
      <c r="CJ728" s="2372"/>
      <c r="CK728" s="2372"/>
      <c r="CL728" s="2372"/>
      <c r="CM728" s="2372"/>
      <c r="CN728" s="2372"/>
      <c r="CO728" s="2372"/>
      <c r="CP728" s="2372"/>
      <c r="CQ728" s="2372"/>
      <c r="CR728" s="2372"/>
      <c r="CS728" s="2372"/>
      <c r="CT728" s="2372"/>
      <c r="CU728" s="2372"/>
      <c r="CV728" s="2372"/>
      <c r="CW728" s="2372"/>
      <c r="CX728" s="2372"/>
      <c r="CY728" s="2372"/>
      <c r="CZ728" s="2372"/>
      <c r="DA728" s="2372"/>
    </row>
    <row r="729" spans="1:105" ht="15" hidden="1" customHeight="1">
      <c r="A729" s="2372"/>
      <c r="B729" s="2372"/>
      <c r="C729" s="2372"/>
      <c r="D729" s="2372"/>
      <c r="E729" s="2372"/>
      <c r="F729" s="2372"/>
      <c r="G729" s="2372"/>
      <c r="H729" s="2372"/>
      <c r="I729" s="2372"/>
      <c r="J729" s="2372"/>
      <c r="K729" s="2372"/>
      <c r="L729" s="2372"/>
      <c r="M729" s="2372"/>
      <c r="N729" s="2372"/>
      <c r="O729" s="2372"/>
      <c r="P729" s="2372"/>
      <c r="Q729" s="2372"/>
      <c r="R729" s="2372"/>
      <c r="S729" s="2372"/>
      <c r="T729" s="2372"/>
      <c r="U729" s="2372"/>
      <c r="V729" s="2372"/>
      <c r="W729" s="2372"/>
      <c r="X729" s="2372"/>
      <c r="Y729" s="2372"/>
      <c r="Z729" s="2372"/>
      <c r="AA729" s="2372"/>
      <c r="AB729" s="2372"/>
      <c r="AC729" s="2372"/>
      <c r="AD729" s="2372"/>
      <c r="AE729" s="2372"/>
      <c r="AF729" s="2372"/>
      <c r="AG729" s="2372"/>
      <c r="AH729" s="2372"/>
      <c r="AI729" s="2372"/>
      <c r="AJ729" s="2372"/>
      <c r="AK729" s="2372"/>
      <c r="AL729" s="2372"/>
      <c r="AM729" s="2372"/>
      <c r="AN729" s="2372"/>
      <c r="AO729" s="2372"/>
      <c r="AP729" s="2372"/>
      <c r="AQ729" s="2372"/>
      <c r="AR729" s="2372"/>
      <c r="AS729" s="2372"/>
      <c r="AT729" s="2372"/>
      <c r="AU729" s="2372"/>
      <c r="AV729" s="2372"/>
      <c r="AW729" s="2372"/>
      <c r="AX729" s="2372"/>
      <c r="AY729" s="2372"/>
      <c r="AZ729" s="2372"/>
      <c r="BA729" s="2372"/>
      <c r="BB729" s="2372"/>
      <c r="BC729" s="2372"/>
      <c r="BD729" s="2372"/>
      <c r="BE729" s="2372"/>
      <c r="BF729" s="2372"/>
      <c r="BG729" s="2372"/>
      <c r="BH729" s="2372"/>
      <c r="BI729" s="2372"/>
      <c r="BJ729" s="2372"/>
      <c r="BK729" s="2372"/>
      <c r="BL729" s="2372"/>
      <c r="BM729" s="2372"/>
      <c r="BN729" s="2372"/>
      <c r="BO729" s="2372"/>
      <c r="BP729" s="2372"/>
      <c r="BQ729" s="2372"/>
      <c r="BR729" s="2372"/>
      <c r="BS729" s="2372"/>
      <c r="BT729" s="2372"/>
      <c r="BU729" s="2372"/>
      <c r="BV729" s="2372"/>
      <c r="BW729" s="2372"/>
      <c r="BX729" s="2372"/>
      <c r="BY729" s="2372"/>
      <c r="BZ729" s="2372"/>
      <c r="CA729" s="2372"/>
      <c r="CB729" s="2372"/>
      <c r="CC729" s="2372"/>
      <c r="CD729" s="2372"/>
      <c r="CE729" s="2372"/>
      <c r="CF729" s="2372"/>
      <c r="CG729" s="2372"/>
      <c r="CH729" s="2372"/>
      <c r="CI729" s="2372"/>
      <c r="CJ729" s="2372"/>
      <c r="CK729" s="2372"/>
      <c r="CL729" s="2372"/>
      <c r="CM729" s="2372"/>
      <c r="CN729" s="2372"/>
      <c r="CO729" s="2372"/>
      <c r="CP729" s="2372"/>
      <c r="CQ729" s="2372"/>
      <c r="CR729" s="2372"/>
      <c r="CS729" s="2372"/>
      <c r="CT729" s="2372"/>
      <c r="CU729" s="2372"/>
      <c r="CV729" s="2372"/>
      <c r="CW729" s="2372"/>
      <c r="CX729" s="2372"/>
      <c r="CY729" s="2372"/>
      <c r="CZ729" s="2372"/>
      <c r="DA729" s="2372"/>
    </row>
    <row r="730" spans="1:105" ht="15" hidden="1" customHeight="1">
      <c r="A730" s="2372"/>
      <c r="B730" s="2372"/>
      <c r="C730" s="2372"/>
      <c r="D730" s="2372"/>
      <c r="E730" s="2372"/>
      <c r="F730" s="2372"/>
      <c r="G730" s="2372"/>
      <c r="H730" s="2372"/>
      <c r="I730" s="2372"/>
      <c r="J730" s="2372"/>
      <c r="K730" s="2372"/>
      <c r="L730" s="2372"/>
      <c r="M730" s="2372"/>
      <c r="N730" s="2372"/>
      <c r="O730" s="2372"/>
      <c r="P730" s="2372"/>
      <c r="Q730" s="2372"/>
      <c r="R730" s="2372"/>
      <c r="S730" s="2372"/>
      <c r="T730" s="2372"/>
      <c r="U730" s="2372"/>
      <c r="V730" s="2372"/>
      <c r="W730" s="2372"/>
      <c r="X730" s="2372"/>
      <c r="Y730" s="2372"/>
      <c r="Z730" s="2372"/>
      <c r="AA730" s="2372"/>
      <c r="AB730" s="2372"/>
      <c r="AC730" s="2372"/>
      <c r="AD730" s="2372"/>
      <c r="AE730" s="2372"/>
      <c r="AF730" s="2372"/>
      <c r="AG730" s="2372"/>
      <c r="AH730" s="2372"/>
      <c r="AI730" s="2372"/>
      <c r="AJ730" s="2372"/>
      <c r="AK730" s="2372"/>
      <c r="AL730" s="2372"/>
      <c r="AM730" s="2372"/>
      <c r="AN730" s="2372"/>
      <c r="AO730" s="2372"/>
      <c r="AP730" s="2372"/>
      <c r="AQ730" s="2372"/>
      <c r="AR730" s="2372"/>
      <c r="AS730" s="2372"/>
      <c r="AT730" s="2372"/>
      <c r="AU730" s="2372"/>
      <c r="AV730" s="2372"/>
      <c r="AW730" s="2372"/>
      <c r="AX730" s="2372"/>
      <c r="AY730" s="2372"/>
      <c r="AZ730" s="2372"/>
      <c r="BA730" s="2372"/>
      <c r="BB730" s="2372"/>
      <c r="BC730" s="2372"/>
      <c r="BD730" s="2372"/>
      <c r="BE730" s="2372"/>
      <c r="BF730" s="2372"/>
      <c r="BG730" s="2372"/>
      <c r="BH730" s="2372"/>
      <c r="BI730" s="2372"/>
      <c r="BJ730" s="2372"/>
      <c r="BK730" s="2372"/>
      <c r="BL730" s="2372"/>
      <c r="BM730" s="2372"/>
      <c r="BN730" s="2372"/>
      <c r="BO730" s="2372"/>
      <c r="BP730" s="2372"/>
      <c r="BQ730" s="2372"/>
      <c r="BR730" s="2372"/>
      <c r="BS730" s="2372"/>
      <c r="BT730" s="2372"/>
      <c r="BU730" s="2372"/>
      <c r="BV730" s="2372"/>
      <c r="BW730" s="2372"/>
      <c r="BX730" s="2372"/>
      <c r="BY730" s="2372"/>
      <c r="BZ730" s="2372"/>
      <c r="CA730" s="2372"/>
      <c r="CB730" s="2372"/>
      <c r="CC730" s="2372"/>
      <c r="CD730" s="2372"/>
      <c r="CE730" s="2372"/>
      <c r="CF730" s="2372"/>
      <c r="CG730" s="2372"/>
      <c r="CH730" s="2372"/>
      <c r="CI730" s="2372"/>
      <c r="CJ730" s="2372"/>
      <c r="CK730" s="2372"/>
      <c r="CL730" s="2372"/>
      <c r="CM730" s="2372"/>
      <c r="CN730" s="2372"/>
      <c r="CO730" s="2372"/>
      <c r="CP730" s="2372"/>
      <c r="CQ730" s="2372"/>
      <c r="CR730" s="2372"/>
      <c r="CS730" s="2372"/>
      <c r="CT730" s="2372"/>
      <c r="CU730" s="2372"/>
      <c r="CV730" s="2372"/>
      <c r="CW730" s="2372"/>
      <c r="CX730" s="2372"/>
      <c r="CY730" s="2372"/>
      <c r="CZ730" s="2372"/>
      <c r="DA730" s="2372"/>
    </row>
    <row r="731" spans="1:105" ht="15" hidden="1" customHeight="1">
      <c r="A731" s="2372"/>
      <c r="B731" s="2372"/>
      <c r="C731" s="2372"/>
      <c r="D731" s="2372"/>
      <c r="E731" s="2372"/>
      <c r="F731" s="2372"/>
      <c r="G731" s="2372"/>
      <c r="H731" s="2372"/>
      <c r="I731" s="2372"/>
      <c r="J731" s="2372"/>
      <c r="K731" s="2372"/>
      <c r="L731" s="2372"/>
      <c r="M731" s="2372"/>
      <c r="N731" s="2372"/>
      <c r="O731" s="2372"/>
      <c r="P731" s="2372"/>
      <c r="Q731" s="2372"/>
      <c r="R731" s="2372"/>
      <c r="S731" s="2372"/>
      <c r="T731" s="2372"/>
      <c r="U731" s="2372"/>
      <c r="V731" s="2372"/>
      <c r="W731" s="2372"/>
      <c r="X731" s="2372"/>
      <c r="Y731" s="2372"/>
      <c r="Z731" s="2372"/>
      <c r="AA731" s="2372"/>
      <c r="AB731" s="2372"/>
      <c r="AC731" s="2372"/>
      <c r="AD731" s="2372"/>
      <c r="AE731" s="2372"/>
      <c r="AF731" s="2372"/>
      <c r="AG731" s="2372"/>
      <c r="AH731" s="2372"/>
      <c r="AI731" s="2372"/>
      <c r="AJ731" s="2372"/>
      <c r="AK731" s="2372"/>
      <c r="AL731" s="2372"/>
      <c r="AM731" s="2372"/>
      <c r="AN731" s="2372"/>
      <c r="AO731" s="2372"/>
      <c r="AP731" s="2372"/>
      <c r="AQ731" s="2372"/>
      <c r="AR731" s="2372"/>
      <c r="AS731" s="2372"/>
      <c r="AT731" s="2372"/>
      <c r="AU731" s="2372"/>
      <c r="AV731" s="2372"/>
      <c r="AW731" s="2372"/>
      <c r="AX731" s="2372"/>
      <c r="AY731" s="2372"/>
      <c r="AZ731" s="2372"/>
      <c r="BA731" s="2372"/>
      <c r="BB731" s="2372"/>
      <c r="BC731" s="2372"/>
      <c r="BD731" s="2372"/>
      <c r="BE731" s="2372"/>
      <c r="BF731" s="2372"/>
      <c r="BG731" s="2372"/>
      <c r="BH731" s="2372"/>
      <c r="BI731" s="2372"/>
      <c r="BJ731" s="2372"/>
      <c r="BK731" s="2372"/>
      <c r="BL731" s="2372"/>
      <c r="BM731" s="2372"/>
      <c r="BN731" s="2372"/>
      <c r="BO731" s="2372"/>
      <c r="BP731" s="2372"/>
      <c r="BQ731" s="2372"/>
      <c r="BR731" s="2372"/>
      <c r="BS731" s="2372"/>
      <c r="BT731" s="2372"/>
      <c r="BU731" s="2372"/>
      <c r="BV731" s="2372"/>
      <c r="BW731" s="2372"/>
      <c r="BX731" s="2372"/>
      <c r="BY731" s="2372"/>
      <c r="BZ731" s="2372"/>
      <c r="CA731" s="2372"/>
      <c r="CB731" s="2372"/>
      <c r="CC731" s="2372"/>
      <c r="CD731" s="2372"/>
      <c r="CE731" s="2372"/>
      <c r="CF731" s="2372"/>
      <c r="CG731" s="2372"/>
      <c r="CH731" s="2372"/>
      <c r="CI731" s="2372"/>
      <c r="CJ731" s="2372"/>
      <c r="CK731" s="2372"/>
      <c r="CL731" s="2372"/>
      <c r="CM731" s="2372"/>
      <c r="CN731" s="2372"/>
      <c r="CO731" s="2372"/>
      <c r="CP731" s="2372"/>
      <c r="CQ731" s="2372"/>
      <c r="CR731" s="2372"/>
      <c r="CS731" s="2372"/>
      <c r="CT731" s="2372"/>
      <c r="CU731" s="2372"/>
      <c r="CV731" s="2372"/>
      <c r="CW731" s="2372"/>
      <c r="CX731" s="2372"/>
      <c r="CY731" s="2372"/>
      <c r="CZ731" s="2372"/>
      <c r="DA731" s="2372"/>
    </row>
    <row r="732" spans="1:105" ht="15" hidden="1" customHeight="1">
      <c r="A732" s="2372"/>
      <c r="B732" s="2372"/>
      <c r="C732" s="2372"/>
      <c r="D732" s="2372"/>
      <c r="E732" s="2372"/>
      <c r="F732" s="2372"/>
      <c r="G732" s="2372"/>
      <c r="H732" s="2372"/>
      <c r="I732" s="2372"/>
      <c r="J732" s="2372"/>
      <c r="K732" s="2372"/>
      <c r="L732" s="2372"/>
      <c r="M732" s="2372"/>
      <c r="N732" s="2372"/>
      <c r="O732" s="2372"/>
      <c r="P732" s="2372"/>
      <c r="Q732" s="2372"/>
      <c r="R732" s="2372"/>
      <c r="S732" s="2372"/>
      <c r="T732" s="2372"/>
      <c r="U732" s="2372"/>
      <c r="V732" s="2372"/>
      <c r="W732" s="2372"/>
      <c r="X732" s="2372"/>
      <c r="Y732" s="2372"/>
      <c r="Z732" s="2372"/>
      <c r="AA732" s="2372"/>
      <c r="AB732" s="2372"/>
      <c r="AC732" s="2372"/>
      <c r="AD732" s="2372"/>
      <c r="AE732" s="2372"/>
      <c r="AF732" s="2372"/>
      <c r="AG732" s="2372"/>
      <c r="AH732" s="2372"/>
      <c r="AI732" s="2372"/>
      <c r="AJ732" s="2372"/>
      <c r="AK732" s="2372"/>
      <c r="AL732" s="2372"/>
      <c r="AM732" s="2372"/>
      <c r="AN732" s="2372"/>
      <c r="AO732" s="2372"/>
      <c r="AP732" s="2372"/>
      <c r="AQ732" s="2372"/>
      <c r="AR732" s="2372"/>
      <c r="AS732" s="2372"/>
      <c r="AT732" s="2372"/>
      <c r="AU732" s="2372"/>
      <c r="AV732" s="2372"/>
      <c r="AW732" s="2372"/>
      <c r="AX732" s="2372"/>
      <c r="AY732" s="2372"/>
      <c r="AZ732" s="2372"/>
      <c r="BA732" s="2372"/>
      <c r="BB732" s="2372"/>
      <c r="BC732" s="2372"/>
      <c r="BD732" s="2372"/>
      <c r="BE732" s="2372"/>
      <c r="BF732" s="2372"/>
      <c r="BG732" s="2372"/>
      <c r="BH732" s="2372"/>
      <c r="BI732" s="2372"/>
      <c r="BJ732" s="2372"/>
      <c r="BK732" s="2372"/>
      <c r="BL732" s="2372"/>
      <c r="BM732" s="2372"/>
      <c r="BN732" s="2372"/>
      <c r="BO732" s="2372"/>
      <c r="BP732" s="2372"/>
      <c r="BQ732" s="2372"/>
      <c r="BR732" s="2372"/>
      <c r="BS732" s="2372"/>
      <c r="BT732" s="2372"/>
      <c r="BU732" s="2372"/>
      <c r="BV732" s="2372"/>
      <c r="BW732" s="2372"/>
      <c r="BX732" s="2372"/>
      <c r="BY732" s="2372"/>
      <c r="BZ732" s="2372"/>
      <c r="CA732" s="2372"/>
      <c r="CB732" s="2372"/>
      <c r="CC732" s="2372"/>
      <c r="CD732" s="2372"/>
      <c r="CE732" s="2372"/>
      <c r="CF732" s="2372"/>
      <c r="CG732" s="2372"/>
      <c r="CH732" s="2372"/>
      <c r="CI732" s="2372"/>
      <c r="CJ732" s="2372"/>
      <c r="CK732" s="2372"/>
      <c r="CL732" s="2372"/>
      <c r="CM732" s="2372"/>
      <c r="CN732" s="2372"/>
      <c r="CO732" s="2372"/>
      <c r="CP732" s="2372"/>
      <c r="CQ732" s="2372"/>
      <c r="CR732" s="2372"/>
      <c r="CS732" s="2372"/>
      <c r="CT732" s="2372"/>
      <c r="CU732" s="2372"/>
      <c r="CV732" s="2372"/>
      <c r="CW732" s="2372"/>
      <c r="CX732" s="2372"/>
      <c r="CY732" s="2372"/>
      <c r="CZ732" s="2372"/>
      <c r="DA732" s="2372"/>
    </row>
    <row r="733" spans="1:105" ht="15" hidden="1" customHeight="1">
      <c r="A733" s="2372"/>
      <c r="B733" s="2372"/>
      <c r="C733" s="2372"/>
      <c r="D733" s="2372"/>
      <c r="E733" s="2372"/>
      <c r="F733" s="2372"/>
      <c r="G733" s="2372"/>
      <c r="H733" s="2372"/>
      <c r="I733" s="2372"/>
      <c r="J733" s="2372"/>
      <c r="K733" s="2372"/>
      <c r="L733" s="2372"/>
      <c r="M733" s="2372"/>
      <c r="N733" s="2372"/>
      <c r="O733" s="2372"/>
      <c r="P733" s="2372"/>
      <c r="Q733" s="2372"/>
      <c r="R733" s="2372"/>
      <c r="S733" s="2372"/>
      <c r="T733" s="2372"/>
      <c r="U733" s="2372"/>
      <c r="V733" s="2372"/>
      <c r="W733" s="2372"/>
      <c r="X733" s="2372"/>
      <c r="Y733" s="2372"/>
      <c r="Z733" s="2372"/>
      <c r="AA733" s="2372"/>
      <c r="AB733" s="2372"/>
      <c r="AC733" s="2372"/>
      <c r="AD733" s="2372"/>
      <c r="AE733" s="2372"/>
      <c r="AF733" s="2372"/>
      <c r="AG733" s="2372"/>
      <c r="AH733" s="2372"/>
      <c r="AI733" s="2372"/>
      <c r="AJ733" s="2372"/>
      <c r="AK733" s="2372"/>
      <c r="AL733" s="2372"/>
      <c r="AM733" s="2372"/>
      <c r="AN733" s="2372"/>
      <c r="AO733" s="2372"/>
      <c r="AP733" s="2372"/>
      <c r="AQ733" s="2372"/>
      <c r="AR733" s="2372"/>
      <c r="AS733" s="2372"/>
      <c r="AT733" s="2372"/>
      <c r="AU733" s="2372"/>
      <c r="AV733" s="2372"/>
      <c r="AW733" s="2372"/>
      <c r="AX733" s="2372"/>
      <c r="AY733" s="2372"/>
      <c r="AZ733" s="2372"/>
      <c r="BA733" s="2372"/>
      <c r="BB733" s="2372"/>
      <c r="BC733" s="2372"/>
      <c r="BD733" s="2372"/>
      <c r="BE733" s="2372"/>
      <c r="BF733" s="2372"/>
      <c r="BG733" s="2372"/>
      <c r="BH733" s="2372"/>
      <c r="BI733" s="2372"/>
      <c r="BJ733" s="2372"/>
      <c r="BK733" s="2372"/>
      <c r="BL733" s="2372"/>
      <c r="BM733" s="2372"/>
      <c r="BN733" s="2372"/>
      <c r="BO733" s="2372"/>
      <c r="BP733" s="2372"/>
      <c r="BQ733" s="2372"/>
      <c r="BR733" s="2372"/>
      <c r="BS733" s="2372"/>
      <c r="BT733" s="2372"/>
      <c r="BU733" s="2372"/>
      <c r="BV733" s="2372"/>
      <c r="BW733" s="2372"/>
      <c r="BX733" s="2372"/>
      <c r="BY733" s="2372"/>
      <c r="BZ733" s="2372"/>
      <c r="CA733" s="2372"/>
      <c r="CB733" s="2372"/>
      <c r="CC733" s="2372"/>
      <c r="CD733" s="2372"/>
      <c r="CE733" s="2372"/>
      <c r="CF733" s="2372"/>
      <c r="CG733" s="2372"/>
      <c r="CH733" s="2372"/>
      <c r="CI733" s="2372"/>
      <c r="CJ733" s="2372"/>
      <c r="CK733" s="2372"/>
      <c r="CL733" s="2372"/>
      <c r="CM733" s="2372"/>
      <c r="CN733" s="2372"/>
      <c r="CO733" s="2372"/>
      <c r="CP733" s="2372"/>
      <c r="CQ733" s="2372"/>
      <c r="CR733" s="2372"/>
      <c r="CS733" s="2372"/>
      <c r="CT733" s="2372"/>
      <c r="CU733" s="2372"/>
      <c r="CV733" s="2372"/>
      <c r="CW733" s="2372"/>
      <c r="CX733" s="2372"/>
      <c r="CY733" s="2372"/>
      <c r="CZ733" s="2372"/>
      <c r="DA733" s="2372"/>
    </row>
    <row r="734" spans="1:105" ht="15" hidden="1" customHeight="1">
      <c r="A734" s="2372"/>
      <c r="B734" s="2372"/>
      <c r="C734" s="2372"/>
      <c r="D734" s="2372"/>
      <c r="E734" s="2372"/>
      <c r="F734" s="2372"/>
      <c r="G734" s="2372"/>
      <c r="H734" s="2372"/>
      <c r="I734" s="2372"/>
      <c r="J734" s="2372"/>
      <c r="K734" s="2372"/>
      <c r="L734" s="2372"/>
      <c r="M734" s="2372"/>
      <c r="N734" s="2372"/>
      <c r="O734" s="2372"/>
      <c r="P734" s="2372"/>
      <c r="Q734" s="2372"/>
      <c r="R734" s="2372"/>
      <c r="S734" s="2372"/>
      <c r="T734" s="2372"/>
      <c r="U734" s="2372"/>
      <c r="V734" s="2372"/>
      <c r="W734" s="2372"/>
      <c r="X734" s="2372"/>
      <c r="Y734" s="2372"/>
      <c r="Z734" s="2372"/>
      <c r="AA734" s="2372"/>
      <c r="AB734" s="2372"/>
      <c r="AC734" s="2372"/>
      <c r="AD734" s="2372"/>
      <c r="AE734" s="2372"/>
      <c r="AF734" s="2372"/>
      <c r="AG734" s="2372"/>
      <c r="AH734" s="2372"/>
      <c r="AI734" s="2372"/>
      <c r="AJ734" s="2372"/>
      <c r="AK734" s="2372"/>
      <c r="AL734" s="2372"/>
      <c r="AM734" s="2372"/>
      <c r="AN734" s="2372"/>
      <c r="AO734" s="2372"/>
      <c r="AP734" s="2372"/>
      <c r="AQ734" s="2372"/>
      <c r="AR734" s="2372"/>
      <c r="AS734" s="2372"/>
      <c r="AT734" s="2372"/>
      <c r="AU734" s="2372"/>
      <c r="AV734" s="2372"/>
      <c r="AW734" s="2372"/>
      <c r="AX734" s="2372"/>
      <c r="AY734" s="2372"/>
      <c r="AZ734" s="2372"/>
      <c r="BA734" s="2372"/>
      <c r="BB734" s="2372"/>
      <c r="BC734" s="2372"/>
      <c r="BD734" s="2372"/>
      <c r="BE734" s="2372"/>
      <c r="BF734" s="2372"/>
      <c r="BG734" s="2372"/>
      <c r="BH734" s="2372"/>
      <c r="BI734" s="2372"/>
      <c r="BJ734" s="2372"/>
      <c r="BK734" s="2372"/>
      <c r="BL734" s="2372"/>
      <c r="BM734" s="2372"/>
      <c r="BN734" s="2372"/>
      <c r="BO734" s="2372"/>
      <c r="BP734" s="2372"/>
      <c r="BQ734" s="2372"/>
      <c r="BR734" s="2372"/>
      <c r="BS734" s="2372"/>
      <c r="BT734" s="2372"/>
      <c r="BU734" s="2372"/>
      <c r="BV734" s="2372"/>
      <c r="BW734" s="2372"/>
      <c r="BX734" s="2372"/>
      <c r="BY734" s="2372"/>
      <c r="BZ734" s="2372"/>
      <c r="CA734" s="2372"/>
      <c r="CB734" s="2372"/>
      <c r="CC734" s="2372"/>
      <c r="CD734" s="2372"/>
      <c r="CE734" s="2372"/>
      <c r="CF734" s="2372"/>
      <c r="CG734" s="2372"/>
      <c r="CH734" s="2372"/>
      <c r="CI734" s="2372"/>
      <c r="CJ734" s="2372"/>
      <c r="CK734" s="2372"/>
      <c r="CL734" s="2372"/>
      <c r="CM734" s="2372"/>
      <c r="CN734" s="2372"/>
      <c r="CO734" s="2372"/>
      <c r="CP734" s="2372"/>
      <c r="CQ734" s="2372"/>
      <c r="CR734" s="2372"/>
      <c r="CS734" s="2372"/>
      <c r="CT734" s="2372"/>
      <c r="CU734" s="2372"/>
      <c r="CV734" s="2372"/>
      <c r="CW734" s="2372"/>
      <c r="CX734" s="2372"/>
      <c r="CY734" s="2372"/>
      <c r="CZ734" s="2372"/>
      <c r="DA734" s="2372"/>
    </row>
    <row r="735" spans="1:105" ht="15" hidden="1" customHeight="1">
      <c r="A735" s="2372"/>
      <c r="B735" s="2372"/>
      <c r="C735" s="2372"/>
      <c r="D735" s="2372"/>
      <c r="E735" s="2372"/>
      <c r="F735" s="2372"/>
      <c r="G735" s="2372"/>
      <c r="H735" s="2372"/>
      <c r="I735" s="2372"/>
      <c r="J735" s="2372"/>
      <c r="K735" s="2372"/>
      <c r="L735" s="2372"/>
      <c r="M735" s="2372"/>
      <c r="N735" s="2372"/>
      <c r="O735" s="2372"/>
      <c r="P735" s="2372"/>
      <c r="Q735" s="2372"/>
      <c r="R735" s="2372"/>
      <c r="S735" s="2372"/>
      <c r="T735" s="2372"/>
      <c r="U735" s="2372"/>
      <c r="V735" s="2372"/>
      <c r="W735" s="2372"/>
      <c r="X735" s="2372"/>
      <c r="Y735" s="2372"/>
      <c r="Z735" s="2372"/>
      <c r="AA735" s="2372"/>
      <c r="AB735" s="2372"/>
      <c r="AC735" s="2372"/>
      <c r="AD735" s="2372"/>
      <c r="AE735" s="2372"/>
      <c r="AF735" s="2372"/>
      <c r="AG735" s="2372"/>
      <c r="AH735" s="2372"/>
      <c r="AI735" s="2372"/>
      <c r="AJ735" s="2372"/>
      <c r="AK735" s="2372"/>
      <c r="AL735" s="2372"/>
      <c r="AM735" s="2372"/>
      <c r="AN735" s="2372"/>
      <c r="AO735" s="2372"/>
      <c r="AP735" s="2372"/>
      <c r="AQ735" s="2372"/>
      <c r="AR735" s="2372"/>
      <c r="AS735" s="2372"/>
      <c r="AT735" s="2372"/>
      <c r="AU735" s="2372"/>
      <c r="AV735" s="2372"/>
      <c r="AW735" s="2372"/>
      <c r="AX735" s="2372"/>
      <c r="AY735" s="2372"/>
      <c r="AZ735" s="2372"/>
      <c r="BA735" s="2372"/>
      <c r="BB735" s="2372"/>
      <c r="BC735" s="2372"/>
      <c r="BD735" s="2372"/>
      <c r="BE735" s="2372"/>
      <c r="BF735" s="2372"/>
      <c r="BG735" s="2372"/>
      <c r="BH735" s="2372"/>
      <c r="BI735" s="2372"/>
      <c r="BJ735" s="2372"/>
      <c r="BK735" s="2372"/>
      <c r="BL735" s="2372"/>
      <c r="BM735" s="2372"/>
      <c r="BN735" s="2372"/>
      <c r="BO735" s="2372"/>
      <c r="BP735" s="2372"/>
      <c r="BQ735" s="2372"/>
      <c r="BR735" s="2372"/>
      <c r="BS735" s="2372"/>
      <c r="BT735" s="2372"/>
      <c r="BU735" s="2372"/>
      <c r="BV735" s="2372"/>
      <c r="BW735" s="2372"/>
      <c r="BX735" s="2372"/>
      <c r="BY735" s="2372"/>
      <c r="BZ735" s="2372"/>
      <c r="CA735" s="2372"/>
      <c r="CB735" s="2372"/>
      <c r="CC735" s="2372"/>
      <c r="CD735" s="2372"/>
      <c r="CE735" s="2372"/>
      <c r="CF735" s="2372"/>
      <c r="CG735" s="2372"/>
      <c r="CH735" s="2372"/>
      <c r="CI735" s="2372"/>
      <c r="CJ735" s="2372"/>
      <c r="CK735" s="2372"/>
      <c r="CL735" s="2372"/>
      <c r="CM735" s="2372"/>
      <c r="CN735" s="2372"/>
      <c r="CO735" s="2372"/>
      <c r="CP735" s="2372"/>
      <c r="CQ735" s="2372"/>
      <c r="CR735" s="2372"/>
      <c r="CS735" s="2372"/>
      <c r="CT735" s="2372"/>
      <c r="CU735" s="2372"/>
      <c r="CV735" s="2372"/>
      <c r="CW735" s="2372"/>
      <c r="CX735" s="2372"/>
      <c r="CY735" s="2372"/>
      <c r="CZ735" s="2372"/>
      <c r="DA735" s="2372"/>
    </row>
    <row r="736" spans="1:105" ht="15" hidden="1" customHeight="1">
      <c r="A736" s="2372"/>
      <c r="B736" s="2372"/>
      <c r="C736" s="2372"/>
      <c r="D736" s="2372"/>
      <c r="E736" s="2372"/>
      <c r="F736" s="2372"/>
      <c r="G736" s="2372"/>
      <c r="H736" s="2372"/>
      <c r="I736" s="2372"/>
      <c r="J736" s="2372"/>
      <c r="K736" s="2372"/>
      <c r="L736" s="2372"/>
      <c r="M736" s="2372"/>
      <c r="N736" s="2372"/>
      <c r="O736" s="2372"/>
      <c r="P736" s="2372"/>
      <c r="Q736" s="2372"/>
      <c r="R736" s="2372"/>
      <c r="S736" s="2372"/>
      <c r="T736" s="2372"/>
      <c r="U736" s="2372"/>
      <c r="V736" s="2372"/>
      <c r="W736" s="2372"/>
      <c r="X736" s="2372"/>
      <c r="Y736" s="2372"/>
      <c r="Z736" s="2372"/>
      <c r="AA736" s="2372"/>
      <c r="AB736" s="2372"/>
      <c r="AC736" s="2372"/>
      <c r="AD736" s="2372"/>
      <c r="AE736" s="2372"/>
      <c r="AF736" s="2372"/>
      <c r="AG736" s="2372"/>
      <c r="AH736" s="2372"/>
      <c r="AI736" s="2372"/>
      <c r="AJ736" s="2372"/>
      <c r="AK736" s="2372"/>
      <c r="AL736" s="2372"/>
      <c r="AM736" s="2372"/>
      <c r="AN736" s="2372"/>
      <c r="AO736" s="2372"/>
      <c r="AP736" s="2372"/>
      <c r="AQ736" s="2372"/>
      <c r="AR736" s="2372"/>
      <c r="AS736" s="2372"/>
      <c r="AT736" s="2372"/>
      <c r="AU736" s="2372"/>
      <c r="AV736" s="2372"/>
      <c r="AW736" s="2372"/>
      <c r="AX736" s="2372"/>
      <c r="AY736" s="2372"/>
      <c r="AZ736" s="2372"/>
      <c r="BA736" s="2372"/>
      <c r="BB736" s="2372"/>
      <c r="BC736" s="2372"/>
      <c r="BD736" s="2372"/>
      <c r="BE736" s="2372"/>
      <c r="BF736" s="2372"/>
      <c r="BG736" s="2372"/>
      <c r="BH736" s="2372"/>
      <c r="BI736" s="2372"/>
      <c r="BJ736" s="2372"/>
      <c r="BK736" s="2372"/>
      <c r="BL736" s="2372"/>
      <c r="BM736" s="2372"/>
      <c r="BN736" s="2372"/>
      <c r="BO736" s="2372"/>
      <c r="BP736" s="2372"/>
      <c r="BQ736" s="2372"/>
      <c r="BR736" s="2372"/>
      <c r="BS736" s="2372"/>
      <c r="BT736" s="2372"/>
      <c r="BU736" s="2372"/>
      <c r="BV736" s="2372"/>
      <c r="BW736" s="2372"/>
      <c r="BX736" s="2372"/>
      <c r="BY736" s="2372"/>
      <c r="BZ736" s="2372"/>
      <c r="CA736" s="2372"/>
      <c r="CB736" s="2372"/>
      <c r="CC736" s="2372"/>
      <c r="CD736" s="2372"/>
      <c r="CE736" s="2372"/>
      <c r="CF736" s="2372"/>
      <c r="CG736" s="2372"/>
      <c r="CH736" s="2372"/>
      <c r="CI736" s="2372"/>
      <c r="CJ736" s="2372"/>
      <c r="CK736" s="2372"/>
      <c r="CL736" s="2372"/>
      <c r="CM736" s="2372"/>
      <c r="CN736" s="2372"/>
      <c r="CO736" s="2372"/>
      <c r="CP736" s="2372"/>
      <c r="CQ736" s="2372"/>
      <c r="CR736" s="2372"/>
      <c r="CS736" s="2372"/>
      <c r="CT736" s="2372"/>
      <c r="CU736" s="2372"/>
      <c r="CV736" s="2372"/>
      <c r="CW736" s="2372"/>
      <c r="CX736" s="2372"/>
      <c r="CY736" s="2372"/>
      <c r="CZ736" s="2372"/>
      <c r="DA736" s="2372"/>
    </row>
    <row r="737" spans="1:105" ht="15" hidden="1" customHeight="1">
      <c r="A737" s="2372"/>
      <c r="B737" s="2372"/>
      <c r="C737" s="2372"/>
      <c r="D737" s="2372"/>
      <c r="E737" s="2372"/>
      <c r="F737" s="2372"/>
      <c r="G737" s="2372"/>
      <c r="H737" s="2372"/>
      <c r="I737" s="2372"/>
      <c r="J737" s="2372"/>
      <c r="K737" s="2372"/>
      <c r="L737" s="2372"/>
      <c r="M737" s="2372"/>
      <c r="N737" s="2372"/>
      <c r="O737" s="2372"/>
      <c r="P737" s="2372"/>
      <c r="Q737" s="2372"/>
      <c r="R737" s="2372"/>
      <c r="S737" s="2372"/>
      <c r="T737" s="2372"/>
      <c r="U737" s="2372"/>
      <c r="V737" s="2372"/>
      <c r="W737" s="2372"/>
      <c r="X737" s="2372"/>
      <c r="Y737" s="2372"/>
      <c r="Z737" s="2372"/>
      <c r="AA737" s="2372"/>
      <c r="AB737" s="2372"/>
      <c r="AC737" s="2372"/>
      <c r="AD737" s="2372"/>
      <c r="AE737" s="2372"/>
      <c r="AF737" s="2372"/>
      <c r="AG737" s="2372"/>
      <c r="AH737" s="2372"/>
      <c r="AI737" s="2372"/>
      <c r="AJ737" s="2372"/>
      <c r="AK737" s="2372"/>
      <c r="AL737" s="2372"/>
      <c r="AM737" s="2372"/>
      <c r="AN737" s="2372"/>
      <c r="AO737" s="2372"/>
      <c r="AP737" s="2372"/>
      <c r="AQ737" s="2372"/>
      <c r="AR737" s="2372"/>
      <c r="AS737" s="2372"/>
      <c r="AT737" s="2372"/>
      <c r="AU737" s="2372"/>
      <c r="AV737" s="2372"/>
      <c r="AW737" s="2372"/>
      <c r="AX737" s="2372"/>
      <c r="AY737" s="2372"/>
      <c r="AZ737" s="2372"/>
      <c r="BA737" s="2372"/>
      <c r="BB737" s="2372"/>
      <c r="BC737" s="2372"/>
      <c r="BD737" s="2372"/>
      <c r="BE737" s="2372"/>
      <c r="BF737" s="2372"/>
      <c r="BG737" s="2372"/>
      <c r="BH737" s="2372"/>
      <c r="BI737" s="2372"/>
      <c r="BJ737" s="2372"/>
      <c r="BK737" s="2372"/>
      <c r="BL737" s="2372"/>
      <c r="BM737" s="2372"/>
      <c r="BN737" s="2372"/>
      <c r="BO737" s="2372"/>
      <c r="BP737" s="2372"/>
      <c r="BQ737" s="2372"/>
      <c r="BR737" s="2372"/>
      <c r="BS737" s="2372"/>
      <c r="BT737" s="2372"/>
      <c r="BU737" s="2372"/>
      <c r="BV737" s="2372"/>
      <c r="BW737" s="2372"/>
      <c r="BX737" s="2372"/>
      <c r="BY737" s="2372"/>
      <c r="BZ737" s="2372"/>
      <c r="CA737" s="2372"/>
      <c r="CB737" s="2372"/>
      <c r="CC737" s="2372"/>
      <c r="CD737" s="2372"/>
      <c r="CE737" s="2372"/>
      <c r="CF737" s="2372"/>
      <c r="CG737" s="2372"/>
      <c r="CH737" s="2372"/>
      <c r="CI737" s="2372"/>
      <c r="CJ737" s="2372"/>
      <c r="CK737" s="2372"/>
      <c r="CL737" s="2372"/>
      <c r="CM737" s="2372"/>
      <c r="CN737" s="2372"/>
      <c r="CO737" s="2372"/>
      <c r="CP737" s="2372"/>
      <c r="CQ737" s="2372"/>
      <c r="CR737" s="2372"/>
      <c r="CS737" s="2372"/>
      <c r="CT737" s="2372"/>
      <c r="CU737" s="2372"/>
      <c r="CV737" s="2372"/>
      <c r="CW737" s="2372"/>
      <c r="CX737" s="2372"/>
      <c r="CY737" s="2372"/>
      <c r="CZ737" s="2372"/>
      <c r="DA737" s="2372"/>
    </row>
    <row r="738" spans="1:105" ht="15" hidden="1" customHeight="1">
      <c r="A738" s="2372"/>
      <c r="B738" s="2372"/>
      <c r="C738" s="2372"/>
      <c r="D738" s="2372"/>
      <c r="E738" s="2372"/>
      <c r="F738" s="2372"/>
      <c r="G738" s="2372"/>
      <c r="H738" s="2372"/>
      <c r="I738" s="2372"/>
      <c r="J738" s="2372"/>
      <c r="K738" s="2372"/>
      <c r="L738" s="2372"/>
      <c r="M738" s="2372"/>
      <c r="N738" s="2372"/>
      <c r="O738" s="2372"/>
      <c r="P738" s="2372"/>
      <c r="Q738" s="2372"/>
      <c r="R738" s="2372"/>
      <c r="S738" s="2372"/>
      <c r="T738" s="2372"/>
      <c r="U738" s="2372"/>
      <c r="V738" s="2372"/>
      <c r="W738" s="2372"/>
      <c r="X738" s="2372"/>
      <c r="Y738" s="2372"/>
      <c r="Z738" s="2372"/>
      <c r="AA738" s="2372"/>
      <c r="AB738" s="2372"/>
      <c r="AC738" s="2372"/>
      <c r="AD738" s="2372"/>
      <c r="AE738" s="2372"/>
      <c r="AF738" s="2372"/>
      <c r="AG738" s="2372"/>
      <c r="AH738" s="2372"/>
      <c r="AI738" s="2372"/>
      <c r="AJ738" s="2372"/>
      <c r="AK738" s="2372"/>
      <c r="AL738" s="2372"/>
      <c r="AM738" s="2372"/>
      <c r="AN738" s="2372"/>
      <c r="AO738" s="2372"/>
      <c r="AP738" s="2372"/>
      <c r="AQ738" s="2372"/>
      <c r="AR738" s="2372"/>
      <c r="AS738" s="2372"/>
      <c r="AT738" s="2372"/>
      <c r="AU738" s="2372"/>
      <c r="AV738" s="2372"/>
      <c r="AW738" s="2372"/>
      <c r="AX738" s="2372"/>
      <c r="AY738" s="2372"/>
      <c r="AZ738" s="2372"/>
      <c r="BA738" s="2372"/>
      <c r="BB738" s="2372"/>
      <c r="BC738" s="2372"/>
      <c r="BD738" s="2372"/>
      <c r="BE738" s="2372"/>
      <c r="BF738" s="2372"/>
      <c r="BG738" s="2372"/>
      <c r="BH738" s="2372"/>
      <c r="BI738" s="2372"/>
      <c r="BJ738" s="2372"/>
      <c r="BK738" s="2372"/>
      <c r="BL738" s="2372"/>
      <c r="BM738" s="2372"/>
      <c r="BN738" s="2372"/>
      <c r="BO738" s="2372"/>
      <c r="BP738" s="2372"/>
      <c r="BQ738" s="2372"/>
      <c r="BR738" s="2372"/>
      <c r="BS738" s="2372"/>
      <c r="BT738" s="2372"/>
      <c r="BU738" s="2372"/>
      <c r="BV738" s="2372"/>
      <c r="BW738" s="2372"/>
      <c r="BX738" s="2372"/>
      <c r="BY738" s="2372"/>
      <c r="BZ738" s="2372"/>
      <c r="CA738" s="2372"/>
      <c r="CB738" s="2372"/>
      <c r="CC738" s="2372"/>
      <c r="CD738" s="2372"/>
      <c r="CE738" s="2372"/>
      <c r="CF738" s="2372"/>
      <c r="CG738" s="2372"/>
      <c r="CH738" s="2372"/>
      <c r="CI738" s="2372"/>
      <c r="CJ738" s="2372"/>
      <c r="CK738" s="2372"/>
      <c r="CL738" s="2372"/>
      <c r="CM738" s="2372"/>
      <c r="CN738" s="2372"/>
      <c r="CO738" s="2372"/>
      <c r="CP738" s="2372"/>
      <c r="CQ738" s="2372"/>
      <c r="CR738" s="2372"/>
      <c r="CS738" s="2372"/>
      <c r="CT738" s="2372"/>
      <c r="CU738" s="2372"/>
      <c r="CV738" s="2372"/>
      <c r="CW738" s="2372"/>
      <c r="CX738" s="2372"/>
      <c r="CY738" s="2372"/>
      <c r="CZ738" s="2372"/>
      <c r="DA738" s="2372"/>
    </row>
    <row r="739" spans="1:105" ht="15" hidden="1" customHeight="1">
      <c r="A739" s="2372"/>
      <c r="B739" s="2372"/>
      <c r="C739" s="2372"/>
      <c r="D739" s="2372"/>
      <c r="E739" s="2372"/>
      <c r="F739" s="2372"/>
      <c r="G739" s="2372"/>
      <c r="H739" s="2372"/>
      <c r="I739" s="2372"/>
      <c r="J739" s="2372"/>
      <c r="K739" s="2372"/>
      <c r="L739" s="2372"/>
      <c r="M739" s="2372"/>
      <c r="N739" s="2372"/>
      <c r="O739" s="2372"/>
      <c r="P739" s="2372"/>
      <c r="Q739" s="2372"/>
      <c r="R739" s="2372"/>
      <c r="S739" s="2372"/>
      <c r="T739" s="2372"/>
      <c r="U739" s="2372"/>
      <c r="V739" s="2372"/>
      <c r="W739" s="2372"/>
      <c r="X739" s="2372"/>
      <c r="Y739" s="2372"/>
      <c r="Z739" s="2372"/>
      <c r="AA739" s="2372"/>
      <c r="AB739" s="2372"/>
      <c r="AC739" s="2372"/>
      <c r="AD739" s="2372"/>
      <c r="AE739" s="2372"/>
      <c r="AF739" s="2372"/>
      <c r="AG739" s="2372"/>
      <c r="AH739" s="2372"/>
      <c r="AI739" s="2372"/>
      <c r="AJ739" s="2372"/>
      <c r="AK739" s="2372"/>
      <c r="AL739" s="2372"/>
      <c r="AM739" s="2372"/>
      <c r="AN739" s="2372"/>
      <c r="AO739" s="2372"/>
      <c r="AP739" s="2372"/>
      <c r="AQ739" s="2372"/>
      <c r="AR739" s="2372"/>
      <c r="AS739" s="2372"/>
      <c r="AT739" s="2372"/>
      <c r="AU739" s="2372"/>
      <c r="AV739" s="2372"/>
      <c r="AW739" s="2372"/>
      <c r="AX739" s="2372"/>
      <c r="AY739" s="2372"/>
      <c r="AZ739" s="2372"/>
      <c r="BA739" s="2372"/>
      <c r="BB739" s="2372"/>
      <c r="BC739" s="2372"/>
      <c r="BD739" s="2372"/>
      <c r="BE739" s="2372"/>
      <c r="BF739" s="2372"/>
      <c r="BG739" s="2372"/>
      <c r="BH739" s="2372"/>
      <c r="BI739" s="2372"/>
      <c r="BJ739" s="2372"/>
      <c r="BK739" s="2372"/>
      <c r="BL739" s="2372"/>
      <c r="BM739" s="2372"/>
      <c r="BN739" s="2372"/>
      <c r="BO739" s="2372"/>
      <c r="BP739" s="2372"/>
      <c r="BQ739" s="2372"/>
      <c r="BR739" s="2372"/>
      <c r="BS739" s="2372"/>
      <c r="BT739" s="2372"/>
      <c r="BU739" s="2372"/>
      <c r="BV739" s="2372"/>
      <c r="BW739" s="2372"/>
      <c r="BX739" s="2372"/>
      <c r="BY739" s="2372"/>
      <c r="BZ739" s="2372"/>
      <c r="CA739" s="2372"/>
      <c r="CB739" s="2372"/>
      <c r="CC739" s="2372"/>
      <c r="CD739" s="2372"/>
      <c r="CE739" s="2372"/>
      <c r="CF739" s="2372"/>
      <c r="CG739" s="2372"/>
      <c r="CH739" s="2372"/>
      <c r="CI739" s="2372"/>
      <c r="CJ739" s="2372"/>
      <c r="CK739" s="2372"/>
      <c r="CL739" s="2372"/>
      <c r="CM739" s="2372"/>
      <c r="CN739" s="2372"/>
      <c r="CO739" s="2372"/>
      <c r="CP739" s="2372"/>
      <c r="CQ739" s="2372"/>
      <c r="CR739" s="2372"/>
      <c r="CS739" s="2372"/>
      <c r="CT739" s="2372"/>
      <c r="CU739" s="2372"/>
      <c r="CV739" s="2372"/>
      <c r="CW739" s="2372"/>
      <c r="CX739" s="2372"/>
      <c r="CY739" s="2372"/>
      <c r="CZ739" s="2372"/>
      <c r="DA739" s="2372"/>
    </row>
    <row r="740" spans="1:105" ht="15" hidden="1" customHeight="1">
      <c r="A740" s="2372"/>
      <c r="B740" s="2372"/>
      <c r="C740" s="2372"/>
      <c r="D740" s="2372"/>
      <c r="E740" s="2372"/>
      <c r="F740" s="2372"/>
      <c r="G740" s="2372"/>
      <c r="H740" s="2372"/>
      <c r="I740" s="2372"/>
      <c r="J740" s="2372"/>
      <c r="K740" s="2372"/>
      <c r="L740" s="2372"/>
      <c r="M740" s="2372"/>
      <c r="N740" s="2372"/>
      <c r="O740" s="2372"/>
      <c r="P740" s="2372"/>
      <c r="Q740" s="2372"/>
      <c r="R740" s="2372"/>
      <c r="S740" s="2372"/>
      <c r="T740" s="2372"/>
      <c r="U740" s="2372"/>
      <c r="V740" s="2372"/>
      <c r="W740" s="2372"/>
      <c r="X740" s="2372"/>
      <c r="Y740" s="2372"/>
      <c r="Z740" s="2372"/>
      <c r="AA740" s="2372"/>
      <c r="AB740" s="2372"/>
      <c r="AC740" s="2372"/>
      <c r="AD740" s="2372"/>
      <c r="AE740" s="2372"/>
      <c r="AF740" s="2372"/>
      <c r="AG740" s="2372"/>
      <c r="AH740" s="2372"/>
      <c r="AI740" s="2372"/>
      <c r="AJ740" s="2372"/>
      <c r="AK740" s="2372"/>
      <c r="AL740" s="2372"/>
      <c r="AM740" s="2372"/>
      <c r="AN740" s="2372"/>
      <c r="AO740" s="2372"/>
      <c r="AP740" s="2372"/>
      <c r="AQ740" s="2372"/>
      <c r="AR740" s="2372"/>
      <c r="AS740" s="2372"/>
      <c r="AT740" s="2372"/>
      <c r="AU740" s="2372"/>
      <c r="AV740" s="2372"/>
      <c r="AW740" s="2372"/>
      <c r="AX740" s="2372"/>
      <c r="AY740" s="2372"/>
      <c r="AZ740" s="2372"/>
      <c r="BA740" s="2372"/>
      <c r="BB740" s="2372"/>
      <c r="BC740" s="2372"/>
      <c r="BD740" s="2372"/>
      <c r="BE740" s="2372"/>
      <c r="BF740" s="2372"/>
      <c r="BG740" s="2372"/>
      <c r="BH740" s="2372"/>
      <c r="BI740" s="2372"/>
      <c r="BJ740" s="2372"/>
      <c r="BK740" s="2372"/>
      <c r="BL740" s="2372"/>
      <c r="BM740" s="2372"/>
      <c r="BN740" s="2372"/>
      <c r="BO740" s="2372"/>
      <c r="BP740" s="2372"/>
      <c r="BQ740" s="2372"/>
      <c r="BR740" s="2372"/>
      <c r="BS740" s="2372"/>
      <c r="BT740" s="2372"/>
      <c r="BU740" s="2372"/>
      <c r="BV740" s="2372"/>
      <c r="BW740" s="2372"/>
      <c r="BX740" s="2372"/>
      <c r="BY740" s="2372"/>
      <c r="BZ740" s="2372"/>
      <c r="CA740" s="2372"/>
      <c r="CB740" s="2372"/>
      <c r="CC740" s="2372"/>
      <c r="CD740" s="2372"/>
      <c r="CE740" s="2372"/>
      <c r="CF740" s="2372"/>
      <c r="CG740" s="2372"/>
      <c r="CH740" s="2372"/>
      <c r="CI740" s="2372"/>
      <c r="CJ740" s="2372"/>
      <c r="CK740" s="2372"/>
      <c r="CL740" s="2372"/>
      <c r="CM740" s="2372"/>
      <c r="CN740" s="2372"/>
      <c r="CO740" s="2372"/>
      <c r="CP740" s="2372"/>
      <c r="CQ740" s="2372"/>
      <c r="CR740" s="2372"/>
      <c r="CS740" s="2372"/>
      <c r="CT740" s="2372"/>
      <c r="CU740" s="2372"/>
      <c r="CV740" s="2372"/>
      <c r="CW740" s="2372"/>
      <c r="CX740" s="2372"/>
      <c r="CY740" s="2372"/>
      <c r="CZ740" s="2372"/>
      <c r="DA740" s="2372"/>
    </row>
    <row r="741" spans="1:105" ht="15" hidden="1" customHeight="1">
      <c r="A741" s="2372"/>
      <c r="B741" s="2372"/>
      <c r="C741" s="2372"/>
      <c r="D741" s="2372"/>
      <c r="E741" s="2372"/>
      <c r="F741" s="2372"/>
      <c r="G741" s="2372"/>
      <c r="H741" s="2372"/>
      <c r="I741" s="2372"/>
      <c r="J741" s="2372"/>
      <c r="K741" s="2372"/>
      <c r="L741" s="2372"/>
      <c r="M741" s="2372"/>
      <c r="N741" s="2372"/>
      <c r="O741" s="2372"/>
      <c r="P741" s="2372"/>
      <c r="Q741" s="2372"/>
      <c r="R741" s="2372"/>
      <c r="S741" s="2372"/>
      <c r="T741" s="2372"/>
      <c r="U741" s="2372"/>
      <c r="V741" s="2372"/>
      <c r="W741" s="2372"/>
      <c r="X741" s="2372"/>
      <c r="Y741" s="2372"/>
      <c r="Z741" s="2372"/>
      <c r="AA741" s="2372"/>
      <c r="AB741" s="2372"/>
      <c r="AC741" s="2372"/>
      <c r="AD741" s="2372"/>
      <c r="AE741" s="2372"/>
      <c r="AF741" s="2372"/>
      <c r="AG741" s="2372"/>
      <c r="AH741" s="2372"/>
      <c r="AI741" s="2372"/>
      <c r="AJ741" s="2372"/>
      <c r="AK741" s="2372"/>
      <c r="AL741" s="2372"/>
      <c r="AM741" s="2372"/>
      <c r="AN741" s="2372"/>
      <c r="AO741" s="2372"/>
      <c r="AP741" s="2372"/>
      <c r="AQ741" s="2372"/>
      <c r="AR741" s="2372"/>
      <c r="AS741" s="2372"/>
      <c r="AT741" s="2372"/>
      <c r="AU741" s="2372"/>
      <c r="AV741" s="2372"/>
      <c r="AW741" s="2372"/>
      <c r="AX741" s="2372"/>
      <c r="AY741" s="2372"/>
      <c r="AZ741" s="2372"/>
      <c r="BA741" s="2372"/>
      <c r="BB741" s="2372"/>
      <c r="BC741" s="2372"/>
      <c r="BD741" s="2372"/>
      <c r="BE741" s="2372"/>
      <c r="BF741" s="2372"/>
      <c r="BG741" s="2372"/>
      <c r="BH741" s="2372"/>
      <c r="BI741" s="2372"/>
      <c r="BJ741" s="2372"/>
      <c r="BK741" s="2372"/>
      <c r="BL741" s="2372"/>
      <c r="BM741" s="2372"/>
      <c r="BN741" s="2372"/>
      <c r="BO741" s="2372"/>
      <c r="BP741" s="2372"/>
      <c r="BQ741" s="2372"/>
      <c r="BR741" s="2372"/>
      <c r="BS741" s="2372"/>
      <c r="BT741" s="2372"/>
      <c r="BU741" s="2372"/>
      <c r="BV741" s="2372"/>
      <c r="BW741" s="2372"/>
      <c r="BX741" s="2372"/>
      <c r="BY741" s="2372"/>
      <c r="BZ741" s="2372"/>
      <c r="CA741" s="2372"/>
      <c r="CB741" s="2372"/>
      <c r="CC741" s="2372"/>
      <c r="CD741" s="2372"/>
      <c r="CE741" s="2372"/>
      <c r="CF741" s="2372"/>
      <c r="CG741" s="2372"/>
      <c r="CH741" s="2372"/>
      <c r="CI741" s="2372"/>
      <c r="CJ741" s="2372"/>
      <c r="CK741" s="2372"/>
      <c r="CL741" s="2372"/>
      <c r="CM741" s="2372"/>
      <c r="CN741" s="2372"/>
      <c r="CO741" s="2372"/>
      <c r="CP741" s="2372"/>
      <c r="CQ741" s="2372"/>
      <c r="CR741" s="2372"/>
      <c r="CS741" s="2372"/>
      <c r="CT741" s="2372"/>
      <c r="CU741" s="2372"/>
      <c r="CV741" s="2372"/>
      <c r="CW741" s="2372"/>
      <c r="CX741" s="2372"/>
      <c r="CY741" s="2372"/>
      <c r="CZ741" s="2372"/>
      <c r="DA741" s="2372"/>
    </row>
    <row r="742" spans="1:105" ht="15" hidden="1" customHeight="1">
      <c r="A742" s="2372"/>
      <c r="B742" s="2372"/>
      <c r="C742" s="2372"/>
      <c r="D742" s="2372"/>
      <c r="E742" s="2372"/>
      <c r="F742" s="2372"/>
      <c r="G742" s="2372"/>
      <c r="H742" s="2372"/>
      <c r="I742" s="2372"/>
      <c r="J742" s="2372"/>
      <c r="K742" s="2372"/>
      <c r="L742" s="2372"/>
      <c r="M742" s="2372"/>
      <c r="N742" s="2372"/>
      <c r="O742" s="2372"/>
      <c r="P742" s="2372"/>
      <c r="Q742" s="2372"/>
      <c r="R742" s="2372"/>
      <c r="S742" s="2372"/>
      <c r="T742" s="2372"/>
      <c r="U742" s="2372"/>
      <c r="V742" s="2372"/>
      <c r="W742" s="2372"/>
      <c r="X742" s="2372"/>
      <c r="Y742" s="2372"/>
      <c r="Z742" s="2372"/>
      <c r="AA742" s="2372"/>
      <c r="AB742" s="2372"/>
      <c r="AC742" s="2372"/>
      <c r="AD742" s="2372"/>
      <c r="AE742" s="2372"/>
      <c r="AF742" s="2372"/>
      <c r="AG742" s="2372"/>
      <c r="AH742" s="2372"/>
      <c r="AI742" s="2372"/>
      <c r="AJ742" s="2372"/>
      <c r="AK742" s="2372"/>
      <c r="AL742" s="2372"/>
      <c r="AM742" s="2372"/>
      <c r="AN742" s="2372"/>
      <c r="AO742" s="2372"/>
      <c r="AP742" s="2372"/>
      <c r="AQ742" s="2372"/>
      <c r="AR742" s="2372"/>
      <c r="AS742" s="2372"/>
      <c r="AT742" s="2372"/>
      <c r="AU742" s="2372"/>
      <c r="AV742" s="2372"/>
      <c r="AW742" s="2372"/>
      <c r="AX742" s="2372"/>
      <c r="AY742" s="2372"/>
      <c r="AZ742" s="2372"/>
      <c r="BA742" s="2372"/>
      <c r="BB742" s="2372"/>
      <c r="BC742" s="2372"/>
      <c r="BD742" s="2372"/>
      <c r="BE742" s="2372"/>
      <c r="BF742" s="2372"/>
      <c r="BG742" s="2372"/>
      <c r="BH742" s="2372"/>
      <c r="BI742" s="2372"/>
      <c r="BJ742" s="2372"/>
      <c r="BK742" s="2372"/>
      <c r="BL742" s="2372"/>
      <c r="BM742" s="2372"/>
      <c r="BN742" s="2372"/>
      <c r="BO742" s="2372"/>
      <c r="BP742" s="2372"/>
      <c r="BQ742" s="2372"/>
      <c r="BR742" s="2372"/>
      <c r="BS742" s="2372"/>
      <c r="BT742" s="2372"/>
      <c r="BU742" s="2372"/>
      <c r="BV742" s="2372"/>
      <c r="BW742" s="2372"/>
      <c r="BX742" s="2372"/>
      <c r="BY742" s="2372"/>
      <c r="BZ742" s="2372"/>
      <c r="CA742" s="2372"/>
      <c r="CB742" s="2372"/>
      <c r="CC742" s="2372"/>
      <c r="CD742" s="2372"/>
      <c r="CE742" s="2372"/>
      <c r="CF742" s="2372"/>
      <c r="CG742" s="2372"/>
      <c r="CH742" s="2372"/>
      <c r="CI742" s="2372"/>
      <c r="CJ742" s="2372"/>
      <c r="CK742" s="2372"/>
      <c r="CL742" s="2372"/>
      <c r="CM742" s="2372"/>
      <c r="CN742" s="2372"/>
      <c r="CO742" s="2372"/>
      <c r="CP742" s="2372"/>
      <c r="CQ742" s="2372"/>
      <c r="CR742" s="2372"/>
      <c r="CS742" s="2372"/>
      <c r="CT742" s="2372"/>
      <c r="CU742" s="2372"/>
      <c r="CV742" s="2372"/>
      <c r="CW742" s="2372"/>
      <c r="CX742" s="2372"/>
      <c r="CY742" s="2372"/>
      <c r="CZ742" s="2372"/>
      <c r="DA742" s="2372"/>
    </row>
    <row r="743" spans="1:105" ht="15" hidden="1" customHeight="1">
      <c r="A743" s="2372"/>
      <c r="B743" s="2372"/>
      <c r="C743" s="2372"/>
      <c r="D743" s="2372"/>
      <c r="E743" s="2372"/>
      <c r="F743" s="2372"/>
      <c r="G743" s="2372"/>
      <c r="H743" s="2372"/>
      <c r="I743" s="2372"/>
      <c r="J743" s="2372"/>
      <c r="K743" s="2372"/>
      <c r="L743" s="2372"/>
      <c r="M743" s="2372"/>
      <c r="N743" s="2372"/>
      <c r="O743" s="2372"/>
      <c r="P743" s="2372"/>
      <c r="Q743" s="2372"/>
      <c r="R743" s="2372"/>
      <c r="S743" s="2372"/>
      <c r="T743" s="2372"/>
      <c r="U743" s="2372"/>
      <c r="V743" s="2372"/>
      <c r="W743" s="2372"/>
      <c r="X743" s="2372"/>
      <c r="Y743" s="2372"/>
      <c r="Z743" s="2372"/>
      <c r="AA743" s="2372"/>
      <c r="AB743" s="2372"/>
      <c r="AC743" s="2372"/>
      <c r="AD743" s="2372"/>
      <c r="AE743" s="2372"/>
      <c r="AF743" s="2372"/>
      <c r="AG743" s="2372"/>
      <c r="AH743" s="2372"/>
      <c r="AI743" s="2372"/>
      <c r="AJ743" s="2372"/>
      <c r="AK743" s="2372"/>
      <c r="AL743" s="2372"/>
      <c r="AM743" s="2372"/>
      <c r="AN743" s="2372"/>
      <c r="AO743" s="2372"/>
      <c r="AP743" s="2372"/>
      <c r="AQ743" s="2372"/>
      <c r="AR743" s="2372"/>
      <c r="AS743" s="2372"/>
      <c r="AT743" s="2372"/>
      <c r="AU743" s="2372"/>
      <c r="AV743" s="2372"/>
      <c r="AW743" s="2372"/>
      <c r="AX743" s="2372"/>
      <c r="AY743" s="2372"/>
      <c r="AZ743" s="2372"/>
      <c r="BA743" s="2372"/>
      <c r="BB743" s="2372"/>
      <c r="BC743" s="2372"/>
      <c r="BD743" s="2372"/>
      <c r="BE743" s="2372"/>
      <c r="BF743" s="2372"/>
      <c r="BG743" s="2372"/>
      <c r="BH743" s="2372"/>
      <c r="BI743" s="2372"/>
      <c r="BJ743" s="2372"/>
      <c r="BK743" s="2372"/>
      <c r="BL743" s="2372"/>
      <c r="BM743" s="2372"/>
      <c r="BN743" s="2372"/>
      <c r="BO743" s="2372"/>
      <c r="BP743" s="2372"/>
      <c r="BQ743" s="2372"/>
      <c r="BR743" s="2372"/>
      <c r="BS743" s="2372"/>
      <c r="BT743" s="2372"/>
      <c r="BU743" s="2372"/>
      <c r="BV743" s="2372"/>
      <c r="BW743" s="2372"/>
      <c r="BX743" s="2372"/>
      <c r="BY743" s="2372"/>
      <c r="BZ743" s="2372"/>
      <c r="CA743" s="2372"/>
      <c r="CB743" s="2372"/>
      <c r="CC743" s="2372"/>
      <c r="CD743" s="2372"/>
      <c r="CE743" s="2372"/>
      <c r="CF743" s="2372"/>
      <c r="CG743" s="2372"/>
      <c r="CH743" s="2372"/>
      <c r="CI743" s="2372"/>
      <c r="CJ743" s="2372"/>
      <c r="CK743" s="2372"/>
      <c r="CL743" s="2372"/>
      <c r="CM743" s="2372"/>
      <c r="CN743" s="2372"/>
      <c r="CO743" s="2372"/>
      <c r="CP743" s="2372"/>
      <c r="CQ743" s="2372"/>
      <c r="CR743" s="2372"/>
      <c r="CS743" s="2372"/>
      <c r="CT743" s="2372"/>
      <c r="CU743" s="2372"/>
      <c r="CV743" s="2372"/>
      <c r="CW743" s="2372"/>
      <c r="CX743" s="2372"/>
      <c r="CY743" s="2372"/>
      <c r="CZ743" s="2372"/>
      <c r="DA743" s="2372"/>
    </row>
    <row r="744" spans="1:105" ht="15" hidden="1" customHeight="1">
      <c r="A744" s="2372"/>
      <c r="B744" s="2372"/>
      <c r="C744" s="2372"/>
      <c r="D744" s="2372"/>
      <c r="E744" s="2372"/>
      <c r="F744" s="2372"/>
      <c r="G744" s="2372"/>
      <c r="H744" s="2372"/>
      <c r="I744" s="2372"/>
      <c r="J744" s="2372"/>
      <c r="K744" s="2372"/>
      <c r="L744" s="2372"/>
      <c r="M744" s="2372"/>
      <c r="N744" s="2372"/>
      <c r="O744" s="2372"/>
      <c r="P744" s="2372"/>
      <c r="Q744" s="2372"/>
      <c r="R744" s="2372"/>
      <c r="S744" s="2372"/>
      <c r="T744" s="2372"/>
      <c r="U744" s="2372"/>
      <c r="V744" s="2372"/>
      <c r="W744" s="2372"/>
      <c r="X744" s="2372"/>
      <c r="Y744" s="2372"/>
      <c r="Z744" s="2372"/>
      <c r="AA744" s="2372"/>
      <c r="AB744" s="2372"/>
      <c r="AC744" s="2372"/>
      <c r="AD744" s="2372"/>
      <c r="AE744" s="2372"/>
      <c r="AF744" s="2372"/>
      <c r="AG744" s="2372"/>
      <c r="AH744" s="2372"/>
      <c r="AI744" s="2372"/>
      <c r="AJ744" s="2372"/>
      <c r="AK744" s="2372"/>
      <c r="AL744" s="2372"/>
      <c r="AM744" s="2372"/>
      <c r="AN744" s="2372"/>
      <c r="AO744" s="2372"/>
      <c r="AP744" s="2372"/>
      <c r="AQ744" s="2372"/>
      <c r="AR744" s="2372"/>
      <c r="AS744" s="2372"/>
      <c r="AT744" s="2372"/>
      <c r="AU744" s="2372"/>
      <c r="AV744" s="2372"/>
      <c r="AW744" s="2372"/>
      <c r="AX744" s="2372"/>
      <c r="AY744" s="2372"/>
      <c r="AZ744" s="2372"/>
      <c r="BA744" s="2372"/>
      <c r="BB744" s="2372"/>
      <c r="BC744" s="2372"/>
      <c r="BD744" s="2372"/>
      <c r="BE744" s="2372"/>
      <c r="BF744" s="2372"/>
      <c r="BG744" s="2372"/>
      <c r="BH744" s="2372"/>
      <c r="BI744" s="2372"/>
      <c r="BJ744" s="2372"/>
      <c r="BK744" s="2372"/>
      <c r="BL744" s="2372"/>
      <c r="BM744" s="2372"/>
      <c r="BN744" s="2372"/>
      <c r="BO744" s="2372"/>
      <c r="BP744" s="2372"/>
      <c r="BQ744" s="2372"/>
      <c r="BR744" s="2372"/>
      <c r="BS744" s="2372"/>
      <c r="BT744" s="2372"/>
      <c r="BU744" s="2372"/>
      <c r="BV744" s="2372"/>
      <c r="BW744" s="2372"/>
      <c r="BX744" s="2372"/>
      <c r="BY744" s="2372"/>
      <c r="BZ744" s="2372"/>
      <c r="CA744" s="2372"/>
      <c r="CB744" s="2372"/>
      <c r="CC744" s="2372"/>
      <c r="CD744" s="2372"/>
      <c r="CE744" s="2372"/>
      <c r="CF744" s="2372"/>
      <c r="CG744" s="2372"/>
      <c r="CH744" s="2372"/>
      <c r="CI744" s="2372"/>
      <c r="CJ744" s="2372"/>
      <c r="CK744" s="2372"/>
      <c r="CL744" s="2372"/>
      <c r="CM744" s="2372"/>
      <c r="CN744" s="2372"/>
      <c r="CO744" s="2372"/>
      <c r="CP744" s="2372"/>
      <c r="CQ744" s="2372"/>
      <c r="CR744" s="2372"/>
      <c r="CS744" s="2372"/>
      <c r="CT744" s="2372"/>
      <c r="CU744" s="2372"/>
      <c r="CV744" s="2372"/>
      <c r="CW744" s="2372"/>
      <c r="CX744" s="2372"/>
      <c r="CY744" s="2372"/>
      <c r="CZ744" s="2372"/>
      <c r="DA744" s="2372"/>
    </row>
    <row r="745" spans="1:105" ht="15" hidden="1" customHeight="1">
      <c r="A745" s="2372"/>
      <c r="B745" s="2372"/>
      <c r="C745" s="2372"/>
      <c r="D745" s="2372"/>
      <c r="E745" s="2372"/>
      <c r="F745" s="2372"/>
      <c r="G745" s="2372"/>
      <c r="H745" s="2372"/>
      <c r="I745" s="2372"/>
      <c r="J745" s="2372"/>
      <c r="K745" s="2372"/>
      <c r="L745" s="2372"/>
      <c r="M745" s="2372"/>
      <c r="N745" s="2372"/>
      <c r="O745" s="2372"/>
      <c r="P745" s="2372"/>
      <c r="Q745" s="2372"/>
      <c r="R745" s="2372"/>
      <c r="S745" s="2372"/>
      <c r="T745" s="2372"/>
      <c r="U745" s="2372"/>
      <c r="V745" s="2372"/>
      <c r="W745" s="2372"/>
      <c r="X745" s="2372"/>
      <c r="Y745" s="2372"/>
      <c r="Z745" s="2372"/>
      <c r="AA745" s="2372"/>
      <c r="AB745" s="2372"/>
      <c r="AC745" s="2372"/>
      <c r="AD745" s="2372"/>
      <c r="AE745" s="2372"/>
      <c r="AF745" s="2372"/>
      <c r="AG745" s="2372"/>
      <c r="AH745" s="2372"/>
      <c r="AI745" s="2372"/>
      <c r="AJ745" s="2372"/>
      <c r="AK745" s="2372"/>
      <c r="AL745" s="2372"/>
      <c r="AM745" s="2372"/>
      <c r="AN745" s="2372"/>
      <c r="AO745" s="2372"/>
      <c r="AP745" s="2372"/>
      <c r="AQ745" s="2372"/>
      <c r="AR745" s="2372"/>
      <c r="AS745" s="2372"/>
      <c r="AT745" s="2372"/>
      <c r="AU745" s="2372"/>
      <c r="AV745" s="2372"/>
      <c r="AW745" s="2372"/>
      <c r="AX745" s="2372"/>
      <c r="AY745" s="2372"/>
      <c r="AZ745" s="2372"/>
      <c r="BA745" s="2372"/>
      <c r="BB745" s="2372"/>
      <c r="BC745" s="2372"/>
      <c r="BD745" s="2372"/>
      <c r="BE745" s="2372"/>
      <c r="BF745" s="2372"/>
      <c r="BG745" s="2372"/>
      <c r="BH745" s="2372"/>
      <c r="BI745" s="2372"/>
      <c r="BJ745" s="2372"/>
      <c r="BK745" s="2372"/>
      <c r="BL745" s="2372"/>
      <c r="BM745" s="2372"/>
      <c r="BN745" s="2372"/>
      <c r="BO745" s="2372"/>
      <c r="BP745" s="2372"/>
      <c r="BQ745" s="2372"/>
      <c r="BR745" s="2372"/>
      <c r="BS745" s="2372"/>
      <c r="BT745" s="2372"/>
      <c r="BU745" s="2372"/>
      <c r="BV745" s="2372"/>
      <c r="BW745" s="2372"/>
      <c r="BX745" s="2372"/>
      <c r="BY745" s="2372"/>
      <c r="BZ745" s="2372"/>
      <c r="CA745" s="2372"/>
      <c r="CB745" s="2372"/>
      <c r="CC745" s="2372"/>
      <c r="CD745" s="2372"/>
      <c r="CE745" s="2372"/>
      <c r="CF745" s="2372"/>
      <c r="CG745" s="2372"/>
      <c r="CH745" s="2372"/>
      <c r="CI745" s="2372"/>
      <c r="CJ745" s="2372"/>
      <c r="CK745" s="2372"/>
      <c r="CL745" s="2372"/>
      <c r="CM745" s="2372"/>
      <c r="CN745" s="2372"/>
      <c r="CO745" s="2372"/>
      <c r="CP745" s="2372"/>
      <c r="CQ745" s="2372"/>
      <c r="CR745" s="2372"/>
      <c r="CS745" s="2372"/>
      <c r="CT745" s="2372"/>
      <c r="CU745" s="2372"/>
      <c r="CV745" s="2372"/>
      <c r="CW745" s="2372"/>
      <c r="CX745" s="2372"/>
      <c r="CY745" s="2372"/>
      <c r="CZ745" s="2372"/>
      <c r="DA745" s="2372"/>
    </row>
    <row r="746" spans="1:105" ht="15" hidden="1" customHeight="1">
      <c r="A746" s="2372"/>
      <c r="B746" s="2372"/>
      <c r="C746" s="2372"/>
      <c r="D746" s="2372"/>
      <c r="E746" s="2372"/>
      <c r="F746" s="2372"/>
      <c r="G746" s="2372"/>
      <c r="H746" s="2372"/>
      <c r="I746" s="2372"/>
      <c r="J746" s="2372"/>
      <c r="K746" s="2372"/>
      <c r="L746" s="2372"/>
      <c r="M746" s="2372"/>
      <c r="N746" s="2372"/>
      <c r="O746" s="2372"/>
      <c r="P746" s="2372"/>
      <c r="Q746" s="2372"/>
      <c r="R746" s="2372"/>
      <c r="S746" s="2372"/>
      <c r="T746" s="2372"/>
      <c r="U746" s="2372"/>
      <c r="V746" s="2372"/>
      <c r="W746" s="2372"/>
      <c r="X746" s="2372"/>
      <c r="Y746" s="2372"/>
      <c r="Z746" s="2372"/>
      <c r="AA746" s="2372"/>
      <c r="AB746" s="2372"/>
      <c r="AC746" s="2372"/>
      <c r="AD746" s="2372"/>
      <c r="AE746" s="2372"/>
      <c r="AF746" s="2372"/>
      <c r="AG746" s="2372"/>
      <c r="AH746" s="2372"/>
      <c r="AI746" s="2372"/>
      <c r="AJ746" s="2372"/>
      <c r="AK746" s="2372"/>
      <c r="AL746" s="2372"/>
      <c r="AM746" s="2372"/>
      <c r="AN746" s="2372"/>
      <c r="AO746" s="2372"/>
      <c r="AP746" s="2372"/>
      <c r="AQ746" s="2372"/>
      <c r="AR746" s="2372"/>
      <c r="AS746" s="2372"/>
      <c r="AT746" s="2372"/>
      <c r="AU746" s="2372"/>
      <c r="AV746" s="2372"/>
      <c r="AW746" s="2372"/>
      <c r="AX746" s="2372"/>
      <c r="AY746" s="2372"/>
      <c r="AZ746" s="2372"/>
      <c r="BA746" s="2372"/>
      <c r="BB746" s="2372"/>
      <c r="BC746" s="2372"/>
      <c r="BD746" s="2372"/>
      <c r="BE746" s="2372"/>
      <c r="BF746" s="2372"/>
      <c r="BG746" s="2372"/>
      <c r="BH746" s="2372"/>
      <c r="BI746" s="2372"/>
      <c r="BJ746" s="2372"/>
      <c r="BK746" s="2372"/>
      <c r="BL746" s="2372"/>
      <c r="BM746" s="2372"/>
      <c r="BN746" s="2372"/>
      <c r="BO746" s="2372"/>
      <c r="BP746" s="2372"/>
      <c r="BQ746" s="2372"/>
      <c r="BR746" s="2372"/>
      <c r="BS746" s="2372"/>
      <c r="BT746" s="2372"/>
      <c r="BU746" s="2372"/>
      <c r="BV746" s="2372"/>
      <c r="BW746" s="2372"/>
      <c r="BX746" s="2372"/>
      <c r="BY746" s="2372"/>
      <c r="BZ746" s="2372"/>
      <c r="CA746" s="2372"/>
      <c r="CB746" s="2372"/>
      <c r="CC746" s="2372"/>
      <c r="CD746" s="2372"/>
      <c r="CE746" s="2372"/>
      <c r="CF746" s="2372"/>
      <c r="CG746" s="2372"/>
      <c r="CH746" s="2372"/>
      <c r="CI746" s="2372"/>
      <c r="CJ746" s="2372"/>
      <c r="CK746" s="2372"/>
      <c r="CL746" s="2372"/>
      <c r="CM746" s="2372"/>
      <c r="CN746" s="2372"/>
      <c r="CO746" s="2372"/>
      <c r="CP746" s="2372"/>
      <c r="CQ746" s="2372"/>
      <c r="CR746" s="2372"/>
      <c r="CS746" s="2372"/>
      <c r="CT746" s="2372"/>
      <c r="CU746" s="2372"/>
      <c r="CV746" s="2372"/>
      <c r="CW746" s="2372"/>
      <c r="CX746" s="2372"/>
      <c r="CY746" s="2372"/>
      <c r="CZ746" s="2372"/>
      <c r="DA746" s="2372"/>
    </row>
    <row r="747" spans="1:105" ht="15" hidden="1" customHeight="1">
      <c r="A747" s="2372"/>
      <c r="B747" s="2372"/>
      <c r="C747" s="2372"/>
      <c r="D747" s="2372"/>
      <c r="E747" s="2372"/>
      <c r="F747" s="2372"/>
      <c r="G747" s="2372"/>
      <c r="H747" s="2372"/>
      <c r="I747" s="2372"/>
      <c r="J747" s="2372"/>
      <c r="K747" s="2372"/>
      <c r="L747" s="2372"/>
      <c r="M747" s="2372"/>
      <c r="N747" s="2372"/>
      <c r="O747" s="2372"/>
      <c r="P747" s="2372"/>
      <c r="Q747" s="2372"/>
      <c r="R747" s="2372"/>
      <c r="S747" s="2372"/>
      <c r="T747" s="2372"/>
      <c r="U747" s="2372"/>
      <c r="V747" s="2372"/>
      <c r="W747" s="2372"/>
      <c r="X747" s="2372"/>
      <c r="Y747" s="2372"/>
      <c r="Z747" s="2372"/>
      <c r="AA747" s="2372"/>
      <c r="AB747" s="2372"/>
      <c r="AC747" s="2372"/>
      <c r="AD747" s="2372"/>
      <c r="AE747" s="2372"/>
      <c r="AF747" s="2372"/>
      <c r="AG747" s="2372"/>
      <c r="AH747" s="2372"/>
      <c r="AI747" s="2372"/>
      <c r="AJ747" s="2372"/>
      <c r="AK747" s="2372"/>
      <c r="AL747" s="2372"/>
      <c r="AM747" s="2372"/>
      <c r="AN747" s="2372"/>
      <c r="AO747" s="2372"/>
      <c r="AP747" s="2372"/>
      <c r="AQ747" s="2372"/>
      <c r="AR747" s="2372"/>
      <c r="AS747" s="2372"/>
      <c r="AT747" s="2372"/>
      <c r="AU747" s="2372"/>
      <c r="AV747" s="2372"/>
      <c r="AW747" s="2372"/>
      <c r="AX747" s="2372"/>
      <c r="AY747" s="2372"/>
      <c r="AZ747" s="2372"/>
      <c r="BA747" s="2372"/>
      <c r="BB747" s="2372"/>
      <c r="BC747" s="2372"/>
      <c r="BD747" s="2372"/>
      <c r="BE747" s="2372"/>
      <c r="BF747" s="2372"/>
      <c r="BG747" s="2372"/>
      <c r="BH747" s="2372"/>
      <c r="BI747" s="2372"/>
      <c r="BJ747" s="2372"/>
      <c r="BK747" s="2372"/>
      <c r="BL747" s="2372"/>
      <c r="BM747" s="2372"/>
      <c r="BN747" s="2372"/>
      <c r="BO747" s="2372"/>
      <c r="BP747" s="2372"/>
      <c r="BQ747" s="2372"/>
      <c r="BR747" s="2372"/>
      <c r="BS747" s="2372"/>
      <c r="BT747" s="2372"/>
      <c r="BU747" s="2372"/>
      <c r="BV747" s="2372"/>
      <c r="BW747" s="2372"/>
      <c r="BX747" s="2372"/>
      <c r="BY747" s="2372"/>
      <c r="BZ747" s="2372"/>
      <c r="CA747" s="2372"/>
      <c r="CB747" s="2372"/>
      <c r="CC747" s="2372"/>
      <c r="CD747" s="2372"/>
      <c r="CE747" s="2372"/>
      <c r="CF747" s="2372"/>
      <c r="CG747" s="2372"/>
      <c r="CH747" s="2372"/>
      <c r="CI747" s="2372"/>
      <c r="CJ747" s="2372"/>
      <c r="CK747" s="2372"/>
      <c r="CL747" s="2372"/>
      <c r="CM747" s="2372"/>
      <c r="CN747" s="2372"/>
      <c r="CO747" s="2372"/>
      <c r="CP747" s="2372"/>
      <c r="CQ747" s="2372"/>
      <c r="CR747" s="2372"/>
      <c r="CS747" s="2372"/>
      <c r="CT747" s="2372"/>
      <c r="CU747" s="2372"/>
      <c r="CV747" s="2372"/>
      <c r="CW747" s="2372"/>
      <c r="CX747" s="2372"/>
      <c r="CY747" s="2372"/>
      <c r="CZ747" s="2372"/>
      <c r="DA747" s="2372"/>
    </row>
    <row r="748" spans="1:105" ht="15" hidden="1" customHeight="1">
      <c r="A748" s="2372"/>
      <c r="B748" s="2372"/>
      <c r="C748" s="2372"/>
      <c r="D748" s="2372"/>
      <c r="E748" s="2372"/>
      <c r="F748" s="2372"/>
      <c r="G748" s="2372"/>
      <c r="H748" s="2372"/>
      <c r="I748" s="2372"/>
      <c r="J748" s="2372"/>
      <c r="K748" s="2372"/>
      <c r="L748" s="2372"/>
      <c r="M748" s="2372"/>
      <c r="N748" s="2372"/>
      <c r="O748" s="2372"/>
      <c r="P748" s="2372"/>
      <c r="Q748" s="2372"/>
      <c r="R748" s="2372"/>
      <c r="S748" s="2372"/>
      <c r="T748" s="2372"/>
      <c r="U748" s="2372"/>
      <c r="V748" s="2372"/>
      <c r="W748" s="2372"/>
      <c r="X748" s="2372"/>
      <c r="Y748" s="2372"/>
      <c r="Z748" s="2372"/>
      <c r="AA748" s="2372"/>
      <c r="AB748" s="2372"/>
      <c r="AC748" s="2372"/>
      <c r="AD748" s="2372"/>
      <c r="AE748" s="2372"/>
      <c r="AF748" s="2372"/>
      <c r="AG748" s="2372"/>
      <c r="AH748" s="2372"/>
      <c r="AI748" s="2372"/>
      <c r="AJ748" s="2372"/>
      <c r="AK748" s="2372"/>
      <c r="AL748" s="2372"/>
      <c r="AM748" s="2372"/>
      <c r="AN748" s="2372"/>
      <c r="AO748" s="2372"/>
      <c r="AP748" s="2372"/>
      <c r="AQ748" s="2372"/>
      <c r="AR748" s="2372"/>
      <c r="AS748" s="2372"/>
      <c r="AT748" s="2372"/>
      <c r="AU748" s="2372"/>
      <c r="AV748" s="2372"/>
      <c r="AW748" s="2372"/>
      <c r="AX748" s="2372"/>
      <c r="AY748" s="2372"/>
      <c r="AZ748" s="2372"/>
      <c r="BA748" s="2372"/>
      <c r="BB748" s="2372"/>
      <c r="BC748" s="2372"/>
      <c r="BD748" s="2372"/>
      <c r="BE748" s="2372"/>
      <c r="BF748" s="2372"/>
      <c r="BG748" s="2372"/>
      <c r="BH748" s="2372"/>
      <c r="BI748" s="2372"/>
      <c r="BJ748" s="2372"/>
      <c r="BK748" s="2372"/>
      <c r="BL748" s="2372"/>
      <c r="BM748" s="2372"/>
      <c r="BN748" s="2372"/>
      <c r="BO748" s="2372"/>
      <c r="BP748" s="2372"/>
      <c r="BQ748" s="2372"/>
      <c r="BR748" s="2372"/>
      <c r="BS748" s="2372"/>
      <c r="BT748" s="2372"/>
      <c r="BU748" s="2372"/>
      <c r="BV748" s="2372"/>
      <c r="BW748" s="2372"/>
      <c r="BX748" s="2372"/>
      <c r="BY748" s="2372"/>
      <c r="BZ748" s="2372"/>
      <c r="CA748" s="2372"/>
      <c r="CB748" s="2372"/>
      <c r="CC748" s="2372"/>
      <c r="CD748" s="2372"/>
      <c r="CE748" s="2372"/>
      <c r="CF748" s="2372"/>
      <c r="CG748" s="2372"/>
      <c r="CH748" s="2372"/>
      <c r="CI748" s="2372"/>
      <c r="CJ748" s="2372"/>
      <c r="CK748" s="2372"/>
      <c r="CL748" s="2372"/>
      <c r="CM748" s="2372"/>
      <c r="CN748" s="2372"/>
      <c r="CO748" s="2372"/>
      <c r="CP748" s="2372"/>
      <c r="CQ748" s="2372"/>
      <c r="CR748" s="2372"/>
      <c r="CS748" s="2372"/>
      <c r="CT748" s="2372"/>
      <c r="CU748" s="2372"/>
      <c r="CV748" s="2372"/>
      <c r="CW748" s="2372"/>
      <c r="CX748" s="2372"/>
      <c r="CY748" s="2372"/>
      <c r="CZ748" s="2372"/>
      <c r="DA748" s="2372"/>
    </row>
    <row r="749" spans="1:105" ht="15" hidden="1" customHeight="1">
      <c r="A749" s="2372"/>
      <c r="B749" s="2372"/>
      <c r="C749" s="2372"/>
      <c r="D749" s="2372"/>
      <c r="E749" s="2372"/>
      <c r="F749" s="2372"/>
      <c r="G749" s="2372"/>
      <c r="H749" s="2372"/>
      <c r="I749" s="2372"/>
      <c r="J749" s="2372"/>
      <c r="K749" s="2372"/>
      <c r="L749" s="2372"/>
      <c r="M749" s="2372"/>
      <c r="N749" s="2372"/>
      <c r="O749" s="2372"/>
      <c r="P749" s="2372"/>
      <c r="Q749" s="2372"/>
      <c r="R749" s="2372"/>
      <c r="S749" s="2372"/>
      <c r="T749" s="2372"/>
      <c r="U749" s="2372"/>
      <c r="V749" s="2372"/>
      <c r="W749" s="2372"/>
      <c r="X749" s="2372"/>
      <c r="Y749" s="2372"/>
      <c r="Z749" s="2372"/>
      <c r="AA749" s="2372"/>
      <c r="AB749" s="2372"/>
      <c r="AC749" s="2372"/>
      <c r="AD749" s="2372"/>
      <c r="AE749" s="2372"/>
      <c r="AF749" s="2372"/>
      <c r="AG749" s="2372"/>
      <c r="AH749" s="2372"/>
      <c r="AI749" s="2372"/>
      <c r="AJ749" s="2372"/>
      <c r="AK749" s="2372"/>
      <c r="AL749" s="2372"/>
      <c r="AM749" s="2372"/>
      <c r="AN749" s="2372"/>
      <c r="AO749" s="2372"/>
      <c r="AP749" s="2372"/>
      <c r="AQ749" s="2372"/>
      <c r="AR749" s="2372"/>
      <c r="AS749" s="2372"/>
      <c r="AT749" s="2372"/>
      <c r="AU749" s="2372"/>
      <c r="AV749" s="2372"/>
      <c r="AW749" s="2372"/>
      <c r="AX749" s="2372"/>
      <c r="AY749" s="2372"/>
      <c r="AZ749" s="2372"/>
      <c r="BA749" s="2372"/>
      <c r="BB749" s="2372"/>
      <c r="BC749" s="2372"/>
      <c r="BD749" s="2372"/>
      <c r="BE749" s="2372"/>
      <c r="BF749" s="2372"/>
      <c r="BG749" s="2372"/>
      <c r="BH749" s="2372"/>
      <c r="BI749" s="2372"/>
      <c r="BJ749" s="2372"/>
      <c r="BK749" s="2372"/>
      <c r="BL749" s="2372"/>
      <c r="BM749" s="2372"/>
      <c r="BN749" s="2372"/>
      <c r="BO749" s="2372"/>
      <c r="BP749" s="2372"/>
      <c r="BQ749" s="2372"/>
      <c r="BR749" s="2372"/>
      <c r="BS749" s="2372"/>
      <c r="BT749" s="2372"/>
      <c r="BU749" s="2372"/>
      <c r="BV749" s="2372"/>
      <c r="BW749" s="2372"/>
      <c r="BX749" s="2372"/>
      <c r="BY749" s="2372"/>
      <c r="BZ749" s="2372"/>
      <c r="CA749" s="2372"/>
      <c r="CB749" s="2372"/>
      <c r="CC749" s="2372"/>
      <c r="CD749" s="2372"/>
      <c r="CE749" s="2372"/>
      <c r="CF749" s="2372"/>
      <c r="CG749" s="2372"/>
      <c r="CH749" s="2372"/>
      <c r="CI749" s="2372"/>
      <c r="CJ749" s="2372"/>
      <c r="CK749" s="2372"/>
      <c r="CL749" s="2372"/>
      <c r="CM749" s="2372"/>
      <c r="CN749" s="2372"/>
      <c r="CO749" s="2372"/>
      <c r="CP749" s="2372"/>
      <c r="CQ749" s="2372"/>
      <c r="CR749" s="2372"/>
      <c r="CS749" s="2372"/>
      <c r="CT749" s="2372"/>
      <c r="CU749" s="2372"/>
      <c r="CV749" s="2372"/>
      <c r="CW749" s="2372"/>
      <c r="CX749" s="2372"/>
      <c r="CY749" s="2372"/>
      <c r="CZ749" s="2372"/>
      <c r="DA749" s="2372"/>
    </row>
    <row r="750" spans="1:105" ht="15" hidden="1" customHeight="1">
      <c r="A750" s="2372"/>
      <c r="B750" s="2372"/>
      <c r="C750" s="2372"/>
      <c r="D750" s="2372"/>
      <c r="E750" s="2372"/>
      <c r="F750" s="2372"/>
      <c r="G750" s="2372"/>
      <c r="H750" s="2372"/>
      <c r="I750" s="2372"/>
      <c r="J750" s="2372"/>
      <c r="K750" s="2372"/>
      <c r="L750" s="2372"/>
      <c r="M750" s="2372"/>
      <c r="N750" s="2372"/>
      <c r="O750" s="2372"/>
      <c r="P750" s="2372"/>
      <c r="Q750" s="2372"/>
      <c r="R750" s="2372"/>
      <c r="S750" s="2372"/>
      <c r="T750" s="2372"/>
      <c r="U750" s="2372"/>
      <c r="V750" s="2372"/>
      <c r="W750" s="2372"/>
      <c r="X750" s="2372"/>
      <c r="Y750" s="2372"/>
      <c r="Z750" s="2372"/>
      <c r="AA750" s="2372"/>
      <c r="AB750" s="2372"/>
      <c r="AC750" s="2372"/>
      <c r="AD750" s="2372"/>
      <c r="AE750" s="2372"/>
      <c r="AF750" s="2372"/>
      <c r="AG750" s="2372"/>
      <c r="AH750" s="2372"/>
      <c r="AI750" s="2372"/>
      <c r="AJ750" s="2372"/>
      <c r="AK750" s="2372"/>
      <c r="AL750" s="2372"/>
      <c r="AM750" s="2372"/>
      <c r="AN750" s="2372"/>
      <c r="AO750" s="2372"/>
      <c r="AP750" s="2372"/>
      <c r="AQ750" s="2372"/>
      <c r="AR750" s="2372"/>
      <c r="AS750" s="2372"/>
      <c r="AT750" s="2372"/>
      <c r="AU750" s="2372"/>
      <c r="AV750" s="2372"/>
      <c r="AW750" s="2372"/>
      <c r="AX750" s="2372"/>
      <c r="AY750" s="2372"/>
      <c r="AZ750" s="2372"/>
      <c r="BA750" s="2372"/>
      <c r="BB750" s="2372"/>
      <c r="BC750" s="2372"/>
      <c r="BD750" s="2372"/>
      <c r="BE750" s="2372"/>
      <c r="BF750" s="2372"/>
      <c r="BG750" s="2372"/>
      <c r="BH750" s="2372"/>
      <c r="BI750" s="2372"/>
      <c r="BJ750" s="2372"/>
      <c r="BK750" s="2372"/>
      <c r="BL750" s="2372"/>
      <c r="BM750" s="2372"/>
      <c r="BN750" s="2372"/>
      <c r="BO750" s="2372"/>
      <c r="BP750" s="2372"/>
      <c r="BQ750" s="2372"/>
      <c r="BR750" s="2372"/>
      <c r="BS750" s="2372"/>
      <c r="BT750" s="2372"/>
      <c r="BU750" s="2372"/>
      <c r="BV750" s="2372"/>
      <c r="BW750" s="2372"/>
      <c r="BX750" s="2372"/>
      <c r="BY750" s="2372"/>
      <c r="BZ750" s="2372"/>
      <c r="CA750" s="2372"/>
      <c r="CB750" s="2372"/>
      <c r="CC750" s="2372"/>
      <c r="CD750" s="2372"/>
      <c r="CE750" s="2372"/>
      <c r="CF750" s="2372"/>
      <c r="CG750" s="2372"/>
      <c r="CH750" s="2372"/>
      <c r="CI750" s="2372"/>
      <c r="CJ750" s="2372"/>
      <c r="CK750" s="2372"/>
      <c r="CL750" s="2372"/>
      <c r="CM750" s="2372"/>
      <c r="CN750" s="2372"/>
      <c r="CO750" s="2372"/>
      <c r="CP750" s="2372"/>
      <c r="CQ750" s="2372"/>
      <c r="CR750" s="2372"/>
      <c r="CS750" s="2372"/>
      <c r="CT750" s="2372"/>
      <c r="CU750" s="2372"/>
      <c r="CV750" s="2372"/>
      <c r="CW750" s="2372"/>
      <c r="CX750" s="2372"/>
      <c r="CY750" s="2372"/>
      <c r="CZ750" s="2372"/>
      <c r="DA750" s="2372"/>
    </row>
    <row r="751" spans="1:105" ht="15" hidden="1" customHeight="1">
      <c r="A751" s="2372"/>
      <c r="B751" s="2372"/>
      <c r="C751" s="2372"/>
      <c r="D751" s="2372"/>
      <c r="E751" s="2372"/>
      <c r="F751" s="2372"/>
      <c r="G751" s="2372"/>
      <c r="H751" s="2372"/>
      <c r="I751" s="2372"/>
      <c r="J751" s="2372"/>
      <c r="K751" s="2372"/>
      <c r="L751" s="2372"/>
      <c r="M751" s="2372"/>
      <c r="N751" s="2372"/>
      <c r="O751" s="2372"/>
      <c r="P751" s="2372"/>
      <c r="Q751" s="2372"/>
      <c r="R751" s="2372"/>
      <c r="S751" s="2372"/>
      <c r="T751" s="2372"/>
      <c r="U751" s="2372"/>
      <c r="V751" s="2372"/>
      <c r="W751" s="2372"/>
      <c r="X751" s="2372"/>
      <c r="Y751" s="2372"/>
      <c r="Z751" s="2372"/>
      <c r="AA751" s="2372"/>
      <c r="AB751" s="2372"/>
      <c r="AC751" s="2372"/>
      <c r="AD751" s="2372"/>
      <c r="AE751" s="2372"/>
      <c r="AF751" s="2372"/>
      <c r="AG751" s="2372"/>
      <c r="AH751" s="2372"/>
      <c r="AI751" s="2372"/>
      <c r="AJ751" s="2372"/>
      <c r="AK751" s="2372"/>
      <c r="AL751" s="2372"/>
      <c r="AM751" s="2372"/>
      <c r="AN751" s="2372"/>
      <c r="AO751" s="2372"/>
      <c r="AP751" s="2372"/>
      <c r="AQ751" s="2372"/>
      <c r="AR751" s="2372"/>
      <c r="AS751" s="2372"/>
      <c r="AT751" s="2372"/>
      <c r="AU751" s="2372"/>
      <c r="AV751" s="2372"/>
      <c r="AW751" s="2372"/>
      <c r="AX751" s="2372"/>
      <c r="AY751" s="2372"/>
      <c r="AZ751" s="2372"/>
      <c r="BA751" s="2372"/>
      <c r="BB751" s="2372"/>
      <c r="BC751" s="2372"/>
      <c r="BD751" s="2372"/>
      <c r="BE751" s="2372"/>
      <c r="BF751" s="2372"/>
      <c r="BG751" s="2372"/>
      <c r="BH751" s="2372"/>
      <c r="BI751" s="2372"/>
      <c r="BJ751" s="2372"/>
      <c r="BK751" s="2372"/>
      <c r="BL751" s="2372"/>
      <c r="BM751" s="2372"/>
      <c r="BN751" s="2372"/>
      <c r="BO751" s="2372"/>
      <c r="BP751" s="2372"/>
      <c r="BQ751" s="2372"/>
      <c r="BR751" s="2372"/>
      <c r="BS751" s="2372"/>
      <c r="BT751" s="2372"/>
      <c r="BU751" s="2372"/>
      <c r="BV751" s="2372"/>
      <c r="BW751" s="2372"/>
      <c r="BX751" s="2372"/>
      <c r="BY751" s="2372"/>
      <c r="BZ751" s="2372"/>
      <c r="CA751" s="2372"/>
      <c r="CB751" s="2372"/>
      <c r="CC751" s="2372"/>
      <c r="CD751" s="2372"/>
      <c r="CE751" s="2372"/>
      <c r="CF751" s="2372"/>
      <c r="CG751" s="2372"/>
      <c r="CH751" s="2372"/>
      <c r="CI751" s="2372"/>
      <c r="CJ751" s="2372"/>
      <c r="CK751" s="2372"/>
      <c r="CL751" s="2372"/>
      <c r="CM751" s="2372"/>
      <c r="CN751" s="2372"/>
      <c r="CO751" s="2372"/>
      <c r="CP751" s="2372"/>
      <c r="CQ751" s="2372"/>
      <c r="CR751" s="2372"/>
      <c r="CS751" s="2372"/>
      <c r="CT751" s="2372"/>
      <c r="CU751" s="2372"/>
      <c r="CV751" s="2372"/>
      <c r="CW751" s="2372"/>
      <c r="CX751" s="2372"/>
      <c r="CY751" s="2372"/>
      <c r="CZ751" s="2372"/>
      <c r="DA751" s="2372"/>
    </row>
    <row r="752" spans="1:105" ht="15" hidden="1" customHeight="1">
      <c r="A752" s="2372"/>
      <c r="B752" s="2372"/>
      <c r="C752" s="2372"/>
      <c r="D752" s="2372"/>
      <c r="E752" s="2372"/>
      <c r="F752" s="2372"/>
      <c r="G752" s="2372"/>
      <c r="H752" s="2372"/>
      <c r="I752" s="2372"/>
      <c r="J752" s="2372"/>
      <c r="K752" s="2372"/>
      <c r="L752" s="2372"/>
      <c r="M752" s="2372"/>
      <c r="N752" s="2372"/>
      <c r="O752" s="2372"/>
      <c r="P752" s="2372"/>
      <c r="Q752" s="2372"/>
      <c r="R752" s="2372"/>
      <c r="S752" s="2372"/>
      <c r="T752" s="2372"/>
      <c r="U752" s="2372"/>
      <c r="V752" s="2372"/>
      <c r="W752" s="2372"/>
      <c r="X752" s="2372"/>
      <c r="Y752" s="2372"/>
      <c r="Z752" s="2372"/>
      <c r="AA752" s="2372"/>
      <c r="AB752" s="2372"/>
      <c r="AC752" s="2372"/>
      <c r="AD752" s="2372"/>
      <c r="AE752" s="2372"/>
      <c r="AF752" s="2372"/>
      <c r="AG752" s="2372"/>
      <c r="AH752" s="2372"/>
      <c r="AI752" s="2372"/>
      <c r="AJ752" s="2372"/>
      <c r="AK752" s="2372"/>
      <c r="AL752" s="2372"/>
      <c r="AM752" s="2372"/>
      <c r="AN752" s="2372"/>
      <c r="AO752" s="2372"/>
      <c r="AP752" s="2372"/>
      <c r="AQ752" s="2372"/>
      <c r="AR752" s="2372"/>
      <c r="AS752" s="2372"/>
      <c r="AT752" s="2372"/>
      <c r="AU752" s="2372"/>
      <c r="AV752" s="2372"/>
      <c r="AW752" s="2372"/>
      <c r="AX752" s="2372"/>
      <c r="AY752" s="2372"/>
      <c r="AZ752" s="2372"/>
      <c r="BA752" s="2372"/>
      <c r="BB752" s="2372"/>
      <c r="BC752" s="2372"/>
      <c r="BD752" s="2372"/>
      <c r="BE752" s="2372"/>
      <c r="BF752" s="2372"/>
      <c r="BG752" s="2372"/>
      <c r="BH752" s="2372"/>
      <c r="BI752" s="2372"/>
      <c r="BJ752" s="2372"/>
      <c r="BK752" s="2372"/>
      <c r="BL752" s="2372"/>
      <c r="BM752" s="2372"/>
      <c r="BN752" s="2372"/>
      <c r="BO752" s="2372"/>
      <c r="BP752" s="2372"/>
      <c r="BQ752" s="2372"/>
      <c r="BR752" s="2372"/>
      <c r="BS752" s="2372"/>
      <c r="BT752" s="2372"/>
      <c r="BU752" s="2372"/>
      <c r="BV752" s="2372"/>
      <c r="BW752" s="2372"/>
      <c r="BX752" s="2372"/>
      <c r="BY752" s="2372"/>
      <c r="BZ752" s="2372"/>
      <c r="CA752" s="2372"/>
      <c r="CB752" s="2372"/>
      <c r="CC752" s="2372"/>
      <c r="CD752" s="2372"/>
      <c r="CE752" s="2372"/>
      <c r="CF752" s="2372"/>
      <c r="CG752" s="2372"/>
      <c r="CH752" s="2372"/>
      <c r="CI752" s="2372"/>
      <c r="CJ752" s="2372"/>
      <c r="CK752" s="2372"/>
      <c r="CL752" s="2372"/>
      <c r="CM752" s="2372"/>
      <c r="CN752" s="2372"/>
      <c r="CO752" s="2372"/>
      <c r="CP752" s="2372"/>
      <c r="CQ752" s="2372"/>
      <c r="CR752" s="2372"/>
      <c r="CS752" s="2372"/>
      <c r="CT752" s="2372"/>
      <c r="CU752" s="2372"/>
      <c r="CV752" s="2372"/>
      <c r="CW752" s="2372"/>
      <c r="CX752" s="2372"/>
      <c r="CY752" s="2372"/>
      <c r="CZ752" s="2372"/>
      <c r="DA752" s="2372"/>
    </row>
    <row r="753" spans="1:105" ht="15" hidden="1" customHeight="1">
      <c r="A753" s="2372"/>
      <c r="B753" s="2372"/>
      <c r="C753" s="2372"/>
      <c r="D753" s="2372"/>
      <c r="E753" s="2372"/>
      <c r="F753" s="2372"/>
      <c r="G753" s="2372"/>
      <c r="H753" s="2372"/>
      <c r="I753" s="2372"/>
      <c r="J753" s="2372"/>
      <c r="K753" s="2372"/>
      <c r="L753" s="2372"/>
      <c r="M753" s="2372"/>
      <c r="N753" s="2372"/>
      <c r="O753" s="2372"/>
      <c r="P753" s="2372"/>
      <c r="Q753" s="2372"/>
      <c r="R753" s="2372"/>
      <c r="S753" s="2372"/>
      <c r="T753" s="2372"/>
      <c r="U753" s="2372"/>
      <c r="V753" s="2372"/>
      <c r="W753" s="2372"/>
      <c r="X753" s="2372"/>
      <c r="Y753" s="2372"/>
      <c r="Z753" s="2372"/>
      <c r="AA753" s="2372"/>
      <c r="AB753" s="2372"/>
      <c r="AC753" s="2372"/>
      <c r="AD753" s="2372"/>
      <c r="AE753" s="2372"/>
      <c r="AF753" s="2372"/>
      <c r="AG753" s="2372"/>
      <c r="AH753" s="2372"/>
      <c r="AI753" s="2372"/>
      <c r="AJ753" s="2372"/>
      <c r="AK753" s="2372"/>
      <c r="AL753" s="2372"/>
      <c r="AM753" s="2372"/>
      <c r="AN753" s="2372"/>
      <c r="AO753" s="2372"/>
      <c r="AP753" s="2372"/>
      <c r="AQ753" s="2372"/>
      <c r="AR753" s="2372"/>
      <c r="AS753" s="2372"/>
      <c r="AT753" s="2372"/>
      <c r="AU753" s="2372"/>
      <c r="AV753" s="2372"/>
      <c r="AW753" s="2372"/>
      <c r="AX753" s="2372"/>
      <c r="AY753" s="2372"/>
      <c r="AZ753" s="2372"/>
      <c r="BA753" s="2372"/>
      <c r="BB753" s="2372"/>
      <c r="BC753" s="2372"/>
      <c r="BD753" s="2372"/>
      <c r="BE753" s="2372"/>
      <c r="BF753" s="2372"/>
      <c r="BG753" s="2372"/>
      <c r="BH753" s="2372"/>
      <c r="BI753" s="2372"/>
      <c r="BJ753" s="2372"/>
      <c r="BK753" s="2372"/>
      <c r="BL753" s="2372"/>
      <c r="BM753" s="2372"/>
      <c r="BN753" s="2372"/>
      <c r="BO753" s="2372"/>
      <c r="BP753" s="2372"/>
      <c r="BQ753" s="2372"/>
      <c r="BR753" s="2372"/>
      <c r="BS753" s="2372"/>
      <c r="BT753" s="2372"/>
      <c r="BU753" s="2372"/>
      <c r="BV753" s="2372"/>
      <c r="BW753" s="2372"/>
      <c r="BX753" s="2372"/>
      <c r="BY753" s="2372"/>
      <c r="BZ753" s="2372"/>
      <c r="CA753" s="2372"/>
      <c r="CB753" s="2372"/>
      <c r="CC753" s="2372"/>
      <c r="CD753" s="2372"/>
      <c r="CE753" s="2372"/>
      <c r="CF753" s="2372"/>
      <c r="CG753" s="2372"/>
      <c r="CH753" s="2372"/>
      <c r="CI753" s="2372"/>
      <c r="CJ753" s="2372"/>
      <c r="CK753" s="2372"/>
      <c r="CL753" s="2372"/>
      <c r="CM753" s="2372"/>
      <c r="CN753" s="2372"/>
      <c r="CO753" s="2372"/>
      <c r="CP753" s="2372"/>
      <c r="CQ753" s="2372"/>
      <c r="CR753" s="2372"/>
      <c r="CS753" s="2372"/>
      <c r="CT753" s="2372"/>
      <c r="CU753" s="2372"/>
      <c r="CV753" s="2372"/>
      <c r="CW753" s="2372"/>
      <c r="CX753" s="2372"/>
      <c r="CY753" s="2372"/>
      <c r="CZ753" s="2372"/>
      <c r="DA753" s="2372"/>
    </row>
    <row r="754" spans="1:105" ht="15" hidden="1" customHeight="1">
      <c r="A754" s="2372"/>
      <c r="B754" s="2372"/>
      <c r="C754" s="2372"/>
      <c r="D754" s="2372"/>
      <c r="E754" s="2372"/>
      <c r="F754" s="2372"/>
      <c r="G754" s="2372"/>
      <c r="H754" s="2372"/>
      <c r="I754" s="2372"/>
      <c r="J754" s="2372"/>
      <c r="K754" s="2372"/>
      <c r="L754" s="2372"/>
      <c r="M754" s="2372"/>
      <c r="N754" s="2372"/>
      <c r="O754" s="2372"/>
      <c r="P754" s="2372"/>
      <c r="Q754" s="2372"/>
      <c r="R754" s="2372"/>
      <c r="S754" s="2372"/>
      <c r="T754" s="2372"/>
      <c r="U754" s="2372"/>
      <c r="V754" s="2372"/>
      <c r="W754" s="2372"/>
      <c r="X754" s="2372"/>
      <c r="Y754" s="2372"/>
      <c r="Z754" s="2372"/>
      <c r="AA754" s="2372"/>
      <c r="AB754" s="2372"/>
      <c r="AC754" s="2372"/>
      <c r="AD754" s="2372"/>
      <c r="AE754" s="2372"/>
      <c r="AF754" s="2372"/>
      <c r="AG754" s="2372"/>
      <c r="AH754" s="2372"/>
      <c r="AI754" s="2372"/>
      <c r="AJ754" s="2372"/>
      <c r="AK754" s="2372"/>
      <c r="AL754" s="2372"/>
      <c r="AM754" s="2372"/>
      <c r="AN754" s="2372"/>
      <c r="AO754" s="2372"/>
      <c r="AP754" s="2372"/>
      <c r="AQ754" s="2372"/>
      <c r="AR754" s="2372"/>
      <c r="AS754" s="2372"/>
      <c r="AT754" s="2372"/>
      <c r="AU754" s="2372"/>
      <c r="AV754" s="2372"/>
      <c r="AW754" s="2372"/>
      <c r="AX754" s="2372"/>
      <c r="AY754" s="2372"/>
      <c r="AZ754" s="2372"/>
      <c r="BA754" s="2372"/>
      <c r="BB754" s="2372"/>
      <c r="BC754" s="2372"/>
      <c r="BD754" s="2372"/>
      <c r="BE754" s="2372"/>
      <c r="BF754" s="2372"/>
      <c r="BG754" s="2372"/>
      <c r="BH754" s="2372"/>
      <c r="BI754" s="2372"/>
      <c r="BJ754" s="2372"/>
      <c r="BK754" s="2372"/>
      <c r="BL754" s="2372"/>
      <c r="BM754" s="2372"/>
      <c r="BN754" s="2372"/>
      <c r="BO754" s="2372"/>
      <c r="BP754" s="2372"/>
      <c r="BQ754" s="2372"/>
      <c r="BR754" s="2372"/>
      <c r="BS754" s="2372"/>
      <c r="BT754" s="2372"/>
      <c r="BU754" s="2372"/>
      <c r="BV754" s="2372"/>
      <c r="BW754" s="2372"/>
      <c r="BX754" s="2372"/>
      <c r="BY754" s="2372"/>
      <c r="BZ754" s="2372"/>
      <c r="CA754" s="2372"/>
      <c r="CB754" s="2372"/>
      <c r="CC754" s="2372"/>
      <c r="CD754" s="2372"/>
      <c r="CE754" s="2372"/>
      <c r="CF754" s="2372"/>
      <c r="CG754" s="2372"/>
      <c r="CH754" s="2372"/>
      <c r="CI754" s="2372"/>
      <c r="CJ754" s="2372"/>
      <c r="CK754" s="2372"/>
      <c r="CL754" s="2372"/>
      <c r="CM754" s="2372"/>
      <c r="CN754" s="2372"/>
      <c r="CO754" s="2372"/>
      <c r="CP754" s="2372"/>
      <c r="CQ754" s="2372"/>
      <c r="CR754" s="2372"/>
      <c r="CS754" s="2372"/>
      <c r="CT754" s="2372"/>
      <c r="CU754" s="2372"/>
      <c r="CV754" s="2372"/>
      <c r="CW754" s="2372"/>
      <c r="CX754" s="2372"/>
      <c r="CY754" s="2372"/>
      <c r="CZ754" s="2372"/>
      <c r="DA754" s="2372"/>
    </row>
    <row r="755" spans="1:105" ht="15" hidden="1" customHeight="1">
      <c r="A755" s="2372"/>
      <c r="B755" s="2372"/>
      <c r="C755" s="2372"/>
      <c r="D755" s="2372"/>
      <c r="E755" s="2372"/>
      <c r="F755" s="2372"/>
      <c r="G755" s="2372"/>
      <c r="H755" s="2372"/>
      <c r="I755" s="2372"/>
      <c r="J755" s="2372"/>
      <c r="K755" s="2372"/>
      <c r="L755" s="2372"/>
      <c r="M755" s="2372"/>
      <c r="N755" s="2372"/>
      <c r="O755" s="2372"/>
      <c r="P755" s="2372"/>
      <c r="Q755" s="2372"/>
      <c r="R755" s="2372"/>
      <c r="S755" s="2372"/>
      <c r="T755" s="2372"/>
      <c r="U755" s="2372"/>
      <c r="V755" s="2372"/>
      <c r="W755" s="2372"/>
      <c r="X755" s="2372"/>
      <c r="Y755" s="2372"/>
      <c r="Z755" s="2372"/>
      <c r="AA755" s="2372"/>
      <c r="AB755" s="2372"/>
      <c r="AC755" s="2372"/>
      <c r="AD755" s="2372"/>
      <c r="AE755" s="2372"/>
      <c r="AF755" s="2372"/>
      <c r="AG755" s="2372"/>
      <c r="AH755" s="2372"/>
      <c r="AI755" s="2372"/>
      <c r="AJ755" s="2372"/>
      <c r="AK755" s="2372"/>
      <c r="AL755" s="2372"/>
      <c r="AM755" s="2372"/>
      <c r="AN755" s="2372"/>
      <c r="AO755" s="2372"/>
      <c r="AP755" s="2372"/>
      <c r="AQ755" s="2372"/>
      <c r="AR755" s="2372"/>
      <c r="AS755" s="2372"/>
      <c r="AT755" s="2372"/>
      <c r="AU755" s="2372"/>
      <c r="AV755" s="2372"/>
      <c r="AW755" s="2372"/>
      <c r="AX755" s="2372"/>
      <c r="AY755" s="2372"/>
      <c r="AZ755" s="2372"/>
      <c r="BA755" s="2372"/>
      <c r="BB755" s="2372"/>
      <c r="BC755" s="2372"/>
      <c r="BD755" s="2372"/>
      <c r="BE755" s="2372"/>
      <c r="BF755" s="2372"/>
      <c r="BG755" s="2372"/>
      <c r="BH755" s="2372"/>
      <c r="BI755" s="2372"/>
      <c r="BJ755" s="2372"/>
      <c r="BK755" s="2372"/>
      <c r="BL755" s="2372"/>
      <c r="BM755" s="2372"/>
      <c r="BN755" s="2372"/>
      <c r="BO755" s="2372"/>
      <c r="BP755" s="2372"/>
      <c r="BQ755" s="2372"/>
      <c r="BR755" s="2372"/>
      <c r="BS755" s="2372"/>
      <c r="BT755" s="2372"/>
      <c r="BU755" s="2372"/>
      <c r="BV755" s="2372"/>
      <c r="BW755" s="2372"/>
      <c r="BX755" s="2372"/>
      <c r="BY755" s="2372"/>
      <c r="BZ755" s="2372"/>
      <c r="CA755" s="2372"/>
      <c r="CB755" s="2372"/>
      <c r="CC755" s="2372"/>
      <c r="CD755" s="2372"/>
      <c r="CE755" s="2372"/>
      <c r="CF755" s="2372"/>
      <c r="CG755" s="2372"/>
      <c r="CH755" s="2372"/>
      <c r="CI755" s="2372"/>
      <c r="CJ755" s="2372"/>
      <c r="CK755" s="2372"/>
      <c r="CL755" s="2372"/>
      <c r="CM755" s="2372"/>
      <c r="CN755" s="2372"/>
      <c r="CO755" s="2372"/>
      <c r="CP755" s="2372"/>
      <c r="CQ755" s="2372"/>
      <c r="CR755" s="2372"/>
      <c r="CS755" s="2372"/>
      <c r="CT755" s="2372"/>
      <c r="CU755" s="2372"/>
      <c r="CV755" s="2372"/>
      <c r="CW755" s="2372"/>
      <c r="CX755" s="2372"/>
      <c r="CY755" s="2372"/>
      <c r="CZ755" s="2372"/>
      <c r="DA755" s="2372"/>
    </row>
    <row r="756" spans="1:105" ht="15" hidden="1" customHeight="1">
      <c r="A756" s="2372"/>
      <c r="B756" s="2372"/>
      <c r="C756" s="2372"/>
      <c r="D756" s="2372"/>
      <c r="E756" s="2372"/>
      <c r="F756" s="2372"/>
      <c r="G756" s="2372"/>
      <c r="H756" s="2372"/>
      <c r="I756" s="2372"/>
      <c r="J756" s="2372"/>
      <c r="K756" s="2372"/>
      <c r="L756" s="2372"/>
      <c r="M756" s="2372"/>
      <c r="N756" s="2372"/>
      <c r="O756" s="2372"/>
      <c r="P756" s="2372"/>
      <c r="Q756" s="2372"/>
      <c r="R756" s="2372"/>
      <c r="S756" s="2372"/>
      <c r="T756" s="2372"/>
      <c r="U756" s="2372"/>
      <c r="V756" s="2372"/>
      <c r="W756" s="2372"/>
      <c r="X756" s="2372"/>
      <c r="Y756" s="2372"/>
      <c r="Z756" s="2372"/>
      <c r="AA756" s="2372"/>
      <c r="AB756" s="2372"/>
      <c r="AC756" s="2372"/>
      <c r="AD756" s="2372"/>
      <c r="AE756" s="2372"/>
      <c r="AF756" s="2372"/>
      <c r="AG756" s="2372"/>
      <c r="AH756" s="2372"/>
      <c r="AI756" s="2372"/>
      <c r="AJ756" s="2372"/>
      <c r="AK756" s="2372"/>
      <c r="AL756" s="2372"/>
      <c r="AM756" s="2372"/>
      <c r="AN756" s="2372"/>
      <c r="AO756" s="2372"/>
      <c r="AP756" s="2372"/>
      <c r="AQ756" s="2372"/>
      <c r="AR756" s="2372"/>
      <c r="AS756" s="2372"/>
      <c r="AT756" s="2372"/>
      <c r="AU756" s="2372"/>
      <c r="AV756" s="2372"/>
      <c r="AW756" s="2372"/>
      <c r="AX756" s="2372"/>
      <c r="AY756" s="2372"/>
      <c r="AZ756" s="2372"/>
      <c r="BA756" s="2372"/>
      <c r="BB756" s="2372"/>
      <c r="BC756" s="2372"/>
      <c r="BD756" s="2372"/>
      <c r="BE756" s="2372"/>
      <c r="BF756" s="2372"/>
      <c r="BG756" s="2372"/>
      <c r="BH756" s="2372"/>
      <c r="BI756" s="2372"/>
      <c r="BJ756" s="2372"/>
      <c r="BK756" s="2372"/>
      <c r="BL756" s="2372"/>
      <c r="BM756" s="2372"/>
      <c r="BN756" s="2372"/>
      <c r="BO756" s="2372"/>
      <c r="BP756" s="2372"/>
      <c r="BQ756" s="2372"/>
      <c r="BR756" s="2372"/>
      <c r="BS756" s="2372"/>
      <c r="BT756" s="2372"/>
      <c r="BU756" s="2372"/>
      <c r="BV756" s="2372"/>
      <c r="BW756" s="2372"/>
      <c r="BX756" s="2372"/>
      <c r="BY756" s="2372"/>
      <c r="BZ756" s="2372"/>
      <c r="CA756" s="2372"/>
      <c r="CB756" s="2372"/>
      <c r="CC756" s="2372"/>
      <c r="CD756" s="2372"/>
      <c r="CE756" s="2372"/>
      <c r="CF756" s="2372"/>
      <c r="CG756" s="2372"/>
      <c r="CH756" s="2372"/>
      <c r="CI756" s="2372"/>
      <c r="CJ756" s="2372"/>
      <c r="CK756" s="2372"/>
      <c r="CL756" s="2372"/>
      <c r="CM756" s="2372"/>
      <c r="CN756" s="2372"/>
      <c r="CO756" s="2372"/>
      <c r="CP756" s="2372"/>
      <c r="CQ756" s="2372"/>
      <c r="CR756" s="2372"/>
      <c r="CS756" s="2372"/>
      <c r="CT756" s="2372"/>
      <c r="CU756" s="2372"/>
      <c r="CV756" s="2372"/>
      <c r="CW756" s="2372"/>
      <c r="CX756" s="2372"/>
      <c r="CY756" s="2372"/>
      <c r="CZ756" s="2372"/>
      <c r="DA756" s="2372"/>
    </row>
    <row r="757" spans="1:105" ht="15" hidden="1" customHeight="1">
      <c r="A757" s="2372"/>
      <c r="B757" s="2372"/>
      <c r="C757" s="2372"/>
      <c r="D757" s="2372"/>
      <c r="E757" s="2372"/>
      <c r="F757" s="2372"/>
      <c r="G757" s="2372"/>
      <c r="H757" s="2372"/>
      <c r="I757" s="2372"/>
      <c r="J757" s="2372"/>
      <c r="K757" s="2372"/>
      <c r="L757" s="2372"/>
      <c r="M757" s="2372"/>
      <c r="N757" s="2372"/>
      <c r="O757" s="2372"/>
      <c r="P757" s="2372"/>
      <c r="Q757" s="2372"/>
      <c r="R757" s="2372"/>
      <c r="S757" s="2372"/>
      <c r="T757" s="2372"/>
      <c r="U757" s="2372"/>
      <c r="V757" s="2372"/>
      <c r="W757" s="2372"/>
      <c r="X757" s="2372"/>
      <c r="Y757" s="2372"/>
      <c r="Z757" s="2372"/>
      <c r="AA757" s="2372"/>
      <c r="AB757" s="2372"/>
      <c r="AC757" s="2372"/>
      <c r="AD757" s="2372"/>
      <c r="AE757" s="2372"/>
      <c r="AF757" s="2372"/>
      <c r="AG757" s="2372"/>
      <c r="AH757" s="2372"/>
      <c r="AI757" s="2372"/>
      <c r="AJ757" s="2372"/>
      <c r="AK757" s="2372"/>
      <c r="AL757" s="2372"/>
      <c r="AM757" s="2372"/>
      <c r="AN757" s="2372"/>
      <c r="AO757" s="2372"/>
      <c r="AP757" s="2372"/>
      <c r="AQ757" s="2372"/>
      <c r="AR757" s="2372"/>
      <c r="AS757" s="2372"/>
      <c r="AT757" s="2372"/>
      <c r="AU757" s="2372"/>
      <c r="AV757" s="2372"/>
      <c r="AW757" s="2372"/>
      <c r="AX757" s="2372"/>
      <c r="AY757" s="2372"/>
      <c r="AZ757" s="2372"/>
      <c r="BA757" s="2372"/>
      <c r="BB757" s="2372"/>
      <c r="BC757" s="2372"/>
      <c r="BD757" s="2372"/>
      <c r="BE757" s="2372"/>
      <c r="BF757" s="2372"/>
      <c r="BG757" s="2372"/>
      <c r="BH757" s="2372"/>
      <c r="BI757" s="2372"/>
      <c r="BJ757" s="2372"/>
      <c r="BK757" s="2372"/>
      <c r="BL757" s="2372"/>
      <c r="BM757" s="2372"/>
      <c r="BN757" s="2372"/>
      <c r="BO757" s="2372"/>
      <c r="BP757" s="2372"/>
      <c r="BQ757" s="2372"/>
      <c r="BR757" s="2372"/>
      <c r="BS757" s="2372"/>
      <c r="BT757" s="2372"/>
      <c r="BU757" s="2372"/>
      <c r="BV757" s="2372"/>
      <c r="BW757" s="2372"/>
      <c r="BX757" s="2372"/>
      <c r="BY757" s="2372"/>
      <c r="BZ757" s="2372"/>
      <c r="CA757" s="2372"/>
      <c r="CB757" s="2372"/>
      <c r="CC757" s="2372"/>
      <c r="CD757" s="2372"/>
      <c r="CE757" s="2372"/>
      <c r="CF757" s="2372"/>
      <c r="CG757" s="2372"/>
      <c r="CH757" s="2372"/>
      <c r="CI757" s="2372"/>
      <c r="CJ757" s="2372"/>
      <c r="CK757" s="2372"/>
      <c r="CL757" s="2372"/>
      <c r="CM757" s="2372"/>
      <c r="CN757" s="2372"/>
      <c r="CO757" s="2372"/>
      <c r="CP757" s="2372"/>
      <c r="CQ757" s="2372"/>
      <c r="CR757" s="2372"/>
      <c r="CS757" s="2372"/>
      <c r="CT757" s="2372"/>
      <c r="CU757" s="2372"/>
      <c r="CV757" s="2372"/>
      <c r="CW757" s="2372"/>
      <c r="CX757" s="2372"/>
      <c r="CY757" s="2372"/>
      <c r="CZ757" s="2372"/>
      <c r="DA757" s="2372"/>
    </row>
    <row r="758" spans="1:105" ht="15" hidden="1" customHeight="1">
      <c r="A758" s="2372"/>
      <c r="B758" s="2372"/>
      <c r="C758" s="2372"/>
      <c r="D758" s="2372"/>
      <c r="E758" s="2372"/>
      <c r="F758" s="2372"/>
      <c r="G758" s="2372"/>
      <c r="H758" s="2372"/>
      <c r="I758" s="2372"/>
      <c r="J758" s="2372"/>
      <c r="K758" s="2372"/>
      <c r="L758" s="2372"/>
      <c r="M758" s="2372"/>
      <c r="N758" s="2372"/>
      <c r="O758" s="2372"/>
      <c r="P758" s="2372"/>
      <c r="Q758" s="2372"/>
      <c r="R758" s="2372"/>
      <c r="S758" s="2372"/>
      <c r="T758" s="2372"/>
      <c r="U758" s="2372"/>
      <c r="V758" s="2372"/>
      <c r="W758" s="2372"/>
      <c r="X758" s="2372"/>
      <c r="Y758" s="2372"/>
      <c r="Z758" s="2372"/>
      <c r="AA758" s="2372"/>
      <c r="AB758" s="2372"/>
      <c r="AC758" s="2372"/>
      <c r="AD758" s="2372"/>
      <c r="AE758" s="2372"/>
      <c r="AF758" s="2372"/>
      <c r="AG758" s="2372"/>
      <c r="AH758" s="2372"/>
      <c r="AI758" s="2372"/>
      <c r="AJ758" s="2372"/>
      <c r="AK758" s="2372"/>
      <c r="AL758" s="2372"/>
      <c r="AM758" s="2372"/>
      <c r="AN758" s="2372"/>
      <c r="AO758" s="2372"/>
      <c r="AP758" s="2372"/>
      <c r="AQ758" s="2372"/>
      <c r="AR758" s="2372"/>
      <c r="AS758" s="2372"/>
      <c r="AT758" s="2372"/>
      <c r="AU758" s="2372"/>
      <c r="AV758" s="2372"/>
      <c r="AW758" s="2372"/>
      <c r="AX758" s="2372"/>
      <c r="AY758" s="2372"/>
      <c r="AZ758" s="2372"/>
      <c r="BA758" s="2372"/>
      <c r="BB758" s="2372"/>
      <c r="BC758" s="2372"/>
      <c r="BD758" s="2372"/>
      <c r="BE758" s="2372"/>
      <c r="BF758" s="2372"/>
      <c r="BG758" s="2372"/>
      <c r="BH758" s="2372"/>
      <c r="BI758" s="2372"/>
      <c r="BJ758" s="2372"/>
      <c r="BK758" s="2372"/>
      <c r="BL758" s="2372"/>
      <c r="BM758" s="2372"/>
      <c r="BN758" s="2372"/>
      <c r="BO758" s="2372"/>
      <c r="BP758" s="2372"/>
      <c r="BQ758" s="2372"/>
      <c r="BR758" s="2372"/>
      <c r="BS758" s="2372"/>
      <c r="BT758" s="2372"/>
      <c r="BU758" s="2372"/>
      <c r="BV758" s="2372"/>
      <c r="BW758" s="2372"/>
      <c r="BX758" s="2372"/>
      <c r="BY758" s="2372"/>
      <c r="BZ758" s="2372"/>
      <c r="CA758" s="2372"/>
      <c r="CB758" s="2372"/>
      <c r="CC758" s="2372"/>
      <c r="CD758" s="2372"/>
      <c r="CE758" s="2372"/>
      <c r="CF758" s="2372"/>
      <c r="CG758" s="2372"/>
      <c r="CH758" s="2372"/>
      <c r="CI758" s="2372"/>
      <c r="CJ758" s="2372"/>
      <c r="CK758" s="2372"/>
      <c r="CL758" s="2372"/>
      <c r="CM758" s="2372"/>
      <c r="CN758" s="2372"/>
      <c r="CO758" s="2372"/>
      <c r="CP758" s="2372"/>
      <c r="CQ758" s="2372"/>
      <c r="CR758" s="2372"/>
      <c r="CS758" s="2372"/>
      <c r="CT758" s="2372"/>
      <c r="CU758" s="2372"/>
      <c r="CV758" s="2372"/>
      <c r="CW758" s="2372"/>
      <c r="CX758" s="2372"/>
      <c r="CY758" s="2372"/>
      <c r="CZ758" s="2372"/>
      <c r="DA758" s="2372"/>
    </row>
    <row r="759" spans="1:105" ht="15" hidden="1" customHeight="1">
      <c r="A759" s="2372"/>
      <c r="B759" s="2372"/>
      <c r="C759" s="2372"/>
      <c r="D759" s="2372"/>
      <c r="E759" s="2372"/>
      <c r="F759" s="2372"/>
      <c r="G759" s="2372"/>
      <c r="H759" s="2372"/>
      <c r="I759" s="2372"/>
      <c r="J759" s="2372"/>
      <c r="K759" s="2372"/>
      <c r="L759" s="2372"/>
      <c r="M759" s="2372"/>
      <c r="N759" s="2372"/>
      <c r="O759" s="2372"/>
      <c r="P759" s="2372"/>
      <c r="Q759" s="2372"/>
      <c r="R759" s="2372"/>
      <c r="S759" s="2372"/>
      <c r="T759" s="2372"/>
      <c r="U759" s="2372"/>
      <c r="V759" s="2372"/>
      <c r="W759" s="2372"/>
      <c r="X759" s="2372"/>
      <c r="Y759" s="2372"/>
      <c r="Z759" s="2372"/>
      <c r="AA759" s="2372"/>
      <c r="AB759" s="2372"/>
      <c r="AC759" s="2372"/>
      <c r="AD759" s="2372"/>
      <c r="AE759" s="2372"/>
      <c r="AF759" s="2372"/>
      <c r="AG759" s="2372"/>
      <c r="AH759" s="2372"/>
      <c r="AI759" s="2372"/>
      <c r="AJ759" s="2372"/>
      <c r="AK759" s="2372"/>
      <c r="AL759" s="2372"/>
      <c r="AM759" s="2372"/>
      <c r="AN759" s="2372"/>
      <c r="AO759" s="2372"/>
      <c r="AP759" s="2372"/>
      <c r="AQ759" s="2372"/>
      <c r="AR759" s="2372"/>
      <c r="AS759" s="2372"/>
      <c r="AT759" s="2372"/>
      <c r="AU759" s="2372"/>
      <c r="AV759" s="2372"/>
      <c r="AW759" s="2372"/>
      <c r="AX759" s="2372"/>
      <c r="AY759" s="2372"/>
      <c r="AZ759" s="2372"/>
      <c r="BA759" s="2372"/>
      <c r="BB759" s="2372"/>
      <c r="BC759" s="2372"/>
      <c r="BD759" s="2372"/>
      <c r="BE759" s="2372"/>
      <c r="BF759" s="2372"/>
      <c r="BG759" s="2372"/>
      <c r="BH759" s="2372"/>
      <c r="BI759" s="2372"/>
      <c r="BJ759" s="2372"/>
      <c r="BK759" s="2372"/>
      <c r="BL759" s="2372"/>
      <c r="BM759" s="2372"/>
      <c r="BN759" s="2372"/>
      <c r="BO759" s="2372"/>
      <c r="BP759" s="2372"/>
      <c r="BQ759" s="2372"/>
      <c r="BR759" s="2372"/>
      <c r="BS759" s="2372"/>
      <c r="BT759" s="2372"/>
      <c r="BU759" s="2372"/>
      <c r="BV759" s="2372"/>
      <c r="BW759" s="2372"/>
      <c r="BX759" s="2372"/>
      <c r="BY759" s="2372"/>
      <c r="BZ759" s="2372"/>
      <c r="CA759" s="2372"/>
      <c r="CB759" s="2372"/>
      <c r="CC759" s="2372"/>
      <c r="CD759" s="2372"/>
      <c r="CE759" s="2372"/>
      <c r="CF759" s="2372"/>
      <c r="CG759" s="2372"/>
      <c r="CH759" s="2372"/>
      <c r="CI759" s="2372"/>
      <c r="CJ759" s="2372"/>
      <c r="CK759" s="2372"/>
      <c r="CL759" s="2372"/>
      <c r="CM759" s="2372"/>
      <c r="CN759" s="2372"/>
      <c r="CO759" s="2372"/>
      <c r="CP759" s="2372"/>
      <c r="CQ759" s="2372"/>
      <c r="CR759" s="2372"/>
      <c r="CS759" s="2372"/>
      <c r="CT759" s="2372"/>
      <c r="CU759" s="2372"/>
      <c r="CV759" s="2372"/>
      <c r="CW759" s="2372"/>
      <c r="CX759" s="2372"/>
      <c r="CY759" s="2372"/>
      <c r="CZ759" s="2372"/>
      <c r="DA759" s="2372"/>
    </row>
    <row r="760" spans="1:105" ht="15" hidden="1" customHeight="1">
      <c r="A760" s="2372"/>
      <c r="B760" s="2372"/>
      <c r="C760" s="2372"/>
      <c r="D760" s="2372"/>
      <c r="E760" s="2372"/>
      <c r="F760" s="2372"/>
      <c r="G760" s="2372"/>
      <c r="H760" s="2372"/>
      <c r="I760" s="2372"/>
      <c r="J760" s="2372"/>
      <c r="K760" s="2372"/>
      <c r="L760" s="2372"/>
      <c r="M760" s="2372"/>
      <c r="N760" s="2372"/>
      <c r="O760" s="2372"/>
      <c r="P760" s="2372"/>
      <c r="Q760" s="2372"/>
      <c r="R760" s="2372"/>
      <c r="S760" s="2372"/>
      <c r="T760" s="2372"/>
      <c r="U760" s="2372"/>
      <c r="V760" s="2372"/>
      <c r="W760" s="2372"/>
      <c r="X760" s="2372"/>
      <c r="Y760" s="2372"/>
      <c r="Z760" s="2372"/>
      <c r="AA760" s="2372"/>
      <c r="AB760" s="2372"/>
      <c r="AC760" s="2372"/>
      <c r="AD760" s="2372"/>
      <c r="AE760" s="2372"/>
      <c r="AF760" s="2372"/>
      <c r="AG760" s="2372"/>
      <c r="AH760" s="2372"/>
      <c r="AI760" s="2372"/>
      <c r="AJ760" s="2372"/>
      <c r="AK760" s="2372"/>
      <c r="AL760" s="2372"/>
      <c r="AM760" s="2372"/>
      <c r="AN760" s="2372"/>
      <c r="AO760" s="2372"/>
      <c r="AP760" s="2372"/>
      <c r="AQ760" s="2372"/>
      <c r="AR760" s="2372"/>
      <c r="AS760" s="2372"/>
      <c r="AT760" s="2372"/>
      <c r="AU760" s="2372"/>
      <c r="AV760" s="2372"/>
      <c r="AW760" s="2372"/>
      <c r="AX760" s="2372"/>
      <c r="AY760" s="2372"/>
      <c r="AZ760" s="2372"/>
      <c r="BA760" s="2372"/>
      <c r="BB760" s="2372"/>
      <c r="BC760" s="2372"/>
      <c r="BD760" s="2372"/>
      <c r="BE760" s="2372"/>
      <c r="BF760" s="2372"/>
      <c r="BG760" s="2372"/>
      <c r="BH760" s="2372"/>
      <c r="BI760" s="2372"/>
      <c r="BJ760" s="2372"/>
      <c r="BK760" s="2372"/>
      <c r="BL760" s="2372"/>
      <c r="BM760" s="2372"/>
      <c r="BN760" s="2372"/>
      <c r="BO760" s="2372"/>
      <c r="BP760" s="2372"/>
      <c r="BQ760" s="2372"/>
      <c r="BR760" s="2372"/>
      <c r="BS760" s="2372"/>
      <c r="BT760" s="2372"/>
      <c r="BU760" s="2372"/>
      <c r="BV760" s="2372"/>
      <c r="BW760" s="2372"/>
      <c r="BX760" s="2372"/>
      <c r="BY760" s="2372"/>
      <c r="BZ760" s="2372"/>
      <c r="CA760" s="2372"/>
      <c r="CB760" s="2372"/>
      <c r="CC760" s="2372"/>
      <c r="CD760" s="2372"/>
      <c r="CE760" s="2372"/>
      <c r="CF760" s="2372"/>
      <c r="CG760" s="2372"/>
      <c r="CH760" s="2372"/>
      <c r="CI760" s="2372"/>
      <c r="CJ760" s="2372"/>
      <c r="CK760" s="2372"/>
      <c r="CL760" s="2372"/>
      <c r="CM760" s="2372"/>
      <c r="CN760" s="2372"/>
      <c r="CO760" s="2372"/>
      <c r="CP760" s="2372"/>
      <c r="CQ760" s="2372"/>
      <c r="CR760" s="2372"/>
      <c r="CS760" s="2372"/>
      <c r="CT760" s="2372"/>
      <c r="CU760" s="2372"/>
      <c r="CV760" s="2372"/>
      <c r="CW760" s="2372"/>
      <c r="CX760" s="2372"/>
      <c r="CY760" s="2372"/>
      <c r="CZ760" s="2372"/>
      <c r="DA760" s="2372"/>
    </row>
    <row r="761" spans="1:105" ht="15" hidden="1" customHeight="1">
      <c r="A761" s="2372"/>
      <c r="B761" s="2372"/>
      <c r="C761" s="2372"/>
      <c r="D761" s="2372"/>
      <c r="E761" s="2372"/>
      <c r="F761" s="2372"/>
      <c r="G761" s="2372"/>
      <c r="H761" s="2372"/>
      <c r="I761" s="2372"/>
      <c r="J761" s="2372"/>
      <c r="K761" s="2372"/>
      <c r="L761" s="2372"/>
      <c r="M761" s="2372"/>
      <c r="N761" s="2372"/>
      <c r="O761" s="2372"/>
      <c r="P761" s="2372"/>
      <c r="Q761" s="2372"/>
      <c r="R761" s="2372"/>
      <c r="S761" s="2372"/>
      <c r="T761" s="2372"/>
      <c r="U761" s="2372"/>
      <c r="V761" s="2372"/>
      <c r="W761" s="2372"/>
      <c r="X761" s="2372"/>
      <c r="Y761" s="2372"/>
      <c r="Z761" s="2372"/>
      <c r="AA761" s="2372"/>
      <c r="AB761" s="2372"/>
      <c r="AC761" s="2372"/>
      <c r="AD761" s="2372"/>
      <c r="AE761" s="2372"/>
      <c r="AF761" s="2372"/>
      <c r="AG761" s="2372"/>
      <c r="AH761" s="2372"/>
      <c r="AI761" s="2372"/>
      <c r="AJ761" s="2372"/>
      <c r="AK761" s="2372"/>
      <c r="AL761" s="2372"/>
      <c r="AM761" s="2372"/>
      <c r="AN761" s="2372"/>
      <c r="AO761" s="2372"/>
      <c r="AP761" s="2372"/>
      <c r="AQ761" s="2372"/>
      <c r="AR761" s="2372"/>
      <c r="AS761" s="2372"/>
      <c r="AT761" s="2372"/>
      <c r="AU761" s="2372"/>
      <c r="AV761" s="2372"/>
      <c r="AW761" s="2372"/>
      <c r="AX761" s="2372"/>
      <c r="AY761" s="2372"/>
      <c r="AZ761" s="2372"/>
      <c r="BA761" s="2372"/>
      <c r="BB761" s="2372"/>
      <c r="BC761" s="2372"/>
      <c r="BD761" s="2372"/>
      <c r="BE761" s="2372"/>
      <c r="BF761" s="2372"/>
      <c r="BG761" s="2372"/>
      <c r="BH761" s="2372"/>
      <c r="BI761" s="2372"/>
      <c r="BJ761" s="2372"/>
      <c r="BK761" s="2372"/>
      <c r="BL761" s="2372"/>
      <c r="BM761" s="2372"/>
      <c r="BN761" s="2372"/>
      <c r="BO761" s="2372"/>
      <c r="BP761" s="2372"/>
      <c r="BQ761" s="2372"/>
      <c r="BR761" s="2372"/>
      <c r="BS761" s="2372"/>
      <c r="BT761" s="2372"/>
      <c r="BU761" s="2372"/>
      <c r="BV761" s="2372"/>
      <c r="BW761" s="2372"/>
      <c r="BX761" s="2372"/>
      <c r="BY761" s="2372"/>
      <c r="BZ761" s="2372"/>
      <c r="CA761" s="2372"/>
      <c r="CB761" s="2372"/>
      <c r="CC761" s="2372"/>
      <c r="CD761" s="2372"/>
      <c r="CE761" s="2372"/>
      <c r="CF761" s="2372"/>
      <c r="CG761" s="2372"/>
      <c r="CH761" s="2372"/>
      <c r="CI761" s="2372"/>
      <c r="CJ761" s="2372"/>
      <c r="CK761" s="2372"/>
      <c r="CL761" s="2372"/>
      <c r="CM761" s="2372"/>
      <c r="CN761" s="2372"/>
      <c r="CO761" s="2372"/>
      <c r="CP761" s="2372"/>
      <c r="CQ761" s="2372"/>
      <c r="CR761" s="2372"/>
      <c r="CS761" s="2372"/>
      <c r="CT761" s="2372"/>
      <c r="CU761" s="2372"/>
      <c r="CV761" s="2372"/>
      <c r="CW761" s="2372"/>
      <c r="CX761" s="2372"/>
      <c r="CY761" s="2372"/>
      <c r="CZ761" s="2372"/>
      <c r="DA761" s="2372"/>
    </row>
    <row r="762" spans="1:105" ht="15" hidden="1" customHeight="1">
      <c r="A762" s="2372"/>
      <c r="B762" s="2372"/>
      <c r="C762" s="2372"/>
      <c r="D762" s="2372"/>
      <c r="E762" s="2372"/>
      <c r="F762" s="2372"/>
      <c r="G762" s="2372"/>
      <c r="H762" s="2372"/>
      <c r="I762" s="2372"/>
      <c r="J762" s="2372"/>
      <c r="K762" s="2372"/>
      <c r="L762" s="2372"/>
      <c r="M762" s="2372"/>
      <c r="N762" s="2372"/>
      <c r="O762" s="2372"/>
      <c r="P762" s="2372"/>
      <c r="Q762" s="2372"/>
      <c r="R762" s="2372"/>
      <c r="S762" s="2372"/>
      <c r="T762" s="2372"/>
      <c r="U762" s="2372"/>
      <c r="V762" s="2372"/>
      <c r="W762" s="2372"/>
      <c r="X762" s="2372"/>
      <c r="Y762" s="2372"/>
      <c r="Z762" s="2372"/>
      <c r="AA762" s="2372"/>
      <c r="AB762" s="2372"/>
      <c r="AC762" s="2372"/>
      <c r="AD762" s="2372"/>
      <c r="AE762" s="2372"/>
      <c r="AF762" s="2372"/>
      <c r="AG762" s="2372"/>
      <c r="AH762" s="2372"/>
      <c r="AI762" s="2372"/>
      <c r="AJ762" s="2372"/>
      <c r="AK762" s="2372"/>
      <c r="AL762" s="2372"/>
      <c r="AM762" s="2372"/>
      <c r="AN762" s="2372"/>
      <c r="AO762" s="2372"/>
      <c r="AP762" s="2372"/>
      <c r="AQ762" s="2372"/>
      <c r="AR762" s="2372"/>
      <c r="AS762" s="2372"/>
      <c r="AT762" s="2372"/>
      <c r="AU762" s="2372"/>
      <c r="AV762" s="2372"/>
      <c r="AW762" s="2372"/>
      <c r="AX762" s="2372"/>
      <c r="AY762" s="2372"/>
      <c r="AZ762" s="2372"/>
      <c r="BA762" s="2372"/>
      <c r="BB762" s="2372"/>
      <c r="BC762" s="2372"/>
      <c r="BD762" s="2372"/>
      <c r="BE762" s="2372"/>
      <c r="BF762" s="2372"/>
      <c r="BG762" s="2372"/>
      <c r="BH762" s="2372"/>
      <c r="BI762" s="2372"/>
      <c r="BJ762" s="2372"/>
      <c r="BK762" s="2372"/>
      <c r="BL762" s="2372"/>
      <c r="BM762" s="2372"/>
      <c r="BN762" s="2372"/>
      <c r="BO762" s="2372"/>
      <c r="BP762" s="2372"/>
      <c r="BQ762" s="2372"/>
      <c r="BR762" s="2372"/>
      <c r="BS762" s="2372"/>
      <c r="BT762" s="2372"/>
      <c r="BU762" s="2372"/>
      <c r="BV762" s="2372"/>
      <c r="BW762" s="2372"/>
      <c r="BX762" s="2372"/>
      <c r="BY762" s="2372"/>
      <c r="BZ762" s="2372"/>
      <c r="CA762" s="2372"/>
      <c r="CB762" s="2372"/>
      <c r="CC762" s="2372"/>
      <c r="CD762" s="2372"/>
      <c r="CE762" s="2372"/>
      <c r="CF762" s="2372"/>
      <c r="CG762" s="2372"/>
      <c r="CH762" s="2372"/>
      <c r="CI762" s="2372"/>
      <c r="CJ762" s="2372"/>
      <c r="CK762" s="2372"/>
      <c r="CL762" s="2372"/>
      <c r="CM762" s="2372"/>
      <c r="CN762" s="2372"/>
      <c r="CO762" s="2372"/>
      <c r="CP762" s="2372"/>
      <c r="CQ762" s="2372"/>
      <c r="CR762" s="2372"/>
      <c r="CS762" s="2372"/>
      <c r="CT762" s="2372"/>
      <c r="CU762" s="2372"/>
      <c r="CV762" s="2372"/>
      <c r="CW762" s="2372"/>
      <c r="CX762" s="2372"/>
      <c r="CY762" s="2372"/>
      <c r="CZ762" s="2372"/>
      <c r="DA762" s="2372"/>
    </row>
    <row r="763" spans="1:105" ht="15" hidden="1" customHeight="1">
      <c r="A763" s="2372"/>
      <c r="B763" s="2372"/>
      <c r="C763" s="2372"/>
      <c r="D763" s="2372"/>
      <c r="E763" s="2372"/>
      <c r="F763" s="2372"/>
      <c r="G763" s="2372"/>
      <c r="H763" s="2372"/>
      <c r="I763" s="2372"/>
      <c r="J763" s="2372"/>
      <c r="K763" s="2372"/>
      <c r="L763" s="2372"/>
      <c r="M763" s="2372"/>
      <c r="N763" s="2372"/>
      <c r="O763" s="2372"/>
      <c r="P763" s="2372"/>
      <c r="Q763" s="2372"/>
      <c r="R763" s="2372"/>
      <c r="S763" s="2372"/>
      <c r="T763" s="2372"/>
      <c r="U763" s="2372"/>
      <c r="V763" s="2372"/>
      <c r="W763" s="2372"/>
      <c r="X763" s="2372"/>
      <c r="Y763" s="2372"/>
      <c r="Z763" s="2372"/>
      <c r="AA763" s="2372"/>
      <c r="AB763" s="2372"/>
      <c r="AC763" s="2372"/>
      <c r="AD763" s="2372"/>
      <c r="AE763" s="2372"/>
      <c r="AF763" s="2372"/>
      <c r="AG763" s="2372"/>
      <c r="AH763" s="2372"/>
      <c r="AI763" s="2372"/>
      <c r="AJ763" s="2372"/>
      <c r="AK763" s="2372"/>
      <c r="AL763" s="2372"/>
      <c r="AM763" s="2372"/>
      <c r="AN763" s="2372"/>
      <c r="AO763" s="2372"/>
      <c r="AP763" s="2372"/>
      <c r="AQ763" s="2372"/>
      <c r="AR763" s="2372"/>
      <c r="AS763" s="2372"/>
      <c r="AT763" s="2372"/>
      <c r="AU763" s="2372"/>
      <c r="AV763" s="2372"/>
      <c r="AW763" s="2372"/>
      <c r="AX763" s="2372"/>
      <c r="AY763" s="2372"/>
      <c r="AZ763" s="2372"/>
      <c r="BA763" s="2372"/>
      <c r="BB763" s="2372"/>
      <c r="BC763" s="2372"/>
      <c r="BD763" s="2372"/>
      <c r="BE763" s="2372"/>
      <c r="BF763" s="2372"/>
      <c r="BG763" s="2372"/>
      <c r="BH763" s="2372"/>
      <c r="BI763" s="2372"/>
      <c r="BJ763" s="2372"/>
      <c r="BK763" s="2372"/>
      <c r="BL763" s="2372"/>
      <c r="BM763" s="2372"/>
      <c r="BN763" s="2372"/>
      <c r="BO763" s="2372"/>
      <c r="BP763" s="2372"/>
      <c r="BQ763" s="2372"/>
      <c r="BR763" s="2372"/>
      <c r="BS763" s="2372"/>
      <c r="BT763" s="2372"/>
      <c r="BU763" s="2372"/>
      <c r="BV763" s="2372"/>
      <c r="BW763" s="2372"/>
      <c r="BX763" s="2372"/>
      <c r="BY763" s="2372"/>
      <c r="BZ763" s="2372"/>
      <c r="CA763" s="2372"/>
      <c r="CB763" s="2372"/>
      <c r="CC763" s="2372"/>
      <c r="CD763" s="2372"/>
      <c r="CE763" s="2372"/>
      <c r="CF763" s="2372"/>
      <c r="CG763" s="2372"/>
      <c r="CH763" s="2372"/>
      <c r="CI763" s="2372"/>
      <c r="CJ763" s="2372"/>
      <c r="CK763" s="2372"/>
      <c r="CL763" s="2372"/>
      <c r="CM763" s="2372"/>
      <c r="CN763" s="2372"/>
      <c r="CO763" s="2372"/>
      <c r="CP763" s="2372"/>
      <c r="CQ763" s="2372"/>
      <c r="CR763" s="2372"/>
      <c r="CS763" s="2372"/>
      <c r="CT763" s="2372"/>
      <c r="CU763" s="2372"/>
      <c r="CV763" s="2372"/>
      <c r="CW763" s="2372"/>
      <c r="CX763" s="2372"/>
      <c r="CY763" s="2372"/>
      <c r="CZ763" s="2372"/>
      <c r="DA763" s="2372"/>
    </row>
    <row r="764" spans="1:105" ht="15" hidden="1" customHeight="1">
      <c r="A764" s="2372"/>
      <c r="B764" s="2372"/>
      <c r="C764" s="2372"/>
      <c r="D764" s="2372"/>
      <c r="E764" s="2372"/>
      <c r="F764" s="2372"/>
      <c r="G764" s="2372"/>
      <c r="H764" s="2372"/>
      <c r="I764" s="2372"/>
      <c r="J764" s="2372"/>
      <c r="K764" s="2372"/>
      <c r="L764" s="2372"/>
      <c r="M764" s="2372"/>
      <c r="N764" s="2372"/>
      <c r="O764" s="2372"/>
      <c r="P764" s="2372"/>
      <c r="Q764" s="2372"/>
      <c r="R764" s="2372"/>
      <c r="S764" s="2372"/>
      <c r="T764" s="2372"/>
      <c r="U764" s="2372"/>
      <c r="V764" s="2372"/>
      <c r="W764" s="2372"/>
      <c r="X764" s="2372"/>
      <c r="Y764" s="2372"/>
      <c r="Z764" s="2372"/>
      <c r="AA764" s="2372"/>
      <c r="AB764" s="2372"/>
      <c r="AC764" s="2372"/>
      <c r="AD764" s="2372"/>
      <c r="AE764" s="2372"/>
      <c r="AF764" s="2372"/>
      <c r="AG764" s="2372"/>
      <c r="AH764" s="2372"/>
      <c r="AI764" s="2372"/>
      <c r="AJ764" s="2372"/>
      <c r="AK764" s="2372"/>
      <c r="AL764" s="2372"/>
      <c r="AM764" s="2372"/>
      <c r="AN764" s="2372"/>
      <c r="AO764" s="2372"/>
      <c r="AP764" s="2372"/>
      <c r="AQ764" s="2372"/>
      <c r="AR764" s="2372"/>
      <c r="AS764" s="2372"/>
      <c r="AT764" s="2372"/>
      <c r="AU764" s="2372"/>
      <c r="AV764" s="2372"/>
      <c r="AW764" s="2372"/>
      <c r="AX764" s="2372"/>
      <c r="AY764" s="2372"/>
      <c r="AZ764" s="2372"/>
      <c r="BA764" s="2372"/>
      <c r="BB764" s="2372"/>
      <c r="BC764" s="2372"/>
      <c r="BD764" s="2372"/>
      <c r="BE764" s="2372"/>
      <c r="BF764" s="2372"/>
      <c r="BG764" s="2372"/>
      <c r="BH764" s="2372"/>
      <c r="BI764" s="2372"/>
      <c r="BJ764" s="2372"/>
      <c r="BK764" s="2372"/>
      <c r="BL764" s="2372"/>
      <c r="BM764" s="2372"/>
      <c r="BN764" s="2372"/>
      <c r="BO764" s="2372"/>
      <c r="BP764" s="2372"/>
      <c r="BQ764" s="2372"/>
      <c r="BR764" s="2372"/>
      <c r="BS764" s="2372"/>
      <c r="BT764" s="2372"/>
      <c r="BU764" s="2372"/>
      <c r="BV764" s="2372"/>
      <c r="BW764" s="2372"/>
      <c r="BX764" s="2372"/>
      <c r="BY764" s="2372"/>
      <c r="BZ764" s="2372"/>
      <c r="CA764" s="2372"/>
      <c r="CB764" s="2372"/>
      <c r="CC764" s="2372"/>
      <c r="CD764" s="2372"/>
      <c r="CE764" s="2372"/>
      <c r="CF764" s="2372"/>
      <c r="CG764" s="2372"/>
      <c r="CH764" s="2372"/>
      <c r="CI764" s="2372"/>
      <c r="CJ764" s="2372"/>
      <c r="CK764" s="2372"/>
      <c r="CL764" s="2372"/>
      <c r="CM764" s="2372"/>
      <c r="CN764" s="2372"/>
      <c r="CO764" s="2372"/>
      <c r="CP764" s="2372"/>
      <c r="CQ764" s="2372"/>
      <c r="CR764" s="2372"/>
      <c r="CS764" s="2372"/>
      <c r="CT764" s="2372"/>
      <c r="CU764" s="2372"/>
      <c r="CV764" s="2372"/>
      <c r="CW764" s="2372"/>
      <c r="CX764" s="2372"/>
      <c r="CY764" s="2372"/>
      <c r="CZ764" s="2372"/>
      <c r="DA764" s="2372"/>
    </row>
    <row r="765" spans="1:105" ht="15" hidden="1" customHeight="1">
      <c r="A765" s="2372"/>
      <c r="B765" s="2372"/>
      <c r="C765" s="2372"/>
      <c r="D765" s="2372"/>
      <c r="E765" s="2372"/>
      <c r="F765" s="2372"/>
      <c r="G765" s="2372"/>
      <c r="H765" s="2372"/>
      <c r="I765" s="2372"/>
      <c r="J765" s="2372"/>
      <c r="K765" s="2372"/>
      <c r="L765" s="2372"/>
      <c r="M765" s="2372"/>
      <c r="N765" s="2372"/>
      <c r="O765" s="2372"/>
      <c r="P765" s="2372"/>
      <c r="Q765" s="2372"/>
      <c r="R765" s="2372"/>
      <c r="S765" s="2372"/>
      <c r="T765" s="2372"/>
      <c r="U765" s="2372"/>
      <c r="V765" s="2372"/>
      <c r="W765" s="2372"/>
      <c r="X765" s="2372"/>
      <c r="Y765" s="2372"/>
      <c r="Z765" s="2372"/>
      <c r="AA765" s="2372"/>
      <c r="AB765" s="2372"/>
      <c r="AC765" s="2372"/>
      <c r="AD765" s="2372"/>
      <c r="AE765" s="2372"/>
      <c r="AF765" s="2372"/>
      <c r="AG765" s="2372"/>
      <c r="AH765" s="2372"/>
      <c r="AI765" s="2372"/>
      <c r="AJ765" s="2372"/>
      <c r="AK765" s="2372"/>
      <c r="AL765" s="2372"/>
      <c r="AM765" s="2372"/>
      <c r="AN765" s="2372"/>
      <c r="AO765" s="2372"/>
      <c r="AP765" s="2372"/>
      <c r="AQ765" s="2372"/>
      <c r="AR765" s="2372"/>
      <c r="AS765" s="2372"/>
      <c r="AT765" s="2372"/>
      <c r="AU765" s="2372"/>
      <c r="AV765" s="2372"/>
      <c r="AW765" s="2372"/>
      <c r="AX765" s="2372"/>
      <c r="AY765" s="2372"/>
      <c r="AZ765" s="2372"/>
      <c r="BA765" s="2372"/>
      <c r="BB765" s="2372"/>
      <c r="BC765" s="2372"/>
      <c r="BD765" s="2372"/>
      <c r="BE765" s="2372"/>
      <c r="BF765" s="2372"/>
      <c r="BG765" s="2372"/>
      <c r="BH765" s="2372"/>
      <c r="BI765" s="2372"/>
      <c r="BJ765" s="2372"/>
      <c r="BK765" s="2372"/>
      <c r="BL765" s="2372"/>
      <c r="BM765" s="2372"/>
      <c r="BN765" s="2372"/>
      <c r="BO765" s="2372"/>
      <c r="BP765" s="2372"/>
      <c r="BQ765" s="2372"/>
      <c r="BR765" s="2372"/>
      <c r="BS765" s="2372"/>
      <c r="BT765" s="2372"/>
      <c r="BU765" s="2372"/>
      <c r="BV765" s="2372"/>
      <c r="BW765" s="2372"/>
      <c r="BX765" s="2372"/>
      <c r="BY765" s="2372"/>
      <c r="BZ765" s="2372"/>
      <c r="CA765" s="2372"/>
      <c r="CB765" s="2372"/>
      <c r="CC765" s="2372"/>
      <c r="CD765" s="2372"/>
      <c r="CE765" s="2372"/>
      <c r="CF765" s="2372"/>
      <c r="CG765" s="2372"/>
      <c r="CH765" s="2372"/>
      <c r="CI765" s="2372"/>
      <c r="CJ765" s="2372"/>
      <c r="CK765" s="2372"/>
      <c r="CL765" s="2372"/>
      <c r="CM765" s="2372"/>
      <c r="CN765" s="2372"/>
      <c r="CO765" s="2372"/>
      <c r="CP765" s="2372"/>
      <c r="CQ765" s="2372"/>
      <c r="CR765" s="2372"/>
      <c r="CS765" s="2372"/>
      <c r="CT765" s="2372"/>
      <c r="CU765" s="2372"/>
      <c r="CV765" s="2372"/>
      <c r="CW765" s="2372"/>
      <c r="CX765" s="2372"/>
      <c r="CY765" s="2372"/>
      <c r="CZ765" s="2372"/>
      <c r="DA765" s="2372"/>
    </row>
    <row r="766" spans="1:105" ht="15" hidden="1" customHeight="1">
      <c r="A766" s="2372"/>
      <c r="B766" s="2372"/>
      <c r="C766" s="2372"/>
      <c r="D766" s="2372"/>
      <c r="E766" s="2372"/>
      <c r="F766" s="2372"/>
      <c r="G766" s="2372"/>
      <c r="H766" s="2372"/>
      <c r="I766" s="2372"/>
      <c r="J766" s="2372"/>
      <c r="K766" s="2372"/>
      <c r="L766" s="2372"/>
      <c r="M766" s="2372"/>
      <c r="N766" s="2372"/>
      <c r="O766" s="2372"/>
      <c r="P766" s="2372"/>
      <c r="Q766" s="2372"/>
      <c r="R766" s="2372"/>
      <c r="S766" s="2372"/>
      <c r="T766" s="2372"/>
      <c r="U766" s="2372"/>
      <c r="V766" s="2372"/>
      <c r="W766" s="2372"/>
      <c r="X766" s="2372"/>
      <c r="Y766" s="2372"/>
      <c r="Z766" s="2372"/>
      <c r="AA766" s="2372"/>
      <c r="AB766" s="2372"/>
      <c r="AC766" s="2372"/>
      <c r="AD766" s="2372"/>
      <c r="AE766" s="2372"/>
      <c r="AF766" s="2372"/>
      <c r="AG766" s="2372"/>
      <c r="AH766" s="2372"/>
      <c r="AI766" s="2372"/>
      <c r="AJ766" s="2372"/>
      <c r="AK766" s="2372"/>
      <c r="AL766" s="2372"/>
      <c r="AM766" s="2372"/>
      <c r="AN766" s="2372"/>
      <c r="AO766" s="2372"/>
      <c r="AP766" s="2372"/>
      <c r="AQ766" s="2372"/>
      <c r="AR766" s="2372"/>
      <c r="AS766" s="2372"/>
      <c r="AT766" s="2372"/>
      <c r="AU766" s="2372"/>
      <c r="AV766" s="2372"/>
      <c r="AW766" s="2372"/>
      <c r="AX766" s="2372"/>
      <c r="AY766" s="2372"/>
      <c r="AZ766" s="2372"/>
      <c r="BA766" s="2372"/>
      <c r="BB766" s="2372"/>
      <c r="BC766" s="2372"/>
      <c r="BD766" s="2372"/>
      <c r="BE766" s="2372"/>
      <c r="BF766" s="2372"/>
      <c r="BG766" s="2372"/>
      <c r="BH766" s="2372"/>
      <c r="BI766" s="2372"/>
      <c r="BJ766" s="2372"/>
      <c r="BK766" s="2372"/>
      <c r="BL766" s="2372"/>
      <c r="BM766" s="2372"/>
      <c r="BN766" s="2372"/>
      <c r="BO766" s="2372"/>
      <c r="BP766" s="2372"/>
      <c r="BQ766" s="2372"/>
      <c r="BR766" s="2372"/>
      <c r="BS766" s="2372"/>
      <c r="BT766" s="2372"/>
      <c r="BU766" s="2372"/>
      <c r="BV766" s="2372"/>
      <c r="BW766" s="2372"/>
      <c r="BX766" s="2372"/>
      <c r="BY766" s="2372"/>
      <c r="BZ766" s="2372"/>
      <c r="CA766" s="2372"/>
      <c r="CB766" s="2372"/>
      <c r="CC766" s="2372"/>
      <c r="CD766" s="2372"/>
      <c r="CE766" s="2372"/>
      <c r="CF766" s="2372"/>
      <c r="CG766" s="2372"/>
      <c r="CH766" s="2372"/>
      <c r="CI766" s="2372"/>
      <c r="CJ766" s="2372"/>
      <c r="CK766" s="2372"/>
      <c r="CL766" s="2372"/>
      <c r="CM766" s="2372"/>
      <c r="CN766" s="2372"/>
      <c r="CO766" s="2372"/>
      <c r="CP766" s="2372"/>
      <c r="CQ766" s="2372"/>
      <c r="CR766" s="2372"/>
      <c r="CS766" s="2372"/>
      <c r="CT766" s="2372"/>
      <c r="CU766" s="2372"/>
      <c r="CV766" s="2372"/>
      <c r="CW766" s="2372"/>
      <c r="CX766" s="2372"/>
      <c r="CY766" s="2372"/>
      <c r="CZ766" s="2372"/>
      <c r="DA766" s="2372"/>
    </row>
    <row r="767" spans="1:105" ht="15" hidden="1" customHeight="1">
      <c r="A767" s="2372"/>
      <c r="B767" s="2372"/>
      <c r="C767" s="2372"/>
      <c r="D767" s="2372"/>
      <c r="E767" s="2372"/>
      <c r="F767" s="2372"/>
      <c r="G767" s="2372"/>
      <c r="H767" s="2372"/>
      <c r="I767" s="2372"/>
      <c r="J767" s="2372"/>
      <c r="K767" s="2372"/>
      <c r="L767" s="2372"/>
      <c r="M767" s="2372"/>
      <c r="N767" s="2372"/>
      <c r="O767" s="2372"/>
      <c r="P767" s="2372"/>
      <c r="Q767" s="2372"/>
      <c r="R767" s="2372"/>
      <c r="S767" s="2372"/>
      <c r="T767" s="2372"/>
      <c r="U767" s="2372"/>
      <c r="V767" s="2372"/>
      <c r="W767" s="2372"/>
      <c r="X767" s="2372"/>
      <c r="Y767" s="2372"/>
      <c r="Z767" s="2372"/>
      <c r="AA767" s="2372"/>
      <c r="AB767" s="2372"/>
      <c r="AC767" s="2372"/>
      <c r="AD767" s="2372"/>
      <c r="AE767" s="2372"/>
      <c r="AF767" s="2372"/>
      <c r="AG767" s="2372"/>
      <c r="AH767" s="2372"/>
      <c r="AI767" s="2372"/>
      <c r="AJ767" s="2372"/>
      <c r="AK767" s="2372"/>
      <c r="AL767" s="2372"/>
      <c r="AM767" s="2372"/>
      <c r="AN767" s="2372"/>
      <c r="AO767" s="2372"/>
      <c r="AP767" s="2372"/>
      <c r="AQ767" s="2372"/>
      <c r="AR767" s="2372"/>
      <c r="AS767" s="2372"/>
      <c r="AT767" s="2372"/>
      <c r="AU767" s="2372"/>
      <c r="AV767" s="2372"/>
      <c r="AW767" s="2372"/>
      <c r="AX767" s="2372"/>
      <c r="AY767" s="2372"/>
      <c r="AZ767" s="2372"/>
      <c r="BA767" s="2372"/>
      <c r="BB767" s="2372"/>
      <c r="BC767" s="2372"/>
      <c r="BD767" s="2372"/>
      <c r="BE767" s="2372"/>
      <c r="BF767" s="2372"/>
      <c r="BG767" s="2372"/>
      <c r="BH767" s="2372"/>
      <c r="BI767" s="2372"/>
      <c r="BJ767" s="2372"/>
      <c r="BK767" s="2372"/>
      <c r="BL767" s="2372"/>
      <c r="BM767" s="2372"/>
      <c r="BN767" s="2372"/>
      <c r="BO767" s="2372"/>
      <c r="BP767" s="2372"/>
      <c r="BQ767" s="2372"/>
      <c r="BR767" s="2372"/>
      <c r="BS767" s="2372"/>
      <c r="BT767" s="2372"/>
      <c r="BU767" s="2372"/>
      <c r="BV767" s="2372"/>
      <c r="BW767" s="2372"/>
      <c r="BX767" s="2372"/>
      <c r="BY767" s="2372"/>
      <c r="BZ767" s="2372"/>
      <c r="CA767" s="2372"/>
      <c r="CB767" s="2372"/>
      <c r="CC767" s="2372"/>
      <c r="CD767" s="2372"/>
      <c r="CE767" s="2372"/>
      <c r="CF767" s="2372"/>
      <c r="CG767" s="2372"/>
      <c r="CH767" s="2372"/>
      <c r="CI767" s="2372"/>
      <c r="CJ767" s="2372"/>
      <c r="CK767" s="2372"/>
      <c r="CL767" s="2372"/>
      <c r="CM767" s="2372"/>
      <c r="CN767" s="2372"/>
      <c r="CO767" s="2372"/>
      <c r="CP767" s="2372"/>
      <c r="CQ767" s="2372"/>
      <c r="CR767" s="2372"/>
      <c r="CS767" s="2372"/>
      <c r="CT767" s="2372"/>
      <c r="CU767" s="2372"/>
      <c r="CV767" s="2372"/>
      <c r="CW767" s="2372"/>
      <c r="CX767" s="2372"/>
      <c r="CY767" s="2372"/>
      <c r="CZ767" s="2372"/>
      <c r="DA767" s="2372"/>
    </row>
    <row r="768" spans="1:105" ht="15" hidden="1" customHeight="1">
      <c r="A768" s="2372"/>
      <c r="B768" s="2372"/>
      <c r="C768" s="2372"/>
      <c r="D768" s="2372"/>
      <c r="E768" s="2372"/>
      <c r="F768" s="2372"/>
      <c r="G768" s="2372"/>
      <c r="H768" s="2372"/>
      <c r="I768" s="2372"/>
      <c r="J768" s="2372"/>
      <c r="K768" s="2372"/>
      <c r="L768" s="2372"/>
      <c r="M768" s="2372"/>
      <c r="N768" s="2372"/>
      <c r="O768" s="2372"/>
      <c r="P768" s="2372"/>
      <c r="Q768" s="2372"/>
      <c r="R768" s="2372"/>
      <c r="S768" s="2372"/>
      <c r="T768" s="2372"/>
      <c r="U768" s="2372"/>
      <c r="V768" s="2372"/>
      <c r="W768" s="2372"/>
      <c r="X768" s="2372"/>
      <c r="Y768" s="2372"/>
      <c r="Z768" s="2372"/>
      <c r="AA768" s="2372"/>
      <c r="AB768" s="2372"/>
      <c r="AC768" s="2372"/>
      <c r="AD768" s="2372"/>
      <c r="AE768" s="2372"/>
      <c r="AF768" s="2372"/>
      <c r="AG768" s="2372"/>
      <c r="AH768" s="2372"/>
      <c r="AI768" s="2372"/>
      <c r="AJ768" s="2372"/>
      <c r="AK768" s="2372"/>
      <c r="AL768" s="2372"/>
      <c r="AM768" s="2372"/>
      <c r="AN768" s="2372"/>
      <c r="AO768" s="2372"/>
      <c r="AP768" s="2372"/>
      <c r="AQ768" s="2372"/>
      <c r="AR768" s="2372"/>
      <c r="AS768" s="2372"/>
      <c r="AT768" s="2372"/>
      <c r="AU768" s="2372"/>
      <c r="AV768" s="2372"/>
      <c r="AW768" s="2372"/>
      <c r="AX768" s="2372"/>
      <c r="AY768" s="2372"/>
      <c r="AZ768" s="2372"/>
      <c r="BA768" s="2372"/>
      <c r="BB768" s="2372"/>
      <c r="BC768" s="2372"/>
      <c r="BD768" s="2372"/>
      <c r="BE768" s="2372"/>
      <c r="BF768" s="2372"/>
      <c r="BG768" s="2372"/>
      <c r="BH768" s="2372"/>
      <c r="BI768" s="2372"/>
      <c r="BJ768" s="2372"/>
      <c r="BK768" s="2372"/>
      <c r="BL768" s="2372"/>
      <c r="BM768" s="2372"/>
      <c r="BN768" s="2372"/>
      <c r="BO768" s="2372"/>
      <c r="BP768" s="2372"/>
      <c r="BQ768" s="2372"/>
      <c r="BR768" s="2372"/>
      <c r="BS768" s="2372"/>
      <c r="BT768" s="2372"/>
      <c r="BU768" s="2372"/>
      <c r="BV768" s="2372"/>
      <c r="BW768" s="2372"/>
      <c r="BX768" s="2372"/>
      <c r="BY768" s="2372"/>
      <c r="BZ768" s="2372"/>
      <c r="CA768" s="2372"/>
      <c r="CB768" s="2372"/>
      <c r="CC768" s="2372"/>
      <c r="CD768" s="2372"/>
      <c r="CE768" s="2372"/>
      <c r="CF768" s="2372"/>
      <c r="CG768" s="2372"/>
      <c r="CH768" s="2372"/>
      <c r="CI768" s="2372"/>
      <c r="CJ768" s="2372"/>
      <c r="CK768" s="2372"/>
      <c r="CL768" s="2372"/>
      <c r="CM768" s="2372"/>
      <c r="CN768" s="2372"/>
      <c r="CO768" s="2372"/>
      <c r="CP768" s="2372"/>
      <c r="CQ768" s="2372"/>
      <c r="CR768" s="2372"/>
      <c r="CS768" s="2372"/>
      <c r="CT768" s="2372"/>
      <c r="CU768" s="2372"/>
      <c r="CV768" s="2372"/>
      <c r="CW768" s="2372"/>
      <c r="CX768" s="2372"/>
      <c r="CY768" s="2372"/>
      <c r="CZ768" s="2372"/>
      <c r="DA768" s="2372"/>
    </row>
    <row r="769" spans="1:105" ht="15" hidden="1" customHeight="1">
      <c r="A769" s="2372"/>
      <c r="B769" s="2372"/>
      <c r="C769" s="2372"/>
      <c r="D769" s="2372"/>
      <c r="E769" s="2372"/>
      <c r="F769" s="2372"/>
      <c r="G769" s="2372"/>
      <c r="H769" s="2372"/>
      <c r="I769" s="2372"/>
      <c r="J769" s="2372"/>
      <c r="K769" s="2372"/>
      <c r="L769" s="2372"/>
      <c r="M769" s="2372"/>
      <c r="N769" s="2372"/>
      <c r="O769" s="2372"/>
      <c r="P769" s="2372"/>
      <c r="Q769" s="2372"/>
      <c r="R769" s="2372"/>
      <c r="S769" s="2372"/>
      <c r="T769" s="2372"/>
      <c r="U769" s="2372"/>
      <c r="V769" s="2372"/>
      <c r="W769" s="2372"/>
      <c r="X769" s="2372"/>
      <c r="Y769" s="2372"/>
      <c r="Z769" s="2372"/>
      <c r="AA769" s="2372"/>
      <c r="AB769" s="2372"/>
      <c r="AC769" s="2372"/>
      <c r="AD769" s="2372"/>
      <c r="AE769" s="2372"/>
      <c r="AF769" s="2372"/>
      <c r="AG769" s="2372"/>
      <c r="AH769" s="2372"/>
      <c r="AI769" s="2372"/>
      <c r="AJ769" s="2372"/>
      <c r="AK769" s="2372"/>
      <c r="AL769" s="2372"/>
      <c r="AM769" s="2372"/>
      <c r="AN769" s="2372"/>
      <c r="AO769" s="2372"/>
      <c r="AP769" s="2372"/>
      <c r="AQ769" s="2372"/>
      <c r="AR769" s="2372"/>
      <c r="AS769" s="2372"/>
      <c r="AT769" s="2372"/>
      <c r="AU769" s="2372"/>
      <c r="AV769" s="2372"/>
      <c r="AW769" s="2372"/>
      <c r="AX769" s="2372"/>
      <c r="AY769" s="2372"/>
      <c r="AZ769" s="2372"/>
      <c r="BA769" s="2372"/>
      <c r="BB769" s="2372"/>
      <c r="BC769" s="2372"/>
      <c r="BD769" s="2372"/>
      <c r="BE769" s="2372"/>
      <c r="BF769" s="2372"/>
      <c r="BG769" s="2372"/>
      <c r="BH769" s="2372"/>
      <c r="BI769" s="2372"/>
      <c r="BJ769" s="2372"/>
      <c r="BK769" s="2372"/>
      <c r="BL769" s="2372"/>
      <c r="BM769" s="2372"/>
      <c r="BN769" s="2372"/>
      <c r="BO769" s="2372"/>
      <c r="BP769" s="2372"/>
      <c r="BQ769" s="2372"/>
      <c r="BR769" s="2372"/>
      <c r="BS769" s="2372"/>
      <c r="BT769" s="2372"/>
      <c r="BU769" s="2372"/>
      <c r="BV769" s="2372"/>
      <c r="BW769" s="2372"/>
      <c r="BX769" s="2372"/>
      <c r="BY769" s="2372"/>
      <c r="BZ769" s="2372"/>
      <c r="CA769" s="2372"/>
      <c r="CB769" s="2372"/>
      <c r="CC769" s="2372"/>
      <c r="CD769" s="2372"/>
      <c r="CE769" s="2372"/>
      <c r="CF769" s="2372"/>
      <c r="CG769" s="2372"/>
      <c r="CH769" s="2372"/>
      <c r="CI769" s="2372"/>
      <c r="CJ769" s="2372"/>
      <c r="CK769" s="2372"/>
      <c r="CL769" s="2372"/>
      <c r="CM769" s="2372"/>
      <c r="CN769" s="2372"/>
      <c r="CO769" s="2372"/>
      <c r="CP769" s="2372"/>
      <c r="CQ769" s="2372"/>
      <c r="CR769" s="2372"/>
      <c r="CS769" s="2372"/>
      <c r="CT769" s="2372"/>
      <c r="CU769" s="2372"/>
      <c r="CV769" s="2372"/>
      <c r="CW769" s="2372"/>
      <c r="CX769" s="2372"/>
      <c r="CY769" s="2372"/>
      <c r="CZ769" s="2372"/>
      <c r="DA769" s="2372"/>
    </row>
    <row r="770" spans="1:105" ht="15" hidden="1" customHeight="1">
      <c r="A770" s="2372"/>
      <c r="B770" s="2372"/>
      <c r="C770" s="2372"/>
      <c r="D770" s="2372"/>
      <c r="E770" s="2372"/>
      <c r="F770" s="2372"/>
      <c r="G770" s="2372"/>
      <c r="H770" s="2372"/>
      <c r="I770" s="2372"/>
      <c r="J770" s="2372"/>
      <c r="K770" s="2372"/>
      <c r="L770" s="2372"/>
      <c r="M770" s="2372"/>
      <c r="N770" s="2372"/>
      <c r="O770" s="2372"/>
      <c r="P770" s="2372"/>
      <c r="Q770" s="2372"/>
      <c r="R770" s="2372"/>
      <c r="S770" s="2372"/>
      <c r="T770" s="2372"/>
      <c r="U770" s="2372"/>
      <c r="V770" s="2372"/>
      <c r="W770" s="2372"/>
      <c r="X770" s="2372"/>
      <c r="Y770" s="2372"/>
      <c r="Z770" s="2372"/>
      <c r="AA770" s="2372"/>
      <c r="AB770" s="2372"/>
      <c r="AC770" s="2372"/>
      <c r="AD770" s="2372"/>
      <c r="AE770" s="2372"/>
      <c r="AF770" s="2372"/>
      <c r="AG770" s="2372"/>
      <c r="AH770" s="2372"/>
      <c r="AI770" s="2372"/>
      <c r="AJ770" s="2372"/>
      <c r="AK770" s="2372"/>
      <c r="AL770" s="2372"/>
      <c r="AM770" s="2372"/>
      <c r="AN770" s="2372"/>
      <c r="AO770" s="2372"/>
      <c r="AP770" s="2372"/>
      <c r="AQ770" s="2372"/>
      <c r="AR770" s="2372"/>
      <c r="AS770" s="2372"/>
      <c r="AT770" s="2372"/>
      <c r="AU770" s="2372"/>
      <c r="AV770" s="2372"/>
      <c r="AW770" s="2372"/>
      <c r="AX770" s="2372"/>
      <c r="AY770" s="2372"/>
      <c r="AZ770" s="2372"/>
      <c r="BA770" s="2372"/>
      <c r="BB770" s="2372"/>
      <c r="BC770" s="2372"/>
      <c r="BD770" s="2372"/>
      <c r="BE770" s="2372"/>
      <c r="BF770" s="2372"/>
      <c r="BG770" s="2372"/>
      <c r="BH770" s="2372"/>
      <c r="BI770" s="2372"/>
      <c r="BJ770" s="2372"/>
      <c r="BK770" s="2372"/>
      <c r="BL770" s="2372"/>
      <c r="BM770" s="2372"/>
      <c r="BN770" s="2372"/>
      <c r="BO770" s="2372"/>
      <c r="BP770" s="2372"/>
      <c r="BQ770" s="2372"/>
      <c r="BR770" s="2372"/>
      <c r="BS770" s="2372"/>
      <c r="BT770" s="2372"/>
      <c r="BU770" s="2372"/>
      <c r="BV770" s="2372"/>
      <c r="BW770" s="2372"/>
      <c r="BX770" s="2372"/>
      <c r="BY770" s="2372"/>
      <c r="BZ770" s="2372"/>
      <c r="CA770" s="2372"/>
      <c r="CB770" s="2372"/>
      <c r="CC770" s="2372"/>
      <c r="CD770" s="2372"/>
      <c r="CE770" s="2372"/>
      <c r="CF770" s="2372"/>
      <c r="CG770" s="2372"/>
      <c r="CH770" s="2372"/>
      <c r="CI770" s="2372"/>
      <c r="CJ770" s="2372"/>
      <c r="CK770" s="2372"/>
      <c r="CL770" s="2372"/>
      <c r="CM770" s="2372"/>
      <c r="CN770" s="2372"/>
      <c r="CO770" s="2372"/>
      <c r="CP770" s="2372"/>
      <c r="CQ770" s="2372"/>
      <c r="CR770" s="2372"/>
      <c r="CS770" s="2372"/>
      <c r="CT770" s="2372"/>
      <c r="CU770" s="2372"/>
      <c r="CV770" s="2372"/>
      <c r="CW770" s="2372"/>
      <c r="CX770" s="2372"/>
      <c r="CY770" s="2372"/>
      <c r="CZ770" s="2372"/>
      <c r="DA770" s="2372"/>
    </row>
    <row r="771" spans="1:105" ht="15" hidden="1" customHeight="1">
      <c r="A771" s="2372"/>
      <c r="B771" s="2372"/>
      <c r="C771" s="2372"/>
      <c r="D771" s="2372"/>
      <c r="E771" s="2372"/>
      <c r="F771" s="2372"/>
      <c r="G771" s="2372"/>
      <c r="H771" s="2372"/>
      <c r="I771" s="2372"/>
      <c r="J771" s="2372"/>
      <c r="K771" s="2372"/>
      <c r="L771" s="2372"/>
      <c r="M771" s="2372"/>
      <c r="N771" s="2372"/>
      <c r="O771" s="2372"/>
      <c r="P771" s="2372"/>
      <c r="Q771" s="2372"/>
      <c r="R771" s="2372"/>
      <c r="S771" s="2372"/>
      <c r="T771" s="2372"/>
      <c r="U771" s="2372"/>
      <c r="V771" s="2372"/>
      <c r="W771" s="2372"/>
      <c r="X771" s="2372"/>
      <c r="Y771" s="2372"/>
      <c r="Z771" s="2372"/>
      <c r="AA771" s="2372"/>
      <c r="AB771" s="2372"/>
      <c r="AC771" s="2372"/>
      <c r="AD771" s="2372"/>
      <c r="AE771" s="2372"/>
      <c r="AF771" s="2372"/>
      <c r="AG771" s="2372"/>
      <c r="AH771" s="2372"/>
      <c r="AI771" s="2372"/>
      <c r="AJ771" s="2372"/>
      <c r="AK771" s="2372"/>
      <c r="AL771" s="2372"/>
      <c r="AM771" s="2372"/>
      <c r="AN771" s="2372"/>
      <c r="AO771" s="2372"/>
      <c r="AP771" s="2372"/>
      <c r="AQ771" s="2372"/>
      <c r="AR771" s="2372"/>
      <c r="AS771" s="2372"/>
      <c r="AT771" s="2372"/>
      <c r="AU771" s="2372"/>
      <c r="AV771" s="2372"/>
      <c r="AW771" s="2372"/>
      <c r="AX771" s="2372"/>
      <c r="AY771" s="2372"/>
      <c r="AZ771" s="2372"/>
      <c r="BA771" s="2372"/>
      <c r="BB771" s="2372"/>
      <c r="BC771" s="2372"/>
      <c r="BD771" s="2372"/>
      <c r="BE771" s="2372"/>
      <c r="BF771" s="2372"/>
      <c r="BG771" s="2372"/>
      <c r="BH771" s="2372"/>
      <c r="BI771" s="2372"/>
      <c r="BJ771" s="2372"/>
      <c r="BK771" s="2372"/>
      <c r="BL771" s="2372"/>
      <c r="BM771" s="2372"/>
      <c r="BN771" s="2372"/>
      <c r="BO771" s="2372"/>
      <c r="BP771" s="2372"/>
      <c r="BQ771" s="2372"/>
      <c r="BR771" s="2372"/>
      <c r="BS771" s="2372"/>
      <c r="BT771" s="2372"/>
      <c r="BU771" s="2372"/>
      <c r="BV771" s="2372"/>
      <c r="BW771" s="2372"/>
      <c r="BX771" s="2372"/>
      <c r="BY771" s="2372"/>
      <c r="BZ771" s="2372"/>
      <c r="CA771" s="2372"/>
      <c r="CB771" s="2372"/>
      <c r="CC771" s="2372"/>
      <c r="CD771" s="2372"/>
      <c r="CE771" s="2372"/>
      <c r="CF771" s="2372"/>
      <c r="CG771" s="2372"/>
      <c r="CH771" s="2372"/>
      <c r="CI771" s="2372"/>
      <c r="CJ771" s="2372"/>
      <c r="CK771" s="2372"/>
      <c r="CL771" s="2372"/>
      <c r="CM771" s="2372"/>
      <c r="CN771" s="2372"/>
      <c r="CO771" s="2372"/>
      <c r="CP771" s="2372"/>
      <c r="CQ771" s="2372"/>
      <c r="CR771" s="2372"/>
      <c r="CS771" s="2372"/>
      <c r="CT771" s="2372"/>
      <c r="CU771" s="2372"/>
      <c r="CV771" s="2372"/>
      <c r="CW771" s="2372"/>
      <c r="CX771" s="2372"/>
      <c r="CY771" s="2372"/>
      <c r="CZ771" s="2372"/>
      <c r="DA771" s="2372"/>
    </row>
    <row r="772" spans="1:105" ht="15" hidden="1" customHeight="1">
      <c r="A772" s="2372"/>
      <c r="B772" s="2372"/>
      <c r="C772" s="2372"/>
      <c r="D772" s="2372"/>
      <c r="E772" s="2372"/>
      <c r="F772" s="2372"/>
      <c r="G772" s="2372"/>
      <c r="H772" s="2372"/>
      <c r="I772" s="2372"/>
      <c r="J772" s="2372"/>
      <c r="K772" s="2372"/>
      <c r="L772" s="2372"/>
      <c r="M772" s="2372"/>
      <c r="N772" s="2372"/>
      <c r="O772" s="2372"/>
      <c r="P772" s="2372"/>
      <c r="Q772" s="2372"/>
      <c r="R772" s="2372"/>
      <c r="S772" s="2372"/>
      <c r="T772" s="2372"/>
      <c r="U772" s="2372"/>
      <c r="V772" s="2372"/>
      <c r="W772" s="2372"/>
      <c r="X772" s="2372"/>
      <c r="Y772" s="2372"/>
      <c r="Z772" s="2372"/>
      <c r="AA772" s="2372"/>
      <c r="AB772" s="2372"/>
      <c r="AC772" s="2372"/>
      <c r="AD772" s="2372"/>
      <c r="AE772" s="2372"/>
      <c r="AF772" s="2372"/>
      <c r="AG772" s="2372"/>
      <c r="AH772" s="2372"/>
      <c r="AI772" s="2372"/>
      <c r="AJ772" s="2372"/>
      <c r="AK772" s="2372"/>
      <c r="AL772" s="2372"/>
      <c r="AM772" s="2372"/>
      <c r="AN772" s="2372"/>
      <c r="AO772" s="2372"/>
      <c r="AP772" s="2372"/>
      <c r="AQ772" s="2372"/>
      <c r="AR772" s="2372"/>
      <c r="AS772" s="2372"/>
      <c r="AT772" s="2372"/>
      <c r="AU772" s="2372"/>
      <c r="AV772" s="2372"/>
      <c r="AW772" s="2372"/>
      <c r="AX772" s="2372"/>
      <c r="AY772" s="2372"/>
      <c r="AZ772" s="2372"/>
      <c r="BA772" s="2372"/>
      <c r="BB772" s="2372"/>
      <c r="BC772" s="2372"/>
      <c r="BD772" s="2372"/>
      <c r="BE772" s="2372"/>
      <c r="BF772" s="2372"/>
      <c r="BG772" s="2372"/>
      <c r="BH772" s="2372"/>
      <c r="BI772" s="2372"/>
      <c r="BJ772" s="2372"/>
      <c r="BK772" s="2372"/>
      <c r="BL772" s="2372"/>
      <c r="BM772" s="2372"/>
      <c r="BN772" s="2372"/>
      <c r="BO772" s="2372"/>
      <c r="BP772" s="2372"/>
      <c r="BQ772" s="2372"/>
      <c r="BR772" s="2372"/>
      <c r="BS772" s="2372"/>
      <c r="BT772" s="2372"/>
      <c r="BU772" s="2372"/>
      <c r="BV772" s="2372"/>
      <c r="BW772" s="2372"/>
      <c r="BX772" s="2372"/>
      <c r="BY772" s="2372"/>
      <c r="BZ772" s="2372"/>
      <c r="CA772" s="2372"/>
      <c r="CB772" s="2372"/>
      <c r="CC772" s="2372"/>
      <c r="CD772" s="2372"/>
      <c r="CE772" s="2372"/>
      <c r="CF772" s="2372"/>
      <c r="CG772" s="2372"/>
      <c r="CH772" s="2372"/>
      <c r="CI772" s="2372"/>
      <c r="CJ772" s="2372"/>
      <c r="CK772" s="2372"/>
      <c r="CL772" s="2372"/>
      <c r="CM772" s="2372"/>
      <c r="CN772" s="2372"/>
      <c r="CO772" s="2372"/>
      <c r="CP772" s="2372"/>
      <c r="CQ772" s="2372"/>
      <c r="CR772" s="2372"/>
      <c r="CS772" s="2372"/>
      <c r="CT772" s="2372"/>
      <c r="CU772" s="2372"/>
      <c r="CV772" s="2372"/>
      <c r="CW772" s="2372"/>
      <c r="CX772" s="2372"/>
      <c r="CY772" s="2372"/>
      <c r="CZ772" s="2372"/>
      <c r="DA772" s="2372"/>
    </row>
    <row r="773" spans="1:105" ht="15" hidden="1" customHeight="1">
      <c r="A773" s="2372"/>
      <c r="B773" s="2372"/>
      <c r="C773" s="2372"/>
      <c r="D773" s="2372"/>
      <c r="E773" s="2372"/>
      <c r="F773" s="2372"/>
      <c r="G773" s="2372"/>
      <c r="H773" s="2372"/>
      <c r="I773" s="2372"/>
      <c r="J773" s="2372"/>
      <c r="K773" s="2372"/>
      <c r="L773" s="2372"/>
      <c r="M773" s="2372"/>
      <c r="N773" s="2372"/>
      <c r="O773" s="2372"/>
      <c r="P773" s="2372"/>
      <c r="Q773" s="2372"/>
      <c r="R773" s="2372"/>
      <c r="S773" s="2372"/>
      <c r="T773" s="2372"/>
      <c r="U773" s="2372"/>
      <c r="V773" s="2372"/>
      <c r="W773" s="2372"/>
      <c r="X773" s="2372"/>
      <c r="Y773" s="2372"/>
      <c r="Z773" s="2372"/>
      <c r="AA773" s="2372"/>
      <c r="AB773" s="2372"/>
      <c r="AC773" s="2372"/>
      <c r="AD773" s="2372"/>
      <c r="AE773" s="2372"/>
      <c r="AF773" s="2372"/>
      <c r="AG773" s="2372"/>
      <c r="AH773" s="2372"/>
      <c r="AI773" s="2372"/>
      <c r="AJ773" s="2372"/>
      <c r="AK773" s="2372"/>
      <c r="AL773" s="2372"/>
      <c r="AM773" s="2372"/>
      <c r="AN773" s="2372"/>
      <c r="AO773" s="2372"/>
      <c r="AP773" s="2372"/>
      <c r="AQ773" s="2372"/>
      <c r="AR773" s="2372"/>
      <c r="AS773" s="2372"/>
      <c r="AT773" s="2372"/>
      <c r="AU773" s="2372"/>
      <c r="AV773" s="2372"/>
      <c r="AW773" s="2372"/>
      <c r="AX773" s="2372"/>
      <c r="AY773" s="2372"/>
      <c r="AZ773" s="2372"/>
      <c r="BA773" s="2372"/>
      <c r="BB773" s="2372"/>
      <c r="BC773" s="2372"/>
      <c r="BD773" s="2372"/>
      <c r="BE773" s="2372"/>
      <c r="BF773" s="2372"/>
      <c r="BG773" s="2372"/>
      <c r="BH773" s="2372"/>
      <c r="BI773" s="2372"/>
      <c r="BJ773" s="2372"/>
      <c r="BK773" s="2372"/>
      <c r="BL773" s="2372"/>
      <c r="BM773" s="2372"/>
      <c r="BN773" s="2372"/>
      <c r="BO773" s="2372"/>
      <c r="BP773" s="2372"/>
      <c r="BQ773" s="2372"/>
      <c r="BR773" s="2372"/>
      <c r="BS773" s="2372"/>
      <c r="BT773" s="2372"/>
      <c r="BU773" s="2372"/>
      <c r="BV773" s="2372"/>
      <c r="BW773" s="2372"/>
      <c r="BX773" s="2372"/>
      <c r="BY773" s="2372"/>
      <c r="BZ773" s="2372"/>
      <c r="CA773" s="2372"/>
      <c r="CB773" s="2372"/>
      <c r="CC773" s="2372"/>
      <c r="CD773" s="2372"/>
      <c r="CE773" s="2372"/>
      <c r="CF773" s="2372"/>
      <c r="CG773" s="2372"/>
      <c r="CH773" s="2372"/>
      <c r="CI773" s="2372"/>
      <c r="CJ773" s="2372"/>
      <c r="CK773" s="2372"/>
      <c r="CL773" s="2372"/>
      <c r="CM773" s="2372"/>
      <c r="CN773" s="2372"/>
      <c r="CO773" s="2372"/>
      <c r="CP773" s="2372"/>
      <c r="CQ773" s="2372"/>
      <c r="CR773" s="2372"/>
      <c r="CS773" s="2372"/>
      <c r="CT773" s="2372"/>
      <c r="CU773" s="2372"/>
      <c r="CV773" s="2372"/>
      <c r="CW773" s="2372"/>
      <c r="CX773" s="2372"/>
      <c r="CY773" s="2372"/>
      <c r="CZ773" s="2372"/>
      <c r="DA773" s="2372"/>
    </row>
    <row r="774" spans="1:105" ht="15" hidden="1" customHeight="1">
      <c r="A774" s="2372"/>
      <c r="B774" s="2372"/>
      <c r="C774" s="2372"/>
      <c r="D774" s="2372"/>
      <c r="E774" s="2372"/>
      <c r="F774" s="2372"/>
      <c r="G774" s="2372"/>
      <c r="H774" s="2372"/>
      <c r="I774" s="2372"/>
      <c r="J774" s="2372"/>
      <c r="K774" s="2372"/>
      <c r="L774" s="2372"/>
      <c r="M774" s="2372"/>
      <c r="N774" s="2372"/>
      <c r="O774" s="2372"/>
      <c r="P774" s="2372"/>
      <c r="Q774" s="2372"/>
      <c r="R774" s="2372"/>
      <c r="S774" s="2372"/>
      <c r="T774" s="2372"/>
      <c r="U774" s="2372"/>
      <c r="V774" s="2372"/>
      <c r="W774" s="2372"/>
      <c r="X774" s="2372"/>
      <c r="Y774" s="2372"/>
      <c r="Z774" s="2372"/>
      <c r="AA774" s="2372"/>
      <c r="AB774" s="2372"/>
      <c r="AC774" s="2372"/>
      <c r="AD774" s="2372"/>
      <c r="AE774" s="2372"/>
      <c r="AF774" s="2372"/>
      <c r="AG774" s="2372"/>
      <c r="AH774" s="2372"/>
      <c r="AI774" s="2372"/>
      <c r="AJ774" s="2372"/>
      <c r="AK774" s="2372"/>
      <c r="AL774" s="2372"/>
      <c r="AM774" s="2372"/>
      <c r="AN774" s="2372"/>
      <c r="AO774" s="2372"/>
      <c r="AP774" s="2372"/>
      <c r="AQ774" s="2372"/>
      <c r="AR774" s="2372"/>
      <c r="AS774" s="2372"/>
      <c r="AT774" s="2372"/>
      <c r="AU774" s="2372"/>
      <c r="AV774" s="2372"/>
      <c r="AW774" s="2372"/>
      <c r="AX774" s="2372"/>
      <c r="AY774" s="2372"/>
      <c r="AZ774" s="2372"/>
      <c r="BA774" s="2372"/>
      <c r="BB774" s="2372"/>
      <c r="BC774" s="2372"/>
      <c r="BD774" s="2372"/>
      <c r="BE774" s="2372"/>
      <c r="BF774" s="2372"/>
      <c r="BG774" s="2372"/>
      <c r="BH774" s="2372"/>
      <c r="BI774" s="2372"/>
      <c r="BJ774" s="2372"/>
      <c r="BK774" s="2372"/>
      <c r="BL774" s="2372"/>
      <c r="BM774" s="2372"/>
      <c r="BN774" s="2372"/>
      <c r="BO774" s="2372"/>
      <c r="BP774" s="2372"/>
      <c r="BQ774" s="2372"/>
      <c r="BR774" s="2372"/>
      <c r="BS774" s="2372"/>
      <c r="BT774" s="2372"/>
      <c r="BU774" s="2372"/>
      <c r="BV774" s="2372"/>
      <c r="BW774" s="2372"/>
      <c r="BX774" s="2372"/>
      <c r="BY774" s="2372"/>
      <c r="BZ774" s="2372"/>
      <c r="CA774" s="2372"/>
      <c r="CB774" s="2372"/>
      <c r="CC774" s="2372"/>
      <c r="CD774" s="2372"/>
      <c r="CE774" s="2372"/>
      <c r="CF774" s="2372"/>
      <c r="CG774" s="2372"/>
      <c r="CH774" s="2372"/>
      <c r="CI774" s="2372"/>
      <c r="CJ774" s="2372"/>
      <c r="CK774" s="2372"/>
      <c r="CL774" s="2372"/>
      <c r="CM774" s="2372"/>
      <c r="CN774" s="2372"/>
      <c r="CO774" s="2372"/>
      <c r="CP774" s="2372"/>
      <c r="CQ774" s="2372"/>
      <c r="CR774" s="2372"/>
      <c r="CS774" s="2372"/>
      <c r="CT774" s="2372"/>
      <c r="CU774" s="2372"/>
      <c r="CV774" s="2372"/>
      <c r="CW774" s="2372"/>
      <c r="CX774" s="2372"/>
      <c r="CY774" s="2372"/>
      <c r="CZ774" s="2372"/>
      <c r="DA774" s="2372"/>
    </row>
    <row r="775" spans="1:105" ht="15" hidden="1" customHeight="1">
      <c r="A775" s="2372"/>
      <c r="B775" s="2372"/>
      <c r="C775" s="2372"/>
      <c r="D775" s="2372"/>
      <c r="E775" s="2372"/>
      <c r="F775" s="2372"/>
      <c r="G775" s="2372"/>
      <c r="H775" s="2372"/>
      <c r="I775" s="2372"/>
      <c r="J775" s="2372"/>
      <c r="K775" s="2372"/>
      <c r="L775" s="2372"/>
      <c r="M775" s="2372"/>
      <c r="N775" s="2372"/>
      <c r="O775" s="2372"/>
      <c r="P775" s="2372"/>
      <c r="Q775" s="2372"/>
      <c r="R775" s="2372"/>
      <c r="S775" s="2372"/>
      <c r="T775" s="2372"/>
      <c r="U775" s="2372"/>
      <c r="V775" s="2372"/>
      <c r="W775" s="2372"/>
      <c r="X775" s="2372"/>
      <c r="Y775" s="2372"/>
      <c r="Z775" s="2372"/>
      <c r="AA775" s="2372"/>
      <c r="AB775" s="2372"/>
      <c r="AC775" s="2372"/>
      <c r="AD775" s="2372"/>
      <c r="AE775" s="2372"/>
      <c r="AF775" s="2372"/>
      <c r="AG775" s="2372"/>
      <c r="AH775" s="2372"/>
      <c r="AI775" s="2372"/>
      <c r="AJ775" s="2372"/>
      <c r="AK775" s="2372"/>
      <c r="AL775" s="2372"/>
      <c r="AM775" s="2372"/>
      <c r="AN775" s="2372"/>
      <c r="AO775" s="2372"/>
      <c r="AP775" s="2372"/>
      <c r="AQ775" s="2372"/>
      <c r="AR775" s="2372"/>
      <c r="AS775" s="2372"/>
      <c r="AT775" s="2372"/>
      <c r="AU775" s="2372"/>
      <c r="AV775" s="2372"/>
      <c r="AW775" s="2372"/>
      <c r="AX775" s="2372"/>
      <c r="AY775" s="2372"/>
      <c r="AZ775" s="2372"/>
      <c r="BA775" s="2372"/>
      <c r="BB775" s="2372"/>
      <c r="BC775" s="2372"/>
      <c r="BD775" s="2372"/>
      <c r="BE775" s="2372"/>
      <c r="BF775" s="2372"/>
      <c r="BG775" s="2372"/>
      <c r="BH775" s="2372"/>
      <c r="BI775" s="2372"/>
      <c r="BJ775" s="2372"/>
      <c r="BK775" s="2372"/>
      <c r="BL775" s="2372"/>
      <c r="BM775" s="2372"/>
      <c r="BN775" s="2372"/>
      <c r="BO775" s="2372"/>
      <c r="BP775" s="2372"/>
      <c r="BQ775" s="2372"/>
      <c r="BR775" s="2372"/>
      <c r="BS775" s="2372"/>
      <c r="BT775" s="2372"/>
      <c r="BU775" s="2372"/>
      <c r="BV775" s="2372"/>
      <c r="BW775" s="2372"/>
      <c r="BX775" s="2372"/>
      <c r="BY775" s="2372"/>
      <c r="BZ775" s="2372"/>
      <c r="CA775" s="2372"/>
      <c r="CB775" s="2372"/>
      <c r="CC775" s="2372"/>
      <c r="CD775" s="2372"/>
      <c r="CE775" s="2372"/>
      <c r="CF775" s="2372"/>
      <c r="CG775" s="2372"/>
      <c r="CH775" s="2372"/>
      <c r="CI775" s="2372"/>
      <c r="CJ775" s="2372"/>
      <c r="CK775" s="2372"/>
      <c r="CL775" s="2372"/>
      <c r="CM775" s="2372"/>
      <c r="CN775" s="2372"/>
      <c r="CO775" s="2372"/>
      <c r="CP775" s="2372"/>
      <c r="CQ775" s="2372"/>
      <c r="CR775" s="2372"/>
      <c r="CS775" s="2372"/>
      <c r="CT775" s="2372"/>
      <c r="CU775" s="2372"/>
      <c r="CV775" s="2372"/>
      <c r="CW775" s="2372"/>
      <c r="CX775" s="2372"/>
      <c r="CY775" s="2372"/>
      <c r="CZ775" s="2372"/>
      <c r="DA775" s="2372"/>
    </row>
    <row r="776" spans="1:105" ht="15" hidden="1" customHeight="1">
      <c r="A776" s="2372"/>
      <c r="B776" s="2372"/>
      <c r="C776" s="2372"/>
      <c r="D776" s="2372"/>
      <c r="E776" s="2372"/>
      <c r="F776" s="2372"/>
      <c r="G776" s="2372"/>
      <c r="H776" s="2372"/>
      <c r="I776" s="2372"/>
      <c r="J776" s="2372"/>
      <c r="K776" s="2372"/>
      <c r="L776" s="2372"/>
      <c r="M776" s="2372"/>
      <c r="N776" s="2372"/>
      <c r="O776" s="2372"/>
      <c r="P776" s="2372"/>
      <c r="Q776" s="2372"/>
      <c r="R776" s="2372"/>
      <c r="S776" s="2372"/>
      <c r="T776" s="2372"/>
      <c r="U776" s="2372"/>
      <c r="V776" s="2372"/>
      <c r="W776" s="2372"/>
      <c r="X776" s="2372"/>
      <c r="Y776" s="2372"/>
      <c r="Z776" s="2372"/>
      <c r="AA776" s="2372"/>
      <c r="AB776" s="2372"/>
      <c r="AC776" s="2372"/>
      <c r="AD776" s="2372"/>
      <c r="AE776" s="2372"/>
      <c r="AF776" s="2372"/>
      <c r="AG776" s="2372"/>
      <c r="AH776" s="2372"/>
      <c r="AI776" s="2372"/>
      <c r="AJ776" s="2372"/>
      <c r="AK776" s="2372"/>
      <c r="AL776" s="2372"/>
      <c r="AM776" s="2372"/>
      <c r="AN776" s="2372"/>
      <c r="AO776" s="2372"/>
      <c r="AP776" s="2372"/>
      <c r="AQ776" s="2372"/>
      <c r="AR776" s="2372"/>
      <c r="AS776" s="2372"/>
      <c r="AT776" s="2372"/>
      <c r="AU776" s="2372"/>
      <c r="AV776" s="2372"/>
      <c r="AW776" s="2372"/>
      <c r="AX776" s="2372"/>
      <c r="AY776" s="2372"/>
      <c r="AZ776" s="2372"/>
      <c r="BA776" s="2372"/>
      <c r="BB776" s="2372"/>
      <c r="BC776" s="2372"/>
      <c r="BD776" s="2372"/>
      <c r="BE776" s="2372"/>
      <c r="BF776" s="2372"/>
      <c r="BG776" s="2372"/>
      <c r="BH776" s="2372"/>
      <c r="BI776" s="2372"/>
      <c r="BJ776" s="2372"/>
      <c r="BK776" s="2372"/>
      <c r="BL776" s="2372"/>
      <c r="BM776" s="2372"/>
      <c r="BN776" s="2372"/>
      <c r="BO776" s="2372"/>
      <c r="BP776" s="2372"/>
      <c r="BQ776" s="2372"/>
      <c r="BR776" s="2372"/>
      <c r="BS776" s="2372"/>
      <c r="BT776" s="2372"/>
      <c r="BU776" s="2372"/>
      <c r="BV776" s="2372"/>
      <c r="BW776" s="2372"/>
      <c r="BX776" s="2372"/>
      <c r="BY776" s="2372"/>
      <c r="BZ776" s="2372"/>
      <c r="CA776" s="2372"/>
      <c r="CB776" s="2372"/>
      <c r="CC776" s="2372"/>
      <c r="CD776" s="2372"/>
      <c r="CE776" s="2372"/>
      <c r="CF776" s="2372"/>
      <c r="CG776" s="2372"/>
      <c r="CH776" s="2372"/>
      <c r="CI776" s="2372"/>
      <c r="CJ776" s="2372"/>
      <c r="CK776" s="2372"/>
      <c r="CL776" s="2372"/>
      <c r="CM776" s="2372"/>
      <c r="CN776" s="2372"/>
      <c r="CO776" s="2372"/>
      <c r="CP776" s="2372"/>
      <c r="CQ776" s="2372"/>
      <c r="CR776" s="2372"/>
      <c r="CS776" s="2372"/>
      <c r="CT776" s="2372"/>
      <c r="CU776" s="2372"/>
      <c r="CV776" s="2372"/>
      <c r="CW776" s="2372"/>
      <c r="CX776" s="2372"/>
      <c r="CY776" s="2372"/>
      <c r="CZ776" s="2372"/>
      <c r="DA776" s="2372"/>
    </row>
    <row r="777" spans="1:105" ht="15" hidden="1" customHeight="1">
      <c r="A777" s="2372"/>
      <c r="B777" s="2372"/>
      <c r="C777" s="2372"/>
      <c r="D777" s="2372"/>
      <c r="E777" s="2372"/>
      <c r="F777" s="2372"/>
      <c r="G777" s="2372"/>
      <c r="H777" s="2372"/>
      <c r="I777" s="2372"/>
      <c r="J777" s="2372"/>
      <c r="K777" s="2372"/>
      <c r="L777" s="2372"/>
      <c r="M777" s="2372"/>
      <c r="N777" s="2372"/>
      <c r="O777" s="2372"/>
      <c r="P777" s="2372"/>
      <c r="Q777" s="2372"/>
      <c r="R777" s="2372"/>
      <c r="S777" s="2372"/>
      <c r="T777" s="2372"/>
      <c r="U777" s="2372"/>
      <c r="V777" s="2372"/>
      <c r="W777" s="2372"/>
      <c r="X777" s="2372"/>
      <c r="Y777" s="2372"/>
      <c r="Z777" s="2372"/>
      <c r="AA777" s="2372"/>
      <c r="AB777" s="2372"/>
      <c r="AC777" s="2372"/>
      <c r="AD777" s="2372"/>
      <c r="AE777" s="2372"/>
      <c r="AF777" s="2372"/>
      <c r="AG777" s="2372"/>
      <c r="AH777" s="2372"/>
      <c r="AI777" s="2372"/>
      <c r="AJ777" s="2372"/>
      <c r="AK777" s="2372"/>
      <c r="AL777" s="2372"/>
      <c r="AM777" s="2372"/>
      <c r="AN777" s="2372"/>
      <c r="AO777" s="2372"/>
      <c r="AP777" s="2372"/>
      <c r="AQ777" s="2372"/>
      <c r="AR777" s="2372"/>
      <c r="AS777" s="2372"/>
      <c r="AT777" s="2372"/>
      <c r="AU777" s="2372"/>
      <c r="AV777" s="2372"/>
      <c r="AW777" s="2372"/>
      <c r="AX777" s="2372"/>
      <c r="AY777" s="2372"/>
      <c r="AZ777" s="2372"/>
      <c r="BA777" s="2372"/>
      <c r="BB777" s="2372"/>
      <c r="BC777" s="2372"/>
      <c r="BD777" s="2372"/>
      <c r="BE777" s="2372"/>
      <c r="BF777" s="2372"/>
      <c r="BG777" s="2372"/>
      <c r="BH777" s="2372"/>
      <c r="BI777" s="2372"/>
      <c r="BJ777" s="2372"/>
      <c r="BK777" s="2372"/>
      <c r="BL777" s="2372"/>
      <c r="BM777" s="2372"/>
      <c r="BN777" s="2372"/>
      <c r="BO777" s="2372"/>
      <c r="BP777" s="2372"/>
      <c r="BQ777" s="2372"/>
      <c r="BR777" s="2372"/>
      <c r="BS777" s="2372"/>
      <c r="BT777" s="2372"/>
      <c r="BU777" s="2372"/>
      <c r="BV777" s="2372"/>
      <c r="BW777" s="2372"/>
      <c r="BX777" s="2372"/>
      <c r="BY777" s="2372"/>
      <c r="BZ777" s="2372"/>
      <c r="CA777" s="2372"/>
      <c r="CB777" s="2372"/>
      <c r="CC777" s="2372"/>
      <c r="CD777" s="2372"/>
      <c r="CE777" s="2372"/>
      <c r="CF777" s="2372"/>
      <c r="CG777" s="2372"/>
      <c r="CH777" s="2372"/>
      <c r="CI777" s="2372"/>
      <c r="CJ777" s="2372"/>
      <c r="CK777" s="2372"/>
      <c r="CL777" s="2372"/>
      <c r="CM777" s="2372"/>
      <c r="CN777" s="2372"/>
      <c r="CO777" s="2372"/>
      <c r="CP777" s="2372"/>
      <c r="CQ777" s="2372"/>
      <c r="CR777" s="2372"/>
      <c r="CS777" s="2372"/>
      <c r="CT777" s="2372"/>
      <c r="CU777" s="2372"/>
      <c r="CV777" s="2372"/>
      <c r="CW777" s="2372"/>
      <c r="CX777" s="2372"/>
      <c r="CY777" s="2372"/>
      <c r="CZ777" s="2372"/>
      <c r="DA777" s="2372"/>
    </row>
    <row r="778" spans="1:105" ht="15" hidden="1" customHeight="1">
      <c r="A778" s="2372"/>
      <c r="B778" s="2372"/>
      <c r="C778" s="2372"/>
      <c r="D778" s="2372"/>
      <c r="E778" s="2372"/>
      <c r="F778" s="2372"/>
      <c r="G778" s="2372"/>
      <c r="H778" s="2372"/>
      <c r="I778" s="2372"/>
      <c r="J778" s="2372"/>
      <c r="K778" s="2372"/>
      <c r="L778" s="2372"/>
      <c r="M778" s="2372"/>
      <c r="N778" s="2372"/>
      <c r="O778" s="2372"/>
      <c r="P778" s="2372"/>
      <c r="Q778" s="2372"/>
      <c r="R778" s="2372"/>
      <c r="S778" s="2372"/>
      <c r="T778" s="2372"/>
      <c r="U778" s="2372"/>
      <c r="V778" s="2372"/>
      <c r="W778" s="2372"/>
      <c r="X778" s="2372"/>
      <c r="Y778" s="2372"/>
      <c r="Z778" s="2372"/>
      <c r="AA778" s="2372"/>
      <c r="AB778" s="2372"/>
      <c r="AC778" s="2372"/>
      <c r="AD778" s="2372"/>
      <c r="AE778" s="2372"/>
      <c r="AF778" s="2372"/>
      <c r="AG778" s="2372"/>
      <c r="AH778" s="2372"/>
      <c r="AI778" s="2372"/>
      <c r="AJ778" s="2372"/>
      <c r="AK778" s="2372"/>
      <c r="AL778" s="2372"/>
      <c r="AM778" s="2372"/>
      <c r="AN778" s="2372"/>
      <c r="AO778" s="2372"/>
      <c r="AP778" s="2372"/>
      <c r="AQ778" s="2372"/>
      <c r="AR778" s="2372"/>
      <c r="AS778" s="2372"/>
      <c r="AT778" s="2372"/>
      <c r="AU778" s="2372"/>
      <c r="AV778" s="2372"/>
      <c r="AW778" s="2372"/>
      <c r="AX778" s="2372"/>
      <c r="AY778" s="2372"/>
      <c r="AZ778" s="2372"/>
      <c r="BA778" s="2372"/>
      <c r="BB778" s="2372"/>
      <c r="BC778" s="2372"/>
      <c r="BD778" s="2372"/>
      <c r="BE778" s="2372"/>
      <c r="BF778" s="2372"/>
      <c r="BG778" s="2372"/>
      <c r="BH778" s="2372"/>
      <c r="BI778" s="2372"/>
      <c r="BJ778" s="2372"/>
      <c r="BK778" s="2372"/>
      <c r="BL778" s="2372"/>
      <c r="BM778" s="2372"/>
      <c r="BN778" s="2372"/>
      <c r="BO778" s="2372"/>
      <c r="BP778" s="2372"/>
      <c r="BQ778" s="2372"/>
      <c r="BR778" s="2372"/>
      <c r="BS778" s="2372"/>
      <c r="BT778" s="2372"/>
      <c r="BU778" s="2372"/>
      <c r="BV778" s="2372"/>
      <c r="BW778" s="2372"/>
      <c r="BX778" s="2372"/>
      <c r="BY778" s="2372"/>
      <c r="BZ778" s="2372"/>
      <c r="CA778" s="2372"/>
      <c r="CB778" s="2372"/>
      <c r="CC778" s="2372"/>
      <c r="CD778" s="2372"/>
      <c r="CE778" s="2372"/>
      <c r="CF778" s="2372"/>
      <c r="CG778" s="2372"/>
      <c r="CH778" s="2372"/>
      <c r="CI778" s="2372"/>
      <c r="CJ778" s="2372"/>
      <c r="CK778" s="2372"/>
      <c r="CL778" s="2372"/>
      <c r="CM778" s="2372"/>
      <c r="CN778" s="2372"/>
      <c r="CO778" s="2372"/>
      <c r="CP778" s="2372"/>
      <c r="CQ778" s="2372"/>
      <c r="CR778" s="2372"/>
      <c r="CS778" s="2372"/>
      <c r="CT778" s="2372"/>
      <c r="CU778" s="2372"/>
      <c r="CV778" s="2372"/>
      <c r="CW778" s="2372"/>
      <c r="CX778" s="2372"/>
      <c r="CY778" s="2372"/>
      <c r="CZ778" s="2372"/>
      <c r="DA778" s="2372"/>
    </row>
    <row r="779" spans="1:105" ht="15" hidden="1" customHeight="1">
      <c r="A779" s="2372"/>
      <c r="B779" s="2372"/>
      <c r="C779" s="2372"/>
      <c r="D779" s="2372"/>
      <c r="E779" s="2372"/>
      <c r="F779" s="2372"/>
      <c r="G779" s="2372"/>
      <c r="H779" s="2372"/>
      <c r="I779" s="2372"/>
      <c r="J779" s="2372"/>
      <c r="K779" s="2372"/>
      <c r="L779" s="2372"/>
      <c r="M779" s="2372"/>
      <c r="N779" s="2372"/>
      <c r="O779" s="2372"/>
      <c r="P779" s="2372"/>
      <c r="Q779" s="2372"/>
      <c r="R779" s="2372"/>
      <c r="S779" s="2372"/>
      <c r="T779" s="2372"/>
      <c r="U779" s="2372"/>
      <c r="V779" s="2372"/>
      <c r="W779" s="2372"/>
      <c r="X779" s="2372"/>
      <c r="Y779" s="2372"/>
      <c r="Z779" s="2372"/>
      <c r="AA779" s="2372"/>
      <c r="AB779" s="2372"/>
      <c r="AC779" s="2372"/>
      <c r="AD779" s="2372"/>
      <c r="AE779" s="2372"/>
      <c r="AF779" s="2372"/>
      <c r="AG779" s="2372"/>
      <c r="AH779" s="2372"/>
      <c r="AI779" s="2372"/>
      <c r="AJ779" s="2372"/>
      <c r="AK779" s="2372"/>
      <c r="AL779" s="2372"/>
      <c r="AM779" s="2372"/>
      <c r="AN779" s="2372"/>
      <c r="AO779" s="2372"/>
      <c r="AP779" s="2372"/>
      <c r="AQ779" s="2372"/>
      <c r="AR779" s="2372"/>
      <c r="AS779" s="2372"/>
      <c r="AT779" s="2372"/>
      <c r="AU779" s="2372"/>
      <c r="AV779" s="2372"/>
      <c r="AW779" s="2372"/>
      <c r="AX779" s="2372"/>
      <c r="AY779" s="2372"/>
      <c r="AZ779" s="2372"/>
      <c r="BA779" s="2372"/>
      <c r="BB779" s="2372"/>
      <c r="BC779" s="2372"/>
      <c r="BD779" s="2372"/>
      <c r="BE779" s="2372"/>
      <c r="BF779" s="2372"/>
      <c r="BG779" s="2372"/>
      <c r="BH779" s="2372"/>
      <c r="BI779" s="2372"/>
      <c r="BJ779" s="2372"/>
      <c r="BK779" s="2372"/>
      <c r="BL779" s="2372"/>
      <c r="BM779" s="2372"/>
      <c r="BN779" s="2372"/>
      <c r="BO779" s="2372"/>
      <c r="BP779" s="2372"/>
      <c r="BQ779" s="2372"/>
      <c r="BR779" s="2372"/>
      <c r="BS779" s="2372"/>
      <c r="BT779" s="2372"/>
      <c r="BU779" s="2372"/>
      <c r="BV779" s="2372"/>
      <c r="BW779" s="2372"/>
      <c r="BX779" s="2372"/>
      <c r="BY779" s="2372"/>
      <c r="BZ779" s="2372"/>
      <c r="CA779" s="2372"/>
      <c r="CB779" s="2372"/>
      <c r="CC779" s="2372"/>
      <c r="CD779" s="2372"/>
      <c r="CE779" s="2372"/>
      <c r="CF779" s="2372"/>
      <c r="CG779" s="2372"/>
      <c r="CH779" s="2372"/>
      <c r="CI779" s="2372"/>
      <c r="CJ779" s="2372"/>
      <c r="CK779" s="2372"/>
      <c r="CL779" s="2372"/>
      <c r="CM779" s="2372"/>
      <c r="CN779" s="2372"/>
      <c r="CO779" s="2372"/>
      <c r="CP779" s="2372"/>
      <c r="CQ779" s="2372"/>
      <c r="CR779" s="2372"/>
      <c r="CS779" s="2372"/>
      <c r="CT779" s="2372"/>
      <c r="CU779" s="2372"/>
      <c r="CV779" s="2372"/>
      <c r="CW779" s="2372"/>
      <c r="CX779" s="2372"/>
      <c r="CY779" s="2372"/>
      <c r="CZ779" s="2372"/>
      <c r="DA779" s="2372"/>
    </row>
    <row r="780" spans="1:105" ht="15" hidden="1" customHeight="1">
      <c r="A780" s="2372"/>
      <c r="B780" s="2372"/>
      <c r="C780" s="2372"/>
      <c r="D780" s="2372"/>
      <c r="E780" s="2372"/>
      <c r="F780" s="2372"/>
      <c r="G780" s="2372"/>
      <c r="H780" s="2372"/>
      <c r="I780" s="2372"/>
      <c r="J780" s="2372"/>
      <c r="K780" s="2372"/>
      <c r="L780" s="2372"/>
      <c r="M780" s="2372"/>
      <c r="N780" s="2372"/>
      <c r="O780" s="2372"/>
      <c r="P780" s="2372"/>
      <c r="Q780" s="2372"/>
      <c r="R780" s="2372"/>
      <c r="S780" s="2372"/>
      <c r="T780" s="2372"/>
      <c r="U780" s="2372"/>
      <c r="V780" s="2372"/>
      <c r="W780" s="2372"/>
      <c r="X780" s="2372"/>
      <c r="Y780" s="2372"/>
      <c r="Z780" s="2372"/>
      <c r="AA780" s="2372"/>
      <c r="AB780" s="2372"/>
      <c r="AC780" s="2372"/>
      <c r="AD780" s="2372"/>
      <c r="AE780" s="2372"/>
      <c r="AF780" s="2372"/>
      <c r="AG780" s="2372"/>
      <c r="AH780" s="2372"/>
      <c r="AI780" s="2372"/>
      <c r="AJ780" s="2372"/>
      <c r="AK780" s="2372"/>
      <c r="AL780" s="2372"/>
      <c r="AM780" s="2372"/>
      <c r="AN780" s="2372"/>
      <c r="AO780" s="2372"/>
      <c r="AP780" s="2372"/>
      <c r="AQ780" s="2372"/>
      <c r="AR780" s="2372"/>
      <c r="AS780" s="2372"/>
      <c r="AT780" s="2372"/>
      <c r="AU780" s="2372"/>
      <c r="AV780" s="2372"/>
      <c r="AW780" s="2372"/>
      <c r="AX780" s="2372"/>
      <c r="AY780" s="2372"/>
      <c r="AZ780" s="2372"/>
      <c r="BA780" s="2372"/>
      <c r="BB780" s="2372"/>
      <c r="BC780" s="2372"/>
      <c r="BD780" s="2372"/>
      <c r="BE780" s="2372"/>
      <c r="BF780" s="2372"/>
      <c r="BG780" s="2372"/>
      <c r="BH780" s="2372"/>
      <c r="BI780" s="2372"/>
      <c r="BJ780" s="2372"/>
      <c r="BK780" s="2372"/>
      <c r="BL780" s="2372"/>
      <c r="BM780" s="2372"/>
      <c r="BN780" s="2372"/>
      <c r="BO780" s="2372"/>
      <c r="BP780" s="2372"/>
      <c r="BQ780" s="2372"/>
      <c r="BR780" s="2372"/>
      <c r="BS780" s="2372"/>
      <c r="BT780" s="2372"/>
      <c r="BU780" s="2372"/>
      <c r="BV780" s="2372"/>
      <c r="BW780" s="2372"/>
      <c r="BX780" s="2372"/>
      <c r="BY780" s="2372"/>
      <c r="BZ780" s="2372"/>
      <c r="CA780" s="2372"/>
      <c r="CB780" s="2372"/>
      <c r="CC780" s="2372"/>
      <c r="CD780" s="2372"/>
      <c r="CE780" s="2372"/>
      <c r="CF780" s="2372"/>
      <c r="CG780" s="2372"/>
      <c r="CH780" s="2372"/>
      <c r="CI780" s="2372"/>
      <c r="CJ780" s="2372"/>
      <c r="CK780" s="2372"/>
      <c r="CL780" s="2372"/>
      <c r="CM780" s="2372"/>
      <c r="CN780" s="2372"/>
      <c r="CO780" s="2372"/>
      <c r="CP780" s="2372"/>
      <c r="CQ780" s="2372"/>
      <c r="CR780" s="2372"/>
      <c r="CS780" s="2372"/>
      <c r="CT780" s="2372"/>
      <c r="CU780" s="2372"/>
      <c r="CV780" s="2372"/>
      <c r="CW780" s="2372"/>
      <c r="CX780" s="2372"/>
      <c r="CY780" s="2372"/>
      <c r="CZ780" s="2372"/>
      <c r="DA780" s="2372"/>
    </row>
    <row r="781" spans="1:105" ht="15" hidden="1" customHeight="1">
      <c r="A781" s="2372"/>
      <c r="B781" s="2372"/>
      <c r="C781" s="2372"/>
      <c r="D781" s="2372"/>
      <c r="E781" s="2372"/>
      <c r="F781" s="2372"/>
      <c r="G781" s="2372"/>
      <c r="H781" s="2372"/>
      <c r="I781" s="2372"/>
      <c r="J781" s="2372"/>
      <c r="K781" s="2372"/>
      <c r="L781" s="2372"/>
      <c r="M781" s="2372"/>
      <c r="N781" s="2372"/>
      <c r="O781" s="2372"/>
      <c r="P781" s="2372"/>
      <c r="Q781" s="2372"/>
      <c r="R781" s="2372"/>
      <c r="S781" s="2372"/>
      <c r="T781" s="2372"/>
      <c r="U781" s="2372"/>
      <c r="V781" s="2372"/>
      <c r="W781" s="2372"/>
      <c r="X781" s="2372"/>
      <c r="Y781" s="2372"/>
      <c r="Z781" s="2372"/>
      <c r="AA781" s="2372"/>
      <c r="AB781" s="2372"/>
      <c r="AC781" s="2372"/>
      <c r="AD781" s="2372"/>
      <c r="AE781" s="2372"/>
      <c r="AF781" s="2372"/>
      <c r="AG781" s="2372"/>
      <c r="AH781" s="2372"/>
      <c r="AI781" s="2372"/>
      <c r="AJ781" s="2372"/>
      <c r="AK781" s="2372"/>
      <c r="AL781" s="2372"/>
      <c r="AM781" s="2372"/>
      <c r="AN781" s="2372"/>
      <c r="AO781" s="2372"/>
      <c r="AP781" s="2372"/>
      <c r="AQ781" s="2372"/>
      <c r="AR781" s="2372"/>
      <c r="AS781" s="2372"/>
      <c r="AT781" s="2372"/>
      <c r="AU781" s="2372"/>
      <c r="AV781" s="2372"/>
      <c r="AW781" s="2372"/>
      <c r="AX781" s="2372"/>
      <c r="AY781" s="2372"/>
      <c r="AZ781" s="2372"/>
      <c r="BA781" s="2372"/>
      <c r="BB781" s="2372"/>
      <c r="BC781" s="2372"/>
      <c r="BD781" s="2372"/>
      <c r="BE781" s="2372"/>
      <c r="BF781" s="2372"/>
      <c r="BG781" s="2372"/>
      <c r="BH781" s="2372"/>
      <c r="BI781" s="2372"/>
      <c r="BJ781" s="2372"/>
      <c r="BK781" s="2372"/>
      <c r="BL781" s="2372"/>
      <c r="BM781" s="2372"/>
      <c r="BN781" s="2372"/>
      <c r="BO781" s="2372"/>
      <c r="BP781" s="2372"/>
      <c r="BQ781" s="2372"/>
      <c r="BR781" s="2372"/>
      <c r="BS781" s="2372"/>
      <c r="BT781" s="2372"/>
      <c r="BU781" s="2372"/>
      <c r="BV781" s="2372"/>
      <c r="BW781" s="2372"/>
      <c r="BX781" s="2372"/>
      <c r="BY781" s="2372"/>
      <c r="BZ781" s="2372"/>
      <c r="CA781" s="2372"/>
      <c r="CB781" s="2372"/>
      <c r="CC781" s="2372"/>
      <c r="CD781" s="2372"/>
      <c r="CE781" s="2372"/>
      <c r="CF781" s="2372"/>
      <c r="CG781" s="2372"/>
      <c r="CH781" s="2372"/>
      <c r="CI781" s="2372"/>
      <c r="CJ781" s="2372"/>
      <c r="CK781" s="2372"/>
      <c r="CL781" s="2372"/>
      <c r="CM781" s="2372"/>
      <c r="CN781" s="2372"/>
      <c r="CO781" s="2372"/>
      <c r="CP781" s="2372"/>
      <c r="CQ781" s="2372"/>
      <c r="CR781" s="2372"/>
      <c r="CS781" s="2372"/>
      <c r="CT781" s="2372"/>
      <c r="CU781" s="2372"/>
      <c r="CV781" s="2372"/>
      <c r="CW781" s="2372"/>
      <c r="CX781" s="2372"/>
      <c r="CY781" s="2372"/>
      <c r="CZ781" s="2372"/>
      <c r="DA781" s="2372"/>
    </row>
    <row r="782" spans="1:105" ht="15" hidden="1" customHeight="1">
      <c r="A782" s="2372"/>
      <c r="B782" s="2372"/>
      <c r="C782" s="2372"/>
      <c r="D782" s="2372"/>
      <c r="E782" s="2372"/>
      <c r="F782" s="2372"/>
      <c r="G782" s="2372"/>
      <c r="H782" s="2372"/>
      <c r="I782" s="2372"/>
      <c r="J782" s="2372"/>
      <c r="K782" s="2372"/>
      <c r="L782" s="2372"/>
      <c r="M782" s="2372"/>
      <c r="N782" s="2372"/>
      <c r="O782" s="2372"/>
      <c r="P782" s="2372"/>
      <c r="Q782" s="2372"/>
      <c r="R782" s="2372"/>
      <c r="S782" s="2372"/>
      <c r="T782" s="2372"/>
      <c r="U782" s="2372"/>
      <c r="V782" s="2372"/>
      <c r="W782" s="2372"/>
      <c r="X782" s="2372"/>
      <c r="Y782" s="2372"/>
      <c r="Z782" s="2372"/>
      <c r="AA782" s="2372"/>
      <c r="AB782" s="2372"/>
      <c r="AC782" s="2372"/>
      <c r="AD782" s="2372"/>
      <c r="AE782" s="2372"/>
      <c r="AF782" s="2372"/>
      <c r="AG782" s="2372"/>
      <c r="AH782" s="2372"/>
      <c r="AI782" s="2372"/>
      <c r="AJ782" s="2372"/>
      <c r="AK782" s="2372"/>
      <c r="AL782" s="2372"/>
      <c r="AM782" s="2372"/>
      <c r="AN782" s="2372"/>
      <c r="AO782" s="2372"/>
      <c r="AP782" s="2372"/>
      <c r="AQ782" s="2372"/>
      <c r="AR782" s="2372"/>
      <c r="AS782" s="2372"/>
      <c r="AT782" s="2372"/>
      <c r="AU782" s="2372"/>
      <c r="AV782" s="2372"/>
      <c r="AW782" s="2372"/>
      <c r="AX782" s="2372"/>
      <c r="AY782" s="2372"/>
      <c r="AZ782" s="2372"/>
      <c r="BA782" s="2372"/>
      <c r="BB782" s="2372"/>
      <c r="BC782" s="2372"/>
      <c r="BD782" s="2372"/>
      <c r="BE782" s="2372"/>
      <c r="BF782" s="2372"/>
      <c r="BG782" s="2372"/>
      <c r="BH782" s="2372"/>
      <c r="BI782" s="2372"/>
      <c r="BJ782" s="2372"/>
      <c r="BK782" s="2372"/>
      <c r="BL782" s="2372"/>
      <c r="BM782" s="2372"/>
      <c r="BN782" s="2372"/>
      <c r="BO782" s="2372"/>
      <c r="BP782" s="2372"/>
      <c r="BQ782" s="2372"/>
      <c r="BR782" s="2372"/>
      <c r="BS782" s="2372"/>
      <c r="BT782" s="2372"/>
      <c r="BU782" s="2372"/>
      <c r="BV782" s="2372"/>
      <c r="BW782" s="2372"/>
      <c r="BX782" s="2372"/>
      <c r="BY782" s="2372"/>
      <c r="BZ782" s="2372"/>
      <c r="CA782" s="2372"/>
      <c r="CB782" s="2372"/>
      <c r="CC782" s="2372"/>
      <c r="CD782" s="2372"/>
      <c r="CE782" s="2372"/>
      <c r="CF782" s="2372"/>
      <c r="CG782" s="2372"/>
      <c r="CH782" s="2372"/>
      <c r="CI782" s="2372"/>
      <c r="CJ782" s="2372"/>
      <c r="CK782" s="2372"/>
      <c r="CL782" s="2372"/>
      <c r="CM782" s="2372"/>
      <c r="CN782" s="2372"/>
      <c r="CO782" s="2372"/>
      <c r="CP782" s="2372"/>
      <c r="CQ782" s="2372"/>
      <c r="CR782" s="2372"/>
      <c r="CS782" s="2372"/>
      <c r="CT782" s="2372"/>
      <c r="CU782" s="2372"/>
      <c r="CV782" s="2372"/>
      <c r="CW782" s="2372"/>
      <c r="CX782" s="2372"/>
      <c r="CY782" s="2372"/>
      <c r="CZ782" s="2372"/>
      <c r="DA782" s="2372"/>
    </row>
    <row r="783" spans="1:105" ht="15" hidden="1" customHeight="1">
      <c r="A783" s="2372"/>
      <c r="B783" s="2372"/>
      <c r="C783" s="2372"/>
      <c r="D783" s="2372"/>
      <c r="E783" s="2372"/>
      <c r="F783" s="2372"/>
      <c r="G783" s="2372"/>
      <c r="H783" s="2372"/>
      <c r="I783" s="2372"/>
      <c r="J783" s="2372"/>
      <c r="K783" s="2372"/>
      <c r="L783" s="2372"/>
      <c r="M783" s="2372"/>
      <c r="N783" s="2372"/>
      <c r="O783" s="2372"/>
      <c r="P783" s="2372"/>
      <c r="Q783" s="2372"/>
      <c r="R783" s="2372"/>
      <c r="S783" s="2372"/>
      <c r="T783" s="2372"/>
      <c r="U783" s="2372"/>
      <c r="V783" s="2372"/>
      <c r="W783" s="2372"/>
      <c r="X783" s="2372"/>
      <c r="Y783" s="2372"/>
      <c r="Z783" s="2372"/>
      <c r="AA783" s="2372"/>
      <c r="AB783" s="2372"/>
      <c r="AC783" s="2372"/>
      <c r="AD783" s="2372"/>
      <c r="AE783" s="2372"/>
      <c r="AF783" s="2372"/>
      <c r="AG783" s="2372"/>
      <c r="AH783" s="2372"/>
      <c r="AI783" s="2372"/>
      <c r="AJ783" s="2372"/>
      <c r="AK783" s="2372"/>
      <c r="AL783" s="2372"/>
      <c r="AM783" s="2372"/>
      <c r="AN783" s="2372"/>
      <c r="AO783" s="2372"/>
      <c r="AP783" s="2372"/>
      <c r="AQ783" s="2372"/>
      <c r="AR783" s="2372"/>
      <c r="AS783" s="2372"/>
      <c r="AT783" s="2372"/>
      <c r="AU783" s="2372"/>
      <c r="AV783" s="2372"/>
      <c r="AW783" s="2372"/>
      <c r="AX783" s="2372"/>
      <c r="AY783" s="2372"/>
      <c r="AZ783" s="2372"/>
      <c r="BA783" s="2372"/>
      <c r="BB783" s="2372"/>
      <c r="BC783" s="2372"/>
      <c r="BD783" s="2372"/>
      <c r="BE783" s="2372"/>
      <c r="BF783" s="2372"/>
      <c r="BG783" s="2372"/>
      <c r="BH783" s="2372"/>
      <c r="BI783" s="2372"/>
      <c r="BJ783" s="2372"/>
      <c r="BK783" s="2372"/>
      <c r="BL783" s="2372"/>
      <c r="BM783" s="2372"/>
      <c r="BN783" s="2372"/>
      <c r="BO783" s="2372"/>
      <c r="BP783" s="2372"/>
      <c r="BQ783" s="2372"/>
      <c r="BR783" s="2372"/>
      <c r="BS783" s="2372"/>
      <c r="BT783" s="2372"/>
      <c r="BU783" s="2372"/>
      <c r="BV783" s="2372"/>
      <c r="BW783" s="2372"/>
      <c r="BX783" s="2372"/>
      <c r="BY783" s="2372"/>
      <c r="BZ783" s="2372"/>
      <c r="CA783" s="2372"/>
      <c r="CB783" s="2372"/>
      <c r="CC783" s="2372"/>
      <c r="CD783" s="2372"/>
      <c r="CE783" s="2372"/>
      <c r="CF783" s="2372"/>
      <c r="CG783" s="2372"/>
      <c r="CH783" s="2372"/>
      <c r="CI783" s="2372"/>
      <c r="CJ783" s="2372"/>
      <c r="CK783" s="2372"/>
      <c r="CL783" s="2372"/>
      <c r="CM783" s="2372"/>
      <c r="CN783" s="2372"/>
      <c r="CO783" s="2372"/>
      <c r="CP783" s="2372"/>
      <c r="CQ783" s="2372"/>
      <c r="CR783" s="2372"/>
      <c r="CS783" s="2372"/>
      <c r="CT783" s="2372"/>
      <c r="CU783" s="2372"/>
      <c r="CV783" s="2372"/>
      <c r="CW783" s="2372"/>
      <c r="CX783" s="2372"/>
      <c r="CY783" s="2372"/>
      <c r="CZ783" s="2372"/>
      <c r="DA783" s="2372"/>
    </row>
    <row r="784" spans="1:105" ht="15" hidden="1" customHeight="1">
      <c r="A784" s="2372"/>
      <c r="B784" s="2372"/>
      <c r="C784" s="2372"/>
      <c r="D784" s="2372"/>
      <c r="E784" s="2372"/>
      <c r="F784" s="2372"/>
      <c r="G784" s="2372"/>
      <c r="H784" s="2372"/>
      <c r="I784" s="2372"/>
      <c r="J784" s="2372"/>
      <c r="K784" s="2372"/>
      <c r="L784" s="2372"/>
      <c r="M784" s="2372"/>
      <c r="N784" s="2372"/>
      <c r="O784" s="2372"/>
      <c r="P784" s="2372"/>
      <c r="Q784" s="2372"/>
      <c r="R784" s="2372"/>
      <c r="S784" s="2372"/>
      <c r="T784" s="2372"/>
      <c r="U784" s="2372"/>
      <c r="V784" s="2372"/>
      <c r="W784" s="2372"/>
      <c r="X784" s="2372"/>
      <c r="Y784" s="2372"/>
      <c r="Z784" s="2372"/>
      <c r="AA784" s="2372"/>
      <c r="AB784" s="2372"/>
      <c r="AC784" s="2372"/>
      <c r="AD784" s="2372"/>
      <c r="AE784" s="2372"/>
      <c r="AF784" s="2372"/>
      <c r="AG784" s="2372"/>
      <c r="AH784" s="2372"/>
      <c r="AI784" s="2372"/>
      <c r="AJ784" s="2372"/>
      <c r="AK784" s="2372"/>
      <c r="AL784" s="2372"/>
      <c r="AM784" s="2372"/>
      <c r="AN784" s="2372"/>
      <c r="AO784" s="2372"/>
      <c r="AP784" s="2372"/>
      <c r="AQ784" s="2372"/>
      <c r="AR784" s="2372"/>
      <c r="AS784" s="2372"/>
      <c r="AT784" s="2372"/>
      <c r="AU784" s="2372"/>
      <c r="AV784" s="2372"/>
      <c r="AW784" s="2372"/>
      <c r="AX784" s="2372"/>
      <c r="AY784" s="2372"/>
      <c r="AZ784" s="2372"/>
      <c r="BA784" s="2372"/>
      <c r="BB784" s="2372"/>
      <c r="BC784" s="2372"/>
      <c r="BD784" s="2372"/>
      <c r="BE784" s="2372"/>
      <c r="BF784" s="2372"/>
      <c r="BG784" s="2372"/>
      <c r="BH784" s="2372"/>
      <c r="BI784" s="2372"/>
      <c r="BJ784" s="2372"/>
      <c r="BK784" s="2372"/>
      <c r="BL784" s="2372"/>
      <c r="BM784" s="2372"/>
      <c r="BN784" s="2372"/>
      <c r="BO784" s="2372"/>
      <c r="BP784" s="2372"/>
      <c r="BQ784" s="2372"/>
      <c r="BR784" s="2372"/>
      <c r="BS784" s="2372"/>
      <c r="BT784" s="2372"/>
      <c r="BU784" s="2372"/>
      <c r="BV784" s="2372"/>
      <c r="BW784" s="2372"/>
      <c r="BX784" s="2372"/>
      <c r="BY784" s="2372"/>
      <c r="BZ784" s="2372"/>
      <c r="CA784" s="2372"/>
      <c r="CB784" s="2372"/>
      <c r="CC784" s="2372"/>
      <c r="CD784" s="2372"/>
      <c r="CE784" s="2372"/>
      <c r="CF784" s="2372"/>
      <c r="CG784" s="2372"/>
      <c r="CH784" s="2372"/>
      <c r="CI784" s="2372"/>
      <c r="CJ784" s="2372"/>
      <c r="CK784" s="2372"/>
      <c r="CL784" s="2372"/>
      <c r="CM784" s="2372"/>
      <c r="CN784" s="2372"/>
      <c r="CO784" s="2372"/>
      <c r="CP784" s="2372"/>
      <c r="CQ784" s="2372"/>
      <c r="CR784" s="2372"/>
      <c r="CS784" s="2372"/>
      <c r="CT784" s="2372"/>
      <c r="CU784" s="2372"/>
      <c r="CV784" s="2372"/>
      <c r="CW784" s="2372"/>
      <c r="CX784" s="2372"/>
      <c r="CY784" s="2372"/>
      <c r="CZ784" s="2372"/>
      <c r="DA784" s="2372"/>
    </row>
    <row r="785" spans="1:105" ht="15" hidden="1" customHeight="1">
      <c r="A785" s="2372"/>
      <c r="B785" s="2372"/>
      <c r="C785" s="2372"/>
      <c r="D785" s="2372"/>
      <c r="E785" s="2372"/>
      <c r="F785" s="2372"/>
      <c r="G785" s="2372"/>
      <c r="H785" s="2372"/>
      <c r="I785" s="2372"/>
      <c r="J785" s="2372"/>
      <c r="K785" s="2372"/>
      <c r="L785" s="2372"/>
      <c r="M785" s="2372"/>
      <c r="N785" s="2372"/>
      <c r="O785" s="2372"/>
      <c r="P785" s="2372"/>
      <c r="Q785" s="2372"/>
      <c r="R785" s="2372"/>
      <c r="S785" s="2372"/>
      <c r="T785" s="2372"/>
      <c r="U785" s="2372"/>
      <c r="V785" s="2372"/>
      <c r="W785" s="2372"/>
      <c r="X785" s="2372"/>
      <c r="Y785" s="2372"/>
      <c r="Z785" s="2372"/>
      <c r="AA785" s="2372"/>
      <c r="AB785" s="2372"/>
      <c r="AC785" s="2372"/>
      <c r="AD785" s="2372"/>
      <c r="AE785" s="2372"/>
      <c r="AF785" s="2372"/>
      <c r="AG785" s="2372"/>
      <c r="AH785" s="2372"/>
      <c r="AI785" s="2372"/>
      <c r="AJ785" s="2372"/>
      <c r="AK785" s="2372"/>
      <c r="AL785" s="2372"/>
      <c r="AM785" s="2372"/>
      <c r="AN785" s="2372"/>
      <c r="AO785" s="2372"/>
      <c r="AP785" s="2372"/>
      <c r="AQ785" s="2372"/>
      <c r="AR785" s="2372"/>
      <c r="AS785" s="2372"/>
      <c r="AT785" s="2372"/>
      <c r="AU785" s="2372"/>
      <c r="AV785" s="2372"/>
      <c r="AW785" s="2372"/>
      <c r="AX785" s="2372"/>
      <c r="AY785" s="2372"/>
      <c r="AZ785" s="2372"/>
      <c r="BA785" s="2372"/>
      <c r="BB785" s="2372"/>
      <c r="BC785" s="2372"/>
      <c r="BD785" s="2372"/>
      <c r="BE785" s="2372"/>
      <c r="BF785" s="2372"/>
      <c r="BG785" s="2372"/>
      <c r="BH785" s="2372"/>
      <c r="BI785" s="2372"/>
      <c r="BJ785" s="2372"/>
      <c r="BK785" s="2372"/>
      <c r="BL785" s="2372"/>
      <c r="BM785" s="2372"/>
      <c r="BN785" s="2372"/>
      <c r="BO785" s="2372"/>
      <c r="BP785" s="2372"/>
      <c r="BQ785" s="2372"/>
      <c r="BR785" s="2372"/>
      <c r="BS785" s="2372"/>
      <c r="BT785" s="2372"/>
      <c r="BU785" s="2372"/>
      <c r="BV785" s="2372"/>
      <c r="BW785" s="2372"/>
      <c r="BX785" s="2372"/>
      <c r="BY785" s="2372"/>
      <c r="BZ785" s="2372"/>
      <c r="CA785" s="2372"/>
      <c r="CB785" s="2372"/>
      <c r="CC785" s="2372"/>
      <c r="CD785" s="2372"/>
      <c r="CE785" s="2372"/>
      <c r="CF785" s="2372"/>
      <c r="CG785" s="2372"/>
      <c r="CH785" s="2372"/>
      <c r="CI785" s="2372"/>
      <c r="CJ785" s="2372"/>
      <c r="CK785" s="2372"/>
      <c r="CL785" s="2372"/>
      <c r="CM785" s="2372"/>
      <c r="CN785" s="2372"/>
      <c r="CO785" s="2372"/>
      <c r="CP785" s="2372"/>
      <c r="CQ785" s="2372"/>
      <c r="CR785" s="2372"/>
      <c r="CS785" s="2372"/>
      <c r="CT785" s="2372"/>
      <c r="CU785" s="2372"/>
      <c r="CV785" s="2372"/>
      <c r="CW785" s="2372"/>
      <c r="CX785" s="2372"/>
      <c r="CY785" s="2372"/>
      <c r="CZ785" s="2372"/>
      <c r="DA785" s="2372"/>
    </row>
    <row r="786" spans="1:105" ht="15" hidden="1" customHeight="1">
      <c r="A786" s="2372"/>
      <c r="B786" s="2372"/>
      <c r="C786" s="2372"/>
      <c r="D786" s="2372"/>
      <c r="E786" s="2372"/>
      <c r="F786" s="2372"/>
      <c r="G786" s="2372"/>
      <c r="H786" s="2372"/>
      <c r="I786" s="2372"/>
      <c r="J786" s="2372"/>
      <c r="K786" s="2372"/>
      <c r="L786" s="2372"/>
      <c r="M786" s="2372"/>
      <c r="N786" s="2372"/>
      <c r="O786" s="2372"/>
      <c r="P786" s="2372"/>
      <c r="Q786" s="2372"/>
      <c r="R786" s="2372"/>
      <c r="S786" s="2372"/>
      <c r="T786" s="2372"/>
      <c r="U786" s="2372"/>
      <c r="V786" s="2372"/>
      <c r="W786" s="2372"/>
      <c r="X786" s="2372"/>
      <c r="Y786" s="2372"/>
      <c r="Z786" s="2372"/>
      <c r="AA786" s="2372"/>
      <c r="AB786" s="2372"/>
      <c r="AC786" s="2372"/>
      <c r="AD786" s="2372"/>
      <c r="AE786" s="2372"/>
      <c r="AF786" s="2372"/>
      <c r="AG786" s="2372"/>
      <c r="AH786" s="2372"/>
      <c r="AI786" s="2372"/>
      <c r="AJ786" s="2372"/>
      <c r="AK786" s="2372"/>
      <c r="AL786" s="2372"/>
      <c r="AM786" s="2372"/>
      <c r="AN786" s="2372"/>
      <c r="AO786" s="2372"/>
      <c r="AP786" s="2372"/>
      <c r="AQ786" s="2372"/>
      <c r="AR786" s="2372"/>
      <c r="AS786" s="2372"/>
      <c r="AT786" s="2372"/>
      <c r="AU786" s="2372"/>
      <c r="AV786" s="2372"/>
      <c r="AW786" s="2372"/>
      <c r="AX786" s="2372"/>
      <c r="AY786" s="2372"/>
      <c r="AZ786" s="2372"/>
      <c r="BA786" s="2372"/>
      <c r="BB786" s="2372"/>
      <c r="BC786" s="2372"/>
      <c r="BD786" s="2372"/>
      <c r="BE786" s="2372"/>
      <c r="BF786" s="2372"/>
      <c r="BG786" s="2372"/>
      <c r="BH786" s="2372"/>
      <c r="BI786" s="2372"/>
      <c r="BJ786" s="2372"/>
      <c r="BK786" s="2372"/>
      <c r="BL786" s="2372"/>
      <c r="BM786" s="2372"/>
      <c r="BN786" s="2372"/>
      <c r="BO786" s="2372"/>
      <c r="BP786" s="2372"/>
      <c r="BQ786" s="2372"/>
      <c r="BR786" s="2372"/>
      <c r="BS786" s="2372"/>
      <c r="BT786" s="2372"/>
      <c r="BU786" s="2372"/>
      <c r="BV786" s="2372"/>
      <c r="BW786" s="2372"/>
      <c r="BX786" s="2372"/>
      <c r="BY786" s="2372"/>
      <c r="BZ786" s="2372"/>
      <c r="CA786" s="2372"/>
      <c r="CB786" s="2372"/>
      <c r="CC786" s="2372"/>
      <c r="CD786" s="2372"/>
      <c r="CE786" s="2372"/>
      <c r="CF786" s="2372"/>
      <c r="CG786" s="2372"/>
      <c r="CH786" s="2372"/>
      <c r="CI786" s="2372"/>
      <c r="CJ786" s="2372"/>
      <c r="CK786" s="2372"/>
      <c r="CL786" s="2372"/>
      <c r="CM786" s="2372"/>
      <c r="CN786" s="2372"/>
      <c r="CO786" s="2372"/>
      <c r="CP786" s="2372"/>
      <c r="CQ786" s="2372"/>
      <c r="CR786" s="2372"/>
      <c r="CS786" s="2372"/>
      <c r="CT786" s="2372"/>
      <c r="CU786" s="2372"/>
      <c r="CV786" s="2372"/>
      <c r="CW786" s="2372"/>
      <c r="CX786" s="2372"/>
      <c r="CY786" s="2372"/>
      <c r="CZ786" s="2372"/>
      <c r="DA786" s="2372"/>
    </row>
    <row r="787" spans="1:105" ht="15" hidden="1" customHeight="1">
      <c r="A787" s="2372"/>
      <c r="B787" s="2372"/>
      <c r="C787" s="2372"/>
      <c r="D787" s="2372"/>
      <c r="E787" s="2372"/>
      <c r="F787" s="2372"/>
      <c r="G787" s="2372"/>
      <c r="H787" s="2372"/>
      <c r="I787" s="2372"/>
      <c r="J787" s="2372"/>
      <c r="K787" s="2372"/>
      <c r="L787" s="2372"/>
      <c r="M787" s="2372"/>
      <c r="N787" s="2372"/>
      <c r="O787" s="2372"/>
      <c r="P787" s="2372"/>
      <c r="Q787" s="2372"/>
      <c r="R787" s="2372"/>
      <c r="S787" s="2372"/>
      <c r="T787" s="2372"/>
      <c r="U787" s="2372"/>
      <c r="V787" s="2372"/>
      <c r="W787" s="2372"/>
      <c r="X787" s="2372"/>
      <c r="Y787" s="2372"/>
      <c r="Z787" s="2372"/>
      <c r="AA787" s="2372"/>
      <c r="AB787" s="2372"/>
      <c r="AC787" s="2372"/>
      <c r="AD787" s="2372"/>
      <c r="AE787" s="2372"/>
      <c r="AF787" s="2372"/>
      <c r="AG787" s="2372"/>
      <c r="AH787" s="2372"/>
      <c r="AI787" s="2372"/>
      <c r="AJ787" s="2372"/>
      <c r="AK787" s="2372"/>
      <c r="AL787" s="2372"/>
      <c r="AM787" s="2372"/>
      <c r="AN787" s="2372"/>
      <c r="AO787" s="2372"/>
      <c r="AP787" s="2372"/>
      <c r="AQ787" s="2372"/>
      <c r="AR787" s="2372"/>
      <c r="AS787" s="2372"/>
      <c r="AT787" s="2372"/>
      <c r="AU787" s="2372"/>
      <c r="AV787" s="2372"/>
      <c r="AW787" s="2372"/>
      <c r="AX787" s="2372"/>
      <c r="AY787" s="2372"/>
      <c r="AZ787" s="2372"/>
      <c r="BA787" s="2372"/>
      <c r="BB787" s="2372"/>
      <c r="BC787" s="2372"/>
      <c r="BD787" s="2372"/>
      <c r="BE787" s="2372"/>
      <c r="BF787" s="2372"/>
      <c r="BG787" s="2372"/>
      <c r="BH787" s="2372"/>
      <c r="BI787" s="2372"/>
      <c r="BJ787" s="2372"/>
      <c r="BK787" s="2372"/>
      <c r="BL787" s="2372"/>
      <c r="BM787" s="2372"/>
      <c r="BN787" s="2372"/>
      <c r="BO787" s="2372"/>
      <c r="BP787" s="2372"/>
      <c r="BQ787" s="2372"/>
      <c r="BR787" s="2372"/>
      <c r="BS787" s="2372"/>
      <c r="BT787" s="2372"/>
      <c r="BU787" s="2372"/>
      <c r="BV787" s="2372"/>
      <c r="BW787" s="2372"/>
      <c r="BX787" s="2372"/>
      <c r="BY787" s="2372"/>
      <c r="BZ787" s="2372"/>
      <c r="CA787" s="2372"/>
      <c r="CB787" s="2372"/>
      <c r="CC787" s="2372"/>
      <c r="CD787" s="2372"/>
      <c r="CE787" s="2372"/>
      <c r="CF787" s="2372"/>
      <c r="CG787" s="2372"/>
      <c r="CH787" s="2372"/>
      <c r="CI787" s="2372"/>
      <c r="CJ787" s="2372"/>
      <c r="CK787" s="2372"/>
      <c r="CL787" s="2372"/>
      <c r="CM787" s="2372"/>
      <c r="CN787" s="2372"/>
      <c r="CO787" s="2372"/>
      <c r="CP787" s="2372"/>
      <c r="CQ787" s="2372"/>
      <c r="CR787" s="2372"/>
      <c r="CS787" s="2372"/>
      <c r="CT787" s="2372"/>
      <c r="CU787" s="2372"/>
      <c r="CV787" s="2372"/>
      <c r="CW787" s="2372"/>
      <c r="CX787" s="2372"/>
      <c r="CY787" s="2372"/>
      <c r="CZ787" s="2372"/>
      <c r="DA787" s="2372"/>
    </row>
    <row r="788" spans="1:105" ht="15" hidden="1" customHeight="1">
      <c r="A788" s="2372"/>
      <c r="B788" s="2372"/>
      <c r="C788" s="2372"/>
      <c r="D788" s="2372"/>
      <c r="E788" s="2372"/>
      <c r="F788" s="2372"/>
      <c r="G788" s="2372"/>
      <c r="H788" s="2372"/>
      <c r="I788" s="2372"/>
      <c r="J788" s="2372"/>
      <c r="K788" s="2372"/>
      <c r="L788" s="2372"/>
      <c r="M788" s="2372"/>
      <c r="N788" s="2372"/>
      <c r="O788" s="2372"/>
      <c r="P788" s="2372"/>
      <c r="Q788" s="2372"/>
      <c r="R788" s="2372"/>
      <c r="S788" s="2372"/>
      <c r="T788" s="2372"/>
      <c r="U788" s="2372"/>
      <c r="V788" s="2372"/>
      <c r="W788" s="2372"/>
      <c r="X788" s="2372"/>
      <c r="Y788" s="2372"/>
      <c r="Z788" s="2372"/>
      <c r="AA788" s="2372"/>
      <c r="AB788" s="2372"/>
      <c r="AC788" s="2372"/>
      <c r="AD788" s="2372"/>
      <c r="AE788" s="2372"/>
      <c r="AF788" s="2372"/>
      <c r="AG788" s="2372"/>
      <c r="AH788" s="2372"/>
      <c r="AI788" s="2372"/>
      <c r="AJ788" s="2372"/>
      <c r="AK788" s="2372"/>
      <c r="AL788" s="2372"/>
      <c r="AM788" s="2372"/>
      <c r="AN788" s="2372"/>
      <c r="AO788" s="2372"/>
      <c r="AP788" s="2372"/>
      <c r="AQ788" s="2372"/>
      <c r="AR788" s="2372"/>
      <c r="AS788" s="2372"/>
      <c r="AT788" s="2372"/>
      <c r="AU788" s="2372"/>
      <c r="AV788" s="2372"/>
      <c r="AW788" s="2372"/>
      <c r="AX788" s="2372"/>
      <c r="AY788" s="2372"/>
      <c r="AZ788" s="2372"/>
      <c r="BA788" s="2372"/>
      <c r="BB788" s="2372"/>
      <c r="BC788" s="2372"/>
      <c r="BD788" s="2372"/>
      <c r="BE788" s="2372"/>
      <c r="BF788" s="2372"/>
      <c r="BG788" s="2372"/>
      <c r="BH788" s="2372"/>
      <c r="BI788" s="2372"/>
      <c r="BJ788" s="2372"/>
      <c r="BK788" s="2372"/>
      <c r="BL788" s="2372"/>
      <c r="BM788" s="2372"/>
      <c r="BN788" s="2372"/>
      <c r="BO788" s="2372"/>
      <c r="BP788" s="2372"/>
      <c r="BQ788" s="2372"/>
      <c r="BR788" s="2372"/>
      <c r="BS788" s="2372"/>
      <c r="BT788" s="2372"/>
      <c r="BU788" s="2372"/>
      <c r="BV788" s="2372"/>
      <c r="BW788" s="2372"/>
      <c r="BX788" s="2372"/>
      <c r="BY788" s="2372"/>
      <c r="BZ788" s="2372"/>
      <c r="CA788" s="2372"/>
      <c r="CB788" s="2372"/>
      <c r="CC788" s="2372"/>
      <c r="CD788" s="2372"/>
      <c r="CE788" s="2372"/>
      <c r="CF788" s="2372"/>
      <c r="CG788" s="2372"/>
      <c r="CH788" s="2372"/>
      <c r="CI788" s="2372"/>
      <c r="CJ788" s="2372"/>
      <c r="CK788" s="2372"/>
      <c r="CL788" s="2372"/>
      <c r="CM788" s="2372"/>
      <c r="CN788" s="2372"/>
      <c r="CO788" s="2372"/>
      <c r="CP788" s="2372"/>
      <c r="CQ788" s="2372"/>
      <c r="CR788" s="2372"/>
      <c r="CS788" s="2372"/>
      <c r="CT788" s="2372"/>
      <c r="CU788" s="2372"/>
      <c r="CV788" s="2372"/>
      <c r="CW788" s="2372"/>
      <c r="CX788" s="2372"/>
      <c r="CY788" s="2372"/>
      <c r="CZ788" s="2372"/>
      <c r="DA788" s="2372"/>
    </row>
    <row r="789" spans="1:105" ht="15" hidden="1" customHeight="1">
      <c r="A789" s="2372"/>
      <c r="B789" s="2372"/>
      <c r="C789" s="2372"/>
      <c r="D789" s="2372"/>
      <c r="E789" s="2372"/>
      <c r="F789" s="2372"/>
      <c r="G789" s="2372"/>
      <c r="H789" s="2372"/>
      <c r="I789" s="2372"/>
      <c r="J789" s="2372"/>
      <c r="K789" s="2372"/>
      <c r="L789" s="2372"/>
      <c r="M789" s="2372"/>
      <c r="N789" s="2372"/>
      <c r="O789" s="2372"/>
      <c r="P789" s="2372"/>
      <c r="Q789" s="2372"/>
      <c r="R789" s="2372"/>
      <c r="S789" s="2372"/>
      <c r="T789" s="2372"/>
      <c r="U789" s="2372"/>
      <c r="V789" s="2372"/>
      <c r="W789" s="2372"/>
      <c r="X789" s="2372"/>
      <c r="Y789" s="2372"/>
      <c r="Z789" s="2372"/>
      <c r="AA789" s="2372"/>
      <c r="AB789" s="2372"/>
      <c r="AC789" s="2372"/>
      <c r="AD789" s="2372"/>
      <c r="AE789" s="2372"/>
      <c r="AF789" s="2372"/>
      <c r="AG789" s="2372"/>
      <c r="AH789" s="2372"/>
      <c r="AI789" s="2372"/>
      <c r="AJ789" s="2372"/>
      <c r="AK789" s="2372"/>
      <c r="AL789" s="2372"/>
      <c r="AM789" s="2372"/>
      <c r="AN789" s="2372"/>
      <c r="AO789" s="2372"/>
      <c r="AP789" s="2372"/>
      <c r="AQ789" s="2372"/>
      <c r="AR789" s="2372"/>
      <c r="AS789" s="2372"/>
      <c r="AT789" s="2372"/>
      <c r="AU789" s="2372"/>
      <c r="AV789" s="2372"/>
      <c r="AW789" s="2372"/>
      <c r="AX789" s="2372"/>
      <c r="AY789" s="2372"/>
      <c r="AZ789" s="2372"/>
      <c r="BA789" s="2372"/>
      <c r="BB789" s="2372"/>
      <c r="BC789" s="2372"/>
      <c r="BD789" s="2372"/>
      <c r="BE789" s="2372"/>
      <c r="BF789" s="2372"/>
      <c r="BG789" s="2372"/>
      <c r="BH789" s="2372"/>
      <c r="BI789" s="2372"/>
      <c r="BJ789" s="2372"/>
      <c r="BK789" s="2372"/>
      <c r="BL789" s="2372"/>
      <c r="BM789" s="2372"/>
      <c r="BN789" s="2372"/>
      <c r="BO789" s="2372"/>
      <c r="BP789" s="2372"/>
      <c r="BQ789" s="2372"/>
      <c r="BR789" s="2372"/>
      <c r="BS789" s="2372"/>
      <c r="BT789" s="2372"/>
      <c r="BU789" s="2372"/>
      <c r="BV789" s="2372"/>
      <c r="BW789" s="2372"/>
      <c r="BX789" s="2372"/>
      <c r="BY789" s="2372"/>
      <c r="BZ789" s="2372"/>
      <c r="CA789" s="2372"/>
      <c r="CB789" s="2372"/>
      <c r="CC789" s="2372"/>
      <c r="CD789" s="2372"/>
      <c r="CE789" s="2372"/>
      <c r="CF789" s="2372"/>
      <c r="CG789" s="2372"/>
      <c r="CH789" s="2372"/>
      <c r="CI789" s="2372"/>
      <c r="CJ789" s="2372"/>
      <c r="CK789" s="2372"/>
      <c r="CL789" s="2372"/>
      <c r="CM789" s="2372"/>
      <c r="CN789" s="2372"/>
      <c r="CO789" s="2372"/>
      <c r="CP789" s="2372"/>
      <c r="CQ789" s="2372"/>
      <c r="CR789" s="2372"/>
      <c r="CS789" s="2372"/>
      <c r="CT789" s="2372"/>
      <c r="CU789" s="2372"/>
      <c r="CV789" s="2372"/>
      <c r="CW789" s="2372"/>
      <c r="CX789" s="2372"/>
      <c r="CY789" s="2372"/>
      <c r="CZ789" s="2372"/>
      <c r="DA789" s="2372"/>
    </row>
    <row r="790" spans="1:105" ht="15" hidden="1" customHeight="1">
      <c r="A790" s="2372"/>
      <c r="B790" s="2372"/>
      <c r="C790" s="2372"/>
      <c r="D790" s="2372"/>
      <c r="E790" s="2372"/>
      <c r="F790" s="2372"/>
      <c r="G790" s="2372"/>
      <c r="H790" s="2372"/>
      <c r="I790" s="2372"/>
      <c r="J790" s="2372"/>
      <c r="K790" s="2372"/>
      <c r="L790" s="2372"/>
      <c r="M790" s="2372"/>
      <c r="N790" s="2372"/>
      <c r="O790" s="2372"/>
      <c r="P790" s="2372"/>
      <c r="Q790" s="2372"/>
      <c r="R790" s="2372"/>
      <c r="S790" s="2372"/>
      <c r="T790" s="2372"/>
      <c r="U790" s="2372"/>
      <c r="V790" s="2372"/>
      <c r="W790" s="2372"/>
      <c r="X790" s="2372"/>
      <c r="Y790" s="2372"/>
      <c r="Z790" s="2372"/>
      <c r="AA790" s="2372"/>
      <c r="AB790" s="2372"/>
      <c r="AC790" s="2372"/>
      <c r="AD790" s="2372"/>
      <c r="AE790" s="2372"/>
      <c r="AF790" s="2372"/>
      <c r="AG790" s="2372"/>
      <c r="AH790" s="2372"/>
      <c r="AI790" s="2372"/>
      <c r="AJ790" s="2372"/>
      <c r="AK790" s="2372"/>
      <c r="AL790" s="2372"/>
      <c r="AM790" s="2372"/>
      <c r="AN790" s="2372"/>
      <c r="AO790" s="2372"/>
      <c r="AP790" s="2372"/>
      <c r="AQ790" s="2372"/>
      <c r="AR790" s="2372"/>
      <c r="AS790" s="2372"/>
      <c r="AT790" s="2372"/>
      <c r="AU790" s="2372"/>
      <c r="AV790" s="2372"/>
      <c r="AW790" s="2372"/>
      <c r="AX790" s="2372"/>
      <c r="AY790" s="2372"/>
      <c r="AZ790" s="2372"/>
      <c r="BA790" s="2372"/>
      <c r="BB790" s="2372"/>
      <c r="BC790" s="2372"/>
      <c r="BD790" s="2372"/>
      <c r="BE790" s="2372"/>
      <c r="BF790" s="2372"/>
      <c r="BG790" s="2372"/>
      <c r="BH790" s="2372"/>
      <c r="BI790" s="2372"/>
      <c r="BJ790" s="2372"/>
      <c r="BK790" s="2372"/>
      <c r="BL790" s="2372"/>
      <c r="BM790" s="2372"/>
      <c r="BN790" s="2372"/>
      <c r="BO790" s="2372"/>
      <c r="BP790" s="2372"/>
      <c r="BQ790" s="2372"/>
      <c r="BR790" s="2372"/>
      <c r="BS790" s="2372"/>
      <c r="BT790" s="2372"/>
      <c r="BU790" s="2372"/>
      <c r="BV790" s="2372"/>
      <c r="BW790" s="2372"/>
      <c r="BX790" s="2372"/>
      <c r="BY790" s="2372"/>
      <c r="BZ790" s="2372"/>
      <c r="CA790" s="2372"/>
      <c r="CB790" s="2372"/>
      <c r="CC790" s="2372"/>
      <c r="CD790" s="2372"/>
      <c r="CE790" s="2372"/>
      <c r="CF790" s="2372"/>
      <c r="CG790" s="2372"/>
      <c r="CH790" s="2372"/>
      <c r="CI790" s="2372"/>
      <c r="CJ790" s="2372"/>
      <c r="CK790" s="2372"/>
      <c r="CL790" s="2372"/>
      <c r="CM790" s="2372"/>
      <c r="CN790" s="2372"/>
      <c r="CO790" s="2372"/>
      <c r="CP790" s="2372"/>
      <c r="CQ790" s="2372"/>
      <c r="CR790" s="2372"/>
      <c r="CS790" s="2372"/>
      <c r="CT790" s="2372"/>
      <c r="CU790" s="2372"/>
      <c r="CV790" s="2372"/>
      <c r="CW790" s="2372"/>
      <c r="CX790" s="2372"/>
      <c r="CY790" s="2372"/>
      <c r="CZ790" s="2372"/>
      <c r="DA790" s="2372"/>
    </row>
    <row r="791" spans="1:105" ht="15" hidden="1" customHeight="1">
      <c r="A791" s="2372"/>
      <c r="B791" s="2372"/>
      <c r="C791" s="2372"/>
      <c r="D791" s="2372"/>
      <c r="E791" s="2372"/>
      <c r="F791" s="2372"/>
      <c r="G791" s="2372"/>
      <c r="H791" s="2372"/>
      <c r="I791" s="2372"/>
      <c r="J791" s="2372"/>
      <c r="K791" s="2372"/>
      <c r="L791" s="2372"/>
      <c r="M791" s="2372"/>
      <c r="N791" s="2372"/>
      <c r="O791" s="2372"/>
      <c r="P791" s="2372"/>
      <c r="Q791" s="2372"/>
      <c r="R791" s="2372"/>
      <c r="S791" s="2372"/>
      <c r="T791" s="2372"/>
      <c r="U791" s="2372"/>
      <c r="V791" s="2372"/>
      <c r="W791" s="2372"/>
      <c r="X791" s="2372"/>
      <c r="Y791" s="2372"/>
      <c r="Z791" s="2372"/>
      <c r="AA791" s="2372"/>
      <c r="AB791" s="2372"/>
      <c r="AC791" s="2372"/>
      <c r="AD791" s="2372"/>
      <c r="AE791" s="2372"/>
      <c r="AF791" s="2372"/>
      <c r="AG791" s="2372"/>
      <c r="AH791" s="2372"/>
      <c r="AI791" s="2372"/>
      <c r="AJ791" s="2372"/>
      <c r="AK791" s="2372"/>
      <c r="AL791" s="2372"/>
      <c r="AM791" s="2372"/>
      <c r="AN791" s="2372"/>
      <c r="AO791" s="2372"/>
      <c r="AP791" s="2372"/>
      <c r="AQ791" s="2372"/>
      <c r="AR791" s="2372"/>
      <c r="AS791" s="2372"/>
      <c r="AT791" s="2372"/>
      <c r="AU791" s="2372"/>
      <c r="AV791" s="2372"/>
      <c r="AW791" s="2372"/>
      <c r="AX791" s="2372"/>
      <c r="AY791" s="2372"/>
      <c r="AZ791" s="2372"/>
      <c r="BA791" s="2372"/>
      <c r="BB791" s="2372"/>
      <c r="BC791" s="2372"/>
      <c r="BD791" s="2372"/>
      <c r="BE791" s="2372"/>
      <c r="BF791" s="2372"/>
      <c r="BG791" s="2372"/>
      <c r="BH791" s="2372"/>
      <c r="BI791" s="2372"/>
      <c r="BJ791" s="2372"/>
      <c r="BK791" s="2372"/>
      <c r="BL791" s="2372"/>
      <c r="BM791" s="2372"/>
      <c r="BN791" s="2372"/>
      <c r="BO791" s="2372"/>
      <c r="BP791" s="2372"/>
      <c r="BQ791" s="2372"/>
      <c r="BR791" s="2372"/>
      <c r="BS791" s="2372"/>
      <c r="BT791" s="2372"/>
      <c r="BU791" s="2372"/>
      <c r="BV791" s="2372"/>
      <c r="BW791" s="2372"/>
      <c r="BX791" s="2372"/>
      <c r="BY791" s="2372"/>
      <c r="BZ791" s="2372"/>
      <c r="CA791" s="2372"/>
      <c r="CB791" s="2372"/>
      <c r="CC791" s="2372"/>
      <c r="CD791" s="2372"/>
      <c r="CE791" s="2372"/>
      <c r="CF791" s="2372"/>
      <c r="CG791" s="2372"/>
      <c r="CH791" s="2372"/>
      <c r="CI791" s="2372"/>
      <c r="CJ791" s="2372"/>
      <c r="CK791" s="2372"/>
      <c r="CL791" s="2372"/>
      <c r="CM791" s="2372"/>
      <c r="CN791" s="2372"/>
      <c r="CO791" s="2372"/>
      <c r="CP791" s="2372"/>
      <c r="CQ791" s="2372"/>
      <c r="CR791" s="2372"/>
      <c r="CS791" s="2372"/>
      <c r="CT791" s="2372"/>
      <c r="CU791" s="2372"/>
      <c r="CV791" s="2372"/>
      <c r="CW791" s="2372"/>
      <c r="CX791" s="2372"/>
      <c r="CY791" s="2372"/>
      <c r="CZ791" s="2372"/>
      <c r="DA791" s="2372"/>
    </row>
    <row r="792" spans="1:105" ht="15" hidden="1" customHeight="1">
      <c r="A792" s="2372"/>
      <c r="B792" s="2372"/>
      <c r="C792" s="2372"/>
      <c r="D792" s="2372"/>
      <c r="E792" s="2372"/>
      <c r="F792" s="2372"/>
      <c r="G792" s="2372"/>
      <c r="H792" s="2372"/>
      <c r="I792" s="2372"/>
      <c r="J792" s="2372"/>
      <c r="K792" s="2372"/>
      <c r="L792" s="2372"/>
      <c r="M792" s="2372"/>
      <c r="N792" s="2372"/>
      <c r="O792" s="2372"/>
      <c r="P792" s="2372"/>
      <c r="Q792" s="2372"/>
      <c r="R792" s="2372"/>
      <c r="S792" s="2372"/>
      <c r="T792" s="2372"/>
      <c r="U792" s="2372"/>
      <c r="V792" s="2372"/>
      <c r="W792" s="2372"/>
      <c r="X792" s="2372"/>
      <c r="Y792" s="2372"/>
      <c r="Z792" s="2372"/>
      <c r="AA792" s="2372"/>
      <c r="AB792" s="2372"/>
      <c r="AC792" s="2372"/>
      <c r="AD792" s="2372"/>
      <c r="AE792" s="2372"/>
      <c r="AF792" s="2372"/>
      <c r="AG792" s="2372"/>
      <c r="AH792" s="2372"/>
      <c r="AI792" s="2372"/>
      <c r="AJ792" s="2372"/>
      <c r="AK792" s="2372"/>
      <c r="AL792" s="2372"/>
      <c r="AM792" s="2372"/>
      <c r="AN792" s="2372"/>
      <c r="AO792" s="2372"/>
      <c r="AP792" s="2372"/>
      <c r="AQ792" s="2372"/>
      <c r="AR792" s="2372"/>
      <c r="AS792" s="2372"/>
      <c r="AT792" s="2372"/>
      <c r="AU792" s="2372"/>
      <c r="AV792" s="2372"/>
      <c r="AW792" s="2372"/>
      <c r="AX792" s="2372"/>
      <c r="AY792" s="2372"/>
      <c r="AZ792" s="2372"/>
      <c r="BA792" s="2372"/>
      <c r="BB792" s="2372"/>
      <c r="BC792" s="2372"/>
      <c r="BD792" s="2372"/>
      <c r="BE792" s="2372"/>
      <c r="BF792" s="2372"/>
      <c r="BG792" s="2372"/>
      <c r="BH792" s="2372"/>
      <c r="BI792" s="2372"/>
      <c r="BJ792" s="2372"/>
      <c r="BK792" s="2372"/>
      <c r="BL792" s="2372"/>
      <c r="BM792" s="2372"/>
      <c r="BN792" s="2372"/>
      <c r="BO792" s="2372"/>
      <c r="BP792" s="2372"/>
      <c r="BQ792" s="2372"/>
      <c r="BR792" s="2372"/>
      <c r="BS792" s="2372"/>
      <c r="BT792" s="2372"/>
      <c r="BU792" s="2372"/>
      <c r="BV792" s="2372"/>
      <c r="BW792" s="2372"/>
      <c r="BX792" s="2372"/>
      <c r="BY792" s="2372"/>
      <c r="BZ792" s="2372"/>
      <c r="CA792" s="2372"/>
      <c r="CB792" s="2372"/>
      <c r="CC792" s="2372"/>
      <c r="CD792" s="2372"/>
      <c r="CE792" s="2372"/>
      <c r="CF792" s="2372"/>
      <c r="CG792" s="2372"/>
      <c r="CH792" s="2372"/>
      <c r="CI792" s="2372"/>
      <c r="CJ792" s="2372"/>
      <c r="CK792" s="2372"/>
      <c r="CL792" s="2372"/>
      <c r="CM792" s="2372"/>
      <c r="CN792" s="2372"/>
      <c r="CO792" s="2372"/>
      <c r="CP792" s="2372"/>
      <c r="CQ792" s="2372"/>
      <c r="CR792" s="2372"/>
      <c r="CS792" s="2372"/>
      <c r="CT792" s="2372"/>
      <c r="CU792" s="2372"/>
      <c r="CV792" s="2372"/>
      <c r="CW792" s="2372"/>
      <c r="CX792" s="2372"/>
      <c r="CY792" s="2372"/>
      <c r="CZ792" s="2372"/>
      <c r="DA792" s="2372"/>
    </row>
    <row r="793" spans="1:105" ht="15" hidden="1" customHeight="1">
      <c r="A793" s="2372"/>
      <c r="B793" s="2372"/>
      <c r="C793" s="2372"/>
      <c r="D793" s="2372"/>
      <c r="E793" s="2372"/>
      <c r="F793" s="2372"/>
      <c r="G793" s="2372"/>
      <c r="H793" s="2372"/>
      <c r="I793" s="2372"/>
      <c r="J793" s="2372"/>
      <c r="K793" s="2372"/>
      <c r="L793" s="2372"/>
      <c r="M793" s="2372"/>
      <c r="N793" s="2372"/>
      <c r="O793" s="2372"/>
      <c r="P793" s="2372"/>
      <c r="Q793" s="2372"/>
      <c r="R793" s="2372"/>
      <c r="S793" s="2372"/>
      <c r="T793" s="2372"/>
      <c r="U793" s="2372"/>
      <c r="V793" s="2372"/>
      <c r="W793" s="2372"/>
      <c r="X793" s="2372"/>
      <c r="Y793" s="2372"/>
      <c r="Z793" s="2372"/>
      <c r="AA793" s="2372"/>
      <c r="AB793" s="2372"/>
      <c r="AC793" s="2372"/>
      <c r="AD793" s="2372"/>
      <c r="AE793" s="2372"/>
      <c r="AF793" s="2372"/>
      <c r="AG793" s="2372"/>
      <c r="AH793" s="2372"/>
      <c r="AI793" s="2372"/>
      <c r="AJ793" s="2372"/>
      <c r="AK793" s="2372"/>
      <c r="AL793" s="2372"/>
      <c r="AM793" s="2372"/>
      <c r="AN793" s="2372"/>
      <c r="AO793" s="2372"/>
      <c r="AP793" s="2372"/>
      <c r="AQ793" s="2372"/>
      <c r="AR793" s="2372"/>
      <c r="AS793" s="2372"/>
      <c r="AT793" s="2372"/>
      <c r="AU793" s="2372"/>
      <c r="AV793" s="2372"/>
      <c r="AW793" s="2372"/>
      <c r="AX793" s="2372"/>
      <c r="AY793" s="2372"/>
      <c r="AZ793" s="2372"/>
      <c r="BA793" s="2372"/>
      <c r="BB793" s="2372"/>
      <c r="BC793" s="2372"/>
      <c r="BD793" s="2372"/>
      <c r="BE793" s="2372"/>
      <c r="BF793" s="2372"/>
      <c r="BG793" s="2372"/>
      <c r="BH793" s="2372"/>
      <c r="BI793" s="2372"/>
      <c r="BJ793" s="2372"/>
      <c r="BK793" s="2372"/>
      <c r="BL793" s="2372"/>
      <c r="BM793" s="2372"/>
      <c r="BN793" s="2372"/>
      <c r="BO793" s="2372"/>
      <c r="BP793" s="2372"/>
      <c r="BQ793" s="2372"/>
      <c r="BR793" s="2372"/>
      <c r="BS793" s="2372"/>
      <c r="BT793" s="2372"/>
      <c r="BU793" s="2372"/>
      <c r="BV793" s="2372"/>
      <c r="BW793" s="2372"/>
      <c r="BX793" s="2372"/>
      <c r="BY793" s="2372"/>
      <c r="BZ793" s="2372"/>
      <c r="CA793" s="2372"/>
      <c r="CB793" s="2372"/>
      <c r="CC793" s="2372"/>
      <c r="CD793" s="2372"/>
      <c r="CE793" s="2372"/>
      <c r="CF793" s="2372"/>
      <c r="CG793" s="2372"/>
      <c r="CH793" s="2372"/>
      <c r="CI793" s="2372"/>
      <c r="CJ793" s="2372"/>
      <c r="CK793" s="2372"/>
      <c r="CL793" s="2372"/>
      <c r="CM793" s="2372"/>
      <c r="CN793" s="2372"/>
      <c r="CO793" s="2372"/>
      <c r="CP793" s="2372"/>
      <c r="CQ793" s="2372"/>
      <c r="CR793" s="2372"/>
      <c r="CS793" s="2372"/>
      <c r="CT793" s="2372"/>
      <c r="CU793" s="2372"/>
      <c r="CV793" s="2372"/>
      <c r="CW793" s="2372"/>
      <c r="CX793" s="2372"/>
      <c r="CY793" s="2372"/>
      <c r="CZ793" s="2372"/>
      <c r="DA793" s="2372"/>
    </row>
    <row r="794" spans="1:105" ht="15" hidden="1" customHeight="1">
      <c r="A794" s="2372"/>
      <c r="B794" s="2372"/>
      <c r="C794" s="2372"/>
      <c r="D794" s="2372"/>
      <c r="E794" s="2372"/>
      <c r="F794" s="2372"/>
      <c r="G794" s="2372"/>
      <c r="H794" s="2372"/>
      <c r="I794" s="2372"/>
      <c r="J794" s="2372"/>
      <c r="K794" s="2372"/>
      <c r="L794" s="2372"/>
      <c r="M794" s="2372"/>
      <c r="N794" s="2372"/>
      <c r="O794" s="2372"/>
      <c r="P794" s="2372"/>
      <c r="Q794" s="2372"/>
      <c r="R794" s="2372"/>
      <c r="S794" s="2372"/>
      <c r="T794" s="2372"/>
      <c r="U794" s="2372"/>
      <c r="V794" s="2372"/>
      <c r="W794" s="2372"/>
      <c r="X794" s="2372"/>
      <c r="Y794" s="2372"/>
      <c r="Z794" s="2372"/>
      <c r="AA794" s="2372"/>
      <c r="AB794" s="2372"/>
      <c r="AC794" s="2372"/>
      <c r="AD794" s="2372"/>
      <c r="AE794" s="2372"/>
      <c r="AF794" s="2372"/>
      <c r="AG794" s="2372"/>
      <c r="AH794" s="2372"/>
      <c r="AI794" s="2372"/>
      <c r="AJ794" s="2372"/>
      <c r="AK794" s="2372"/>
      <c r="AL794" s="2372"/>
      <c r="AM794" s="2372"/>
      <c r="AN794" s="2372"/>
      <c r="AO794" s="2372"/>
      <c r="AP794" s="2372"/>
      <c r="AQ794" s="2372"/>
      <c r="AR794" s="2372"/>
      <c r="AS794" s="2372"/>
      <c r="AT794" s="2372"/>
      <c r="AU794" s="2372"/>
      <c r="AV794" s="2372"/>
      <c r="AW794" s="2372"/>
      <c r="AX794" s="2372"/>
      <c r="AY794" s="2372"/>
      <c r="AZ794" s="2372"/>
      <c r="BA794" s="2372"/>
      <c r="BB794" s="2372"/>
      <c r="BC794" s="2372"/>
      <c r="BD794" s="2372"/>
      <c r="BE794" s="2372"/>
      <c r="BF794" s="2372"/>
      <c r="BG794" s="2372"/>
      <c r="BH794" s="2372"/>
      <c r="BI794" s="2372"/>
      <c r="BJ794" s="2372"/>
      <c r="BK794" s="2372"/>
      <c r="BL794" s="2372"/>
      <c r="BM794" s="2372"/>
      <c r="BN794" s="2372"/>
      <c r="BO794" s="2372"/>
      <c r="BP794" s="2372"/>
      <c r="BQ794" s="2372"/>
      <c r="BR794" s="2372"/>
      <c r="BS794" s="2372"/>
      <c r="BT794" s="2372"/>
      <c r="BU794" s="2372"/>
      <c r="BV794" s="2372"/>
      <c r="BW794" s="2372"/>
      <c r="BX794" s="2372"/>
      <c r="BY794" s="2372"/>
      <c r="BZ794" s="2372"/>
      <c r="CA794" s="2372"/>
      <c r="CB794" s="2372"/>
      <c r="CC794" s="2372"/>
      <c r="CD794" s="2372"/>
      <c r="CE794" s="2372"/>
      <c r="CF794" s="2372"/>
      <c r="CG794" s="2372"/>
      <c r="CH794" s="2372"/>
      <c r="CI794" s="2372"/>
      <c r="CJ794" s="2372"/>
      <c r="CK794" s="2372"/>
      <c r="CL794" s="2372"/>
      <c r="CM794" s="2372"/>
      <c r="CN794" s="2372"/>
      <c r="CO794" s="2372"/>
      <c r="CP794" s="2372"/>
      <c r="CQ794" s="2372"/>
      <c r="CR794" s="2372"/>
      <c r="CS794" s="2372"/>
      <c r="CT794" s="2372"/>
      <c r="CU794" s="2372"/>
      <c r="CV794" s="2372"/>
      <c r="CW794" s="2372"/>
      <c r="CX794" s="2372"/>
      <c r="CY794" s="2372"/>
      <c r="CZ794" s="2372"/>
      <c r="DA794" s="2372"/>
    </row>
    <row r="795" spans="1:105" ht="15" hidden="1" customHeight="1">
      <c r="A795" s="2372"/>
      <c r="B795" s="2372"/>
      <c r="C795" s="2372"/>
      <c r="D795" s="2372"/>
      <c r="E795" s="2372"/>
      <c r="F795" s="2372"/>
      <c r="G795" s="2372"/>
      <c r="H795" s="2372"/>
      <c r="I795" s="2372"/>
      <c r="J795" s="2372"/>
      <c r="K795" s="2372"/>
      <c r="L795" s="2372"/>
      <c r="M795" s="2372"/>
      <c r="N795" s="2372"/>
      <c r="O795" s="2372"/>
      <c r="P795" s="2372"/>
      <c r="Q795" s="2372"/>
      <c r="R795" s="2372"/>
      <c r="S795" s="2372"/>
      <c r="T795" s="2372"/>
      <c r="U795" s="2372"/>
      <c r="V795" s="2372"/>
      <c r="W795" s="2372"/>
      <c r="X795" s="2372"/>
      <c r="Y795" s="2372"/>
      <c r="Z795" s="2372"/>
      <c r="AA795" s="2372"/>
      <c r="AB795" s="2372"/>
      <c r="AC795" s="2372"/>
      <c r="AD795" s="2372"/>
      <c r="AE795" s="2372"/>
      <c r="AF795" s="2372"/>
      <c r="AG795" s="2372"/>
      <c r="AH795" s="2372"/>
      <c r="AI795" s="2372"/>
      <c r="AJ795" s="2372"/>
      <c r="AK795" s="2372"/>
      <c r="AL795" s="2372"/>
      <c r="AM795" s="2372"/>
      <c r="AN795" s="2372"/>
      <c r="AO795" s="2372"/>
      <c r="AP795" s="2372"/>
      <c r="AQ795" s="2372"/>
      <c r="AR795" s="2372"/>
      <c r="AS795" s="2372"/>
      <c r="AT795" s="2372"/>
      <c r="AU795" s="2372"/>
      <c r="AV795" s="2372"/>
      <c r="AW795" s="2372"/>
      <c r="AX795" s="2372"/>
      <c r="AY795" s="2372"/>
      <c r="AZ795" s="2372"/>
      <c r="BA795" s="2372"/>
      <c r="BB795" s="2372"/>
      <c r="BC795" s="2372"/>
      <c r="BD795" s="2372"/>
      <c r="BE795" s="2372"/>
      <c r="BF795" s="2372"/>
      <c r="BG795" s="2372"/>
      <c r="BH795" s="2372"/>
      <c r="BI795" s="2372"/>
      <c r="BJ795" s="2372"/>
      <c r="BK795" s="2372"/>
      <c r="BL795" s="2372"/>
      <c r="BM795" s="2372"/>
      <c r="BN795" s="2372"/>
      <c r="BO795" s="2372"/>
      <c r="BP795" s="2372"/>
      <c r="BQ795" s="2372"/>
      <c r="BR795" s="2372"/>
      <c r="BS795" s="2372"/>
      <c r="BT795" s="2372"/>
      <c r="BU795" s="2372"/>
      <c r="BV795" s="2372"/>
      <c r="BW795" s="2372"/>
      <c r="BX795" s="2372"/>
      <c r="BY795" s="2372"/>
      <c r="BZ795" s="2372"/>
      <c r="CA795" s="2372"/>
      <c r="CB795" s="2372"/>
      <c r="CC795" s="2372"/>
      <c r="CD795" s="2372"/>
      <c r="CE795" s="2372"/>
      <c r="CF795" s="2372"/>
      <c r="CG795" s="2372"/>
      <c r="CH795" s="2372"/>
      <c r="CI795" s="2372"/>
      <c r="CJ795" s="2372"/>
      <c r="CK795" s="2372"/>
      <c r="CL795" s="2372"/>
      <c r="CM795" s="2372"/>
      <c r="CN795" s="2372"/>
      <c r="CO795" s="2372"/>
      <c r="CP795" s="2372"/>
      <c r="CQ795" s="2372"/>
      <c r="CR795" s="2372"/>
      <c r="CS795" s="2372"/>
      <c r="CT795" s="2372"/>
      <c r="CU795" s="2372"/>
      <c r="CV795" s="2372"/>
      <c r="CW795" s="2372"/>
      <c r="CX795" s="2372"/>
      <c r="CY795" s="2372"/>
      <c r="CZ795" s="2372"/>
      <c r="DA795" s="2372"/>
    </row>
    <row r="796" spans="1:105" ht="15" hidden="1" customHeight="1">
      <c r="A796" s="2372"/>
      <c r="B796" s="2372"/>
      <c r="C796" s="2372"/>
      <c r="D796" s="2372"/>
      <c r="E796" s="2372"/>
      <c r="F796" s="2372"/>
      <c r="G796" s="2372"/>
      <c r="H796" s="2372"/>
      <c r="I796" s="2372"/>
      <c r="J796" s="2372"/>
      <c r="K796" s="2372"/>
      <c r="L796" s="2372"/>
      <c r="M796" s="2372"/>
      <c r="N796" s="2372"/>
      <c r="O796" s="2372"/>
      <c r="P796" s="2372"/>
      <c r="Q796" s="2372"/>
      <c r="R796" s="2372"/>
      <c r="S796" s="2372"/>
      <c r="T796" s="2372"/>
      <c r="U796" s="2372"/>
      <c r="V796" s="2372"/>
      <c r="W796" s="2372"/>
      <c r="X796" s="2372"/>
      <c r="Y796" s="2372"/>
      <c r="Z796" s="2372"/>
      <c r="AA796" s="2372"/>
      <c r="AB796" s="2372"/>
      <c r="AC796" s="2372"/>
      <c r="AD796" s="2372"/>
      <c r="AE796" s="2372"/>
      <c r="AF796" s="2372"/>
      <c r="AG796" s="2372"/>
      <c r="AH796" s="2372"/>
      <c r="AI796" s="2372"/>
      <c r="AJ796" s="2372"/>
      <c r="AK796" s="2372"/>
      <c r="AL796" s="2372"/>
      <c r="AM796" s="2372"/>
      <c r="AN796" s="2372"/>
      <c r="AO796" s="2372"/>
      <c r="AP796" s="2372"/>
      <c r="AQ796" s="2372"/>
      <c r="AR796" s="2372"/>
      <c r="AS796" s="2372"/>
      <c r="AT796" s="2372"/>
      <c r="AU796" s="2372"/>
      <c r="AV796" s="2372"/>
      <c r="AW796" s="2372"/>
      <c r="AX796" s="2372"/>
      <c r="AY796" s="2372"/>
      <c r="AZ796" s="2372"/>
      <c r="BA796" s="2372"/>
      <c r="BB796" s="2372"/>
      <c r="BC796" s="2372"/>
      <c r="BD796" s="2372"/>
      <c r="BE796" s="2372"/>
      <c r="BF796" s="2372"/>
      <c r="BG796" s="2372"/>
      <c r="BH796" s="2372"/>
      <c r="BI796" s="2372"/>
      <c r="BJ796" s="2372"/>
      <c r="BK796" s="2372"/>
      <c r="BL796" s="2372"/>
      <c r="BM796" s="2372"/>
      <c r="BN796" s="2372"/>
      <c r="BO796" s="2372"/>
      <c r="BP796" s="2372"/>
      <c r="BQ796" s="2372"/>
      <c r="BR796" s="2372"/>
      <c r="BS796" s="2372"/>
      <c r="BT796" s="2372"/>
      <c r="BU796" s="2372"/>
      <c r="BV796" s="2372"/>
      <c r="BW796" s="2372"/>
      <c r="BX796" s="2372"/>
      <c r="BY796" s="2372"/>
      <c r="BZ796" s="2372"/>
      <c r="CA796" s="2372"/>
      <c r="CB796" s="2372"/>
      <c r="CC796" s="2372"/>
      <c r="CD796" s="2372"/>
      <c r="CE796" s="2372"/>
      <c r="CF796" s="2372"/>
      <c r="CG796" s="2372"/>
      <c r="CH796" s="2372"/>
      <c r="CI796" s="2372"/>
      <c r="CJ796" s="2372"/>
      <c r="CK796" s="2372"/>
      <c r="CL796" s="2372"/>
      <c r="CM796" s="2372"/>
      <c r="CN796" s="2372"/>
      <c r="CO796" s="2372"/>
      <c r="CP796" s="2372"/>
      <c r="CQ796" s="2372"/>
      <c r="CR796" s="2372"/>
      <c r="CS796" s="2372"/>
      <c r="CT796" s="2372"/>
      <c r="CU796" s="2372"/>
      <c r="CV796" s="2372"/>
      <c r="CW796" s="2372"/>
      <c r="CX796" s="2372"/>
      <c r="CY796" s="2372"/>
      <c r="CZ796" s="2372"/>
      <c r="DA796" s="2372"/>
    </row>
    <row r="797" spans="1:105" ht="15" hidden="1" customHeight="1">
      <c r="A797" s="2372"/>
      <c r="B797" s="2372"/>
      <c r="C797" s="2372"/>
      <c r="D797" s="2372"/>
      <c r="E797" s="2372"/>
      <c r="F797" s="2372"/>
      <c r="G797" s="2372"/>
      <c r="H797" s="2372"/>
      <c r="I797" s="2372"/>
      <c r="J797" s="2372"/>
      <c r="K797" s="2372"/>
      <c r="L797" s="2372"/>
      <c r="M797" s="2372"/>
      <c r="N797" s="2372"/>
      <c r="O797" s="2372"/>
      <c r="P797" s="2372"/>
      <c r="Q797" s="2372"/>
      <c r="R797" s="2372"/>
      <c r="S797" s="2372"/>
      <c r="T797" s="2372"/>
      <c r="U797" s="2372"/>
      <c r="V797" s="2372"/>
      <c r="W797" s="2372"/>
      <c r="X797" s="2372"/>
      <c r="Y797" s="2372"/>
      <c r="Z797" s="2372"/>
      <c r="AA797" s="2372"/>
      <c r="AB797" s="2372"/>
      <c r="AC797" s="2372"/>
      <c r="AD797" s="2372"/>
      <c r="AE797" s="2372"/>
      <c r="AF797" s="2372"/>
      <c r="AG797" s="2372"/>
      <c r="AH797" s="2372"/>
      <c r="AI797" s="2372"/>
      <c r="AJ797" s="2372"/>
      <c r="AK797" s="2372"/>
      <c r="AL797" s="2372"/>
      <c r="AM797" s="2372"/>
      <c r="AN797" s="2372"/>
      <c r="AO797" s="2372"/>
      <c r="AP797" s="2372"/>
      <c r="AQ797" s="2372"/>
      <c r="AR797" s="2372"/>
      <c r="AS797" s="2372"/>
      <c r="AT797" s="2372"/>
      <c r="AU797" s="2372"/>
      <c r="AV797" s="2372"/>
      <c r="AW797" s="2372"/>
      <c r="AX797" s="2372"/>
      <c r="AY797" s="2372"/>
      <c r="AZ797" s="2372"/>
      <c r="BA797" s="2372"/>
      <c r="BB797" s="2372"/>
      <c r="BC797" s="2372"/>
      <c r="BD797" s="2372"/>
      <c r="BE797" s="2372"/>
      <c r="BF797" s="2372"/>
      <c r="BG797" s="2372"/>
      <c r="BH797" s="2372"/>
      <c r="BI797" s="2372"/>
      <c r="BJ797" s="2372"/>
      <c r="BK797" s="2372"/>
      <c r="BL797" s="2372"/>
      <c r="BM797" s="2372"/>
      <c r="BN797" s="2372"/>
      <c r="BO797" s="2372"/>
      <c r="BP797" s="2372"/>
      <c r="BQ797" s="2372"/>
      <c r="BR797" s="2372"/>
      <c r="BS797" s="2372"/>
      <c r="BT797" s="2372"/>
      <c r="BU797" s="2372"/>
      <c r="BV797" s="2372"/>
      <c r="BW797" s="2372"/>
      <c r="BX797" s="2372"/>
      <c r="BY797" s="2372"/>
      <c r="BZ797" s="2372"/>
      <c r="CA797" s="2372"/>
      <c r="CB797" s="2372"/>
      <c r="CC797" s="2372"/>
      <c r="CD797" s="2372"/>
      <c r="CE797" s="2372"/>
      <c r="CF797" s="2372"/>
      <c r="CG797" s="2372"/>
      <c r="CH797" s="2372"/>
      <c r="CI797" s="2372"/>
      <c r="CJ797" s="2372"/>
      <c r="CK797" s="2372"/>
      <c r="CL797" s="2372"/>
      <c r="CM797" s="2372"/>
      <c r="CN797" s="2372"/>
      <c r="CO797" s="2372"/>
      <c r="CP797" s="2372"/>
      <c r="CQ797" s="2372"/>
      <c r="CR797" s="2372"/>
      <c r="CS797" s="2372"/>
      <c r="CT797" s="2372"/>
      <c r="CU797" s="2372"/>
      <c r="CV797" s="2372"/>
      <c r="CW797" s="2372"/>
      <c r="CX797" s="2372"/>
      <c r="CY797" s="2372"/>
      <c r="CZ797" s="2372"/>
      <c r="DA797" s="2372"/>
    </row>
    <row r="798" spans="1:105" ht="15" hidden="1" customHeight="1">
      <c r="A798" s="2372"/>
      <c r="B798" s="2372"/>
      <c r="C798" s="2372"/>
      <c r="D798" s="2372"/>
      <c r="E798" s="2372"/>
      <c r="F798" s="2372"/>
      <c r="G798" s="2372"/>
      <c r="H798" s="2372"/>
      <c r="I798" s="2372"/>
      <c r="J798" s="2372"/>
      <c r="K798" s="2372"/>
      <c r="L798" s="2372"/>
      <c r="M798" s="2372"/>
      <c r="N798" s="2372"/>
      <c r="O798" s="2372"/>
      <c r="P798" s="2372"/>
      <c r="Q798" s="2372"/>
      <c r="R798" s="2372"/>
      <c r="S798" s="2372"/>
      <c r="T798" s="2372"/>
      <c r="U798" s="2372"/>
      <c r="V798" s="2372"/>
      <c r="W798" s="2372"/>
      <c r="X798" s="2372"/>
      <c r="Y798" s="2372"/>
      <c r="Z798" s="2372"/>
      <c r="AA798" s="2372"/>
      <c r="AB798" s="2372"/>
      <c r="AC798" s="2372"/>
      <c r="AD798" s="2372"/>
      <c r="AE798" s="2372"/>
      <c r="AF798" s="2372"/>
      <c r="AG798" s="2372"/>
      <c r="AH798" s="2372"/>
      <c r="AI798" s="2372"/>
      <c r="AJ798" s="2372"/>
      <c r="AK798" s="2372"/>
      <c r="AL798" s="2372"/>
      <c r="AM798" s="2372"/>
      <c r="AN798" s="2372"/>
      <c r="AO798" s="2372"/>
      <c r="AP798" s="2372"/>
      <c r="AQ798" s="2372"/>
      <c r="AR798" s="2372"/>
      <c r="AS798" s="2372"/>
      <c r="AT798" s="2372"/>
      <c r="AU798" s="2372"/>
      <c r="AV798" s="2372"/>
      <c r="AW798" s="2372"/>
      <c r="AX798" s="2372"/>
      <c r="AY798" s="2372"/>
      <c r="AZ798" s="2372"/>
      <c r="BA798" s="2372"/>
      <c r="BB798" s="2372"/>
      <c r="BC798" s="2372"/>
      <c r="BD798" s="2372"/>
      <c r="BE798" s="2372"/>
      <c r="BF798" s="2372"/>
      <c r="BG798" s="2372"/>
      <c r="BH798" s="2372"/>
      <c r="BI798" s="2372"/>
      <c r="BJ798" s="2372"/>
      <c r="BK798" s="2372"/>
      <c r="BL798" s="2372"/>
      <c r="BM798" s="2372"/>
      <c r="BN798" s="2372"/>
      <c r="BO798" s="2372"/>
      <c r="BP798" s="2372"/>
      <c r="BQ798" s="2372"/>
      <c r="BR798" s="2372"/>
      <c r="BS798" s="2372"/>
      <c r="BT798" s="2372"/>
      <c r="BU798" s="2372"/>
      <c r="BV798" s="2372"/>
      <c r="BW798" s="2372"/>
      <c r="BX798" s="2372"/>
      <c r="BY798" s="2372"/>
      <c r="BZ798" s="2372"/>
      <c r="CA798" s="2372"/>
      <c r="CB798" s="2372"/>
      <c r="CC798" s="2372"/>
      <c r="CD798" s="2372"/>
      <c r="CE798" s="2372"/>
      <c r="CF798" s="2372"/>
      <c r="CG798" s="2372"/>
      <c r="CH798" s="2372"/>
      <c r="CI798" s="2372"/>
      <c r="CJ798" s="2372"/>
      <c r="CK798" s="2372"/>
      <c r="CL798" s="2372"/>
      <c r="CM798" s="2372"/>
      <c r="CN798" s="2372"/>
      <c r="CO798" s="2372"/>
      <c r="CP798" s="2372"/>
      <c r="CQ798" s="2372"/>
      <c r="CR798" s="2372"/>
      <c r="CS798" s="2372"/>
      <c r="CT798" s="2372"/>
      <c r="CU798" s="2372"/>
      <c r="CV798" s="2372"/>
      <c r="CW798" s="2372"/>
      <c r="CX798" s="2372"/>
      <c r="CY798" s="2372"/>
      <c r="CZ798" s="2372"/>
      <c r="DA798" s="2372"/>
    </row>
    <row r="799" spans="1:105" ht="15" hidden="1" customHeight="1">
      <c r="A799" s="2372"/>
      <c r="B799" s="2372"/>
      <c r="C799" s="2372"/>
      <c r="D799" s="2372"/>
      <c r="E799" s="2372"/>
      <c r="F799" s="2372"/>
      <c r="G799" s="2372"/>
      <c r="H799" s="2372"/>
      <c r="I799" s="2372"/>
      <c r="J799" s="2372"/>
      <c r="K799" s="2372"/>
      <c r="L799" s="2372"/>
      <c r="M799" s="2372"/>
      <c r="N799" s="2372"/>
      <c r="O799" s="2372"/>
      <c r="P799" s="2372"/>
      <c r="Q799" s="2372"/>
      <c r="R799" s="2372"/>
      <c r="S799" s="2372"/>
      <c r="T799" s="2372"/>
      <c r="U799" s="2372"/>
      <c r="V799" s="2372"/>
      <c r="W799" s="2372"/>
      <c r="X799" s="2372"/>
      <c r="Y799" s="2372"/>
      <c r="Z799" s="2372"/>
      <c r="AA799" s="2372"/>
      <c r="AB799" s="2372"/>
      <c r="AC799" s="2372"/>
      <c r="AD799" s="2372"/>
      <c r="AE799" s="2372"/>
      <c r="AF799" s="2372"/>
      <c r="AG799" s="2372"/>
      <c r="AH799" s="2372"/>
      <c r="AI799" s="2372"/>
      <c r="AJ799" s="2372"/>
      <c r="AK799" s="2372"/>
      <c r="AL799" s="2372"/>
      <c r="AM799" s="2372"/>
      <c r="AN799" s="2372"/>
      <c r="AO799" s="2372"/>
      <c r="AP799" s="2372"/>
      <c r="AQ799" s="2372"/>
      <c r="AR799" s="2372"/>
      <c r="AS799" s="2372"/>
      <c r="AT799" s="2372"/>
      <c r="AU799" s="2372"/>
      <c r="AV799" s="2372"/>
      <c r="AW799" s="2372"/>
      <c r="AX799" s="2372"/>
      <c r="AY799" s="2372"/>
      <c r="AZ799" s="2372"/>
      <c r="BA799" s="2372"/>
      <c r="BB799" s="2372"/>
      <c r="BC799" s="2372"/>
      <c r="BD799" s="2372"/>
      <c r="BE799" s="2372"/>
      <c r="BF799" s="2372"/>
      <c r="BG799" s="2372"/>
      <c r="BH799" s="2372"/>
      <c r="BI799" s="2372"/>
      <c r="BJ799" s="2372"/>
      <c r="BK799" s="2372"/>
      <c r="BL799" s="2372"/>
      <c r="BM799" s="2372"/>
      <c r="BN799" s="2372"/>
      <c r="BO799" s="2372"/>
      <c r="BP799" s="2372"/>
      <c r="BQ799" s="2372"/>
      <c r="BR799" s="2372"/>
      <c r="BS799" s="2372"/>
      <c r="BT799" s="2372"/>
      <c r="BU799" s="2372"/>
      <c r="BV799" s="2372"/>
      <c r="BW799" s="2372"/>
      <c r="BX799" s="2372"/>
      <c r="BY799" s="2372"/>
      <c r="BZ799" s="2372"/>
      <c r="CA799" s="2372"/>
      <c r="CB799" s="2372"/>
      <c r="CC799" s="2372"/>
      <c r="CD799" s="2372"/>
      <c r="CE799" s="2372"/>
      <c r="CF799" s="2372"/>
      <c r="CG799" s="2372"/>
      <c r="CH799" s="2372"/>
      <c r="CI799" s="2372"/>
      <c r="CJ799" s="2372"/>
      <c r="CK799" s="2372"/>
      <c r="CL799" s="2372"/>
      <c r="CM799" s="2372"/>
      <c r="CN799" s="2372"/>
      <c r="CO799" s="2372"/>
      <c r="CP799" s="2372"/>
      <c r="CQ799" s="2372"/>
      <c r="CR799" s="2372"/>
      <c r="CS799" s="2372"/>
      <c r="CT799" s="2372"/>
      <c r="CU799" s="2372"/>
      <c r="CV799" s="2372"/>
      <c r="CW799" s="2372"/>
      <c r="CX799" s="2372"/>
      <c r="CY799" s="2372"/>
      <c r="CZ799" s="2372"/>
      <c r="DA799" s="2372"/>
    </row>
    <row r="800" spans="1:105" ht="15" hidden="1" customHeight="1">
      <c r="A800" s="2372"/>
      <c r="B800" s="2372"/>
      <c r="C800" s="2372"/>
      <c r="D800" s="2372"/>
      <c r="E800" s="2372"/>
      <c r="F800" s="2372"/>
      <c r="G800" s="2372"/>
      <c r="H800" s="2372"/>
      <c r="I800" s="2372"/>
      <c r="J800" s="2372"/>
      <c r="K800" s="2372"/>
      <c r="L800" s="2372"/>
      <c r="M800" s="2372"/>
      <c r="N800" s="2372"/>
      <c r="O800" s="2372"/>
      <c r="P800" s="2372"/>
      <c r="Q800" s="2372"/>
      <c r="R800" s="2372"/>
      <c r="S800" s="2372"/>
      <c r="T800" s="2372"/>
      <c r="U800" s="2372"/>
      <c r="V800" s="2372"/>
      <c r="W800" s="2372"/>
      <c r="X800" s="2372"/>
      <c r="Y800" s="2372"/>
      <c r="Z800" s="2372"/>
      <c r="AA800" s="2372"/>
      <c r="AB800" s="2372"/>
      <c r="AC800" s="2372"/>
      <c r="AD800" s="2372"/>
      <c r="AE800" s="2372"/>
      <c r="AF800" s="2372"/>
      <c r="AG800" s="2372"/>
      <c r="AH800" s="2372"/>
      <c r="AI800" s="2372"/>
      <c r="AJ800" s="2372"/>
      <c r="AK800" s="2372"/>
      <c r="AL800" s="2372"/>
      <c r="AM800" s="2372"/>
      <c r="AN800" s="2372"/>
      <c r="AO800" s="2372"/>
      <c r="AP800" s="2372"/>
      <c r="AQ800" s="2372"/>
      <c r="AR800" s="2372"/>
      <c r="AS800" s="2372"/>
      <c r="AT800" s="2372"/>
      <c r="AU800" s="2372"/>
      <c r="AV800" s="2372"/>
      <c r="AW800" s="2372"/>
      <c r="AX800" s="2372"/>
      <c r="AY800" s="2372"/>
      <c r="AZ800" s="2372"/>
      <c r="BA800" s="2372"/>
      <c r="BB800" s="2372"/>
      <c r="BC800" s="2372"/>
      <c r="BD800" s="2372"/>
      <c r="BE800" s="2372"/>
      <c r="BF800" s="2372"/>
      <c r="BG800" s="2372"/>
      <c r="BH800" s="2372"/>
      <c r="BI800" s="2372"/>
      <c r="BJ800" s="2372"/>
      <c r="BK800" s="2372"/>
      <c r="BL800" s="2372"/>
      <c r="BM800" s="2372"/>
      <c r="BN800" s="2372"/>
      <c r="BO800" s="2372"/>
      <c r="BP800" s="2372"/>
      <c r="BQ800" s="2372"/>
      <c r="BR800" s="2372"/>
      <c r="BS800" s="2372"/>
      <c r="BT800" s="2372"/>
      <c r="BU800" s="2372"/>
      <c r="BV800" s="2372"/>
      <c r="BW800" s="2372"/>
      <c r="BX800" s="2372"/>
      <c r="BY800" s="2372"/>
      <c r="BZ800" s="2372"/>
      <c r="CA800" s="2372"/>
      <c r="CB800" s="2372"/>
      <c r="CC800" s="2372"/>
      <c r="CD800" s="2372"/>
      <c r="CE800" s="2372"/>
      <c r="CF800" s="2372"/>
      <c r="CG800" s="2372"/>
      <c r="CH800" s="2372"/>
      <c r="CI800" s="2372"/>
      <c r="CJ800" s="2372"/>
      <c r="CK800" s="2372"/>
      <c r="CL800" s="2372"/>
      <c r="CM800" s="2372"/>
      <c r="CN800" s="2372"/>
      <c r="CO800" s="2372"/>
      <c r="CP800" s="2372"/>
      <c r="CQ800" s="2372"/>
      <c r="CR800" s="2372"/>
      <c r="CS800" s="2372"/>
      <c r="CT800" s="2372"/>
      <c r="CU800" s="2372"/>
      <c r="CV800" s="2372"/>
      <c r="CW800" s="2372"/>
      <c r="CX800" s="2372"/>
      <c r="CY800" s="2372"/>
      <c r="CZ800" s="2372"/>
      <c r="DA800" s="2372"/>
    </row>
    <row r="801" spans="1:105" ht="15" hidden="1" customHeight="1">
      <c r="A801" s="2372"/>
      <c r="B801" s="2372"/>
      <c r="C801" s="2372"/>
      <c r="D801" s="2372"/>
      <c r="E801" s="2372"/>
      <c r="F801" s="2372"/>
      <c r="G801" s="2372"/>
      <c r="H801" s="2372"/>
      <c r="I801" s="2372"/>
      <c r="J801" s="2372"/>
      <c r="K801" s="2372"/>
      <c r="L801" s="2372"/>
      <c r="M801" s="2372"/>
      <c r="N801" s="2372"/>
      <c r="O801" s="2372"/>
      <c r="P801" s="2372"/>
      <c r="Q801" s="2372"/>
      <c r="R801" s="2372"/>
      <c r="S801" s="2372"/>
      <c r="T801" s="2372"/>
      <c r="U801" s="2372"/>
      <c r="V801" s="2372"/>
      <c r="W801" s="2372"/>
      <c r="X801" s="2372"/>
      <c r="Y801" s="2372"/>
      <c r="Z801" s="2372"/>
      <c r="AA801" s="2372"/>
      <c r="AB801" s="2372"/>
      <c r="AC801" s="2372"/>
      <c r="AD801" s="2372"/>
      <c r="AE801" s="2372"/>
      <c r="AF801" s="2372"/>
      <c r="AG801" s="2372"/>
      <c r="AH801" s="2372"/>
      <c r="AI801" s="2372"/>
      <c r="AJ801" s="2372"/>
      <c r="AK801" s="2372"/>
      <c r="AL801" s="2372"/>
      <c r="AM801" s="2372"/>
      <c r="AN801" s="2372"/>
      <c r="AO801" s="2372"/>
      <c r="AP801" s="2372"/>
      <c r="AQ801" s="2372"/>
      <c r="AR801" s="2372"/>
      <c r="AS801" s="2372"/>
      <c r="AT801" s="2372"/>
      <c r="AU801" s="2372"/>
      <c r="AV801" s="2372"/>
      <c r="AW801" s="2372"/>
      <c r="AX801" s="2372"/>
      <c r="AY801" s="2372"/>
      <c r="AZ801" s="2372"/>
      <c r="BA801" s="2372"/>
      <c r="BB801" s="2372"/>
      <c r="BC801" s="2372"/>
      <c r="BD801" s="2372"/>
      <c r="BE801" s="2372"/>
      <c r="BF801" s="2372"/>
      <c r="BG801" s="2372"/>
      <c r="BH801" s="2372"/>
      <c r="BI801" s="2372"/>
      <c r="BJ801" s="2372"/>
      <c r="BK801" s="2372"/>
      <c r="BL801" s="2372"/>
      <c r="BM801" s="2372"/>
      <c r="BN801" s="2372"/>
      <c r="BO801" s="2372"/>
      <c r="BP801" s="2372"/>
      <c r="BQ801" s="2372"/>
      <c r="BR801" s="2372"/>
      <c r="BS801" s="2372"/>
      <c r="BT801" s="2372"/>
      <c r="BU801" s="2372"/>
      <c r="BV801" s="2372"/>
      <c r="BW801" s="2372"/>
      <c r="BX801" s="2372"/>
      <c r="BY801" s="2372"/>
      <c r="BZ801" s="2372"/>
      <c r="CA801" s="2372"/>
      <c r="CB801" s="2372"/>
      <c r="CC801" s="2372"/>
      <c r="CD801" s="2372"/>
      <c r="CE801" s="2372"/>
      <c r="CF801" s="2372"/>
      <c r="CG801" s="2372"/>
      <c r="CH801" s="2372"/>
      <c r="CI801" s="2372"/>
      <c r="CJ801" s="2372"/>
      <c r="CK801" s="2372"/>
      <c r="CL801" s="2372"/>
      <c r="CM801" s="2372"/>
      <c r="CN801" s="2372"/>
      <c r="CO801" s="2372"/>
      <c r="CP801" s="2372"/>
      <c r="CQ801" s="2372"/>
      <c r="CR801" s="2372"/>
      <c r="CS801" s="2372"/>
      <c r="CT801" s="2372"/>
      <c r="CU801" s="2372"/>
      <c r="CV801" s="2372"/>
      <c r="CW801" s="2372"/>
      <c r="CX801" s="2372"/>
      <c r="CY801" s="2372"/>
      <c r="CZ801" s="2372"/>
      <c r="DA801" s="2372"/>
    </row>
    <row r="802" spans="1:105" ht="15" hidden="1" customHeight="1">
      <c r="A802" s="2372"/>
      <c r="B802" s="2372"/>
      <c r="C802" s="2372"/>
      <c r="D802" s="2372"/>
      <c r="E802" s="2372"/>
      <c r="F802" s="2372"/>
      <c r="G802" s="2372"/>
      <c r="H802" s="2372"/>
      <c r="I802" s="2372"/>
      <c r="J802" s="2372"/>
      <c r="K802" s="2372"/>
      <c r="L802" s="2372"/>
      <c r="M802" s="2372"/>
      <c r="N802" s="2372"/>
      <c r="O802" s="2372"/>
      <c r="P802" s="2372"/>
      <c r="Q802" s="2372"/>
      <c r="R802" s="2372"/>
      <c r="S802" s="2372"/>
      <c r="T802" s="2372"/>
      <c r="U802" s="2372"/>
      <c r="V802" s="2372"/>
      <c r="W802" s="2372"/>
      <c r="X802" s="2372"/>
      <c r="Y802" s="2372"/>
      <c r="Z802" s="2372"/>
      <c r="AA802" s="2372"/>
      <c r="AB802" s="2372"/>
      <c r="AC802" s="2372"/>
      <c r="AD802" s="2372"/>
      <c r="AE802" s="2372"/>
      <c r="AF802" s="2372"/>
      <c r="AG802" s="2372"/>
      <c r="AH802" s="2372"/>
      <c r="AI802" s="2372"/>
      <c r="AJ802" s="2372"/>
      <c r="AK802" s="2372"/>
      <c r="AL802" s="2372"/>
      <c r="AM802" s="2372"/>
      <c r="AN802" s="2372"/>
      <c r="AO802" s="2372"/>
      <c r="AP802" s="2372"/>
      <c r="AQ802" s="2372"/>
      <c r="AR802" s="2372"/>
      <c r="AS802" s="2372"/>
      <c r="AT802" s="2372"/>
      <c r="AU802" s="2372"/>
      <c r="AV802" s="2372"/>
      <c r="AW802" s="2372"/>
      <c r="AX802" s="2372"/>
      <c r="AY802" s="2372"/>
      <c r="AZ802" s="2372"/>
      <c r="BA802" s="2372"/>
      <c r="BB802" s="2372"/>
      <c r="BC802" s="2372"/>
      <c r="BD802" s="2372"/>
      <c r="BE802" s="2372"/>
      <c r="BF802" s="2372"/>
      <c r="BG802" s="2372"/>
      <c r="BH802" s="2372"/>
      <c r="BI802" s="2372"/>
      <c r="BJ802" s="2372"/>
      <c r="BK802" s="2372"/>
      <c r="BL802" s="2372"/>
      <c r="BM802" s="2372"/>
      <c r="BN802" s="2372"/>
      <c r="BO802" s="2372"/>
      <c r="BP802" s="2372"/>
      <c r="BQ802" s="2372"/>
      <c r="BR802" s="2372"/>
      <c r="BS802" s="2372"/>
      <c r="BT802" s="2372"/>
      <c r="BU802" s="2372"/>
      <c r="BV802" s="2372"/>
      <c r="BW802" s="2372"/>
      <c r="BX802" s="2372"/>
      <c r="BY802" s="2372"/>
      <c r="BZ802" s="2372"/>
      <c r="CA802" s="2372"/>
      <c r="CB802" s="2372"/>
      <c r="CC802" s="2372"/>
      <c r="CD802" s="2372"/>
      <c r="CE802" s="2372"/>
      <c r="CF802" s="2372"/>
      <c r="CG802" s="2372"/>
      <c r="CH802" s="2372"/>
      <c r="CI802" s="2372"/>
      <c r="CJ802" s="2372"/>
      <c r="CK802" s="2372"/>
      <c r="CL802" s="2372"/>
      <c r="CM802" s="2372"/>
      <c r="CN802" s="2372"/>
      <c r="CO802" s="2372"/>
      <c r="CP802" s="2372"/>
      <c r="CQ802" s="2372"/>
      <c r="CR802" s="2372"/>
      <c r="CS802" s="2372"/>
      <c r="CT802" s="2372"/>
      <c r="CU802" s="2372"/>
      <c r="CV802" s="2372"/>
      <c r="CW802" s="2372"/>
      <c r="CX802" s="2372"/>
      <c r="CY802" s="2372"/>
      <c r="CZ802" s="2372"/>
      <c r="DA802" s="2372"/>
    </row>
    <row r="803" spans="1:105" ht="15" hidden="1" customHeight="1">
      <c r="A803" s="2372"/>
      <c r="B803" s="2372"/>
      <c r="C803" s="2372"/>
      <c r="D803" s="2372"/>
      <c r="E803" s="2372"/>
      <c r="F803" s="2372"/>
      <c r="G803" s="2372"/>
      <c r="H803" s="2372"/>
      <c r="I803" s="2372"/>
      <c r="J803" s="2372"/>
      <c r="K803" s="2372"/>
      <c r="L803" s="2372"/>
      <c r="M803" s="2372"/>
      <c r="N803" s="2372"/>
      <c r="O803" s="2372"/>
      <c r="P803" s="2372"/>
      <c r="Q803" s="2372"/>
      <c r="R803" s="2372"/>
      <c r="S803" s="2372"/>
      <c r="T803" s="2372"/>
      <c r="U803" s="2372"/>
      <c r="V803" s="2372"/>
      <c r="W803" s="2372"/>
      <c r="X803" s="2372"/>
      <c r="Y803" s="2372"/>
      <c r="Z803" s="2372"/>
      <c r="AA803" s="2372"/>
      <c r="AB803" s="2372"/>
      <c r="AC803" s="2372"/>
      <c r="AD803" s="2372"/>
      <c r="AE803" s="2372"/>
      <c r="AF803" s="2372"/>
      <c r="AG803" s="2372"/>
      <c r="AH803" s="2372"/>
      <c r="AI803" s="2372"/>
      <c r="AJ803" s="2372"/>
      <c r="AK803" s="2372"/>
      <c r="AL803" s="2372"/>
      <c r="AM803" s="2372"/>
      <c r="AN803" s="2372"/>
      <c r="AO803" s="2372"/>
      <c r="AP803" s="2372"/>
      <c r="AQ803" s="2372"/>
      <c r="AR803" s="2372"/>
      <c r="AS803" s="2372"/>
      <c r="AT803" s="2372"/>
      <c r="AU803" s="2372"/>
      <c r="AV803" s="2372"/>
      <c r="AW803" s="2372"/>
      <c r="AX803" s="2372"/>
      <c r="AY803" s="2372"/>
      <c r="AZ803" s="2372"/>
      <c r="BA803" s="2372"/>
      <c r="BB803" s="2372"/>
      <c r="BC803" s="2372"/>
      <c r="BD803" s="2372"/>
      <c r="BE803" s="2372"/>
      <c r="BF803" s="2372"/>
      <c r="BG803" s="2372"/>
      <c r="BH803" s="2372"/>
      <c r="BI803" s="2372"/>
      <c r="BJ803" s="2372"/>
      <c r="BK803" s="2372"/>
      <c r="BL803" s="2372"/>
      <c r="BM803" s="2372"/>
      <c r="BN803" s="2372"/>
      <c r="BO803" s="2372"/>
      <c r="BP803" s="2372"/>
      <c r="BQ803" s="2372"/>
      <c r="BR803" s="2372"/>
      <c r="BS803" s="2372"/>
      <c r="BT803" s="2372"/>
      <c r="BU803" s="2372"/>
      <c r="BV803" s="2372"/>
      <c r="BW803" s="2372"/>
      <c r="BX803" s="2372"/>
      <c r="BY803" s="2372"/>
      <c r="BZ803" s="2372"/>
      <c r="CA803" s="2372"/>
      <c r="CB803" s="2372"/>
      <c r="CC803" s="2372"/>
      <c r="CD803" s="2372"/>
      <c r="CE803" s="2372"/>
      <c r="CF803" s="2372"/>
      <c r="CG803" s="2372"/>
      <c r="CH803" s="2372"/>
      <c r="CI803" s="2372"/>
      <c r="CJ803" s="2372"/>
      <c r="CK803" s="2372"/>
      <c r="CL803" s="2372"/>
      <c r="CM803" s="2372"/>
      <c r="CN803" s="2372"/>
      <c r="CO803" s="2372"/>
      <c r="CP803" s="2372"/>
      <c r="CQ803" s="2372"/>
      <c r="CR803" s="2372"/>
      <c r="CS803" s="2372"/>
      <c r="CT803" s="2372"/>
      <c r="CU803" s="2372"/>
      <c r="CV803" s="2372"/>
      <c r="CW803" s="2372"/>
      <c r="CX803" s="2372"/>
      <c r="CY803" s="2372"/>
      <c r="CZ803" s="2372"/>
      <c r="DA803" s="2372"/>
    </row>
    <row r="804" spans="1:105" ht="15" hidden="1" customHeight="1">
      <c r="A804" s="2372"/>
      <c r="B804" s="2372"/>
      <c r="C804" s="2372"/>
      <c r="D804" s="2372"/>
      <c r="E804" s="2372"/>
      <c r="F804" s="2372"/>
      <c r="G804" s="2372"/>
      <c r="H804" s="2372"/>
      <c r="I804" s="2372"/>
      <c r="J804" s="2372"/>
      <c r="K804" s="2372"/>
      <c r="L804" s="2372"/>
      <c r="M804" s="2372"/>
      <c r="N804" s="2372"/>
      <c r="O804" s="2372"/>
      <c r="P804" s="2372"/>
      <c r="Q804" s="2372"/>
      <c r="R804" s="2372"/>
      <c r="S804" s="2372"/>
      <c r="T804" s="2372"/>
      <c r="U804" s="2372"/>
      <c r="V804" s="2372"/>
      <c r="W804" s="2372"/>
      <c r="X804" s="2372"/>
      <c r="Y804" s="2372"/>
      <c r="Z804" s="2372"/>
      <c r="AA804" s="2372"/>
      <c r="AB804" s="2372"/>
      <c r="AC804" s="2372"/>
      <c r="AD804" s="2372"/>
      <c r="AE804" s="2372"/>
      <c r="AF804" s="2372"/>
      <c r="AG804" s="2372"/>
      <c r="AH804" s="2372"/>
      <c r="AI804" s="2372"/>
      <c r="AJ804" s="2372"/>
      <c r="AK804" s="2372"/>
      <c r="AL804" s="2372"/>
      <c r="AM804" s="2372"/>
      <c r="AN804" s="2372"/>
      <c r="AO804" s="2372"/>
      <c r="AP804" s="2372"/>
      <c r="AQ804" s="2372"/>
      <c r="AR804" s="2372"/>
      <c r="AS804" s="2372"/>
      <c r="AT804" s="2372"/>
      <c r="AU804" s="2372"/>
      <c r="AV804" s="2372"/>
      <c r="AW804" s="2372"/>
      <c r="AX804" s="2372"/>
      <c r="AY804" s="2372"/>
      <c r="AZ804" s="2372"/>
      <c r="BA804" s="2372"/>
      <c r="BB804" s="2372"/>
      <c r="BC804" s="2372"/>
      <c r="BD804" s="2372"/>
      <c r="BE804" s="2372"/>
      <c r="BF804" s="2372"/>
      <c r="BG804" s="2372"/>
      <c r="BH804" s="2372"/>
      <c r="BI804" s="2372"/>
      <c r="BJ804" s="2372"/>
      <c r="BK804" s="2372"/>
      <c r="BL804" s="2372"/>
      <c r="BM804" s="2372"/>
      <c r="BN804" s="2372"/>
      <c r="BO804" s="2372"/>
      <c r="BP804" s="2372"/>
      <c r="BQ804" s="2372"/>
      <c r="BR804" s="2372"/>
      <c r="BS804" s="2372"/>
      <c r="BT804" s="2372"/>
      <c r="BU804" s="2372"/>
      <c r="BV804" s="2372"/>
      <c r="BW804" s="2372"/>
      <c r="BX804" s="2372"/>
      <c r="BY804" s="2372"/>
      <c r="BZ804" s="2372"/>
      <c r="CA804" s="2372"/>
      <c r="CB804" s="2372"/>
      <c r="CC804" s="2372"/>
      <c r="CD804" s="2372"/>
      <c r="CE804" s="2372"/>
      <c r="CF804" s="2372"/>
      <c r="CG804" s="2372"/>
      <c r="CH804" s="2372"/>
      <c r="CI804" s="2372"/>
      <c r="CJ804" s="2372"/>
      <c r="CK804" s="2372"/>
      <c r="CL804" s="2372"/>
      <c r="CM804" s="2372"/>
      <c r="CN804" s="2372"/>
      <c r="CO804" s="2372"/>
      <c r="CP804" s="2372"/>
      <c r="CQ804" s="2372"/>
      <c r="CR804" s="2372"/>
      <c r="CS804" s="2372"/>
      <c r="CT804" s="2372"/>
      <c r="CU804" s="2372"/>
      <c r="CV804" s="2372"/>
      <c r="CW804" s="2372"/>
      <c r="CX804" s="2372"/>
      <c r="CY804" s="2372"/>
      <c r="CZ804" s="2372"/>
      <c r="DA804" s="2372"/>
    </row>
    <row r="805" spans="1:105" ht="15" hidden="1" customHeight="1">
      <c r="A805" s="2372"/>
      <c r="B805" s="2372"/>
      <c r="C805" s="2372"/>
      <c r="D805" s="2372"/>
      <c r="E805" s="2372"/>
      <c r="F805" s="2372"/>
      <c r="G805" s="2372"/>
      <c r="H805" s="2372"/>
      <c r="I805" s="2372"/>
      <c r="J805" s="2372"/>
      <c r="K805" s="2372"/>
      <c r="L805" s="2372"/>
      <c r="M805" s="2372"/>
      <c r="N805" s="2372"/>
      <c r="O805" s="2372"/>
      <c r="P805" s="2372"/>
      <c r="Q805" s="2372"/>
      <c r="R805" s="2372"/>
      <c r="S805" s="2372"/>
      <c r="T805" s="2372"/>
      <c r="U805" s="2372"/>
      <c r="V805" s="2372"/>
      <c r="W805" s="2372"/>
      <c r="X805" s="2372"/>
      <c r="Y805" s="2372"/>
      <c r="Z805" s="2372"/>
      <c r="AA805" s="2372"/>
      <c r="AB805" s="2372"/>
      <c r="AC805" s="2372"/>
      <c r="AD805" s="2372"/>
      <c r="AE805" s="2372"/>
      <c r="AF805" s="2372"/>
      <c r="AG805" s="2372"/>
      <c r="AH805" s="2372"/>
      <c r="AI805" s="2372"/>
      <c r="AJ805" s="2372"/>
      <c r="AK805" s="2372"/>
      <c r="AL805" s="2372"/>
      <c r="AM805" s="2372"/>
      <c r="AN805" s="2372"/>
      <c r="AO805" s="2372"/>
      <c r="AP805" s="2372"/>
      <c r="AQ805" s="2372"/>
      <c r="AR805" s="2372"/>
      <c r="AS805" s="2372"/>
      <c r="AT805" s="2372"/>
      <c r="AU805" s="2372"/>
      <c r="AV805" s="2372"/>
      <c r="AW805" s="2372"/>
      <c r="AX805" s="2372"/>
      <c r="AY805" s="2372"/>
      <c r="AZ805" s="2372"/>
      <c r="BA805" s="2372"/>
      <c r="BB805" s="2372"/>
      <c r="BC805" s="2372"/>
      <c r="BD805" s="2372"/>
      <c r="BE805" s="2372"/>
      <c r="BF805" s="2372"/>
      <c r="BG805" s="2372"/>
      <c r="BH805" s="2372"/>
      <c r="BI805" s="2372"/>
      <c r="BJ805" s="2372"/>
      <c r="BK805" s="2372"/>
      <c r="BL805" s="2372"/>
      <c r="BM805" s="2372"/>
      <c r="BN805" s="2372"/>
      <c r="BO805" s="2372"/>
      <c r="BP805" s="2372"/>
      <c r="BQ805" s="2372"/>
      <c r="BR805" s="2372"/>
      <c r="BS805" s="2372"/>
      <c r="BT805" s="2372"/>
      <c r="BU805" s="2372"/>
      <c r="BV805" s="2372"/>
      <c r="BW805" s="2372"/>
      <c r="BX805" s="2372"/>
      <c r="BY805" s="2372"/>
      <c r="BZ805" s="2372"/>
      <c r="CA805" s="2372"/>
      <c r="CB805" s="2372"/>
      <c r="CC805" s="2372"/>
      <c r="CD805" s="2372"/>
      <c r="CE805" s="2372"/>
      <c r="CF805" s="2372"/>
      <c r="CG805" s="2372"/>
      <c r="CH805" s="2372"/>
      <c r="CI805" s="2372"/>
      <c r="CJ805" s="2372"/>
      <c r="CK805" s="2372"/>
      <c r="CL805" s="2372"/>
      <c r="CM805" s="2372"/>
      <c r="CN805" s="2372"/>
      <c r="CO805" s="2372"/>
      <c r="CP805" s="2372"/>
      <c r="CQ805" s="2372"/>
      <c r="CR805" s="2372"/>
      <c r="CS805" s="2372"/>
      <c r="CT805" s="2372"/>
      <c r="CU805" s="2372"/>
      <c r="CV805" s="2372"/>
      <c r="CW805" s="2372"/>
      <c r="CX805" s="2372"/>
      <c r="CY805" s="2372"/>
      <c r="CZ805" s="2372"/>
      <c r="DA805" s="2372"/>
    </row>
    <row r="806" spans="1:105" ht="15" hidden="1" customHeight="1">
      <c r="A806" s="2372"/>
      <c r="B806" s="2372"/>
      <c r="C806" s="2372"/>
      <c r="D806" s="2372"/>
      <c r="E806" s="2372"/>
      <c r="F806" s="2372"/>
      <c r="G806" s="2372"/>
      <c r="H806" s="2372"/>
      <c r="I806" s="2372"/>
      <c r="J806" s="2372"/>
      <c r="K806" s="2372"/>
      <c r="L806" s="2372"/>
      <c r="M806" s="2372"/>
      <c r="N806" s="2372"/>
      <c r="O806" s="2372"/>
      <c r="P806" s="2372"/>
      <c r="Q806" s="2372"/>
      <c r="R806" s="2372"/>
      <c r="S806" s="2372"/>
      <c r="T806" s="2372"/>
      <c r="U806" s="2372"/>
      <c r="V806" s="2372"/>
      <c r="W806" s="2372"/>
      <c r="X806" s="2372"/>
      <c r="Y806" s="2372"/>
      <c r="Z806" s="2372"/>
      <c r="AA806" s="2372"/>
      <c r="AB806" s="2372"/>
      <c r="AC806" s="2372"/>
      <c r="AD806" s="2372"/>
      <c r="AE806" s="2372"/>
      <c r="AF806" s="2372"/>
      <c r="AG806" s="2372"/>
      <c r="AH806" s="2372"/>
      <c r="AI806" s="2372"/>
      <c r="AJ806" s="2372"/>
      <c r="AK806" s="2372"/>
      <c r="AL806" s="2372"/>
      <c r="AM806" s="2372"/>
      <c r="AN806" s="2372"/>
      <c r="AO806" s="2372"/>
      <c r="AP806" s="2372"/>
      <c r="AQ806" s="2372"/>
      <c r="AR806" s="2372"/>
      <c r="AS806" s="2372"/>
      <c r="AT806" s="2372"/>
      <c r="AU806" s="2372"/>
      <c r="AV806" s="2372"/>
      <c r="AW806" s="2372"/>
      <c r="AX806" s="2372"/>
      <c r="AY806" s="2372"/>
      <c r="AZ806" s="2372"/>
      <c r="BA806" s="2372"/>
      <c r="BB806" s="2372"/>
      <c r="BC806" s="2372"/>
      <c r="BD806" s="2372"/>
      <c r="BE806" s="2372"/>
      <c r="BF806" s="2372"/>
      <c r="BG806" s="2372"/>
      <c r="BH806" s="2372"/>
      <c r="BI806" s="2372"/>
      <c r="BJ806" s="2372"/>
      <c r="BK806" s="2372"/>
      <c r="BL806" s="2372"/>
      <c r="BM806" s="2372"/>
      <c r="BN806" s="2372"/>
      <c r="BO806" s="2372"/>
      <c r="BP806" s="2372"/>
      <c r="BQ806" s="2372"/>
      <c r="BR806" s="2372"/>
      <c r="BS806" s="2372"/>
      <c r="BT806" s="2372"/>
      <c r="BU806" s="2372"/>
      <c r="BV806" s="2372"/>
      <c r="BW806" s="2372"/>
      <c r="BX806" s="2372"/>
      <c r="BY806" s="2372"/>
      <c r="BZ806" s="2372"/>
      <c r="CA806" s="2372"/>
      <c r="CB806" s="2372"/>
      <c r="CC806" s="2372"/>
      <c r="CD806" s="2372"/>
      <c r="CE806" s="2372"/>
      <c r="CF806" s="2372"/>
      <c r="CG806" s="2372"/>
      <c r="CH806" s="2372"/>
      <c r="CI806" s="2372"/>
      <c r="CJ806" s="2372"/>
      <c r="CK806" s="2372"/>
      <c r="CL806" s="2372"/>
      <c r="CM806" s="2372"/>
      <c r="CN806" s="2372"/>
      <c r="CO806" s="2372"/>
      <c r="CP806" s="2372"/>
      <c r="CQ806" s="2372"/>
      <c r="CR806" s="2372"/>
      <c r="CS806" s="2372"/>
      <c r="CT806" s="2372"/>
      <c r="CU806" s="2372"/>
      <c r="CV806" s="2372"/>
      <c r="CW806" s="2372"/>
      <c r="CX806" s="2372"/>
      <c r="CY806" s="2372"/>
      <c r="CZ806" s="2372"/>
      <c r="DA806" s="2372"/>
    </row>
    <row r="807" spans="1:105" ht="15" hidden="1" customHeight="1">
      <c r="A807" s="2372"/>
      <c r="B807" s="2372"/>
      <c r="C807" s="2372"/>
      <c r="D807" s="2372"/>
      <c r="E807" s="2372"/>
      <c r="F807" s="2372"/>
      <c r="G807" s="2372"/>
      <c r="H807" s="2372"/>
      <c r="I807" s="2372"/>
      <c r="J807" s="2372"/>
      <c r="K807" s="2372"/>
      <c r="L807" s="2372"/>
      <c r="M807" s="2372"/>
      <c r="N807" s="2372"/>
      <c r="O807" s="2372"/>
      <c r="P807" s="2372"/>
      <c r="Q807" s="2372"/>
      <c r="R807" s="2372"/>
      <c r="S807" s="2372"/>
      <c r="T807" s="2372"/>
      <c r="U807" s="2372"/>
      <c r="V807" s="2372"/>
      <c r="W807" s="2372"/>
      <c r="X807" s="2372"/>
      <c r="Y807" s="2372"/>
      <c r="Z807" s="2372"/>
      <c r="AA807" s="2372"/>
      <c r="AB807" s="2372"/>
      <c r="AC807" s="2372"/>
      <c r="AD807" s="2372"/>
      <c r="AE807" s="2372"/>
      <c r="AF807" s="2372"/>
      <c r="AG807" s="2372"/>
      <c r="AH807" s="2372"/>
      <c r="AI807" s="2372"/>
      <c r="AJ807" s="2372"/>
      <c r="AK807" s="2372"/>
      <c r="AL807" s="2372"/>
      <c r="AM807" s="2372"/>
      <c r="AN807" s="2372"/>
      <c r="AO807" s="2372"/>
      <c r="AP807" s="2372"/>
      <c r="AQ807" s="2372"/>
      <c r="AR807" s="2372"/>
      <c r="AS807" s="2372"/>
      <c r="AT807" s="2372"/>
      <c r="AU807" s="2372"/>
      <c r="AV807" s="2372"/>
      <c r="AW807" s="2372"/>
      <c r="AX807" s="2372"/>
      <c r="AY807" s="2372"/>
      <c r="AZ807" s="2372"/>
      <c r="BA807" s="2372"/>
      <c r="BB807" s="2372"/>
      <c r="BC807" s="2372"/>
      <c r="BD807" s="2372"/>
      <c r="BE807" s="2372"/>
      <c r="BF807" s="2372"/>
      <c r="BG807" s="2372"/>
      <c r="BH807" s="2372"/>
      <c r="BI807" s="2372"/>
      <c r="BJ807" s="2372"/>
      <c r="BK807" s="2372"/>
      <c r="BL807" s="2372"/>
      <c r="BM807" s="2372"/>
      <c r="BN807" s="2372"/>
      <c r="BO807" s="2372"/>
      <c r="BP807" s="2372"/>
      <c r="BQ807" s="2372"/>
      <c r="BR807" s="2372"/>
      <c r="BS807" s="2372"/>
      <c r="BT807" s="2372"/>
      <c r="BU807" s="2372"/>
      <c r="BV807" s="2372"/>
      <c r="BW807" s="2372"/>
      <c r="BX807" s="2372"/>
      <c r="BY807" s="2372"/>
      <c r="BZ807" s="2372"/>
      <c r="CA807" s="2372"/>
      <c r="CB807" s="2372"/>
      <c r="CC807" s="2372"/>
      <c r="CD807" s="2372"/>
      <c r="CE807" s="2372"/>
      <c r="CF807" s="2372"/>
      <c r="CG807" s="2372"/>
      <c r="CH807" s="2372"/>
      <c r="CI807" s="2372"/>
      <c r="CJ807" s="2372"/>
      <c r="CK807" s="2372"/>
      <c r="CL807" s="2372"/>
      <c r="CM807" s="2372"/>
      <c r="CN807" s="2372"/>
      <c r="CO807" s="2372"/>
      <c r="CP807" s="2372"/>
      <c r="CQ807" s="2372"/>
      <c r="CR807" s="2372"/>
      <c r="CS807" s="2372"/>
      <c r="CT807" s="2372"/>
      <c r="CU807" s="2372"/>
      <c r="CV807" s="2372"/>
      <c r="CW807" s="2372"/>
      <c r="CX807" s="2372"/>
      <c r="CY807" s="2372"/>
      <c r="CZ807" s="2372"/>
      <c r="DA807" s="2372"/>
    </row>
    <row r="808" spans="1:105" ht="15" hidden="1" customHeight="1">
      <c r="A808" s="2372"/>
      <c r="B808" s="2372"/>
      <c r="C808" s="2372"/>
      <c r="D808" s="2372"/>
      <c r="E808" s="2372"/>
      <c r="F808" s="2372"/>
      <c r="G808" s="2372"/>
      <c r="H808" s="2372"/>
      <c r="I808" s="2372"/>
      <c r="J808" s="2372"/>
      <c r="K808" s="2372"/>
      <c r="L808" s="2372"/>
      <c r="M808" s="2372"/>
      <c r="N808" s="2372"/>
      <c r="O808" s="2372"/>
      <c r="P808" s="2372"/>
      <c r="Q808" s="2372"/>
      <c r="R808" s="2372"/>
      <c r="S808" s="2372"/>
      <c r="T808" s="2372"/>
      <c r="U808" s="2372"/>
      <c r="V808" s="2372"/>
      <c r="W808" s="2372"/>
      <c r="X808" s="2372"/>
      <c r="Y808" s="2372"/>
      <c r="Z808" s="2372"/>
      <c r="AA808" s="2372"/>
      <c r="AB808" s="2372"/>
      <c r="AC808" s="2372"/>
      <c r="AD808" s="2372"/>
      <c r="AE808" s="2372"/>
      <c r="AF808" s="2372"/>
      <c r="AG808" s="2372"/>
      <c r="AH808" s="2372"/>
      <c r="AI808" s="2372"/>
      <c r="AJ808" s="2372"/>
      <c r="AK808" s="2372"/>
      <c r="AL808" s="2372"/>
      <c r="AM808" s="2372"/>
      <c r="AN808" s="2372"/>
      <c r="AO808" s="2372"/>
      <c r="AP808" s="2372"/>
      <c r="AQ808" s="2372"/>
      <c r="AR808" s="2372"/>
      <c r="AS808" s="2372"/>
      <c r="AT808" s="2372"/>
      <c r="AU808" s="2372"/>
      <c r="AV808" s="2372"/>
      <c r="AW808" s="2372"/>
      <c r="AX808" s="2372"/>
      <c r="AY808" s="2372"/>
      <c r="AZ808" s="2372"/>
      <c r="BA808" s="2372"/>
      <c r="BB808" s="2372"/>
      <c r="BC808" s="2372"/>
      <c r="BD808" s="2372"/>
      <c r="BE808" s="2372"/>
      <c r="BF808" s="2372"/>
      <c r="BG808" s="2372"/>
      <c r="BH808" s="2372"/>
      <c r="BI808" s="2372"/>
      <c r="BJ808" s="2372"/>
      <c r="BK808" s="2372"/>
      <c r="BL808" s="2372"/>
      <c r="BM808" s="2372"/>
      <c r="BN808" s="2372"/>
      <c r="BO808" s="2372"/>
      <c r="BP808" s="2372"/>
      <c r="BQ808" s="2372"/>
      <c r="BR808" s="2372"/>
      <c r="BS808" s="2372"/>
      <c r="BT808" s="2372"/>
      <c r="BU808" s="2372"/>
      <c r="BV808" s="2372"/>
      <c r="BW808" s="2372"/>
      <c r="BX808" s="2372"/>
      <c r="BY808" s="2372"/>
      <c r="BZ808" s="2372"/>
      <c r="CA808" s="2372"/>
      <c r="CB808" s="2372"/>
      <c r="CC808" s="2372"/>
      <c r="CD808" s="2372"/>
      <c r="CE808" s="2372"/>
      <c r="CF808" s="2372"/>
      <c r="CG808" s="2372"/>
      <c r="CH808" s="2372"/>
      <c r="CI808" s="2372"/>
      <c r="CJ808" s="2372"/>
      <c r="CK808" s="2372"/>
      <c r="CL808" s="2372"/>
      <c r="CM808" s="2372"/>
      <c r="CN808" s="2372"/>
      <c r="CO808" s="2372"/>
      <c r="CP808" s="2372"/>
      <c r="CQ808" s="2372"/>
      <c r="CR808" s="2372"/>
      <c r="CS808" s="2372"/>
      <c r="CT808" s="2372"/>
      <c r="CU808" s="2372"/>
      <c r="CV808" s="2372"/>
      <c r="CW808" s="2372"/>
      <c r="CX808" s="2372"/>
      <c r="CY808" s="2372"/>
      <c r="CZ808" s="2372"/>
      <c r="DA808" s="2372"/>
    </row>
    <row r="809" spans="1:105" ht="15" hidden="1" customHeight="1">
      <c r="A809" s="2372"/>
      <c r="B809" s="2372"/>
      <c r="C809" s="2372"/>
      <c r="D809" s="2372"/>
      <c r="E809" s="2372"/>
      <c r="F809" s="2372"/>
      <c r="G809" s="2372"/>
      <c r="H809" s="2372"/>
      <c r="I809" s="2372"/>
      <c r="J809" s="2372"/>
      <c r="K809" s="2372"/>
      <c r="L809" s="2372"/>
      <c r="M809" s="2372"/>
      <c r="N809" s="2372"/>
      <c r="O809" s="2372"/>
      <c r="P809" s="2372"/>
      <c r="Q809" s="2372"/>
      <c r="R809" s="2372"/>
      <c r="S809" s="2372"/>
      <c r="T809" s="2372"/>
      <c r="U809" s="2372"/>
      <c r="V809" s="2372"/>
      <c r="W809" s="2372"/>
      <c r="X809" s="2372"/>
      <c r="Y809" s="2372"/>
      <c r="Z809" s="2372"/>
      <c r="AA809" s="2372"/>
      <c r="AB809" s="2372"/>
      <c r="AC809" s="2372"/>
      <c r="AD809" s="2372"/>
      <c r="AE809" s="2372"/>
      <c r="AF809" s="2372"/>
      <c r="AG809" s="2372"/>
      <c r="AH809" s="2372"/>
      <c r="AI809" s="2372"/>
      <c r="AJ809" s="2372"/>
      <c r="AK809" s="2372"/>
      <c r="AL809" s="2372"/>
      <c r="AM809" s="2372"/>
      <c r="AN809" s="2372"/>
      <c r="AO809" s="2372"/>
      <c r="AP809" s="2372"/>
      <c r="AQ809" s="2372"/>
      <c r="AR809" s="2372"/>
      <c r="AS809" s="2372"/>
      <c r="AT809" s="2372"/>
      <c r="AU809" s="2372"/>
      <c r="AV809" s="2372"/>
      <c r="AW809" s="2372"/>
      <c r="AX809" s="2372"/>
      <c r="AY809" s="2372"/>
      <c r="AZ809" s="2372"/>
      <c r="BA809" s="2372"/>
      <c r="BB809" s="2372"/>
      <c r="BC809" s="2372"/>
      <c r="BD809" s="2372"/>
      <c r="BE809" s="2372"/>
      <c r="BF809" s="2372"/>
      <c r="BG809" s="2372"/>
      <c r="BH809" s="2372"/>
      <c r="BI809" s="2372"/>
      <c r="BJ809" s="2372"/>
      <c r="BK809" s="2372"/>
      <c r="BL809" s="2372"/>
      <c r="BM809" s="2372"/>
      <c r="BN809" s="2372"/>
      <c r="BO809" s="2372"/>
      <c r="BP809" s="2372"/>
      <c r="BQ809" s="2372"/>
      <c r="BR809" s="2372"/>
      <c r="BS809" s="2372"/>
      <c r="BT809" s="2372"/>
      <c r="BU809" s="2372"/>
      <c r="BV809" s="2372"/>
      <c r="BW809" s="2372"/>
      <c r="BX809" s="2372"/>
      <c r="BY809" s="2372"/>
      <c r="BZ809" s="2372"/>
      <c r="CA809" s="2372"/>
      <c r="CB809" s="2372"/>
      <c r="CC809" s="2372"/>
      <c r="CD809" s="2372"/>
      <c r="CE809" s="2372"/>
      <c r="CF809" s="2372"/>
      <c r="CG809" s="2372"/>
      <c r="CH809" s="2372"/>
      <c r="CI809" s="2372"/>
      <c r="CJ809" s="2372"/>
      <c r="CK809" s="2372"/>
      <c r="CL809" s="2372"/>
      <c r="CM809" s="2372"/>
      <c r="CN809" s="2372"/>
      <c r="CO809" s="2372"/>
      <c r="CP809" s="2372"/>
      <c r="CQ809" s="2372"/>
      <c r="CR809" s="2372"/>
      <c r="CS809" s="2372"/>
      <c r="CT809" s="2372"/>
      <c r="CU809" s="2372"/>
      <c r="CV809" s="2372"/>
      <c r="CW809" s="2372"/>
      <c r="CX809" s="2372"/>
      <c r="CY809" s="2372"/>
      <c r="CZ809" s="2372"/>
      <c r="DA809" s="2372"/>
    </row>
    <row r="810" spans="1:105" ht="15" hidden="1" customHeight="1">
      <c r="A810" s="2372"/>
      <c r="B810" s="2372"/>
      <c r="C810" s="2372"/>
      <c r="D810" s="2372"/>
      <c r="E810" s="2372"/>
      <c r="F810" s="2372"/>
      <c r="G810" s="2372"/>
      <c r="H810" s="2372"/>
      <c r="I810" s="2372"/>
      <c r="J810" s="2372"/>
      <c r="K810" s="2372"/>
      <c r="L810" s="2372"/>
      <c r="M810" s="2372"/>
      <c r="N810" s="2372"/>
      <c r="O810" s="2372"/>
      <c r="P810" s="2372"/>
      <c r="Q810" s="2372"/>
      <c r="R810" s="2372"/>
      <c r="S810" s="2372"/>
      <c r="T810" s="2372"/>
      <c r="U810" s="2372"/>
      <c r="V810" s="2372"/>
      <c r="W810" s="2372"/>
      <c r="X810" s="2372"/>
      <c r="Y810" s="2372"/>
      <c r="Z810" s="2372"/>
      <c r="AA810" s="2372"/>
      <c r="AB810" s="2372"/>
      <c r="AC810" s="2372"/>
      <c r="AD810" s="2372"/>
      <c r="AE810" s="2372"/>
      <c r="AF810" s="2372"/>
      <c r="AG810" s="2372"/>
      <c r="AH810" s="2372"/>
      <c r="AI810" s="2372"/>
      <c r="AJ810" s="2372"/>
      <c r="AK810" s="2372"/>
      <c r="AL810" s="2372"/>
      <c r="AM810" s="2372"/>
      <c r="AN810" s="2372"/>
      <c r="AO810" s="2372"/>
      <c r="AP810" s="2372"/>
      <c r="AQ810" s="2372"/>
      <c r="AR810" s="2372"/>
      <c r="AS810" s="2372"/>
      <c r="AT810" s="2372"/>
      <c r="AU810" s="2372"/>
      <c r="AV810" s="2372"/>
      <c r="AW810" s="2372"/>
      <c r="AX810" s="2372"/>
      <c r="AY810" s="2372"/>
      <c r="AZ810" s="2372"/>
      <c r="BA810" s="2372"/>
      <c r="BB810" s="2372"/>
      <c r="BC810" s="2372"/>
      <c r="BD810" s="2372"/>
      <c r="BE810" s="2372"/>
      <c r="BF810" s="2372"/>
      <c r="BG810" s="2372"/>
      <c r="BH810" s="2372"/>
      <c r="BI810" s="2372"/>
      <c r="BJ810" s="2372"/>
      <c r="BK810" s="2372"/>
      <c r="BL810" s="2372"/>
      <c r="BM810" s="2372"/>
      <c r="BN810" s="2372"/>
      <c r="BO810" s="2372"/>
      <c r="BP810" s="2372"/>
      <c r="BQ810" s="2372"/>
      <c r="BR810" s="2372"/>
      <c r="BS810" s="2372"/>
      <c r="BT810" s="2372"/>
      <c r="BU810" s="2372"/>
      <c r="BV810" s="2372"/>
      <c r="BW810" s="2372"/>
      <c r="BX810" s="2372"/>
      <c r="BY810" s="2372"/>
      <c r="BZ810" s="2372"/>
      <c r="CA810" s="2372"/>
      <c r="CB810" s="2372"/>
      <c r="CC810" s="2372"/>
      <c r="CD810" s="2372"/>
      <c r="CE810" s="2372"/>
      <c r="CF810" s="2372"/>
      <c r="CG810" s="2372"/>
      <c r="CH810" s="2372"/>
      <c r="CI810" s="2372"/>
      <c r="CJ810" s="2372"/>
      <c r="CK810" s="2372"/>
      <c r="CL810" s="2372"/>
      <c r="CM810" s="2372"/>
      <c r="CN810" s="2372"/>
      <c r="CO810" s="2372"/>
      <c r="CP810" s="2372"/>
      <c r="CQ810" s="2372"/>
      <c r="CR810" s="2372"/>
      <c r="CS810" s="2372"/>
      <c r="CT810" s="2372"/>
      <c r="CU810" s="2372"/>
      <c r="CV810" s="2372"/>
      <c r="CW810" s="2372"/>
      <c r="CX810" s="2372"/>
      <c r="CY810" s="2372"/>
      <c r="CZ810" s="2372"/>
      <c r="DA810" s="2372"/>
    </row>
    <row r="811" spans="1:105" ht="15" hidden="1" customHeight="1">
      <c r="A811" s="2372"/>
      <c r="B811" s="2372"/>
      <c r="C811" s="2372"/>
      <c r="D811" s="2372"/>
      <c r="E811" s="2372"/>
      <c r="F811" s="2372"/>
      <c r="G811" s="2372"/>
      <c r="H811" s="2372"/>
      <c r="I811" s="2372"/>
      <c r="J811" s="2372"/>
      <c r="K811" s="2372"/>
      <c r="L811" s="2372"/>
      <c r="M811" s="2372"/>
      <c r="N811" s="2372"/>
      <c r="O811" s="2372"/>
      <c r="P811" s="2372"/>
      <c r="Q811" s="2372"/>
      <c r="R811" s="2372"/>
      <c r="S811" s="2372"/>
      <c r="T811" s="2372"/>
      <c r="U811" s="2372"/>
      <c r="V811" s="2372"/>
      <c r="W811" s="2372"/>
      <c r="X811" s="2372"/>
      <c r="Y811" s="2372"/>
      <c r="Z811" s="2372"/>
      <c r="AA811" s="2372"/>
      <c r="AB811" s="2372"/>
      <c r="AC811" s="2372"/>
      <c r="AD811" s="2372"/>
      <c r="AE811" s="2372"/>
      <c r="AF811" s="2372"/>
      <c r="AG811" s="2372"/>
      <c r="AH811" s="2372"/>
      <c r="AI811" s="2372"/>
      <c r="AJ811" s="2372"/>
      <c r="AK811" s="2372"/>
      <c r="AL811" s="2372"/>
      <c r="AM811" s="2372"/>
      <c r="AN811" s="2372"/>
      <c r="AO811" s="2372"/>
      <c r="AP811" s="2372"/>
      <c r="AQ811" s="2372"/>
      <c r="AR811" s="2372"/>
      <c r="AS811" s="2372"/>
      <c r="AT811" s="2372"/>
      <c r="AU811" s="2372"/>
      <c r="AV811" s="2372"/>
      <c r="AW811" s="2372"/>
      <c r="AX811" s="2372"/>
      <c r="AY811" s="2372"/>
      <c r="AZ811" s="2372"/>
      <c r="BA811" s="2372"/>
      <c r="BB811" s="2372"/>
      <c r="BC811" s="2372"/>
      <c r="BD811" s="2372"/>
      <c r="BE811" s="2372"/>
      <c r="BF811" s="2372"/>
      <c r="BG811" s="2372"/>
      <c r="BH811" s="2372"/>
      <c r="BI811" s="2372"/>
      <c r="BJ811" s="2372"/>
      <c r="BK811" s="2372"/>
      <c r="BL811" s="2372"/>
      <c r="BM811" s="2372"/>
      <c r="BN811" s="2372"/>
      <c r="BO811" s="2372"/>
      <c r="BP811" s="2372"/>
      <c r="BQ811" s="2372"/>
      <c r="BR811" s="2372"/>
      <c r="BS811" s="2372"/>
      <c r="BT811" s="2372"/>
      <c r="BU811" s="2372"/>
      <c r="BV811" s="2372"/>
      <c r="BW811" s="2372"/>
      <c r="BX811" s="2372"/>
      <c r="BY811" s="2372"/>
      <c r="BZ811" s="2372"/>
      <c r="CA811" s="2372"/>
      <c r="CB811" s="2372"/>
      <c r="CC811" s="2372"/>
      <c r="CD811" s="2372"/>
      <c r="CE811" s="2372"/>
      <c r="CF811" s="2372"/>
      <c r="CG811" s="2372"/>
      <c r="CH811" s="2372"/>
      <c r="CI811" s="2372"/>
      <c r="CJ811" s="2372"/>
      <c r="CK811" s="2372"/>
      <c r="CL811" s="2372"/>
      <c r="CM811" s="2372"/>
      <c r="CN811" s="2372"/>
      <c r="CO811" s="2372"/>
      <c r="CP811" s="2372"/>
      <c r="CQ811" s="2372"/>
      <c r="CR811" s="2372"/>
      <c r="CS811" s="2372"/>
      <c r="CT811" s="2372"/>
      <c r="CU811" s="2372"/>
      <c r="CV811" s="2372"/>
      <c r="CW811" s="2372"/>
      <c r="CX811" s="2372"/>
      <c r="CY811" s="2372"/>
      <c r="CZ811" s="2372"/>
      <c r="DA811" s="2372"/>
    </row>
    <row r="812" spans="1:105" ht="15" hidden="1" customHeight="1">
      <c r="A812" s="2372"/>
      <c r="B812" s="2372"/>
      <c r="C812" s="2372"/>
      <c r="D812" s="2372"/>
      <c r="E812" s="2372"/>
      <c r="F812" s="2372"/>
      <c r="G812" s="2372"/>
      <c r="H812" s="2372"/>
      <c r="I812" s="2372"/>
      <c r="J812" s="2372"/>
      <c r="K812" s="2372"/>
      <c r="L812" s="2372"/>
      <c r="M812" s="2372"/>
      <c r="N812" s="2372"/>
      <c r="O812" s="2372"/>
      <c r="P812" s="2372"/>
      <c r="Q812" s="2372"/>
      <c r="R812" s="2372"/>
      <c r="S812" s="2372"/>
      <c r="T812" s="2372"/>
      <c r="U812" s="2372"/>
      <c r="V812" s="2372"/>
      <c r="W812" s="2372"/>
      <c r="X812" s="2372"/>
      <c r="Y812" s="2372"/>
      <c r="Z812" s="2372"/>
      <c r="AA812" s="2372"/>
      <c r="AB812" s="2372"/>
      <c r="AC812" s="2372"/>
      <c r="AD812" s="2372"/>
      <c r="AE812" s="2372"/>
      <c r="AF812" s="2372"/>
      <c r="AG812" s="2372"/>
      <c r="AH812" s="2372"/>
      <c r="AI812" s="2372"/>
      <c r="AJ812" s="2372"/>
      <c r="AK812" s="2372"/>
      <c r="AL812" s="2372"/>
      <c r="AM812" s="2372"/>
      <c r="AN812" s="2372"/>
      <c r="AO812" s="2372"/>
      <c r="AP812" s="2372"/>
      <c r="AQ812" s="2372"/>
      <c r="AR812" s="2372"/>
      <c r="AS812" s="2372"/>
      <c r="AT812" s="2372"/>
      <c r="AU812" s="2372"/>
      <c r="AV812" s="2372"/>
      <c r="AW812" s="2372"/>
      <c r="AX812" s="2372"/>
      <c r="AY812" s="2372"/>
      <c r="AZ812" s="2372"/>
      <c r="BA812" s="2372"/>
      <c r="BB812" s="2372"/>
      <c r="BC812" s="2372"/>
      <c r="BD812" s="2372"/>
      <c r="BE812" s="2372"/>
      <c r="BF812" s="2372"/>
      <c r="BG812" s="2372"/>
      <c r="BH812" s="2372"/>
      <c r="BI812" s="2372"/>
      <c r="BJ812" s="2372"/>
      <c r="BK812" s="2372"/>
      <c r="BL812" s="2372"/>
      <c r="BM812" s="2372"/>
      <c r="BN812" s="2372"/>
      <c r="BO812" s="2372"/>
      <c r="BP812" s="2372"/>
      <c r="BQ812" s="2372"/>
      <c r="BR812" s="2372"/>
      <c r="BS812" s="2372"/>
      <c r="BT812" s="2372"/>
      <c r="BU812" s="2372"/>
      <c r="BV812" s="2372"/>
      <c r="BW812" s="2372"/>
      <c r="BX812" s="2372"/>
      <c r="BY812" s="2372"/>
      <c r="BZ812" s="2372"/>
      <c r="CA812" s="2372"/>
      <c r="CB812" s="2372"/>
      <c r="CC812" s="2372"/>
      <c r="CD812" s="2372"/>
      <c r="CE812" s="2372"/>
      <c r="CF812" s="2372"/>
      <c r="CG812" s="2372"/>
      <c r="CH812" s="2372"/>
      <c r="CI812" s="2372"/>
      <c r="CJ812" s="2372"/>
      <c r="CK812" s="2372"/>
      <c r="CL812" s="2372"/>
      <c r="CM812" s="2372"/>
      <c r="CN812" s="2372"/>
      <c r="CO812" s="2372"/>
      <c r="CP812" s="2372"/>
      <c r="CQ812" s="2372"/>
      <c r="CR812" s="2372"/>
      <c r="CS812" s="2372"/>
      <c r="CT812" s="2372"/>
      <c r="CU812" s="2372"/>
      <c r="CV812" s="2372"/>
      <c r="CW812" s="2372"/>
      <c r="CX812" s="2372"/>
      <c r="CY812" s="2372"/>
      <c r="CZ812" s="2372"/>
      <c r="DA812" s="2372"/>
    </row>
    <row r="813" spans="1:105" ht="15" hidden="1" customHeight="1">
      <c r="A813" s="2372"/>
      <c r="B813" s="2372"/>
      <c r="C813" s="2372"/>
      <c r="D813" s="2372"/>
      <c r="E813" s="2372"/>
      <c r="F813" s="2372"/>
      <c r="G813" s="2372"/>
      <c r="H813" s="2372"/>
      <c r="I813" s="2372"/>
      <c r="J813" s="2372"/>
      <c r="K813" s="2372"/>
      <c r="L813" s="2372"/>
      <c r="M813" s="2372"/>
      <c r="N813" s="2372"/>
      <c r="O813" s="2372"/>
      <c r="P813" s="2372"/>
      <c r="Q813" s="2372"/>
      <c r="R813" s="2372"/>
      <c r="S813" s="2372"/>
      <c r="T813" s="2372"/>
      <c r="U813" s="2372"/>
      <c r="V813" s="2372"/>
      <c r="W813" s="2372"/>
      <c r="X813" s="2372"/>
      <c r="Y813" s="2372"/>
      <c r="Z813" s="2372"/>
      <c r="AA813" s="2372"/>
      <c r="AB813" s="2372"/>
      <c r="AC813" s="2372"/>
      <c r="AD813" s="2372"/>
      <c r="AE813" s="2372"/>
      <c r="AF813" s="2372"/>
      <c r="AG813" s="2372"/>
      <c r="AH813" s="2372"/>
      <c r="AI813" s="2372"/>
      <c r="AJ813" s="2372"/>
      <c r="AK813" s="2372"/>
      <c r="AL813" s="2372"/>
      <c r="AM813" s="2372"/>
      <c r="AN813" s="2372"/>
      <c r="AO813" s="2372"/>
      <c r="AP813" s="2372"/>
      <c r="AQ813" s="2372"/>
      <c r="AR813" s="2372"/>
      <c r="AS813" s="2372"/>
      <c r="AT813" s="2372"/>
      <c r="AU813" s="2372"/>
      <c r="AV813" s="2372"/>
      <c r="AW813" s="2372"/>
      <c r="AX813" s="2372"/>
      <c r="AY813" s="2372"/>
      <c r="AZ813" s="2372"/>
      <c r="BA813" s="2372"/>
      <c r="BB813" s="2372"/>
      <c r="BC813" s="2372"/>
      <c r="BD813" s="2372"/>
      <c r="BE813" s="2372"/>
      <c r="BF813" s="2372"/>
      <c r="BG813" s="2372"/>
      <c r="BH813" s="2372"/>
      <c r="BI813" s="2372"/>
      <c r="BJ813" s="2372"/>
      <c r="BK813" s="2372"/>
      <c r="BL813" s="2372"/>
      <c r="BM813" s="2372"/>
      <c r="BN813" s="2372"/>
      <c r="BO813" s="2372"/>
      <c r="BP813" s="2372"/>
      <c r="BQ813" s="2372"/>
      <c r="BR813" s="2372"/>
      <c r="BS813" s="2372"/>
      <c r="BT813" s="2372"/>
      <c r="BU813" s="2372"/>
      <c r="BV813" s="2372"/>
      <c r="BW813" s="2372"/>
      <c r="BX813" s="2372"/>
      <c r="BY813" s="2372"/>
      <c r="BZ813" s="2372"/>
      <c r="CA813" s="2372"/>
      <c r="CB813" s="2372"/>
      <c r="CC813" s="2372"/>
      <c r="CD813" s="2372"/>
      <c r="CE813" s="2372"/>
      <c r="CF813" s="2372"/>
      <c r="CG813" s="2372"/>
      <c r="CH813" s="2372"/>
      <c r="CI813" s="2372"/>
      <c r="CJ813" s="2372"/>
      <c r="CK813" s="2372"/>
      <c r="CL813" s="2372"/>
      <c r="CM813" s="2372"/>
      <c r="CN813" s="2372"/>
      <c r="CO813" s="2372"/>
      <c r="CP813" s="2372"/>
      <c r="CQ813" s="2372"/>
      <c r="CR813" s="2372"/>
      <c r="CS813" s="2372"/>
      <c r="CT813" s="2372"/>
      <c r="CU813" s="2372"/>
      <c r="CV813" s="2372"/>
      <c r="CW813" s="2372"/>
      <c r="CX813" s="2372"/>
      <c r="CY813" s="2372"/>
      <c r="CZ813" s="2372"/>
      <c r="DA813" s="2372"/>
    </row>
    <row r="814" spans="1:105" ht="15" hidden="1" customHeight="1">
      <c r="A814" s="2372"/>
      <c r="B814" s="2372"/>
      <c r="C814" s="2372"/>
      <c r="D814" s="2372"/>
      <c r="E814" s="2372"/>
      <c r="F814" s="2372"/>
      <c r="G814" s="2372"/>
      <c r="H814" s="2372"/>
      <c r="I814" s="2372"/>
      <c r="J814" s="2372"/>
      <c r="K814" s="2372"/>
      <c r="L814" s="2372"/>
      <c r="M814" s="2372"/>
      <c r="N814" s="2372"/>
      <c r="O814" s="2372"/>
      <c r="P814" s="2372"/>
      <c r="Q814" s="2372"/>
      <c r="R814" s="2372"/>
      <c r="S814" s="2372"/>
      <c r="T814" s="2372"/>
      <c r="U814" s="2372"/>
      <c r="V814" s="2372"/>
      <c r="W814" s="2372"/>
      <c r="X814" s="2372"/>
      <c r="Y814" s="2372"/>
      <c r="Z814" s="2372"/>
      <c r="AA814" s="2372"/>
      <c r="AB814" s="2372"/>
      <c r="AC814" s="2372"/>
      <c r="AD814" s="2372"/>
      <c r="AE814" s="2372"/>
      <c r="AF814" s="2372"/>
      <c r="AG814" s="2372"/>
      <c r="AH814" s="2372"/>
      <c r="AI814" s="2372"/>
      <c r="AJ814" s="2372"/>
      <c r="AK814" s="2372"/>
      <c r="AL814" s="2372"/>
      <c r="AM814" s="2372"/>
      <c r="AN814" s="2372"/>
      <c r="AO814" s="2372"/>
      <c r="AP814" s="2372"/>
      <c r="AQ814" s="2372"/>
      <c r="AR814" s="2372"/>
      <c r="AS814" s="2372"/>
      <c r="AT814" s="2372"/>
      <c r="AU814" s="2372"/>
      <c r="AV814" s="2372"/>
      <c r="AW814" s="2372"/>
      <c r="AX814" s="2372"/>
      <c r="AY814" s="2372"/>
      <c r="AZ814" s="2372"/>
      <c r="BA814" s="2372"/>
      <c r="BB814" s="2372"/>
      <c r="BC814" s="2372"/>
      <c r="BD814" s="2372"/>
      <c r="BE814" s="2372"/>
      <c r="BF814" s="2372"/>
      <c r="BG814" s="2372"/>
      <c r="BH814" s="2372"/>
      <c r="BI814" s="2372"/>
      <c r="BJ814" s="2372"/>
      <c r="BK814" s="2372"/>
      <c r="BL814" s="2372"/>
      <c r="BM814" s="2372"/>
      <c r="BN814" s="2372"/>
      <c r="BO814" s="2372"/>
      <c r="BP814" s="2372"/>
      <c r="BQ814" s="2372"/>
      <c r="BR814" s="2372"/>
      <c r="BS814" s="2372"/>
      <c r="BT814" s="2372"/>
      <c r="BU814" s="2372"/>
      <c r="BV814" s="2372"/>
      <c r="BW814" s="2372"/>
      <c r="BX814" s="2372"/>
      <c r="BY814" s="2372"/>
      <c r="BZ814" s="2372"/>
      <c r="CA814" s="2372"/>
      <c r="CB814" s="2372"/>
      <c r="CC814" s="2372"/>
      <c r="CD814" s="2372"/>
      <c r="CE814" s="2372"/>
      <c r="CF814" s="2372"/>
      <c r="CG814" s="2372"/>
      <c r="CH814" s="2372"/>
      <c r="CI814" s="2372"/>
      <c r="CJ814" s="2372"/>
      <c r="CK814" s="2372"/>
      <c r="CL814" s="2372"/>
      <c r="CM814" s="2372"/>
      <c r="CN814" s="2372"/>
      <c r="CO814" s="2372"/>
      <c r="CP814" s="2372"/>
      <c r="CQ814" s="2372"/>
      <c r="CR814" s="2372"/>
      <c r="CS814" s="2372"/>
      <c r="CT814" s="2372"/>
      <c r="CU814" s="2372"/>
      <c r="CV814" s="2372"/>
      <c r="CW814" s="2372"/>
      <c r="CX814" s="2372"/>
      <c r="CY814" s="2372"/>
      <c r="CZ814" s="2372"/>
      <c r="DA814" s="2372"/>
    </row>
    <row r="815" spans="1:105" ht="15" hidden="1" customHeight="1">
      <c r="A815" s="2372"/>
      <c r="B815" s="2372"/>
      <c r="C815" s="2372"/>
      <c r="D815" s="2372"/>
      <c r="E815" s="2372"/>
      <c r="F815" s="2372"/>
      <c r="G815" s="2372"/>
      <c r="H815" s="2372"/>
      <c r="I815" s="2372"/>
      <c r="J815" s="2372"/>
      <c r="K815" s="2372"/>
      <c r="L815" s="2372"/>
      <c r="M815" s="2372"/>
      <c r="N815" s="2372"/>
      <c r="O815" s="2372"/>
      <c r="P815" s="2372"/>
      <c r="Q815" s="2372"/>
      <c r="R815" s="2372"/>
      <c r="S815" s="2372"/>
      <c r="T815" s="2372"/>
      <c r="U815" s="2372"/>
      <c r="V815" s="2372"/>
      <c r="W815" s="2372"/>
      <c r="X815" s="2372"/>
      <c r="Y815" s="2372"/>
      <c r="Z815" s="2372"/>
      <c r="AA815" s="2372"/>
      <c r="AB815" s="2372"/>
      <c r="AC815" s="2372"/>
      <c r="AD815" s="2372"/>
      <c r="AE815" s="2372"/>
      <c r="AF815" s="2372"/>
      <c r="AG815" s="2372"/>
      <c r="AH815" s="2372"/>
      <c r="AI815" s="2372"/>
      <c r="AJ815" s="2372"/>
      <c r="AK815" s="2372"/>
      <c r="AL815" s="2372"/>
      <c r="AM815" s="2372"/>
      <c r="AN815" s="2372"/>
      <c r="AO815" s="2372"/>
      <c r="AP815" s="2372"/>
      <c r="AQ815" s="2372"/>
      <c r="AR815" s="2372"/>
      <c r="AS815" s="2372"/>
      <c r="AT815" s="2372"/>
      <c r="AU815" s="2372"/>
      <c r="AV815" s="2372"/>
      <c r="AW815" s="2372"/>
      <c r="AX815" s="2372"/>
      <c r="AY815" s="2372"/>
      <c r="AZ815" s="2372"/>
      <c r="BA815" s="2372"/>
      <c r="BB815" s="2372"/>
      <c r="BC815" s="2372"/>
      <c r="BD815" s="2372"/>
      <c r="BE815" s="2372"/>
      <c r="BF815" s="2372"/>
      <c r="BG815" s="2372"/>
      <c r="BH815" s="2372"/>
      <c r="BI815" s="2372"/>
      <c r="BJ815" s="2372"/>
      <c r="BK815" s="2372"/>
      <c r="BL815" s="2372"/>
      <c r="BM815" s="2372"/>
      <c r="BN815" s="2372"/>
      <c r="BO815" s="2372"/>
      <c r="BP815" s="2372"/>
      <c r="BQ815" s="2372"/>
      <c r="BR815" s="2372"/>
      <c r="BS815" s="2372"/>
      <c r="BT815" s="2372"/>
      <c r="BU815" s="2372"/>
      <c r="BV815" s="2372"/>
      <c r="BW815" s="2372"/>
      <c r="BX815" s="2372"/>
      <c r="BY815" s="2372"/>
      <c r="BZ815" s="2372"/>
      <c r="CA815" s="2372"/>
      <c r="CB815" s="2372"/>
      <c r="CC815" s="2372"/>
      <c r="CD815" s="2372"/>
      <c r="CE815" s="2372"/>
      <c r="CF815" s="2372"/>
      <c r="CG815" s="2372"/>
      <c r="CH815" s="2372"/>
      <c r="CI815" s="2372"/>
      <c r="CJ815" s="2372"/>
      <c r="CK815" s="2372"/>
      <c r="CL815" s="2372"/>
      <c r="CM815" s="2372"/>
      <c r="CN815" s="2372"/>
      <c r="CO815" s="2372"/>
      <c r="CP815" s="2372"/>
      <c r="CQ815" s="2372"/>
      <c r="CR815" s="2372"/>
      <c r="CS815" s="2372"/>
      <c r="CT815" s="2372"/>
      <c r="CU815" s="2372"/>
      <c r="CV815" s="2372"/>
      <c r="CW815" s="2372"/>
      <c r="CX815" s="2372"/>
      <c r="CY815" s="2372"/>
      <c r="CZ815" s="2372"/>
      <c r="DA815" s="2372"/>
    </row>
    <row r="816" spans="1:105" ht="15" hidden="1" customHeight="1">
      <c r="A816" s="2372"/>
      <c r="B816" s="2372"/>
      <c r="C816" s="2372"/>
      <c r="D816" s="2372"/>
      <c r="E816" s="2372"/>
      <c r="F816" s="2372"/>
      <c r="G816" s="2372"/>
      <c r="H816" s="2372"/>
      <c r="I816" s="2372"/>
      <c r="J816" s="2372"/>
      <c r="K816" s="2372"/>
      <c r="L816" s="2372"/>
      <c r="M816" s="2372"/>
      <c r="N816" s="2372"/>
      <c r="O816" s="2372"/>
      <c r="P816" s="2372"/>
      <c r="Q816" s="2372"/>
      <c r="R816" s="2372"/>
      <c r="S816" s="2372"/>
      <c r="T816" s="2372"/>
      <c r="U816" s="2372"/>
      <c r="V816" s="2372"/>
      <c r="W816" s="2372"/>
      <c r="X816" s="2372"/>
      <c r="Y816" s="2372"/>
      <c r="Z816" s="2372"/>
      <c r="AA816" s="2372"/>
      <c r="AB816" s="2372"/>
      <c r="AC816" s="2372"/>
      <c r="AD816" s="2372"/>
      <c r="AE816" s="2372"/>
      <c r="AF816" s="2372"/>
      <c r="AG816" s="2372"/>
      <c r="AH816" s="2372"/>
      <c r="AI816" s="2372"/>
      <c r="AJ816" s="2372"/>
      <c r="AK816" s="2372"/>
      <c r="AL816" s="2372"/>
      <c r="AM816" s="2372"/>
      <c r="AN816" s="2372"/>
      <c r="AO816" s="2372"/>
      <c r="AP816" s="2372"/>
      <c r="AQ816" s="2372"/>
      <c r="AR816" s="2372"/>
      <c r="AS816" s="2372"/>
      <c r="AT816" s="2372"/>
      <c r="AU816" s="2372"/>
      <c r="AV816" s="2372"/>
      <c r="AW816" s="2372"/>
      <c r="AX816" s="2372"/>
      <c r="AY816" s="2372"/>
      <c r="AZ816" s="2372"/>
      <c r="BA816" s="2372"/>
      <c r="BB816" s="2372"/>
      <c r="BC816" s="2372"/>
      <c r="BD816" s="2372"/>
      <c r="BE816" s="2372"/>
      <c r="BF816" s="2372"/>
      <c r="BG816" s="2372"/>
      <c r="BH816" s="2372"/>
      <c r="BI816" s="2372"/>
      <c r="BJ816" s="2372"/>
      <c r="BK816" s="2372"/>
      <c r="BL816" s="2372"/>
      <c r="BM816" s="2372"/>
      <c r="BN816" s="2372"/>
      <c r="BO816" s="2372"/>
      <c r="BP816" s="2372"/>
      <c r="BQ816" s="2372"/>
      <c r="BR816" s="2372"/>
      <c r="BS816" s="2372"/>
      <c r="BT816" s="2372"/>
      <c r="BU816" s="2372"/>
      <c r="BV816" s="2372"/>
      <c r="BW816" s="2372"/>
      <c r="BX816" s="2372"/>
      <c r="BY816" s="2372"/>
      <c r="BZ816" s="2372"/>
      <c r="CA816" s="2372"/>
      <c r="CB816" s="2372"/>
      <c r="CC816" s="2372"/>
      <c r="CD816" s="2372"/>
      <c r="CE816" s="2372"/>
      <c r="CF816" s="2372"/>
      <c r="CG816" s="2372"/>
      <c r="CH816" s="2372"/>
      <c r="CI816" s="2372"/>
      <c r="CJ816" s="2372"/>
      <c r="CK816" s="2372"/>
      <c r="CL816" s="2372"/>
      <c r="CM816" s="2372"/>
      <c r="CN816" s="2372"/>
      <c r="CO816" s="2372"/>
      <c r="CP816" s="2372"/>
      <c r="CQ816" s="2372"/>
      <c r="CR816" s="2372"/>
      <c r="CS816" s="2372"/>
      <c r="CT816" s="2372"/>
      <c r="CU816" s="2372"/>
      <c r="CV816" s="2372"/>
      <c r="CW816" s="2372"/>
      <c r="CX816" s="2372"/>
      <c r="CY816" s="2372"/>
      <c r="CZ816" s="2372"/>
      <c r="DA816" s="2372"/>
    </row>
    <row r="817" spans="1:105" ht="15" hidden="1" customHeight="1">
      <c r="A817" s="2372"/>
      <c r="B817" s="2372"/>
      <c r="C817" s="2372"/>
      <c r="D817" s="2372"/>
      <c r="E817" s="2372"/>
      <c r="F817" s="2372"/>
      <c r="G817" s="2372"/>
      <c r="H817" s="2372"/>
      <c r="I817" s="2372"/>
      <c r="J817" s="2372"/>
      <c r="K817" s="2372"/>
      <c r="L817" s="2372"/>
      <c r="M817" s="2372"/>
      <c r="N817" s="2372"/>
      <c r="O817" s="2372"/>
      <c r="P817" s="2372"/>
      <c r="Q817" s="2372"/>
      <c r="R817" s="2372"/>
      <c r="S817" s="2372"/>
      <c r="T817" s="2372"/>
      <c r="U817" s="2372"/>
      <c r="V817" s="2372"/>
      <c r="W817" s="2372"/>
      <c r="X817" s="2372"/>
      <c r="Y817" s="2372"/>
      <c r="Z817" s="2372"/>
      <c r="AA817" s="2372"/>
      <c r="AB817" s="2372"/>
      <c r="AC817" s="2372"/>
      <c r="AD817" s="2372"/>
      <c r="AE817" s="2372"/>
      <c r="AF817" s="2372"/>
      <c r="AG817" s="2372"/>
      <c r="AH817" s="2372"/>
      <c r="AI817" s="2372"/>
      <c r="AJ817" s="2372"/>
      <c r="AK817" s="2372"/>
      <c r="AL817" s="2372"/>
      <c r="AM817" s="2372"/>
      <c r="AN817" s="2372"/>
      <c r="AO817" s="2372"/>
      <c r="AP817" s="2372"/>
      <c r="AQ817" s="2372"/>
      <c r="AR817" s="2372"/>
      <c r="AS817" s="2372"/>
      <c r="AT817" s="2372"/>
      <c r="AU817" s="2372"/>
      <c r="AV817" s="2372"/>
      <c r="AW817" s="2372"/>
      <c r="AX817" s="2372"/>
      <c r="AY817" s="2372"/>
      <c r="AZ817" s="2372"/>
      <c r="BA817" s="2372"/>
      <c r="BB817" s="2372"/>
      <c r="BC817" s="2372"/>
      <c r="BD817" s="2372"/>
      <c r="BE817" s="2372"/>
      <c r="BF817" s="2372"/>
      <c r="BG817" s="2372"/>
      <c r="BH817" s="2372"/>
      <c r="BI817" s="2372"/>
      <c r="BJ817" s="2372"/>
      <c r="BK817" s="2372"/>
      <c r="BL817" s="2372"/>
      <c r="BM817" s="2372"/>
      <c r="BN817" s="2372"/>
      <c r="BO817" s="2372"/>
      <c r="BP817" s="2372"/>
      <c r="BQ817" s="2372"/>
      <c r="BR817" s="2372"/>
      <c r="BS817" s="2372"/>
      <c r="BT817" s="2372"/>
      <c r="BU817" s="2372"/>
      <c r="BV817" s="2372"/>
      <c r="BW817" s="2372"/>
      <c r="BX817" s="2372"/>
      <c r="BY817" s="2372"/>
      <c r="BZ817" s="2372"/>
      <c r="CA817" s="2372"/>
      <c r="CB817" s="2372"/>
      <c r="CC817" s="2372"/>
      <c r="CD817" s="2372"/>
      <c r="CE817" s="2372"/>
      <c r="CF817" s="2372"/>
      <c r="CG817" s="2372"/>
      <c r="CH817" s="2372"/>
      <c r="CI817" s="2372"/>
      <c r="CJ817" s="2372"/>
      <c r="CK817" s="2372"/>
      <c r="CL817" s="2372"/>
      <c r="CM817" s="2372"/>
      <c r="CN817" s="2372"/>
      <c r="CO817" s="2372"/>
      <c r="CP817" s="2372"/>
      <c r="CQ817" s="2372"/>
      <c r="CR817" s="2372"/>
      <c r="CS817" s="2372"/>
      <c r="CT817" s="2372"/>
      <c r="CU817" s="2372"/>
      <c r="CV817" s="2372"/>
      <c r="CW817" s="2372"/>
      <c r="CX817" s="2372"/>
      <c r="CY817" s="2372"/>
      <c r="CZ817" s="2372"/>
      <c r="DA817" s="2372"/>
    </row>
    <row r="818" spans="1:105" ht="15" hidden="1" customHeight="1">
      <c r="A818" s="2372"/>
      <c r="B818" s="2372"/>
      <c r="C818" s="2372"/>
      <c r="D818" s="2372"/>
      <c r="E818" s="2372"/>
      <c r="F818" s="2372"/>
      <c r="G818" s="2372"/>
      <c r="H818" s="2372"/>
      <c r="I818" s="2372"/>
      <c r="J818" s="2372"/>
      <c r="K818" s="2372"/>
      <c r="L818" s="2372"/>
      <c r="M818" s="2372"/>
      <c r="N818" s="2372"/>
      <c r="O818" s="2372"/>
      <c r="P818" s="2372"/>
      <c r="Q818" s="2372"/>
      <c r="R818" s="2372"/>
      <c r="S818" s="2372"/>
      <c r="T818" s="2372"/>
      <c r="U818" s="2372"/>
      <c r="V818" s="2372"/>
      <c r="W818" s="2372"/>
      <c r="X818" s="2372"/>
      <c r="Y818" s="2372"/>
      <c r="Z818" s="2372"/>
      <c r="AA818" s="2372"/>
      <c r="AB818" s="2372"/>
      <c r="AC818" s="2372"/>
      <c r="AD818" s="2372"/>
      <c r="AE818" s="2372"/>
      <c r="AF818" s="2372"/>
      <c r="AG818" s="2372"/>
      <c r="AH818" s="2372"/>
      <c r="AI818" s="2372"/>
      <c r="AJ818" s="2372"/>
      <c r="AK818" s="2372"/>
      <c r="AL818" s="2372"/>
      <c r="AM818" s="2372"/>
      <c r="AN818" s="2372"/>
      <c r="AO818" s="2372"/>
      <c r="AP818" s="2372"/>
      <c r="AQ818" s="2372"/>
      <c r="AR818" s="2372"/>
      <c r="AS818" s="2372"/>
      <c r="AT818" s="2372"/>
      <c r="AU818" s="2372"/>
      <c r="AV818" s="2372"/>
      <c r="AW818" s="2372"/>
      <c r="AX818" s="2372"/>
      <c r="AY818" s="2372"/>
      <c r="AZ818" s="2372"/>
      <c r="BA818" s="2372"/>
      <c r="BB818" s="2372"/>
      <c r="BC818" s="2372"/>
      <c r="BD818" s="2372"/>
      <c r="BE818" s="2372"/>
      <c r="BF818" s="2372"/>
      <c r="BG818" s="2372"/>
      <c r="BH818" s="2372"/>
      <c r="BI818" s="2372"/>
      <c r="BJ818" s="2372"/>
      <c r="BK818" s="2372"/>
      <c r="BL818" s="2372"/>
      <c r="BM818" s="2372"/>
      <c r="BN818" s="2372"/>
      <c r="BO818" s="2372"/>
      <c r="BP818" s="2372"/>
      <c r="BQ818" s="2372"/>
      <c r="BR818" s="2372"/>
      <c r="BS818" s="2372"/>
      <c r="BT818" s="2372"/>
      <c r="BU818" s="2372"/>
      <c r="BV818" s="2372"/>
      <c r="BW818" s="2372"/>
      <c r="BX818" s="2372"/>
      <c r="BY818" s="2372"/>
      <c r="BZ818" s="2372"/>
      <c r="CA818" s="2372"/>
      <c r="CB818" s="2372"/>
      <c r="CC818" s="2372"/>
      <c r="CD818" s="2372"/>
      <c r="CE818" s="2372"/>
      <c r="CF818" s="2372"/>
      <c r="CG818" s="2372"/>
      <c r="CH818" s="2372"/>
      <c r="CI818" s="2372"/>
      <c r="CJ818" s="2372"/>
      <c r="CK818" s="2372"/>
      <c r="CL818" s="2372"/>
      <c r="CM818" s="2372"/>
      <c r="CN818" s="2372"/>
      <c r="CO818" s="2372"/>
      <c r="CP818" s="2372"/>
      <c r="CQ818" s="2372"/>
      <c r="CR818" s="2372"/>
      <c r="CS818" s="2372"/>
      <c r="CT818" s="2372"/>
      <c r="CU818" s="2372"/>
      <c r="CV818" s="2372"/>
      <c r="CW818" s="2372"/>
      <c r="CX818" s="2372"/>
      <c r="CY818" s="2372"/>
      <c r="CZ818" s="2372"/>
      <c r="DA818" s="2372"/>
    </row>
    <row r="819" spans="1:105" ht="15" hidden="1" customHeight="1">
      <c r="A819" s="2372"/>
      <c r="B819" s="2372"/>
      <c r="C819" s="2372"/>
      <c r="D819" s="2372"/>
      <c r="E819" s="2372"/>
      <c r="F819" s="2372"/>
      <c r="G819" s="2372"/>
      <c r="H819" s="2372"/>
      <c r="I819" s="2372"/>
      <c r="J819" s="2372"/>
      <c r="K819" s="2372"/>
      <c r="L819" s="2372"/>
      <c r="M819" s="2372"/>
      <c r="N819" s="2372"/>
      <c r="O819" s="2372"/>
      <c r="P819" s="2372"/>
      <c r="Q819" s="2372"/>
      <c r="R819" s="2372"/>
      <c r="S819" s="2372"/>
      <c r="T819" s="2372"/>
      <c r="U819" s="2372"/>
      <c r="V819" s="2372"/>
      <c r="W819" s="2372"/>
      <c r="X819" s="2372"/>
      <c r="Y819" s="2372"/>
      <c r="Z819" s="2372"/>
      <c r="AA819" s="2372"/>
      <c r="AB819" s="2372"/>
      <c r="AC819" s="2372"/>
      <c r="AD819" s="2372"/>
      <c r="AE819" s="2372"/>
      <c r="AF819" s="2372"/>
      <c r="AG819" s="2372"/>
      <c r="AH819" s="2372"/>
      <c r="AI819" s="2372"/>
      <c r="AJ819" s="2372"/>
      <c r="AK819" s="2372"/>
      <c r="AL819" s="2372"/>
      <c r="AM819" s="2372"/>
      <c r="AN819" s="2372"/>
      <c r="AO819" s="2372"/>
      <c r="AP819" s="2372"/>
      <c r="AQ819" s="2372"/>
      <c r="AR819" s="2372"/>
      <c r="AS819" s="2372"/>
      <c r="AT819" s="2372"/>
      <c r="AU819" s="2372"/>
      <c r="AV819" s="2372"/>
      <c r="AW819" s="2372"/>
      <c r="AX819" s="2372"/>
      <c r="AY819" s="2372"/>
      <c r="AZ819" s="2372"/>
      <c r="BA819" s="2372"/>
      <c r="BB819" s="2372"/>
      <c r="BC819" s="2372"/>
      <c r="BD819" s="2372"/>
      <c r="BE819" s="2372"/>
      <c r="BF819" s="2372"/>
      <c r="BG819" s="2372"/>
      <c r="BH819" s="2372"/>
      <c r="BI819" s="2372"/>
      <c r="BJ819" s="2372"/>
      <c r="BK819" s="2372"/>
      <c r="BL819" s="2372"/>
      <c r="BM819" s="2372"/>
      <c r="BN819" s="2372"/>
      <c r="BO819" s="2372"/>
      <c r="BP819" s="2372"/>
      <c r="BQ819" s="2372"/>
      <c r="BR819" s="2372"/>
      <c r="BS819" s="2372"/>
      <c r="BT819" s="2372"/>
      <c r="BU819" s="2372"/>
      <c r="BV819" s="2372"/>
      <c r="BW819" s="2372"/>
      <c r="BX819" s="2372"/>
      <c r="BY819" s="2372"/>
      <c r="BZ819" s="2372"/>
      <c r="CA819" s="2372"/>
      <c r="CB819" s="2372"/>
      <c r="CC819" s="2372"/>
      <c r="CD819" s="2372"/>
      <c r="CE819" s="2372"/>
      <c r="CF819" s="2372"/>
      <c r="CG819" s="2372"/>
      <c r="CH819" s="2372"/>
      <c r="CI819" s="2372"/>
      <c r="CJ819" s="2372"/>
      <c r="CK819" s="2372"/>
      <c r="CL819" s="2372"/>
      <c r="CM819" s="2372"/>
      <c r="CN819" s="2372"/>
      <c r="CO819" s="2372"/>
      <c r="CP819" s="2372"/>
      <c r="CQ819" s="2372"/>
      <c r="CR819" s="2372"/>
      <c r="CS819" s="2372"/>
      <c r="CT819" s="2372"/>
      <c r="CU819" s="2372"/>
      <c r="CV819" s="2372"/>
      <c r="CW819" s="2372"/>
      <c r="CX819" s="2372"/>
      <c r="CY819" s="2372"/>
      <c r="CZ819" s="2372"/>
      <c r="DA819" s="2372"/>
    </row>
    <row r="820" spans="1:105" ht="15" hidden="1" customHeight="1">
      <c r="A820" s="2372"/>
      <c r="B820" s="2372"/>
      <c r="C820" s="2372"/>
      <c r="D820" s="2372"/>
      <c r="E820" s="2372"/>
      <c r="F820" s="2372"/>
      <c r="G820" s="2372"/>
      <c r="H820" s="2372"/>
      <c r="I820" s="2372"/>
      <c r="J820" s="2372"/>
      <c r="K820" s="2372"/>
      <c r="L820" s="2372"/>
      <c r="M820" s="2372"/>
      <c r="N820" s="2372"/>
      <c r="O820" s="2372"/>
      <c r="P820" s="2372"/>
      <c r="Q820" s="2372"/>
      <c r="R820" s="2372"/>
      <c r="S820" s="2372"/>
      <c r="T820" s="2372"/>
      <c r="U820" s="2372"/>
      <c r="V820" s="2372"/>
      <c r="W820" s="2372"/>
      <c r="X820" s="2372"/>
      <c r="Y820" s="2372"/>
      <c r="Z820" s="2372"/>
      <c r="AA820" s="2372"/>
      <c r="AB820" s="2372"/>
      <c r="AC820" s="2372"/>
      <c r="AD820" s="2372"/>
      <c r="AE820" s="2372"/>
      <c r="AF820" s="2372"/>
      <c r="AG820" s="2372"/>
      <c r="AH820" s="2372"/>
      <c r="AI820" s="2372"/>
      <c r="AJ820" s="2372"/>
      <c r="AK820" s="2372"/>
      <c r="AL820" s="2372"/>
      <c r="AM820" s="2372"/>
      <c r="AN820" s="2372"/>
      <c r="AO820" s="2372"/>
      <c r="AP820" s="2372"/>
      <c r="AQ820" s="2372"/>
      <c r="AR820" s="2372"/>
      <c r="AS820" s="2372"/>
      <c r="AT820" s="2372"/>
      <c r="AU820" s="2372"/>
      <c r="AV820" s="2372"/>
      <c r="AW820" s="2372"/>
      <c r="AX820" s="2372"/>
      <c r="AY820" s="2372"/>
      <c r="AZ820" s="2372"/>
      <c r="BA820" s="2372"/>
      <c r="BB820" s="2372"/>
      <c r="BC820" s="2372"/>
      <c r="BD820" s="2372"/>
      <c r="BE820" s="2372"/>
      <c r="BF820" s="2372"/>
      <c r="BG820" s="2372"/>
      <c r="BH820" s="2372"/>
      <c r="BI820" s="2372"/>
      <c r="BJ820" s="2372"/>
      <c r="BK820" s="2372"/>
      <c r="BL820" s="2372"/>
      <c r="BM820" s="2372"/>
      <c r="BN820" s="2372"/>
      <c r="BO820" s="2372"/>
      <c r="BP820" s="2372"/>
      <c r="BQ820" s="2372"/>
      <c r="BR820" s="2372"/>
      <c r="BS820" s="2372"/>
      <c r="BT820" s="2372"/>
      <c r="BU820" s="2372"/>
      <c r="BV820" s="2372"/>
      <c r="BW820" s="2372"/>
      <c r="BX820" s="2372"/>
      <c r="BY820" s="2372"/>
      <c r="BZ820" s="2372"/>
      <c r="CA820" s="2372"/>
      <c r="CB820" s="2372"/>
      <c r="CC820" s="2372"/>
      <c r="CD820" s="2372"/>
      <c r="CE820" s="2372"/>
      <c r="CF820" s="2372"/>
      <c r="CG820" s="2372"/>
      <c r="CH820" s="2372"/>
      <c r="CI820" s="2372"/>
      <c r="CJ820" s="2372"/>
      <c r="CK820" s="2372"/>
      <c r="CL820" s="2372"/>
      <c r="CM820" s="2372"/>
      <c r="CN820" s="2372"/>
      <c r="CO820" s="2372"/>
      <c r="CP820" s="2372"/>
      <c r="CQ820" s="2372"/>
      <c r="CR820" s="2372"/>
      <c r="CS820" s="2372"/>
      <c r="CT820" s="2372"/>
      <c r="CU820" s="2372"/>
      <c r="CV820" s="2372"/>
      <c r="CW820" s="2372"/>
      <c r="CX820" s="2372"/>
      <c r="CY820" s="2372"/>
      <c r="CZ820" s="2372"/>
      <c r="DA820" s="2372"/>
    </row>
    <row r="821" spans="1:105" ht="15" hidden="1" customHeight="1">
      <c r="A821" s="2372"/>
      <c r="B821" s="2372"/>
      <c r="C821" s="2372"/>
      <c r="D821" s="2372"/>
      <c r="E821" s="2372"/>
      <c r="F821" s="2372"/>
      <c r="G821" s="2372"/>
      <c r="H821" s="2372"/>
      <c r="I821" s="2372"/>
      <c r="J821" s="2372"/>
      <c r="K821" s="2372"/>
      <c r="L821" s="2372"/>
      <c r="M821" s="2372"/>
      <c r="N821" s="2372"/>
      <c r="O821" s="2372"/>
      <c r="P821" s="2372"/>
      <c r="Q821" s="2372"/>
      <c r="R821" s="2372"/>
      <c r="S821" s="2372"/>
      <c r="T821" s="2372"/>
      <c r="U821" s="2372"/>
      <c r="V821" s="2372"/>
      <c r="W821" s="2372"/>
      <c r="X821" s="2372"/>
      <c r="Y821" s="2372"/>
      <c r="Z821" s="2372"/>
      <c r="AA821" s="2372"/>
      <c r="AB821" s="2372"/>
      <c r="AC821" s="2372"/>
      <c r="AD821" s="2372"/>
      <c r="AE821" s="2372"/>
      <c r="AF821" s="2372"/>
      <c r="AG821" s="2372"/>
      <c r="AH821" s="2372"/>
      <c r="AI821" s="2372"/>
      <c r="AJ821" s="2372"/>
      <c r="AK821" s="2372"/>
      <c r="AL821" s="2372"/>
      <c r="AM821" s="2372"/>
      <c r="AN821" s="2372"/>
      <c r="AO821" s="2372"/>
      <c r="AP821" s="2372"/>
      <c r="AQ821" s="2372"/>
      <c r="AR821" s="2372"/>
      <c r="AS821" s="2372"/>
      <c r="AT821" s="2372"/>
      <c r="AU821" s="2372"/>
      <c r="AV821" s="2372"/>
      <c r="AW821" s="2372"/>
      <c r="AX821" s="2372"/>
      <c r="AY821" s="2372"/>
      <c r="AZ821" s="2372"/>
      <c r="BA821" s="2372"/>
      <c r="BB821" s="2372"/>
      <c r="BC821" s="2372"/>
      <c r="BD821" s="2372"/>
      <c r="BE821" s="2372"/>
      <c r="BF821" s="2372"/>
      <c r="BG821" s="2372"/>
      <c r="BH821" s="2372"/>
      <c r="BI821" s="2372"/>
      <c r="BJ821" s="2372"/>
      <c r="BK821" s="2372"/>
      <c r="BL821" s="2372"/>
      <c r="BM821" s="2372"/>
      <c r="BN821" s="2372"/>
      <c r="BO821" s="2372"/>
      <c r="BP821" s="2372"/>
      <c r="BQ821" s="2372"/>
      <c r="BR821" s="2372"/>
      <c r="BS821" s="2372"/>
      <c r="BT821" s="2372"/>
      <c r="BU821" s="2372"/>
      <c r="BV821" s="2372"/>
      <c r="BW821" s="2372"/>
      <c r="BX821" s="2372"/>
      <c r="BY821" s="2372"/>
      <c r="BZ821" s="2372"/>
      <c r="CA821" s="2372"/>
      <c r="CB821" s="2372"/>
      <c r="CC821" s="2372"/>
      <c r="CD821" s="2372"/>
      <c r="CE821" s="2372"/>
      <c r="CF821" s="2372"/>
      <c r="CG821" s="2372"/>
      <c r="CH821" s="2372"/>
      <c r="CI821" s="2372"/>
      <c r="CJ821" s="2372"/>
      <c r="CK821" s="2372"/>
      <c r="CL821" s="2372"/>
      <c r="CM821" s="2372"/>
      <c r="CN821" s="2372"/>
      <c r="CO821" s="2372"/>
      <c r="CP821" s="2372"/>
      <c r="CQ821" s="2372"/>
      <c r="CR821" s="2372"/>
      <c r="CS821" s="2372"/>
      <c r="CT821" s="2372"/>
      <c r="CU821" s="2372"/>
      <c r="CV821" s="2372"/>
      <c r="CW821" s="2372"/>
      <c r="CX821" s="2372"/>
      <c r="CY821" s="2372"/>
      <c r="CZ821" s="2372"/>
      <c r="DA821" s="2372"/>
    </row>
    <row r="822" spans="1:105" ht="15" hidden="1" customHeight="1">
      <c r="A822" s="2372"/>
      <c r="B822" s="2372"/>
      <c r="C822" s="2372"/>
      <c r="D822" s="2372"/>
      <c r="E822" s="2372"/>
      <c r="F822" s="2372"/>
      <c r="G822" s="2372"/>
      <c r="H822" s="2372"/>
      <c r="I822" s="2372"/>
      <c r="J822" s="2372"/>
      <c r="K822" s="2372"/>
      <c r="L822" s="2372"/>
      <c r="M822" s="2372"/>
      <c r="N822" s="2372"/>
      <c r="O822" s="2372"/>
      <c r="P822" s="2372"/>
      <c r="Q822" s="2372"/>
      <c r="R822" s="2372"/>
      <c r="S822" s="2372"/>
      <c r="T822" s="2372"/>
      <c r="U822" s="2372"/>
      <c r="V822" s="2372"/>
      <c r="W822" s="2372"/>
      <c r="X822" s="2372"/>
      <c r="Y822" s="2372"/>
      <c r="Z822" s="2372"/>
      <c r="AA822" s="2372"/>
      <c r="AB822" s="2372"/>
      <c r="AC822" s="2372"/>
      <c r="AD822" s="2372"/>
      <c r="AE822" s="2372"/>
      <c r="AF822" s="2372"/>
      <c r="AG822" s="2372"/>
      <c r="AH822" s="2372"/>
      <c r="AI822" s="2372"/>
      <c r="AJ822" s="2372"/>
      <c r="AK822" s="2372"/>
      <c r="AL822" s="2372"/>
      <c r="AM822" s="2372"/>
      <c r="AN822" s="2372"/>
      <c r="AO822" s="2372"/>
      <c r="AP822" s="2372"/>
      <c r="AQ822" s="2372"/>
      <c r="AR822" s="2372"/>
      <c r="AS822" s="2372"/>
      <c r="AT822" s="2372"/>
      <c r="AU822" s="2372"/>
      <c r="AV822" s="2372"/>
      <c r="AW822" s="2372"/>
      <c r="AX822" s="2372"/>
      <c r="AY822" s="2372"/>
      <c r="AZ822" s="2372"/>
      <c r="BA822" s="2372"/>
      <c r="BB822" s="2372"/>
      <c r="BC822" s="2372"/>
      <c r="BD822" s="2372"/>
      <c r="BE822" s="2372"/>
      <c r="BF822" s="2372"/>
      <c r="BG822" s="2372"/>
      <c r="BH822" s="2372"/>
      <c r="BI822" s="2372"/>
      <c r="BJ822" s="2372"/>
      <c r="BK822" s="2372"/>
      <c r="BL822" s="2372"/>
      <c r="BM822" s="2372"/>
      <c r="BN822" s="2372"/>
      <c r="BO822" s="2372"/>
      <c r="BP822" s="2372"/>
      <c r="BQ822" s="2372"/>
      <c r="BR822" s="2372"/>
      <c r="BS822" s="2372"/>
      <c r="BT822" s="2372"/>
      <c r="BU822" s="2372"/>
      <c r="BV822" s="2372"/>
      <c r="BW822" s="2372"/>
      <c r="BX822" s="2372"/>
      <c r="BY822" s="2372"/>
      <c r="BZ822" s="2372"/>
      <c r="CA822" s="2372"/>
      <c r="CB822" s="2372"/>
      <c r="CC822" s="2372"/>
      <c r="CD822" s="2372"/>
      <c r="CE822" s="2372"/>
      <c r="CF822" s="2372"/>
      <c r="CG822" s="2372"/>
      <c r="CH822" s="2372"/>
      <c r="CI822" s="2372"/>
      <c r="CJ822" s="2372"/>
      <c r="CK822" s="2372"/>
      <c r="CL822" s="2372"/>
      <c r="CM822" s="2372"/>
      <c r="CN822" s="2372"/>
      <c r="CO822" s="2372"/>
      <c r="CP822" s="2372"/>
      <c r="CQ822" s="2372"/>
      <c r="CR822" s="2372"/>
      <c r="CS822" s="2372"/>
      <c r="CT822" s="2372"/>
      <c r="CU822" s="2372"/>
      <c r="CV822" s="2372"/>
      <c r="CW822" s="2372"/>
      <c r="CX822" s="2372"/>
      <c r="CY822" s="2372"/>
      <c r="CZ822" s="2372"/>
      <c r="DA822" s="2372"/>
    </row>
    <row r="823" spans="1:105" ht="15" hidden="1" customHeight="1">
      <c r="A823" s="2372"/>
      <c r="B823" s="2372"/>
      <c r="C823" s="2372"/>
      <c r="D823" s="2372"/>
      <c r="E823" s="2372"/>
      <c r="F823" s="2372"/>
      <c r="G823" s="2372"/>
      <c r="H823" s="2372"/>
      <c r="I823" s="2372"/>
      <c r="J823" s="2372"/>
      <c r="K823" s="2372"/>
      <c r="L823" s="2372"/>
      <c r="M823" s="2372"/>
      <c r="N823" s="2372"/>
      <c r="O823" s="2372"/>
      <c r="P823" s="2372"/>
      <c r="Q823" s="2372"/>
      <c r="R823" s="2372"/>
      <c r="S823" s="2372"/>
      <c r="T823" s="2372"/>
      <c r="U823" s="2372"/>
      <c r="V823" s="2372"/>
      <c r="W823" s="2372"/>
      <c r="X823" s="2372"/>
      <c r="Y823" s="2372"/>
      <c r="Z823" s="2372"/>
      <c r="AA823" s="2372"/>
      <c r="AB823" s="2372"/>
      <c r="AC823" s="2372"/>
      <c r="AD823" s="2372"/>
      <c r="AE823" s="2372"/>
      <c r="AF823" s="2372"/>
      <c r="AG823" s="2372"/>
      <c r="AH823" s="2372"/>
      <c r="AI823" s="2372"/>
      <c r="AJ823" s="2372"/>
      <c r="AK823" s="2372"/>
      <c r="AL823" s="2372"/>
      <c r="AM823" s="2372"/>
      <c r="AN823" s="2372"/>
      <c r="AO823" s="2372"/>
      <c r="AP823" s="2372"/>
      <c r="AQ823" s="2372"/>
      <c r="AR823" s="2372"/>
      <c r="AS823" s="2372"/>
      <c r="AT823" s="2372"/>
      <c r="AU823" s="2372"/>
      <c r="AV823" s="2372"/>
      <c r="AW823" s="2372"/>
      <c r="AX823" s="2372"/>
      <c r="AY823" s="2372"/>
      <c r="AZ823" s="2372"/>
      <c r="BA823" s="2372"/>
      <c r="BB823" s="2372"/>
      <c r="BC823" s="2372"/>
      <c r="BD823" s="2372"/>
      <c r="BE823" s="2372"/>
      <c r="BF823" s="2372"/>
      <c r="BG823" s="2372"/>
      <c r="BH823" s="2372"/>
      <c r="BI823" s="2372"/>
      <c r="BJ823" s="2372"/>
      <c r="BK823" s="2372"/>
      <c r="BL823" s="2372"/>
      <c r="BM823" s="2372"/>
      <c r="BN823" s="2372"/>
      <c r="BO823" s="2372"/>
      <c r="BP823" s="2372"/>
      <c r="BQ823" s="2372"/>
      <c r="BR823" s="2372"/>
      <c r="BS823" s="2372"/>
      <c r="BT823" s="2372"/>
      <c r="BU823" s="2372"/>
      <c r="BV823" s="2372"/>
      <c r="BW823" s="2372"/>
      <c r="BX823" s="2372"/>
      <c r="BY823" s="2372"/>
      <c r="BZ823" s="2372"/>
      <c r="CA823" s="2372"/>
      <c r="CB823" s="2372"/>
      <c r="CC823" s="2372"/>
      <c r="CD823" s="2372"/>
      <c r="CE823" s="2372"/>
      <c r="CF823" s="2372"/>
      <c r="CG823" s="2372"/>
      <c r="CH823" s="2372"/>
      <c r="CI823" s="2372"/>
      <c r="CJ823" s="2372"/>
      <c r="CK823" s="2372"/>
      <c r="CL823" s="2372"/>
      <c r="CM823" s="2372"/>
      <c r="CN823" s="2372"/>
      <c r="CO823" s="2372"/>
      <c r="CP823" s="2372"/>
      <c r="CQ823" s="2372"/>
      <c r="CR823" s="2372"/>
      <c r="CS823" s="2372"/>
      <c r="CT823" s="2372"/>
      <c r="CU823" s="2372"/>
      <c r="CV823" s="2372"/>
      <c r="CW823" s="2372"/>
      <c r="CX823" s="2372"/>
      <c r="CY823" s="2372"/>
      <c r="CZ823" s="2372"/>
      <c r="DA823" s="2372"/>
    </row>
    <row r="824" spans="1:105" ht="15" hidden="1" customHeight="1">
      <c r="A824" s="2372"/>
      <c r="B824" s="2372"/>
      <c r="C824" s="2372"/>
      <c r="D824" s="2372"/>
      <c r="E824" s="2372"/>
      <c r="F824" s="2372"/>
      <c r="G824" s="2372"/>
      <c r="H824" s="2372"/>
      <c r="I824" s="2372"/>
      <c r="J824" s="2372"/>
      <c r="K824" s="2372"/>
      <c r="L824" s="2372"/>
      <c r="M824" s="2372"/>
      <c r="N824" s="2372"/>
      <c r="O824" s="2372"/>
      <c r="P824" s="2372"/>
      <c r="Q824" s="2372"/>
      <c r="R824" s="2372"/>
      <c r="S824" s="2372"/>
      <c r="T824" s="2372"/>
      <c r="U824" s="2372"/>
      <c r="V824" s="2372"/>
      <c r="W824" s="2372"/>
      <c r="X824" s="2372"/>
      <c r="Y824" s="2372"/>
      <c r="Z824" s="2372"/>
      <c r="AA824" s="2372"/>
      <c r="AB824" s="2372"/>
      <c r="AC824" s="2372"/>
      <c r="AD824" s="2372"/>
      <c r="AE824" s="2372"/>
      <c r="AF824" s="2372"/>
      <c r="AG824" s="2372"/>
      <c r="AH824" s="2372"/>
      <c r="AI824" s="2372"/>
      <c r="AJ824" s="2372"/>
      <c r="AK824" s="2372"/>
      <c r="AL824" s="2372"/>
      <c r="AM824" s="2372"/>
      <c r="AN824" s="2372"/>
      <c r="AO824" s="2372"/>
      <c r="AP824" s="2372"/>
      <c r="AQ824" s="2372"/>
      <c r="AR824" s="2372"/>
      <c r="AS824" s="2372"/>
      <c r="AT824" s="2372"/>
      <c r="AU824" s="2372"/>
      <c r="AV824" s="2372"/>
      <c r="AW824" s="2372"/>
      <c r="AX824" s="2372"/>
      <c r="AY824" s="2372"/>
      <c r="AZ824" s="2372"/>
      <c r="BA824" s="2372"/>
      <c r="BB824" s="2372"/>
      <c r="BC824" s="2372"/>
      <c r="BD824" s="2372"/>
      <c r="BE824" s="2372"/>
      <c r="BF824" s="2372"/>
      <c r="BG824" s="2372"/>
      <c r="BH824" s="2372"/>
      <c r="BI824" s="2372"/>
      <c r="BJ824" s="2372"/>
      <c r="BK824" s="2372"/>
      <c r="BL824" s="2372"/>
      <c r="BM824" s="2372"/>
      <c r="BN824" s="2372"/>
      <c r="BO824" s="2372"/>
      <c r="BP824" s="2372"/>
      <c r="BQ824" s="2372"/>
      <c r="BR824" s="2372"/>
      <c r="BS824" s="2372"/>
      <c r="BT824" s="2372"/>
      <c r="BU824" s="2372"/>
      <c r="BV824" s="2372"/>
      <c r="BW824" s="2372"/>
      <c r="BX824" s="2372"/>
      <c r="BY824" s="2372"/>
      <c r="BZ824" s="2372"/>
      <c r="CA824" s="2372"/>
      <c r="CB824" s="2372"/>
      <c r="CC824" s="2372"/>
      <c r="CD824" s="2372"/>
      <c r="CE824" s="2372"/>
      <c r="CF824" s="2372"/>
      <c r="CG824" s="2372"/>
      <c r="CH824" s="2372"/>
      <c r="CI824" s="2372"/>
      <c r="CJ824" s="2372"/>
      <c r="CK824" s="2372"/>
      <c r="CL824" s="2372"/>
      <c r="CM824" s="2372"/>
      <c r="CN824" s="2372"/>
      <c r="CO824" s="2372"/>
      <c r="CP824" s="2372"/>
      <c r="CQ824" s="2372"/>
      <c r="CR824" s="2372"/>
      <c r="CS824" s="2372"/>
      <c r="CT824" s="2372"/>
      <c r="CU824" s="2372"/>
      <c r="CV824" s="2372"/>
      <c r="CW824" s="2372"/>
      <c r="CX824" s="2372"/>
      <c r="CY824" s="2372"/>
      <c r="CZ824" s="2372"/>
      <c r="DA824" s="2372"/>
    </row>
    <row r="825" spans="1:105" ht="15" hidden="1" customHeight="1">
      <c r="A825" s="2372"/>
      <c r="B825" s="2372"/>
      <c r="C825" s="2372"/>
      <c r="D825" s="2372"/>
      <c r="E825" s="2372"/>
      <c r="F825" s="2372"/>
      <c r="G825" s="2372"/>
      <c r="H825" s="2372"/>
      <c r="I825" s="2372"/>
      <c r="J825" s="2372"/>
      <c r="K825" s="2372"/>
      <c r="L825" s="2372"/>
      <c r="M825" s="2372"/>
      <c r="N825" s="2372"/>
      <c r="O825" s="2372"/>
      <c r="P825" s="2372"/>
      <c r="Q825" s="2372"/>
      <c r="R825" s="2372"/>
      <c r="S825" s="2372"/>
      <c r="T825" s="2372"/>
      <c r="U825" s="2372"/>
      <c r="V825" s="2372"/>
      <c r="W825" s="2372"/>
      <c r="X825" s="2372"/>
      <c r="Y825" s="2372"/>
      <c r="Z825" s="2372"/>
      <c r="AA825" s="2372"/>
      <c r="AB825" s="2372"/>
      <c r="AC825" s="2372"/>
      <c r="AD825" s="2372"/>
      <c r="AE825" s="2372"/>
      <c r="AF825" s="2372"/>
      <c r="AG825" s="2372"/>
      <c r="AH825" s="2372"/>
      <c r="AI825" s="2372"/>
      <c r="AJ825" s="2372"/>
      <c r="AK825" s="2372"/>
      <c r="AL825" s="2372"/>
      <c r="AM825" s="2372"/>
      <c r="AN825" s="2372"/>
      <c r="AO825" s="2372"/>
      <c r="AP825" s="2372"/>
      <c r="AQ825" s="2372"/>
      <c r="AR825" s="2372"/>
      <c r="AS825" s="2372"/>
      <c r="AT825" s="2372"/>
      <c r="AU825" s="2372"/>
      <c r="AV825" s="2372"/>
      <c r="AW825" s="2372"/>
      <c r="AX825" s="2372"/>
      <c r="AY825" s="2372"/>
      <c r="AZ825" s="2372"/>
      <c r="BA825" s="2372"/>
      <c r="BB825" s="2372"/>
      <c r="BC825" s="2372"/>
      <c r="BD825" s="2372"/>
      <c r="BE825" s="2372"/>
      <c r="BF825" s="2372"/>
      <c r="BG825" s="2372"/>
      <c r="BH825" s="2372"/>
      <c r="BI825" s="2372"/>
      <c r="BJ825" s="2372"/>
      <c r="BK825" s="2372"/>
      <c r="BL825" s="2372"/>
      <c r="BM825" s="2372"/>
      <c r="BN825" s="2372"/>
      <c r="BO825" s="2372"/>
      <c r="BP825" s="2372"/>
      <c r="BQ825" s="2372"/>
      <c r="BR825" s="2372"/>
      <c r="BS825" s="2372"/>
      <c r="BT825" s="2372"/>
      <c r="BU825" s="2372"/>
      <c r="BV825" s="2372"/>
      <c r="BW825" s="2372"/>
      <c r="BX825" s="2372"/>
      <c r="BY825" s="2372"/>
      <c r="BZ825" s="2372"/>
      <c r="CA825" s="2372"/>
      <c r="CB825" s="2372"/>
      <c r="CC825" s="2372"/>
      <c r="CD825" s="2372"/>
      <c r="CE825" s="2372"/>
      <c r="CF825" s="2372"/>
      <c r="CG825" s="2372"/>
      <c r="CH825" s="2372"/>
      <c r="CI825" s="2372"/>
      <c r="CJ825" s="2372"/>
      <c r="CK825" s="2372"/>
      <c r="CL825" s="2372"/>
      <c r="CM825" s="2372"/>
      <c r="CN825" s="2372"/>
      <c r="CO825" s="2372"/>
      <c r="CP825" s="2372"/>
      <c r="CQ825" s="2372"/>
      <c r="CR825" s="2372"/>
      <c r="CS825" s="2372"/>
      <c r="CT825" s="2372"/>
      <c r="CU825" s="2372"/>
      <c r="CV825" s="2372"/>
      <c r="CW825" s="2372"/>
      <c r="CX825" s="2372"/>
      <c r="CY825" s="2372"/>
      <c r="CZ825" s="2372"/>
      <c r="DA825" s="2372"/>
    </row>
    <row r="826" spans="1:105" ht="15" hidden="1" customHeight="1">
      <c r="A826" s="2372"/>
      <c r="B826" s="2372"/>
      <c r="C826" s="2372"/>
      <c r="D826" s="2372"/>
      <c r="E826" s="2372"/>
      <c r="F826" s="2372"/>
      <c r="G826" s="2372"/>
      <c r="H826" s="2372"/>
      <c r="I826" s="2372"/>
      <c r="J826" s="2372"/>
      <c r="K826" s="2372"/>
      <c r="L826" s="2372"/>
      <c r="M826" s="2372"/>
      <c r="N826" s="2372"/>
      <c r="O826" s="2372"/>
      <c r="P826" s="2372"/>
      <c r="Q826" s="2372"/>
      <c r="R826" s="2372"/>
      <c r="S826" s="2372"/>
      <c r="T826" s="2372"/>
      <c r="U826" s="2372"/>
      <c r="V826" s="2372"/>
      <c r="W826" s="2372"/>
      <c r="X826" s="2372"/>
      <c r="Y826" s="2372"/>
      <c r="Z826" s="2372"/>
      <c r="AA826" s="2372"/>
      <c r="AB826" s="2372"/>
      <c r="AC826" s="2372"/>
      <c r="AD826" s="2372"/>
      <c r="AE826" s="2372"/>
      <c r="AF826" s="2372"/>
      <c r="AG826" s="2372"/>
      <c r="AH826" s="2372"/>
      <c r="AI826" s="2372"/>
      <c r="AJ826" s="2372"/>
      <c r="AK826" s="2372"/>
      <c r="AL826" s="2372"/>
      <c r="AM826" s="2372"/>
      <c r="AN826" s="2372"/>
      <c r="AO826" s="2372"/>
      <c r="AP826" s="2372"/>
      <c r="AQ826" s="2372"/>
      <c r="AR826" s="2372"/>
      <c r="AS826" s="2372"/>
      <c r="AT826" s="2372"/>
      <c r="AU826" s="2372"/>
      <c r="AV826" s="2372"/>
      <c r="AW826" s="2372"/>
      <c r="AX826" s="2372"/>
      <c r="AY826" s="2372"/>
      <c r="AZ826" s="2372"/>
      <c r="BA826" s="2372"/>
      <c r="BB826" s="2372"/>
      <c r="BC826" s="2372"/>
      <c r="BD826" s="2372"/>
      <c r="BE826" s="2372"/>
      <c r="BF826" s="2372"/>
      <c r="BG826" s="2372"/>
      <c r="BH826" s="2372"/>
      <c r="BI826" s="2372"/>
      <c r="BJ826" s="2372"/>
      <c r="BK826" s="2372"/>
      <c r="BL826" s="2372"/>
      <c r="BM826" s="2372"/>
      <c r="BN826" s="2372"/>
      <c r="BO826" s="2372"/>
      <c r="BP826" s="2372"/>
      <c r="BQ826" s="2372"/>
      <c r="BR826" s="2372"/>
      <c r="BS826" s="2372"/>
      <c r="BT826" s="2372"/>
      <c r="BU826" s="2372"/>
      <c r="BV826" s="2372"/>
      <c r="BW826" s="2372"/>
      <c r="BX826" s="2372"/>
      <c r="BY826" s="2372"/>
      <c r="BZ826" s="2372"/>
      <c r="CA826" s="2372"/>
      <c r="CB826" s="2372"/>
      <c r="CC826" s="2372"/>
      <c r="CD826" s="2372"/>
      <c r="CE826" s="2372"/>
      <c r="CF826" s="2372"/>
      <c r="CG826" s="2372"/>
      <c r="CH826" s="2372"/>
      <c r="CI826" s="2372"/>
      <c r="CJ826" s="2372"/>
      <c r="CK826" s="2372"/>
      <c r="CL826" s="2372"/>
      <c r="CM826" s="2372"/>
      <c r="CN826" s="2372"/>
      <c r="CO826" s="2372"/>
      <c r="CP826" s="2372"/>
      <c r="CQ826" s="2372"/>
      <c r="CR826" s="2372"/>
      <c r="CS826" s="2372"/>
      <c r="CT826" s="2372"/>
      <c r="CU826" s="2372"/>
      <c r="CV826" s="2372"/>
      <c r="CW826" s="2372"/>
      <c r="CX826" s="2372"/>
      <c r="CY826" s="2372"/>
      <c r="CZ826" s="2372"/>
      <c r="DA826" s="2372"/>
    </row>
    <row r="827" spans="1:105" ht="15" hidden="1" customHeight="1">
      <c r="A827" s="2372"/>
      <c r="B827" s="2372"/>
      <c r="C827" s="2372"/>
      <c r="D827" s="2372"/>
      <c r="E827" s="2372"/>
      <c r="F827" s="2372"/>
      <c r="G827" s="2372"/>
      <c r="H827" s="2372"/>
      <c r="I827" s="2372"/>
      <c r="J827" s="2372"/>
      <c r="K827" s="2372"/>
      <c r="L827" s="2372"/>
      <c r="M827" s="2372"/>
      <c r="N827" s="2372"/>
      <c r="O827" s="2372"/>
      <c r="P827" s="2372"/>
      <c r="Q827" s="2372"/>
      <c r="R827" s="2372"/>
      <c r="S827" s="2372"/>
      <c r="T827" s="2372"/>
      <c r="U827" s="2372"/>
      <c r="V827" s="2372"/>
      <c r="W827" s="2372"/>
      <c r="X827" s="2372"/>
      <c r="Y827" s="2372"/>
      <c r="Z827" s="2372"/>
      <c r="AA827" s="2372"/>
      <c r="AB827" s="2372"/>
      <c r="AC827" s="2372"/>
      <c r="AD827" s="2372"/>
      <c r="AE827" s="2372"/>
      <c r="AF827" s="2372"/>
      <c r="AG827" s="2372"/>
      <c r="AH827" s="2372"/>
      <c r="AI827" s="2372"/>
      <c r="AJ827" s="2372"/>
      <c r="AK827" s="2372"/>
      <c r="AL827" s="2372"/>
      <c r="AM827" s="2372"/>
      <c r="AN827" s="2372"/>
      <c r="AO827" s="2372"/>
      <c r="AP827" s="2372"/>
      <c r="AQ827" s="2372"/>
      <c r="AR827" s="2372"/>
      <c r="AS827" s="2372"/>
      <c r="AT827" s="2372"/>
      <c r="AU827" s="2372"/>
      <c r="AV827" s="2372"/>
      <c r="AW827" s="2372"/>
      <c r="AX827" s="2372"/>
      <c r="AY827" s="2372"/>
      <c r="AZ827" s="2372"/>
      <c r="BA827" s="2372"/>
      <c r="BB827" s="2372"/>
      <c r="BC827" s="2372"/>
      <c r="BD827" s="2372"/>
      <c r="BE827" s="2372"/>
      <c r="BF827" s="2372"/>
      <c r="BG827" s="2372"/>
      <c r="BH827" s="2372"/>
      <c r="BI827" s="2372"/>
      <c r="BJ827" s="2372"/>
      <c r="BK827" s="2372"/>
      <c r="BL827" s="2372"/>
      <c r="BM827" s="2372"/>
      <c r="BN827" s="2372"/>
      <c r="BO827" s="2372"/>
      <c r="BP827" s="2372"/>
      <c r="BQ827" s="2372"/>
      <c r="BR827" s="2372"/>
      <c r="BS827" s="2372"/>
      <c r="BT827" s="2372"/>
      <c r="BU827" s="2372"/>
      <c r="BV827" s="2372"/>
      <c r="BW827" s="2372"/>
      <c r="BX827" s="2372"/>
      <c r="BY827" s="2372"/>
      <c r="BZ827" s="2372"/>
      <c r="CA827" s="2372"/>
      <c r="CB827" s="2372"/>
      <c r="CC827" s="2372"/>
      <c r="CD827" s="2372"/>
      <c r="CE827" s="2372"/>
      <c r="CF827" s="2372"/>
      <c r="CG827" s="2372"/>
      <c r="CH827" s="2372"/>
      <c r="CI827" s="2372"/>
      <c r="CJ827" s="2372"/>
      <c r="CK827" s="2372"/>
      <c r="CL827" s="2372"/>
      <c r="CM827" s="2372"/>
      <c r="CN827" s="2372"/>
      <c r="CO827" s="2372"/>
      <c r="CP827" s="2372"/>
      <c r="CQ827" s="2372"/>
      <c r="CR827" s="2372"/>
      <c r="CS827" s="2372"/>
      <c r="CT827" s="2372"/>
      <c r="CU827" s="2372"/>
      <c r="CV827" s="2372"/>
      <c r="CW827" s="2372"/>
      <c r="CX827" s="2372"/>
      <c r="CY827" s="2372"/>
      <c r="CZ827" s="2372"/>
      <c r="DA827" s="2372"/>
    </row>
    <row r="828" spans="1:105" ht="15" hidden="1" customHeight="1">
      <c r="A828" s="2372"/>
      <c r="B828" s="2372"/>
      <c r="C828" s="2372"/>
      <c r="D828" s="2372"/>
      <c r="E828" s="2372"/>
      <c r="F828" s="2372"/>
      <c r="G828" s="2372"/>
      <c r="H828" s="2372"/>
      <c r="I828" s="2372"/>
      <c r="J828" s="2372"/>
      <c r="K828" s="2372"/>
      <c r="L828" s="2372"/>
      <c r="M828" s="2372"/>
      <c r="N828" s="2372"/>
      <c r="O828" s="2372"/>
      <c r="P828" s="2372"/>
      <c r="Q828" s="2372"/>
      <c r="R828" s="2372"/>
      <c r="S828" s="2372"/>
      <c r="T828" s="2372"/>
      <c r="U828" s="2372"/>
      <c r="V828" s="2372"/>
      <c r="W828" s="2372"/>
      <c r="X828" s="2372"/>
      <c r="Y828" s="2372"/>
      <c r="Z828" s="2372"/>
      <c r="AA828" s="2372"/>
      <c r="AB828" s="2372"/>
      <c r="AC828" s="2372"/>
      <c r="AD828" s="2372"/>
      <c r="AE828" s="2372"/>
      <c r="AF828" s="2372"/>
      <c r="AG828" s="2372"/>
      <c r="AH828" s="2372"/>
      <c r="AI828" s="2372"/>
      <c r="AJ828" s="2372"/>
      <c r="AK828" s="2372"/>
      <c r="AL828" s="2372"/>
      <c r="AM828" s="2372"/>
      <c r="AN828" s="2372"/>
      <c r="AO828" s="2372"/>
      <c r="AP828" s="2372"/>
      <c r="AQ828" s="2372"/>
      <c r="AR828" s="2372"/>
      <c r="AS828" s="2372"/>
      <c r="AT828" s="2372"/>
      <c r="AU828" s="2372"/>
      <c r="AV828" s="2372"/>
      <c r="AW828" s="2372"/>
      <c r="AX828" s="2372"/>
      <c r="AY828" s="2372"/>
      <c r="AZ828" s="2372"/>
      <c r="BA828" s="2372"/>
      <c r="BB828" s="2372"/>
      <c r="BC828" s="2372"/>
      <c r="BD828" s="2372"/>
      <c r="BE828" s="2372"/>
      <c r="BF828" s="2372"/>
      <c r="BG828" s="2372"/>
      <c r="BH828" s="2372"/>
      <c r="BI828" s="2372"/>
      <c r="BJ828" s="2372"/>
      <c r="BK828" s="2372"/>
      <c r="BL828" s="2372"/>
      <c r="BM828" s="2372"/>
      <c r="BN828" s="2372"/>
      <c r="BO828" s="2372"/>
      <c r="BP828" s="2372"/>
      <c r="BQ828" s="2372"/>
      <c r="BR828" s="2372"/>
      <c r="BS828" s="2372"/>
      <c r="BT828" s="2372"/>
      <c r="BU828" s="2372"/>
      <c r="BV828" s="2372"/>
      <c r="BW828" s="2372"/>
      <c r="BX828" s="2372"/>
      <c r="BY828" s="2372"/>
      <c r="BZ828" s="2372"/>
      <c r="CA828" s="2372"/>
      <c r="CB828" s="2372"/>
      <c r="CC828" s="2372"/>
      <c r="CD828" s="2372"/>
      <c r="CE828" s="2372"/>
      <c r="CF828" s="2372"/>
      <c r="CG828" s="2372"/>
      <c r="CH828" s="2372"/>
      <c r="CI828" s="2372"/>
      <c r="CJ828" s="2372"/>
      <c r="CK828" s="2372"/>
      <c r="CL828" s="2372"/>
      <c r="CM828" s="2372"/>
      <c r="CN828" s="2372"/>
      <c r="CO828" s="2372"/>
      <c r="CP828" s="2372"/>
      <c r="CQ828" s="2372"/>
      <c r="CR828" s="2372"/>
      <c r="CS828" s="2372"/>
      <c r="CT828" s="2372"/>
      <c r="CU828" s="2372"/>
      <c r="CV828" s="2372"/>
      <c r="CW828" s="2372"/>
      <c r="CX828" s="2372"/>
      <c r="CY828" s="2372"/>
      <c r="CZ828" s="2372"/>
      <c r="DA828" s="2372"/>
    </row>
    <row r="829" spans="1:105" ht="15" hidden="1" customHeight="1">
      <c r="A829" s="2372"/>
      <c r="B829" s="2372"/>
      <c r="C829" s="2372"/>
      <c r="D829" s="2372"/>
      <c r="E829" s="2372"/>
      <c r="F829" s="2372"/>
      <c r="G829" s="2372"/>
      <c r="H829" s="2372"/>
      <c r="I829" s="2372"/>
      <c r="J829" s="2372"/>
      <c r="K829" s="2372"/>
      <c r="L829" s="2372"/>
      <c r="M829" s="2372"/>
      <c r="N829" s="2372"/>
      <c r="O829" s="2372"/>
      <c r="P829" s="2372"/>
      <c r="Q829" s="2372"/>
      <c r="R829" s="2372"/>
      <c r="S829" s="2372"/>
      <c r="T829" s="2372"/>
      <c r="U829" s="2372"/>
      <c r="V829" s="2372"/>
      <c r="W829" s="2372"/>
      <c r="X829" s="2372"/>
      <c r="Y829" s="2372"/>
      <c r="Z829" s="2372"/>
      <c r="AA829" s="2372"/>
      <c r="AB829" s="2372"/>
      <c r="AC829" s="2372"/>
      <c r="AD829" s="2372"/>
      <c r="AE829" s="2372"/>
      <c r="AF829" s="2372"/>
      <c r="AG829" s="2372"/>
      <c r="AH829" s="2372"/>
      <c r="AI829" s="2372"/>
      <c r="AJ829" s="2372"/>
      <c r="AK829" s="2372"/>
      <c r="AL829" s="2372"/>
      <c r="AM829" s="2372"/>
      <c r="AN829" s="2372"/>
      <c r="AO829" s="2372"/>
      <c r="AP829" s="2372"/>
      <c r="AQ829" s="2372"/>
      <c r="AR829" s="2372"/>
      <c r="AS829" s="2372"/>
      <c r="AT829" s="2372"/>
      <c r="AU829" s="2372"/>
      <c r="AV829" s="2372"/>
      <c r="AW829" s="2372"/>
      <c r="AX829" s="2372"/>
      <c r="AY829" s="2372"/>
      <c r="AZ829" s="2372"/>
      <c r="BA829" s="2372"/>
      <c r="BB829" s="2372"/>
      <c r="BC829" s="2372"/>
      <c r="BD829" s="2372"/>
      <c r="BE829" s="2372"/>
      <c r="BF829" s="2372"/>
      <c r="BG829" s="2372"/>
      <c r="BH829" s="2372"/>
      <c r="BI829" s="2372"/>
      <c r="BJ829" s="2372"/>
      <c r="BK829" s="2372"/>
      <c r="BL829" s="2372"/>
      <c r="BM829" s="2372"/>
      <c r="BN829" s="2372"/>
      <c r="BO829" s="2372"/>
      <c r="BP829" s="2372"/>
      <c r="BQ829" s="2372"/>
      <c r="BR829" s="2372"/>
      <c r="BS829" s="2372"/>
      <c r="BT829" s="2372"/>
      <c r="BU829" s="2372"/>
      <c r="BV829" s="2372"/>
      <c r="BW829" s="2372"/>
      <c r="BX829" s="2372"/>
      <c r="BY829" s="2372"/>
      <c r="BZ829" s="2372"/>
      <c r="CA829" s="2372"/>
      <c r="CB829" s="2372"/>
      <c r="CC829" s="2372"/>
      <c r="CD829" s="2372"/>
      <c r="CE829" s="2372"/>
      <c r="CF829" s="2372"/>
      <c r="CG829" s="2372"/>
      <c r="CH829" s="2372"/>
      <c r="CI829" s="2372"/>
      <c r="CJ829" s="2372"/>
      <c r="CK829" s="2372"/>
      <c r="CL829" s="2372"/>
      <c r="CM829" s="2372"/>
      <c r="CN829" s="2372"/>
      <c r="CO829" s="2372"/>
      <c r="CP829" s="2372"/>
      <c r="CQ829" s="2372"/>
      <c r="CR829" s="2372"/>
      <c r="CS829" s="2372"/>
      <c r="CT829" s="2372"/>
      <c r="CU829" s="2372"/>
      <c r="CV829" s="2372"/>
      <c r="CW829" s="2372"/>
      <c r="CX829" s="2372"/>
      <c r="CY829" s="2372"/>
      <c r="CZ829" s="2372"/>
      <c r="DA829" s="2372"/>
    </row>
    <row r="830" spans="1:105" ht="15" hidden="1" customHeight="1">
      <c r="A830" s="2372"/>
      <c r="B830" s="2372"/>
      <c r="C830" s="2372"/>
      <c r="D830" s="2372"/>
      <c r="E830" s="2372"/>
      <c r="F830" s="2372"/>
      <c r="G830" s="2372"/>
      <c r="H830" s="2372"/>
      <c r="I830" s="2372"/>
      <c r="J830" s="2372"/>
      <c r="K830" s="2372"/>
      <c r="L830" s="2372"/>
      <c r="M830" s="2372"/>
      <c r="N830" s="2372"/>
      <c r="O830" s="2372"/>
      <c r="P830" s="2372"/>
      <c r="Q830" s="2372"/>
      <c r="R830" s="2372"/>
      <c r="S830" s="2372"/>
      <c r="T830" s="2372"/>
      <c r="U830" s="2372"/>
      <c r="V830" s="2372"/>
      <c r="W830" s="2372"/>
      <c r="X830" s="2372"/>
      <c r="Y830" s="2372"/>
      <c r="Z830" s="2372"/>
      <c r="AA830" s="2372"/>
      <c r="AB830" s="2372"/>
      <c r="AC830" s="2372"/>
      <c r="AD830" s="2372"/>
      <c r="AE830" s="2372"/>
      <c r="AF830" s="2372"/>
      <c r="AG830" s="2372"/>
      <c r="AH830" s="2372"/>
      <c r="AI830" s="2372"/>
      <c r="AJ830" s="2372"/>
      <c r="AK830" s="2372"/>
      <c r="AL830" s="2372"/>
      <c r="AM830" s="2372"/>
      <c r="AN830" s="2372"/>
      <c r="AO830" s="2372"/>
      <c r="AP830" s="2372"/>
      <c r="AQ830" s="2372"/>
      <c r="AR830" s="2372"/>
      <c r="AS830" s="2372"/>
      <c r="AT830" s="2372"/>
      <c r="AU830" s="2372"/>
      <c r="AV830" s="2372"/>
      <c r="AW830" s="2372"/>
      <c r="AX830" s="2372"/>
      <c r="AY830" s="2372"/>
      <c r="AZ830" s="2372"/>
      <c r="BA830" s="2372"/>
      <c r="BB830" s="2372"/>
      <c r="BC830" s="2372"/>
      <c r="BD830" s="2372"/>
      <c r="BE830" s="2372"/>
      <c r="BF830" s="2372"/>
      <c r="BG830" s="2372"/>
      <c r="BH830" s="2372"/>
      <c r="BI830" s="2372"/>
      <c r="BJ830" s="2372"/>
      <c r="BK830" s="2372"/>
      <c r="BL830" s="2372"/>
      <c r="BM830" s="2372"/>
      <c r="BN830" s="2372"/>
      <c r="BO830" s="2372"/>
      <c r="BP830" s="2372"/>
      <c r="BQ830" s="2372"/>
      <c r="BR830" s="2372"/>
      <c r="BS830" s="2372"/>
      <c r="BT830" s="2372"/>
      <c r="BU830" s="2372"/>
      <c r="BV830" s="2372"/>
      <c r="BW830" s="2372"/>
      <c r="BX830" s="2372"/>
      <c r="BY830" s="2372"/>
      <c r="BZ830" s="2372"/>
      <c r="CA830" s="2372"/>
      <c r="CB830" s="2372"/>
      <c r="CC830" s="2372"/>
      <c r="CD830" s="2372"/>
      <c r="CE830" s="2372"/>
      <c r="CF830" s="2372"/>
      <c r="CG830" s="2372"/>
      <c r="CH830" s="2372"/>
      <c r="CI830" s="2372"/>
      <c r="CJ830" s="2372"/>
      <c r="CK830" s="2372"/>
      <c r="CL830" s="2372"/>
      <c r="CM830" s="2372"/>
      <c r="CN830" s="2372"/>
      <c r="CO830" s="2372"/>
      <c r="CP830" s="2372"/>
      <c r="CQ830" s="2372"/>
      <c r="CR830" s="2372"/>
      <c r="CS830" s="2372"/>
      <c r="CT830" s="2372"/>
      <c r="CU830" s="2372"/>
      <c r="CV830" s="2372"/>
      <c r="CW830" s="2372"/>
      <c r="CX830" s="2372"/>
      <c r="CY830" s="2372"/>
      <c r="CZ830" s="2372"/>
      <c r="DA830" s="2372"/>
    </row>
    <row r="831" spans="1:105" ht="15" hidden="1" customHeight="1">
      <c r="A831" s="2372"/>
      <c r="B831" s="2372"/>
      <c r="C831" s="2372"/>
      <c r="D831" s="2372"/>
      <c r="E831" s="2372"/>
      <c r="F831" s="2372"/>
      <c r="G831" s="2372"/>
      <c r="H831" s="2372"/>
      <c r="I831" s="2372"/>
      <c r="J831" s="2372"/>
      <c r="K831" s="2372"/>
      <c r="L831" s="2372"/>
      <c r="M831" s="2372"/>
      <c r="N831" s="2372"/>
      <c r="O831" s="2372"/>
      <c r="P831" s="2372"/>
      <c r="Q831" s="2372"/>
      <c r="R831" s="2372"/>
      <c r="S831" s="2372"/>
      <c r="T831" s="2372"/>
      <c r="U831" s="2372"/>
      <c r="V831" s="2372"/>
      <c r="W831" s="2372"/>
      <c r="X831" s="2372"/>
      <c r="Y831" s="2372"/>
      <c r="Z831" s="2372"/>
      <c r="AA831" s="2372"/>
      <c r="AB831" s="2372"/>
      <c r="AC831" s="2372"/>
      <c r="AD831" s="2372"/>
      <c r="AE831" s="2372"/>
      <c r="AF831" s="2372"/>
      <c r="AG831" s="2372"/>
      <c r="AH831" s="2372"/>
      <c r="AI831" s="2372"/>
      <c r="AJ831" s="2372"/>
      <c r="AK831" s="2372"/>
      <c r="AL831" s="2372"/>
      <c r="AM831" s="2372"/>
      <c r="AN831" s="2372"/>
      <c r="AO831" s="2372"/>
      <c r="AP831" s="2372"/>
      <c r="AQ831" s="2372"/>
      <c r="AR831" s="2372"/>
      <c r="AS831" s="2372"/>
      <c r="AT831" s="2372"/>
      <c r="AU831" s="2372"/>
      <c r="AV831" s="2372"/>
      <c r="AW831" s="2372"/>
      <c r="AX831" s="2372"/>
      <c r="AY831" s="2372"/>
      <c r="AZ831" s="2372"/>
      <c r="BA831" s="2372"/>
      <c r="BB831" s="2372"/>
      <c r="BC831" s="2372"/>
      <c r="BD831" s="2372"/>
      <c r="BE831" s="2372"/>
      <c r="BF831" s="2372"/>
      <c r="BG831" s="2372"/>
      <c r="BH831" s="2372"/>
      <c r="BI831" s="2372"/>
      <c r="BJ831" s="2372"/>
      <c r="BK831" s="2372"/>
      <c r="BL831" s="2372"/>
      <c r="BM831" s="2372"/>
      <c r="BN831" s="2372"/>
      <c r="BO831" s="2372"/>
      <c r="BP831" s="2372"/>
      <c r="BQ831" s="2372"/>
      <c r="BR831" s="2372"/>
      <c r="BS831" s="2372"/>
      <c r="BT831" s="2372"/>
      <c r="BU831" s="2372"/>
      <c r="BV831" s="2372"/>
      <c r="BW831" s="2372"/>
      <c r="BX831" s="2372"/>
      <c r="BY831" s="2372"/>
      <c r="BZ831" s="2372"/>
      <c r="CA831" s="2372"/>
      <c r="CB831" s="2372"/>
      <c r="CC831" s="2372"/>
      <c r="CD831" s="2372"/>
      <c r="CE831" s="2372"/>
      <c r="CF831" s="2372"/>
      <c r="CG831" s="2372"/>
      <c r="CH831" s="2372"/>
      <c r="CI831" s="2372"/>
      <c r="CJ831" s="2372"/>
      <c r="CK831" s="2372"/>
      <c r="CL831" s="2372"/>
      <c r="CM831" s="2372"/>
      <c r="CN831" s="2372"/>
      <c r="CO831" s="2372"/>
      <c r="CP831" s="2372"/>
      <c r="CQ831" s="2372"/>
      <c r="CR831" s="2372"/>
      <c r="CS831" s="2372"/>
      <c r="CT831" s="2372"/>
      <c r="CU831" s="2372"/>
      <c r="CV831" s="2372"/>
      <c r="CW831" s="2372"/>
      <c r="CX831" s="2372"/>
      <c r="CY831" s="2372"/>
      <c r="CZ831" s="2372"/>
      <c r="DA831" s="2372"/>
    </row>
    <row r="832" spans="1:105" ht="15" hidden="1" customHeight="1">
      <c r="A832" s="2372"/>
      <c r="B832" s="2372"/>
      <c r="C832" s="2372"/>
      <c r="D832" s="2372"/>
      <c r="E832" s="2372"/>
      <c r="F832" s="2372"/>
      <c r="G832" s="2372"/>
      <c r="H832" s="2372"/>
      <c r="I832" s="2372"/>
      <c r="J832" s="2372"/>
      <c r="K832" s="2372"/>
      <c r="L832" s="2372"/>
      <c r="M832" s="2372"/>
      <c r="N832" s="2372"/>
      <c r="O832" s="2372"/>
      <c r="P832" s="2372"/>
      <c r="Q832" s="2372"/>
      <c r="R832" s="2372"/>
      <c r="S832" s="2372"/>
      <c r="T832" s="2372"/>
      <c r="U832" s="2372"/>
      <c r="V832" s="2372"/>
      <c r="W832" s="2372"/>
      <c r="X832" s="2372"/>
      <c r="Y832" s="2372"/>
      <c r="Z832" s="2372"/>
      <c r="AA832" s="2372"/>
      <c r="AB832" s="2372"/>
      <c r="AC832" s="2372"/>
      <c r="AD832" s="2372"/>
      <c r="AE832" s="2372"/>
      <c r="AF832" s="2372"/>
      <c r="AG832" s="2372"/>
      <c r="AH832" s="2372"/>
      <c r="AI832" s="2372"/>
      <c r="AJ832" s="2372"/>
      <c r="AK832" s="2372"/>
      <c r="AL832" s="2372"/>
      <c r="AM832" s="2372"/>
      <c r="AN832" s="2372"/>
      <c r="AO832" s="2372"/>
      <c r="AP832" s="2372"/>
      <c r="AQ832" s="2372"/>
      <c r="AR832" s="2372"/>
      <c r="AS832" s="2372"/>
      <c r="AT832" s="2372"/>
      <c r="AU832" s="2372"/>
      <c r="AV832" s="2372"/>
      <c r="AW832" s="2372"/>
      <c r="AX832" s="2372"/>
      <c r="AY832" s="2372"/>
      <c r="AZ832" s="2372"/>
      <c r="BA832" s="2372"/>
      <c r="BB832" s="2372"/>
      <c r="BC832" s="2372"/>
      <c r="BD832" s="2372"/>
      <c r="BE832" s="2372"/>
      <c r="BF832" s="2372"/>
      <c r="BG832" s="2372"/>
      <c r="BH832" s="2372"/>
      <c r="BI832" s="2372"/>
      <c r="BJ832" s="2372"/>
      <c r="BK832" s="2372"/>
      <c r="BL832" s="2372"/>
      <c r="BM832" s="2372"/>
      <c r="BN832" s="2372"/>
      <c r="BO832" s="2372"/>
      <c r="BP832" s="2372"/>
      <c r="BQ832" s="2372"/>
      <c r="BR832" s="2372"/>
      <c r="BS832" s="2372"/>
      <c r="BT832" s="2372"/>
      <c r="BU832" s="2372"/>
      <c r="BV832" s="2372"/>
      <c r="BW832" s="2372"/>
      <c r="BX832" s="2372"/>
      <c r="BY832" s="2372"/>
      <c r="BZ832" s="2372"/>
      <c r="CA832" s="2372"/>
      <c r="CB832" s="2372"/>
      <c r="CC832" s="2372"/>
      <c r="CD832" s="2372"/>
      <c r="CE832" s="2372"/>
      <c r="CF832" s="2372"/>
      <c r="CG832" s="2372"/>
      <c r="CH832" s="2372"/>
      <c r="CI832" s="2372"/>
      <c r="CJ832" s="2372"/>
      <c r="CK832" s="2372"/>
      <c r="CL832" s="2372"/>
      <c r="CM832" s="2372"/>
      <c r="CN832" s="2372"/>
      <c r="CO832" s="2372"/>
      <c r="CP832" s="2372"/>
      <c r="CQ832" s="2372"/>
      <c r="CR832" s="2372"/>
      <c r="CS832" s="2372"/>
      <c r="CT832" s="2372"/>
      <c r="CU832" s="2372"/>
      <c r="CV832" s="2372"/>
      <c r="CW832" s="2372"/>
      <c r="CX832" s="2372"/>
      <c r="CY832" s="2372"/>
      <c r="CZ832" s="2372"/>
      <c r="DA832" s="2372"/>
    </row>
    <row r="833" spans="1:105" ht="15" hidden="1" customHeight="1">
      <c r="A833" s="2372"/>
      <c r="B833" s="2372"/>
      <c r="C833" s="2372"/>
      <c r="D833" s="2372"/>
      <c r="E833" s="2372"/>
      <c r="F833" s="2372"/>
      <c r="G833" s="2372"/>
      <c r="H833" s="2372"/>
      <c r="I833" s="2372"/>
      <c r="J833" s="2372"/>
      <c r="K833" s="2372"/>
      <c r="L833" s="2372"/>
      <c r="M833" s="2372"/>
      <c r="N833" s="2372"/>
      <c r="O833" s="2372"/>
      <c r="P833" s="2372"/>
      <c r="Q833" s="2372"/>
      <c r="R833" s="2372"/>
      <c r="S833" s="2372"/>
      <c r="T833" s="2372"/>
      <c r="U833" s="2372"/>
      <c r="V833" s="2372"/>
      <c r="W833" s="2372"/>
      <c r="X833" s="2372"/>
      <c r="Y833" s="2372"/>
      <c r="Z833" s="2372"/>
      <c r="AA833" s="2372"/>
      <c r="AB833" s="2372"/>
      <c r="AC833" s="2372"/>
      <c r="AD833" s="2372"/>
      <c r="AE833" s="2372"/>
      <c r="AF833" s="2372"/>
      <c r="AG833" s="2372"/>
      <c r="AH833" s="2372"/>
      <c r="AI833" s="2372"/>
      <c r="AJ833" s="2372"/>
      <c r="AK833" s="2372"/>
      <c r="AL833" s="2372"/>
      <c r="AM833" s="2372"/>
      <c r="AN833" s="2372"/>
      <c r="AO833" s="2372"/>
      <c r="AP833" s="2372"/>
      <c r="AQ833" s="2372"/>
      <c r="AR833" s="2372"/>
      <c r="AS833" s="2372"/>
      <c r="AT833" s="2372"/>
      <c r="AU833" s="2372"/>
      <c r="AV833" s="2372"/>
      <c r="AW833" s="2372"/>
      <c r="AX833" s="2372"/>
      <c r="AY833" s="2372"/>
      <c r="AZ833" s="2372"/>
      <c r="BA833" s="2372"/>
      <c r="BB833" s="2372"/>
      <c r="BC833" s="2372"/>
      <c r="BD833" s="2372"/>
      <c r="BE833" s="2372"/>
      <c r="BF833" s="2372"/>
      <c r="BG833" s="2372"/>
      <c r="BH833" s="2372"/>
      <c r="BI833" s="2372"/>
      <c r="BJ833" s="2372"/>
      <c r="BK833" s="2372"/>
      <c r="BL833" s="2372"/>
      <c r="BM833" s="2372"/>
      <c r="BN833" s="2372"/>
      <c r="BO833" s="2372"/>
      <c r="BP833" s="2372"/>
      <c r="BQ833" s="2372"/>
      <c r="BR833" s="2372"/>
      <c r="BS833" s="2372"/>
      <c r="BT833" s="2372"/>
      <c r="BU833" s="2372"/>
      <c r="BV833" s="2372"/>
      <c r="BW833" s="2372"/>
      <c r="BX833" s="2372"/>
      <c r="BY833" s="2372"/>
      <c r="BZ833" s="2372"/>
      <c r="CA833" s="2372"/>
      <c r="CB833" s="2372"/>
      <c r="CC833" s="2372"/>
      <c r="CD833" s="2372"/>
      <c r="CE833" s="2372"/>
      <c r="CF833" s="2372"/>
      <c r="CG833" s="2372"/>
      <c r="CH833" s="2372"/>
      <c r="CI833" s="2372"/>
      <c r="CJ833" s="2372"/>
      <c r="CK833" s="2372"/>
      <c r="CL833" s="2372"/>
      <c r="CM833" s="2372"/>
      <c r="CN833" s="2372"/>
      <c r="CO833" s="2372"/>
      <c r="CP833" s="2372"/>
      <c r="CQ833" s="2372"/>
      <c r="CR833" s="2372"/>
      <c r="CS833" s="2372"/>
      <c r="CT833" s="2372"/>
      <c r="CU833" s="2372"/>
      <c r="CV833" s="2372"/>
      <c r="CW833" s="2372"/>
      <c r="CX833" s="2372"/>
      <c r="CY833" s="2372"/>
      <c r="CZ833" s="2372"/>
      <c r="DA833" s="2372"/>
    </row>
    <row r="834" spans="1:105" ht="15" hidden="1" customHeight="1">
      <c r="A834" s="2372"/>
      <c r="B834" s="2372"/>
      <c r="C834" s="2372"/>
      <c r="D834" s="2372"/>
      <c r="E834" s="2372"/>
      <c r="F834" s="2372"/>
      <c r="G834" s="2372"/>
      <c r="H834" s="2372"/>
      <c r="I834" s="2372"/>
      <c r="J834" s="2372"/>
      <c r="K834" s="2372"/>
      <c r="L834" s="2372"/>
      <c r="M834" s="2372"/>
      <c r="N834" s="2372"/>
      <c r="O834" s="2372"/>
      <c r="P834" s="2372"/>
      <c r="Q834" s="2372"/>
      <c r="R834" s="2372"/>
      <c r="S834" s="2372"/>
      <c r="T834" s="2372"/>
      <c r="U834" s="2372"/>
      <c r="V834" s="2372"/>
      <c r="W834" s="2372"/>
      <c r="X834" s="2372"/>
      <c r="Y834" s="2372"/>
      <c r="Z834" s="2372"/>
      <c r="AA834" s="2372"/>
      <c r="AB834" s="2372"/>
      <c r="AC834" s="2372"/>
      <c r="AD834" s="2372"/>
      <c r="AE834" s="2372"/>
      <c r="AF834" s="2372"/>
      <c r="AG834" s="2372"/>
      <c r="AH834" s="2372"/>
      <c r="AI834" s="2372"/>
      <c r="AJ834" s="2372"/>
      <c r="AK834" s="2372"/>
      <c r="AL834" s="2372"/>
      <c r="AM834" s="2372"/>
      <c r="AN834" s="2372"/>
      <c r="AO834" s="2372"/>
      <c r="AP834" s="2372"/>
      <c r="AQ834" s="2372"/>
      <c r="AR834" s="2372"/>
      <c r="AS834" s="2372"/>
      <c r="AT834" s="2372"/>
      <c r="AU834" s="2372"/>
      <c r="AV834" s="2372"/>
      <c r="AW834" s="2372"/>
      <c r="AX834" s="2372"/>
      <c r="AY834" s="2372"/>
      <c r="AZ834" s="2372"/>
      <c r="BA834" s="2372"/>
      <c r="BB834" s="2372"/>
      <c r="BC834" s="2372"/>
      <c r="BD834" s="2372"/>
      <c r="BE834" s="2372"/>
      <c r="BF834" s="2372"/>
      <c r="BG834" s="2372"/>
      <c r="BH834" s="2372"/>
      <c r="BI834" s="2372"/>
      <c r="BJ834" s="2372"/>
      <c r="BK834" s="2372"/>
      <c r="BL834" s="2372"/>
      <c r="BM834" s="2372"/>
      <c r="BN834" s="2372"/>
      <c r="BO834" s="2372"/>
      <c r="BP834" s="2372"/>
      <c r="BQ834" s="2372"/>
      <c r="BR834" s="2372"/>
      <c r="BS834" s="2372"/>
      <c r="BT834" s="2372"/>
      <c r="BU834" s="2372"/>
      <c r="BV834" s="2372"/>
      <c r="BW834" s="2372"/>
      <c r="BX834" s="2372"/>
      <c r="BY834" s="2372"/>
      <c r="BZ834" s="2372"/>
      <c r="CA834" s="2372"/>
      <c r="CB834" s="2372"/>
      <c r="CC834" s="2372"/>
      <c r="CD834" s="2372"/>
      <c r="CE834" s="2372"/>
      <c r="CF834" s="2372"/>
      <c r="CG834" s="2372"/>
      <c r="CH834" s="2372"/>
      <c r="CI834" s="2372"/>
      <c r="CJ834" s="2372"/>
      <c r="CK834" s="2372"/>
      <c r="CL834" s="2372"/>
      <c r="CM834" s="2372"/>
      <c r="CN834" s="2372"/>
      <c r="CO834" s="2372"/>
      <c r="CP834" s="2372"/>
      <c r="CQ834" s="2372"/>
      <c r="CR834" s="2372"/>
      <c r="CS834" s="2372"/>
      <c r="CT834" s="2372"/>
      <c r="CU834" s="2372"/>
      <c r="CV834" s="2372"/>
      <c r="CW834" s="2372"/>
      <c r="CX834" s="2372"/>
      <c r="CY834" s="2372"/>
      <c r="CZ834" s="2372"/>
      <c r="DA834" s="2372"/>
    </row>
    <row r="835" spans="1:105" ht="15" hidden="1" customHeight="1">
      <c r="A835" s="2372"/>
      <c r="B835" s="2372"/>
      <c r="C835" s="2372"/>
      <c r="D835" s="2372"/>
      <c r="E835" s="2372"/>
      <c r="F835" s="2372"/>
      <c r="G835" s="2372"/>
      <c r="H835" s="2372"/>
      <c r="I835" s="2372"/>
      <c r="J835" s="2372"/>
      <c r="K835" s="2372"/>
      <c r="L835" s="2372"/>
      <c r="M835" s="2372"/>
      <c r="N835" s="2372"/>
      <c r="O835" s="2372"/>
      <c r="P835" s="2372"/>
      <c r="Q835" s="2372"/>
      <c r="R835" s="2372"/>
      <c r="S835" s="2372"/>
      <c r="T835" s="2372"/>
      <c r="U835" s="2372"/>
      <c r="V835" s="2372"/>
      <c r="W835" s="2372"/>
      <c r="X835" s="2372"/>
      <c r="Y835" s="2372"/>
      <c r="Z835" s="2372"/>
      <c r="AA835" s="2372"/>
      <c r="AB835" s="2372"/>
      <c r="AC835" s="2372"/>
      <c r="AD835" s="2372"/>
      <c r="AE835" s="2372"/>
      <c r="AF835" s="2372"/>
      <c r="AG835" s="2372"/>
      <c r="AH835" s="2372"/>
      <c r="AI835" s="2372"/>
      <c r="AJ835" s="2372"/>
      <c r="AK835" s="2372"/>
      <c r="AL835" s="2372"/>
      <c r="AM835" s="2372"/>
      <c r="AN835" s="2372"/>
      <c r="AO835" s="2372"/>
      <c r="AP835" s="2372"/>
      <c r="AQ835" s="2372"/>
      <c r="AR835" s="2372"/>
      <c r="AS835" s="2372"/>
      <c r="AT835" s="2372"/>
      <c r="AU835" s="2372"/>
      <c r="AV835" s="2372"/>
      <c r="AW835" s="2372"/>
      <c r="AX835" s="2372"/>
      <c r="AY835" s="2372"/>
      <c r="AZ835" s="2372"/>
      <c r="BA835" s="2372"/>
      <c r="BB835" s="2372"/>
      <c r="BC835" s="2372"/>
      <c r="BD835" s="2372"/>
      <c r="BE835" s="2372"/>
      <c r="BF835" s="2372"/>
      <c r="BG835" s="2372"/>
      <c r="BH835" s="2372"/>
      <c r="BI835" s="2372"/>
      <c r="BJ835" s="2372"/>
      <c r="BK835" s="2372"/>
      <c r="BL835" s="2372"/>
      <c r="BM835" s="2372"/>
      <c r="BN835" s="2372"/>
      <c r="BO835" s="2372"/>
      <c r="BP835" s="2372"/>
      <c r="BQ835" s="2372"/>
      <c r="BR835" s="2372"/>
      <c r="BS835" s="2372"/>
      <c r="BT835" s="2372"/>
      <c r="BU835" s="2372"/>
      <c r="BV835" s="2372"/>
      <c r="BW835" s="2372"/>
      <c r="BX835" s="2372"/>
      <c r="BY835" s="2372"/>
      <c r="BZ835" s="2372"/>
      <c r="CA835" s="2372"/>
      <c r="CB835" s="2372"/>
      <c r="CC835" s="2372"/>
      <c r="CD835" s="2372"/>
      <c r="CE835" s="2372"/>
      <c r="CF835" s="2372"/>
      <c r="CG835" s="2372"/>
      <c r="CH835" s="2372"/>
      <c r="CI835" s="2372"/>
      <c r="CJ835" s="2372"/>
      <c r="CK835" s="2372"/>
      <c r="CL835" s="2372"/>
      <c r="CM835" s="2372"/>
      <c r="CN835" s="2372"/>
      <c r="CO835" s="2372"/>
      <c r="CP835" s="2372"/>
      <c r="CQ835" s="2372"/>
      <c r="CR835" s="2372"/>
      <c r="CS835" s="2372"/>
      <c r="CT835" s="2372"/>
      <c r="CU835" s="2372"/>
      <c r="CV835" s="2372"/>
      <c r="CW835" s="2372"/>
      <c r="CX835" s="2372"/>
      <c r="CY835" s="2372"/>
      <c r="CZ835" s="2372"/>
      <c r="DA835" s="2372"/>
    </row>
    <row r="836" spans="1:105" ht="15" hidden="1" customHeight="1">
      <c r="A836" s="2372"/>
      <c r="B836" s="2372"/>
      <c r="C836" s="2372"/>
      <c r="D836" s="2372"/>
      <c r="E836" s="2372"/>
      <c r="F836" s="2372"/>
      <c r="G836" s="2372"/>
      <c r="H836" s="2372"/>
      <c r="I836" s="2372"/>
      <c r="J836" s="2372"/>
      <c r="K836" s="2372"/>
      <c r="L836" s="2372"/>
      <c r="M836" s="2372"/>
      <c r="N836" s="2372"/>
      <c r="O836" s="2372"/>
      <c r="P836" s="2372"/>
      <c r="Q836" s="2372"/>
      <c r="R836" s="2372"/>
      <c r="S836" s="2372"/>
      <c r="T836" s="2372"/>
      <c r="U836" s="2372"/>
      <c r="V836" s="2372"/>
      <c r="W836" s="2372"/>
      <c r="X836" s="2372"/>
      <c r="Y836" s="2372"/>
      <c r="Z836" s="2372"/>
      <c r="AA836" s="2372"/>
      <c r="AB836" s="2372"/>
      <c r="AC836" s="2372"/>
      <c r="AD836" s="2372"/>
      <c r="AE836" s="2372"/>
      <c r="AF836" s="2372"/>
      <c r="AG836" s="2372"/>
      <c r="AH836" s="2372"/>
      <c r="AI836" s="2372"/>
      <c r="AJ836" s="2372"/>
      <c r="AK836" s="2372"/>
      <c r="AL836" s="2372"/>
      <c r="AM836" s="2372"/>
      <c r="AN836" s="2372"/>
      <c r="AO836" s="2372"/>
      <c r="AP836" s="2372"/>
      <c r="AQ836" s="2372"/>
      <c r="AR836" s="2372"/>
      <c r="AS836" s="2372"/>
      <c r="AT836" s="2372"/>
      <c r="AU836" s="2372"/>
      <c r="AV836" s="2372"/>
      <c r="AW836" s="2372"/>
      <c r="AX836" s="2372"/>
      <c r="AY836" s="2372"/>
      <c r="AZ836" s="2372"/>
      <c r="BA836" s="2372"/>
      <c r="BB836" s="2372"/>
      <c r="BC836" s="2372"/>
      <c r="BD836" s="2372"/>
      <c r="BE836" s="2372"/>
      <c r="BF836" s="2372"/>
      <c r="BG836" s="2372"/>
      <c r="BH836" s="2372"/>
      <c r="BI836" s="2372"/>
      <c r="BJ836" s="2372"/>
      <c r="BK836" s="2372"/>
      <c r="BL836" s="2372"/>
      <c r="BM836" s="2372"/>
      <c r="BN836" s="2372"/>
      <c r="BO836" s="2372"/>
      <c r="BP836" s="2372"/>
      <c r="BQ836" s="2372"/>
      <c r="BR836" s="2372"/>
      <c r="BS836" s="2372"/>
      <c r="BT836" s="2372"/>
      <c r="BU836" s="2372"/>
      <c r="BV836" s="2372"/>
      <c r="BW836" s="2372"/>
      <c r="BX836" s="2372"/>
      <c r="BY836" s="2372"/>
      <c r="BZ836" s="2372"/>
      <c r="CA836" s="2372"/>
      <c r="CB836" s="2372"/>
      <c r="CC836" s="2372"/>
      <c r="CD836" s="2372"/>
      <c r="CE836" s="2372"/>
      <c r="CF836" s="2372"/>
      <c r="CG836" s="2372"/>
      <c r="CH836" s="2372"/>
      <c r="CI836" s="2372"/>
      <c r="CJ836" s="2372"/>
      <c r="CK836" s="2372"/>
      <c r="CL836" s="2372"/>
      <c r="CM836" s="2372"/>
      <c r="CN836" s="2372"/>
      <c r="CO836" s="2372"/>
      <c r="CP836" s="2372"/>
      <c r="CQ836" s="2372"/>
      <c r="CR836" s="2372"/>
      <c r="CS836" s="2372"/>
      <c r="CT836" s="2372"/>
      <c r="CU836" s="2372"/>
      <c r="CV836" s="2372"/>
      <c r="CW836" s="2372"/>
      <c r="CX836" s="2372"/>
      <c r="CY836" s="2372"/>
      <c r="CZ836" s="2372"/>
      <c r="DA836" s="2372"/>
    </row>
    <row r="837" spans="1:105" ht="15" hidden="1" customHeight="1">
      <c r="A837" s="2372"/>
      <c r="B837" s="2372"/>
      <c r="C837" s="2372"/>
      <c r="D837" s="2372"/>
      <c r="E837" s="2372"/>
      <c r="F837" s="2372"/>
      <c r="G837" s="2372"/>
      <c r="H837" s="2372"/>
      <c r="I837" s="2372"/>
      <c r="J837" s="2372"/>
      <c r="K837" s="2372"/>
      <c r="L837" s="2372"/>
      <c r="M837" s="2372"/>
      <c r="N837" s="2372"/>
      <c r="O837" s="2372"/>
      <c r="P837" s="2372"/>
      <c r="Q837" s="2372"/>
      <c r="R837" s="2372"/>
      <c r="S837" s="2372"/>
      <c r="T837" s="2372"/>
      <c r="U837" s="2372"/>
      <c r="V837" s="2372"/>
      <c r="W837" s="2372"/>
      <c r="X837" s="2372"/>
      <c r="Y837" s="2372"/>
      <c r="Z837" s="2372"/>
      <c r="AA837" s="2372"/>
      <c r="AB837" s="2372"/>
      <c r="AC837" s="2372"/>
      <c r="AD837" s="2372"/>
      <c r="AE837" s="2372"/>
      <c r="AF837" s="2372"/>
      <c r="AG837" s="2372"/>
      <c r="AH837" s="2372"/>
      <c r="AI837" s="2372"/>
      <c r="AJ837" s="2372"/>
      <c r="AK837" s="2372"/>
      <c r="AL837" s="2372"/>
      <c r="AM837" s="2372"/>
      <c r="AN837" s="2372"/>
      <c r="AO837" s="2372"/>
      <c r="AP837" s="2372"/>
      <c r="AQ837" s="2372"/>
      <c r="AR837" s="2372"/>
      <c r="AS837" s="2372"/>
      <c r="AT837" s="2372"/>
      <c r="AU837" s="2372"/>
      <c r="AV837" s="2372"/>
      <c r="AW837" s="2372"/>
      <c r="AX837" s="2372"/>
      <c r="AY837" s="2372"/>
      <c r="AZ837" s="2372"/>
      <c r="BA837" s="2372"/>
      <c r="BB837" s="2372"/>
      <c r="BC837" s="2372"/>
      <c r="BD837" s="2372"/>
      <c r="BE837" s="2372"/>
      <c r="BF837" s="2372"/>
      <c r="BG837" s="2372"/>
      <c r="BH837" s="2372"/>
      <c r="BI837" s="2372"/>
      <c r="BJ837" s="2372"/>
      <c r="BK837" s="2372"/>
      <c r="BL837" s="2372"/>
      <c r="BM837" s="2372"/>
      <c r="BN837" s="2372"/>
      <c r="BO837" s="2372"/>
      <c r="BP837" s="2372"/>
      <c r="BQ837" s="2372"/>
      <c r="BR837" s="2372"/>
      <c r="BS837" s="2372"/>
      <c r="BT837" s="2372"/>
      <c r="BU837" s="2372"/>
      <c r="BV837" s="2372"/>
      <c r="BW837" s="2372"/>
      <c r="BX837" s="2372"/>
      <c r="BY837" s="2372"/>
      <c r="BZ837" s="2372"/>
      <c r="CA837" s="2372"/>
      <c r="CB837" s="2372"/>
      <c r="CC837" s="2372"/>
      <c r="CD837" s="2372"/>
      <c r="CE837" s="2372"/>
      <c r="CF837" s="2372"/>
      <c r="CG837" s="2372"/>
      <c r="CH837" s="2372"/>
      <c r="CI837" s="2372"/>
      <c r="CJ837" s="2372"/>
      <c r="CK837" s="2372"/>
      <c r="CL837" s="2372"/>
      <c r="CM837" s="2372"/>
      <c r="CN837" s="2372"/>
      <c r="CO837" s="2372"/>
      <c r="CP837" s="2372"/>
      <c r="CQ837" s="2372"/>
      <c r="CR837" s="2372"/>
      <c r="CS837" s="2372"/>
      <c r="CT837" s="2372"/>
      <c r="CU837" s="2372"/>
      <c r="CV837" s="2372"/>
      <c r="CW837" s="2372"/>
      <c r="CX837" s="2372"/>
      <c r="CY837" s="2372"/>
      <c r="CZ837" s="2372"/>
      <c r="DA837" s="2372"/>
    </row>
    <row r="838" spans="1:105" ht="15" hidden="1" customHeight="1">
      <c r="A838" s="2372"/>
      <c r="B838" s="2372"/>
      <c r="C838" s="2372"/>
      <c r="D838" s="2372"/>
      <c r="E838" s="2372"/>
      <c r="F838" s="2372"/>
      <c r="G838" s="2372"/>
      <c r="H838" s="2372"/>
      <c r="I838" s="2372"/>
      <c r="J838" s="2372"/>
      <c r="K838" s="2372"/>
      <c r="L838" s="2372"/>
      <c r="M838" s="2372"/>
      <c r="N838" s="2372"/>
      <c r="O838" s="2372"/>
      <c r="P838" s="2372"/>
      <c r="Q838" s="2372"/>
      <c r="R838" s="2372"/>
      <c r="S838" s="2372"/>
      <c r="T838" s="2372"/>
      <c r="U838" s="2372"/>
      <c r="V838" s="2372"/>
      <c r="W838" s="2372"/>
      <c r="X838" s="2372"/>
      <c r="Y838" s="2372"/>
      <c r="Z838" s="2372"/>
      <c r="AA838" s="2372"/>
      <c r="AB838" s="2372"/>
      <c r="AC838" s="2372"/>
      <c r="AD838" s="2372"/>
      <c r="AE838" s="2372"/>
      <c r="AF838" s="2372"/>
      <c r="AG838" s="2372"/>
      <c r="AH838" s="2372"/>
      <c r="AI838" s="2372"/>
      <c r="AJ838" s="2372"/>
      <c r="AK838" s="2372"/>
      <c r="AL838" s="2372"/>
      <c r="AM838" s="2372"/>
      <c r="AN838" s="2372"/>
      <c r="AO838" s="2372"/>
      <c r="AP838" s="2372"/>
      <c r="AQ838" s="2372"/>
      <c r="AR838" s="2372"/>
      <c r="AS838" s="2372"/>
      <c r="AT838" s="2372"/>
      <c r="AU838" s="2372"/>
      <c r="AV838" s="2372"/>
      <c r="AW838" s="2372"/>
      <c r="AX838" s="2372"/>
      <c r="AY838" s="2372"/>
      <c r="AZ838" s="2372"/>
      <c r="BA838" s="2372"/>
      <c r="BB838" s="2372"/>
      <c r="BC838" s="2372"/>
      <c r="BD838" s="2372"/>
      <c r="BE838" s="2372"/>
      <c r="BF838" s="2372"/>
      <c r="BG838" s="2372"/>
      <c r="BH838" s="2372"/>
      <c r="BI838" s="2372"/>
      <c r="BJ838" s="2372"/>
      <c r="BK838" s="2372"/>
      <c r="BL838" s="2372"/>
      <c r="BM838" s="2372"/>
      <c r="BN838" s="2372"/>
      <c r="BO838" s="2372"/>
      <c r="BP838" s="2372"/>
      <c r="BQ838" s="2372"/>
      <c r="BR838" s="2372"/>
      <c r="BS838" s="2372"/>
      <c r="BT838" s="2372"/>
      <c r="BU838" s="2372"/>
      <c r="BV838" s="2372"/>
      <c r="BW838" s="2372"/>
      <c r="BX838" s="2372"/>
      <c r="BY838" s="2372"/>
      <c r="BZ838" s="2372"/>
      <c r="CA838" s="2372"/>
      <c r="CB838" s="2372"/>
      <c r="CC838" s="2372"/>
      <c r="CD838" s="2372"/>
      <c r="CE838" s="2372"/>
      <c r="CF838" s="2372"/>
      <c r="CG838" s="2372"/>
      <c r="CH838" s="2372"/>
      <c r="CI838" s="2372"/>
      <c r="CJ838" s="2372"/>
      <c r="CK838" s="2372"/>
      <c r="CL838" s="2372"/>
      <c r="CM838" s="2372"/>
      <c r="CN838" s="2372"/>
      <c r="CO838" s="2372"/>
      <c r="CP838" s="2372"/>
      <c r="CQ838" s="2372"/>
      <c r="CR838" s="2372"/>
      <c r="CS838" s="2372"/>
      <c r="CT838" s="2372"/>
      <c r="CU838" s="2372"/>
      <c r="CV838" s="2372"/>
      <c r="CW838" s="2372"/>
      <c r="CX838" s="2372"/>
      <c r="CY838" s="2372"/>
      <c r="CZ838" s="2372"/>
      <c r="DA838" s="2372"/>
    </row>
    <row r="839" spans="1:105" ht="15" hidden="1" customHeight="1">
      <c r="A839" s="2372"/>
      <c r="B839" s="2372"/>
      <c r="C839" s="2372"/>
      <c r="D839" s="2372"/>
      <c r="E839" s="2372"/>
      <c r="F839" s="2372"/>
      <c r="G839" s="2372"/>
      <c r="H839" s="2372"/>
      <c r="I839" s="2372"/>
      <c r="J839" s="2372"/>
      <c r="K839" s="2372"/>
      <c r="L839" s="2372"/>
      <c r="M839" s="2372"/>
      <c r="N839" s="2372"/>
      <c r="O839" s="2372"/>
      <c r="P839" s="2372"/>
      <c r="Q839" s="2372"/>
      <c r="R839" s="2372"/>
      <c r="S839" s="2372"/>
      <c r="T839" s="2372"/>
      <c r="U839" s="2372"/>
      <c r="V839" s="2372"/>
      <c r="W839" s="2372"/>
      <c r="X839" s="2372"/>
      <c r="Y839" s="2372"/>
      <c r="Z839" s="2372"/>
      <c r="AA839" s="2372"/>
      <c r="AB839" s="2372"/>
      <c r="AC839" s="2372"/>
      <c r="AD839" s="2372"/>
      <c r="AE839" s="2372"/>
      <c r="AF839" s="2372"/>
      <c r="AG839" s="2372"/>
      <c r="AH839" s="2372"/>
      <c r="AI839" s="2372"/>
      <c r="AJ839" s="2372"/>
      <c r="AK839" s="2372"/>
      <c r="AL839" s="2372"/>
      <c r="AM839" s="2372"/>
      <c r="AN839" s="2372"/>
      <c r="AO839" s="2372"/>
      <c r="AP839" s="2372"/>
      <c r="AQ839" s="2372"/>
      <c r="AR839" s="2372"/>
      <c r="AS839" s="2372"/>
      <c r="AT839" s="2372"/>
      <c r="AU839" s="2372"/>
      <c r="AV839" s="2372"/>
      <c r="AW839" s="2372"/>
      <c r="AX839" s="2372"/>
      <c r="AY839" s="2372"/>
      <c r="AZ839" s="2372"/>
      <c r="BA839" s="2372"/>
      <c r="BB839" s="2372"/>
      <c r="BC839" s="2372"/>
      <c r="BD839" s="2372"/>
      <c r="BE839" s="2372"/>
      <c r="BF839" s="2372"/>
      <c r="BG839" s="2372"/>
      <c r="BH839" s="2372"/>
      <c r="BI839" s="2372"/>
      <c r="BJ839" s="2372"/>
      <c r="BK839" s="2372"/>
      <c r="BL839" s="2372"/>
      <c r="BM839" s="2372"/>
      <c r="BN839" s="2372"/>
      <c r="BO839" s="2372"/>
      <c r="BP839" s="2372"/>
      <c r="BQ839" s="2372"/>
      <c r="BR839" s="2372"/>
      <c r="BS839" s="2372"/>
      <c r="BT839" s="2372"/>
      <c r="BU839" s="2372"/>
      <c r="BV839" s="2372"/>
      <c r="BW839" s="2372"/>
      <c r="BX839" s="2372"/>
      <c r="BY839" s="2372"/>
      <c r="BZ839" s="2372"/>
      <c r="CA839" s="2372"/>
      <c r="CB839" s="2372"/>
      <c r="CC839" s="2372"/>
      <c r="CD839" s="2372"/>
      <c r="CE839" s="2372"/>
      <c r="CF839" s="2372"/>
      <c r="CG839" s="2372"/>
      <c r="CH839" s="2372"/>
      <c r="CI839" s="2372"/>
      <c r="CJ839" s="2372"/>
      <c r="CK839" s="2372"/>
      <c r="CL839" s="2372"/>
      <c r="CM839" s="2372"/>
      <c r="CN839" s="2372"/>
      <c r="CO839" s="2372"/>
      <c r="CP839" s="2372"/>
      <c r="CQ839" s="2372"/>
      <c r="CR839" s="2372"/>
      <c r="CS839" s="2372"/>
      <c r="CT839" s="2372"/>
      <c r="CU839" s="2372"/>
      <c r="CV839" s="2372"/>
      <c r="CW839" s="2372"/>
      <c r="CX839" s="2372"/>
      <c r="CY839" s="2372"/>
      <c r="CZ839" s="2372"/>
      <c r="DA839" s="2372"/>
    </row>
    <row r="840" spans="1:105" ht="15" hidden="1" customHeight="1">
      <c r="A840" s="2372"/>
      <c r="B840" s="2372"/>
      <c r="C840" s="2372"/>
      <c r="D840" s="2372"/>
      <c r="E840" s="2372"/>
      <c r="F840" s="2372"/>
      <c r="G840" s="2372"/>
      <c r="H840" s="2372"/>
      <c r="I840" s="2372"/>
      <c r="J840" s="2372"/>
      <c r="K840" s="2372"/>
      <c r="L840" s="2372"/>
      <c r="M840" s="2372"/>
      <c r="N840" s="2372"/>
      <c r="O840" s="2372"/>
      <c r="P840" s="2372"/>
      <c r="Q840" s="2372"/>
      <c r="R840" s="2372"/>
      <c r="S840" s="2372"/>
      <c r="T840" s="2372"/>
      <c r="U840" s="2372"/>
      <c r="V840" s="2372"/>
      <c r="W840" s="2372"/>
      <c r="X840" s="2372"/>
      <c r="Y840" s="2372"/>
      <c r="Z840" s="2372"/>
      <c r="AA840" s="2372"/>
      <c r="AB840" s="2372"/>
      <c r="AC840" s="2372"/>
      <c r="AD840" s="2372"/>
      <c r="AE840" s="2372"/>
      <c r="AF840" s="2372"/>
      <c r="AG840" s="2372"/>
      <c r="AH840" s="2372"/>
      <c r="AI840" s="2372"/>
      <c r="AJ840" s="2372"/>
      <c r="AK840" s="2372"/>
      <c r="AL840" s="2372"/>
      <c r="AM840" s="2372"/>
      <c r="AN840" s="2372"/>
      <c r="AO840" s="2372"/>
      <c r="AP840" s="2372"/>
      <c r="AQ840" s="2372"/>
      <c r="AR840" s="2372"/>
      <c r="AS840" s="2372"/>
      <c r="AT840" s="2372"/>
      <c r="AU840" s="2372"/>
      <c r="AV840" s="2372"/>
      <c r="AW840" s="2372"/>
      <c r="AX840" s="2372"/>
      <c r="AY840" s="2372"/>
      <c r="AZ840" s="2372"/>
      <c r="BA840" s="2372"/>
      <c r="BB840" s="2372"/>
      <c r="BC840" s="2372"/>
      <c r="BD840" s="2372"/>
      <c r="BE840" s="2372"/>
      <c r="BF840" s="2372"/>
      <c r="BG840" s="2372"/>
      <c r="BH840" s="2372"/>
      <c r="BI840" s="2372"/>
      <c r="BJ840" s="2372"/>
      <c r="BK840" s="2372"/>
      <c r="BL840" s="2372"/>
      <c r="BM840" s="2372"/>
      <c r="BN840" s="2372"/>
      <c r="BO840" s="2372"/>
      <c r="BP840" s="2372"/>
      <c r="BQ840" s="2372"/>
      <c r="BR840" s="2372"/>
      <c r="BS840" s="2372"/>
      <c r="BT840" s="2372"/>
      <c r="BU840" s="2372"/>
      <c r="BV840" s="2372"/>
      <c r="BW840" s="2372"/>
      <c r="BX840" s="2372"/>
      <c r="BY840" s="2372"/>
      <c r="BZ840" s="2372"/>
      <c r="CA840" s="2372"/>
      <c r="CB840" s="2372"/>
      <c r="CC840" s="2372"/>
      <c r="CD840" s="2372"/>
      <c r="CE840" s="2372"/>
      <c r="CF840" s="2372"/>
      <c r="CG840" s="2372"/>
      <c r="CH840" s="2372"/>
      <c r="CI840" s="2372"/>
      <c r="CJ840" s="2372"/>
      <c r="CK840" s="2372"/>
      <c r="CL840" s="2372"/>
      <c r="CM840" s="2372"/>
      <c r="CN840" s="2372"/>
      <c r="CO840" s="2372"/>
      <c r="CP840" s="2372"/>
      <c r="CQ840" s="2372"/>
      <c r="CR840" s="2372"/>
      <c r="CS840" s="2372"/>
      <c r="CT840" s="2372"/>
      <c r="CU840" s="2372"/>
      <c r="CV840" s="2372"/>
      <c r="CW840" s="2372"/>
      <c r="CX840" s="2372"/>
      <c r="CY840" s="2372"/>
      <c r="CZ840" s="2372"/>
      <c r="DA840" s="2372"/>
    </row>
    <row r="841" spans="1:105" ht="15" hidden="1" customHeight="1">
      <c r="A841" s="2372"/>
      <c r="B841" s="2372"/>
      <c r="C841" s="2372"/>
      <c r="D841" s="2372"/>
      <c r="E841" s="2372"/>
      <c r="F841" s="2372"/>
      <c r="G841" s="2372"/>
      <c r="H841" s="2372"/>
      <c r="I841" s="2372"/>
      <c r="J841" s="2372"/>
      <c r="K841" s="2372"/>
      <c r="L841" s="2372"/>
      <c r="M841" s="2372"/>
      <c r="N841" s="2372"/>
      <c r="O841" s="2372"/>
      <c r="P841" s="2372"/>
      <c r="Q841" s="2372"/>
      <c r="R841" s="2372"/>
      <c r="S841" s="2372"/>
      <c r="T841" s="2372"/>
      <c r="U841" s="2372"/>
      <c r="V841" s="2372"/>
      <c r="W841" s="2372"/>
      <c r="X841" s="2372"/>
      <c r="Y841" s="2372"/>
      <c r="Z841" s="2372"/>
      <c r="AA841" s="2372"/>
      <c r="AB841" s="2372"/>
      <c r="AC841" s="2372"/>
      <c r="AD841" s="2372"/>
      <c r="AE841" s="2372"/>
      <c r="AF841" s="2372"/>
      <c r="AG841" s="2372"/>
      <c r="AH841" s="2372"/>
      <c r="AI841" s="2372"/>
      <c r="AJ841" s="2372"/>
      <c r="AK841" s="2372"/>
      <c r="AL841" s="2372"/>
      <c r="AM841" s="2372"/>
      <c r="AN841" s="2372"/>
      <c r="AO841" s="2372"/>
      <c r="AP841" s="2372"/>
      <c r="AQ841" s="2372"/>
      <c r="AR841" s="2372"/>
      <c r="AS841" s="2372"/>
      <c r="AT841" s="2372"/>
      <c r="AU841" s="2372"/>
      <c r="AV841" s="2372"/>
      <c r="AW841" s="2372"/>
      <c r="AX841" s="2372"/>
      <c r="AY841" s="2372"/>
      <c r="AZ841" s="2372"/>
      <c r="BA841" s="2372"/>
      <c r="BB841" s="2372"/>
      <c r="BC841" s="2372"/>
      <c r="BD841" s="2372"/>
      <c r="BE841" s="2372"/>
      <c r="BF841" s="2372"/>
      <c r="BG841" s="2372"/>
      <c r="BH841" s="2372"/>
      <c r="BI841" s="2372"/>
      <c r="BJ841" s="2372"/>
      <c r="BK841" s="2372"/>
      <c r="BL841" s="2372"/>
      <c r="BM841" s="2372"/>
      <c r="BN841" s="2372"/>
      <c r="BO841" s="2372"/>
      <c r="BP841" s="2372"/>
      <c r="BQ841" s="2372"/>
      <c r="BR841" s="2372"/>
      <c r="BS841" s="2372"/>
      <c r="BT841" s="2372"/>
      <c r="BU841" s="2372"/>
      <c r="BV841" s="2372"/>
      <c r="BW841" s="2372"/>
      <c r="BX841" s="2372"/>
      <c r="BY841" s="2372"/>
      <c r="BZ841" s="2372"/>
      <c r="CA841" s="2372"/>
      <c r="CB841" s="2372"/>
      <c r="CC841" s="2372"/>
      <c r="CD841" s="2372"/>
      <c r="CE841" s="2372"/>
      <c r="CF841" s="2372"/>
      <c r="CG841" s="2372"/>
      <c r="CH841" s="2372"/>
      <c r="CI841" s="2372"/>
      <c r="CJ841" s="2372"/>
      <c r="CK841" s="2372"/>
      <c r="CL841" s="2372"/>
      <c r="CM841" s="2372"/>
      <c r="CN841" s="2372"/>
      <c r="CO841" s="2372"/>
      <c r="CP841" s="2372"/>
      <c r="CQ841" s="2372"/>
      <c r="CR841" s="2372"/>
      <c r="CS841" s="2372"/>
      <c r="CT841" s="2372"/>
      <c r="CU841" s="2372"/>
      <c r="CV841" s="2372"/>
      <c r="CW841" s="2372"/>
      <c r="CX841" s="2372"/>
      <c r="CY841" s="2372"/>
      <c r="CZ841" s="2372"/>
      <c r="DA841" s="2372"/>
    </row>
    <row r="842" spans="1:105" ht="15" hidden="1" customHeight="1">
      <c r="A842" s="2372"/>
      <c r="B842" s="2372"/>
      <c r="C842" s="2372"/>
      <c r="D842" s="2372"/>
      <c r="E842" s="2372"/>
      <c r="F842" s="2372"/>
      <c r="G842" s="2372"/>
      <c r="H842" s="2372"/>
      <c r="I842" s="2372"/>
      <c r="J842" s="2372"/>
      <c r="K842" s="2372"/>
      <c r="L842" s="2372"/>
      <c r="M842" s="2372"/>
      <c r="N842" s="2372"/>
      <c r="O842" s="2372"/>
      <c r="P842" s="2372"/>
      <c r="Q842" s="2372"/>
      <c r="R842" s="2372"/>
      <c r="S842" s="2372"/>
      <c r="T842" s="2372"/>
      <c r="U842" s="2372"/>
      <c r="V842" s="2372"/>
      <c r="W842" s="2372"/>
      <c r="X842" s="2372"/>
      <c r="Y842" s="2372"/>
      <c r="Z842" s="2372"/>
      <c r="AA842" s="2372"/>
      <c r="AB842" s="2372"/>
      <c r="AC842" s="2372"/>
      <c r="AD842" s="2372"/>
      <c r="AE842" s="2372"/>
      <c r="AF842" s="2372"/>
      <c r="AG842" s="2372"/>
      <c r="AH842" s="2372"/>
      <c r="AI842" s="2372"/>
      <c r="AJ842" s="2372"/>
      <c r="AK842" s="2372"/>
      <c r="AL842" s="2372"/>
      <c r="AM842" s="2372"/>
      <c r="AN842" s="2372"/>
      <c r="AO842" s="2372"/>
      <c r="AP842" s="2372"/>
      <c r="AQ842" s="2372"/>
      <c r="AR842" s="2372"/>
      <c r="AS842" s="2372"/>
      <c r="AT842" s="2372"/>
      <c r="AU842" s="2372"/>
      <c r="AV842" s="2372"/>
      <c r="AW842" s="2372"/>
      <c r="AX842" s="2372"/>
      <c r="AY842" s="2372"/>
      <c r="AZ842" s="2372"/>
      <c r="BA842" s="2372"/>
      <c r="BB842" s="2372"/>
      <c r="BC842" s="2372"/>
      <c r="BD842" s="2372"/>
      <c r="BE842" s="2372"/>
      <c r="BF842" s="2372"/>
      <c r="BG842" s="2372"/>
      <c r="BH842" s="2372"/>
      <c r="BI842" s="2372"/>
      <c r="BJ842" s="2372"/>
      <c r="BK842" s="2372"/>
      <c r="BL842" s="2372"/>
      <c r="BM842" s="2372"/>
      <c r="BN842" s="2372"/>
      <c r="BO842" s="2372"/>
      <c r="BP842" s="2372"/>
      <c r="BQ842" s="2372"/>
      <c r="BR842" s="2372"/>
      <c r="BS842" s="2372"/>
      <c r="BT842" s="2372"/>
      <c r="BU842" s="2372"/>
      <c r="BV842" s="2372"/>
      <c r="BW842" s="2372"/>
      <c r="BX842" s="2372"/>
      <c r="BY842" s="2372"/>
      <c r="BZ842" s="2372"/>
      <c r="CA842" s="2372"/>
      <c r="CB842" s="2372"/>
      <c r="CC842" s="2372"/>
      <c r="CD842" s="2372"/>
      <c r="CE842" s="2372"/>
      <c r="CF842" s="2372"/>
      <c r="CG842" s="2372"/>
      <c r="CH842" s="2372"/>
      <c r="CI842" s="2372"/>
      <c r="CJ842" s="2372"/>
      <c r="CK842" s="2372"/>
      <c r="CL842" s="2372"/>
      <c r="CM842" s="2372"/>
      <c r="CN842" s="2372"/>
      <c r="CO842" s="2372"/>
      <c r="CP842" s="2372"/>
      <c r="CQ842" s="2372"/>
      <c r="CR842" s="2372"/>
      <c r="CS842" s="2372"/>
      <c r="CT842" s="2372"/>
      <c r="CU842" s="2372"/>
      <c r="CV842" s="2372"/>
      <c r="CW842" s="2372"/>
      <c r="CX842" s="2372"/>
      <c r="CY842" s="2372"/>
      <c r="CZ842" s="2372"/>
      <c r="DA842" s="2372"/>
    </row>
    <row r="843" spans="1:105" ht="15" hidden="1" customHeight="1">
      <c r="A843" s="2372"/>
      <c r="B843" s="2372"/>
      <c r="C843" s="2372"/>
      <c r="D843" s="2372"/>
      <c r="E843" s="2372"/>
      <c r="F843" s="2372"/>
      <c r="G843" s="2372"/>
      <c r="H843" s="2372"/>
      <c r="I843" s="2372"/>
      <c r="J843" s="2372"/>
      <c r="K843" s="2372"/>
      <c r="L843" s="2372"/>
      <c r="M843" s="2372"/>
      <c r="N843" s="2372"/>
      <c r="O843" s="2372"/>
      <c r="P843" s="2372"/>
      <c r="Q843" s="2372"/>
      <c r="R843" s="2372"/>
      <c r="S843" s="2372"/>
      <c r="T843" s="2372"/>
      <c r="U843" s="2372"/>
      <c r="V843" s="2372"/>
      <c r="W843" s="2372"/>
      <c r="X843" s="2372"/>
      <c r="Y843" s="2372"/>
      <c r="Z843" s="2372"/>
      <c r="AA843" s="2372"/>
      <c r="AB843" s="2372"/>
      <c r="AC843" s="2372"/>
      <c r="AD843" s="2372"/>
      <c r="AE843" s="2372"/>
      <c r="AF843" s="2372"/>
      <c r="AG843" s="2372"/>
      <c r="AH843" s="2372"/>
      <c r="AI843" s="2372"/>
      <c r="AJ843" s="2372"/>
      <c r="AK843" s="2372"/>
      <c r="AL843" s="2372"/>
      <c r="AM843" s="2372"/>
      <c r="AN843" s="2372"/>
      <c r="AO843" s="2372"/>
      <c r="AP843" s="2372"/>
      <c r="AQ843" s="2372"/>
      <c r="AR843" s="2372"/>
      <c r="AS843" s="2372"/>
      <c r="AT843" s="2372"/>
      <c r="AU843" s="2372"/>
      <c r="AV843" s="2372"/>
      <c r="AW843" s="2372"/>
      <c r="AX843" s="2372"/>
      <c r="AY843" s="2372"/>
      <c r="AZ843" s="2372"/>
      <c r="BA843" s="2372"/>
      <c r="BB843" s="2372"/>
      <c r="BC843" s="2372"/>
      <c r="BD843" s="2372"/>
      <c r="BE843" s="2372"/>
      <c r="BF843" s="2372"/>
      <c r="BG843" s="2372"/>
      <c r="BH843" s="2372"/>
      <c r="BI843" s="2372"/>
      <c r="BJ843" s="2372"/>
      <c r="BK843" s="2372"/>
      <c r="BL843" s="2372"/>
      <c r="BM843" s="2372"/>
      <c r="BN843" s="2372"/>
      <c r="BO843" s="2372"/>
      <c r="BP843" s="2372"/>
      <c r="BQ843" s="2372"/>
      <c r="BR843" s="2372"/>
      <c r="BS843" s="2372"/>
      <c r="BT843" s="2372"/>
      <c r="BU843" s="2372"/>
      <c r="BV843" s="2372"/>
      <c r="BW843" s="2372"/>
      <c r="BX843" s="2372"/>
      <c r="BY843" s="2372"/>
      <c r="BZ843" s="2372"/>
      <c r="CA843" s="2372"/>
      <c r="CB843" s="2372"/>
      <c r="CC843" s="2372"/>
      <c r="CD843" s="2372"/>
      <c r="CE843" s="2372"/>
      <c r="CF843" s="2372"/>
      <c r="CG843" s="2372"/>
      <c r="CH843" s="2372"/>
      <c r="CI843" s="2372"/>
      <c r="CJ843" s="2372"/>
      <c r="CK843" s="2372"/>
      <c r="CL843" s="2372"/>
      <c r="CM843" s="2372"/>
      <c r="CN843" s="2372"/>
      <c r="CO843" s="2372"/>
      <c r="CP843" s="2372"/>
      <c r="CQ843" s="2372"/>
      <c r="CR843" s="2372"/>
      <c r="CS843" s="2372"/>
      <c r="CT843" s="2372"/>
      <c r="CU843" s="2372"/>
      <c r="CV843" s="2372"/>
      <c r="CW843" s="2372"/>
      <c r="CX843" s="2372"/>
      <c r="CY843" s="2372"/>
      <c r="CZ843" s="2372"/>
      <c r="DA843" s="2372"/>
    </row>
    <row r="844" spans="1:105" ht="15" hidden="1" customHeight="1">
      <c r="A844" s="2372"/>
      <c r="B844" s="2372"/>
      <c r="C844" s="2372"/>
      <c r="D844" s="2372"/>
      <c r="E844" s="2372"/>
      <c r="F844" s="2372"/>
      <c r="G844" s="2372"/>
      <c r="H844" s="2372"/>
      <c r="I844" s="2372"/>
      <c r="J844" s="2372"/>
      <c r="K844" s="2372"/>
      <c r="L844" s="2372"/>
      <c r="M844" s="2372"/>
      <c r="N844" s="2372"/>
      <c r="O844" s="2372"/>
      <c r="P844" s="2372"/>
      <c r="Q844" s="2372"/>
      <c r="R844" s="2372"/>
      <c r="S844" s="2372"/>
      <c r="T844" s="2372"/>
      <c r="U844" s="2372"/>
      <c r="V844" s="2372"/>
      <c r="W844" s="2372"/>
      <c r="X844" s="2372"/>
      <c r="Y844" s="2372"/>
      <c r="Z844" s="2372"/>
      <c r="AA844" s="2372"/>
      <c r="AB844" s="2372"/>
      <c r="AC844" s="2372"/>
      <c r="AD844" s="2372"/>
      <c r="AE844" s="2372"/>
      <c r="AF844" s="2372"/>
      <c r="AG844" s="2372"/>
      <c r="AH844" s="2372"/>
      <c r="AI844" s="2372"/>
      <c r="AJ844" s="2372"/>
      <c r="AK844" s="2372"/>
      <c r="AL844" s="2372"/>
      <c r="AM844" s="2372"/>
      <c r="AN844" s="2372"/>
      <c r="AO844" s="2372"/>
      <c r="AP844" s="2372"/>
      <c r="AQ844" s="2372"/>
      <c r="AR844" s="2372"/>
      <c r="AS844" s="2372"/>
      <c r="AT844" s="2372"/>
      <c r="AU844" s="2372"/>
      <c r="AV844" s="2372"/>
      <c r="AW844" s="2372"/>
      <c r="AX844" s="2372"/>
      <c r="AY844" s="2372"/>
      <c r="AZ844" s="2372"/>
      <c r="BA844" s="2372"/>
      <c r="BB844" s="2372"/>
      <c r="BC844" s="2372"/>
      <c r="BD844" s="2372"/>
      <c r="BE844" s="2372"/>
      <c r="BF844" s="2372"/>
      <c r="BG844" s="2372"/>
      <c r="BH844" s="2372"/>
      <c r="BI844" s="2372"/>
      <c r="BJ844" s="2372"/>
      <c r="BK844" s="2372"/>
      <c r="BL844" s="2372"/>
      <c r="BM844" s="2372"/>
      <c r="BN844" s="2372"/>
      <c r="BO844" s="2372"/>
      <c r="BP844" s="2372"/>
      <c r="BQ844" s="2372"/>
      <c r="BR844" s="2372"/>
      <c r="BS844" s="2372"/>
      <c r="BT844" s="2372"/>
      <c r="BU844" s="2372"/>
      <c r="BV844" s="2372"/>
      <c r="BW844" s="2372"/>
      <c r="BX844" s="2372"/>
      <c r="BY844" s="2372"/>
      <c r="BZ844" s="2372"/>
      <c r="CA844" s="2372"/>
      <c r="CB844" s="2372"/>
      <c r="CC844" s="2372"/>
      <c r="CD844" s="2372"/>
      <c r="CE844" s="2372"/>
      <c r="CF844" s="2372"/>
      <c r="CG844" s="2372"/>
      <c r="CH844" s="2372"/>
      <c r="CI844" s="2372"/>
      <c r="CJ844" s="2372"/>
      <c r="CK844" s="2372"/>
      <c r="CL844" s="2372"/>
      <c r="CM844" s="2372"/>
      <c r="CN844" s="2372"/>
      <c r="CO844" s="2372"/>
      <c r="CP844" s="2372"/>
      <c r="CQ844" s="2372"/>
      <c r="CR844" s="2372"/>
      <c r="CS844" s="2372"/>
      <c r="CT844" s="2372"/>
      <c r="CU844" s="2372"/>
      <c r="CV844" s="2372"/>
      <c r="CW844" s="2372"/>
      <c r="CX844" s="2372"/>
      <c r="CY844" s="2372"/>
      <c r="CZ844" s="2372"/>
      <c r="DA844" s="2372"/>
    </row>
    <row r="845" spans="1:105" ht="15" hidden="1" customHeight="1">
      <c r="A845" s="2372"/>
      <c r="B845" s="2372"/>
      <c r="C845" s="2372"/>
      <c r="D845" s="2372"/>
      <c r="E845" s="2372"/>
      <c r="F845" s="2372"/>
      <c r="G845" s="2372"/>
      <c r="H845" s="2372"/>
      <c r="I845" s="2372"/>
      <c r="J845" s="2372"/>
      <c r="K845" s="2372"/>
      <c r="L845" s="2372"/>
      <c r="M845" s="2372"/>
      <c r="N845" s="2372"/>
      <c r="O845" s="2372"/>
      <c r="P845" s="2372"/>
      <c r="Q845" s="2372"/>
      <c r="R845" s="2372"/>
      <c r="S845" s="2372"/>
      <c r="T845" s="2372"/>
      <c r="U845" s="2372"/>
      <c r="V845" s="2372"/>
      <c r="W845" s="2372"/>
      <c r="X845" s="2372"/>
      <c r="Y845" s="2372"/>
      <c r="Z845" s="2372"/>
      <c r="AA845" s="2372"/>
      <c r="AB845" s="2372"/>
      <c r="AC845" s="2372"/>
      <c r="AD845" s="2372"/>
      <c r="AE845" s="2372"/>
      <c r="AF845" s="2372"/>
      <c r="AG845" s="2372"/>
      <c r="AH845" s="2372"/>
      <c r="AI845" s="2372"/>
      <c r="AJ845" s="2372"/>
      <c r="AK845" s="2372"/>
      <c r="AL845" s="2372"/>
      <c r="AM845" s="2372"/>
      <c r="AN845" s="2372"/>
      <c r="AO845" s="2372"/>
      <c r="AP845" s="2372"/>
      <c r="AQ845" s="2372"/>
      <c r="AR845" s="2372"/>
      <c r="AS845" s="2372"/>
      <c r="AT845" s="2372"/>
      <c r="AU845" s="2372"/>
      <c r="AV845" s="2372"/>
      <c r="AW845" s="2372"/>
      <c r="AX845" s="2372"/>
      <c r="AY845" s="2372"/>
      <c r="AZ845" s="2372"/>
      <c r="BA845" s="2372"/>
      <c r="BB845" s="2372"/>
      <c r="BC845" s="2372"/>
      <c r="BD845" s="2372"/>
      <c r="BE845" s="2372"/>
      <c r="BF845" s="2372"/>
      <c r="BG845" s="2372"/>
      <c r="BH845" s="2372"/>
      <c r="BI845" s="2372"/>
      <c r="BJ845" s="2372"/>
      <c r="BK845" s="2372"/>
      <c r="BL845" s="2372"/>
      <c r="BM845" s="2372"/>
      <c r="BN845" s="2372"/>
      <c r="BO845" s="2372"/>
      <c r="BP845" s="2372"/>
      <c r="BQ845" s="2372"/>
      <c r="BR845" s="2372"/>
      <c r="BS845" s="2372"/>
      <c r="BT845" s="2372"/>
      <c r="BU845" s="2372"/>
      <c r="BV845" s="2372"/>
      <c r="BW845" s="2372"/>
      <c r="BX845" s="2372"/>
      <c r="BY845" s="2372"/>
      <c r="BZ845" s="2372"/>
      <c r="CA845" s="2372"/>
      <c r="CB845" s="2372"/>
      <c r="CC845" s="2372"/>
      <c r="CD845" s="2372"/>
      <c r="CE845" s="2372"/>
      <c r="CF845" s="2372"/>
      <c r="CG845" s="2372"/>
      <c r="CH845" s="2372"/>
      <c r="CI845" s="2372"/>
      <c r="CJ845" s="2372"/>
      <c r="CK845" s="2372"/>
      <c r="CL845" s="2372"/>
      <c r="CM845" s="2372"/>
      <c r="CN845" s="2372"/>
      <c r="CO845" s="2372"/>
      <c r="CP845" s="2372"/>
      <c r="CQ845" s="2372"/>
      <c r="CR845" s="2372"/>
      <c r="CS845" s="2372"/>
      <c r="CT845" s="2372"/>
      <c r="CU845" s="2372"/>
      <c r="CV845" s="2372"/>
      <c r="CW845" s="2372"/>
      <c r="CX845" s="2372"/>
      <c r="CY845" s="2372"/>
      <c r="CZ845" s="2372"/>
      <c r="DA845" s="2372"/>
    </row>
    <row r="846" spans="1:105" ht="15" hidden="1" customHeight="1">
      <c r="A846" s="2372"/>
      <c r="B846" s="2372"/>
      <c r="C846" s="2372"/>
      <c r="D846" s="2372"/>
      <c r="E846" s="2372"/>
      <c r="F846" s="2372"/>
      <c r="G846" s="2372"/>
      <c r="H846" s="2372"/>
      <c r="I846" s="2372"/>
      <c r="J846" s="2372"/>
      <c r="K846" s="2372"/>
      <c r="L846" s="2372"/>
      <c r="M846" s="2372"/>
      <c r="N846" s="2372"/>
      <c r="O846" s="2372"/>
      <c r="P846" s="2372"/>
      <c r="Q846" s="2372"/>
      <c r="R846" s="2372"/>
      <c r="S846" s="2372"/>
      <c r="T846" s="2372"/>
      <c r="U846" s="2372"/>
      <c r="V846" s="2372"/>
      <c r="W846" s="2372"/>
      <c r="X846" s="2372"/>
      <c r="Y846" s="2372"/>
      <c r="Z846" s="2372"/>
      <c r="AA846" s="2372"/>
      <c r="AB846" s="2372"/>
      <c r="AC846" s="2372"/>
      <c r="AD846" s="2372"/>
      <c r="AE846" s="2372"/>
      <c r="AF846" s="2372"/>
      <c r="AG846" s="2372"/>
      <c r="AH846" s="2372"/>
      <c r="AI846" s="2372"/>
      <c r="AJ846" s="2372"/>
      <c r="AK846" s="2372"/>
      <c r="AL846" s="2372"/>
      <c r="AM846" s="2372"/>
      <c r="AN846" s="2372"/>
      <c r="AO846" s="2372"/>
      <c r="AP846" s="2372"/>
      <c r="AQ846" s="2372"/>
      <c r="AR846" s="2372"/>
      <c r="AS846" s="2372"/>
      <c r="AT846" s="2372"/>
      <c r="AU846" s="2372"/>
      <c r="AV846" s="2372"/>
      <c r="AW846" s="2372"/>
      <c r="AX846" s="2372"/>
      <c r="AY846" s="2372"/>
      <c r="AZ846" s="2372"/>
      <c r="BA846" s="2372"/>
      <c r="BB846" s="2372"/>
      <c r="BC846" s="2372"/>
      <c r="BD846" s="2372"/>
      <c r="BE846" s="2372"/>
      <c r="BF846" s="2372"/>
      <c r="BG846" s="2372"/>
      <c r="BH846" s="2372"/>
      <c r="BI846" s="2372"/>
      <c r="BJ846" s="2372"/>
      <c r="BK846" s="2372"/>
      <c r="BL846" s="2372"/>
      <c r="BM846" s="2372"/>
      <c r="BN846" s="2372"/>
      <c r="BO846" s="2372"/>
      <c r="BP846" s="2372"/>
      <c r="BQ846" s="2372"/>
      <c r="BR846" s="2372"/>
      <c r="BS846" s="2372"/>
      <c r="BT846" s="2372"/>
      <c r="BU846" s="2372"/>
      <c r="BV846" s="2372"/>
      <c r="BW846" s="2372"/>
      <c r="BX846" s="2372"/>
      <c r="BY846" s="2372"/>
      <c r="BZ846" s="2372"/>
      <c r="CA846" s="2372"/>
      <c r="CB846" s="2372"/>
      <c r="CC846" s="2372"/>
      <c r="CD846" s="2372"/>
      <c r="CE846" s="2372"/>
      <c r="CF846" s="2372"/>
      <c r="CG846" s="2372"/>
      <c r="CH846" s="2372"/>
      <c r="CI846" s="2372"/>
      <c r="CJ846" s="2372"/>
      <c r="CK846" s="2372"/>
      <c r="CL846" s="2372"/>
      <c r="CM846" s="2372"/>
      <c r="CN846" s="2372"/>
      <c r="CO846" s="2372"/>
      <c r="CP846" s="2372"/>
      <c r="CQ846" s="2372"/>
      <c r="CR846" s="2372"/>
      <c r="CS846" s="2372"/>
      <c r="CT846" s="2372"/>
      <c r="CU846" s="2372"/>
      <c r="CV846" s="2372"/>
      <c r="CW846" s="2372"/>
      <c r="CX846" s="2372"/>
      <c r="CY846" s="2372"/>
      <c r="CZ846" s="2372"/>
      <c r="DA846" s="2372"/>
    </row>
    <row r="847" spans="1:105" ht="15" hidden="1" customHeight="1">
      <c r="A847" s="2372"/>
      <c r="B847" s="2372"/>
      <c r="C847" s="2372"/>
      <c r="D847" s="2372"/>
      <c r="E847" s="2372"/>
      <c r="F847" s="2372"/>
      <c r="G847" s="2372"/>
      <c r="H847" s="2372"/>
      <c r="I847" s="2372"/>
      <c r="J847" s="2372"/>
      <c r="K847" s="2372"/>
      <c r="L847" s="2372"/>
      <c r="M847" s="2372"/>
      <c r="N847" s="2372"/>
      <c r="O847" s="2372"/>
      <c r="P847" s="2372"/>
      <c r="Q847" s="2372"/>
      <c r="R847" s="2372"/>
      <c r="S847" s="2372"/>
      <c r="T847" s="2372"/>
      <c r="U847" s="2372"/>
      <c r="V847" s="2372"/>
      <c r="W847" s="2372"/>
      <c r="X847" s="2372"/>
      <c r="Y847" s="2372"/>
      <c r="Z847" s="2372"/>
      <c r="AA847" s="2372"/>
      <c r="AB847" s="2372"/>
      <c r="AC847" s="2372"/>
      <c r="AD847" s="2372"/>
      <c r="AE847" s="2372"/>
      <c r="AF847" s="2372"/>
      <c r="AG847" s="2372"/>
      <c r="AH847" s="2372"/>
      <c r="AI847" s="2372"/>
      <c r="AJ847" s="2372"/>
      <c r="AK847" s="2372"/>
      <c r="AL847" s="2372"/>
      <c r="AM847" s="2372"/>
      <c r="AN847" s="2372"/>
      <c r="AO847" s="2372"/>
      <c r="AP847" s="2372"/>
      <c r="AQ847" s="2372"/>
      <c r="AR847" s="2372"/>
      <c r="AS847" s="2372"/>
      <c r="AT847" s="2372"/>
      <c r="AU847" s="2372"/>
      <c r="AV847" s="2372"/>
      <c r="AW847" s="2372"/>
      <c r="AX847" s="2372"/>
      <c r="AY847" s="2372"/>
      <c r="AZ847" s="2372"/>
      <c r="BA847" s="2372"/>
      <c r="BB847" s="2372"/>
      <c r="BC847" s="2372"/>
      <c r="BD847" s="2372"/>
      <c r="BE847" s="2372"/>
      <c r="BF847" s="2372"/>
      <c r="BG847" s="2372"/>
      <c r="BH847" s="2372"/>
      <c r="BI847" s="2372"/>
      <c r="BJ847" s="2372"/>
      <c r="BK847" s="2372"/>
      <c r="BL847" s="2372"/>
      <c r="BM847" s="2372"/>
      <c r="BN847" s="2372"/>
      <c r="BO847" s="2372"/>
      <c r="BP847" s="2372"/>
      <c r="BQ847" s="2372"/>
      <c r="BR847" s="2372"/>
      <c r="BS847" s="2372"/>
      <c r="BT847" s="2372"/>
      <c r="BU847" s="2372"/>
      <c r="BV847" s="2372"/>
      <c r="BW847" s="2372"/>
      <c r="BX847" s="2372"/>
      <c r="BY847" s="2372"/>
      <c r="BZ847" s="2372"/>
      <c r="CA847" s="2372"/>
      <c r="CB847" s="2372"/>
      <c r="CC847" s="2372"/>
      <c r="CD847" s="2372"/>
      <c r="CE847" s="2372"/>
      <c r="CF847" s="2372"/>
      <c r="CG847" s="2372"/>
      <c r="CH847" s="2372"/>
      <c r="CI847" s="2372"/>
      <c r="CJ847" s="2372"/>
      <c r="CK847" s="2372"/>
      <c r="CL847" s="2372"/>
      <c r="CM847" s="2372"/>
      <c r="CN847" s="2372"/>
      <c r="CO847" s="2372"/>
      <c r="CP847" s="2372"/>
      <c r="CQ847" s="2372"/>
      <c r="CR847" s="2372"/>
      <c r="CS847" s="2372"/>
      <c r="CT847" s="2372"/>
      <c r="CU847" s="2372"/>
      <c r="CV847" s="2372"/>
      <c r="CW847" s="2372"/>
      <c r="CX847" s="2372"/>
      <c r="CY847" s="2372"/>
      <c r="CZ847" s="2372"/>
      <c r="DA847" s="2372"/>
    </row>
    <row r="848" spans="1:105" ht="15" hidden="1" customHeight="1">
      <c r="A848" s="2372"/>
      <c r="B848" s="2372"/>
      <c r="C848" s="2372"/>
      <c r="D848" s="2372"/>
      <c r="E848" s="2372"/>
      <c r="F848" s="2372"/>
      <c r="G848" s="2372"/>
      <c r="H848" s="2372"/>
      <c r="I848" s="2372"/>
      <c r="J848" s="2372"/>
      <c r="K848" s="2372"/>
      <c r="L848" s="2372"/>
      <c r="M848" s="2372"/>
      <c r="N848" s="2372"/>
      <c r="O848" s="2372"/>
      <c r="P848" s="2372"/>
      <c r="Q848" s="2372"/>
      <c r="R848" s="2372"/>
      <c r="S848" s="2372"/>
      <c r="T848" s="2372"/>
      <c r="U848" s="2372"/>
      <c r="V848" s="2372"/>
      <c r="W848" s="2372"/>
      <c r="X848" s="2372"/>
      <c r="Y848" s="2372"/>
      <c r="Z848" s="2372"/>
      <c r="AA848" s="2372"/>
      <c r="AB848" s="2372"/>
      <c r="AC848" s="2372"/>
      <c r="AD848" s="2372"/>
      <c r="AE848" s="2372"/>
      <c r="AF848" s="2372"/>
      <c r="AG848" s="2372"/>
      <c r="AH848" s="2372"/>
      <c r="AI848" s="2372"/>
      <c r="AJ848" s="2372"/>
      <c r="AK848" s="2372"/>
      <c r="AL848" s="2372"/>
      <c r="AM848" s="2372"/>
      <c r="AN848" s="2372"/>
      <c r="AO848" s="2372"/>
      <c r="AP848" s="2372"/>
      <c r="AQ848" s="2372"/>
      <c r="AR848" s="2372"/>
      <c r="AS848" s="2372"/>
      <c r="AT848" s="2372"/>
      <c r="AU848" s="2372"/>
      <c r="AV848" s="2372"/>
      <c r="AW848" s="2372"/>
      <c r="AX848" s="2372"/>
      <c r="AY848" s="2372"/>
      <c r="AZ848" s="2372"/>
      <c r="BA848" s="2372"/>
      <c r="BB848" s="2372"/>
      <c r="BC848" s="2372"/>
      <c r="BD848" s="2372"/>
      <c r="BE848" s="2372"/>
      <c r="BF848" s="2372"/>
      <c r="BG848" s="2372"/>
      <c r="BH848" s="2372"/>
      <c r="BI848" s="2372"/>
      <c r="BJ848" s="2372"/>
      <c r="BK848" s="2372"/>
      <c r="BL848" s="2372"/>
      <c r="BM848" s="2372"/>
      <c r="BN848" s="2372"/>
      <c r="BO848" s="2372"/>
      <c r="BP848" s="2372"/>
      <c r="BQ848" s="2372"/>
      <c r="BR848" s="2372"/>
      <c r="BS848" s="2372"/>
      <c r="BT848" s="2372"/>
      <c r="BU848" s="2372"/>
      <c r="BV848" s="2372"/>
      <c r="BW848" s="2372"/>
      <c r="BX848" s="2372"/>
      <c r="BY848" s="2372"/>
      <c r="BZ848" s="2372"/>
      <c r="CA848" s="2372"/>
      <c r="CB848" s="2372"/>
      <c r="CC848" s="2372"/>
      <c r="CD848" s="2372"/>
      <c r="CE848" s="2372"/>
      <c r="CF848" s="2372"/>
      <c r="CG848" s="2372"/>
      <c r="CH848" s="2372"/>
      <c r="CI848" s="2372"/>
      <c r="CJ848" s="2372"/>
      <c r="CK848" s="2372"/>
      <c r="CL848" s="2372"/>
      <c r="CM848" s="2372"/>
      <c r="CN848" s="2372"/>
      <c r="CO848" s="2372"/>
      <c r="CP848" s="2372"/>
      <c r="CQ848" s="2372"/>
      <c r="CR848" s="2372"/>
      <c r="CS848" s="2372"/>
      <c r="CT848" s="2372"/>
      <c r="CU848" s="2372"/>
      <c r="CV848" s="2372"/>
      <c r="CW848" s="2372"/>
      <c r="CX848" s="2372"/>
      <c r="CY848" s="2372"/>
      <c r="CZ848" s="2372"/>
      <c r="DA848" s="2372"/>
    </row>
    <row r="849" spans="1:105" ht="15" hidden="1" customHeight="1">
      <c r="A849" s="2372"/>
      <c r="B849" s="2372"/>
      <c r="C849" s="2372"/>
      <c r="D849" s="2372"/>
      <c r="E849" s="2372"/>
      <c r="F849" s="2372"/>
      <c r="G849" s="2372"/>
      <c r="H849" s="2372"/>
      <c r="I849" s="2372"/>
      <c r="J849" s="2372"/>
      <c r="K849" s="2372"/>
      <c r="L849" s="2372"/>
      <c r="M849" s="2372"/>
      <c r="N849" s="2372"/>
      <c r="O849" s="2372"/>
      <c r="P849" s="2372"/>
      <c r="Q849" s="2372"/>
      <c r="R849" s="2372"/>
      <c r="S849" s="2372"/>
      <c r="T849" s="2372"/>
      <c r="U849" s="2372"/>
      <c r="V849" s="2372"/>
      <c r="W849" s="2372"/>
      <c r="X849" s="2372"/>
      <c r="Y849" s="2372"/>
      <c r="Z849" s="2372"/>
      <c r="AA849" s="2372"/>
      <c r="AB849" s="2372"/>
      <c r="AC849" s="2372"/>
      <c r="AD849" s="2372"/>
      <c r="AE849" s="2372"/>
      <c r="AF849" s="2372"/>
      <c r="AG849" s="2372"/>
      <c r="AH849" s="2372"/>
      <c r="AI849" s="2372"/>
      <c r="AJ849" s="2372"/>
      <c r="AK849" s="2372"/>
      <c r="AL849" s="2372"/>
      <c r="AM849" s="2372"/>
      <c r="AN849" s="2372"/>
      <c r="AO849" s="2372"/>
      <c r="AP849" s="2372"/>
      <c r="AQ849" s="2372"/>
      <c r="AR849" s="2372"/>
      <c r="AS849" s="2372"/>
      <c r="AT849" s="2372"/>
      <c r="AU849" s="2372"/>
      <c r="AV849" s="2372"/>
      <c r="AW849" s="2372"/>
      <c r="AX849" s="2372"/>
      <c r="AY849" s="2372"/>
      <c r="AZ849" s="2372"/>
      <c r="BA849" s="2372"/>
      <c r="BB849" s="2372"/>
      <c r="BC849" s="2372"/>
      <c r="BD849" s="2372"/>
      <c r="BE849" s="2372"/>
      <c r="BF849" s="2372"/>
      <c r="BG849" s="2372"/>
      <c r="BH849" s="2372"/>
      <c r="BI849" s="2372"/>
      <c r="BJ849" s="2372"/>
      <c r="BK849" s="2372"/>
      <c r="BL849" s="2372"/>
      <c r="BM849" s="2372"/>
      <c r="BN849" s="2372"/>
      <c r="BO849" s="2372"/>
      <c r="BP849" s="2372"/>
      <c r="BQ849" s="2372"/>
      <c r="BR849" s="2372"/>
      <c r="BS849" s="2372"/>
      <c r="BT849" s="2372"/>
      <c r="BU849" s="2372"/>
      <c r="BV849" s="2372"/>
      <c r="BW849" s="2372"/>
      <c r="BX849" s="2372"/>
      <c r="BY849" s="2372"/>
      <c r="BZ849" s="2372"/>
      <c r="CA849" s="2372"/>
      <c r="CB849" s="2372"/>
      <c r="CC849" s="2372"/>
      <c r="CD849" s="2372"/>
      <c r="CE849" s="2372"/>
      <c r="CF849" s="2372"/>
      <c r="CG849" s="2372"/>
      <c r="CH849" s="2372"/>
      <c r="CI849" s="2372"/>
      <c r="CJ849" s="2372"/>
      <c r="CK849" s="2372"/>
      <c r="CL849" s="2372"/>
      <c r="CM849" s="2372"/>
      <c r="CN849" s="2372"/>
      <c r="CO849" s="2372"/>
      <c r="CP849" s="2372"/>
      <c r="CQ849" s="2372"/>
      <c r="CR849" s="2372"/>
      <c r="CS849" s="2372"/>
      <c r="CT849" s="2372"/>
      <c r="CU849" s="2372"/>
      <c r="CV849" s="2372"/>
      <c r="CW849" s="2372"/>
      <c r="CX849" s="2372"/>
      <c r="CY849" s="2372"/>
      <c r="CZ849" s="2372"/>
      <c r="DA849" s="2372"/>
    </row>
    <row r="850" spans="1:105" ht="15" hidden="1" customHeight="1">
      <c r="A850" s="2372"/>
      <c r="B850" s="2372"/>
      <c r="C850" s="2372"/>
      <c r="D850" s="2372"/>
      <c r="E850" s="2372"/>
      <c r="F850" s="2372"/>
      <c r="G850" s="2372"/>
      <c r="H850" s="2372"/>
      <c r="I850" s="2372"/>
      <c r="J850" s="2372"/>
      <c r="K850" s="2372"/>
      <c r="L850" s="2372"/>
      <c r="M850" s="2372"/>
      <c r="N850" s="2372"/>
      <c r="O850" s="2372"/>
      <c r="P850" s="2372"/>
      <c r="Q850" s="2372"/>
      <c r="R850" s="2372"/>
      <c r="S850" s="2372"/>
      <c r="T850" s="2372"/>
      <c r="U850" s="2372"/>
      <c r="V850" s="2372"/>
      <c r="W850" s="2372"/>
      <c r="X850" s="2372"/>
      <c r="Y850" s="2372"/>
      <c r="Z850" s="2372"/>
      <c r="AA850" s="2372"/>
      <c r="AB850" s="2372"/>
      <c r="AC850" s="2372"/>
      <c r="AD850" s="2372"/>
      <c r="AE850" s="2372"/>
      <c r="AF850" s="2372"/>
      <c r="AG850" s="2372"/>
      <c r="AH850" s="2372"/>
      <c r="AI850" s="2372"/>
      <c r="AJ850" s="2372"/>
      <c r="AK850" s="2372"/>
      <c r="AL850" s="2372"/>
      <c r="AM850" s="2372"/>
      <c r="AN850" s="2372"/>
      <c r="AO850" s="2372"/>
      <c r="AP850" s="2372"/>
      <c r="AQ850" s="2372"/>
      <c r="AR850" s="2372"/>
      <c r="AS850" s="2372"/>
      <c r="AT850" s="2372"/>
      <c r="AU850" s="2372"/>
      <c r="AV850" s="2372"/>
      <c r="AW850" s="2372"/>
      <c r="AX850" s="2372"/>
      <c r="AY850" s="2372"/>
      <c r="AZ850" s="2372"/>
      <c r="BA850" s="2372"/>
      <c r="BB850" s="2372"/>
      <c r="BC850" s="2372"/>
      <c r="BD850" s="2372"/>
      <c r="BE850" s="2372"/>
      <c r="BF850" s="2372"/>
      <c r="BG850" s="2372"/>
      <c r="BH850" s="2372"/>
      <c r="BI850" s="2372"/>
      <c r="BJ850" s="2372"/>
      <c r="BK850" s="2372"/>
      <c r="BL850" s="2372"/>
      <c r="BM850" s="2372"/>
      <c r="BN850" s="2372"/>
      <c r="BO850" s="2372"/>
      <c r="BP850" s="2372"/>
      <c r="BQ850" s="2372"/>
      <c r="BR850" s="2372"/>
      <c r="BS850" s="2372"/>
      <c r="BT850" s="2372"/>
      <c r="BU850" s="2372"/>
      <c r="BV850" s="2372"/>
      <c r="BW850" s="2372"/>
      <c r="BX850" s="2372"/>
      <c r="BY850" s="2372"/>
      <c r="BZ850" s="2372"/>
      <c r="CA850" s="2372"/>
      <c r="CB850" s="2372"/>
      <c r="CC850" s="2372"/>
      <c r="CD850" s="2372"/>
      <c r="CE850" s="2372"/>
      <c r="CF850" s="2372"/>
      <c r="CG850" s="2372"/>
      <c r="CH850" s="2372"/>
      <c r="CI850" s="2372"/>
      <c r="CJ850" s="2372"/>
      <c r="CK850" s="2372"/>
      <c r="CL850" s="2372"/>
      <c r="CM850" s="2372"/>
      <c r="CN850" s="2372"/>
      <c r="CO850" s="2372"/>
      <c r="CP850" s="2372"/>
      <c r="CQ850" s="2372"/>
      <c r="CR850" s="2372"/>
      <c r="CS850" s="2372"/>
      <c r="CT850" s="2372"/>
      <c r="CU850" s="2372"/>
      <c r="CV850" s="2372"/>
      <c r="CW850" s="2372"/>
      <c r="CX850" s="2372"/>
      <c r="CY850" s="2372"/>
      <c r="CZ850" s="2372"/>
      <c r="DA850" s="2372"/>
    </row>
    <row r="851" spans="1:105" ht="15" hidden="1" customHeight="1">
      <c r="A851" s="2372"/>
      <c r="B851" s="2372"/>
      <c r="C851" s="2372"/>
      <c r="D851" s="2372"/>
      <c r="E851" s="2372"/>
      <c r="F851" s="2372"/>
      <c r="G851" s="2372"/>
      <c r="H851" s="2372"/>
      <c r="I851" s="2372"/>
      <c r="J851" s="2372"/>
      <c r="K851" s="2372"/>
      <c r="L851" s="2372"/>
      <c r="M851" s="2372"/>
      <c r="N851" s="2372"/>
      <c r="O851" s="2372"/>
      <c r="P851" s="2372"/>
      <c r="Q851" s="2372"/>
      <c r="R851" s="2372"/>
      <c r="S851" s="2372"/>
      <c r="T851" s="2372"/>
      <c r="U851" s="2372"/>
      <c r="V851" s="2372"/>
      <c r="W851" s="2372"/>
      <c r="X851" s="2372"/>
      <c r="Y851" s="2372"/>
      <c r="Z851" s="2372"/>
      <c r="AA851" s="2372"/>
      <c r="AB851" s="2372"/>
      <c r="AC851" s="2372"/>
      <c r="AD851" s="2372"/>
      <c r="AE851" s="2372"/>
      <c r="AF851" s="2372"/>
      <c r="AG851" s="2372"/>
      <c r="AH851" s="2372"/>
      <c r="AI851" s="2372"/>
      <c r="AJ851" s="2372"/>
      <c r="AK851" s="2372"/>
      <c r="AL851" s="2372"/>
      <c r="AM851" s="2372"/>
      <c r="AN851" s="2372"/>
      <c r="AO851" s="2372"/>
      <c r="AP851" s="2372"/>
      <c r="AQ851" s="2372"/>
      <c r="AR851" s="2372"/>
      <c r="AS851" s="2372"/>
      <c r="AT851" s="2372"/>
      <c r="AU851" s="2372"/>
      <c r="AV851" s="2372"/>
      <c r="AW851" s="2372"/>
      <c r="AX851" s="2372"/>
      <c r="AY851" s="2372"/>
      <c r="AZ851" s="2372"/>
      <c r="BA851" s="2372"/>
      <c r="BB851" s="2372"/>
      <c r="BC851" s="2372"/>
      <c r="BD851" s="2372"/>
      <c r="BE851" s="2372"/>
      <c r="BF851" s="2372"/>
      <c r="BG851" s="2372"/>
      <c r="BH851" s="2372"/>
      <c r="BI851" s="2372"/>
      <c r="BJ851" s="2372"/>
      <c r="BK851" s="2372"/>
      <c r="BL851" s="2372"/>
      <c r="BM851" s="2372"/>
      <c r="BN851" s="2372"/>
      <c r="BO851" s="2372"/>
      <c r="BP851" s="2372"/>
      <c r="BQ851" s="2372"/>
      <c r="BR851" s="2372"/>
      <c r="BS851" s="2372"/>
      <c r="BT851" s="2372"/>
      <c r="BU851" s="2372"/>
      <c r="BV851" s="2372"/>
      <c r="BW851" s="2372"/>
      <c r="BX851" s="2372"/>
      <c r="BY851" s="2372"/>
      <c r="BZ851" s="2372"/>
      <c r="CA851" s="2372"/>
      <c r="CB851" s="2372"/>
      <c r="CC851" s="2372"/>
      <c r="CD851" s="2372"/>
      <c r="CE851" s="2372"/>
      <c r="CF851" s="2372"/>
      <c r="CG851" s="2372"/>
      <c r="CH851" s="2372"/>
      <c r="CI851" s="2372"/>
      <c r="CJ851" s="2372"/>
      <c r="CK851" s="2372"/>
      <c r="CL851" s="2372"/>
      <c r="CM851" s="2372"/>
      <c r="CN851" s="2372"/>
      <c r="CO851" s="2372"/>
      <c r="CP851" s="2372"/>
      <c r="CQ851" s="2372"/>
      <c r="CR851" s="2372"/>
      <c r="CS851" s="2372"/>
      <c r="CT851" s="2372"/>
      <c r="CU851" s="2372"/>
      <c r="CV851" s="2372"/>
      <c r="CW851" s="2372"/>
      <c r="CX851" s="2372"/>
      <c r="CY851" s="2372"/>
      <c r="CZ851" s="2372"/>
      <c r="DA851" s="2372"/>
    </row>
    <row r="852" spans="1:105" ht="15" hidden="1" customHeight="1">
      <c r="A852" s="2372"/>
      <c r="B852" s="2372"/>
      <c r="C852" s="2372"/>
      <c r="D852" s="2372"/>
      <c r="E852" s="2372"/>
      <c r="F852" s="2372"/>
      <c r="G852" s="2372"/>
      <c r="H852" s="2372"/>
      <c r="I852" s="2372"/>
      <c r="J852" s="2372"/>
      <c r="K852" s="2372"/>
      <c r="L852" s="2372"/>
      <c r="M852" s="2372"/>
      <c r="N852" s="2372"/>
      <c r="O852" s="2372"/>
      <c r="P852" s="2372"/>
      <c r="Q852" s="2372"/>
      <c r="R852" s="2372"/>
      <c r="S852" s="2372"/>
      <c r="T852" s="2372"/>
      <c r="U852" s="2372"/>
      <c r="V852" s="2372"/>
      <c r="W852" s="2372"/>
      <c r="X852" s="2372"/>
      <c r="Y852" s="2372"/>
      <c r="Z852" s="2372"/>
      <c r="AA852" s="2372"/>
      <c r="AB852" s="2372"/>
      <c r="AC852" s="2372"/>
      <c r="AD852" s="2372"/>
      <c r="AE852" s="2372"/>
      <c r="AF852" s="2372"/>
      <c r="AG852" s="2372"/>
      <c r="AH852" s="2372"/>
      <c r="AI852" s="2372"/>
      <c r="AJ852" s="2372"/>
      <c r="AK852" s="2372"/>
      <c r="AL852" s="2372"/>
      <c r="AM852" s="2372"/>
      <c r="AN852" s="2372"/>
      <c r="AO852" s="2372"/>
      <c r="AP852" s="2372"/>
      <c r="AQ852" s="2372"/>
      <c r="AR852" s="2372"/>
      <c r="AS852" s="2372"/>
      <c r="AT852" s="2372"/>
      <c r="AU852" s="2372"/>
      <c r="AV852" s="2372"/>
      <c r="AW852" s="2372"/>
      <c r="AX852" s="2372"/>
      <c r="AY852" s="2372"/>
      <c r="AZ852" s="2372"/>
      <c r="BA852" s="2372"/>
      <c r="BB852" s="2372"/>
      <c r="BC852" s="2372"/>
      <c r="BD852" s="2372"/>
      <c r="BE852" s="2372"/>
      <c r="BF852" s="2372"/>
      <c r="BG852" s="2372"/>
      <c r="BH852" s="2372"/>
      <c r="BI852" s="2372"/>
      <c r="BJ852" s="2372"/>
      <c r="BK852" s="2372"/>
      <c r="BL852" s="2372"/>
      <c r="BM852" s="2372"/>
      <c r="BN852" s="2372"/>
      <c r="BO852" s="2372"/>
      <c r="BP852" s="2372"/>
      <c r="BQ852" s="2372"/>
      <c r="BR852" s="2372"/>
      <c r="BS852" s="2372"/>
      <c r="BT852" s="2372"/>
      <c r="BU852" s="2372"/>
      <c r="BV852" s="2372"/>
      <c r="BW852" s="2372"/>
      <c r="BX852" s="2372"/>
      <c r="BY852" s="2372"/>
      <c r="BZ852" s="2372"/>
      <c r="CA852" s="2372"/>
      <c r="CB852" s="2372"/>
      <c r="CC852" s="2372"/>
      <c r="CD852" s="2372"/>
      <c r="CE852" s="2372"/>
      <c r="CF852" s="2372"/>
      <c r="CG852" s="2372"/>
      <c r="CH852" s="2372"/>
      <c r="CI852" s="2372"/>
      <c r="CJ852" s="2372"/>
      <c r="CK852" s="2372"/>
      <c r="CL852" s="2372"/>
      <c r="CM852" s="2372"/>
      <c r="CN852" s="2372"/>
      <c r="CO852" s="2372"/>
      <c r="CP852" s="2372"/>
      <c r="CQ852" s="2372"/>
      <c r="CR852" s="2372"/>
      <c r="CS852" s="2372"/>
      <c r="CT852" s="2372"/>
      <c r="CU852" s="2372"/>
      <c r="CV852" s="2372"/>
      <c r="CW852" s="2372"/>
      <c r="CX852" s="2372"/>
      <c r="CY852" s="2372"/>
      <c r="CZ852" s="2372"/>
      <c r="DA852" s="2372"/>
    </row>
    <row r="853" spans="1:105" ht="15" hidden="1" customHeight="1">
      <c r="A853" s="2372"/>
      <c r="B853" s="2372"/>
      <c r="C853" s="2372"/>
      <c r="D853" s="2372"/>
      <c r="E853" s="2372"/>
      <c r="F853" s="2372"/>
      <c r="G853" s="2372"/>
      <c r="H853" s="2372"/>
      <c r="I853" s="2372"/>
      <c r="J853" s="2372"/>
      <c r="K853" s="2372"/>
      <c r="L853" s="2372"/>
      <c r="M853" s="2372"/>
      <c r="N853" s="2372"/>
      <c r="O853" s="2372"/>
      <c r="P853" s="2372"/>
      <c r="Q853" s="2372"/>
      <c r="R853" s="2372"/>
      <c r="S853" s="2372"/>
      <c r="T853" s="2372"/>
      <c r="U853" s="2372"/>
      <c r="V853" s="2372"/>
      <c r="W853" s="2372"/>
      <c r="X853" s="2372"/>
      <c r="Y853" s="2372"/>
      <c r="Z853" s="2372"/>
      <c r="AA853" s="2372"/>
      <c r="AB853" s="2372"/>
      <c r="AC853" s="2372"/>
      <c r="AD853" s="2372"/>
      <c r="AE853" s="2372"/>
      <c r="AF853" s="2372"/>
      <c r="AG853" s="2372"/>
      <c r="AH853" s="2372"/>
      <c r="AI853" s="2372"/>
      <c r="AJ853" s="2372"/>
      <c r="AK853" s="2372"/>
      <c r="AL853" s="2372"/>
      <c r="AM853" s="2372"/>
      <c r="AN853" s="2372"/>
      <c r="AO853" s="2372"/>
      <c r="AP853" s="2372"/>
      <c r="AQ853" s="2372"/>
      <c r="AR853" s="2372"/>
      <c r="AS853" s="2372"/>
      <c r="AT853" s="2372"/>
      <c r="AU853" s="2372"/>
      <c r="AV853" s="2372"/>
      <c r="AW853" s="2372"/>
      <c r="AX853" s="2372"/>
      <c r="AY853" s="2372"/>
      <c r="AZ853" s="2372"/>
      <c r="BA853" s="2372"/>
      <c r="BB853" s="2372"/>
      <c r="BC853" s="2372"/>
      <c r="BD853" s="2372"/>
      <c r="BE853" s="2372"/>
      <c r="BF853" s="2372"/>
      <c r="BG853" s="2372"/>
      <c r="BH853" s="2372"/>
      <c r="BI853" s="2372"/>
      <c r="BJ853" s="2372"/>
      <c r="BK853" s="2372"/>
      <c r="BL853" s="2372"/>
      <c r="BM853" s="2372"/>
      <c r="BN853" s="2372"/>
      <c r="BO853" s="2372"/>
      <c r="BP853" s="2372"/>
      <c r="BQ853" s="2372"/>
      <c r="BR853" s="2372"/>
      <c r="BS853" s="2372"/>
      <c r="BT853" s="2372"/>
      <c r="BU853" s="2372"/>
      <c r="BV853" s="2372"/>
      <c r="BW853" s="2372"/>
      <c r="BX853" s="2372"/>
      <c r="BY853" s="2372"/>
      <c r="BZ853" s="2372"/>
      <c r="CA853" s="2372"/>
      <c r="CB853" s="2372"/>
      <c r="CC853" s="2372"/>
      <c r="CD853" s="2372"/>
      <c r="CE853" s="2372"/>
      <c r="CF853" s="2372"/>
      <c r="CG853" s="2372"/>
      <c r="CH853" s="2372"/>
      <c r="CI853" s="2372"/>
      <c r="CJ853" s="2372"/>
      <c r="CK853" s="2372"/>
      <c r="CL853" s="2372"/>
      <c r="CM853" s="2372"/>
      <c r="CN853" s="2372"/>
      <c r="CO853" s="2372"/>
      <c r="CP853" s="2372"/>
      <c r="CQ853" s="2372"/>
      <c r="CR853" s="2372"/>
      <c r="CS853" s="2372"/>
      <c r="CT853" s="2372"/>
      <c r="CU853" s="2372"/>
      <c r="CV853" s="2372"/>
      <c r="CW853" s="2372"/>
      <c r="CX853" s="2372"/>
      <c r="CY853" s="2372"/>
      <c r="CZ853" s="2372"/>
      <c r="DA853" s="2372"/>
    </row>
    <row r="854" spans="1:105" ht="15" hidden="1" customHeight="1">
      <c r="A854" s="2372"/>
      <c r="B854" s="2372"/>
      <c r="C854" s="2372"/>
      <c r="D854" s="2372"/>
      <c r="E854" s="2372"/>
      <c r="F854" s="2372"/>
      <c r="G854" s="2372"/>
      <c r="H854" s="2372"/>
      <c r="I854" s="2372"/>
      <c r="J854" s="2372"/>
      <c r="K854" s="2372"/>
      <c r="L854" s="2372"/>
      <c r="M854" s="2372"/>
      <c r="N854" s="2372"/>
      <c r="O854" s="2372"/>
      <c r="P854" s="2372"/>
      <c r="Q854" s="2372"/>
      <c r="R854" s="2372"/>
      <c r="S854" s="2372"/>
      <c r="T854" s="2372"/>
      <c r="U854" s="2372"/>
      <c r="V854" s="2372"/>
      <c r="W854" s="2372"/>
      <c r="X854" s="2372"/>
      <c r="Y854" s="2372"/>
      <c r="Z854" s="2372"/>
      <c r="AA854" s="2372"/>
      <c r="AB854" s="2372"/>
      <c r="AC854" s="2372"/>
      <c r="AD854" s="2372"/>
      <c r="AE854" s="2372"/>
      <c r="AF854" s="2372"/>
      <c r="AG854" s="2372"/>
      <c r="AH854" s="2372"/>
      <c r="AI854" s="2372"/>
      <c r="AJ854" s="2372"/>
      <c r="AK854" s="2372"/>
      <c r="AL854" s="2372"/>
      <c r="AM854" s="2372"/>
      <c r="AN854" s="2372"/>
      <c r="AO854" s="2372"/>
      <c r="AP854" s="2372"/>
      <c r="AQ854" s="2372"/>
      <c r="AR854" s="2372"/>
      <c r="AS854" s="2372"/>
      <c r="AT854" s="2372"/>
      <c r="AU854" s="2372"/>
      <c r="AV854" s="2372"/>
      <c r="AW854" s="2372"/>
      <c r="AX854" s="2372"/>
      <c r="AY854" s="2372"/>
      <c r="AZ854" s="2372"/>
      <c r="BA854" s="2372"/>
      <c r="BB854" s="2372"/>
      <c r="BC854" s="2372"/>
      <c r="BD854" s="2372"/>
      <c r="BE854" s="2372"/>
      <c r="BF854" s="2372"/>
      <c r="BG854" s="2372"/>
      <c r="BH854" s="2372"/>
      <c r="BI854" s="2372"/>
      <c r="BJ854" s="2372"/>
      <c r="BK854" s="2372"/>
      <c r="BL854" s="2372"/>
      <c r="BM854" s="2372"/>
      <c r="BN854" s="2372"/>
      <c r="BO854" s="2372"/>
      <c r="BP854" s="2372"/>
      <c r="BQ854" s="2372"/>
      <c r="BR854" s="2372"/>
      <c r="BS854" s="2372"/>
      <c r="BT854" s="2372"/>
      <c r="BU854" s="2372"/>
      <c r="BV854" s="2372"/>
      <c r="BW854" s="2372"/>
      <c r="BX854" s="2372"/>
      <c r="BY854" s="2372"/>
      <c r="BZ854" s="2372"/>
      <c r="CA854" s="2372"/>
      <c r="CB854" s="2372"/>
      <c r="CC854" s="2372"/>
      <c r="CD854" s="2372"/>
      <c r="CE854" s="2372"/>
      <c r="CF854" s="2372"/>
      <c r="CG854" s="2372"/>
      <c r="CH854" s="2372"/>
      <c r="CI854" s="2372"/>
      <c r="CJ854" s="2372"/>
      <c r="CK854" s="2372"/>
      <c r="CL854" s="2372"/>
      <c r="CM854" s="2372"/>
      <c r="CN854" s="2372"/>
      <c r="CO854" s="2372"/>
      <c r="CP854" s="2372"/>
      <c r="CQ854" s="2372"/>
      <c r="CR854" s="2372"/>
      <c r="CS854" s="2372"/>
      <c r="CT854" s="2372"/>
      <c r="CU854" s="2372"/>
      <c r="CV854" s="2372"/>
      <c r="CW854" s="2372"/>
      <c r="CX854" s="2372"/>
      <c r="CY854" s="2372"/>
      <c r="CZ854" s="2372"/>
      <c r="DA854" s="2372"/>
    </row>
    <row r="855" spans="1:105" ht="15" hidden="1" customHeight="1">
      <c r="A855" s="2372"/>
      <c r="B855" s="2372"/>
      <c r="C855" s="2372"/>
      <c r="D855" s="2372"/>
      <c r="E855" s="2372"/>
      <c r="F855" s="2372"/>
      <c r="G855" s="2372"/>
      <c r="H855" s="2372"/>
      <c r="I855" s="2372"/>
      <c r="J855" s="2372"/>
      <c r="K855" s="2372"/>
      <c r="L855" s="2372"/>
      <c r="M855" s="2372"/>
      <c r="N855" s="2372"/>
      <c r="O855" s="2372"/>
      <c r="P855" s="2372"/>
      <c r="Q855" s="2372"/>
      <c r="R855" s="2372"/>
      <c r="S855" s="2372"/>
      <c r="T855" s="2372"/>
      <c r="U855" s="2372"/>
      <c r="V855" s="2372"/>
      <c r="W855" s="2372"/>
      <c r="X855" s="2372"/>
      <c r="Y855" s="2372"/>
      <c r="Z855" s="2372"/>
      <c r="AA855" s="2372"/>
      <c r="AB855" s="2372"/>
      <c r="AC855" s="2372"/>
      <c r="AD855" s="2372"/>
      <c r="AE855" s="2372"/>
      <c r="AF855" s="2372"/>
      <c r="AG855" s="2372"/>
      <c r="AH855" s="2372"/>
      <c r="AI855" s="2372"/>
      <c r="AJ855" s="2372"/>
      <c r="AK855" s="2372"/>
      <c r="AL855" s="2372"/>
      <c r="AM855" s="2372"/>
      <c r="AN855" s="2372"/>
      <c r="AO855" s="2372"/>
      <c r="AP855" s="2372"/>
      <c r="AQ855" s="2372"/>
      <c r="AR855" s="2372"/>
      <c r="AS855" s="2372"/>
      <c r="AT855" s="2372"/>
      <c r="AU855" s="2372"/>
      <c r="AV855" s="2372"/>
      <c r="AW855" s="2372"/>
      <c r="AX855" s="2372"/>
      <c r="AY855" s="2372"/>
      <c r="AZ855" s="2372"/>
      <c r="BA855" s="2372"/>
      <c r="BB855" s="2372"/>
      <c r="BC855" s="2372"/>
      <c r="BD855" s="2372"/>
      <c r="BE855" s="2372"/>
      <c r="BF855" s="2372"/>
      <c r="BG855" s="2372"/>
      <c r="BH855" s="2372"/>
      <c r="BI855" s="2372"/>
      <c r="BJ855" s="2372"/>
      <c r="BK855" s="2372"/>
      <c r="BL855" s="2372"/>
      <c r="BM855" s="2372"/>
      <c r="BN855" s="2372"/>
      <c r="BO855" s="2372"/>
      <c r="BP855" s="2372"/>
      <c r="BQ855" s="2372"/>
      <c r="BR855" s="2372"/>
      <c r="BS855" s="2372"/>
      <c r="BT855" s="2372"/>
      <c r="BU855" s="2372"/>
      <c r="BV855" s="2372"/>
      <c r="BW855" s="2372"/>
      <c r="BX855" s="2372"/>
      <c r="BY855" s="2372"/>
      <c r="BZ855" s="2372"/>
      <c r="CA855" s="2372"/>
      <c r="CB855" s="2372"/>
      <c r="CC855" s="2372"/>
      <c r="CD855" s="2372"/>
      <c r="CE855" s="2372"/>
      <c r="CF855" s="2372"/>
      <c r="CG855" s="2372"/>
      <c r="CH855" s="2372"/>
      <c r="CI855" s="2372"/>
      <c r="CJ855" s="2372"/>
      <c r="CK855" s="2372"/>
      <c r="CL855" s="2372"/>
      <c r="CM855" s="2372"/>
      <c r="CN855" s="2372"/>
      <c r="CO855" s="2372"/>
      <c r="CP855" s="2372"/>
      <c r="CQ855" s="2372"/>
      <c r="CR855" s="2372"/>
      <c r="CS855" s="2372"/>
      <c r="CT855" s="2372"/>
      <c r="CU855" s="2372"/>
      <c r="CV855" s="2372"/>
      <c r="CW855" s="2372"/>
      <c r="CX855" s="2372"/>
      <c r="CY855" s="2372"/>
      <c r="CZ855" s="2372"/>
      <c r="DA855" s="2372"/>
    </row>
    <row r="856" spans="1:105" ht="15" hidden="1" customHeight="1">
      <c r="A856" s="2372"/>
      <c r="B856" s="2372"/>
      <c r="C856" s="2372"/>
      <c r="D856" s="2372"/>
      <c r="E856" s="2372"/>
      <c r="F856" s="2372"/>
      <c r="G856" s="2372"/>
      <c r="H856" s="2372"/>
      <c r="I856" s="2372"/>
      <c r="J856" s="2372"/>
      <c r="K856" s="2372"/>
      <c r="L856" s="2372"/>
      <c r="M856" s="2372"/>
      <c r="N856" s="2372"/>
      <c r="O856" s="2372"/>
      <c r="P856" s="2372"/>
      <c r="Q856" s="2372"/>
      <c r="R856" s="2372"/>
      <c r="S856" s="2372"/>
      <c r="T856" s="2372"/>
      <c r="U856" s="2372"/>
      <c r="V856" s="2372"/>
      <c r="W856" s="2372"/>
      <c r="X856" s="2372"/>
      <c r="Y856" s="2372"/>
      <c r="Z856" s="2372"/>
      <c r="AA856" s="2372"/>
      <c r="AB856" s="2372"/>
      <c r="AC856" s="2372"/>
      <c r="AD856" s="2372"/>
      <c r="AE856" s="2372"/>
      <c r="AF856" s="2372"/>
      <c r="AG856" s="2372"/>
      <c r="AH856" s="2372"/>
      <c r="AI856" s="2372"/>
      <c r="AJ856" s="2372"/>
      <c r="AK856" s="2372"/>
      <c r="AL856" s="2372"/>
      <c r="AM856" s="2372"/>
      <c r="AN856" s="2372"/>
      <c r="AO856" s="2372"/>
      <c r="AP856" s="2372"/>
      <c r="AQ856" s="2372"/>
      <c r="AR856" s="2372"/>
      <c r="AS856" s="2372"/>
      <c r="AT856" s="2372"/>
      <c r="AU856" s="2372"/>
      <c r="AV856" s="2372"/>
      <c r="AW856" s="2372"/>
      <c r="AX856" s="2372"/>
      <c r="AY856" s="2372"/>
      <c r="AZ856" s="2372"/>
      <c r="BA856" s="2372"/>
      <c r="BB856" s="2372"/>
      <c r="BC856" s="2372"/>
      <c r="BD856" s="2372"/>
      <c r="BE856" s="2372"/>
      <c r="BF856" s="2372"/>
      <c r="BG856" s="2372"/>
      <c r="BH856" s="2372"/>
      <c r="BI856" s="2372"/>
      <c r="BJ856" s="2372"/>
      <c r="BK856" s="2372"/>
      <c r="BL856" s="2372"/>
      <c r="BM856" s="2372"/>
      <c r="BN856" s="2372"/>
      <c r="BO856" s="2372"/>
      <c r="BP856" s="2372"/>
      <c r="BQ856" s="2372"/>
      <c r="BR856" s="2372"/>
      <c r="BS856" s="2372"/>
      <c r="BT856" s="2372"/>
      <c r="BU856" s="2372"/>
      <c r="BV856" s="2372"/>
      <c r="BW856" s="2372"/>
      <c r="BX856" s="2372"/>
      <c r="BY856" s="2372"/>
      <c r="BZ856" s="2372"/>
      <c r="CA856" s="2372"/>
      <c r="CB856" s="2372"/>
      <c r="CC856" s="2372"/>
      <c r="CD856" s="2372"/>
      <c r="CE856" s="2372"/>
      <c r="CF856" s="2372"/>
      <c r="CG856" s="2372"/>
      <c r="CH856" s="2372"/>
      <c r="CI856" s="2372"/>
      <c r="CJ856" s="2372"/>
      <c r="CK856" s="2372"/>
      <c r="CL856" s="2372"/>
      <c r="CM856" s="2372"/>
      <c r="CN856" s="2372"/>
      <c r="CO856" s="2372"/>
      <c r="CP856" s="2372"/>
      <c r="CQ856" s="2372"/>
      <c r="CR856" s="2372"/>
      <c r="CS856" s="2372"/>
      <c r="CT856" s="2372"/>
      <c r="CU856" s="2372"/>
      <c r="CV856" s="2372"/>
      <c r="CW856" s="2372"/>
      <c r="CX856" s="2372"/>
      <c r="CY856" s="2372"/>
      <c r="CZ856" s="2372"/>
      <c r="DA856" s="2372"/>
    </row>
    <row r="857" spans="1:105" ht="15" hidden="1" customHeight="1">
      <c r="A857" s="2372"/>
      <c r="B857" s="2372"/>
      <c r="C857" s="2372"/>
      <c r="D857" s="2372"/>
      <c r="E857" s="2372"/>
      <c r="F857" s="2372"/>
      <c r="G857" s="2372"/>
      <c r="H857" s="2372"/>
      <c r="I857" s="2372"/>
      <c r="J857" s="2372"/>
      <c r="K857" s="2372"/>
      <c r="L857" s="2372"/>
      <c r="M857" s="2372"/>
      <c r="N857" s="2372"/>
      <c r="O857" s="2372"/>
      <c r="P857" s="2372"/>
      <c r="Q857" s="2372"/>
      <c r="R857" s="2372"/>
      <c r="S857" s="2372"/>
      <c r="T857" s="2372"/>
      <c r="U857" s="2372"/>
      <c r="V857" s="2372"/>
      <c r="W857" s="2372"/>
      <c r="X857" s="2372"/>
      <c r="Y857" s="2372"/>
      <c r="Z857" s="2372"/>
      <c r="AA857" s="2372"/>
      <c r="AB857" s="2372"/>
      <c r="AC857" s="2372"/>
      <c r="AD857" s="2372"/>
      <c r="AE857" s="2372"/>
      <c r="AF857" s="2372"/>
      <c r="AG857" s="2372"/>
      <c r="AH857" s="2372"/>
      <c r="AI857" s="2372"/>
      <c r="AJ857" s="2372"/>
      <c r="AK857" s="2372"/>
      <c r="AL857" s="2372"/>
      <c r="AM857" s="2372"/>
      <c r="AN857" s="2372"/>
      <c r="AO857" s="2372"/>
      <c r="AP857" s="2372"/>
      <c r="AQ857" s="2372"/>
      <c r="AR857" s="2372"/>
      <c r="AS857" s="2372"/>
      <c r="AT857" s="2372"/>
      <c r="AU857" s="2372"/>
      <c r="AV857" s="2372"/>
      <c r="AW857" s="2372"/>
      <c r="AX857" s="2372"/>
      <c r="AY857" s="2372"/>
      <c r="AZ857" s="2372"/>
      <c r="BA857" s="2372"/>
      <c r="BB857" s="2372"/>
      <c r="BC857" s="2372"/>
      <c r="BD857" s="2372"/>
      <c r="BE857" s="2372"/>
      <c r="BF857" s="2372"/>
      <c r="BG857" s="2372"/>
      <c r="BH857" s="2372"/>
      <c r="BI857" s="2372"/>
      <c r="BJ857" s="2372"/>
      <c r="BK857" s="2372"/>
      <c r="BL857" s="2372"/>
      <c r="BM857" s="2372"/>
      <c r="BN857" s="2372"/>
      <c r="BO857" s="2372"/>
      <c r="BP857" s="2372"/>
      <c r="BQ857" s="2372"/>
      <c r="BR857" s="2372"/>
      <c r="BS857" s="2372"/>
      <c r="BT857" s="2372"/>
      <c r="BU857" s="2372"/>
      <c r="BV857" s="2372"/>
      <c r="BW857" s="2372"/>
      <c r="BX857" s="2372"/>
      <c r="BY857" s="2372"/>
      <c r="BZ857" s="2372"/>
      <c r="CA857" s="2372"/>
      <c r="CB857" s="2372"/>
      <c r="CC857" s="2372"/>
      <c r="CD857" s="2372"/>
      <c r="CE857" s="2372"/>
      <c r="CF857" s="2372"/>
      <c r="CG857" s="2372"/>
      <c r="CH857" s="2372"/>
      <c r="CI857" s="2372"/>
      <c r="CJ857" s="2372"/>
      <c r="CK857" s="2372"/>
      <c r="CL857" s="2372"/>
      <c r="CM857" s="2372"/>
      <c r="CN857" s="2372"/>
      <c r="CO857" s="2372"/>
      <c r="CP857" s="2372"/>
      <c r="CQ857" s="2372"/>
      <c r="CR857" s="2372"/>
      <c r="CS857" s="2372"/>
      <c r="CT857" s="2372"/>
      <c r="CU857" s="2372"/>
      <c r="CV857" s="2372"/>
      <c r="CW857" s="2372"/>
      <c r="CX857" s="2372"/>
      <c r="CY857" s="2372"/>
      <c r="CZ857" s="2372"/>
      <c r="DA857" s="2372"/>
    </row>
    <row r="858" spans="1:105" ht="15" hidden="1" customHeight="1">
      <c r="A858" s="2372"/>
      <c r="B858" s="2372"/>
      <c r="C858" s="2372"/>
      <c r="D858" s="2372"/>
      <c r="E858" s="2372"/>
      <c r="F858" s="2372"/>
      <c r="G858" s="2372"/>
      <c r="H858" s="2372"/>
      <c r="I858" s="2372"/>
      <c r="J858" s="2372"/>
      <c r="K858" s="2372"/>
      <c r="L858" s="2372"/>
      <c r="M858" s="2372"/>
      <c r="N858" s="2372"/>
      <c r="O858" s="2372"/>
      <c r="P858" s="2372"/>
      <c r="Q858" s="2372"/>
      <c r="R858" s="2372"/>
      <c r="S858" s="2372"/>
      <c r="T858" s="2372"/>
      <c r="U858" s="2372"/>
      <c r="V858" s="2372"/>
      <c r="W858" s="2372"/>
      <c r="X858" s="2372"/>
      <c r="Y858" s="2372"/>
      <c r="Z858" s="2372"/>
      <c r="AA858" s="2372"/>
      <c r="AB858" s="2372"/>
      <c r="AC858" s="2372"/>
      <c r="AD858" s="2372"/>
      <c r="AE858" s="2372"/>
      <c r="AF858" s="2372"/>
      <c r="AG858" s="2372"/>
      <c r="AH858" s="2372"/>
      <c r="AI858" s="2372"/>
      <c r="AJ858" s="2372"/>
      <c r="AK858" s="2372"/>
      <c r="AL858" s="2372"/>
      <c r="AM858" s="2372"/>
      <c r="AN858" s="2372"/>
      <c r="AO858" s="2372"/>
      <c r="AP858" s="2372"/>
      <c r="AQ858" s="2372"/>
      <c r="AR858" s="2372"/>
      <c r="AS858" s="2372"/>
      <c r="AT858" s="2372"/>
      <c r="AU858" s="2372"/>
      <c r="AV858" s="2372"/>
      <c r="AW858" s="2372"/>
      <c r="AX858" s="2372"/>
      <c r="AY858" s="2372"/>
      <c r="AZ858" s="2372"/>
      <c r="BA858" s="2372"/>
      <c r="BB858" s="2372"/>
      <c r="BC858" s="2372"/>
      <c r="BD858" s="2372"/>
      <c r="BE858" s="2372"/>
      <c r="BF858" s="2372"/>
      <c r="BG858" s="2372"/>
      <c r="BH858" s="2372"/>
      <c r="BI858" s="2372"/>
      <c r="BJ858" s="2372"/>
      <c r="BK858" s="2372"/>
      <c r="BL858" s="2372"/>
      <c r="BM858" s="2372"/>
      <c r="BN858" s="2372"/>
      <c r="BO858" s="2372"/>
      <c r="BP858" s="2372"/>
      <c r="BQ858" s="2372"/>
      <c r="BR858" s="2372"/>
      <c r="BS858" s="2372"/>
      <c r="BT858" s="2372"/>
      <c r="BU858" s="2372"/>
      <c r="BV858" s="2372"/>
      <c r="BW858" s="2372"/>
      <c r="BX858" s="2372"/>
      <c r="BY858" s="2372"/>
      <c r="BZ858" s="2372"/>
      <c r="CA858" s="2372"/>
      <c r="CB858" s="2372"/>
      <c r="CC858" s="2372"/>
      <c r="CD858" s="2372"/>
      <c r="CE858" s="2372"/>
      <c r="CF858" s="2372"/>
      <c r="CG858" s="2372"/>
      <c r="CH858" s="2372"/>
      <c r="CI858" s="2372"/>
      <c r="CJ858" s="2372"/>
      <c r="CK858" s="2372"/>
      <c r="CL858" s="2372"/>
      <c r="CM858" s="2372"/>
      <c r="CN858" s="2372"/>
      <c r="CO858" s="2372"/>
      <c r="CP858" s="2372"/>
      <c r="CQ858" s="2372"/>
      <c r="CR858" s="2372"/>
      <c r="CS858" s="2372"/>
      <c r="CT858" s="2372"/>
      <c r="CU858" s="2372"/>
      <c r="CV858" s="2372"/>
      <c r="CW858" s="2372"/>
      <c r="CX858" s="2372"/>
      <c r="CY858" s="2372"/>
      <c r="CZ858" s="2372"/>
      <c r="DA858" s="2372"/>
    </row>
    <row r="859" spans="1:105" ht="15" hidden="1" customHeight="1">
      <c r="A859" s="2372"/>
      <c r="B859" s="2372"/>
      <c r="C859" s="2372"/>
      <c r="D859" s="2372"/>
      <c r="E859" s="2372"/>
      <c r="F859" s="2372"/>
      <c r="G859" s="2372"/>
      <c r="H859" s="2372"/>
      <c r="I859" s="2372"/>
      <c r="J859" s="2372"/>
      <c r="K859" s="2372"/>
      <c r="L859" s="2372"/>
      <c r="M859" s="2372"/>
      <c r="N859" s="2372"/>
      <c r="O859" s="2372"/>
      <c r="P859" s="2372"/>
      <c r="Q859" s="2372"/>
      <c r="R859" s="2372"/>
      <c r="S859" s="2372"/>
      <c r="T859" s="2372"/>
      <c r="U859" s="2372"/>
      <c r="V859" s="2372"/>
      <c r="W859" s="2372"/>
      <c r="X859" s="2372"/>
      <c r="Y859" s="2372"/>
      <c r="Z859" s="2372"/>
      <c r="AA859" s="2372"/>
      <c r="AB859" s="2372"/>
      <c r="AC859" s="2372"/>
      <c r="AD859" s="2372"/>
      <c r="AE859" s="2372"/>
      <c r="AF859" s="2372"/>
      <c r="AG859" s="2372"/>
      <c r="AH859" s="2372"/>
      <c r="AI859" s="2372"/>
      <c r="AJ859" s="2372"/>
      <c r="AK859" s="2372"/>
      <c r="AL859" s="2372"/>
      <c r="AM859" s="2372"/>
      <c r="AN859" s="2372"/>
      <c r="AO859" s="2372"/>
      <c r="AP859" s="2372"/>
      <c r="AQ859" s="2372"/>
      <c r="AR859" s="2372"/>
      <c r="AS859" s="2372"/>
      <c r="AT859" s="2372"/>
      <c r="AU859" s="2372"/>
      <c r="AV859" s="2372"/>
      <c r="AW859" s="2372"/>
      <c r="AX859" s="2372"/>
      <c r="AY859" s="2372"/>
      <c r="AZ859" s="2372"/>
      <c r="BA859" s="2372"/>
      <c r="BB859" s="2372"/>
      <c r="BC859" s="2372"/>
      <c r="BD859" s="2372"/>
      <c r="BE859" s="2372"/>
      <c r="BF859" s="2372"/>
      <c r="BG859" s="2372"/>
      <c r="BH859" s="2372"/>
      <c r="BI859" s="2372"/>
      <c r="BJ859" s="2372"/>
      <c r="BK859" s="2372"/>
      <c r="BL859" s="2372"/>
      <c r="BM859" s="2372"/>
      <c r="BN859" s="2372"/>
      <c r="BO859" s="2372"/>
      <c r="BP859" s="2372"/>
      <c r="BQ859" s="2372"/>
      <c r="BR859" s="2372"/>
      <c r="BS859" s="2372"/>
      <c r="BT859" s="2372"/>
      <c r="BU859" s="2372"/>
      <c r="BV859" s="2372"/>
      <c r="BW859" s="2372"/>
      <c r="BX859" s="2372"/>
      <c r="BY859" s="2372"/>
      <c r="BZ859" s="2372"/>
      <c r="CA859" s="2372"/>
      <c r="CB859" s="2372"/>
      <c r="CC859" s="2372"/>
      <c r="CD859" s="2372"/>
      <c r="CE859" s="2372"/>
      <c r="CF859" s="2372"/>
      <c r="CG859" s="2372"/>
      <c r="CH859" s="2372"/>
      <c r="CI859" s="2372"/>
      <c r="CJ859" s="2372"/>
      <c r="CK859" s="2372"/>
      <c r="CL859" s="2372"/>
      <c r="CM859" s="2372"/>
      <c r="CN859" s="2372"/>
      <c r="CO859" s="2372"/>
      <c r="CP859" s="2372"/>
      <c r="CQ859" s="2372"/>
      <c r="CR859" s="2372"/>
      <c r="CS859" s="2372"/>
      <c r="CT859" s="2372"/>
      <c r="CU859" s="2372"/>
      <c r="CV859" s="2372"/>
      <c r="CW859" s="2372"/>
      <c r="CX859" s="2372"/>
      <c r="CY859" s="2372"/>
      <c r="CZ859" s="2372"/>
      <c r="DA859" s="2372"/>
    </row>
    <row r="860" spans="1:105" ht="15" hidden="1" customHeight="1">
      <c r="A860" s="2372"/>
      <c r="B860" s="2372"/>
      <c r="C860" s="2372"/>
      <c r="D860" s="2372"/>
      <c r="E860" s="2372"/>
      <c r="F860" s="2372"/>
      <c r="G860" s="2372"/>
      <c r="H860" s="2372"/>
      <c r="I860" s="2372"/>
      <c r="J860" s="2372"/>
      <c r="K860" s="2372"/>
      <c r="L860" s="2372"/>
      <c r="M860" s="2372"/>
      <c r="N860" s="2372"/>
      <c r="O860" s="2372"/>
      <c r="P860" s="2372"/>
      <c r="Q860" s="2372"/>
      <c r="R860" s="2372"/>
      <c r="S860" s="2372"/>
      <c r="T860" s="2372"/>
      <c r="U860" s="2372"/>
      <c r="V860" s="2372"/>
      <c r="W860" s="2372"/>
      <c r="X860" s="2372"/>
      <c r="Y860" s="2372"/>
      <c r="Z860" s="2372"/>
      <c r="AA860" s="2372"/>
      <c r="AB860" s="2372"/>
      <c r="AC860" s="2372"/>
      <c r="AD860" s="2372"/>
      <c r="AE860" s="2372"/>
      <c r="AF860" s="2372"/>
      <c r="AG860" s="2372"/>
      <c r="AH860" s="2372"/>
      <c r="AI860" s="2372"/>
      <c r="AJ860" s="2372"/>
      <c r="AK860" s="2372"/>
      <c r="AL860" s="2372"/>
      <c r="AM860" s="2372"/>
      <c r="AN860" s="2372"/>
      <c r="AO860" s="2372"/>
      <c r="AP860" s="2372"/>
      <c r="AQ860" s="2372"/>
      <c r="AR860" s="2372"/>
      <c r="AS860" s="2372"/>
      <c r="AT860" s="2372"/>
      <c r="AU860" s="2372"/>
      <c r="AV860" s="2372"/>
      <c r="AW860" s="2372"/>
      <c r="AX860" s="2372"/>
      <c r="AY860" s="2372"/>
      <c r="AZ860" s="2372"/>
      <c r="BA860" s="2372"/>
      <c r="BB860" s="2372"/>
      <c r="BC860" s="2372"/>
      <c r="BD860" s="2372"/>
      <c r="BE860" s="2372"/>
      <c r="BF860" s="2372"/>
      <c r="BG860" s="2372"/>
      <c r="BH860" s="2372"/>
      <c r="BI860" s="2372"/>
      <c r="BJ860" s="2372"/>
      <c r="BK860" s="2372"/>
      <c r="BL860" s="2372"/>
      <c r="BM860" s="2372"/>
      <c r="BN860" s="2372"/>
      <c r="BO860" s="2372"/>
      <c r="BP860" s="2372"/>
      <c r="BQ860" s="2372"/>
      <c r="BR860" s="2372"/>
      <c r="BS860" s="2372"/>
      <c r="BT860" s="2372"/>
      <c r="BU860" s="2372"/>
      <c r="BV860" s="2372"/>
      <c r="BW860" s="2372"/>
      <c r="BX860" s="2372"/>
      <c r="BY860" s="2372"/>
      <c r="BZ860" s="2372"/>
      <c r="CA860" s="2372"/>
      <c r="CB860" s="2372"/>
      <c r="CC860" s="2372"/>
      <c r="CD860" s="2372"/>
      <c r="CE860" s="2372"/>
      <c r="CF860" s="2372"/>
      <c r="CG860" s="2372"/>
      <c r="CH860" s="2372"/>
      <c r="CI860" s="2372"/>
      <c r="CJ860" s="2372"/>
      <c r="CK860" s="2372"/>
      <c r="CL860" s="2372"/>
      <c r="CM860" s="2372"/>
      <c r="CN860" s="2372"/>
      <c r="CO860" s="2372"/>
      <c r="CP860" s="2372"/>
      <c r="CQ860" s="2372"/>
      <c r="CR860" s="2372"/>
      <c r="CS860" s="2372"/>
      <c r="CT860" s="2372"/>
      <c r="CU860" s="2372"/>
      <c r="CV860" s="2372"/>
      <c r="CW860" s="2372"/>
      <c r="CX860" s="2372"/>
      <c r="CY860" s="2372"/>
      <c r="CZ860" s="2372"/>
      <c r="DA860" s="2372"/>
    </row>
    <row r="861" spans="1:105" ht="15" hidden="1" customHeight="1">
      <c r="A861" s="2372"/>
      <c r="B861" s="2372"/>
      <c r="C861" s="2372"/>
      <c r="D861" s="2372"/>
      <c r="E861" s="2372"/>
      <c r="F861" s="2372"/>
      <c r="G861" s="2372"/>
      <c r="H861" s="2372"/>
      <c r="I861" s="2372"/>
      <c r="J861" s="2372"/>
      <c r="K861" s="2372"/>
      <c r="L861" s="2372"/>
      <c r="M861" s="2372"/>
      <c r="N861" s="2372"/>
      <c r="O861" s="2372"/>
      <c r="P861" s="2372"/>
      <c r="Q861" s="2372"/>
      <c r="R861" s="2372"/>
      <c r="S861" s="2372"/>
      <c r="T861" s="2372"/>
      <c r="U861" s="2372"/>
      <c r="V861" s="2372"/>
      <c r="W861" s="2372"/>
      <c r="X861" s="2372"/>
      <c r="Y861" s="2372"/>
      <c r="Z861" s="2372"/>
      <c r="AA861" s="2372"/>
      <c r="AB861" s="2372"/>
      <c r="AC861" s="2372"/>
      <c r="AD861" s="2372"/>
      <c r="AE861" s="2372"/>
      <c r="AF861" s="2372"/>
      <c r="AG861" s="2372"/>
      <c r="AH861" s="2372"/>
      <c r="AI861" s="2372"/>
      <c r="AJ861" s="2372"/>
      <c r="AK861" s="2372"/>
      <c r="AL861" s="2372"/>
      <c r="AM861" s="2372"/>
      <c r="AN861" s="2372"/>
      <c r="AO861" s="2372"/>
      <c r="AP861" s="2372"/>
      <c r="AQ861" s="2372"/>
      <c r="AR861" s="2372"/>
      <c r="AS861" s="2372"/>
      <c r="AT861" s="2372"/>
      <c r="AU861" s="2372"/>
      <c r="AV861" s="2372"/>
      <c r="AW861" s="2372"/>
      <c r="AX861" s="2372"/>
      <c r="AY861" s="2372"/>
      <c r="AZ861" s="2372"/>
      <c r="BA861" s="2372"/>
      <c r="BB861" s="2372"/>
      <c r="BC861" s="2372"/>
      <c r="BD861" s="2372"/>
      <c r="BE861" s="2372"/>
      <c r="BF861" s="2372"/>
      <c r="BG861" s="2372"/>
      <c r="BH861" s="2372"/>
      <c r="BI861" s="2372"/>
      <c r="BJ861" s="2372"/>
      <c r="BK861" s="2372"/>
      <c r="BL861" s="2372"/>
      <c r="BM861" s="2372"/>
      <c r="BN861" s="2372"/>
      <c r="BO861" s="2372"/>
      <c r="BP861" s="2372"/>
      <c r="BQ861" s="2372"/>
      <c r="BR861" s="2372"/>
      <c r="BS861" s="2372"/>
      <c r="BT861" s="2372"/>
      <c r="BU861" s="2372"/>
      <c r="BV861" s="2372"/>
      <c r="BW861" s="2372"/>
      <c r="BX861" s="2372"/>
      <c r="BY861" s="2372"/>
      <c r="BZ861" s="2372"/>
      <c r="CA861" s="2372"/>
      <c r="CB861" s="2372"/>
      <c r="CC861" s="2372"/>
      <c r="CD861" s="2372"/>
      <c r="CE861" s="2372"/>
      <c r="CF861" s="2372"/>
      <c r="CG861" s="2372"/>
      <c r="CH861" s="2372"/>
      <c r="CI861" s="2372"/>
      <c r="CJ861" s="2372"/>
      <c r="CK861" s="2372"/>
      <c r="CL861" s="2372"/>
      <c r="CM861" s="2372"/>
      <c r="CN861" s="2372"/>
      <c r="CO861" s="2372"/>
      <c r="CP861" s="2372"/>
      <c r="CQ861" s="2372"/>
      <c r="CR861" s="2372"/>
      <c r="CS861" s="2372"/>
      <c r="CT861" s="2372"/>
      <c r="CU861" s="2372"/>
      <c r="CV861" s="2372"/>
      <c r="CW861" s="2372"/>
      <c r="CX861" s="2372"/>
      <c r="CY861" s="2372"/>
      <c r="CZ861" s="2372"/>
      <c r="DA861" s="2372"/>
    </row>
    <row r="862" spans="1:105" ht="15" hidden="1" customHeight="1">
      <c r="A862" s="2372"/>
      <c r="B862" s="2372"/>
      <c r="C862" s="2372"/>
      <c r="D862" s="2372"/>
      <c r="E862" s="2372"/>
      <c r="F862" s="2372"/>
      <c r="G862" s="2372"/>
      <c r="H862" s="2372"/>
      <c r="I862" s="2372"/>
      <c r="J862" s="2372"/>
      <c r="K862" s="2372"/>
      <c r="L862" s="2372"/>
      <c r="M862" s="2372"/>
      <c r="N862" s="2372"/>
      <c r="O862" s="2372"/>
      <c r="P862" s="2372"/>
      <c r="Q862" s="2372"/>
      <c r="R862" s="2372"/>
      <c r="S862" s="2372"/>
      <c r="T862" s="2372"/>
      <c r="U862" s="2372"/>
      <c r="V862" s="2372"/>
      <c r="W862" s="2372"/>
      <c r="X862" s="2372"/>
      <c r="Y862" s="2372"/>
      <c r="Z862" s="2372"/>
      <c r="AA862" s="2372"/>
      <c r="AB862" s="2372"/>
      <c r="AC862" s="2372"/>
      <c r="AD862" s="2372"/>
      <c r="AE862" s="2372"/>
      <c r="AF862" s="2372"/>
      <c r="AG862" s="2372"/>
      <c r="AH862" s="2372"/>
      <c r="AI862" s="2372"/>
      <c r="AJ862" s="2372"/>
      <c r="AK862" s="2372"/>
      <c r="AL862" s="2372"/>
      <c r="AM862" s="2372"/>
      <c r="AN862" s="2372"/>
      <c r="AO862" s="2372"/>
      <c r="AP862" s="2372"/>
      <c r="AQ862" s="2372"/>
      <c r="AR862" s="2372"/>
      <c r="AS862" s="2372"/>
      <c r="AT862" s="2372"/>
      <c r="AU862" s="2372"/>
      <c r="AV862" s="2372"/>
      <c r="AW862" s="2372"/>
      <c r="AX862" s="2372"/>
      <c r="AY862" s="2372"/>
      <c r="AZ862" s="2372"/>
      <c r="BA862" s="2372"/>
      <c r="BB862" s="2372"/>
      <c r="BC862" s="2372"/>
      <c r="BD862" s="2372"/>
      <c r="BE862" s="2372"/>
      <c r="BF862" s="2372"/>
      <c r="BG862" s="2372"/>
      <c r="BH862" s="2372"/>
      <c r="BI862" s="2372"/>
      <c r="BJ862" s="2372"/>
      <c r="BK862" s="2372"/>
      <c r="BL862" s="2372"/>
      <c r="BM862" s="2372"/>
      <c r="BN862" s="2372"/>
      <c r="BO862" s="2372"/>
      <c r="BP862" s="2372"/>
      <c r="BQ862" s="2372"/>
      <c r="BR862" s="2372"/>
      <c r="BS862" s="2372"/>
      <c r="BT862" s="2372"/>
      <c r="BU862" s="2372"/>
      <c r="BV862" s="2372"/>
      <c r="BW862" s="2372"/>
      <c r="BX862" s="2372"/>
      <c r="BY862" s="2372"/>
      <c r="BZ862" s="2372"/>
      <c r="CA862" s="2372"/>
      <c r="CB862" s="2372"/>
      <c r="CC862" s="2372"/>
      <c r="CD862" s="2372"/>
      <c r="CE862" s="2372"/>
      <c r="CF862" s="2372"/>
      <c r="CG862" s="2372"/>
      <c r="CH862" s="2372"/>
      <c r="CI862" s="2372"/>
      <c r="CJ862" s="2372"/>
      <c r="CK862" s="2372"/>
      <c r="CL862" s="2372"/>
      <c r="CM862" s="2372"/>
      <c r="CN862" s="2372"/>
      <c r="CO862" s="2372"/>
      <c r="CP862" s="2372"/>
      <c r="CQ862" s="2372"/>
      <c r="CR862" s="2372"/>
      <c r="CS862" s="2372"/>
      <c r="CT862" s="2372"/>
      <c r="CU862" s="2372"/>
      <c r="CV862" s="2372"/>
      <c r="CW862" s="2372"/>
      <c r="CX862" s="2372"/>
      <c r="CY862" s="2372"/>
      <c r="CZ862" s="2372"/>
      <c r="DA862" s="2372"/>
    </row>
    <row r="863" spans="1:105" ht="15" hidden="1" customHeight="1">
      <c r="A863" s="2372"/>
      <c r="B863" s="2372"/>
      <c r="C863" s="2372"/>
      <c r="D863" s="2372"/>
      <c r="E863" s="2372"/>
      <c r="F863" s="2372"/>
      <c r="G863" s="2372"/>
      <c r="H863" s="2372"/>
      <c r="I863" s="2372"/>
      <c r="J863" s="2372"/>
      <c r="K863" s="2372"/>
      <c r="L863" s="2372"/>
      <c r="M863" s="2372"/>
      <c r="N863" s="2372"/>
      <c r="O863" s="2372"/>
      <c r="P863" s="2372"/>
      <c r="Q863" s="2372"/>
      <c r="R863" s="2372"/>
      <c r="S863" s="2372"/>
      <c r="T863" s="2372"/>
      <c r="U863" s="2372"/>
      <c r="V863" s="2372"/>
      <c r="W863" s="2372"/>
      <c r="X863" s="2372"/>
      <c r="Y863" s="2372"/>
      <c r="Z863" s="2372"/>
      <c r="AA863" s="2372"/>
      <c r="AB863" s="2372"/>
      <c r="AC863" s="2372"/>
      <c r="AD863" s="2372"/>
      <c r="AE863" s="2372"/>
      <c r="AF863" s="2372"/>
      <c r="AG863" s="2372"/>
      <c r="AH863" s="2372"/>
      <c r="AI863" s="2372"/>
      <c r="AJ863" s="2372"/>
      <c r="AK863" s="2372"/>
      <c r="AL863" s="2372"/>
      <c r="AM863" s="2372"/>
      <c r="AN863" s="2372"/>
      <c r="AO863" s="2372"/>
      <c r="AP863" s="2372"/>
      <c r="AQ863" s="2372"/>
      <c r="AR863" s="2372"/>
      <c r="AS863" s="2372"/>
      <c r="AT863" s="2372"/>
      <c r="AU863" s="2372"/>
      <c r="AV863" s="2372"/>
      <c r="AW863" s="2372"/>
      <c r="AX863" s="2372"/>
      <c r="AY863" s="2372"/>
      <c r="AZ863" s="2372"/>
      <c r="BA863" s="2372"/>
      <c r="BB863" s="2372"/>
      <c r="BC863" s="2372"/>
      <c r="BD863" s="2372"/>
      <c r="BE863" s="2372"/>
      <c r="BF863" s="2372"/>
      <c r="BG863" s="2372"/>
      <c r="BH863" s="2372"/>
      <c r="BI863" s="2372"/>
      <c r="BJ863" s="2372"/>
      <c r="BK863" s="2372"/>
      <c r="BL863" s="2372"/>
      <c r="BM863" s="2372"/>
      <c r="BN863" s="2372"/>
      <c r="BO863" s="2372"/>
      <c r="BP863" s="2372"/>
      <c r="BQ863" s="2372"/>
      <c r="BR863" s="2372"/>
      <c r="BS863" s="2372"/>
      <c r="BT863" s="2372"/>
      <c r="BU863" s="2372"/>
      <c r="BV863" s="2372"/>
      <c r="BW863" s="2372"/>
      <c r="BX863" s="2372"/>
      <c r="BY863" s="2372"/>
      <c r="BZ863" s="2372"/>
      <c r="CA863" s="2372"/>
      <c r="CB863" s="2372"/>
      <c r="CC863" s="2372"/>
      <c r="CD863" s="2372"/>
      <c r="CE863" s="2372"/>
      <c r="CF863" s="2372"/>
      <c r="CG863" s="2372"/>
      <c r="CH863" s="2372"/>
      <c r="CI863" s="2372"/>
      <c r="CJ863" s="2372"/>
      <c r="CK863" s="2372"/>
      <c r="CL863" s="2372"/>
      <c r="CM863" s="2372"/>
      <c r="CN863" s="2372"/>
      <c r="CO863" s="2372"/>
      <c r="CP863" s="2372"/>
      <c r="CQ863" s="2372"/>
      <c r="CR863" s="2372"/>
      <c r="CS863" s="2372"/>
      <c r="CT863" s="2372"/>
      <c r="CU863" s="2372"/>
      <c r="CV863" s="2372"/>
      <c r="CW863" s="2372"/>
      <c r="CX863" s="2372"/>
      <c r="CY863" s="2372"/>
      <c r="CZ863" s="2372"/>
      <c r="DA863" s="2372"/>
    </row>
    <row r="864" spans="1:105" ht="15" hidden="1" customHeight="1">
      <c r="A864" s="2372"/>
      <c r="B864" s="2372"/>
      <c r="C864" s="2372"/>
      <c r="D864" s="2372"/>
      <c r="E864" s="2372"/>
      <c r="F864" s="2372"/>
      <c r="G864" s="2372"/>
      <c r="H864" s="2372"/>
      <c r="I864" s="2372"/>
      <c r="J864" s="2372"/>
      <c r="K864" s="2372"/>
      <c r="L864" s="2372"/>
      <c r="M864" s="2372"/>
      <c r="N864" s="2372"/>
      <c r="O864" s="2372"/>
      <c r="P864" s="2372"/>
      <c r="Q864" s="2372"/>
      <c r="R864" s="2372"/>
      <c r="S864" s="2372"/>
      <c r="T864" s="2372"/>
      <c r="U864" s="2372"/>
      <c r="V864" s="2372"/>
      <c r="W864" s="2372"/>
      <c r="X864" s="2372"/>
      <c r="Y864" s="2372"/>
      <c r="Z864" s="2372"/>
      <c r="AA864" s="2372"/>
      <c r="AB864" s="2372"/>
      <c r="AC864" s="2372"/>
      <c r="AD864" s="2372"/>
      <c r="AE864" s="2372"/>
      <c r="AF864" s="2372"/>
      <c r="AG864" s="2372"/>
      <c r="AH864" s="2372"/>
      <c r="AI864" s="2372"/>
      <c r="AJ864" s="2372"/>
      <c r="AK864" s="2372"/>
      <c r="AL864" s="2372"/>
      <c r="AM864" s="2372"/>
      <c r="AN864" s="2372"/>
      <c r="AO864" s="2372"/>
      <c r="AP864" s="2372"/>
      <c r="AQ864" s="2372"/>
      <c r="AR864" s="2372"/>
      <c r="AS864" s="2372"/>
      <c r="AT864" s="2372"/>
      <c r="AU864" s="2372"/>
      <c r="AV864" s="2372"/>
      <c r="AW864" s="2372"/>
      <c r="AX864" s="2372"/>
      <c r="AY864" s="2372"/>
      <c r="AZ864" s="2372"/>
      <c r="BA864" s="2372"/>
      <c r="BB864" s="2372"/>
      <c r="BC864" s="2372"/>
      <c r="BD864" s="2372"/>
      <c r="BE864" s="2372"/>
      <c r="BF864" s="2372"/>
      <c r="BG864" s="2372"/>
      <c r="BH864" s="2372"/>
      <c r="BI864" s="2372"/>
      <c r="BJ864" s="2372"/>
      <c r="BK864" s="2372"/>
      <c r="BL864" s="2372"/>
      <c r="BM864" s="2372"/>
      <c r="BN864" s="2372"/>
      <c r="BO864" s="2372"/>
      <c r="BP864" s="2372"/>
      <c r="BQ864" s="2372"/>
      <c r="BR864" s="2372"/>
      <c r="BS864" s="2372"/>
      <c r="BT864" s="2372"/>
      <c r="BU864" s="2372"/>
      <c r="BV864" s="2372"/>
      <c r="BW864" s="2372"/>
      <c r="BX864" s="2372"/>
      <c r="BY864" s="2372"/>
      <c r="BZ864" s="2372"/>
      <c r="CA864" s="2372"/>
      <c r="CB864" s="2372"/>
      <c r="CC864" s="2372"/>
      <c r="CD864" s="2372"/>
      <c r="CE864" s="2372"/>
      <c r="CF864" s="2372"/>
      <c r="CG864" s="2372"/>
      <c r="CH864" s="2372"/>
      <c r="CI864" s="2372"/>
      <c r="CJ864" s="2372"/>
      <c r="CK864" s="2372"/>
      <c r="CL864" s="2372"/>
      <c r="CM864" s="2372"/>
      <c r="CN864" s="2372"/>
      <c r="CO864" s="2372"/>
      <c r="CP864" s="2372"/>
      <c r="CQ864" s="2372"/>
      <c r="CR864" s="2372"/>
      <c r="CS864" s="2372"/>
      <c r="CT864" s="2372"/>
      <c r="CU864" s="2372"/>
      <c r="CV864" s="2372"/>
      <c r="CW864" s="2372"/>
      <c r="CX864" s="2372"/>
      <c r="CY864" s="2372"/>
      <c r="CZ864" s="2372"/>
      <c r="DA864" s="2372"/>
    </row>
    <row r="865" spans="1:105" ht="15" hidden="1" customHeight="1">
      <c r="A865" s="2372"/>
      <c r="B865" s="2372"/>
      <c r="C865" s="2372"/>
      <c r="D865" s="2372"/>
      <c r="E865" s="2372"/>
      <c r="F865" s="2372"/>
      <c r="G865" s="2372"/>
      <c r="H865" s="2372"/>
      <c r="I865" s="2372"/>
      <c r="J865" s="2372"/>
      <c r="K865" s="2372"/>
      <c r="L865" s="2372"/>
      <c r="M865" s="2372"/>
      <c r="N865" s="2372"/>
      <c r="O865" s="2372"/>
      <c r="P865" s="2372"/>
      <c r="Q865" s="2372"/>
      <c r="R865" s="2372"/>
      <c r="S865" s="2372"/>
      <c r="T865" s="2372"/>
      <c r="U865" s="2372"/>
      <c r="V865" s="2372"/>
      <c r="W865" s="2372"/>
      <c r="X865" s="2372"/>
      <c r="Y865" s="2372"/>
      <c r="Z865" s="2372"/>
      <c r="AA865" s="2372"/>
      <c r="AB865" s="2372"/>
      <c r="AC865" s="2372"/>
      <c r="AD865" s="2372"/>
      <c r="AE865" s="2372"/>
      <c r="AF865" s="2372"/>
      <c r="AG865" s="2372"/>
      <c r="AH865" s="2372"/>
      <c r="AI865" s="2372"/>
      <c r="AJ865" s="2372"/>
      <c r="AK865" s="2372"/>
      <c r="AL865" s="2372"/>
      <c r="AM865" s="2372"/>
      <c r="AN865" s="2372"/>
      <c r="AO865" s="2372"/>
      <c r="AP865" s="2372"/>
      <c r="AQ865" s="2372"/>
      <c r="AR865" s="2372"/>
      <c r="AS865" s="2372"/>
      <c r="AT865" s="2372"/>
      <c r="AU865" s="2372"/>
      <c r="AV865" s="2372"/>
      <c r="AW865" s="2372"/>
      <c r="AX865" s="2372"/>
      <c r="AY865" s="2372"/>
      <c r="AZ865" s="2372"/>
      <c r="BA865" s="2372"/>
      <c r="BB865" s="2372"/>
      <c r="BC865" s="2372"/>
      <c r="BD865" s="2372"/>
      <c r="BE865" s="2372"/>
      <c r="BF865" s="2372"/>
      <c r="BG865" s="2372"/>
      <c r="BH865" s="2372"/>
      <c r="BI865" s="2372"/>
      <c r="BJ865" s="2372"/>
      <c r="BK865" s="2372"/>
      <c r="BL865" s="2372"/>
      <c r="BM865" s="2372"/>
      <c r="BN865" s="2372"/>
      <c r="BO865" s="2372"/>
      <c r="BP865" s="2372"/>
      <c r="BQ865" s="2372"/>
      <c r="BR865" s="2372"/>
      <c r="BS865" s="2372"/>
      <c r="BT865" s="2372"/>
      <c r="BU865" s="2372"/>
      <c r="BV865" s="2372"/>
      <c r="BW865" s="2372"/>
      <c r="BX865" s="2372"/>
      <c r="BY865" s="2372"/>
      <c r="BZ865" s="2372"/>
      <c r="CA865" s="2372"/>
      <c r="CB865" s="2372"/>
      <c r="CC865" s="2372"/>
      <c r="CD865" s="2372"/>
      <c r="CE865" s="2372"/>
      <c r="CF865" s="2372"/>
      <c r="CG865" s="2372"/>
      <c r="CH865" s="2372"/>
      <c r="CI865" s="2372"/>
      <c r="CJ865" s="2372"/>
      <c r="CK865" s="2372"/>
      <c r="CL865" s="2372"/>
      <c r="CM865" s="2372"/>
      <c r="CN865" s="2372"/>
      <c r="CO865" s="2372"/>
      <c r="CP865" s="2372"/>
      <c r="CQ865" s="2372"/>
      <c r="CR865" s="2372"/>
      <c r="CS865" s="2372"/>
      <c r="CT865" s="2372"/>
      <c r="CU865" s="2372"/>
      <c r="CV865" s="2372"/>
      <c r="CW865" s="2372"/>
      <c r="CX865" s="2372"/>
      <c r="CY865" s="2372"/>
      <c r="CZ865" s="2372"/>
      <c r="DA865" s="2372"/>
    </row>
    <row r="866" spans="1:105" ht="15" hidden="1" customHeight="1">
      <c r="A866" s="2372"/>
      <c r="B866" s="2372"/>
      <c r="C866" s="2372"/>
      <c r="D866" s="2372"/>
      <c r="E866" s="2372"/>
      <c r="F866" s="2372"/>
      <c r="G866" s="2372"/>
      <c r="H866" s="2372"/>
      <c r="I866" s="2372"/>
      <c r="J866" s="2372"/>
      <c r="K866" s="2372"/>
      <c r="L866" s="2372"/>
      <c r="M866" s="2372"/>
      <c r="N866" s="2372"/>
      <c r="O866" s="2372"/>
      <c r="P866" s="2372"/>
      <c r="Q866" s="2372"/>
      <c r="R866" s="2372"/>
      <c r="S866" s="2372"/>
      <c r="T866" s="2372"/>
      <c r="U866" s="2372"/>
      <c r="V866" s="2372"/>
      <c r="W866" s="2372"/>
      <c r="X866" s="2372"/>
      <c r="Y866" s="2372"/>
      <c r="Z866" s="2372"/>
      <c r="AA866" s="2372"/>
      <c r="AB866" s="2372"/>
      <c r="AC866" s="2372"/>
      <c r="AD866" s="2372"/>
      <c r="AE866" s="2372"/>
      <c r="AF866" s="2372"/>
      <c r="AG866" s="2372"/>
      <c r="AH866" s="2372"/>
      <c r="AI866" s="2372"/>
      <c r="AJ866" s="2372"/>
      <c r="AK866" s="2372"/>
      <c r="AL866" s="2372"/>
      <c r="AM866" s="2372"/>
      <c r="AN866" s="2372"/>
      <c r="AO866" s="2372"/>
      <c r="AP866" s="2372"/>
      <c r="AQ866" s="2372"/>
      <c r="AR866" s="2372"/>
      <c r="AS866" s="2372"/>
      <c r="AT866" s="2372"/>
      <c r="AU866" s="2372"/>
      <c r="AV866" s="2372"/>
      <c r="AW866" s="2372"/>
      <c r="AX866" s="2372"/>
      <c r="AY866" s="2372"/>
      <c r="AZ866" s="2372"/>
      <c r="BA866" s="2372"/>
      <c r="BB866" s="2372"/>
      <c r="BC866" s="2372"/>
      <c r="BD866" s="2372"/>
      <c r="BE866" s="2372"/>
      <c r="BF866" s="2372"/>
      <c r="BG866" s="2372"/>
      <c r="BH866" s="2372"/>
      <c r="BI866" s="2372"/>
      <c r="BJ866" s="2372"/>
      <c r="BK866" s="2372"/>
      <c r="BL866" s="2372"/>
      <c r="BM866" s="2372"/>
      <c r="BN866" s="2372"/>
      <c r="BO866" s="2372"/>
      <c r="BP866" s="2372"/>
      <c r="BQ866" s="2372"/>
      <c r="BR866" s="2372"/>
      <c r="BS866" s="2372"/>
      <c r="BT866" s="2372"/>
      <c r="BU866" s="2372"/>
      <c r="BV866" s="2372"/>
      <c r="BW866" s="2372"/>
      <c r="BX866" s="2372"/>
      <c r="BY866" s="2372"/>
      <c r="BZ866" s="2372"/>
      <c r="CA866" s="2372"/>
      <c r="CB866" s="2372"/>
      <c r="CC866" s="2372"/>
      <c r="CD866" s="2372"/>
      <c r="CE866" s="2372"/>
      <c r="CF866" s="2372"/>
      <c r="CG866" s="2372"/>
      <c r="CH866" s="2372"/>
      <c r="CI866" s="2372"/>
      <c r="CJ866" s="2372"/>
      <c r="CK866" s="2372"/>
      <c r="CL866" s="2372"/>
      <c r="CM866" s="2372"/>
      <c r="CN866" s="2372"/>
      <c r="CO866" s="2372"/>
      <c r="CP866" s="2372"/>
      <c r="CQ866" s="2372"/>
      <c r="CR866" s="2372"/>
      <c r="CS866" s="2372"/>
      <c r="CT866" s="2372"/>
      <c r="CU866" s="2372"/>
      <c r="CV866" s="2372"/>
      <c r="CW866" s="2372"/>
      <c r="CX866" s="2372"/>
      <c r="CY866" s="2372"/>
      <c r="CZ866" s="2372"/>
      <c r="DA866" s="2372"/>
    </row>
    <row r="867" spans="1:105" ht="15" hidden="1" customHeight="1">
      <c r="A867" s="2372"/>
      <c r="B867" s="2372"/>
      <c r="C867" s="2372"/>
      <c r="D867" s="2372"/>
      <c r="E867" s="2372"/>
      <c r="F867" s="2372"/>
      <c r="G867" s="2372"/>
      <c r="H867" s="2372"/>
      <c r="I867" s="2372"/>
      <c r="J867" s="2372"/>
      <c r="K867" s="2372"/>
      <c r="L867" s="2372"/>
      <c r="M867" s="2372"/>
      <c r="N867" s="2372"/>
      <c r="O867" s="2372"/>
      <c r="P867" s="2372"/>
      <c r="Q867" s="2372"/>
      <c r="R867" s="2372"/>
      <c r="S867" s="2372"/>
      <c r="T867" s="2372"/>
      <c r="U867" s="2372"/>
      <c r="V867" s="2372"/>
      <c r="W867" s="2372"/>
      <c r="X867" s="2372"/>
      <c r="Y867" s="2372"/>
      <c r="Z867" s="2372"/>
      <c r="AA867" s="2372"/>
      <c r="AB867" s="2372"/>
      <c r="AC867" s="2372"/>
      <c r="AD867" s="2372"/>
      <c r="AE867" s="2372"/>
      <c r="AF867" s="2372"/>
      <c r="AG867" s="2372"/>
      <c r="AH867" s="2372"/>
      <c r="AI867" s="2372"/>
      <c r="AJ867" s="2372"/>
      <c r="AK867" s="2372"/>
      <c r="AL867" s="2372"/>
      <c r="AM867" s="2372"/>
      <c r="AN867" s="2372"/>
      <c r="AO867" s="2372"/>
      <c r="AP867" s="2372"/>
      <c r="AQ867" s="2372"/>
      <c r="AR867" s="2372"/>
      <c r="AS867" s="2372"/>
      <c r="AT867" s="2372"/>
      <c r="AU867" s="2372"/>
      <c r="AV867" s="2372"/>
      <c r="AW867" s="2372"/>
      <c r="AX867" s="2372"/>
      <c r="AY867" s="2372"/>
      <c r="AZ867" s="2372"/>
      <c r="BA867" s="2372"/>
      <c r="BB867" s="2372"/>
      <c r="BC867" s="2372"/>
      <c r="BD867" s="2372"/>
      <c r="BE867" s="2372"/>
      <c r="BF867" s="2372"/>
      <c r="BG867" s="2372"/>
      <c r="BH867" s="2372"/>
      <c r="BI867" s="2372"/>
      <c r="BJ867" s="2372"/>
      <c r="BK867" s="2372"/>
      <c r="BL867" s="2372"/>
      <c r="BM867" s="2372"/>
      <c r="BN867" s="2372"/>
      <c r="BO867" s="2372"/>
      <c r="BP867" s="2372"/>
      <c r="BQ867" s="2372"/>
      <c r="BR867" s="2372"/>
      <c r="BS867" s="2372"/>
      <c r="BT867" s="2372"/>
      <c r="BU867" s="2372"/>
      <c r="BV867" s="2372"/>
      <c r="BW867" s="2372"/>
      <c r="BX867" s="2372"/>
      <c r="BY867" s="2372"/>
      <c r="BZ867" s="2372"/>
      <c r="CA867" s="2372"/>
      <c r="CB867" s="2372"/>
      <c r="CC867" s="2372"/>
      <c r="CD867" s="2372"/>
      <c r="CE867" s="2372"/>
      <c r="CF867" s="2372"/>
      <c r="CG867" s="2372"/>
      <c r="CH867" s="2372"/>
      <c r="CI867" s="2372"/>
      <c r="CJ867" s="2372"/>
      <c r="CK867" s="2372"/>
      <c r="CL867" s="2372"/>
      <c r="CM867" s="2372"/>
      <c r="CN867" s="2372"/>
      <c r="CO867" s="2372"/>
      <c r="CP867" s="2372"/>
      <c r="CQ867" s="2372"/>
      <c r="CR867" s="2372"/>
      <c r="CS867" s="2372"/>
      <c r="CT867" s="2372"/>
      <c r="CU867" s="2372"/>
      <c r="CV867" s="2372"/>
      <c r="CW867" s="2372"/>
      <c r="CX867" s="2372"/>
      <c r="CY867" s="2372"/>
      <c r="CZ867" s="2372"/>
      <c r="DA867" s="2372"/>
    </row>
    <row r="868" spans="1:105" ht="15" hidden="1" customHeight="1">
      <c r="A868" s="2372"/>
      <c r="B868" s="2372"/>
      <c r="C868" s="2372"/>
      <c r="D868" s="2372"/>
      <c r="E868" s="2372"/>
      <c r="F868" s="2372"/>
      <c r="G868" s="2372"/>
      <c r="H868" s="2372"/>
      <c r="I868" s="2372"/>
      <c r="J868" s="2372"/>
      <c r="K868" s="2372"/>
      <c r="L868" s="2372"/>
      <c r="M868" s="2372"/>
      <c r="N868" s="2372"/>
      <c r="O868" s="2372"/>
      <c r="P868" s="2372"/>
      <c r="Q868" s="2372"/>
      <c r="R868" s="2372"/>
      <c r="S868" s="2372"/>
      <c r="T868" s="2372"/>
      <c r="U868" s="2372"/>
      <c r="V868" s="2372"/>
      <c r="W868" s="2372"/>
      <c r="X868" s="2372"/>
      <c r="Y868" s="2372"/>
      <c r="Z868" s="2372"/>
      <c r="AA868" s="2372"/>
      <c r="AB868" s="2372"/>
      <c r="AC868" s="2372"/>
      <c r="AD868" s="2372"/>
      <c r="AE868" s="2372"/>
      <c r="AF868" s="2372"/>
      <c r="AG868" s="2372"/>
      <c r="AH868" s="2372"/>
      <c r="AI868" s="2372"/>
      <c r="AJ868" s="2372"/>
      <c r="AK868" s="2372"/>
      <c r="AL868" s="2372"/>
      <c r="AM868" s="2372"/>
      <c r="AN868" s="2372"/>
      <c r="AO868" s="2372"/>
      <c r="AP868" s="2372"/>
      <c r="AQ868" s="2372"/>
      <c r="AR868" s="2372"/>
      <c r="AS868" s="2372"/>
      <c r="AT868" s="2372"/>
      <c r="AU868" s="2372"/>
      <c r="AV868" s="2372"/>
      <c r="AW868" s="2372"/>
      <c r="AX868" s="2372"/>
      <c r="AY868" s="2372"/>
      <c r="AZ868" s="2372"/>
      <c r="BA868" s="2372"/>
      <c r="BB868" s="2372"/>
      <c r="BC868" s="2372"/>
      <c r="BD868" s="2372"/>
      <c r="BE868" s="2372"/>
      <c r="BF868" s="2372"/>
      <c r="BG868" s="2372"/>
      <c r="BH868" s="2372"/>
      <c r="BI868" s="2372"/>
      <c r="BJ868" s="2372"/>
      <c r="BK868" s="2372"/>
      <c r="BL868" s="2372"/>
      <c r="BM868" s="2372"/>
      <c r="BN868" s="2372"/>
      <c r="BO868" s="2372"/>
      <c r="BP868" s="2372"/>
      <c r="BQ868" s="2372"/>
      <c r="BR868" s="2372"/>
      <c r="BS868" s="2372"/>
      <c r="BT868" s="2372"/>
      <c r="BU868" s="2372"/>
      <c r="BV868" s="2372"/>
      <c r="BW868" s="2372"/>
      <c r="BX868" s="2372"/>
      <c r="BY868" s="2372"/>
      <c r="BZ868" s="2372"/>
      <c r="CA868" s="2372"/>
      <c r="CB868" s="2372"/>
      <c r="CC868" s="2372"/>
      <c r="CD868" s="2372"/>
      <c r="CE868" s="2372"/>
      <c r="CF868" s="2372"/>
      <c r="CG868" s="2372"/>
      <c r="CH868" s="2372"/>
      <c r="CI868" s="2372"/>
      <c r="CJ868" s="2372"/>
      <c r="CK868" s="2372"/>
      <c r="CL868" s="2372"/>
      <c r="CM868" s="2372"/>
      <c r="CN868" s="2372"/>
      <c r="CO868" s="2372"/>
      <c r="CP868" s="2372"/>
      <c r="CQ868" s="2372"/>
      <c r="CR868" s="2372"/>
      <c r="CS868" s="2372"/>
      <c r="CT868" s="2372"/>
      <c r="CU868" s="2372"/>
      <c r="CV868" s="2372"/>
      <c r="CW868" s="2372"/>
      <c r="CX868" s="2372"/>
      <c r="CY868" s="2372"/>
      <c r="CZ868" s="2372"/>
      <c r="DA868" s="2372"/>
    </row>
    <row r="869" spans="1:105" ht="15" hidden="1" customHeight="1">
      <c r="A869" s="2372"/>
      <c r="B869" s="2372"/>
      <c r="C869" s="2372"/>
      <c r="D869" s="2372"/>
      <c r="E869" s="2372"/>
      <c r="F869" s="2372"/>
      <c r="G869" s="2372"/>
      <c r="H869" s="2372"/>
      <c r="I869" s="2372"/>
      <c r="J869" s="2372"/>
      <c r="K869" s="2372"/>
      <c r="L869" s="2372"/>
      <c r="M869" s="2372"/>
      <c r="N869" s="2372"/>
      <c r="O869" s="2372"/>
      <c r="P869" s="2372"/>
      <c r="Q869" s="2372"/>
      <c r="R869" s="2372"/>
      <c r="S869" s="2372"/>
      <c r="T869" s="2372"/>
      <c r="U869" s="2372"/>
      <c r="V869" s="2372"/>
      <c r="W869" s="2372"/>
      <c r="X869" s="2372"/>
      <c r="Y869" s="2372"/>
      <c r="Z869" s="2372"/>
      <c r="AA869" s="2372"/>
      <c r="AB869" s="2372"/>
      <c r="AC869" s="2372"/>
      <c r="AD869" s="2372"/>
      <c r="AE869" s="2372"/>
      <c r="AF869" s="2372"/>
      <c r="AG869" s="2372"/>
      <c r="AH869" s="2372"/>
      <c r="AI869" s="2372"/>
      <c r="AJ869" s="2372"/>
      <c r="AK869" s="2372"/>
      <c r="AL869" s="2372"/>
      <c r="AM869" s="2372"/>
      <c r="AN869" s="2372"/>
      <c r="AO869" s="2372"/>
      <c r="AP869" s="2372"/>
      <c r="AQ869" s="2372"/>
      <c r="AR869" s="2372"/>
      <c r="AS869" s="2372"/>
      <c r="AT869" s="2372"/>
      <c r="AU869" s="2372"/>
      <c r="AV869" s="2372"/>
      <c r="AW869" s="2372"/>
      <c r="AX869" s="2372"/>
      <c r="AY869" s="2372"/>
      <c r="AZ869" s="2372"/>
      <c r="BA869" s="2372"/>
      <c r="BB869" s="2372"/>
      <c r="BC869" s="2372"/>
      <c r="BD869" s="2372"/>
      <c r="BE869" s="2372"/>
      <c r="BF869" s="2372"/>
      <c r="BG869" s="2372"/>
      <c r="BH869" s="2372"/>
      <c r="BI869" s="2372"/>
      <c r="BJ869" s="2372"/>
      <c r="BK869" s="2372"/>
      <c r="BL869" s="2372"/>
      <c r="BM869" s="2372"/>
      <c r="BN869" s="2372"/>
      <c r="BO869" s="2372"/>
      <c r="BP869" s="2372"/>
      <c r="BQ869" s="2372"/>
      <c r="BR869" s="2372"/>
      <c r="BS869" s="2372"/>
      <c r="BT869" s="2372"/>
      <c r="BU869" s="2372"/>
      <c r="BV869" s="2372"/>
      <c r="BW869" s="2372"/>
      <c r="BX869" s="2372"/>
      <c r="BY869" s="2372"/>
      <c r="BZ869" s="2372"/>
      <c r="CA869" s="2372"/>
      <c r="CB869" s="2372"/>
      <c r="CC869" s="2372"/>
      <c r="CD869" s="2372"/>
      <c r="CE869" s="2372"/>
      <c r="CF869" s="2372"/>
      <c r="CG869" s="2372"/>
      <c r="CH869" s="2372"/>
      <c r="CI869" s="2372"/>
      <c r="CJ869" s="2372"/>
      <c r="CK869" s="2372"/>
      <c r="CL869" s="2372"/>
      <c r="CM869" s="2372"/>
      <c r="CN869" s="2372"/>
      <c r="CO869" s="2372"/>
      <c r="CP869" s="2372"/>
      <c r="CQ869" s="2372"/>
      <c r="CR869" s="2372"/>
      <c r="CS869" s="2372"/>
      <c r="CT869" s="2372"/>
      <c r="CU869" s="2372"/>
      <c r="CV869" s="2372"/>
      <c r="CW869" s="2372"/>
      <c r="CX869" s="2372"/>
      <c r="CY869" s="2372"/>
      <c r="CZ869" s="2372"/>
      <c r="DA869" s="2372"/>
    </row>
    <row r="870" spans="1:105" ht="15" hidden="1" customHeight="1">
      <c r="A870" s="2372"/>
      <c r="B870" s="2372"/>
      <c r="C870" s="2372"/>
      <c r="D870" s="2372"/>
      <c r="E870" s="2372"/>
      <c r="F870" s="2372"/>
      <c r="G870" s="2372"/>
      <c r="H870" s="2372"/>
      <c r="I870" s="2372"/>
      <c r="J870" s="2372"/>
      <c r="K870" s="2372"/>
      <c r="L870" s="2372"/>
      <c r="M870" s="2372"/>
      <c r="N870" s="2372"/>
      <c r="O870" s="2372"/>
      <c r="P870" s="2372"/>
      <c r="Q870" s="2372"/>
      <c r="R870" s="2372"/>
      <c r="S870" s="2372"/>
      <c r="T870" s="2372"/>
      <c r="U870" s="2372"/>
      <c r="V870" s="2372"/>
      <c r="W870" s="2372"/>
      <c r="X870" s="2372"/>
      <c r="Y870" s="2372"/>
      <c r="Z870" s="2372"/>
      <c r="AA870" s="2372"/>
      <c r="AB870" s="2372"/>
      <c r="AC870" s="2372"/>
      <c r="AD870" s="2372"/>
      <c r="AE870" s="2372"/>
      <c r="AF870" s="2372"/>
      <c r="AG870" s="2372"/>
      <c r="AH870" s="2372"/>
      <c r="AI870" s="2372"/>
      <c r="AJ870" s="2372"/>
      <c r="AK870" s="2372"/>
      <c r="AL870" s="2372"/>
      <c r="AM870" s="2372"/>
      <c r="AN870" s="2372"/>
      <c r="AO870" s="2372"/>
      <c r="AP870" s="2372"/>
      <c r="AQ870" s="2372"/>
      <c r="AR870" s="2372"/>
      <c r="AS870" s="2372"/>
      <c r="AT870" s="2372"/>
      <c r="AU870" s="2372"/>
      <c r="AV870" s="2372"/>
      <c r="AW870" s="2372"/>
      <c r="AX870" s="2372"/>
      <c r="AY870" s="2372"/>
      <c r="AZ870" s="2372"/>
      <c r="BA870" s="2372"/>
      <c r="BB870" s="2372"/>
      <c r="BC870" s="2372"/>
      <c r="BD870" s="2372"/>
      <c r="BE870" s="2372"/>
      <c r="BF870" s="2372"/>
      <c r="BG870" s="2372"/>
      <c r="BH870" s="2372"/>
      <c r="BI870" s="2372"/>
      <c r="BJ870" s="2372"/>
      <c r="BK870" s="2372"/>
      <c r="BL870" s="2372"/>
      <c r="BM870" s="2372"/>
      <c r="BN870" s="2372"/>
      <c r="BO870" s="2372"/>
      <c r="BP870" s="2372"/>
      <c r="BQ870" s="2372"/>
      <c r="BR870" s="2372"/>
      <c r="BS870" s="2372"/>
      <c r="BT870" s="2372"/>
      <c r="BU870" s="2372"/>
      <c r="BV870" s="2372"/>
      <c r="BW870" s="2372"/>
      <c r="BX870" s="2372"/>
      <c r="BY870" s="2372"/>
      <c r="BZ870" s="2372"/>
      <c r="CA870" s="2372"/>
      <c r="CB870" s="2372"/>
      <c r="CC870" s="2372"/>
      <c r="CD870" s="2372"/>
      <c r="CE870" s="2372"/>
      <c r="CF870" s="2372"/>
      <c r="CG870" s="2372"/>
      <c r="CH870" s="2372"/>
      <c r="CI870" s="2372"/>
      <c r="CJ870" s="2372"/>
      <c r="CK870" s="2372"/>
      <c r="CL870" s="2372"/>
      <c r="CM870" s="2372"/>
      <c r="CN870" s="2372"/>
      <c r="CO870" s="2372"/>
      <c r="CP870" s="2372"/>
      <c r="CQ870" s="2372"/>
      <c r="CR870" s="2372"/>
      <c r="CS870" s="2372"/>
      <c r="CT870" s="2372"/>
      <c r="CU870" s="2372"/>
      <c r="CV870" s="2372"/>
      <c r="CW870" s="2372"/>
      <c r="CX870" s="2372"/>
      <c r="CY870" s="2372"/>
      <c r="CZ870" s="2372"/>
      <c r="DA870" s="2372"/>
    </row>
    <row r="871" spans="1:105" ht="15" hidden="1" customHeight="1">
      <c r="A871" s="2372"/>
      <c r="B871" s="2372"/>
      <c r="C871" s="2372"/>
      <c r="D871" s="2372"/>
      <c r="E871" s="2372"/>
      <c r="F871" s="2372"/>
      <c r="G871" s="2372"/>
      <c r="H871" s="2372"/>
      <c r="I871" s="2372"/>
      <c r="J871" s="2372"/>
      <c r="K871" s="2372"/>
      <c r="L871" s="2372"/>
      <c r="M871" s="2372"/>
      <c r="N871" s="2372"/>
      <c r="O871" s="2372"/>
      <c r="P871" s="2372"/>
      <c r="Q871" s="2372"/>
      <c r="R871" s="2372"/>
      <c r="S871" s="2372"/>
      <c r="T871" s="2372"/>
      <c r="U871" s="2372"/>
      <c r="V871" s="2372"/>
      <c r="W871" s="2372"/>
      <c r="X871" s="2372"/>
      <c r="Y871" s="2372"/>
      <c r="Z871" s="2372"/>
      <c r="AA871" s="2372"/>
      <c r="AB871" s="2372"/>
      <c r="AC871" s="2372"/>
      <c r="AD871" s="2372"/>
      <c r="AE871" s="2372"/>
      <c r="AF871" s="2372"/>
      <c r="AG871" s="2372"/>
      <c r="AH871" s="2372"/>
      <c r="AI871" s="2372"/>
      <c r="AJ871" s="2372"/>
      <c r="AK871" s="2372"/>
      <c r="AL871" s="2372"/>
      <c r="AM871" s="2372"/>
      <c r="AN871" s="2372"/>
      <c r="AO871" s="2372"/>
      <c r="AP871" s="2372"/>
      <c r="AQ871" s="2372"/>
      <c r="AR871" s="2372"/>
      <c r="AS871" s="2372"/>
      <c r="AT871" s="2372"/>
      <c r="AU871" s="2372"/>
      <c r="AV871" s="2372"/>
      <c r="AW871" s="2372"/>
      <c r="AX871" s="2372"/>
      <c r="AY871" s="2372"/>
      <c r="AZ871" s="2372"/>
      <c r="BA871" s="2372"/>
      <c r="BB871" s="2372"/>
      <c r="BC871" s="2372"/>
      <c r="BD871" s="2372"/>
      <c r="BE871" s="2372"/>
      <c r="BF871" s="2372"/>
      <c r="BG871" s="2372"/>
      <c r="BH871" s="2372"/>
      <c r="BI871" s="2372"/>
      <c r="BJ871" s="2372"/>
      <c r="BK871" s="2372"/>
      <c r="BL871" s="2372"/>
      <c r="BM871" s="2372"/>
      <c r="BN871" s="2372"/>
      <c r="BO871" s="2372"/>
      <c r="BP871" s="2372"/>
      <c r="BQ871" s="2372"/>
      <c r="BR871" s="2372"/>
      <c r="BS871" s="2372"/>
      <c r="BT871" s="2372"/>
      <c r="BU871" s="2372"/>
      <c r="BV871" s="2372"/>
      <c r="BW871" s="2372"/>
      <c r="BX871" s="2372"/>
      <c r="BY871" s="2372"/>
      <c r="BZ871" s="2372"/>
      <c r="CA871" s="2372"/>
      <c r="CB871" s="2372"/>
      <c r="CC871" s="2372"/>
      <c r="CD871" s="2372"/>
      <c r="CE871" s="2372"/>
      <c r="CF871" s="2372"/>
      <c r="CG871" s="2372"/>
      <c r="CH871" s="2372"/>
      <c r="CI871" s="2372"/>
      <c r="CJ871" s="2372"/>
      <c r="CK871" s="2372"/>
      <c r="CL871" s="2372"/>
      <c r="CM871" s="2372"/>
      <c r="CN871" s="2372"/>
      <c r="CO871" s="2372"/>
      <c r="CP871" s="2372"/>
      <c r="CQ871" s="2372"/>
      <c r="CR871" s="2372"/>
      <c r="CS871" s="2372"/>
      <c r="CT871" s="2372"/>
      <c r="CU871" s="2372"/>
      <c r="CV871" s="2372"/>
      <c r="CW871" s="2372"/>
      <c r="CX871" s="2372"/>
      <c r="CY871" s="2372"/>
      <c r="CZ871" s="2372"/>
      <c r="DA871" s="2372"/>
    </row>
    <row r="872" spans="1:105" ht="15" hidden="1" customHeight="1">
      <c r="A872" s="2372"/>
      <c r="B872" s="2372"/>
      <c r="C872" s="2372"/>
      <c r="D872" s="2372"/>
      <c r="E872" s="2372"/>
      <c r="F872" s="2372"/>
      <c r="G872" s="2372"/>
      <c r="H872" s="2372"/>
      <c r="I872" s="2372"/>
      <c r="J872" s="2372"/>
      <c r="K872" s="2372"/>
      <c r="L872" s="2372"/>
      <c r="M872" s="2372"/>
      <c r="N872" s="2372"/>
      <c r="O872" s="2372"/>
      <c r="P872" s="2372"/>
      <c r="Q872" s="2372"/>
      <c r="R872" s="2372"/>
      <c r="S872" s="2372"/>
      <c r="T872" s="2372"/>
      <c r="U872" s="2372"/>
      <c r="V872" s="2372"/>
      <c r="W872" s="2372"/>
      <c r="X872" s="2372"/>
      <c r="Y872" s="2372"/>
      <c r="Z872" s="2372"/>
      <c r="AA872" s="2372"/>
      <c r="AB872" s="2372"/>
      <c r="AC872" s="2372"/>
      <c r="AD872" s="2372"/>
      <c r="AE872" s="2372"/>
      <c r="AF872" s="2372"/>
      <c r="AG872" s="2372"/>
      <c r="AH872" s="2372"/>
      <c r="AI872" s="2372"/>
      <c r="AJ872" s="2372"/>
      <c r="AK872" s="2372"/>
      <c r="AL872" s="2372"/>
      <c r="AM872" s="2372"/>
      <c r="AN872" s="2372"/>
      <c r="AO872" s="2372"/>
      <c r="AP872" s="2372"/>
      <c r="AQ872" s="2372"/>
      <c r="AR872" s="2372"/>
      <c r="AS872" s="2372"/>
      <c r="AT872" s="2372"/>
      <c r="AU872" s="2372"/>
      <c r="AV872" s="2372"/>
      <c r="AW872" s="2372"/>
      <c r="AX872" s="2372"/>
      <c r="AY872" s="2372"/>
      <c r="AZ872" s="2372"/>
      <c r="BA872" s="2372"/>
      <c r="BB872" s="2372"/>
      <c r="BC872" s="2372"/>
      <c r="BD872" s="2372"/>
      <c r="BE872" s="2372"/>
      <c r="BF872" s="2372"/>
      <c r="BG872" s="2372"/>
      <c r="BH872" s="2372"/>
      <c r="BI872" s="2372"/>
      <c r="BJ872" s="2372"/>
      <c r="BK872" s="2372"/>
      <c r="BL872" s="2372"/>
      <c r="BM872" s="2372"/>
      <c r="BN872" s="2372"/>
      <c r="BO872" s="2372"/>
      <c r="BP872" s="2372"/>
      <c r="BQ872" s="2372"/>
      <c r="BR872" s="2372"/>
      <c r="BS872" s="2372"/>
      <c r="BT872" s="2372"/>
      <c r="BU872" s="2372"/>
      <c r="BV872" s="2372"/>
      <c r="BW872" s="2372"/>
      <c r="BX872" s="2372"/>
      <c r="BY872" s="2372"/>
      <c r="BZ872" s="2372"/>
      <c r="CA872" s="2372"/>
      <c r="CB872" s="2372"/>
      <c r="CC872" s="2372"/>
      <c r="CD872" s="2372"/>
      <c r="CE872" s="2372"/>
      <c r="CF872" s="2372"/>
      <c r="CG872" s="2372"/>
      <c r="CH872" s="2372"/>
      <c r="CI872" s="2372"/>
      <c r="CJ872" s="2372"/>
      <c r="CK872" s="2372"/>
      <c r="CL872" s="2372"/>
      <c r="CM872" s="2372"/>
      <c r="CN872" s="2372"/>
      <c r="CO872" s="2372"/>
      <c r="CP872" s="2372"/>
      <c r="CQ872" s="2372"/>
      <c r="CR872" s="2372"/>
      <c r="CS872" s="2372"/>
      <c r="CT872" s="2372"/>
      <c r="CU872" s="2372"/>
      <c r="CV872" s="2372"/>
      <c r="CW872" s="2372"/>
      <c r="CX872" s="2372"/>
      <c r="CY872" s="2372"/>
      <c r="CZ872" s="2372"/>
      <c r="DA872" s="2372"/>
    </row>
    <row r="873" spans="1:105" ht="15" hidden="1" customHeight="1">
      <c r="A873" s="2372"/>
      <c r="B873" s="2372"/>
      <c r="C873" s="2372"/>
      <c r="D873" s="2372"/>
      <c r="E873" s="2372"/>
      <c r="F873" s="2372"/>
      <c r="G873" s="2372"/>
      <c r="H873" s="2372"/>
      <c r="I873" s="2372"/>
      <c r="J873" s="2372"/>
      <c r="K873" s="2372"/>
      <c r="L873" s="2372"/>
      <c r="M873" s="2372"/>
      <c r="N873" s="2372"/>
      <c r="O873" s="2372"/>
      <c r="P873" s="2372"/>
      <c r="Q873" s="2372"/>
      <c r="R873" s="2372"/>
      <c r="S873" s="2372"/>
      <c r="T873" s="2372"/>
      <c r="U873" s="2372"/>
      <c r="V873" s="2372"/>
      <c r="W873" s="2372"/>
      <c r="X873" s="2372"/>
      <c r="Y873" s="2372"/>
      <c r="Z873" s="2372"/>
      <c r="AA873" s="2372"/>
      <c r="AB873" s="2372"/>
      <c r="AC873" s="2372"/>
      <c r="AD873" s="2372"/>
      <c r="AE873" s="2372"/>
      <c r="AF873" s="2372"/>
      <c r="AG873" s="2372"/>
      <c r="AH873" s="2372"/>
      <c r="AI873" s="2372"/>
      <c r="AJ873" s="2372"/>
      <c r="AK873" s="2372"/>
      <c r="AL873" s="2372"/>
      <c r="AM873" s="2372"/>
      <c r="AN873" s="2372"/>
      <c r="AO873" s="2372"/>
      <c r="AP873" s="2372"/>
      <c r="AQ873" s="2372"/>
      <c r="AR873" s="2372"/>
      <c r="AS873" s="2372"/>
      <c r="AT873" s="2372"/>
      <c r="AU873" s="2372"/>
      <c r="AV873" s="2372"/>
      <c r="AW873" s="2372"/>
      <c r="AX873" s="2372"/>
      <c r="AY873" s="2372"/>
      <c r="AZ873" s="2372"/>
      <c r="BA873" s="2372"/>
      <c r="BB873" s="2372"/>
      <c r="BC873" s="2372"/>
      <c r="BD873" s="2372"/>
      <c r="BE873" s="2372"/>
      <c r="BF873" s="2372"/>
      <c r="BG873" s="2372"/>
      <c r="BH873" s="2372"/>
      <c r="BI873" s="2372"/>
      <c r="BJ873" s="2372"/>
      <c r="BK873" s="2372"/>
      <c r="BL873" s="2372"/>
      <c r="BM873" s="2372"/>
      <c r="BN873" s="2372"/>
      <c r="BO873" s="2372"/>
      <c r="BP873" s="2372"/>
      <c r="BQ873" s="2372"/>
      <c r="BR873" s="2372"/>
      <c r="BS873" s="2372"/>
      <c r="BT873" s="2372"/>
      <c r="BU873" s="2372"/>
      <c r="BV873" s="2372"/>
      <c r="BW873" s="2372"/>
      <c r="BX873" s="2372"/>
      <c r="BY873" s="2372"/>
      <c r="BZ873" s="2372"/>
      <c r="CA873" s="2372"/>
      <c r="CB873" s="2372"/>
      <c r="CC873" s="2372"/>
      <c r="CD873" s="2372"/>
      <c r="CE873" s="2372"/>
      <c r="CF873" s="2372"/>
      <c r="CG873" s="2372"/>
      <c r="CH873" s="2372"/>
      <c r="CI873" s="2372"/>
      <c r="CJ873" s="2372"/>
      <c r="CK873" s="2372"/>
      <c r="CL873" s="2372"/>
      <c r="CM873" s="2372"/>
      <c r="CN873" s="2372"/>
      <c r="CO873" s="2372"/>
      <c r="CP873" s="2372"/>
      <c r="CQ873" s="2372"/>
      <c r="CR873" s="2372"/>
      <c r="CS873" s="2372"/>
      <c r="CT873" s="2372"/>
      <c r="CU873" s="2372"/>
      <c r="CV873" s="2372"/>
      <c r="CW873" s="2372"/>
      <c r="CX873" s="2372"/>
      <c r="CY873" s="2372"/>
      <c r="CZ873" s="2372"/>
      <c r="DA873" s="2372"/>
    </row>
    <row r="874" spans="1:105" ht="15" hidden="1" customHeight="1">
      <c r="A874" s="2372"/>
      <c r="B874" s="2372"/>
      <c r="C874" s="2372"/>
      <c r="D874" s="2372"/>
      <c r="E874" s="2372"/>
      <c r="F874" s="2372"/>
      <c r="G874" s="2372"/>
      <c r="H874" s="2372"/>
      <c r="I874" s="2372"/>
      <c r="J874" s="2372"/>
      <c r="K874" s="2372"/>
      <c r="L874" s="2372"/>
      <c r="M874" s="2372"/>
      <c r="N874" s="2372"/>
      <c r="O874" s="2372"/>
      <c r="P874" s="2372"/>
      <c r="Q874" s="2372"/>
      <c r="R874" s="2372"/>
      <c r="S874" s="2372"/>
      <c r="T874" s="2372"/>
      <c r="U874" s="2372"/>
      <c r="V874" s="2372"/>
      <c r="W874" s="2372"/>
      <c r="X874" s="2372"/>
      <c r="Y874" s="2372"/>
      <c r="Z874" s="2372"/>
      <c r="AA874" s="2372"/>
      <c r="AB874" s="2372"/>
      <c r="AC874" s="2372"/>
      <c r="AD874" s="2372"/>
      <c r="AE874" s="2372"/>
      <c r="AF874" s="2372"/>
      <c r="AG874" s="2372"/>
      <c r="AH874" s="2372"/>
      <c r="AI874" s="2372"/>
      <c r="AJ874" s="2372"/>
      <c r="AK874" s="2372"/>
      <c r="AL874" s="2372"/>
      <c r="AM874" s="2372"/>
      <c r="AN874" s="2372"/>
      <c r="AO874" s="2372"/>
      <c r="AP874" s="2372"/>
      <c r="AQ874" s="2372"/>
      <c r="AR874" s="2372"/>
      <c r="AS874" s="2372"/>
      <c r="AT874" s="2372"/>
      <c r="AU874" s="2372"/>
      <c r="AV874" s="2372"/>
      <c r="AW874" s="2372"/>
      <c r="AX874" s="2372"/>
      <c r="AY874" s="2372"/>
      <c r="AZ874" s="2372"/>
      <c r="BA874" s="2372"/>
      <c r="BB874" s="2372"/>
      <c r="BC874" s="2372"/>
      <c r="BD874" s="2372"/>
      <c r="BE874" s="2372"/>
      <c r="BF874" s="2372"/>
      <c r="BG874" s="2372"/>
      <c r="BH874" s="2372"/>
      <c r="BI874" s="2372"/>
      <c r="BJ874" s="2372"/>
      <c r="BK874" s="2372"/>
      <c r="BL874" s="2372"/>
      <c r="BM874" s="2372"/>
      <c r="BN874" s="2372"/>
      <c r="BO874" s="2372"/>
      <c r="BP874" s="2372"/>
      <c r="BQ874" s="2372"/>
      <c r="BR874" s="2372"/>
      <c r="BS874" s="2372"/>
      <c r="BT874" s="2372"/>
      <c r="BU874" s="2372"/>
      <c r="BV874" s="2372"/>
      <c r="BW874" s="2372"/>
      <c r="BX874" s="2372"/>
      <c r="BY874" s="2372"/>
      <c r="BZ874" s="2372"/>
      <c r="CA874" s="2372"/>
      <c r="CB874" s="2372"/>
      <c r="CC874" s="2372"/>
      <c r="CD874" s="2372"/>
      <c r="CE874" s="2372"/>
      <c r="CF874" s="2372"/>
      <c r="CG874" s="2372"/>
      <c r="CH874" s="2372"/>
      <c r="CI874" s="2372"/>
      <c r="CJ874" s="2372"/>
      <c r="CK874" s="2372"/>
      <c r="CL874" s="2372"/>
      <c r="CM874" s="2372"/>
      <c r="CN874" s="2372"/>
      <c r="CO874" s="2372"/>
      <c r="CP874" s="2372"/>
      <c r="CQ874" s="2372"/>
      <c r="CR874" s="2372"/>
      <c r="CS874" s="2372"/>
      <c r="CT874" s="2372"/>
      <c r="CU874" s="2372"/>
      <c r="CV874" s="2372"/>
      <c r="CW874" s="2372"/>
      <c r="CX874" s="2372"/>
      <c r="CY874" s="2372"/>
      <c r="CZ874" s="2372"/>
      <c r="DA874" s="2372"/>
    </row>
    <row r="875" spans="1:105" ht="15" hidden="1" customHeight="1">
      <c r="A875" s="2372"/>
      <c r="B875" s="2372"/>
      <c r="C875" s="2372"/>
      <c r="D875" s="2372"/>
      <c r="E875" s="2372"/>
      <c r="F875" s="2372"/>
      <c r="G875" s="2372"/>
      <c r="H875" s="2372"/>
      <c r="I875" s="2372"/>
      <c r="J875" s="2372"/>
      <c r="K875" s="2372"/>
      <c r="L875" s="2372"/>
      <c r="M875" s="2372"/>
      <c r="N875" s="2372"/>
      <c r="O875" s="2372"/>
      <c r="P875" s="2372"/>
      <c r="Q875" s="2372"/>
      <c r="R875" s="2372"/>
      <c r="S875" s="2372"/>
      <c r="T875" s="2372"/>
      <c r="U875" s="2372"/>
      <c r="V875" s="2372"/>
      <c r="W875" s="2372"/>
      <c r="X875" s="2372"/>
      <c r="Y875" s="2372"/>
      <c r="Z875" s="2372"/>
      <c r="AA875" s="2372"/>
      <c r="AB875" s="2372"/>
      <c r="AC875" s="2372"/>
      <c r="AD875" s="2372"/>
      <c r="AE875" s="2372"/>
      <c r="AF875" s="2372"/>
      <c r="AG875" s="2372"/>
      <c r="AH875" s="2372"/>
      <c r="AI875" s="2372"/>
      <c r="AJ875" s="2372"/>
      <c r="AK875" s="2372"/>
      <c r="AL875" s="2372"/>
      <c r="AM875" s="2372"/>
      <c r="AN875" s="2372"/>
      <c r="AO875" s="2372"/>
      <c r="AP875" s="2372"/>
      <c r="AQ875" s="2372"/>
      <c r="AR875" s="2372"/>
      <c r="AS875" s="2372"/>
      <c r="AT875" s="2372"/>
      <c r="AU875" s="2372"/>
      <c r="AV875" s="2372"/>
      <c r="AW875" s="2372"/>
      <c r="AX875" s="2372"/>
      <c r="AY875" s="2372"/>
      <c r="AZ875" s="2372"/>
      <c r="BA875" s="2372"/>
      <c r="BB875" s="2372"/>
      <c r="BC875" s="2372"/>
      <c r="BD875" s="2372"/>
      <c r="BE875" s="2372"/>
      <c r="BF875" s="2372"/>
      <c r="BG875" s="2372"/>
      <c r="BH875" s="2372"/>
      <c r="BI875" s="2372"/>
      <c r="BJ875" s="2372"/>
      <c r="BK875" s="2372"/>
      <c r="BL875" s="2372"/>
      <c r="BM875" s="2372"/>
      <c r="BN875" s="2372"/>
      <c r="BO875" s="2372"/>
      <c r="BP875" s="2372"/>
      <c r="BQ875" s="2372"/>
      <c r="BR875" s="2372"/>
      <c r="BS875" s="2372"/>
      <c r="BT875" s="2372"/>
      <c r="BU875" s="2372"/>
      <c r="BV875" s="2372"/>
      <c r="BW875" s="2372"/>
      <c r="BX875" s="2372"/>
      <c r="BY875" s="2372"/>
      <c r="BZ875" s="2372"/>
      <c r="CA875" s="2372"/>
      <c r="CB875" s="2372"/>
      <c r="CC875" s="2372"/>
      <c r="CD875" s="2372"/>
      <c r="CE875" s="2372"/>
      <c r="CF875" s="2372"/>
      <c r="CG875" s="2372"/>
      <c r="CH875" s="2372"/>
      <c r="CI875" s="2372"/>
      <c r="CJ875" s="2372"/>
      <c r="CK875" s="2372"/>
      <c r="CL875" s="2372"/>
      <c r="CM875" s="2372"/>
      <c r="CN875" s="2372"/>
      <c r="CO875" s="2372"/>
      <c r="CP875" s="2372"/>
      <c r="CQ875" s="2372"/>
      <c r="CR875" s="2372"/>
      <c r="CS875" s="2372"/>
      <c r="CT875" s="2372"/>
      <c r="CU875" s="2372"/>
      <c r="CV875" s="2372"/>
      <c r="CW875" s="2372"/>
      <c r="CX875" s="2372"/>
      <c r="CY875" s="2372"/>
      <c r="CZ875" s="2372"/>
      <c r="DA875" s="2372"/>
    </row>
    <row r="876" spans="1:105" ht="15" hidden="1" customHeight="1">
      <c r="A876" s="2372"/>
      <c r="B876" s="2372"/>
      <c r="C876" s="2372"/>
      <c r="D876" s="2372"/>
      <c r="E876" s="2372"/>
      <c r="F876" s="2372"/>
      <c r="G876" s="2372"/>
      <c r="H876" s="2372"/>
      <c r="I876" s="2372"/>
      <c r="J876" s="2372"/>
      <c r="K876" s="2372"/>
      <c r="L876" s="2372"/>
      <c r="M876" s="2372"/>
      <c r="N876" s="2372"/>
      <c r="O876" s="2372"/>
      <c r="P876" s="2372"/>
      <c r="Q876" s="2372"/>
      <c r="R876" s="2372"/>
      <c r="S876" s="2372"/>
      <c r="T876" s="2372"/>
      <c r="U876" s="2372"/>
      <c r="V876" s="2372"/>
      <c r="W876" s="2372"/>
      <c r="X876" s="2372"/>
      <c r="Y876" s="2372"/>
      <c r="Z876" s="2372"/>
      <c r="AA876" s="2372"/>
      <c r="AB876" s="2372"/>
      <c r="AC876" s="2372"/>
      <c r="AD876" s="2372"/>
      <c r="AE876" s="2372"/>
      <c r="AF876" s="2372"/>
      <c r="AG876" s="2372"/>
      <c r="AH876" s="2372"/>
      <c r="AI876" s="2372"/>
      <c r="AJ876" s="2372"/>
      <c r="AK876" s="2372"/>
      <c r="AL876" s="2372"/>
      <c r="AM876" s="2372"/>
      <c r="AN876" s="2372"/>
      <c r="AO876" s="2372"/>
      <c r="AP876" s="2372"/>
      <c r="AQ876" s="2372"/>
      <c r="AR876" s="2372"/>
      <c r="AS876" s="2372"/>
      <c r="AT876" s="2372"/>
      <c r="AU876" s="2372"/>
      <c r="AV876" s="2372"/>
      <c r="AW876" s="2372"/>
      <c r="AX876" s="2372"/>
      <c r="AY876" s="2372"/>
      <c r="AZ876" s="2372"/>
      <c r="BA876" s="2372"/>
      <c r="BB876" s="2372"/>
      <c r="BC876" s="2372"/>
      <c r="BD876" s="2372"/>
      <c r="BE876" s="2372"/>
      <c r="BF876" s="2372"/>
      <c r="BG876" s="2372"/>
      <c r="BH876" s="2372"/>
      <c r="BI876" s="2372"/>
      <c r="BJ876" s="2372"/>
      <c r="BK876" s="2372"/>
      <c r="BL876" s="2372"/>
      <c r="BM876" s="2372"/>
      <c r="BN876" s="2372"/>
      <c r="BO876" s="2372"/>
      <c r="BP876" s="2372"/>
      <c r="BQ876" s="2372"/>
      <c r="BR876" s="2372"/>
      <c r="BS876" s="2372"/>
      <c r="BT876" s="2372"/>
      <c r="BU876" s="2372"/>
      <c r="BV876" s="2372"/>
      <c r="BW876" s="2372"/>
      <c r="BX876" s="2372"/>
      <c r="BY876" s="2372"/>
      <c r="BZ876" s="2372"/>
      <c r="CA876" s="2372"/>
      <c r="CB876" s="2372"/>
      <c r="CC876" s="2372"/>
      <c r="CD876" s="2372"/>
      <c r="CE876" s="2372"/>
      <c r="CF876" s="2372"/>
      <c r="CG876" s="2372"/>
      <c r="CH876" s="2372"/>
      <c r="CI876" s="2372"/>
      <c r="CJ876" s="2372"/>
      <c r="CK876" s="2372"/>
      <c r="CL876" s="2372"/>
      <c r="CM876" s="2372"/>
      <c r="CN876" s="2372"/>
      <c r="CO876" s="2372"/>
      <c r="CP876" s="2372"/>
      <c r="CQ876" s="2372"/>
      <c r="CR876" s="2372"/>
      <c r="CS876" s="2372"/>
      <c r="CT876" s="2372"/>
      <c r="CU876" s="2372"/>
      <c r="CV876" s="2372"/>
      <c r="CW876" s="2372"/>
      <c r="CX876" s="2372"/>
      <c r="CY876" s="2372"/>
      <c r="CZ876" s="2372"/>
      <c r="DA876" s="2372"/>
    </row>
    <row r="877" spans="1:105" ht="15" hidden="1" customHeight="1">
      <c r="A877" s="2372"/>
      <c r="B877" s="2372"/>
      <c r="C877" s="2372"/>
      <c r="D877" s="2372"/>
      <c r="E877" s="2372"/>
      <c r="F877" s="2372"/>
      <c r="G877" s="2372"/>
      <c r="H877" s="2372"/>
      <c r="I877" s="2372"/>
      <c r="J877" s="2372"/>
      <c r="K877" s="2372"/>
      <c r="L877" s="2372"/>
      <c r="M877" s="2372"/>
      <c r="N877" s="2372"/>
      <c r="O877" s="2372"/>
      <c r="P877" s="2372"/>
      <c r="Q877" s="2372"/>
      <c r="R877" s="2372"/>
      <c r="S877" s="2372"/>
      <c r="T877" s="2372"/>
      <c r="U877" s="2372"/>
      <c r="V877" s="2372"/>
      <c r="W877" s="2372"/>
      <c r="X877" s="2372"/>
      <c r="Y877" s="2372"/>
      <c r="Z877" s="2372"/>
      <c r="AA877" s="2372"/>
      <c r="AB877" s="2372"/>
      <c r="AC877" s="2372"/>
      <c r="AD877" s="2372"/>
      <c r="AE877" s="2372"/>
      <c r="AF877" s="2372"/>
      <c r="AG877" s="2372"/>
      <c r="AH877" s="2372"/>
      <c r="AI877" s="2372"/>
      <c r="AJ877" s="2372"/>
      <c r="AK877" s="2372"/>
      <c r="AL877" s="2372"/>
      <c r="AM877" s="2372"/>
      <c r="AN877" s="2372"/>
      <c r="AO877" s="2372"/>
      <c r="AP877" s="2372"/>
      <c r="AQ877" s="2372"/>
      <c r="AR877" s="2372"/>
      <c r="AS877" s="2372"/>
      <c r="AT877" s="2372"/>
      <c r="AU877" s="2372"/>
      <c r="AV877" s="2372"/>
      <c r="AW877" s="2372"/>
      <c r="AX877" s="2372"/>
      <c r="AY877" s="2372"/>
      <c r="AZ877" s="2372"/>
      <c r="BA877" s="2372"/>
      <c r="BB877" s="2372"/>
      <c r="BC877" s="2372"/>
      <c r="BD877" s="2372"/>
      <c r="BE877" s="2372"/>
      <c r="BF877" s="2372"/>
      <c r="BG877" s="2372"/>
      <c r="BH877" s="2372"/>
      <c r="BI877" s="2372"/>
      <c r="BJ877" s="2372"/>
      <c r="BK877" s="2372"/>
      <c r="BL877" s="2372"/>
      <c r="BM877" s="2372"/>
      <c r="BN877" s="2372"/>
      <c r="BO877" s="2372"/>
      <c r="BP877" s="2372"/>
      <c r="BQ877" s="2372"/>
      <c r="BR877" s="2372"/>
      <c r="BS877" s="2372"/>
      <c r="BT877" s="2372"/>
      <c r="BU877" s="2372"/>
      <c r="BV877" s="2372"/>
      <c r="BW877" s="2372"/>
      <c r="BX877" s="2372"/>
      <c r="BY877" s="2372"/>
      <c r="BZ877" s="2372"/>
      <c r="CA877" s="2372"/>
      <c r="CB877" s="2372"/>
      <c r="CC877" s="2372"/>
      <c r="CD877" s="2372"/>
      <c r="CE877" s="2372"/>
      <c r="CF877" s="2372"/>
      <c r="CG877" s="2372"/>
      <c r="CH877" s="2372"/>
      <c r="CI877" s="2372"/>
      <c r="CJ877" s="2372"/>
      <c r="CK877" s="2372"/>
      <c r="CL877" s="2372"/>
      <c r="CM877" s="2372"/>
      <c r="CN877" s="2372"/>
      <c r="CO877" s="2372"/>
      <c r="CP877" s="2372"/>
      <c r="CQ877" s="2372"/>
      <c r="CR877" s="2372"/>
      <c r="CS877" s="2372"/>
      <c r="CT877" s="2372"/>
      <c r="CU877" s="2372"/>
      <c r="CV877" s="2372"/>
      <c r="CW877" s="2372"/>
      <c r="CX877" s="2372"/>
      <c r="CY877" s="2372"/>
      <c r="CZ877" s="2372"/>
      <c r="DA877" s="2372"/>
    </row>
    <row r="878" spans="1:105" ht="15" hidden="1" customHeight="1">
      <c r="A878" s="2372"/>
      <c r="B878" s="2372"/>
      <c r="C878" s="2372"/>
      <c r="D878" s="2372"/>
      <c r="E878" s="2372"/>
      <c r="F878" s="2372"/>
      <c r="G878" s="2372"/>
      <c r="H878" s="2372"/>
      <c r="I878" s="2372"/>
      <c r="J878" s="2372"/>
      <c r="K878" s="2372"/>
      <c r="L878" s="2372"/>
      <c r="M878" s="2372"/>
      <c r="N878" s="2372"/>
      <c r="O878" s="2372"/>
      <c r="P878" s="2372"/>
      <c r="Q878" s="2372"/>
      <c r="R878" s="2372"/>
      <c r="S878" s="2372"/>
      <c r="T878" s="2372"/>
      <c r="U878" s="2372"/>
      <c r="V878" s="2372"/>
      <c r="W878" s="2372"/>
      <c r="X878" s="2372"/>
      <c r="Y878" s="2372"/>
      <c r="Z878" s="2372"/>
      <c r="AA878" s="2372"/>
      <c r="AB878" s="2372"/>
      <c r="AC878" s="2372"/>
      <c r="AD878" s="2372"/>
      <c r="AE878" s="2372"/>
      <c r="AF878" s="2372"/>
      <c r="AG878" s="2372"/>
      <c r="AH878" s="2372"/>
      <c r="AI878" s="2372"/>
      <c r="AJ878" s="2372"/>
      <c r="AK878" s="2372"/>
      <c r="AL878" s="2372"/>
      <c r="AM878" s="2372"/>
      <c r="AN878" s="2372"/>
      <c r="AO878" s="2372"/>
      <c r="AP878" s="2372"/>
      <c r="AQ878" s="2372"/>
      <c r="AR878" s="2372"/>
      <c r="AS878" s="2372"/>
      <c r="AT878" s="2372"/>
      <c r="AU878" s="2372"/>
      <c r="AV878" s="2372"/>
      <c r="AW878" s="2372"/>
      <c r="AX878" s="2372"/>
      <c r="AY878" s="2372"/>
      <c r="AZ878" s="2372"/>
      <c r="BA878" s="2372"/>
      <c r="BB878" s="2372"/>
      <c r="BC878" s="2372"/>
      <c r="BD878" s="2372"/>
      <c r="BE878" s="2372"/>
      <c r="BF878" s="2372"/>
      <c r="BG878" s="2372"/>
      <c r="BH878" s="2372"/>
      <c r="BI878" s="2372"/>
      <c r="BJ878" s="2372"/>
      <c r="BK878" s="2372"/>
      <c r="BL878" s="2372"/>
      <c r="BM878" s="2372"/>
      <c r="BN878" s="2372"/>
      <c r="BO878" s="2372"/>
      <c r="BP878" s="2372"/>
      <c r="BQ878" s="2372"/>
      <c r="BR878" s="2372"/>
      <c r="BS878" s="2372"/>
      <c r="BT878" s="2372"/>
      <c r="BU878" s="2372"/>
      <c r="BV878" s="2372"/>
      <c r="BW878" s="2372"/>
      <c r="BX878" s="2372"/>
      <c r="BY878" s="2372"/>
      <c r="BZ878" s="2372"/>
      <c r="CA878" s="2372"/>
      <c r="CB878" s="2372"/>
      <c r="CC878" s="2372"/>
      <c r="CD878" s="2372"/>
      <c r="CE878" s="2372"/>
      <c r="CF878" s="2372"/>
      <c r="CG878" s="2372"/>
      <c r="CH878" s="2372"/>
      <c r="CI878" s="2372"/>
      <c r="CJ878" s="2372"/>
      <c r="CK878" s="2372"/>
      <c r="CL878" s="2372"/>
      <c r="CM878" s="2372"/>
      <c r="CN878" s="2372"/>
      <c r="CO878" s="2372"/>
      <c r="CP878" s="2372"/>
      <c r="CQ878" s="2372"/>
      <c r="CR878" s="2372"/>
      <c r="CS878" s="2372"/>
      <c r="CT878" s="2372"/>
      <c r="CU878" s="2372"/>
      <c r="CV878" s="2372"/>
      <c r="CW878" s="2372"/>
      <c r="CX878" s="2372"/>
      <c r="CY878" s="2372"/>
      <c r="CZ878" s="2372"/>
      <c r="DA878" s="2372"/>
    </row>
    <row r="879" spans="1:105" ht="15" hidden="1" customHeight="1">
      <c r="A879" s="2372"/>
      <c r="B879" s="2372"/>
      <c r="C879" s="2372"/>
      <c r="D879" s="2372"/>
      <c r="E879" s="2372"/>
      <c r="F879" s="2372"/>
      <c r="G879" s="2372"/>
      <c r="H879" s="2372"/>
      <c r="I879" s="2372"/>
      <c r="J879" s="2372"/>
      <c r="K879" s="2372"/>
      <c r="L879" s="2372"/>
      <c r="M879" s="2372"/>
      <c r="N879" s="2372"/>
      <c r="O879" s="2372"/>
      <c r="P879" s="2372"/>
      <c r="Q879" s="2372"/>
      <c r="R879" s="2372"/>
      <c r="S879" s="2372"/>
      <c r="T879" s="2372"/>
      <c r="U879" s="2372"/>
      <c r="V879" s="2372"/>
      <c r="W879" s="2372"/>
      <c r="X879" s="2372"/>
      <c r="Y879" s="2372"/>
      <c r="Z879" s="2372"/>
      <c r="AA879" s="2372"/>
      <c r="AB879" s="2372"/>
      <c r="AC879" s="2372"/>
      <c r="AD879" s="2372"/>
      <c r="AE879" s="2372"/>
      <c r="AF879" s="2372"/>
      <c r="AG879" s="2372"/>
      <c r="AH879" s="2372"/>
      <c r="AI879" s="2372"/>
      <c r="AJ879" s="2372"/>
      <c r="AK879" s="2372"/>
      <c r="AL879" s="2372"/>
      <c r="AM879" s="2372"/>
      <c r="AN879" s="2372"/>
      <c r="AO879" s="2372"/>
      <c r="AP879" s="2372"/>
      <c r="AQ879" s="2372"/>
      <c r="AR879" s="2372"/>
      <c r="AS879" s="2372"/>
      <c r="AT879" s="2372"/>
      <c r="AU879" s="2372"/>
      <c r="AV879" s="2372"/>
      <c r="AW879" s="2372"/>
      <c r="AX879" s="2372"/>
      <c r="AY879" s="2372"/>
      <c r="AZ879" s="2372"/>
      <c r="BA879" s="2372"/>
      <c r="BB879" s="2372"/>
      <c r="BC879" s="2372"/>
      <c r="BD879" s="2372"/>
      <c r="BE879" s="2372"/>
      <c r="BF879" s="2372"/>
      <c r="BG879" s="2372"/>
      <c r="BH879" s="2372"/>
      <c r="BI879" s="2372"/>
      <c r="BJ879" s="2372"/>
      <c r="BK879" s="2372"/>
      <c r="BL879" s="2372"/>
      <c r="BM879" s="2372"/>
      <c r="BN879" s="2372"/>
      <c r="BO879" s="2372"/>
      <c r="BP879" s="2372"/>
      <c r="BQ879" s="2372"/>
      <c r="BR879" s="2372"/>
      <c r="BS879" s="2372"/>
      <c r="BT879" s="2372"/>
      <c r="BU879" s="2372"/>
      <c r="BV879" s="2372"/>
      <c r="BW879" s="2372"/>
      <c r="BX879" s="2372"/>
      <c r="BY879" s="2372"/>
      <c r="BZ879" s="2372"/>
      <c r="CA879" s="2372"/>
      <c r="CB879" s="2372"/>
      <c r="CC879" s="2372"/>
      <c r="CD879" s="2372"/>
      <c r="CE879" s="2372"/>
      <c r="CF879" s="2372"/>
      <c r="CG879" s="2372"/>
      <c r="CH879" s="2372"/>
      <c r="CI879" s="2372"/>
      <c r="CJ879" s="2372"/>
      <c r="CK879" s="2372"/>
      <c r="CL879" s="2372"/>
      <c r="CM879" s="2372"/>
      <c r="CN879" s="2372"/>
      <c r="CO879" s="2372"/>
      <c r="CP879" s="2372"/>
      <c r="CQ879" s="2372"/>
      <c r="CR879" s="2372"/>
      <c r="CS879" s="2372"/>
      <c r="CT879" s="2372"/>
      <c r="CU879" s="2372"/>
      <c r="CV879" s="2372"/>
      <c r="CW879" s="2372"/>
      <c r="CX879" s="2372"/>
      <c r="CY879" s="2372"/>
      <c r="CZ879" s="2372"/>
      <c r="DA879" s="2372"/>
    </row>
    <row r="880" spans="1:105" ht="15" hidden="1" customHeight="1">
      <c r="A880" s="2372"/>
      <c r="B880" s="2372"/>
      <c r="C880" s="2372"/>
      <c r="D880" s="2372"/>
      <c r="E880" s="2372"/>
      <c r="F880" s="2372"/>
      <c r="G880" s="2372"/>
      <c r="H880" s="2372"/>
      <c r="I880" s="2372"/>
      <c r="J880" s="2372"/>
      <c r="K880" s="2372"/>
      <c r="L880" s="2372"/>
      <c r="M880" s="2372"/>
      <c r="N880" s="2372"/>
      <c r="O880" s="2372"/>
      <c r="P880" s="2372"/>
      <c r="Q880" s="2372"/>
      <c r="R880" s="2372"/>
      <c r="S880" s="2372"/>
      <c r="T880" s="2372"/>
      <c r="U880" s="2372"/>
      <c r="V880" s="2372"/>
      <c r="W880" s="2372"/>
      <c r="X880" s="2372"/>
      <c r="Y880" s="2372"/>
      <c r="Z880" s="2372"/>
      <c r="AA880" s="2372"/>
      <c r="AB880" s="2372"/>
      <c r="AC880" s="2372"/>
      <c r="AD880" s="2372"/>
      <c r="AE880" s="2372"/>
      <c r="AF880" s="2372"/>
      <c r="AG880" s="2372"/>
      <c r="AH880" s="2372"/>
      <c r="AI880" s="2372"/>
      <c r="AJ880" s="2372"/>
      <c r="AK880" s="2372"/>
      <c r="AL880" s="2372"/>
      <c r="AM880" s="2372"/>
      <c r="AN880" s="2372"/>
      <c r="AO880" s="2372"/>
      <c r="AP880" s="2372"/>
      <c r="AQ880" s="2372"/>
      <c r="AR880" s="2372"/>
      <c r="AS880" s="2372"/>
      <c r="AT880" s="2372"/>
      <c r="AU880" s="2372"/>
      <c r="AV880" s="2372"/>
      <c r="AW880" s="2372"/>
      <c r="AX880" s="2372"/>
      <c r="AY880" s="2372"/>
      <c r="AZ880" s="2372"/>
      <c r="BA880" s="2372"/>
      <c r="BB880" s="2372"/>
      <c r="BC880" s="2372"/>
      <c r="BD880" s="2372"/>
      <c r="BE880" s="2372"/>
      <c r="BF880" s="2372"/>
      <c r="BG880" s="2372"/>
      <c r="BH880" s="2372"/>
      <c r="BI880" s="2372"/>
      <c r="BJ880" s="2372"/>
      <c r="BK880" s="2372"/>
      <c r="BL880" s="2372"/>
      <c r="BM880" s="2372"/>
      <c r="BN880" s="2372"/>
      <c r="BO880" s="2372"/>
      <c r="BP880" s="2372"/>
      <c r="BQ880" s="2372"/>
      <c r="BR880" s="2372"/>
      <c r="BS880" s="2372"/>
      <c r="BT880" s="2372"/>
      <c r="BU880" s="2372"/>
      <c r="BV880" s="2372"/>
      <c r="BW880" s="2372"/>
      <c r="BX880" s="2372"/>
      <c r="BY880" s="2372"/>
      <c r="BZ880" s="2372"/>
      <c r="CA880" s="2372"/>
      <c r="CB880" s="2372"/>
      <c r="CC880" s="2372"/>
      <c r="CD880" s="2372"/>
      <c r="CE880" s="2372"/>
      <c r="CF880" s="2372"/>
      <c r="CG880" s="2372"/>
      <c r="CH880" s="2372"/>
      <c r="CI880" s="2372"/>
      <c r="CJ880" s="2372"/>
      <c r="CK880" s="2372"/>
      <c r="CL880" s="2372"/>
      <c r="CM880" s="2372"/>
      <c r="CN880" s="2372"/>
      <c r="CO880" s="2372"/>
      <c r="CP880" s="2372"/>
      <c r="CQ880" s="2372"/>
      <c r="CR880" s="2372"/>
      <c r="CS880" s="2372"/>
      <c r="CT880" s="2372"/>
      <c r="CU880" s="2372"/>
      <c r="CV880" s="2372"/>
      <c r="CW880" s="2372"/>
      <c r="CX880" s="2372"/>
      <c r="CY880" s="2372"/>
      <c r="CZ880" s="2372"/>
      <c r="DA880" s="2372"/>
    </row>
    <row r="881" spans="1:105" ht="15" hidden="1" customHeight="1">
      <c r="A881" s="2372"/>
      <c r="B881" s="2372"/>
      <c r="C881" s="2372"/>
      <c r="D881" s="2372"/>
      <c r="E881" s="2372"/>
      <c r="F881" s="2372"/>
      <c r="G881" s="2372"/>
      <c r="H881" s="2372"/>
      <c r="I881" s="2372"/>
      <c r="J881" s="2372"/>
      <c r="K881" s="2372"/>
      <c r="L881" s="2372"/>
      <c r="M881" s="2372"/>
      <c r="N881" s="2372"/>
      <c r="O881" s="2372"/>
      <c r="P881" s="2372"/>
      <c r="Q881" s="2372"/>
      <c r="R881" s="2372"/>
      <c r="S881" s="2372"/>
      <c r="T881" s="2372"/>
      <c r="U881" s="2372"/>
      <c r="V881" s="2372"/>
      <c r="W881" s="2372"/>
      <c r="X881" s="2372"/>
      <c r="Y881" s="2372"/>
      <c r="Z881" s="2372"/>
      <c r="AA881" s="2372"/>
      <c r="AB881" s="2372"/>
      <c r="AC881" s="2372"/>
      <c r="AD881" s="2372"/>
      <c r="AE881" s="2372"/>
      <c r="AF881" s="2372"/>
      <c r="AG881" s="2372"/>
      <c r="AH881" s="2372"/>
      <c r="AI881" s="2372"/>
      <c r="AJ881" s="2372"/>
      <c r="AK881" s="2372"/>
      <c r="AL881" s="2372"/>
      <c r="AM881" s="2372"/>
      <c r="AN881" s="2372"/>
      <c r="AO881" s="2372"/>
      <c r="AP881" s="2372"/>
      <c r="AQ881" s="2372"/>
      <c r="AR881" s="2372"/>
      <c r="AS881" s="2372"/>
      <c r="AT881" s="2372"/>
      <c r="AU881" s="2372"/>
      <c r="AV881" s="2372"/>
      <c r="AW881" s="2372"/>
      <c r="AX881" s="2372"/>
      <c r="AY881" s="2372"/>
      <c r="AZ881" s="2372"/>
      <c r="BA881" s="2372"/>
      <c r="BB881" s="2372"/>
      <c r="BC881" s="2372"/>
      <c r="BD881" s="2372"/>
      <c r="BE881" s="2372"/>
      <c r="BF881" s="2372"/>
      <c r="BG881" s="2372"/>
      <c r="BH881" s="2372"/>
      <c r="BI881" s="2372"/>
      <c r="BJ881" s="2372"/>
      <c r="BK881" s="2372"/>
      <c r="BL881" s="2372"/>
      <c r="BM881" s="2372"/>
      <c r="BN881" s="2372"/>
      <c r="BO881" s="2372"/>
      <c r="BP881" s="2372"/>
      <c r="BQ881" s="2372"/>
      <c r="BR881" s="2372"/>
      <c r="BS881" s="2372"/>
      <c r="BT881" s="2372"/>
      <c r="BU881" s="2372"/>
      <c r="BV881" s="2372"/>
      <c r="BW881" s="2372"/>
      <c r="BX881" s="2372"/>
      <c r="BY881" s="2372"/>
      <c r="BZ881" s="2372"/>
      <c r="CA881" s="2372"/>
      <c r="CB881" s="2372"/>
      <c r="CC881" s="2372"/>
      <c r="CD881" s="2372"/>
      <c r="CE881" s="2372"/>
      <c r="CF881" s="2372"/>
      <c r="CG881" s="2372"/>
      <c r="CH881" s="2372"/>
      <c r="CI881" s="2372"/>
      <c r="CJ881" s="2372"/>
      <c r="CK881" s="2372"/>
      <c r="CL881" s="2372"/>
      <c r="CM881" s="2372"/>
      <c r="CN881" s="2372"/>
      <c r="CO881" s="2372"/>
      <c r="CP881" s="2372"/>
      <c r="CQ881" s="2372"/>
      <c r="CR881" s="2372"/>
      <c r="CS881" s="2372"/>
      <c r="CT881" s="2372"/>
      <c r="CU881" s="2372"/>
      <c r="CV881" s="2372"/>
      <c r="CW881" s="2372"/>
      <c r="CX881" s="2372"/>
      <c r="CY881" s="2372"/>
      <c r="CZ881" s="2372"/>
      <c r="DA881" s="2372"/>
    </row>
    <row r="882" spans="1:105" ht="15" hidden="1" customHeight="1">
      <c r="A882" s="2372"/>
      <c r="B882" s="2372"/>
      <c r="C882" s="2372"/>
      <c r="D882" s="2372"/>
      <c r="E882" s="2372"/>
      <c r="F882" s="2372"/>
      <c r="G882" s="2372"/>
      <c r="H882" s="2372"/>
      <c r="I882" s="2372"/>
      <c r="J882" s="2372"/>
      <c r="K882" s="2372"/>
      <c r="L882" s="2372"/>
      <c r="M882" s="2372"/>
      <c r="N882" s="2372"/>
      <c r="O882" s="2372"/>
      <c r="P882" s="2372"/>
      <c r="Q882" s="2372"/>
      <c r="R882" s="2372"/>
      <c r="S882" s="2372"/>
      <c r="T882" s="2372"/>
      <c r="U882" s="2372"/>
      <c r="V882" s="2372"/>
      <c r="W882" s="2372"/>
      <c r="X882" s="2372"/>
      <c r="Y882" s="2372"/>
      <c r="Z882" s="2372"/>
      <c r="AA882" s="2372"/>
      <c r="AB882" s="2372"/>
      <c r="AC882" s="2372"/>
      <c r="AD882" s="2372"/>
      <c r="AE882" s="2372"/>
      <c r="AF882" s="2372"/>
      <c r="AG882" s="2372"/>
      <c r="AH882" s="2372"/>
      <c r="AI882" s="2372"/>
      <c r="AJ882" s="2372"/>
      <c r="AK882" s="2372"/>
      <c r="AL882" s="2372"/>
      <c r="AM882" s="2372"/>
      <c r="AN882" s="2372"/>
      <c r="AO882" s="2372"/>
      <c r="AP882" s="2372"/>
      <c r="AQ882" s="2372"/>
      <c r="AR882" s="2372"/>
      <c r="AS882" s="2372"/>
      <c r="AT882" s="2372"/>
      <c r="AU882" s="2372"/>
      <c r="AV882" s="2372"/>
      <c r="AW882" s="2372"/>
      <c r="AX882" s="2372"/>
      <c r="AY882" s="2372"/>
      <c r="AZ882" s="2372"/>
      <c r="BA882" s="2372"/>
      <c r="BB882" s="2372"/>
      <c r="BC882" s="2372"/>
      <c r="BD882" s="2372"/>
      <c r="BE882" s="2372"/>
      <c r="BF882" s="2372"/>
      <c r="BG882" s="2372"/>
      <c r="BH882" s="2372"/>
      <c r="BI882" s="2372"/>
      <c r="BJ882" s="2372"/>
      <c r="BK882" s="2372"/>
      <c r="BL882" s="2372"/>
      <c r="BM882" s="2372"/>
      <c r="BN882" s="2372"/>
      <c r="BO882" s="2372"/>
      <c r="BP882" s="2372"/>
      <c r="BQ882" s="2372"/>
      <c r="BR882" s="2372"/>
      <c r="BS882" s="2372"/>
      <c r="BT882" s="2372"/>
      <c r="BU882" s="2372"/>
      <c r="BV882" s="2372"/>
      <c r="BW882" s="2372"/>
      <c r="BX882" s="2372"/>
      <c r="BY882" s="2372"/>
      <c r="BZ882" s="2372"/>
      <c r="CA882" s="2372"/>
      <c r="CB882" s="2372"/>
      <c r="CC882" s="2372"/>
      <c r="CD882" s="2372"/>
      <c r="CE882" s="2372"/>
      <c r="CF882" s="2372"/>
      <c r="CG882" s="2372"/>
      <c r="CH882" s="2372"/>
      <c r="CI882" s="2372"/>
      <c r="CJ882" s="2372"/>
      <c r="CK882" s="2372"/>
      <c r="CL882" s="2372"/>
      <c r="CM882" s="2372"/>
      <c r="CN882" s="2372"/>
      <c r="CO882" s="2372"/>
      <c r="CP882" s="2372"/>
      <c r="CQ882" s="2372"/>
      <c r="CR882" s="2372"/>
      <c r="CS882" s="2372"/>
      <c r="CT882" s="2372"/>
      <c r="CU882" s="2372"/>
      <c r="CV882" s="2372"/>
      <c r="CW882" s="2372"/>
      <c r="CX882" s="2372"/>
      <c r="CY882" s="2372"/>
      <c r="CZ882" s="2372"/>
      <c r="DA882" s="2372"/>
    </row>
    <row r="883" spans="1:105" ht="15" hidden="1" customHeight="1">
      <c r="A883" s="2372"/>
      <c r="B883" s="2372"/>
      <c r="C883" s="2372"/>
      <c r="D883" s="2372"/>
      <c r="E883" s="2372"/>
      <c r="F883" s="2372"/>
      <c r="G883" s="2372"/>
      <c r="H883" s="2372"/>
      <c r="I883" s="2372"/>
      <c r="J883" s="2372"/>
      <c r="K883" s="2372"/>
      <c r="L883" s="2372"/>
      <c r="M883" s="2372"/>
      <c r="N883" s="2372"/>
      <c r="O883" s="2372"/>
      <c r="P883" s="2372"/>
      <c r="Q883" s="2372"/>
      <c r="R883" s="2372"/>
      <c r="S883" s="2372"/>
      <c r="T883" s="2372"/>
      <c r="U883" s="2372"/>
      <c r="V883" s="2372"/>
      <c r="W883" s="2372"/>
      <c r="X883" s="2372"/>
      <c r="Y883" s="2372"/>
      <c r="Z883" s="2372"/>
      <c r="AA883" s="2372"/>
      <c r="AB883" s="2372"/>
      <c r="AC883" s="2372"/>
      <c r="AD883" s="2372"/>
      <c r="AE883" s="2372"/>
      <c r="AF883" s="2372"/>
      <c r="AG883" s="2372"/>
      <c r="AH883" s="2372"/>
      <c r="AI883" s="2372"/>
      <c r="AJ883" s="2372"/>
      <c r="AK883" s="2372"/>
      <c r="AL883" s="2372"/>
      <c r="AM883" s="2372"/>
      <c r="AN883" s="2372"/>
      <c r="AO883" s="2372"/>
      <c r="AP883" s="2372"/>
      <c r="AQ883" s="2372"/>
      <c r="AR883" s="2372"/>
      <c r="AS883" s="2372"/>
      <c r="AT883" s="2372"/>
      <c r="AU883" s="2372"/>
      <c r="AV883" s="2372"/>
      <c r="AW883" s="2372"/>
      <c r="AX883" s="2372"/>
      <c r="AY883" s="2372"/>
      <c r="AZ883" s="2372"/>
      <c r="BA883" s="2372"/>
      <c r="BB883" s="2372"/>
      <c r="BC883" s="2372"/>
      <c r="BD883" s="2372"/>
      <c r="BE883" s="2372"/>
      <c r="BF883" s="2372"/>
      <c r="BG883" s="2372"/>
      <c r="BH883" s="2372"/>
      <c r="BI883" s="2372"/>
      <c r="BJ883" s="2372"/>
      <c r="BK883" s="2372"/>
      <c r="BL883" s="2372"/>
      <c r="BM883" s="2372"/>
      <c r="BN883" s="2372"/>
      <c r="BO883" s="2372"/>
      <c r="BP883" s="2372"/>
      <c r="BQ883" s="2372"/>
      <c r="BR883" s="2372"/>
      <c r="BS883" s="2372"/>
      <c r="BT883" s="2372"/>
      <c r="BU883" s="2372"/>
      <c r="BV883" s="2372"/>
      <c r="BW883" s="2372"/>
      <c r="BX883" s="2372"/>
      <c r="BY883" s="2372"/>
      <c r="BZ883" s="2372"/>
      <c r="CA883" s="2372"/>
      <c r="CB883" s="2372"/>
      <c r="CC883" s="2372"/>
      <c r="CD883" s="2372"/>
      <c r="CE883" s="2372"/>
      <c r="CF883" s="2372"/>
      <c r="CG883" s="2372"/>
      <c r="CH883" s="2372"/>
      <c r="CI883" s="2372"/>
      <c r="CJ883" s="2372"/>
      <c r="CK883" s="2372"/>
      <c r="CL883" s="2372"/>
      <c r="CM883" s="2372"/>
      <c r="CN883" s="2372"/>
      <c r="CO883" s="2372"/>
      <c r="CP883" s="2372"/>
      <c r="CQ883" s="2372"/>
      <c r="CR883" s="2372"/>
      <c r="CS883" s="2372"/>
      <c r="CT883" s="2372"/>
      <c r="CU883" s="2372"/>
      <c r="CV883" s="2372"/>
      <c r="CW883" s="2372"/>
      <c r="CX883" s="2372"/>
      <c r="CY883" s="2372"/>
      <c r="CZ883" s="2372"/>
      <c r="DA883" s="2372"/>
    </row>
    <row r="884" spans="1:105" ht="15" hidden="1" customHeight="1">
      <c r="A884" s="2372"/>
      <c r="B884" s="2372"/>
      <c r="C884" s="2372"/>
      <c r="D884" s="2372"/>
      <c r="E884" s="2372"/>
      <c r="F884" s="2372"/>
      <c r="G884" s="2372"/>
      <c r="H884" s="2372"/>
      <c r="I884" s="2372"/>
      <c r="J884" s="2372"/>
      <c r="K884" s="2372"/>
      <c r="L884" s="2372"/>
      <c r="M884" s="2372"/>
      <c r="N884" s="2372"/>
      <c r="O884" s="2372"/>
      <c r="P884" s="2372"/>
      <c r="Q884" s="2372"/>
      <c r="R884" s="2372"/>
      <c r="S884" s="2372"/>
      <c r="T884" s="2372"/>
      <c r="U884" s="2372"/>
      <c r="V884" s="2372"/>
      <c r="W884" s="2372"/>
      <c r="X884" s="2372"/>
      <c r="Y884" s="2372"/>
      <c r="Z884" s="2372"/>
      <c r="AA884" s="2372"/>
      <c r="AB884" s="2372"/>
      <c r="AC884" s="2372"/>
      <c r="AD884" s="2372"/>
      <c r="AE884" s="2372"/>
      <c r="AF884" s="2372"/>
      <c r="AG884" s="2372"/>
      <c r="AH884" s="2372"/>
      <c r="AI884" s="2372"/>
      <c r="AJ884" s="2372"/>
      <c r="AK884" s="2372"/>
      <c r="AL884" s="2372"/>
      <c r="AM884" s="2372"/>
      <c r="AN884" s="2372"/>
      <c r="AO884" s="2372"/>
      <c r="AP884" s="2372"/>
      <c r="AQ884" s="2372"/>
      <c r="AR884" s="2372"/>
      <c r="AS884" s="2372"/>
      <c r="AT884" s="2372"/>
      <c r="AU884" s="2372"/>
      <c r="AV884" s="2372"/>
      <c r="AW884" s="2372"/>
      <c r="AX884" s="2372"/>
      <c r="AY884" s="2372"/>
      <c r="AZ884" s="2372"/>
      <c r="BA884" s="2372"/>
      <c r="BB884" s="2372"/>
      <c r="BC884" s="2372"/>
      <c r="BD884" s="2372"/>
      <c r="BE884" s="2372"/>
      <c r="BF884" s="2372"/>
      <c r="BG884" s="2372"/>
      <c r="BH884" s="2372"/>
      <c r="BI884" s="2372"/>
      <c r="BJ884" s="2372"/>
      <c r="BK884" s="2372"/>
      <c r="BL884" s="2372"/>
      <c r="BM884" s="2372"/>
      <c r="BN884" s="2372"/>
      <c r="BO884" s="2372"/>
      <c r="BP884" s="2372"/>
      <c r="BQ884" s="2372"/>
      <c r="BR884" s="2372"/>
      <c r="BS884" s="2372"/>
      <c r="BT884" s="2372"/>
      <c r="BU884" s="2372"/>
      <c r="BV884" s="2372"/>
      <c r="BW884" s="2372"/>
      <c r="BX884" s="2372"/>
      <c r="BY884" s="2372"/>
      <c r="BZ884" s="2372"/>
      <c r="CA884" s="2372"/>
      <c r="CB884" s="2372"/>
      <c r="CC884" s="2372"/>
      <c r="CD884" s="2372"/>
      <c r="CE884" s="2372"/>
      <c r="CF884" s="2372"/>
      <c r="CG884" s="2372"/>
      <c r="CH884" s="2372"/>
      <c r="CI884" s="2372"/>
      <c r="CJ884" s="2372"/>
      <c r="CK884" s="2372"/>
      <c r="CL884" s="2372"/>
      <c r="CM884" s="2372"/>
      <c r="CN884" s="2372"/>
      <c r="CO884" s="2372"/>
      <c r="CP884" s="2372"/>
      <c r="CQ884" s="2372"/>
      <c r="CR884" s="2372"/>
      <c r="CS884" s="2372"/>
      <c r="CT884" s="2372"/>
      <c r="CU884" s="2372"/>
      <c r="CV884" s="2372"/>
      <c r="CW884" s="2372"/>
      <c r="CX884" s="2372"/>
      <c r="CY884" s="2372"/>
      <c r="CZ884" s="2372"/>
      <c r="DA884" s="2372"/>
    </row>
    <row r="885" spans="1:105" ht="15" hidden="1" customHeight="1">
      <c r="A885" s="2372"/>
      <c r="B885" s="2372"/>
      <c r="C885" s="2372"/>
      <c r="D885" s="2372"/>
      <c r="E885" s="2372"/>
      <c r="F885" s="2372"/>
      <c r="G885" s="2372"/>
      <c r="H885" s="2372"/>
      <c r="I885" s="2372"/>
      <c r="J885" s="2372"/>
      <c r="K885" s="2372"/>
      <c r="L885" s="2372"/>
      <c r="M885" s="2372"/>
      <c r="N885" s="2372"/>
      <c r="O885" s="2372"/>
      <c r="P885" s="2372"/>
      <c r="Q885" s="2372"/>
      <c r="R885" s="2372"/>
      <c r="S885" s="2372"/>
      <c r="T885" s="2372"/>
      <c r="U885" s="2372"/>
      <c r="V885" s="2372"/>
      <c r="W885" s="2372"/>
      <c r="X885" s="2372"/>
      <c r="Y885" s="2372"/>
      <c r="Z885" s="2372"/>
      <c r="AA885" s="2372"/>
      <c r="AB885" s="2372"/>
      <c r="AC885" s="2372"/>
      <c r="AD885" s="2372"/>
      <c r="AE885" s="2372"/>
      <c r="AF885" s="2372"/>
      <c r="AG885" s="2372"/>
      <c r="AH885" s="2372"/>
      <c r="AI885" s="2372"/>
      <c r="AJ885" s="2372"/>
      <c r="AK885" s="2372"/>
      <c r="AL885" s="2372"/>
      <c r="AM885" s="2372"/>
      <c r="AN885" s="2372"/>
      <c r="AO885" s="2372"/>
      <c r="AP885" s="2372"/>
      <c r="AQ885" s="2372"/>
      <c r="AR885" s="2372"/>
      <c r="AS885" s="2372"/>
      <c r="AT885" s="2372"/>
      <c r="AU885" s="2372"/>
      <c r="AV885" s="2372"/>
      <c r="AW885" s="2372"/>
      <c r="AX885" s="2372"/>
      <c r="AY885" s="2372"/>
      <c r="AZ885" s="2372"/>
      <c r="BA885" s="2372"/>
      <c r="BB885" s="2372"/>
      <c r="BC885" s="2372"/>
      <c r="BD885" s="2372"/>
      <c r="BE885" s="2372"/>
      <c r="BF885" s="2372"/>
      <c r="BG885" s="2372"/>
      <c r="BH885" s="2372"/>
      <c r="BI885" s="2372"/>
      <c r="BJ885" s="2372"/>
      <c r="BK885" s="2372"/>
      <c r="BL885" s="2372"/>
      <c r="BM885" s="2372"/>
      <c r="BN885" s="2372"/>
      <c r="BO885" s="2372"/>
      <c r="BP885" s="2372"/>
      <c r="BQ885" s="2372"/>
      <c r="BR885" s="2372"/>
      <c r="BS885" s="2372"/>
      <c r="BT885" s="2372"/>
      <c r="BU885" s="2372"/>
      <c r="BV885" s="2372"/>
      <c r="BW885" s="2372"/>
      <c r="BX885" s="2372"/>
      <c r="BY885" s="2372"/>
      <c r="BZ885" s="2372"/>
      <c r="CA885" s="2372"/>
      <c r="CB885" s="2372"/>
      <c r="CC885" s="2372"/>
      <c r="CD885" s="2372"/>
      <c r="CE885" s="2372"/>
      <c r="CF885" s="2372"/>
      <c r="CG885" s="2372"/>
      <c r="CH885" s="2372"/>
      <c r="CI885" s="2372"/>
      <c r="CJ885" s="2372"/>
      <c r="CK885" s="2372"/>
      <c r="CL885" s="2372"/>
      <c r="CM885" s="2372"/>
      <c r="CN885" s="2372"/>
      <c r="CO885" s="2372"/>
      <c r="CP885" s="2372"/>
      <c r="CQ885" s="2372"/>
      <c r="CR885" s="2372"/>
      <c r="CS885" s="2372"/>
      <c r="CT885" s="2372"/>
      <c r="CU885" s="2372"/>
      <c r="CV885" s="2372"/>
      <c r="CW885" s="2372"/>
      <c r="CX885" s="2372"/>
      <c r="CY885" s="2372"/>
      <c r="CZ885" s="2372"/>
      <c r="DA885" s="2372"/>
    </row>
    <row r="886" spans="1:105" ht="15" hidden="1" customHeight="1">
      <c r="A886" s="2372"/>
      <c r="B886" s="2372"/>
      <c r="C886" s="2372"/>
      <c r="D886" s="2372"/>
      <c r="E886" s="2372"/>
      <c r="F886" s="2372"/>
      <c r="G886" s="2372"/>
      <c r="H886" s="2372"/>
      <c r="I886" s="2372"/>
      <c r="J886" s="2372"/>
      <c r="K886" s="2372"/>
      <c r="L886" s="2372"/>
      <c r="M886" s="2372"/>
      <c r="N886" s="2372"/>
      <c r="O886" s="2372"/>
      <c r="P886" s="2372"/>
      <c r="Q886" s="2372"/>
      <c r="R886" s="2372"/>
      <c r="S886" s="2372"/>
      <c r="T886" s="2372"/>
      <c r="U886" s="2372"/>
      <c r="V886" s="2372"/>
      <c r="W886" s="2372"/>
      <c r="X886" s="2372"/>
      <c r="Y886" s="2372"/>
      <c r="Z886" s="2372"/>
      <c r="AA886" s="2372"/>
      <c r="AB886" s="2372"/>
      <c r="AC886" s="2372"/>
      <c r="AD886" s="2372"/>
      <c r="AE886" s="2372"/>
      <c r="AF886" s="2372"/>
      <c r="AG886" s="2372"/>
      <c r="AH886" s="2372"/>
      <c r="AI886" s="2372"/>
      <c r="AJ886" s="2372"/>
      <c r="AK886" s="2372"/>
      <c r="AL886" s="2372"/>
      <c r="AM886" s="2372"/>
      <c r="AN886" s="2372"/>
      <c r="AO886" s="2372"/>
      <c r="AP886" s="2372"/>
      <c r="AQ886" s="2372"/>
      <c r="AR886" s="2372"/>
      <c r="AS886" s="2372"/>
      <c r="AT886" s="2372"/>
      <c r="AU886" s="2372"/>
      <c r="AV886" s="2372"/>
      <c r="AW886" s="2372"/>
      <c r="AX886" s="2372"/>
      <c r="AY886" s="2372"/>
      <c r="AZ886" s="2372"/>
      <c r="BA886" s="2372"/>
      <c r="BB886" s="2372"/>
      <c r="BC886" s="2372"/>
      <c r="BD886" s="2372"/>
      <c r="BE886" s="2372"/>
      <c r="BF886" s="2372"/>
      <c r="BG886" s="2372"/>
      <c r="BH886" s="2372"/>
      <c r="BI886" s="2372"/>
      <c r="BJ886" s="2372"/>
      <c r="BK886" s="2372"/>
      <c r="BL886" s="2372"/>
      <c r="BM886" s="2372"/>
      <c r="BN886" s="2372"/>
      <c r="BO886" s="2372"/>
      <c r="BP886" s="2372"/>
      <c r="BQ886" s="2372"/>
      <c r="BR886" s="2372"/>
      <c r="BS886" s="2372"/>
      <c r="BT886" s="2372"/>
      <c r="BU886" s="2372"/>
      <c r="BV886" s="2372"/>
      <c r="BW886" s="2372"/>
      <c r="BX886" s="2372"/>
      <c r="BY886" s="2372"/>
      <c r="BZ886" s="2372"/>
      <c r="CA886" s="2372"/>
      <c r="CB886" s="2372"/>
      <c r="CC886" s="2372"/>
      <c r="CD886" s="2372"/>
      <c r="CE886" s="2372"/>
      <c r="CF886" s="2372"/>
      <c r="CG886" s="2372"/>
      <c r="CH886" s="2372"/>
      <c r="CI886" s="2372"/>
      <c r="CJ886" s="2372"/>
      <c r="CK886" s="2372"/>
      <c r="CL886" s="2372"/>
      <c r="CM886" s="2372"/>
      <c r="CN886" s="2372"/>
      <c r="CO886" s="2372"/>
      <c r="CP886" s="2372"/>
      <c r="CQ886" s="2372"/>
      <c r="CR886" s="2372"/>
      <c r="CS886" s="2372"/>
      <c r="CT886" s="2372"/>
      <c r="CU886" s="2372"/>
      <c r="CV886" s="2372"/>
      <c r="CW886" s="2372"/>
      <c r="CX886" s="2372"/>
      <c r="CY886" s="2372"/>
      <c r="CZ886" s="2372"/>
      <c r="DA886" s="2372"/>
    </row>
    <row r="887" spans="1:105" ht="15" hidden="1" customHeight="1">
      <c r="A887" s="2372"/>
      <c r="B887" s="2372"/>
      <c r="C887" s="2372"/>
      <c r="D887" s="2372"/>
      <c r="E887" s="2372"/>
      <c r="F887" s="2372"/>
      <c r="G887" s="2372"/>
      <c r="H887" s="2372"/>
      <c r="I887" s="2372"/>
      <c r="J887" s="2372"/>
      <c r="K887" s="2372"/>
      <c r="L887" s="2372"/>
      <c r="M887" s="2372"/>
      <c r="N887" s="2372"/>
      <c r="O887" s="2372"/>
      <c r="P887" s="2372"/>
      <c r="Q887" s="2372"/>
      <c r="R887" s="2372"/>
      <c r="S887" s="2372"/>
      <c r="T887" s="2372"/>
      <c r="U887" s="2372"/>
      <c r="V887" s="2372"/>
      <c r="W887" s="2372"/>
      <c r="X887" s="2372"/>
      <c r="Y887" s="2372"/>
      <c r="Z887" s="2372"/>
      <c r="AA887" s="2372"/>
      <c r="AB887" s="2372"/>
      <c r="AC887" s="2372"/>
      <c r="AD887" s="2372"/>
      <c r="AE887" s="2372"/>
      <c r="AF887" s="2372"/>
      <c r="AG887" s="2372"/>
      <c r="AH887" s="2372"/>
      <c r="AI887" s="2372"/>
      <c r="AJ887" s="2372"/>
      <c r="AK887" s="2372"/>
      <c r="AL887" s="2372"/>
      <c r="AM887" s="2372"/>
      <c r="AN887" s="2372"/>
      <c r="AO887" s="2372"/>
      <c r="AP887" s="2372"/>
      <c r="AQ887" s="2372"/>
      <c r="AR887" s="2372"/>
      <c r="AS887" s="2372"/>
      <c r="AT887" s="2372"/>
      <c r="AU887" s="2372"/>
      <c r="AV887" s="2372"/>
      <c r="AW887" s="2372"/>
      <c r="AX887" s="2372"/>
      <c r="AY887" s="2372"/>
      <c r="AZ887" s="2372"/>
      <c r="BA887" s="2372"/>
      <c r="BB887" s="2372"/>
      <c r="BC887" s="2372"/>
      <c r="BD887" s="2372"/>
      <c r="BE887" s="2372"/>
      <c r="BF887" s="2372"/>
      <c r="BG887" s="2372"/>
      <c r="BH887" s="2372"/>
      <c r="BI887" s="2372"/>
      <c r="BJ887" s="2372"/>
      <c r="BK887" s="2372"/>
      <c r="BL887" s="2372"/>
      <c r="BM887" s="2372"/>
      <c r="BN887" s="2372"/>
      <c r="BO887" s="2372"/>
      <c r="BP887" s="2372"/>
      <c r="BQ887" s="2372"/>
      <c r="BR887" s="2372"/>
      <c r="BS887" s="2372"/>
      <c r="BT887" s="2372"/>
      <c r="BU887" s="2372"/>
      <c r="BV887" s="2372"/>
      <c r="BW887" s="2372"/>
      <c r="BX887" s="2372"/>
      <c r="BY887" s="2372"/>
      <c r="BZ887" s="2372"/>
      <c r="CA887" s="2372"/>
      <c r="CB887" s="2372"/>
      <c r="CC887" s="2372"/>
      <c r="CD887" s="2372"/>
      <c r="CE887" s="2372"/>
      <c r="CF887" s="2372"/>
      <c r="CG887" s="2372"/>
      <c r="CH887" s="2372"/>
      <c r="CI887" s="2372"/>
      <c r="CJ887" s="2372"/>
      <c r="CK887" s="2372"/>
      <c r="CL887" s="2372"/>
      <c r="CM887" s="2372"/>
      <c r="CN887" s="2372"/>
      <c r="CO887" s="2372"/>
      <c r="CP887" s="2372"/>
      <c r="CQ887" s="2372"/>
      <c r="CR887" s="2372"/>
      <c r="CS887" s="2372"/>
      <c r="CT887" s="2372"/>
      <c r="CU887" s="2372"/>
      <c r="CV887" s="2372"/>
      <c r="CW887" s="2372"/>
      <c r="CX887" s="2372"/>
      <c r="CY887" s="2372"/>
      <c r="CZ887" s="2372"/>
      <c r="DA887" s="2372"/>
    </row>
    <row r="888" spans="1:105" ht="15" hidden="1" customHeight="1">
      <c r="A888" s="2372"/>
      <c r="B888" s="2372"/>
      <c r="C888" s="2372"/>
      <c r="D888" s="2372"/>
      <c r="E888" s="2372"/>
      <c r="F888" s="2372"/>
      <c r="G888" s="2372"/>
      <c r="H888" s="2372"/>
      <c r="I888" s="2372"/>
      <c r="J888" s="2372"/>
      <c r="K888" s="2372"/>
      <c r="L888" s="2372"/>
      <c r="M888" s="2372"/>
      <c r="N888" s="2372"/>
      <c r="O888" s="2372"/>
      <c r="P888" s="2372"/>
      <c r="Q888" s="2372"/>
      <c r="R888" s="2372"/>
      <c r="S888" s="2372"/>
      <c r="T888" s="2372"/>
      <c r="U888" s="2372"/>
      <c r="V888" s="2372"/>
      <c r="W888" s="2372"/>
      <c r="X888" s="2372"/>
      <c r="Y888" s="2372"/>
      <c r="Z888" s="2372"/>
      <c r="AA888" s="2372"/>
      <c r="AB888" s="2372"/>
      <c r="AC888" s="2372"/>
      <c r="AD888" s="2372"/>
      <c r="AE888" s="2372"/>
      <c r="AF888" s="2372"/>
      <c r="AG888" s="2372"/>
      <c r="AH888" s="2372"/>
      <c r="AI888" s="2372"/>
      <c r="AJ888" s="2372"/>
      <c r="AK888" s="2372"/>
      <c r="AL888" s="2372"/>
      <c r="AM888" s="2372"/>
      <c r="AN888" s="2372"/>
      <c r="AO888" s="2372"/>
      <c r="AP888" s="2372"/>
      <c r="AQ888" s="2372"/>
      <c r="AR888" s="2372"/>
      <c r="AS888" s="2372"/>
      <c r="AT888" s="2372"/>
      <c r="AU888" s="2372"/>
      <c r="AV888" s="2372"/>
      <c r="AW888" s="2372"/>
      <c r="AX888" s="2372"/>
      <c r="AY888" s="2372"/>
      <c r="AZ888" s="2372"/>
      <c r="BA888" s="2372"/>
      <c r="BB888" s="2372"/>
      <c r="BC888" s="2372"/>
      <c r="BD888" s="2372"/>
      <c r="BE888" s="2372"/>
      <c r="BF888" s="2372"/>
      <c r="BG888" s="2372"/>
      <c r="BH888" s="2372"/>
      <c r="BI888" s="2372"/>
      <c r="BJ888" s="2372"/>
      <c r="BK888" s="2372"/>
      <c r="BL888" s="2372"/>
      <c r="BM888" s="2372"/>
      <c r="BN888" s="2372"/>
      <c r="BO888" s="2372"/>
      <c r="BP888" s="2372"/>
      <c r="BQ888" s="2372"/>
      <c r="BR888" s="2372"/>
      <c r="BS888" s="2372"/>
      <c r="BT888" s="2372"/>
      <c r="BU888" s="2372"/>
      <c r="BV888" s="2372"/>
      <c r="BW888" s="2372"/>
      <c r="BX888" s="2372"/>
      <c r="BY888" s="2372"/>
      <c r="BZ888" s="2372"/>
      <c r="CA888" s="2372"/>
      <c r="CB888" s="2372"/>
      <c r="CC888" s="2372"/>
      <c r="CD888" s="2372"/>
      <c r="CE888" s="2372"/>
      <c r="CF888" s="2372"/>
      <c r="CG888" s="2372"/>
      <c r="CH888" s="2372"/>
      <c r="CI888" s="2372"/>
      <c r="CJ888" s="2372"/>
      <c r="CK888" s="2372"/>
      <c r="CL888" s="2372"/>
      <c r="CM888" s="2372"/>
      <c r="CN888" s="2372"/>
      <c r="CO888" s="2372"/>
      <c r="CP888" s="2372"/>
      <c r="CQ888" s="2372"/>
      <c r="CR888" s="2372"/>
      <c r="CS888" s="2372"/>
      <c r="CT888" s="2372"/>
      <c r="CU888" s="2372"/>
      <c r="CV888" s="2372"/>
      <c r="CW888" s="2372"/>
      <c r="CX888" s="2372"/>
      <c r="CY888" s="2372"/>
      <c r="CZ888" s="2372"/>
      <c r="DA888" s="2372"/>
    </row>
    <row r="889" spans="1:105" ht="15" hidden="1" customHeight="1">
      <c r="A889" s="2372"/>
      <c r="B889" s="2372"/>
      <c r="C889" s="2372"/>
      <c r="D889" s="2372"/>
      <c r="E889" s="2372"/>
      <c r="F889" s="2372"/>
      <c r="G889" s="2372"/>
      <c r="H889" s="2372"/>
      <c r="I889" s="2372"/>
      <c r="J889" s="2372"/>
      <c r="K889" s="2372"/>
      <c r="L889" s="2372"/>
      <c r="M889" s="2372"/>
      <c r="N889" s="2372"/>
      <c r="O889" s="2372"/>
      <c r="P889" s="2372"/>
      <c r="Q889" s="2372"/>
      <c r="R889" s="2372"/>
      <c r="S889" s="2372"/>
      <c r="T889" s="2372"/>
      <c r="U889" s="2372"/>
      <c r="V889" s="2372"/>
      <c r="W889" s="2372"/>
      <c r="X889" s="2372"/>
      <c r="Y889" s="2372"/>
      <c r="Z889" s="2372"/>
      <c r="AA889" s="2372"/>
      <c r="AB889" s="2372"/>
      <c r="AC889" s="2372"/>
      <c r="AD889" s="2372"/>
      <c r="AE889" s="2372"/>
      <c r="AF889" s="2372"/>
      <c r="AG889" s="2372"/>
      <c r="AH889" s="2372"/>
      <c r="AI889" s="2372"/>
      <c r="AJ889" s="2372"/>
      <c r="AK889" s="2372"/>
      <c r="AL889" s="2372"/>
      <c r="AM889" s="2372"/>
      <c r="AN889" s="2372"/>
      <c r="AO889" s="2372"/>
      <c r="AP889" s="2372"/>
      <c r="AQ889" s="2372"/>
      <c r="AR889" s="2372"/>
      <c r="AS889" s="2372"/>
      <c r="AT889" s="2372"/>
      <c r="AU889" s="2372"/>
      <c r="AV889" s="2372"/>
      <c r="AW889" s="2372"/>
      <c r="AX889" s="2372"/>
      <c r="AY889" s="2372"/>
      <c r="AZ889" s="2372"/>
      <c r="BA889" s="2372"/>
      <c r="BB889" s="2372"/>
      <c r="BC889" s="2372"/>
      <c r="BD889" s="2372"/>
      <c r="BE889" s="2372"/>
      <c r="BF889" s="2372"/>
      <c r="BG889" s="2372"/>
      <c r="BH889" s="2372"/>
      <c r="BI889" s="2372"/>
      <c r="BJ889" s="2372"/>
      <c r="BK889" s="2372"/>
      <c r="BL889" s="2372"/>
      <c r="BM889" s="2372"/>
      <c r="BN889" s="2372"/>
      <c r="BO889" s="2372"/>
      <c r="BP889" s="2372"/>
      <c r="BQ889" s="2372"/>
      <c r="BR889" s="2372"/>
      <c r="BS889" s="2372"/>
      <c r="BT889" s="2372"/>
      <c r="BU889" s="2372"/>
      <c r="BV889" s="2372"/>
      <c r="BW889" s="2372"/>
      <c r="BX889" s="2372"/>
      <c r="BY889" s="2372"/>
      <c r="BZ889" s="2372"/>
      <c r="CA889" s="2372"/>
      <c r="CB889" s="2372"/>
      <c r="CC889" s="2372"/>
      <c r="CD889" s="2372"/>
      <c r="CE889" s="2372"/>
      <c r="CF889" s="2372"/>
      <c r="CG889" s="2372"/>
      <c r="CH889" s="2372"/>
      <c r="CI889" s="2372"/>
      <c r="CJ889" s="2372"/>
      <c r="CK889" s="2372"/>
      <c r="CL889" s="2372"/>
      <c r="CM889" s="2372"/>
      <c r="CN889" s="2372"/>
      <c r="CO889" s="2372"/>
      <c r="CP889" s="2372"/>
      <c r="CQ889" s="2372"/>
      <c r="CR889" s="2372"/>
      <c r="CS889" s="2372"/>
      <c r="CT889" s="2372"/>
      <c r="CU889" s="2372"/>
      <c r="CV889" s="2372"/>
      <c r="CW889" s="2372"/>
      <c r="CX889" s="2372"/>
      <c r="CY889" s="2372"/>
      <c r="CZ889" s="2372"/>
      <c r="DA889" s="2372"/>
    </row>
    <row r="890" spans="1:105" ht="15" hidden="1" customHeight="1">
      <c r="A890" s="2372"/>
      <c r="B890" s="2372"/>
      <c r="C890" s="2372"/>
      <c r="D890" s="2372"/>
      <c r="E890" s="2372"/>
      <c r="F890" s="2372"/>
      <c r="G890" s="2372"/>
      <c r="H890" s="2372"/>
      <c r="I890" s="2372"/>
      <c r="J890" s="2372"/>
      <c r="K890" s="2372"/>
      <c r="L890" s="2372"/>
      <c r="M890" s="2372"/>
      <c r="N890" s="2372"/>
      <c r="O890" s="2372"/>
      <c r="P890" s="2372"/>
      <c r="Q890" s="2372"/>
      <c r="R890" s="2372"/>
      <c r="S890" s="2372"/>
      <c r="T890" s="2372"/>
      <c r="U890" s="2372"/>
      <c r="V890" s="2372"/>
      <c r="W890" s="2372"/>
      <c r="X890" s="2372"/>
      <c r="Y890" s="2372"/>
      <c r="Z890" s="2372"/>
      <c r="AA890" s="2372"/>
      <c r="AB890" s="2372"/>
      <c r="AC890" s="2372"/>
      <c r="AD890" s="2372"/>
      <c r="AE890" s="2372"/>
      <c r="AF890" s="2372"/>
      <c r="AG890" s="2372"/>
      <c r="AH890" s="2372"/>
      <c r="AI890" s="2372"/>
      <c r="AJ890" s="2372"/>
      <c r="AK890" s="2372"/>
      <c r="AL890" s="2372"/>
      <c r="AM890" s="2372"/>
      <c r="AN890" s="2372"/>
      <c r="AO890" s="2372"/>
      <c r="AP890" s="2372"/>
      <c r="AQ890" s="2372"/>
      <c r="AR890" s="2372"/>
      <c r="AS890" s="2372"/>
      <c r="AT890" s="2372"/>
      <c r="AU890" s="2372"/>
      <c r="AV890" s="2372"/>
      <c r="AW890" s="2372"/>
      <c r="AX890" s="2372"/>
      <c r="AY890" s="2372"/>
      <c r="AZ890" s="2372"/>
      <c r="BA890" s="2372"/>
      <c r="BB890" s="2372"/>
      <c r="BC890" s="2372"/>
      <c r="BD890" s="2372"/>
      <c r="BE890" s="2372"/>
      <c r="BF890" s="2372"/>
      <c r="BG890" s="2372"/>
      <c r="BH890" s="2372"/>
      <c r="BI890" s="2372"/>
      <c r="BJ890" s="2372"/>
      <c r="BK890" s="2372"/>
      <c r="BL890" s="2372"/>
      <c r="BM890" s="2372"/>
      <c r="BN890" s="2372"/>
      <c r="BO890" s="2372"/>
      <c r="BP890" s="2372"/>
      <c r="BQ890" s="2372"/>
      <c r="BR890" s="2372"/>
      <c r="BS890" s="2372"/>
      <c r="BT890" s="2372"/>
      <c r="BU890" s="2372"/>
      <c r="BV890" s="2372"/>
      <c r="BW890" s="2372"/>
      <c r="BX890" s="2372"/>
      <c r="BY890" s="2372"/>
      <c r="BZ890" s="2372"/>
      <c r="CA890" s="2372"/>
      <c r="CB890" s="2372"/>
      <c r="CC890" s="2372"/>
      <c r="CD890" s="2372"/>
      <c r="CE890" s="2372"/>
      <c r="CF890" s="2372"/>
      <c r="CG890" s="2372"/>
      <c r="CH890" s="2372"/>
      <c r="CI890" s="2372"/>
      <c r="CJ890" s="2372"/>
      <c r="CK890" s="2372"/>
      <c r="CL890" s="2372"/>
      <c r="CM890" s="2372"/>
      <c r="CN890" s="2372"/>
      <c r="CO890" s="2372"/>
      <c r="CP890" s="2372"/>
      <c r="CQ890" s="2372"/>
      <c r="CR890" s="2372"/>
      <c r="CS890" s="2372"/>
      <c r="CT890" s="2372"/>
      <c r="CU890" s="2372"/>
      <c r="CV890" s="2372"/>
      <c r="CW890" s="2372"/>
      <c r="CX890" s="2372"/>
      <c r="CY890" s="2372"/>
      <c r="CZ890" s="2372"/>
      <c r="DA890" s="2372"/>
    </row>
    <row r="891" spans="1:105" ht="15" hidden="1" customHeight="1">
      <c r="A891" s="2372"/>
      <c r="B891" s="2372"/>
      <c r="C891" s="2372"/>
      <c r="D891" s="2372"/>
      <c r="E891" s="2372"/>
      <c r="F891" s="2372"/>
      <c r="G891" s="2372"/>
      <c r="H891" s="2372"/>
      <c r="I891" s="2372"/>
      <c r="J891" s="2372"/>
      <c r="K891" s="2372"/>
      <c r="L891" s="2372"/>
      <c r="M891" s="2372"/>
      <c r="N891" s="2372"/>
      <c r="O891" s="2372"/>
      <c r="P891" s="2372"/>
      <c r="Q891" s="2372"/>
      <c r="R891" s="2372"/>
      <c r="S891" s="2372"/>
      <c r="T891" s="2372"/>
      <c r="U891" s="2372"/>
      <c r="V891" s="2372"/>
      <c r="W891" s="2372"/>
      <c r="X891" s="2372"/>
      <c r="Y891" s="2372"/>
      <c r="Z891" s="2372"/>
      <c r="AA891" s="2372"/>
      <c r="AB891" s="2372"/>
      <c r="AC891" s="2372"/>
      <c r="AD891" s="2372"/>
      <c r="AE891" s="2372"/>
      <c r="AF891" s="2372"/>
      <c r="AG891" s="2372"/>
      <c r="AH891" s="2372"/>
      <c r="AI891" s="2372"/>
      <c r="AJ891" s="2372"/>
      <c r="AK891" s="2372"/>
      <c r="AL891" s="2372"/>
      <c r="AM891" s="2372"/>
      <c r="AN891" s="2372"/>
      <c r="AO891" s="2372"/>
      <c r="AP891" s="2372"/>
      <c r="AQ891" s="2372"/>
      <c r="AR891" s="2372"/>
      <c r="AS891" s="2372"/>
      <c r="AT891" s="2372"/>
      <c r="AU891" s="2372"/>
      <c r="AV891" s="2372"/>
      <c r="AW891" s="2372"/>
      <c r="AX891" s="2372"/>
      <c r="AY891" s="2372"/>
      <c r="AZ891" s="2372"/>
      <c r="BA891" s="2372"/>
      <c r="BB891" s="2372"/>
      <c r="BC891" s="2372"/>
      <c r="BD891" s="2372"/>
      <c r="BE891" s="2372"/>
      <c r="BF891" s="2372"/>
      <c r="BG891" s="2372"/>
      <c r="BH891" s="2372"/>
      <c r="BI891" s="2372"/>
      <c r="BJ891" s="2372"/>
      <c r="BK891" s="2372"/>
      <c r="BL891" s="2372"/>
      <c r="BM891" s="2372"/>
      <c r="BN891" s="2372"/>
      <c r="BO891" s="2372"/>
      <c r="BP891" s="2372"/>
      <c r="BQ891" s="2372"/>
      <c r="BR891" s="2372"/>
      <c r="BS891" s="2372"/>
      <c r="BT891" s="2372"/>
      <c r="BU891" s="2372"/>
      <c r="BV891" s="2372"/>
      <c r="BW891" s="2372"/>
      <c r="BX891" s="2372"/>
      <c r="BY891" s="2372"/>
      <c r="BZ891" s="2372"/>
      <c r="CA891" s="2372"/>
      <c r="CB891" s="2372"/>
      <c r="CC891" s="2372"/>
      <c r="CD891" s="2372"/>
      <c r="CE891" s="2372"/>
      <c r="CF891" s="2372"/>
      <c r="CG891" s="2372"/>
      <c r="CH891" s="2372"/>
      <c r="CI891" s="2372"/>
      <c r="CJ891" s="2372"/>
      <c r="CK891" s="2372"/>
      <c r="CL891" s="2372"/>
      <c r="CM891" s="2372"/>
      <c r="CN891" s="2372"/>
      <c r="CO891" s="2372"/>
      <c r="CP891" s="2372"/>
      <c r="CQ891" s="2372"/>
      <c r="CR891" s="2372"/>
      <c r="CS891" s="2372"/>
      <c r="CT891" s="2372"/>
      <c r="CU891" s="2372"/>
      <c r="CV891" s="2372"/>
      <c r="CW891" s="2372"/>
      <c r="CX891" s="2372"/>
      <c r="CY891" s="2372"/>
      <c r="CZ891" s="2372"/>
      <c r="DA891" s="2372"/>
    </row>
    <row r="892" spans="1:105" ht="15" hidden="1" customHeight="1">
      <c r="A892" s="2372"/>
      <c r="B892" s="2372"/>
      <c r="C892" s="2372"/>
      <c r="D892" s="2372"/>
      <c r="E892" s="2372"/>
      <c r="F892" s="2372"/>
      <c r="G892" s="2372"/>
      <c r="H892" s="2372"/>
      <c r="I892" s="2372"/>
      <c r="J892" s="2372"/>
      <c r="K892" s="2372"/>
      <c r="L892" s="2372"/>
      <c r="M892" s="2372"/>
      <c r="N892" s="2372"/>
      <c r="O892" s="2372"/>
      <c r="P892" s="2372"/>
      <c r="Q892" s="2372"/>
      <c r="R892" s="2372"/>
      <c r="S892" s="2372"/>
      <c r="T892" s="2372"/>
      <c r="U892" s="2372"/>
      <c r="V892" s="2372"/>
      <c r="W892" s="2372"/>
      <c r="X892" s="2372"/>
      <c r="Y892" s="2372"/>
      <c r="Z892" s="2372"/>
      <c r="AA892" s="2372"/>
      <c r="AB892" s="2372"/>
      <c r="AC892" s="2372"/>
      <c r="AD892" s="2372"/>
      <c r="AE892" s="2372"/>
      <c r="AF892" s="2372"/>
      <c r="AG892" s="2372"/>
      <c r="AH892" s="2372"/>
      <c r="AI892" s="2372"/>
      <c r="AJ892" s="2372"/>
      <c r="AK892" s="2372"/>
      <c r="AL892" s="2372"/>
      <c r="AM892" s="2372"/>
      <c r="AN892" s="2372"/>
      <c r="AO892" s="2372"/>
      <c r="AP892" s="2372"/>
      <c r="AQ892" s="2372"/>
      <c r="AR892" s="2372"/>
      <c r="AS892" s="2372"/>
      <c r="AT892" s="2372"/>
      <c r="AU892" s="2372"/>
      <c r="AV892" s="2372"/>
      <c r="AW892" s="2372"/>
      <c r="AX892" s="2372"/>
      <c r="AY892" s="2372"/>
      <c r="AZ892" s="2372"/>
      <c r="BA892" s="2372"/>
      <c r="BB892" s="2372"/>
      <c r="BC892" s="2372"/>
      <c r="BD892" s="2372"/>
      <c r="BE892" s="2372"/>
      <c r="BF892" s="2372"/>
      <c r="BG892" s="2372"/>
      <c r="BH892" s="2372"/>
      <c r="BI892" s="2372"/>
      <c r="BJ892" s="2372"/>
      <c r="BK892" s="2372"/>
      <c r="BL892" s="2372"/>
      <c r="BM892" s="2372"/>
      <c r="BN892" s="2372"/>
      <c r="BO892" s="2372"/>
      <c r="BP892" s="2372"/>
      <c r="BQ892" s="2372"/>
      <c r="BR892" s="2372"/>
      <c r="BS892" s="2372"/>
      <c r="BT892" s="2372"/>
      <c r="BU892" s="2372"/>
      <c r="BV892" s="2372"/>
      <c r="BW892" s="2372"/>
      <c r="BX892" s="2372"/>
      <c r="BY892" s="2372"/>
      <c r="BZ892" s="2372"/>
      <c r="CA892" s="2372"/>
      <c r="CB892" s="2372"/>
      <c r="CC892" s="2372"/>
      <c r="CD892" s="2372"/>
      <c r="CE892" s="2372"/>
      <c r="CF892" s="2372"/>
      <c r="CG892" s="2372"/>
      <c r="CH892" s="2372"/>
      <c r="CI892" s="2372"/>
      <c r="CJ892" s="2372"/>
      <c r="CK892" s="2372"/>
      <c r="CL892" s="2372"/>
      <c r="CM892" s="2372"/>
      <c r="CN892" s="2372"/>
      <c r="CO892" s="2372"/>
      <c r="CP892" s="2372"/>
      <c r="CQ892" s="2372"/>
      <c r="CR892" s="2372"/>
      <c r="CS892" s="2372"/>
      <c r="CT892" s="2372"/>
      <c r="CU892" s="2372"/>
      <c r="CV892" s="2372"/>
      <c r="CW892" s="2372"/>
      <c r="CX892" s="2372"/>
      <c r="CY892" s="2372"/>
      <c r="CZ892" s="2372"/>
      <c r="DA892" s="2372"/>
    </row>
    <row r="893" spans="1:105" ht="15" hidden="1" customHeight="1">
      <c r="A893" s="2372"/>
      <c r="B893" s="2372"/>
      <c r="C893" s="2372"/>
      <c r="D893" s="2372"/>
      <c r="E893" s="2372"/>
      <c r="F893" s="2372"/>
      <c r="G893" s="2372"/>
      <c r="H893" s="2372"/>
      <c r="I893" s="2372"/>
      <c r="J893" s="2372"/>
      <c r="K893" s="2372"/>
      <c r="L893" s="2372"/>
      <c r="M893" s="2372"/>
      <c r="N893" s="2372"/>
      <c r="O893" s="2372"/>
      <c r="P893" s="2372"/>
      <c r="Q893" s="2372"/>
      <c r="R893" s="2372"/>
      <c r="S893" s="2372"/>
      <c r="T893" s="2372"/>
      <c r="U893" s="2372"/>
      <c r="V893" s="2372"/>
      <c r="W893" s="2372"/>
      <c r="X893" s="2372"/>
      <c r="Y893" s="2372"/>
      <c r="Z893" s="2372"/>
      <c r="AA893" s="2372"/>
      <c r="AB893" s="2372"/>
      <c r="AC893" s="2372"/>
      <c r="AD893" s="2372"/>
      <c r="AE893" s="2372"/>
      <c r="AF893" s="2372"/>
      <c r="AG893" s="2372"/>
      <c r="AH893" s="2372"/>
      <c r="AI893" s="2372"/>
      <c r="AJ893" s="2372"/>
      <c r="AK893" s="2372"/>
      <c r="AL893" s="2372"/>
      <c r="AM893" s="2372"/>
      <c r="AN893" s="2372"/>
      <c r="AO893" s="2372"/>
      <c r="AP893" s="2372"/>
      <c r="AQ893" s="2372"/>
      <c r="AR893" s="2372"/>
      <c r="AS893" s="2372"/>
      <c r="AT893" s="2372"/>
      <c r="AU893" s="2372"/>
      <c r="AV893" s="2372"/>
      <c r="AW893" s="2372"/>
      <c r="AX893" s="2372"/>
      <c r="AY893" s="2372"/>
      <c r="AZ893" s="2372"/>
      <c r="BA893" s="2372"/>
      <c r="BB893" s="2372"/>
      <c r="BC893" s="2372"/>
      <c r="BD893" s="2372"/>
      <c r="BE893" s="2372"/>
      <c r="BF893" s="2372"/>
      <c r="BG893" s="2372"/>
      <c r="BH893" s="2372"/>
      <c r="BI893" s="2372"/>
      <c r="BJ893" s="2372"/>
      <c r="BK893" s="2372"/>
      <c r="BL893" s="2372"/>
      <c r="BM893" s="2372"/>
      <c r="BN893" s="2372"/>
      <c r="BO893" s="2372"/>
      <c r="BP893" s="2372"/>
      <c r="BQ893" s="2372"/>
      <c r="BR893" s="2372"/>
      <c r="BS893" s="2372"/>
      <c r="BT893" s="2372"/>
      <c r="BU893" s="2372"/>
      <c r="BV893" s="2372"/>
      <c r="BW893" s="2372"/>
      <c r="BX893" s="2372"/>
      <c r="BY893" s="2372"/>
      <c r="BZ893" s="2372"/>
      <c r="CA893" s="2372"/>
      <c r="CB893" s="2372"/>
      <c r="CC893" s="2372"/>
      <c r="CD893" s="2372"/>
      <c r="CE893" s="2372"/>
      <c r="CF893" s="2372"/>
      <c r="CG893" s="2372"/>
      <c r="CH893" s="2372"/>
      <c r="CI893" s="2372"/>
      <c r="CJ893" s="2372"/>
      <c r="CK893" s="2372"/>
      <c r="CL893" s="2372"/>
      <c r="CM893" s="2372"/>
      <c r="CN893" s="2372"/>
      <c r="CO893" s="2372"/>
      <c r="CP893" s="2372"/>
      <c r="CQ893" s="2372"/>
      <c r="CR893" s="2372"/>
      <c r="CS893" s="2372"/>
      <c r="CT893" s="2372"/>
      <c r="CU893" s="2372"/>
      <c r="CV893" s="2372"/>
      <c r="CW893" s="2372"/>
      <c r="CX893" s="2372"/>
      <c r="CY893" s="2372"/>
      <c r="CZ893" s="2372"/>
      <c r="DA893" s="2372"/>
    </row>
    <row r="894" spans="1:105" ht="15" hidden="1" customHeight="1">
      <c r="A894" s="2372"/>
      <c r="B894" s="2372"/>
      <c r="C894" s="2372"/>
      <c r="D894" s="2372"/>
      <c r="E894" s="2372"/>
      <c r="F894" s="2372"/>
      <c r="G894" s="2372"/>
      <c r="H894" s="2372"/>
      <c r="I894" s="2372"/>
      <c r="J894" s="2372"/>
      <c r="K894" s="2372"/>
      <c r="L894" s="2372"/>
      <c r="M894" s="2372"/>
      <c r="N894" s="2372"/>
      <c r="O894" s="2372"/>
      <c r="P894" s="2372"/>
      <c r="Q894" s="2372"/>
      <c r="R894" s="2372"/>
      <c r="S894" s="2372"/>
      <c r="T894" s="2372"/>
      <c r="U894" s="2372"/>
      <c r="V894" s="2372"/>
      <c r="W894" s="2372"/>
      <c r="X894" s="2372"/>
      <c r="Y894" s="2372"/>
      <c r="Z894" s="2372"/>
      <c r="AA894" s="2372"/>
      <c r="AB894" s="2372"/>
      <c r="AC894" s="2372"/>
      <c r="AD894" s="2372"/>
      <c r="AE894" s="2372"/>
      <c r="AF894" s="2372"/>
      <c r="AG894" s="2372"/>
      <c r="AH894" s="2372"/>
      <c r="AI894" s="2372"/>
      <c r="AJ894" s="2372"/>
      <c r="AK894" s="2372"/>
      <c r="AL894" s="2372"/>
      <c r="AM894" s="2372"/>
      <c r="AN894" s="2372"/>
      <c r="AO894" s="2372"/>
      <c r="AP894" s="2372"/>
      <c r="AQ894" s="2372"/>
      <c r="AR894" s="2372"/>
      <c r="AS894" s="2372"/>
      <c r="AT894" s="2372"/>
      <c r="AU894" s="2372"/>
      <c r="AV894" s="2372"/>
      <c r="AW894" s="2372"/>
      <c r="AX894" s="2372"/>
      <c r="AY894" s="2372"/>
      <c r="AZ894" s="2372"/>
      <c r="BA894" s="2372"/>
      <c r="BB894" s="2372"/>
      <c r="BC894" s="2372"/>
      <c r="BD894" s="2372"/>
      <c r="BE894" s="2372"/>
      <c r="BF894" s="2372"/>
      <c r="BG894" s="2372"/>
      <c r="BH894" s="2372"/>
      <c r="BI894" s="2372"/>
      <c r="BJ894" s="2372"/>
      <c r="BK894" s="2372"/>
      <c r="BL894" s="2372"/>
      <c r="BM894" s="2372"/>
      <c r="BN894" s="2372"/>
      <c r="BO894" s="2372"/>
      <c r="BP894" s="2372"/>
      <c r="BQ894" s="2372"/>
      <c r="BR894" s="2372"/>
      <c r="BS894" s="2372"/>
      <c r="BT894" s="2372"/>
      <c r="BU894" s="2372"/>
      <c r="BV894" s="2372"/>
      <c r="BW894" s="2372"/>
      <c r="BX894" s="2372"/>
      <c r="BY894" s="2372"/>
      <c r="BZ894" s="2372"/>
      <c r="CA894" s="2372"/>
      <c r="CB894" s="2372"/>
      <c r="CC894" s="2372"/>
      <c r="CD894" s="2372"/>
      <c r="CE894" s="2372"/>
      <c r="CF894" s="2372"/>
      <c r="CG894" s="2372"/>
      <c r="CH894" s="2372"/>
      <c r="CI894" s="2372"/>
      <c r="CJ894" s="2372"/>
      <c r="CK894" s="2372"/>
      <c r="CL894" s="2372"/>
      <c r="CM894" s="2372"/>
      <c r="CN894" s="2372"/>
      <c r="CO894" s="2372"/>
      <c r="CP894" s="2372"/>
      <c r="CQ894" s="2372"/>
      <c r="CR894" s="2372"/>
      <c r="CS894" s="2372"/>
      <c r="CT894" s="2372"/>
      <c r="CU894" s="2372"/>
      <c r="CV894" s="2372"/>
      <c r="CW894" s="2372"/>
      <c r="CX894" s="2372"/>
      <c r="CY894" s="2372"/>
      <c r="CZ894" s="2372"/>
      <c r="DA894" s="2372"/>
    </row>
    <row r="895" spans="1:105" ht="15" hidden="1" customHeight="1">
      <c r="A895" s="2372"/>
      <c r="B895" s="2372"/>
      <c r="C895" s="2372"/>
      <c r="D895" s="2372"/>
      <c r="E895" s="2372"/>
      <c r="F895" s="2372"/>
      <c r="G895" s="2372"/>
      <c r="H895" s="2372"/>
      <c r="I895" s="2372"/>
      <c r="J895" s="2372"/>
      <c r="K895" s="2372"/>
      <c r="L895" s="2372"/>
      <c r="M895" s="2372"/>
      <c r="N895" s="2372"/>
      <c r="O895" s="2372"/>
      <c r="P895" s="2372"/>
      <c r="Q895" s="2372"/>
      <c r="R895" s="2372"/>
      <c r="S895" s="2372"/>
      <c r="T895" s="2372"/>
      <c r="U895" s="2372"/>
      <c r="V895" s="2372"/>
      <c r="W895" s="2372"/>
      <c r="X895" s="2372"/>
      <c r="Y895" s="2372"/>
      <c r="Z895" s="2372"/>
      <c r="AA895" s="2372"/>
      <c r="AB895" s="2372"/>
      <c r="AC895" s="2372"/>
      <c r="AD895" s="2372"/>
      <c r="AE895" s="2372"/>
      <c r="AF895" s="2372"/>
      <c r="AG895" s="2372"/>
      <c r="AH895" s="2372"/>
      <c r="AI895" s="2372"/>
      <c r="AJ895" s="2372"/>
      <c r="AK895" s="2372"/>
      <c r="AL895" s="2372"/>
      <c r="AM895" s="2372"/>
      <c r="AN895" s="2372"/>
      <c r="AO895" s="2372"/>
      <c r="AP895" s="2372"/>
      <c r="AQ895" s="2372"/>
      <c r="AR895" s="2372"/>
      <c r="AS895" s="2372"/>
      <c r="AT895" s="2372"/>
      <c r="AU895" s="2372"/>
      <c r="AV895" s="2372"/>
      <c r="AW895" s="2372"/>
      <c r="AX895" s="2372"/>
      <c r="AY895" s="2372"/>
      <c r="AZ895" s="2372"/>
      <c r="BA895" s="2372"/>
      <c r="BB895" s="2372"/>
      <c r="BC895" s="2372"/>
      <c r="BD895" s="2372"/>
      <c r="BE895" s="2372"/>
      <c r="BF895" s="2372"/>
      <c r="BG895" s="2372"/>
      <c r="BH895" s="2372"/>
      <c r="BI895" s="2372"/>
      <c r="BJ895" s="2372"/>
      <c r="BK895" s="2372"/>
      <c r="BL895" s="2372"/>
      <c r="BM895" s="2372"/>
      <c r="BN895" s="2372"/>
      <c r="BO895" s="2372"/>
      <c r="BP895" s="2372"/>
      <c r="BQ895" s="2372"/>
      <c r="BR895" s="2372"/>
      <c r="BS895" s="2372"/>
      <c r="BT895" s="2372"/>
      <c r="BU895" s="2372"/>
      <c r="BV895" s="2372"/>
      <c r="BW895" s="2372"/>
      <c r="BX895" s="2372"/>
      <c r="BY895" s="2372"/>
      <c r="BZ895" s="2372"/>
      <c r="CA895" s="2372"/>
      <c r="CB895" s="2372"/>
      <c r="CC895" s="2372"/>
      <c r="CD895" s="2372"/>
      <c r="CE895" s="2372"/>
      <c r="CF895" s="2372"/>
      <c r="CG895" s="2372"/>
      <c r="CH895" s="2372"/>
      <c r="CI895" s="2372"/>
      <c r="CJ895" s="2372"/>
      <c r="CK895" s="2372"/>
      <c r="CL895" s="2372"/>
      <c r="CM895" s="2372"/>
      <c r="CN895" s="2372"/>
      <c r="CO895" s="2372"/>
      <c r="CP895" s="2372"/>
      <c r="CQ895" s="2372"/>
      <c r="CR895" s="2372"/>
      <c r="CS895" s="2372"/>
      <c r="CT895" s="2372"/>
      <c r="CU895" s="2372"/>
      <c r="CV895" s="2372"/>
      <c r="CW895" s="2372"/>
      <c r="CX895" s="2372"/>
      <c r="CY895" s="2372"/>
      <c r="CZ895" s="2372"/>
      <c r="DA895" s="2372"/>
    </row>
    <row r="896" spans="1:105" ht="15" hidden="1" customHeight="1">
      <c r="A896" s="2372"/>
      <c r="B896" s="2372"/>
      <c r="C896" s="2372"/>
      <c r="D896" s="2372"/>
      <c r="E896" s="2372"/>
      <c r="F896" s="2372"/>
      <c r="G896" s="2372"/>
      <c r="H896" s="2372"/>
      <c r="I896" s="2372"/>
      <c r="J896" s="2372"/>
      <c r="K896" s="2372"/>
      <c r="L896" s="2372"/>
      <c r="M896" s="2372"/>
      <c r="N896" s="2372"/>
      <c r="O896" s="2372"/>
      <c r="P896" s="2372"/>
      <c r="Q896" s="2372"/>
      <c r="R896" s="2372"/>
      <c r="S896" s="2372"/>
      <c r="T896" s="2372"/>
      <c r="U896" s="2372"/>
      <c r="V896" s="2372"/>
      <c r="W896" s="2372"/>
      <c r="X896" s="2372"/>
      <c r="Y896" s="2372"/>
      <c r="Z896" s="2372"/>
      <c r="AA896" s="2372"/>
      <c r="AB896" s="2372"/>
      <c r="AC896" s="2372"/>
      <c r="AD896" s="2372"/>
      <c r="AE896" s="2372"/>
      <c r="AF896" s="2372"/>
      <c r="AG896" s="2372"/>
      <c r="AH896" s="2372"/>
      <c r="AI896" s="2372"/>
      <c r="AJ896" s="2372"/>
      <c r="AK896" s="2372"/>
      <c r="AL896" s="2372"/>
      <c r="AM896" s="2372"/>
      <c r="AN896" s="2372"/>
      <c r="AO896" s="2372"/>
      <c r="AP896" s="2372"/>
      <c r="AQ896" s="2372"/>
      <c r="AR896" s="2372"/>
      <c r="AS896" s="2372"/>
      <c r="AT896" s="2372"/>
      <c r="AU896" s="2372"/>
      <c r="AV896" s="2372"/>
      <c r="AW896" s="2372"/>
      <c r="AX896" s="2372"/>
      <c r="AY896" s="2372"/>
      <c r="AZ896" s="2372"/>
      <c r="BA896" s="2372"/>
      <c r="BB896" s="2372"/>
      <c r="BC896" s="2372"/>
      <c r="BD896" s="2372"/>
      <c r="BE896" s="2372"/>
      <c r="BF896" s="2372"/>
      <c r="BG896" s="2372"/>
      <c r="BH896" s="2372"/>
      <c r="BI896" s="2372"/>
      <c r="BJ896" s="2372"/>
      <c r="BK896" s="2372"/>
      <c r="BL896" s="2372"/>
      <c r="BM896" s="2372"/>
      <c r="BN896" s="2372"/>
      <c r="BO896" s="2372"/>
      <c r="BP896" s="2372"/>
      <c r="BQ896" s="2372"/>
      <c r="BR896" s="2372"/>
      <c r="BS896" s="2372"/>
      <c r="BT896" s="2372"/>
      <c r="BU896" s="2372"/>
      <c r="BV896" s="2372"/>
      <c r="BW896" s="2372"/>
      <c r="BX896" s="2372"/>
      <c r="BY896" s="2372"/>
      <c r="BZ896" s="2372"/>
      <c r="CA896" s="2372"/>
      <c r="CB896" s="2372"/>
      <c r="CC896" s="2372"/>
      <c r="CD896" s="2372"/>
      <c r="CE896" s="2372"/>
      <c r="CF896" s="2372"/>
      <c r="CG896" s="2372"/>
      <c r="CH896" s="2372"/>
      <c r="CI896" s="2372"/>
      <c r="CJ896" s="2372"/>
      <c r="CK896" s="2372"/>
      <c r="CL896" s="2372"/>
      <c r="CM896" s="2372"/>
      <c r="CN896" s="2372"/>
      <c r="CO896" s="2372"/>
      <c r="CP896" s="2372"/>
      <c r="CQ896" s="2372"/>
      <c r="CR896" s="2372"/>
      <c r="CS896" s="2372"/>
      <c r="CT896" s="2372"/>
      <c r="CU896" s="2372"/>
      <c r="CV896" s="2372"/>
      <c r="CW896" s="2372"/>
      <c r="CX896" s="2372"/>
      <c r="CY896" s="2372"/>
      <c r="CZ896" s="2372"/>
      <c r="DA896" s="2372"/>
    </row>
    <row r="897" spans="1:105" ht="15" hidden="1" customHeight="1">
      <c r="A897" s="2372"/>
      <c r="B897" s="2372"/>
      <c r="C897" s="2372"/>
      <c r="D897" s="2372"/>
      <c r="E897" s="2372"/>
      <c r="F897" s="2372"/>
      <c r="G897" s="2372"/>
      <c r="H897" s="2372"/>
      <c r="I897" s="2372"/>
      <c r="J897" s="2372"/>
      <c r="K897" s="2372"/>
      <c r="L897" s="2372"/>
      <c r="M897" s="2372"/>
      <c r="N897" s="2372"/>
      <c r="O897" s="2372"/>
      <c r="P897" s="2372"/>
      <c r="Q897" s="2372"/>
      <c r="R897" s="2372"/>
      <c r="S897" s="2372"/>
      <c r="T897" s="2372"/>
      <c r="U897" s="2372"/>
      <c r="V897" s="2372"/>
      <c r="W897" s="2372"/>
      <c r="X897" s="2372"/>
      <c r="Y897" s="2372"/>
      <c r="Z897" s="2372"/>
      <c r="AA897" s="2372"/>
      <c r="AB897" s="2372"/>
      <c r="AC897" s="2372"/>
      <c r="AD897" s="2372"/>
      <c r="AE897" s="2372"/>
      <c r="AF897" s="2372"/>
      <c r="AG897" s="2372"/>
      <c r="AH897" s="2372"/>
      <c r="AI897" s="2372"/>
      <c r="AJ897" s="2372"/>
      <c r="AK897" s="2372"/>
      <c r="AL897" s="2372"/>
      <c r="AM897" s="2372"/>
      <c r="AN897" s="2372"/>
      <c r="AO897" s="2372"/>
      <c r="AP897" s="2372"/>
      <c r="AQ897" s="2372"/>
      <c r="AR897" s="2372"/>
      <c r="AS897" s="2372"/>
      <c r="AT897" s="2372"/>
      <c r="AU897" s="2372"/>
      <c r="AV897" s="2372"/>
      <c r="AW897" s="2372"/>
      <c r="AX897" s="2372"/>
      <c r="AY897" s="2372"/>
      <c r="AZ897" s="2372"/>
      <c r="BA897" s="2372"/>
      <c r="BB897" s="2372"/>
      <c r="BC897" s="2372"/>
      <c r="BD897" s="2372"/>
      <c r="BE897" s="2372"/>
      <c r="BF897" s="2372"/>
      <c r="BG897" s="2372"/>
      <c r="BH897" s="2372"/>
      <c r="BI897" s="2372"/>
      <c r="BJ897" s="2372"/>
      <c r="BK897" s="2372"/>
      <c r="BL897" s="2372"/>
      <c r="BM897" s="2372"/>
      <c r="BN897" s="2372"/>
      <c r="BO897" s="2372"/>
      <c r="BP897" s="2372"/>
      <c r="BQ897" s="2372"/>
      <c r="BR897" s="2372"/>
      <c r="BS897" s="2372"/>
      <c r="BT897" s="2372"/>
      <c r="BU897" s="2372"/>
      <c r="BV897" s="2372"/>
      <c r="BW897" s="2372"/>
      <c r="BX897" s="2372"/>
      <c r="BY897" s="2372"/>
      <c r="BZ897" s="2372"/>
      <c r="CA897" s="2372"/>
      <c r="CB897" s="2372"/>
      <c r="CC897" s="2372"/>
      <c r="CD897" s="2372"/>
      <c r="CE897" s="2372"/>
      <c r="CF897" s="2372"/>
      <c r="CG897" s="2372"/>
      <c r="CH897" s="2372"/>
      <c r="CI897" s="2372"/>
      <c r="CJ897" s="2372"/>
      <c r="CK897" s="2372"/>
      <c r="CL897" s="2372"/>
      <c r="CM897" s="2372"/>
      <c r="CN897" s="2372"/>
      <c r="CO897" s="2372"/>
      <c r="CP897" s="2372"/>
      <c r="CQ897" s="2372"/>
      <c r="CR897" s="2372"/>
      <c r="CS897" s="2372"/>
      <c r="CT897" s="2372"/>
      <c r="CU897" s="2372"/>
      <c r="CV897" s="2372"/>
      <c r="CW897" s="2372"/>
      <c r="CX897" s="2372"/>
      <c r="CY897" s="2372"/>
      <c r="CZ897" s="2372"/>
      <c r="DA897" s="2372"/>
    </row>
    <row r="898" spans="1:105" ht="15" hidden="1" customHeight="1">
      <c r="A898" s="2372"/>
      <c r="B898" s="2372"/>
      <c r="C898" s="2372"/>
      <c r="D898" s="2372"/>
      <c r="E898" s="2372"/>
      <c r="F898" s="2372"/>
      <c r="G898" s="2372"/>
      <c r="H898" s="2372"/>
      <c r="I898" s="2372"/>
      <c r="J898" s="2372"/>
      <c r="K898" s="2372"/>
      <c r="L898" s="2372"/>
      <c r="M898" s="2372"/>
      <c r="N898" s="2372"/>
      <c r="O898" s="2372"/>
      <c r="P898" s="2372"/>
      <c r="Q898" s="2372"/>
      <c r="R898" s="2372"/>
      <c r="S898" s="2372"/>
      <c r="T898" s="2372"/>
      <c r="U898" s="2372"/>
      <c r="V898" s="2372"/>
      <c r="W898" s="2372"/>
      <c r="X898" s="2372"/>
      <c r="Y898" s="2372"/>
      <c r="Z898" s="2372"/>
      <c r="AA898" s="2372"/>
      <c r="AB898" s="2372"/>
      <c r="AC898" s="2372"/>
      <c r="AD898" s="2372"/>
      <c r="AE898" s="2372"/>
      <c r="AF898" s="2372"/>
      <c r="AG898" s="2372"/>
      <c r="AH898" s="2372"/>
      <c r="AI898" s="2372"/>
      <c r="AJ898" s="2372"/>
      <c r="AK898" s="2372"/>
      <c r="AL898" s="2372"/>
      <c r="AM898" s="2372"/>
      <c r="AN898" s="2372"/>
      <c r="AO898" s="2372"/>
      <c r="AP898" s="2372"/>
      <c r="AQ898" s="2372"/>
      <c r="AR898" s="2372"/>
      <c r="AS898" s="2372"/>
      <c r="AT898" s="2372"/>
      <c r="AU898" s="2372"/>
      <c r="AV898" s="2372"/>
      <c r="AW898" s="2372"/>
      <c r="AX898" s="2372"/>
      <c r="AY898" s="2372"/>
      <c r="AZ898" s="2372"/>
      <c r="BA898" s="2372"/>
      <c r="BB898" s="2372"/>
      <c r="BC898" s="2372"/>
      <c r="BD898" s="2372"/>
      <c r="BE898" s="2372"/>
      <c r="BF898" s="2372"/>
      <c r="BG898" s="2372"/>
      <c r="BH898" s="2372"/>
      <c r="BI898" s="2372"/>
      <c r="BJ898" s="2372"/>
      <c r="BK898" s="2372"/>
      <c r="BL898" s="2372"/>
      <c r="BM898" s="2372"/>
      <c r="BN898" s="2372"/>
      <c r="BO898" s="2372"/>
      <c r="BP898" s="2372"/>
      <c r="BQ898" s="2372"/>
      <c r="BR898" s="2372"/>
      <c r="BS898" s="2372"/>
      <c r="BT898" s="2372"/>
      <c r="BU898" s="2372"/>
      <c r="BV898" s="2372"/>
      <c r="BW898" s="2372"/>
      <c r="BX898" s="2372"/>
      <c r="BY898" s="2372"/>
      <c r="BZ898" s="2372"/>
      <c r="CA898" s="2372"/>
      <c r="CB898" s="2372"/>
      <c r="CC898" s="2372"/>
      <c r="CD898" s="2372"/>
      <c r="CE898" s="2372"/>
      <c r="CF898" s="2372"/>
      <c r="CG898" s="2372"/>
      <c r="CH898" s="2372"/>
      <c r="CI898" s="2372"/>
      <c r="CJ898" s="2372"/>
      <c r="CK898" s="2372"/>
      <c r="CL898" s="2372"/>
      <c r="CM898" s="2372"/>
      <c r="CN898" s="2372"/>
      <c r="CO898" s="2372"/>
      <c r="CP898" s="2372"/>
      <c r="CQ898" s="2372"/>
      <c r="CR898" s="2372"/>
      <c r="CS898" s="2372"/>
      <c r="CT898" s="2372"/>
      <c r="CU898" s="2372"/>
      <c r="CV898" s="2372"/>
      <c r="CW898" s="2372"/>
      <c r="CX898" s="2372"/>
      <c r="CY898" s="2372"/>
      <c r="CZ898" s="2372"/>
      <c r="DA898" s="2372"/>
    </row>
    <row r="899" spans="1:105" ht="15" hidden="1" customHeight="1">
      <c r="A899" s="2372"/>
      <c r="B899" s="2372"/>
      <c r="C899" s="2372"/>
      <c r="D899" s="2372"/>
      <c r="E899" s="2372"/>
      <c r="F899" s="2372"/>
      <c r="G899" s="2372"/>
      <c r="H899" s="2372"/>
      <c r="I899" s="2372"/>
      <c r="J899" s="2372"/>
      <c r="K899" s="2372"/>
      <c r="L899" s="2372"/>
      <c r="M899" s="2372"/>
      <c r="N899" s="2372"/>
      <c r="O899" s="2372"/>
      <c r="P899" s="2372"/>
      <c r="Q899" s="2372"/>
      <c r="R899" s="2372"/>
      <c r="S899" s="2372"/>
      <c r="T899" s="2372"/>
      <c r="U899" s="2372"/>
      <c r="V899" s="2372"/>
      <c r="W899" s="2372"/>
      <c r="X899" s="2372"/>
      <c r="Y899" s="2372"/>
      <c r="Z899" s="2372"/>
      <c r="AA899" s="2372"/>
      <c r="AB899" s="2372"/>
      <c r="AC899" s="2372"/>
      <c r="AD899" s="2372"/>
      <c r="AE899" s="2372"/>
      <c r="AF899" s="2372"/>
      <c r="AG899" s="2372"/>
      <c r="AH899" s="2372"/>
      <c r="AI899" s="2372"/>
      <c r="AJ899" s="2372"/>
      <c r="AK899" s="2372"/>
      <c r="AL899" s="2372"/>
      <c r="AM899" s="2372"/>
      <c r="AN899" s="2372"/>
      <c r="AO899" s="2372"/>
      <c r="AP899" s="2372"/>
      <c r="AQ899" s="2372"/>
      <c r="AR899" s="2372"/>
      <c r="AS899" s="2372"/>
      <c r="AT899" s="2372"/>
      <c r="AU899" s="2372"/>
      <c r="AV899" s="2372"/>
      <c r="AW899" s="2372"/>
      <c r="AX899" s="2372"/>
      <c r="AY899" s="2372"/>
      <c r="AZ899" s="2372"/>
      <c r="BA899" s="2372"/>
      <c r="BB899" s="2372"/>
      <c r="BC899" s="2372"/>
      <c r="BD899" s="2372"/>
      <c r="BE899" s="2372"/>
      <c r="BF899" s="2372"/>
      <c r="BG899" s="2372"/>
      <c r="BH899" s="2372"/>
      <c r="BI899" s="2372"/>
      <c r="BJ899" s="2372"/>
      <c r="BK899" s="2372"/>
      <c r="BL899" s="2372"/>
      <c r="BM899" s="2372"/>
      <c r="BN899" s="2372"/>
      <c r="BO899" s="2372"/>
      <c r="BP899" s="2372"/>
      <c r="BQ899" s="2372"/>
      <c r="BR899" s="2372"/>
      <c r="BS899" s="2372"/>
      <c r="BT899" s="2372"/>
      <c r="BU899" s="2372"/>
      <c r="BV899" s="2372"/>
      <c r="BW899" s="2372"/>
      <c r="BX899" s="2372"/>
      <c r="BY899" s="2372"/>
      <c r="BZ899" s="2372"/>
      <c r="CA899" s="2372"/>
      <c r="CB899" s="2372"/>
      <c r="CC899" s="2372"/>
      <c r="CD899" s="2372"/>
      <c r="CE899" s="2372"/>
      <c r="CF899" s="2372"/>
      <c r="CG899" s="2372"/>
      <c r="CH899" s="2372"/>
      <c r="CI899" s="2372"/>
      <c r="CJ899" s="2372"/>
      <c r="CK899" s="2372"/>
      <c r="CL899" s="2372"/>
      <c r="CM899" s="2372"/>
      <c r="CN899" s="2372"/>
      <c r="CO899" s="2372"/>
      <c r="CP899" s="2372"/>
      <c r="CQ899" s="2372"/>
      <c r="CR899" s="2372"/>
      <c r="CS899" s="2372"/>
      <c r="CT899" s="2372"/>
      <c r="CU899" s="2372"/>
      <c r="CV899" s="2372"/>
      <c r="CW899" s="2372"/>
      <c r="CX899" s="2372"/>
      <c r="CY899" s="2372"/>
      <c r="CZ899" s="2372"/>
      <c r="DA899" s="2372"/>
    </row>
    <row r="900" spans="1:105" ht="15" hidden="1" customHeight="1">
      <c r="A900" s="2372"/>
      <c r="B900" s="2372"/>
      <c r="C900" s="2372"/>
      <c r="D900" s="2372"/>
      <c r="E900" s="2372"/>
      <c r="F900" s="2372"/>
      <c r="G900" s="2372"/>
      <c r="H900" s="2372"/>
      <c r="I900" s="2372"/>
      <c r="J900" s="2372"/>
      <c r="K900" s="2372"/>
      <c r="L900" s="2372"/>
      <c r="M900" s="2372"/>
      <c r="N900" s="2372"/>
      <c r="O900" s="2372"/>
      <c r="P900" s="2372"/>
      <c r="Q900" s="2372"/>
      <c r="R900" s="2372"/>
      <c r="S900" s="2372"/>
      <c r="T900" s="2372"/>
      <c r="U900" s="2372"/>
      <c r="V900" s="2372"/>
      <c r="W900" s="2372"/>
      <c r="X900" s="2372"/>
      <c r="Y900" s="2372"/>
      <c r="Z900" s="2372"/>
      <c r="AA900" s="2372"/>
      <c r="AB900" s="2372"/>
      <c r="AC900" s="2372"/>
      <c r="AD900" s="2372"/>
      <c r="AE900" s="2372"/>
      <c r="AF900" s="2372"/>
      <c r="AG900" s="2372"/>
      <c r="AH900" s="2372"/>
      <c r="AI900" s="2372"/>
      <c r="AJ900" s="2372"/>
      <c r="AK900" s="2372"/>
      <c r="AL900" s="2372"/>
      <c r="AM900" s="2372"/>
      <c r="AN900" s="2372"/>
      <c r="AO900" s="2372"/>
      <c r="AP900" s="2372"/>
      <c r="AQ900" s="2372"/>
      <c r="AR900" s="2372"/>
      <c r="AS900" s="2372"/>
      <c r="AT900" s="2372"/>
      <c r="AU900" s="2372"/>
      <c r="AV900" s="2372"/>
      <c r="AW900" s="2372"/>
      <c r="AX900" s="2372"/>
      <c r="AY900" s="2372"/>
      <c r="AZ900" s="2372"/>
      <c r="BA900" s="2372"/>
      <c r="BB900" s="2372"/>
      <c r="BC900" s="2372"/>
      <c r="BD900" s="2372"/>
      <c r="BE900" s="2372"/>
      <c r="BF900" s="2372"/>
      <c r="BG900" s="2372"/>
      <c r="BH900" s="2372"/>
      <c r="BI900" s="2372"/>
      <c r="BJ900" s="2372"/>
      <c r="BK900" s="2372"/>
      <c r="BL900" s="2372"/>
      <c r="BM900" s="2372"/>
      <c r="BN900" s="2372"/>
      <c r="BO900" s="2372"/>
      <c r="BP900" s="2372"/>
      <c r="BQ900" s="2372"/>
      <c r="BR900" s="2372"/>
      <c r="BS900" s="2372"/>
      <c r="BT900" s="2372"/>
      <c r="BU900" s="2372"/>
      <c r="BV900" s="2372"/>
      <c r="BW900" s="2372"/>
      <c r="BX900" s="2372"/>
      <c r="BY900" s="2372"/>
      <c r="BZ900" s="2372"/>
      <c r="CA900" s="2372"/>
      <c r="CB900" s="2372"/>
      <c r="CC900" s="2372"/>
      <c r="CD900" s="2372"/>
      <c r="CE900" s="2372"/>
      <c r="CF900" s="2372"/>
      <c r="CG900" s="2372"/>
      <c r="CH900" s="2372"/>
      <c r="CI900" s="2372"/>
      <c r="CJ900" s="2372"/>
      <c r="CK900" s="2372"/>
      <c r="CL900" s="2372"/>
      <c r="CM900" s="2372"/>
      <c r="CN900" s="2372"/>
      <c r="CO900" s="2372"/>
      <c r="CP900" s="2372"/>
      <c r="CQ900" s="2372"/>
      <c r="CR900" s="2372"/>
      <c r="CS900" s="2372"/>
      <c r="CT900" s="2372"/>
      <c r="CU900" s="2372"/>
      <c r="CV900" s="2372"/>
      <c r="CW900" s="2372"/>
      <c r="CX900" s="2372"/>
      <c r="CY900" s="2372"/>
      <c r="CZ900" s="2372"/>
      <c r="DA900" s="2372"/>
    </row>
    <row r="901" spans="1:105" ht="15" hidden="1" customHeight="1">
      <c r="A901" s="2372"/>
      <c r="B901" s="2372"/>
      <c r="C901" s="2372"/>
      <c r="D901" s="2372"/>
      <c r="E901" s="2372"/>
      <c r="F901" s="2372"/>
      <c r="G901" s="2372"/>
      <c r="H901" s="2372"/>
      <c r="I901" s="2372"/>
      <c r="J901" s="2372"/>
      <c r="K901" s="2372"/>
      <c r="L901" s="2372"/>
      <c r="M901" s="2372"/>
      <c r="N901" s="2372"/>
      <c r="O901" s="2372"/>
      <c r="P901" s="2372"/>
      <c r="Q901" s="2372"/>
      <c r="R901" s="2372"/>
      <c r="S901" s="2372"/>
      <c r="T901" s="2372"/>
      <c r="U901" s="2372"/>
      <c r="V901" s="2372"/>
      <c r="W901" s="2372"/>
      <c r="X901" s="2372"/>
      <c r="Y901" s="2372"/>
      <c r="Z901" s="2372"/>
      <c r="AA901" s="2372"/>
      <c r="AB901" s="2372"/>
      <c r="AC901" s="2372"/>
      <c r="AD901" s="2372"/>
      <c r="AE901" s="2372"/>
      <c r="AF901" s="2372"/>
      <c r="AG901" s="2372"/>
      <c r="AH901" s="2372"/>
      <c r="AI901" s="2372"/>
      <c r="AJ901" s="2372"/>
      <c r="AK901" s="2372"/>
      <c r="AL901" s="2372"/>
      <c r="AM901" s="2372"/>
      <c r="AN901" s="2372"/>
      <c r="AO901" s="2372"/>
      <c r="AP901" s="2372"/>
      <c r="AQ901" s="2372"/>
      <c r="AR901" s="2372"/>
      <c r="AS901" s="2372"/>
      <c r="AT901" s="2372"/>
      <c r="AU901" s="2372"/>
      <c r="AV901" s="2372"/>
      <c r="AW901" s="2372"/>
      <c r="AX901" s="2372"/>
      <c r="AY901" s="2372"/>
      <c r="AZ901" s="2372"/>
      <c r="BA901" s="2372"/>
      <c r="BB901" s="2372"/>
      <c r="BC901" s="2372"/>
      <c r="BD901" s="2372"/>
      <c r="BE901" s="2372"/>
      <c r="BF901" s="2372"/>
      <c r="BG901" s="2372"/>
      <c r="BH901" s="2372"/>
      <c r="BI901" s="2372"/>
      <c r="BJ901" s="2372"/>
      <c r="BK901" s="2372"/>
      <c r="BL901" s="2372"/>
      <c r="BM901" s="2372"/>
      <c r="BN901" s="2372"/>
      <c r="BO901" s="2372"/>
      <c r="BP901" s="2372"/>
      <c r="BQ901" s="2372"/>
      <c r="BR901" s="2372"/>
      <c r="BS901" s="2372"/>
      <c r="BT901" s="2372"/>
      <c r="BU901" s="2372"/>
      <c r="BV901" s="2372"/>
      <c r="BW901" s="2372"/>
      <c r="BX901" s="2372"/>
      <c r="BY901" s="2372"/>
      <c r="BZ901" s="2372"/>
      <c r="CA901" s="2372"/>
      <c r="CB901" s="2372"/>
      <c r="CC901" s="2372"/>
      <c r="CD901" s="2372"/>
      <c r="CE901" s="2372"/>
      <c r="CF901" s="2372"/>
      <c r="CG901" s="2372"/>
      <c r="CH901" s="2372"/>
      <c r="CI901" s="2372"/>
      <c r="CJ901" s="2372"/>
      <c r="CK901" s="2372"/>
      <c r="CL901" s="2372"/>
      <c r="CM901" s="2372"/>
      <c r="CN901" s="2372"/>
      <c r="CO901" s="2372"/>
      <c r="CP901" s="2372"/>
      <c r="CQ901" s="2372"/>
      <c r="CR901" s="2372"/>
      <c r="CS901" s="2372"/>
      <c r="CT901" s="2372"/>
      <c r="CU901" s="2372"/>
      <c r="CV901" s="2372"/>
      <c r="CW901" s="2372"/>
      <c r="CX901" s="2372"/>
      <c r="CY901" s="2372"/>
      <c r="CZ901" s="2372"/>
      <c r="DA901" s="2372"/>
    </row>
    <row r="902" spans="1:105" ht="15" hidden="1" customHeight="1">
      <c r="A902" s="2372"/>
      <c r="B902" s="2372"/>
      <c r="C902" s="2372"/>
      <c r="D902" s="2372"/>
      <c r="E902" s="2372"/>
      <c r="F902" s="2372"/>
      <c r="G902" s="2372"/>
      <c r="H902" s="2372"/>
      <c r="I902" s="2372"/>
      <c r="J902" s="2372"/>
      <c r="K902" s="2372"/>
      <c r="L902" s="2372"/>
      <c r="M902" s="2372"/>
      <c r="N902" s="2372"/>
      <c r="O902" s="2372"/>
      <c r="P902" s="2372"/>
      <c r="Q902" s="2372"/>
      <c r="R902" s="2372"/>
      <c r="S902" s="2372"/>
      <c r="T902" s="2372"/>
      <c r="U902" s="2372"/>
      <c r="V902" s="2372"/>
      <c r="W902" s="2372"/>
      <c r="X902" s="2372"/>
      <c r="Y902" s="2372"/>
      <c r="Z902" s="2372"/>
      <c r="AA902" s="2372"/>
      <c r="AB902" s="2372"/>
      <c r="AC902" s="2372"/>
      <c r="AD902" s="2372"/>
      <c r="AE902" s="2372"/>
      <c r="AF902" s="2372"/>
      <c r="AG902" s="2372"/>
      <c r="AH902" s="2372"/>
      <c r="AI902" s="2372"/>
      <c r="AJ902" s="2372"/>
      <c r="AK902" s="2372"/>
      <c r="AL902" s="2372"/>
      <c r="AM902" s="2372"/>
      <c r="AN902" s="2372"/>
      <c r="AO902" s="2372"/>
      <c r="AP902" s="2372"/>
      <c r="AQ902" s="2372"/>
      <c r="AR902" s="2372"/>
      <c r="AS902" s="2372"/>
      <c r="AT902" s="2372"/>
      <c r="AU902" s="2372"/>
      <c r="AV902" s="2372"/>
      <c r="AW902" s="2372"/>
      <c r="AX902" s="2372"/>
      <c r="AY902" s="2372"/>
      <c r="AZ902" s="2372"/>
      <c r="BA902" s="2372"/>
      <c r="BB902" s="2372"/>
      <c r="BC902" s="2372"/>
      <c r="BD902" s="2372"/>
      <c r="BE902" s="2372"/>
      <c r="BF902" s="2372"/>
      <c r="BG902" s="2372"/>
      <c r="BH902" s="2372"/>
      <c r="BI902" s="2372"/>
      <c r="BJ902" s="2372"/>
      <c r="BK902" s="2372"/>
      <c r="BL902" s="2372"/>
      <c r="BM902" s="2372"/>
      <c r="BN902" s="2372"/>
      <c r="BO902" s="2372"/>
      <c r="BP902" s="2372"/>
      <c r="BQ902" s="2372"/>
      <c r="BR902" s="2372"/>
      <c r="BS902" s="2372"/>
      <c r="BT902" s="2372"/>
      <c r="BU902" s="2372"/>
      <c r="BV902" s="2372"/>
      <c r="BW902" s="2372"/>
      <c r="BX902" s="2372"/>
      <c r="BY902" s="2372"/>
      <c r="BZ902" s="2372"/>
      <c r="CA902" s="2372"/>
      <c r="CB902" s="2372"/>
      <c r="CC902" s="2372"/>
      <c r="CD902" s="2372"/>
      <c r="CE902" s="2372"/>
      <c r="CF902" s="2372"/>
      <c r="CG902" s="2372"/>
      <c r="CH902" s="2372"/>
      <c r="CI902" s="2372"/>
      <c r="CJ902" s="2372"/>
      <c r="CK902" s="2372"/>
      <c r="CL902" s="2372"/>
      <c r="CM902" s="2372"/>
      <c r="CN902" s="2372"/>
      <c r="CO902" s="2372"/>
      <c r="CP902" s="2372"/>
      <c r="CQ902" s="2372"/>
      <c r="CR902" s="2372"/>
      <c r="CS902" s="2372"/>
      <c r="CT902" s="2372"/>
      <c r="CU902" s="2372"/>
      <c r="CV902" s="2372"/>
      <c r="CW902" s="2372"/>
      <c r="CX902" s="2372"/>
      <c r="CY902" s="2372"/>
      <c r="CZ902" s="2372"/>
      <c r="DA902" s="2372"/>
    </row>
    <row r="903" spans="1:105" ht="15" hidden="1" customHeight="1">
      <c r="A903" s="2372"/>
      <c r="B903" s="2372"/>
      <c r="C903" s="2372"/>
      <c r="D903" s="2372"/>
      <c r="E903" s="2372"/>
      <c r="F903" s="2372"/>
      <c r="G903" s="2372"/>
      <c r="H903" s="2372"/>
      <c r="I903" s="2372"/>
      <c r="J903" s="2372"/>
      <c r="K903" s="2372"/>
      <c r="L903" s="2372"/>
      <c r="M903" s="2372"/>
      <c r="N903" s="2372"/>
      <c r="O903" s="2372"/>
      <c r="P903" s="2372"/>
      <c r="Q903" s="2372"/>
      <c r="R903" s="2372"/>
      <c r="S903" s="2372"/>
      <c r="T903" s="2372"/>
      <c r="U903" s="2372"/>
      <c r="V903" s="2372"/>
      <c r="W903" s="2372"/>
      <c r="X903" s="2372"/>
      <c r="Y903" s="2372"/>
      <c r="Z903" s="2372"/>
      <c r="AA903" s="2372"/>
      <c r="AB903" s="2372"/>
      <c r="AC903" s="2372"/>
      <c r="AD903" s="2372"/>
      <c r="AE903" s="2372"/>
      <c r="AF903" s="2372"/>
      <c r="AG903" s="2372"/>
      <c r="AH903" s="2372"/>
      <c r="AI903" s="2372"/>
      <c r="AJ903" s="2372"/>
      <c r="AK903" s="2372"/>
      <c r="AL903" s="2372"/>
      <c r="AM903" s="2372"/>
      <c r="AN903" s="2372"/>
      <c r="AO903" s="2372"/>
      <c r="AP903" s="2372"/>
      <c r="AQ903" s="2372"/>
      <c r="AR903" s="2372"/>
      <c r="AS903" s="2372"/>
      <c r="AT903" s="2372"/>
      <c r="AU903" s="2372"/>
      <c r="AV903" s="2372"/>
      <c r="AW903" s="2372"/>
      <c r="AX903" s="2372"/>
      <c r="AY903" s="2372"/>
      <c r="AZ903" s="2372"/>
      <c r="BA903" s="2372"/>
      <c r="BB903" s="2372"/>
      <c r="BC903" s="2372"/>
      <c r="BD903" s="2372"/>
      <c r="BE903" s="2372"/>
      <c r="BF903" s="2372"/>
      <c r="BG903" s="2372"/>
      <c r="BH903" s="2372"/>
      <c r="BI903" s="2372"/>
      <c r="BJ903" s="2372"/>
      <c r="BK903" s="2372"/>
      <c r="BL903" s="2372"/>
      <c r="BM903" s="2372"/>
      <c r="BN903" s="2372"/>
      <c r="BO903" s="2372"/>
      <c r="BP903" s="2372"/>
      <c r="BQ903" s="2372"/>
      <c r="BR903" s="2372"/>
      <c r="BS903" s="2372"/>
      <c r="BT903" s="2372"/>
      <c r="BU903" s="2372"/>
      <c r="BV903" s="2372"/>
      <c r="BW903" s="2372"/>
      <c r="BX903" s="2372"/>
      <c r="BY903" s="2372"/>
      <c r="BZ903" s="2372"/>
      <c r="CA903" s="2372"/>
      <c r="CB903" s="2372"/>
      <c r="CC903" s="2372"/>
      <c r="CD903" s="2372"/>
      <c r="CE903" s="2372"/>
      <c r="CF903" s="2372"/>
      <c r="CG903" s="2372"/>
      <c r="CH903" s="2372"/>
      <c r="CI903" s="2372"/>
      <c r="CJ903" s="2372"/>
      <c r="CK903" s="2372"/>
      <c r="CL903" s="2372"/>
      <c r="CM903" s="2372"/>
      <c r="CN903" s="2372"/>
      <c r="CO903" s="2372"/>
      <c r="CP903" s="2372"/>
      <c r="CQ903" s="2372"/>
      <c r="CR903" s="2372"/>
      <c r="CS903" s="2372"/>
      <c r="CT903" s="2372"/>
      <c r="CU903" s="2372"/>
      <c r="CV903" s="2372"/>
      <c r="CW903" s="2372"/>
      <c r="CX903" s="2372"/>
      <c r="CY903" s="2372"/>
      <c r="CZ903" s="2372"/>
      <c r="DA903" s="2372"/>
    </row>
    <row r="904" spans="1:105" ht="15" hidden="1" customHeight="1">
      <c r="A904" s="2372"/>
      <c r="B904" s="2372"/>
      <c r="C904" s="2372"/>
      <c r="D904" s="2372"/>
      <c r="E904" s="2372"/>
      <c r="F904" s="2372"/>
      <c r="G904" s="2372"/>
      <c r="H904" s="2372"/>
      <c r="I904" s="2372"/>
      <c r="J904" s="2372"/>
      <c r="K904" s="2372"/>
      <c r="L904" s="2372"/>
      <c r="M904" s="2372"/>
      <c r="N904" s="2372"/>
      <c r="O904" s="2372"/>
      <c r="P904" s="2372"/>
      <c r="Q904" s="2372"/>
      <c r="R904" s="2372"/>
      <c r="S904" s="2372"/>
      <c r="T904" s="2372"/>
      <c r="U904" s="2372"/>
      <c r="V904" s="2372"/>
      <c r="W904" s="2372"/>
      <c r="X904" s="2372"/>
      <c r="Y904" s="2372"/>
      <c r="Z904" s="2372"/>
      <c r="AA904" s="2372"/>
      <c r="AB904" s="2372"/>
      <c r="AC904" s="2372"/>
      <c r="AD904" s="2372"/>
      <c r="AE904" s="2372"/>
      <c r="AF904" s="2372"/>
      <c r="AG904" s="2372"/>
      <c r="AH904" s="2372"/>
      <c r="AI904" s="2372"/>
      <c r="AJ904" s="2372"/>
      <c r="AK904" s="2372"/>
      <c r="AL904" s="2372"/>
      <c r="AM904" s="2372"/>
      <c r="AN904" s="2372"/>
      <c r="AO904" s="2372"/>
      <c r="AP904" s="2372"/>
      <c r="AQ904" s="2372"/>
      <c r="AR904" s="2372"/>
      <c r="AS904" s="2372"/>
      <c r="AT904" s="2372"/>
      <c r="AU904" s="2372"/>
      <c r="AV904" s="2372"/>
      <c r="AW904" s="2372"/>
      <c r="AX904" s="2372"/>
      <c r="AY904" s="2372"/>
      <c r="AZ904" s="2372"/>
      <c r="BA904" s="2372"/>
      <c r="BB904" s="2372"/>
      <c r="BC904" s="2372"/>
      <c r="BD904" s="2372"/>
      <c r="BE904" s="2372"/>
      <c r="BF904" s="2372"/>
      <c r="BG904" s="2372"/>
      <c r="BH904" s="2372"/>
      <c r="BI904" s="2372"/>
      <c r="BJ904" s="2372"/>
      <c r="BK904" s="2372"/>
      <c r="BL904" s="2372"/>
      <c r="BM904" s="2372"/>
      <c r="BN904" s="2372"/>
      <c r="BO904" s="2372"/>
      <c r="BP904" s="2372"/>
      <c r="BQ904" s="2372"/>
      <c r="BR904" s="2372"/>
      <c r="BS904" s="2372"/>
      <c r="BT904" s="2372"/>
      <c r="BU904" s="2372"/>
      <c r="BV904" s="2372"/>
      <c r="BW904" s="2372"/>
      <c r="BX904" s="2372"/>
      <c r="BY904" s="2372"/>
      <c r="BZ904" s="2372"/>
      <c r="CA904" s="2372"/>
      <c r="CB904" s="2372"/>
      <c r="CC904" s="2372"/>
      <c r="CD904" s="2372"/>
      <c r="CE904" s="2372"/>
      <c r="CF904" s="2372"/>
      <c r="CG904" s="2372"/>
      <c r="CH904" s="2372"/>
      <c r="CI904" s="2372"/>
      <c r="CJ904" s="2372"/>
      <c r="CK904" s="2372"/>
      <c r="CL904" s="2372"/>
      <c r="CM904" s="2372"/>
      <c r="CN904" s="2372"/>
      <c r="CO904" s="2372"/>
      <c r="CP904" s="2372"/>
      <c r="CQ904" s="2372"/>
      <c r="CR904" s="2372"/>
      <c r="CS904" s="2372"/>
      <c r="CT904" s="2372"/>
      <c r="CU904" s="2372"/>
      <c r="CV904" s="2372"/>
      <c r="CW904" s="2372"/>
      <c r="CX904" s="2372"/>
      <c r="CY904" s="2372"/>
      <c r="CZ904" s="2372"/>
      <c r="DA904" s="2372"/>
    </row>
    <row r="905" spans="1:105" ht="15" hidden="1" customHeight="1">
      <c r="A905" s="2372"/>
      <c r="B905" s="2372"/>
      <c r="C905" s="2372"/>
      <c r="D905" s="2372"/>
      <c r="E905" s="2372"/>
      <c r="F905" s="2372"/>
      <c r="G905" s="2372"/>
      <c r="H905" s="2372"/>
      <c r="I905" s="2372"/>
      <c r="J905" s="2372"/>
      <c r="K905" s="2372"/>
      <c r="L905" s="2372"/>
      <c r="M905" s="2372"/>
      <c r="N905" s="2372"/>
      <c r="O905" s="2372"/>
      <c r="P905" s="2372"/>
      <c r="Q905" s="2372"/>
      <c r="R905" s="2372"/>
      <c r="S905" s="2372"/>
      <c r="T905" s="2372"/>
      <c r="U905" s="2372"/>
      <c r="V905" s="2372"/>
      <c r="W905" s="2372"/>
      <c r="X905" s="2372"/>
      <c r="Y905" s="2372"/>
      <c r="Z905" s="2372"/>
      <c r="AA905" s="2372"/>
      <c r="AB905" s="2372"/>
      <c r="AC905" s="2372"/>
      <c r="AD905" s="2372"/>
      <c r="AE905" s="2372"/>
      <c r="AF905" s="2372"/>
      <c r="AG905" s="2372"/>
      <c r="AH905" s="2372"/>
      <c r="AI905" s="2372"/>
      <c r="AJ905" s="2372"/>
      <c r="AK905" s="2372"/>
      <c r="AL905" s="2372"/>
      <c r="AM905" s="2372"/>
      <c r="AN905" s="2372"/>
      <c r="AO905" s="2372"/>
      <c r="AP905" s="2372"/>
      <c r="AQ905" s="2372"/>
      <c r="AR905" s="2372"/>
      <c r="AS905" s="2372"/>
      <c r="AT905" s="2372"/>
      <c r="AU905" s="2372"/>
      <c r="AV905" s="2372"/>
      <c r="AW905" s="2372"/>
      <c r="AX905" s="2372"/>
      <c r="AY905" s="2372"/>
      <c r="AZ905" s="2372"/>
      <c r="BA905" s="2372"/>
      <c r="BB905" s="2372"/>
      <c r="BC905" s="2372"/>
      <c r="BD905" s="2372"/>
      <c r="BE905" s="2372"/>
      <c r="BF905" s="2372"/>
      <c r="BG905" s="2372"/>
      <c r="BH905" s="2372"/>
      <c r="BI905" s="2372"/>
      <c r="BJ905" s="2372"/>
      <c r="BK905" s="2372"/>
      <c r="BL905" s="2372"/>
      <c r="BM905" s="2372"/>
      <c r="BN905" s="2372"/>
      <c r="BO905" s="2372"/>
      <c r="BP905" s="2372"/>
      <c r="BQ905" s="2372"/>
      <c r="BR905" s="2372"/>
      <c r="BS905" s="2372"/>
      <c r="BT905" s="2372"/>
      <c r="BU905" s="2372"/>
      <c r="BV905" s="2372"/>
      <c r="BW905" s="2372"/>
      <c r="BX905" s="2372"/>
      <c r="BY905" s="2372"/>
      <c r="BZ905" s="2372"/>
      <c r="CA905" s="2372"/>
      <c r="CB905" s="2372"/>
      <c r="CC905" s="2372"/>
      <c r="CD905" s="2372"/>
      <c r="CE905" s="2372"/>
      <c r="CF905" s="2372"/>
      <c r="CG905" s="2372"/>
      <c r="CH905" s="2372"/>
      <c r="CI905" s="2372"/>
      <c r="CJ905" s="2372"/>
      <c r="CK905" s="2372"/>
      <c r="CL905" s="2372"/>
      <c r="CM905" s="2372"/>
      <c r="CN905" s="2372"/>
      <c r="CO905" s="2372"/>
      <c r="CP905" s="2372"/>
      <c r="CQ905" s="2372"/>
      <c r="CR905" s="2372"/>
      <c r="CS905" s="2372"/>
      <c r="CT905" s="2372"/>
      <c r="CU905" s="2372"/>
      <c r="CV905" s="2372"/>
      <c r="CW905" s="2372"/>
      <c r="CX905" s="2372"/>
      <c r="CY905" s="2372"/>
      <c r="CZ905" s="2372"/>
      <c r="DA905" s="2372"/>
    </row>
    <row r="906" spans="1:105" ht="15" hidden="1" customHeight="1">
      <c r="A906" s="2372"/>
      <c r="B906" s="2372"/>
      <c r="C906" s="2372"/>
      <c r="D906" s="2372"/>
      <c r="E906" s="2372"/>
      <c r="F906" s="2372"/>
      <c r="G906" s="2372"/>
      <c r="H906" s="2372"/>
      <c r="I906" s="2372"/>
      <c r="J906" s="2372"/>
      <c r="K906" s="2372"/>
      <c r="L906" s="2372"/>
      <c r="M906" s="2372"/>
      <c r="N906" s="2372"/>
      <c r="O906" s="2372"/>
      <c r="P906" s="2372"/>
      <c r="Q906" s="2372"/>
      <c r="R906" s="2372"/>
      <c r="S906" s="2372"/>
      <c r="T906" s="2372"/>
      <c r="U906" s="2372"/>
      <c r="V906" s="2372"/>
      <c r="W906" s="2372"/>
      <c r="X906" s="2372"/>
      <c r="Y906" s="2372"/>
      <c r="Z906" s="2372"/>
      <c r="AA906" s="2372"/>
      <c r="AB906" s="2372"/>
      <c r="AC906" s="2372"/>
      <c r="AD906" s="2372"/>
      <c r="AE906" s="2372"/>
      <c r="AF906" s="2372"/>
      <c r="AG906" s="2372"/>
      <c r="AH906" s="2372"/>
      <c r="AI906" s="2372"/>
      <c r="AJ906" s="2372"/>
      <c r="AK906" s="2372"/>
      <c r="AL906" s="2372"/>
      <c r="AM906" s="2372"/>
      <c r="AN906" s="2372"/>
      <c r="AO906" s="2372"/>
      <c r="AP906" s="2372"/>
      <c r="AQ906" s="2372"/>
      <c r="AR906" s="2372"/>
      <c r="AS906" s="2372"/>
      <c r="AT906" s="2372"/>
      <c r="AU906" s="2372"/>
      <c r="AV906" s="2372"/>
      <c r="AW906" s="2372"/>
      <c r="AX906" s="2372"/>
      <c r="AY906" s="2372"/>
      <c r="AZ906" s="2372"/>
      <c r="BA906" s="2372"/>
      <c r="BB906" s="2372"/>
      <c r="BC906" s="2372"/>
      <c r="BD906" s="2372"/>
      <c r="BE906" s="2372"/>
      <c r="BF906" s="2372"/>
      <c r="BG906" s="2372"/>
      <c r="BH906" s="2372"/>
      <c r="BI906" s="2372"/>
      <c r="BJ906" s="2372"/>
      <c r="BK906" s="2372"/>
      <c r="BL906" s="2372"/>
      <c r="BM906" s="2372"/>
      <c r="BN906" s="2372"/>
      <c r="BO906" s="2372"/>
      <c r="BP906" s="2372"/>
      <c r="BQ906" s="2372"/>
      <c r="BR906" s="2372"/>
      <c r="BS906" s="2372"/>
      <c r="BT906" s="2372"/>
      <c r="BU906" s="2372"/>
      <c r="BV906" s="2372"/>
      <c r="BW906" s="2372"/>
      <c r="BX906" s="2372"/>
      <c r="BY906" s="2372"/>
      <c r="BZ906" s="2372"/>
      <c r="CA906" s="2372"/>
      <c r="CB906" s="2372"/>
      <c r="CC906" s="2372"/>
      <c r="CD906" s="2372"/>
      <c r="CE906" s="2372"/>
      <c r="CF906" s="2372"/>
      <c r="CG906" s="2372"/>
      <c r="CH906" s="2372"/>
      <c r="CI906" s="2372"/>
      <c r="CJ906" s="2372"/>
      <c r="CK906" s="2372"/>
      <c r="CL906" s="2372"/>
      <c r="CM906" s="2372"/>
      <c r="CN906" s="2372"/>
      <c r="CO906" s="2372"/>
      <c r="CP906" s="2372"/>
      <c r="CQ906" s="2372"/>
      <c r="CR906" s="2372"/>
      <c r="CS906" s="2372"/>
      <c r="CT906" s="2372"/>
      <c r="CU906" s="2372"/>
      <c r="CV906" s="2372"/>
      <c r="CW906" s="2372"/>
      <c r="CX906" s="2372"/>
      <c r="CY906" s="2372"/>
      <c r="CZ906" s="2372"/>
      <c r="DA906" s="2372"/>
    </row>
    <row r="907" spans="1:105" ht="15" hidden="1" customHeight="1">
      <c r="A907" s="2372"/>
      <c r="B907" s="2372"/>
      <c r="C907" s="2372"/>
      <c r="D907" s="2372"/>
      <c r="E907" s="2372"/>
      <c r="F907" s="2372"/>
      <c r="G907" s="2372"/>
      <c r="H907" s="2372"/>
      <c r="I907" s="2372"/>
      <c r="J907" s="2372"/>
      <c r="K907" s="2372"/>
      <c r="L907" s="2372"/>
      <c r="M907" s="2372"/>
      <c r="N907" s="2372"/>
      <c r="O907" s="2372"/>
      <c r="P907" s="2372"/>
      <c r="Q907" s="2372"/>
      <c r="R907" s="2372"/>
      <c r="S907" s="2372"/>
      <c r="T907" s="2372"/>
      <c r="U907" s="2372"/>
      <c r="V907" s="2372"/>
      <c r="W907" s="2372"/>
      <c r="X907" s="2372"/>
      <c r="Y907" s="2372"/>
      <c r="Z907" s="2372"/>
      <c r="AA907" s="2372"/>
      <c r="AB907" s="2372"/>
      <c r="AC907" s="2372"/>
      <c r="AD907" s="2372"/>
      <c r="AE907" s="2372"/>
      <c r="AF907" s="2372"/>
      <c r="AG907" s="2372"/>
      <c r="AH907" s="2372"/>
      <c r="AI907" s="2372"/>
      <c r="AJ907" s="2372"/>
      <c r="AK907" s="2372"/>
      <c r="AL907" s="2372"/>
      <c r="AM907" s="2372"/>
      <c r="AN907" s="2372"/>
      <c r="AO907" s="2372"/>
      <c r="AP907" s="2372"/>
      <c r="AQ907" s="2372"/>
      <c r="AR907" s="2372"/>
      <c r="AS907" s="2372"/>
      <c r="AT907" s="2372"/>
      <c r="AU907" s="2372"/>
      <c r="AV907" s="2372"/>
      <c r="AW907" s="2372"/>
      <c r="AX907" s="2372"/>
      <c r="AY907" s="2372"/>
      <c r="AZ907" s="2372"/>
      <c r="BA907" s="2372"/>
      <c r="BB907" s="2372"/>
      <c r="BC907" s="2372"/>
      <c r="BD907" s="2372"/>
      <c r="BE907" s="2372"/>
      <c r="BF907" s="2372"/>
      <c r="BG907" s="2372"/>
      <c r="BH907" s="2372"/>
      <c r="BI907" s="2372"/>
      <c r="BJ907" s="2372"/>
      <c r="BK907" s="2372"/>
      <c r="BL907" s="2372"/>
      <c r="BM907" s="2372"/>
      <c r="BN907" s="2372"/>
      <c r="BO907" s="2372"/>
      <c r="BP907" s="2372"/>
      <c r="BQ907" s="2372"/>
      <c r="BR907" s="2372"/>
      <c r="BS907" s="2372"/>
      <c r="BT907" s="2372"/>
      <c r="BU907" s="2372"/>
      <c r="BV907" s="2372"/>
      <c r="BW907" s="2372"/>
      <c r="BX907" s="2372"/>
      <c r="BY907" s="2372"/>
      <c r="BZ907" s="2372"/>
      <c r="CA907" s="2372"/>
      <c r="CB907" s="2372"/>
      <c r="CC907" s="2372"/>
      <c r="CD907" s="2372"/>
      <c r="CE907" s="2372"/>
      <c r="CF907" s="2372"/>
      <c r="CG907" s="2372"/>
      <c r="CH907" s="2372"/>
      <c r="CI907" s="2372"/>
      <c r="CJ907" s="2372"/>
      <c r="CK907" s="2372"/>
      <c r="CL907" s="2372"/>
      <c r="CM907" s="2372"/>
      <c r="CN907" s="2372"/>
      <c r="CO907" s="2372"/>
      <c r="CP907" s="2372"/>
      <c r="CQ907" s="2372"/>
      <c r="CR907" s="2372"/>
      <c r="CS907" s="2372"/>
      <c r="CT907" s="2372"/>
      <c r="CU907" s="2372"/>
      <c r="CV907" s="2372"/>
      <c r="CW907" s="2372"/>
      <c r="CX907" s="2372"/>
      <c r="CY907" s="2372"/>
      <c r="CZ907" s="2372"/>
      <c r="DA907" s="2372"/>
    </row>
    <row r="908" spans="1:105" ht="15" hidden="1" customHeight="1">
      <c r="A908" s="2372"/>
      <c r="B908" s="2372"/>
      <c r="C908" s="2372"/>
      <c r="D908" s="2372"/>
      <c r="E908" s="2372"/>
      <c r="F908" s="2372"/>
      <c r="G908" s="2372"/>
      <c r="H908" s="2372"/>
      <c r="I908" s="2372"/>
      <c r="J908" s="2372"/>
      <c r="K908" s="2372"/>
      <c r="L908" s="2372"/>
      <c r="M908" s="2372"/>
      <c r="N908" s="2372"/>
      <c r="O908" s="2372"/>
      <c r="P908" s="2372"/>
      <c r="Q908" s="2372"/>
      <c r="R908" s="2372"/>
      <c r="S908" s="2372"/>
      <c r="T908" s="2372"/>
      <c r="U908" s="2372"/>
      <c r="V908" s="2372"/>
      <c r="W908" s="2372"/>
      <c r="X908" s="2372"/>
      <c r="Y908" s="2372"/>
      <c r="Z908" s="2372"/>
      <c r="AA908" s="2372"/>
      <c r="AB908" s="2372"/>
      <c r="AC908" s="2372"/>
      <c r="AD908" s="2372"/>
      <c r="AE908" s="2372"/>
      <c r="AF908" s="2372"/>
      <c r="AG908" s="2372"/>
      <c r="AH908" s="2372"/>
      <c r="AI908" s="2372"/>
      <c r="AJ908" s="2372"/>
      <c r="AK908" s="2372"/>
      <c r="AL908" s="2372"/>
      <c r="AM908" s="2372"/>
      <c r="AN908" s="2372"/>
      <c r="AO908" s="2372"/>
      <c r="AP908" s="2372"/>
      <c r="AQ908" s="2372"/>
      <c r="AR908" s="2372"/>
      <c r="AS908" s="2372"/>
      <c r="AT908" s="2372"/>
      <c r="AU908" s="2372"/>
      <c r="AV908" s="2372"/>
      <c r="AW908" s="2372"/>
      <c r="AX908" s="2372"/>
      <c r="AY908" s="2372"/>
      <c r="AZ908" s="2372"/>
      <c r="BA908" s="2372"/>
      <c r="BB908" s="2372"/>
      <c r="BC908" s="2372"/>
      <c r="BD908" s="2372"/>
      <c r="BE908" s="2372"/>
      <c r="BF908" s="2372"/>
      <c r="BG908" s="2372"/>
      <c r="BH908" s="2372"/>
      <c r="BI908" s="2372"/>
      <c r="BJ908" s="2372"/>
      <c r="BK908" s="2372"/>
      <c r="BL908" s="2372"/>
      <c r="BM908" s="2372"/>
      <c r="BN908" s="2372"/>
      <c r="BO908" s="2372"/>
      <c r="BP908" s="2372"/>
      <c r="BQ908" s="2372"/>
      <c r="BR908" s="2372"/>
      <c r="BS908" s="2372"/>
      <c r="BT908" s="2372"/>
      <c r="BU908" s="2372"/>
      <c r="BV908" s="2372"/>
      <c r="BW908" s="2372"/>
      <c r="BX908" s="2372"/>
      <c r="BY908" s="2372"/>
      <c r="BZ908" s="2372"/>
      <c r="CA908" s="2372"/>
      <c r="CB908" s="2372"/>
      <c r="CC908" s="2372"/>
      <c r="CD908" s="2372"/>
      <c r="CE908" s="2372"/>
      <c r="CF908" s="2372"/>
      <c r="CG908" s="2372"/>
      <c r="CH908" s="2372"/>
      <c r="CI908" s="2372"/>
      <c r="CJ908" s="2372"/>
      <c r="CK908" s="2372"/>
      <c r="CL908" s="2372"/>
      <c r="CM908" s="2372"/>
      <c r="CN908" s="2372"/>
      <c r="CO908" s="2372"/>
      <c r="CP908" s="2372"/>
      <c r="CQ908" s="2372"/>
      <c r="CR908" s="2372"/>
      <c r="CS908" s="2372"/>
      <c r="CT908" s="2372"/>
      <c r="CU908" s="2372"/>
      <c r="CV908" s="2372"/>
      <c r="CW908" s="2372"/>
      <c r="CX908" s="2372"/>
      <c r="CY908" s="2372"/>
      <c r="CZ908" s="2372"/>
      <c r="DA908" s="2372"/>
    </row>
    <row r="909" spans="1:105" ht="15" hidden="1" customHeight="1">
      <c r="A909" s="2372"/>
      <c r="B909" s="2372"/>
      <c r="C909" s="2372"/>
      <c r="D909" s="2372"/>
      <c r="E909" s="2372"/>
      <c r="F909" s="2372"/>
      <c r="G909" s="2372"/>
      <c r="H909" s="2372"/>
      <c r="I909" s="2372"/>
      <c r="J909" s="2372"/>
      <c r="K909" s="2372"/>
      <c r="L909" s="2372"/>
      <c r="M909" s="2372"/>
      <c r="N909" s="2372"/>
      <c r="O909" s="2372"/>
      <c r="P909" s="2372"/>
      <c r="Q909" s="2372"/>
      <c r="R909" s="2372"/>
      <c r="S909" s="2372"/>
      <c r="T909" s="2372"/>
      <c r="U909" s="2372"/>
      <c r="V909" s="2372"/>
      <c r="W909" s="2372"/>
      <c r="X909" s="2372"/>
      <c r="Y909" s="2372"/>
      <c r="Z909" s="2372"/>
      <c r="AA909" s="2372"/>
      <c r="AB909" s="2372"/>
      <c r="AC909" s="2372"/>
      <c r="AD909" s="2372"/>
      <c r="AE909" s="2372"/>
      <c r="AF909" s="2372"/>
      <c r="AG909" s="2372"/>
      <c r="AH909" s="2372"/>
      <c r="AI909" s="2372"/>
      <c r="AJ909" s="2372"/>
      <c r="AK909" s="2372"/>
      <c r="AL909" s="2372"/>
      <c r="AM909" s="2372"/>
      <c r="AN909" s="2372"/>
      <c r="AO909" s="2372"/>
      <c r="AP909" s="2372"/>
      <c r="AQ909" s="2372"/>
      <c r="AR909" s="2372"/>
      <c r="AS909" s="2372"/>
      <c r="AT909" s="2372"/>
      <c r="AU909" s="2372"/>
      <c r="AV909" s="2372"/>
      <c r="AW909" s="2372"/>
      <c r="AX909" s="2372"/>
      <c r="AY909" s="2372"/>
      <c r="AZ909" s="2372"/>
      <c r="BA909" s="2372"/>
      <c r="BB909" s="2372"/>
      <c r="BC909" s="2372"/>
      <c r="BD909" s="2372"/>
      <c r="BE909" s="2372"/>
      <c r="BF909" s="2372"/>
      <c r="BG909" s="2372"/>
      <c r="BH909" s="2372"/>
      <c r="BI909" s="2372"/>
      <c r="BJ909" s="2372"/>
      <c r="BK909" s="2372"/>
      <c r="BL909" s="2372"/>
      <c r="BM909" s="2372"/>
      <c r="BN909" s="2372"/>
      <c r="BO909" s="2372"/>
      <c r="BP909" s="2372"/>
      <c r="BQ909" s="2372"/>
      <c r="BR909" s="2372"/>
      <c r="BS909" s="2372"/>
      <c r="BT909" s="2372"/>
      <c r="BU909" s="2372"/>
      <c r="BV909" s="2372"/>
      <c r="BW909" s="2372"/>
      <c r="BX909" s="2372"/>
      <c r="BY909" s="2372"/>
      <c r="BZ909" s="2372"/>
      <c r="CA909" s="2372"/>
      <c r="CB909" s="2372"/>
      <c r="CC909" s="2372"/>
      <c r="CD909" s="2372"/>
      <c r="CE909" s="2372"/>
      <c r="CF909" s="2372"/>
      <c r="CG909" s="2372"/>
      <c r="CH909" s="2372"/>
      <c r="CI909" s="2372"/>
      <c r="CJ909" s="2372"/>
      <c r="CK909" s="2372"/>
      <c r="CL909" s="2372"/>
      <c r="CM909" s="2372"/>
      <c r="CN909" s="2372"/>
      <c r="CO909" s="2372"/>
      <c r="CP909" s="2372"/>
      <c r="CQ909" s="2372"/>
      <c r="CR909" s="2372"/>
      <c r="CS909" s="2372"/>
      <c r="CT909" s="2372"/>
      <c r="CU909" s="2372"/>
      <c r="CV909" s="2372"/>
      <c r="CW909" s="2372"/>
      <c r="CX909" s="2372"/>
      <c r="CY909" s="2372"/>
      <c r="CZ909" s="2372"/>
      <c r="DA909" s="2372"/>
    </row>
    <row r="910" spans="1:105" ht="15" hidden="1" customHeight="1">
      <c r="A910" s="2372"/>
      <c r="B910" s="2372"/>
      <c r="C910" s="2372"/>
      <c r="D910" s="2372"/>
      <c r="E910" s="2372"/>
      <c r="F910" s="2372"/>
      <c r="G910" s="2372"/>
      <c r="H910" s="2372"/>
      <c r="I910" s="2372"/>
      <c r="J910" s="2372"/>
      <c r="K910" s="2372"/>
      <c r="L910" s="2372"/>
      <c r="M910" s="2372"/>
      <c r="N910" s="2372"/>
      <c r="O910" s="2372"/>
      <c r="P910" s="2372"/>
      <c r="Q910" s="2372"/>
      <c r="R910" s="2372"/>
      <c r="S910" s="2372"/>
      <c r="T910" s="2372"/>
      <c r="U910" s="2372"/>
      <c r="V910" s="2372"/>
      <c r="W910" s="2372"/>
      <c r="X910" s="2372"/>
      <c r="Y910" s="2372"/>
      <c r="Z910" s="2372"/>
      <c r="AA910" s="2372"/>
      <c r="AB910" s="2372"/>
      <c r="AC910" s="2372"/>
      <c r="AD910" s="2372"/>
      <c r="AE910" s="2372"/>
      <c r="AF910" s="2372"/>
      <c r="AG910" s="2372"/>
      <c r="AH910" s="2372"/>
      <c r="AI910" s="2372"/>
      <c r="AJ910" s="2372"/>
      <c r="AK910" s="2372"/>
      <c r="AL910" s="2372"/>
      <c r="AM910" s="2372"/>
      <c r="AN910" s="2372"/>
      <c r="AO910" s="2372"/>
      <c r="AP910" s="2372"/>
      <c r="AQ910" s="2372"/>
      <c r="AR910" s="2372"/>
      <c r="AS910" s="2372"/>
      <c r="AT910" s="2372"/>
      <c r="AU910" s="2372"/>
      <c r="AV910" s="2372"/>
      <c r="AW910" s="2372"/>
      <c r="AX910" s="2372"/>
      <c r="AY910" s="2372"/>
      <c r="AZ910" s="2372"/>
      <c r="BA910" s="2372"/>
      <c r="BB910" s="2372"/>
      <c r="BC910" s="2372"/>
      <c r="BD910" s="2372"/>
      <c r="BE910" s="2372"/>
      <c r="BF910" s="2372"/>
      <c r="BG910" s="2372"/>
      <c r="BH910" s="2372"/>
      <c r="BI910" s="2372"/>
      <c r="BJ910" s="2372"/>
      <c r="BK910" s="2372"/>
      <c r="BL910" s="2372"/>
      <c r="BM910" s="2372"/>
      <c r="BN910" s="2372"/>
      <c r="BO910" s="2372"/>
      <c r="BP910" s="2372"/>
      <c r="BQ910" s="2372"/>
      <c r="BR910" s="2372"/>
      <c r="BS910" s="2372"/>
      <c r="BT910" s="2372"/>
      <c r="BU910" s="2372"/>
      <c r="BV910" s="2372"/>
      <c r="BW910" s="2372"/>
      <c r="BX910" s="2372"/>
      <c r="BY910" s="2372"/>
      <c r="BZ910" s="2372"/>
      <c r="CA910" s="2372"/>
      <c r="CB910" s="2372"/>
      <c r="CC910" s="2372"/>
      <c r="CD910" s="2372"/>
      <c r="CE910" s="2372"/>
      <c r="CF910" s="2372"/>
      <c r="CG910" s="2372"/>
      <c r="CH910" s="2372"/>
      <c r="CI910" s="2372"/>
      <c r="CJ910" s="2372"/>
      <c r="CK910" s="2372"/>
      <c r="CL910" s="2372"/>
      <c r="CM910" s="2372"/>
      <c r="CN910" s="2372"/>
      <c r="CO910" s="2372"/>
      <c r="CP910" s="2372"/>
      <c r="CQ910" s="2372"/>
      <c r="CR910" s="2372"/>
      <c r="CS910" s="2372"/>
      <c r="CT910" s="2372"/>
      <c r="CU910" s="2372"/>
      <c r="CV910" s="2372"/>
      <c r="CW910" s="2372"/>
      <c r="CX910" s="2372"/>
      <c r="CY910" s="2372"/>
      <c r="CZ910" s="2372"/>
      <c r="DA910" s="2372"/>
    </row>
    <row r="911" spans="1:105" ht="15" hidden="1" customHeight="1">
      <c r="A911" s="2372"/>
      <c r="B911" s="2372"/>
      <c r="C911" s="2372"/>
      <c r="D911" s="2372"/>
      <c r="E911" s="2372"/>
      <c r="F911" s="2372"/>
      <c r="G911" s="2372"/>
      <c r="H911" s="2372"/>
      <c r="I911" s="2372"/>
      <c r="J911" s="2372"/>
      <c r="K911" s="2372"/>
      <c r="L911" s="2372"/>
      <c r="M911" s="2372"/>
      <c r="N911" s="2372"/>
      <c r="O911" s="2372"/>
      <c r="P911" s="2372"/>
      <c r="Q911" s="2372"/>
      <c r="R911" s="2372"/>
      <c r="S911" s="2372"/>
      <c r="T911" s="2372"/>
      <c r="U911" s="2372"/>
      <c r="V911" s="2372"/>
      <c r="W911" s="2372"/>
      <c r="X911" s="2372"/>
      <c r="Y911" s="2372"/>
      <c r="Z911" s="2372"/>
      <c r="AA911" s="2372"/>
      <c r="AB911" s="2372"/>
      <c r="AC911" s="2372"/>
      <c r="AD911" s="2372"/>
      <c r="AE911" s="2372"/>
      <c r="AF911" s="2372"/>
      <c r="AG911" s="2372"/>
      <c r="AH911" s="2372"/>
      <c r="AI911" s="2372"/>
      <c r="AJ911" s="2372"/>
      <c r="AK911" s="2372"/>
      <c r="AL911" s="2372"/>
      <c r="AM911" s="2372"/>
      <c r="AN911" s="2372"/>
      <c r="AO911" s="2372"/>
      <c r="AP911" s="2372"/>
      <c r="AQ911" s="2372"/>
      <c r="AR911" s="2372"/>
      <c r="AS911" s="2372"/>
      <c r="AT911" s="2372"/>
      <c r="AU911" s="2372"/>
      <c r="AV911" s="2372"/>
      <c r="AW911" s="2372"/>
      <c r="AX911" s="2372"/>
      <c r="AY911" s="2372"/>
      <c r="AZ911" s="2372"/>
      <c r="BA911" s="2372"/>
      <c r="BB911" s="2372"/>
      <c r="BC911" s="2372"/>
      <c r="BD911" s="2372"/>
      <c r="BE911" s="2372"/>
      <c r="BF911" s="2372"/>
      <c r="BG911" s="2372"/>
      <c r="BH911" s="2372"/>
      <c r="BI911" s="2372"/>
      <c r="BJ911" s="2372"/>
      <c r="BK911" s="2372"/>
      <c r="BL911" s="2372"/>
      <c r="BM911" s="2372"/>
      <c r="BN911" s="2372"/>
      <c r="BO911" s="2372"/>
      <c r="BP911" s="2372"/>
      <c r="BQ911" s="2372"/>
      <c r="BR911" s="2372"/>
      <c r="BS911" s="2372"/>
      <c r="BT911" s="2372"/>
      <c r="BU911" s="2372"/>
      <c r="BV911" s="2372"/>
      <c r="BW911" s="2372"/>
      <c r="BX911" s="2372"/>
      <c r="BY911" s="2372"/>
      <c r="BZ911" s="2372"/>
      <c r="CA911" s="2372"/>
      <c r="CB911" s="2372"/>
      <c r="CC911" s="2372"/>
      <c r="CD911" s="2372"/>
      <c r="CE911" s="2372"/>
      <c r="CF911" s="2372"/>
      <c r="CG911" s="2372"/>
      <c r="CH911" s="2372"/>
      <c r="CI911" s="2372"/>
      <c r="CJ911" s="2372"/>
      <c r="CK911" s="2372"/>
      <c r="CL911" s="2372"/>
      <c r="CM911" s="2372"/>
      <c r="CN911" s="2372"/>
      <c r="CO911" s="2372"/>
      <c r="CP911" s="2372"/>
      <c r="CQ911" s="2372"/>
      <c r="CR911" s="2372"/>
      <c r="CS911" s="2372"/>
      <c r="CT911" s="2372"/>
      <c r="CU911" s="2372"/>
      <c r="CV911" s="2372"/>
      <c r="CW911" s="2372"/>
      <c r="CX911" s="2372"/>
      <c r="CY911" s="2372"/>
      <c r="CZ911" s="2372"/>
      <c r="DA911" s="2372"/>
    </row>
    <row r="912" spans="1:105" ht="15" hidden="1" customHeight="1">
      <c r="A912" s="2372"/>
      <c r="B912" s="2372"/>
      <c r="C912" s="2372"/>
      <c r="D912" s="2372"/>
      <c r="E912" s="2372"/>
      <c r="F912" s="2372"/>
      <c r="G912" s="2372"/>
      <c r="H912" s="2372"/>
      <c r="I912" s="2372"/>
      <c r="J912" s="2372"/>
      <c r="K912" s="2372"/>
      <c r="L912" s="2372"/>
      <c r="M912" s="2372"/>
      <c r="N912" s="2372"/>
      <c r="O912" s="2372"/>
      <c r="P912" s="2372"/>
      <c r="Q912" s="2372"/>
      <c r="R912" s="2372"/>
      <c r="S912" s="2372"/>
      <c r="T912" s="2372"/>
      <c r="U912" s="2372"/>
      <c r="V912" s="2372"/>
      <c r="W912" s="2372"/>
      <c r="X912" s="2372"/>
      <c r="Y912" s="2372"/>
      <c r="Z912" s="2372"/>
      <c r="AA912" s="2372"/>
      <c r="AB912" s="2372"/>
      <c r="AC912" s="2372"/>
      <c r="AD912" s="2372"/>
      <c r="AE912" s="2372"/>
      <c r="AF912" s="2372"/>
      <c r="AG912" s="2372"/>
      <c r="AH912" s="2372"/>
      <c r="AI912" s="2372"/>
      <c r="AJ912" s="2372"/>
      <c r="AK912" s="2372"/>
      <c r="AL912" s="2372"/>
      <c r="AM912" s="2372"/>
      <c r="AN912" s="2372"/>
      <c r="AO912" s="2372"/>
      <c r="AP912" s="2372"/>
      <c r="AQ912" s="2372"/>
      <c r="AR912" s="2372"/>
      <c r="AS912" s="2372"/>
      <c r="AT912" s="2372"/>
      <c r="AU912" s="2372"/>
      <c r="AV912" s="2372"/>
      <c r="AW912" s="2372"/>
      <c r="AX912" s="2372"/>
      <c r="AY912" s="2372"/>
      <c r="AZ912" s="2372"/>
      <c r="BA912" s="2372"/>
      <c r="BB912" s="2372"/>
      <c r="BC912" s="2372"/>
      <c r="BD912" s="2372"/>
      <c r="BE912" s="2372"/>
      <c r="BF912" s="2372"/>
      <c r="BG912" s="2372"/>
      <c r="BH912" s="2372"/>
      <c r="BI912" s="2372"/>
      <c r="BJ912" s="2372"/>
      <c r="BK912" s="2372"/>
      <c r="BL912" s="2372"/>
      <c r="BM912" s="2372"/>
      <c r="BN912" s="2372"/>
      <c r="BO912" s="2372"/>
      <c r="BP912" s="2372"/>
      <c r="BQ912" s="2372"/>
      <c r="BR912" s="2372"/>
      <c r="BS912" s="2372"/>
      <c r="BT912" s="2372"/>
      <c r="BU912" s="2372"/>
      <c r="BV912" s="2372"/>
      <c r="BW912" s="2372"/>
      <c r="BX912" s="2372"/>
      <c r="BY912" s="2372"/>
      <c r="BZ912" s="2372"/>
      <c r="CA912" s="2372"/>
      <c r="CB912" s="2372"/>
      <c r="CC912" s="2372"/>
      <c r="CD912" s="2372"/>
      <c r="CE912" s="2372"/>
      <c r="CF912" s="2372"/>
      <c r="CG912" s="2372"/>
      <c r="CH912" s="2372"/>
      <c r="CI912" s="2372"/>
      <c r="CJ912" s="2372"/>
      <c r="CK912" s="2372"/>
      <c r="CL912" s="2372"/>
      <c r="CM912" s="2372"/>
      <c r="CN912" s="2372"/>
      <c r="CO912" s="2372"/>
      <c r="CP912" s="2372"/>
      <c r="CQ912" s="2372"/>
      <c r="CR912" s="2372"/>
      <c r="CS912" s="2372"/>
      <c r="CT912" s="2372"/>
      <c r="CU912" s="2372"/>
      <c r="CV912" s="2372"/>
      <c r="CW912" s="2372"/>
      <c r="CX912" s="2372"/>
      <c r="CY912" s="2372"/>
      <c r="CZ912" s="2372"/>
      <c r="DA912" s="2372"/>
    </row>
    <row r="913" spans="1:105" ht="15" hidden="1" customHeight="1">
      <c r="A913" s="2372"/>
      <c r="B913" s="2372"/>
      <c r="C913" s="2372"/>
      <c r="D913" s="2372"/>
      <c r="E913" s="2372"/>
      <c r="F913" s="2372"/>
      <c r="G913" s="2372"/>
      <c r="H913" s="2372"/>
      <c r="I913" s="2372"/>
      <c r="J913" s="2372"/>
      <c r="K913" s="2372"/>
      <c r="L913" s="2372"/>
      <c r="M913" s="2372"/>
      <c r="N913" s="2372"/>
      <c r="O913" s="2372"/>
      <c r="P913" s="2372"/>
      <c r="Q913" s="2372"/>
      <c r="R913" s="2372"/>
      <c r="S913" s="2372"/>
      <c r="T913" s="2372"/>
      <c r="U913" s="2372"/>
      <c r="V913" s="2372"/>
      <c r="W913" s="2372"/>
      <c r="X913" s="2372"/>
      <c r="Y913" s="2372"/>
      <c r="Z913" s="2372"/>
      <c r="AA913" s="2372"/>
      <c r="AB913" s="2372"/>
      <c r="AC913" s="2372"/>
      <c r="AD913" s="2372"/>
      <c r="AE913" s="2372"/>
      <c r="AF913" s="2372"/>
      <c r="AG913" s="2372"/>
      <c r="AH913" s="2372"/>
      <c r="AI913" s="2372"/>
      <c r="AJ913" s="2372"/>
      <c r="AK913" s="2372"/>
      <c r="AL913" s="2372"/>
      <c r="AM913" s="2372"/>
      <c r="AN913" s="2372"/>
      <c r="AO913" s="2372"/>
      <c r="AP913" s="2372"/>
      <c r="AQ913" s="2372"/>
      <c r="AR913" s="2372"/>
      <c r="AS913" s="2372"/>
      <c r="AT913" s="2372"/>
      <c r="AU913" s="2372"/>
      <c r="AV913" s="2372"/>
      <c r="AW913" s="2372"/>
      <c r="AX913" s="2372"/>
      <c r="AY913" s="2372"/>
      <c r="AZ913" s="2372"/>
      <c r="BA913" s="2372"/>
      <c r="BB913" s="2372"/>
      <c r="BC913" s="2372"/>
      <c r="BD913" s="2372"/>
      <c r="BE913" s="2372"/>
      <c r="BF913" s="2372"/>
      <c r="BG913" s="2372"/>
      <c r="BH913" s="2372"/>
      <c r="BI913" s="2372"/>
      <c r="BJ913" s="2372"/>
      <c r="BK913" s="2372"/>
      <c r="BL913" s="2372"/>
      <c r="BM913" s="2372"/>
      <c r="BN913" s="2372"/>
      <c r="BO913" s="2372"/>
      <c r="BP913" s="2372"/>
      <c r="BQ913" s="2372"/>
      <c r="BR913" s="2372"/>
      <c r="BS913" s="2372"/>
      <c r="BT913" s="2372"/>
      <c r="BU913" s="2372"/>
      <c r="BV913" s="2372"/>
      <c r="BW913" s="2372"/>
      <c r="BX913" s="2372"/>
      <c r="BY913" s="2372"/>
      <c r="BZ913" s="2372"/>
      <c r="CA913" s="2372"/>
      <c r="CB913" s="2372"/>
      <c r="CC913" s="2372"/>
      <c r="CD913" s="2372"/>
      <c r="CE913" s="2372"/>
      <c r="CF913" s="2372"/>
      <c r="CG913" s="2372"/>
      <c r="CH913" s="2372"/>
      <c r="CI913" s="2372"/>
      <c r="CJ913" s="2372"/>
      <c r="CK913" s="2372"/>
      <c r="CL913" s="2372"/>
      <c r="CM913" s="2372"/>
      <c r="CN913" s="2372"/>
      <c r="CO913" s="2372"/>
      <c r="CP913" s="2372"/>
      <c r="CQ913" s="2372"/>
      <c r="CR913" s="2372"/>
      <c r="CS913" s="2372"/>
      <c r="CT913" s="2372"/>
      <c r="CU913" s="2372"/>
      <c r="CV913" s="2372"/>
      <c r="CW913" s="2372"/>
      <c r="CX913" s="2372"/>
      <c r="CY913" s="2372"/>
      <c r="CZ913" s="2372"/>
      <c r="DA913" s="2372"/>
    </row>
    <row r="914" spans="1:105" ht="15" hidden="1" customHeight="1">
      <c r="A914" s="2372"/>
      <c r="B914" s="2372"/>
      <c r="C914" s="2372"/>
      <c r="D914" s="2372"/>
      <c r="E914" s="2372"/>
      <c r="F914" s="2372"/>
      <c r="G914" s="2372"/>
      <c r="H914" s="2372"/>
      <c r="I914" s="2372"/>
      <c r="J914" s="2372"/>
      <c r="K914" s="2372"/>
      <c r="L914" s="2372"/>
      <c r="M914" s="2372"/>
      <c r="N914" s="2372"/>
      <c r="O914" s="2372"/>
      <c r="P914" s="2372"/>
      <c r="Q914" s="2372"/>
      <c r="R914" s="2372"/>
      <c r="S914" s="2372"/>
      <c r="T914" s="2372"/>
      <c r="U914" s="2372"/>
      <c r="V914" s="2372"/>
      <c r="W914" s="2372"/>
      <c r="X914" s="2372"/>
      <c r="Y914" s="2372"/>
      <c r="Z914" s="2372"/>
      <c r="AA914" s="2372"/>
      <c r="AB914" s="2372"/>
      <c r="AC914" s="2372"/>
      <c r="AD914" s="2372"/>
      <c r="AE914" s="2372"/>
      <c r="AF914" s="2372"/>
      <c r="AG914" s="2372"/>
      <c r="AH914" s="2372"/>
      <c r="AI914" s="2372"/>
      <c r="AJ914" s="2372"/>
      <c r="AK914" s="2372"/>
      <c r="AL914" s="2372"/>
      <c r="AM914" s="2372"/>
      <c r="AN914" s="2372"/>
      <c r="AO914" s="2372"/>
      <c r="AP914" s="2372"/>
      <c r="AQ914" s="2372"/>
      <c r="AR914" s="2372"/>
      <c r="AS914" s="2372"/>
      <c r="AT914" s="2372"/>
      <c r="AU914" s="2372"/>
      <c r="AV914" s="2372"/>
      <c r="AW914" s="2372"/>
      <c r="AX914" s="2372"/>
      <c r="AY914" s="2372"/>
      <c r="AZ914" s="2372"/>
      <c r="BA914" s="2372"/>
      <c r="BB914" s="2372"/>
      <c r="BC914" s="2372"/>
      <c r="BD914" s="2372"/>
      <c r="BE914" s="2372"/>
      <c r="BF914" s="2372"/>
      <c r="BG914" s="2372"/>
      <c r="BH914" s="2372"/>
      <c r="BI914" s="2372"/>
      <c r="BJ914" s="2372"/>
      <c r="BK914" s="2372"/>
      <c r="BL914" s="2372"/>
      <c r="BM914" s="2372"/>
      <c r="BN914" s="2372"/>
      <c r="BO914" s="2372"/>
      <c r="BP914" s="2372"/>
      <c r="BQ914" s="2372"/>
      <c r="BR914" s="2372"/>
      <c r="BS914" s="2372"/>
      <c r="BT914" s="2372"/>
      <c r="BU914" s="2372"/>
      <c r="BV914" s="2372"/>
      <c r="BW914" s="2372"/>
      <c r="BX914" s="2372"/>
      <c r="BY914" s="2372"/>
      <c r="BZ914" s="2372"/>
      <c r="CA914" s="2372"/>
      <c r="CB914" s="2372"/>
      <c r="CC914" s="2372"/>
      <c r="CD914" s="2372"/>
      <c r="CE914" s="2372"/>
      <c r="CF914" s="2372"/>
      <c r="CG914" s="2372"/>
      <c r="CH914" s="2372"/>
      <c r="CI914" s="2372"/>
      <c r="CJ914" s="2372"/>
      <c r="CK914" s="2372"/>
      <c r="CL914" s="2372"/>
      <c r="CM914" s="2372"/>
      <c r="CN914" s="2372"/>
      <c r="CO914" s="2372"/>
      <c r="CP914" s="2372"/>
      <c r="CQ914" s="2372"/>
      <c r="CR914" s="2372"/>
      <c r="CS914" s="2372"/>
      <c r="CT914" s="2372"/>
      <c r="CU914" s="2372"/>
      <c r="CV914" s="2372"/>
      <c r="CW914" s="2372"/>
      <c r="CX914" s="2372"/>
      <c r="CY914" s="2372"/>
      <c r="CZ914" s="2372"/>
      <c r="DA914" s="2372"/>
    </row>
    <row r="915" spans="1:105" ht="15" hidden="1" customHeight="1">
      <c r="A915" s="2372"/>
      <c r="B915" s="2372"/>
      <c r="C915" s="2372"/>
      <c r="D915" s="2372"/>
      <c r="E915" s="2372"/>
      <c r="F915" s="2372"/>
      <c r="G915" s="2372"/>
      <c r="H915" s="2372"/>
      <c r="I915" s="2372"/>
      <c r="J915" s="2372"/>
      <c r="K915" s="2372"/>
      <c r="L915" s="2372"/>
      <c r="M915" s="2372"/>
      <c r="N915" s="2372"/>
      <c r="O915" s="2372"/>
      <c r="P915" s="2372"/>
      <c r="Q915" s="2372"/>
      <c r="R915" s="2372"/>
      <c r="S915" s="2372"/>
      <c r="T915" s="2372"/>
      <c r="U915" s="2372"/>
      <c r="V915" s="2372"/>
      <c r="W915" s="2372"/>
      <c r="X915" s="2372"/>
      <c r="Y915" s="2372"/>
      <c r="Z915" s="2372"/>
      <c r="AA915" s="2372"/>
      <c r="AB915" s="2372"/>
      <c r="AC915" s="2372"/>
      <c r="AD915" s="2372"/>
      <c r="AE915" s="2372"/>
      <c r="AF915" s="2372"/>
      <c r="AG915" s="2372"/>
      <c r="AH915" s="2372"/>
      <c r="AI915" s="2372"/>
      <c r="AJ915" s="2372"/>
      <c r="AK915" s="2372"/>
      <c r="AL915" s="2372"/>
      <c r="AM915" s="2372"/>
      <c r="AN915" s="2372"/>
      <c r="AO915" s="2372"/>
      <c r="AP915" s="2372"/>
      <c r="AQ915" s="2372"/>
      <c r="AR915" s="2372"/>
      <c r="AS915" s="2372"/>
      <c r="AT915" s="2372"/>
      <c r="AU915" s="2372"/>
      <c r="AV915" s="2372"/>
      <c r="AW915" s="2372"/>
      <c r="AX915" s="2372"/>
      <c r="AY915" s="2372"/>
      <c r="AZ915" s="2372"/>
      <c r="BA915" s="2372"/>
      <c r="BB915" s="2372"/>
      <c r="BC915" s="2372"/>
      <c r="BD915" s="2372"/>
      <c r="BE915" s="2372"/>
      <c r="BF915" s="2372"/>
      <c r="BG915" s="2372"/>
      <c r="BH915" s="2372"/>
      <c r="BI915" s="2372"/>
      <c r="BJ915" s="2372"/>
      <c r="BK915" s="2372"/>
      <c r="BL915" s="2372"/>
      <c r="BM915" s="2372"/>
      <c r="BN915" s="2372"/>
      <c r="BO915" s="2372"/>
      <c r="BP915" s="2372"/>
      <c r="BQ915" s="2372"/>
      <c r="BR915" s="2372"/>
      <c r="BS915" s="2372"/>
      <c r="BT915" s="2372"/>
      <c r="BU915" s="2372"/>
      <c r="BV915" s="2372"/>
      <c r="BW915" s="2372"/>
      <c r="BX915" s="2372"/>
      <c r="BY915" s="2372"/>
      <c r="BZ915" s="2372"/>
      <c r="CA915" s="2372"/>
      <c r="CB915" s="2372"/>
      <c r="CC915" s="2372"/>
      <c r="CD915" s="2372"/>
      <c r="CE915" s="2372"/>
      <c r="CF915" s="2372"/>
      <c r="CG915" s="2372"/>
      <c r="CH915" s="2372"/>
      <c r="CI915" s="2372"/>
      <c r="CJ915" s="2372"/>
      <c r="CK915" s="2372"/>
      <c r="CL915" s="2372"/>
      <c r="CM915" s="2372"/>
      <c r="CN915" s="2372"/>
      <c r="CO915" s="2372"/>
      <c r="CP915" s="2372"/>
      <c r="CQ915" s="2372"/>
      <c r="CR915" s="2372"/>
      <c r="CS915" s="2372"/>
      <c r="CT915" s="2372"/>
      <c r="CU915" s="2372"/>
      <c r="CV915" s="2372"/>
      <c r="CW915" s="2372"/>
      <c r="CX915" s="2372"/>
      <c r="CY915" s="2372"/>
      <c r="CZ915" s="2372"/>
      <c r="DA915" s="2372"/>
    </row>
    <row r="916" spans="1:105" ht="15" hidden="1" customHeight="1">
      <c r="A916" s="2372"/>
      <c r="B916" s="2372"/>
      <c r="C916" s="2372"/>
      <c r="D916" s="2372"/>
      <c r="E916" s="2372"/>
      <c r="F916" s="2372"/>
      <c r="G916" s="2372"/>
      <c r="H916" s="2372"/>
      <c r="I916" s="2372"/>
      <c r="J916" s="2372"/>
      <c r="K916" s="2372"/>
      <c r="L916" s="2372"/>
      <c r="M916" s="2372"/>
      <c r="N916" s="2372"/>
      <c r="O916" s="2372"/>
      <c r="P916" s="2372"/>
      <c r="Q916" s="2372"/>
      <c r="R916" s="2372"/>
      <c r="S916" s="2372"/>
      <c r="T916" s="2372"/>
      <c r="U916" s="2372"/>
      <c r="V916" s="2372"/>
      <c r="W916" s="2372"/>
      <c r="X916" s="2372"/>
      <c r="Y916" s="2372"/>
      <c r="Z916" s="2372"/>
      <c r="AA916" s="2372"/>
      <c r="AB916" s="2372"/>
      <c r="AC916" s="2372"/>
      <c r="AD916" s="2372"/>
      <c r="AE916" s="2372"/>
      <c r="AF916" s="2372"/>
      <c r="AG916" s="2372"/>
      <c r="AH916" s="2372"/>
      <c r="AI916" s="2372"/>
      <c r="AJ916" s="2372"/>
      <c r="AK916" s="2372"/>
      <c r="AL916" s="2372"/>
      <c r="AM916" s="2372"/>
      <c r="AN916" s="2372"/>
      <c r="AO916" s="2372"/>
      <c r="AP916" s="2372"/>
      <c r="AQ916" s="2372"/>
      <c r="AR916" s="2372"/>
      <c r="AS916" s="2372"/>
      <c r="AT916" s="2372"/>
      <c r="AU916" s="2372"/>
      <c r="AV916" s="2372"/>
      <c r="AW916" s="2372"/>
      <c r="AX916" s="2372"/>
      <c r="AY916" s="2372"/>
      <c r="AZ916" s="2372"/>
      <c r="BA916" s="2372"/>
      <c r="BB916" s="2372"/>
      <c r="BC916" s="2372"/>
      <c r="BD916" s="2372"/>
      <c r="BE916" s="2372"/>
      <c r="BF916" s="2372"/>
      <c r="BG916" s="2372"/>
      <c r="BH916" s="2372"/>
      <c r="BI916" s="2372"/>
      <c r="BJ916" s="2372"/>
      <c r="BK916" s="2372"/>
      <c r="BL916" s="2372"/>
      <c r="BM916" s="2372"/>
      <c r="BN916" s="2372"/>
      <c r="BO916" s="2372"/>
      <c r="BP916" s="2372"/>
      <c r="BQ916" s="2372"/>
      <c r="BR916" s="2372"/>
      <c r="BS916" s="2372"/>
      <c r="BT916" s="2372"/>
      <c r="BU916" s="2372"/>
      <c r="BV916" s="2372"/>
      <c r="BW916" s="2372"/>
      <c r="BX916" s="2372"/>
      <c r="BY916" s="2372"/>
      <c r="BZ916" s="2372"/>
      <c r="CA916" s="2372"/>
      <c r="CB916" s="2372"/>
      <c r="CC916" s="2372"/>
      <c r="CD916" s="2372"/>
      <c r="CE916" s="2372"/>
      <c r="CF916" s="2372"/>
      <c r="CG916" s="2372"/>
      <c r="CH916" s="2372"/>
      <c r="CI916" s="2372"/>
      <c r="CJ916" s="2372"/>
      <c r="CK916" s="2372"/>
      <c r="CL916" s="2372"/>
      <c r="CM916" s="2372"/>
      <c r="CN916" s="2372"/>
      <c r="CO916" s="2372"/>
      <c r="CP916" s="2372"/>
      <c r="CQ916" s="2372"/>
      <c r="CR916" s="2372"/>
      <c r="CS916" s="2372"/>
      <c r="CT916" s="2372"/>
      <c r="CU916" s="2372"/>
      <c r="CV916" s="2372"/>
      <c r="CW916" s="2372"/>
      <c r="CX916" s="2372"/>
      <c r="CY916" s="2372"/>
      <c r="CZ916" s="2372"/>
      <c r="DA916" s="2372"/>
    </row>
    <row r="917" spans="1:105" ht="15" hidden="1" customHeight="1">
      <c r="A917" s="2372"/>
      <c r="B917" s="2372"/>
      <c r="C917" s="2372"/>
      <c r="D917" s="2372"/>
      <c r="E917" s="2372"/>
      <c r="F917" s="2372"/>
      <c r="G917" s="2372"/>
      <c r="H917" s="2372"/>
      <c r="I917" s="2372"/>
      <c r="J917" s="2372"/>
      <c r="K917" s="2372"/>
      <c r="L917" s="2372"/>
      <c r="M917" s="2372"/>
      <c r="N917" s="2372"/>
      <c r="O917" s="2372"/>
      <c r="P917" s="2372"/>
      <c r="Q917" s="2372"/>
      <c r="R917" s="2372"/>
      <c r="S917" s="2372"/>
      <c r="T917" s="2372"/>
      <c r="U917" s="2372"/>
      <c r="V917" s="2372"/>
      <c r="W917" s="2372"/>
      <c r="X917" s="2372"/>
      <c r="Y917" s="2372"/>
      <c r="Z917" s="2372"/>
      <c r="AA917" s="2372"/>
      <c r="AB917" s="2372"/>
      <c r="AC917" s="2372"/>
      <c r="AD917" s="2372"/>
      <c r="AE917" s="2372"/>
      <c r="AF917" s="2372"/>
      <c r="AG917" s="2372"/>
      <c r="AH917" s="2372"/>
      <c r="AI917" s="2372"/>
      <c r="AJ917" s="2372"/>
      <c r="AK917" s="2372"/>
      <c r="AL917" s="2372"/>
      <c r="AM917" s="2372"/>
      <c r="AN917" s="2372"/>
      <c r="AO917" s="2372"/>
      <c r="AP917" s="2372"/>
      <c r="AQ917" s="2372"/>
      <c r="AR917" s="2372"/>
      <c r="AS917" s="2372"/>
      <c r="AT917" s="2372"/>
      <c r="AU917" s="2372"/>
      <c r="AV917" s="2372"/>
      <c r="AW917" s="2372"/>
      <c r="AX917" s="2372"/>
      <c r="AY917" s="2372"/>
      <c r="AZ917" s="2372"/>
      <c r="BA917" s="2372"/>
      <c r="BB917" s="2372"/>
      <c r="BC917" s="2372"/>
      <c r="BD917" s="2372"/>
      <c r="BE917" s="2372"/>
      <c r="BF917" s="2372"/>
      <c r="BG917" s="2372"/>
      <c r="BH917" s="2372"/>
      <c r="BI917" s="2372"/>
      <c r="BJ917" s="2372"/>
      <c r="BK917" s="2372"/>
      <c r="BL917" s="2372"/>
      <c r="BM917" s="2372"/>
      <c r="BN917" s="2372"/>
      <c r="BO917" s="2372"/>
      <c r="BP917" s="2372"/>
      <c r="BQ917" s="2372"/>
      <c r="BR917" s="2372"/>
      <c r="BS917" s="2372"/>
      <c r="BT917" s="2372"/>
      <c r="BU917" s="2372"/>
      <c r="BV917" s="2372"/>
      <c r="BW917" s="2372"/>
      <c r="BX917" s="2372"/>
      <c r="BY917" s="2372"/>
      <c r="BZ917" s="2372"/>
      <c r="CA917" s="2372"/>
      <c r="CB917" s="2372"/>
      <c r="CC917" s="2372"/>
      <c r="CD917" s="2372"/>
      <c r="CE917" s="2372"/>
      <c r="CF917" s="2372"/>
      <c r="CG917" s="2372"/>
      <c r="CH917" s="2372"/>
      <c r="CI917" s="2372"/>
      <c r="CJ917" s="2372"/>
      <c r="CK917" s="2372"/>
      <c r="CL917" s="2372"/>
      <c r="CM917" s="2372"/>
      <c r="CN917" s="2372"/>
      <c r="CO917" s="2372"/>
      <c r="CP917" s="2372"/>
      <c r="CQ917" s="2372"/>
      <c r="CR917" s="2372"/>
      <c r="CS917" s="2372"/>
      <c r="CT917" s="2372"/>
      <c r="CU917" s="2372"/>
      <c r="CV917" s="2372"/>
      <c r="CW917" s="2372"/>
      <c r="CX917" s="2372"/>
      <c r="CY917" s="2372"/>
      <c r="CZ917" s="2372"/>
      <c r="DA917" s="2372"/>
    </row>
    <row r="918" spans="1:105" ht="15" hidden="1" customHeight="1">
      <c r="A918" s="2372"/>
      <c r="B918" s="2372"/>
      <c r="C918" s="2372"/>
      <c r="D918" s="2372"/>
      <c r="E918" s="2372"/>
      <c r="F918" s="2372"/>
      <c r="G918" s="2372"/>
      <c r="H918" s="2372"/>
      <c r="I918" s="2372"/>
      <c r="J918" s="2372"/>
      <c r="K918" s="2372"/>
      <c r="L918" s="2372"/>
      <c r="M918" s="2372"/>
      <c r="N918" s="2372"/>
      <c r="O918" s="2372"/>
      <c r="P918" s="2372"/>
      <c r="Q918" s="2372"/>
      <c r="R918" s="2372"/>
      <c r="S918" s="2372"/>
      <c r="T918" s="2372"/>
      <c r="U918" s="2372"/>
      <c r="V918" s="2372"/>
      <c r="W918" s="2372"/>
      <c r="X918" s="2372"/>
      <c r="Y918" s="2372"/>
      <c r="Z918" s="2372"/>
      <c r="AA918" s="2372"/>
      <c r="AB918" s="2372"/>
      <c r="AC918" s="2372"/>
      <c r="AD918" s="2372"/>
      <c r="AE918" s="2372"/>
      <c r="AF918" s="2372"/>
      <c r="AG918" s="2372"/>
      <c r="AH918" s="2372"/>
      <c r="AI918" s="2372"/>
      <c r="AJ918" s="2372"/>
      <c r="AK918" s="2372"/>
      <c r="AL918" s="2372"/>
      <c r="AM918" s="2372"/>
      <c r="AN918" s="2372"/>
      <c r="AO918" s="2372"/>
      <c r="AP918" s="2372"/>
      <c r="AQ918" s="2372"/>
      <c r="AR918" s="2372"/>
      <c r="AS918" s="2372"/>
      <c r="AT918" s="2372"/>
      <c r="AU918" s="2372"/>
      <c r="AV918" s="2372"/>
      <c r="AW918" s="2372"/>
      <c r="AX918" s="2372"/>
      <c r="AY918" s="2372"/>
      <c r="AZ918" s="2372"/>
      <c r="BA918" s="2372"/>
      <c r="BB918" s="2372"/>
      <c r="BC918" s="2372"/>
      <c r="BD918" s="2372"/>
      <c r="BE918" s="2372"/>
      <c r="BF918" s="2372"/>
      <c r="BG918" s="2372"/>
      <c r="BH918" s="2372"/>
      <c r="BI918" s="2372"/>
      <c r="BJ918" s="2372"/>
      <c r="BK918" s="2372"/>
      <c r="BL918" s="2372"/>
      <c r="BM918" s="2372"/>
      <c r="BN918" s="2372"/>
      <c r="BO918" s="2372"/>
      <c r="BP918" s="2372"/>
      <c r="BQ918" s="2372"/>
      <c r="BR918" s="2372"/>
      <c r="BS918" s="2372"/>
      <c r="BT918" s="2372"/>
      <c r="BU918" s="2372"/>
      <c r="BV918" s="2372"/>
      <c r="BW918" s="2372"/>
      <c r="BX918" s="2372"/>
      <c r="BY918" s="2372"/>
      <c r="BZ918" s="2372"/>
      <c r="CA918" s="2372"/>
      <c r="CB918" s="2372"/>
      <c r="CC918" s="2372"/>
      <c r="CD918" s="2372"/>
      <c r="CE918" s="2372"/>
      <c r="CF918" s="2372"/>
      <c r="CG918" s="2372"/>
      <c r="CH918" s="2372"/>
      <c r="CI918" s="2372"/>
      <c r="CJ918" s="2372"/>
      <c r="CK918" s="2372"/>
      <c r="CL918" s="2372"/>
      <c r="CM918" s="2372"/>
      <c r="CN918" s="2372"/>
      <c r="CO918" s="2372"/>
      <c r="CP918" s="2372"/>
      <c r="CQ918" s="2372"/>
      <c r="CR918" s="2372"/>
      <c r="CS918" s="2372"/>
      <c r="CT918" s="2372"/>
      <c r="CU918" s="2372"/>
      <c r="CV918" s="2372"/>
      <c r="CW918" s="2372"/>
      <c r="CX918" s="2372"/>
      <c r="CY918" s="2372"/>
      <c r="CZ918" s="2372"/>
      <c r="DA918" s="2372"/>
    </row>
    <row r="919" spans="1:105" ht="15" hidden="1" customHeight="1">
      <c r="A919" s="2372"/>
      <c r="B919" s="2372"/>
      <c r="C919" s="2372"/>
      <c r="D919" s="2372"/>
      <c r="E919" s="2372"/>
      <c r="F919" s="2372"/>
      <c r="G919" s="2372"/>
      <c r="H919" s="2372"/>
      <c r="I919" s="2372"/>
      <c r="J919" s="2372"/>
      <c r="K919" s="2372"/>
      <c r="L919" s="2372"/>
      <c r="M919" s="2372"/>
      <c r="N919" s="2372"/>
      <c r="O919" s="2372"/>
      <c r="P919" s="2372"/>
      <c r="Q919" s="2372"/>
      <c r="R919" s="2372"/>
      <c r="S919" s="2372"/>
      <c r="T919" s="2372"/>
      <c r="U919" s="2372"/>
      <c r="V919" s="2372"/>
      <c r="W919" s="2372"/>
      <c r="X919" s="2372"/>
      <c r="Y919" s="2372"/>
      <c r="Z919" s="2372"/>
      <c r="AA919" s="2372"/>
      <c r="AB919" s="2372"/>
      <c r="AC919" s="2372"/>
      <c r="AD919" s="2372"/>
      <c r="AE919" s="2372"/>
      <c r="AF919" s="2372"/>
      <c r="AG919" s="2372"/>
      <c r="AH919" s="2372"/>
      <c r="AI919" s="2372"/>
      <c r="AJ919" s="2372"/>
      <c r="AK919" s="2372"/>
      <c r="AL919" s="2372"/>
      <c r="AM919" s="2372"/>
      <c r="AN919" s="2372"/>
      <c r="AO919" s="2372"/>
      <c r="AP919" s="2372"/>
      <c r="AQ919" s="2372"/>
      <c r="AR919" s="2372"/>
      <c r="AS919" s="2372"/>
      <c r="AT919" s="2372"/>
      <c r="AU919" s="2372"/>
      <c r="AV919" s="2372"/>
      <c r="AW919" s="2372"/>
      <c r="AX919" s="2372"/>
      <c r="AY919" s="2372"/>
      <c r="AZ919" s="2372"/>
      <c r="BA919" s="2372"/>
      <c r="BB919" s="2372"/>
      <c r="BC919" s="2372"/>
      <c r="BD919" s="2372"/>
      <c r="BE919" s="2372"/>
      <c r="BF919" s="2372"/>
      <c r="BG919" s="2372"/>
      <c r="BH919" s="2372"/>
      <c r="BI919" s="2372"/>
      <c r="BJ919" s="2372"/>
      <c r="BK919" s="2372"/>
      <c r="BL919" s="2372"/>
      <c r="BM919" s="2372"/>
      <c r="BN919" s="2372"/>
      <c r="BO919" s="2372"/>
      <c r="BP919" s="2372"/>
      <c r="BQ919" s="2372"/>
      <c r="BR919" s="2372"/>
      <c r="BS919" s="2372"/>
      <c r="BT919" s="2372"/>
      <c r="BU919" s="2372"/>
      <c r="BV919" s="2372"/>
      <c r="BW919" s="2372"/>
      <c r="BX919" s="2372"/>
      <c r="BY919" s="2372"/>
      <c r="BZ919" s="2372"/>
      <c r="CA919" s="2372"/>
      <c r="CB919" s="2372"/>
      <c r="CC919" s="2372"/>
      <c r="CD919" s="2372"/>
      <c r="CE919" s="2372"/>
      <c r="CF919" s="2372"/>
      <c r="CG919" s="2372"/>
      <c r="CH919" s="2372"/>
      <c r="CI919" s="2372"/>
      <c r="CJ919" s="2372"/>
      <c r="CK919" s="2372"/>
      <c r="CL919" s="2372"/>
      <c r="CM919" s="2372"/>
      <c r="CN919" s="2372"/>
      <c r="CO919" s="2372"/>
      <c r="CP919" s="2372"/>
      <c r="CQ919" s="2372"/>
      <c r="CR919" s="2372"/>
      <c r="CS919" s="2372"/>
      <c r="CT919" s="2372"/>
      <c r="CU919" s="2372"/>
      <c r="CV919" s="2372"/>
      <c r="CW919" s="2372"/>
      <c r="CX919" s="2372"/>
      <c r="CY919" s="2372"/>
      <c r="CZ919" s="2372"/>
      <c r="DA919" s="2372"/>
    </row>
    <row r="920" spans="1:105" ht="15" hidden="1" customHeight="1">
      <c r="A920" s="2372"/>
      <c r="B920" s="2372"/>
      <c r="C920" s="2372"/>
      <c r="D920" s="2372"/>
      <c r="E920" s="2372"/>
      <c r="F920" s="2372"/>
      <c r="G920" s="2372"/>
      <c r="H920" s="2372"/>
      <c r="I920" s="2372"/>
      <c r="J920" s="2372"/>
      <c r="K920" s="2372"/>
      <c r="L920" s="2372"/>
      <c r="M920" s="2372"/>
      <c r="N920" s="2372"/>
      <c r="O920" s="2372"/>
      <c r="P920" s="2372"/>
      <c r="Q920" s="2372"/>
      <c r="R920" s="2372"/>
      <c r="S920" s="2372"/>
      <c r="T920" s="2372"/>
      <c r="U920" s="2372"/>
      <c r="V920" s="2372"/>
      <c r="W920" s="2372"/>
      <c r="X920" s="2372"/>
      <c r="Y920" s="2372"/>
      <c r="Z920" s="2372"/>
      <c r="AA920" s="2372"/>
      <c r="AB920" s="2372"/>
      <c r="AC920" s="2372"/>
      <c r="AD920" s="2372"/>
      <c r="AE920" s="2372"/>
      <c r="AF920" s="2372"/>
      <c r="AG920" s="2372"/>
      <c r="AH920" s="2372"/>
      <c r="AI920" s="2372"/>
      <c r="AJ920" s="2372"/>
      <c r="AK920" s="2372"/>
      <c r="AL920" s="2372"/>
      <c r="AM920" s="2372"/>
      <c r="AN920" s="2372"/>
      <c r="AO920" s="2372"/>
      <c r="AP920" s="2372"/>
      <c r="AQ920" s="2372"/>
      <c r="AR920" s="2372"/>
      <c r="AS920" s="2372"/>
      <c r="AT920" s="2372"/>
      <c r="AU920" s="2372"/>
      <c r="AV920" s="2372"/>
      <c r="AW920" s="2372"/>
      <c r="AX920" s="2372"/>
      <c r="AY920" s="2372"/>
      <c r="AZ920" s="2372"/>
      <c r="BA920" s="2372"/>
      <c r="BB920" s="2372"/>
      <c r="BC920" s="2372"/>
      <c r="BD920" s="2372"/>
      <c r="BE920" s="2372"/>
      <c r="BF920" s="2372"/>
      <c r="BG920" s="2372"/>
      <c r="BH920" s="2372"/>
      <c r="BI920" s="2372"/>
      <c r="BJ920" s="2372"/>
      <c r="BK920" s="2372"/>
      <c r="BL920" s="2372"/>
      <c r="BM920" s="2372"/>
      <c r="BN920" s="2372"/>
      <c r="BO920" s="2372"/>
      <c r="BP920" s="2372"/>
      <c r="BQ920" s="2372"/>
      <c r="BR920" s="2372"/>
      <c r="BS920" s="2372"/>
      <c r="BT920" s="2372"/>
      <c r="BU920" s="2372"/>
      <c r="BV920" s="2372"/>
      <c r="BW920" s="2372"/>
      <c r="BX920" s="2372"/>
      <c r="BY920" s="2372"/>
      <c r="BZ920" s="2372"/>
      <c r="CA920" s="2372"/>
      <c r="CB920" s="2372"/>
      <c r="CC920" s="2372"/>
      <c r="CD920" s="2372"/>
      <c r="CE920" s="2372"/>
      <c r="CF920" s="2372"/>
      <c r="CG920" s="2372"/>
      <c r="CH920" s="2372"/>
      <c r="CI920" s="2372"/>
      <c r="CJ920" s="2372"/>
      <c r="CK920" s="2372"/>
      <c r="CL920" s="2372"/>
      <c r="CM920" s="2372"/>
      <c r="CN920" s="2372"/>
      <c r="CO920" s="2372"/>
      <c r="CP920" s="2372"/>
      <c r="CQ920" s="2372"/>
      <c r="CR920" s="2372"/>
      <c r="CS920" s="2372"/>
      <c r="CT920" s="2372"/>
      <c r="CU920" s="2372"/>
      <c r="CV920" s="2372"/>
      <c r="CW920" s="2372"/>
      <c r="CX920" s="2372"/>
      <c r="CY920" s="2372"/>
      <c r="CZ920" s="2372"/>
      <c r="DA920" s="2372"/>
    </row>
    <row r="921" spans="1:105" ht="15" hidden="1" customHeight="1">
      <c r="A921" s="2372"/>
      <c r="B921" s="2372"/>
      <c r="C921" s="2372"/>
      <c r="D921" s="2372"/>
      <c r="E921" s="2372"/>
      <c r="F921" s="2372"/>
      <c r="G921" s="2372"/>
      <c r="H921" s="2372"/>
      <c r="I921" s="2372"/>
      <c r="J921" s="2372"/>
      <c r="K921" s="2372"/>
      <c r="L921" s="2372"/>
      <c r="M921" s="2372"/>
      <c r="N921" s="2372"/>
      <c r="O921" s="2372"/>
      <c r="P921" s="2372"/>
      <c r="Q921" s="2372"/>
      <c r="R921" s="2372"/>
      <c r="S921" s="2372"/>
      <c r="T921" s="2372"/>
      <c r="U921" s="2372"/>
      <c r="V921" s="2372"/>
      <c r="W921" s="2372"/>
      <c r="X921" s="2372"/>
      <c r="Y921" s="2372"/>
      <c r="Z921" s="2372"/>
      <c r="AA921" s="2372"/>
      <c r="AB921" s="2372"/>
      <c r="AC921" s="2372"/>
      <c r="AD921" s="2372"/>
      <c r="AE921" s="2372"/>
      <c r="AF921" s="2372"/>
      <c r="AG921" s="2372"/>
      <c r="AH921" s="2372"/>
      <c r="AI921" s="2372"/>
      <c r="AJ921" s="2372"/>
      <c r="AK921" s="2372"/>
      <c r="AL921" s="2372"/>
      <c r="AM921" s="2372"/>
      <c r="AN921" s="2372"/>
      <c r="AO921" s="2372"/>
      <c r="AP921" s="2372"/>
      <c r="AQ921" s="2372"/>
      <c r="AR921" s="2372"/>
      <c r="AS921" s="2372"/>
      <c r="AT921" s="2372"/>
      <c r="AU921" s="2372"/>
      <c r="AV921" s="2372"/>
      <c r="AW921" s="2372"/>
      <c r="AX921" s="2372"/>
      <c r="AY921" s="2372"/>
      <c r="AZ921" s="2372"/>
      <c r="BA921" s="2372"/>
      <c r="BB921" s="2372"/>
      <c r="BC921" s="2372"/>
      <c r="BD921" s="2372"/>
      <c r="BE921" s="2372"/>
      <c r="BF921" s="2372"/>
      <c r="BG921" s="2372"/>
      <c r="BH921" s="2372"/>
      <c r="BI921" s="2372"/>
      <c r="BJ921" s="2372"/>
      <c r="BK921" s="2372"/>
      <c r="BL921" s="2372"/>
      <c r="BM921" s="2372"/>
      <c r="BN921" s="2372"/>
      <c r="BO921" s="2372"/>
      <c r="BP921" s="2372"/>
      <c r="BQ921" s="2372"/>
      <c r="BR921" s="2372"/>
      <c r="BS921" s="2372"/>
      <c r="BT921" s="2372"/>
      <c r="BU921" s="2372"/>
      <c r="BV921" s="2372"/>
      <c r="BW921" s="2372"/>
      <c r="BX921" s="2372"/>
      <c r="BY921" s="2372"/>
      <c r="BZ921" s="2372"/>
      <c r="CA921" s="2372"/>
      <c r="CB921" s="2372"/>
      <c r="CC921" s="2372"/>
      <c r="CD921" s="2372"/>
      <c r="CE921" s="2372"/>
      <c r="CF921" s="2372"/>
      <c r="CG921" s="2372"/>
      <c r="CH921" s="2372"/>
      <c r="CI921" s="2372"/>
      <c r="CJ921" s="2372"/>
      <c r="CK921" s="2372"/>
      <c r="CL921" s="2372"/>
      <c r="CM921" s="2372"/>
      <c r="CN921" s="2372"/>
      <c r="CO921" s="2372"/>
      <c r="CP921" s="2372"/>
      <c r="CQ921" s="2372"/>
      <c r="CR921" s="2372"/>
      <c r="CS921" s="2372"/>
      <c r="CT921" s="2372"/>
      <c r="CU921" s="2372"/>
      <c r="CV921" s="2372"/>
      <c r="CW921" s="2372"/>
      <c r="CX921" s="2372"/>
      <c r="CY921" s="2372"/>
      <c r="CZ921" s="2372"/>
      <c r="DA921" s="2372"/>
    </row>
    <row r="922" spans="1:105" ht="15" hidden="1" customHeight="1">
      <c r="A922" s="2372"/>
      <c r="B922" s="2372"/>
      <c r="C922" s="2372"/>
      <c r="D922" s="2372"/>
      <c r="E922" s="2372"/>
      <c r="F922" s="2372"/>
      <c r="G922" s="2372"/>
      <c r="H922" s="2372"/>
      <c r="I922" s="2372"/>
      <c r="J922" s="2372"/>
      <c r="K922" s="2372"/>
      <c r="L922" s="2372"/>
      <c r="M922" s="2372"/>
      <c r="N922" s="2372"/>
      <c r="O922" s="2372"/>
      <c r="P922" s="2372"/>
      <c r="Q922" s="2372"/>
      <c r="R922" s="2372"/>
      <c r="S922" s="2372"/>
      <c r="T922" s="2372"/>
      <c r="U922" s="2372"/>
      <c r="V922" s="2372"/>
      <c r="W922" s="2372"/>
      <c r="X922" s="2372"/>
      <c r="Y922" s="2372"/>
      <c r="Z922" s="2372"/>
      <c r="AA922" s="2372"/>
      <c r="AB922" s="2372"/>
      <c r="AC922" s="2372"/>
      <c r="AD922" s="2372"/>
      <c r="AE922" s="2372"/>
      <c r="AF922" s="2372"/>
      <c r="AG922" s="2372"/>
      <c r="AH922" s="2372"/>
      <c r="AI922" s="2372"/>
      <c r="AJ922" s="2372"/>
      <c r="AK922" s="2372"/>
      <c r="AL922" s="2372"/>
      <c r="AM922" s="2372"/>
      <c r="AN922" s="2372"/>
      <c r="AO922" s="2372"/>
      <c r="AP922" s="2372"/>
      <c r="AQ922" s="2372"/>
      <c r="AR922" s="2372"/>
      <c r="AS922" s="2372"/>
      <c r="AT922" s="2372"/>
      <c r="AU922" s="2372"/>
      <c r="AV922" s="2372"/>
      <c r="AW922" s="2372"/>
      <c r="AX922" s="2372"/>
      <c r="AY922" s="2372"/>
      <c r="AZ922" s="2372"/>
      <c r="BA922" s="2372"/>
      <c r="BB922" s="2372"/>
      <c r="BC922" s="2372"/>
      <c r="BD922" s="2372"/>
      <c r="BE922" s="2372"/>
      <c r="BF922" s="2372"/>
      <c r="BG922" s="2372"/>
      <c r="BH922" s="2372"/>
      <c r="BI922" s="2372"/>
      <c r="BJ922" s="2372"/>
      <c r="BK922" s="2372"/>
      <c r="BL922" s="2372"/>
      <c r="BM922" s="2372"/>
      <c r="BN922" s="2372"/>
      <c r="BO922" s="2372"/>
      <c r="BP922" s="2372"/>
      <c r="BQ922" s="2372"/>
      <c r="BR922" s="2372"/>
      <c r="BS922" s="2372"/>
      <c r="BT922" s="2372"/>
      <c r="BU922" s="2372"/>
      <c r="BV922" s="2372"/>
      <c r="BW922" s="2372"/>
      <c r="BX922" s="2372"/>
      <c r="BY922" s="2372"/>
      <c r="BZ922" s="2372"/>
      <c r="CA922" s="2372"/>
      <c r="CB922" s="2372"/>
      <c r="CC922" s="2372"/>
      <c r="CD922" s="2372"/>
      <c r="CE922" s="2372"/>
      <c r="CF922" s="2372"/>
      <c r="CG922" s="2372"/>
      <c r="CH922" s="2372"/>
      <c r="CI922" s="2372"/>
      <c r="CJ922" s="2372"/>
      <c r="CK922" s="2372"/>
      <c r="CL922" s="2372"/>
      <c r="CM922" s="2372"/>
      <c r="CN922" s="2372"/>
      <c r="CO922" s="2372"/>
      <c r="CP922" s="2372"/>
      <c r="CQ922" s="2372"/>
      <c r="CR922" s="2372"/>
      <c r="CS922" s="2372"/>
      <c r="CT922" s="2372"/>
      <c r="CU922" s="2372"/>
      <c r="CV922" s="2372"/>
      <c r="CW922" s="2372"/>
      <c r="CX922" s="2372"/>
      <c r="CY922" s="2372"/>
      <c r="CZ922" s="2372"/>
      <c r="DA922" s="2372"/>
    </row>
    <row r="923" spans="1:105" ht="15" hidden="1" customHeight="1">
      <c r="A923" s="2372"/>
      <c r="B923" s="2372"/>
      <c r="C923" s="2372"/>
      <c r="D923" s="2372"/>
      <c r="E923" s="2372"/>
      <c r="F923" s="2372"/>
      <c r="G923" s="2372"/>
      <c r="H923" s="2372"/>
      <c r="I923" s="2372"/>
      <c r="J923" s="2372"/>
      <c r="K923" s="2372"/>
      <c r="L923" s="2372"/>
      <c r="M923" s="2372"/>
      <c r="N923" s="2372"/>
      <c r="O923" s="2372"/>
      <c r="P923" s="2372"/>
      <c r="Q923" s="2372"/>
      <c r="R923" s="2372"/>
      <c r="S923" s="2372"/>
      <c r="T923" s="2372"/>
      <c r="U923" s="2372"/>
      <c r="V923" s="2372"/>
      <c r="W923" s="2372"/>
      <c r="X923" s="2372"/>
      <c r="Y923" s="2372"/>
      <c r="Z923" s="2372"/>
      <c r="AA923" s="2372"/>
      <c r="AB923" s="2372"/>
      <c r="AC923" s="2372"/>
      <c r="AD923" s="2372"/>
      <c r="AE923" s="2372"/>
      <c r="AF923" s="2372"/>
      <c r="AG923" s="2372"/>
      <c r="AH923" s="2372"/>
      <c r="AI923" s="2372"/>
      <c r="AJ923" s="2372"/>
      <c r="AK923" s="2372"/>
      <c r="AL923" s="2372"/>
      <c r="AM923" s="2372"/>
      <c r="AN923" s="2372"/>
      <c r="AO923" s="2372"/>
      <c r="AP923" s="2372"/>
      <c r="AQ923" s="2372"/>
      <c r="AR923" s="2372"/>
      <c r="AS923" s="2372"/>
      <c r="AT923" s="2372"/>
      <c r="AU923" s="2372"/>
      <c r="AV923" s="2372"/>
      <c r="AW923" s="2372"/>
      <c r="AX923" s="2372"/>
      <c r="AY923" s="2372"/>
      <c r="AZ923" s="2372"/>
      <c r="BA923" s="2372"/>
      <c r="BB923" s="2372"/>
      <c r="BC923" s="2372"/>
      <c r="BD923" s="2372"/>
      <c r="BE923" s="2372"/>
      <c r="BF923" s="2372"/>
      <c r="BG923" s="2372"/>
      <c r="BH923" s="2372"/>
      <c r="BI923" s="2372"/>
      <c r="BJ923" s="2372"/>
      <c r="BK923" s="2372"/>
      <c r="BL923" s="2372"/>
      <c r="BM923" s="2372"/>
      <c r="BN923" s="2372"/>
      <c r="BO923" s="2372"/>
      <c r="BP923" s="2372"/>
      <c r="BQ923" s="2372"/>
      <c r="BR923" s="2372"/>
      <c r="BS923" s="2372"/>
      <c r="BT923" s="2372"/>
      <c r="BU923" s="2372"/>
      <c r="BV923" s="2372"/>
      <c r="BW923" s="2372"/>
      <c r="BX923" s="2372"/>
      <c r="BY923" s="2372"/>
      <c r="BZ923" s="2372"/>
      <c r="CA923" s="2372"/>
      <c r="CB923" s="2372"/>
      <c r="CC923" s="2372"/>
      <c r="CD923" s="2372"/>
      <c r="CE923" s="2372"/>
      <c r="CF923" s="2372"/>
      <c r="CG923" s="2372"/>
      <c r="CH923" s="2372"/>
      <c r="CI923" s="2372"/>
      <c r="CJ923" s="2372"/>
      <c r="CK923" s="2372"/>
      <c r="CL923" s="2372"/>
      <c r="CM923" s="2372"/>
      <c r="CN923" s="2372"/>
      <c r="CO923" s="2372"/>
      <c r="CP923" s="2372"/>
      <c r="CQ923" s="2372"/>
      <c r="CR923" s="2372"/>
      <c r="CS923" s="2372"/>
      <c r="CT923" s="2372"/>
      <c r="CU923" s="2372"/>
      <c r="CV923" s="2372"/>
      <c r="CW923" s="2372"/>
      <c r="CX923" s="2372"/>
      <c r="CY923" s="2372"/>
      <c r="CZ923" s="2372"/>
      <c r="DA923" s="2372"/>
    </row>
    <row r="924" spans="1:105" ht="15" hidden="1" customHeight="1">
      <c r="A924" s="2372"/>
      <c r="B924" s="2372"/>
      <c r="C924" s="2372"/>
      <c r="D924" s="2372"/>
      <c r="E924" s="2372"/>
      <c r="F924" s="2372"/>
      <c r="G924" s="2372"/>
      <c r="H924" s="2372"/>
      <c r="I924" s="2372"/>
      <c r="J924" s="2372"/>
      <c r="K924" s="2372"/>
      <c r="L924" s="2372"/>
      <c r="M924" s="2372"/>
      <c r="N924" s="2372"/>
      <c r="O924" s="2372"/>
      <c r="P924" s="2372"/>
      <c r="Q924" s="2372"/>
      <c r="R924" s="2372"/>
      <c r="S924" s="2372"/>
      <c r="T924" s="2372"/>
      <c r="U924" s="2372"/>
      <c r="V924" s="2372"/>
      <c r="W924" s="2372"/>
      <c r="X924" s="2372"/>
      <c r="Y924" s="2372"/>
      <c r="Z924" s="2372"/>
      <c r="AA924" s="2372"/>
      <c r="AB924" s="2372"/>
      <c r="AC924" s="2372"/>
      <c r="AD924" s="2372"/>
      <c r="AE924" s="2372"/>
      <c r="AF924" s="2372"/>
      <c r="AG924" s="2372"/>
      <c r="AH924" s="2372"/>
      <c r="AI924" s="2372"/>
      <c r="AJ924" s="2372"/>
      <c r="AK924" s="2372"/>
      <c r="AL924" s="2372"/>
      <c r="AM924" s="2372"/>
      <c r="AN924" s="2372"/>
      <c r="AO924" s="2372"/>
      <c r="AP924" s="2372"/>
      <c r="AQ924" s="2372"/>
      <c r="AR924" s="2372"/>
      <c r="AS924" s="2372"/>
      <c r="AT924" s="2372"/>
      <c r="AU924" s="2372"/>
      <c r="AV924" s="2372"/>
      <c r="AW924" s="2372"/>
      <c r="AX924" s="2372"/>
      <c r="AY924" s="2372"/>
      <c r="AZ924" s="2372"/>
      <c r="BA924" s="2372"/>
      <c r="BB924" s="2372"/>
      <c r="BC924" s="2372"/>
      <c r="BD924" s="2372"/>
      <c r="BE924" s="2372"/>
      <c r="BF924" s="2372"/>
      <c r="BG924" s="2372"/>
      <c r="BH924" s="2372"/>
      <c r="BI924" s="2372"/>
      <c r="BJ924" s="2372"/>
      <c r="BK924" s="2372"/>
      <c r="BL924" s="2372"/>
      <c r="BM924" s="2372"/>
      <c r="BN924" s="2372"/>
      <c r="BO924" s="2372"/>
      <c r="BP924" s="2372"/>
      <c r="BQ924" s="2372"/>
      <c r="BR924" s="2372"/>
      <c r="BS924" s="2372"/>
      <c r="BT924" s="2372"/>
      <c r="BU924" s="2372"/>
      <c r="BV924" s="2372"/>
      <c r="BW924" s="2372"/>
      <c r="BX924" s="2372"/>
      <c r="BY924" s="2372"/>
      <c r="BZ924" s="2372"/>
      <c r="CA924" s="2372"/>
      <c r="CB924" s="2372"/>
      <c r="CC924" s="2372"/>
      <c r="CD924" s="2372"/>
      <c r="CE924" s="2372"/>
      <c r="CF924" s="2372"/>
      <c r="CG924" s="2372"/>
      <c r="CH924" s="2372"/>
      <c r="CI924" s="2372"/>
      <c r="CJ924" s="2372"/>
      <c r="CK924" s="2372"/>
      <c r="CL924" s="2372"/>
      <c r="CM924" s="2372"/>
      <c r="CN924" s="2372"/>
      <c r="CO924" s="2372"/>
      <c r="CP924" s="2372"/>
      <c r="CQ924" s="2372"/>
      <c r="CR924" s="2372"/>
      <c r="CS924" s="2372"/>
      <c r="CT924" s="2372"/>
      <c r="CU924" s="2372"/>
      <c r="CV924" s="2372"/>
      <c r="CW924" s="2372"/>
      <c r="CX924" s="2372"/>
      <c r="CY924" s="2372"/>
      <c r="CZ924" s="2372"/>
      <c r="DA924" s="2372"/>
    </row>
    <row r="925" spans="1:105" ht="15" hidden="1" customHeight="1">
      <c r="A925" s="2372"/>
      <c r="B925" s="2372"/>
      <c r="C925" s="2372"/>
      <c r="D925" s="2372"/>
      <c r="E925" s="2372"/>
      <c r="F925" s="2372"/>
      <c r="G925" s="2372"/>
      <c r="H925" s="2372"/>
      <c r="I925" s="2372"/>
      <c r="J925" s="2372"/>
      <c r="K925" s="2372"/>
      <c r="L925" s="2372"/>
      <c r="M925" s="2372"/>
      <c r="N925" s="2372"/>
      <c r="O925" s="2372"/>
      <c r="P925" s="2372"/>
      <c r="Q925" s="2372"/>
      <c r="R925" s="2372"/>
      <c r="S925" s="2372"/>
      <c r="T925" s="2372"/>
      <c r="U925" s="2372"/>
      <c r="V925" s="2372"/>
      <c r="W925" s="2372"/>
      <c r="X925" s="2372"/>
      <c r="Y925" s="2372"/>
      <c r="Z925" s="2372"/>
      <c r="AA925" s="2372"/>
      <c r="AB925" s="2372"/>
      <c r="AC925" s="2372"/>
      <c r="AD925" s="2372"/>
      <c r="AE925" s="2372"/>
      <c r="AF925" s="2372"/>
      <c r="AG925" s="2372"/>
      <c r="AH925" s="2372"/>
      <c r="AI925" s="2372"/>
      <c r="AJ925" s="2372"/>
      <c r="AK925" s="2372"/>
      <c r="AL925" s="2372"/>
      <c r="AM925" s="2372"/>
      <c r="AN925" s="2372"/>
      <c r="AO925" s="2372"/>
      <c r="AP925" s="2372"/>
      <c r="AQ925" s="2372"/>
      <c r="AR925" s="2372"/>
      <c r="AS925" s="2372"/>
      <c r="AT925" s="2372"/>
      <c r="AU925" s="2372"/>
      <c r="AV925" s="2372"/>
      <c r="AW925" s="2372"/>
      <c r="AX925" s="2372"/>
      <c r="AY925" s="2372"/>
      <c r="AZ925" s="2372"/>
      <c r="BA925" s="2372"/>
      <c r="BB925" s="2372"/>
      <c r="BC925" s="2372"/>
      <c r="BD925" s="2372"/>
      <c r="BE925" s="2372"/>
      <c r="BF925" s="2372"/>
      <c r="BG925" s="2372"/>
      <c r="BH925" s="2372"/>
      <c r="BI925" s="2372"/>
      <c r="BJ925" s="2372"/>
      <c r="BK925" s="2372"/>
      <c r="BL925" s="2372"/>
      <c r="BM925" s="2372"/>
      <c r="BN925" s="2372"/>
      <c r="BO925" s="2372"/>
      <c r="BP925" s="2372"/>
      <c r="BQ925" s="2372"/>
      <c r="BR925" s="2372"/>
      <c r="BS925" s="2372"/>
      <c r="BT925" s="2372"/>
      <c r="BU925" s="2372"/>
      <c r="BV925" s="2372"/>
      <c r="BW925" s="2372"/>
      <c r="BX925" s="2372"/>
      <c r="BY925" s="2372"/>
      <c r="BZ925" s="2372"/>
      <c r="CA925" s="2372"/>
      <c r="CB925" s="2372"/>
      <c r="CC925" s="2372"/>
      <c r="CD925" s="2372"/>
      <c r="CE925" s="2372"/>
      <c r="CF925" s="2372"/>
      <c r="CG925" s="2372"/>
      <c r="CH925" s="2372"/>
      <c r="CI925" s="2372"/>
      <c r="CJ925" s="2372"/>
      <c r="CK925" s="2372"/>
      <c r="CL925" s="2372"/>
      <c r="CM925" s="2372"/>
      <c r="CN925" s="2372"/>
      <c r="CO925" s="2372"/>
      <c r="CP925" s="2372"/>
      <c r="CQ925" s="2372"/>
      <c r="CR925" s="2372"/>
      <c r="CS925" s="2372"/>
      <c r="CT925" s="2372"/>
      <c r="CU925" s="2372"/>
      <c r="CV925" s="2372"/>
      <c r="CW925" s="2372"/>
      <c r="CX925" s="2372"/>
      <c r="CY925" s="2372"/>
      <c r="CZ925" s="2372"/>
      <c r="DA925" s="2372"/>
    </row>
    <row r="926" spans="1:105" ht="15" hidden="1" customHeight="1">
      <c r="A926" s="2372"/>
      <c r="B926" s="2372"/>
      <c r="C926" s="2372"/>
      <c r="D926" s="2372"/>
      <c r="E926" s="2372"/>
      <c r="F926" s="2372"/>
      <c r="G926" s="2372"/>
      <c r="H926" s="2372"/>
      <c r="I926" s="2372"/>
      <c r="J926" s="2372"/>
      <c r="K926" s="2372"/>
      <c r="L926" s="2372"/>
      <c r="M926" s="2372"/>
      <c r="N926" s="2372"/>
      <c r="O926" s="2372"/>
      <c r="P926" s="2372"/>
      <c r="Q926" s="2372"/>
      <c r="R926" s="2372"/>
      <c r="S926" s="2372"/>
      <c r="T926" s="2372"/>
      <c r="U926" s="2372"/>
      <c r="V926" s="2372"/>
      <c r="W926" s="2372"/>
      <c r="X926" s="2372"/>
      <c r="Y926" s="2372"/>
      <c r="Z926" s="2372"/>
      <c r="AA926" s="2372"/>
      <c r="AB926" s="2372"/>
      <c r="AC926" s="2372"/>
      <c r="AD926" s="2372"/>
      <c r="AE926" s="2372"/>
      <c r="AF926" s="2372"/>
      <c r="AG926" s="2372"/>
      <c r="AH926" s="2372"/>
      <c r="AI926" s="2372"/>
      <c r="AJ926" s="2372"/>
      <c r="AK926" s="2372"/>
      <c r="AL926" s="2372"/>
      <c r="AM926" s="2372"/>
      <c r="AN926" s="2372"/>
      <c r="AO926" s="2372"/>
      <c r="AP926" s="2372"/>
      <c r="AQ926" s="2372"/>
      <c r="AR926" s="2372"/>
      <c r="AS926" s="2372"/>
      <c r="AT926" s="2372"/>
      <c r="AU926" s="2372"/>
      <c r="AV926" s="2372"/>
      <c r="AW926" s="2372"/>
      <c r="AX926" s="2372"/>
      <c r="AY926" s="2372"/>
      <c r="AZ926" s="2372"/>
      <c r="BA926" s="2372"/>
      <c r="BB926" s="2372"/>
      <c r="BC926" s="2372"/>
      <c r="BD926" s="2372"/>
      <c r="BE926" s="2372"/>
      <c r="BF926" s="2372"/>
      <c r="BG926" s="2372"/>
      <c r="BH926" s="2372"/>
      <c r="BI926" s="2372"/>
      <c r="BJ926" s="2372"/>
      <c r="BK926" s="2372"/>
      <c r="BL926" s="2372"/>
      <c r="BM926" s="2372"/>
      <c r="BN926" s="2372"/>
      <c r="BO926" s="2372"/>
      <c r="BP926" s="2372"/>
      <c r="BQ926" s="2372"/>
      <c r="BR926" s="2372"/>
      <c r="BS926" s="2372"/>
      <c r="BT926" s="2372"/>
      <c r="BU926" s="2372"/>
      <c r="BV926" s="2372"/>
      <c r="BW926" s="2372"/>
      <c r="BX926" s="2372"/>
      <c r="BY926" s="2372"/>
      <c r="BZ926" s="2372"/>
      <c r="CA926" s="2372"/>
      <c r="CB926" s="2372"/>
      <c r="CC926" s="2372"/>
      <c r="CD926" s="2372"/>
      <c r="CE926" s="2372"/>
      <c r="CF926" s="2372"/>
      <c r="CG926" s="2372"/>
      <c r="CH926" s="2372"/>
      <c r="CI926" s="2372"/>
      <c r="CJ926" s="2372"/>
      <c r="CK926" s="2372"/>
      <c r="CL926" s="2372"/>
      <c r="CM926" s="2372"/>
      <c r="CN926" s="2372"/>
      <c r="CO926" s="2372"/>
      <c r="CP926" s="2372"/>
      <c r="CQ926" s="2372"/>
      <c r="CR926" s="2372"/>
      <c r="CS926" s="2372"/>
      <c r="CT926" s="2372"/>
      <c r="CU926" s="2372"/>
      <c r="CV926" s="2372"/>
      <c r="CW926" s="2372"/>
      <c r="CX926" s="2372"/>
      <c r="CY926" s="2372"/>
      <c r="CZ926" s="2372"/>
      <c r="DA926" s="2372"/>
    </row>
    <row r="927" spans="1:105" ht="15" hidden="1" customHeight="1">
      <c r="A927" s="2372"/>
      <c r="B927" s="2372"/>
      <c r="C927" s="2372"/>
      <c r="D927" s="2372"/>
      <c r="E927" s="2372"/>
      <c r="F927" s="2372"/>
      <c r="G927" s="2372"/>
      <c r="H927" s="2372"/>
      <c r="I927" s="2372"/>
      <c r="J927" s="2372"/>
      <c r="K927" s="2372"/>
      <c r="L927" s="2372"/>
      <c r="M927" s="2372"/>
      <c r="N927" s="2372"/>
      <c r="O927" s="2372"/>
      <c r="P927" s="2372"/>
      <c r="Q927" s="2372"/>
      <c r="R927" s="2372"/>
      <c r="S927" s="2372"/>
      <c r="T927" s="2372"/>
      <c r="U927" s="2372"/>
      <c r="V927" s="2372"/>
      <c r="W927" s="2372"/>
      <c r="X927" s="2372"/>
      <c r="Y927" s="2372"/>
      <c r="Z927" s="2372"/>
      <c r="AA927" s="2372"/>
      <c r="AB927" s="2372"/>
      <c r="AC927" s="2372"/>
      <c r="AD927" s="2372"/>
      <c r="AE927" s="2372"/>
      <c r="AF927" s="2372"/>
      <c r="AG927" s="2372"/>
      <c r="AH927" s="2372"/>
      <c r="AI927" s="2372"/>
      <c r="AJ927" s="2372"/>
      <c r="AK927" s="2372"/>
      <c r="AL927" s="2372"/>
      <c r="AM927" s="2372"/>
      <c r="AN927" s="2372"/>
      <c r="AO927" s="2372"/>
      <c r="AP927" s="2372"/>
      <c r="AQ927" s="2372"/>
      <c r="AR927" s="2372"/>
      <c r="AS927" s="2372"/>
      <c r="AT927" s="2372"/>
      <c r="AU927" s="2372"/>
      <c r="AV927" s="2372"/>
      <c r="AW927" s="2372"/>
      <c r="AX927" s="2372"/>
      <c r="AY927" s="2372"/>
      <c r="AZ927" s="2372"/>
      <c r="BA927" s="2372"/>
      <c r="BB927" s="2372"/>
      <c r="BC927" s="2372"/>
      <c r="BD927" s="2372"/>
      <c r="BE927" s="2372"/>
      <c r="BF927" s="2372"/>
      <c r="BG927" s="2372"/>
      <c r="BH927" s="2372"/>
      <c r="BI927" s="2372"/>
      <c r="BJ927" s="2372"/>
      <c r="BK927" s="2372"/>
      <c r="BL927" s="2372"/>
      <c r="BM927" s="2372"/>
      <c r="BN927" s="2372"/>
      <c r="BO927" s="2372"/>
      <c r="BP927" s="2372"/>
      <c r="BQ927" s="2372"/>
      <c r="BR927" s="2372"/>
      <c r="BS927" s="2372"/>
      <c r="BT927" s="2372"/>
      <c r="BU927" s="2372"/>
      <c r="BV927" s="2372"/>
      <c r="BW927" s="2372"/>
      <c r="BX927" s="2372"/>
      <c r="BY927" s="2372"/>
      <c r="BZ927" s="2372"/>
      <c r="CA927" s="2372"/>
      <c r="CB927" s="2372"/>
      <c r="CC927" s="2372"/>
      <c r="CD927" s="2372"/>
      <c r="CE927" s="2372"/>
      <c r="CF927" s="2372"/>
      <c r="CG927" s="2372"/>
      <c r="CH927" s="2372"/>
      <c r="CI927" s="2372"/>
      <c r="CJ927" s="2372"/>
      <c r="CK927" s="2372"/>
      <c r="CL927" s="2372"/>
      <c r="CM927" s="2372"/>
      <c r="CN927" s="2372"/>
      <c r="CO927" s="2372"/>
      <c r="CP927" s="2372"/>
      <c r="CQ927" s="2372"/>
      <c r="CR927" s="2372"/>
      <c r="CS927" s="2372"/>
      <c r="CT927" s="2372"/>
      <c r="CU927" s="2372"/>
      <c r="CV927" s="2372"/>
      <c r="CW927" s="2372"/>
      <c r="CX927" s="2372"/>
      <c r="CY927" s="2372"/>
      <c r="CZ927" s="2372"/>
      <c r="DA927" s="2372"/>
    </row>
    <row r="928" spans="1:105" ht="15" hidden="1" customHeight="1">
      <c r="A928" s="2372"/>
      <c r="B928" s="2372"/>
      <c r="C928" s="2372"/>
      <c r="D928" s="2372"/>
      <c r="E928" s="2372"/>
      <c r="F928" s="2372"/>
      <c r="G928" s="2372"/>
      <c r="H928" s="2372"/>
      <c r="I928" s="2372"/>
      <c r="J928" s="2372"/>
      <c r="K928" s="2372"/>
      <c r="L928" s="2372"/>
      <c r="M928" s="2372"/>
      <c r="N928" s="2372"/>
      <c r="O928" s="2372"/>
      <c r="P928" s="2372"/>
      <c r="Q928" s="2372"/>
      <c r="R928" s="2372"/>
      <c r="S928" s="2372"/>
      <c r="T928" s="2372"/>
      <c r="U928" s="2372"/>
      <c r="V928" s="2372"/>
      <c r="W928" s="2372"/>
      <c r="X928" s="2372"/>
      <c r="Y928" s="2372"/>
      <c r="Z928" s="2372"/>
      <c r="AA928" s="2372"/>
      <c r="AB928" s="2372"/>
      <c r="AC928" s="2372"/>
      <c r="AD928" s="2372"/>
      <c r="AE928" s="2372"/>
      <c r="AF928" s="2372"/>
      <c r="AG928" s="2372"/>
      <c r="AH928" s="2372"/>
      <c r="AI928" s="2372"/>
      <c r="AJ928" s="2372"/>
      <c r="AK928" s="2372"/>
      <c r="AL928" s="2372"/>
      <c r="AM928" s="2372"/>
      <c r="AN928" s="2372"/>
      <c r="AO928" s="2372"/>
      <c r="AP928" s="2372"/>
      <c r="AQ928" s="2372"/>
      <c r="AR928" s="2372"/>
      <c r="AS928" s="2372"/>
      <c r="AT928" s="2372"/>
      <c r="AU928" s="2372"/>
      <c r="AV928" s="2372"/>
      <c r="AW928" s="2372"/>
      <c r="AX928" s="2372"/>
      <c r="AY928" s="2372"/>
      <c r="AZ928" s="2372"/>
      <c r="BA928" s="2372"/>
      <c r="BB928" s="2372"/>
      <c r="BC928" s="2372"/>
      <c r="BD928" s="2372"/>
      <c r="BE928" s="2372"/>
      <c r="BF928" s="2372"/>
      <c r="BG928" s="2372"/>
      <c r="BH928" s="2372"/>
      <c r="BI928" s="2372"/>
      <c r="BJ928" s="2372"/>
      <c r="BK928" s="2372"/>
      <c r="BL928" s="2372"/>
      <c r="BM928" s="2372"/>
      <c r="BN928" s="2372"/>
      <c r="BO928" s="2372"/>
      <c r="BP928" s="2372"/>
      <c r="BQ928" s="2372"/>
      <c r="BR928" s="2372"/>
      <c r="BS928" s="2372"/>
      <c r="BT928" s="2372"/>
      <c r="BU928" s="2372"/>
      <c r="BV928" s="2372"/>
      <c r="BW928" s="2372"/>
      <c r="BX928" s="2372"/>
      <c r="BY928" s="2372"/>
      <c r="BZ928" s="2372"/>
      <c r="CA928" s="2372"/>
      <c r="CB928" s="2372"/>
      <c r="CC928" s="2372"/>
      <c r="CD928" s="2372"/>
      <c r="CE928" s="2372"/>
      <c r="CF928" s="2372"/>
      <c r="CG928" s="2372"/>
      <c r="CH928" s="2372"/>
      <c r="CI928" s="2372"/>
      <c r="CJ928" s="2372"/>
      <c r="CK928" s="2372"/>
      <c r="CL928" s="2372"/>
      <c r="CM928" s="2372"/>
      <c r="CN928" s="2372"/>
      <c r="CO928" s="2372"/>
      <c r="CP928" s="2372"/>
      <c r="CQ928" s="2372"/>
      <c r="CR928" s="2372"/>
      <c r="CS928" s="2372"/>
      <c r="CT928" s="2372"/>
      <c r="CU928" s="2372"/>
      <c r="CV928" s="2372"/>
      <c r="CW928" s="2372"/>
      <c r="CX928" s="2372"/>
      <c r="CY928" s="2372"/>
      <c r="CZ928" s="2372"/>
      <c r="DA928" s="2372"/>
    </row>
    <row r="929" spans="1:105" ht="15" hidden="1" customHeight="1">
      <c r="A929" s="2372"/>
      <c r="B929" s="2372"/>
      <c r="C929" s="2372"/>
      <c r="D929" s="2372"/>
      <c r="E929" s="2372"/>
      <c r="F929" s="2372"/>
      <c r="G929" s="2372"/>
      <c r="H929" s="2372"/>
      <c r="I929" s="2372"/>
      <c r="J929" s="2372"/>
      <c r="K929" s="2372"/>
      <c r="L929" s="2372"/>
      <c r="M929" s="2372"/>
      <c r="N929" s="2372"/>
      <c r="O929" s="2372"/>
      <c r="P929" s="2372"/>
      <c r="Q929" s="2372"/>
      <c r="R929" s="2372"/>
      <c r="S929" s="2372"/>
      <c r="T929" s="2372"/>
      <c r="U929" s="2372"/>
      <c r="V929" s="2372"/>
      <c r="W929" s="2372"/>
      <c r="X929" s="2372"/>
      <c r="Y929" s="2372"/>
      <c r="Z929" s="2372"/>
      <c r="AA929" s="2372"/>
      <c r="AB929" s="2372"/>
      <c r="AC929" s="2372"/>
      <c r="AD929" s="2372"/>
      <c r="AE929" s="2372"/>
      <c r="AF929" s="2372"/>
      <c r="AG929" s="2372"/>
      <c r="AH929" s="2372"/>
      <c r="AI929" s="2372"/>
      <c r="AJ929" s="2372"/>
      <c r="AK929" s="2372"/>
      <c r="AL929" s="2372"/>
      <c r="AM929" s="2372"/>
      <c r="AN929" s="2372"/>
      <c r="AO929" s="2372"/>
      <c r="AP929" s="2372"/>
      <c r="AQ929" s="2372"/>
      <c r="AR929" s="2372"/>
      <c r="AS929" s="2372"/>
      <c r="AT929" s="2372"/>
      <c r="AU929" s="2372"/>
      <c r="AV929" s="2372"/>
      <c r="AW929" s="2372"/>
      <c r="AX929" s="2372"/>
      <c r="AY929" s="2372"/>
      <c r="AZ929" s="2372"/>
      <c r="BA929" s="2372"/>
      <c r="BB929" s="2372"/>
      <c r="BC929" s="2372"/>
      <c r="BD929" s="2372"/>
      <c r="BE929" s="2372"/>
      <c r="BF929" s="2372"/>
      <c r="BG929" s="2372"/>
      <c r="BH929" s="2372"/>
      <c r="BI929" s="2372"/>
      <c r="BJ929" s="2372"/>
      <c r="BK929" s="2372"/>
      <c r="BL929" s="2372"/>
      <c r="BM929" s="2372"/>
      <c r="BN929" s="2372"/>
      <c r="BO929" s="2372"/>
      <c r="BP929" s="2372"/>
      <c r="BQ929" s="2372"/>
      <c r="BR929" s="2372"/>
      <c r="BS929" s="2372"/>
      <c r="BT929" s="2372"/>
      <c r="BU929" s="2372"/>
      <c r="BV929" s="2372"/>
      <c r="BW929" s="2372"/>
      <c r="BX929" s="2372"/>
      <c r="BY929" s="2372"/>
      <c r="BZ929" s="2372"/>
      <c r="CA929" s="2372"/>
      <c r="CB929" s="2372"/>
      <c r="CC929" s="2372"/>
      <c r="CD929" s="2372"/>
      <c r="CE929" s="2372"/>
      <c r="CF929" s="2372"/>
      <c r="CG929" s="2372"/>
      <c r="CH929" s="2372"/>
      <c r="CI929" s="2372"/>
      <c r="CJ929" s="2372"/>
      <c r="CK929" s="2372"/>
      <c r="CL929" s="2372"/>
      <c r="CM929" s="2372"/>
      <c r="CN929" s="2372"/>
      <c r="CO929" s="2372"/>
      <c r="CP929" s="2372"/>
      <c r="CQ929" s="2372"/>
      <c r="CR929" s="2372"/>
      <c r="CS929" s="2372"/>
      <c r="CT929" s="2372"/>
      <c r="CU929" s="2372"/>
      <c r="CV929" s="2372"/>
      <c r="CW929" s="2372"/>
      <c r="CX929" s="2372"/>
      <c r="CY929" s="2372"/>
      <c r="CZ929" s="2372"/>
      <c r="DA929" s="2372"/>
    </row>
    <row r="930" spans="1:105" ht="15" hidden="1" customHeight="1">
      <c r="A930" s="2372"/>
      <c r="B930" s="2372"/>
      <c r="C930" s="2372"/>
      <c r="D930" s="2372"/>
      <c r="E930" s="2372"/>
      <c r="F930" s="2372"/>
      <c r="G930" s="2372"/>
      <c r="H930" s="2372"/>
      <c r="I930" s="2372"/>
      <c r="J930" s="2372"/>
      <c r="K930" s="2372"/>
      <c r="L930" s="2372"/>
      <c r="M930" s="2372"/>
      <c r="N930" s="2372"/>
      <c r="O930" s="2372"/>
      <c r="P930" s="2372"/>
      <c r="Q930" s="2372"/>
      <c r="R930" s="2372"/>
      <c r="S930" s="2372"/>
      <c r="T930" s="2372"/>
      <c r="U930" s="2372"/>
      <c r="V930" s="2372"/>
      <c r="W930" s="2372"/>
      <c r="X930" s="2372"/>
      <c r="Y930" s="2372"/>
      <c r="Z930" s="2372"/>
      <c r="AA930" s="2372"/>
      <c r="AB930" s="2372"/>
      <c r="AC930" s="2372"/>
      <c r="AD930" s="2372"/>
      <c r="AE930" s="2372"/>
      <c r="AF930" s="2372"/>
      <c r="AG930" s="2372"/>
      <c r="AH930" s="2372"/>
      <c r="AI930" s="2372"/>
      <c r="AJ930" s="2372"/>
      <c r="AK930" s="2372"/>
      <c r="AL930" s="2372"/>
      <c r="AM930" s="2372"/>
      <c r="AN930" s="2372"/>
      <c r="AO930" s="2372"/>
      <c r="AP930" s="2372"/>
      <c r="AQ930" s="2372"/>
      <c r="AR930" s="2372"/>
      <c r="AS930" s="2372"/>
      <c r="AT930" s="2372"/>
      <c r="AU930" s="2372"/>
      <c r="AV930" s="2372"/>
      <c r="AW930" s="2372"/>
      <c r="AX930" s="2372"/>
      <c r="AY930" s="2372"/>
      <c r="AZ930" s="2372"/>
      <c r="BA930" s="2372"/>
      <c r="BB930" s="2372"/>
      <c r="BC930" s="2372"/>
      <c r="BD930" s="2372"/>
      <c r="BE930" s="2372"/>
      <c r="BF930" s="2372"/>
      <c r="BG930" s="2372"/>
      <c r="BH930" s="2372"/>
      <c r="BI930" s="2372"/>
      <c r="BJ930" s="2372"/>
      <c r="BK930" s="2372"/>
      <c r="BL930" s="2372"/>
      <c r="BM930" s="2372"/>
      <c r="BN930" s="2372"/>
      <c r="BO930" s="2372"/>
      <c r="BP930" s="2372"/>
      <c r="BQ930" s="2372"/>
      <c r="BR930" s="2372"/>
      <c r="BS930" s="2372"/>
      <c r="BT930" s="2372"/>
      <c r="BU930" s="2372"/>
      <c r="BV930" s="2372"/>
      <c r="BW930" s="2372"/>
      <c r="BX930" s="2372"/>
      <c r="BY930" s="2372"/>
      <c r="BZ930" s="2372"/>
      <c r="CA930" s="2372"/>
      <c r="CB930" s="2372"/>
      <c r="CC930" s="2372"/>
      <c r="CD930" s="2372"/>
      <c r="CE930" s="2372"/>
      <c r="CF930" s="2372"/>
      <c r="CG930" s="2372"/>
      <c r="CH930" s="2372"/>
      <c r="CI930" s="2372"/>
      <c r="CJ930" s="2372"/>
      <c r="CK930" s="2372"/>
      <c r="CL930" s="2372"/>
      <c r="CM930" s="2372"/>
      <c r="CN930" s="2372"/>
      <c r="CO930" s="2372"/>
      <c r="CP930" s="2372"/>
      <c r="CQ930" s="2372"/>
      <c r="CR930" s="2372"/>
      <c r="CS930" s="2372"/>
      <c r="CT930" s="2372"/>
      <c r="CU930" s="2372"/>
      <c r="CV930" s="2372"/>
      <c r="CW930" s="2372"/>
      <c r="CX930" s="2372"/>
      <c r="CY930" s="2372"/>
      <c r="CZ930" s="2372"/>
      <c r="DA930" s="2372"/>
    </row>
    <row r="931" spans="1:105" ht="15" hidden="1" customHeight="1">
      <c r="A931" s="2372"/>
      <c r="B931" s="2372"/>
      <c r="C931" s="2372"/>
      <c r="D931" s="2372"/>
      <c r="E931" s="2372"/>
      <c r="F931" s="2372"/>
      <c r="G931" s="2372"/>
      <c r="H931" s="2372"/>
      <c r="I931" s="2372"/>
      <c r="J931" s="2372"/>
      <c r="K931" s="2372"/>
      <c r="L931" s="2372"/>
      <c r="M931" s="2372"/>
      <c r="N931" s="2372"/>
      <c r="O931" s="2372"/>
      <c r="P931" s="2372"/>
      <c r="Q931" s="2372"/>
      <c r="R931" s="2372"/>
      <c r="S931" s="2372"/>
      <c r="T931" s="2372"/>
      <c r="U931" s="2372"/>
      <c r="V931" s="2372"/>
      <c r="W931" s="2372"/>
      <c r="X931" s="2372"/>
      <c r="Y931" s="2372"/>
      <c r="Z931" s="2372"/>
      <c r="AA931" s="2372"/>
      <c r="AB931" s="2372"/>
      <c r="AC931" s="2372"/>
      <c r="AD931" s="2372"/>
      <c r="AE931" s="2372"/>
      <c r="AF931" s="2372"/>
      <c r="AG931" s="2372"/>
      <c r="AH931" s="2372"/>
      <c r="AI931" s="2372"/>
      <c r="AJ931" s="2372"/>
      <c r="AK931" s="2372"/>
      <c r="AL931" s="2372"/>
      <c r="AM931" s="2372"/>
      <c r="AN931" s="2372"/>
      <c r="AO931" s="2372"/>
      <c r="AP931" s="2372"/>
      <c r="AQ931" s="2372"/>
      <c r="AR931" s="2372"/>
      <c r="AS931" s="2372"/>
      <c r="AT931" s="2372"/>
      <c r="AU931" s="2372"/>
      <c r="AV931" s="2372"/>
      <c r="AW931" s="2372"/>
      <c r="AX931" s="2372"/>
      <c r="AY931" s="2372"/>
      <c r="AZ931" s="2372"/>
      <c r="BA931" s="2372"/>
      <c r="BB931" s="2372"/>
      <c r="BC931" s="2372"/>
      <c r="BD931" s="2372"/>
      <c r="BE931" s="2372"/>
      <c r="BF931" s="2372"/>
      <c r="BG931" s="2372"/>
      <c r="BH931" s="2372"/>
      <c r="BI931" s="2372"/>
      <c r="BJ931" s="2372"/>
      <c r="BK931" s="2372"/>
      <c r="BL931" s="2372"/>
      <c r="BM931" s="2372"/>
      <c r="BN931" s="2372"/>
      <c r="BO931" s="2372"/>
      <c r="BP931" s="2372"/>
      <c r="BQ931" s="2372"/>
      <c r="BR931" s="2372"/>
      <c r="BS931" s="2372"/>
      <c r="BT931" s="2372"/>
      <c r="BU931" s="2372"/>
      <c r="BV931" s="2372"/>
      <c r="BW931" s="2372"/>
      <c r="BX931" s="2372"/>
      <c r="BY931" s="2372"/>
      <c r="BZ931" s="2372"/>
      <c r="CA931" s="2372"/>
      <c r="CB931" s="2372"/>
      <c r="CC931" s="2372"/>
      <c r="CD931" s="2372"/>
      <c r="CE931" s="2372"/>
      <c r="CF931" s="2372"/>
      <c r="CG931" s="2372"/>
      <c r="CH931" s="2372"/>
      <c r="CI931" s="2372"/>
      <c r="CJ931" s="2372"/>
      <c r="CK931" s="2372"/>
      <c r="CL931" s="2372"/>
      <c r="CM931" s="2372"/>
      <c r="CN931" s="2372"/>
      <c r="CO931" s="2372"/>
      <c r="CP931" s="2372"/>
      <c r="CQ931" s="2372"/>
      <c r="CR931" s="2372"/>
      <c r="CS931" s="2372"/>
      <c r="CT931" s="2372"/>
      <c r="CU931" s="2372"/>
      <c r="CV931" s="2372"/>
      <c r="CW931" s="2372"/>
      <c r="CX931" s="2372"/>
      <c r="CY931" s="2372"/>
      <c r="CZ931" s="2372"/>
      <c r="DA931" s="2372"/>
    </row>
    <row r="932" spans="1:105" ht="15" hidden="1" customHeight="1">
      <c r="A932" s="2372"/>
      <c r="B932" s="2372"/>
      <c r="C932" s="2372"/>
      <c r="D932" s="2372"/>
      <c r="E932" s="2372"/>
      <c r="F932" s="2372"/>
      <c r="G932" s="2372"/>
      <c r="H932" s="2372"/>
      <c r="I932" s="2372"/>
      <c r="J932" s="2372"/>
      <c r="K932" s="2372"/>
      <c r="L932" s="2372"/>
      <c r="M932" s="2372"/>
      <c r="N932" s="2372"/>
      <c r="O932" s="2372"/>
      <c r="P932" s="2372"/>
      <c r="Q932" s="2372"/>
      <c r="R932" s="2372"/>
      <c r="S932" s="2372"/>
      <c r="T932" s="2372"/>
      <c r="U932" s="2372"/>
      <c r="V932" s="2372"/>
      <c r="W932" s="2372"/>
      <c r="X932" s="2372"/>
      <c r="Y932" s="2372"/>
      <c r="Z932" s="2372"/>
      <c r="AA932" s="2372"/>
      <c r="AB932" s="2372"/>
      <c r="AC932" s="2372"/>
      <c r="AD932" s="2372"/>
      <c r="AE932" s="2372"/>
      <c r="AF932" s="2372"/>
      <c r="AG932" s="2372"/>
      <c r="AH932" s="2372"/>
      <c r="AI932" s="2372"/>
      <c r="AJ932" s="2372"/>
      <c r="AK932" s="2372"/>
      <c r="AL932" s="2372"/>
      <c r="AM932" s="2372"/>
      <c r="AN932" s="2372"/>
      <c r="AO932" s="2372"/>
      <c r="AP932" s="2372"/>
      <c r="AQ932" s="2372"/>
      <c r="AR932" s="2372"/>
      <c r="AS932" s="2372"/>
      <c r="AT932" s="2372"/>
      <c r="AU932" s="2372"/>
      <c r="AV932" s="2372"/>
      <c r="AW932" s="2372"/>
      <c r="AX932" s="2372"/>
      <c r="AY932" s="2372"/>
      <c r="AZ932" s="2372"/>
      <c r="BA932" s="2372"/>
      <c r="BB932" s="2372"/>
      <c r="BC932" s="2372"/>
      <c r="BD932" s="2372"/>
      <c r="BE932" s="2372"/>
      <c r="BF932" s="2372"/>
      <c r="BG932" s="2372"/>
      <c r="BH932" s="2372"/>
      <c r="BI932" s="2372"/>
      <c r="BJ932" s="2372"/>
      <c r="BK932" s="2372"/>
      <c r="BL932" s="2372"/>
      <c r="BM932" s="2372"/>
      <c r="BN932" s="2372"/>
      <c r="BO932" s="2372"/>
      <c r="BP932" s="2372"/>
      <c r="BQ932" s="2372"/>
      <c r="BR932" s="2372"/>
      <c r="BS932" s="2372"/>
      <c r="BT932" s="2372"/>
      <c r="BU932" s="2372"/>
      <c r="BV932" s="2372"/>
      <c r="BW932" s="2372"/>
      <c r="BX932" s="2372"/>
      <c r="BY932" s="2372"/>
      <c r="BZ932" s="2372"/>
      <c r="CA932" s="2372"/>
      <c r="CB932" s="2372"/>
      <c r="CC932" s="2372"/>
      <c r="CD932" s="2372"/>
      <c r="CE932" s="2372"/>
      <c r="CF932" s="2372"/>
      <c r="CG932" s="2372"/>
      <c r="CH932" s="2372"/>
      <c r="CI932" s="2372"/>
      <c r="CJ932" s="2372"/>
      <c r="CK932" s="2372"/>
      <c r="CL932" s="2372"/>
      <c r="CM932" s="2372"/>
      <c r="CN932" s="2372"/>
      <c r="CO932" s="2372"/>
      <c r="CP932" s="2372"/>
      <c r="CQ932" s="2372"/>
      <c r="CR932" s="2372"/>
      <c r="CS932" s="2372"/>
      <c r="CT932" s="2372"/>
      <c r="CU932" s="2372"/>
      <c r="CV932" s="2372"/>
      <c r="CW932" s="2372"/>
      <c r="CX932" s="2372"/>
      <c r="CY932" s="2372"/>
      <c r="CZ932" s="2372"/>
      <c r="DA932" s="2372"/>
    </row>
    <row r="933" spans="1:105" ht="15" hidden="1" customHeight="1">
      <c r="A933" s="2372"/>
      <c r="B933" s="2372"/>
      <c r="C933" s="2372"/>
      <c r="D933" s="2372"/>
      <c r="E933" s="2372"/>
      <c r="F933" s="2372"/>
      <c r="G933" s="2372"/>
      <c r="H933" s="2372"/>
      <c r="I933" s="2372"/>
      <c r="J933" s="2372"/>
      <c r="K933" s="2372"/>
      <c r="L933" s="2372"/>
      <c r="M933" s="2372"/>
      <c r="N933" s="2372"/>
      <c r="O933" s="2372"/>
      <c r="P933" s="2372"/>
      <c r="Q933" s="2372"/>
      <c r="R933" s="2372"/>
      <c r="S933" s="2372"/>
      <c r="T933" s="2372"/>
      <c r="U933" s="2372"/>
      <c r="V933" s="2372"/>
      <c r="W933" s="2372"/>
      <c r="X933" s="2372"/>
      <c r="Y933" s="2372"/>
      <c r="Z933" s="2372"/>
      <c r="AA933" s="2372"/>
      <c r="AB933" s="2372"/>
      <c r="AC933" s="2372"/>
      <c r="AD933" s="2372"/>
      <c r="AE933" s="2372"/>
      <c r="AF933" s="2372"/>
      <c r="AG933" s="2372"/>
      <c r="AH933" s="2372"/>
      <c r="AI933" s="2372"/>
      <c r="AJ933" s="2372"/>
      <c r="AK933" s="2372"/>
      <c r="AL933" s="2372"/>
      <c r="AM933" s="2372"/>
      <c r="AN933" s="2372"/>
      <c r="AO933" s="2372"/>
      <c r="AP933" s="2372"/>
      <c r="AQ933" s="2372"/>
      <c r="AR933" s="2372"/>
      <c r="AS933" s="2372"/>
      <c r="AT933" s="2372"/>
      <c r="AU933" s="2372"/>
      <c r="AV933" s="2372"/>
      <c r="AW933" s="2372"/>
      <c r="AX933" s="2372"/>
      <c r="AY933" s="2372"/>
      <c r="AZ933" s="2372"/>
      <c r="BA933" s="2372"/>
      <c r="BB933" s="2372"/>
      <c r="BC933" s="2372"/>
      <c r="BD933" s="2372"/>
      <c r="BE933" s="2372"/>
      <c r="BF933" s="2372"/>
      <c r="BG933" s="2372"/>
      <c r="BH933" s="2372"/>
      <c r="BI933" s="2372"/>
      <c r="BJ933" s="2372"/>
      <c r="BK933" s="2372"/>
      <c r="BL933" s="2372"/>
      <c r="BM933" s="2372"/>
      <c r="BN933" s="2372"/>
      <c r="BO933" s="2372"/>
      <c r="BP933" s="2372"/>
      <c r="BQ933" s="2372"/>
      <c r="BR933" s="2372"/>
      <c r="BS933" s="2372"/>
      <c r="BT933" s="2372"/>
      <c r="BU933" s="2372"/>
      <c r="BV933" s="2372"/>
      <c r="BW933" s="2372"/>
      <c r="BX933" s="2372"/>
      <c r="BY933" s="2372"/>
      <c r="BZ933" s="2372"/>
      <c r="CA933" s="2372"/>
      <c r="CB933" s="2372"/>
      <c r="CC933" s="2372"/>
      <c r="CD933" s="2372"/>
      <c r="CE933" s="2372"/>
      <c r="CF933" s="2372"/>
      <c r="CG933" s="2372"/>
      <c r="CH933" s="2372"/>
      <c r="CI933" s="2372"/>
      <c r="CJ933" s="2372"/>
      <c r="CK933" s="2372"/>
      <c r="CL933" s="2372"/>
      <c r="CM933" s="2372"/>
      <c r="CN933" s="2372"/>
      <c r="CO933" s="2372"/>
      <c r="CP933" s="2372"/>
      <c r="CQ933" s="2372"/>
      <c r="CR933" s="2372"/>
      <c r="CS933" s="2372"/>
      <c r="CT933" s="2372"/>
      <c r="CU933" s="2372"/>
      <c r="CV933" s="2372"/>
      <c r="CW933" s="2372"/>
      <c r="CX933" s="2372"/>
      <c r="CY933" s="2372"/>
      <c r="CZ933" s="2372"/>
      <c r="DA933" s="2372"/>
    </row>
    <row r="934" spans="1:105" ht="15" hidden="1" customHeight="1">
      <c r="A934" s="2372"/>
      <c r="B934" s="2372"/>
      <c r="C934" s="2372"/>
      <c r="D934" s="2372"/>
      <c r="E934" s="2372"/>
      <c r="F934" s="2372"/>
      <c r="G934" s="2372"/>
      <c r="H934" s="2372"/>
      <c r="I934" s="2372"/>
      <c r="J934" s="2372"/>
      <c r="K934" s="2372"/>
      <c r="L934" s="2372"/>
      <c r="M934" s="2372"/>
      <c r="N934" s="2372"/>
      <c r="O934" s="2372"/>
      <c r="P934" s="2372"/>
      <c r="Q934" s="2372"/>
      <c r="R934" s="2372"/>
      <c r="S934" s="2372"/>
      <c r="T934" s="2372"/>
      <c r="U934" s="2372"/>
      <c r="V934" s="2372"/>
      <c r="W934" s="2372"/>
      <c r="X934" s="2372"/>
      <c r="Y934" s="2372"/>
      <c r="Z934" s="2372"/>
      <c r="AA934" s="2372"/>
      <c r="AB934" s="2372"/>
      <c r="AC934" s="2372"/>
      <c r="AD934" s="2372"/>
      <c r="AE934" s="2372"/>
      <c r="AF934" s="2372"/>
      <c r="AG934" s="2372"/>
      <c r="AH934" s="2372"/>
      <c r="AI934" s="2372"/>
      <c r="AJ934" s="2372"/>
      <c r="AK934" s="2372"/>
      <c r="AL934" s="2372"/>
      <c r="AM934" s="2372"/>
      <c r="AN934" s="2372"/>
      <c r="AO934" s="2372"/>
      <c r="AP934" s="2372"/>
      <c r="AQ934" s="2372"/>
      <c r="AR934" s="2372"/>
      <c r="AS934" s="2372"/>
      <c r="AT934" s="2372"/>
      <c r="AU934" s="2372"/>
      <c r="AV934" s="2372"/>
      <c r="AW934" s="2372"/>
      <c r="AX934" s="2372"/>
      <c r="AY934" s="2372"/>
      <c r="AZ934" s="2372"/>
      <c r="BA934" s="2372"/>
      <c r="BB934" s="2372"/>
      <c r="BC934" s="2372"/>
      <c r="BD934" s="2372"/>
      <c r="BE934" s="2372"/>
      <c r="BF934" s="2372"/>
      <c r="BG934" s="2372"/>
      <c r="BH934" s="2372"/>
      <c r="BI934" s="2372"/>
      <c r="BJ934" s="2372"/>
      <c r="BK934" s="2372"/>
      <c r="BL934" s="2372"/>
      <c r="BM934" s="2372"/>
      <c r="BN934" s="2372"/>
      <c r="BO934" s="2372"/>
      <c r="BP934" s="2372"/>
      <c r="BQ934" s="2372"/>
      <c r="BR934" s="2372"/>
      <c r="BS934" s="2372"/>
      <c r="BT934" s="2372"/>
      <c r="BU934" s="2372"/>
      <c r="BV934" s="2372"/>
      <c r="BW934" s="2372"/>
      <c r="BX934" s="2372"/>
      <c r="BY934" s="2372"/>
      <c r="BZ934" s="2372"/>
      <c r="CA934" s="2372"/>
      <c r="CB934" s="2372"/>
      <c r="CC934" s="2372"/>
      <c r="CD934" s="2372"/>
      <c r="CE934" s="2372"/>
      <c r="CF934" s="2372"/>
      <c r="CG934" s="2372"/>
      <c r="CH934" s="2372"/>
      <c r="CI934" s="2372"/>
      <c r="CJ934" s="2372"/>
      <c r="CK934" s="2372"/>
      <c r="CL934" s="2372"/>
      <c r="CM934" s="2372"/>
      <c r="CN934" s="2372"/>
      <c r="CO934" s="2372"/>
      <c r="CP934" s="2372"/>
      <c r="CQ934" s="2372"/>
      <c r="CR934" s="2372"/>
      <c r="CS934" s="2372"/>
      <c r="CT934" s="2372"/>
      <c r="CU934" s="2372"/>
      <c r="CV934" s="2372"/>
      <c r="CW934" s="2372"/>
      <c r="CX934" s="2372"/>
      <c r="CY934" s="2372"/>
      <c r="CZ934" s="2372"/>
      <c r="DA934" s="2372"/>
    </row>
    <row r="935" spans="1:105" ht="15" hidden="1" customHeight="1">
      <c r="A935" s="2372"/>
      <c r="B935" s="2372"/>
      <c r="C935" s="2372"/>
      <c r="D935" s="2372"/>
      <c r="E935" s="2372"/>
      <c r="F935" s="2372"/>
      <c r="G935" s="2372"/>
      <c r="H935" s="2372"/>
      <c r="I935" s="2372"/>
      <c r="J935" s="2372"/>
      <c r="K935" s="2372"/>
      <c r="L935" s="2372"/>
      <c r="M935" s="2372"/>
      <c r="N935" s="2372"/>
      <c r="O935" s="2372"/>
      <c r="P935" s="2372"/>
      <c r="Q935" s="2372"/>
      <c r="R935" s="2372"/>
      <c r="S935" s="2372"/>
      <c r="T935" s="2372"/>
      <c r="U935" s="2372"/>
      <c r="V935" s="2372"/>
      <c r="W935" s="2372"/>
      <c r="X935" s="2372"/>
      <c r="Y935" s="2372"/>
      <c r="Z935" s="2372"/>
      <c r="AA935" s="2372"/>
      <c r="AB935" s="2372"/>
      <c r="AC935" s="2372"/>
      <c r="AD935" s="2372"/>
      <c r="AE935" s="2372"/>
      <c r="AF935" s="2372"/>
      <c r="AG935" s="2372"/>
      <c r="AH935" s="2372"/>
      <c r="AI935" s="2372"/>
      <c r="AJ935" s="2372"/>
      <c r="AK935" s="2372"/>
      <c r="AL935" s="2372"/>
      <c r="AM935" s="2372"/>
      <c r="AN935" s="2372"/>
      <c r="AO935" s="2372"/>
      <c r="AP935" s="2372"/>
      <c r="AQ935" s="2372"/>
      <c r="AR935" s="2372"/>
      <c r="AS935" s="2372"/>
      <c r="AT935" s="2372"/>
      <c r="AU935" s="2372"/>
      <c r="AV935" s="2372"/>
      <c r="AW935" s="2372"/>
      <c r="AX935" s="2372"/>
      <c r="AY935" s="2372"/>
      <c r="AZ935" s="2372"/>
      <c r="BA935" s="2372"/>
      <c r="BB935" s="2372"/>
      <c r="BC935" s="2372"/>
      <c r="BD935" s="2372"/>
      <c r="BE935" s="2372"/>
      <c r="BF935" s="2372"/>
      <c r="BG935" s="2372"/>
      <c r="BH935" s="2372"/>
      <c r="BI935" s="2372"/>
      <c r="BJ935" s="2372"/>
      <c r="BK935" s="2372"/>
      <c r="BL935" s="2372"/>
      <c r="BM935" s="2372"/>
      <c r="BN935" s="2372"/>
      <c r="BO935" s="2372"/>
      <c r="BP935" s="2372"/>
      <c r="BQ935" s="2372"/>
      <c r="BR935" s="2372"/>
      <c r="BS935" s="2372"/>
      <c r="BT935" s="2372"/>
      <c r="BU935" s="2372"/>
      <c r="BV935" s="2372"/>
      <c r="BW935" s="2372"/>
      <c r="BX935" s="2372"/>
      <c r="BY935" s="2372"/>
      <c r="BZ935" s="2372"/>
      <c r="CA935" s="2372"/>
      <c r="CB935" s="2372"/>
      <c r="CC935" s="2372"/>
      <c r="CD935" s="2372"/>
      <c r="CE935" s="2372"/>
      <c r="CF935" s="2372"/>
      <c r="CG935" s="2372"/>
      <c r="CH935" s="2372"/>
      <c r="CI935" s="2372"/>
      <c r="CJ935" s="2372"/>
      <c r="CK935" s="2372"/>
      <c r="CL935" s="2372"/>
      <c r="CM935" s="2372"/>
      <c r="CN935" s="2372"/>
      <c r="CO935" s="2372"/>
      <c r="CP935" s="2372"/>
      <c r="CQ935" s="2372"/>
      <c r="CR935" s="2372"/>
      <c r="CS935" s="2372"/>
      <c r="CT935" s="2372"/>
      <c r="CU935" s="2372"/>
      <c r="CV935" s="2372"/>
      <c r="CW935" s="2372"/>
      <c r="CX935" s="2372"/>
      <c r="CY935" s="2372"/>
      <c r="CZ935" s="2372"/>
      <c r="DA935" s="2372"/>
    </row>
    <row r="936" spans="1:105" ht="15" hidden="1" customHeight="1">
      <c r="A936" s="2372"/>
      <c r="B936" s="2372"/>
      <c r="C936" s="2372"/>
      <c r="D936" s="2372"/>
      <c r="E936" s="2372"/>
      <c r="F936" s="2372"/>
      <c r="G936" s="2372"/>
      <c r="H936" s="2372"/>
      <c r="I936" s="2372"/>
      <c r="J936" s="2372"/>
      <c r="K936" s="2372"/>
      <c r="L936" s="2372"/>
      <c r="M936" s="2372"/>
      <c r="N936" s="2372"/>
      <c r="O936" s="2372"/>
      <c r="P936" s="2372"/>
      <c r="Q936" s="2372"/>
      <c r="R936" s="2372"/>
      <c r="S936" s="2372"/>
      <c r="T936" s="2372"/>
      <c r="U936" s="2372"/>
      <c r="V936" s="2372"/>
      <c r="W936" s="2372"/>
      <c r="X936" s="2372"/>
      <c r="Y936" s="2372"/>
      <c r="Z936" s="2372"/>
      <c r="AA936" s="2372"/>
      <c r="AB936" s="2372"/>
      <c r="AC936" s="2372"/>
      <c r="AD936" s="2372"/>
      <c r="AE936" s="2372"/>
      <c r="AF936" s="2372"/>
      <c r="AG936" s="2372"/>
      <c r="AH936" s="2372"/>
      <c r="AI936" s="2372"/>
      <c r="AJ936" s="2372"/>
      <c r="AK936" s="2372"/>
      <c r="AL936" s="2372"/>
      <c r="AM936" s="2372"/>
      <c r="AN936" s="2372"/>
      <c r="AO936" s="2372"/>
      <c r="AP936" s="2372"/>
      <c r="AQ936" s="2372"/>
      <c r="AR936" s="2372"/>
      <c r="AS936" s="2372"/>
      <c r="AT936" s="2372"/>
      <c r="AU936" s="2372"/>
      <c r="AV936" s="2372"/>
      <c r="AW936" s="2372"/>
      <c r="AX936" s="2372"/>
      <c r="AY936" s="2372"/>
      <c r="AZ936" s="2372"/>
      <c r="BA936" s="2372"/>
      <c r="BB936" s="2372"/>
      <c r="BC936" s="2372"/>
      <c r="BD936" s="2372"/>
      <c r="BE936" s="2372"/>
      <c r="BF936" s="2372"/>
      <c r="BG936" s="2372"/>
      <c r="BH936" s="2372"/>
      <c r="BI936" s="2372"/>
      <c r="BJ936" s="2372"/>
      <c r="BK936" s="2372"/>
      <c r="BL936" s="2372"/>
      <c r="BM936" s="2372"/>
      <c r="BN936" s="2372"/>
      <c r="BO936" s="2372"/>
      <c r="BP936" s="2372"/>
      <c r="BQ936" s="2372"/>
      <c r="BR936" s="2372"/>
      <c r="BS936" s="2372"/>
      <c r="BT936" s="2372"/>
      <c r="BU936" s="2372"/>
      <c r="BV936" s="2372"/>
      <c r="BW936" s="2372"/>
      <c r="BX936" s="2372"/>
      <c r="BY936" s="2372"/>
      <c r="BZ936" s="2372"/>
      <c r="CA936" s="2372"/>
      <c r="CB936" s="2372"/>
      <c r="CC936" s="2372"/>
      <c r="CD936" s="2372"/>
      <c r="CE936" s="2372"/>
      <c r="CF936" s="2372"/>
      <c r="CG936" s="2372"/>
      <c r="CH936" s="2372"/>
      <c r="CI936" s="2372"/>
      <c r="CJ936" s="2372"/>
      <c r="CK936" s="2372"/>
      <c r="CL936" s="2372"/>
      <c r="CM936" s="2372"/>
      <c r="CN936" s="2372"/>
      <c r="CO936" s="2372"/>
      <c r="CP936" s="2372"/>
      <c r="CQ936" s="2372"/>
      <c r="CR936" s="2372"/>
      <c r="CS936" s="2372"/>
      <c r="CT936" s="2372"/>
      <c r="CU936" s="2372"/>
      <c r="CV936" s="2372"/>
      <c r="CW936" s="2372"/>
      <c r="CX936" s="2372"/>
      <c r="CY936" s="2372"/>
      <c r="CZ936" s="2372"/>
      <c r="DA936" s="2372"/>
    </row>
    <row r="937" spans="1:105" ht="15" hidden="1" customHeight="1">
      <c r="A937" s="2372"/>
      <c r="B937" s="2372"/>
      <c r="C937" s="2372"/>
      <c r="D937" s="2372"/>
      <c r="E937" s="2372"/>
      <c r="F937" s="2372"/>
      <c r="G937" s="2372"/>
      <c r="H937" s="2372"/>
      <c r="I937" s="2372"/>
      <c r="J937" s="2372"/>
      <c r="K937" s="2372"/>
      <c r="L937" s="2372"/>
      <c r="M937" s="2372"/>
      <c r="N937" s="2372"/>
      <c r="O937" s="2372"/>
      <c r="P937" s="2372"/>
      <c r="Q937" s="2372"/>
      <c r="R937" s="2372"/>
      <c r="S937" s="2372"/>
      <c r="T937" s="2372"/>
      <c r="U937" s="2372"/>
      <c r="V937" s="2372"/>
      <c r="W937" s="2372"/>
      <c r="X937" s="2372"/>
      <c r="Y937" s="2372"/>
      <c r="Z937" s="2372"/>
      <c r="AA937" s="2372"/>
      <c r="AB937" s="2372"/>
      <c r="AC937" s="2372"/>
      <c r="AD937" s="2372"/>
      <c r="AE937" s="2372"/>
      <c r="AF937" s="2372"/>
      <c r="AG937" s="2372"/>
      <c r="AH937" s="2372"/>
      <c r="AI937" s="2372"/>
      <c r="AJ937" s="2372"/>
      <c r="AK937" s="2372"/>
      <c r="AL937" s="2372"/>
      <c r="AM937" s="2372"/>
      <c r="AN937" s="2372"/>
      <c r="AO937" s="2372"/>
      <c r="AP937" s="2372"/>
      <c r="AQ937" s="2372"/>
      <c r="AR937" s="2372"/>
      <c r="AS937" s="2372"/>
      <c r="AT937" s="2372"/>
      <c r="AU937" s="2372"/>
      <c r="AV937" s="2372"/>
      <c r="AW937" s="2372"/>
      <c r="AX937" s="2372"/>
      <c r="AY937" s="2372"/>
      <c r="AZ937" s="2372"/>
      <c r="BA937" s="2372"/>
      <c r="BB937" s="2372"/>
      <c r="BC937" s="2372"/>
      <c r="BD937" s="2372"/>
      <c r="BE937" s="2372"/>
      <c r="BF937" s="2372"/>
      <c r="BG937" s="2372"/>
      <c r="BH937" s="2372"/>
      <c r="BI937" s="2372"/>
      <c r="BJ937" s="2372"/>
      <c r="BK937" s="2372"/>
      <c r="BL937" s="2372"/>
      <c r="BM937" s="2372"/>
      <c r="BN937" s="2372"/>
      <c r="BO937" s="2372"/>
      <c r="BP937" s="2372"/>
      <c r="BQ937" s="2372"/>
      <c r="BR937" s="2372"/>
      <c r="BS937" s="2372"/>
      <c r="BT937" s="2372"/>
      <c r="BU937" s="2372"/>
      <c r="BV937" s="2372"/>
      <c r="BW937" s="2372"/>
      <c r="BX937" s="2372"/>
      <c r="BY937" s="2372"/>
      <c r="BZ937" s="2372"/>
      <c r="CA937" s="2372"/>
      <c r="CB937" s="2372"/>
      <c r="CC937" s="2372"/>
      <c r="CD937" s="2372"/>
      <c r="CE937" s="2372"/>
      <c r="CF937" s="2372"/>
      <c r="CG937" s="2372"/>
      <c r="CH937" s="2372"/>
      <c r="CI937" s="2372"/>
      <c r="CJ937" s="2372"/>
      <c r="CK937" s="2372"/>
      <c r="CL937" s="2372"/>
      <c r="CM937" s="2372"/>
      <c r="CN937" s="2372"/>
      <c r="CO937" s="2372"/>
      <c r="CP937" s="2372"/>
      <c r="CQ937" s="2372"/>
      <c r="CR937" s="2372"/>
      <c r="CS937" s="2372"/>
      <c r="CT937" s="2372"/>
      <c r="CU937" s="2372"/>
      <c r="CV937" s="2372"/>
      <c r="CW937" s="2372"/>
      <c r="CX937" s="2372"/>
      <c r="CY937" s="2372"/>
      <c r="CZ937" s="2372"/>
      <c r="DA937" s="2372"/>
    </row>
    <row r="938" spans="1:105" ht="15" hidden="1" customHeight="1">
      <c r="A938" s="2372"/>
      <c r="B938" s="2372"/>
      <c r="C938" s="2372"/>
      <c r="D938" s="2372"/>
      <c r="E938" s="2372"/>
      <c r="F938" s="2372"/>
      <c r="G938" s="2372"/>
      <c r="H938" s="2372"/>
      <c r="I938" s="2372"/>
      <c r="J938" s="2372"/>
      <c r="K938" s="2372"/>
      <c r="L938" s="2372"/>
      <c r="M938" s="2372"/>
      <c r="N938" s="2372"/>
      <c r="O938" s="2372"/>
      <c r="P938" s="2372"/>
      <c r="Q938" s="2372"/>
      <c r="R938" s="2372"/>
      <c r="S938" s="2372"/>
      <c r="T938" s="2372"/>
      <c r="U938" s="2372"/>
      <c r="V938" s="2372"/>
      <c r="W938" s="2372"/>
      <c r="X938" s="2372"/>
      <c r="Y938" s="2372"/>
      <c r="Z938" s="2372"/>
      <c r="AA938" s="2372"/>
      <c r="AB938" s="2372"/>
      <c r="AC938" s="2372"/>
      <c r="AD938" s="2372"/>
      <c r="AE938" s="2372"/>
      <c r="AF938" s="2372"/>
      <c r="AG938" s="2372"/>
      <c r="AH938" s="2372"/>
      <c r="AI938" s="2372"/>
      <c r="AJ938" s="2372"/>
      <c r="AK938" s="2372"/>
      <c r="AL938" s="2372"/>
      <c r="AM938" s="2372"/>
      <c r="AN938" s="2372"/>
      <c r="AO938" s="2372"/>
      <c r="AP938" s="2372"/>
      <c r="AQ938" s="2372"/>
      <c r="AR938" s="2372"/>
      <c r="AS938" s="2372"/>
      <c r="AT938" s="2372"/>
      <c r="AU938" s="2372"/>
      <c r="AV938" s="2372"/>
      <c r="AW938" s="2372"/>
      <c r="AX938" s="2372"/>
      <c r="AY938" s="2372"/>
      <c r="AZ938" s="2372"/>
      <c r="BA938" s="2372"/>
      <c r="BB938" s="2372"/>
      <c r="BC938" s="2372"/>
      <c r="BD938" s="2372"/>
      <c r="BE938" s="2372"/>
      <c r="BF938" s="2372"/>
      <c r="BG938" s="2372"/>
      <c r="BH938" s="2372"/>
      <c r="BI938" s="2372"/>
      <c r="BJ938" s="2372"/>
      <c r="BK938" s="2372"/>
      <c r="BL938" s="2372"/>
      <c r="BM938" s="2372"/>
      <c r="BN938" s="2372"/>
      <c r="BO938" s="2372"/>
      <c r="BP938" s="2372"/>
      <c r="BQ938" s="2372"/>
      <c r="BR938" s="2372"/>
      <c r="BS938" s="2372"/>
      <c r="BT938" s="2372"/>
      <c r="BU938" s="2372"/>
      <c r="BV938" s="2372"/>
      <c r="BW938" s="2372"/>
      <c r="BX938" s="2372"/>
      <c r="BY938" s="2372"/>
      <c r="BZ938" s="2372"/>
      <c r="CA938" s="2372"/>
      <c r="CB938" s="2372"/>
      <c r="CC938" s="2372"/>
      <c r="CD938" s="2372"/>
      <c r="CE938" s="2372"/>
      <c r="CF938" s="2372"/>
      <c r="CG938" s="2372"/>
      <c r="CH938" s="2372"/>
      <c r="CI938" s="2372"/>
      <c r="CJ938" s="2372"/>
      <c r="CK938" s="2372"/>
      <c r="CL938" s="2372"/>
      <c r="CM938" s="2372"/>
      <c r="CN938" s="2372"/>
      <c r="CO938" s="2372"/>
      <c r="CP938" s="2372"/>
      <c r="CQ938" s="2372"/>
      <c r="CR938" s="2372"/>
      <c r="CS938" s="2372"/>
      <c r="CT938" s="2372"/>
      <c r="CU938" s="2372"/>
      <c r="CV938" s="2372"/>
      <c r="CW938" s="2372"/>
      <c r="CX938" s="2372"/>
      <c r="CY938" s="2372"/>
      <c r="CZ938" s="2372"/>
      <c r="DA938" s="2372"/>
    </row>
    <row r="939" spans="1:105" ht="15" hidden="1" customHeight="1">
      <c r="A939" s="2372"/>
      <c r="B939" s="2372"/>
      <c r="C939" s="2372"/>
      <c r="D939" s="2372"/>
      <c r="E939" s="2372"/>
      <c r="F939" s="2372"/>
      <c r="G939" s="2372"/>
      <c r="H939" s="2372"/>
      <c r="I939" s="2372"/>
      <c r="J939" s="2372"/>
      <c r="K939" s="2372"/>
      <c r="L939" s="2372"/>
      <c r="M939" s="2372"/>
      <c r="N939" s="2372"/>
      <c r="O939" s="2372"/>
      <c r="P939" s="2372"/>
      <c r="Q939" s="2372"/>
      <c r="R939" s="2372"/>
      <c r="S939" s="2372"/>
      <c r="T939" s="2372"/>
      <c r="U939" s="2372"/>
      <c r="V939" s="2372"/>
      <c r="W939" s="2372"/>
      <c r="X939" s="2372"/>
      <c r="Y939" s="2372"/>
      <c r="Z939" s="2372"/>
      <c r="AA939" s="2372"/>
      <c r="AB939" s="2372"/>
      <c r="AC939" s="2372"/>
      <c r="AD939" s="2372"/>
      <c r="AE939" s="2372"/>
      <c r="AF939" s="2372"/>
      <c r="AG939" s="2372"/>
      <c r="AH939" s="2372"/>
      <c r="AI939" s="2372"/>
      <c r="AJ939" s="2372"/>
      <c r="AK939" s="2372"/>
      <c r="AL939" s="2372"/>
      <c r="AM939" s="2372"/>
      <c r="AN939" s="2372"/>
      <c r="AO939" s="2372"/>
      <c r="AP939" s="2372"/>
      <c r="AQ939" s="2372"/>
      <c r="AR939" s="2372"/>
      <c r="AS939" s="2372"/>
      <c r="AT939" s="2372"/>
      <c r="AU939" s="2372"/>
      <c r="AV939" s="2372"/>
      <c r="AW939" s="2372"/>
      <c r="AX939" s="2372"/>
      <c r="AY939" s="2372"/>
      <c r="AZ939" s="2372"/>
      <c r="BA939" s="2372"/>
      <c r="BB939" s="2372"/>
      <c r="BC939" s="2372"/>
      <c r="BD939" s="2372"/>
      <c r="BE939" s="2372"/>
      <c r="BF939" s="2372"/>
      <c r="BG939" s="2372"/>
      <c r="BH939" s="2372"/>
      <c r="BI939" s="2372"/>
      <c r="BJ939" s="2372"/>
      <c r="BK939" s="2372"/>
      <c r="BL939" s="2372"/>
      <c r="BM939" s="2372"/>
      <c r="BN939" s="2372"/>
      <c r="BO939" s="2372"/>
      <c r="BP939" s="2372"/>
      <c r="BQ939" s="2372"/>
      <c r="BR939" s="2372"/>
      <c r="BS939" s="2372"/>
      <c r="BT939" s="2372"/>
      <c r="BU939" s="2372"/>
      <c r="BV939" s="2372"/>
      <c r="BW939" s="2372"/>
      <c r="BX939" s="2372"/>
      <c r="BY939" s="2372"/>
      <c r="BZ939" s="2372"/>
      <c r="CA939" s="2372"/>
      <c r="CB939" s="2372"/>
      <c r="CC939" s="2372"/>
      <c r="CD939" s="2372"/>
      <c r="CE939" s="2372"/>
      <c r="CF939" s="2372"/>
      <c r="CG939" s="2372"/>
      <c r="CH939" s="2372"/>
      <c r="CI939" s="2372"/>
      <c r="CJ939" s="2372"/>
      <c r="CK939" s="2372"/>
      <c r="CL939" s="2372"/>
      <c r="CM939" s="2372"/>
      <c r="CN939" s="2372"/>
      <c r="CO939" s="2372"/>
      <c r="CP939" s="2372"/>
      <c r="CQ939" s="2372"/>
      <c r="CR939" s="2372"/>
      <c r="CS939" s="2372"/>
      <c r="CT939" s="2372"/>
      <c r="CU939" s="2372"/>
      <c r="CV939" s="2372"/>
      <c r="CW939" s="2372"/>
      <c r="CX939" s="2372"/>
      <c r="CY939" s="2372"/>
      <c r="CZ939" s="2372"/>
      <c r="DA939" s="2372"/>
    </row>
    <row r="940" spans="1:105" ht="15" hidden="1" customHeight="1">
      <c r="A940" s="2372"/>
      <c r="B940" s="2372"/>
      <c r="C940" s="2372"/>
      <c r="D940" s="2372"/>
      <c r="E940" s="2372"/>
      <c r="F940" s="2372"/>
      <c r="G940" s="2372"/>
      <c r="H940" s="2372"/>
      <c r="I940" s="2372"/>
      <c r="J940" s="2372"/>
      <c r="K940" s="2372"/>
      <c r="L940" s="2372"/>
      <c r="M940" s="2372"/>
      <c r="N940" s="2372"/>
      <c r="O940" s="2372"/>
      <c r="P940" s="2372"/>
      <c r="Q940" s="2372"/>
      <c r="R940" s="2372"/>
      <c r="S940" s="2372"/>
      <c r="T940" s="2372"/>
      <c r="U940" s="2372"/>
      <c r="V940" s="2372"/>
      <c r="W940" s="2372"/>
      <c r="X940" s="2372"/>
      <c r="Y940" s="2372"/>
      <c r="Z940" s="2372"/>
      <c r="AA940" s="2372"/>
      <c r="AB940" s="2372"/>
      <c r="AC940" s="2372"/>
      <c r="AD940" s="2372"/>
      <c r="AE940" s="2372"/>
      <c r="AF940" s="2372"/>
      <c r="AG940" s="2372"/>
      <c r="AH940" s="2372"/>
      <c r="AI940" s="2372"/>
      <c r="AJ940" s="2372"/>
      <c r="AK940" s="2372"/>
      <c r="AL940" s="2372"/>
      <c r="AM940" s="2372"/>
      <c r="AN940" s="2372"/>
      <c r="AO940" s="2372"/>
      <c r="AP940" s="2372"/>
      <c r="AQ940" s="2372"/>
      <c r="AR940" s="2372"/>
      <c r="AS940" s="2372"/>
      <c r="AT940" s="2372"/>
      <c r="AU940" s="2372"/>
      <c r="AV940" s="2372"/>
      <c r="AW940" s="2372"/>
      <c r="AX940" s="2372"/>
      <c r="AY940" s="2372"/>
      <c r="AZ940" s="2372"/>
      <c r="BA940" s="2372"/>
      <c r="BB940" s="2372"/>
      <c r="BC940" s="2372"/>
      <c r="BD940" s="2372"/>
      <c r="BE940" s="2372"/>
      <c r="BF940" s="2372"/>
      <c r="BG940" s="2372"/>
      <c r="BH940" s="2372"/>
      <c r="BI940" s="2372"/>
      <c r="BJ940" s="2372"/>
      <c r="BK940" s="2372"/>
      <c r="BL940" s="2372"/>
      <c r="BM940" s="2372"/>
      <c r="BN940" s="2372"/>
      <c r="BO940" s="2372"/>
      <c r="BP940" s="2372"/>
      <c r="BQ940" s="2372"/>
      <c r="BR940" s="2372"/>
      <c r="BS940" s="2372"/>
      <c r="BT940" s="2372"/>
      <c r="BU940" s="2372"/>
      <c r="BV940" s="2372"/>
      <c r="BW940" s="2372"/>
      <c r="BX940" s="2372"/>
      <c r="BY940" s="2372"/>
      <c r="BZ940" s="2372"/>
      <c r="CA940" s="2372"/>
      <c r="CB940" s="2372"/>
      <c r="CC940" s="2372"/>
      <c r="CD940" s="2372"/>
      <c r="CE940" s="2372"/>
      <c r="CF940" s="2372"/>
      <c r="CG940" s="2372"/>
      <c r="CH940" s="2372"/>
      <c r="CI940" s="2372"/>
      <c r="CJ940" s="2372"/>
      <c r="CK940" s="2372"/>
      <c r="CL940" s="2372"/>
      <c r="CM940" s="2372"/>
      <c r="CN940" s="2372"/>
      <c r="CO940" s="2372"/>
      <c r="CP940" s="2372"/>
      <c r="CQ940" s="2372"/>
      <c r="CR940" s="2372"/>
      <c r="CS940" s="2372"/>
      <c r="CT940" s="2372"/>
      <c r="CU940" s="2372"/>
      <c r="CV940" s="2372"/>
      <c r="CW940" s="2372"/>
      <c r="CX940" s="2372"/>
      <c r="CY940" s="2372"/>
      <c r="CZ940" s="2372"/>
      <c r="DA940" s="2372"/>
    </row>
    <row r="941" spans="1:105" ht="15" hidden="1" customHeight="1">
      <c r="A941" s="2372"/>
      <c r="B941" s="2372"/>
      <c r="C941" s="2372"/>
      <c r="D941" s="2372"/>
      <c r="E941" s="2372"/>
      <c r="F941" s="2372"/>
      <c r="G941" s="2372"/>
      <c r="H941" s="2372"/>
      <c r="I941" s="2372"/>
      <c r="J941" s="2372"/>
      <c r="K941" s="2372"/>
      <c r="L941" s="2372"/>
      <c r="M941" s="2372"/>
      <c r="N941" s="2372"/>
      <c r="O941" s="2372"/>
      <c r="P941" s="2372"/>
      <c r="Q941" s="2372"/>
      <c r="R941" s="2372"/>
      <c r="S941" s="2372"/>
      <c r="T941" s="2372"/>
      <c r="U941" s="2372"/>
      <c r="V941" s="2372"/>
      <c r="W941" s="2372"/>
      <c r="X941" s="2372"/>
      <c r="Y941" s="2372"/>
      <c r="Z941" s="2372"/>
      <c r="AA941" s="2372"/>
      <c r="AB941" s="2372"/>
      <c r="AC941" s="2372"/>
      <c r="AD941" s="2372"/>
      <c r="AE941" s="2372"/>
      <c r="AF941" s="2372"/>
      <c r="AG941" s="2372"/>
      <c r="AH941" s="2372"/>
      <c r="AI941" s="2372"/>
      <c r="AJ941" s="2372"/>
      <c r="AK941" s="2372"/>
      <c r="AL941" s="2372"/>
      <c r="AM941" s="2372"/>
      <c r="AN941" s="2372"/>
      <c r="AO941" s="2372"/>
      <c r="AP941" s="2372"/>
      <c r="AQ941" s="2372"/>
      <c r="AR941" s="2372"/>
      <c r="AS941" s="2372"/>
      <c r="AT941" s="2372"/>
      <c r="AU941" s="2372"/>
      <c r="AV941" s="2372"/>
      <c r="AW941" s="2372"/>
      <c r="AX941" s="2372"/>
      <c r="AY941" s="2372"/>
      <c r="AZ941" s="2372"/>
      <c r="BA941" s="2372"/>
      <c r="BB941" s="2372"/>
      <c r="BC941" s="2372"/>
      <c r="BD941" s="2372"/>
      <c r="BE941" s="2372"/>
      <c r="BF941" s="2372"/>
      <c r="BG941" s="2372"/>
      <c r="BH941" s="2372"/>
      <c r="BI941" s="2372"/>
      <c r="BJ941" s="2372"/>
      <c r="BK941" s="2372"/>
      <c r="BL941" s="2372"/>
      <c r="BM941" s="2372"/>
      <c r="BN941" s="2372"/>
      <c r="BO941" s="2372"/>
      <c r="BP941" s="2372"/>
      <c r="BQ941" s="2372"/>
      <c r="BR941" s="2372"/>
      <c r="BS941" s="2372"/>
      <c r="BT941" s="2372"/>
      <c r="BU941" s="2372"/>
      <c r="BV941" s="2372"/>
      <c r="BW941" s="2372"/>
      <c r="BX941" s="2372"/>
      <c r="BY941" s="2372"/>
      <c r="BZ941" s="2372"/>
      <c r="CA941" s="2372"/>
      <c r="CB941" s="2372"/>
      <c r="CC941" s="2372"/>
      <c r="CD941" s="2372"/>
      <c r="CE941" s="2372"/>
      <c r="CF941" s="2372"/>
      <c r="CG941" s="2372"/>
      <c r="CH941" s="2372"/>
      <c r="CI941" s="2372"/>
      <c r="CJ941" s="2372"/>
      <c r="CK941" s="2372"/>
      <c r="CL941" s="2372"/>
      <c r="CM941" s="2372"/>
      <c r="CN941" s="2372"/>
      <c r="CO941" s="2372"/>
      <c r="CP941" s="2372"/>
      <c r="CQ941" s="2372"/>
      <c r="CR941" s="2372"/>
      <c r="CS941" s="2372"/>
      <c r="CT941" s="2372"/>
      <c r="CU941" s="2372"/>
      <c r="CV941" s="2372"/>
      <c r="CW941" s="2372"/>
      <c r="CX941" s="2372"/>
      <c r="CY941" s="2372"/>
      <c r="CZ941" s="2372"/>
      <c r="DA941" s="2372"/>
    </row>
    <row r="942" spans="1:105" ht="15" hidden="1" customHeight="1">
      <c r="A942" s="2372"/>
      <c r="B942" s="2372"/>
      <c r="C942" s="2372"/>
      <c r="D942" s="2372"/>
      <c r="E942" s="2372"/>
      <c r="F942" s="2372"/>
      <c r="G942" s="2372"/>
      <c r="H942" s="2372"/>
      <c r="I942" s="2372"/>
      <c r="J942" s="2372"/>
      <c r="K942" s="2372"/>
      <c r="L942" s="2372"/>
      <c r="M942" s="2372"/>
      <c r="N942" s="2372"/>
      <c r="O942" s="2372"/>
      <c r="P942" s="2372"/>
      <c r="Q942" s="2372"/>
      <c r="R942" s="2372"/>
      <c r="S942" s="2372"/>
      <c r="T942" s="2372"/>
      <c r="U942" s="2372"/>
      <c r="V942" s="2372"/>
      <c r="W942" s="2372"/>
      <c r="X942" s="2372"/>
      <c r="Y942" s="2372"/>
      <c r="Z942" s="2372"/>
      <c r="AA942" s="2372"/>
      <c r="AB942" s="2372"/>
      <c r="AC942" s="2372"/>
      <c r="AD942" s="2372"/>
      <c r="AE942" s="2372"/>
      <c r="AF942" s="2372"/>
      <c r="AG942" s="2372"/>
      <c r="AH942" s="2372"/>
      <c r="AI942" s="2372"/>
      <c r="AJ942" s="2372"/>
      <c r="AK942" s="2372"/>
      <c r="AL942" s="2372"/>
      <c r="AM942" s="2372"/>
      <c r="AN942" s="2372"/>
      <c r="AO942" s="2372"/>
      <c r="AP942" s="2372"/>
      <c r="AQ942" s="2372"/>
      <c r="AR942" s="2372"/>
      <c r="AS942" s="2372"/>
      <c r="AT942" s="2372"/>
      <c r="AU942" s="2372"/>
      <c r="AV942" s="2372"/>
      <c r="AW942" s="2372"/>
      <c r="AX942" s="2372"/>
      <c r="AY942" s="2372"/>
      <c r="AZ942" s="2372"/>
      <c r="BA942" s="2372"/>
      <c r="BB942" s="2372"/>
      <c r="BC942" s="2372"/>
      <c r="BD942" s="2372"/>
      <c r="BE942" s="2372"/>
      <c r="BF942" s="2372"/>
      <c r="BG942" s="2372"/>
      <c r="BH942" s="2372"/>
      <c r="BI942" s="2372"/>
      <c r="BJ942" s="2372"/>
      <c r="BK942" s="2372"/>
      <c r="BL942" s="2372"/>
      <c r="BM942" s="2372"/>
      <c r="BN942" s="2372"/>
      <c r="BO942" s="2372"/>
      <c r="BP942" s="2372"/>
      <c r="BQ942" s="2372"/>
      <c r="BR942" s="2372"/>
      <c r="BS942" s="2372"/>
      <c r="BT942" s="2372"/>
      <c r="BU942" s="2372"/>
      <c r="BV942" s="2372"/>
      <c r="BW942" s="2372"/>
      <c r="BX942" s="2372"/>
      <c r="BY942" s="2372"/>
      <c r="BZ942" s="2372"/>
      <c r="CA942" s="2372"/>
      <c r="CB942" s="2372"/>
      <c r="CC942" s="2372"/>
      <c r="CD942" s="2372"/>
      <c r="CE942" s="2372"/>
      <c r="CF942" s="2372"/>
      <c r="CG942" s="2372"/>
      <c r="CH942" s="2372"/>
      <c r="CI942" s="2372"/>
      <c r="CJ942" s="2372"/>
      <c r="CK942" s="2372"/>
      <c r="CL942" s="2372"/>
      <c r="CM942" s="2372"/>
      <c r="CN942" s="2372"/>
      <c r="CO942" s="2372"/>
      <c r="CP942" s="2372"/>
      <c r="CQ942" s="2372"/>
      <c r="CR942" s="2372"/>
      <c r="CS942" s="2372"/>
      <c r="CT942" s="2372"/>
      <c r="CU942" s="2372"/>
      <c r="CV942" s="2372"/>
      <c r="CW942" s="2372"/>
      <c r="CX942" s="2372"/>
      <c r="CY942" s="2372"/>
      <c r="CZ942" s="2372"/>
      <c r="DA942" s="2372"/>
    </row>
    <row r="943" spans="1:105" ht="15" hidden="1" customHeight="1">
      <c r="A943" s="2372"/>
      <c r="B943" s="2372"/>
      <c r="C943" s="2372"/>
      <c r="D943" s="2372"/>
      <c r="E943" s="2372"/>
      <c r="F943" s="2372"/>
      <c r="G943" s="2372"/>
      <c r="H943" s="2372"/>
      <c r="I943" s="2372"/>
      <c r="J943" s="2372"/>
      <c r="K943" s="2372"/>
      <c r="L943" s="2372"/>
      <c r="M943" s="2372"/>
      <c r="N943" s="2372"/>
      <c r="O943" s="2372"/>
      <c r="P943" s="2372"/>
      <c r="Q943" s="2372"/>
      <c r="R943" s="2372"/>
      <c r="S943" s="2372"/>
      <c r="T943" s="2372"/>
      <c r="U943" s="2372"/>
      <c r="V943" s="2372"/>
      <c r="W943" s="2372"/>
      <c r="X943" s="2372"/>
      <c r="Y943" s="2372"/>
      <c r="Z943" s="2372"/>
      <c r="AA943" s="2372"/>
      <c r="AB943" s="2372"/>
      <c r="AC943" s="2372"/>
      <c r="AD943" s="2372"/>
      <c r="AE943" s="2372"/>
      <c r="AF943" s="2372"/>
      <c r="AG943" s="2372"/>
      <c r="AH943" s="2372"/>
      <c r="AI943" s="2372"/>
      <c r="AJ943" s="2372"/>
      <c r="AK943" s="2372"/>
      <c r="AL943" s="2372"/>
      <c r="AM943" s="2372"/>
      <c r="AN943" s="2372"/>
      <c r="AO943" s="2372"/>
      <c r="AP943" s="2372"/>
      <c r="AQ943" s="2372"/>
      <c r="AR943" s="2372"/>
      <c r="AS943" s="2372"/>
      <c r="AT943" s="2372"/>
      <c r="AU943" s="2372"/>
      <c r="AV943" s="2372"/>
      <c r="AW943" s="2372"/>
      <c r="AX943" s="2372"/>
      <c r="AY943" s="2372"/>
      <c r="AZ943" s="2372"/>
      <c r="BA943" s="2372"/>
      <c r="BB943" s="2372"/>
      <c r="BC943" s="2372"/>
      <c r="BD943" s="2372"/>
      <c r="BE943" s="2372"/>
      <c r="BF943" s="2372"/>
      <c r="BG943" s="2372"/>
      <c r="BH943" s="2372"/>
      <c r="BI943" s="2372"/>
      <c r="BJ943" s="2372"/>
      <c r="BK943" s="2372"/>
      <c r="BL943" s="2372"/>
      <c r="BM943" s="2372"/>
      <c r="BN943" s="2372"/>
      <c r="BO943" s="2372"/>
      <c r="BP943" s="2372"/>
      <c r="BQ943" s="2372"/>
      <c r="BR943" s="2372"/>
      <c r="BS943" s="2372"/>
      <c r="BT943" s="2372"/>
      <c r="BU943" s="2372"/>
      <c r="BV943" s="2372"/>
      <c r="BW943" s="2372"/>
      <c r="BX943" s="2372"/>
      <c r="BY943" s="2372"/>
      <c r="BZ943" s="2372"/>
      <c r="CA943" s="2372"/>
      <c r="CB943" s="2372"/>
      <c r="CC943" s="2372"/>
      <c r="CD943" s="2372"/>
      <c r="CE943" s="2372"/>
      <c r="CF943" s="2372"/>
      <c r="CG943" s="2372"/>
      <c r="CH943" s="2372"/>
      <c r="CI943" s="2372"/>
      <c r="CJ943" s="2372"/>
      <c r="CK943" s="2372"/>
      <c r="CL943" s="2372"/>
      <c r="CM943" s="2372"/>
      <c r="CN943" s="2372"/>
      <c r="CO943" s="2372"/>
      <c r="CP943" s="2372"/>
      <c r="CQ943" s="2372"/>
      <c r="CR943" s="2372"/>
      <c r="CS943" s="2372"/>
      <c r="CT943" s="2372"/>
      <c r="CU943" s="2372"/>
      <c r="CV943" s="2372"/>
      <c r="CW943" s="2372"/>
      <c r="CX943" s="2372"/>
      <c r="CY943" s="2372"/>
      <c r="CZ943" s="2372"/>
      <c r="DA943" s="2372"/>
    </row>
    <row r="944" spans="1:105" ht="15" hidden="1" customHeight="1">
      <c r="A944" s="2372"/>
      <c r="B944" s="2372"/>
      <c r="C944" s="2372"/>
      <c r="D944" s="2372"/>
      <c r="E944" s="2372"/>
      <c r="F944" s="2372"/>
      <c r="G944" s="2372"/>
      <c r="H944" s="2372"/>
      <c r="I944" s="2372"/>
      <c r="J944" s="2372"/>
      <c r="K944" s="2372"/>
      <c r="L944" s="2372"/>
      <c r="M944" s="2372"/>
      <c r="N944" s="2372"/>
      <c r="O944" s="2372"/>
      <c r="P944" s="2372"/>
      <c r="Q944" s="2372"/>
      <c r="R944" s="2372"/>
      <c r="S944" s="2372"/>
      <c r="T944" s="2372"/>
      <c r="U944" s="2372"/>
      <c r="V944" s="2372"/>
      <c r="W944" s="2372"/>
      <c r="X944" s="2372"/>
      <c r="Y944" s="2372"/>
      <c r="Z944" s="2372"/>
      <c r="AA944" s="2372"/>
      <c r="AB944" s="2372"/>
      <c r="AC944" s="2372"/>
      <c r="AD944" s="2372"/>
      <c r="AE944" s="2372"/>
      <c r="AF944" s="2372"/>
      <c r="AG944" s="2372"/>
      <c r="AH944" s="2372"/>
      <c r="AI944" s="2372"/>
      <c r="AJ944" s="2372"/>
      <c r="AK944" s="2372"/>
      <c r="AL944" s="2372"/>
      <c r="AM944" s="2372"/>
      <c r="AN944" s="2372"/>
      <c r="AO944" s="2372"/>
      <c r="AP944" s="2372"/>
      <c r="AQ944" s="2372"/>
      <c r="AR944" s="2372"/>
      <c r="AS944" s="2372"/>
      <c r="AT944" s="2372"/>
      <c r="AU944" s="2372"/>
      <c r="AV944" s="2372"/>
      <c r="AW944" s="2372"/>
      <c r="AX944" s="2372"/>
      <c r="AY944" s="2372"/>
      <c r="AZ944" s="2372"/>
      <c r="BA944" s="2372"/>
      <c r="BB944" s="2372"/>
      <c r="BC944" s="2372"/>
      <c r="BD944" s="2372"/>
      <c r="BE944" s="2372"/>
      <c r="BF944" s="2372"/>
      <c r="BG944" s="2372"/>
      <c r="BH944" s="2372"/>
      <c r="BI944" s="2372"/>
      <c r="BJ944" s="2372"/>
      <c r="BK944" s="2372"/>
      <c r="BL944" s="2372"/>
      <c r="BM944" s="2372"/>
      <c r="BN944" s="2372"/>
      <c r="BO944" s="2372"/>
      <c r="BP944" s="2372"/>
      <c r="BQ944" s="2372"/>
      <c r="BR944" s="2372"/>
      <c r="BS944" s="2372"/>
      <c r="BT944" s="2372"/>
      <c r="BU944" s="2372"/>
      <c r="BV944" s="2372"/>
      <c r="BW944" s="2372"/>
      <c r="BX944" s="2372"/>
      <c r="BY944" s="2372"/>
      <c r="BZ944" s="2372"/>
      <c r="CA944" s="2372"/>
      <c r="CB944" s="2372"/>
      <c r="CC944" s="2372"/>
      <c r="CD944" s="2372"/>
      <c r="CE944" s="2372"/>
      <c r="CF944" s="2372"/>
      <c r="CG944" s="2372"/>
      <c r="CH944" s="2372"/>
      <c r="CI944" s="2372"/>
      <c r="CJ944" s="2372"/>
      <c r="CK944" s="2372"/>
      <c r="CL944" s="2372"/>
      <c r="CM944" s="2372"/>
      <c r="CN944" s="2372"/>
      <c r="CO944" s="2372"/>
      <c r="CP944" s="2372"/>
      <c r="CQ944" s="2372"/>
      <c r="CR944" s="2372"/>
      <c r="CS944" s="2372"/>
      <c r="CT944" s="2372"/>
      <c r="CU944" s="2372"/>
      <c r="CV944" s="2372"/>
      <c r="CW944" s="2372"/>
      <c r="CX944" s="2372"/>
      <c r="CY944" s="2372"/>
      <c r="CZ944" s="2372"/>
      <c r="DA944" s="2372"/>
    </row>
    <row r="945" spans="1:105" ht="15" hidden="1" customHeight="1">
      <c r="A945" s="2372"/>
      <c r="B945" s="2372"/>
      <c r="C945" s="2372"/>
      <c r="D945" s="2372"/>
      <c r="E945" s="2372"/>
      <c r="F945" s="2372"/>
      <c r="G945" s="2372"/>
      <c r="H945" s="2372"/>
      <c r="I945" s="2372"/>
      <c r="J945" s="2372"/>
      <c r="K945" s="2372"/>
      <c r="L945" s="2372"/>
      <c r="M945" s="2372"/>
      <c r="N945" s="2372"/>
      <c r="O945" s="2372"/>
      <c r="P945" s="2372"/>
      <c r="Q945" s="2372"/>
      <c r="R945" s="2372"/>
      <c r="S945" s="2372"/>
      <c r="T945" s="2372"/>
      <c r="U945" s="2372"/>
      <c r="V945" s="2372"/>
      <c r="W945" s="2372"/>
      <c r="X945" s="2372"/>
      <c r="Y945" s="2372"/>
      <c r="Z945" s="2372"/>
      <c r="AA945" s="2372"/>
      <c r="AB945" s="2372"/>
      <c r="AC945" s="2372"/>
      <c r="AD945" s="2372"/>
      <c r="AE945" s="2372"/>
      <c r="AF945" s="2372"/>
      <c r="AG945" s="2372"/>
      <c r="AH945" s="2372"/>
      <c r="AI945" s="2372"/>
      <c r="AJ945" s="2372"/>
      <c r="AK945" s="2372"/>
      <c r="AL945" s="2372"/>
      <c r="AM945" s="2372"/>
      <c r="AN945" s="2372"/>
      <c r="AO945" s="2372"/>
      <c r="AP945" s="2372"/>
      <c r="AQ945" s="2372"/>
      <c r="AR945" s="2372"/>
      <c r="AS945" s="2372"/>
      <c r="AT945" s="2372"/>
      <c r="AU945" s="2372"/>
      <c r="AV945" s="2372"/>
      <c r="AW945" s="2372"/>
      <c r="AX945" s="2372"/>
      <c r="AY945" s="2372"/>
      <c r="AZ945" s="2372"/>
      <c r="BA945" s="2372"/>
      <c r="BB945" s="2372"/>
      <c r="BC945" s="2372"/>
      <c r="BD945" s="2372"/>
      <c r="BE945" s="2372"/>
      <c r="BF945" s="2372"/>
      <c r="BG945" s="2372"/>
      <c r="BH945" s="2372"/>
      <c r="BI945" s="2372"/>
      <c r="BJ945" s="2372"/>
      <c r="BK945" s="2372"/>
      <c r="BL945" s="2372"/>
      <c r="BM945" s="2372"/>
      <c r="BN945" s="2372"/>
      <c r="BO945" s="2372"/>
      <c r="BP945" s="2372"/>
      <c r="BQ945" s="2372"/>
      <c r="BR945" s="2372"/>
      <c r="BS945" s="2372"/>
      <c r="BT945" s="2372"/>
      <c r="BU945" s="2372"/>
      <c r="BV945" s="2372"/>
      <c r="BW945" s="2372"/>
      <c r="BX945" s="2372"/>
      <c r="BY945" s="2372"/>
      <c r="BZ945" s="2372"/>
      <c r="CA945" s="2372"/>
      <c r="CB945" s="2372"/>
      <c r="CC945" s="2372"/>
      <c r="CD945" s="2372"/>
      <c r="CE945" s="2372"/>
      <c r="CF945" s="2372"/>
      <c r="CG945" s="2372"/>
      <c r="CH945" s="2372"/>
      <c r="CI945" s="2372"/>
      <c r="CJ945" s="2372"/>
      <c r="CK945" s="2372"/>
      <c r="CL945" s="2372"/>
      <c r="CM945" s="2372"/>
      <c r="CN945" s="2372"/>
      <c r="CO945" s="2372"/>
      <c r="CP945" s="2372"/>
      <c r="CQ945" s="2372"/>
      <c r="CR945" s="2372"/>
      <c r="CS945" s="2372"/>
      <c r="CT945" s="2372"/>
      <c r="CU945" s="2372"/>
      <c r="CV945" s="2372"/>
      <c r="CW945" s="2372"/>
      <c r="CX945" s="2372"/>
      <c r="CY945" s="2372"/>
      <c r="CZ945" s="2372"/>
      <c r="DA945" s="2372"/>
    </row>
    <row r="946" spans="1:105" ht="15" hidden="1" customHeight="1">
      <c r="A946" s="2372"/>
      <c r="B946" s="2372"/>
      <c r="C946" s="2372"/>
      <c r="D946" s="2372"/>
      <c r="E946" s="2372"/>
      <c r="F946" s="2372"/>
      <c r="G946" s="2372"/>
      <c r="H946" s="2372"/>
      <c r="I946" s="2372"/>
      <c r="J946" s="2372"/>
      <c r="K946" s="2372"/>
      <c r="L946" s="2372"/>
      <c r="M946" s="2372"/>
      <c r="N946" s="2372"/>
      <c r="O946" s="2372"/>
      <c r="P946" s="2372"/>
      <c r="Q946" s="2372"/>
      <c r="R946" s="2372"/>
      <c r="S946" s="2372"/>
      <c r="T946" s="2372"/>
      <c r="U946" s="2372"/>
      <c r="V946" s="2372"/>
      <c r="W946" s="2372"/>
      <c r="X946" s="2372"/>
      <c r="Y946" s="2372"/>
      <c r="Z946" s="2372"/>
      <c r="AA946" s="2372"/>
      <c r="AB946" s="2372"/>
      <c r="AC946" s="2372"/>
      <c r="AD946" s="2372"/>
      <c r="AE946" s="2372"/>
      <c r="AF946" s="2372"/>
      <c r="AG946" s="2372"/>
      <c r="AH946" s="2372"/>
      <c r="AI946" s="2372"/>
      <c r="AJ946" s="2372"/>
      <c r="AK946" s="2372"/>
      <c r="AL946" s="2372"/>
      <c r="AM946" s="2372"/>
      <c r="AN946" s="2372"/>
      <c r="AO946" s="2372"/>
      <c r="AP946" s="2372"/>
      <c r="AQ946" s="2372"/>
      <c r="AR946" s="2372"/>
      <c r="AS946" s="2372"/>
      <c r="AT946" s="2372"/>
      <c r="AU946" s="2372"/>
      <c r="AV946" s="2372"/>
      <c r="AW946" s="2372"/>
      <c r="AX946" s="2372"/>
      <c r="AY946" s="2372"/>
      <c r="AZ946" s="2372"/>
      <c r="BA946" s="2372"/>
      <c r="BB946" s="2372"/>
      <c r="BC946" s="2372"/>
      <c r="BD946" s="2372"/>
      <c r="BE946" s="2372"/>
      <c r="BF946" s="2372"/>
      <c r="BG946" s="2372"/>
      <c r="BH946" s="2372"/>
      <c r="BI946" s="2372"/>
      <c r="BJ946" s="2372"/>
      <c r="BK946" s="2372"/>
      <c r="BL946" s="2372"/>
      <c r="BM946" s="2372"/>
      <c r="BN946" s="2372"/>
      <c r="BO946" s="2372"/>
      <c r="BP946" s="2372"/>
      <c r="BQ946" s="2372"/>
      <c r="BR946" s="2372"/>
      <c r="BS946" s="2372"/>
      <c r="BT946" s="2372"/>
      <c r="BU946" s="2372"/>
      <c r="BV946" s="2372"/>
      <c r="BW946" s="2372"/>
      <c r="BX946" s="2372"/>
      <c r="BY946" s="2372"/>
      <c r="BZ946" s="2372"/>
      <c r="CA946" s="2372"/>
      <c r="CB946" s="2372"/>
      <c r="CC946" s="2372"/>
      <c r="CD946" s="2372"/>
      <c r="CE946" s="2372"/>
      <c r="CF946" s="2372"/>
      <c r="CG946" s="2372"/>
      <c r="CH946" s="2372"/>
      <c r="CI946" s="2372"/>
      <c r="CJ946" s="2372"/>
      <c r="CK946" s="2372"/>
      <c r="CL946" s="2372"/>
      <c r="CM946" s="2372"/>
      <c r="CN946" s="2372"/>
      <c r="CO946" s="2372"/>
      <c r="CP946" s="2372"/>
      <c r="CQ946" s="2372"/>
      <c r="CR946" s="2372"/>
      <c r="CS946" s="2372"/>
      <c r="CT946" s="2372"/>
      <c r="CU946" s="2372"/>
      <c r="CV946" s="2372"/>
      <c r="CW946" s="2372"/>
      <c r="CX946" s="2372"/>
      <c r="CY946" s="2372"/>
      <c r="CZ946" s="2372"/>
      <c r="DA946" s="2372"/>
    </row>
    <row r="947" spans="1:105" ht="15" hidden="1" customHeight="1">
      <c r="A947" s="2372"/>
      <c r="B947" s="2372"/>
      <c r="C947" s="2372"/>
      <c r="D947" s="2372"/>
      <c r="E947" s="2372"/>
      <c r="F947" s="2372"/>
      <c r="G947" s="2372"/>
      <c r="H947" s="2372"/>
      <c r="I947" s="2372"/>
      <c r="J947" s="2372"/>
      <c r="K947" s="2372"/>
      <c r="L947" s="2372"/>
      <c r="M947" s="2372"/>
      <c r="N947" s="2372"/>
      <c r="O947" s="2372"/>
      <c r="P947" s="2372"/>
      <c r="Q947" s="2372"/>
      <c r="R947" s="2372"/>
      <c r="S947" s="2372"/>
      <c r="T947" s="2372"/>
      <c r="U947" s="2372"/>
      <c r="V947" s="2372"/>
      <c r="W947" s="2372"/>
      <c r="X947" s="2372"/>
      <c r="Y947" s="2372"/>
      <c r="Z947" s="2372"/>
      <c r="AA947" s="2372"/>
      <c r="AB947" s="2372"/>
      <c r="AC947" s="2372"/>
      <c r="AD947" s="2372"/>
      <c r="AE947" s="2372"/>
      <c r="AF947" s="2372"/>
      <c r="AG947" s="2372"/>
      <c r="AH947" s="2372"/>
      <c r="AI947" s="2372"/>
      <c r="AJ947" s="2372"/>
      <c r="AK947" s="2372"/>
      <c r="AL947" s="2372"/>
      <c r="AM947" s="2372"/>
      <c r="AN947" s="2372"/>
      <c r="AO947" s="2372"/>
      <c r="AP947" s="2372"/>
      <c r="AQ947" s="2372"/>
      <c r="AR947" s="2372"/>
      <c r="AS947" s="2372"/>
      <c r="AT947" s="2372"/>
      <c r="AU947" s="2372"/>
      <c r="AV947" s="2372"/>
      <c r="AW947" s="2372"/>
      <c r="AX947" s="2372"/>
      <c r="AY947" s="2372"/>
      <c r="AZ947" s="2372"/>
      <c r="BA947" s="2372"/>
      <c r="BB947" s="2372"/>
      <c r="BC947" s="2372"/>
      <c r="BD947" s="2372"/>
      <c r="BE947" s="2372"/>
      <c r="BF947" s="2372"/>
      <c r="BG947" s="2372"/>
      <c r="BH947" s="2372"/>
      <c r="BI947" s="2372"/>
      <c r="BJ947" s="2372"/>
      <c r="BK947" s="2372"/>
      <c r="BL947" s="2372"/>
      <c r="BM947" s="2372"/>
      <c r="BN947" s="2372"/>
      <c r="BO947" s="2372"/>
      <c r="BP947" s="2372"/>
      <c r="BQ947" s="2372"/>
      <c r="BR947" s="2372"/>
      <c r="BS947" s="2372"/>
      <c r="BT947" s="2372"/>
      <c r="BU947" s="2372"/>
      <c r="BV947" s="2372"/>
      <c r="BW947" s="2372"/>
      <c r="BX947" s="2372"/>
      <c r="BY947" s="2372"/>
      <c r="BZ947" s="2372"/>
      <c r="CA947" s="2372"/>
      <c r="CB947" s="2372"/>
      <c r="CC947" s="2372"/>
      <c r="CD947" s="2372"/>
      <c r="CE947" s="2372"/>
      <c r="CF947" s="2372"/>
      <c r="CG947" s="2372"/>
      <c r="CH947" s="2372"/>
      <c r="CI947" s="2372"/>
      <c r="CJ947" s="2372"/>
      <c r="CK947" s="2372"/>
      <c r="CL947" s="2372"/>
      <c r="CM947" s="2372"/>
      <c r="CN947" s="2372"/>
      <c r="CO947" s="2372"/>
      <c r="CP947" s="2372"/>
      <c r="CQ947" s="2372"/>
      <c r="CR947" s="2372"/>
      <c r="CS947" s="2372"/>
      <c r="CT947" s="2372"/>
      <c r="CU947" s="2372"/>
      <c r="CV947" s="2372"/>
      <c r="CW947" s="2372"/>
      <c r="CX947" s="2372"/>
      <c r="CY947" s="2372"/>
      <c r="CZ947" s="2372"/>
      <c r="DA947" s="2372"/>
    </row>
    <row r="948" spans="1:105" ht="15" hidden="1" customHeight="1">
      <c r="A948" s="2372"/>
      <c r="B948" s="2372"/>
      <c r="C948" s="2372"/>
      <c r="D948" s="2372"/>
      <c r="E948" s="2372"/>
      <c r="F948" s="2372"/>
      <c r="G948" s="2372"/>
      <c r="H948" s="2372"/>
      <c r="I948" s="2372"/>
      <c r="J948" s="2372"/>
      <c r="K948" s="2372"/>
      <c r="L948" s="2372"/>
      <c r="M948" s="2372"/>
      <c r="N948" s="2372"/>
      <c r="O948" s="2372"/>
      <c r="P948" s="2372"/>
      <c r="Q948" s="2372"/>
      <c r="R948" s="2372"/>
      <c r="S948" s="2372"/>
      <c r="T948" s="2372"/>
      <c r="U948" s="2372"/>
      <c r="V948" s="2372"/>
      <c r="W948" s="2372"/>
      <c r="X948" s="2372"/>
      <c r="Y948" s="2372"/>
      <c r="Z948" s="2372"/>
      <c r="AA948" s="2372"/>
      <c r="AB948" s="2372"/>
      <c r="AC948" s="2372"/>
      <c r="AD948" s="2372"/>
      <c r="AE948" s="2372"/>
      <c r="AF948" s="2372"/>
      <c r="AG948" s="2372"/>
      <c r="AH948" s="2372"/>
      <c r="AI948" s="2372"/>
      <c r="AJ948" s="2372"/>
      <c r="AK948" s="2372"/>
      <c r="AL948" s="2372"/>
      <c r="AM948" s="2372"/>
      <c r="AN948" s="2372"/>
      <c r="AO948" s="2372"/>
      <c r="AP948" s="2372"/>
      <c r="AQ948" s="2372"/>
      <c r="AR948" s="2372"/>
      <c r="AS948" s="2372"/>
      <c r="AT948" s="2372"/>
      <c r="AU948" s="2372"/>
      <c r="AV948" s="2372"/>
      <c r="AW948" s="2372"/>
      <c r="AX948" s="2372"/>
      <c r="AY948" s="2372"/>
      <c r="AZ948" s="2372"/>
      <c r="BA948" s="2372"/>
      <c r="BB948" s="2372"/>
      <c r="BC948" s="2372"/>
      <c r="BD948" s="2372"/>
      <c r="BE948" s="2372"/>
      <c r="BF948" s="2372"/>
      <c r="BG948" s="2372"/>
      <c r="BH948" s="2372"/>
      <c r="BI948" s="2372"/>
      <c r="BJ948" s="2372"/>
      <c r="BK948" s="2372"/>
      <c r="BL948" s="2372"/>
      <c r="BM948" s="2372"/>
      <c r="BN948" s="2372"/>
      <c r="BO948" s="2372"/>
      <c r="BP948" s="2372"/>
      <c r="BQ948" s="2372"/>
      <c r="BR948" s="2372"/>
      <c r="BS948" s="2372"/>
      <c r="BT948" s="2372"/>
      <c r="BU948" s="2372"/>
      <c r="BV948" s="2372"/>
      <c r="BW948" s="2372"/>
      <c r="BX948" s="2372"/>
      <c r="BY948" s="2372"/>
      <c r="BZ948" s="2372"/>
      <c r="CA948" s="2372"/>
      <c r="CB948" s="2372"/>
      <c r="CC948" s="2372"/>
      <c r="CD948" s="2372"/>
      <c r="CE948" s="2372"/>
      <c r="CF948" s="2372"/>
      <c r="CG948" s="2372"/>
      <c r="CH948" s="2372"/>
      <c r="CI948" s="2372"/>
      <c r="CJ948" s="2372"/>
      <c r="CK948" s="2372"/>
      <c r="CL948" s="2372"/>
      <c r="CM948" s="2372"/>
      <c r="CN948" s="2372"/>
      <c r="CO948" s="2372"/>
      <c r="CP948" s="2372"/>
      <c r="CQ948" s="2372"/>
      <c r="CR948" s="2372"/>
      <c r="CS948" s="2372"/>
      <c r="CT948" s="2372"/>
      <c r="CU948" s="2372"/>
      <c r="CV948" s="2372"/>
      <c r="CW948" s="2372"/>
      <c r="CX948" s="2372"/>
      <c r="CY948" s="2372"/>
      <c r="CZ948" s="2372"/>
      <c r="DA948" s="2372"/>
    </row>
    <row r="949" spans="1:105" ht="15" hidden="1" customHeight="1">
      <c r="A949" s="2372"/>
      <c r="B949" s="2372"/>
      <c r="C949" s="2372"/>
      <c r="D949" s="2372"/>
      <c r="E949" s="2372"/>
      <c r="F949" s="2372"/>
      <c r="G949" s="2372"/>
      <c r="H949" s="2372"/>
      <c r="I949" s="2372"/>
      <c r="J949" s="2372"/>
      <c r="K949" s="2372"/>
      <c r="L949" s="2372"/>
      <c r="M949" s="2372"/>
      <c r="N949" s="2372"/>
      <c r="O949" s="2372"/>
      <c r="P949" s="2372"/>
      <c r="Q949" s="2372"/>
      <c r="R949" s="2372"/>
      <c r="S949" s="2372"/>
      <c r="T949" s="2372"/>
      <c r="U949" s="2372"/>
      <c r="V949" s="2372"/>
      <c r="W949" s="2372"/>
      <c r="X949" s="2372"/>
      <c r="Y949" s="2372"/>
      <c r="Z949" s="2372"/>
      <c r="AA949" s="2372"/>
      <c r="AB949" s="2372"/>
      <c r="AC949" s="2372"/>
      <c r="AD949" s="2372"/>
      <c r="AE949" s="2372"/>
      <c r="AF949" s="2372"/>
      <c r="AG949" s="2372"/>
      <c r="AH949" s="2372"/>
      <c r="AI949" s="2372"/>
      <c r="AJ949" s="2372"/>
      <c r="AK949" s="2372"/>
      <c r="AL949" s="2372"/>
      <c r="AM949" s="2372"/>
      <c r="AN949" s="2372"/>
      <c r="AO949" s="2372"/>
      <c r="AP949" s="2372"/>
      <c r="AQ949" s="2372"/>
      <c r="AR949" s="2372"/>
      <c r="AS949" s="2372"/>
      <c r="AT949" s="2372"/>
      <c r="AU949" s="2372"/>
      <c r="AV949" s="2372"/>
      <c r="AW949" s="2372"/>
      <c r="AX949" s="2372"/>
      <c r="AY949" s="2372"/>
      <c r="AZ949" s="2372"/>
      <c r="BA949" s="2372"/>
      <c r="BB949" s="2372"/>
      <c r="BC949" s="2372"/>
      <c r="BD949" s="2372"/>
      <c r="BE949" s="2372"/>
      <c r="BF949" s="2372"/>
      <c r="BG949" s="2372"/>
      <c r="BH949" s="2372"/>
      <c r="BI949" s="2372"/>
      <c r="BJ949" s="2372"/>
      <c r="BK949" s="2372"/>
      <c r="BL949" s="2372"/>
      <c r="BM949" s="2372"/>
      <c r="BN949" s="2372"/>
      <c r="BO949" s="2372"/>
      <c r="BP949" s="2372"/>
      <c r="BQ949" s="2372"/>
      <c r="BR949" s="2372"/>
      <c r="BS949" s="2372"/>
      <c r="BT949" s="2372"/>
      <c r="BU949" s="2372"/>
      <c r="BV949" s="2372"/>
      <c r="BW949" s="2372"/>
      <c r="BX949" s="2372"/>
      <c r="BY949" s="2372"/>
      <c r="BZ949" s="2372"/>
      <c r="CA949" s="2372"/>
      <c r="CB949" s="2372"/>
      <c r="CC949" s="2372"/>
      <c r="CD949" s="2372"/>
      <c r="CE949" s="2372"/>
      <c r="CF949" s="2372"/>
      <c r="CG949" s="2372"/>
      <c r="CH949" s="2372"/>
      <c r="CI949" s="2372"/>
      <c r="CJ949" s="2372"/>
      <c r="CK949" s="2372"/>
      <c r="CL949" s="2372"/>
      <c r="CM949" s="2372"/>
      <c r="CN949" s="2372"/>
      <c r="CO949" s="2372"/>
      <c r="CP949" s="2372"/>
      <c r="CQ949" s="2372"/>
      <c r="CR949" s="2372"/>
      <c r="CS949" s="2372"/>
      <c r="CT949" s="2372"/>
      <c r="CU949" s="2372"/>
      <c r="CV949" s="2372"/>
      <c r="CW949" s="2372"/>
      <c r="CX949" s="2372"/>
      <c r="CY949" s="2372"/>
      <c r="CZ949" s="2372"/>
      <c r="DA949" s="2372"/>
    </row>
    <row r="950" spans="1:105" ht="15" hidden="1" customHeight="1">
      <c r="A950" s="2372"/>
      <c r="B950" s="2372"/>
      <c r="C950" s="2372"/>
      <c r="D950" s="2372"/>
      <c r="E950" s="2372"/>
      <c r="F950" s="2372"/>
      <c r="G950" s="2372"/>
      <c r="H950" s="2372"/>
      <c r="I950" s="2372"/>
      <c r="J950" s="2372"/>
      <c r="K950" s="2372"/>
      <c r="L950" s="2372"/>
      <c r="M950" s="2372"/>
      <c r="N950" s="2372"/>
      <c r="O950" s="2372"/>
      <c r="P950" s="2372"/>
      <c r="Q950" s="2372"/>
      <c r="R950" s="2372"/>
      <c r="S950" s="2372"/>
      <c r="T950" s="2372"/>
      <c r="U950" s="2372"/>
      <c r="V950" s="2372"/>
      <c r="W950" s="2372"/>
      <c r="X950" s="2372"/>
      <c r="Y950" s="2372"/>
      <c r="Z950" s="2372"/>
      <c r="AA950" s="2372"/>
      <c r="AB950" s="2372"/>
      <c r="AC950" s="2372"/>
      <c r="AD950" s="2372"/>
      <c r="AE950" s="2372"/>
      <c r="AF950" s="2372"/>
      <c r="AG950" s="2372"/>
      <c r="AH950" s="2372"/>
      <c r="AI950" s="2372"/>
      <c r="AJ950" s="2372"/>
      <c r="AK950" s="2372"/>
      <c r="AL950" s="2372"/>
      <c r="AM950" s="2372"/>
      <c r="AN950" s="2372"/>
      <c r="AO950" s="2372"/>
      <c r="AP950" s="2372"/>
      <c r="AQ950" s="2372"/>
      <c r="AR950" s="2372"/>
      <c r="AS950" s="2372"/>
      <c r="AT950" s="2372"/>
      <c r="AU950" s="2372"/>
      <c r="AV950" s="2372"/>
      <c r="AW950" s="2372"/>
      <c r="AX950" s="2372"/>
      <c r="AY950" s="2372"/>
      <c r="AZ950" s="2372"/>
      <c r="BA950" s="2372"/>
      <c r="BB950" s="2372"/>
      <c r="BC950" s="2372"/>
      <c r="BD950" s="2372"/>
      <c r="BE950" s="2372"/>
      <c r="BF950" s="2372"/>
      <c r="BG950" s="2372"/>
      <c r="BH950" s="2372"/>
      <c r="BI950" s="2372"/>
      <c r="BJ950" s="2372"/>
      <c r="BK950" s="2372"/>
      <c r="BL950" s="2372"/>
      <c r="BM950" s="2372"/>
      <c r="BN950" s="2372"/>
      <c r="BO950" s="2372"/>
      <c r="BP950" s="2372"/>
      <c r="BQ950" s="2372"/>
      <c r="BR950" s="2372"/>
      <c r="BS950" s="2372"/>
      <c r="BT950" s="2372"/>
      <c r="BU950" s="2372"/>
      <c r="BV950" s="2372"/>
      <c r="BW950" s="2372"/>
      <c r="BX950" s="2372"/>
      <c r="BY950" s="2372"/>
      <c r="BZ950" s="2372"/>
      <c r="CA950" s="2372"/>
      <c r="CB950" s="2372"/>
      <c r="CC950" s="2372"/>
      <c r="CD950" s="2372"/>
      <c r="CE950" s="2372"/>
      <c r="CF950" s="2372"/>
      <c r="CG950" s="2372"/>
      <c r="CH950" s="2372"/>
      <c r="CI950" s="2372"/>
      <c r="CJ950" s="2372"/>
      <c r="CK950" s="2372"/>
      <c r="CL950" s="2372"/>
      <c r="CM950" s="2372"/>
      <c r="CN950" s="2372"/>
      <c r="CO950" s="2372"/>
      <c r="CP950" s="2372"/>
      <c r="CQ950" s="2372"/>
      <c r="CR950" s="2372"/>
      <c r="CS950" s="2372"/>
      <c r="CT950" s="2372"/>
      <c r="CU950" s="2372"/>
      <c r="CV950" s="2372"/>
      <c r="CW950" s="2372"/>
      <c r="CX950" s="2372"/>
      <c r="CY950" s="2372"/>
      <c r="CZ950" s="2372"/>
      <c r="DA950" s="2372"/>
    </row>
    <row r="951" spans="1:105" ht="15" hidden="1" customHeight="1">
      <c r="A951" s="2372"/>
      <c r="B951" s="2372"/>
      <c r="C951" s="2372"/>
      <c r="D951" s="2372"/>
      <c r="E951" s="2372"/>
      <c r="F951" s="2372"/>
      <c r="G951" s="2372"/>
      <c r="H951" s="2372"/>
      <c r="I951" s="2372"/>
      <c r="J951" s="2372"/>
      <c r="K951" s="2372"/>
      <c r="L951" s="2372"/>
      <c r="M951" s="2372"/>
      <c r="N951" s="2372"/>
      <c r="O951" s="2372"/>
      <c r="P951" s="2372"/>
      <c r="Q951" s="2372"/>
      <c r="R951" s="2372"/>
      <c r="S951" s="2372"/>
      <c r="T951" s="2372"/>
      <c r="U951" s="2372"/>
      <c r="V951" s="2372"/>
      <c r="W951" s="2372"/>
      <c r="X951" s="2372"/>
      <c r="Y951" s="2372"/>
      <c r="Z951" s="2372"/>
      <c r="AA951" s="2372"/>
      <c r="AB951" s="2372"/>
      <c r="AC951" s="2372"/>
      <c r="AD951" s="2372"/>
      <c r="AE951" s="2372"/>
      <c r="AF951" s="2372"/>
      <c r="AG951" s="2372"/>
      <c r="AH951" s="2372"/>
      <c r="AI951" s="2372"/>
      <c r="AJ951" s="2372"/>
      <c r="AK951" s="2372"/>
      <c r="AL951" s="2372"/>
      <c r="AM951" s="2372"/>
      <c r="AN951" s="2372"/>
      <c r="AO951" s="2372"/>
      <c r="AP951" s="2372"/>
      <c r="AQ951" s="2372"/>
      <c r="AR951" s="2372"/>
      <c r="AS951" s="2372"/>
      <c r="AT951" s="2372"/>
      <c r="AU951" s="2372"/>
      <c r="AV951" s="2372"/>
      <c r="AW951" s="2372"/>
      <c r="AX951" s="2372"/>
      <c r="AY951" s="2372"/>
      <c r="AZ951" s="2372"/>
      <c r="BA951" s="2372"/>
      <c r="BB951" s="2372"/>
      <c r="BC951" s="2372"/>
      <c r="BD951" s="2372"/>
      <c r="BE951" s="2372"/>
      <c r="BF951" s="2372"/>
      <c r="BG951" s="2372"/>
      <c r="BH951" s="2372"/>
      <c r="BI951" s="2372"/>
      <c r="BJ951" s="2372"/>
      <c r="BK951" s="2372"/>
      <c r="BL951" s="2372"/>
      <c r="BM951" s="2372"/>
      <c r="BN951" s="2372"/>
      <c r="BO951" s="2372"/>
      <c r="BP951" s="2372"/>
      <c r="BQ951" s="2372"/>
      <c r="BR951" s="2372"/>
      <c r="BS951" s="2372"/>
      <c r="BT951" s="2372"/>
      <c r="BU951" s="2372"/>
      <c r="BV951" s="2372"/>
      <c r="BW951" s="2372"/>
      <c r="BX951" s="2372"/>
      <c r="BY951" s="2372"/>
      <c r="BZ951" s="2372"/>
      <c r="CA951" s="2372"/>
      <c r="CB951" s="2372"/>
      <c r="CC951" s="2372"/>
      <c r="CD951" s="2372"/>
      <c r="CE951" s="2372"/>
      <c r="CF951" s="2372"/>
      <c r="CG951" s="2372"/>
      <c r="CH951" s="2372"/>
      <c r="CI951" s="2372"/>
      <c r="CJ951" s="2372"/>
      <c r="CK951" s="2372"/>
      <c r="CL951" s="2372"/>
      <c r="CM951" s="2372"/>
      <c r="CN951" s="2372"/>
      <c r="CO951" s="2372"/>
      <c r="CP951" s="2372"/>
      <c r="CQ951" s="2372"/>
      <c r="CR951" s="2372"/>
      <c r="CS951" s="2372"/>
      <c r="CT951" s="2372"/>
      <c r="CU951" s="2372"/>
      <c r="CV951" s="2372"/>
      <c r="CW951" s="2372"/>
      <c r="CX951" s="2372"/>
      <c r="CY951" s="2372"/>
      <c r="CZ951" s="2372"/>
      <c r="DA951" s="2372"/>
    </row>
  </sheetData>
  <mergeCells count="627">
    <mergeCell ref="AC85:AF85"/>
    <mergeCell ref="AC86:AF86"/>
    <mergeCell ref="K85:U85"/>
    <mergeCell ref="K84:U84"/>
    <mergeCell ref="K86:U86"/>
    <mergeCell ref="X84:Z84"/>
    <mergeCell ref="V84:W84"/>
    <mergeCell ref="V24:W24"/>
    <mergeCell ref="X86:Z86"/>
    <mergeCell ref="X85:Z85"/>
    <mergeCell ref="AA86:AB86"/>
    <mergeCell ref="AA85:AB85"/>
    <mergeCell ref="AA84:AB84"/>
    <mergeCell ref="X38:Z38"/>
    <mergeCell ref="X35:Z35"/>
    <mergeCell ref="X36:Z36"/>
    <mergeCell ref="X37:Z37"/>
    <mergeCell ref="V80:W80"/>
    <mergeCell ref="V79:W79"/>
    <mergeCell ref="V78:W78"/>
    <mergeCell ref="V81:W81"/>
    <mergeCell ref="V82:W82"/>
    <mergeCell ref="AA78:AB78"/>
    <mergeCell ref="AA80:AB80"/>
    <mergeCell ref="V30:W30"/>
    <mergeCell ref="X52:Z52"/>
    <mergeCell ref="X53:Z53"/>
    <mergeCell ref="X50:Z50"/>
    <mergeCell ref="X51:Z51"/>
    <mergeCell ref="V46:W46"/>
    <mergeCell ref="V37:W37"/>
    <mergeCell ref="V36:W36"/>
    <mergeCell ref="AC84:AF84"/>
    <mergeCell ref="AA82:AB82"/>
    <mergeCell ref="AC71:AF71"/>
    <mergeCell ref="AC73:AF73"/>
    <mergeCell ref="AC76:AF76"/>
    <mergeCell ref="X46:Z46"/>
    <mergeCell ref="X45:Z45"/>
    <mergeCell ref="X47:Z47"/>
    <mergeCell ref="X48:Z48"/>
    <mergeCell ref="X49:Z49"/>
    <mergeCell ref="X75:Z75"/>
    <mergeCell ref="AC48:AF48"/>
    <mergeCell ref="AC43:AF43"/>
    <mergeCell ref="AC56:AF56"/>
    <mergeCell ref="AC57:AF57"/>
    <mergeCell ref="AC39:AF39"/>
    <mergeCell ref="V86:W86"/>
    <mergeCell ref="V85:W85"/>
    <mergeCell ref="X73:Z73"/>
    <mergeCell ref="X79:Z79"/>
    <mergeCell ref="V65:W65"/>
    <mergeCell ref="X74:Z74"/>
    <mergeCell ref="X69:Z69"/>
    <mergeCell ref="X70:Z70"/>
    <mergeCell ref="V71:W71"/>
    <mergeCell ref="V70:W70"/>
    <mergeCell ref="V74:W74"/>
    <mergeCell ref="V73:W73"/>
    <mergeCell ref="X77:Z77"/>
    <mergeCell ref="X76:Z76"/>
    <mergeCell ref="X28:Z28"/>
    <mergeCell ref="AA36:AB36"/>
    <mergeCell ref="AA30:AB30"/>
    <mergeCell ref="AA26:AB26"/>
    <mergeCell ref="AA27:AB27"/>
    <mergeCell ref="AA28:AB28"/>
    <mergeCell ref="AA35:AB35"/>
    <mergeCell ref="AB12:AD12"/>
    <mergeCell ref="AB11:AD11"/>
    <mergeCell ref="AA14:AE14"/>
    <mergeCell ref="AA16:AF16"/>
    <mergeCell ref="X26:Z26"/>
    <mergeCell ref="X25:Z25"/>
    <mergeCell ref="AA24:AB24"/>
    <mergeCell ref="AA25:AB25"/>
    <mergeCell ref="X18:Z18"/>
    <mergeCell ref="AC24:AF24"/>
    <mergeCell ref="AC35:AF35"/>
    <mergeCell ref="X27:Z27"/>
    <mergeCell ref="AA22:AB22"/>
    <mergeCell ref="AA21:AB21"/>
    <mergeCell ref="X21:Z21"/>
    <mergeCell ref="AA20:AB20"/>
    <mergeCell ref="AB13:AD13"/>
    <mergeCell ref="K78:U78"/>
    <mergeCell ref="K81:U81"/>
    <mergeCell ref="K82:U82"/>
    <mergeCell ref="V83:W83"/>
    <mergeCell ref="AC83:AF83"/>
    <mergeCell ref="AA83:AB83"/>
    <mergeCell ref="AA81:AB81"/>
    <mergeCell ref="X81:Z81"/>
    <mergeCell ref="X80:Z80"/>
    <mergeCell ref="X82:Z82"/>
    <mergeCell ref="K83:U83"/>
    <mergeCell ref="AA79:AB79"/>
    <mergeCell ref="AC81:AF81"/>
    <mergeCell ref="AC80:AF80"/>
    <mergeCell ref="K79:U79"/>
    <mergeCell ref="K80:U80"/>
    <mergeCell ref="X83:Z83"/>
    <mergeCell ref="AC79:AF79"/>
    <mergeCell ref="AC78:AF78"/>
    <mergeCell ref="AC82:AF82"/>
    <mergeCell ref="X78:Z78"/>
    <mergeCell ref="C2:H3"/>
    <mergeCell ref="C4:H4"/>
    <mergeCell ref="I3:J3"/>
    <mergeCell ref="K3:L3"/>
    <mergeCell ref="K8:L8"/>
    <mergeCell ref="V8:W8"/>
    <mergeCell ref="V9:W9"/>
    <mergeCell ref="C39:D39"/>
    <mergeCell ref="C38:D38"/>
    <mergeCell ref="C34:G35"/>
    <mergeCell ref="C31:D31"/>
    <mergeCell ref="I31:J31"/>
    <mergeCell ref="C30:D30"/>
    <mergeCell ref="Q31:U31"/>
    <mergeCell ref="C37:D37"/>
    <mergeCell ref="C36:D36"/>
    <mergeCell ref="K36:U36"/>
    <mergeCell ref="K35:U35"/>
    <mergeCell ref="E36:J36"/>
    <mergeCell ref="E37:J37"/>
    <mergeCell ref="V18:W18"/>
    <mergeCell ref="V29:W29"/>
    <mergeCell ref="V26:W26"/>
    <mergeCell ref="V25:W25"/>
    <mergeCell ref="N7:O7"/>
    <mergeCell ref="I8:J8"/>
    <mergeCell ref="C8:H8"/>
    <mergeCell ref="C6:H6"/>
    <mergeCell ref="P8:S8"/>
    <mergeCell ref="T9:U9"/>
    <mergeCell ref="T8:U8"/>
    <mergeCell ref="P9:S9"/>
    <mergeCell ref="C7:H7"/>
    <mergeCell ref="I7:J7"/>
    <mergeCell ref="C9:D10"/>
    <mergeCell ref="N8:O8"/>
    <mergeCell ref="N9:O9"/>
    <mergeCell ref="T7:U7"/>
    <mergeCell ref="I9:L10"/>
    <mergeCell ref="F10:G10"/>
    <mergeCell ref="P10:S10"/>
    <mergeCell ref="T10:U10"/>
    <mergeCell ref="C5:H5"/>
    <mergeCell ref="E63:J63"/>
    <mergeCell ref="E62:J62"/>
    <mergeCell ref="E68:J68"/>
    <mergeCell ref="I25:J25"/>
    <mergeCell ref="I22:K22"/>
    <mergeCell ref="G19:H19"/>
    <mergeCell ref="G20:H20"/>
    <mergeCell ref="E23:F23"/>
    <mergeCell ref="G22:H22"/>
    <mergeCell ref="K7:L7"/>
    <mergeCell ref="E38:J38"/>
    <mergeCell ref="E39:J39"/>
    <mergeCell ref="E42:J42"/>
    <mergeCell ref="E43:J43"/>
    <mergeCell ref="K44:U44"/>
    <mergeCell ref="K41:U41"/>
    <mergeCell ref="K42:U42"/>
    <mergeCell ref="K43:U43"/>
    <mergeCell ref="E41:J41"/>
    <mergeCell ref="E46:J46"/>
    <mergeCell ref="E31:H31"/>
    <mergeCell ref="E40:J40"/>
    <mergeCell ref="E44:J44"/>
    <mergeCell ref="C53:D53"/>
    <mergeCell ref="C54:D54"/>
    <mergeCell ref="E56:J56"/>
    <mergeCell ref="E55:J55"/>
    <mergeCell ref="C51:D51"/>
    <mergeCell ref="C50:D50"/>
    <mergeCell ref="C52:D52"/>
    <mergeCell ref="E51:J51"/>
    <mergeCell ref="C47:D47"/>
    <mergeCell ref="C49:D49"/>
    <mergeCell ref="C48:D48"/>
    <mergeCell ref="E49:J49"/>
    <mergeCell ref="E48:J48"/>
    <mergeCell ref="E47:J47"/>
    <mergeCell ref="I4:J4"/>
    <mergeCell ref="K4:L4"/>
    <mergeCell ref="N10:O10"/>
    <mergeCell ref="N6:O6"/>
    <mergeCell ref="N5:O5"/>
    <mergeCell ref="P7:S7"/>
    <mergeCell ref="P4:S4"/>
    <mergeCell ref="N4:O4"/>
    <mergeCell ref="C19:D19"/>
    <mergeCell ref="K6:L6"/>
    <mergeCell ref="I6:J6"/>
    <mergeCell ref="P5:S5"/>
    <mergeCell ref="I5:J5"/>
    <mergeCell ref="K5:L5"/>
    <mergeCell ref="N12:O12"/>
    <mergeCell ref="N11:O11"/>
    <mergeCell ref="L19:M19"/>
    <mergeCell ref="F13:G13"/>
    <mergeCell ref="F12:G12"/>
    <mergeCell ref="C18:D18"/>
    <mergeCell ref="C16:E17"/>
    <mergeCell ref="F11:G11"/>
    <mergeCell ref="D11:E11"/>
    <mergeCell ref="B11:C11"/>
    <mergeCell ref="E29:H29"/>
    <mergeCell ref="E30:H30"/>
    <mergeCell ref="I30:J30"/>
    <mergeCell ref="I29:J29"/>
    <mergeCell ref="E28:H28"/>
    <mergeCell ref="E26:H26"/>
    <mergeCell ref="D13:E13"/>
    <mergeCell ref="D12:E12"/>
    <mergeCell ref="G21:H21"/>
    <mergeCell ref="I26:J26"/>
    <mergeCell ref="I21:K21"/>
    <mergeCell ref="E27:H27"/>
    <mergeCell ref="I27:J27"/>
    <mergeCell ref="G18:H18"/>
    <mergeCell ref="I28:J28"/>
    <mergeCell ref="C27:D27"/>
    <mergeCell ref="C28:D28"/>
    <mergeCell ref="C20:D20"/>
    <mergeCell ref="C24:F25"/>
    <mergeCell ref="C21:D21"/>
    <mergeCell ref="C22:D22"/>
    <mergeCell ref="C23:D23"/>
    <mergeCell ref="C26:D26"/>
    <mergeCell ref="C29:D29"/>
    <mergeCell ref="L21:M21"/>
    <mergeCell ref="H17:J17"/>
    <mergeCell ref="J13:M14"/>
    <mergeCell ref="N13:O13"/>
    <mergeCell ref="P11:S11"/>
    <mergeCell ref="J12:M12"/>
    <mergeCell ref="Q25:U25"/>
    <mergeCell ref="Q18:U18"/>
    <mergeCell ref="I18:K18"/>
    <mergeCell ref="Q20:U20"/>
    <mergeCell ref="J11:M11"/>
    <mergeCell ref="T12:U12"/>
    <mergeCell ref="P16:U17"/>
    <mergeCell ref="Q21:U21"/>
    <mergeCell ref="I20:K20"/>
    <mergeCell ref="I19:K19"/>
    <mergeCell ref="L20:M20"/>
    <mergeCell ref="Q23:U23"/>
    <mergeCell ref="P12:S12"/>
    <mergeCell ref="K71:U71"/>
    <mergeCell ref="K30:N30"/>
    <mergeCell ref="K29:N29"/>
    <mergeCell ref="K28:N28"/>
    <mergeCell ref="K27:N27"/>
    <mergeCell ref="Q30:U30"/>
    <mergeCell ref="E59:J59"/>
    <mergeCell ref="E60:J60"/>
    <mergeCell ref="E58:J58"/>
    <mergeCell ref="E71:J71"/>
    <mergeCell ref="E66:J66"/>
    <mergeCell ref="E67:J67"/>
    <mergeCell ref="E52:J52"/>
    <mergeCell ref="E54:J54"/>
    <mergeCell ref="E53:J53"/>
    <mergeCell ref="E61:J61"/>
    <mergeCell ref="E57:J57"/>
    <mergeCell ref="E45:J45"/>
    <mergeCell ref="E64:J64"/>
    <mergeCell ref="E65:J65"/>
    <mergeCell ref="E69:J69"/>
    <mergeCell ref="K65:U65"/>
    <mergeCell ref="K64:U64"/>
    <mergeCell ref="K70:U70"/>
    <mergeCell ref="K77:U77"/>
    <mergeCell ref="AC66:AF66"/>
    <mergeCell ref="AC65:AF65"/>
    <mergeCell ref="AC61:AF61"/>
    <mergeCell ref="AC64:AF64"/>
    <mergeCell ref="K72:U72"/>
    <mergeCell ref="K74:U74"/>
    <mergeCell ref="K73:U73"/>
    <mergeCell ref="AC67:AF67"/>
    <mergeCell ref="AC68:AF68"/>
    <mergeCell ref="V76:W76"/>
    <mergeCell ref="V77:W77"/>
    <mergeCell ref="AC77:AF77"/>
    <mergeCell ref="AA76:AB76"/>
    <mergeCell ref="AC75:AF75"/>
    <mergeCell ref="AA75:AB75"/>
    <mergeCell ref="AC74:AF74"/>
    <mergeCell ref="AC62:AF62"/>
    <mergeCell ref="V66:W66"/>
    <mergeCell ref="X66:Z66"/>
    <mergeCell ref="V72:W72"/>
    <mergeCell ref="X72:Z72"/>
    <mergeCell ref="V63:W63"/>
    <mergeCell ref="AC72:AF72"/>
    <mergeCell ref="K76:U76"/>
    <mergeCell ref="K75:U75"/>
    <mergeCell ref="AA74:AB74"/>
    <mergeCell ref="AC70:AF70"/>
    <mergeCell ref="AC26:AF26"/>
    <mergeCell ref="AC25:AF25"/>
    <mergeCell ref="AC27:AF27"/>
    <mergeCell ref="K58:U58"/>
    <mergeCell ref="K59:U59"/>
    <mergeCell ref="K60:U60"/>
    <mergeCell ref="AC63:AF63"/>
    <mergeCell ref="AC69:AF69"/>
    <mergeCell ref="K63:U63"/>
    <mergeCell ref="K62:U62"/>
    <mergeCell ref="K61:U61"/>
    <mergeCell ref="V62:W62"/>
    <mergeCell ref="K67:U67"/>
    <mergeCell ref="K66:U66"/>
    <mergeCell ref="AA64:AB64"/>
    <mergeCell ref="X63:Z63"/>
    <mergeCell ref="Q28:U28"/>
    <mergeCell ref="Q29:U29"/>
    <mergeCell ref="V35:W35"/>
    <mergeCell ref="V39:W39"/>
    <mergeCell ref="K68:U68"/>
    <mergeCell ref="K69:U69"/>
    <mergeCell ref="K57:U57"/>
    <mergeCell ref="K56:U56"/>
    <mergeCell ref="V57:W57"/>
    <mergeCell ref="V56:W56"/>
    <mergeCell ref="AA48:AB48"/>
    <mergeCell ref="AA55:AB55"/>
    <mergeCell ref="AA57:AB57"/>
    <mergeCell ref="AA49:AB49"/>
    <mergeCell ref="AA53:AB53"/>
    <mergeCell ref="AA52:AB52"/>
    <mergeCell ref="X56:Z56"/>
    <mergeCell ref="X57:Z57"/>
    <mergeCell ref="AA58:AB58"/>
    <mergeCell ref="AA56:AB56"/>
    <mergeCell ref="K50:U50"/>
    <mergeCell ref="V60:W60"/>
    <mergeCell ref="X60:Z60"/>
    <mergeCell ref="AA60:AB60"/>
    <mergeCell ref="AC40:AF40"/>
    <mergeCell ref="AC36:AF36"/>
    <mergeCell ref="AC37:AF37"/>
    <mergeCell ref="V58:W58"/>
    <mergeCell ref="K40:U40"/>
    <mergeCell ref="V42:W42"/>
    <mergeCell ref="V53:W53"/>
    <mergeCell ref="V54:W54"/>
    <mergeCell ref="K47:U47"/>
    <mergeCell ref="K45:U45"/>
    <mergeCell ref="K46:U46"/>
    <mergeCell ref="K49:U49"/>
    <mergeCell ref="X39:Z39"/>
    <mergeCell ref="K52:U52"/>
    <mergeCell ref="K53:U53"/>
    <mergeCell ref="K55:U55"/>
    <mergeCell ref="K54:U54"/>
    <mergeCell ref="K51:U51"/>
    <mergeCell ref="V50:W50"/>
    <mergeCell ref="X41:Z41"/>
    <mergeCell ref="K48:U48"/>
    <mergeCell ref="AA54:AB54"/>
    <mergeCell ref="AA51:AB51"/>
    <mergeCell ref="AA50:AB50"/>
    <mergeCell ref="BR18:BT18"/>
    <mergeCell ref="BH18:BP18"/>
    <mergeCell ref="BQ17:BT17"/>
    <mergeCell ref="BU17:BX17"/>
    <mergeCell ref="BH19:BP19"/>
    <mergeCell ref="BH22:BP22"/>
    <mergeCell ref="BH23:BP23"/>
    <mergeCell ref="CA17:CD17"/>
    <mergeCell ref="BR20:BT20"/>
    <mergeCell ref="BR21:BT21"/>
    <mergeCell ref="BR19:BT19"/>
    <mergeCell ref="BH21:BP21"/>
    <mergeCell ref="BH20:BP20"/>
    <mergeCell ref="BV19:BX19"/>
    <mergeCell ref="BV18:BX18"/>
    <mergeCell ref="CB19:CD19"/>
    <mergeCell ref="CB18:CD18"/>
    <mergeCell ref="BR23:BT23"/>
    <mergeCell ref="BR22:BT22"/>
    <mergeCell ref="CB22:CD22"/>
    <mergeCell ref="CB21:CD21"/>
    <mergeCell ref="BV21:BX21"/>
    <mergeCell ref="BV20:BX20"/>
    <mergeCell ref="BV22:BX22"/>
    <mergeCell ref="CB20:CD20"/>
    <mergeCell ref="BV23:BX23"/>
    <mergeCell ref="CB23:CD23"/>
    <mergeCell ref="X23:Z23"/>
    <mergeCell ref="AC23:AF23"/>
    <mergeCell ref="AA23:AB23"/>
    <mergeCell ref="AC22:AF22"/>
    <mergeCell ref="X22:Z22"/>
    <mergeCell ref="AC20:AF20"/>
    <mergeCell ref="AC21:AF21"/>
    <mergeCell ref="AC60:AF60"/>
    <mergeCell ref="V48:W48"/>
    <mergeCell ref="AC44:AF44"/>
    <mergeCell ref="AC47:AF47"/>
    <mergeCell ref="AC46:AF46"/>
    <mergeCell ref="AC45:AF45"/>
    <mergeCell ref="V55:W55"/>
    <mergeCell ref="V27:W27"/>
    <mergeCell ref="V28:W28"/>
    <mergeCell ref="AA47:AB47"/>
    <mergeCell ref="AA46:AB46"/>
    <mergeCell ref="AA45:AB45"/>
    <mergeCell ref="AA44:AB44"/>
    <mergeCell ref="X29:Z29"/>
    <mergeCell ref="AA31:AB31"/>
    <mergeCell ref="X31:Z31"/>
    <mergeCell ref="X30:Z30"/>
    <mergeCell ref="AA29:AB29"/>
    <mergeCell ref="X40:Z40"/>
    <mergeCell ref="X42:Z42"/>
    <mergeCell ref="X43:Z43"/>
    <mergeCell ref="X44:Z44"/>
    <mergeCell ref="AC55:AF55"/>
    <mergeCell ref="AC51:AF51"/>
    <mergeCell ref="V3:W3"/>
    <mergeCell ref="V6:W6"/>
    <mergeCell ref="AA77:AB77"/>
    <mergeCell ref="V75:W75"/>
    <mergeCell ref="V67:W67"/>
    <mergeCell ref="V69:W69"/>
    <mergeCell ref="V68:W68"/>
    <mergeCell ref="X62:Z62"/>
    <mergeCell ref="AA63:AB63"/>
    <mergeCell ref="X71:Z71"/>
    <mergeCell ref="X67:Z67"/>
    <mergeCell ref="X68:Z68"/>
    <mergeCell ref="X65:Z65"/>
    <mergeCell ref="AA70:AB70"/>
    <mergeCell ref="AA71:AB71"/>
    <mergeCell ref="AA72:AB72"/>
    <mergeCell ref="AA73:AB73"/>
    <mergeCell ref="V64:W64"/>
    <mergeCell ref="AA69:AB69"/>
    <mergeCell ref="AA65:AB65"/>
    <mergeCell ref="AA66:AB66"/>
    <mergeCell ref="AA67:AB67"/>
    <mergeCell ref="AA68:AB68"/>
    <mergeCell ref="V31:W31"/>
    <mergeCell ref="Z3:AA3"/>
    <mergeCell ref="AB3:AD3"/>
    <mergeCell ref="AA2:AE2"/>
    <mergeCell ref="X6:Y6"/>
    <mergeCell ref="X7:Y7"/>
    <mergeCell ref="X3:Y3"/>
    <mergeCell ref="AB4:AD4"/>
    <mergeCell ref="X4:Y4"/>
    <mergeCell ref="AC17:AF17"/>
    <mergeCell ref="Z12:AA12"/>
    <mergeCell ref="X12:Y12"/>
    <mergeCell ref="X11:Y11"/>
    <mergeCell ref="Z11:AA11"/>
    <mergeCell ref="T3:U3"/>
    <mergeCell ref="N2:R3"/>
    <mergeCell ref="Z5:AA5"/>
    <mergeCell ref="Z4:AA4"/>
    <mergeCell ref="T6:U6"/>
    <mergeCell ref="P6:S6"/>
    <mergeCell ref="V5:W5"/>
    <mergeCell ref="V40:W40"/>
    <mergeCell ref="X13:Y13"/>
    <mergeCell ref="V20:W20"/>
    <mergeCell ref="K17:N17"/>
    <mergeCell ref="X19:Z19"/>
    <mergeCell ref="V19:W19"/>
    <mergeCell ref="Q19:U19"/>
    <mergeCell ref="Q22:U22"/>
    <mergeCell ref="V23:W23"/>
    <mergeCell ref="V22:W22"/>
    <mergeCell ref="V21:W21"/>
    <mergeCell ref="K31:N31"/>
    <mergeCell ref="K37:U37"/>
    <mergeCell ref="K38:U38"/>
    <mergeCell ref="K39:U39"/>
    <mergeCell ref="V38:W38"/>
    <mergeCell ref="V4:W4"/>
    <mergeCell ref="AC38:AF38"/>
    <mergeCell ref="AC58:AF58"/>
    <mergeCell ref="AC59:AF59"/>
    <mergeCell ref="AA19:AB19"/>
    <mergeCell ref="X20:Z20"/>
    <mergeCell ref="AA18:AB18"/>
    <mergeCell ref="X24:Z24"/>
    <mergeCell ref="AC52:AF52"/>
    <mergeCell ref="AC42:AF42"/>
    <mergeCell ref="AC41:AF41"/>
    <mergeCell ref="AC28:AF28"/>
    <mergeCell ref="AC31:AF31"/>
    <mergeCell ref="AC30:AF30"/>
    <mergeCell ref="AC29:AF29"/>
    <mergeCell ref="AC49:AF49"/>
    <mergeCell ref="AC50:AF50"/>
    <mergeCell ref="AC54:AF54"/>
    <mergeCell ref="AC53:AF53"/>
    <mergeCell ref="AC19:AF19"/>
    <mergeCell ref="AC18:AF18"/>
    <mergeCell ref="AA37:AB37"/>
    <mergeCell ref="AA40:AB40"/>
    <mergeCell ref="AA38:AB38"/>
    <mergeCell ref="AA39:AB39"/>
    <mergeCell ref="E72:J72"/>
    <mergeCell ref="C63:D63"/>
    <mergeCell ref="T11:U11"/>
    <mergeCell ref="P13:S13"/>
    <mergeCell ref="T13:U13"/>
    <mergeCell ref="V11:W11"/>
    <mergeCell ref="AB7:AD7"/>
    <mergeCell ref="AB6:AD6"/>
    <mergeCell ref="T4:U4"/>
    <mergeCell ref="T5:U5"/>
    <mergeCell ref="V7:W7"/>
    <mergeCell ref="AB5:AD5"/>
    <mergeCell ref="Z6:AA6"/>
    <mergeCell ref="X8:Y8"/>
    <mergeCell ref="X9:Y9"/>
    <mergeCell ref="Z10:AA10"/>
    <mergeCell ref="X10:Y10"/>
    <mergeCell ref="Z7:AA7"/>
    <mergeCell ref="AB8:AD8"/>
    <mergeCell ref="X5:Y5"/>
    <mergeCell ref="Z8:AA8"/>
    <mergeCell ref="Z9:AA9"/>
    <mergeCell ref="AB10:AD10"/>
    <mergeCell ref="AB9:AD9"/>
    <mergeCell ref="C41:D41"/>
    <mergeCell ref="C42:D42"/>
    <mergeCell ref="Z13:AA13"/>
    <mergeCell ref="X64:Z64"/>
    <mergeCell ref="AA62:AB62"/>
    <mergeCell ref="C40:D40"/>
    <mergeCell ref="C46:D46"/>
    <mergeCell ref="C43:D43"/>
    <mergeCell ref="C45:D45"/>
    <mergeCell ref="C44:D44"/>
    <mergeCell ref="C58:D58"/>
    <mergeCell ref="C59:D59"/>
    <mergeCell ref="C60:D60"/>
    <mergeCell ref="C61:D61"/>
    <mergeCell ref="V47:W47"/>
    <mergeCell ref="V43:W43"/>
    <mergeCell ref="V41:W41"/>
    <mergeCell ref="V45:W45"/>
    <mergeCell ref="V44:W44"/>
    <mergeCell ref="X59:Z59"/>
    <mergeCell ref="X58:Z58"/>
    <mergeCell ref="AA59:AB59"/>
    <mergeCell ref="V51:W51"/>
    <mergeCell ref="V52:W52"/>
    <mergeCell ref="V10:W10"/>
    <mergeCell ref="V12:W12"/>
    <mergeCell ref="V61:W61"/>
    <mergeCell ref="X61:Z61"/>
    <mergeCell ref="AA61:AB61"/>
    <mergeCell ref="E50:J50"/>
    <mergeCell ref="V59:W59"/>
    <mergeCell ref="AA43:AB43"/>
    <mergeCell ref="AA42:AB42"/>
    <mergeCell ref="AA41:AB41"/>
    <mergeCell ref="X17:Z17"/>
    <mergeCell ref="AA17:AB17"/>
    <mergeCell ref="V13:W13"/>
    <mergeCell ref="V17:W17"/>
    <mergeCell ref="V49:W49"/>
    <mergeCell ref="X54:Z54"/>
    <mergeCell ref="X55:Z55"/>
    <mergeCell ref="Q27:U27"/>
    <mergeCell ref="K25:L25"/>
    <mergeCell ref="K26:N26"/>
    <mergeCell ref="Q24:U24"/>
    <mergeCell ref="Q26:U26"/>
    <mergeCell ref="L18:M18"/>
    <mergeCell ref="L22:M22"/>
    <mergeCell ref="E86:J86"/>
    <mergeCell ref="C86:D86"/>
    <mergeCell ref="C83:D83"/>
    <mergeCell ref="E76:J76"/>
    <mergeCell ref="E77:J77"/>
    <mergeCell ref="E78:J78"/>
    <mergeCell ref="E82:J82"/>
    <mergeCell ref="C82:D82"/>
    <mergeCell ref="C81:D81"/>
    <mergeCell ref="C79:D79"/>
    <mergeCell ref="C80:D80"/>
    <mergeCell ref="E81:J81"/>
    <mergeCell ref="E80:J80"/>
    <mergeCell ref="E83:J83"/>
    <mergeCell ref="E85:J85"/>
    <mergeCell ref="C85:D85"/>
    <mergeCell ref="E84:J84"/>
    <mergeCell ref="C84:D84"/>
    <mergeCell ref="C62:D62"/>
    <mergeCell ref="C65:D65"/>
    <mergeCell ref="C66:D66"/>
    <mergeCell ref="C67:D67"/>
    <mergeCell ref="C64:D64"/>
    <mergeCell ref="C68:D68"/>
    <mergeCell ref="C55:D55"/>
    <mergeCell ref="C56:D56"/>
    <mergeCell ref="E79:J79"/>
    <mergeCell ref="C69:D69"/>
    <mergeCell ref="C71:D71"/>
    <mergeCell ref="C70:D70"/>
    <mergeCell ref="C57:D57"/>
    <mergeCell ref="C74:D74"/>
    <mergeCell ref="C73:D73"/>
    <mergeCell ref="C77:D77"/>
    <mergeCell ref="C76:D76"/>
    <mergeCell ref="C78:D78"/>
    <mergeCell ref="C75:D75"/>
    <mergeCell ref="C72:D72"/>
    <mergeCell ref="E75:J75"/>
    <mergeCell ref="E73:J73"/>
    <mergeCell ref="E74:J74"/>
    <mergeCell ref="E70:J70"/>
  </mergeCells>
  <conditionalFormatting sqref="N4:N13">
    <cfRule type="containsText" dxfId="476" priority="1" operator="containsText" text="empty">
      <formula>NOT(ISERROR(SEARCH(("empty"),(N4))))</formula>
    </cfRule>
  </conditionalFormatting>
  <conditionalFormatting sqref="N4:N13">
    <cfRule type="containsText" dxfId="475" priority="2" operator="containsText" text="bursting">
      <formula>NOT(ISERROR(SEARCH(("bursting"),(N4))))</formula>
    </cfRule>
  </conditionalFormatting>
  <conditionalFormatting sqref="AA16:AF16">
    <cfRule type="expression" dxfId="474" priority="3">
      <formula>AG16 &gt; 3</formula>
    </cfRule>
  </conditionalFormatting>
  <conditionalFormatting sqref="C4:H4">
    <cfRule type="expression" dxfId="473" priority="4">
      <formula>AND( AND( LT( I$8, I5 ), GTE( I$8, I4) ), AND( LT( K$8, K5 ), GTE( K$8, K4) ) )</formula>
    </cfRule>
  </conditionalFormatting>
  <conditionalFormatting sqref="C4:H4">
    <cfRule type="expression" dxfId="472" priority="5">
      <formula>AND( LT( I$8, I5 ), GTE( I$8, I4) )</formula>
    </cfRule>
  </conditionalFormatting>
  <conditionalFormatting sqref="C4:H4">
    <cfRule type="expression" dxfId="471" priority="6">
      <formula>AND( LT( K$8, K5 ), GTE( K$8, K4) )</formula>
    </cfRule>
  </conditionalFormatting>
  <conditionalFormatting sqref="C5:H5">
    <cfRule type="expression" dxfId="470" priority="7">
      <formula>AND( AND( LT( I$8, I6 ), GTE( I$8, I5) ), AND( LT( K$8, K6 ), GTE( K$8, K5) ) )</formula>
    </cfRule>
  </conditionalFormatting>
  <conditionalFormatting sqref="C5:H5">
    <cfRule type="expression" dxfId="469" priority="8">
      <formula>AND( LT( I$8, I6 ), GTE( I$8, I5) )</formula>
    </cfRule>
  </conditionalFormatting>
  <conditionalFormatting sqref="C5:H5">
    <cfRule type="expression" dxfId="468" priority="9">
      <formula>AND( LT( K$8, K6 ), GTE( K$8, K5) )</formula>
    </cfRule>
  </conditionalFormatting>
  <conditionalFormatting sqref="C6:H6">
    <cfRule type="expression" dxfId="467" priority="10">
      <formula>AND( AND( LT( I$8, I7 ), GTE( I$8, I6) ), AND( LT( K$8, K7 ), GTE( K$8, K6) ) )</formula>
    </cfRule>
  </conditionalFormatting>
  <conditionalFormatting sqref="C6:H6">
    <cfRule type="expression" dxfId="466" priority="11">
      <formula>AND( LT( I$8, I7 ), GTE( I$8, I6) )</formula>
    </cfRule>
  </conditionalFormatting>
  <conditionalFormatting sqref="C6:H6">
    <cfRule type="expression" dxfId="465" priority="12">
      <formula>AND( LT( K$8, K7 ), GTE( K$8, K6) )</formula>
    </cfRule>
  </conditionalFormatting>
  <conditionalFormatting sqref="C7:H7">
    <cfRule type="expression" dxfId="464" priority="13">
      <formula>AND( IF( NOT( K$8=0), GTE( I$8, I7), FALSE ), IF( NOT( K$8=0), GTE( K$8, K7), FALSE ))</formula>
    </cfRule>
  </conditionalFormatting>
  <conditionalFormatting sqref="C7:H7">
    <cfRule type="expression" dxfId="463" priority="14">
      <formula>IF( NOT( K$8=0), GTE( K$8, K7), FALSE )</formula>
    </cfRule>
  </conditionalFormatting>
  <conditionalFormatting sqref="C7:H7">
    <cfRule type="expression" dxfId="462" priority="15">
      <formula>IF( NOT( K$8=0), GTE( K$8, K7), FALSE )</formula>
    </cfRule>
  </conditionalFormatting>
  <conditionalFormatting sqref="I4:J4">
    <cfRule type="expression" dxfId="461" priority="16">
      <formula>AND( LT( I$8, I5 ), GTE( I$8, I4) )</formula>
    </cfRule>
  </conditionalFormatting>
  <conditionalFormatting sqref="I5:J5">
    <cfRule type="expression" dxfId="460" priority="17">
      <formula>AND( LT( I$8, I6 ), GTE( I$8, I5) )</formula>
    </cfRule>
  </conditionalFormatting>
  <conditionalFormatting sqref="I6:J6">
    <cfRule type="expression" dxfId="459" priority="18">
      <formula>AND( LT( I$8, I7 ), GTE( I$8, I6) )</formula>
    </cfRule>
  </conditionalFormatting>
  <conditionalFormatting sqref="I7:J7">
    <cfRule type="expression" dxfId="458" priority="19">
      <formula>IF( NOT( K$8=0), GTE( K$8, K7), FALSE )</formula>
    </cfRule>
  </conditionalFormatting>
  <conditionalFormatting sqref="K4:L4">
    <cfRule type="expression" dxfId="457" priority="20">
      <formula>AND( LT( K$8, K5 ), GTE( K$8, K4) )</formula>
    </cfRule>
  </conditionalFormatting>
  <conditionalFormatting sqref="K5:L5">
    <cfRule type="expression" dxfId="456" priority="21">
      <formula>AND( LT( K$8, K6 ), GTE( K$8, K5) )</formula>
    </cfRule>
  </conditionalFormatting>
  <conditionalFormatting sqref="K6:L6">
    <cfRule type="expression" dxfId="455" priority="22">
      <formula>AND( LT( K$8, K7 ), GTE( K$8, K6) )</formula>
    </cfRule>
  </conditionalFormatting>
  <conditionalFormatting sqref="K7:L7">
    <cfRule type="expression" dxfId="454" priority="23">
      <formula>IF( NOT( K$8=0), GTE( K$8, K7), FALSE )</formula>
    </cfRule>
  </conditionalFormatting>
  <dataValidations count="13">
    <dataValidation type="custom" allowBlank="1" showDropDown="1" showInputMessage="1" showErrorMessage="1" prompt="If you want to type a custom value in this cell, change &quot;# of container rows to autofill&quot; in Settings." sqref="X12" xr:uid="{00000000-0002-0000-0000-00000C000000}">
      <formula1>NOT( ROW(X12) &lt; 4+NumAutofillRows )</formula1>
    </dataValidation>
    <dataValidation type="decimal" allowBlank="1" showDropDown="1" showInputMessage="1" prompt="Quantity" sqref="C36:C86" xr:uid="{00000000-0002-0000-0000-00000B000000}">
      <formula1>1</formula1>
      <formula2>1000000000000</formula2>
    </dataValidation>
    <dataValidation type="custom" allowBlank="1" showDropDown="1" showInputMessage="1" showErrorMessage="1" prompt="If you want to type a custom value in this cell, change the &quot;# of container rows to autofill&quot; in settings." sqref="X4:X11 V4:V13 X13 Z4:Z13" xr:uid="{00000000-0002-0000-0000-00000A000000}">
      <formula1>NOT( ROW(V4) &lt; 4+NumAutofillRows )</formula1>
    </dataValidation>
    <dataValidation type="list" allowBlank="1" showErrorMessage="1" sqref="AC36:AC86" xr:uid="{00000000-0002-0000-0000-000009000000}">
      <formula1>$P$4:$S$13</formula1>
    </dataValidation>
    <dataValidation type="list" allowBlank="1" showDropDown="1" showInputMessage="1" prompt="Is this container extradimensional?" sqref="AF5:AF13" xr:uid="{00000000-0002-0000-0000-000008000000}">
      <formula1>"Y,N"</formula1>
    </dataValidation>
    <dataValidation type="decimal" allowBlank="1" showDropDown="1" showInputMessage="1" showErrorMessage="1" prompt="Enter a number between 1 and 10" sqref="AF2 I13 AF14" xr:uid="{00000000-0002-0000-0000-000007000000}">
      <formula1>1</formula1>
      <formula2>10</formula2>
    </dataValidation>
    <dataValidation type="custom" allowBlank="1" showDropDown="1" showInputMessage="1" showErrorMessage="1" prompt="You may not type in these. Please use autofill on the first line." sqref="AE4:AF4" xr:uid="{00000000-0002-0000-0000-000006000000}">
      <formula1>NOT( ROW(V4) &lt; 4+NumAutofillRows )</formula1>
    </dataValidation>
    <dataValidation type="list" allowBlank="1" showErrorMessage="1" sqref="K17 K26:K31 AC18:AC31" xr:uid="{00000000-0002-0000-0000-000005000000}">
      <formula1>ContainerNames</formula1>
    </dataValidation>
    <dataValidation type="list" allowBlank="1" showInputMessage="1" showErrorMessage="1" prompt="Where do you keep the item? Select from the dropdown." sqref="AB4:AB13" xr:uid="{00000000-0002-0000-0000-000004000000}">
      <formula1>Locations</formula1>
    </dataValidation>
    <dataValidation type="list" allowBlank="1" showInputMessage="1" showErrorMessage="1" prompt="What kind of container is the item? For a custom container, leave this cell blank and make sure to change &quot;# of container rows to autofill&quot; in Settings to the appropriate value." sqref="T4:T14" xr:uid="{00000000-0002-0000-0000-000003000000}">
      <formula1>ContainerOptionNames</formula1>
    </dataValidation>
    <dataValidation type="custom" allowBlank="1" showDropDown="1" showInputMessage="1" showErrorMessage="1" prompt="Enter a valid url." sqref="V18:V31 V36:V86" xr:uid="{00000000-0002-0000-0000-000002000000}">
      <formula1>IFERROR(ISURL(V18), TRUE)</formula1>
    </dataValidation>
    <dataValidation type="list" allowBlank="1" showErrorMessage="1" sqref="D11 F11" xr:uid="{00000000-0002-0000-0000-000001000000}">
      <formula1>SizeNames</formula1>
    </dataValidation>
    <dataValidation type="list" allowBlank="1" showDropDown="1" showInputMessage="1" showErrorMessage="1" prompt="Does this container use slots instead of weight?" sqref="AE5:AE13" xr:uid="{00000000-0002-0000-0000-000000000000}">
      <formula1>"Y,N"</formula1>
    </dataValidation>
  </dataValidations>
  <printOptions horizontalCentered="1" gridLines="1"/>
  <pageMargins left="0.25" right="0.25" top="0.75" bottom="0.75" header="0" footer="0"/>
  <pageSetup fitToHeight="0" pageOrder="overThenDown"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4E884-CE6E-4856-8B48-986D1430493D}">
  <sheetPr codeName="Аркуш3">
    <tabColor rgb="FF00B050"/>
  </sheetPr>
  <dimension ref="A1:HM110"/>
  <sheetViews>
    <sheetView showGridLines="0" showRowColHeaders="0" showZeros="0" showRuler="0" view="pageBreakPreview" topLeftCell="B1" zoomScale="145" zoomScaleNormal="70" zoomScaleSheetLayoutView="145" zoomScalePageLayoutView="55" workbookViewId="0">
      <selection activeCell="BX5" sqref="BX5:CR8"/>
    </sheetView>
  </sheetViews>
  <sheetFormatPr defaultColWidth="1.109375" defaultRowHeight="7.5" customHeight="1"/>
  <cols>
    <col min="1" max="1" width="1" style="2305" customWidth="1"/>
    <col min="2" max="22" width="1.109375" style="2310"/>
    <col min="23" max="23" width="0.88671875" style="2310" customWidth="1"/>
    <col min="24" max="24" width="1.109375" style="2310"/>
    <col min="25" max="25" width="0.6640625" style="2310" customWidth="1"/>
    <col min="26" max="26" width="0.77734375" style="2310" customWidth="1"/>
    <col min="27" max="27" width="1.109375" style="2310"/>
    <col min="28" max="28" width="1.6640625" style="2310" customWidth="1"/>
    <col min="29" max="29" width="1.109375" style="2310"/>
    <col min="30" max="30" width="0.77734375" style="2310" customWidth="1"/>
    <col min="31" max="31" width="1" style="2310" customWidth="1"/>
    <col min="32" max="40" width="1.109375" style="2310"/>
    <col min="41" max="41" width="1.33203125" style="2310" customWidth="1"/>
    <col min="42" max="220" width="1.109375" style="2310"/>
    <col min="221" max="221" width="1.109375" style="2305"/>
    <col min="222" max="16384" width="1.109375" style="2363"/>
  </cols>
  <sheetData>
    <row r="1" spans="2:220" s="2305" customFormat="1" ht="7.5" customHeight="1" thickBot="1"/>
    <row r="2" spans="2:220" ht="7.5" customHeight="1">
      <c r="B2" s="2306"/>
      <c r="C2" s="2307"/>
      <c r="D2" s="2307"/>
      <c r="E2" s="2307"/>
      <c r="F2" s="2307"/>
      <c r="G2" s="2307"/>
      <c r="H2" s="2307"/>
      <c r="I2" s="2307"/>
      <c r="J2" s="2307"/>
      <c r="K2" s="2307"/>
      <c r="L2" s="2307"/>
      <c r="M2" s="2307"/>
      <c r="N2" s="2307"/>
      <c r="O2" s="2307"/>
      <c r="P2" s="2307"/>
      <c r="Q2" s="2307"/>
      <c r="R2" s="2307"/>
      <c r="S2" s="2307"/>
      <c r="T2" s="2307"/>
      <c r="U2" s="2307"/>
      <c r="V2" s="2307"/>
      <c r="W2" s="2307"/>
      <c r="X2" s="2307"/>
      <c r="Y2" s="2307"/>
      <c r="Z2" s="2307"/>
      <c r="AA2" s="2307"/>
      <c r="AB2" s="2307"/>
      <c r="AC2" s="2307"/>
      <c r="AD2" s="2307"/>
      <c r="AE2" s="2307"/>
      <c r="AF2" s="2307"/>
      <c r="AG2" s="2307"/>
      <c r="AH2" s="2307"/>
      <c r="AI2" s="2307"/>
      <c r="AJ2" s="2307"/>
      <c r="AK2" s="2307"/>
      <c r="AL2" s="2307"/>
      <c r="AM2" s="2307"/>
      <c r="AN2" s="2307"/>
      <c r="AO2" s="2307"/>
      <c r="AP2" s="2307"/>
      <c r="AQ2" s="2307"/>
      <c r="AR2" s="2307"/>
      <c r="AS2" s="2307"/>
      <c r="AT2" s="2307"/>
      <c r="AU2" s="2307"/>
      <c r="AV2" s="2307"/>
      <c r="AW2" s="2307"/>
      <c r="AX2" s="2307"/>
      <c r="AY2" s="2307"/>
      <c r="AZ2" s="2307"/>
      <c r="BA2" s="2307"/>
      <c r="BB2" s="2307"/>
      <c r="BC2" s="2307"/>
      <c r="BD2" s="2307"/>
      <c r="BE2" s="2307"/>
      <c r="BF2" s="2307"/>
      <c r="BG2" s="2307"/>
      <c r="BH2" s="2307"/>
      <c r="BI2" s="2307"/>
      <c r="BJ2" s="2307"/>
      <c r="BK2" s="2307"/>
      <c r="BL2" s="2307"/>
      <c r="BM2" s="2307"/>
      <c r="BN2" s="2307"/>
      <c r="BO2" s="2307"/>
      <c r="BP2" s="2307"/>
      <c r="BQ2" s="2307"/>
      <c r="BR2" s="2307"/>
      <c r="BS2" s="2307"/>
      <c r="BT2" s="2307"/>
      <c r="BU2" s="2307"/>
      <c r="BV2" s="2308"/>
      <c r="BW2" s="2306"/>
      <c r="BX2" s="2307"/>
      <c r="BY2" s="2307"/>
      <c r="BZ2" s="2307"/>
      <c r="CA2" s="2307"/>
      <c r="CB2" s="2307"/>
      <c r="CC2" s="2307"/>
      <c r="CD2" s="2307"/>
      <c r="CE2" s="2307"/>
      <c r="CF2" s="2307"/>
      <c r="CG2" s="2307"/>
      <c r="CH2" s="2307"/>
      <c r="CI2" s="2307"/>
      <c r="CJ2" s="2307"/>
      <c r="CK2" s="2307"/>
      <c r="CL2" s="2307"/>
      <c r="CM2" s="2307"/>
      <c r="CN2" s="2307"/>
      <c r="CO2" s="2307"/>
      <c r="CP2" s="2307"/>
      <c r="CQ2" s="2307"/>
      <c r="CR2" s="2307"/>
      <c r="CS2" s="2307"/>
      <c r="CT2" s="2307"/>
      <c r="CU2" s="2307"/>
      <c r="CV2" s="2307"/>
      <c r="CW2" s="2307"/>
      <c r="CX2" s="2307"/>
      <c r="CY2" s="2307"/>
      <c r="CZ2" s="2307"/>
      <c r="DA2" s="2307"/>
      <c r="DB2" s="2307"/>
      <c r="DC2" s="2307"/>
      <c r="DD2" s="2307"/>
      <c r="DE2" s="2307"/>
      <c r="DF2" s="2307"/>
      <c r="DG2" s="2307"/>
      <c r="DH2" s="2307"/>
      <c r="DI2" s="2307"/>
      <c r="DJ2" s="2307"/>
      <c r="DK2" s="2307"/>
      <c r="DL2" s="2307"/>
      <c r="DM2" s="2307"/>
      <c r="DN2" s="2307"/>
      <c r="DO2" s="2307"/>
      <c r="DP2" s="2307"/>
      <c r="DQ2" s="2307"/>
      <c r="DR2" s="2307"/>
      <c r="DS2" s="2307"/>
      <c r="DT2" s="2307"/>
      <c r="DU2" s="2307"/>
      <c r="DV2" s="2307"/>
      <c r="DW2" s="2307"/>
      <c r="DX2" s="2307"/>
      <c r="DY2" s="2307"/>
      <c r="DZ2" s="2307"/>
      <c r="EA2" s="2307"/>
      <c r="EB2" s="2307"/>
      <c r="EC2" s="2307"/>
      <c r="ED2" s="2307"/>
      <c r="EE2" s="2307"/>
      <c r="EF2" s="2307"/>
      <c r="EG2" s="2307"/>
      <c r="EH2" s="2307"/>
      <c r="EI2" s="2307"/>
      <c r="EJ2" s="2307"/>
      <c r="EK2" s="2307"/>
      <c r="EL2" s="2307"/>
      <c r="EM2" s="2307"/>
      <c r="EN2" s="2307"/>
      <c r="EO2" s="2307"/>
      <c r="EP2" s="2307"/>
      <c r="EQ2" s="2308"/>
      <c r="ER2" s="2306"/>
      <c r="ES2" s="2307"/>
      <c r="ET2" s="2307"/>
      <c r="EU2" s="2307"/>
      <c r="EV2" s="2307"/>
      <c r="EW2" s="2307"/>
      <c r="EX2" s="2307"/>
      <c r="EY2" s="2307"/>
      <c r="EZ2" s="2307"/>
      <c r="FA2" s="2307"/>
      <c r="FB2" s="2307"/>
      <c r="FC2" s="2307"/>
      <c r="FD2" s="2307"/>
      <c r="FE2" s="2307"/>
      <c r="FF2" s="2307"/>
      <c r="FG2" s="2307"/>
      <c r="FH2" s="2307"/>
      <c r="FI2" s="2307"/>
      <c r="FJ2" s="2307"/>
      <c r="FK2" s="2307"/>
      <c r="FL2" s="2307"/>
      <c r="FM2" s="2307"/>
      <c r="FN2" s="2307"/>
      <c r="FO2" s="2307"/>
      <c r="FP2" s="2307"/>
      <c r="FQ2" s="2307"/>
      <c r="FR2" s="2307"/>
      <c r="FS2" s="2307"/>
      <c r="FT2" s="2307"/>
      <c r="FU2" s="2307"/>
      <c r="FV2" s="2307"/>
      <c r="FW2" s="2307"/>
      <c r="FX2" s="2307"/>
      <c r="FY2" s="2307"/>
      <c r="FZ2" s="2307"/>
      <c r="GA2" s="2307"/>
      <c r="GB2" s="2307"/>
      <c r="GC2" s="2307"/>
      <c r="GD2" s="2307"/>
      <c r="GE2" s="2307"/>
      <c r="GF2" s="2307"/>
      <c r="GG2" s="2307"/>
      <c r="GH2" s="2307"/>
      <c r="GI2" s="2307"/>
      <c r="GJ2" s="2307"/>
      <c r="GK2" s="2307"/>
      <c r="GL2" s="2307"/>
      <c r="GM2" s="2307"/>
      <c r="GN2" s="2307"/>
      <c r="GO2" s="2307"/>
      <c r="GP2" s="2307"/>
      <c r="GQ2" s="2307"/>
      <c r="GR2" s="2307"/>
      <c r="GS2" s="2307"/>
      <c r="GT2" s="2307"/>
      <c r="GU2" s="2307"/>
      <c r="GV2" s="2307"/>
      <c r="GW2" s="2307"/>
      <c r="GX2" s="2307"/>
      <c r="GY2" s="2307"/>
      <c r="GZ2" s="2307"/>
      <c r="HA2" s="2307"/>
      <c r="HB2" s="2307"/>
      <c r="HC2" s="2307"/>
      <c r="HD2" s="2307"/>
      <c r="HE2" s="2307"/>
      <c r="HF2" s="2307"/>
      <c r="HG2" s="2307"/>
      <c r="HH2" s="2307"/>
      <c r="HI2" s="2307"/>
      <c r="HJ2" s="2307"/>
      <c r="HK2" s="2307"/>
      <c r="HL2" s="2308"/>
    </row>
    <row r="3" spans="2:220" ht="7.5" customHeight="1">
      <c r="B3" s="2309"/>
      <c r="C3" s="3193" t="s">
        <v>10311</v>
      </c>
      <c r="D3" s="3200"/>
      <c r="E3" s="3200"/>
      <c r="F3" s="3200"/>
      <c r="G3" s="3200"/>
      <c r="H3" s="3200"/>
      <c r="I3" s="3200"/>
      <c r="J3" s="3200"/>
      <c r="K3" s="3200"/>
      <c r="L3" s="3200"/>
      <c r="M3" s="3200"/>
      <c r="N3" s="3200"/>
      <c r="O3" s="3200"/>
      <c r="P3" s="3200"/>
      <c r="Q3" s="3200"/>
      <c r="R3" s="3200"/>
      <c r="S3" s="3200"/>
      <c r="T3" s="3200"/>
      <c r="U3" s="3200"/>
      <c r="V3" s="3200"/>
      <c r="W3" s="3195"/>
      <c r="AG3" s="3193" t="s">
        <v>5981</v>
      </c>
      <c r="AH3" s="3064"/>
      <c r="AI3" s="3064"/>
      <c r="AJ3" s="3064"/>
      <c r="AK3" s="3064"/>
      <c r="AL3" s="3064"/>
      <c r="AM3" s="3064"/>
      <c r="AN3" s="3064"/>
      <c r="AO3" s="3064"/>
      <c r="AP3" s="3064"/>
      <c r="AQ3" s="3064"/>
      <c r="AR3" s="3064"/>
      <c r="AS3" s="3064"/>
      <c r="AT3" s="3064"/>
      <c r="AU3" s="3064"/>
      <c r="AW3" s="2996" t="s">
        <v>6939</v>
      </c>
      <c r="AX3" s="3177"/>
      <c r="AY3" s="3177"/>
      <c r="AZ3" s="3177"/>
      <c r="BA3" s="3177"/>
      <c r="BB3" s="3177"/>
      <c r="BC3" s="3177"/>
      <c r="BD3" s="3177"/>
      <c r="BE3" s="3177"/>
      <c r="BF3" s="3177"/>
      <c r="BG3" s="3177"/>
      <c r="BH3" s="3177"/>
      <c r="BI3" s="3177"/>
      <c r="BJ3" s="3178"/>
      <c r="BL3" s="3182" t="s">
        <v>6042</v>
      </c>
      <c r="BM3" s="3183"/>
      <c r="BN3" s="3183"/>
      <c r="BO3" s="3183"/>
      <c r="BP3" s="3183"/>
      <c r="BQ3" s="3183"/>
      <c r="BR3" s="3183"/>
      <c r="BS3" s="3183"/>
      <c r="BT3" s="3184"/>
      <c r="BU3" s="2311"/>
      <c r="BV3" s="2312"/>
      <c r="BW3" s="2309"/>
      <c r="BX3" s="3193" t="s">
        <v>10311</v>
      </c>
      <c r="BY3" s="3200"/>
      <c r="BZ3" s="3200"/>
      <c r="CA3" s="3200"/>
      <c r="CB3" s="3200"/>
      <c r="CC3" s="3200"/>
      <c r="CD3" s="3200"/>
      <c r="CE3" s="3200"/>
      <c r="CF3" s="3200"/>
      <c r="CG3" s="3200"/>
      <c r="CH3" s="3200"/>
      <c r="CI3" s="3200"/>
      <c r="CJ3" s="3200"/>
      <c r="CK3" s="3200"/>
      <c r="CL3" s="3200"/>
      <c r="CM3" s="3200"/>
      <c r="CN3" s="3200"/>
      <c r="CO3" s="3200"/>
      <c r="CP3" s="3200"/>
      <c r="CQ3" s="3200"/>
      <c r="CR3" s="3195"/>
      <c r="DA3" s="3193" t="s">
        <v>10237</v>
      </c>
      <c r="DB3" s="3194"/>
      <c r="DC3" s="3194"/>
      <c r="DD3" s="3194"/>
      <c r="DE3" s="3194"/>
      <c r="DF3" s="3194"/>
      <c r="DG3" s="3194"/>
      <c r="DH3" s="3194"/>
      <c r="DI3" s="3194"/>
      <c r="DJ3" s="3194"/>
      <c r="DK3" s="3194"/>
      <c r="DL3" s="3194"/>
      <c r="DM3" s="3194"/>
      <c r="DN3" s="3194"/>
      <c r="DO3" s="3194"/>
      <c r="DP3" s="3194"/>
      <c r="DQ3" s="3194"/>
      <c r="DR3" s="3194"/>
      <c r="DS3" s="3194"/>
      <c r="DT3" s="3194"/>
      <c r="DU3" s="2313"/>
      <c r="DV3" s="3193" t="s">
        <v>10239</v>
      </c>
      <c r="DW3" s="3194"/>
      <c r="DX3" s="3194"/>
      <c r="DY3" s="3194"/>
      <c r="DZ3" s="3194"/>
      <c r="EA3" s="3194"/>
      <c r="EB3" s="3194"/>
      <c r="EC3" s="3194"/>
      <c r="ED3" s="3194"/>
      <c r="EE3" s="3194"/>
      <c r="EF3" s="3194"/>
      <c r="EG3" s="3194"/>
      <c r="EH3" s="3194"/>
      <c r="EI3" s="3194"/>
      <c r="EJ3" s="3194"/>
      <c r="EK3" s="3194"/>
      <c r="EL3" s="3194"/>
      <c r="EM3" s="3194"/>
      <c r="EN3" s="3194"/>
      <c r="EO3" s="3194"/>
      <c r="EQ3" s="2312"/>
      <c r="ER3" s="2309"/>
      <c r="ES3" s="2996" t="s">
        <v>10311</v>
      </c>
      <c r="ET3" s="3177"/>
      <c r="EU3" s="3177"/>
      <c r="EV3" s="3177"/>
      <c r="EW3" s="3177"/>
      <c r="EX3" s="3177"/>
      <c r="EY3" s="3177"/>
      <c r="EZ3" s="3177"/>
      <c r="FA3" s="3177"/>
      <c r="FB3" s="3177"/>
      <c r="FC3" s="3177"/>
      <c r="FD3" s="3177"/>
      <c r="FE3" s="3177"/>
      <c r="FF3" s="3177"/>
      <c r="FG3" s="3177"/>
      <c r="FH3" s="3177"/>
      <c r="FI3" s="3177"/>
      <c r="FJ3" s="3177"/>
      <c r="FK3" s="3177"/>
      <c r="FL3" s="3178"/>
      <c r="FM3" s="2311"/>
      <c r="FX3" s="2314"/>
      <c r="FY3" s="2313"/>
      <c r="FZ3" s="2313"/>
      <c r="GA3" s="2313"/>
      <c r="GB3" s="2313"/>
      <c r="GC3" s="2315"/>
      <c r="GD3" s="2315"/>
      <c r="GE3" s="2315"/>
      <c r="GF3" s="2315"/>
      <c r="GG3" s="2315"/>
      <c r="GH3" s="2315"/>
      <c r="GI3" s="2315"/>
      <c r="GJ3" s="2315"/>
      <c r="GK3" s="2315"/>
      <c r="GM3" s="2316"/>
      <c r="GN3" s="2315"/>
      <c r="GO3" s="2315"/>
      <c r="GP3" s="2315"/>
      <c r="GQ3" s="2315"/>
      <c r="GR3" s="2315"/>
      <c r="GS3" s="2315"/>
      <c r="GT3" s="2315"/>
      <c r="GU3" s="2315"/>
      <c r="GV3" s="2315"/>
      <c r="GW3" s="2315"/>
      <c r="GX3" s="2315"/>
      <c r="GY3" s="2315"/>
      <c r="GZ3" s="2315"/>
      <c r="HB3" s="2316"/>
      <c r="HC3" s="2315"/>
      <c r="HD3" s="2315"/>
      <c r="HE3" s="2315"/>
      <c r="HF3" s="2315"/>
      <c r="HG3" s="2315"/>
      <c r="HH3" s="2315"/>
      <c r="HI3" s="2315"/>
      <c r="HJ3" s="2315"/>
      <c r="HK3" s="2311"/>
      <c r="HL3" s="2312"/>
    </row>
    <row r="4" spans="2:220" ht="7.5" customHeight="1">
      <c r="B4" s="2309"/>
      <c r="C4" s="3200"/>
      <c r="D4" s="3200"/>
      <c r="E4" s="3200"/>
      <c r="F4" s="3200"/>
      <c r="G4" s="3200"/>
      <c r="H4" s="3200"/>
      <c r="I4" s="3200"/>
      <c r="J4" s="3200"/>
      <c r="K4" s="3200"/>
      <c r="L4" s="3200"/>
      <c r="M4" s="3200"/>
      <c r="N4" s="3200"/>
      <c r="O4" s="3200"/>
      <c r="P4" s="3200"/>
      <c r="Q4" s="3200"/>
      <c r="R4" s="3200"/>
      <c r="S4" s="3200"/>
      <c r="T4" s="3200"/>
      <c r="U4" s="3200"/>
      <c r="V4" s="3200"/>
      <c r="W4" s="3195"/>
      <c r="AG4" s="3064"/>
      <c r="AH4" s="3064"/>
      <c r="AI4" s="3064"/>
      <c r="AJ4" s="3064"/>
      <c r="AK4" s="3064"/>
      <c r="AL4" s="3064"/>
      <c r="AM4" s="3064"/>
      <c r="AN4" s="3064"/>
      <c r="AO4" s="3064"/>
      <c r="AP4" s="3064"/>
      <c r="AQ4" s="3064"/>
      <c r="AR4" s="3064"/>
      <c r="AS4" s="3064"/>
      <c r="AT4" s="3064"/>
      <c r="AU4" s="3064"/>
      <c r="AW4" s="3179"/>
      <c r="AX4" s="3180"/>
      <c r="AY4" s="3180"/>
      <c r="AZ4" s="3180"/>
      <c r="BA4" s="3180"/>
      <c r="BB4" s="3180"/>
      <c r="BC4" s="3180"/>
      <c r="BD4" s="3180"/>
      <c r="BE4" s="3180"/>
      <c r="BF4" s="3180"/>
      <c r="BG4" s="3180"/>
      <c r="BH4" s="3180"/>
      <c r="BI4" s="3180"/>
      <c r="BJ4" s="3181"/>
      <c r="BL4" s="3185"/>
      <c r="BM4" s="3186"/>
      <c r="BN4" s="3186"/>
      <c r="BO4" s="3186"/>
      <c r="BP4" s="3186"/>
      <c r="BQ4" s="3186"/>
      <c r="BR4" s="3186"/>
      <c r="BS4" s="3186"/>
      <c r="BT4" s="3187"/>
      <c r="BU4" s="2311"/>
      <c r="BV4" s="2312"/>
      <c r="BW4" s="2309"/>
      <c r="BX4" s="3200"/>
      <c r="BY4" s="3200"/>
      <c r="BZ4" s="3200"/>
      <c r="CA4" s="3200"/>
      <c r="CB4" s="3200"/>
      <c r="CC4" s="3200"/>
      <c r="CD4" s="3200"/>
      <c r="CE4" s="3200"/>
      <c r="CF4" s="3200"/>
      <c r="CG4" s="3200"/>
      <c r="CH4" s="3200"/>
      <c r="CI4" s="3200"/>
      <c r="CJ4" s="3200"/>
      <c r="CK4" s="3200"/>
      <c r="CL4" s="3200"/>
      <c r="CM4" s="3200"/>
      <c r="CN4" s="3200"/>
      <c r="CO4" s="3200"/>
      <c r="CP4" s="3200"/>
      <c r="CQ4" s="3200"/>
      <c r="CR4" s="3195"/>
      <c r="DA4" s="3194"/>
      <c r="DB4" s="3194"/>
      <c r="DC4" s="3194"/>
      <c r="DD4" s="3194"/>
      <c r="DE4" s="3194"/>
      <c r="DF4" s="3194"/>
      <c r="DG4" s="3194"/>
      <c r="DH4" s="3194"/>
      <c r="DI4" s="3194"/>
      <c r="DJ4" s="3194"/>
      <c r="DK4" s="3194"/>
      <c r="DL4" s="3194"/>
      <c r="DM4" s="3194"/>
      <c r="DN4" s="3194"/>
      <c r="DO4" s="3194"/>
      <c r="DP4" s="3194"/>
      <c r="DQ4" s="3194"/>
      <c r="DR4" s="3194"/>
      <c r="DS4" s="3194"/>
      <c r="DT4" s="3194"/>
      <c r="DU4" s="2313"/>
      <c r="DV4" s="3194"/>
      <c r="DW4" s="3194"/>
      <c r="DX4" s="3194"/>
      <c r="DY4" s="3194"/>
      <c r="DZ4" s="3194"/>
      <c r="EA4" s="3194"/>
      <c r="EB4" s="3194"/>
      <c r="EC4" s="3194"/>
      <c r="ED4" s="3194"/>
      <c r="EE4" s="3194"/>
      <c r="EF4" s="3194"/>
      <c r="EG4" s="3194"/>
      <c r="EH4" s="3194"/>
      <c r="EI4" s="3194"/>
      <c r="EJ4" s="3194"/>
      <c r="EK4" s="3194"/>
      <c r="EL4" s="3194"/>
      <c r="EM4" s="3194"/>
      <c r="EN4" s="3194"/>
      <c r="EO4" s="3194"/>
      <c r="EQ4" s="2312"/>
      <c r="ER4" s="2309"/>
      <c r="ES4" s="3179"/>
      <c r="ET4" s="3180"/>
      <c r="EU4" s="3180"/>
      <c r="EV4" s="3180"/>
      <c r="EW4" s="3180"/>
      <c r="EX4" s="3180"/>
      <c r="EY4" s="3180"/>
      <c r="EZ4" s="3180"/>
      <c r="FA4" s="3180"/>
      <c r="FB4" s="3180"/>
      <c r="FC4" s="3180"/>
      <c r="FD4" s="3180"/>
      <c r="FE4" s="3180"/>
      <c r="FF4" s="3180"/>
      <c r="FG4" s="3180"/>
      <c r="FH4" s="3180"/>
      <c r="FI4" s="3180"/>
      <c r="FJ4" s="3180"/>
      <c r="FK4" s="3180"/>
      <c r="FL4" s="3181"/>
      <c r="FM4" s="2311"/>
      <c r="FX4" s="2313"/>
      <c r="FY4" s="2313"/>
      <c r="FZ4" s="2313"/>
      <c r="GA4" s="2313"/>
      <c r="GB4" s="2313"/>
      <c r="GC4" s="2315"/>
      <c r="GD4" s="2315"/>
      <c r="GE4" s="2315"/>
      <c r="GF4" s="2315"/>
      <c r="GG4" s="2315"/>
      <c r="GH4" s="2315"/>
      <c r="GI4" s="2315"/>
      <c r="GJ4" s="2315"/>
      <c r="GK4" s="2315"/>
      <c r="GM4" s="2315"/>
      <c r="GN4" s="2315"/>
      <c r="GO4" s="2315"/>
      <c r="GP4" s="2315"/>
      <c r="GQ4" s="2315"/>
      <c r="GR4" s="2315"/>
      <c r="GS4" s="2315"/>
      <c r="GT4" s="2315"/>
      <c r="GU4" s="2315"/>
      <c r="GV4" s="2315"/>
      <c r="GW4" s="2315"/>
      <c r="GX4" s="2315"/>
      <c r="GY4" s="2315"/>
      <c r="GZ4" s="2315"/>
      <c r="HB4" s="2315"/>
      <c r="HC4" s="2315"/>
      <c r="HD4" s="2315"/>
      <c r="HE4" s="2315"/>
      <c r="HF4" s="2315"/>
      <c r="HG4" s="2315"/>
      <c r="HH4" s="2315"/>
      <c r="HI4" s="2315"/>
      <c r="HJ4" s="2315"/>
      <c r="HK4" s="2311"/>
      <c r="HL4" s="2312"/>
    </row>
    <row r="5" spans="2:220" ht="7.5" customHeight="1">
      <c r="B5" s="2309"/>
      <c r="C5" s="3161"/>
      <c r="D5" s="3162"/>
      <c r="E5" s="3162"/>
      <c r="F5" s="3162"/>
      <c r="G5" s="3162"/>
      <c r="H5" s="3162"/>
      <c r="I5" s="3162"/>
      <c r="J5" s="3162"/>
      <c r="K5" s="3162"/>
      <c r="L5" s="3162"/>
      <c r="M5" s="3162"/>
      <c r="N5" s="3162"/>
      <c r="O5" s="3162"/>
      <c r="P5" s="3162"/>
      <c r="Q5" s="3162"/>
      <c r="R5" s="3162"/>
      <c r="S5" s="3162"/>
      <c r="T5" s="3162"/>
      <c r="U5" s="3162"/>
      <c r="V5" s="3162"/>
      <c r="W5" s="3195"/>
      <c r="AG5" s="3196"/>
      <c r="AH5" s="3064"/>
      <c r="AI5" s="3064"/>
      <c r="AJ5" s="3064"/>
      <c r="AK5" s="3064"/>
      <c r="AL5" s="3064"/>
      <c r="AM5" s="3064"/>
      <c r="AN5" s="3064"/>
      <c r="AO5" s="3064"/>
      <c r="AP5" s="3064"/>
      <c r="AQ5" s="3064"/>
      <c r="AR5" s="3064"/>
      <c r="AS5" s="3064"/>
      <c r="AT5" s="3064"/>
      <c r="AU5" s="3064"/>
      <c r="AW5" s="3161"/>
      <c r="AX5" s="3162"/>
      <c r="AY5" s="3162"/>
      <c r="AZ5" s="3162"/>
      <c r="BA5" s="3162"/>
      <c r="BB5" s="3162"/>
      <c r="BC5" s="3162"/>
      <c r="BD5" s="3162"/>
      <c r="BE5" s="3162"/>
      <c r="BF5" s="3162"/>
      <c r="BG5" s="3162"/>
      <c r="BH5" s="3162"/>
      <c r="BI5" s="3162"/>
      <c r="BJ5" s="3162"/>
      <c r="BL5" s="3163"/>
      <c r="BM5" s="2845"/>
      <c r="BN5" s="2845"/>
      <c r="BO5" s="2845"/>
      <c r="BP5" s="2845"/>
      <c r="BQ5" s="2845"/>
      <c r="BR5" s="2845"/>
      <c r="BS5" s="2845"/>
      <c r="BT5" s="2882"/>
      <c r="BU5" s="2311"/>
      <c r="BV5" s="2312"/>
      <c r="BW5" s="2309"/>
      <c r="BX5" s="3161"/>
      <c r="BY5" s="3162"/>
      <c r="BZ5" s="3162"/>
      <c r="CA5" s="3162"/>
      <c r="CB5" s="3162"/>
      <c r="CC5" s="3162"/>
      <c r="CD5" s="3162"/>
      <c r="CE5" s="3162"/>
      <c r="CF5" s="3162"/>
      <c r="CG5" s="3162"/>
      <c r="CH5" s="3162"/>
      <c r="CI5" s="3162"/>
      <c r="CJ5" s="3162"/>
      <c r="CK5" s="3162"/>
      <c r="CL5" s="3162"/>
      <c r="CM5" s="3162"/>
      <c r="CN5" s="3162"/>
      <c r="CO5" s="3162"/>
      <c r="CP5" s="3162"/>
      <c r="CQ5" s="3162"/>
      <c r="CR5" s="3162"/>
      <c r="DA5" s="3197" t="e">
        <f>#REF!</f>
        <v>#REF!</v>
      </c>
      <c r="DB5" s="3198"/>
      <c r="DC5" s="3198"/>
      <c r="DD5" s="3198"/>
      <c r="DE5" s="3198"/>
      <c r="DF5" s="3198"/>
      <c r="DG5" s="3198"/>
      <c r="DH5" s="3198"/>
      <c r="DI5" s="3198"/>
      <c r="DJ5" s="3198"/>
      <c r="DK5" s="3198"/>
      <c r="DL5" s="3198"/>
      <c r="DM5" s="3198"/>
      <c r="DN5" s="3198"/>
      <c r="DO5" s="3198"/>
      <c r="DP5" s="3198"/>
      <c r="DQ5" s="3198"/>
      <c r="DR5" s="3198"/>
      <c r="DS5" s="3198"/>
      <c r="DT5" s="3198"/>
      <c r="DU5" s="1409"/>
      <c r="DV5" s="3197" t="e">
        <f>#REF!</f>
        <v>#REF!</v>
      </c>
      <c r="DW5" s="3162"/>
      <c r="DX5" s="3162"/>
      <c r="DY5" s="3162"/>
      <c r="DZ5" s="3162"/>
      <c r="EA5" s="3162"/>
      <c r="EB5" s="3162"/>
      <c r="EC5" s="3162"/>
      <c r="ED5" s="3162"/>
      <c r="EE5" s="3162"/>
      <c r="EF5" s="3162"/>
      <c r="EG5" s="3162"/>
      <c r="EH5" s="3162"/>
      <c r="EI5" s="3162"/>
      <c r="EJ5" s="3162"/>
      <c r="EK5" s="3162"/>
      <c r="EL5" s="3162"/>
      <c r="EM5" s="3162"/>
      <c r="EN5" s="3162"/>
      <c r="EO5" s="3162"/>
      <c r="EQ5" s="2312"/>
      <c r="ER5" s="2309"/>
      <c r="ES5" s="3199" t="e">
        <f>#REF!</f>
        <v>#REF!</v>
      </c>
      <c r="ET5" s="3172"/>
      <c r="EU5" s="3172"/>
      <c r="EV5" s="3172"/>
      <c r="EW5" s="3172"/>
      <c r="EX5" s="3172"/>
      <c r="EY5" s="3172"/>
      <c r="EZ5" s="3172"/>
      <c r="FA5" s="3172"/>
      <c r="FB5" s="3172"/>
      <c r="FC5" s="3172"/>
      <c r="FD5" s="3172"/>
      <c r="FE5" s="3172"/>
      <c r="FF5" s="3172"/>
      <c r="FG5" s="3172"/>
      <c r="FH5" s="3172"/>
      <c r="FI5" s="3172"/>
      <c r="FJ5" s="3172"/>
      <c r="FK5" s="3172"/>
      <c r="FL5" s="3173"/>
      <c r="FM5" s="2311"/>
      <c r="FX5" s="2317"/>
      <c r="FY5" s="1409"/>
      <c r="FZ5" s="1409"/>
      <c r="GA5" s="1409"/>
      <c r="GB5" s="1409"/>
      <c r="GC5" s="918"/>
      <c r="GD5" s="918"/>
      <c r="GE5" s="918"/>
      <c r="GF5" s="918"/>
      <c r="GG5" s="918"/>
      <c r="GH5" s="918"/>
      <c r="GI5" s="918"/>
      <c r="GJ5" s="918"/>
      <c r="GK5" s="918"/>
      <c r="GM5" s="2318"/>
      <c r="GN5" s="918"/>
      <c r="GO5" s="918"/>
      <c r="GP5" s="918"/>
      <c r="GQ5" s="918"/>
      <c r="GR5" s="918"/>
      <c r="GS5" s="918"/>
      <c r="GT5" s="918"/>
      <c r="GU5" s="918"/>
      <c r="GV5" s="918"/>
      <c r="GW5" s="918"/>
      <c r="GX5" s="918"/>
      <c r="GY5" s="918"/>
      <c r="GZ5" s="918"/>
      <c r="HB5" s="2318"/>
      <c r="HC5" s="918"/>
      <c r="HD5" s="918"/>
      <c r="HE5" s="918"/>
      <c r="HF5" s="918"/>
      <c r="HG5" s="918"/>
      <c r="HH5" s="918"/>
      <c r="HI5" s="918"/>
      <c r="HJ5" s="918"/>
      <c r="HK5" s="2311"/>
      <c r="HL5" s="2312"/>
    </row>
    <row r="6" spans="2:220" ht="7.5" customHeight="1">
      <c r="B6" s="2309"/>
      <c r="C6" s="3162"/>
      <c r="D6" s="3162"/>
      <c r="E6" s="3162"/>
      <c r="F6" s="3162"/>
      <c r="G6" s="3162"/>
      <c r="H6" s="3162"/>
      <c r="I6" s="3162"/>
      <c r="J6" s="3162"/>
      <c r="K6" s="3162"/>
      <c r="L6" s="3162"/>
      <c r="M6" s="3162"/>
      <c r="N6" s="3162"/>
      <c r="O6" s="3162"/>
      <c r="P6" s="3162"/>
      <c r="Q6" s="3162"/>
      <c r="R6" s="3162"/>
      <c r="S6" s="3162"/>
      <c r="T6" s="3162"/>
      <c r="U6" s="3162"/>
      <c r="V6" s="3162"/>
      <c r="W6" s="3195"/>
      <c r="AG6" s="3064"/>
      <c r="AH6" s="3064"/>
      <c r="AI6" s="3064"/>
      <c r="AJ6" s="3064"/>
      <c r="AK6" s="3064"/>
      <c r="AL6" s="3064"/>
      <c r="AM6" s="3064"/>
      <c r="AN6" s="3064"/>
      <c r="AO6" s="3064"/>
      <c r="AP6" s="3064"/>
      <c r="AQ6" s="3064"/>
      <c r="AR6" s="3064"/>
      <c r="AS6" s="3064"/>
      <c r="AT6" s="3064"/>
      <c r="AU6" s="3064"/>
      <c r="AW6" s="3162"/>
      <c r="AX6" s="3162"/>
      <c r="AY6" s="3162"/>
      <c r="AZ6" s="3162"/>
      <c r="BA6" s="3162"/>
      <c r="BB6" s="3162"/>
      <c r="BC6" s="3162"/>
      <c r="BD6" s="3162"/>
      <c r="BE6" s="3162"/>
      <c r="BF6" s="3162"/>
      <c r="BG6" s="3162"/>
      <c r="BH6" s="3162"/>
      <c r="BI6" s="3162"/>
      <c r="BJ6" s="3162"/>
      <c r="BL6" s="2883"/>
      <c r="BM6" s="2767"/>
      <c r="BN6" s="2767"/>
      <c r="BO6" s="2767"/>
      <c r="BP6" s="2767"/>
      <c r="BQ6" s="2767"/>
      <c r="BR6" s="2767"/>
      <c r="BS6" s="2767"/>
      <c r="BT6" s="2884"/>
      <c r="BU6" s="2311"/>
      <c r="BV6" s="2312"/>
      <c r="BW6" s="2309"/>
      <c r="BX6" s="3162"/>
      <c r="BY6" s="3162"/>
      <c r="BZ6" s="3162"/>
      <c r="CA6" s="3162"/>
      <c r="CB6" s="3162"/>
      <c r="CC6" s="3162"/>
      <c r="CD6" s="3162"/>
      <c r="CE6" s="3162"/>
      <c r="CF6" s="3162"/>
      <c r="CG6" s="3162"/>
      <c r="CH6" s="3162"/>
      <c r="CI6" s="3162"/>
      <c r="CJ6" s="3162"/>
      <c r="CK6" s="3162"/>
      <c r="CL6" s="3162"/>
      <c r="CM6" s="3162"/>
      <c r="CN6" s="3162"/>
      <c r="CO6" s="3162"/>
      <c r="CP6" s="3162"/>
      <c r="CQ6" s="3162"/>
      <c r="CR6" s="3162"/>
      <c r="DA6" s="3198"/>
      <c r="DB6" s="3198"/>
      <c r="DC6" s="3198"/>
      <c r="DD6" s="3198"/>
      <c r="DE6" s="3198"/>
      <c r="DF6" s="3198"/>
      <c r="DG6" s="3198"/>
      <c r="DH6" s="3198"/>
      <c r="DI6" s="3198"/>
      <c r="DJ6" s="3198"/>
      <c r="DK6" s="3198"/>
      <c r="DL6" s="3198"/>
      <c r="DM6" s="3198"/>
      <c r="DN6" s="3198"/>
      <c r="DO6" s="3198"/>
      <c r="DP6" s="3198"/>
      <c r="DQ6" s="3198"/>
      <c r="DR6" s="3198"/>
      <c r="DS6" s="3198"/>
      <c r="DT6" s="3198"/>
      <c r="DU6" s="1409"/>
      <c r="DV6" s="3162"/>
      <c r="DW6" s="3162"/>
      <c r="DX6" s="3162"/>
      <c r="DY6" s="3162"/>
      <c r="DZ6" s="3162"/>
      <c r="EA6" s="3162"/>
      <c r="EB6" s="3162"/>
      <c r="EC6" s="3162"/>
      <c r="ED6" s="3162"/>
      <c r="EE6" s="3162"/>
      <c r="EF6" s="3162"/>
      <c r="EG6" s="3162"/>
      <c r="EH6" s="3162"/>
      <c r="EI6" s="3162"/>
      <c r="EJ6" s="3162"/>
      <c r="EK6" s="3162"/>
      <c r="EL6" s="3162"/>
      <c r="EM6" s="3162"/>
      <c r="EN6" s="3162"/>
      <c r="EO6" s="3162"/>
      <c r="EQ6" s="2312"/>
      <c r="ER6" s="2309"/>
      <c r="ES6" s="3167"/>
      <c r="ET6" s="3165"/>
      <c r="EU6" s="3165"/>
      <c r="EV6" s="3165"/>
      <c r="EW6" s="3165"/>
      <c r="EX6" s="3165"/>
      <c r="EY6" s="3165"/>
      <c r="EZ6" s="3165"/>
      <c r="FA6" s="3165"/>
      <c r="FB6" s="3165"/>
      <c r="FC6" s="3165"/>
      <c r="FD6" s="3165"/>
      <c r="FE6" s="3165"/>
      <c r="FF6" s="3165"/>
      <c r="FG6" s="3165"/>
      <c r="FH6" s="3165"/>
      <c r="FI6" s="3165"/>
      <c r="FJ6" s="3165"/>
      <c r="FK6" s="3165"/>
      <c r="FL6" s="3166"/>
      <c r="FM6" s="2311"/>
      <c r="FX6" s="1409"/>
      <c r="FY6" s="1409"/>
      <c r="FZ6" s="1409"/>
      <c r="GA6" s="1409"/>
      <c r="GB6" s="1409"/>
      <c r="GC6" s="918"/>
      <c r="GD6" s="918"/>
      <c r="GE6" s="918"/>
      <c r="GF6" s="918"/>
      <c r="GG6" s="918"/>
      <c r="GH6" s="918"/>
      <c r="GI6" s="918"/>
      <c r="GJ6" s="918"/>
      <c r="GK6" s="918"/>
      <c r="GM6" s="918"/>
      <c r="GN6" s="918"/>
      <c r="GO6" s="918"/>
      <c r="GP6" s="918"/>
      <c r="GQ6" s="918"/>
      <c r="GR6" s="918"/>
      <c r="GS6" s="918"/>
      <c r="GT6" s="918"/>
      <c r="GU6" s="918"/>
      <c r="GV6" s="918"/>
      <c r="GW6" s="918"/>
      <c r="GX6" s="918"/>
      <c r="GY6" s="918"/>
      <c r="GZ6" s="918"/>
      <c r="HB6" s="918"/>
      <c r="HC6" s="918"/>
      <c r="HD6" s="918"/>
      <c r="HE6" s="918"/>
      <c r="HF6" s="918"/>
      <c r="HG6" s="918"/>
      <c r="HH6" s="918"/>
      <c r="HI6" s="918"/>
      <c r="HJ6" s="918"/>
      <c r="HK6" s="2311"/>
      <c r="HL6" s="2312"/>
    </row>
    <row r="7" spans="2:220" ht="7.5" customHeight="1">
      <c r="B7" s="2309"/>
      <c r="C7" s="3162"/>
      <c r="D7" s="3162"/>
      <c r="E7" s="3162"/>
      <c r="F7" s="3162"/>
      <c r="G7" s="3162"/>
      <c r="H7" s="3162"/>
      <c r="I7" s="3162"/>
      <c r="J7" s="3162"/>
      <c r="K7" s="3162"/>
      <c r="L7" s="3162"/>
      <c r="M7" s="3162"/>
      <c r="N7" s="3162"/>
      <c r="O7" s="3162"/>
      <c r="P7" s="3162"/>
      <c r="Q7" s="3162"/>
      <c r="R7" s="3162"/>
      <c r="S7" s="3162"/>
      <c r="T7" s="3162"/>
      <c r="U7" s="3162"/>
      <c r="V7" s="3162"/>
      <c r="W7" s="3195"/>
      <c r="AG7" s="3064"/>
      <c r="AH7" s="3064"/>
      <c r="AI7" s="3064"/>
      <c r="AJ7" s="3064"/>
      <c r="AK7" s="3064"/>
      <c r="AL7" s="3064"/>
      <c r="AM7" s="3064"/>
      <c r="AN7" s="3064"/>
      <c r="AO7" s="3064"/>
      <c r="AP7" s="3064"/>
      <c r="AQ7" s="3064"/>
      <c r="AR7" s="3064"/>
      <c r="AS7" s="3064"/>
      <c r="AT7" s="3064"/>
      <c r="AU7" s="3064"/>
      <c r="AW7" s="3162"/>
      <c r="AX7" s="3162"/>
      <c r="AY7" s="3162"/>
      <c r="AZ7" s="3162"/>
      <c r="BA7" s="3162"/>
      <c r="BB7" s="3162"/>
      <c r="BC7" s="3162"/>
      <c r="BD7" s="3162"/>
      <c r="BE7" s="3162"/>
      <c r="BF7" s="3162"/>
      <c r="BG7" s="3162"/>
      <c r="BH7" s="3162"/>
      <c r="BI7" s="3162"/>
      <c r="BJ7" s="3162"/>
      <c r="BL7" s="2885"/>
      <c r="BM7" s="2768"/>
      <c r="BN7" s="2768"/>
      <c r="BO7" s="2768"/>
      <c r="BP7" s="2768"/>
      <c r="BQ7" s="2768"/>
      <c r="BR7" s="2768"/>
      <c r="BS7" s="2768"/>
      <c r="BT7" s="2886"/>
      <c r="BU7" s="2311"/>
      <c r="BV7" s="2312"/>
      <c r="BW7" s="2309"/>
      <c r="BX7" s="3162"/>
      <c r="BY7" s="3162"/>
      <c r="BZ7" s="3162"/>
      <c r="CA7" s="3162"/>
      <c r="CB7" s="3162"/>
      <c r="CC7" s="3162"/>
      <c r="CD7" s="3162"/>
      <c r="CE7" s="3162"/>
      <c r="CF7" s="3162"/>
      <c r="CG7" s="3162"/>
      <c r="CH7" s="3162"/>
      <c r="CI7" s="3162"/>
      <c r="CJ7" s="3162"/>
      <c r="CK7" s="3162"/>
      <c r="CL7" s="3162"/>
      <c r="CM7" s="3162"/>
      <c r="CN7" s="3162"/>
      <c r="CO7" s="3162"/>
      <c r="CP7" s="3162"/>
      <c r="CQ7" s="3162"/>
      <c r="CR7" s="3162"/>
      <c r="DA7" s="3198"/>
      <c r="DB7" s="3198"/>
      <c r="DC7" s="3198"/>
      <c r="DD7" s="3198"/>
      <c r="DE7" s="3198"/>
      <c r="DF7" s="3198"/>
      <c r="DG7" s="3198"/>
      <c r="DH7" s="3198"/>
      <c r="DI7" s="3198"/>
      <c r="DJ7" s="3198"/>
      <c r="DK7" s="3198"/>
      <c r="DL7" s="3198"/>
      <c r="DM7" s="3198"/>
      <c r="DN7" s="3198"/>
      <c r="DO7" s="3198"/>
      <c r="DP7" s="3198"/>
      <c r="DQ7" s="3198"/>
      <c r="DR7" s="3198"/>
      <c r="DS7" s="3198"/>
      <c r="DT7" s="3198"/>
      <c r="DU7" s="1409"/>
      <c r="DV7" s="3162"/>
      <c r="DW7" s="3162"/>
      <c r="DX7" s="3162"/>
      <c r="DY7" s="3162"/>
      <c r="DZ7" s="3162"/>
      <c r="EA7" s="3162"/>
      <c r="EB7" s="3162"/>
      <c r="EC7" s="3162"/>
      <c r="ED7" s="3162"/>
      <c r="EE7" s="3162"/>
      <c r="EF7" s="3162"/>
      <c r="EG7" s="3162"/>
      <c r="EH7" s="3162"/>
      <c r="EI7" s="3162"/>
      <c r="EJ7" s="3162"/>
      <c r="EK7" s="3162"/>
      <c r="EL7" s="3162"/>
      <c r="EM7" s="3162"/>
      <c r="EN7" s="3162"/>
      <c r="EO7" s="3162"/>
      <c r="EQ7" s="2312"/>
      <c r="ER7" s="2309"/>
      <c r="ES7" s="3168"/>
      <c r="ET7" s="3169"/>
      <c r="EU7" s="3169"/>
      <c r="EV7" s="3169"/>
      <c r="EW7" s="3169"/>
      <c r="EX7" s="3169"/>
      <c r="EY7" s="3169"/>
      <c r="EZ7" s="3169"/>
      <c r="FA7" s="3169"/>
      <c r="FB7" s="3169"/>
      <c r="FC7" s="3169"/>
      <c r="FD7" s="3169"/>
      <c r="FE7" s="3169"/>
      <c r="FF7" s="3169"/>
      <c r="FG7" s="3169"/>
      <c r="FH7" s="3169"/>
      <c r="FI7" s="3169"/>
      <c r="FJ7" s="3169"/>
      <c r="FK7" s="3169"/>
      <c r="FL7" s="3170"/>
      <c r="FM7" s="2311"/>
      <c r="FX7" s="1409"/>
      <c r="FY7" s="1409"/>
      <c r="FZ7" s="1409"/>
      <c r="GA7" s="1409"/>
      <c r="GB7" s="1409"/>
      <c r="GC7" s="918"/>
      <c r="GD7" s="918"/>
      <c r="GE7" s="918"/>
      <c r="GF7" s="918"/>
      <c r="GG7" s="918"/>
      <c r="GH7" s="918"/>
      <c r="GI7" s="918"/>
      <c r="GJ7" s="918"/>
      <c r="GK7" s="918"/>
      <c r="GM7" s="918"/>
      <c r="GN7" s="918"/>
      <c r="GO7" s="918"/>
      <c r="GP7" s="918"/>
      <c r="GQ7" s="918"/>
      <c r="GR7" s="918"/>
      <c r="GS7" s="918"/>
      <c r="GT7" s="918"/>
      <c r="GU7" s="918"/>
      <c r="GV7" s="918"/>
      <c r="GW7" s="918"/>
      <c r="GX7" s="918"/>
      <c r="GY7" s="918"/>
      <c r="GZ7" s="918"/>
      <c r="HB7" s="918"/>
      <c r="HC7" s="918"/>
      <c r="HD7" s="918"/>
      <c r="HE7" s="918"/>
      <c r="HF7" s="918"/>
      <c r="HG7" s="918"/>
      <c r="HH7" s="918"/>
      <c r="HI7" s="918"/>
      <c r="HJ7" s="918"/>
      <c r="HK7" s="2311"/>
      <c r="HL7" s="2312"/>
    </row>
    <row r="8" spans="2:220" ht="7.5" customHeight="1">
      <c r="B8" s="2309"/>
      <c r="C8" s="2311"/>
      <c r="D8" s="2311"/>
      <c r="E8" s="2311"/>
      <c r="F8" s="2311"/>
      <c r="G8" s="2311"/>
      <c r="H8" s="2311"/>
      <c r="I8" s="2311"/>
      <c r="J8" s="2311"/>
      <c r="K8" s="2311"/>
      <c r="L8" s="2311"/>
      <c r="M8" s="2311"/>
      <c r="N8" s="2311"/>
      <c r="O8" s="2311"/>
      <c r="P8" s="2311"/>
      <c r="Q8" s="2311"/>
      <c r="R8" s="2311"/>
      <c r="S8" s="2311"/>
      <c r="T8" s="2311"/>
      <c r="U8" s="2311"/>
      <c r="V8" s="2311"/>
      <c r="W8" s="2311"/>
      <c r="X8" s="2311"/>
      <c r="Y8" s="2311"/>
      <c r="Z8" s="2311"/>
      <c r="AA8" s="2311"/>
      <c r="AB8" s="2311"/>
      <c r="AC8" s="2311"/>
      <c r="AD8" s="2311"/>
      <c r="AE8" s="2311"/>
      <c r="AF8" s="2311"/>
      <c r="AG8" s="2311"/>
      <c r="AH8" s="2311"/>
      <c r="AI8" s="2311"/>
      <c r="AJ8" s="2311"/>
      <c r="AK8" s="2311"/>
      <c r="AL8" s="2311"/>
      <c r="AM8" s="2311"/>
      <c r="AN8" s="2311"/>
      <c r="AO8" s="2311"/>
      <c r="AP8" s="2311"/>
      <c r="AQ8" s="2311"/>
      <c r="AR8" s="2311"/>
      <c r="AS8" s="2311"/>
      <c r="AT8" s="2311"/>
      <c r="AU8" s="2311"/>
      <c r="AV8" s="2311"/>
      <c r="AW8" s="2311"/>
      <c r="AX8" s="2311"/>
      <c r="AY8" s="2311"/>
      <c r="AZ8" s="2311"/>
      <c r="BA8" s="2311"/>
      <c r="BB8" s="2311"/>
      <c r="BC8" s="2311"/>
      <c r="BD8" s="2311"/>
      <c r="BE8" s="2311"/>
      <c r="BF8" s="2311"/>
      <c r="BG8" s="2311"/>
      <c r="BH8" s="2311"/>
      <c r="BI8" s="2311"/>
      <c r="BJ8" s="2311"/>
      <c r="BK8" s="2311"/>
      <c r="BL8" s="2311"/>
      <c r="BM8" s="2311"/>
      <c r="BN8" s="2311"/>
      <c r="BO8" s="2311"/>
      <c r="BP8" s="2311"/>
      <c r="BQ8" s="2311"/>
      <c r="BR8" s="2311"/>
      <c r="BS8" s="2311"/>
      <c r="BT8" s="2311"/>
      <c r="BU8" s="2311"/>
      <c r="BV8" s="2312"/>
      <c r="BW8" s="2309"/>
      <c r="BX8" s="3102"/>
      <c r="BY8" s="3102"/>
      <c r="BZ8" s="3102"/>
      <c r="CA8" s="3102"/>
      <c r="CB8" s="3102"/>
      <c r="CC8" s="3102"/>
      <c r="CD8" s="3102"/>
      <c r="CE8" s="3102"/>
      <c r="CF8" s="3102"/>
      <c r="CG8" s="3102"/>
      <c r="CH8" s="3102"/>
      <c r="CI8" s="3102"/>
      <c r="CJ8" s="3102"/>
      <c r="CK8" s="3102"/>
      <c r="CL8" s="3102"/>
      <c r="CM8" s="3102"/>
      <c r="CN8" s="3102"/>
      <c r="CO8" s="3102"/>
      <c r="CP8" s="3102"/>
      <c r="CQ8" s="3102"/>
      <c r="CR8" s="3102"/>
      <c r="DA8" s="3102"/>
      <c r="DB8" s="3102"/>
      <c r="DC8" s="3102"/>
      <c r="DD8" s="3102"/>
      <c r="DE8" s="3102"/>
      <c r="DF8" s="3102"/>
      <c r="DG8" s="3102"/>
      <c r="DH8" s="3102"/>
      <c r="DI8" s="3102"/>
      <c r="DJ8" s="3102"/>
      <c r="DK8" s="3102"/>
      <c r="DL8" s="3102"/>
      <c r="DM8" s="3102"/>
      <c r="DN8" s="3102"/>
      <c r="DO8" s="3102"/>
      <c r="DP8" s="3102"/>
      <c r="DQ8" s="3102"/>
      <c r="DR8" s="3102"/>
      <c r="DS8" s="3102"/>
      <c r="DT8" s="3102"/>
      <c r="DV8" s="3102"/>
      <c r="DW8" s="3102"/>
      <c r="DX8" s="3102"/>
      <c r="DY8" s="3102"/>
      <c r="DZ8" s="3102"/>
      <c r="EA8" s="3102"/>
      <c r="EB8" s="3102"/>
      <c r="EC8" s="3102"/>
      <c r="ED8" s="3102"/>
      <c r="EE8" s="3102"/>
      <c r="EF8" s="3102"/>
      <c r="EG8" s="3102"/>
      <c r="EH8" s="3102"/>
      <c r="EI8" s="3102"/>
      <c r="EJ8" s="3102"/>
      <c r="EK8" s="3102"/>
      <c r="EL8" s="3102"/>
      <c r="EM8" s="3102"/>
      <c r="EN8" s="3102"/>
      <c r="EO8" s="3102"/>
      <c r="EQ8" s="2312"/>
      <c r="ER8" s="2309"/>
      <c r="HL8" s="2312"/>
    </row>
    <row r="9" spans="2:220" ht="7.5" customHeight="1">
      <c r="B9" s="2309"/>
      <c r="C9" s="3176" t="s">
        <v>10312</v>
      </c>
      <c r="D9" s="2797"/>
      <c r="E9" s="2797"/>
      <c r="F9" s="2797"/>
      <c r="G9" s="2797"/>
      <c r="H9" s="2797"/>
      <c r="I9" s="2797"/>
      <c r="J9" s="2797"/>
      <c r="K9" s="2797"/>
      <c r="M9" s="3176" t="s">
        <v>7807</v>
      </c>
      <c r="N9" s="2797"/>
      <c r="O9" s="2797"/>
      <c r="P9" s="2797"/>
      <c r="Q9" s="2797"/>
      <c r="R9" s="2797"/>
      <c r="S9" s="2797"/>
      <c r="T9" s="2319"/>
      <c r="U9" s="2887" t="s">
        <v>10313</v>
      </c>
      <c r="V9" s="3094"/>
      <c r="W9" s="3094"/>
      <c r="X9" s="3094"/>
      <c r="Y9" s="3094"/>
      <c r="Z9" s="3094"/>
      <c r="AA9" s="3094"/>
      <c r="AB9" s="3094"/>
      <c r="AC9" s="3094"/>
      <c r="AD9" s="3094"/>
      <c r="AE9" s="3094"/>
      <c r="AF9" s="3094"/>
      <c r="AG9" s="3094"/>
      <c r="AH9" s="3094"/>
      <c r="AI9" s="3094"/>
      <c r="AJ9" s="3094"/>
      <c r="AK9" s="3094"/>
      <c r="AL9" s="3094"/>
      <c r="AM9" s="3094"/>
      <c r="AN9" s="3094"/>
      <c r="AO9" s="3094"/>
      <c r="AP9" s="3094"/>
      <c r="AQ9" s="3094"/>
      <c r="AR9" s="3094"/>
      <c r="AS9" s="3006"/>
      <c r="AV9" s="2996" t="s">
        <v>10314</v>
      </c>
      <c r="AW9" s="3177"/>
      <c r="AX9" s="3177"/>
      <c r="AY9" s="3177"/>
      <c r="AZ9" s="3177"/>
      <c r="BA9" s="3177"/>
      <c r="BB9" s="3177"/>
      <c r="BC9" s="3177"/>
      <c r="BD9" s="3177"/>
      <c r="BE9" s="3177"/>
      <c r="BF9" s="3177"/>
      <c r="BG9" s="3177"/>
      <c r="BH9" s="3177"/>
      <c r="BI9" s="3178"/>
      <c r="BL9" s="3182" t="s">
        <v>5827</v>
      </c>
      <c r="BM9" s="3183"/>
      <c r="BN9" s="3183"/>
      <c r="BO9" s="3183"/>
      <c r="BP9" s="3183"/>
      <c r="BQ9" s="3183"/>
      <c r="BR9" s="3183"/>
      <c r="BS9" s="3183"/>
      <c r="BT9" s="3184"/>
      <c r="BV9" s="2312"/>
      <c r="BW9" s="2309"/>
      <c r="EQ9" s="2312"/>
      <c r="ER9" s="2309"/>
      <c r="ES9" s="2900" t="s">
        <v>10315</v>
      </c>
      <c r="ET9" s="3188"/>
      <c r="EU9" s="3188"/>
      <c r="EV9" s="3188"/>
      <c r="EW9" s="3188"/>
      <c r="EX9" s="3188"/>
      <c r="EY9" s="3188"/>
      <c r="EZ9" s="3188"/>
      <c r="FA9" s="3188"/>
      <c r="FB9" s="3188"/>
      <c r="FC9" s="3188"/>
      <c r="FD9" s="3188"/>
      <c r="FE9" s="3188"/>
      <c r="FF9" s="3188"/>
      <c r="FG9" s="3188"/>
      <c r="FH9" s="3188"/>
      <c r="FI9" s="3188"/>
      <c r="FJ9" s="3188"/>
      <c r="FK9" s="3188"/>
      <c r="FL9" s="3188"/>
      <c r="FM9" s="3188"/>
      <c r="FN9" s="3188"/>
      <c r="FO9" s="3188"/>
      <c r="FP9" s="3188"/>
      <c r="FQ9" s="3188"/>
      <c r="FR9" s="3188"/>
      <c r="FS9" s="3188"/>
      <c r="FT9" s="3188"/>
      <c r="FU9" s="3188"/>
      <c r="FV9" s="3188"/>
      <c r="FW9" s="3188"/>
      <c r="FX9" s="3188"/>
      <c r="FY9" s="3188"/>
      <c r="FZ9" s="3189"/>
      <c r="GA9" s="2305"/>
      <c r="GB9" s="2305"/>
      <c r="GC9" s="2900" t="s">
        <v>10316</v>
      </c>
      <c r="GD9" s="2794"/>
      <c r="GE9" s="2794"/>
      <c r="GF9" s="2794"/>
      <c r="GG9" s="2794"/>
      <c r="GH9" s="2794"/>
      <c r="GI9" s="2794"/>
      <c r="GJ9" s="2794"/>
      <c r="GK9" s="2794"/>
      <c r="GL9" s="2794"/>
      <c r="GM9" s="2794"/>
      <c r="GN9" s="2794"/>
      <c r="GO9" s="2794"/>
      <c r="GP9" s="2794"/>
      <c r="GQ9" s="2794"/>
      <c r="GR9" s="2794"/>
      <c r="GS9" s="2794"/>
      <c r="GT9" s="2794"/>
      <c r="GU9" s="2794"/>
      <c r="GV9" s="2794"/>
      <c r="GW9" s="2794"/>
      <c r="GX9" s="2794"/>
      <c r="GY9" s="2794"/>
      <c r="GZ9" s="2794"/>
      <c r="HA9" s="2794"/>
      <c r="HB9" s="2794"/>
      <c r="HC9" s="2794"/>
      <c r="HD9" s="2794"/>
      <c r="HE9" s="2794"/>
      <c r="HF9" s="2794"/>
      <c r="HG9" s="2794"/>
      <c r="HH9" s="2794"/>
      <c r="HI9" s="2794"/>
      <c r="HJ9" s="2795"/>
      <c r="HL9" s="2312"/>
    </row>
    <row r="10" spans="2:220" ht="7.5" customHeight="1">
      <c r="B10" s="2309"/>
      <c r="C10" s="2796"/>
      <c r="D10" s="2797"/>
      <c r="E10" s="2797"/>
      <c r="F10" s="2797"/>
      <c r="G10" s="2797"/>
      <c r="H10" s="2797"/>
      <c r="I10" s="2797"/>
      <c r="J10" s="2797"/>
      <c r="K10" s="2797"/>
      <c r="M10" s="2796"/>
      <c r="N10" s="2797"/>
      <c r="O10" s="2797"/>
      <c r="P10" s="2797"/>
      <c r="Q10" s="2797"/>
      <c r="R10" s="2797"/>
      <c r="S10" s="2797"/>
      <c r="T10" s="2319"/>
      <c r="U10" s="3094"/>
      <c r="V10" s="3094"/>
      <c r="W10" s="3094"/>
      <c r="X10" s="3094"/>
      <c r="Y10" s="3094"/>
      <c r="Z10" s="3094"/>
      <c r="AA10" s="3094"/>
      <c r="AB10" s="3094"/>
      <c r="AC10" s="3094"/>
      <c r="AD10" s="3094"/>
      <c r="AE10" s="3094"/>
      <c r="AF10" s="3094"/>
      <c r="AG10" s="3094"/>
      <c r="AH10" s="3094"/>
      <c r="AI10" s="3094"/>
      <c r="AJ10" s="3094"/>
      <c r="AK10" s="3094"/>
      <c r="AL10" s="3094"/>
      <c r="AM10" s="3094"/>
      <c r="AN10" s="3094"/>
      <c r="AO10" s="3094"/>
      <c r="AP10" s="3094"/>
      <c r="AQ10" s="3094"/>
      <c r="AR10" s="3094"/>
      <c r="AS10" s="3006"/>
      <c r="AV10" s="3179"/>
      <c r="AW10" s="3180"/>
      <c r="AX10" s="3180"/>
      <c r="AY10" s="3180"/>
      <c r="AZ10" s="3180"/>
      <c r="BA10" s="3180"/>
      <c r="BB10" s="3180"/>
      <c r="BC10" s="3180"/>
      <c r="BD10" s="3180"/>
      <c r="BE10" s="3180"/>
      <c r="BF10" s="3180"/>
      <c r="BG10" s="3180"/>
      <c r="BH10" s="3180"/>
      <c r="BI10" s="3181"/>
      <c r="BL10" s="3185"/>
      <c r="BM10" s="3186"/>
      <c r="BN10" s="3186"/>
      <c r="BO10" s="3186"/>
      <c r="BP10" s="3186"/>
      <c r="BQ10" s="3186"/>
      <c r="BR10" s="3186"/>
      <c r="BS10" s="3186"/>
      <c r="BT10" s="3187"/>
      <c r="BV10" s="2312"/>
      <c r="BW10" s="2309"/>
      <c r="BX10" s="3157" t="s">
        <v>10317</v>
      </c>
      <c r="BY10" s="3158"/>
      <c r="BZ10" s="3158"/>
      <c r="CA10" s="3158"/>
      <c r="CB10" s="3158"/>
      <c r="CC10" s="3158"/>
      <c r="CD10" s="3158"/>
      <c r="CE10" s="3158"/>
      <c r="CF10" s="3158"/>
      <c r="CG10" s="3158"/>
      <c r="CH10" s="3158"/>
      <c r="CI10" s="3158"/>
      <c r="CJ10" s="3158"/>
      <c r="CK10" s="3158"/>
      <c r="CL10" s="3158"/>
      <c r="CM10" s="3158"/>
      <c r="CN10" s="3158"/>
      <c r="CO10" s="3158"/>
      <c r="CP10" s="3158"/>
      <c r="CQ10" s="3158"/>
      <c r="CR10" s="3158"/>
      <c r="CS10" s="3158"/>
      <c r="CT10" s="3158"/>
      <c r="CU10" s="3158"/>
      <c r="CV10" s="3158"/>
      <c r="CW10" s="3158"/>
      <c r="CX10" s="3158"/>
      <c r="CY10" s="3158"/>
      <c r="CZ10" s="3158"/>
      <c r="DA10" s="3158"/>
      <c r="DB10" s="3158"/>
      <c r="DC10" s="3158"/>
      <c r="DD10" s="3158"/>
      <c r="DE10" s="3158"/>
      <c r="DF10" s="3158"/>
      <c r="DG10" s="3064"/>
      <c r="DH10" s="3064"/>
      <c r="DI10" s="3064"/>
      <c r="DJ10" s="3064"/>
      <c r="DK10" s="3064"/>
      <c r="DL10" s="3064"/>
      <c r="DM10" s="3064"/>
      <c r="DN10" s="3064"/>
      <c r="DO10" s="3064"/>
      <c r="DP10" s="3064"/>
      <c r="DQ10" s="3064"/>
      <c r="DR10" s="3064"/>
      <c r="DS10" s="3064"/>
      <c r="DT10" s="3064"/>
      <c r="DU10" s="3064"/>
      <c r="DV10" s="3064"/>
      <c r="DW10" s="3064"/>
      <c r="DX10" s="3064"/>
      <c r="DY10" s="3064"/>
      <c r="DZ10" s="3064"/>
      <c r="EA10" s="3064"/>
      <c r="EB10" s="3064"/>
      <c r="EC10" s="3064"/>
      <c r="ED10" s="3064"/>
      <c r="EE10" s="3064"/>
      <c r="EF10" s="3064"/>
      <c r="EG10" s="3064"/>
      <c r="EH10" s="3064"/>
      <c r="EI10" s="3064"/>
      <c r="EJ10" s="3064"/>
      <c r="EK10" s="3064"/>
      <c r="EL10" s="3064"/>
      <c r="EM10" s="3064"/>
      <c r="EN10" s="3064"/>
      <c r="EO10" s="3064"/>
      <c r="EP10" s="3064"/>
      <c r="EQ10" s="2312"/>
      <c r="ER10" s="2309"/>
      <c r="ES10" s="3190"/>
      <c r="ET10" s="3191"/>
      <c r="EU10" s="3191"/>
      <c r="EV10" s="3191"/>
      <c r="EW10" s="3191"/>
      <c r="EX10" s="3191"/>
      <c r="EY10" s="3191"/>
      <c r="EZ10" s="3191"/>
      <c r="FA10" s="3191"/>
      <c r="FB10" s="3191"/>
      <c r="FC10" s="3191"/>
      <c r="FD10" s="3191"/>
      <c r="FE10" s="3191"/>
      <c r="FF10" s="3191"/>
      <c r="FG10" s="3191"/>
      <c r="FH10" s="3191"/>
      <c r="FI10" s="3191"/>
      <c r="FJ10" s="3191"/>
      <c r="FK10" s="3191"/>
      <c r="FL10" s="3191"/>
      <c r="FM10" s="3191"/>
      <c r="FN10" s="3191"/>
      <c r="FO10" s="3191"/>
      <c r="FP10" s="3191"/>
      <c r="FQ10" s="3191"/>
      <c r="FR10" s="3191"/>
      <c r="FS10" s="3191"/>
      <c r="FT10" s="3191"/>
      <c r="FU10" s="3191"/>
      <c r="FV10" s="3191"/>
      <c r="FW10" s="3191"/>
      <c r="FX10" s="3191"/>
      <c r="FY10" s="3191"/>
      <c r="FZ10" s="3192"/>
      <c r="GA10" s="1940"/>
      <c r="GB10" s="1940"/>
      <c r="GC10" s="2799"/>
      <c r="GD10" s="2800"/>
      <c r="GE10" s="2800"/>
      <c r="GF10" s="2800"/>
      <c r="GG10" s="2800"/>
      <c r="GH10" s="2800"/>
      <c r="GI10" s="2800"/>
      <c r="GJ10" s="2800"/>
      <c r="GK10" s="2800"/>
      <c r="GL10" s="2800"/>
      <c r="GM10" s="2800"/>
      <c r="GN10" s="2800"/>
      <c r="GO10" s="2800"/>
      <c r="GP10" s="2800"/>
      <c r="GQ10" s="2800"/>
      <c r="GR10" s="2800"/>
      <c r="GS10" s="2800"/>
      <c r="GT10" s="2800"/>
      <c r="GU10" s="2800"/>
      <c r="GV10" s="2800"/>
      <c r="GW10" s="2800"/>
      <c r="GX10" s="2800"/>
      <c r="GY10" s="2800"/>
      <c r="GZ10" s="2800"/>
      <c r="HA10" s="2800"/>
      <c r="HB10" s="2800"/>
      <c r="HC10" s="2800"/>
      <c r="HD10" s="2800"/>
      <c r="HE10" s="2800"/>
      <c r="HF10" s="2800"/>
      <c r="HG10" s="2800"/>
      <c r="HH10" s="2800"/>
      <c r="HI10" s="2800"/>
      <c r="HJ10" s="2801"/>
      <c r="HL10" s="2312"/>
    </row>
    <row r="11" spans="2:220" ht="7.5" customHeight="1">
      <c r="B11" s="2309"/>
      <c r="C11" s="3159"/>
      <c r="D11" s="2794"/>
      <c r="E11" s="2794"/>
      <c r="F11" s="2794"/>
      <c r="G11" s="2794"/>
      <c r="H11" s="2794"/>
      <c r="I11" s="2794"/>
      <c r="J11" s="2794"/>
      <c r="K11" s="2795"/>
      <c r="M11" s="3159"/>
      <c r="N11" s="2794"/>
      <c r="O11" s="2794"/>
      <c r="P11" s="2794"/>
      <c r="Q11" s="2794"/>
      <c r="R11" s="2794"/>
      <c r="S11" s="2795"/>
      <c r="T11" s="2319"/>
      <c r="U11" s="3160"/>
      <c r="V11" s="2949"/>
      <c r="W11" s="2949"/>
      <c r="X11" s="2949"/>
      <c r="Y11" s="2949"/>
      <c r="Z11" s="2949"/>
      <c r="AA11" s="2949"/>
      <c r="AB11" s="2949"/>
      <c r="AC11" s="2949"/>
      <c r="AD11" s="2949"/>
      <c r="AE11" s="2949"/>
      <c r="AF11" s="2949"/>
      <c r="AG11" s="2949"/>
      <c r="AH11" s="2949"/>
      <c r="AI11" s="2949"/>
      <c r="AJ11" s="2949"/>
      <c r="AK11" s="2949"/>
      <c r="AL11" s="2949"/>
      <c r="AM11" s="2949"/>
      <c r="AN11" s="2949"/>
      <c r="AO11" s="2949"/>
      <c r="AP11" s="2949"/>
      <c r="AQ11" s="2949"/>
      <c r="AR11" s="2949"/>
      <c r="AS11" s="2950"/>
      <c r="AV11" s="3161"/>
      <c r="AW11" s="3162"/>
      <c r="AX11" s="3162"/>
      <c r="AY11" s="3162"/>
      <c r="AZ11" s="3162"/>
      <c r="BA11" s="3162"/>
      <c r="BB11" s="3162"/>
      <c r="BC11" s="3162"/>
      <c r="BD11" s="3162"/>
      <c r="BE11" s="3162"/>
      <c r="BF11" s="3162"/>
      <c r="BG11" s="3162"/>
      <c r="BH11" s="3162"/>
      <c r="BI11" s="3162"/>
      <c r="BL11" s="3163"/>
      <c r="BM11" s="2845"/>
      <c r="BN11" s="2845"/>
      <c r="BO11" s="2845"/>
      <c r="BP11" s="2845"/>
      <c r="BQ11" s="2845"/>
      <c r="BR11" s="2845"/>
      <c r="BS11" s="2845"/>
      <c r="BT11" s="2882"/>
      <c r="BV11" s="2312"/>
      <c r="BW11" s="2309"/>
      <c r="BX11" s="3158"/>
      <c r="BY11" s="3158"/>
      <c r="BZ11" s="3158"/>
      <c r="CA11" s="3158"/>
      <c r="CB11" s="3158"/>
      <c r="CC11" s="3158"/>
      <c r="CD11" s="3158"/>
      <c r="CE11" s="3158"/>
      <c r="CF11" s="3158"/>
      <c r="CG11" s="3158"/>
      <c r="CH11" s="3158"/>
      <c r="CI11" s="3158"/>
      <c r="CJ11" s="3158"/>
      <c r="CK11" s="3158"/>
      <c r="CL11" s="3158"/>
      <c r="CM11" s="3158"/>
      <c r="CN11" s="3158"/>
      <c r="CO11" s="3158"/>
      <c r="CP11" s="3158"/>
      <c r="CQ11" s="3158"/>
      <c r="CR11" s="3158"/>
      <c r="CS11" s="3158"/>
      <c r="CT11" s="3158"/>
      <c r="CU11" s="3158"/>
      <c r="CV11" s="3158"/>
      <c r="CW11" s="3158"/>
      <c r="CX11" s="3158"/>
      <c r="CY11" s="3158"/>
      <c r="CZ11" s="3158"/>
      <c r="DA11" s="3158"/>
      <c r="DB11" s="3158"/>
      <c r="DC11" s="3158"/>
      <c r="DD11" s="3158"/>
      <c r="DE11" s="3158"/>
      <c r="DF11" s="3158"/>
      <c r="DG11" s="3064"/>
      <c r="DH11" s="3064"/>
      <c r="DI11" s="3064"/>
      <c r="DJ11" s="3064"/>
      <c r="DK11" s="3064"/>
      <c r="DL11" s="3064"/>
      <c r="DM11" s="3064"/>
      <c r="DN11" s="3064"/>
      <c r="DO11" s="3064"/>
      <c r="DP11" s="3064"/>
      <c r="DQ11" s="3064"/>
      <c r="DR11" s="3064"/>
      <c r="DS11" s="3064"/>
      <c r="DT11" s="3064"/>
      <c r="DU11" s="3064"/>
      <c r="DV11" s="3064"/>
      <c r="DW11" s="3064"/>
      <c r="DX11" s="3064"/>
      <c r="DY11" s="3064"/>
      <c r="DZ11" s="3064"/>
      <c r="EA11" s="3064"/>
      <c r="EB11" s="3064"/>
      <c r="EC11" s="3064"/>
      <c r="ED11" s="3064"/>
      <c r="EE11" s="3064"/>
      <c r="EF11" s="3064"/>
      <c r="EG11" s="3064"/>
      <c r="EH11" s="3064"/>
      <c r="EI11" s="3064"/>
      <c r="EJ11" s="3064"/>
      <c r="EK11" s="3064"/>
      <c r="EL11" s="3064"/>
      <c r="EM11" s="3064"/>
      <c r="EN11" s="3064"/>
      <c r="EO11" s="3064"/>
      <c r="EP11" s="3064"/>
      <c r="EQ11" s="2312"/>
      <c r="ER11" s="2309"/>
      <c r="ES11" s="3164" t="str">
        <f>[1]DESCRIPTION!$H$3&amp;", "&amp;[1]DESCRIPTION!$G$3&amp;" "&amp;"hair, "&amp;[1]DESCRIPTION!$J$3&amp;"colored eyes, "&amp;[1]DESCRIPTION!$I$3&amp;" toned skin, and "&amp;"dresses in "&amp;[1]DESCRIPTION!$C$3&amp;" clothes"</f>
        <v>Cowlick, Honeyed Blonde hair, Green colored eyes, Ecru toned skin, and dresses in Formal clothes</v>
      </c>
      <c r="ET11" s="3165"/>
      <c r="EU11" s="3165"/>
      <c r="EV11" s="3165"/>
      <c r="EW11" s="3165"/>
      <c r="EX11" s="3165"/>
      <c r="EY11" s="3165"/>
      <c r="EZ11" s="3165"/>
      <c r="FA11" s="3165"/>
      <c r="FB11" s="3165"/>
      <c r="FC11" s="3165"/>
      <c r="FD11" s="3165"/>
      <c r="FE11" s="3165"/>
      <c r="FF11" s="3165"/>
      <c r="FG11" s="3165"/>
      <c r="FH11" s="3165"/>
      <c r="FI11" s="3165"/>
      <c r="FJ11" s="3165"/>
      <c r="FK11" s="3165"/>
      <c r="FL11" s="3165"/>
      <c r="FM11" s="3165"/>
      <c r="FN11" s="3165"/>
      <c r="FO11" s="3165"/>
      <c r="FP11" s="3165"/>
      <c r="FQ11" s="3165"/>
      <c r="FR11" s="3165"/>
      <c r="FS11" s="3165"/>
      <c r="FT11" s="3165"/>
      <c r="FU11" s="3165"/>
      <c r="FV11" s="3165"/>
      <c r="FW11" s="3165"/>
      <c r="FX11" s="3165"/>
      <c r="FY11" s="3165"/>
      <c r="FZ11" s="3166"/>
      <c r="GA11" s="2320"/>
      <c r="GB11" s="2321"/>
      <c r="GC11" s="3171" t="str">
        <f>[1]DESCRIPTION!$D$3&amp;" "&amp;[1]DESCRIPTION!D4&amp;", "&amp;[1]DESCRIPTION!$E$3&amp;" "&amp;[1]DESCRIPTION!E4&amp;", "&amp;[1]DESCRIPTION!$F$3&amp;" "&amp;[1]DESCRIPTION!F4&amp;", and quirk of "&amp;[1]DESCRIPTION!$N$3</f>
        <v xml:space="preserve">Distressed Trait, Triumphant  Mood, Proud  Attitude, and quirk of On the seafood diet: if they see food, they eat it </v>
      </c>
      <c r="GD11" s="3172"/>
      <c r="GE11" s="3172"/>
      <c r="GF11" s="3172"/>
      <c r="GG11" s="3172"/>
      <c r="GH11" s="3172"/>
      <c r="GI11" s="3172"/>
      <c r="GJ11" s="3172"/>
      <c r="GK11" s="3172"/>
      <c r="GL11" s="3172"/>
      <c r="GM11" s="3172"/>
      <c r="GN11" s="3172"/>
      <c r="GO11" s="3172"/>
      <c r="GP11" s="3172"/>
      <c r="GQ11" s="3172"/>
      <c r="GR11" s="3172"/>
      <c r="GS11" s="3172"/>
      <c r="GT11" s="3172"/>
      <c r="GU11" s="3172"/>
      <c r="GV11" s="3172"/>
      <c r="GW11" s="3172"/>
      <c r="GX11" s="3172"/>
      <c r="GY11" s="3172"/>
      <c r="GZ11" s="3172"/>
      <c r="HA11" s="3172"/>
      <c r="HB11" s="3172"/>
      <c r="HC11" s="3172"/>
      <c r="HD11" s="3172"/>
      <c r="HE11" s="3172"/>
      <c r="HF11" s="3172"/>
      <c r="HG11" s="3172"/>
      <c r="HH11" s="3172"/>
      <c r="HI11" s="3172"/>
      <c r="HJ11" s="3173"/>
      <c r="HL11" s="2312"/>
    </row>
    <row r="12" spans="2:220" ht="7.5" customHeight="1">
      <c r="B12" s="2309"/>
      <c r="C12" s="2796"/>
      <c r="D12" s="2797"/>
      <c r="E12" s="2797"/>
      <c r="F12" s="2797"/>
      <c r="G12" s="2797"/>
      <c r="H12" s="2797"/>
      <c r="I12" s="2797"/>
      <c r="J12" s="2797"/>
      <c r="K12" s="2798"/>
      <c r="M12" s="2796"/>
      <c r="N12" s="2797"/>
      <c r="O12" s="2797"/>
      <c r="P12" s="2797"/>
      <c r="Q12" s="2797"/>
      <c r="R12" s="2797"/>
      <c r="S12" s="2798"/>
      <c r="T12" s="2319"/>
      <c r="U12" s="2951"/>
      <c r="V12" s="2859"/>
      <c r="W12" s="2859"/>
      <c r="X12" s="2859"/>
      <c r="Y12" s="2859"/>
      <c r="Z12" s="2859"/>
      <c r="AA12" s="2859"/>
      <c r="AB12" s="2859"/>
      <c r="AC12" s="2859"/>
      <c r="AD12" s="2859"/>
      <c r="AE12" s="2859"/>
      <c r="AF12" s="2859"/>
      <c r="AG12" s="2859"/>
      <c r="AH12" s="2859"/>
      <c r="AI12" s="2859"/>
      <c r="AJ12" s="2859"/>
      <c r="AK12" s="2859"/>
      <c r="AL12" s="2859"/>
      <c r="AM12" s="2859"/>
      <c r="AN12" s="2859"/>
      <c r="AO12" s="2859"/>
      <c r="AP12" s="2859"/>
      <c r="AQ12" s="2859"/>
      <c r="AR12" s="2859"/>
      <c r="AS12" s="2952"/>
      <c r="AV12" s="3162"/>
      <c r="AW12" s="3162"/>
      <c r="AX12" s="3162"/>
      <c r="AY12" s="3162"/>
      <c r="AZ12" s="3162"/>
      <c r="BA12" s="3162"/>
      <c r="BB12" s="3162"/>
      <c r="BC12" s="3162"/>
      <c r="BD12" s="3162"/>
      <c r="BE12" s="3162"/>
      <c r="BF12" s="3162"/>
      <c r="BG12" s="3162"/>
      <c r="BH12" s="3162"/>
      <c r="BI12" s="3162"/>
      <c r="BL12" s="2883"/>
      <c r="BM12" s="2767"/>
      <c r="BN12" s="2767"/>
      <c r="BO12" s="2767"/>
      <c r="BP12" s="2767"/>
      <c r="BQ12" s="2767"/>
      <c r="BR12" s="2767"/>
      <c r="BS12" s="2767"/>
      <c r="BT12" s="2884"/>
      <c r="BV12" s="2312"/>
      <c r="BW12" s="2309"/>
      <c r="BX12" s="3174" t="e">
        <f>#REF!</f>
        <v>#REF!</v>
      </c>
      <c r="BY12" s="3175"/>
      <c r="BZ12" s="3175"/>
      <c r="CA12" s="3175"/>
      <c r="CB12" s="3175"/>
      <c r="CC12" s="3175"/>
      <c r="CD12" s="3175"/>
      <c r="CE12" s="3175"/>
      <c r="CF12" s="3175"/>
      <c r="CG12" s="3175"/>
      <c r="CH12" s="3175"/>
      <c r="CI12" s="3175"/>
      <c r="CJ12" s="3175"/>
      <c r="CK12" s="3175"/>
      <c r="CL12" s="3175"/>
      <c r="CM12" s="3175"/>
      <c r="CN12" s="3175"/>
      <c r="CO12" s="3175"/>
      <c r="CP12" s="3175"/>
      <c r="CQ12" s="3175"/>
      <c r="CR12" s="3175"/>
      <c r="CS12" s="3175"/>
      <c r="CT12" s="3175"/>
      <c r="CU12" s="3175"/>
      <c r="CV12" s="3175"/>
      <c r="CW12" s="3175"/>
      <c r="CX12" s="3175"/>
      <c r="CY12" s="3175"/>
      <c r="CZ12" s="3175"/>
      <c r="DA12" s="3175"/>
      <c r="DB12" s="3175"/>
      <c r="DC12" s="3175"/>
      <c r="DD12" s="3175"/>
      <c r="DE12" s="3175"/>
      <c r="DF12" s="3175"/>
      <c r="DG12" s="3064"/>
      <c r="DH12" s="3064"/>
      <c r="DI12" s="3064"/>
      <c r="DJ12" s="3064"/>
      <c r="DK12" s="3064"/>
      <c r="DL12" s="3064"/>
      <c r="DM12" s="3064"/>
      <c r="DN12" s="3064"/>
      <c r="DO12" s="3064"/>
      <c r="DP12" s="3064"/>
      <c r="DQ12" s="3064"/>
      <c r="DR12" s="3064"/>
      <c r="DS12" s="3064"/>
      <c r="DT12" s="3064"/>
      <c r="DU12" s="3064"/>
      <c r="DV12" s="3064"/>
      <c r="DW12" s="3064"/>
      <c r="DX12" s="3064"/>
      <c r="DY12" s="3064"/>
      <c r="DZ12" s="3064"/>
      <c r="EA12" s="3064"/>
      <c r="EB12" s="3064"/>
      <c r="EC12" s="3064"/>
      <c r="ED12" s="3064"/>
      <c r="EE12" s="3064"/>
      <c r="EF12" s="3064"/>
      <c r="EG12" s="3064"/>
      <c r="EH12" s="3064"/>
      <c r="EI12" s="3064"/>
      <c r="EJ12" s="3064"/>
      <c r="EK12" s="3064"/>
      <c r="EL12" s="3064"/>
      <c r="EM12" s="3064"/>
      <c r="EN12" s="3064"/>
      <c r="EO12" s="3064"/>
      <c r="EP12" s="3064"/>
      <c r="EQ12" s="2312"/>
      <c r="ER12" s="2309"/>
      <c r="ES12" s="3167"/>
      <c r="ET12" s="3165"/>
      <c r="EU12" s="3165"/>
      <c r="EV12" s="3165"/>
      <c r="EW12" s="3165"/>
      <c r="EX12" s="3165"/>
      <c r="EY12" s="3165"/>
      <c r="EZ12" s="3165"/>
      <c r="FA12" s="3165"/>
      <c r="FB12" s="3165"/>
      <c r="FC12" s="3165"/>
      <c r="FD12" s="3165"/>
      <c r="FE12" s="3165"/>
      <c r="FF12" s="3165"/>
      <c r="FG12" s="3165"/>
      <c r="FH12" s="3165"/>
      <c r="FI12" s="3165"/>
      <c r="FJ12" s="3165"/>
      <c r="FK12" s="3165"/>
      <c r="FL12" s="3165"/>
      <c r="FM12" s="3165"/>
      <c r="FN12" s="3165"/>
      <c r="FO12" s="3165"/>
      <c r="FP12" s="3165"/>
      <c r="FQ12" s="3165"/>
      <c r="FR12" s="3165"/>
      <c r="FS12" s="3165"/>
      <c r="FT12" s="3165"/>
      <c r="FU12" s="3165"/>
      <c r="FV12" s="3165"/>
      <c r="FW12" s="3165"/>
      <c r="FX12" s="3165"/>
      <c r="FY12" s="3165"/>
      <c r="FZ12" s="3166"/>
      <c r="GA12" s="2321"/>
      <c r="GB12" s="2321"/>
      <c r="GC12" s="3167"/>
      <c r="GD12" s="3165"/>
      <c r="GE12" s="3165"/>
      <c r="GF12" s="3165"/>
      <c r="GG12" s="3165"/>
      <c r="GH12" s="3165"/>
      <c r="GI12" s="3165"/>
      <c r="GJ12" s="3165"/>
      <c r="GK12" s="3165"/>
      <c r="GL12" s="3165"/>
      <c r="GM12" s="3165"/>
      <c r="GN12" s="3165"/>
      <c r="GO12" s="3165"/>
      <c r="GP12" s="3165"/>
      <c r="GQ12" s="3165"/>
      <c r="GR12" s="3165"/>
      <c r="GS12" s="3165"/>
      <c r="GT12" s="3165"/>
      <c r="GU12" s="3165"/>
      <c r="GV12" s="3165"/>
      <c r="GW12" s="3165"/>
      <c r="GX12" s="3165"/>
      <c r="GY12" s="3165"/>
      <c r="GZ12" s="3165"/>
      <c r="HA12" s="3165"/>
      <c r="HB12" s="3165"/>
      <c r="HC12" s="3165"/>
      <c r="HD12" s="3165"/>
      <c r="HE12" s="3165"/>
      <c r="HF12" s="3165"/>
      <c r="HG12" s="3165"/>
      <c r="HH12" s="3165"/>
      <c r="HI12" s="3165"/>
      <c r="HJ12" s="3166"/>
      <c r="HL12" s="2312"/>
    </row>
    <row r="13" spans="2:220" ht="7.5" customHeight="1">
      <c r="B13" s="2309"/>
      <c r="C13" s="2799"/>
      <c r="D13" s="2800"/>
      <c r="E13" s="2800"/>
      <c r="F13" s="2800"/>
      <c r="G13" s="2800"/>
      <c r="H13" s="2800"/>
      <c r="I13" s="2800"/>
      <c r="J13" s="2800"/>
      <c r="K13" s="2801"/>
      <c r="M13" s="2799"/>
      <c r="N13" s="2800"/>
      <c r="O13" s="2800"/>
      <c r="P13" s="2800"/>
      <c r="Q13" s="2800"/>
      <c r="R13" s="2800"/>
      <c r="S13" s="2801"/>
      <c r="T13" s="2319"/>
      <c r="U13" s="2953"/>
      <c r="V13" s="2860"/>
      <c r="W13" s="2860"/>
      <c r="X13" s="2860"/>
      <c r="Y13" s="2860"/>
      <c r="Z13" s="2860"/>
      <c r="AA13" s="2860"/>
      <c r="AB13" s="2860"/>
      <c r="AC13" s="2860"/>
      <c r="AD13" s="2860"/>
      <c r="AE13" s="2860"/>
      <c r="AF13" s="2860"/>
      <c r="AG13" s="2860"/>
      <c r="AH13" s="2860"/>
      <c r="AI13" s="2860"/>
      <c r="AJ13" s="2860"/>
      <c r="AK13" s="2860"/>
      <c r="AL13" s="2860"/>
      <c r="AM13" s="2860"/>
      <c r="AN13" s="2860"/>
      <c r="AO13" s="2860"/>
      <c r="AP13" s="2860"/>
      <c r="AQ13" s="2860"/>
      <c r="AR13" s="2860"/>
      <c r="AS13" s="2954"/>
      <c r="AV13" s="3162"/>
      <c r="AW13" s="3162"/>
      <c r="AX13" s="3162"/>
      <c r="AY13" s="3162"/>
      <c r="AZ13" s="3162"/>
      <c r="BA13" s="3162"/>
      <c r="BB13" s="3162"/>
      <c r="BC13" s="3162"/>
      <c r="BD13" s="3162"/>
      <c r="BE13" s="3162"/>
      <c r="BF13" s="3162"/>
      <c r="BG13" s="3162"/>
      <c r="BH13" s="3162"/>
      <c r="BI13" s="3162"/>
      <c r="BL13" s="2885"/>
      <c r="BM13" s="2768"/>
      <c r="BN13" s="2768"/>
      <c r="BO13" s="2768"/>
      <c r="BP13" s="2768"/>
      <c r="BQ13" s="2768"/>
      <c r="BR13" s="2768"/>
      <c r="BS13" s="2768"/>
      <c r="BT13" s="2886"/>
      <c r="BV13" s="2312"/>
      <c r="BW13" s="2309"/>
      <c r="BX13" s="3175"/>
      <c r="BY13" s="3175"/>
      <c r="BZ13" s="3175"/>
      <c r="CA13" s="3175"/>
      <c r="CB13" s="3175"/>
      <c r="CC13" s="3175"/>
      <c r="CD13" s="3175"/>
      <c r="CE13" s="3175"/>
      <c r="CF13" s="3175"/>
      <c r="CG13" s="3175"/>
      <c r="CH13" s="3175"/>
      <c r="CI13" s="3175"/>
      <c r="CJ13" s="3175"/>
      <c r="CK13" s="3175"/>
      <c r="CL13" s="3175"/>
      <c r="CM13" s="3175"/>
      <c r="CN13" s="3175"/>
      <c r="CO13" s="3175"/>
      <c r="CP13" s="3175"/>
      <c r="CQ13" s="3175"/>
      <c r="CR13" s="3175"/>
      <c r="CS13" s="3175"/>
      <c r="CT13" s="3175"/>
      <c r="CU13" s="3175"/>
      <c r="CV13" s="3175"/>
      <c r="CW13" s="3175"/>
      <c r="CX13" s="3175"/>
      <c r="CY13" s="3175"/>
      <c r="CZ13" s="3175"/>
      <c r="DA13" s="3175"/>
      <c r="DB13" s="3175"/>
      <c r="DC13" s="3175"/>
      <c r="DD13" s="3175"/>
      <c r="DE13" s="3175"/>
      <c r="DF13" s="3175"/>
      <c r="DG13" s="3064"/>
      <c r="DH13" s="3064"/>
      <c r="DI13" s="3064"/>
      <c r="DJ13" s="3064"/>
      <c r="DK13" s="3064"/>
      <c r="DL13" s="3064"/>
      <c r="DM13" s="3064"/>
      <c r="DN13" s="3064"/>
      <c r="DO13" s="3064"/>
      <c r="DP13" s="3064"/>
      <c r="DQ13" s="3064"/>
      <c r="DR13" s="3064"/>
      <c r="DS13" s="3064"/>
      <c r="DT13" s="3064"/>
      <c r="DU13" s="3064"/>
      <c r="DV13" s="3064"/>
      <c r="DW13" s="3064"/>
      <c r="DX13" s="3064"/>
      <c r="DY13" s="3064"/>
      <c r="DZ13" s="3064"/>
      <c r="EA13" s="3064"/>
      <c r="EB13" s="3064"/>
      <c r="EC13" s="3064"/>
      <c r="ED13" s="3064"/>
      <c r="EE13" s="3064"/>
      <c r="EF13" s="3064"/>
      <c r="EG13" s="3064"/>
      <c r="EH13" s="3064"/>
      <c r="EI13" s="3064"/>
      <c r="EJ13" s="3064"/>
      <c r="EK13" s="3064"/>
      <c r="EL13" s="3064"/>
      <c r="EM13" s="3064"/>
      <c r="EN13" s="3064"/>
      <c r="EO13" s="3064"/>
      <c r="EP13" s="3064"/>
      <c r="EQ13" s="2312"/>
      <c r="ER13" s="2309"/>
      <c r="ES13" s="3167"/>
      <c r="ET13" s="3165"/>
      <c r="EU13" s="3165"/>
      <c r="EV13" s="3165"/>
      <c r="EW13" s="3165"/>
      <c r="EX13" s="3165"/>
      <c r="EY13" s="3165"/>
      <c r="EZ13" s="3165"/>
      <c r="FA13" s="3165"/>
      <c r="FB13" s="3165"/>
      <c r="FC13" s="3165"/>
      <c r="FD13" s="3165"/>
      <c r="FE13" s="3165"/>
      <c r="FF13" s="3165"/>
      <c r="FG13" s="3165"/>
      <c r="FH13" s="3165"/>
      <c r="FI13" s="3165"/>
      <c r="FJ13" s="3165"/>
      <c r="FK13" s="3165"/>
      <c r="FL13" s="3165"/>
      <c r="FM13" s="3165"/>
      <c r="FN13" s="3165"/>
      <c r="FO13" s="3165"/>
      <c r="FP13" s="3165"/>
      <c r="FQ13" s="3165"/>
      <c r="FR13" s="3165"/>
      <c r="FS13" s="3165"/>
      <c r="FT13" s="3165"/>
      <c r="FU13" s="3165"/>
      <c r="FV13" s="3165"/>
      <c r="FW13" s="3165"/>
      <c r="FX13" s="3165"/>
      <c r="FY13" s="3165"/>
      <c r="FZ13" s="3166"/>
      <c r="GA13" s="2321"/>
      <c r="GB13" s="2321"/>
      <c r="GC13" s="3167"/>
      <c r="GD13" s="3165"/>
      <c r="GE13" s="3165"/>
      <c r="GF13" s="3165"/>
      <c r="GG13" s="3165"/>
      <c r="GH13" s="3165"/>
      <c r="GI13" s="3165"/>
      <c r="GJ13" s="3165"/>
      <c r="GK13" s="3165"/>
      <c r="GL13" s="3165"/>
      <c r="GM13" s="3165"/>
      <c r="GN13" s="3165"/>
      <c r="GO13" s="3165"/>
      <c r="GP13" s="3165"/>
      <c r="GQ13" s="3165"/>
      <c r="GR13" s="3165"/>
      <c r="GS13" s="3165"/>
      <c r="GT13" s="3165"/>
      <c r="GU13" s="3165"/>
      <c r="GV13" s="3165"/>
      <c r="GW13" s="3165"/>
      <c r="GX13" s="3165"/>
      <c r="GY13" s="3165"/>
      <c r="GZ13" s="3165"/>
      <c r="HA13" s="3165"/>
      <c r="HB13" s="3165"/>
      <c r="HC13" s="3165"/>
      <c r="HD13" s="3165"/>
      <c r="HE13" s="3165"/>
      <c r="HF13" s="3165"/>
      <c r="HG13" s="3165"/>
      <c r="HH13" s="3165"/>
      <c r="HI13" s="3165"/>
      <c r="HJ13" s="3166"/>
      <c r="HL13" s="2312"/>
    </row>
    <row r="14" spans="2:220" ht="7.5" customHeight="1">
      <c r="B14" s="2309"/>
      <c r="C14" s="2319"/>
      <c r="D14" s="2319"/>
      <c r="E14" s="2319"/>
      <c r="F14" s="2319"/>
      <c r="H14" s="2319"/>
      <c r="I14" s="2319"/>
      <c r="J14" s="2319"/>
      <c r="K14" s="2319"/>
      <c r="L14" s="2319"/>
      <c r="M14" s="2319"/>
      <c r="N14" s="2319"/>
      <c r="O14" s="2319"/>
      <c r="P14" s="2319"/>
      <c r="Q14" s="2319"/>
      <c r="R14" s="2319"/>
      <c r="S14" s="2319"/>
      <c r="T14" s="2319"/>
      <c r="U14" s="2319"/>
      <c r="V14" s="2319"/>
      <c r="W14" s="2319"/>
      <c r="X14" s="2319"/>
      <c r="Y14" s="2319"/>
      <c r="Z14" s="2319"/>
      <c r="AA14" s="2319"/>
      <c r="AB14" s="2319"/>
      <c r="AC14" s="2319"/>
      <c r="AD14" s="2319"/>
      <c r="AE14" s="2319"/>
      <c r="AF14" s="2319"/>
      <c r="BV14" s="2312"/>
      <c r="BW14" s="2309"/>
      <c r="BX14" s="3175"/>
      <c r="BY14" s="3175"/>
      <c r="BZ14" s="3175"/>
      <c r="CA14" s="3175"/>
      <c r="CB14" s="3175"/>
      <c r="CC14" s="3175"/>
      <c r="CD14" s="3175"/>
      <c r="CE14" s="3175"/>
      <c r="CF14" s="3175"/>
      <c r="CG14" s="3175"/>
      <c r="CH14" s="3175"/>
      <c r="CI14" s="3175"/>
      <c r="CJ14" s="3175"/>
      <c r="CK14" s="3175"/>
      <c r="CL14" s="3175"/>
      <c r="CM14" s="3175"/>
      <c r="CN14" s="3175"/>
      <c r="CO14" s="3175"/>
      <c r="CP14" s="3175"/>
      <c r="CQ14" s="3175"/>
      <c r="CR14" s="3175"/>
      <c r="CS14" s="3175"/>
      <c r="CT14" s="3175"/>
      <c r="CU14" s="3175"/>
      <c r="CV14" s="3175"/>
      <c r="CW14" s="3175"/>
      <c r="CX14" s="3175"/>
      <c r="CY14" s="3175"/>
      <c r="CZ14" s="3175"/>
      <c r="DA14" s="3175"/>
      <c r="DB14" s="3175"/>
      <c r="DC14" s="3175"/>
      <c r="DD14" s="3175"/>
      <c r="DE14" s="3175"/>
      <c r="DF14" s="3175"/>
      <c r="DG14" s="3064"/>
      <c r="DH14" s="3064"/>
      <c r="DI14" s="3064"/>
      <c r="DJ14" s="3064"/>
      <c r="DK14" s="3064"/>
      <c r="DL14" s="3064"/>
      <c r="DM14" s="3064"/>
      <c r="DN14" s="3064"/>
      <c r="DO14" s="3064"/>
      <c r="DP14" s="3064"/>
      <c r="DQ14" s="3064"/>
      <c r="DR14" s="3064"/>
      <c r="DS14" s="3064"/>
      <c r="DT14" s="3064"/>
      <c r="DU14" s="3064"/>
      <c r="DV14" s="3064"/>
      <c r="DW14" s="3064"/>
      <c r="DX14" s="3064"/>
      <c r="DY14" s="3064"/>
      <c r="DZ14" s="3064"/>
      <c r="EA14" s="3064"/>
      <c r="EB14" s="3064"/>
      <c r="EC14" s="3064"/>
      <c r="ED14" s="3064"/>
      <c r="EE14" s="3064"/>
      <c r="EF14" s="3064"/>
      <c r="EG14" s="3064"/>
      <c r="EH14" s="3064"/>
      <c r="EI14" s="3064"/>
      <c r="EJ14" s="3064"/>
      <c r="EK14" s="3064"/>
      <c r="EL14" s="3064"/>
      <c r="EM14" s="3064"/>
      <c r="EN14" s="3064"/>
      <c r="EO14" s="3064"/>
      <c r="EP14" s="3064"/>
      <c r="EQ14" s="2312"/>
      <c r="ER14" s="2309"/>
      <c r="ES14" s="3167"/>
      <c r="ET14" s="3165"/>
      <c r="EU14" s="3165"/>
      <c r="EV14" s="3165"/>
      <c r="EW14" s="3165"/>
      <c r="EX14" s="3165"/>
      <c r="EY14" s="3165"/>
      <c r="EZ14" s="3165"/>
      <c r="FA14" s="3165"/>
      <c r="FB14" s="3165"/>
      <c r="FC14" s="3165"/>
      <c r="FD14" s="3165"/>
      <c r="FE14" s="3165"/>
      <c r="FF14" s="3165"/>
      <c r="FG14" s="3165"/>
      <c r="FH14" s="3165"/>
      <c r="FI14" s="3165"/>
      <c r="FJ14" s="3165"/>
      <c r="FK14" s="3165"/>
      <c r="FL14" s="3165"/>
      <c r="FM14" s="3165"/>
      <c r="FN14" s="3165"/>
      <c r="FO14" s="3165"/>
      <c r="FP14" s="3165"/>
      <c r="FQ14" s="3165"/>
      <c r="FR14" s="3165"/>
      <c r="FS14" s="3165"/>
      <c r="FT14" s="3165"/>
      <c r="FU14" s="3165"/>
      <c r="FV14" s="3165"/>
      <c r="FW14" s="3165"/>
      <c r="FX14" s="3165"/>
      <c r="FY14" s="3165"/>
      <c r="FZ14" s="3166"/>
      <c r="GA14" s="2321"/>
      <c r="GB14" s="2321"/>
      <c r="GC14" s="3167"/>
      <c r="GD14" s="3165"/>
      <c r="GE14" s="3165"/>
      <c r="GF14" s="3165"/>
      <c r="GG14" s="3165"/>
      <c r="GH14" s="3165"/>
      <c r="GI14" s="3165"/>
      <c r="GJ14" s="3165"/>
      <c r="GK14" s="3165"/>
      <c r="GL14" s="3165"/>
      <c r="GM14" s="3165"/>
      <c r="GN14" s="3165"/>
      <c r="GO14" s="3165"/>
      <c r="GP14" s="3165"/>
      <c r="GQ14" s="3165"/>
      <c r="GR14" s="3165"/>
      <c r="GS14" s="3165"/>
      <c r="GT14" s="3165"/>
      <c r="GU14" s="3165"/>
      <c r="GV14" s="3165"/>
      <c r="GW14" s="3165"/>
      <c r="GX14" s="3165"/>
      <c r="GY14" s="3165"/>
      <c r="GZ14" s="3165"/>
      <c r="HA14" s="3165"/>
      <c r="HB14" s="3165"/>
      <c r="HC14" s="3165"/>
      <c r="HD14" s="3165"/>
      <c r="HE14" s="3165"/>
      <c r="HF14" s="3165"/>
      <c r="HG14" s="3165"/>
      <c r="HH14" s="3165"/>
      <c r="HI14" s="3165"/>
      <c r="HJ14" s="3166"/>
      <c r="HL14" s="2312"/>
    </row>
    <row r="15" spans="2:220" ht="7.5" customHeight="1">
      <c r="B15" s="2309"/>
      <c r="Q15" s="2319"/>
      <c r="R15" s="2319"/>
      <c r="S15" s="2319"/>
      <c r="T15" s="2319"/>
      <c r="U15" s="2319"/>
      <c r="V15" s="2319"/>
      <c r="W15" s="2319"/>
      <c r="X15" s="2319"/>
      <c r="Y15" s="2319"/>
      <c r="Z15" s="2319"/>
      <c r="AA15" s="2319"/>
      <c r="AB15" s="2319"/>
      <c r="AC15" s="2319"/>
      <c r="AD15" s="2319"/>
      <c r="AE15" s="2319"/>
      <c r="AF15" s="2319"/>
      <c r="BV15" s="2312"/>
      <c r="BW15" s="2309"/>
      <c r="BX15" s="3175"/>
      <c r="BY15" s="3175"/>
      <c r="BZ15" s="3175"/>
      <c r="CA15" s="3175"/>
      <c r="CB15" s="3175"/>
      <c r="CC15" s="3175"/>
      <c r="CD15" s="3175"/>
      <c r="CE15" s="3175"/>
      <c r="CF15" s="3175"/>
      <c r="CG15" s="3175"/>
      <c r="CH15" s="3175"/>
      <c r="CI15" s="3175"/>
      <c r="CJ15" s="3175"/>
      <c r="CK15" s="3175"/>
      <c r="CL15" s="3175"/>
      <c r="CM15" s="3175"/>
      <c r="CN15" s="3175"/>
      <c r="CO15" s="3175"/>
      <c r="CP15" s="3175"/>
      <c r="CQ15" s="3175"/>
      <c r="CR15" s="3175"/>
      <c r="CS15" s="3175"/>
      <c r="CT15" s="3175"/>
      <c r="CU15" s="3175"/>
      <c r="CV15" s="3175"/>
      <c r="CW15" s="3175"/>
      <c r="CX15" s="3175"/>
      <c r="CY15" s="3175"/>
      <c r="CZ15" s="3175"/>
      <c r="DA15" s="3175"/>
      <c r="DB15" s="3175"/>
      <c r="DC15" s="3175"/>
      <c r="DD15" s="3175"/>
      <c r="DE15" s="3175"/>
      <c r="DF15" s="3175"/>
      <c r="DG15" s="3064"/>
      <c r="DH15" s="3064"/>
      <c r="DI15" s="3064"/>
      <c r="DJ15" s="3064"/>
      <c r="DK15" s="3064"/>
      <c r="DL15" s="3064"/>
      <c r="DM15" s="3064"/>
      <c r="DN15" s="3064"/>
      <c r="DO15" s="3064"/>
      <c r="DP15" s="3064"/>
      <c r="DQ15" s="3064"/>
      <c r="DR15" s="3064"/>
      <c r="DS15" s="3064"/>
      <c r="DT15" s="3064"/>
      <c r="DU15" s="3064"/>
      <c r="DV15" s="3064"/>
      <c r="DW15" s="3064"/>
      <c r="DX15" s="3064"/>
      <c r="DY15" s="3064"/>
      <c r="DZ15" s="3064"/>
      <c r="EA15" s="3064"/>
      <c r="EB15" s="3064"/>
      <c r="EC15" s="3064"/>
      <c r="ED15" s="3064"/>
      <c r="EE15" s="3064"/>
      <c r="EF15" s="3064"/>
      <c r="EG15" s="3064"/>
      <c r="EH15" s="3064"/>
      <c r="EI15" s="3064"/>
      <c r="EJ15" s="3064"/>
      <c r="EK15" s="3064"/>
      <c r="EL15" s="3064"/>
      <c r="EM15" s="3064"/>
      <c r="EN15" s="3064"/>
      <c r="EO15" s="3064"/>
      <c r="EP15" s="3064"/>
      <c r="EQ15" s="2312"/>
      <c r="ER15" s="2309"/>
      <c r="ES15" s="3167"/>
      <c r="ET15" s="3165"/>
      <c r="EU15" s="3165"/>
      <c r="EV15" s="3165"/>
      <c r="EW15" s="3165"/>
      <c r="EX15" s="3165"/>
      <c r="EY15" s="3165"/>
      <c r="EZ15" s="3165"/>
      <c r="FA15" s="3165"/>
      <c r="FB15" s="3165"/>
      <c r="FC15" s="3165"/>
      <c r="FD15" s="3165"/>
      <c r="FE15" s="3165"/>
      <c r="FF15" s="3165"/>
      <c r="FG15" s="3165"/>
      <c r="FH15" s="3165"/>
      <c r="FI15" s="3165"/>
      <c r="FJ15" s="3165"/>
      <c r="FK15" s="3165"/>
      <c r="FL15" s="3165"/>
      <c r="FM15" s="3165"/>
      <c r="FN15" s="3165"/>
      <c r="FO15" s="3165"/>
      <c r="FP15" s="3165"/>
      <c r="FQ15" s="3165"/>
      <c r="FR15" s="3165"/>
      <c r="FS15" s="3165"/>
      <c r="FT15" s="3165"/>
      <c r="FU15" s="3165"/>
      <c r="FV15" s="3165"/>
      <c r="FW15" s="3165"/>
      <c r="FX15" s="3165"/>
      <c r="FY15" s="3165"/>
      <c r="FZ15" s="3166"/>
      <c r="GA15" s="2321"/>
      <c r="GB15" s="2321"/>
      <c r="GC15" s="3167"/>
      <c r="GD15" s="3165"/>
      <c r="GE15" s="3165"/>
      <c r="GF15" s="3165"/>
      <c r="GG15" s="3165"/>
      <c r="GH15" s="3165"/>
      <c r="GI15" s="3165"/>
      <c r="GJ15" s="3165"/>
      <c r="GK15" s="3165"/>
      <c r="GL15" s="3165"/>
      <c r="GM15" s="3165"/>
      <c r="GN15" s="3165"/>
      <c r="GO15" s="3165"/>
      <c r="GP15" s="3165"/>
      <c r="GQ15" s="3165"/>
      <c r="GR15" s="3165"/>
      <c r="GS15" s="3165"/>
      <c r="GT15" s="3165"/>
      <c r="GU15" s="3165"/>
      <c r="GV15" s="3165"/>
      <c r="GW15" s="3165"/>
      <c r="GX15" s="3165"/>
      <c r="GY15" s="3165"/>
      <c r="GZ15" s="3165"/>
      <c r="HA15" s="3165"/>
      <c r="HB15" s="3165"/>
      <c r="HC15" s="3165"/>
      <c r="HD15" s="3165"/>
      <c r="HE15" s="3165"/>
      <c r="HF15" s="3165"/>
      <c r="HG15" s="3165"/>
      <c r="HH15" s="3165"/>
      <c r="HI15" s="3165"/>
      <c r="HJ15" s="3166"/>
      <c r="HL15" s="2312"/>
    </row>
    <row r="16" spans="2:220" ht="7.5" customHeight="1">
      <c r="B16" s="2309"/>
      <c r="C16" s="2887" t="s">
        <v>10318</v>
      </c>
      <c r="D16" s="2797"/>
      <c r="E16" s="2797"/>
      <c r="F16" s="2797"/>
      <c r="G16" s="2797"/>
      <c r="H16" s="2797"/>
      <c r="I16" s="2797"/>
      <c r="K16" s="3143" t="e">
        <f>#REF!</f>
        <v>#REF!</v>
      </c>
      <c r="L16" s="3144"/>
      <c r="M16" s="3145"/>
      <c r="N16" s="3149" t="s">
        <v>10319</v>
      </c>
      <c r="O16" s="3150"/>
      <c r="P16" s="3150"/>
      <c r="Q16" s="3150"/>
      <c r="R16" s="3150"/>
      <c r="S16" s="3150"/>
      <c r="T16" s="3150"/>
      <c r="U16" s="3150"/>
      <c r="V16" s="3150"/>
      <c r="W16" s="3150"/>
      <c r="X16" s="2319"/>
      <c r="Y16" s="3151" t="s">
        <v>5789</v>
      </c>
      <c r="Z16" s="2794"/>
      <c r="AA16" s="2794"/>
      <c r="AB16" s="2794"/>
      <c r="AC16" s="3152" t="s">
        <v>10320</v>
      </c>
      <c r="AD16" s="2794"/>
      <c r="AE16" s="2794"/>
      <c r="AF16" s="2794"/>
      <c r="AG16" s="2794"/>
      <c r="AH16" s="2794"/>
      <c r="AI16" s="3153"/>
      <c r="AJ16" s="3156" t="s">
        <v>7716</v>
      </c>
      <c r="AK16" s="2794"/>
      <c r="AL16" s="2794"/>
      <c r="AM16" s="2794"/>
      <c r="AN16" s="2795"/>
      <c r="AO16" s="2316"/>
      <c r="AP16" s="3176" t="s">
        <v>10321</v>
      </c>
      <c r="AQ16" s="2797"/>
      <c r="AR16" s="2797"/>
      <c r="AS16" s="2797"/>
      <c r="AT16" s="2797"/>
      <c r="AU16" s="2797"/>
      <c r="AV16" s="2797"/>
      <c r="AW16" s="2797"/>
      <c r="AX16" s="2797"/>
      <c r="AY16" s="2797"/>
      <c r="AZ16" s="2797"/>
      <c r="BA16" s="2797"/>
      <c r="BB16" s="2797"/>
      <c r="BC16" s="2797"/>
      <c r="BD16" s="2797"/>
      <c r="BE16" s="2797"/>
      <c r="BF16" s="2797"/>
      <c r="BG16" s="2797"/>
      <c r="BH16" s="2797"/>
      <c r="BI16" s="2797"/>
      <c r="BJ16" s="2797"/>
      <c r="BK16" s="2797"/>
      <c r="BL16" s="2797"/>
      <c r="BM16" s="2797"/>
      <c r="BN16" s="2797"/>
      <c r="BO16" s="2797"/>
      <c r="BP16" s="2797"/>
      <c r="BQ16" s="2797"/>
      <c r="BR16" s="2797"/>
      <c r="BS16" s="2797"/>
      <c r="BT16" s="2797"/>
      <c r="BU16" s="2797"/>
      <c r="BV16" s="2312"/>
      <c r="BW16" s="2309"/>
      <c r="BX16" s="3175"/>
      <c r="BY16" s="3175"/>
      <c r="BZ16" s="3175"/>
      <c r="CA16" s="3175"/>
      <c r="CB16" s="3175"/>
      <c r="CC16" s="3175"/>
      <c r="CD16" s="3175"/>
      <c r="CE16" s="3175"/>
      <c r="CF16" s="3175"/>
      <c r="CG16" s="3175"/>
      <c r="CH16" s="3175"/>
      <c r="CI16" s="3175"/>
      <c r="CJ16" s="3175"/>
      <c r="CK16" s="3175"/>
      <c r="CL16" s="3175"/>
      <c r="CM16" s="3175"/>
      <c r="CN16" s="3175"/>
      <c r="CO16" s="3175"/>
      <c r="CP16" s="3175"/>
      <c r="CQ16" s="3175"/>
      <c r="CR16" s="3175"/>
      <c r="CS16" s="3175"/>
      <c r="CT16" s="3175"/>
      <c r="CU16" s="3175"/>
      <c r="CV16" s="3175"/>
      <c r="CW16" s="3175"/>
      <c r="CX16" s="3175"/>
      <c r="CY16" s="3175"/>
      <c r="CZ16" s="3175"/>
      <c r="DA16" s="3175"/>
      <c r="DB16" s="3175"/>
      <c r="DC16" s="3175"/>
      <c r="DD16" s="3175"/>
      <c r="DE16" s="3175"/>
      <c r="DF16" s="3175"/>
      <c r="DG16" s="3064"/>
      <c r="DH16" s="3064"/>
      <c r="DI16" s="3064"/>
      <c r="DJ16" s="3064"/>
      <c r="DK16" s="3064"/>
      <c r="DL16" s="3064"/>
      <c r="DM16" s="3064"/>
      <c r="DN16" s="3064"/>
      <c r="DO16" s="3064"/>
      <c r="DP16" s="3064"/>
      <c r="DQ16" s="3064"/>
      <c r="DR16" s="3064"/>
      <c r="DS16" s="3064"/>
      <c r="DT16" s="3064"/>
      <c r="DU16" s="3064"/>
      <c r="DV16" s="3064"/>
      <c r="DW16" s="3064"/>
      <c r="DX16" s="3064"/>
      <c r="DY16" s="3064"/>
      <c r="DZ16" s="3064"/>
      <c r="EA16" s="3064"/>
      <c r="EB16" s="3064"/>
      <c r="EC16" s="3064"/>
      <c r="ED16" s="3064"/>
      <c r="EE16" s="3064"/>
      <c r="EF16" s="3064"/>
      <c r="EG16" s="3064"/>
      <c r="EH16" s="3064"/>
      <c r="EI16" s="3064"/>
      <c r="EJ16" s="3064"/>
      <c r="EK16" s="3064"/>
      <c r="EL16" s="3064"/>
      <c r="EM16" s="3064"/>
      <c r="EN16" s="3064"/>
      <c r="EO16" s="3064"/>
      <c r="EP16" s="3064"/>
      <c r="EQ16" s="2312"/>
      <c r="ER16" s="2309"/>
      <c r="ES16" s="3168"/>
      <c r="ET16" s="3169"/>
      <c r="EU16" s="3169"/>
      <c r="EV16" s="3169"/>
      <c r="EW16" s="3169"/>
      <c r="EX16" s="3169"/>
      <c r="EY16" s="3169"/>
      <c r="EZ16" s="3169"/>
      <c r="FA16" s="3169"/>
      <c r="FB16" s="3169"/>
      <c r="FC16" s="3169"/>
      <c r="FD16" s="3169"/>
      <c r="FE16" s="3169"/>
      <c r="FF16" s="3169"/>
      <c r="FG16" s="3169"/>
      <c r="FH16" s="3169"/>
      <c r="FI16" s="3169"/>
      <c r="FJ16" s="3169"/>
      <c r="FK16" s="3169"/>
      <c r="FL16" s="3169"/>
      <c r="FM16" s="3169"/>
      <c r="FN16" s="3169"/>
      <c r="FO16" s="3169"/>
      <c r="FP16" s="3169"/>
      <c r="FQ16" s="3169"/>
      <c r="FR16" s="3169"/>
      <c r="FS16" s="3169"/>
      <c r="FT16" s="3169"/>
      <c r="FU16" s="3169"/>
      <c r="FV16" s="3169"/>
      <c r="FW16" s="3169"/>
      <c r="FX16" s="3169"/>
      <c r="FY16" s="3169"/>
      <c r="FZ16" s="3170"/>
      <c r="GA16" s="2321"/>
      <c r="GB16" s="2321"/>
      <c r="GC16" s="3168"/>
      <c r="GD16" s="3169"/>
      <c r="GE16" s="3169"/>
      <c r="GF16" s="3169"/>
      <c r="GG16" s="3169"/>
      <c r="GH16" s="3169"/>
      <c r="GI16" s="3169"/>
      <c r="GJ16" s="3169"/>
      <c r="GK16" s="3169"/>
      <c r="GL16" s="3169"/>
      <c r="GM16" s="3169"/>
      <c r="GN16" s="3169"/>
      <c r="GO16" s="3169"/>
      <c r="GP16" s="3169"/>
      <c r="GQ16" s="3169"/>
      <c r="GR16" s="3169"/>
      <c r="GS16" s="3169"/>
      <c r="GT16" s="3169"/>
      <c r="GU16" s="3169"/>
      <c r="GV16" s="3169"/>
      <c r="GW16" s="3169"/>
      <c r="GX16" s="3169"/>
      <c r="GY16" s="3169"/>
      <c r="GZ16" s="3169"/>
      <c r="HA16" s="3169"/>
      <c r="HB16" s="3169"/>
      <c r="HC16" s="3169"/>
      <c r="HD16" s="3169"/>
      <c r="HE16" s="3169"/>
      <c r="HF16" s="3169"/>
      <c r="HG16" s="3169"/>
      <c r="HH16" s="3169"/>
      <c r="HI16" s="3169"/>
      <c r="HJ16" s="3170"/>
      <c r="HL16" s="2312"/>
    </row>
    <row r="17" spans="2:220" ht="7.5" customHeight="1">
      <c r="B17" s="2309"/>
      <c r="C17" s="2800"/>
      <c r="D17" s="2800"/>
      <c r="E17" s="2800"/>
      <c r="F17" s="2800"/>
      <c r="G17" s="2800"/>
      <c r="H17" s="2800"/>
      <c r="I17" s="2800"/>
      <c r="K17" s="3146"/>
      <c r="L17" s="3147"/>
      <c r="M17" s="3148"/>
      <c r="N17" s="3149"/>
      <c r="O17" s="3150"/>
      <c r="P17" s="3150"/>
      <c r="Q17" s="3150"/>
      <c r="R17" s="3150"/>
      <c r="S17" s="3150"/>
      <c r="T17" s="3150"/>
      <c r="U17" s="3150"/>
      <c r="V17" s="3150"/>
      <c r="W17" s="3150"/>
      <c r="X17" s="2319"/>
      <c r="Y17" s="2799"/>
      <c r="Z17" s="2800"/>
      <c r="AA17" s="2800"/>
      <c r="AB17" s="2800"/>
      <c r="AC17" s="3154"/>
      <c r="AD17" s="2800"/>
      <c r="AE17" s="2800"/>
      <c r="AF17" s="2800"/>
      <c r="AG17" s="2800"/>
      <c r="AH17" s="2800"/>
      <c r="AI17" s="3155"/>
      <c r="AJ17" s="2800"/>
      <c r="AK17" s="2800"/>
      <c r="AL17" s="2800"/>
      <c r="AM17" s="2800"/>
      <c r="AN17" s="2801"/>
      <c r="AO17" s="2316"/>
      <c r="AP17" s="2796"/>
      <c r="AQ17" s="2797"/>
      <c r="AR17" s="2797"/>
      <c r="AS17" s="2797"/>
      <c r="AT17" s="2797"/>
      <c r="AU17" s="2797"/>
      <c r="AV17" s="2797"/>
      <c r="AW17" s="2797"/>
      <c r="AX17" s="2797"/>
      <c r="AY17" s="2797"/>
      <c r="AZ17" s="2797"/>
      <c r="BA17" s="2797"/>
      <c r="BB17" s="2797"/>
      <c r="BC17" s="2797"/>
      <c r="BD17" s="2797"/>
      <c r="BE17" s="2797"/>
      <c r="BF17" s="2797"/>
      <c r="BG17" s="2797"/>
      <c r="BH17" s="2797"/>
      <c r="BI17" s="2797"/>
      <c r="BJ17" s="2797"/>
      <c r="BK17" s="2797"/>
      <c r="BL17" s="2797"/>
      <c r="BM17" s="2797"/>
      <c r="BN17" s="2797"/>
      <c r="BO17" s="2797"/>
      <c r="BP17" s="2797"/>
      <c r="BQ17" s="2797"/>
      <c r="BR17" s="2797"/>
      <c r="BS17" s="2797"/>
      <c r="BT17" s="2797"/>
      <c r="BU17" s="2797"/>
      <c r="BV17" s="2312"/>
      <c r="BW17" s="2309"/>
      <c r="BX17" s="3175"/>
      <c r="BY17" s="3175"/>
      <c r="BZ17" s="3175"/>
      <c r="CA17" s="3175"/>
      <c r="CB17" s="3175"/>
      <c r="CC17" s="3175"/>
      <c r="CD17" s="3175"/>
      <c r="CE17" s="3175"/>
      <c r="CF17" s="3175"/>
      <c r="CG17" s="3175"/>
      <c r="CH17" s="3175"/>
      <c r="CI17" s="3175"/>
      <c r="CJ17" s="3175"/>
      <c r="CK17" s="3175"/>
      <c r="CL17" s="3175"/>
      <c r="CM17" s="3175"/>
      <c r="CN17" s="3175"/>
      <c r="CO17" s="3175"/>
      <c r="CP17" s="3175"/>
      <c r="CQ17" s="3175"/>
      <c r="CR17" s="3175"/>
      <c r="CS17" s="3175"/>
      <c r="CT17" s="3175"/>
      <c r="CU17" s="3175"/>
      <c r="CV17" s="3175"/>
      <c r="CW17" s="3175"/>
      <c r="CX17" s="3175"/>
      <c r="CY17" s="3175"/>
      <c r="CZ17" s="3175"/>
      <c r="DA17" s="3175"/>
      <c r="DB17" s="3175"/>
      <c r="DC17" s="3175"/>
      <c r="DD17" s="3175"/>
      <c r="DE17" s="3175"/>
      <c r="DF17" s="3175"/>
      <c r="DG17" s="3064"/>
      <c r="DH17" s="3064"/>
      <c r="DI17" s="3064"/>
      <c r="DJ17" s="3064"/>
      <c r="DK17" s="3064"/>
      <c r="DL17" s="3064"/>
      <c r="DM17" s="3064"/>
      <c r="DN17" s="3064"/>
      <c r="DO17" s="3064"/>
      <c r="DP17" s="3064"/>
      <c r="DQ17" s="3064"/>
      <c r="DR17" s="3064"/>
      <c r="DS17" s="3064"/>
      <c r="DT17" s="3064"/>
      <c r="DU17" s="3064"/>
      <c r="DV17" s="3064"/>
      <c r="DW17" s="3064"/>
      <c r="DX17" s="3064"/>
      <c r="DY17" s="3064"/>
      <c r="DZ17" s="3064"/>
      <c r="EA17" s="3064"/>
      <c r="EB17" s="3064"/>
      <c r="EC17" s="3064"/>
      <c r="ED17" s="3064"/>
      <c r="EE17" s="3064"/>
      <c r="EF17" s="3064"/>
      <c r="EG17" s="3064"/>
      <c r="EH17" s="3064"/>
      <c r="EI17" s="3064"/>
      <c r="EJ17" s="3064"/>
      <c r="EK17" s="3064"/>
      <c r="EL17" s="3064"/>
      <c r="EM17" s="3064"/>
      <c r="EN17" s="3064"/>
      <c r="EO17" s="3064"/>
      <c r="EP17" s="3064"/>
      <c r="EQ17" s="2312"/>
      <c r="ER17" s="2309"/>
      <c r="ES17" s="2322"/>
      <c r="ET17" s="2322"/>
      <c r="EU17" s="2322"/>
      <c r="EV17" s="2322"/>
      <c r="EW17" s="2322"/>
      <c r="EX17" s="2322"/>
      <c r="EY17" s="2322"/>
      <c r="EZ17" s="2322"/>
      <c r="FA17" s="2322"/>
      <c r="FB17" s="2322"/>
      <c r="FC17" s="2322"/>
      <c r="FD17" s="2322"/>
      <c r="FE17" s="2322"/>
      <c r="FF17" s="2322"/>
      <c r="FG17" s="2322"/>
      <c r="FH17" s="2322"/>
      <c r="FI17" s="2322"/>
      <c r="FJ17" s="2322"/>
      <c r="FK17" s="2322"/>
      <c r="FL17" s="2322"/>
      <c r="FM17" s="2322"/>
      <c r="FN17" s="2322"/>
      <c r="FO17" s="2322"/>
      <c r="FP17" s="2322"/>
      <c r="FQ17" s="2322"/>
      <c r="FR17" s="2322"/>
      <c r="FS17" s="2322"/>
      <c r="FT17" s="2322"/>
      <c r="FU17" s="2322"/>
      <c r="FV17" s="2322"/>
      <c r="FW17" s="2322"/>
      <c r="FX17" s="2322"/>
      <c r="FY17" s="2322"/>
      <c r="FZ17" s="2322"/>
      <c r="GA17" s="2321"/>
      <c r="GB17" s="2321"/>
      <c r="GC17" s="2321"/>
      <c r="HL17" s="2312"/>
    </row>
    <row r="18" spans="2:220" ht="7.5" customHeight="1">
      <c r="B18" s="2309"/>
      <c r="C18" s="2948">
        <f>[1]ABILITIES!Q24</f>
        <v>13.010917186970582</v>
      </c>
      <c r="D18" s="2794"/>
      <c r="E18" s="2794"/>
      <c r="F18" s="2794"/>
      <c r="G18" s="2794"/>
      <c r="H18" s="2794"/>
      <c r="I18" s="2795"/>
      <c r="X18" s="2319"/>
      <c r="Y18" s="3138" t="e">
        <f>#REF!</f>
        <v>#REF!</v>
      </c>
      <c r="Z18" s="2797"/>
      <c r="AA18" s="2797"/>
      <c r="AB18" s="2798"/>
      <c r="AC18" s="3139" t="e">
        <f>#REF!</f>
        <v>#REF!</v>
      </c>
      <c r="AD18" s="2797"/>
      <c r="AE18" s="2797"/>
      <c r="AF18" s="2797"/>
      <c r="AG18" s="2797"/>
      <c r="AH18" s="2797"/>
      <c r="AI18" s="2798"/>
      <c r="AJ18" s="3140" t="e">
        <f>#REF!</f>
        <v>#REF!</v>
      </c>
      <c r="AK18" s="2797"/>
      <c r="AL18" s="2797"/>
      <c r="AM18" s="2797"/>
      <c r="AN18" s="2798"/>
      <c r="AO18" s="2318"/>
      <c r="AP18" s="3141" t="s">
        <v>10322</v>
      </c>
      <c r="AQ18" s="2797"/>
      <c r="AR18" s="2798"/>
      <c r="AS18" s="3142" t="e">
        <f>CONCATENATE(#REF!," Abilities")</f>
        <v>#REF!</v>
      </c>
      <c r="AT18" s="2797"/>
      <c r="AU18" s="2797"/>
      <c r="AV18" s="2797"/>
      <c r="AW18" s="2797"/>
      <c r="AX18" s="2797"/>
      <c r="AY18" s="2797"/>
      <c r="AZ18" s="2797"/>
      <c r="BA18" s="2797"/>
      <c r="BB18" s="2797"/>
      <c r="BC18" s="2797"/>
      <c r="BD18" s="2797"/>
      <c r="BE18" s="2797"/>
      <c r="BF18" s="2797"/>
      <c r="BG18" s="2797"/>
      <c r="BH18" s="2797"/>
      <c r="BI18" s="2797"/>
      <c r="BJ18" s="2797"/>
      <c r="BK18" s="2797"/>
      <c r="BL18" s="2797"/>
      <c r="BM18" s="2797"/>
      <c r="BN18" s="2797"/>
      <c r="BO18" s="2797"/>
      <c r="BP18" s="2797"/>
      <c r="BQ18" s="2797"/>
      <c r="BR18" s="2797"/>
      <c r="BS18" s="2797"/>
      <c r="BT18" s="2797"/>
      <c r="BU18" s="2798"/>
      <c r="BV18" s="2312"/>
      <c r="BW18" s="2309"/>
      <c r="BX18" s="3175"/>
      <c r="BY18" s="3175"/>
      <c r="BZ18" s="3175"/>
      <c r="CA18" s="3175"/>
      <c r="CB18" s="3175"/>
      <c r="CC18" s="3175"/>
      <c r="CD18" s="3175"/>
      <c r="CE18" s="3175"/>
      <c r="CF18" s="3175"/>
      <c r="CG18" s="3175"/>
      <c r="CH18" s="3175"/>
      <c r="CI18" s="3175"/>
      <c r="CJ18" s="3175"/>
      <c r="CK18" s="3175"/>
      <c r="CL18" s="3175"/>
      <c r="CM18" s="3175"/>
      <c r="CN18" s="3175"/>
      <c r="CO18" s="3175"/>
      <c r="CP18" s="3175"/>
      <c r="CQ18" s="3175"/>
      <c r="CR18" s="3175"/>
      <c r="CS18" s="3175"/>
      <c r="CT18" s="3175"/>
      <c r="CU18" s="3175"/>
      <c r="CV18" s="3175"/>
      <c r="CW18" s="3175"/>
      <c r="CX18" s="3175"/>
      <c r="CY18" s="3175"/>
      <c r="CZ18" s="3175"/>
      <c r="DA18" s="3175"/>
      <c r="DB18" s="3175"/>
      <c r="DC18" s="3175"/>
      <c r="DD18" s="3175"/>
      <c r="DE18" s="3175"/>
      <c r="DF18" s="3175"/>
      <c r="DG18" s="3064"/>
      <c r="DH18" s="3064"/>
      <c r="DI18" s="3064"/>
      <c r="DJ18" s="3064"/>
      <c r="DK18" s="3064"/>
      <c r="DL18" s="3064"/>
      <c r="DM18" s="3064"/>
      <c r="DN18" s="3064"/>
      <c r="DO18" s="3064"/>
      <c r="DP18" s="3064"/>
      <c r="DQ18" s="3064"/>
      <c r="DR18" s="3064"/>
      <c r="DS18" s="3064"/>
      <c r="DT18" s="3064"/>
      <c r="DU18" s="3064"/>
      <c r="DV18" s="3064"/>
      <c r="DW18" s="3064"/>
      <c r="DX18" s="3064"/>
      <c r="DY18" s="3064"/>
      <c r="DZ18" s="3064"/>
      <c r="EA18" s="3064"/>
      <c r="EB18" s="3064"/>
      <c r="EC18" s="3064"/>
      <c r="ED18" s="3064"/>
      <c r="EE18" s="3064"/>
      <c r="EF18" s="3064"/>
      <c r="EG18" s="3064"/>
      <c r="EH18" s="3064"/>
      <c r="EI18" s="3064"/>
      <c r="EJ18" s="3064"/>
      <c r="EK18" s="3064"/>
      <c r="EL18" s="3064"/>
      <c r="EM18" s="3064"/>
      <c r="EN18" s="3064"/>
      <c r="EO18" s="3064"/>
      <c r="EP18" s="3064"/>
      <c r="EQ18" s="2312"/>
      <c r="ER18" s="2309"/>
      <c r="ES18" s="2322"/>
      <c r="ET18" s="2322"/>
      <c r="EU18" s="2323"/>
      <c r="EV18" s="2323"/>
      <c r="EW18" s="2323"/>
      <c r="EX18" s="2323"/>
      <c r="EY18" s="2323"/>
      <c r="EZ18" s="2323"/>
      <c r="FA18" s="2323"/>
      <c r="FB18" s="2323"/>
      <c r="FC18" s="2323"/>
      <c r="FD18" s="2323"/>
      <c r="FE18" s="2323"/>
      <c r="FF18" s="2323"/>
      <c r="FG18" s="2324"/>
      <c r="FH18" s="2324"/>
      <c r="FI18" s="2324"/>
      <c r="FJ18" s="2324"/>
      <c r="FK18" s="2324"/>
      <c r="FL18" s="2324"/>
      <c r="FM18" s="2324"/>
      <c r="FN18" s="2324"/>
      <c r="FO18" s="2324"/>
      <c r="FP18" s="2324"/>
      <c r="FQ18" s="2324"/>
      <c r="FR18" s="2324"/>
      <c r="FS18" s="2324"/>
      <c r="FT18" s="2324"/>
      <c r="FU18" s="2324"/>
      <c r="FV18" s="2324"/>
      <c r="FW18" s="2323"/>
      <c r="FX18" s="2323"/>
      <c r="FY18" s="2323"/>
      <c r="FZ18" s="2323"/>
      <c r="GA18" s="2323"/>
      <c r="GB18" s="2323"/>
      <c r="GC18" s="2323"/>
      <c r="GD18" s="2323"/>
      <c r="GE18" s="2323"/>
      <c r="GF18" s="2323"/>
      <c r="GG18" s="2323"/>
      <c r="GH18" s="2323"/>
      <c r="GI18" s="2323"/>
      <c r="GJ18" s="2323"/>
      <c r="GK18" s="2323"/>
      <c r="GL18" s="2323"/>
      <c r="GM18" s="2323"/>
      <c r="GN18" s="2323"/>
      <c r="GO18" s="2323"/>
      <c r="GP18" s="2323"/>
      <c r="GQ18" s="2323"/>
      <c r="GR18" s="2323"/>
      <c r="GS18" s="2323"/>
      <c r="GT18" s="2323"/>
      <c r="GU18" s="2323"/>
      <c r="GV18" s="2323"/>
      <c r="GW18" s="2323"/>
      <c r="GX18" s="2323"/>
      <c r="GY18" s="2323"/>
      <c r="GZ18" s="2323"/>
      <c r="HA18" s="2323"/>
      <c r="HB18" s="2323"/>
      <c r="HC18" s="2323"/>
      <c r="HD18" s="2323"/>
      <c r="HE18" s="2323"/>
      <c r="HF18" s="2323"/>
      <c r="HG18" s="2323"/>
      <c r="HH18" s="2323"/>
      <c r="HI18" s="2323"/>
      <c r="HL18" s="2312"/>
    </row>
    <row r="19" spans="2:220" ht="7.5" customHeight="1">
      <c r="B19" s="2309"/>
      <c r="C19" s="2796"/>
      <c r="D19" s="2797"/>
      <c r="E19" s="2797"/>
      <c r="F19" s="2797"/>
      <c r="G19" s="2797"/>
      <c r="H19" s="2797"/>
      <c r="I19" s="2798"/>
      <c r="K19" s="2887" t="s">
        <v>10323</v>
      </c>
      <c r="L19" s="2797"/>
      <c r="M19" s="2797"/>
      <c r="N19" s="2797"/>
      <c r="O19" s="2797"/>
      <c r="P19" s="2797"/>
      <c r="Q19" s="2797"/>
      <c r="R19" s="2797"/>
      <c r="S19" s="2797"/>
      <c r="T19" s="2797"/>
      <c r="U19" s="2797"/>
      <c r="V19" s="2797"/>
      <c r="W19" s="2797"/>
      <c r="X19" s="2319"/>
      <c r="Y19" s="2799"/>
      <c r="Z19" s="2800"/>
      <c r="AA19" s="2800"/>
      <c r="AB19" s="2801"/>
      <c r="AC19" s="2799"/>
      <c r="AD19" s="2800"/>
      <c r="AE19" s="2800"/>
      <c r="AF19" s="2800"/>
      <c r="AG19" s="2800"/>
      <c r="AH19" s="2800"/>
      <c r="AI19" s="2801"/>
      <c r="AJ19" s="2799"/>
      <c r="AK19" s="2800"/>
      <c r="AL19" s="2800"/>
      <c r="AM19" s="2800"/>
      <c r="AN19" s="2801"/>
      <c r="AO19" s="2318"/>
      <c r="AP19" s="2799"/>
      <c r="AQ19" s="2800"/>
      <c r="AR19" s="2801"/>
      <c r="AS19" s="2799"/>
      <c r="AT19" s="2800"/>
      <c r="AU19" s="2800"/>
      <c r="AV19" s="2800"/>
      <c r="AW19" s="2800"/>
      <c r="AX19" s="2800"/>
      <c r="AY19" s="2800"/>
      <c r="AZ19" s="2800"/>
      <c r="BA19" s="2800"/>
      <c r="BB19" s="2800"/>
      <c r="BC19" s="2800"/>
      <c r="BD19" s="2800"/>
      <c r="BE19" s="2800"/>
      <c r="BF19" s="2800"/>
      <c r="BG19" s="2800"/>
      <c r="BH19" s="2800"/>
      <c r="BI19" s="2800"/>
      <c r="BJ19" s="2800"/>
      <c r="BK19" s="2800"/>
      <c r="BL19" s="2800"/>
      <c r="BM19" s="2800"/>
      <c r="BN19" s="2800"/>
      <c r="BO19" s="2800"/>
      <c r="BP19" s="2800"/>
      <c r="BQ19" s="2800"/>
      <c r="BR19" s="2800"/>
      <c r="BS19" s="2800"/>
      <c r="BT19" s="2800"/>
      <c r="BU19" s="2801"/>
      <c r="BV19" s="2312"/>
      <c r="BW19" s="2309"/>
      <c r="BX19" s="3175"/>
      <c r="BY19" s="3175"/>
      <c r="BZ19" s="3175"/>
      <c r="CA19" s="3175"/>
      <c r="CB19" s="3175"/>
      <c r="CC19" s="3175"/>
      <c r="CD19" s="3175"/>
      <c r="CE19" s="3175"/>
      <c r="CF19" s="3175"/>
      <c r="CG19" s="3175"/>
      <c r="CH19" s="3175"/>
      <c r="CI19" s="3175"/>
      <c r="CJ19" s="3175"/>
      <c r="CK19" s="3175"/>
      <c r="CL19" s="3175"/>
      <c r="CM19" s="3175"/>
      <c r="CN19" s="3175"/>
      <c r="CO19" s="3175"/>
      <c r="CP19" s="3175"/>
      <c r="CQ19" s="3175"/>
      <c r="CR19" s="3175"/>
      <c r="CS19" s="3175"/>
      <c r="CT19" s="3175"/>
      <c r="CU19" s="3175"/>
      <c r="CV19" s="3175"/>
      <c r="CW19" s="3175"/>
      <c r="CX19" s="3175"/>
      <c r="CY19" s="3175"/>
      <c r="CZ19" s="3175"/>
      <c r="DA19" s="3175"/>
      <c r="DB19" s="3175"/>
      <c r="DC19" s="3175"/>
      <c r="DD19" s="3175"/>
      <c r="DE19" s="3175"/>
      <c r="DF19" s="3175"/>
      <c r="DG19" s="3064"/>
      <c r="DH19" s="3064"/>
      <c r="DI19" s="3064"/>
      <c r="DJ19" s="3064"/>
      <c r="DK19" s="3064"/>
      <c r="DL19" s="3064"/>
      <c r="DM19" s="3064"/>
      <c r="DN19" s="3064"/>
      <c r="DO19" s="3064"/>
      <c r="DP19" s="3064"/>
      <c r="DQ19" s="3064"/>
      <c r="DR19" s="3064"/>
      <c r="DS19" s="3064"/>
      <c r="DT19" s="3064"/>
      <c r="DU19" s="3064"/>
      <c r="DV19" s="3064"/>
      <c r="DW19" s="3064"/>
      <c r="DX19" s="3064"/>
      <c r="DY19" s="3064"/>
      <c r="DZ19" s="3064"/>
      <c r="EA19" s="3064"/>
      <c r="EB19" s="3064"/>
      <c r="EC19" s="3064"/>
      <c r="ED19" s="3064"/>
      <c r="EE19" s="3064"/>
      <c r="EF19" s="3064"/>
      <c r="EG19" s="3064"/>
      <c r="EH19" s="3064"/>
      <c r="EI19" s="3064"/>
      <c r="EJ19" s="3064"/>
      <c r="EK19" s="3064"/>
      <c r="EL19" s="3064"/>
      <c r="EM19" s="3064"/>
      <c r="EN19" s="3064"/>
      <c r="EO19" s="3064"/>
      <c r="EP19" s="3064"/>
      <c r="EQ19" s="2312"/>
      <c r="ER19" s="2309"/>
      <c r="ES19" s="2322"/>
      <c r="ET19" s="1409"/>
      <c r="EU19" s="1409"/>
      <c r="EV19" s="1409"/>
      <c r="EW19" s="1409"/>
      <c r="EX19" s="1409"/>
      <c r="EY19" s="1409"/>
      <c r="EZ19" s="1409"/>
      <c r="FA19" s="1409"/>
      <c r="FB19" s="1409"/>
      <c r="FC19" s="1409"/>
      <c r="FD19" s="1409"/>
      <c r="FE19" s="1409"/>
      <c r="FF19" s="1409"/>
      <c r="FG19" s="1409"/>
      <c r="FH19" s="1409"/>
      <c r="FI19" s="1409"/>
      <c r="FJ19" s="1409"/>
      <c r="FK19" s="1409"/>
      <c r="FL19" s="1409"/>
      <c r="FM19" s="1409"/>
      <c r="FN19" s="1409"/>
      <c r="FO19" s="1409"/>
      <c r="FP19" s="1409"/>
      <c r="FQ19" s="1409"/>
      <c r="FR19" s="1409"/>
      <c r="FS19" s="1409"/>
      <c r="FT19" s="1409"/>
      <c r="FU19" s="1409"/>
      <c r="FV19" s="1409"/>
      <c r="FW19" s="1409"/>
      <c r="FX19" s="1409"/>
      <c r="FY19" s="1409"/>
      <c r="FZ19" s="1409"/>
      <c r="GA19" s="2325"/>
      <c r="GB19" s="2325"/>
      <c r="GC19" s="2325"/>
      <c r="GD19" s="2322"/>
      <c r="GE19" s="1409"/>
      <c r="GF19" s="1409"/>
      <c r="GG19" s="1409"/>
      <c r="GH19" s="1409"/>
      <c r="GI19" s="1409"/>
      <c r="GJ19" s="1409"/>
      <c r="GK19" s="1409"/>
      <c r="GL19" s="1409"/>
      <c r="GM19" s="1409"/>
      <c r="GN19" s="1409"/>
      <c r="GO19" s="1409"/>
      <c r="GP19" s="1409"/>
      <c r="GQ19" s="1409"/>
      <c r="GR19" s="1409"/>
      <c r="GS19" s="1409"/>
      <c r="GT19" s="1409"/>
      <c r="GU19" s="1409"/>
      <c r="GV19" s="1409"/>
      <c r="GW19" s="1409"/>
      <c r="GX19" s="1409"/>
      <c r="GY19" s="1409"/>
      <c r="GZ19" s="1409"/>
      <c r="HA19" s="1409"/>
      <c r="HB19" s="1409"/>
      <c r="HC19" s="1409"/>
      <c r="HD19" s="1409"/>
      <c r="HE19" s="1409"/>
      <c r="HF19" s="1409"/>
      <c r="HG19" s="1409"/>
      <c r="HH19" s="1409"/>
      <c r="HI19" s="1409"/>
      <c r="HJ19" s="1409"/>
      <c r="HK19" s="1409"/>
      <c r="HL19" s="2312"/>
    </row>
    <row r="20" spans="2:220" ht="7.5" customHeight="1">
      <c r="B20" s="2309"/>
      <c r="C20" s="2796"/>
      <c r="D20" s="2797"/>
      <c r="E20" s="2797"/>
      <c r="F20" s="2797"/>
      <c r="G20" s="2797"/>
      <c r="H20" s="2797"/>
      <c r="I20" s="2798"/>
      <c r="J20" s="2319"/>
      <c r="K20" s="2800"/>
      <c r="L20" s="2800"/>
      <c r="M20" s="2800"/>
      <c r="N20" s="2800"/>
      <c r="O20" s="2800"/>
      <c r="P20" s="2800"/>
      <c r="Q20" s="2800"/>
      <c r="R20" s="2800"/>
      <c r="S20" s="2800"/>
      <c r="T20" s="2800"/>
      <c r="U20" s="2800"/>
      <c r="V20" s="2800"/>
      <c r="W20" s="2800"/>
      <c r="X20" s="2319"/>
      <c r="Y20" s="3137" t="s">
        <v>7799</v>
      </c>
      <c r="Z20" s="2794"/>
      <c r="AA20" s="2794"/>
      <c r="AB20" s="2794"/>
      <c r="AC20" s="2794"/>
      <c r="AD20" s="2794"/>
      <c r="AE20" s="2794"/>
      <c r="AF20" s="2794"/>
      <c r="AG20" s="2794"/>
      <c r="AH20" s="2794"/>
      <c r="AI20" s="2794"/>
      <c r="AJ20" s="2794"/>
      <c r="AK20" s="2794"/>
      <c r="AL20" s="2794"/>
      <c r="AM20" s="2794"/>
      <c r="AN20" s="2794"/>
      <c r="AO20" s="2316"/>
      <c r="AP20" s="2988">
        <v>1</v>
      </c>
      <c r="AQ20" s="2794"/>
      <c r="AR20" s="2794"/>
      <c r="AS20" s="2989"/>
      <c r="AT20" s="2990"/>
      <c r="AU20" s="2990"/>
      <c r="AV20" s="2990"/>
      <c r="AW20" s="2990"/>
      <c r="AX20" s="2990"/>
      <c r="AY20" s="2990"/>
      <c r="AZ20" s="2990"/>
      <c r="BA20" s="2990"/>
      <c r="BB20" s="2990"/>
      <c r="BC20" s="2990"/>
      <c r="BD20" s="2990"/>
      <c r="BE20" s="2990"/>
      <c r="BF20" s="2990"/>
      <c r="BG20" s="2990"/>
      <c r="BH20" s="2990"/>
      <c r="BI20" s="2990"/>
      <c r="BJ20" s="2990"/>
      <c r="BK20" s="2990"/>
      <c r="BL20" s="2990"/>
      <c r="BM20" s="2990"/>
      <c r="BN20" s="2990"/>
      <c r="BO20" s="2990"/>
      <c r="BP20" s="2990"/>
      <c r="BQ20" s="2990"/>
      <c r="BR20" s="2990"/>
      <c r="BS20" s="2990"/>
      <c r="BT20" s="2990"/>
      <c r="BU20" s="2991"/>
      <c r="BV20" s="2312"/>
      <c r="BW20" s="2309"/>
      <c r="BX20" s="3175"/>
      <c r="BY20" s="3175"/>
      <c r="BZ20" s="3175"/>
      <c r="CA20" s="3175"/>
      <c r="CB20" s="3175"/>
      <c r="CC20" s="3175"/>
      <c r="CD20" s="3175"/>
      <c r="CE20" s="3175"/>
      <c r="CF20" s="3175"/>
      <c r="CG20" s="3175"/>
      <c r="CH20" s="3175"/>
      <c r="CI20" s="3175"/>
      <c r="CJ20" s="3175"/>
      <c r="CK20" s="3175"/>
      <c r="CL20" s="3175"/>
      <c r="CM20" s="3175"/>
      <c r="CN20" s="3175"/>
      <c r="CO20" s="3175"/>
      <c r="CP20" s="3175"/>
      <c r="CQ20" s="3175"/>
      <c r="CR20" s="3175"/>
      <c r="CS20" s="3175"/>
      <c r="CT20" s="3175"/>
      <c r="CU20" s="3175"/>
      <c r="CV20" s="3175"/>
      <c r="CW20" s="3175"/>
      <c r="CX20" s="3175"/>
      <c r="CY20" s="3175"/>
      <c r="CZ20" s="3175"/>
      <c r="DA20" s="3175"/>
      <c r="DB20" s="3175"/>
      <c r="DC20" s="3175"/>
      <c r="DD20" s="3175"/>
      <c r="DE20" s="3175"/>
      <c r="DF20" s="3175"/>
      <c r="DG20" s="3064"/>
      <c r="DH20" s="3064"/>
      <c r="DI20" s="3064"/>
      <c r="DJ20" s="3064"/>
      <c r="DK20" s="3064"/>
      <c r="DL20" s="3064"/>
      <c r="DM20" s="3064"/>
      <c r="DN20" s="3064"/>
      <c r="DO20" s="3064"/>
      <c r="DP20" s="3064"/>
      <c r="DQ20" s="3064"/>
      <c r="DR20" s="3064"/>
      <c r="DS20" s="3064"/>
      <c r="DT20" s="3064"/>
      <c r="DU20" s="3064"/>
      <c r="DV20" s="3064"/>
      <c r="DW20" s="3064"/>
      <c r="DX20" s="3064"/>
      <c r="DY20" s="3064"/>
      <c r="DZ20" s="3064"/>
      <c r="EA20" s="3064"/>
      <c r="EB20" s="3064"/>
      <c r="EC20" s="3064"/>
      <c r="ED20" s="3064"/>
      <c r="EE20" s="3064"/>
      <c r="EF20" s="3064"/>
      <c r="EG20" s="3064"/>
      <c r="EH20" s="3064"/>
      <c r="EI20" s="3064"/>
      <c r="EJ20" s="3064"/>
      <c r="EK20" s="3064"/>
      <c r="EL20" s="3064"/>
      <c r="EM20" s="3064"/>
      <c r="EN20" s="3064"/>
      <c r="EO20" s="3064"/>
      <c r="EP20" s="3064"/>
      <c r="EQ20" s="2312"/>
      <c r="ER20" s="2309"/>
      <c r="ES20" s="3027" t="s">
        <v>10324</v>
      </c>
      <c r="ET20" s="3082"/>
      <c r="EU20" s="3082"/>
      <c r="EV20" s="3082"/>
      <c r="EW20" s="3082"/>
      <c r="EX20" s="3082"/>
      <c r="EY20" s="3082"/>
      <c r="EZ20" s="3082"/>
      <c r="FA20" s="3082"/>
      <c r="FB20" s="3131"/>
      <c r="FC20" s="3131"/>
      <c r="FD20" s="3131"/>
      <c r="FE20" s="3131"/>
      <c r="FF20" s="3131"/>
      <c r="FG20" s="3131"/>
      <c r="FH20" s="3131"/>
      <c r="FI20" s="3131"/>
      <c r="FJ20" s="3131"/>
      <c r="FK20" s="3131"/>
      <c r="FL20" s="3131"/>
      <c r="FM20" s="3131"/>
      <c r="FN20" s="3131"/>
      <c r="FO20" s="3131"/>
      <c r="FP20" s="3131"/>
      <c r="FQ20" s="3131"/>
      <c r="FR20" s="3131"/>
      <c r="FS20" s="3131"/>
      <c r="FT20" s="3131"/>
      <c r="FU20" s="3131"/>
      <c r="FV20" s="3131"/>
      <c r="FW20" s="3131"/>
      <c r="FX20" s="3131"/>
      <c r="FY20" s="3131"/>
      <c r="FZ20" s="3131"/>
      <c r="GA20" s="3131"/>
      <c r="GB20" s="3131"/>
      <c r="GC20" s="3131"/>
      <c r="GD20" s="3131"/>
      <c r="GE20" s="3131"/>
      <c r="GF20" s="3131"/>
      <c r="GG20" s="3131"/>
      <c r="GH20" s="3131"/>
      <c r="GI20" s="3131"/>
      <c r="GJ20" s="3131"/>
      <c r="GK20" s="3131"/>
      <c r="GL20" s="3131"/>
      <c r="GM20" s="3131"/>
      <c r="GN20" s="3131"/>
      <c r="GO20" s="3131"/>
      <c r="GP20" s="3131"/>
      <c r="GQ20" s="3131"/>
      <c r="GR20" s="3131"/>
      <c r="GS20" s="3131"/>
      <c r="GT20" s="3131"/>
      <c r="GU20" s="3131"/>
      <c r="GV20" s="3131"/>
      <c r="GW20" s="3131"/>
      <c r="GX20" s="3131"/>
      <c r="GY20" s="3131"/>
      <c r="GZ20" s="3131"/>
      <c r="HA20" s="3131"/>
      <c r="HB20" s="3131"/>
      <c r="HC20" s="3131"/>
      <c r="HD20" s="3131"/>
      <c r="HE20" s="3131"/>
      <c r="HF20" s="3131"/>
      <c r="HG20" s="3131"/>
      <c r="HH20" s="3131"/>
      <c r="HI20" s="3131"/>
      <c r="HJ20" s="3132"/>
      <c r="HK20" s="1409"/>
      <c r="HL20" s="2312"/>
    </row>
    <row r="21" spans="2:220" ht="7.5" customHeight="1">
      <c r="B21" s="2309"/>
      <c r="C21" s="2799"/>
      <c r="D21" s="2800"/>
      <c r="E21" s="2800"/>
      <c r="F21" s="2800"/>
      <c r="G21" s="2800"/>
      <c r="H21" s="2800"/>
      <c r="I21" s="2801"/>
      <c r="J21" s="2319"/>
      <c r="K21" s="3105">
        <f>[1]ABILITIES!$T$24</f>
        <v>1</v>
      </c>
      <c r="L21" s="3112"/>
      <c r="M21" s="3112"/>
      <c r="N21" s="3113"/>
      <c r="O21" s="3108" t="s">
        <v>10325</v>
      </c>
      <c r="P21" s="2760"/>
      <c r="Q21" s="2760"/>
      <c r="R21" s="2760"/>
      <c r="S21" s="2760"/>
      <c r="T21" s="2760"/>
      <c r="U21" s="2760"/>
      <c r="V21" s="2760"/>
      <c r="W21" s="2761"/>
      <c r="X21" s="2319"/>
      <c r="Y21" s="2796"/>
      <c r="Z21" s="2797"/>
      <c r="AA21" s="2797"/>
      <c r="AB21" s="2797"/>
      <c r="AC21" s="2797"/>
      <c r="AD21" s="2797"/>
      <c r="AE21" s="2797"/>
      <c r="AF21" s="2797"/>
      <c r="AG21" s="2797"/>
      <c r="AH21" s="2797"/>
      <c r="AI21" s="2797"/>
      <c r="AJ21" s="2797"/>
      <c r="AK21" s="2797"/>
      <c r="AL21" s="2797"/>
      <c r="AM21" s="2797"/>
      <c r="AN21" s="2797"/>
      <c r="AO21" s="2316"/>
      <c r="AP21" s="2799"/>
      <c r="AQ21" s="2800"/>
      <c r="AR21" s="2800"/>
      <c r="AS21" s="2989"/>
      <c r="AT21" s="2990"/>
      <c r="AU21" s="2990"/>
      <c r="AV21" s="2990"/>
      <c r="AW21" s="2990"/>
      <c r="AX21" s="2990"/>
      <c r="AY21" s="2990"/>
      <c r="AZ21" s="2990"/>
      <c r="BA21" s="2990"/>
      <c r="BB21" s="2990"/>
      <c r="BC21" s="2990"/>
      <c r="BD21" s="2990"/>
      <c r="BE21" s="2990"/>
      <c r="BF21" s="2990"/>
      <c r="BG21" s="2990"/>
      <c r="BH21" s="2990"/>
      <c r="BI21" s="2990"/>
      <c r="BJ21" s="2990"/>
      <c r="BK21" s="2990"/>
      <c r="BL21" s="2990"/>
      <c r="BM21" s="2990"/>
      <c r="BN21" s="2990"/>
      <c r="BO21" s="2990"/>
      <c r="BP21" s="2990"/>
      <c r="BQ21" s="2990"/>
      <c r="BR21" s="2990"/>
      <c r="BS21" s="2990"/>
      <c r="BT21" s="2990"/>
      <c r="BU21" s="2991"/>
      <c r="BV21" s="2312"/>
      <c r="BW21" s="2309"/>
      <c r="BX21" s="3175"/>
      <c r="BY21" s="3175"/>
      <c r="BZ21" s="3175"/>
      <c r="CA21" s="3175"/>
      <c r="CB21" s="3175"/>
      <c r="CC21" s="3175"/>
      <c r="CD21" s="3175"/>
      <c r="CE21" s="3175"/>
      <c r="CF21" s="3175"/>
      <c r="CG21" s="3175"/>
      <c r="CH21" s="3175"/>
      <c r="CI21" s="3175"/>
      <c r="CJ21" s="3175"/>
      <c r="CK21" s="3175"/>
      <c r="CL21" s="3175"/>
      <c r="CM21" s="3175"/>
      <c r="CN21" s="3175"/>
      <c r="CO21" s="3175"/>
      <c r="CP21" s="3175"/>
      <c r="CQ21" s="3175"/>
      <c r="CR21" s="3175"/>
      <c r="CS21" s="3175"/>
      <c r="CT21" s="3175"/>
      <c r="CU21" s="3175"/>
      <c r="CV21" s="3175"/>
      <c r="CW21" s="3175"/>
      <c r="CX21" s="3175"/>
      <c r="CY21" s="3175"/>
      <c r="CZ21" s="3175"/>
      <c r="DA21" s="3175"/>
      <c r="DB21" s="3175"/>
      <c r="DC21" s="3175"/>
      <c r="DD21" s="3175"/>
      <c r="DE21" s="3175"/>
      <c r="DF21" s="3175"/>
      <c r="DG21" s="3064"/>
      <c r="DH21" s="3064"/>
      <c r="DI21" s="3064"/>
      <c r="DJ21" s="3064"/>
      <c r="DK21" s="3064"/>
      <c r="DL21" s="3064"/>
      <c r="DM21" s="3064"/>
      <c r="DN21" s="3064"/>
      <c r="DO21" s="3064"/>
      <c r="DP21" s="3064"/>
      <c r="DQ21" s="3064"/>
      <c r="DR21" s="3064"/>
      <c r="DS21" s="3064"/>
      <c r="DT21" s="3064"/>
      <c r="DU21" s="3064"/>
      <c r="DV21" s="3064"/>
      <c r="DW21" s="3064"/>
      <c r="DX21" s="3064"/>
      <c r="DY21" s="3064"/>
      <c r="DZ21" s="3064"/>
      <c r="EA21" s="3064"/>
      <c r="EB21" s="3064"/>
      <c r="EC21" s="3064"/>
      <c r="ED21" s="3064"/>
      <c r="EE21" s="3064"/>
      <c r="EF21" s="3064"/>
      <c r="EG21" s="3064"/>
      <c r="EH21" s="3064"/>
      <c r="EI21" s="3064"/>
      <c r="EJ21" s="3064"/>
      <c r="EK21" s="3064"/>
      <c r="EL21" s="3064"/>
      <c r="EM21" s="3064"/>
      <c r="EN21" s="3064"/>
      <c r="EO21" s="3064"/>
      <c r="EP21" s="3064"/>
      <c r="EQ21" s="2312"/>
      <c r="ER21" s="2309"/>
      <c r="ES21" s="3084"/>
      <c r="ET21" s="3085"/>
      <c r="EU21" s="3085"/>
      <c r="EV21" s="3085"/>
      <c r="EW21" s="3085"/>
      <c r="EX21" s="3085"/>
      <c r="EY21" s="3085"/>
      <c r="EZ21" s="3085"/>
      <c r="FA21" s="3085"/>
      <c r="FB21" s="3003"/>
      <c r="FC21" s="3003"/>
      <c r="FD21" s="3003"/>
      <c r="FE21" s="3003"/>
      <c r="FF21" s="3003"/>
      <c r="FG21" s="3003"/>
      <c r="FH21" s="3003"/>
      <c r="FI21" s="3003"/>
      <c r="FJ21" s="3003"/>
      <c r="FK21" s="3003"/>
      <c r="FL21" s="3003"/>
      <c r="FM21" s="3003"/>
      <c r="FN21" s="3003"/>
      <c r="FO21" s="3003"/>
      <c r="FP21" s="3003"/>
      <c r="FQ21" s="3003"/>
      <c r="FR21" s="3003"/>
      <c r="FS21" s="3003"/>
      <c r="FT21" s="3003"/>
      <c r="FU21" s="3003"/>
      <c r="FV21" s="3003"/>
      <c r="FW21" s="3003"/>
      <c r="FX21" s="3003"/>
      <c r="FY21" s="3003"/>
      <c r="FZ21" s="3003"/>
      <c r="GA21" s="3003"/>
      <c r="GB21" s="3003"/>
      <c r="GC21" s="3003"/>
      <c r="GD21" s="3003"/>
      <c r="GE21" s="3003"/>
      <c r="GF21" s="3003"/>
      <c r="GG21" s="3003"/>
      <c r="GH21" s="3003"/>
      <c r="GI21" s="3003"/>
      <c r="GJ21" s="3003"/>
      <c r="GK21" s="3003"/>
      <c r="GL21" s="3003"/>
      <c r="GM21" s="3003"/>
      <c r="GN21" s="3003"/>
      <c r="GO21" s="3003"/>
      <c r="GP21" s="3003"/>
      <c r="GQ21" s="3003"/>
      <c r="GR21" s="3003"/>
      <c r="GS21" s="3003"/>
      <c r="GT21" s="3003"/>
      <c r="GU21" s="3003"/>
      <c r="GV21" s="3003"/>
      <c r="GW21" s="3003"/>
      <c r="GX21" s="3003"/>
      <c r="GY21" s="3003"/>
      <c r="GZ21" s="3003"/>
      <c r="HA21" s="3003"/>
      <c r="HB21" s="3003"/>
      <c r="HC21" s="3003"/>
      <c r="HD21" s="3003"/>
      <c r="HE21" s="3003"/>
      <c r="HF21" s="3003"/>
      <c r="HG21" s="3003"/>
      <c r="HH21" s="3003"/>
      <c r="HI21" s="3003"/>
      <c r="HJ21" s="3133"/>
      <c r="HK21" s="1409"/>
      <c r="HL21" s="2312"/>
    </row>
    <row r="22" spans="2:220" ht="7.5" customHeight="1">
      <c r="B22" s="2309"/>
      <c r="C22" s="2946">
        <f>VLOOKUP(C18,[1]ABILITIES!$Z$3:$AA$24,2)</f>
        <v>1</v>
      </c>
      <c r="D22" s="2946"/>
      <c r="E22" s="2946"/>
      <c r="F22" s="2946"/>
      <c r="G22" s="2946"/>
      <c r="H22" s="2946"/>
      <c r="I22" s="2946"/>
      <c r="J22" s="2319"/>
      <c r="K22" s="3114"/>
      <c r="L22" s="3112"/>
      <c r="M22" s="3112"/>
      <c r="N22" s="3113"/>
      <c r="O22" s="2764"/>
      <c r="P22" s="2764"/>
      <c r="Q22" s="2764"/>
      <c r="R22" s="2764"/>
      <c r="S22" s="2764"/>
      <c r="T22" s="2764"/>
      <c r="U22" s="2764"/>
      <c r="V22" s="2764"/>
      <c r="W22" s="2765"/>
      <c r="X22" s="2319"/>
      <c r="Y22" s="3120"/>
      <c r="Z22" s="3121"/>
      <c r="AA22" s="3121"/>
      <c r="AB22" s="3121"/>
      <c r="AC22" s="3121"/>
      <c r="AD22" s="3121"/>
      <c r="AE22" s="3121"/>
      <c r="AF22" s="3121"/>
      <c r="AG22" s="3121"/>
      <c r="AH22" s="3121"/>
      <c r="AI22" s="3121"/>
      <c r="AJ22" s="3121"/>
      <c r="AK22" s="3121"/>
      <c r="AL22" s="3121"/>
      <c r="AM22" s="3121"/>
      <c r="AN22" s="3122"/>
      <c r="AO22" s="2326"/>
      <c r="AP22" s="2988">
        <v>2</v>
      </c>
      <c r="AQ22" s="2794"/>
      <c r="AR22" s="2794"/>
      <c r="AS22" s="2989"/>
      <c r="AT22" s="2990"/>
      <c r="AU22" s="2990"/>
      <c r="AV22" s="2990"/>
      <c r="AW22" s="2990"/>
      <c r="AX22" s="2990"/>
      <c r="AY22" s="2990"/>
      <c r="AZ22" s="2990"/>
      <c r="BA22" s="2990"/>
      <c r="BB22" s="2990"/>
      <c r="BC22" s="2990"/>
      <c r="BD22" s="2990"/>
      <c r="BE22" s="2990"/>
      <c r="BF22" s="2990"/>
      <c r="BG22" s="2990"/>
      <c r="BH22" s="2990"/>
      <c r="BI22" s="2990"/>
      <c r="BJ22" s="2990"/>
      <c r="BK22" s="2990"/>
      <c r="BL22" s="2990"/>
      <c r="BM22" s="2990"/>
      <c r="BN22" s="2990"/>
      <c r="BO22" s="2990"/>
      <c r="BP22" s="2990"/>
      <c r="BQ22" s="2990"/>
      <c r="BR22" s="2990"/>
      <c r="BS22" s="2990"/>
      <c r="BT22" s="2990"/>
      <c r="BU22" s="2991"/>
      <c r="BV22" s="2312"/>
      <c r="BW22" s="2309"/>
      <c r="EQ22" s="2312"/>
      <c r="ER22" s="2309"/>
      <c r="ES22" s="3134" t="s">
        <v>1406</v>
      </c>
      <c r="ET22" s="3128"/>
      <c r="EU22" s="3128"/>
      <c r="EV22" s="3128"/>
      <c r="EW22" s="3128"/>
      <c r="EX22" s="3128"/>
      <c r="EY22" s="3128"/>
      <c r="EZ22" s="3128"/>
      <c r="FA22" s="3128"/>
      <c r="FB22" s="3128"/>
      <c r="FC22" s="3128"/>
      <c r="FD22" s="3136" t="s">
        <v>5796</v>
      </c>
      <c r="FE22" s="2794"/>
      <c r="FF22" s="2794"/>
      <c r="FG22" s="2795"/>
      <c r="FH22" s="3127" t="s">
        <v>7713</v>
      </c>
      <c r="FI22" s="2794"/>
      <c r="FJ22" s="2794"/>
      <c r="FK22" s="2794"/>
      <c r="FL22" s="2794"/>
      <c r="FM22" s="2794"/>
      <c r="FN22" s="2794"/>
      <c r="FO22" s="2794"/>
      <c r="FP22" s="2794"/>
      <c r="FQ22" s="2794"/>
      <c r="FR22" s="2794"/>
      <c r="FS22" s="2794"/>
      <c r="FT22" s="2794"/>
      <c r="FU22" s="2794"/>
      <c r="FV22" s="2794"/>
      <c r="FW22" s="2794"/>
      <c r="FX22" s="2794"/>
      <c r="FY22" s="2794"/>
      <c r="FZ22" s="2794"/>
      <c r="GA22" s="2794"/>
      <c r="GB22" s="2794"/>
      <c r="GC22" s="2794"/>
      <c r="GD22" s="2795"/>
      <c r="GE22" s="3128" t="s">
        <v>5789</v>
      </c>
      <c r="GF22" s="3129"/>
      <c r="GG22" s="3129"/>
      <c r="GH22" s="3129"/>
      <c r="GI22" s="3128" t="s">
        <v>5788</v>
      </c>
      <c r="GJ22" s="3129"/>
      <c r="GK22" s="3129"/>
      <c r="GL22" s="3129"/>
      <c r="GM22" s="2994" t="s">
        <v>10326</v>
      </c>
      <c r="GN22" s="2771"/>
      <c r="GO22" s="2771"/>
      <c r="GP22" s="2771"/>
      <c r="GQ22" s="2771"/>
      <c r="GR22" s="2772"/>
      <c r="GS22" s="3127" t="s">
        <v>7715</v>
      </c>
      <c r="GT22" s="2794"/>
      <c r="GU22" s="2794"/>
      <c r="GV22" s="2794"/>
      <c r="GW22" s="2794"/>
      <c r="GX22" s="2794"/>
      <c r="GY22" s="2794"/>
      <c r="GZ22" s="2794"/>
      <c r="HA22" s="2794"/>
      <c r="HB22" s="2795"/>
      <c r="HC22" s="3127" t="s">
        <v>7716</v>
      </c>
      <c r="HD22" s="2794"/>
      <c r="HE22" s="2794"/>
      <c r="HF22" s="2794"/>
      <c r="HG22" s="2794"/>
      <c r="HH22" s="2794"/>
      <c r="HI22" s="2794"/>
      <c r="HJ22" s="2795"/>
      <c r="HK22" s="1409"/>
      <c r="HL22" s="2312"/>
    </row>
    <row r="23" spans="2:220" ht="7.5" customHeight="1">
      <c r="B23" s="2309"/>
      <c r="C23" s="2946"/>
      <c r="D23" s="2946"/>
      <c r="E23" s="2946"/>
      <c r="F23" s="2946"/>
      <c r="G23" s="2946" t="b">
        <v>0</v>
      </c>
      <c r="H23" s="2946"/>
      <c r="I23" s="2946"/>
      <c r="K23" s="3105">
        <f>[1]ABILITIES!$T$25</f>
        <v>3</v>
      </c>
      <c r="L23" s="3112"/>
      <c r="M23" s="3112"/>
      <c r="N23" s="3113"/>
      <c r="O23" s="3108" t="s">
        <v>10327</v>
      </c>
      <c r="P23" s="2760"/>
      <c r="Q23" s="2760"/>
      <c r="R23" s="2760"/>
      <c r="S23" s="2760"/>
      <c r="T23" s="2760"/>
      <c r="U23" s="2760"/>
      <c r="V23" s="2760"/>
      <c r="W23" s="2761"/>
      <c r="Y23" s="3123"/>
      <c r="Z23" s="3124"/>
      <c r="AA23" s="3124"/>
      <c r="AB23" s="3124"/>
      <c r="AC23" s="3124"/>
      <c r="AD23" s="3124"/>
      <c r="AE23" s="3124"/>
      <c r="AF23" s="3124"/>
      <c r="AG23" s="3124"/>
      <c r="AH23" s="3124"/>
      <c r="AI23" s="3124"/>
      <c r="AJ23" s="3124"/>
      <c r="AK23" s="3124"/>
      <c r="AL23" s="3124"/>
      <c r="AM23" s="3124"/>
      <c r="AN23" s="3125"/>
      <c r="AO23" s="2326"/>
      <c r="AP23" s="2799"/>
      <c r="AQ23" s="2800"/>
      <c r="AR23" s="2800"/>
      <c r="AS23" s="2989"/>
      <c r="AT23" s="2990"/>
      <c r="AU23" s="2990"/>
      <c r="AV23" s="2990"/>
      <c r="AW23" s="2990"/>
      <c r="AX23" s="2990"/>
      <c r="AY23" s="2990"/>
      <c r="AZ23" s="2990"/>
      <c r="BA23" s="2990"/>
      <c r="BB23" s="2990"/>
      <c r="BC23" s="2990"/>
      <c r="BD23" s="2990"/>
      <c r="BE23" s="2990"/>
      <c r="BF23" s="2990"/>
      <c r="BG23" s="2990"/>
      <c r="BH23" s="2990"/>
      <c r="BI23" s="2990"/>
      <c r="BJ23" s="2990"/>
      <c r="BK23" s="2990"/>
      <c r="BL23" s="2990"/>
      <c r="BM23" s="2990"/>
      <c r="BN23" s="2990"/>
      <c r="BO23" s="2990"/>
      <c r="BP23" s="2990"/>
      <c r="BQ23" s="2990"/>
      <c r="BR23" s="2990"/>
      <c r="BS23" s="2990"/>
      <c r="BT23" s="2990"/>
      <c r="BU23" s="2991"/>
      <c r="BV23" s="2312"/>
      <c r="BW23" s="2309"/>
      <c r="BY23" s="2323"/>
      <c r="BZ23" s="2323"/>
      <c r="CA23" s="2323"/>
      <c r="CB23" s="2323"/>
      <c r="CC23" s="2323"/>
      <c r="CD23" s="2323"/>
      <c r="CE23" s="2323"/>
      <c r="CF23" s="2323"/>
      <c r="CG23" s="2323"/>
      <c r="CH23" s="2323"/>
      <c r="CI23" s="2323"/>
      <c r="CJ23" s="2323"/>
      <c r="CK23" s="2324"/>
      <c r="CL23" s="2324"/>
      <c r="CM23" s="2324"/>
      <c r="CN23" s="2324"/>
      <c r="CO23" s="2324"/>
      <c r="CP23" s="2324"/>
      <c r="CQ23" s="2324"/>
      <c r="CR23" s="2324"/>
      <c r="CS23" s="2324"/>
      <c r="CT23" s="2324"/>
      <c r="CU23" s="2324"/>
      <c r="CV23" s="2324"/>
      <c r="CW23" s="2324"/>
      <c r="CX23" s="2324"/>
      <c r="CY23" s="2324"/>
      <c r="CZ23" s="2324"/>
      <c r="DA23" s="2323"/>
      <c r="DB23" s="2323"/>
      <c r="DC23" s="2323"/>
      <c r="DD23" s="2323"/>
      <c r="DE23" s="2323"/>
      <c r="DF23" s="2323"/>
      <c r="DG23" s="2323"/>
      <c r="DH23" s="2323"/>
      <c r="DI23" s="2323"/>
      <c r="DJ23" s="2323"/>
      <c r="DK23" s="2323"/>
      <c r="DL23" s="2323"/>
      <c r="DM23" s="2323"/>
      <c r="DN23" s="2323"/>
      <c r="DO23" s="2323"/>
      <c r="DP23" s="2323"/>
      <c r="DQ23" s="2323"/>
      <c r="DR23" s="2323"/>
      <c r="DS23" s="2323"/>
      <c r="DT23" s="2323"/>
      <c r="DU23" s="2323"/>
      <c r="DV23" s="2323"/>
      <c r="DW23" s="2323"/>
      <c r="DX23" s="2323"/>
      <c r="DY23" s="2323"/>
      <c r="DZ23" s="2323"/>
      <c r="EA23" s="2323"/>
      <c r="EB23" s="2323"/>
      <c r="EC23" s="2323"/>
      <c r="ED23" s="2323"/>
      <c r="EE23" s="2323"/>
      <c r="EF23" s="2323"/>
      <c r="EG23" s="2323"/>
      <c r="EH23" s="2323"/>
      <c r="EI23" s="2323"/>
      <c r="EJ23" s="2323"/>
      <c r="EK23" s="2323"/>
      <c r="EL23" s="2323"/>
      <c r="EM23" s="2323"/>
      <c r="EQ23" s="2312"/>
      <c r="ER23" s="2309"/>
      <c r="ES23" s="3135"/>
      <c r="ET23" s="3135"/>
      <c r="EU23" s="3135"/>
      <c r="EV23" s="3135"/>
      <c r="EW23" s="3135"/>
      <c r="EX23" s="3135"/>
      <c r="EY23" s="3135"/>
      <c r="EZ23" s="3135"/>
      <c r="FA23" s="3135"/>
      <c r="FB23" s="3135"/>
      <c r="FC23" s="3135"/>
      <c r="FD23" s="2799"/>
      <c r="FE23" s="2800"/>
      <c r="FF23" s="2800"/>
      <c r="FG23" s="2801"/>
      <c r="FH23" s="2799"/>
      <c r="FI23" s="2800"/>
      <c r="FJ23" s="2800"/>
      <c r="FK23" s="2800"/>
      <c r="FL23" s="2800"/>
      <c r="FM23" s="2800"/>
      <c r="FN23" s="2800"/>
      <c r="FO23" s="2800"/>
      <c r="FP23" s="2800"/>
      <c r="FQ23" s="2800"/>
      <c r="FR23" s="2800"/>
      <c r="FS23" s="2800"/>
      <c r="FT23" s="2800"/>
      <c r="FU23" s="2800"/>
      <c r="FV23" s="2800"/>
      <c r="FW23" s="2800"/>
      <c r="FX23" s="2800"/>
      <c r="FY23" s="2800"/>
      <c r="FZ23" s="2800"/>
      <c r="GA23" s="2800"/>
      <c r="GB23" s="2800"/>
      <c r="GC23" s="2800"/>
      <c r="GD23" s="2801"/>
      <c r="GE23" s="3130"/>
      <c r="GF23" s="3130"/>
      <c r="GG23" s="3130"/>
      <c r="GH23" s="3130"/>
      <c r="GI23" s="3130"/>
      <c r="GJ23" s="3130"/>
      <c r="GK23" s="3130"/>
      <c r="GL23" s="3130"/>
      <c r="GM23" s="2995"/>
      <c r="GN23" s="2775"/>
      <c r="GO23" s="2775"/>
      <c r="GP23" s="2775"/>
      <c r="GQ23" s="2775"/>
      <c r="GR23" s="2776"/>
      <c r="GS23" s="2799"/>
      <c r="GT23" s="2800"/>
      <c r="GU23" s="2800"/>
      <c r="GV23" s="2800"/>
      <c r="GW23" s="2800"/>
      <c r="GX23" s="2800"/>
      <c r="GY23" s="2800"/>
      <c r="GZ23" s="2800"/>
      <c r="HA23" s="2800"/>
      <c r="HB23" s="2801"/>
      <c r="HC23" s="2799"/>
      <c r="HD23" s="2800"/>
      <c r="HE23" s="2800"/>
      <c r="HF23" s="2800"/>
      <c r="HG23" s="2800"/>
      <c r="HH23" s="2800"/>
      <c r="HI23" s="2800"/>
      <c r="HJ23" s="2801"/>
      <c r="HK23" s="1409"/>
      <c r="HL23" s="2312"/>
    </row>
    <row r="24" spans="2:220" ht="7.5" customHeight="1">
      <c r="B24" s="2309"/>
      <c r="K24" s="3114"/>
      <c r="L24" s="3112"/>
      <c r="M24" s="3112"/>
      <c r="N24" s="3113"/>
      <c r="O24" s="2764"/>
      <c r="P24" s="2764"/>
      <c r="Q24" s="2764"/>
      <c r="R24" s="2764"/>
      <c r="S24" s="2764"/>
      <c r="T24" s="2764"/>
      <c r="U24" s="2764"/>
      <c r="V24" s="2764"/>
      <c r="W24" s="2765"/>
      <c r="Y24" s="3120"/>
      <c r="Z24" s="3121"/>
      <c r="AA24" s="3121"/>
      <c r="AB24" s="3121"/>
      <c r="AC24" s="3121"/>
      <c r="AD24" s="3121"/>
      <c r="AE24" s="3121"/>
      <c r="AF24" s="3121"/>
      <c r="AG24" s="3121"/>
      <c r="AH24" s="3121"/>
      <c r="AI24" s="3121"/>
      <c r="AJ24" s="3121"/>
      <c r="AK24" s="3121"/>
      <c r="AL24" s="3121"/>
      <c r="AM24" s="3121"/>
      <c r="AN24" s="3122"/>
      <c r="AO24" s="2326"/>
      <c r="AP24" s="2988">
        <v>3</v>
      </c>
      <c r="AQ24" s="2794"/>
      <c r="AR24" s="2794"/>
      <c r="AS24" s="2989"/>
      <c r="AT24" s="2990"/>
      <c r="AU24" s="2990"/>
      <c r="AV24" s="2990"/>
      <c r="AW24" s="2990"/>
      <c r="AX24" s="2990"/>
      <c r="AY24" s="2990"/>
      <c r="AZ24" s="2990"/>
      <c r="BA24" s="2990"/>
      <c r="BB24" s="2990"/>
      <c r="BC24" s="2990"/>
      <c r="BD24" s="2990"/>
      <c r="BE24" s="2990"/>
      <c r="BF24" s="2990"/>
      <c r="BG24" s="2990"/>
      <c r="BH24" s="2990"/>
      <c r="BI24" s="2990"/>
      <c r="BJ24" s="2990"/>
      <c r="BK24" s="2990"/>
      <c r="BL24" s="2990"/>
      <c r="BM24" s="2990"/>
      <c r="BN24" s="2990"/>
      <c r="BO24" s="2990"/>
      <c r="BP24" s="2990"/>
      <c r="BQ24" s="2990"/>
      <c r="BR24" s="2990"/>
      <c r="BS24" s="2990"/>
      <c r="BT24" s="2990"/>
      <c r="BU24" s="2991"/>
      <c r="BV24" s="2312"/>
      <c r="BW24" s="2309"/>
      <c r="EQ24" s="2312"/>
      <c r="ER24" s="2309"/>
      <c r="ES24" s="3126" t="str">
        <f>'[1]FEATS-PETS'!F4</f>
        <v/>
      </c>
      <c r="ET24" s="3118"/>
      <c r="EU24" s="3118"/>
      <c r="EV24" s="3118"/>
      <c r="EW24" s="3118"/>
      <c r="EX24" s="3118"/>
      <c r="EY24" s="3118"/>
      <c r="EZ24" s="3118"/>
      <c r="FA24" s="3118"/>
      <c r="FB24" s="3118"/>
      <c r="FC24" s="3118"/>
      <c r="FD24" s="3116" t="str">
        <f>'[1]FEATS-PETS'!G4</f>
        <v/>
      </c>
      <c r="FE24" s="2794"/>
      <c r="FF24" s="2794"/>
      <c r="FG24" s="2795"/>
      <c r="FH24" s="3117" t="str">
        <f>'[1]FEATS-PETS'!H4</f>
        <v/>
      </c>
      <c r="FI24" s="2771"/>
      <c r="FJ24" s="2771"/>
      <c r="FK24" s="2771"/>
      <c r="FL24" s="2771"/>
      <c r="FM24" s="2771"/>
      <c r="FN24" s="2771"/>
      <c r="FO24" s="2771"/>
      <c r="FP24" s="2771"/>
      <c r="FQ24" s="2771"/>
      <c r="FR24" s="2771"/>
      <c r="FS24" s="2771"/>
      <c r="FT24" s="2771"/>
      <c r="FU24" s="2771"/>
      <c r="FV24" s="2771"/>
      <c r="FW24" s="2771"/>
      <c r="FX24" s="2771"/>
      <c r="FY24" s="2771"/>
      <c r="FZ24" s="2771"/>
      <c r="GA24" s="2771"/>
      <c r="GB24" s="2771"/>
      <c r="GC24" s="2771"/>
      <c r="GD24" s="2772"/>
      <c r="GE24" s="3118" t="str">
        <f>'[1]FEATS-PETS'!P4</f>
        <v/>
      </c>
      <c r="GF24" s="3118"/>
      <c r="GG24" s="3118"/>
      <c r="GH24" s="3118"/>
      <c r="GI24" s="2988" t="str">
        <f>'[1]FEATS-PETS'!Q4</f>
        <v/>
      </c>
      <c r="GJ24" s="2794"/>
      <c r="GK24" s="2794"/>
      <c r="GL24" s="2795"/>
      <c r="GM24" s="2988" t="str">
        <f>'[1]FEATS-PETS'!R4</f>
        <v/>
      </c>
      <c r="GN24" s="2794"/>
      <c r="GO24" s="2794"/>
      <c r="GP24" s="2794"/>
      <c r="GQ24" s="2794"/>
      <c r="GR24" s="2795"/>
      <c r="GS24" s="3117" t="str">
        <f>'[1]FEATS-PETS'!S4</f>
        <v/>
      </c>
      <c r="GT24" s="2771"/>
      <c r="GU24" s="2771"/>
      <c r="GV24" s="2771"/>
      <c r="GW24" s="2771"/>
      <c r="GX24" s="2771"/>
      <c r="GY24" s="2771"/>
      <c r="GZ24" s="2771"/>
      <c r="HA24" s="2771"/>
      <c r="HB24" s="2772"/>
      <c r="HC24" s="2988" t="str">
        <f>'[1]FEATS-PETS'!Q4</f>
        <v/>
      </c>
      <c r="HD24" s="2794"/>
      <c r="HE24" s="2794"/>
      <c r="HF24" s="2794"/>
      <c r="HG24" s="2794"/>
      <c r="HH24" s="2794"/>
      <c r="HI24" s="2794"/>
      <c r="HJ24" s="2795"/>
      <c r="HK24" s="1409"/>
      <c r="HL24" s="2312"/>
    </row>
    <row r="25" spans="2:220" ht="7.5" customHeight="1">
      <c r="B25" s="2309"/>
      <c r="C25" s="2887" t="s">
        <v>10328</v>
      </c>
      <c r="D25" s="2797"/>
      <c r="E25" s="2797"/>
      <c r="F25" s="2797"/>
      <c r="G25" s="2797"/>
      <c r="H25" s="2797"/>
      <c r="I25" s="2797"/>
      <c r="K25" s="3105">
        <f>[1]ABILITIES!$T$26</f>
        <v>2</v>
      </c>
      <c r="L25" s="3112"/>
      <c r="M25" s="3112"/>
      <c r="N25" s="3113"/>
      <c r="O25" s="3108" t="s">
        <v>10329</v>
      </c>
      <c r="P25" s="2760"/>
      <c r="Q25" s="2760"/>
      <c r="R25" s="2760"/>
      <c r="S25" s="2760"/>
      <c r="T25" s="2760"/>
      <c r="U25" s="2760"/>
      <c r="V25" s="2760"/>
      <c r="W25" s="2761"/>
      <c r="Y25" s="3123"/>
      <c r="Z25" s="3124"/>
      <c r="AA25" s="3124"/>
      <c r="AB25" s="3124"/>
      <c r="AC25" s="3124"/>
      <c r="AD25" s="3124"/>
      <c r="AE25" s="3124"/>
      <c r="AF25" s="3124"/>
      <c r="AG25" s="3124"/>
      <c r="AH25" s="3124"/>
      <c r="AI25" s="3124"/>
      <c r="AJ25" s="3124"/>
      <c r="AK25" s="3124"/>
      <c r="AL25" s="3124"/>
      <c r="AM25" s="3124"/>
      <c r="AN25" s="3125"/>
      <c r="AO25" s="2326"/>
      <c r="AP25" s="2799"/>
      <c r="AQ25" s="2800"/>
      <c r="AR25" s="2800"/>
      <c r="AS25" s="2989"/>
      <c r="AT25" s="2990"/>
      <c r="AU25" s="2990"/>
      <c r="AV25" s="2990"/>
      <c r="AW25" s="2990"/>
      <c r="AX25" s="2990"/>
      <c r="AY25" s="2990"/>
      <c r="AZ25" s="2990"/>
      <c r="BA25" s="2990"/>
      <c r="BB25" s="2990"/>
      <c r="BC25" s="2990"/>
      <c r="BD25" s="2990"/>
      <c r="BE25" s="2990"/>
      <c r="BF25" s="2990"/>
      <c r="BG25" s="2990"/>
      <c r="BH25" s="2990"/>
      <c r="BI25" s="2990"/>
      <c r="BJ25" s="2990"/>
      <c r="BK25" s="2990"/>
      <c r="BL25" s="2990"/>
      <c r="BM25" s="2990"/>
      <c r="BN25" s="2990"/>
      <c r="BO25" s="2990"/>
      <c r="BP25" s="2990"/>
      <c r="BQ25" s="2990"/>
      <c r="BR25" s="2990"/>
      <c r="BS25" s="2990"/>
      <c r="BT25" s="2990"/>
      <c r="BU25" s="2991"/>
      <c r="BV25" s="2312"/>
      <c r="BW25" s="2309"/>
      <c r="BX25" s="2965" t="e">
        <f>IF(#REF!=2,"FIGHTER MANEUVERS",IF(#REF!=8,"MONK DISCIPLINES",IF(AND(#REF!=9,#REF!&gt;2),"PALADIN TENETS",IF(#REF!=13,"MYSTIC DISCIPLINES",IF(#REF!=12,"ELDRITCH INVOCATIONS",IF(AND(#REF!=4,#REF!=20),"SIGNATURE SPELLS","OTHER CLASS ABILITIES"))))))</f>
        <v>#REF!</v>
      </c>
      <c r="BY25" s="2797"/>
      <c r="BZ25" s="2797"/>
      <c r="CA25" s="2797"/>
      <c r="CB25" s="2797"/>
      <c r="CC25" s="2797"/>
      <c r="CD25" s="2797"/>
      <c r="CE25" s="2797"/>
      <c r="CF25" s="2797"/>
      <c r="CG25" s="2797"/>
      <c r="CH25" s="2797"/>
      <c r="CI25" s="2797"/>
      <c r="CJ25" s="2797"/>
      <c r="CK25" s="2797"/>
      <c r="CL25" s="2797"/>
      <c r="CM25" s="2797"/>
      <c r="CN25" s="2797"/>
      <c r="CO25" s="2797"/>
      <c r="CP25" s="3094"/>
      <c r="CR25" s="2965" t="e">
        <f>IF(#REF!=4,"SIGNATURE SPELLS",IF(#REF!=12,"ARCANUM SPELLS",IF(#REF!=13,"MYSTIC QUIRKS","")))</f>
        <v>#REF!</v>
      </c>
      <c r="CS25" s="2797"/>
      <c r="CT25" s="2797"/>
      <c r="CU25" s="2797"/>
      <c r="CV25" s="2797"/>
      <c r="CW25" s="2797"/>
      <c r="CX25" s="2797"/>
      <c r="CY25" s="2797"/>
      <c r="CZ25" s="2797"/>
      <c r="DA25" s="2797"/>
      <c r="DB25" s="2797"/>
      <c r="DC25" s="2797"/>
      <c r="DD25" s="2797"/>
      <c r="DE25" s="2797"/>
      <c r="DF25" s="2797"/>
      <c r="DG25" s="2797"/>
      <c r="DH25" s="2797"/>
      <c r="DI25" s="2797"/>
      <c r="DJ25" s="2797"/>
      <c r="DK25" s="2797"/>
      <c r="DL25" s="2797"/>
      <c r="DM25" s="2797"/>
      <c r="DN25" s="2797"/>
      <c r="DO25" s="2797"/>
      <c r="DP25" s="2797"/>
      <c r="DQ25" s="2797"/>
      <c r="DR25" s="2797"/>
      <c r="DS25" s="2797"/>
      <c r="DT25" s="2797"/>
      <c r="DU25" s="2797"/>
      <c r="DV25" s="2797"/>
      <c r="DW25" s="2797"/>
      <c r="DY25" s="2996" t="e">
        <f>IF(#REF!="Monk","KI SAVE DC"," ")</f>
        <v>#REF!</v>
      </c>
      <c r="DZ25" s="3115"/>
      <c r="EA25" s="3115"/>
      <c r="EB25" s="3115"/>
      <c r="EC25" s="3115"/>
      <c r="ED25" s="3115"/>
      <c r="EE25" s="3115"/>
      <c r="EF25" s="3115"/>
      <c r="EG25" s="3115"/>
      <c r="EH25" s="3115"/>
      <c r="EI25" s="3115"/>
      <c r="EJ25" s="3115"/>
      <c r="EK25" s="3115"/>
      <c r="EL25" s="3115"/>
      <c r="EM25" s="3115"/>
      <c r="EN25" s="3115"/>
      <c r="EO25" s="3115"/>
      <c r="EP25" s="3034"/>
      <c r="EQ25" s="2312"/>
      <c r="ER25" s="2309"/>
      <c r="ES25" s="3119"/>
      <c r="ET25" s="3119"/>
      <c r="EU25" s="3119"/>
      <c r="EV25" s="3119"/>
      <c r="EW25" s="3119"/>
      <c r="EX25" s="3119"/>
      <c r="EY25" s="3119"/>
      <c r="EZ25" s="3119"/>
      <c r="FA25" s="3119"/>
      <c r="FB25" s="3119"/>
      <c r="FC25" s="3119"/>
      <c r="FD25" s="2799"/>
      <c r="FE25" s="2800"/>
      <c r="FF25" s="2800"/>
      <c r="FG25" s="2801"/>
      <c r="FH25" s="2995"/>
      <c r="FI25" s="2775"/>
      <c r="FJ25" s="2775"/>
      <c r="FK25" s="2775"/>
      <c r="FL25" s="2775"/>
      <c r="FM25" s="2775"/>
      <c r="FN25" s="2775"/>
      <c r="FO25" s="2775"/>
      <c r="FP25" s="2775"/>
      <c r="FQ25" s="2775"/>
      <c r="FR25" s="2775"/>
      <c r="FS25" s="2775"/>
      <c r="FT25" s="2775"/>
      <c r="FU25" s="2775"/>
      <c r="FV25" s="2775"/>
      <c r="FW25" s="2775"/>
      <c r="FX25" s="2775"/>
      <c r="FY25" s="2775"/>
      <c r="FZ25" s="2775"/>
      <c r="GA25" s="2775"/>
      <c r="GB25" s="2775"/>
      <c r="GC25" s="2775"/>
      <c r="GD25" s="2776"/>
      <c r="GE25" s="3119"/>
      <c r="GF25" s="3119"/>
      <c r="GG25" s="3119"/>
      <c r="GH25" s="3119"/>
      <c r="GI25" s="2799"/>
      <c r="GJ25" s="2800"/>
      <c r="GK25" s="2800"/>
      <c r="GL25" s="2801"/>
      <c r="GM25" s="2799"/>
      <c r="GN25" s="2800"/>
      <c r="GO25" s="2800"/>
      <c r="GP25" s="2800"/>
      <c r="GQ25" s="2800"/>
      <c r="GR25" s="2801"/>
      <c r="GS25" s="2995"/>
      <c r="GT25" s="2775"/>
      <c r="GU25" s="2775"/>
      <c r="GV25" s="2775"/>
      <c r="GW25" s="2775"/>
      <c r="GX25" s="2775"/>
      <c r="GY25" s="2775"/>
      <c r="GZ25" s="2775"/>
      <c r="HA25" s="2775"/>
      <c r="HB25" s="2776"/>
      <c r="HC25" s="2799"/>
      <c r="HD25" s="2800"/>
      <c r="HE25" s="2800"/>
      <c r="HF25" s="2800"/>
      <c r="HG25" s="2800"/>
      <c r="HH25" s="2800"/>
      <c r="HI25" s="2800"/>
      <c r="HJ25" s="2801"/>
      <c r="HK25" s="1940"/>
      <c r="HL25" s="2312"/>
    </row>
    <row r="26" spans="2:220" ht="7.5" customHeight="1">
      <c r="B26" s="2309"/>
      <c r="C26" s="2800"/>
      <c r="D26" s="2800"/>
      <c r="E26" s="2800"/>
      <c r="F26" s="2800"/>
      <c r="G26" s="2800"/>
      <c r="H26" s="2800"/>
      <c r="I26" s="2800"/>
      <c r="K26" s="3114"/>
      <c r="L26" s="3112"/>
      <c r="M26" s="3112"/>
      <c r="N26" s="3113"/>
      <c r="O26" s="2764"/>
      <c r="P26" s="2764"/>
      <c r="Q26" s="2764"/>
      <c r="R26" s="2764"/>
      <c r="S26" s="2764"/>
      <c r="T26" s="2764"/>
      <c r="U26" s="2764"/>
      <c r="V26" s="2764"/>
      <c r="W26" s="2765"/>
      <c r="AP26" s="2988">
        <v>4</v>
      </c>
      <c r="AQ26" s="2794"/>
      <c r="AR26" s="2794"/>
      <c r="AS26" s="2989"/>
      <c r="AT26" s="2990"/>
      <c r="AU26" s="2990"/>
      <c r="AV26" s="2990"/>
      <c r="AW26" s="2990"/>
      <c r="AX26" s="2990"/>
      <c r="AY26" s="2990"/>
      <c r="AZ26" s="2990"/>
      <c r="BA26" s="2990"/>
      <c r="BB26" s="2990"/>
      <c r="BC26" s="2990"/>
      <c r="BD26" s="2990"/>
      <c r="BE26" s="2990"/>
      <c r="BF26" s="2990"/>
      <c r="BG26" s="2990"/>
      <c r="BH26" s="2990"/>
      <c r="BI26" s="2990"/>
      <c r="BJ26" s="2990"/>
      <c r="BK26" s="2990"/>
      <c r="BL26" s="2990"/>
      <c r="BM26" s="2990"/>
      <c r="BN26" s="2990"/>
      <c r="BO26" s="2990"/>
      <c r="BP26" s="2990"/>
      <c r="BQ26" s="2990"/>
      <c r="BR26" s="2990"/>
      <c r="BS26" s="2990"/>
      <c r="BT26" s="2990"/>
      <c r="BU26" s="2991"/>
      <c r="BV26" s="2312"/>
      <c r="BX26" s="2797"/>
      <c r="BY26" s="2797"/>
      <c r="BZ26" s="2797"/>
      <c r="CA26" s="2797"/>
      <c r="CB26" s="2797"/>
      <c r="CC26" s="2797"/>
      <c r="CD26" s="2797"/>
      <c r="CE26" s="2797"/>
      <c r="CF26" s="2797"/>
      <c r="CG26" s="2797"/>
      <c r="CH26" s="2797"/>
      <c r="CI26" s="2797"/>
      <c r="CJ26" s="2797"/>
      <c r="CK26" s="2797"/>
      <c r="CL26" s="2797"/>
      <c r="CM26" s="2797"/>
      <c r="CN26" s="2797"/>
      <c r="CO26" s="2797"/>
      <c r="CP26" s="3094"/>
      <c r="CR26" s="2800"/>
      <c r="CS26" s="2800"/>
      <c r="CT26" s="2800"/>
      <c r="CU26" s="2800"/>
      <c r="CV26" s="2800"/>
      <c r="CW26" s="2800"/>
      <c r="CX26" s="2800"/>
      <c r="CY26" s="2800"/>
      <c r="CZ26" s="2800"/>
      <c r="DA26" s="2800"/>
      <c r="DB26" s="2800"/>
      <c r="DC26" s="2800"/>
      <c r="DD26" s="2800"/>
      <c r="DE26" s="2800"/>
      <c r="DF26" s="2800"/>
      <c r="DG26" s="2800"/>
      <c r="DH26" s="2800"/>
      <c r="DI26" s="2800"/>
      <c r="DJ26" s="2800"/>
      <c r="DK26" s="2800"/>
      <c r="DL26" s="2800"/>
      <c r="DM26" s="2800"/>
      <c r="DN26" s="2800"/>
      <c r="DO26" s="2800"/>
      <c r="DP26" s="2800"/>
      <c r="DQ26" s="2800"/>
      <c r="DR26" s="2800"/>
      <c r="DS26" s="2800"/>
      <c r="DT26" s="2800"/>
      <c r="DU26" s="2800"/>
      <c r="DV26" s="2800"/>
      <c r="DW26" s="2800"/>
      <c r="DY26" s="3095"/>
      <c r="DZ26" s="3094"/>
      <c r="EA26" s="3094"/>
      <c r="EB26" s="3094"/>
      <c r="EC26" s="3094"/>
      <c r="ED26" s="3094"/>
      <c r="EE26" s="3094"/>
      <c r="EF26" s="3094"/>
      <c r="EG26" s="3094"/>
      <c r="EH26" s="3094"/>
      <c r="EI26" s="3094"/>
      <c r="EJ26" s="3094"/>
      <c r="EK26" s="3094"/>
      <c r="EL26" s="3094"/>
      <c r="EM26" s="3094"/>
      <c r="EN26" s="3094"/>
      <c r="EO26" s="3094"/>
      <c r="EP26" s="3006"/>
      <c r="EQ26" s="2312"/>
      <c r="ER26" s="2309"/>
      <c r="HK26" s="2327"/>
      <c r="HL26" s="2312"/>
    </row>
    <row r="27" spans="2:220" ht="7.5" customHeight="1">
      <c r="B27" s="2309"/>
      <c r="C27" s="2948">
        <f>[1]ABILITIES!Q25</f>
        <v>16.014217381078286</v>
      </c>
      <c r="D27" s="2794"/>
      <c r="E27" s="2794"/>
      <c r="F27" s="2794"/>
      <c r="G27" s="2794"/>
      <c r="H27" s="2794"/>
      <c r="I27" s="2795"/>
      <c r="K27" s="3105">
        <f>[1]ABILITIES!$T$27</f>
        <v>7</v>
      </c>
      <c r="L27" s="3112"/>
      <c r="M27" s="3112"/>
      <c r="N27" s="3113"/>
      <c r="O27" s="3108" t="s">
        <v>10330</v>
      </c>
      <c r="P27" s="2760"/>
      <c r="Q27" s="2760"/>
      <c r="R27" s="2760"/>
      <c r="S27" s="2760"/>
      <c r="T27" s="2760"/>
      <c r="U27" s="2760"/>
      <c r="V27" s="2760"/>
      <c r="W27" s="2761"/>
      <c r="Y27" s="2996" t="s">
        <v>10242</v>
      </c>
      <c r="Z27" s="2794"/>
      <c r="AA27" s="2794"/>
      <c r="AB27" s="2794"/>
      <c r="AC27" s="2794"/>
      <c r="AD27" s="2794"/>
      <c r="AE27" s="2794"/>
      <c r="AF27" s="2794"/>
      <c r="AG27" s="2794"/>
      <c r="AH27" s="2794"/>
      <c r="AI27" s="2794"/>
      <c r="AJ27" s="2794"/>
      <c r="AK27" s="2794"/>
      <c r="AL27" s="2794"/>
      <c r="AM27" s="2794"/>
      <c r="AN27" s="2795"/>
      <c r="AP27" s="2799"/>
      <c r="AQ27" s="2800"/>
      <c r="AR27" s="2800"/>
      <c r="AS27" s="2989"/>
      <c r="AT27" s="2990"/>
      <c r="AU27" s="2990"/>
      <c r="AV27" s="2990"/>
      <c r="AW27" s="2990"/>
      <c r="AX27" s="2990"/>
      <c r="AY27" s="2990"/>
      <c r="AZ27" s="2990"/>
      <c r="BA27" s="2990"/>
      <c r="BB27" s="2990"/>
      <c r="BC27" s="2990"/>
      <c r="BD27" s="2990"/>
      <c r="BE27" s="2990"/>
      <c r="BF27" s="2990"/>
      <c r="BG27" s="2990"/>
      <c r="BH27" s="2990"/>
      <c r="BI27" s="2990"/>
      <c r="BJ27" s="2990"/>
      <c r="BK27" s="2990"/>
      <c r="BL27" s="2990"/>
      <c r="BM27" s="2990"/>
      <c r="BN27" s="2990"/>
      <c r="BO27" s="2990"/>
      <c r="BP27" s="2990"/>
      <c r="BQ27" s="2990"/>
      <c r="BR27" s="2990"/>
      <c r="BS27" s="2990"/>
      <c r="BT27" s="2990"/>
      <c r="BU27" s="2991"/>
      <c r="BV27" s="2312"/>
      <c r="BX27" s="3062" t="str">
        <f>IFERROR(#REF!,"")</f>
        <v/>
      </c>
      <c r="BY27" s="3063"/>
      <c r="BZ27" s="3063"/>
      <c r="CA27" s="3063"/>
      <c r="CB27" s="3063"/>
      <c r="CC27" s="3063"/>
      <c r="CD27" s="3063"/>
      <c r="CE27" s="3063"/>
      <c r="CF27" s="3063"/>
      <c r="CG27" s="3063"/>
      <c r="CH27" s="3063"/>
      <c r="CI27" s="3063"/>
      <c r="CJ27" s="3063"/>
      <c r="CK27" s="3063"/>
      <c r="CL27" s="3063"/>
      <c r="CM27" s="3063"/>
      <c r="CN27" s="3063"/>
      <c r="CO27" s="3063"/>
      <c r="CP27" s="3102"/>
      <c r="CR27" s="3103" t="e">
        <f>IF(#REF!=13,[1]CLASS!O88,"")</f>
        <v>#REF!</v>
      </c>
      <c r="CS27" s="2845"/>
      <c r="CT27" s="2845"/>
      <c r="CU27" s="2845"/>
      <c r="CV27" s="2845"/>
      <c r="CW27" s="2845"/>
      <c r="CX27" s="2845"/>
      <c r="CY27" s="2845"/>
      <c r="CZ27" s="2845"/>
      <c r="DA27" s="2845"/>
      <c r="DB27" s="2845"/>
      <c r="DC27" s="2845"/>
      <c r="DD27" s="2845"/>
      <c r="DE27" s="2845"/>
      <c r="DF27" s="2845"/>
      <c r="DG27" s="2845"/>
      <c r="DH27" s="2845"/>
      <c r="DI27" s="2845"/>
      <c r="DJ27" s="2845"/>
      <c r="DK27" s="2845"/>
      <c r="DL27" s="2845"/>
      <c r="DM27" s="2845"/>
      <c r="DN27" s="2845"/>
      <c r="DO27" s="2845"/>
      <c r="DP27" s="2845"/>
      <c r="DQ27" s="2845"/>
      <c r="DR27" s="2845"/>
      <c r="DS27" s="2845"/>
      <c r="DT27" s="2845"/>
      <c r="DU27" s="2845"/>
      <c r="DV27" s="2845"/>
      <c r="DW27" s="2882"/>
      <c r="DY27" s="3104" t="e">
        <f>IF(#REF!="Monk",[1]CLASS!O242,"")</f>
        <v>#REF!</v>
      </c>
      <c r="DZ27" s="2859"/>
      <c r="EA27" s="2859"/>
      <c r="EB27" s="2859"/>
      <c r="EC27" s="2859"/>
      <c r="ED27" s="2859"/>
      <c r="EE27" s="2859"/>
      <c r="EF27" s="2859"/>
      <c r="EG27" s="2859"/>
      <c r="EH27" s="2859"/>
      <c r="EI27" s="2859"/>
      <c r="EJ27" s="2859"/>
      <c r="EK27" s="2859"/>
      <c r="EL27" s="2859"/>
      <c r="EM27" s="2859"/>
      <c r="EN27" s="2859"/>
      <c r="EO27" s="2859"/>
      <c r="EP27" s="2952"/>
      <c r="EQ27" s="2312"/>
      <c r="ER27" s="2309"/>
      <c r="HK27" s="2327"/>
      <c r="HL27" s="2312"/>
    </row>
    <row r="28" spans="2:220" ht="7.5" customHeight="1">
      <c r="B28" s="2309"/>
      <c r="C28" s="2796"/>
      <c r="D28" s="2797"/>
      <c r="E28" s="2797"/>
      <c r="F28" s="2797"/>
      <c r="G28" s="2797"/>
      <c r="H28" s="2797"/>
      <c r="I28" s="2798"/>
      <c r="K28" s="3114"/>
      <c r="L28" s="3112"/>
      <c r="M28" s="3112"/>
      <c r="N28" s="3113"/>
      <c r="O28" s="2764"/>
      <c r="P28" s="2764"/>
      <c r="Q28" s="2764"/>
      <c r="R28" s="2764"/>
      <c r="S28" s="2764"/>
      <c r="T28" s="2764"/>
      <c r="U28" s="2764"/>
      <c r="V28" s="2764"/>
      <c r="W28" s="2765"/>
      <c r="Y28" s="2796"/>
      <c r="Z28" s="2797"/>
      <c r="AA28" s="2797"/>
      <c r="AB28" s="2797"/>
      <c r="AC28" s="2797"/>
      <c r="AD28" s="2797"/>
      <c r="AE28" s="2797"/>
      <c r="AF28" s="2797"/>
      <c r="AG28" s="2797"/>
      <c r="AH28" s="2797"/>
      <c r="AI28" s="2797"/>
      <c r="AJ28" s="2797"/>
      <c r="AK28" s="2797"/>
      <c r="AL28" s="2797"/>
      <c r="AM28" s="2797"/>
      <c r="AN28" s="2798"/>
      <c r="AP28" s="2988">
        <v>5</v>
      </c>
      <c r="AQ28" s="2794"/>
      <c r="AR28" s="2794"/>
      <c r="AS28" s="2989"/>
      <c r="AT28" s="2990"/>
      <c r="AU28" s="2990"/>
      <c r="AV28" s="2990"/>
      <c r="AW28" s="2990"/>
      <c r="AX28" s="2990"/>
      <c r="AY28" s="2990"/>
      <c r="AZ28" s="2990"/>
      <c r="BA28" s="2990"/>
      <c r="BB28" s="2990"/>
      <c r="BC28" s="2990"/>
      <c r="BD28" s="2990"/>
      <c r="BE28" s="2990"/>
      <c r="BF28" s="2990"/>
      <c r="BG28" s="2990"/>
      <c r="BH28" s="2990"/>
      <c r="BI28" s="2990"/>
      <c r="BJ28" s="2990"/>
      <c r="BK28" s="2990"/>
      <c r="BL28" s="2990"/>
      <c r="BM28" s="2990"/>
      <c r="BN28" s="2990"/>
      <c r="BO28" s="2990"/>
      <c r="BP28" s="2990"/>
      <c r="BQ28" s="2990"/>
      <c r="BR28" s="2990"/>
      <c r="BS28" s="2990"/>
      <c r="BT28" s="2990"/>
      <c r="BU28" s="2991"/>
      <c r="BV28" s="2312"/>
      <c r="BX28" s="3063"/>
      <c r="BY28" s="3063"/>
      <c r="BZ28" s="3063"/>
      <c r="CA28" s="3063"/>
      <c r="CB28" s="3063"/>
      <c r="CC28" s="3063"/>
      <c r="CD28" s="3063"/>
      <c r="CE28" s="3063"/>
      <c r="CF28" s="3063"/>
      <c r="CG28" s="3063"/>
      <c r="CH28" s="3063"/>
      <c r="CI28" s="3063"/>
      <c r="CJ28" s="3063"/>
      <c r="CK28" s="3063"/>
      <c r="CL28" s="3063"/>
      <c r="CM28" s="3063"/>
      <c r="CN28" s="3063"/>
      <c r="CO28" s="3063"/>
      <c r="CP28" s="3102"/>
      <c r="CR28" s="2883"/>
      <c r="CS28" s="2767"/>
      <c r="CT28" s="2767"/>
      <c r="CU28" s="2767"/>
      <c r="CV28" s="2767"/>
      <c r="CW28" s="2767"/>
      <c r="CX28" s="2767"/>
      <c r="CY28" s="2767"/>
      <c r="CZ28" s="2767"/>
      <c r="DA28" s="2767"/>
      <c r="DB28" s="2767"/>
      <c r="DC28" s="2767"/>
      <c r="DD28" s="2767"/>
      <c r="DE28" s="2767"/>
      <c r="DF28" s="2767"/>
      <c r="DG28" s="2767"/>
      <c r="DH28" s="2767"/>
      <c r="DI28" s="2767"/>
      <c r="DJ28" s="2767"/>
      <c r="DK28" s="2767"/>
      <c r="DL28" s="2767"/>
      <c r="DM28" s="2767"/>
      <c r="DN28" s="2767"/>
      <c r="DO28" s="2767"/>
      <c r="DP28" s="2767"/>
      <c r="DQ28" s="2767"/>
      <c r="DR28" s="2767"/>
      <c r="DS28" s="2767"/>
      <c r="DT28" s="2767"/>
      <c r="DU28" s="2767"/>
      <c r="DV28" s="2767"/>
      <c r="DW28" s="2884"/>
      <c r="DY28" s="2951"/>
      <c r="DZ28" s="2859"/>
      <c r="EA28" s="2859"/>
      <c r="EB28" s="2859"/>
      <c r="EC28" s="2859"/>
      <c r="ED28" s="2859"/>
      <c r="EE28" s="2859"/>
      <c r="EF28" s="2859"/>
      <c r="EG28" s="2859"/>
      <c r="EH28" s="2859"/>
      <c r="EI28" s="2859"/>
      <c r="EJ28" s="2859"/>
      <c r="EK28" s="2859"/>
      <c r="EL28" s="2859"/>
      <c r="EM28" s="2859"/>
      <c r="EN28" s="2859"/>
      <c r="EO28" s="2859"/>
      <c r="EP28" s="2952"/>
      <c r="EQ28" s="2312"/>
      <c r="ER28" s="2309"/>
      <c r="HK28" s="2328"/>
      <c r="HL28" s="2312"/>
    </row>
    <row r="29" spans="2:220" ht="7.5" customHeight="1">
      <c r="B29" s="2309"/>
      <c r="C29" s="2796"/>
      <c r="D29" s="2797"/>
      <c r="E29" s="2797"/>
      <c r="F29" s="2797"/>
      <c r="G29" s="2797"/>
      <c r="H29" s="2797"/>
      <c r="I29" s="2798"/>
      <c r="K29" s="3105">
        <f>[1]ABILITIES!$T$28</f>
        <v>3</v>
      </c>
      <c r="L29" s="3106"/>
      <c r="M29" s="3106"/>
      <c r="N29" s="3107"/>
      <c r="O29" s="3108" t="s">
        <v>10331</v>
      </c>
      <c r="P29" s="3108"/>
      <c r="Q29" s="3108"/>
      <c r="R29" s="3108"/>
      <c r="S29" s="3108"/>
      <c r="T29" s="3108"/>
      <c r="U29" s="3108"/>
      <c r="V29" s="3108"/>
      <c r="W29" s="3109"/>
      <c r="Y29" s="3101"/>
      <c r="Z29" s="2794"/>
      <c r="AA29" s="2794"/>
      <c r="AB29" s="2794"/>
      <c r="AC29" s="2794"/>
      <c r="AD29" s="2794"/>
      <c r="AE29" s="2794"/>
      <c r="AF29" s="2794"/>
      <c r="AG29" s="2794"/>
      <c r="AH29" s="2794"/>
      <c r="AI29" s="2794"/>
      <c r="AJ29" s="2794"/>
      <c r="AK29" s="2794"/>
      <c r="AL29" s="2794"/>
      <c r="AM29" s="2794"/>
      <c r="AN29" s="2795"/>
      <c r="AO29" s="2316"/>
      <c r="AP29" s="2799"/>
      <c r="AQ29" s="2800"/>
      <c r="AR29" s="2800"/>
      <c r="AS29" s="2989"/>
      <c r="AT29" s="2990"/>
      <c r="AU29" s="2990"/>
      <c r="AV29" s="2990"/>
      <c r="AW29" s="2990"/>
      <c r="AX29" s="2990"/>
      <c r="AY29" s="2990"/>
      <c r="AZ29" s="2990"/>
      <c r="BA29" s="2990"/>
      <c r="BB29" s="2990"/>
      <c r="BC29" s="2990"/>
      <c r="BD29" s="2990"/>
      <c r="BE29" s="2990"/>
      <c r="BF29" s="2990"/>
      <c r="BG29" s="2990"/>
      <c r="BH29" s="2990"/>
      <c r="BI29" s="2990"/>
      <c r="BJ29" s="2990"/>
      <c r="BK29" s="2990"/>
      <c r="BL29" s="2990"/>
      <c r="BM29" s="2990"/>
      <c r="BN29" s="2990"/>
      <c r="BO29" s="2990"/>
      <c r="BP29" s="2990"/>
      <c r="BQ29" s="2990"/>
      <c r="BR29" s="2990"/>
      <c r="BS29" s="2990"/>
      <c r="BT29" s="2990"/>
      <c r="BU29" s="2991"/>
      <c r="BV29" s="2312"/>
      <c r="BX29" s="3062" t="str">
        <f>IFERROR(#REF!,"")</f>
        <v/>
      </c>
      <c r="BY29" s="3063"/>
      <c r="BZ29" s="3063"/>
      <c r="CA29" s="3063"/>
      <c r="CB29" s="3063"/>
      <c r="CC29" s="3063"/>
      <c r="CD29" s="3063"/>
      <c r="CE29" s="3063"/>
      <c r="CF29" s="3063"/>
      <c r="CG29" s="3063"/>
      <c r="CH29" s="3063"/>
      <c r="CI29" s="3063"/>
      <c r="CJ29" s="3063"/>
      <c r="CK29" s="3063"/>
      <c r="CL29" s="3063"/>
      <c r="CM29" s="3063"/>
      <c r="CN29" s="3063"/>
      <c r="CO29" s="3063"/>
      <c r="CP29" s="3102"/>
      <c r="CR29" s="2885"/>
      <c r="CS29" s="2768"/>
      <c r="CT29" s="2768"/>
      <c r="CU29" s="2768"/>
      <c r="CV29" s="2768"/>
      <c r="CW29" s="2768"/>
      <c r="CX29" s="2768"/>
      <c r="CY29" s="2768"/>
      <c r="CZ29" s="2768"/>
      <c r="DA29" s="2768"/>
      <c r="DB29" s="2768"/>
      <c r="DC29" s="2768"/>
      <c r="DD29" s="2768"/>
      <c r="DE29" s="2768"/>
      <c r="DF29" s="2768"/>
      <c r="DG29" s="2768"/>
      <c r="DH29" s="2768"/>
      <c r="DI29" s="2768"/>
      <c r="DJ29" s="2768"/>
      <c r="DK29" s="2768"/>
      <c r="DL29" s="2768"/>
      <c r="DM29" s="2768"/>
      <c r="DN29" s="2768"/>
      <c r="DO29" s="2768"/>
      <c r="DP29" s="2768"/>
      <c r="DQ29" s="2768"/>
      <c r="DR29" s="2768"/>
      <c r="DS29" s="2768"/>
      <c r="DT29" s="2768"/>
      <c r="DU29" s="2768"/>
      <c r="DV29" s="2768"/>
      <c r="DW29" s="2886"/>
      <c r="DY29" s="2953"/>
      <c r="DZ29" s="2860"/>
      <c r="EA29" s="2860"/>
      <c r="EB29" s="2860"/>
      <c r="EC29" s="2860"/>
      <c r="ED29" s="2860"/>
      <c r="EE29" s="2860"/>
      <c r="EF29" s="2860"/>
      <c r="EG29" s="2860"/>
      <c r="EH29" s="2860"/>
      <c r="EI29" s="2860"/>
      <c r="EJ29" s="2860"/>
      <c r="EK29" s="2860"/>
      <c r="EL29" s="2860"/>
      <c r="EM29" s="2860"/>
      <c r="EN29" s="2860"/>
      <c r="EO29" s="2860"/>
      <c r="EP29" s="2954"/>
      <c r="EQ29" s="2312"/>
      <c r="ER29" s="2309"/>
      <c r="HK29" s="2328"/>
      <c r="HL29" s="2312"/>
    </row>
    <row r="30" spans="2:220" ht="7.5" customHeight="1">
      <c r="B30" s="2309"/>
      <c r="C30" s="2799"/>
      <c r="D30" s="2800"/>
      <c r="E30" s="2800"/>
      <c r="F30" s="2800"/>
      <c r="G30" s="2800"/>
      <c r="H30" s="2800"/>
      <c r="I30" s="2801"/>
      <c r="K30" s="3105"/>
      <c r="L30" s="3106"/>
      <c r="M30" s="3106"/>
      <c r="N30" s="3107"/>
      <c r="O30" s="3110"/>
      <c r="P30" s="3110"/>
      <c r="Q30" s="3110"/>
      <c r="R30" s="3110"/>
      <c r="S30" s="3110"/>
      <c r="T30" s="3110"/>
      <c r="U30" s="3110"/>
      <c r="V30" s="3110"/>
      <c r="W30" s="3111"/>
      <c r="Y30" s="2796"/>
      <c r="Z30" s="2797"/>
      <c r="AA30" s="2797"/>
      <c r="AB30" s="2797"/>
      <c r="AC30" s="2797"/>
      <c r="AD30" s="2797"/>
      <c r="AE30" s="2797"/>
      <c r="AF30" s="2797"/>
      <c r="AG30" s="2797"/>
      <c r="AH30" s="2797"/>
      <c r="AI30" s="2797"/>
      <c r="AJ30" s="2797"/>
      <c r="AK30" s="2797"/>
      <c r="AL30" s="2797"/>
      <c r="AM30" s="2797"/>
      <c r="AN30" s="2798"/>
      <c r="AO30" s="2316"/>
      <c r="AP30" s="2988">
        <v>6</v>
      </c>
      <c r="AQ30" s="2794"/>
      <c r="AR30" s="2794"/>
      <c r="AS30" s="2989"/>
      <c r="AT30" s="2990"/>
      <c r="AU30" s="2990"/>
      <c r="AV30" s="2990"/>
      <c r="AW30" s="2990"/>
      <c r="AX30" s="2990"/>
      <c r="AY30" s="2990"/>
      <c r="AZ30" s="2990"/>
      <c r="BA30" s="2990"/>
      <c r="BB30" s="2990"/>
      <c r="BC30" s="2990"/>
      <c r="BD30" s="2990"/>
      <c r="BE30" s="2990"/>
      <c r="BF30" s="2990"/>
      <c r="BG30" s="2990"/>
      <c r="BH30" s="2990"/>
      <c r="BI30" s="2990"/>
      <c r="BJ30" s="2990"/>
      <c r="BK30" s="2990"/>
      <c r="BL30" s="2990"/>
      <c r="BM30" s="2990"/>
      <c r="BN30" s="2990"/>
      <c r="BO30" s="2990"/>
      <c r="BP30" s="2990"/>
      <c r="BQ30" s="2990"/>
      <c r="BR30" s="2990"/>
      <c r="BS30" s="2990"/>
      <c r="BT30" s="2990"/>
      <c r="BU30" s="2991"/>
      <c r="BV30" s="2312"/>
      <c r="BX30" s="3063"/>
      <c r="BY30" s="3063"/>
      <c r="BZ30" s="3063"/>
      <c r="CA30" s="3063"/>
      <c r="CB30" s="3063"/>
      <c r="CC30" s="3063"/>
      <c r="CD30" s="3063"/>
      <c r="CE30" s="3063"/>
      <c r="CF30" s="3063"/>
      <c r="CG30" s="3063"/>
      <c r="CH30" s="3063"/>
      <c r="CI30" s="3063"/>
      <c r="CJ30" s="3063"/>
      <c r="CK30" s="3063"/>
      <c r="CL30" s="3063"/>
      <c r="CM30" s="3063"/>
      <c r="CN30" s="3063"/>
      <c r="CO30" s="3063"/>
      <c r="CP30" s="3102"/>
      <c r="CR30" s="3103" t="e">
        <f>IF(#REF!=13,[1]CLASS!O89,"")</f>
        <v>#REF!</v>
      </c>
      <c r="CS30" s="2845"/>
      <c r="CT30" s="2845"/>
      <c r="CU30" s="2845"/>
      <c r="CV30" s="2845"/>
      <c r="CW30" s="2845"/>
      <c r="CX30" s="2845"/>
      <c r="CY30" s="2845"/>
      <c r="CZ30" s="2845"/>
      <c r="DA30" s="2845"/>
      <c r="DB30" s="2845"/>
      <c r="DC30" s="2845"/>
      <c r="DD30" s="2845"/>
      <c r="DE30" s="2845"/>
      <c r="DF30" s="2845"/>
      <c r="DG30" s="2845"/>
      <c r="DH30" s="2845"/>
      <c r="DI30" s="2845"/>
      <c r="DJ30" s="2845"/>
      <c r="DK30" s="2845"/>
      <c r="DL30" s="2845"/>
      <c r="DM30" s="2845"/>
      <c r="DN30" s="2845"/>
      <c r="DO30" s="2845"/>
      <c r="DP30" s="2845"/>
      <c r="DQ30" s="2845"/>
      <c r="DR30" s="2845"/>
      <c r="DS30" s="2845"/>
      <c r="DT30" s="2845"/>
      <c r="DU30" s="2845"/>
      <c r="DV30" s="2845"/>
      <c r="DW30" s="2882"/>
      <c r="EQ30" s="2312"/>
      <c r="ER30" s="2309"/>
      <c r="HK30" s="2328"/>
      <c r="HL30" s="2312"/>
    </row>
    <row r="31" spans="2:220" ht="7.5" customHeight="1">
      <c r="B31" s="2309"/>
      <c r="C31" s="2946">
        <f>VLOOKUP(C27,[1]ABILITIES!$Z$3:$AA$24,2)</f>
        <v>3</v>
      </c>
      <c r="D31" s="2946"/>
      <c r="E31" s="2946"/>
      <c r="F31" s="2946"/>
      <c r="G31" s="2946"/>
      <c r="H31" s="2946"/>
      <c r="I31" s="2946"/>
      <c r="K31" s="3105">
        <f>[1]ABILITIES!$T$29</f>
        <v>2</v>
      </c>
      <c r="L31" s="3106"/>
      <c r="M31" s="3106"/>
      <c r="N31" s="3107"/>
      <c r="O31" s="3108" t="s">
        <v>10332</v>
      </c>
      <c r="P31" s="3108"/>
      <c r="Q31" s="3108"/>
      <c r="R31" s="3108"/>
      <c r="S31" s="3108"/>
      <c r="T31" s="3108"/>
      <c r="U31" s="3108"/>
      <c r="V31" s="3108"/>
      <c r="W31" s="3109"/>
      <c r="Y31" s="2796"/>
      <c r="Z31" s="2797"/>
      <c r="AA31" s="2797"/>
      <c r="AB31" s="2797"/>
      <c r="AC31" s="2797"/>
      <c r="AD31" s="2797"/>
      <c r="AE31" s="2797"/>
      <c r="AF31" s="2797"/>
      <c r="AG31" s="2797"/>
      <c r="AH31" s="2797"/>
      <c r="AI31" s="2797"/>
      <c r="AJ31" s="2797"/>
      <c r="AK31" s="2797"/>
      <c r="AL31" s="2797"/>
      <c r="AM31" s="2797"/>
      <c r="AN31" s="2798"/>
      <c r="AO31" s="2329"/>
      <c r="AP31" s="2799"/>
      <c r="AQ31" s="2800"/>
      <c r="AR31" s="2800"/>
      <c r="AS31" s="2989"/>
      <c r="AT31" s="2990"/>
      <c r="AU31" s="2990"/>
      <c r="AV31" s="2990"/>
      <c r="AW31" s="2990"/>
      <c r="AX31" s="2990"/>
      <c r="AY31" s="2990"/>
      <c r="AZ31" s="2990"/>
      <c r="BA31" s="2990"/>
      <c r="BB31" s="2990"/>
      <c r="BC31" s="2990"/>
      <c r="BD31" s="2990"/>
      <c r="BE31" s="2990"/>
      <c r="BF31" s="2990"/>
      <c r="BG31" s="2990"/>
      <c r="BH31" s="2990"/>
      <c r="BI31" s="2990"/>
      <c r="BJ31" s="2990"/>
      <c r="BK31" s="2990"/>
      <c r="BL31" s="2990"/>
      <c r="BM31" s="2990"/>
      <c r="BN31" s="2990"/>
      <c r="BO31" s="2990"/>
      <c r="BP31" s="2990"/>
      <c r="BQ31" s="2990"/>
      <c r="BR31" s="2990"/>
      <c r="BS31" s="2990"/>
      <c r="BT31" s="2990"/>
      <c r="BU31" s="2991"/>
      <c r="BV31" s="2312"/>
      <c r="BX31" s="3062" t="str">
        <f>IFERROR(#REF!,"")</f>
        <v/>
      </c>
      <c r="BY31" s="3063"/>
      <c r="BZ31" s="3063"/>
      <c r="CA31" s="3063"/>
      <c r="CB31" s="3063"/>
      <c r="CC31" s="3063"/>
      <c r="CD31" s="3063"/>
      <c r="CE31" s="3063"/>
      <c r="CF31" s="3063"/>
      <c r="CG31" s="3063"/>
      <c r="CH31" s="3063"/>
      <c r="CI31" s="3063"/>
      <c r="CJ31" s="3063"/>
      <c r="CK31" s="3063"/>
      <c r="CL31" s="3063"/>
      <c r="CM31" s="3063"/>
      <c r="CN31" s="3063"/>
      <c r="CO31" s="3063"/>
      <c r="CP31" s="3064"/>
      <c r="CQ31" s="2319"/>
      <c r="CR31" s="2883"/>
      <c r="CS31" s="2767"/>
      <c r="CT31" s="2767"/>
      <c r="CU31" s="2767"/>
      <c r="CV31" s="2767"/>
      <c r="CW31" s="2767"/>
      <c r="CX31" s="2767"/>
      <c r="CY31" s="2767"/>
      <c r="CZ31" s="2767"/>
      <c r="DA31" s="2767"/>
      <c r="DB31" s="2767"/>
      <c r="DC31" s="2767"/>
      <c r="DD31" s="2767"/>
      <c r="DE31" s="2767"/>
      <c r="DF31" s="2767"/>
      <c r="DG31" s="2767"/>
      <c r="DH31" s="2767"/>
      <c r="DI31" s="2767"/>
      <c r="DJ31" s="2767"/>
      <c r="DK31" s="2767"/>
      <c r="DL31" s="2767"/>
      <c r="DM31" s="2767"/>
      <c r="DN31" s="2767"/>
      <c r="DO31" s="2767"/>
      <c r="DP31" s="2767"/>
      <c r="DQ31" s="2767"/>
      <c r="DR31" s="2767"/>
      <c r="DS31" s="2767"/>
      <c r="DT31" s="2767"/>
      <c r="DU31" s="2767"/>
      <c r="DV31" s="2767"/>
      <c r="DW31" s="2884"/>
      <c r="DY31" s="2965" t="e">
        <f>IF(#REF!="Mystic","MYSTIC TALENTS","")</f>
        <v>#REF!</v>
      </c>
      <c r="DZ31" s="2797"/>
      <c r="EA31" s="2797"/>
      <c r="EB31" s="2797"/>
      <c r="EC31" s="2797"/>
      <c r="ED31" s="2797"/>
      <c r="EE31" s="2797"/>
      <c r="EF31" s="2797"/>
      <c r="EG31" s="2797"/>
      <c r="EH31" s="2797"/>
      <c r="EI31" s="2797"/>
      <c r="EJ31" s="2797"/>
      <c r="EK31" s="2797"/>
      <c r="EL31" s="2797"/>
      <c r="EM31" s="2797"/>
      <c r="EN31" s="2797"/>
      <c r="EO31" s="2797"/>
      <c r="EP31" s="2797"/>
      <c r="EQ31" s="2312"/>
      <c r="ER31" s="2309"/>
      <c r="HL31" s="2312"/>
    </row>
    <row r="32" spans="2:220" ht="7.5" customHeight="1">
      <c r="B32" s="2309"/>
      <c r="C32" s="2946"/>
      <c r="D32" s="2946"/>
      <c r="E32" s="2946"/>
      <c r="F32" s="2946"/>
      <c r="G32" s="2946"/>
      <c r="H32" s="2946"/>
      <c r="I32" s="2946"/>
      <c r="K32" s="3105"/>
      <c r="L32" s="3106"/>
      <c r="M32" s="3106"/>
      <c r="N32" s="3107"/>
      <c r="O32" s="3110"/>
      <c r="P32" s="3110"/>
      <c r="Q32" s="3110"/>
      <c r="R32" s="3110"/>
      <c r="S32" s="3110"/>
      <c r="T32" s="3110"/>
      <c r="U32" s="3110"/>
      <c r="V32" s="3110"/>
      <c r="W32" s="3111"/>
      <c r="Y32" s="2799"/>
      <c r="Z32" s="2800"/>
      <c r="AA32" s="2800"/>
      <c r="AB32" s="2800"/>
      <c r="AC32" s="2800"/>
      <c r="AD32" s="2800"/>
      <c r="AE32" s="2800"/>
      <c r="AF32" s="2800"/>
      <c r="AG32" s="2800"/>
      <c r="AH32" s="2800"/>
      <c r="AI32" s="2800"/>
      <c r="AJ32" s="2800"/>
      <c r="AK32" s="2800"/>
      <c r="AL32" s="2800"/>
      <c r="AM32" s="2800"/>
      <c r="AN32" s="2801"/>
      <c r="AO32" s="2329"/>
      <c r="AP32" s="2988">
        <v>7</v>
      </c>
      <c r="AQ32" s="2794"/>
      <c r="AR32" s="2794"/>
      <c r="AS32" s="2989"/>
      <c r="AT32" s="2990"/>
      <c r="AU32" s="2990"/>
      <c r="AV32" s="2990"/>
      <c r="AW32" s="2990"/>
      <c r="AX32" s="2990"/>
      <c r="AY32" s="2990"/>
      <c r="AZ32" s="2990"/>
      <c r="BA32" s="2990"/>
      <c r="BB32" s="2990"/>
      <c r="BC32" s="2990"/>
      <c r="BD32" s="2990"/>
      <c r="BE32" s="2990"/>
      <c r="BF32" s="2990"/>
      <c r="BG32" s="2990"/>
      <c r="BH32" s="2990"/>
      <c r="BI32" s="2990"/>
      <c r="BJ32" s="2990"/>
      <c r="BK32" s="2990"/>
      <c r="BL32" s="2990"/>
      <c r="BM32" s="2990"/>
      <c r="BN32" s="2990"/>
      <c r="BO32" s="2990"/>
      <c r="BP32" s="2990"/>
      <c r="BQ32" s="2990"/>
      <c r="BR32" s="2990"/>
      <c r="BS32" s="2990"/>
      <c r="BT32" s="2990"/>
      <c r="BU32" s="2991"/>
      <c r="BV32" s="2312"/>
      <c r="BX32" s="3063"/>
      <c r="BY32" s="3063"/>
      <c r="BZ32" s="3063"/>
      <c r="CA32" s="3063"/>
      <c r="CB32" s="3063"/>
      <c r="CC32" s="3063"/>
      <c r="CD32" s="3063"/>
      <c r="CE32" s="3063"/>
      <c r="CF32" s="3063"/>
      <c r="CG32" s="3063"/>
      <c r="CH32" s="3063"/>
      <c r="CI32" s="3063"/>
      <c r="CJ32" s="3063"/>
      <c r="CK32" s="3063"/>
      <c r="CL32" s="3063"/>
      <c r="CM32" s="3063"/>
      <c r="CN32" s="3063"/>
      <c r="CO32" s="3063"/>
      <c r="CP32" s="3064"/>
      <c r="CR32" s="2885"/>
      <c r="CS32" s="2768"/>
      <c r="CT32" s="2768"/>
      <c r="CU32" s="2768"/>
      <c r="CV32" s="2768"/>
      <c r="CW32" s="2768"/>
      <c r="CX32" s="2768"/>
      <c r="CY32" s="2768"/>
      <c r="CZ32" s="2768"/>
      <c r="DA32" s="2768"/>
      <c r="DB32" s="2768"/>
      <c r="DC32" s="2768"/>
      <c r="DD32" s="2768"/>
      <c r="DE32" s="2768"/>
      <c r="DF32" s="2768"/>
      <c r="DG32" s="2768"/>
      <c r="DH32" s="2768"/>
      <c r="DI32" s="2768"/>
      <c r="DJ32" s="2768"/>
      <c r="DK32" s="2768"/>
      <c r="DL32" s="2768"/>
      <c r="DM32" s="2768"/>
      <c r="DN32" s="2768"/>
      <c r="DO32" s="2768"/>
      <c r="DP32" s="2768"/>
      <c r="DQ32" s="2768"/>
      <c r="DR32" s="2768"/>
      <c r="DS32" s="2768"/>
      <c r="DT32" s="2768"/>
      <c r="DU32" s="2768"/>
      <c r="DV32" s="2768"/>
      <c r="DW32" s="2886"/>
      <c r="DY32" s="2800"/>
      <c r="DZ32" s="2800"/>
      <c r="EA32" s="2800"/>
      <c r="EB32" s="2800"/>
      <c r="EC32" s="2800"/>
      <c r="ED32" s="2800"/>
      <c r="EE32" s="2800"/>
      <c r="EF32" s="2800"/>
      <c r="EG32" s="2800"/>
      <c r="EH32" s="2800"/>
      <c r="EI32" s="2800"/>
      <c r="EJ32" s="2800"/>
      <c r="EK32" s="2800"/>
      <c r="EL32" s="2800"/>
      <c r="EM32" s="2800"/>
      <c r="EN32" s="2800"/>
      <c r="EO32" s="2800"/>
      <c r="EP32" s="2800"/>
      <c r="EQ32" s="2312"/>
      <c r="ER32" s="2309"/>
      <c r="EU32" s="2323"/>
      <c r="EV32" s="2323"/>
      <c r="EW32" s="2323"/>
      <c r="EX32" s="2323"/>
      <c r="EY32" s="2323"/>
      <c r="EZ32" s="2323"/>
      <c r="FA32" s="2323"/>
      <c r="FB32" s="2323"/>
      <c r="FC32" s="2323"/>
      <c r="FD32" s="2323"/>
      <c r="FE32" s="2323"/>
      <c r="FF32" s="2323"/>
      <c r="FG32" s="2324"/>
      <c r="FH32" s="2324"/>
      <c r="FI32" s="2324"/>
      <c r="FJ32" s="2324"/>
      <c r="FK32" s="2324"/>
      <c r="FL32" s="2324"/>
      <c r="FM32" s="2324"/>
      <c r="FN32" s="2324"/>
      <c r="FO32" s="2324"/>
      <c r="FP32" s="2324"/>
      <c r="FQ32" s="2324"/>
      <c r="FR32" s="2324"/>
      <c r="FS32" s="2324"/>
      <c r="FT32" s="2324"/>
      <c r="FU32" s="2324"/>
      <c r="FV32" s="2324"/>
      <c r="FW32" s="2323"/>
      <c r="FX32" s="2323"/>
      <c r="FY32" s="2323"/>
      <c r="FZ32" s="2323"/>
      <c r="GA32" s="2323"/>
      <c r="GB32" s="2323"/>
      <c r="GC32" s="2323"/>
      <c r="GD32" s="2323"/>
      <c r="GE32" s="2323"/>
      <c r="GF32" s="2323"/>
      <c r="GG32" s="2323"/>
      <c r="GH32" s="2323"/>
      <c r="GI32" s="2323"/>
      <c r="GJ32" s="2323"/>
      <c r="GK32" s="2323"/>
      <c r="GL32" s="2323"/>
      <c r="GM32" s="2323"/>
      <c r="GN32" s="2323"/>
      <c r="GO32" s="2323"/>
      <c r="GP32" s="2323"/>
      <c r="GQ32" s="2323"/>
      <c r="GR32" s="2323"/>
      <c r="GS32" s="2323"/>
      <c r="GT32" s="2323"/>
      <c r="GU32" s="2323"/>
      <c r="GV32" s="2323"/>
      <c r="GW32" s="2323"/>
      <c r="GX32" s="2323"/>
      <c r="GY32" s="2323"/>
      <c r="GZ32" s="2323"/>
      <c r="HA32" s="2323"/>
      <c r="HB32" s="2323"/>
      <c r="HC32" s="2323"/>
      <c r="HD32" s="2323"/>
      <c r="HE32" s="2323"/>
      <c r="HF32" s="2323"/>
      <c r="HG32" s="2323"/>
      <c r="HH32" s="2323"/>
      <c r="HI32" s="2323"/>
      <c r="HL32" s="2312"/>
    </row>
    <row r="33" spans="2:220" ht="7.5" customHeight="1">
      <c r="B33" s="2309"/>
      <c r="Y33" s="3098" t="s">
        <v>10333</v>
      </c>
      <c r="Z33" s="3003"/>
      <c r="AA33" s="3003"/>
      <c r="AB33" s="3003"/>
      <c r="AC33" s="3003"/>
      <c r="AD33" s="3003"/>
      <c r="AE33" s="3003"/>
      <c r="AF33" s="3003"/>
      <c r="AG33" s="3100"/>
      <c r="AH33" s="2794"/>
      <c r="AI33" s="2794"/>
      <c r="AJ33" s="2794"/>
      <c r="AK33" s="2794"/>
      <c r="AL33" s="2794"/>
      <c r="AM33" s="2794"/>
      <c r="AN33" s="2795"/>
      <c r="AO33" s="2329"/>
      <c r="AP33" s="2799"/>
      <c r="AQ33" s="2800"/>
      <c r="AR33" s="2800"/>
      <c r="AS33" s="2989"/>
      <c r="AT33" s="2990"/>
      <c r="AU33" s="2990"/>
      <c r="AV33" s="2990"/>
      <c r="AW33" s="2990"/>
      <c r="AX33" s="2990"/>
      <c r="AY33" s="2990"/>
      <c r="AZ33" s="2990"/>
      <c r="BA33" s="2990"/>
      <c r="BB33" s="2990"/>
      <c r="BC33" s="2990"/>
      <c r="BD33" s="2990"/>
      <c r="BE33" s="2990"/>
      <c r="BF33" s="2990"/>
      <c r="BG33" s="2990"/>
      <c r="BH33" s="2990"/>
      <c r="BI33" s="2990"/>
      <c r="BJ33" s="2990"/>
      <c r="BK33" s="2990"/>
      <c r="BL33" s="2990"/>
      <c r="BM33" s="2990"/>
      <c r="BN33" s="2990"/>
      <c r="BO33" s="2990"/>
      <c r="BP33" s="2990"/>
      <c r="BQ33" s="2990"/>
      <c r="BR33" s="2990"/>
      <c r="BS33" s="2990"/>
      <c r="BT33" s="2990"/>
      <c r="BU33" s="2991"/>
      <c r="BV33" s="2312"/>
      <c r="BX33" s="3062" t="str">
        <f>IFERROR(#REF!,"")</f>
        <v/>
      </c>
      <c r="BY33" s="3063"/>
      <c r="BZ33" s="3063"/>
      <c r="CA33" s="3063"/>
      <c r="CB33" s="3063"/>
      <c r="CC33" s="3063"/>
      <c r="CD33" s="3063"/>
      <c r="CE33" s="3063"/>
      <c r="CF33" s="3063"/>
      <c r="CG33" s="3063"/>
      <c r="CH33" s="3063"/>
      <c r="CI33" s="3063"/>
      <c r="CJ33" s="3063"/>
      <c r="CK33" s="3063"/>
      <c r="CL33" s="3063"/>
      <c r="CM33" s="3063"/>
      <c r="CN33" s="3063"/>
      <c r="CO33" s="3063"/>
      <c r="CP33" s="3064"/>
      <c r="DK33" s="57"/>
      <c r="DY33" s="3080" t="e">
        <f>IF(#REF!="Mystic",[1]CLASS!G371,"")</f>
        <v>#REF!</v>
      </c>
      <c r="DZ33" s="3066"/>
      <c r="EA33" s="3066"/>
      <c r="EB33" s="3066"/>
      <c r="EC33" s="3066"/>
      <c r="ED33" s="3066"/>
      <c r="EE33" s="3066"/>
      <c r="EF33" s="3066"/>
      <c r="EG33" s="3066"/>
      <c r="EH33" s="3066"/>
      <c r="EI33" s="3066"/>
      <c r="EJ33" s="3066"/>
      <c r="EK33" s="3066"/>
      <c r="EL33" s="3066"/>
      <c r="EM33" s="3066"/>
      <c r="EN33" s="3066"/>
      <c r="EO33" s="3066"/>
      <c r="EP33" s="3067"/>
      <c r="EQ33" s="1297"/>
      <c r="ER33" s="2309"/>
      <c r="HL33" s="2312"/>
    </row>
    <row r="34" spans="2:220" ht="7.5" customHeight="1">
      <c r="B34" s="2309"/>
      <c r="C34" s="3059" t="s">
        <v>10334</v>
      </c>
      <c r="D34" s="3060"/>
      <c r="E34" s="3060"/>
      <c r="F34" s="3060"/>
      <c r="G34" s="3060"/>
      <c r="H34" s="3060"/>
      <c r="I34" s="3060"/>
      <c r="K34" s="2887" t="s">
        <v>7016</v>
      </c>
      <c r="L34" s="2797"/>
      <c r="M34" s="2797"/>
      <c r="N34" s="2797"/>
      <c r="O34" s="2797"/>
      <c r="P34" s="2797"/>
      <c r="Q34" s="2797"/>
      <c r="R34" s="2797"/>
      <c r="S34" s="2797"/>
      <c r="T34" s="2797"/>
      <c r="U34" s="2797"/>
      <c r="V34" s="2797"/>
      <c r="W34" s="2797"/>
      <c r="Y34" s="3099"/>
      <c r="Z34" s="3003"/>
      <c r="AA34" s="3003"/>
      <c r="AB34" s="3003"/>
      <c r="AC34" s="3003"/>
      <c r="AD34" s="3003"/>
      <c r="AE34" s="3003"/>
      <c r="AF34" s="3003"/>
      <c r="AG34" s="2799"/>
      <c r="AH34" s="2800"/>
      <c r="AI34" s="2800"/>
      <c r="AJ34" s="2800"/>
      <c r="AK34" s="2800"/>
      <c r="AL34" s="2800"/>
      <c r="AM34" s="2800"/>
      <c r="AN34" s="2801"/>
      <c r="AO34" s="2329"/>
      <c r="AP34" s="2988">
        <v>8</v>
      </c>
      <c r="AQ34" s="2794"/>
      <c r="AR34" s="2794"/>
      <c r="AS34" s="2989"/>
      <c r="AT34" s="2990"/>
      <c r="AU34" s="2990"/>
      <c r="AV34" s="2990"/>
      <c r="AW34" s="2990"/>
      <c r="AX34" s="2990"/>
      <c r="AY34" s="2990"/>
      <c r="AZ34" s="2990"/>
      <c r="BA34" s="2990"/>
      <c r="BB34" s="2990"/>
      <c r="BC34" s="2990"/>
      <c r="BD34" s="2990"/>
      <c r="BE34" s="2990"/>
      <c r="BF34" s="2990"/>
      <c r="BG34" s="2990"/>
      <c r="BH34" s="2990"/>
      <c r="BI34" s="2990"/>
      <c r="BJ34" s="2990"/>
      <c r="BK34" s="2990"/>
      <c r="BL34" s="2990"/>
      <c r="BM34" s="2990"/>
      <c r="BN34" s="2990"/>
      <c r="BO34" s="2990"/>
      <c r="BP34" s="2990"/>
      <c r="BQ34" s="2990"/>
      <c r="BR34" s="2990"/>
      <c r="BS34" s="2990"/>
      <c r="BT34" s="2990"/>
      <c r="BU34" s="2991"/>
      <c r="BV34" s="2312"/>
      <c r="BX34" s="3063"/>
      <c r="BY34" s="3063"/>
      <c r="BZ34" s="3063"/>
      <c r="CA34" s="3063"/>
      <c r="CB34" s="3063"/>
      <c r="CC34" s="3063"/>
      <c r="CD34" s="3063"/>
      <c r="CE34" s="3063"/>
      <c r="CF34" s="3063"/>
      <c r="CG34" s="3063"/>
      <c r="CH34" s="3063"/>
      <c r="CI34" s="3063"/>
      <c r="CJ34" s="3063"/>
      <c r="CK34" s="3063"/>
      <c r="CL34" s="3063"/>
      <c r="CM34" s="3063"/>
      <c r="CN34" s="3063"/>
      <c r="CO34" s="3063"/>
      <c r="CP34" s="3064"/>
      <c r="CR34" s="2965" t="s">
        <v>7711</v>
      </c>
      <c r="CS34" s="3088"/>
      <c r="CT34" s="3088"/>
      <c r="CU34" s="3088"/>
      <c r="CV34" s="3088"/>
      <c r="CW34" s="3088"/>
      <c r="CX34" s="3088"/>
      <c r="CY34" s="3088"/>
      <c r="CZ34" s="3088"/>
      <c r="DA34" s="3088"/>
      <c r="DB34" s="3088"/>
      <c r="DC34" s="3088"/>
      <c r="DD34" s="3088"/>
      <c r="DE34" s="3088"/>
      <c r="DF34" s="3088"/>
      <c r="DG34" s="3088"/>
      <c r="DH34" s="3088"/>
      <c r="DI34" s="3088"/>
      <c r="DJ34" s="3088"/>
      <c r="DK34" s="3088"/>
      <c r="DL34" s="3088"/>
      <c r="DM34" s="3088"/>
      <c r="DN34" s="3088"/>
      <c r="DO34" s="3088"/>
      <c r="DP34" s="3088"/>
      <c r="DQ34" s="3088"/>
      <c r="DR34" s="3088"/>
      <c r="DS34" s="3088"/>
      <c r="DT34" s="3088"/>
      <c r="DU34" s="3088"/>
      <c r="DV34" s="3088"/>
      <c r="DW34" s="3088"/>
      <c r="DY34" s="3068"/>
      <c r="DZ34" s="3069"/>
      <c r="EA34" s="3069"/>
      <c r="EB34" s="3069"/>
      <c r="EC34" s="3069"/>
      <c r="ED34" s="3069"/>
      <c r="EE34" s="3069"/>
      <c r="EF34" s="3069"/>
      <c r="EG34" s="3069"/>
      <c r="EH34" s="3069"/>
      <c r="EI34" s="3069"/>
      <c r="EJ34" s="3069"/>
      <c r="EK34" s="3069"/>
      <c r="EL34" s="3069"/>
      <c r="EM34" s="3069"/>
      <c r="EN34" s="3069"/>
      <c r="EO34" s="3069"/>
      <c r="EP34" s="3070"/>
      <c r="EQ34" s="2312"/>
      <c r="ER34" s="2309"/>
      <c r="ES34" s="2900" t="s">
        <v>10335</v>
      </c>
      <c r="ET34" s="2794"/>
      <c r="EU34" s="2794"/>
      <c r="EV34" s="2794"/>
      <c r="EW34" s="2794"/>
      <c r="EX34" s="2794"/>
      <c r="EY34" s="2794"/>
      <c r="EZ34" s="2794"/>
      <c r="FA34" s="2794"/>
      <c r="FB34" s="2794"/>
      <c r="FC34" s="2794"/>
      <c r="FD34" s="2794"/>
      <c r="FE34" s="2794"/>
      <c r="FF34" s="2794"/>
      <c r="FG34" s="2794"/>
      <c r="FH34" s="2794"/>
      <c r="FI34" s="2794"/>
      <c r="FJ34" s="2794"/>
      <c r="FK34" s="2794"/>
      <c r="FL34" s="2794"/>
      <c r="FM34" s="2794"/>
      <c r="FN34" s="2794"/>
      <c r="FO34" s="2794"/>
      <c r="FP34" s="2794"/>
      <c r="FQ34" s="2794"/>
      <c r="FR34" s="2794"/>
      <c r="FS34" s="2794"/>
      <c r="FT34" s="2794"/>
      <c r="FU34" s="2794"/>
      <c r="FV34" s="2794"/>
      <c r="FW34" s="2794"/>
      <c r="FX34" s="2794"/>
      <c r="FY34" s="2794"/>
      <c r="FZ34" s="2795"/>
      <c r="GC34" s="2900" t="s">
        <v>10336</v>
      </c>
      <c r="GD34" s="2794"/>
      <c r="GE34" s="2794"/>
      <c r="GF34" s="2794"/>
      <c r="GG34" s="2794"/>
      <c r="GH34" s="2794"/>
      <c r="GI34" s="2794"/>
      <c r="GJ34" s="2794"/>
      <c r="GK34" s="2794"/>
      <c r="GL34" s="2794"/>
      <c r="GM34" s="2794"/>
      <c r="GN34" s="2794"/>
      <c r="GO34" s="2794"/>
      <c r="GP34" s="2794"/>
      <c r="GQ34" s="2794"/>
      <c r="GR34" s="2794"/>
      <c r="GS34" s="2794"/>
      <c r="GT34" s="2794"/>
      <c r="GU34" s="2794"/>
      <c r="GV34" s="2794"/>
      <c r="GW34" s="2794"/>
      <c r="GX34" s="2794"/>
      <c r="GY34" s="2794"/>
      <c r="GZ34" s="2794"/>
      <c r="HA34" s="2794"/>
      <c r="HB34" s="2794"/>
      <c r="HC34" s="2794"/>
      <c r="HD34" s="2794"/>
      <c r="HE34" s="2794"/>
      <c r="HF34" s="2794"/>
      <c r="HG34" s="2794"/>
      <c r="HH34" s="2794"/>
      <c r="HI34" s="2794"/>
      <c r="HJ34" s="2795"/>
      <c r="HL34" s="2312"/>
    </row>
    <row r="35" spans="2:220" ht="7.5" customHeight="1">
      <c r="B35" s="2309"/>
      <c r="C35" s="3061"/>
      <c r="D35" s="3061"/>
      <c r="E35" s="3061"/>
      <c r="F35" s="3061"/>
      <c r="G35" s="3061"/>
      <c r="H35" s="3061"/>
      <c r="I35" s="3061"/>
      <c r="K35" s="2800"/>
      <c r="L35" s="2800"/>
      <c r="M35" s="2800"/>
      <c r="N35" s="2800"/>
      <c r="O35" s="2800"/>
      <c r="P35" s="2800"/>
      <c r="Q35" s="2800"/>
      <c r="R35" s="2800"/>
      <c r="S35" s="2800"/>
      <c r="T35" s="2800"/>
      <c r="U35" s="2800"/>
      <c r="V35" s="2800"/>
      <c r="W35" s="2800"/>
      <c r="Y35" s="2318"/>
      <c r="Z35" s="918"/>
      <c r="AA35" s="918"/>
      <c r="AB35" s="918"/>
      <c r="AC35" s="918"/>
      <c r="AD35" s="918"/>
      <c r="AE35" s="918"/>
      <c r="AF35" s="918"/>
      <c r="AG35" s="918"/>
      <c r="AH35" s="918"/>
      <c r="AI35" s="918"/>
      <c r="AJ35" s="918"/>
      <c r="AK35" s="918"/>
      <c r="AL35" s="918"/>
      <c r="AM35" s="918"/>
      <c r="AN35" s="918"/>
      <c r="AO35" s="2316"/>
      <c r="AP35" s="2799"/>
      <c r="AQ35" s="2800"/>
      <c r="AR35" s="2800"/>
      <c r="AS35" s="2989"/>
      <c r="AT35" s="2990"/>
      <c r="AU35" s="2990"/>
      <c r="AV35" s="2990"/>
      <c r="AW35" s="2990"/>
      <c r="AX35" s="2990"/>
      <c r="AY35" s="2990"/>
      <c r="AZ35" s="2990"/>
      <c r="BA35" s="2990"/>
      <c r="BB35" s="2990"/>
      <c r="BC35" s="2990"/>
      <c r="BD35" s="2990"/>
      <c r="BE35" s="2990"/>
      <c r="BF35" s="2990"/>
      <c r="BG35" s="2990"/>
      <c r="BH35" s="2990"/>
      <c r="BI35" s="2990"/>
      <c r="BJ35" s="2990"/>
      <c r="BK35" s="2990"/>
      <c r="BL35" s="2990"/>
      <c r="BM35" s="2990"/>
      <c r="BN35" s="2990"/>
      <c r="BO35" s="2990"/>
      <c r="BP35" s="2990"/>
      <c r="BQ35" s="2990"/>
      <c r="BR35" s="2990"/>
      <c r="BS35" s="2990"/>
      <c r="BT35" s="2990"/>
      <c r="BU35" s="2991"/>
      <c r="BV35" s="2312"/>
      <c r="BX35" s="3062" t="str">
        <f>IFERROR(#REF!,"")</f>
        <v/>
      </c>
      <c r="BY35" s="3063"/>
      <c r="BZ35" s="3063"/>
      <c r="CA35" s="3063"/>
      <c r="CB35" s="3063"/>
      <c r="CC35" s="3063"/>
      <c r="CD35" s="3063"/>
      <c r="CE35" s="3063"/>
      <c r="CF35" s="3063"/>
      <c r="CG35" s="3063"/>
      <c r="CH35" s="3063"/>
      <c r="CI35" s="3063"/>
      <c r="CJ35" s="3063"/>
      <c r="CK35" s="3063"/>
      <c r="CL35" s="3063"/>
      <c r="CM35" s="3063"/>
      <c r="CN35" s="3063"/>
      <c r="CO35" s="3063"/>
      <c r="CP35" s="3064"/>
      <c r="CR35" s="3089"/>
      <c r="CS35" s="3089"/>
      <c r="CT35" s="3089"/>
      <c r="CU35" s="3089"/>
      <c r="CV35" s="3089"/>
      <c r="CW35" s="3089"/>
      <c r="CX35" s="3089"/>
      <c r="CY35" s="3089"/>
      <c r="CZ35" s="3089"/>
      <c r="DA35" s="3089"/>
      <c r="DB35" s="3089"/>
      <c r="DC35" s="3089"/>
      <c r="DD35" s="3089"/>
      <c r="DE35" s="3089"/>
      <c r="DF35" s="3089"/>
      <c r="DG35" s="3089"/>
      <c r="DH35" s="3089"/>
      <c r="DI35" s="3089"/>
      <c r="DJ35" s="3089"/>
      <c r="DK35" s="3089"/>
      <c r="DL35" s="3089"/>
      <c r="DM35" s="3089"/>
      <c r="DN35" s="3089"/>
      <c r="DO35" s="3089"/>
      <c r="DP35" s="3089"/>
      <c r="DQ35" s="3089"/>
      <c r="DR35" s="3089"/>
      <c r="DS35" s="3089"/>
      <c r="DT35" s="3089"/>
      <c r="DU35" s="3089"/>
      <c r="DV35" s="3089"/>
      <c r="DW35" s="3089"/>
      <c r="DY35" s="3080" t="e">
        <f>IF(#REF!="Mystic",[1]CLASS!G373,"")</f>
        <v>#REF!</v>
      </c>
      <c r="DZ35" s="3066"/>
      <c r="EA35" s="3066"/>
      <c r="EB35" s="3066"/>
      <c r="EC35" s="3066"/>
      <c r="ED35" s="3066"/>
      <c r="EE35" s="3066"/>
      <c r="EF35" s="3066"/>
      <c r="EG35" s="3066"/>
      <c r="EH35" s="3066"/>
      <c r="EI35" s="3066"/>
      <c r="EJ35" s="3066"/>
      <c r="EK35" s="3066"/>
      <c r="EL35" s="3066"/>
      <c r="EM35" s="3066"/>
      <c r="EN35" s="3066"/>
      <c r="EO35" s="3066"/>
      <c r="EP35" s="3067"/>
      <c r="EQ35" s="2312"/>
      <c r="ER35" s="2309"/>
      <c r="ES35" s="2799"/>
      <c r="ET35" s="2800"/>
      <c r="EU35" s="2800"/>
      <c r="EV35" s="2800"/>
      <c r="EW35" s="2800"/>
      <c r="EX35" s="2800"/>
      <c r="EY35" s="2800"/>
      <c r="EZ35" s="2800"/>
      <c r="FA35" s="2800"/>
      <c r="FB35" s="2800"/>
      <c r="FC35" s="2800"/>
      <c r="FD35" s="2800"/>
      <c r="FE35" s="2800"/>
      <c r="FF35" s="2800"/>
      <c r="FG35" s="2800"/>
      <c r="FH35" s="2800"/>
      <c r="FI35" s="2800"/>
      <c r="FJ35" s="2800"/>
      <c r="FK35" s="2800"/>
      <c r="FL35" s="2800"/>
      <c r="FM35" s="2800"/>
      <c r="FN35" s="2800"/>
      <c r="FO35" s="2800"/>
      <c r="FP35" s="2800"/>
      <c r="FQ35" s="2800"/>
      <c r="FR35" s="2800"/>
      <c r="FS35" s="2800"/>
      <c r="FT35" s="2800"/>
      <c r="FU35" s="2800"/>
      <c r="FV35" s="2800"/>
      <c r="FW35" s="2800"/>
      <c r="FX35" s="2800"/>
      <c r="FY35" s="2800"/>
      <c r="FZ35" s="2801"/>
      <c r="GC35" s="2799"/>
      <c r="GD35" s="2800"/>
      <c r="GE35" s="2800"/>
      <c r="GF35" s="2800"/>
      <c r="GG35" s="2800"/>
      <c r="GH35" s="2800"/>
      <c r="GI35" s="2800"/>
      <c r="GJ35" s="2800"/>
      <c r="GK35" s="2800"/>
      <c r="GL35" s="2800"/>
      <c r="GM35" s="2800"/>
      <c r="GN35" s="2800"/>
      <c r="GO35" s="2800"/>
      <c r="GP35" s="2800"/>
      <c r="GQ35" s="2800"/>
      <c r="GR35" s="2800"/>
      <c r="GS35" s="2800"/>
      <c r="GT35" s="2800"/>
      <c r="GU35" s="2800"/>
      <c r="GV35" s="2800"/>
      <c r="GW35" s="2800"/>
      <c r="GX35" s="2800"/>
      <c r="GY35" s="2800"/>
      <c r="GZ35" s="2800"/>
      <c r="HA35" s="2800"/>
      <c r="HB35" s="2800"/>
      <c r="HC35" s="2800"/>
      <c r="HD35" s="2800"/>
      <c r="HE35" s="2800"/>
      <c r="HF35" s="2800"/>
      <c r="HG35" s="2800"/>
      <c r="HH35" s="2800"/>
      <c r="HI35" s="2800"/>
      <c r="HJ35" s="2801"/>
      <c r="HL35" s="2312"/>
    </row>
    <row r="36" spans="2:220" ht="7.5" customHeight="1">
      <c r="B36" s="2309"/>
      <c r="C36" s="2948">
        <f>[1]ABILITIES!Q26</f>
        <v>15.009468397344969</v>
      </c>
      <c r="D36" s="2794"/>
      <c r="E36" s="2794"/>
      <c r="F36" s="2794"/>
      <c r="G36" s="2794"/>
      <c r="H36" s="2794"/>
      <c r="I36" s="2795"/>
      <c r="K36" s="2901">
        <f>[1]SKILLS!$I$27</f>
        <v>3</v>
      </c>
      <c r="L36" s="2955"/>
      <c r="M36" s="2955"/>
      <c r="N36" s="2956"/>
      <c r="O36" s="2944" t="s">
        <v>6943</v>
      </c>
      <c r="P36" s="2760"/>
      <c r="Q36" s="2760"/>
      <c r="R36" s="2760"/>
      <c r="S36" s="2760"/>
      <c r="T36" s="2760"/>
      <c r="U36" s="2760"/>
      <c r="V36" s="2760"/>
      <c r="W36" s="2761"/>
      <c r="Y36" s="3081" t="s">
        <v>7715</v>
      </c>
      <c r="Z36" s="3082"/>
      <c r="AA36" s="3082"/>
      <c r="AB36" s="3082"/>
      <c r="AC36" s="3082"/>
      <c r="AD36" s="3082"/>
      <c r="AE36" s="3082"/>
      <c r="AF36" s="3082"/>
      <c r="AG36" s="3082"/>
      <c r="AH36" s="3082"/>
      <c r="AI36" s="3082"/>
      <c r="AJ36" s="3082"/>
      <c r="AK36" s="3082"/>
      <c r="AL36" s="3082"/>
      <c r="AM36" s="3082"/>
      <c r="AN36" s="3083"/>
      <c r="AO36" s="2316"/>
      <c r="AP36" s="2988">
        <v>9</v>
      </c>
      <c r="AQ36" s="2794"/>
      <c r="AR36" s="2794"/>
      <c r="AS36" s="2989"/>
      <c r="AT36" s="2990"/>
      <c r="AU36" s="2990"/>
      <c r="AV36" s="2990"/>
      <c r="AW36" s="2990"/>
      <c r="AX36" s="2990"/>
      <c r="AY36" s="2990"/>
      <c r="AZ36" s="2990"/>
      <c r="BA36" s="2990"/>
      <c r="BB36" s="2990"/>
      <c r="BC36" s="2990"/>
      <c r="BD36" s="2990"/>
      <c r="BE36" s="2990"/>
      <c r="BF36" s="2990"/>
      <c r="BG36" s="2990"/>
      <c r="BH36" s="2990"/>
      <c r="BI36" s="2990"/>
      <c r="BJ36" s="2990"/>
      <c r="BK36" s="2990"/>
      <c r="BL36" s="2990"/>
      <c r="BM36" s="2990"/>
      <c r="BN36" s="2990"/>
      <c r="BO36" s="2990"/>
      <c r="BP36" s="2990"/>
      <c r="BQ36" s="2990"/>
      <c r="BR36" s="2990"/>
      <c r="BS36" s="2990"/>
      <c r="BT36" s="2990"/>
      <c r="BU36" s="2991"/>
      <c r="BV36" s="2312"/>
      <c r="BX36" s="3063"/>
      <c r="BY36" s="3063"/>
      <c r="BZ36" s="3063"/>
      <c r="CA36" s="3063"/>
      <c r="CB36" s="3063"/>
      <c r="CC36" s="3063"/>
      <c r="CD36" s="3063"/>
      <c r="CE36" s="3063"/>
      <c r="CF36" s="3063"/>
      <c r="CG36" s="3063"/>
      <c r="CH36" s="3063"/>
      <c r="CI36" s="3063"/>
      <c r="CJ36" s="3063"/>
      <c r="CK36" s="3063"/>
      <c r="CL36" s="3063"/>
      <c r="CM36" s="3063"/>
      <c r="CN36" s="3063"/>
      <c r="CO36" s="3063"/>
      <c r="CP36" s="3064"/>
      <c r="CR36" s="3087"/>
      <c r="CS36" s="2847"/>
      <c r="CT36" s="2847"/>
      <c r="CU36" s="2847"/>
      <c r="CV36" s="2847"/>
      <c r="CW36" s="2847"/>
      <c r="CX36" s="2847"/>
      <c r="CY36" s="2847"/>
      <c r="CZ36" s="2847"/>
      <c r="DA36" s="2847"/>
      <c r="DB36" s="2847"/>
      <c r="DC36" s="2847"/>
      <c r="DD36" s="2847"/>
      <c r="DE36" s="2847"/>
      <c r="DF36" s="2847"/>
      <c r="DG36" s="2847"/>
      <c r="DH36" s="2847"/>
      <c r="DI36" s="2847"/>
      <c r="DJ36" s="2847"/>
      <c r="DK36" s="2847"/>
      <c r="DL36" s="2847"/>
      <c r="DM36" s="2847"/>
      <c r="DN36" s="2847"/>
      <c r="DO36" s="2847"/>
      <c r="DP36" s="2847"/>
      <c r="DQ36" s="2847"/>
      <c r="DR36" s="2847"/>
      <c r="DS36" s="2847"/>
      <c r="DT36" s="2847"/>
      <c r="DU36" s="2847"/>
      <c r="DV36" s="2847"/>
      <c r="DW36" s="2848"/>
      <c r="DY36" s="3068"/>
      <c r="DZ36" s="3069"/>
      <c r="EA36" s="3069"/>
      <c r="EB36" s="3069"/>
      <c r="EC36" s="3069"/>
      <c r="ED36" s="3069"/>
      <c r="EE36" s="3069"/>
      <c r="EF36" s="3069"/>
      <c r="EG36" s="3069"/>
      <c r="EH36" s="3069"/>
      <c r="EI36" s="3069"/>
      <c r="EJ36" s="3069"/>
      <c r="EK36" s="3069"/>
      <c r="EL36" s="3069"/>
      <c r="EM36" s="3069"/>
      <c r="EN36" s="3069"/>
      <c r="EO36" s="3069"/>
      <c r="EP36" s="3070"/>
      <c r="EQ36" s="2312"/>
      <c r="ER36" s="2309"/>
      <c r="ES36" s="2947" t="str">
        <f>[1]GEAR!$C$32</f>
        <v>Spellbook, Arcane Focus: Staff</v>
      </c>
      <c r="ET36" s="2819"/>
      <c r="EU36" s="2819"/>
      <c r="EV36" s="2819"/>
      <c r="EW36" s="2819"/>
      <c r="EX36" s="2819"/>
      <c r="EY36" s="2819"/>
      <c r="EZ36" s="2819"/>
      <c r="FA36" s="2819"/>
      <c r="FB36" s="2819"/>
      <c r="FC36" s="2819"/>
      <c r="FD36" s="2819"/>
      <c r="FE36" s="2819"/>
      <c r="FF36" s="2819"/>
      <c r="FG36" s="2819"/>
      <c r="FH36" s="2819"/>
      <c r="FI36" s="2819"/>
      <c r="FJ36" s="2819"/>
      <c r="FK36" s="2819"/>
      <c r="FL36" s="2819"/>
      <c r="FM36" s="2819"/>
      <c r="FN36" s="2819"/>
      <c r="FO36" s="2819"/>
      <c r="FP36" s="2819"/>
      <c r="FQ36" s="2819"/>
      <c r="FR36" s="2819"/>
      <c r="FS36" s="2819"/>
      <c r="FT36" s="2819"/>
      <c r="FU36" s="2819"/>
      <c r="FV36" s="2819"/>
      <c r="FW36" s="2819"/>
      <c r="FX36" s="2819"/>
      <c r="FY36" s="2819"/>
      <c r="FZ36" s="2820"/>
      <c r="GC36" s="2947"/>
      <c r="GD36" s="2819"/>
      <c r="GE36" s="2819"/>
      <c r="GF36" s="2819"/>
      <c r="GG36" s="2819"/>
      <c r="GH36" s="2819"/>
      <c r="GI36" s="2819"/>
      <c r="GJ36" s="2819"/>
      <c r="GK36" s="2819"/>
      <c r="GL36" s="2819"/>
      <c r="GM36" s="2819"/>
      <c r="GN36" s="2819"/>
      <c r="GO36" s="2819"/>
      <c r="GP36" s="2819"/>
      <c r="GQ36" s="2819"/>
      <c r="GR36" s="2819"/>
      <c r="GS36" s="2819"/>
      <c r="GT36" s="2819"/>
      <c r="GU36" s="2819"/>
      <c r="GV36" s="2819"/>
      <c r="GW36" s="2819"/>
      <c r="GX36" s="2819"/>
      <c r="GY36" s="2819"/>
      <c r="GZ36" s="2819"/>
      <c r="HA36" s="2819"/>
      <c r="HB36" s="2819"/>
      <c r="HC36" s="2819"/>
      <c r="HD36" s="2819"/>
      <c r="HE36" s="2819"/>
      <c r="HF36" s="2819"/>
      <c r="HG36" s="2819"/>
      <c r="HH36" s="2819"/>
      <c r="HI36" s="2819"/>
      <c r="HJ36" s="2820"/>
      <c r="HK36" s="2330"/>
      <c r="HL36" s="2312"/>
    </row>
    <row r="37" spans="2:220" ht="7.5" customHeight="1">
      <c r="B37" s="2309"/>
      <c r="C37" s="2796"/>
      <c r="D37" s="2797"/>
      <c r="E37" s="2797"/>
      <c r="F37" s="2797"/>
      <c r="G37" s="2797"/>
      <c r="H37" s="2797"/>
      <c r="I37" s="2798"/>
      <c r="K37" s="2957"/>
      <c r="L37" s="2958"/>
      <c r="M37" s="2958"/>
      <c r="N37" s="2959"/>
      <c r="O37" s="2945"/>
      <c r="P37" s="2764"/>
      <c r="Q37" s="2764"/>
      <c r="R37" s="2764"/>
      <c r="S37" s="2764"/>
      <c r="T37" s="2764"/>
      <c r="U37" s="2764"/>
      <c r="V37" s="2764"/>
      <c r="W37" s="2765"/>
      <c r="Y37" s="3084"/>
      <c r="Z37" s="3085"/>
      <c r="AA37" s="3085"/>
      <c r="AB37" s="3085"/>
      <c r="AC37" s="3085"/>
      <c r="AD37" s="3085"/>
      <c r="AE37" s="3085"/>
      <c r="AF37" s="3085"/>
      <c r="AG37" s="3085"/>
      <c r="AH37" s="3085"/>
      <c r="AI37" s="3085"/>
      <c r="AJ37" s="3085"/>
      <c r="AK37" s="3085"/>
      <c r="AL37" s="3085"/>
      <c r="AM37" s="3085"/>
      <c r="AN37" s="3086"/>
      <c r="AO37" s="2318"/>
      <c r="AP37" s="2799"/>
      <c r="AQ37" s="2800"/>
      <c r="AR37" s="2800"/>
      <c r="AS37" s="2989"/>
      <c r="AT37" s="2990"/>
      <c r="AU37" s="2990"/>
      <c r="AV37" s="2990"/>
      <c r="AW37" s="2990"/>
      <c r="AX37" s="2990"/>
      <c r="AY37" s="2990"/>
      <c r="AZ37" s="2990"/>
      <c r="BA37" s="2990"/>
      <c r="BB37" s="2990"/>
      <c r="BC37" s="2990"/>
      <c r="BD37" s="2990"/>
      <c r="BE37" s="2990"/>
      <c r="BF37" s="2990"/>
      <c r="BG37" s="2990"/>
      <c r="BH37" s="2990"/>
      <c r="BI37" s="2990"/>
      <c r="BJ37" s="2990"/>
      <c r="BK37" s="2990"/>
      <c r="BL37" s="2990"/>
      <c r="BM37" s="2990"/>
      <c r="BN37" s="2990"/>
      <c r="BO37" s="2990"/>
      <c r="BP37" s="2990"/>
      <c r="BQ37" s="2990"/>
      <c r="BR37" s="2990"/>
      <c r="BS37" s="2990"/>
      <c r="BT37" s="2990"/>
      <c r="BU37" s="2991"/>
      <c r="BV37" s="2312"/>
      <c r="BX37" s="3062" t="str">
        <f>IFERROR(#REF!,"")</f>
        <v/>
      </c>
      <c r="BY37" s="3063"/>
      <c r="BZ37" s="3063"/>
      <c r="CA37" s="3063"/>
      <c r="CB37" s="3063"/>
      <c r="CC37" s="3063"/>
      <c r="CD37" s="3063"/>
      <c r="CE37" s="3063"/>
      <c r="CF37" s="3063"/>
      <c r="CG37" s="3063"/>
      <c r="CH37" s="3063"/>
      <c r="CI37" s="3063"/>
      <c r="CJ37" s="3063"/>
      <c r="CK37" s="3063"/>
      <c r="CL37" s="3063"/>
      <c r="CM37" s="3063"/>
      <c r="CN37" s="3063"/>
      <c r="CO37" s="3063"/>
      <c r="CP37" s="3064"/>
      <c r="CR37" s="2849"/>
      <c r="CS37" s="2850"/>
      <c r="CT37" s="2850"/>
      <c r="CU37" s="2850"/>
      <c r="CV37" s="2850"/>
      <c r="CW37" s="2850"/>
      <c r="CX37" s="2850"/>
      <c r="CY37" s="2850"/>
      <c r="CZ37" s="2850"/>
      <c r="DA37" s="2850"/>
      <c r="DB37" s="2850"/>
      <c r="DC37" s="2850"/>
      <c r="DD37" s="2850"/>
      <c r="DE37" s="2850"/>
      <c r="DF37" s="2850"/>
      <c r="DG37" s="2850"/>
      <c r="DH37" s="2850"/>
      <c r="DI37" s="2850"/>
      <c r="DJ37" s="2850"/>
      <c r="DK37" s="2850"/>
      <c r="DL37" s="2850"/>
      <c r="DM37" s="2850"/>
      <c r="DN37" s="2850"/>
      <c r="DO37" s="2850"/>
      <c r="DP37" s="2850"/>
      <c r="DQ37" s="2850"/>
      <c r="DR37" s="2850"/>
      <c r="DS37" s="2850"/>
      <c r="DT37" s="2850"/>
      <c r="DU37" s="2850"/>
      <c r="DV37" s="2850"/>
      <c r="DW37" s="2851"/>
      <c r="DY37" s="3080" t="e">
        <f>IF(#REF!="Mystic",[1]CLASS!G375,"")</f>
        <v>#REF!</v>
      </c>
      <c r="DZ37" s="3066"/>
      <c r="EA37" s="3066"/>
      <c r="EB37" s="3066"/>
      <c r="EC37" s="3066"/>
      <c r="ED37" s="3066"/>
      <c r="EE37" s="3066"/>
      <c r="EF37" s="3066"/>
      <c r="EG37" s="3066"/>
      <c r="EH37" s="3066"/>
      <c r="EI37" s="3066"/>
      <c r="EJ37" s="3066"/>
      <c r="EK37" s="3066"/>
      <c r="EL37" s="3066"/>
      <c r="EM37" s="3066"/>
      <c r="EN37" s="3066"/>
      <c r="EO37" s="3066"/>
      <c r="EP37" s="3067"/>
      <c r="EQ37" s="2312"/>
      <c r="ER37" s="2309"/>
      <c r="ES37" s="2824"/>
      <c r="ET37" s="2825"/>
      <c r="EU37" s="2825"/>
      <c r="EV37" s="2825"/>
      <c r="EW37" s="2825"/>
      <c r="EX37" s="2825"/>
      <c r="EY37" s="2825"/>
      <c r="EZ37" s="2825"/>
      <c r="FA37" s="2825"/>
      <c r="FB37" s="2825"/>
      <c r="FC37" s="2825"/>
      <c r="FD37" s="2825"/>
      <c r="FE37" s="2825"/>
      <c r="FF37" s="2825"/>
      <c r="FG37" s="2825"/>
      <c r="FH37" s="2825"/>
      <c r="FI37" s="2825"/>
      <c r="FJ37" s="2825"/>
      <c r="FK37" s="2825"/>
      <c r="FL37" s="2825"/>
      <c r="FM37" s="2825"/>
      <c r="FN37" s="2825"/>
      <c r="FO37" s="2825"/>
      <c r="FP37" s="2825"/>
      <c r="FQ37" s="2825"/>
      <c r="FR37" s="2825"/>
      <c r="FS37" s="2825"/>
      <c r="FT37" s="2825"/>
      <c r="FU37" s="2825"/>
      <c r="FV37" s="2825"/>
      <c r="FW37" s="2825"/>
      <c r="FX37" s="2825"/>
      <c r="FY37" s="2825"/>
      <c r="FZ37" s="2826"/>
      <c r="GC37" s="2824"/>
      <c r="GD37" s="2825"/>
      <c r="GE37" s="2825"/>
      <c r="GF37" s="2825"/>
      <c r="GG37" s="2825"/>
      <c r="GH37" s="2825"/>
      <c r="GI37" s="2825"/>
      <c r="GJ37" s="2825"/>
      <c r="GK37" s="2825"/>
      <c r="GL37" s="2825"/>
      <c r="GM37" s="2825"/>
      <c r="GN37" s="2825"/>
      <c r="GO37" s="2825"/>
      <c r="GP37" s="2825"/>
      <c r="GQ37" s="2825"/>
      <c r="GR37" s="2825"/>
      <c r="GS37" s="2825"/>
      <c r="GT37" s="2825"/>
      <c r="GU37" s="2825"/>
      <c r="GV37" s="2825"/>
      <c r="GW37" s="2825"/>
      <c r="GX37" s="2825"/>
      <c r="GY37" s="2825"/>
      <c r="GZ37" s="2825"/>
      <c r="HA37" s="2825"/>
      <c r="HB37" s="2825"/>
      <c r="HC37" s="2825"/>
      <c r="HD37" s="2825"/>
      <c r="HE37" s="2825"/>
      <c r="HF37" s="2825"/>
      <c r="HG37" s="2825"/>
      <c r="HH37" s="2825"/>
      <c r="HI37" s="2825"/>
      <c r="HJ37" s="2826"/>
      <c r="HK37" s="2330"/>
      <c r="HL37" s="2312"/>
    </row>
    <row r="38" spans="2:220" ht="7.5" customHeight="1">
      <c r="B38" s="2309"/>
      <c r="C38" s="2796"/>
      <c r="D38" s="2797"/>
      <c r="E38" s="2797"/>
      <c r="F38" s="2797"/>
      <c r="G38" s="2797"/>
      <c r="H38" s="2797"/>
      <c r="I38" s="2798"/>
      <c r="K38" s="2901">
        <f>[1]SKILLS!$I$28</f>
        <v>0</v>
      </c>
      <c r="L38" s="2955"/>
      <c r="M38" s="2955"/>
      <c r="N38" s="2956"/>
      <c r="O38" s="3090" t="s">
        <v>6945</v>
      </c>
      <c r="P38" s="2759"/>
      <c r="Q38" s="2759"/>
      <c r="R38" s="2759"/>
      <c r="S38" s="2759"/>
      <c r="T38" s="2759"/>
      <c r="U38" s="2759"/>
      <c r="V38" s="2759"/>
      <c r="W38" s="3091"/>
      <c r="Y38" s="3093"/>
      <c r="Z38" s="3094"/>
      <c r="AA38" s="3094"/>
      <c r="AB38" s="3094"/>
      <c r="AC38" s="3094"/>
      <c r="AD38" s="3094"/>
      <c r="AE38" s="3094"/>
      <c r="AF38" s="3094"/>
      <c r="AG38" s="3094"/>
      <c r="AH38" s="3094"/>
      <c r="AI38" s="3094"/>
      <c r="AJ38" s="3094"/>
      <c r="AK38" s="3094"/>
      <c r="AL38" s="3094"/>
      <c r="AM38" s="3094"/>
      <c r="AN38" s="3006"/>
      <c r="AO38" s="2318"/>
      <c r="AP38" s="2988">
        <v>10</v>
      </c>
      <c r="AQ38" s="2794"/>
      <c r="AR38" s="2794"/>
      <c r="AS38" s="2989"/>
      <c r="AT38" s="2990"/>
      <c r="AU38" s="2990"/>
      <c r="AV38" s="2990"/>
      <c r="AW38" s="2990"/>
      <c r="AX38" s="2990"/>
      <c r="AY38" s="2990"/>
      <c r="AZ38" s="2990"/>
      <c r="BA38" s="2990"/>
      <c r="BB38" s="2990"/>
      <c r="BC38" s="2990"/>
      <c r="BD38" s="2990"/>
      <c r="BE38" s="2990"/>
      <c r="BF38" s="2990"/>
      <c r="BG38" s="2990"/>
      <c r="BH38" s="2990"/>
      <c r="BI38" s="2990"/>
      <c r="BJ38" s="2990"/>
      <c r="BK38" s="2990"/>
      <c r="BL38" s="2990"/>
      <c r="BM38" s="2990"/>
      <c r="BN38" s="2990"/>
      <c r="BO38" s="2990"/>
      <c r="BP38" s="2990"/>
      <c r="BQ38" s="2990"/>
      <c r="BR38" s="2990"/>
      <c r="BS38" s="2990"/>
      <c r="BT38" s="2990"/>
      <c r="BU38" s="2991"/>
      <c r="BV38" s="2312"/>
      <c r="BX38" s="3063"/>
      <c r="BY38" s="3063"/>
      <c r="BZ38" s="3063"/>
      <c r="CA38" s="3063"/>
      <c r="CB38" s="3063"/>
      <c r="CC38" s="3063"/>
      <c r="CD38" s="3063"/>
      <c r="CE38" s="3063"/>
      <c r="CF38" s="3063"/>
      <c r="CG38" s="3063"/>
      <c r="CH38" s="3063"/>
      <c r="CI38" s="3063"/>
      <c r="CJ38" s="3063"/>
      <c r="CK38" s="3063"/>
      <c r="CL38" s="3063"/>
      <c r="CM38" s="3063"/>
      <c r="CN38" s="3063"/>
      <c r="CO38" s="3063"/>
      <c r="CP38" s="3064"/>
      <c r="CR38" s="2849"/>
      <c r="CS38" s="2850"/>
      <c r="CT38" s="2850"/>
      <c r="CU38" s="2850"/>
      <c r="CV38" s="2850"/>
      <c r="CW38" s="2850"/>
      <c r="CX38" s="2850"/>
      <c r="CY38" s="2850"/>
      <c r="CZ38" s="2850"/>
      <c r="DA38" s="2850"/>
      <c r="DB38" s="2850"/>
      <c r="DC38" s="2850"/>
      <c r="DD38" s="2850"/>
      <c r="DE38" s="2850"/>
      <c r="DF38" s="2850"/>
      <c r="DG38" s="2850"/>
      <c r="DH38" s="2850"/>
      <c r="DI38" s="2850"/>
      <c r="DJ38" s="2850"/>
      <c r="DK38" s="2850"/>
      <c r="DL38" s="2850"/>
      <c r="DM38" s="2850"/>
      <c r="DN38" s="2850"/>
      <c r="DO38" s="2850"/>
      <c r="DP38" s="2850"/>
      <c r="DQ38" s="2850"/>
      <c r="DR38" s="2850"/>
      <c r="DS38" s="2850"/>
      <c r="DT38" s="2850"/>
      <c r="DU38" s="2850"/>
      <c r="DV38" s="2850"/>
      <c r="DW38" s="2851"/>
      <c r="DY38" s="3068"/>
      <c r="DZ38" s="3069"/>
      <c r="EA38" s="3069"/>
      <c r="EB38" s="3069"/>
      <c r="EC38" s="3069"/>
      <c r="ED38" s="3069"/>
      <c r="EE38" s="3069"/>
      <c r="EF38" s="3069"/>
      <c r="EG38" s="3069"/>
      <c r="EH38" s="3069"/>
      <c r="EI38" s="3069"/>
      <c r="EJ38" s="3069"/>
      <c r="EK38" s="3069"/>
      <c r="EL38" s="3069"/>
      <c r="EM38" s="3069"/>
      <c r="EN38" s="3069"/>
      <c r="EO38" s="3069"/>
      <c r="EP38" s="3070"/>
      <c r="EQ38" s="2312"/>
      <c r="ER38" s="2309"/>
      <c r="ES38" s="2947" t="e">
        <f>"Armor: "&amp;Y22&amp;", "&amp;Y24&amp;": "&amp;#REF!</f>
        <v>#REF!</v>
      </c>
      <c r="ET38" s="2819"/>
      <c r="EU38" s="2819"/>
      <c r="EV38" s="2819"/>
      <c r="EW38" s="2819"/>
      <c r="EX38" s="2819"/>
      <c r="EY38" s="2819"/>
      <c r="EZ38" s="2819"/>
      <c r="FA38" s="2819"/>
      <c r="FB38" s="2819"/>
      <c r="FC38" s="2819"/>
      <c r="FD38" s="2819"/>
      <c r="FE38" s="2819"/>
      <c r="FF38" s="2819"/>
      <c r="FG38" s="2819"/>
      <c r="FH38" s="2819"/>
      <c r="FI38" s="2819"/>
      <c r="FJ38" s="2819"/>
      <c r="FK38" s="2819"/>
      <c r="FL38" s="2819"/>
      <c r="FM38" s="2819"/>
      <c r="FN38" s="2819"/>
      <c r="FO38" s="2819"/>
      <c r="FP38" s="2819"/>
      <c r="FQ38" s="2819"/>
      <c r="FR38" s="2819"/>
      <c r="FS38" s="2819"/>
      <c r="FT38" s="2819"/>
      <c r="FU38" s="2819"/>
      <c r="FV38" s="2819"/>
      <c r="FW38" s="2819"/>
      <c r="FX38" s="2819"/>
      <c r="FY38" s="2819"/>
      <c r="FZ38" s="2820"/>
      <c r="GC38" s="2947"/>
      <c r="GD38" s="2819"/>
      <c r="GE38" s="2819"/>
      <c r="GF38" s="2819"/>
      <c r="GG38" s="2819"/>
      <c r="GH38" s="2819"/>
      <c r="GI38" s="2819"/>
      <c r="GJ38" s="2819"/>
      <c r="GK38" s="2819"/>
      <c r="GL38" s="2819"/>
      <c r="GM38" s="2819"/>
      <c r="GN38" s="2819"/>
      <c r="GO38" s="2819"/>
      <c r="GP38" s="2819"/>
      <c r="GQ38" s="2819"/>
      <c r="GR38" s="2819"/>
      <c r="GS38" s="2819"/>
      <c r="GT38" s="2819"/>
      <c r="GU38" s="2819"/>
      <c r="GV38" s="2819"/>
      <c r="GW38" s="2819"/>
      <c r="GX38" s="2819"/>
      <c r="GY38" s="2819"/>
      <c r="GZ38" s="2819"/>
      <c r="HA38" s="2819"/>
      <c r="HB38" s="2819"/>
      <c r="HC38" s="2819"/>
      <c r="HD38" s="2819"/>
      <c r="HE38" s="2819"/>
      <c r="HF38" s="2819"/>
      <c r="HG38" s="2819"/>
      <c r="HH38" s="2819"/>
      <c r="HI38" s="2819"/>
      <c r="HJ38" s="2820"/>
      <c r="HK38" s="1522"/>
      <c r="HL38" s="2312"/>
    </row>
    <row r="39" spans="2:220" ht="7.5" customHeight="1">
      <c r="B39" s="2309"/>
      <c r="C39" s="2799"/>
      <c r="D39" s="2800"/>
      <c r="E39" s="2800"/>
      <c r="F39" s="2800"/>
      <c r="G39" s="2800"/>
      <c r="H39" s="2800"/>
      <c r="I39" s="2801"/>
      <c r="K39" s="2957"/>
      <c r="L39" s="2958"/>
      <c r="M39" s="2958"/>
      <c r="N39" s="2959"/>
      <c r="O39" s="2762"/>
      <c r="P39" s="2763"/>
      <c r="Q39" s="2763"/>
      <c r="R39" s="2763"/>
      <c r="S39" s="2763"/>
      <c r="T39" s="2763"/>
      <c r="U39" s="2763"/>
      <c r="V39" s="2763"/>
      <c r="W39" s="3092"/>
      <c r="Y39" s="3095"/>
      <c r="Z39" s="3094"/>
      <c r="AA39" s="3094"/>
      <c r="AB39" s="3094"/>
      <c r="AC39" s="3094"/>
      <c r="AD39" s="3094"/>
      <c r="AE39" s="3094"/>
      <c r="AF39" s="3094"/>
      <c r="AG39" s="3094"/>
      <c r="AH39" s="3094"/>
      <c r="AI39" s="3094"/>
      <c r="AJ39" s="3094"/>
      <c r="AK39" s="3094"/>
      <c r="AL39" s="3094"/>
      <c r="AM39" s="3094"/>
      <c r="AN39" s="3006"/>
      <c r="AO39" s="2318"/>
      <c r="AP39" s="2799"/>
      <c r="AQ39" s="2800"/>
      <c r="AR39" s="2800"/>
      <c r="AS39" s="2989"/>
      <c r="AT39" s="2990"/>
      <c r="AU39" s="2990"/>
      <c r="AV39" s="2990"/>
      <c r="AW39" s="2990"/>
      <c r="AX39" s="2990"/>
      <c r="AY39" s="2990"/>
      <c r="AZ39" s="2990"/>
      <c r="BA39" s="2990"/>
      <c r="BB39" s="2990"/>
      <c r="BC39" s="2990"/>
      <c r="BD39" s="2990"/>
      <c r="BE39" s="2990"/>
      <c r="BF39" s="2990"/>
      <c r="BG39" s="2990"/>
      <c r="BH39" s="2990"/>
      <c r="BI39" s="2990"/>
      <c r="BJ39" s="2990"/>
      <c r="BK39" s="2990"/>
      <c r="BL39" s="2990"/>
      <c r="BM39" s="2990"/>
      <c r="BN39" s="2990"/>
      <c r="BO39" s="2990"/>
      <c r="BP39" s="2990"/>
      <c r="BQ39" s="2990"/>
      <c r="BR39" s="2990"/>
      <c r="BS39" s="2990"/>
      <c r="BT39" s="2990"/>
      <c r="BU39" s="2991"/>
      <c r="BV39" s="2312"/>
      <c r="BX39" s="3062" t="str">
        <f>IFERROR(#REF!,"")</f>
        <v/>
      </c>
      <c r="BY39" s="3063"/>
      <c r="BZ39" s="3063"/>
      <c r="CA39" s="3063"/>
      <c r="CB39" s="3063"/>
      <c r="CC39" s="3063"/>
      <c r="CD39" s="3063"/>
      <c r="CE39" s="3063"/>
      <c r="CF39" s="3063"/>
      <c r="CG39" s="3063"/>
      <c r="CH39" s="3063"/>
      <c r="CI39" s="3063"/>
      <c r="CJ39" s="3063"/>
      <c r="CK39" s="3063"/>
      <c r="CL39" s="3063"/>
      <c r="CM39" s="3063"/>
      <c r="CN39" s="3063"/>
      <c r="CO39" s="3063"/>
      <c r="CP39" s="3064"/>
      <c r="CR39" s="2849"/>
      <c r="CS39" s="2850"/>
      <c r="CT39" s="2850"/>
      <c r="CU39" s="2850"/>
      <c r="CV39" s="2850"/>
      <c r="CW39" s="2850"/>
      <c r="CX39" s="2850"/>
      <c r="CY39" s="2850"/>
      <c r="CZ39" s="2850"/>
      <c r="DA39" s="2850"/>
      <c r="DB39" s="2850"/>
      <c r="DC39" s="2850"/>
      <c r="DD39" s="2850"/>
      <c r="DE39" s="2850"/>
      <c r="DF39" s="2850"/>
      <c r="DG39" s="2850"/>
      <c r="DH39" s="2850"/>
      <c r="DI39" s="2850"/>
      <c r="DJ39" s="2850"/>
      <c r="DK39" s="2850"/>
      <c r="DL39" s="2850"/>
      <c r="DM39" s="2850"/>
      <c r="DN39" s="2850"/>
      <c r="DO39" s="2850"/>
      <c r="DP39" s="2850"/>
      <c r="DQ39" s="2850"/>
      <c r="DR39" s="2850"/>
      <c r="DS39" s="2850"/>
      <c r="DT39" s="2850"/>
      <c r="DU39" s="2850"/>
      <c r="DV39" s="2850"/>
      <c r="DW39" s="2851"/>
      <c r="DY39" s="3065" t="e">
        <f>IF(#REF!="Mystic",[1]CLASS!G377,"")</f>
        <v>#REF!</v>
      </c>
      <c r="DZ39" s="3066"/>
      <c r="EA39" s="3066"/>
      <c r="EB39" s="3066"/>
      <c r="EC39" s="3066"/>
      <c r="ED39" s="3066"/>
      <c r="EE39" s="3066"/>
      <c r="EF39" s="3066"/>
      <c r="EG39" s="3066"/>
      <c r="EH39" s="3066"/>
      <c r="EI39" s="3066"/>
      <c r="EJ39" s="3066"/>
      <c r="EK39" s="3066"/>
      <c r="EL39" s="3066"/>
      <c r="EM39" s="3066"/>
      <c r="EN39" s="3066"/>
      <c r="EO39" s="3066"/>
      <c r="EP39" s="3067"/>
      <c r="EQ39" s="2312"/>
      <c r="ER39" s="2309"/>
      <c r="ES39" s="2824"/>
      <c r="ET39" s="2825"/>
      <c r="EU39" s="2825"/>
      <c r="EV39" s="2825"/>
      <c r="EW39" s="2825"/>
      <c r="EX39" s="2825"/>
      <c r="EY39" s="2825"/>
      <c r="EZ39" s="2825"/>
      <c r="FA39" s="2825"/>
      <c r="FB39" s="2825"/>
      <c r="FC39" s="2825"/>
      <c r="FD39" s="2825"/>
      <c r="FE39" s="2825"/>
      <c r="FF39" s="2825"/>
      <c r="FG39" s="2825"/>
      <c r="FH39" s="2825"/>
      <c r="FI39" s="2825"/>
      <c r="FJ39" s="2825"/>
      <c r="FK39" s="2825"/>
      <c r="FL39" s="2825"/>
      <c r="FM39" s="2825"/>
      <c r="FN39" s="2825"/>
      <c r="FO39" s="2825"/>
      <c r="FP39" s="2825"/>
      <c r="FQ39" s="2825"/>
      <c r="FR39" s="2825"/>
      <c r="FS39" s="2825"/>
      <c r="FT39" s="2825"/>
      <c r="FU39" s="2825"/>
      <c r="FV39" s="2825"/>
      <c r="FW39" s="2825"/>
      <c r="FX39" s="2825"/>
      <c r="FY39" s="2825"/>
      <c r="FZ39" s="2826"/>
      <c r="GC39" s="2824"/>
      <c r="GD39" s="2825"/>
      <c r="GE39" s="2825"/>
      <c r="GF39" s="2825"/>
      <c r="GG39" s="2825"/>
      <c r="GH39" s="2825"/>
      <c r="GI39" s="2825"/>
      <c r="GJ39" s="2825"/>
      <c r="GK39" s="2825"/>
      <c r="GL39" s="2825"/>
      <c r="GM39" s="2825"/>
      <c r="GN39" s="2825"/>
      <c r="GO39" s="2825"/>
      <c r="GP39" s="2825"/>
      <c r="GQ39" s="2825"/>
      <c r="GR39" s="2825"/>
      <c r="GS39" s="2825"/>
      <c r="GT39" s="2825"/>
      <c r="GU39" s="2825"/>
      <c r="GV39" s="2825"/>
      <c r="GW39" s="2825"/>
      <c r="GX39" s="2825"/>
      <c r="GY39" s="2825"/>
      <c r="GZ39" s="2825"/>
      <c r="HA39" s="2825"/>
      <c r="HB39" s="2825"/>
      <c r="HC39" s="2825"/>
      <c r="HD39" s="2825"/>
      <c r="HE39" s="2825"/>
      <c r="HF39" s="2825"/>
      <c r="HG39" s="2825"/>
      <c r="HH39" s="2825"/>
      <c r="HI39" s="2825"/>
      <c r="HJ39" s="2826"/>
      <c r="HK39" s="1522"/>
      <c r="HL39" s="2312"/>
    </row>
    <row r="40" spans="2:220" ht="7.5" customHeight="1">
      <c r="B40" s="2309"/>
      <c r="C40" s="2946">
        <f>VLOOKUP(C36,[1]ABILITIES!$Z$3:$AA$24,2)</f>
        <v>2</v>
      </c>
      <c r="D40" s="2946"/>
      <c r="E40" s="2946"/>
      <c r="F40" s="2946"/>
      <c r="G40" s="2946"/>
      <c r="H40" s="2946"/>
      <c r="I40" s="2946"/>
      <c r="K40" s="2901">
        <f>[1]SKILLS!$I$29</f>
        <v>4</v>
      </c>
      <c r="L40" s="2955"/>
      <c r="M40" s="2955"/>
      <c r="N40" s="2956"/>
      <c r="O40" s="2944" t="s">
        <v>6310</v>
      </c>
      <c r="P40" s="2760"/>
      <c r="Q40" s="2760"/>
      <c r="R40" s="2760"/>
      <c r="S40" s="2760"/>
      <c r="T40" s="2760"/>
      <c r="U40" s="2760"/>
      <c r="V40" s="2760"/>
      <c r="W40" s="2761"/>
      <c r="Y40" s="3095"/>
      <c r="Z40" s="3094"/>
      <c r="AA40" s="3094"/>
      <c r="AB40" s="3094"/>
      <c r="AC40" s="3094"/>
      <c r="AD40" s="3094"/>
      <c r="AE40" s="3094"/>
      <c r="AF40" s="3094"/>
      <c r="AG40" s="3094"/>
      <c r="AH40" s="3094"/>
      <c r="AI40" s="3094"/>
      <c r="AJ40" s="3094"/>
      <c r="AK40" s="3094"/>
      <c r="AL40" s="3094"/>
      <c r="AM40" s="3094"/>
      <c r="AN40" s="3006"/>
      <c r="AO40" s="2318"/>
      <c r="AP40" s="2988">
        <v>11</v>
      </c>
      <c r="AQ40" s="2794"/>
      <c r="AR40" s="2794"/>
      <c r="AS40" s="2989"/>
      <c r="AT40" s="2990"/>
      <c r="AU40" s="2990"/>
      <c r="AV40" s="2990"/>
      <c r="AW40" s="2990"/>
      <c r="AX40" s="2990"/>
      <c r="AY40" s="2990"/>
      <c r="AZ40" s="2990"/>
      <c r="BA40" s="2990"/>
      <c r="BB40" s="2990"/>
      <c r="BC40" s="2990"/>
      <c r="BD40" s="2990"/>
      <c r="BE40" s="2990"/>
      <c r="BF40" s="2990"/>
      <c r="BG40" s="2990"/>
      <c r="BH40" s="2990"/>
      <c r="BI40" s="2990"/>
      <c r="BJ40" s="2990"/>
      <c r="BK40" s="2990"/>
      <c r="BL40" s="2990"/>
      <c r="BM40" s="2990"/>
      <c r="BN40" s="2990"/>
      <c r="BO40" s="2990"/>
      <c r="BP40" s="2990"/>
      <c r="BQ40" s="2990"/>
      <c r="BR40" s="2990"/>
      <c r="BS40" s="2990"/>
      <c r="BT40" s="2990"/>
      <c r="BU40" s="2991"/>
      <c r="BV40" s="2312"/>
      <c r="BX40" s="3063"/>
      <c r="BY40" s="3063"/>
      <c r="BZ40" s="3063"/>
      <c r="CA40" s="3063"/>
      <c r="CB40" s="3063"/>
      <c r="CC40" s="3063"/>
      <c r="CD40" s="3063"/>
      <c r="CE40" s="3063"/>
      <c r="CF40" s="3063"/>
      <c r="CG40" s="3063"/>
      <c r="CH40" s="3063"/>
      <c r="CI40" s="3063"/>
      <c r="CJ40" s="3063"/>
      <c r="CK40" s="3063"/>
      <c r="CL40" s="3063"/>
      <c r="CM40" s="3063"/>
      <c r="CN40" s="3063"/>
      <c r="CO40" s="3063"/>
      <c r="CP40" s="3064"/>
      <c r="CR40" s="2849"/>
      <c r="CS40" s="2850"/>
      <c r="CT40" s="2850"/>
      <c r="CU40" s="2850"/>
      <c r="CV40" s="2850"/>
      <c r="CW40" s="2850"/>
      <c r="CX40" s="2850"/>
      <c r="CY40" s="2850"/>
      <c r="CZ40" s="2850"/>
      <c r="DA40" s="2850"/>
      <c r="DB40" s="2850"/>
      <c r="DC40" s="2850"/>
      <c r="DD40" s="2850"/>
      <c r="DE40" s="2850"/>
      <c r="DF40" s="2850"/>
      <c r="DG40" s="2850"/>
      <c r="DH40" s="2850"/>
      <c r="DI40" s="2850"/>
      <c r="DJ40" s="2850"/>
      <c r="DK40" s="2850"/>
      <c r="DL40" s="2850"/>
      <c r="DM40" s="2850"/>
      <c r="DN40" s="2850"/>
      <c r="DO40" s="2850"/>
      <c r="DP40" s="2850"/>
      <c r="DQ40" s="2850"/>
      <c r="DR40" s="2850"/>
      <c r="DS40" s="2850"/>
      <c r="DT40" s="2850"/>
      <c r="DU40" s="2850"/>
      <c r="DV40" s="2850"/>
      <c r="DW40" s="2851"/>
      <c r="DY40" s="3068"/>
      <c r="DZ40" s="3069"/>
      <c r="EA40" s="3069"/>
      <c r="EB40" s="3069"/>
      <c r="EC40" s="3069"/>
      <c r="ED40" s="3069"/>
      <c r="EE40" s="3069"/>
      <c r="EF40" s="3069"/>
      <c r="EG40" s="3069"/>
      <c r="EH40" s="3069"/>
      <c r="EI40" s="3069"/>
      <c r="EJ40" s="3069"/>
      <c r="EK40" s="3069"/>
      <c r="EL40" s="3069"/>
      <c r="EM40" s="3069"/>
      <c r="EN40" s="3069"/>
      <c r="EO40" s="3069"/>
      <c r="EP40" s="3070"/>
      <c r="EQ40" s="2312"/>
      <c r="ER40" s="2309"/>
      <c r="ES40" s="2947" t="e">
        <f>$C$99</f>
        <v>#REF!</v>
      </c>
      <c r="ET40" s="2819"/>
      <c r="EU40" s="2819"/>
      <c r="EV40" s="2819"/>
      <c r="EW40" s="2819"/>
      <c r="EX40" s="2819"/>
      <c r="EY40" s="2819"/>
      <c r="EZ40" s="2819"/>
      <c r="FA40" s="2819"/>
      <c r="FB40" s="2819"/>
      <c r="FC40" s="2819"/>
      <c r="FD40" s="2819"/>
      <c r="FE40" s="2819"/>
      <c r="FF40" s="2819"/>
      <c r="FG40" s="2819"/>
      <c r="FH40" s="2819"/>
      <c r="FI40" s="2819"/>
      <c r="FJ40" s="2819"/>
      <c r="FK40" s="2819"/>
      <c r="FL40" s="2819"/>
      <c r="FM40" s="2819"/>
      <c r="FN40" s="2819"/>
      <c r="FO40" s="2819"/>
      <c r="FP40" s="2819"/>
      <c r="FQ40" s="2819"/>
      <c r="FR40" s="2819"/>
      <c r="FS40" s="2819"/>
      <c r="FT40" s="2819"/>
      <c r="FU40" s="2819"/>
      <c r="FV40" s="2819"/>
      <c r="FW40" s="2819"/>
      <c r="FX40" s="2819"/>
      <c r="FY40" s="2819"/>
      <c r="FZ40" s="2820"/>
      <c r="GC40" s="2947"/>
      <c r="GD40" s="2819"/>
      <c r="GE40" s="2819"/>
      <c r="GF40" s="2819"/>
      <c r="GG40" s="2819"/>
      <c r="GH40" s="2819"/>
      <c r="GI40" s="2819"/>
      <c r="GJ40" s="2819"/>
      <c r="GK40" s="2819"/>
      <c r="GL40" s="2819"/>
      <c r="GM40" s="2819"/>
      <c r="GN40" s="2819"/>
      <c r="GO40" s="2819"/>
      <c r="GP40" s="2819"/>
      <c r="GQ40" s="2819"/>
      <c r="GR40" s="2819"/>
      <c r="GS40" s="2819"/>
      <c r="GT40" s="2819"/>
      <c r="GU40" s="2819"/>
      <c r="GV40" s="2819"/>
      <c r="GW40" s="2819"/>
      <c r="GX40" s="2819"/>
      <c r="GY40" s="2819"/>
      <c r="GZ40" s="2819"/>
      <c r="HA40" s="2819"/>
      <c r="HB40" s="2819"/>
      <c r="HC40" s="2819"/>
      <c r="HD40" s="2819"/>
      <c r="HE40" s="2819"/>
      <c r="HF40" s="2819"/>
      <c r="HG40" s="2819"/>
      <c r="HH40" s="2819"/>
      <c r="HI40" s="2819"/>
      <c r="HJ40" s="2820"/>
      <c r="HK40" s="1522"/>
      <c r="HL40" s="2312"/>
    </row>
    <row r="41" spans="2:220" ht="7.5" customHeight="1">
      <c r="B41" s="2309"/>
      <c r="C41" s="2946"/>
      <c r="D41" s="2946"/>
      <c r="E41" s="2946"/>
      <c r="F41" s="2946"/>
      <c r="G41" s="2946"/>
      <c r="H41" s="2946"/>
      <c r="I41" s="2946"/>
      <c r="K41" s="2957"/>
      <c r="L41" s="2958"/>
      <c r="M41" s="2958"/>
      <c r="N41" s="2959"/>
      <c r="O41" s="2945"/>
      <c r="P41" s="2764"/>
      <c r="Q41" s="2764"/>
      <c r="R41" s="2764"/>
      <c r="S41" s="2764"/>
      <c r="T41" s="2764"/>
      <c r="U41" s="2764"/>
      <c r="V41" s="2764"/>
      <c r="W41" s="2765"/>
      <c r="Y41" s="3095"/>
      <c r="Z41" s="3094"/>
      <c r="AA41" s="3094"/>
      <c r="AB41" s="3094"/>
      <c r="AC41" s="3094"/>
      <c r="AD41" s="3094"/>
      <c r="AE41" s="3094"/>
      <c r="AF41" s="3094"/>
      <c r="AG41" s="3094"/>
      <c r="AH41" s="3094"/>
      <c r="AI41" s="3094"/>
      <c r="AJ41" s="3094"/>
      <c r="AK41" s="3094"/>
      <c r="AL41" s="3094"/>
      <c r="AM41" s="3094"/>
      <c r="AN41" s="3006"/>
      <c r="AO41" s="1224"/>
      <c r="AP41" s="2799"/>
      <c r="AQ41" s="2800"/>
      <c r="AR41" s="2800"/>
      <c r="AS41" s="2989"/>
      <c r="AT41" s="2990"/>
      <c r="AU41" s="2990"/>
      <c r="AV41" s="2990"/>
      <c r="AW41" s="2990"/>
      <c r="AX41" s="2990"/>
      <c r="AY41" s="2990"/>
      <c r="AZ41" s="2990"/>
      <c r="BA41" s="2990"/>
      <c r="BB41" s="2990"/>
      <c r="BC41" s="2990"/>
      <c r="BD41" s="2990"/>
      <c r="BE41" s="2990"/>
      <c r="BF41" s="2990"/>
      <c r="BG41" s="2990"/>
      <c r="BH41" s="2990"/>
      <c r="BI41" s="2990"/>
      <c r="BJ41" s="2990"/>
      <c r="BK41" s="2990"/>
      <c r="BL41" s="2990"/>
      <c r="BM41" s="2990"/>
      <c r="BN41" s="2990"/>
      <c r="BO41" s="2990"/>
      <c r="BP41" s="2990"/>
      <c r="BQ41" s="2990"/>
      <c r="BR41" s="2990"/>
      <c r="BS41" s="2990"/>
      <c r="BT41" s="2990"/>
      <c r="BU41" s="2991"/>
      <c r="BV41" s="2312"/>
      <c r="BX41" s="3062" t="str">
        <f>IFERROR(#REF!,"")</f>
        <v/>
      </c>
      <c r="BY41" s="3063"/>
      <c r="BZ41" s="3063"/>
      <c r="CA41" s="3063"/>
      <c r="CB41" s="3063"/>
      <c r="CC41" s="3063"/>
      <c r="CD41" s="3063"/>
      <c r="CE41" s="3063"/>
      <c r="CF41" s="3063"/>
      <c r="CG41" s="3063"/>
      <c r="CH41" s="3063"/>
      <c r="CI41" s="3063"/>
      <c r="CJ41" s="3063"/>
      <c r="CK41" s="3063"/>
      <c r="CL41" s="3063"/>
      <c r="CM41" s="3063"/>
      <c r="CN41" s="3063"/>
      <c r="CO41" s="3063"/>
      <c r="CP41" s="3064"/>
      <c r="CR41" s="2849"/>
      <c r="CS41" s="2850"/>
      <c r="CT41" s="2850"/>
      <c r="CU41" s="2850"/>
      <c r="CV41" s="2850"/>
      <c r="CW41" s="2850"/>
      <c r="CX41" s="2850"/>
      <c r="CY41" s="2850"/>
      <c r="CZ41" s="2850"/>
      <c r="DA41" s="2850"/>
      <c r="DB41" s="2850"/>
      <c r="DC41" s="2850"/>
      <c r="DD41" s="2850"/>
      <c r="DE41" s="2850"/>
      <c r="DF41" s="2850"/>
      <c r="DG41" s="2850"/>
      <c r="DH41" s="2850"/>
      <c r="DI41" s="2850"/>
      <c r="DJ41" s="2850"/>
      <c r="DK41" s="2850"/>
      <c r="DL41" s="2850"/>
      <c r="DM41" s="2850"/>
      <c r="DN41" s="2850"/>
      <c r="DO41" s="2850"/>
      <c r="DP41" s="2850"/>
      <c r="DQ41" s="2850"/>
      <c r="DR41" s="2850"/>
      <c r="DS41" s="2850"/>
      <c r="DT41" s="2850"/>
      <c r="DU41" s="2850"/>
      <c r="DV41" s="2850"/>
      <c r="DW41" s="2851"/>
      <c r="DY41" s="3065" t="e">
        <f>IF(#REF!="Mystic",[1]CLASS!G379,"")</f>
        <v>#REF!</v>
      </c>
      <c r="DZ41" s="3066"/>
      <c r="EA41" s="3066"/>
      <c r="EB41" s="3066"/>
      <c r="EC41" s="3066"/>
      <c r="ED41" s="3066"/>
      <c r="EE41" s="3066"/>
      <c r="EF41" s="3066"/>
      <c r="EG41" s="3066"/>
      <c r="EH41" s="3066"/>
      <c r="EI41" s="3066"/>
      <c r="EJ41" s="3066"/>
      <c r="EK41" s="3066"/>
      <c r="EL41" s="3066"/>
      <c r="EM41" s="3066"/>
      <c r="EN41" s="3066"/>
      <c r="EO41" s="3066"/>
      <c r="EP41" s="3067"/>
      <c r="EQ41" s="2312"/>
      <c r="ER41" s="2309"/>
      <c r="ES41" s="2824"/>
      <c r="ET41" s="2825"/>
      <c r="EU41" s="2825"/>
      <c r="EV41" s="2825"/>
      <c r="EW41" s="2825"/>
      <c r="EX41" s="2825"/>
      <c r="EY41" s="2825"/>
      <c r="EZ41" s="2825"/>
      <c r="FA41" s="2825"/>
      <c r="FB41" s="2825"/>
      <c r="FC41" s="2825"/>
      <c r="FD41" s="2825"/>
      <c r="FE41" s="2825"/>
      <c r="FF41" s="2825"/>
      <c r="FG41" s="2825"/>
      <c r="FH41" s="2825"/>
      <c r="FI41" s="2825"/>
      <c r="FJ41" s="2825"/>
      <c r="FK41" s="2825"/>
      <c r="FL41" s="2825"/>
      <c r="FM41" s="2825"/>
      <c r="FN41" s="2825"/>
      <c r="FO41" s="2825"/>
      <c r="FP41" s="2825"/>
      <c r="FQ41" s="2825"/>
      <c r="FR41" s="2825"/>
      <c r="FS41" s="2825"/>
      <c r="FT41" s="2825"/>
      <c r="FU41" s="2825"/>
      <c r="FV41" s="2825"/>
      <c r="FW41" s="2825"/>
      <c r="FX41" s="2825"/>
      <c r="FY41" s="2825"/>
      <c r="FZ41" s="2826"/>
      <c r="GC41" s="2824"/>
      <c r="GD41" s="2825"/>
      <c r="GE41" s="2825"/>
      <c r="GF41" s="2825"/>
      <c r="GG41" s="2825"/>
      <c r="GH41" s="2825"/>
      <c r="GI41" s="2825"/>
      <c r="GJ41" s="2825"/>
      <c r="GK41" s="2825"/>
      <c r="GL41" s="2825"/>
      <c r="GM41" s="2825"/>
      <c r="GN41" s="2825"/>
      <c r="GO41" s="2825"/>
      <c r="GP41" s="2825"/>
      <c r="GQ41" s="2825"/>
      <c r="GR41" s="2825"/>
      <c r="GS41" s="2825"/>
      <c r="GT41" s="2825"/>
      <c r="GU41" s="2825"/>
      <c r="GV41" s="2825"/>
      <c r="GW41" s="2825"/>
      <c r="GX41" s="2825"/>
      <c r="GY41" s="2825"/>
      <c r="GZ41" s="2825"/>
      <c r="HA41" s="2825"/>
      <c r="HB41" s="2825"/>
      <c r="HC41" s="2825"/>
      <c r="HD41" s="2825"/>
      <c r="HE41" s="2825"/>
      <c r="HF41" s="2825"/>
      <c r="HG41" s="2825"/>
      <c r="HH41" s="2825"/>
      <c r="HI41" s="2825"/>
      <c r="HJ41" s="2826"/>
      <c r="HK41" s="1522"/>
      <c r="HL41" s="2312"/>
    </row>
    <row r="42" spans="2:220" ht="7.5" customHeight="1">
      <c r="B42" s="2309"/>
      <c r="K42" s="2901">
        <f>[1]SKILLS!$I$30</f>
        <v>4</v>
      </c>
      <c r="L42" s="2955"/>
      <c r="M42" s="2955"/>
      <c r="N42" s="2956"/>
      <c r="O42" s="2944" t="s">
        <v>6948</v>
      </c>
      <c r="P42" s="2760"/>
      <c r="Q42" s="2760"/>
      <c r="R42" s="2760"/>
      <c r="S42" s="2760"/>
      <c r="T42" s="2760"/>
      <c r="U42" s="2760"/>
      <c r="V42" s="2760"/>
      <c r="W42" s="2761"/>
      <c r="Y42" s="3096"/>
      <c r="Z42" s="3097"/>
      <c r="AA42" s="3097"/>
      <c r="AB42" s="3097"/>
      <c r="AC42" s="3097"/>
      <c r="AD42" s="3097"/>
      <c r="AE42" s="3097"/>
      <c r="AF42" s="3097"/>
      <c r="AG42" s="3097"/>
      <c r="AH42" s="3097"/>
      <c r="AI42" s="3097"/>
      <c r="AJ42" s="3097"/>
      <c r="AK42" s="3097"/>
      <c r="AL42" s="3097"/>
      <c r="AM42" s="3097"/>
      <c r="AN42" s="3010"/>
      <c r="AO42" s="1224"/>
      <c r="AP42" s="2988">
        <v>12</v>
      </c>
      <c r="AQ42" s="2794"/>
      <c r="AR42" s="2794"/>
      <c r="AS42" s="2989"/>
      <c r="AT42" s="2990"/>
      <c r="AU42" s="2990"/>
      <c r="AV42" s="2990"/>
      <c r="AW42" s="2990"/>
      <c r="AX42" s="2990"/>
      <c r="AY42" s="2990"/>
      <c r="AZ42" s="2990"/>
      <c r="BA42" s="2990"/>
      <c r="BB42" s="2990"/>
      <c r="BC42" s="2990"/>
      <c r="BD42" s="2990"/>
      <c r="BE42" s="2990"/>
      <c r="BF42" s="2990"/>
      <c r="BG42" s="2990"/>
      <c r="BH42" s="2990"/>
      <c r="BI42" s="2990"/>
      <c r="BJ42" s="2990"/>
      <c r="BK42" s="2990"/>
      <c r="BL42" s="2990"/>
      <c r="BM42" s="2990"/>
      <c r="BN42" s="2990"/>
      <c r="BO42" s="2990"/>
      <c r="BP42" s="2990"/>
      <c r="BQ42" s="2990"/>
      <c r="BR42" s="2990"/>
      <c r="BS42" s="2990"/>
      <c r="BT42" s="2990"/>
      <c r="BU42" s="2991"/>
      <c r="BV42" s="2312"/>
      <c r="BX42" s="3063"/>
      <c r="BY42" s="3063"/>
      <c r="BZ42" s="3063"/>
      <c r="CA42" s="3063"/>
      <c r="CB42" s="3063"/>
      <c r="CC42" s="3063"/>
      <c r="CD42" s="3063"/>
      <c r="CE42" s="3063"/>
      <c r="CF42" s="3063"/>
      <c r="CG42" s="3063"/>
      <c r="CH42" s="3063"/>
      <c r="CI42" s="3063"/>
      <c r="CJ42" s="3063"/>
      <c r="CK42" s="3063"/>
      <c r="CL42" s="3063"/>
      <c r="CM42" s="3063"/>
      <c r="CN42" s="3063"/>
      <c r="CO42" s="3063"/>
      <c r="CP42" s="3064"/>
      <c r="CR42" s="2849"/>
      <c r="CS42" s="2850"/>
      <c r="CT42" s="2850"/>
      <c r="CU42" s="2850"/>
      <c r="CV42" s="2850"/>
      <c r="CW42" s="2850"/>
      <c r="CX42" s="2850"/>
      <c r="CY42" s="2850"/>
      <c r="CZ42" s="2850"/>
      <c r="DA42" s="2850"/>
      <c r="DB42" s="2850"/>
      <c r="DC42" s="2850"/>
      <c r="DD42" s="2850"/>
      <c r="DE42" s="2850"/>
      <c r="DF42" s="2850"/>
      <c r="DG42" s="2850"/>
      <c r="DH42" s="2850"/>
      <c r="DI42" s="2850"/>
      <c r="DJ42" s="2850"/>
      <c r="DK42" s="2850"/>
      <c r="DL42" s="2850"/>
      <c r="DM42" s="2850"/>
      <c r="DN42" s="2850"/>
      <c r="DO42" s="2850"/>
      <c r="DP42" s="2850"/>
      <c r="DQ42" s="2850"/>
      <c r="DR42" s="2850"/>
      <c r="DS42" s="2850"/>
      <c r="DT42" s="2850"/>
      <c r="DU42" s="2850"/>
      <c r="DV42" s="2850"/>
      <c r="DW42" s="2851"/>
      <c r="DY42" s="3068"/>
      <c r="DZ42" s="3069"/>
      <c r="EA42" s="3069"/>
      <c r="EB42" s="3069"/>
      <c r="EC42" s="3069"/>
      <c r="ED42" s="3069"/>
      <c r="EE42" s="3069"/>
      <c r="EF42" s="3069"/>
      <c r="EG42" s="3069"/>
      <c r="EH42" s="3069"/>
      <c r="EI42" s="3069"/>
      <c r="EJ42" s="3069"/>
      <c r="EK42" s="3069"/>
      <c r="EL42" s="3069"/>
      <c r="EM42" s="3069"/>
      <c r="EN42" s="3069"/>
      <c r="EO42" s="3069"/>
      <c r="EP42" s="3070"/>
      <c r="EQ42" s="2312"/>
      <c r="ER42" s="2309"/>
      <c r="ES42" s="2947" t="str">
        <f>[1]GEAR!$C$17</f>
        <v>Explorer's pack</v>
      </c>
      <c r="ET42" s="2819"/>
      <c r="EU42" s="2819"/>
      <c r="EV42" s="2819"/>
      <c r="EW42" s="2819"/>
      <c r="EX42" s="2819"/>
      <c r="EY42" s="2819"/>
      <c r="EZ42" s="2819"/>
      <c r="FA42" s="2819"/>
      <c r="FB42" s="2819"/>
      <c r="FC42" s="2819"/>
      <c r="FD42" s="2819"/>
      <c r="FE42" s="2819"/>
      <c r="FF42" s="2819"/>
      <c r="FG42" s="2819"/>
      <c r="FH42" s="2819"/>
      <c r="FI42" s="2819"/>
      <c r="FJ42" s="2819"/>
      <c r="FK42" s="2819"/>
      <c r="FL42" s="2819"/>
      <c r="FM42" s="2819"/>
      <c r="FN42" s="2819"/>
      <c r="FO42" s="2819"/>
      <c r="FP42" s="2819"/>
      <c r="FQ42" s="2819"/>
      <c r="FR42" s="2819"/>
      <c r="FS42" s="2819"/>
      <c r="FT42" s="2819"/>
      <c r="FU42" s="2819"/>
      <c r="FV42" s="2819"/>
      <c r="FW42" s="2819"/>
      <c r="FX42" s="2819"/>
      <c r="FY42" s="2819"/>
      <c r="FZ42" s="2820"/>
      <c r="GC42" s="2947"/>
      <c r="GD42" s="2819"/>
      <c r="GE42" s="2819"/>
      <c r="GF42" s="2819"/>
      <c r="GG42" s="2819"/>
      <c r="GH42" s="2819"/>
      <c r="GI42" s="2819"/>
      <c r="GJ42" s="2819"/>
      <c r="GK42" s="2819"/>
      <c r="GL42" s="2819"/>
      <c r="GM42" s="2819"/>
      <c r="GN42" s="2819"/>
      <c r="GO42" s="2819"/>
      <c r="GP42" s="2819"/>
      <c r="GQ42" s="2819"/>
      <c r="GR42" s="2819"/>
      <c r="GS42" s="2819"/>
      <c r="GT42" s="2819"/>
      <c r="GU42" s="2819"/>
      <c r="GV42" s="2819"/>
      <c r="GW42" s="2819"/>
      <c r="GX42" s="2819"/>
      <c r="GY42" s="2819"/>
      <c r="GZ42" s="2819"/>
      <c r="HA42" s="2819"/>
      <c r="HB42" s="2819"/>
      <c r="HC42" s="2819"/>
      <c r="HD42" s="2819"/>
      <c r="HE42" s="2819"/>
      <c r="HF42" s="2819"/>
      <c r="HG42" s="2819"/>
      <c r="HH42" s="2819"/>
      <c r="HI42" s="2819"/>
      <c r="HJ42" s="2820"/>
      <c r="HK42" s="1522"/>
      <c r="HL42" s="2312"/>
    </row>
    <row r="43" spans="2:220" ht="7.5" customHeight="1" thickBot="1">
      <c r="B43" s="2309"/>
      <c r="C43" s="3059" t="s">
        <v>10337</v>
      </c>
      <c r="D43" s="3060"/>
      <c r="E43" s="3060"/>
      <c r="F43" s="3060"/>
      <c r="G43" s="3060"/>
      <c r="H43" s="3060"/>
      <c r="I43" s="3060"/>
      <c r="K43" s="2957"/>
      <c r="L43" s="2958"/>
      <c r="M43" s="2958"/>
      <c r="N43" s="2959"/>
      <c r="O43" s="2945"/>
      <c r="P43" s="2764"/>
      <c r="Q43" s="2764"/>
      <c r="R43" s="2764"/>
      <c r="S43" s="2764"/>
      <c r="T43" s="2764"/>
      <c r="U43" s="2764"/>
      <c r="V43" s="2764"/>
      <c r="W43" s="2765"/>
      <c r="Y43" s="2314"/>
      <c r="Z43" s="918"/>
      <c r="AA43" s="918"/>
      <c r="AB43" s="918"/>
      <c r="AC43" s="918"/>
      <c r="AD43" s="918"/>
      <c r="AE43" s="918"/>
      <c r="AF43" s="918"/>
      <c r="AG43" s="918"/>
      <c r="AH43" s="918"/>
      <c r="AI43" s="918"/>
      <c r="AJ43" s="918"/>
      <c r="AK43" s="918"/>
      <c r="AL43" s="918"/>
      <c r="AM43" s="918"/>
      <c r="AN43" s="918"/>
      <c r="AO43" s="2331"/>
      <c r="AP43" s="2799"/>
      <c r="AQ43" s="2800"/>
      <c r="AR43" s="2800"/>
      <c r="AS43" s="2989"/>
      <c r="AT43" s="2990"/>
      <c r="AU43" s="2990"/>
      <c r="AV43" s="2990"/>
      <c r="AW43" s="2990"/>
      <c r="AX43" s="2990"/>
      <c r="AY43" s="2990"/>
      <c r="AZ43" s="2990"/>
      <c r="BA43" s="2990"/>
      <c r="BB43" s="2990"/>
      <c r="BC43" s="2990"/>
      <c r="BD43" s="2990"/>
      <c r="BE43" s="2990"/>
      <c r="BF43" s="2990"/>
      <c r="BG43" s="2990"/>
      <c r="BH43" s="2990"/>
      <c r="BI43" s="2990"/>
      <c r="BJ43" s="2990"/>
      <c r="BK43" s="2990"/>
      <c r="BL43" s="2990"/>
      <c r="BM43" s="2990"/>
      <c r="BN43" s="2990"/>
      <c r="BO43" s="2990"/>
      <c r="BP43" s="2990"/>
      <c r="BQ43" s="2990"/>
      <c r="BR43" s="2990"/>
      <c r="BS43" s="2990"/>
      <c r="BT43" s="2990"/>
      <c r="BU43" s="2991"/>
      <c r="BV43" s="2312"/>
      <c r="BX43" s="3062" t="str">
        <f>IFERROR(#REF!,"")</f>
        <v/>
      </c>
      <c r="BY43" s="3063"/>
      <c r="BZ43" s="3063"/>
      <c r="CA43" s="3063"/>
      <c r="CB43" s="3063"/>
      <c r="CC43" s="3063"/>
      <c r="CD43" s="3063"/>
      <c r="CE43" s="3063"/>
      <c r="CF43" s="3063"/>
      <c r="CG43" s="3063"/>
      <c r="CH43" s="3063"/>
      <c r="CI43" s="3063"/>
      <c r="CJ43" s="3063"/>
      <c r="CK43" s="3063"/>
      <c r="CL43" s="3063"/>
      <c r="CM43" s="3063"/>
      <c r="CN43" s="3063"/>
      <c r="CO43" s="3063"/>
      <c r="CP43" s="3064"/>
      <c r="CR43" s="2849"/>
      <c r="CS43" s="2850"/>
      <c r="CT43" s="2850"/>
      <c r="CU43" s="2850"/>
      <c r="CV43" s="2850"/>
      <c r="CW43" s="2850"/>
      <c r="CX43" s="2850"/>
      <c r="CY43" s="2850"/>
      <c r="CZ43" s="2850"/>
      <c r="DA43" s="2850"/>
      <c r="DB43" s="2850"/>
      <c r="DC43" s="2850"/>
      <c r="DD43" s="2850"/>
      <c r="DE43" s="2850"/>
      <c r="DF43" s="2850"/>
      <c r="DG43" s="2850"/>
      <c r="DH43" s="2850"/>
      <c r="DI43" s="2850"/>
      <c r="DJ43" s="2850"/>
      <c r="DK43" s="2850"/>
      <c r="DL43" s="2850"/>
      <c r="DM43" s="2850"/>
      <c r="DN43" s="2850"/>
      <c r="DO43" s="2850"/>
      <c r="DP43" s="2850"/>
      <c r="DQ43" s="2850"/>
      <c r="DR43" s="2850"/>
      <c r="DS43" s="2850"/>
      <c r="DT43" s="2850"/>
      <c r="DU43" s="2850"/>
      <c r="DV43" s="2850"/>
      <c r="DW43" s="2851"/>
      <c r="DY43" s="3065" t="e">
        <f>IF(#REF!="Mystic",[1]CLASS!G381,"")</f>
        <v>#REF!</v>
      </c>
      <c r="DZ43" s="3066"/>
      <c r="EA43" s="3066"/>
      <c r="EB43" s="3066"/>
      <c r="EC43" s="3066"/>
      <c r="ED43" s="3066"/>
      <c r="EE43" s="3066"/>
      <c r="EF43" s="3066"/>
      <c r="EG43" s="3066"/>
      <c r="EH43" s="3066"/>
      <c r="EI43" s="3066"/>
      <c r="EJ43" s="3066"/>
      <c r="EK43" s="3066"/>
      <c r="EL43" s="3066"/>
      <c r="EM43" s="3066"/>
      <c r="EN43" s="3066"/>
      <c r="EO43" s="3066"/>
      <c r="EP43" s="3067"/>
      <c r="EQ43" s="2312"/>
      <c r="ER43" s="2309"/>
      <c r="ES43" s="2824"/>
      <c r="ET43" s="2825"/>
      <c r="EU43" s="2825"/>
      <c r="EV43" s="2825"/>
      <c r="EW43" s="2825"/>
      <c r="EX43" s="2825"/>
      <c r="EY43" s="2825"/>
      <c r="EZ43" s="2825"/>
      <c r="FA43" s="2825"/>
      <c r="FB43" s="2825"/>
      <c r="FC43" s="2825"/>
      <c r="FD43" s="2825"/>
      <c r="FE43" s="2825"/>
      <c r="FF43" s="2825"/>
      <c r="FG43" s="2825"/>
      <c r="FH43" s="2825"/>
      <c r="FI43" s="2825"/>
      <c r="FJ43" s="2825"/>
      <c r="FK43" s="2825"/>
      <c r="FL43" s="2825"/>
      <c r="FM43" s="2825"/>
      <c r="FN43" s="2825"/>
      <c r="FO43" s="2825"/>
      <c r="FP43" s="2825"/>
      <c r="FQ43" s="2825"/>
      <c r="FR43" s="2825"/>
      <c r="FS43" s="2825"/>
      <c r="FT43" s="2825"/>
      <c r="FU43" s="2825"/>
      <c r="FV43" s="2825"/>
      <c r="FW43" s="2825"/>
      <c r="FX43" s="2825"/>
      <c r="FY43" s="2825"/>
      <c r="FZ43" s="2826"/>
      <c r="GC43" s="2824"/>
      <c r="GD43" s="2825"/>
      <c r="GE43" s="2825"/>
      <c r="GF43" s="2825"/>
      <c r="GG43" s="2825"/>
      <c r="GH43" s="2825"/>
      <c r="GI43" s="2825"/>
      <c r="GJ43" s="2825"/>
      <c r="GK43" s="2825"/>
      <c r="GL43" s="2825"/>
      <c r="GM43" s="2825"/>
      <c r="GN43" s="2825"/>
      <c r="GO43" s="2825"/>
      <c r="GP43" s="2825"/>
      <c r="GQ43" s="2825"/>
      <c r="GR43" s="2825"/>
      <c r="GS43" s="2825"/>
      <c r="GT43" s="2825"/>
      <c r="GU43" s="2825"/>
      <c r="GV43" s="2825"/>
      <c r="GW43" s="2825"/>
      <c r="GX43" s="2825"/>
      <c r="GY43" s="2825"/>
      <c r="GZ43" s="2825"/>
      <c r="HA43" s="2825"/>
      <c r="HB43" s="2825"/>
      <c r="HC43" s="2825"/>
      <c r="HD43" s="2825"/>
      <c r="HE43" s="2825"/>
      <c r="HF43" s="2825"/>
      <c r="HG43" s="2825"/>
      <c r="HH43" s="2825"/>
      <c r="HI43" s="2825"/>
      <c r="HJ43" s="2826"/>
      <c r="HK43" s="1522"/>
      <c r="HL43" s="2312"/>
    </row>
    <row r="44" spans="2:220" ht="7.5" customHeight="1">
      <c r="B44" s="2309"/>
      <c r="C44" s="3061"/>
      <c r="D44" s="3061"/>
      <c r="E44" s="3061"/>
      <c r="F44" s="3061"/>
      <c r="G44" s="3061"/>
      <c r="H44" s="3061"/>
      <c r="I44" s="3061"/>
      <c r="K44" s="2901">
        <f>[1]SKILLS!$I$31</f>
        <v>2</v>
      </c>
      <c r="L44" s="2955"/>
      <c r="M44" s="2955"/>
      <c r="N44" s="2956"/>
      <c r="O44" s="2944" t="s">
        <v>6950</v>
      </c>
      <c r="P44" s="2760"/>
      <c r="Q44" s="2760"/>
      <c r="R44" s="2760"/>
      <c r="S44" s="2760"/>
      <c r="T44" s="2760"/>
      <c r="U44" s="2760"/>
      <c r="V44" s="2760"/>
      <c r="W44" s="2761"/>
      <c r="Y44" s="3071" t="s">
        <v>10338</v>
      </c>
      <c r="Z44" s="3072"/>
      <c r="AA44" s="3072"/>
      <c r="AB44" s="3072"/>
      <c r="AC44" s="3072"/>
      <c r="AD44" s="3072"/>
      <c r="AE44" s="3072"/>
      <c r="AF44" s="3072"/>
      <c r="AG44" s="3072"/>
      <c r="AH44" s="3072"/>
      <c r="AI44" s="3072"/>
      <c r="AJ44" s="3072"/>
      <c r="AK44" s="3072"/>
      <c r="AL44" s="3072"/>
      <c r="AM44" s="3072"/>
      <c r="AN44" s="3073"/>
      <c r="AO44" s="2331"/>
      <c r="AP44" s="2988">
        <v>13</v>
      </c>
      <c r="AQ44" s="2794"/>
      <c r="AR44" s="2794"/>
      <c r="AS44" s="2989"/>
      <c r="AT44" s="2990"/>
      <c r="AU44" s="2990"/>
      <c r="AV44" s="2990"/>
      <c r="AW44" s="2990"/>
      <c r="AX44" s="2990"/>
      <c r="AY44" s="2990"/>
      <c r="AZ44" s="2990"/>
      <c r="BA44" s="2990"/>
      <c r="BB44" s="2990"/>
      <c r="BC44" s="2990"/>
      <c r="BD44" s="2990"/>
      <c r="BE44" s="2990"/>
      <c r="BF44" s="2990"/>
      <c r="BG44" s="2990"/>
      <c r="BH44" s="2990"/>
      <c r="BI44" s="2990"/>
      <c r="BJ44" s="2990"/>
      <c r="BK44" s="2990"/>
      <c r="BL44" s="2990"/>
      <c r="BM44" s="2990"/>
      <c r="BN44" s="2990"/>
      <c r="BO44" s="2990"/>
      <c r="BP44" s="2990"/>
      <c r="BQ44" s="2990"/>
      <c r="BR44" s="2990"/>
      <c r="BS44" s="2990"/>
      <c r="BT44" s="2990"/>
      <c r="BU44" s="2991"/>
      <c r="BV44" s="2312"/>
      <c r="BX44" s="3063"/>
      <c r="BY44" s="3063"/>
      <c r="BZ44" s="3063"/>
      <c r="CA44" s="3063"/>
      <c r="CB44" s="3063"/>
      <c r="CC44" s="3063"/>
      <c r="CD44" s="3063"/>
      <c r="CE44" s="3063"/>
      <c r="CF44" s="3063"/>
      <c r="CG44" s="3063"/>
      <c r="CH44" s="3063"/>
      <c r="CI44" s="3063"/>
      <c r="CJ44" s="3063"/>
      <c r="CK44" s="3063"/>
      <c r="CL44" s="3063"/>
      <c r="CM44" s="3063"/>
      <c r="CN44" s="3063"/>
      <c r="CO44" s="3063"/>
      <c r="CP44" s="3064"/>
      <c r="CR44" s="2852"/>
      <c r="CS44" s="2853"/>
      <c r="CT44" s="2853"/>
      <c r="CU44" s="2853"/>
      <c r="CV44" s="2853"/>
      <c r="CW44" s="2853"/>
      <c r="CX44" s="2853"/>
      <c r="CY44" s="2853"/>
      <c r="CZ44" s="2853"/>
      <c r="DA44" s="2853"/>
      <c r="DB44" s="2853"/>
      <c r="DC44" s="2853"/>
      <c r="DD44" s="2853"/>
      <c r="DE44" s="2853"/>
      <c r="DF44" s="2853"/>
      <c r="DG44" s="2853"/>
      <c r="DH44" s="2853"/>
      <c r="DI44" s="2853"/>
      <c r="DJ44" s="2853"/>
      <c r="DK44" s="2853"/>
      <c r="DL44" s="2853"/>
      <c r="DM44" s="2853"/>
      <c r="DN44" s="2853"/>
      <c r="DO44" s="2853"/>
      <c r="DP44" s="2853"/>
      <c r="DQ44" s="2853"/>
      <c r="DR44" s="2853"/>
      <c r="DS44" s="2853"/>
      <c r="DT44" s="2853"/>
      <c r="DU44" s="2853"/>
      <c r="DV44" s="2853"/>
      <c r="DW44" s="2854"/>
      <c r="DY44" s="3068"/>
      <c r="DZ44" s="3069"/>
      <c r="EA44" s="3069"/>
      <c r="EB44" s="3069"/>
      <c r="EC44" s="3069"/>
      <c r="ED44" s="3069"/>
      <c r="EE44" s="3069"/>
      <c r="EF44" s="3069"/>
      <c r="EG44" s="3069"/>
      <c r="EH44" s="3069"/>
      <c r="EI44" s="3069"/>
      <c r="EJ44" s="3069"/>
      <c r="EK44" s="3069"/>
      <c r="EL44" s="3069"/>
      <c r="EM44" s="3069"/>
      <c r="EN44" s="3069"/>
      <c r="EO44" s="3069"/>
      <c r="EP44" s="3070"/>
      <c r="EQ44" s="2312"/>
      <c r="ER44" s="2309"/>
      <c r="ES44" s="2947"/>
      <c r="ET44" s="2819"/>
      <c r="EU44" s="2819"/>
      <c r="EV44" s="2819"/>
      <c r="EW44" s="2819"/>
      <c r="EX44" s="2819"/>
      <c r="EY44" s="2819"/>
      <c r="EZ44" s="2819"/>
      <c r="FA44" s="2819"/>
      <c r="FB44" s="2819"/>
      <c r="FC44" s="2819"/>
      <c r="FD44" s="2819"/>
      <c r="FE44" s="2819"/>
      <c r="FF44" s="2819"/>
      <c r="FG44" s="2819"/>
      <c r="FH44" s="2819"/>
      <c r="FI44" s="2819"/>
      <c r="FJ44" s="2819"/>
      <c r="FK44" s="2819"/>
      <c r="FL44" s="2819"/>
      <c r="FM44" s="2819"/>
      <c r="FN44" s="2819"/>
      <c r="FO44" s="2819"/>
      <c r="FP44" s="2819"/>
      <c r="FQ44" s="2819"/>
      <c r="FR44" s="2819"/>
      <c r="FS44" s="2819"/>
      <c r="FT44" s="2819"/>
      <c r="FU44" s="2819"/>
      <c r="FV44" s="2819"/>
      <c r="FW44" s="2819"/>
      <c r="FX44" s="2819"/>
      <c r="FY44" s="2819"/>
      <c r="FZ44" s="2820"/>
      <c r="GC44" s="2947"/>
      <c r="GD44" s="2819"/>
      <c r="GE44" s="2819"/>
      <c r="GF44" s="2819"/>
      <c r="GG44" s="2819"/>
      <c r="GH44" s="2819"/>
      <c r="GI44" s="2819"/>
      <c r="GJ44" s="2819"/>
      <c r="GK44" s="2819"/>
      <c r="GL44" s="2819"/>
      <c r="GM44" s="2819"/>
      <c r="GN44" s="2819"/>
      <c r="GO44" s="2819"/>
      <c r="GP44" s="2819"/>
      <c r="GQ44" s="2819"/>
      <c r="GR44" s="2819"/>
      <c r="GS44" s="2819"/>
      <c r="GT44" s="2819"/>
      <c r="GU44" s="2819"/>
      <c r="GV44" s="2819"/>
      <c r="GW44" s="2819"/>
      <c r="GX44" s="2819"/>
      <c r="GY44" s="2819"/>
      <c r="GZ44" s="2819"/>
      <c r="HA44" s="2819"/>
      <c r="HB44" s="2819"/>
      <c r="HC44" s="2819"/>
      <c r="HD44" s="2819"/>
      <c r="HE44" s="2819"/>
      <c r="HF44" s="2819"/>
      <c r="HG44" s="2819"/>
      <c r="HH44" s="2819"/>
      <c r="HI44" s="2819"/>
      <c r="HJ44" s="2820"/>
      <c r="HK44" s="1522"/>
      <c r="HL44" s="2312"/>
    </row>
    <row r="45" spans="2:220" ht="7.5" customHeight="1" thickBot="1">
      <c r="B45" s="2309"/>
      <c r="C45" s="2948">
        <f>[1]ABILITIES!Q27</f>
        <v>19.019143666433976</v>
      </c>
      <c r="D45" s="2794"/>
      <c r="E45" s="2794"/>
      <c r="F45" s="2794"/>
      <c r="G45" s="2794"/>
      <c r="H45" s="2794"/>
      <c r="I45" s="2795"/>
      <c r="K45" s="2957"/>
      <c r="L45" s="2958"/>
      <c r="M45" s="2958"/>
      <c r="N45" s="2959"/>
      <c r="O45" s="2945"/>
      <c r="P45" s="2764"/>
      <c r="Q45" s="2764"/>
      <c r="R45" s="2764"/>
      <c r="S45" s="2764"/>
      <c r="T45" s="2764"/>
      <c r="U45" s="2764"/>
      <c r="V45" s="2764"/>
      <c r="W45" s="2765"/>
      <c r="Y45" s="3074"/>
      <c r="Z45" s="3075"/>
      <c r="AA45" s="3075"/>
      <c r="AB45" s="3075"/>
      <c r="AC45" s="3075"/>
      <c r="AD45" s="3075"/>
      <c r="AE45" s="3075"/>
      <c r="AF45" s="3075"/>
      <c r="AG45" s="3075"/>
      <c r="AH45" s="3075"/>
      <c r="AI45" s="3075"/>
      <c r="AJ45" s="3075"/>
      <c r="AK45" s="3075"/>
      <c r="AL45" s="3075"/>
      <c r="AM45" s="3075"/>
      <c r="AN45" s="3076"/>
      <c r="AP45" s="2799"/>
      <c r="AQ45" s="2800"/>
      <c r="AR45" s="2800"/>
      <c r="AS45" s="2989"/>
      <c r="AT45" s="2990"/>
      <c r="AU45" s="2990"/>
      <c r="AV45" s="2990"/>
      <c r="AW45" s="2990"/>
      <c r="AX45" s="2990"/>
      <c r="AY45" s="2990"/>
      <c r="AZ45" s="2990"/>
      <c r="BA45" s="2990"/>
      <c r="BB45" s="2990"/>
      <c r="BC45" s="2990"/>
      <c r="BD45" s="2990"/>
      <c r="BE45" s="2990"/>
      <c r="BF45" s="2990"/>
      <c r="BG45" s="2990"/>
      <c r="BH45" s="2990"/>
      <c r="BI45" s="2990"/>
      <c r="BJ45" s="2990"/>
      <c r="BK45" s="2990"/>
      <c r="BL45" s="2990"/>
      <c r="BM45" s="2990"/>
      <c r="BN45" s="2990"/>
      <c r="BO45" s="2990"/>
      <c r="BP45" s="2990"/>
      <c r="BQ45" s="2990"/>
      <c r="BR45" s="2990"/>
      <c r="BS45" s="2990"/>
      <c r="BT45" s="2990"/>
      <c r="BU45" s="2991"/>
      <c r="BV45" s="2312"/>
      <c r="EQ45" s="2312"/>
      <c r="ER45" s="2309"/>
      <c r="ES45" s="2824"/>
      <c r="ET45" s="2825"/>
      <c r="EU45" s="2825"/>
      <c r="EV45" s="2825"/>
      <c r="EW45" s="2825"/>
      <c r="EX45" s="2825"/>
      <c r="EY45" s="2825"/>
      <c r="EZ45" s="2825"/>
      <c r="FA45" s="2825"/>
      <c r="FB45" s="2825"/>
      <c r="FC45" s="2825"/>
      <c r="FD45" s="2825"/>
      <c r="FE45" s="2825"/>
      <c r="FF45" s="2825"/>
      <c r="FG45" s="2825"/>
      <c r="FH45" s="2825"/>
      <c r="FI45" s="2825"/>
      <c r="FJ45" s="2825"/>
      <c r="FK45" s="2825"/>
      <c r="FL45" s="2825"/>
      <c r="FM45" s="2825"/>
      <c r="FN45" s="2825"/>
      <c r="FO45" s="2825"/>
      <c r="FP45" s="2825"/>
      <c r="FQ45" s="2825"/>
      <c r="FR45" s="2825"/>
      <c r="FS45" s="2825"/>
      <c r="FT45" s="2825"/>
      <c r="FU45" s="2825"/>
      <c r="FV45" s="2825"/>
      <c r="FW45" s="2825"/>
      <c r="FX45" s="2825"/>
      <c r="FY45" s="2825"/>
      <c r="FZ45" s="2826"/>
      <c r="GC45" s="2824"/>
      <c r="GD45" s="2825"/>
      <c r="GE45" s="2825"/>
      <c r="GF45" s="2825"/>
      <c r="GG45" s="2825"/>
      <c r="GH45" s="2825"/>
      <c r="GI45" s="2825"/>
      <c r="GJ45" s="2825"/>
      <c r="GK45" s="2825"/>
      <c r="GL45" s="2825"/>
      <c r="GM45" s="2825"/>
      <c r="GN45" s="2825"/>
      <c r="GO45" s="2825"/>
      <c r="GP45" s="2825"/>
      <c r="GQ45" s="2825"/>
      <c r="GR45" s="2825"/>
      <c r="GS45" s="2825"/>
      <c r="GT45" s="2825"/>
      <c r="GU45" s="2825"/>
      <c r="GV45" s="2825"/>
      <c r="GW45" s="2825"/>
      <c r="GX45" s="2825"/>
      <c r="GY45" s="2825"/>
      <c r="GZ45" s="2825"/>
      <c r="HA45" s="2825"/>
      <c r="HB45" s="2825"/>
      <c r="HC45" s="2825"/>
      <c r="HD45" s="2825"/>
      <c r="HE45" s="2825"/>
      <c r="HF45" s="2825"/>
      <c r="HG45" s="2825"/>
      <c r="HH45" s="2825"/>
      <c r="HI45" s="2825"/>
      <c r="HJ45" s="2826"/>
      <c r="HK45" s="1522"/>
      <c r="HL45" s="2312"/>
    </row>
    <row r="46" spans="2:220" ht="7.5" customHeight="1">
      <c r="B46" s="2309"/>
      <c r="C46" s="2796"/>
      <c r="D46" s="2797"/>
      <c r="E46" s="2797"/>
      <c r="F46" s="2797"/>
      <c r="G46" s="2797"/>
      <c r="H46" s="2797"/>
      <c r="I46" s="2798"/>
      <c r="K46" s="2901">
        <f>[1]SKILLS!$I$32</f>
        <v>4</v>
      </c>
      <c r="L46" s="2955"/>
      <c r="M46" s="2955"/>
      <c r="N46" s="2956"/>
      <c r="O46" s="2944" t="s">
        <v>6952</v>
      </c>
      <c r="P46" s="2760"/>
      <c r="Q46" s="2760"/>
      <c r="R46" s="2760"/>
      <c r="S46" s="2760"/>
      <c r="T46" s="2760"/>
      <c r="U46" s="2760"/>
      <c r="V46" s="2760"/>
      <c r="W46" s="2761"/>
      <c r="Y46" s="3077" t="s">
        <v>10339</v>
      </c>
      <c r="Z46" s="3078"/>
      <c r="AA46" s="3078"/>
      <c r="AB46" s="3078"/>
      <c r="AC46" s="3078"/>
      <c r="AD46" s="3078"/>
      <c r="AE46" s="3078"/>
      <c r="AF46" s="3078"/>
      <c r="AG46" s="3078"/>
      <c r="AH46" s="3078"/>
      <c r="AI46" s="3078"/>
      <c r="AJ46" s="3078"/>
      <c r="AK46" s="3078"/>
      <c r="AL46" s="3078"/>
      <c r="AM46" s="3078"/>
      <c r="AN46" s="3079"/>
      <c r="AP46" s="2988">
        <v>14</v>
      </c>
      <c r="AQ46" s="2794"/>
      <c r="AR46" s="2794"/>
      <c r="AS46" s="2989"/>
      <c r="AT46" s="2990"/>
      <c r="AU46" s="2990"/>
      <c r="AV46" s="2990"/>
      <c r="AW46" s="2990"/>
      <c r="AX46" s="2990"/>
      <c r="AY46" s="2990"/>
      <c r="AZ46" s="2990"/>
      <c r="BA46" s="2990"/>
      <c r="BB46" s="2990"/>
      <c r="BC46" s="2990"/>
      <c r="BD46" s="2990"/>
      <c r="BE46" s="2990"/>
      <c r="BF46" s="2990"/>
      <c r="BG46" s="2990"/>
      <c r="BH46" s="2990"/>
      <c r="BI46" s="2990"/>
      <c r="BJ46" s="2990"/>
      <c r="BK46" s="2990"/>
      <c r="BL46" s="2990"/>
      <c r="BM46" s="2990"/>
      <c r="BN46" s="2990"/>
      <c r="BO46" s="2990"/>
      <c r="BP46" s="2990"/>
      <c r="BQ46" s="2990"/>
      <c r="BR46" s="2990"/>
      <c r="BS46" s="2990"/>
      <c r="BT46" s="2990"/>
      <c r="BU46" s="2991"/>
      <c r="BV46" s="2312"/>
      <c r="BW46" s="2309"/>
      <c r="BX46" s="2314"/>
      <c r="BY46" s="3027" t="s">
        <v>10340</v>
      </c>
      <c r="BZ46" s="3028"/>
      <c r="CA46" s="3028"/>
      <c r="CB46" s="3028"/>
      <c r="CC46" s="3028"/>
      <c r="CD46" s="3028"/>
      <c r="CE46" s="3028"/>
      <c r="CF46" s="3028"/>
      <c r="CG46" s="3028"/>
      <c r="CH46" s="3028"/>
      <c r="CI46" s="3028"/>
      <c r="CJ46" s="3028"/>
      <c r="CK46" s="3028"/>
      <c r="CL46" s="3028"/>
      <c r="CM46" s="3028"/>
      <c r="CN46" s="3028"/>
      <c r="CO46" s="3028"/>
      <c r="CP46" s="3029"/>
      <c r="CQ46" s="2332"/>
      <c r="CR46" s="2996" t="s">
        <v>10341</v>
      </c>
      <c r="CS46" s="3033"/>
      <c r="CT46" s="3033"/>
      <c r="CU46" s="3033"/>
      <c r="CV46" s="3033"/>
      <c r="CW46" s="3033"/>
      <c r="CX46" s="3033"/>
      <c r="CY46" s="3033"/>
      <c r="CZ46" s="3033"/>
      <c r="DA46" s="3033"/>
      <c r="DB46" s="3033"/>
      <c r="DC46" s="3033"/>
      <c r="DD46" s="3033"/>
      <c r="DE46" s="3033"/>
      <c r="DF46" s="3033"/>
      <c r="DG46" s="3034"/>
      <c r="DI46" s="2996" t="s">
        <v>10342</v>
      </c>
      <c r="DJ46" s="3033"/>
      <c r="DK46" s="3033"/>
      <c r="DL46" s="3033"/>
      <c r="DM46" s="3033"/>
      <c r="DN46" s="3033"/>
      <c r="DO46" s="3033"/>
      <c r="DP46" s="3033"/>
      <c r="DQ46" s="3033"/>
      <c r="DR46" s="3033"/>
      <c r="DS46" s="3033"/>
      <c r="DT46" s="3033"/>
      <c r="DU46" s="3033"/>
      <c r="DV46" s="3033"/>
      <c r="DW46" s="3037"/>
      <c r="DY46" s="2861" t="s">
        <v>10343</v>
      </c>
      <c r="DZ46" s="3039"/>
      <c r="EA46" s="3039"/>
      <c r="EB46" s="3039"/>
      <c r="EC46" s="3039"/>
      <c r="ED46" s="3039"/>
      <c r="EE46" s="3039"/>
      <c r="EF46" s="3039"/>
      <c r="EG46" s="3039"/>
      <c r="EH46" s="3039"/>
      <c r="EI46" s="3039"/>
      <c r="EJ46" s="3039"/>
      <c r="EK46" s="3039"/>
      <c r="EL46" s="3039"/>
      <c r="EM46" s="3039"/>
      <c r="EN46" s="3039"/>
      <c r="EO46" s="3040"/>
      <c r="EQ46" s="2312"/>
      <c r="ER46" s="2309"/>
      <c r="ES46" s="2947"/>
      <c r="ET46" s="2819"/>
      <c r="EU46" s="2819"/>
      <c r="EV46" s="2819"/>
      <c r="EW46" s="2819"/>
      <c r="EX46" s="2819"/>
      <c r="EY46" s="2819"/>
      <c r="EZ46" s="2819"/>
      <c r="FA46" s="2819"/>
      <c r="FB46" s="2819"/>
      <c r="FC46" s="2819"/>
      <c r="FD46" s="2819"/>
      <c r="FE46" s="2819"/>
      <c r="FF46" s="2819"/>
      <c r="FG46" s="2819"/>
      <c r="FH46" s="2819"/>
      <c r="FI46" s="2819"/>
      <c r="FJ46" s="2819"/>
      <c r="FK46" s="2819"/>
      <c r="FL46" s="2819"/>
      <c r="FM46" s="2819"/>
      <c r="FN46" s="2819"/>
      <c r="FO46" s="2819"/>
      <c r="FP46" s="2819"/>
      <c r="FQ46" s="2819"/>
      <c r="FR46" s="2819"/>
      <c r="FS46" s="2819"/>
      <c r="FT46" s="2819"/>
      <c r="FU46" s="2819"/>
      <c r="FV46" s="2819"/>
      <c r="FW46" s="2819"/>
      <c r="FX46" s="2819"/>
      <c r="FY46" s="2819"/>
      <c r="FZ46" s="2820"/>
      <c r="GC46" s="2947"/>
      <c r="GD46" s="2819"/>
      <c r="GE46" s="2819"/>
      <c r="GF46" s="2819"/>
      <c r="GG46" s="2819"/>
      <c r="GH46" s="2819"/>
      <c r="GI46" s="2819"/>
      <c r="GJ46" s="2819"/>
      <c r="GK46" s="2819"/>
      <c r="GL46" s="2819"/>
      <c r="GM46" s="2819"/>
      <c r="GN46" s="2819"/>
      <c r="GO46" s="2819"/>
      <c r="GP46" s="2819"/>
      <c r="GQ46" s="2819"/>
      <c r="GR46" s="2819"/>
      <c r="GS46" s="2819"/>
      <c r="GT46" s="2819"/>
      <c r="GU46" s="2819"/>
      <c r="GV46" s="2819"/>
      <c r="GW46" s="2819"/>
      <c r="GX46" s="2819"/>
      <c r="GY46" s="2819"/>
      <c r="GZ46" s="2819"/>
      <c r="HA46" s="2819"/>
      <c r="HB46" s="2819"/>
      <c r="HC46" s="2819"/>
      <c r="HD46" s="2819"/>
      <c r="HE46" s="2819"/>
      <c r="HF46" s="2819"/>
      <c r="HG46" s="2819"/>
      <c r="HH46" s="2819"/>
      <c r="HI46" s="2819"/>
      <c r="HJ46" s="2820"/>
      <c r="HK46" s="1522"/>
      <c r="HL46" s="2312"/>
    </row>
    <row r="47" spans="2:220" ht="7.5" customHeight="1" thickBot="1">
      <c r="B47" s="2309"/>
      <c r="C47" s="2796"/>
      <c r="D47" s="2797"/>
      <c r="E47" s="2797"/>
      <c r="F47" s="2797"/>
      <c r="G47" s="2797"/>
      <c r="H47" s="2797"/>
      <c r="I47" s="2798"/>
      <c r="K47" s="2957"/>
      <c r="L47" s="2958"/>
      <c r="M47" s="2958"/>
      <c r="N47" s="2959"/>
      <c r="O47" s="2945"/>
      <c r="P47" s="2764"/>
      <c r="Q47" s="2764"/>
      <c r="R47" s="2764"/>
      <c r="S47" s="2764"/>
      <c r="T47" s="2764"/>
      <c r="U47" s="2764"/>
      <c r="V47" s="2764"/>
      <c r="W47" s="2765"/>
      <c r="Y47" s="3057"/>
      <c r="Z47" s="2965"/>
      <c r="AA47" s="2965"/>
      <c r="AB47" s="2965"/>
      <c r="AC47" s="2965"/>
      <c r="AD47" s="2965"/>
      <c r="AE47" s="2965"/>
      <c r="AF47" s="2965"/>
      <c r="AG47" s="2965"/>
      <c r="AH47" s="2965"/>
      <c r="AI47" s="2965"/>
      <c r="AJ47" s="2965"/>
      <c r="AK47" s="2965"/>
      <c r="AL47" s="2965"/>
      <c r="AM47" s="2965"/>
      <c r="AN47" s="3058"/>
      <c r="AP47" s="2799"/>
      <c r="AQ47" s="2800"/>
      <c r="AR47" s="2800"/>
      <c r="AS47" s="2989"/>
      <c r="AT47" s="2990"/>
      <c r="AU47" s="2990"/>
      <c r="AV47" s="2990"/>
      <c r="AW47" s="2990"/>
      <c r="AX47" s="2990"/>
      <c r="AY47" s="2990"/>
      <c r="AZ47" s="2990"/>
      <c r="BA47" s="2990"/>
      <c r="BB47" s="2990"/>
      <c r="BC47" s="2990"/>
      <c r="BD47" s="2990"/>
      <c r="BE47" s="2990"/>
      <c r="BF47" s="2990"/>
      <c r="BG47" s="2990"/>
      <c r="BH47" s="2990"/>
      <c r="BI47" s="2990"/>
      <c r="BJ47" s="2990"/>
      <c r="BK47" s="2990"/>
      <c r="BL47" s="2990"/>
      <c r="BM47" s="2990"/>
      <c r="BN47" s="2990"/>
      <c r="BO47" s="2990"/>
      <c r="BP47" s="2990"/>
      <c r="BQ47" s="2990"/>
      <c r="BR47" s="2990"/>
      <c r="BS47" s="2990"/>
      <c r="BT47" s="2990"/>
      <c r="BU47" s="2991"/>
      <c r="BV47" s="2312"/>
      <c r="BW47" s="2309"/>
      <c r="BX47" s="2332"/>
      <c r="BY47" s="3030"/>
      <c r="BZ47" s="3031"/>
      <c r="CA47" s="3031"/>
      <c r="CB47" s="3031"/>
      <c r="CC47" s="3031"/>
      <c r="CD47" s="3031"/>
      <c r="CE47" s="3031"/>
      <c r="CF47" s="3031"/>
      <c r="CG47" s="3031"/>
      <c r="CH47" s="3031"/>
      <c r="CI47" s="3031"/>
      <c r="CJ47" s="3031"/>
      <c r="CK47" s="3031"/>
      <c r="CL47" s="3031"/>
      <c r="CM47" s="3031"/>
      <c r="CN47" s="3031"/>
      <c r="CO47" s="3031"/>
      <c r="CP47" s="3032"/>
      <c r="CQ47" s="2332"/>
      <c r="CR47" s="3035"/>
      <c r="CS47" s="3036"/>
      <c r="CT47" s="3036"/>
      <c r="CU47" s="3036"/>
      <c r="CV47" s="3036"/>
      <c r="CW47" s="3036"/>
      <c r="CX47" s="3036"/>
      <c r="CY47" s="3036"/>
      <c r="CZ47" s="3036"/>
      <c r="DA47" s="3036"/>
      <c r="DB47" s="3036"/>
      <c r="DC47" s="3036"/>
      <c r="DD47" s="3036"/>
      <c r="DE47" s="3036"/>
      <c r="DF47" s="3036"/>
      <c r="DG47" s="3006"/>
      <c r="DI47" s="3035"/>
      <c r="DJ47" s="3036"/>
      <c r="DK47" s="3036"/>
      <c r="DL47" s="3036"/>
      <c r="DM47" s="3036"/>
      <c r="DN47" s="3036"/>
      <c r="DO47" s="3036"/>
      <c r="DP47" s="3036"/>
      <c r="DQ47" s="3036"/>
      <c r="DR47" s="3036"/>
      <c r="DS47" s="3036"/>
      <c r="DT47" s="3036"/>
      <c r="DU47" s="3036"/>
      <c r="DV47" s="3036"/>
      <c r="DW47" s="3038"/>
      <c r="DY47" s="3041"/>
      <c r="DZ47" s="2887"/>
      <c r="EA47" s="2887"/>
      <c r="EB47" s="2887"/>
      <c r="EC47" s="2887"/>
      <c r="ED47" s="2887"/>
      <c r="EE47" s="2887"/>
      <c r="EF47" s="2887"/>
      <c r="EG47" s="2887"/>
      <c r="EH47" s="2887"/>
      <c r="EI47" s="2887"/>
      <c r="EJ47" s="2887"/>
      <c r="EK47" s="2887"/>
      <c r="EL47" s="2887"/>
      <c r="EM47" s="2887"/>
      <c r="EN47" s="2887"/>
      <c r="EO47" s="3042"/>
      <c r="EQ47" s="2312"/>
      <c r="ER47" s="2309"/>
      <c r="ES47" s="2824"/>
      <c r="ET47" s="2825"/>
      <c r="EU47" s="2825"/>
      <c r="EV47" s="2825"/>
      <c r="EW47" s="2825"/>
      <c r="EX47" s="2825"/>
      <c r="EY47" s="2825"/>
      <c r="EZ47" s="2825"/>
      <c r="FA47" s="2825"/>
      <c r="FB47" s="2825"/>
      <c r="FC47" s="2825"/>
      <c r="FD47" s="2825"/>
      <c r="FE47" s="2825"/>
      <c r="FF47" s="2825"/>
      <c r="FG47" s="2825"/>
      <c r="FH47" s="2825"/>
      <c r="FI47" s="2825"/>
      <c r="FJ47" s="2825"/>
      <c r="FK47" s="2825"/>
      <c r="FL47" s="2825"/>
      <c r="FM47" s="2825"/>
      <c r="FN47" s="2825"/>
      <c r="FO47" s="2825"/>
      <c r="FP47" s="2825"/>
      <c r="FQ47" s="2825"/>
      <c r="FR47" s="2825"/>
      <c r="FS47" s="2825"/>
      <c r="FT47" s="2825"/>
      <c r="FU47" s="2825"/>
      <c r="FV47" s="2825"/>
      <c r="FW47" s="2825"/>
      <c r="FX47" s="2825"/>
      <c r="FY47" s="2825"/>
      <c r="FZ47" s="2826"/>
      <c r="GC47" s="2824"/>
      <c r="GD47" s="2825"/>
      <c r="GE47" s="2825"/>
      <c r="GF47" s="2825"/>
      <c r="GG47" s="2825"/>
      <c r="GH47" s="2825"/>
      <c r="GI47" s="2825"/>
      <c r="GJ47" s="2825"/>
      <c r="GK47" s="2825"/>
      <c r="GL47" s="2825"/>
      <c r="GM47" s="2825"/>
      <c r="GN47" s="2825"/>
      <c r="GO47" s="2825"/>
      <c r="GP47" s="2825"/>
      <c r="GQ47" s="2825"/>
      <c r="GR47" s="2825"/>
      <c r="GS47" s="2825"/>
      <c r="GT47" s="2825"/>
      <c r="GU47" s="2825"/>
      <c r="GV47" s="2825"/>
      <c r="GW47" s="2825"/>
      <c r="GX47" s="2825"/>
      <c r="GY47" s="2825"/>
      <c r="GZ47" s="2825"/>
      <c r="HA47" s="2825"/>
      <c r="HB47" s="2825"/>
      <c r="HC47" s="2825"/>
      <c r="HD47" s="2825"/>
      <c r="HE47" s="2825"/>
      <c r="HF47" s="2825"/>
      <c r="HG47" s="2825"/>
      <c r="HH47" s="2825"/>
      <c r="HI47" s="2825"/>
      <c r="HJ47" s="2826"/>
      <c r="HK47" s="1522"/>
      <c r="HL47" s="2312"/>
    </row>
    <row r="48" spans="2:220" ht="7.5" customHeight="1">
      <c r="B48" s="2309"/>
      <c r="C48" s="2799"/>
      <c r="D48" s="2800"/>
      <c r="E48" s="2800"/>
      <c r="F48" s="2800"/>
      <c r="G48" s="2800"/>
      <c r="H48" s="2800"/>
      <c r="I48" s="2801"/>
      <c r="K48" s="2901">
        <f>[1]SKILLS!$I$33</f>
        <v>0</v>
      </c>
      <c r="L48" s="2955"/>
      <c r="M48" s="2955"/>
      <c r="N48" s="2956"/>
      <c r="O48" s="2944" t="s">
        <v>6954</v>
      </c>
      <c r="P48" s="2760"/>
      <c r="Q48" s="2760"/>
      <c r="R48" s="2760"/>
      <c r="S48" s="2760"/>
      <c r="T48" s="2760"/>
      <c r="U48" s="2760"/>
      <c r="V48" s="2760"/>
      <c r="W48" s="2761"/>
      <c r="Y48" s="3022" t="s">
        <v>10344</v>
      </c>
      <c r="Z48" s="2983"/>
      <c r="AA48" s="2983"/>
      <c r="AB48" s="2983"/>
      <c r="AC48" s="2983"/>
      <c r="AD48" s="2983"/>
      <c r="AE48" s="2983"/>
      <c r="AF48" s="2983"/>
      <c r="AG48" s="2983"/>
      <c r="AH48" s="2983"/>
      <c r="AI48" s="2983"/>
      <c r="AJ48" s="2983"/>
      <c r="AK48" s="2983"/>
      <c r="AL48" s="2983"/>
      <c r="AM48" s="2983"/>
      <c r="AN48" s="3023"/>
      <c r="AP48" s="2988">
        <v>15</v>
      </c>
      <c r="AQ48" s="2794"/>
      <c r="AR48" s="2794"/>
      <c r="AS48" s="2989"/>
      <c r="AT48" s="2990"/>
      <c r="AU48" s="2990"/>
      <c r="AV48" s="2990"/>
      <c r="AW48" s="2990"/>
      <c r="AX48" s="2990"/>
      <c r="AY48" s="2990"/>
      <c r="AZ48" s="2990"/>
      <c r="BA48" s="2990"/>
      <c r="BB48" s="2990"/>
      <c r="BC48" s="2990"/>
      <c r="BD48" s="2990"/>
      <c r="BE48" s="2990"/>
      <c r="BF48" s="2990"/>
      <c r="BG48" s="2990"/>
      <c r="BH48" s="2990"/>
      <c r="BI48" s="2990"/>
      <c r="BJ48" s="2990"/>
      <c r="BK48" s="2990"/>
      <c r="BL48" s="2990"/>
      <c r="BM48" s="2990"/>
      <c r="BN48" s="2990"/>
      <c r="BO48" s="2990"/>
      <c r="BP48" s="2990"/>
      <c r="BQ48" s="2990"/>
      <c r="BR48" s="2990"/>
      <c r="BS48" s="2990"/>
      <c r="BT48" s="2990"/>
      <c r="BU48" s="2991"/>
      <c r="BV48" s="2312"/>
      <c r="BW48" s="2309"/>
      <c r="BX48" s="2333"/>
      <c r="BY48" s="3045" t="e">
        <f>#REF!</f>
        <v>#REF!</v>
      </c>
      <c r="BZ48" s="3046"/>
      <c r="CA48" s="3046"/>
      <c r="CB48" s="3046"/>
      <c r="CC48" s="3046"/>
      <c r="CD48" s="3046"/>
      <c r="CE48" s="3046"/>
      <c r="CF48" s="3046"/>
      <c r="CG48" s="3046"/>
      <c r="CH48" s="3046"/>
      <c r="CI48" s="3046"/>
      <c r="CJ48" s="3046"/>
      <c r="CK48" s="3046"/>
      <c r="CL48" s="3046"/>
      <c r="CM48" s="3046"/>
      <c r="CN48" s="3046"/>
      <c r="CO48" s="3046"/>
      <c r="CP48" s="3047"/>
      <c r="CQ48" s="1409"/>
      <c r="CR48" s="3004" t="e">
        <f>#REF!</f>
        <v>#REF!</v>
      </c>
      <c r="CS48" s="3005"/>
      <c r="CT48" s="3005"/>
      <c r="CU48" s="3005"/>
      <c r="CV48" s="3005"/>
      <c r="CW48" s="3005"/>
      <c r="CX48" s="3005"/>
      <c r="CY48" s="3005"/>
      <c r="CZ48" s="3005"/>
      <c r="DA48" s="3005"/>
      <c r="DB48" s="3005"/>
      <c r="DC48" s="3005"/>
      <c r="DD48" s="3005"/>
      <c r="DE48" s="3005"/>
      <c r="DF48" s="3005"/>
      <c r="DG48" s="3006"/>
      <c r="DI48" s="3011" t="e">
        <f>#REF!</f>
        <v>#REF!</v>
      </c>
      <c r="DJ48" s="3012"/>
      <c r="DK48" s="3012"/>
      <c r="DL48" s="3012"/>
      <c r="DM48" s="3012"/>
      <c r="DN48" s="3012"/>
      <c r="DO48" s="3012"/>
      <c r="DP48" s="3012"/>
      <c r="DQ48" s="3012"/>
      <c r="DR48" s="3012"/>
      <c r="DS48" s="3012"/>
      <c r="DT48" s="3012"/>
      <c r="DU48" s="3012"/>
      <c r="DV48" s="3012"/>
      <c r="DW48" s="3013"/>
      <c r="DY48" s="3016" t="e">
        <f>#REF!</f>
        <v>#REF!</v>
      </c>
      <c r="DZ48" s="3017"/>
      <c r="EA48" s="3017"/>
      <c r="EB48" s="3017"/>
      <c r="EC48" s="3017"/>
      <c r="ED48" s="3017"/>
      <c r="EE48" s="3017"/>
      <c r="EF48" s="3017"/>
      <c r="EG48" s="3017"/>
      <c r="EH48" s="3017"/>
      <c r="EI48" s="3017"/>
      <c r="EJ48" s="3017"/>
      <c r="EK48" s="3017"/>
      <c r="EL48" s="3017"/>
      <c r="EM48" s="3017"/>
      <c r="EN48" s="3017"/>
      <c r="EO48" s="3018"/>
      <c r="EQ48" s="2312"/>
      <c r="ER48" s="2309"/>
      <c r="ES48" s="2947"/>
      <c r="ET48" s="2819"/>
      <c r="EU48" s="2819"/>
      <c r="EV48" s="2819"/>
      <c r="EW48" s="2819"/>
      <c r="EX48" s="2819"/>
      <c r="EY48" s="2819"/>
      <c r="EZ48" s="2819"/>
      <c r="FA48" s="2819"/>
      <c r="FB48" s="2819"/>
      <c r="FC48" s="2819"/>
      <c r="FD48" s="2819"/>
      <c r="FE48" s="2819"/>
      <c r="FF48" s="2819"/>
      <c r="FG48" s="2819"/>
      <c r="FH48" s="2819"/>
      <c r="FI48" s="2819"/>
      <c r="FJ48" s="2819"/>
      <c r="FK48" s="2819"/>
      <c r="FL48" s="2819"/>
      <c r="FM48" s="2819"/>
      <c r="FN48" s="2819"/>
      <c r="FO48" s="2819"/>
      <c r="FP48" s="2819"/>
      <c r="FQ48" s="2819"/>
      <c r="FR48" s="2819"/>
      <c r="FS48" s="2819"/>
      <c r="FT48" s="2819"/>
      <c r="FU48" s="2819"/>
      <c r="FV48" s="2819"/>
      <c r="FW48" s="2819"/>
      <c r="FX48" s="2819"/>
      <c r="FY48" s="2819"/>
      <c r="FZ48" s="2820"/>
      <c r="GC48" s="2947"/>
      <c r="GD48" s="2819"/>
      <c r="GE48" s="2819"/>
      <c r="GF48" s="2819"/>
      <c r="GG48" s="2819"/>
      <c r="GH48" s="2819"/>
      <c r="GI48" s="2819"/>
      <c r="GJ48" s="2819"/>
      <c r="GK48" s="2819"/>
      <c r="GL48" s="2819"/>
      <c r="GM48" s="2819"/>
      <c r="GN48" s="2819"/>
      <c r="GO48" s="2819"/>
      <c r="GP48" s="2819"/>
      <c r="GQ48" s="2819"/>
      <c r="GR48" s="2819"/>
      <c r="GS48" s="2819"/>
      <c r="GT48" s="2819"/>
      <c r="GU48" s="2819"/>
      <c r="GV48" s="2819"/>
      <c r="GW48" s="2819"/>
      <c r="GX48" s="2819"/>
      <c r="GY48" s="2819"/>
      <c r="GZ48" s="2819"/>
      <c r="HA48" s="2819"/>
      <c r="HB48" s="2819"/>
      <c r="HC48" s="2819"/>
      <c r="HD48" s="2819"/>
      <c r="HE48" s="2819"/>
      <c r="HF48" s="2819"/>
      <c r="HG48" s="2819"/>
      <c r="HH48" s="2819"/>
      <c r="HI48" s="2819"/>
      <c r="HJ48" s="2820"/>
      <c r="HK48" s="1522"/>
      <c r="HL48" s="2312"/>
    </row>
    <row r="49" spans="2:220" ht="7.5" customHeight="1">
      <c r="B49" s="2309"/>
      <c r="C49" s="2946">
        <f>VLOOKUP(C45,[1]ABILITIES!$Z$3:$AA$24,2)</f>
        <v>4</v>
      </c>
      <c r="D49" s="2946"/>
      <c r="E49" s="2946"/>
      <c r="F49" s="2946"/>
      <c r="G49" s="2946"/>
      <c r="H49" s="2946"/>
      <c r="I49" s="2946"/>
      <c r="K49" s="2957"/>
      <c r="L49" s="2958"/>
      <c r="M49" s="2958"/>
      <c r="N49" s="2959"/>
      <c r="O49" s="2945"/>
      <c r="P49" s="2764"/>
      <c r="Q49" s="2764"/>
      <c r="R49" s="2764"/>
      <c r="S49" s="2764"/>
      <c r="T49" s="2764"/>
      <c r="U49" s="2764"/>
      <c r="V49" s="2764"/>
      <c r="W49" s="2765"/>
      <c r="Y49" s="3043"/>
      <c r="Z49" s="2986"/>
      <c r="AA49" s="2986"/>
      <c r="AB49" s="2986"/>
      <c r="AC49" s="2986"/>
      <c r="AD49" s="2986"/>
      <c r="AE49" s="2986"/>
      <c r="AF49" s="2986"/>
      <c r="AG49" s="2986"/>
      <c r="AH49" s="2986"/>
      <c r="AI49" s="2986"/>
      <c r="AJ49" s="2986"/>
      <c r="AK49" s="2986"/>
      <c r="AL49" s="2986"/>
      <c r="AM49" s="2986"/>
      <c r="AN49" s="3044"/>
      <c r="AP49" s="2799"/>
      <c r="AQ49" s="2800"/>
      <c r="AR49" s="2800"/>
      <c r="AS49" s="2989"/>
      <c r="AT49" s="2990"/>
      <c r="AU49" s="2990"/>
      <c r="AV49" s="2990"/>
      <c r="AW49" s="2990"/>
      <c r="AX49" s="2990"/>
      <c r="AY49" s="2990"/>
      <c r="AZ49" s="2990"/>
      <c r="BA49" s="2990"/>
      <c r="BB49" s="2990"/>
      <c r="BC49" s="2990"/>
      <c r="BD49" s="2990"/>
      <c r="BE49" s="2990"/>
      <c r="BF49" s="2990"/>
      <c r="BG49" s="2990"/>
      <c r="BH49" s="2990"/>
      <c r="BI49" s="2990"/>
      <c r="BJ49" s="2990"/>
      <c r="BK49" s="2990"/>
      <c r="BL49" s="2990"/>
      <c r="BM49" s="2990"/>
      <c r="BN49" s="2990"/>
      <c r="BO49" s="2990"/>
      <c r="BP49" s="2990"/>
      <c r="BQ49" s="2990"/>
      <c r="BR49" s="2990"/>
      <c r="BS49" s="2990"/>
      <c r="BT49" s="2990"/>
      <c r="BU49" s="2991"/>
      <c r="BV49" s="2312"/>
      <c r="BW49" s="2309"/>
      <c r="BX49" s="1224"/>
      <c r="BY49" s="3048"/>
      <c r="BZ49" s="3049"/>
      <c r="CA49" s="3049"/>
      <c r="CB49" s="3049"/>
      <c r="CC49" s="3049"/>
      <c r="CD49" s="3049"/>
      <c r="CE49" s="3049"/>
      <c r="CF49" s="3049"/>
      <c r="CG49" s="3049"/>
      <c r="CH49" s="3049"/>
      <c r="CI49" s="3049"/>
      <c r="CJ49" s="3049"/>
      <c r="CK49" s="3049"/>
      <c r="CL49" s="3049"/>
      <c r="CM49" s="3049"/>
      <c r="CN49" s="3049"/>
      <c r="CO49" s="3049"/>
      <c r="CP49" s="3050"/>
      <c r="CQ49" s="1409"/>
      <c r="CR49" s="3007"/>
      <c r="CS49" s="3005"/>
      <c r="CT49" s="3005"/>
      <c r="CU49" s="3005"/>
      <c r="CV49" s="3005"/>
      <c r="CW49" s="3005"/>
      <c r="CX49" s="3005"/>
      <c r="CY49" s="3005"/>
      <c r="CZ49" s="3005"/>
      <c r="DA49" s="3005"/>
      <c r="DB49" s="3005"/>
      <c r="DC49" s="3005"/>
      <c r="DD49" s="3005"/>
      <c r="DE49" s="3005"/>
      <c r="DF49" s="3005"/>
      <c r="DG49" s="3006"/>
      <c r="DI49" s="3007"/>
      <c r="DJ49" s="3005"/>
      <c r="DK49" s="3005"/>
      <c r="DL49" s="3005"/>
      <c r="DM49" s="3005"/>
      <c r="DN49" s="3005"/>
      <c r="DO49" s="3005"/>
      <c r="DP49" s="3005"/>
      <c r="DQ49" s="3005"/>
      <c r="DR49" s="3005"/>
      <c r="DS49" s="3005"/>
      <c r="DT49" s="3005"/>
      <c r="DU49" s="3005"/>
      <c r="DV49" s="3005"/>
      <c r="DW49" s="3014"/>
      <c r="DY49" s="3016"/>
      <c r="DZ49" s="3017"/>
      <c r="EA49" s="3017"/>
      <c r="EB49" s="3017"/>
      <c r="EC49" s="3017"/>
      <c r="ED49" s="3017"/>
      <c r="EE49" s="3017"/>
      <c r="EF49" s="3017"/>
      <c r="EG49" s="3017"/>
      <c r="EH49" s="3017"/>
      <c r="EI49" s="3017"/>
      <c r="EJ49" s="3017"/>
      <c r="EK49" s="3017"/>
      <c r="EL49" s="3017"/>
      <c r="EM49" s="3017"/>
      <c r="EN49" s="3017"/>
      <c r="EO49" s="3018"/>
      <c r="EQ49" s="2312"/>
      <c r="ER49" s="2309"/>
      <c r="ES49" s="2824"/>
      <c r="ET49" s="2825"/>
      <c r="EU49" s="2825"/>
      <c r="EV49" s="2825"/>
      <c r="EW49" s="2825"/>
      <c r="EX49" s="2825"/>
      <c r="EY49" s="2825"/>
      <c r="EZ49" s="2825"/>
      <c r="FA49" s="2825"/>
      <c r="FB49" s="2825"/>
      <c r="FC49" s="2825"/>
      <c r="FD49" s="2825"/>
      <c r="FE49" s="2825"/>
      <c r="FF49" s="2825"/>
      <c r="FG49" s="2825"/>
      <c r="FH49" s="2825"/>
      <c r="FI49" s="2825"/>
      <c r="FJ49" s="2825"/>
      <c r="FK49" s="2825"/>
      <c r="FL49" s="2825"/>
      <c r="FM49" s="2825"/>
      <c r="FN49" s="2825"/>
      <c r="FO49" s="2825"/>
      <c r="FP49" s="2825"/>
      <c r="FQ49" s="2825"/>
      <c r="FR49" s="2825"/>
      <c r="FS49" s="2825"/>
      <c r="FT49" s="2825"/>
      <c r="FU49" s="2825"/>
      <c r="FV49" s="2825"/>
      <c r="FW49" s="2825"/>
      <c r="FX49" s="2825"/>
      <c r="FY49" s="2825"/>
      <c r="FZ49" s="2826"/>
      <c r="GC49" s="2824"/>
      <c r="GD49" s="2825"/>
      <c r="GE49" s="2825"/>
      <c r="GF49" s="2825"/>
      <c r="GG49" s="2825"/>
      <c r="GH49" s="2825"/>
      <c r="GI49" s="2825"/>
      <c r="GJ49" s="2825"/>
      <c r="GK49" s="2825"/>
      <c r="GL49" s="2825"/>
      <c r="GM49" s="2825"/>
      <c r="GN49" s="2825"/>
      <c r="GO49" s="2825"/>
      <c r="GP49" s="2825"/>
      <c r="GQ49" s="2825"/>
      <c r="GR49" s="2825"/>
      <c r="GS49" s="2825"/>
      <c r="GT49" s="2825"/>
      <c r="GU49" s="2825"/>
      <c r="GV49" s="2825"/>
      <c r="GW49" s="2825"/>
      <c r="GX49" s="2825"/>
      <c r="GY49" s="2825"/>
      <c r="GZ49" s="2825"/>
      <c r="HA49" s="2825"/>
      <c r="HB49" s="2825"/>
      <c r="HC49" s="2825"/>
      <c r="HD49" s="2825"/>
      <c r="HE49" s="2825"/>
      <c r="HF49" s="2825"/>
      <c r="HG49" s="2825"/>
      <c r="HH49" s="2825"/>
      <c r="HI49" s="2825"/>
      <c r="HJ49" s="2826"/>
      <c r="HK49" s="1522"/>
      <c r="HL49" s="2312"/>
    </row>
    <row r="50" spans="2:220" ht="7.5" customHeight="1" thickBot="1">
      <c r="B50" s="2309"/>
      <c r="C50" s="2946"/>
      <c r="D50" s="2946"/>
      <c r="E50" s="2946"/>
      <c r="F50" s="2946"/>
      <c r="G50" s="2946"/>
      <c r="H50" s="2946"/>
      <c r="I50" s="2946"/>
      <c r="K50" s="2901">
        <f>[1]SKILLS!$I$34</f>
        <v>5</v>
      </c>
      <c r="L50" s="2955"/>
      <c r="M50" s="2955"/>
      <c r="N50" s="2956"/>
      <c r="O50" s="2944" t="s">
        <v>6956</v>
      </c>
      <c r="P50" s="2760"/>
      <c r="Q50" s="2760"/>
      <c r="R50" s="2760"/>
      <c r="S50" s="2760"/>
      <c r="T50" s="2760"/>
      <c r="U50" s="2760"/>
      <c r="V50" s="2760"/>
      <c r="W50" s="2761"/>
      <c r="Y50" s="2334"/>
      <c r="Z50" s="2335"/>
      <c r="AA50" s="2335"/>
      <c r="AB50" s="2335"/>
      <c r="AC50" s="2335"/>
      <c r="AD50" s="2335"/>
      <c r="AE50" s="2335"/>
      <c r="AF50" s="2335"/>
      <c r="AG50" s="2335"/>
      <c r="AH50" s="2335"/>
      <c r="AI50" s="2335"/>
      <c r="AJ50" s="2335"/>
      <c r="AK50" s="2335"/>
      <c r="AL50" s="2335"/>
      <c r="AM50" s="2335"/>
      <c r="AN50" s="2336"/>
      <c r="AP50" s="2988">
        <v>16</v>
      </c>
      <c r="AQ50" s="2794"/>
      <c r="AR50" s="2794"/>
      <c r="AS50" s="2989"/>
      <c r="AT50" s="2990"/>
      <c r="AU50" s="2990"/>
      <c r="AV50" s="2990"/>
      <c r="AW50" s="2990"/>
      <c r="AX50" s="2990"/>
      <c r="AY50" s="2990"/>
      <c r="AZ50" s="2990"/>
      <c r="BA50" s="2990"/>
      <c r="BB50" s="2990"/>
      <c r="BC50" s="2990"/>
      <c r="BD50" s="2990"/>
      <c r="BE50" s="2990"/>
      <c r="BF50" s="2990"/>
      <c r="BG50" s="2990"/>
      <c r="BH50" s="2990"/>
      <c r="BI50" s="2990"/>
      <c r="BJ50" s="2990"/>
      <c r="BK50" s="2990"/>
      <c r="BL50" s="2990"/>
      <c r="BM50" s="2990"/>
      <c r="BN50" s="2990"/>
      <c r="BO50" s="2990"/>
      <c r="BP50" s="2990"/>
      <c r="BQ50" s="2990"/>
      <c r="BR50" s="2990"/>
      <c r="BS50" s="2990"/>
      <c r="BT50" s="2990"/>
      <c r="BU50" s="2991"/>
      <c r="BV50" s="2312"/>
      <c r="BW50" s="2309"/>
      <c r="BX50" s="1224"/>
      <c r="BY50" s="3051"/>
      <c r="BZ50" s="3052"/>
      <c r="CA50" s="3052"/>
      <c r="CB50" s="3052"/>
      <c r="CC50" s="3052"/>
      <c r="CD50" s="3052"/>
      <c r="CE50" s="3052"/>
      <c r="CF50" s="3052"/>
      <c r="CG50" s="3052"/>
      <c r="CH50" s="3052"/>
      <c r="CI50" s="3052"/>
      <c r="CJ50" s="3052"/>
      <c r="CK50" s="3052"/>
      <c r="CL50" s="3052"/>
      <c r="CM50" s="3052"/>
      <c r="CN50" s="3052"/>
      <c r="CO50" s="3052"/>
      <c r="CP50" s="3053"/>
      <c r="CQ50" s="1409"/>
      <c r="CR50" s="3008"/>
      <c r="CS50" s="3009"/>
      <c r="CT50" s="3009"/>
      <c r="CU50" s="3009"/>
      <c r="CV50" s="3009"/>
      <c r="CW50" s="3009"/>
      <c r="CX50" s="3009"/>
      <c r="CY50" s="3009"/>
      <c r="CZ50" s="3009"/>
      <c r="DA50" s="3009"/>
      <c r="DB50" s="3009"/>
      <c r="DC50" s="3009"/>
      <c r="DD50" s="3009"/>
      <c r="DE50" s="3009"/>
      <c r="DF50" s="3009"/>
      <c r="DG50" s="3010"/>
      <c r="DI50" s="3008"/>
      <c r="DJ50" s="3009"/>
      <c r="DK50" s="3009"/>
      <c r="DL50" s="3009"/>
      <c r="DM50" s="3009"/>
      <c r="DN50" s="3009"/>
      <c r="DO50" s="3009"/>
      <c r="DP50" s="3009"/>
      <c r="DQ50" s="3009"/>
      <c r="DR50" s="3009"/>
      <c r="DS50" s="3009"/>
      <c r="DT50" s="3009"/>
      <c r="DU50" s="3009"/>
      <c r="DV50" s="3009"/>
      <c r="DW50" s="3015"/>
      <c r="DY50" s="3019"/>
      <c r="DZ50" s="3020"/>
      <c r="EA50" s="3020"/>
      <c r="EB50" s="3020"/>
      <c r="EC50" s="3020"/>
      <c r="ED50" s="3020"/>
      <c r="EE50" s="3020"/>
      <c r="EF50" s="3020"/>
      <c r="EG50" s="3020"/>
      <c r="EH50" s="3020"/>
      <c r="EI50" s="3020"/>
      <c r="EJ50" s="3020"/>
      <c r="EK50" s="3020"/>
      <c r="EL50" s="3020"/>
      <c r="EM50" s="3020"/>
      <c r="EN50" s="3020"/>
      <c r="EO50" s="3021"/>
      <c r="EQ50" s="2312"/>
      <c r="ER50" s="2309"/>
      <c r="ES50" s="2947"/>
      <c r="ET50" s="2819"/>
      <c r="EU50" s="2819"/>
      <c r="EV50" s="2819"/>
      <c r="EW50" s="2819"/>
      <c r="EX50" s="2819"/>
      <c r="EY50" s="2819"/>
      <c r="EZ50" s="2819"/>
      <c r="FA50" s="2819"/>
      <c r="FB50" s="2819"/>
      <c r="FC50" s="2819"/>
      <c r="FD50" s="2819"/>
      <c r="FE50" s="2819"/>
      <c r="FF50" s="2819"/>
      <c r="FG50" s="2819"/>
      <c r="FH50" s="2819"/>
      <c r="FI50" s="2819"/>
      <c r="FJ50" s="2819"/>
      <c r="FK50" s="2819"/>
      <c r="FL50" s="2819"/>
      <c r="FM50" s="2819"/>
      <c r="FN50" s="2819"/>
      <c r="FO50" s="2819"/>
      <c r="FP50" s="2819"/>
      <c r="FQ50" s="2819"/>
      <c r="FR50" s="2819"/>
      <c r="FS50" s="2819"/>
      <c r="FT50" s="2819"/>
      <c r="FU50" s="2819"/>
      <c r="FV50" s="2819"/>
      <c r="FW50" s="2819"/>
      <c r="FX50" s="2819"/>
      <c r="FY50" s="2819"/>
      <c r="FZ50" s="2820"/>
      <c r="GC50" s="2947"/>
      <c r="GD50" s="2819"/>
      <c r="GE50" s="2819"/>
      <c r="GF50" s="2819"/>
      <c r="GG50" s="2819"/>
      <c r="GH50" s="2819"/>
      <c r="GI50" s="2819"/>
      <c r="GJ50" s="2819"/>
      <c r="GK50" s="2819"/>
      <c r="GL50" s="2819"/>
      <c r="GM50" s="2819"/>
      <c r="GN50" s="2819"/>
      <c r="GO50" s="2819"/>
      <c r="GP50" s="2819"/>
      <c r="GQ50" s="2819"/>
      <c r="GR50" s="2819"/>
      <c r="GS50" s="2819"/>
      <c r="GT50" s="2819"/>
      <c r="GU50" s="2819"/>
      <c r="GV50" s="2819"/>
      <c r="GW50" s="2819"/>
      <c r="GX50" s="2819"/>
      <c r="GY50" s="2819"/>
      <c r="GZ50" s="2819"/>
      <c r="HA50" s="2819"/>
      <c r="HB50" s="2819"/>
      <c r="HC50" s="2819"/>
      <c r="HD50" s="2819"/>
      <c r="HE50" s="2819"/>
      <c r="HF50" s="2819"/>
      <c r="HG50" s="2819"/>
      <c r="HH50" s="2819"/>
      <c r="HI50" s="2819"/>
      <c r="HJ50" s="2820"/>
      <c r="HK50" s="1522"/>
      <c r="HL50" s="2312"/>
    </row>
    <row r="51" spans="2:220" ht="7.5" customHeight="1">
      <c r="B51" s="2309"/>
      <c r="K51" s="2957"/>
      <c r="L51" s="2958"/>
      <c r="M51" s="2958"/>
      <c r="N51" s="2959"/>
      <c r="O51" s="2945"/>
      <c r="P51" s="2764"/>
      <c r="Q51" s="2764"/>
      <c r="R51" s="2764"/>
      <c r="S51" s="2764"/>
      <c r="T51" s="2764"/>
      <c r="U51" s="2764"/>
      <c r="V51" s="2764"/>
      <c r="W51" s="2765"/>
      <c r="Y51" s="3054" t="s">
        <v>10345</v>
      </c>
      <c r="Z51" s="3055"/>
      <c r="AA51" s="3055"/>
      <c r="AB51" s="3055"/>
      <c r="AC51" s="3055"/>
      <c r="AD51" s="3055"/>
      <c r="AE51" s="3055"/>
      <c r="AF51" s="3055"/>
      <c r="AG51" s="3055"/>
      <c r="AH51" s="3055"/>
      <c r="AI51" s="3055"/>
      <c r="AJ51" s="3055"/>
      <c r="AK51" s="3055"/>
      <c r="AL51" s="3055"/>
      <c r="AM51" s="3055"/>
      <c r="AN51" s="3056"/>
      <c r="AP51" s="2799"/>
      <c r="AQ51" s="2800"/>
      <c r="AR51" s="2800"/>
      <c r="AS51" s="2989"/>
      <c r="AT51" s="2990"/>
      <c r="AU51" s="2990"/>
      <c r="AV51" s="2990"/>
      <c r="AW51" s="2990"/>
      <c r="AX51" s="2990"/>
      <c r="AY51" s="2990"/>
      <c r="AZ51" s="2990"/>
      <c r="BA51" s="2990"/>
      <c r="BB51" s="2990"/>
      <c r="BC51" s="2990"/>
      <c r="BD51" s="2990"/>
      <c r="BE51" s="2990"/>
      <c r="BF51" s="2990"/>
      <c r="BG51" s="2990"/>
      <c r="BH51" s="2990"/>
      <c r="BI51" s="2990"/>
      <c r="BJ51" s="2990"/>
      <c r="BK51" s="2990"/>
      <c r="BL51" s="2990"/>
      <c r="BM51" s="2990"/>
      <c r="BN51" s="2990"/>
      <c r="BO51" s="2990"/>
      <c r="BP51" s="2990"/>
      <c r="BQ51" s="2990"/>
      <c r="BR51" s="2990"/>
      <c r="BS51" s="2990"/>
      <c r="BT51" s="2990"/>
      <c r="BU51" s="2991"/>
      <c r="BV51" s="2312"/>
      <c r="BW51" s="2309"/>
      <c r="EQ51" s="2312"/>
      <c r="ER51" s="2309"/>
      <c r="ES51" s="2824"/>
      <c r="ET51" s="2825"/>
      <c r="EU51" s="2825"/>
      <c r="EV51" s="2825"/>
      <c r="EW51" s="2825"/>
      <c r="EX51" s="2825"/>
      <c r="EY51" s="2825"/>
      <c r="EZ51" s="2825"/>
      <c r="FA51" s="2825"/>
      <c r="FB51" s="2825"/>
      <c r="FC51" s="2825"/>
      <c r="FD51" s="2825"/>
      <c r="FE51" s="2825"/>
      <c r="FF51" s="2825"/>
      <c r="FG51" s="2825"/>
      <c r="FH51" s="2825"/>
      <c r="FI51" s="2825"/>
      <c r="FJ51" s="2825"/>
      <c r="FK51" s="2825"/>
      <c r="FL51" s="2825"/>
      <c r="FM51" s="2825"/>
      <c r="FN51" s="2825"/>
      <c r="FO51" s="2825"/>
      <c r="FP51" s="2825"/>
      <c r="FQ51" s="2825"/>
      <c r="FR51" s="2825"/>
      <c r="FS51" s="2825"/>
      <c r="FT51" s="2825"/>
      <c r="FU51" s="2825"/>
      <c r="FV51" s="2825"/>
      <c r="FW51" s="2825"/>
      <c r="FX51" s="2825"/>
      <c r="FY51" s="2825"/>
      <c r="FZ51" s="2826"/>
      <c r="GC51" s="2824"/>
      <c r="GD51" s="2825"/>
      <c r="GE51" s="2825"/>
      <c r="GF51" s="2825"/>
      <c r="GG51" s="2825"/>
      <c r="GH51" s="2825"/>
      <c r="GI51" s="2825"/>
      <c r="GJ51" s="2825"/>
      <c r="GK51" s="2825"/>
      <c r="GL51" s="2825"/>
      <c r="GM51" s="2825"/>
      <c r="GN51" s="2825"/>
      <c r="GO51" s="2825"/>
      <c r="GP51" s="2825"/>
      <c r="GQ51" s="2825"/>
      <c r="GR51" s="2825"/>
      <c r="GS51" s="2825"/>
      <c r="GT51" s="2825"/>
      <c r="GU51" s="2825"/>
      <c r="GV51" s="2825"/>
      <c r="GW51" s="2825"/>
      <c r="GX51" s="2825"/>
      <c r="GY51" s="2825"/>
      <c r="GZ51" s="2825"/>
      <c r="HA51" s="2825"/>
      <c r="HB51" s="2825"/>
      <c r="HC51" s="2825"/>
      <c r="HD51" s="2825"/>
      <c r="HE51" s="2825"/>
      <c r="HF51" s="2825"/>
      <c r="HG51" s="2825"/>
      <c r="HH51" s="2825"/>
      <c r="HI51" s="2825"/>
      <c r="HJ51" s="2826"/>
      <c r="HK51" s="1522"/>
      <c r="HL51" s="2312"/>
    </row>
    <row r="52" spans="2:220" ht="7.5" customHeight="1">
      <c r="B52" s="2309"/>
      <c r="C52" s="2887" t="s">
        <v>10346</v>
      </c>
      <c r="D52" s="2797"/>
      <c r="E52" s="2797"/>
      <c r="F52" s="2797"/>
      <c r="G52" s="2797"/>
      <c r="H52" s="2797"/>
      <c r="I52" s="2797"/>
      <c r="K52" s="2901">
        <f>[1]SKILLS!$I$35</f>
        <v>4</v>
      </c>
      <c r="L52" s="2955"/>
      <c r="M52" s="2955"/>
      <c r="N52" s="2956"/>
      <c r="O52" s="2944" t="s">
        <v>6957</v>
      </c>
      <c r="P52" s="2760"/>
      <c r="Q52" s="2760"/>
      <c r="R52" s="2760"/>
      <c r="S52" s="2760"/>
      <c r="T52" s="2760"/>
      <c r="U52" s="2760"/>
      <c r="V52" s="2760"/>
      <c r="W52" s="2761"/>
      <c r="Y52" s="3057"/>
      <c r="Z52" s="2965"/>
      <c r="AA52" s="2965"/>
      <c r="AB52" s="2965"/>
      <c r="AC52" s="2965"/>
      <c r="AD52" s="2965"/>
      <c r="AE52" s="2965"/>
      <c r="AF52" s="2965"/>
      <c r="AG52" s="2965"/>
      <c r="AH52" s="2965"/>
      <c r="AI52" s="2965"/>
      <c r="AJ52" s="2965"/>
      <c r="AK52" s="2965"/>
      <c r="AL52" s="2965"/>
      <c r="AM52" s="2965"/>
      <c r="AN52" s="3058"/>
      <c r="AP52" s="2988">
        <v>17</v>
      </c>
      <c r="AQ52" s="2794"/>
      <c r="AR52" s="2794"/>
      <c r="AS52" s="2989"/>
      <c r="AT52" s="2990"/>
      <c r="AU52" s="2990"/>
      <c r="AV52" s="2990"/>
      <c r="AW52" s="2990"/>
      <c r="AX52" s="2990"/>
      <c r="AY52" s="2990"/>
      <c r="AZ52" s="2990"/>
      <c r="BA52" s="2990"/>
      <c r="BB52" s="2990"/>
      <c r="BC52" s="2990"/>
      <c r="BD52" s="2990"/>
      <c r="BE52" s="2990"/>
      <c r="BF52" s="2990"/>
      <c r="BG52" s="2990"/>
      <c r="BH52" s="2990"/>
      <c r="BI52" s="2990"/>
      <c r="BJ52" s="2990"/>
      <c r="BK52" s="2990"/>
      <c r="BL52" s="2990"/>
      <c r="BM52" s="2990"/>
      <c r="BN52" s="2990"/>
      <c r="BO52" s="2990"/>
      <c r="BP52" s="2990"/>
      <c r="BQ52" s="2990"/>
      <c r="BR52" s="2990"/>
      <c r="BS52" s="2990"/>
      <c r="BT52" s="2990"/>
      <c r="BU52" s="2991"/>
      <c r="BV52" s="2312"/>
      <c r="BW52" s="2309"/>
      <c r="BX52" s="2924" t="e">
        <f>UPPER(CONCATENATE(#REF!," SPELL SLOTS PER SPELL LEVEL"))</f>
        <v>#REF!</v>
      </c>
      <c r="BY52" s="3003"/>
      <c r="BZ52" s="3003"/>
      <c r="CA52" s="3003"/>
      <c r="CB52" s="3003"/>
      <c r="CC52" s="3003"/>
      <c r="CD52" s="3003"/>
      <c r="CE52" s="3003"/>
      <c r="CF52" s="3003"/>
      <c r="CG52" s="3003"/>
      <c r="CH52" s="3003"/>
      <c r="CI52" s="3003"/>
      <c r="CJ52" s="3003"/>
      <c r="CK52" s="3003"/>
      <c r="CL52" s="3003"/>
      <c r="CM52" s="3003"/>
      <c r="CN52" s="3003"/>
      <c r="CO52" s="3003"/>
      <c r="CP52" s="3003"/>
      <c r="CQ52" s="3003"/>
      <c r="CR52" s="3003"/>
      <c r="CS52" s="3003"/>
      <c r="CT52" s="3003"/>
      <c r="CU52" s="3003"/>
      <c r="CV52" s="3003"/>
      <c r="CW52" s="3003"/>
      <c r="CX52" s="3003"/>
      <c r="CY52" s="3003"/>
      <c r="CZ52" s="3003"/>
      <c r="DA52" s="3003"/>
      <c r="DB52" s="3003"/>
      <c r="DC52" s="3003"/>
      <c r="DD52" s="3003"/>
      <c r="DE52" s="3003"/>
      <c r="DF52" s="3003"/>
      <c r="DG52" s="3003"/>
      <c r="DH52" s="3003"/>
      <c r="DI52" s="3003"/>
      <c r="DJ52" s="3003"/>
      <c r="DK52" s="3003"/>
      <c r="DL52" s="3003"/>
      <c r="DM52" s="3003"/>
      <c r="DN52" s="3003"/>
      <c r="DO52" s="3003"/>
      <c r="DP52" s="3003"/>
      <c r="DQ52" s="3003"/>
      <c r="DR52" s="3003"/>
      <c r="DS52" s="3003"/>
      <c r="DT52" s="3003"/>
      <c r="DU52" s="3003"/>
      <c r="DV52" s="3003"/>
      <c r="DW52" s="3003"/>
      <c r="DX52" s="3003"/>
      <c r="DY52" s="3003"/>
      <c r="DZ52" s="3003"/>
      <c r="EA52" s="3003"/>
      <c r="EB52" s="3003"/>
      <c r="EC52" s="3003"/>
      <c r="ED52" s="3003"/>
      <c r="EE52" s="3003"/>
      <c r="EF52" s="3003"/>
      <c r="EG52" s="3003"/>
      <c r="EH52" s="3003"/>
      <c r="EI52" s="3003"/>
      <c r="EJ52" s="3003"/>
      <c r="EK52" s="3003"/>
      <c r="EL52" s="3003"/>
      <c r="EM52" s="3003"/>
      <c r="EN52" s="3003"/>
      <c r="EO52" s="3003"/>
      <c r="EP52" s="3003"/>
      <c r="EQ52" s="2312"/>
      <c r="ER52" s="2309"/>
      <c r="ES52" s="2947"/>
      <c r="ET52" s="2819"/>
      <c r="EU52" s="2819"/>
      <c r="EV52" s="2819"/>
      <c r="EW52" s="2819"/>
      <c r="EX52" s="2819"/>
      <c r="EY52" s="2819"/>
      <c r="EZ52" s="2819"/>
      <c r="FA52" s="2819"/>
      <c r="FB52" s="2819"/>
      <c r="FC52" s="2819"/>
      <c r="FD52" s="2819"/>
      <c r="FE52" s="2819"/>
      <c r="FF52" s="2819"/>
      <c r="FG52" s="2819"/>
      <c r="FH52" s="2819"/>
      <c r="FI52" s="2819"/>
      <c r="FJ52" s="2819"/>
      <c r="FK52" s="2819"/>
      <c r="FL52" s="2819"/>
      <c r="FM52" s="2819"/>
      <c r="FN52" s="2819"/>
      <c r="FO52" s="2819"/>
      <c r="FP52" s="2819"/>
      <c r="FQ52" s="2819"/>
      <c r="FR52" s="2819"/>
      <c r="FS52" s="2819"/>
      <c r="FT52" s="2819"/>
      <c r="FU52" s="2819"/>
      <c r="FV52" s="2819"/>
      <c r="FW52" s="2819"/>
      <c r="FX52" s="2819"/>
      <c r="FY52" s="2819"/>
      <c r="FZ52" s="2820"/>
      <c r="GC52" s="2947"/>
      <c r="GD52" s="2819"/>
      <c r="GE52" s="2819"/>
      <c r="GF52" s="2819"/>
      <c r="GG52" s="2819"/>
      <c r="GH52" s="2819"/>
      <c r="GI52" s="2819"/>
      <c r="GJ52" s="2819"/>
      <c r="GK52" s="2819"/>
      <c r="GL52" s="2819"/>
      <c r="GM52" s="2819"/>
      <c r="GN52" s="2819"/>
      <c r="GO52" s="2819"/>
      <c r="GP52" s="2819"/>
      <c r="GQ52" s="2819"/>
      <c r="GR52" s="2819"/>
      <c r="GS52" s="2819"/>
      <c r="GT52" s="2819"/>
      <c r="GU52" s="2819"/>
      <c r="GV52" s="2819"/>
      <c r="GW52" s="2819"/>
      <c r="GX52" s="2819"/>
      <c r="GY52" s="2819"/>
      <c r="GZ52" s="2819"/>
      <c r="HA52" s="2819"/>
      <c r="HB52" s="2819"/>
      <c r="HC52" s="2819"/>
      <c r="HD52" s="2819"/>
      <c r="HE52" s="2819"/>
      <c r="HF52" s="2819"/>
      <c r="HG52" s="2819"/>
      <c r="HH52" s="2819"/>
      <c r="HI52" s="2819"/>
      <c r="HJ52" s="2820"/>
      <c r="HK52" s="1522"/>
      <c r="HL52" s="2312"/>
    </row>
    <row r="53" spans="2:220" ht="7.5" customHeight="1">
      <c r="B53" s="2309"/>
      <c r="C53" s="2800"/>
      <c r="D53" s="2800"/>
      <c r="E53" s="2800"/>
      <c r="F53" s="2800"/>
      <c r="G53" s="2800"/>
      <c r="H53" s="2800"/>
      <c r="I53" s="2800"/>
      <c r="K53" s="2957"/>
      <c r="L53" s="2958"/>
      <c r="M53" s="2958"/>
      <c r="N53" s="2959"/>
      <c r="O53" s="2945"/>
      <c r="P53" s="2764"/>
      <c r="Q53" s="2764"/>
      <c r="R53" s="2764"/>
      <c r="S53" s="2764"/>
      <c r="T53" s="2764"/>
      <c r="U53" s="2764"/>
      <c r="V53" s="2764"/>
      <c r="W53" s="2765"/>
      <c r="Y53" s="3022" t="s">
        <v>10344</v>
      </c>
      <c r="Z53" s="2983"/>
      <c r="AA53" s="2983"/>
      <c r="AB53" s="2983"/>
      <c r="AC53" s="2983"/>
      <c r="AD53" s="2983"/>
      <c r="AE53" s="2983"/>
      <c r="AF53" s="2983"/>
      <c r="AG53" s="2983"/>
      <c r="AH53" s="2983"/>
      <c r="AI53" s="2983"/>
      <c r="AJ53" s="2983"/>
      <c r="AK53" s="2983"/>
      <c r="AL53" s="2983"/>
      <c r="AM53" s="2983"/>
      <c r="AN53" s="3023"/>
      <c r="AP53" s="2799"/>
      <c r="AQ53" s="2800"/>
      <c r="AR53" s="2800"/>
      <c r="AS53" s="2989"/>
      <c r="AT53" s="2990"/>
      <c r="AU53" s="2990"/>
      <c r="AV53" s="2990"/>
      <c r="AW53" s="2990"/>
      <c r="AX53" s="2990"/>
      <c r="AY53" s="2990"/>
      <c r="AZ53" s="2990"/>
      <c r="BA53" s="2990"/>
      <c r="BB53" s="2990"/>
      <c r="BC53" s="2990"/>
      <c r="BD53" s="2990"/>
      <c r="BE53" s="2990"/>
      <c r="BF53" s="2990"/>
      <c r="BG53" s="2990"/>
      <c r="BH53" s="2990"/>
      <c r="BI53" s="2990"/>
      <c r="BJ53" s="2990"/>
      <c r="BK53" s="2990"/>
      <c r="BL53" s="2990"/>
      <c r="BM53" s="2990"/>
      <c r="BN53" s="2990"/>
      <c r="BO53" s="2990"/>
      <c r="BP53" s="2990"/>
      <c r="BQ53" s="2990"/>
      <c r="BR53" s="2990"/>
      <c r="BS53" s="2990"/>
      <c r="BT53" s="2990"/>
      <c r="BU53" s="2991"/>
      <c r="BV53" s="2312"/>
      <c r="BW53" s="2309"/>
      <c r="BX53" s="3003"/>
      <c r="BY53" s="3003"/>
      <c r="BZ53" s="3003"/>
      <c r="CA53" s="3003"/>
      <c r="CB53" s="3003"/>
      <c r="CC53" s="3003"/>
      <c r="CD53" s="3003"/>
      <c r="CE53" s="3003"/>
      <c r="CF53" s="3003"/>
      <c r="CG53" s="3003"/>
      <c r="CH53" s="3003"/>
      <c r="CI53" s="3003"/>
      <c r="CJ53" s="3003"/>
      <c r="CK53" s="3003"/>
      <c r="CL53" s="3003"/>
      <c r="CM53" s="3003"/>
      <c r="CN53" s="3003"/>
      <c r="CO53" s="3003"/>
      <c r="CP53" s="3003"/>
      <c r="CQ53" s="3003"/>
      <c r="CR53" s="3003"/>
      <c r="CS53" s="3003"/>
      <c r="CT53" s="3003"/>
      <c r="CU53" s="3003"/>
      <c r="CV53" s="3003"/>
      <c r="CW53" s="3003"/>
      <c r="CX53" s="3003"/>
      <c r="CY53" s="3003"/>
      <c r="CZ53" s="3003"/>
      <c r="DA53" s="3003"/>
      <c r="DB53" s="3003"/>
      <c r="DC53" s="3003"/>
      <c r="DD53" s="3003"/>
      <c r="DE53" s="3003"/>
      <c r="DF53" s="3003"/>
      <c r="DG53" s="3003"/>
      <c r="DH53" s="3003"/>
      <c r="DI53" s="3003"/>
      <c r="DJ53" s="3003"/>
      <c r="DK53" s="3003"/>
      <c r="DL53" s="3003"/>
      <c r="DM53" s="3003"/>
      <c r="DN53" s="3003"/>
      <c r="DO53" s="3003"/>
      <c r="DP53" s="3003"/>
      <c r="DQ53" s="3003"/>
      <c r="DR53" s="3003"/>
      <c r="DS53" s="3003"/>
      <c r="DT53" s="3003"/>
      <c r="DU53" s="3003"/>
      <c r="DV53" s="3003"/>
      <c r="DW53" s="3003"/>
      <c r="DX53" s="3003"/>
      <c r="DY53" s="3003"/>
      <c r="DZ53" s="3003"/>
      <c r="EA53" s="3003"/>
      <c r="EB53" s="3003"/>
      <c r="EC53" s="3003"/>
      <c r="ED53" s="3003"/>
      <c r="EE53" s="3003"/>
      <c r="EF53" s="3003"/>
      <c r="EG53" s="3003"/>
      <c r="EH53" s="3003"/>
      <c r="EI53" s="3003"/>
      <c r="EJ53" s="3003"/>
      <c r="EK53" s="3003"/>
      <c r="EL53" s="3003"/>
      <c r="EM53" s="3003"/>
      <c r="EN53" s="3003"/>
      <c r="EO53" s="3003"/>
      <c r="EP53" s="3003"/>
      <c r="EQ53" s="2312"/>
      <c r="ER53" s="2309"/>
      <c r="ES53" s="2824"/>
      <c r="ET53" s="2825"/>
      <c r="EU53" s="2825"/>
      <c r="EV53" s="2825"/>
      <c r="EW53" s="2825"/>
      <c r="EX53" s="2825"/>
      <c r="EY53" s="2825"/>
      <c r="EZ53" s="2825"/>
      <c r="FA53" s="2825"/>
      <c r="FB53" s="2825"/>
      <c r="FC53" s="2825"/>
      <c r="FD53" s="2825"/>
      <c r="FE53" s="2825"/>
      <c r="FF53" s="2825"/>
      <c r="FG53" s="2825"/>
      <c r="FH53" s="2825"/>
      <c r="FI53" s="2825"/>
      <c r="FJ53" s="2825"/>
      <c r="FK53" s="2825"/>
      <c r="FL53" s="2825"/>
      <c r="FM53" s="2825"/>
      <c r="FN53" s="2825"/>
      <c r="FO53" s="2825"/>
      <c r="FP53" s="2825"/>
      <c r="FQ53" s="2825"/>
      <c r="FR53" s="2825"/>
      <c r="FS53" s="2825"/>
      <c r="FT53" s="2825"/>
      <c r="FU53" s="2825"/>
      <c r="FV53" s="2825"/>
      <c r="FW53" s="2825"/>
      <c r="FX53" s="2825"/>
      <c r="FY53" s="2825"/>
      <c r="FZ53" s="2826"/>
      <c r="GC53" s="2824"/>
      <c r="GD53" s="2825"/>
      <c r="GE53" s="2825"/>
      <c r="GF53" s="2825"/>
      <c r="GG53" s="2825"/>
      <c r="GH53" s="2825"/>
      <c r="GI53" s="2825"/>
      <c r="GJ53" s="2825"/>
      <c r="GK53" s="2825"/>
      <c r="GL53" s="2825"/>
      <c r="GM53" s="2825"/>
      <c r="GN53" s="2825"/>
      <c r="GO53" s="2825"/>
      <c r="GP53" s="2825"/>
      <c r="GQ53" s="2825"/>
      <c r="GR53" s="2825"/>
      <c r="GS53" s="2825"/>
      <c r="GT53" s="2825"/>
      <c r="GU53" s="2825"/>
      <c r="GV53" s="2825"/>
      <c r="GW53" s="2825"/>
      <c r="GX53" s="2825"/>
      <c r="GY53" s="2825"/>
      <c r="GZ53" s="2825"/>
      <c r="HA53" s="2825"/>
      <c r="HB53" s="2825"/>
      <c r="HC53" s="2825"/>
      <c r="HD53" s="2825"/>
      <c r="HE53" s="2825"/>
      <c r="HF53" s="2825"/>
      <c r="HG53" s="2825"/>
      <c r="HH53" s="2825"/>
      <c r="HI53" s="2825"/>
      <c r="HJ53" s="2826"/>
      <c r="HK53" s="1522"/>
      <c r="HL53" s="2312"/>
    </row>
    <row r="54" spans="2:220" ht="7.5" customHeight="1" thickBot="1">
      <c r="B54" s="2309"/>
      <c r="C54" s="2948">
        <f>[1]ABILITIES!Q28</f>
        <v>10.013455674536051</v>
      </c>
      <c r="D54" s="2794"/>
      <c r="E54" s="2794"/>
      <c r="F54" s="2794"/>
      <c r="G54" s="2794"/>
      <c r="H54" s="2794"/>
      <c r="I54" s="2795"/>
      <c r="K54" s="2901">
        <f>[1]SKILLS!$I$36</f>
        <v>3</v>
      </c>
      <c r="L54" s="2955"/>
      <c r="M54" s="2955"/>
      <c r="N54" s="2956"/>
      <c r="O54" s="2944" t="s">
        <v>6958</v>
      </c>
      <c r="P54" s="2760"/>
      <c r="Q54" s="2760"/>
      <c r="R54" s="2760"/>
      <c r="S54" s="2760"/>
      <c r="T54" s="2760"/>
      <c r="U54" s="2760"/>
      <c r="V54" s="2760"/>
      <c r="W54" s="2761"/>
      <c r="Y54" s="3024"/>
      <c r="Z54" s="3025"/>
      <c r="AA54" s="3025"/>
      <c r="AB54" s="3025"/>
      <c r="AC54" s="3025"/>
      <c r="AD54" s="3025"/>
      <c r="AE54" s="3025"/>
      <c r="AF54" s="3025"/>
      <c r="AG54" s="3025"/>
      <c r="AH54" s="3025"/>
      <c r="AI54" s="3025"/>
      <c r="AJ54" s="3025"/>
      <c r="AK54" s="3025"/>
      <c r="AL54" s="3025"/>
      <c r="AM54" s="3025"/>
      <c r="AN54" s="3026"/>
      <c r="AP54" s="2988">
        <v>18</v>
      </c>
      <c r="AQ54" s="2794"/>
      <c r="AR54" s="2794"/>
      <c r="AS54" s="2989"/>
      <c r="AT54" s="2990"/>
      <c r="AU54" s="2990"/>
      <c r="AV54" s="2990"/>
      <c r="AW54" s="2990"/>
      <c r="AX54" s="2990"/>
      <c r="AY54" s="2990"/>
      <c r="AZ54" s="2990"/>
      <c r="BA54" s="2990"/>
      <c r="BB54" s="2990"/>
      <c r="BC54" s="2990"/>
      <c r="BD54" s="2990"/>
      <c r="BE54" s="2990"/>
      <c r="BF54" s="2990"/>
      <c r="BG54" s="2990"/>
      <c r="BH54" s="2990"/>
      <c r="BI54" s="2990"/>
      <c r="BJ54" s="2990"/>
      <c r="BK54" s="2990"/>
      <c r="BL54" s="2990"/>
      <c r="BM54" s="2990"/>
      <c r="BN54" s="2990"/>
      <c r="BO54" s="2990"/>
      <c r="BP54" s="2990"/>
      <c r="BQ54" s="2990"/>
      <c r="BR54" s="2990"/>
      <c r="BS54" s="2990"/>
      <c r="BT54" s="2990"/>
      <c r="BU54" s="2991"/>
      <c r="BV54" s="2312"/>
      <c r="BW54" s="2309"/>
      <c r="BX54" s="2993" t="s">
        <v>7170</v>
      </c>
      <c r="BY54" s="2794"/>
      <c r="BZ54" s="2794"/>
      <c r="CA54" s="2794"/>
      <c r="CB54" s="2794"/>
      <c r="CC54" s="2794"/>
      <c r="CD54" s="2794"/>
      <c r="CE54" s="2795"/>
      <c r="CF54" s="2993">
        <v>1</v>
      </c>
      <c r="CG54" s="2794"/>
      <c r="CH54" s="2794"/>
      <c r="CI54" s="2794"/>
      <c r="CJ54" s="2794"/>
      <c r="CK54" s="2795"/>
      <c r="CL54" s="2993">
        <v>2</v>
      </c>
      <c r="CM54" s="2794"/>
      <c r="CN54" s="2794"/>
      <c r="CO54" s="2794"/>
      <c r="CP54" s="2794"/>
      <c r="CQ54" s="2795"/>
      <c r="CR54" s="2993">
        <v>3</v>
      </c>
      <c r="CS54" s="2794"/>
      <c r="CT54" s="2794"/>
      <c r="CU54" s="2794"/>
      <c r="CV54" s="2794"/>
      <c r="CW54" s="2795"/>
      <c r="CX54" s="2993">
        <v>4</v>
      </c>
      <c r="CY54" s="2794"/>
      <c r="CZ54" s="2794"/>
      <c r="DA54" s="2794"/>
      <c r="DB54" s="2794"/>
      <c r="DC54" s="2795"/>
      <c r="DD54" s="2993">
        <v>5</v>
      </c>
      <c r="DE54" s="2794"/>
      <c r="DF54" s="2794"/>
      <c r="DG54" s="2794"/>
      <c r="DH54" s="2794"/>
      <c r="DI54" s="2795"/>
      <c r="DJ54" s="2993">
        <v>6</v>
      </c>
      <c r="DK54" s="2794"/>
      <c r="DL54" s="2794"/>
      <c r="DM54" s="2794"/>
      <c r="DN54" s="2794"/>
      <c r="DO54" s="2795"/>
      <c r="DP54" s="2993">
        <v>7</v>
      </c>
      <c r="DQ54" s="2794"/>
      <c r="DR54" s="2794"/>
      <c r="DS54" s="2794"/>
      <c r="DT54" s="2794"/>
      <c r="DU54" s="2795"/>
      <c r="DV54" s="2993">
        <v>8</v>
      </c>
      <c r="DW54" s="2794"/>
      <c r="DX54" s="2794"/>
      <c r="DY54" s="2794"/>
      <c r="DZ54" s="2794"/>
      <c r="EA54" s="2795"/>
      <c r="EB54" s="2993">
        <v>9</v>
      </c>
      <c r="EC54" s="2794"/>
      <c r="ED54" s="2794"/>
      <c r="EE54" s="2794"/>
      <c r="EF54" s="2794"/>
      <c r="EG54" s="2795"/>
      <c r="EH54" s="2994" t="e">
        <f>IF(#REF!=8,"KI / DAY",IF(#REF!=11,"SORCERY PNTS.","SPELLS / DAY"))</f>
        <v>#REF!</v>
      </c>
      <c r="EI54" s="2771"/>
      <c r="EJ54" s="2771"/>
      <c r="EK54" s="2771"/>
      <c r="EL54" s="2771"/>
      <c r="EM54" s="2771"/>
      <c r="EN54" s="2771"/>
      <c r="EO54" s="2771"/>
      <c r="EP54" s="2772"/>
      <c r="EQ54" s="2312"/>
      <c r="ER54" s="2309"/>
      <c r="ES54" s="2947"/>
      <c r="ET54" s="2819"/>
      <c r="EU54" s="2819"/>
      <c r="EV54" s="2819"/>
      <c r="EW54" s="2819"/>
      <c r="EX54" s="2819"/>
      <c r="EY54" s="2819"/>
      <c r="EZ54" s="2819"/>
      <c r="FA54" s="2819"/>
      <c r="FB54" s="2819"/>
      <c r="FC54" s="2819"/>
      <c r="FD54" s="2819"/>
      <c r="FE54" s="2819"/>
      <c r="FF54" s="2819"/>
      <c r="FG54" s="2819"/>
      <c r="FH54" s="2819"/>
      <c r="FI54" s="2819"/>
      <c r="FJ54" s="2819"/>
      <c r="FK54" s="2819"/>
      <c r="FL54" s="2819"/>
      <c r="FM54" s="2819"/>
      <c r="FN54" s="2819"/>
      <c r="FO54" s="2819"/>
      <c r="FP54" s="2819"/>
      <c r="FQ54" s="2819"/>
      <c r="FR54" s="2819"/>
      <c r="FS54" s="2819"/>
      <c r="FT54" s="2819"/>
      <c r="FU54" s="2819"/>
      <c r="FV54" s="2819"/>
      <c r="FW54" s="2819"/>
      <c r="FX54" s="2819"/>
      <c r="FY54" s="2819"/>
      <c r="FZ54" s="2820"/>
      <c r="GC54" s="2947"/>
      <c r="GD54" s="2819"/>
      <c r="GE54" s="2819"/>
      <c r="GF54" s="2819"/>
      <c r="GG54" s="2819"/>
      <c r="GH54" s="2819"/>
      <c r="GI54" s="2819"/>
      <c r="GJ54" s="2819"/>
      <c r="GK54" s="2819"/>
      <c r="GL54" s="2819"/>
      <c r="GM54" s="2819"/>
      <c r="GN54" s="2819"/>
      <c r="GO54" s="2819"/>
      <c r="GP54" s="2819"/>
      <c r="GQ54" s="2819"/>
      <c r="GR54" s="2819"/>
      <c r="GS54" s="2819"/>
      <c r="GT54" s="2819"/>
      <c r="GU54" s="2819"/>
      <c r="GV54" s="2819"/>
      <c r="GW54" s="2819"/>
      <c r="GX54" s="2819"/>
      <c r="GY54" s="2819"/>
      <c r="GZ54" s="2819"/>
      <c r="HA54" s="2819"/>
      <c r="HB54" s="2819"/>
      <c r="HC54" s="2819"/>
      <c r="HD54" s="2819"/>
      <c r="HE54" s="2819"/>
      <c r="HF54" s="2819"/>
      <c r="HG54" s="2819"/>
      <c r="HH54" s="2819"/>
      <c r="HI54" s="2819"/>
      <c r="HJ54" s="2820"/>
      <c r="HK54" s="1522"/>
      <c r="HL54" s="2312"/>
    </row>
    <row r="55" spans="2:220" ht="7.5" customHeight="1">
      <c r="B55" s="2309"/>
      <c r="C55" s="2796"/>
      <c r="D55" s="2797"/>
      <c r="E55" s="2797"/>
      <c r="F55" s="2797"/>
      <c r="G55" s="2797"/>
      <c r="H55" s="2797"/>
      <c r="I55" s="2798"/>
      <c r="K55" s="2957"/>
      <c r="L55" s="2958"/>
      <c r="M55" s="2958"/>
      <c r="N55" s="2959"/>
      <c r="O55" s="2945"/>
      <c r="P55" s="2764"/>
      <c r="Q55" s="2764"/>
      <c r="R55" s="2764"/>
      <c r="S55" s="2764"/>
      <c r="T55" s="2764"/>
      <c r="U55" s="2764"/>
      <c r="V55" s="2764"/>
      <c r="W55" s="2765"/>
      <c r="Y55" s="2335"/>
      <c r="Z55" s="2335"/>
      <c r="AA55" s="2335"/>
      <c r="AB55" s="2335"/>
      <c r="AC55" s="2335"/>
      <c r="AD55" s="2335"/>
      <c r="AE55" s="2335"/>
      <c r="AF55" s="2335"/>
      <c r="AG55" s="2335"/>
      <c r="AH55" s="2335"/>
      <c r="AI55" s="2335"/>
      <c r="AJ55" s="2335"/>
      <c r="AK55" s="2335"/>
      <c r="AL55" s="2335"/>
      <c r="AM55" s="2335"/>
      <c r="AN55" s="2335"/>
      <c r="AP55" s="2799"/>
      <c r="AQ55" s="2800"/>
      <c r="AR55" s="2800"/>
      <c r="AS55" s="2989"/>
      <c r="AT55" s="2990"/>
      <c r="AU55" s="2990"/>
      <c r="AV55" s="2990"/>
      <c r="AW55" s="2990"/>
      <c r="AX55" s="2990"/>
      <c r="AY55" s="2990"/>
      <c r="AZ55" s="2990"/>
      <c r="BA55" s="2990"/>
      <c r="BB55" s="2990"/>
      <c r="BC55" s="2990"/>
      <c r="BD55" s="2990"/>
      <c r="BE55" s="2990"/>
      <c r="BF55" s="2990"/>
      <c r="BG55" s="2990"/>
      <c r="BH55" s="2990"/>
      <c r="BI55" s="2990"/>
      <c r="BJ55" s="2990"/>
      <c r="BK55" s="2990"/>
      <c r="BL55" s="2990"/>
      <c r="BM55" s="2990"/>
      <c r="BN55" s="2990"/>
      <c r="BO55" s="2990"/>
      <c r="BP55" s="2990"/>
      <c r="BQ55" s="2990"/>
      <c r="BR55" s="2990"/>
      <c r="BS55" s="2990"/>
      <c r="BT55" s="2990"/>
      <c r="BU55" s="2991"/>
      <c r="BV55" s="2312"/>
      <c r="BW55" s="2309"/>
      <c r="BX55" s="2799"/>
      <c r="BY55" s="2800"/>
      <c r="BZ55" s="2800"/>
      <c r="CA55" s="2800"/>
      <c r="CB55" s="2800"/>
      <c r="CC55" s="2800"/>
      <c r="CD55" s="2800"/>
      <c r="CE55" s="2801"/>
      <c r="CF55" s="2799"/>
      <c r="CG55" s="2800"/>
      <c r="CH55" s="2800"/>
      <c r="CI55" s="2800"/>
      <c r="CJ55" s="2800"/>
      <c r="CK55" s="2801"/>
      <c r="CL55" s="2799"/>
      <c r="CM55" s="2800"/>
      <c r="CN55" s="2800"/>
      <c r="CO55" s="2800"/>
      <c r="CP55" s="2800"/>
      <c r="CQ55" s="2801"/>
      <c r="CR55" s="2799"/>
      <c r="CS55" s="2800"/>
      <c r="CT55" s="2800"/>
      <c r="CU55" s="2800"/>
      <c r="CV55" s="2800"/>
      <c r="CW55" s="2801"/>
      <c r="CX55" s="2799"/>
      <c r="CY55" s="2800"/>
      <c r="CZ55" s="2800"/>
      <c r="DA55" s="2800"/>
      <c r="DB55" s="2800"/>
      <c r="DC55" s="2801"/>
      <c r="DD55" s="2799"/>
      <c r="DE55" s="2800"/>
      <c r="DF55" s="2800"/>
      <c r="DG55" s="2800"/>
      <c r="DH55" s="2800"/>
      <c r="DI55" s="2801"/>
      <c r="DJ55" s="2799"/>
      <c r="DK55" s="2800"/>
      <c r="DL55" s="2800"/>
      <c r="DM55" s="2800"/>
      <c r="DN55" s="2800"/>
      <c r="DO55" s="2801"/>
      <c r="DP55" s="2799"/>
      <c r="DQ55" s="2800"/>
      <c r="DR55" s="2800"/>
      <c r="DS55" s="2800"/>
      <c r="DT55" s="2800"/>
      <c r="DU55" s="2801"/>
      <c r="DV55" s="2799"/>
      <c r="DW55" s="2800"/>
      <c r="DX55" s="2800"/>
      <c r="DY55" s="2800"/>
      <c r="DZ55" s="2800"/>
      <c r="EA55" s="2801"/>
      <c r="EB55" s="2799"/>
      <c r="EC55" s="2800"/>
      <c r="ED55" s="2800"/>
      <c r="EE55" s="2800"/>
      <c r="EF55" s="2800"/>
      <c r="EG55" s="2801"/>
      <c r="EH55" s="2995"/>
      <c r="EI55" s="2775"/>
      <c r="EJ55" s="2775"/>
      <c r="EK55" s="2775"/>
      <c r="EL55" s="2775"/>
      <c r="EM55" s="2775"/>
      <c r="EN55" s="2775"/>
      <c r="EO55" s="2775"/>
      <c r="EP55" s="2776"/>
      <c r="EQ55" s="2312"/>
      <c r="ER55" s="2309"/>
      <c r="ES55" s="2824"/>
      <c r="ET55" s="2825"/>
      <c r="EU55" s="2825"/>
      <c r="EV55" s="2825"/>
      <c r="EW55" s="2825"/>
      <c r="EX55" s="2825"/>
      <c r="EY55" s="2825"/>
      <c r="EZ55" s="2825"/>
      <c r="FA55" s="2825"/>
      <c r="FB55" s="2825"/>
      <c r="FC55" s="2825"/>
      <c r="FD55" s="2825"/>
      <c r="FE55" s="2825"/>
      <c r="FF55" s="2825"/>
      <c r="FG55" s="2825"/>
      <c r="FH55" s="2825"/>
      <c r="FI55" s="2825"/>
      <c r="FJ55" s="2825"/>
      <c r="FK55" s="2825"/>
      <c r="FL55" s="2825"/>
      <c r="FM55" s="2825"/>
      <c r="FN55" s="2825"/>
      <c r="FO55" s="2825"/>
      <c r="FP55" s="2825"/>
      <c r="FQ55" s="2825"/>
      <c r="FR55" s="2825"/>
      <c r="FS55" s="2825"/>
      <c r="FT55" s="2825"/>
      <c r="FU55" s="2825"/>
      <c r="FV55" s="2825"/>
      <c r="FW55" s="2825"/>
      <c r="FX55" s="2825"/>
      <c r="FY55" s="2825"/>
      <c r="FZ55" s="2826"/>
      <c r="GC55" s="2824"/>
      <c r="GD55" s="2825"/>
      <c r="GE55" s="2825"/>
      <c r="GF55" s="2825"/>
      <c r="GG55" s="2825"/>
      <c r="GH55" s="2825"/>
      <c r="GI55" s="2825"/>
      <c r="GJ55" s="2825"/>
      <c r="GK55" s="2825"/>
      <c r="GL55" s="2825"/>
      <c r="GM55" s="2825"/>
      <c r="GN55" s="2825"/>
      <c r="GO55" s="2825"/>
      <c r="GP55" s="2825"/>
      <c r="GQ55" s="2825"/>
      <c r="GR55" s="2825"/>
      <c r="GS55" s="2825"/>
      <c r="GT55" s="2825"/>
      <c r="GU55" s="2825"/>
      <c r="GV55" s="2825"/>
      <c r="GW55" s="2825"/>
      <c r="GX55" s="2825"/>
      <c r="GY55" s="2825"/>
      <c r="GZ55" s="2825"/>
      <c r="HA55" s="2825"/>
      <c r="HB55" s="2825"/>
      <c r="HC55" s="2825"/>
      <c r="HD55" s="2825"/>
      <c r="HE55" s="2825"/>
      <c r="HF55" s="2825"/>
      <c r="HG55" s="2825"/>
      <c r="HH55" s="2825"/>
      <c r="HI55" s="2825"/>
      <c r="HJ55" s="2826"/>
      <c r="HK55" s="1522"/>
      <c r="HL55" s="2312"/>
    </row>
    <row r="56" spans="2:220" ht="7.5" customHeight="1">
      <c r="B56" s="2309"/>
      <c r="C56" s="2796"/>
      <c r="D56" s="2797"/>
      <c r="E56" s="2797"/>
      <c r="F56" s="2797"/>
      <c r="G56" s="2797"/>
      <c r="H56" s="2797"/>
      <c r="I56" s="2798"/>
      <c r="K56" s="2901">
        <f>[1]SKILLS!$I$37</f>
        <v>4</v>
      </c>
      <c r="L56" s="2955"/>
      <c r="M56" s="2955"/>
      <c r="N56" s="2956"/>
      <c r="O56" s="2944" t="s">
        <v>6306</v>
      </c>
      <c r="P56" s="2760"/>
      <c r="Q56" s="2760"/>
      <c r="R56" s="2760"/>
      <c r="S56" s="2760"/>
      <c r="T56" s="2760"/>
      <c r="U56" s="2760"/>
      <c r="V56" s="2760"/>
      <c r="W56" s="2761"/>
      <c r="Y56" s="2996" t="s">
        <v>10347</v>
      </c>
      <c r="Z56" s="2997"/>
      <c r="AA56" s="2997"/>
      <c r="AB56" s="2997"/>
      <c r="AC56" s="2997"/>
      <c r="AD56" s="2997"/>
      <c r="AE56" s="2997"/>
      <c r="AF56" s="2997"/>
      <c r="AG56" s="2997"/>
      <c r="AH56" s="2997"/>
      <c r="AI56" s="2997"/>
      <c r="AJ56" s="2997"/>
      <c r="AK56" s="2997"/>
      <c r="AL56" s="2997"/>
      <c r="AM56" s="2997"/>
      <c r="AN56" s="2998"/>
      <c r="AP56" s="2988">
        <v>19</v>
      </c>
      <c r="AQ56" s="2794"/>
      <c r="AR56" s="2794"/>
      <c r="AS56" s="2989"/>
      <c r="AT56" s="2990"/>
      <c r="AU56" s="2990"/>
      <c r="AV56" s="2990"/>
      <c r="AW56" s="2990"/>
      <c r="AX56" s="2990"/>
      <c r="AY56" s="2990"/>
      <c r="AZ56" s="2990"/>
      <c r="BA56" s="2990"/>
      <c r="BB56" s="2990"/>
      <c r="BC56" s="2990"/>
      <c r="BD56" s="2990"/>
      <c r="BE56" s="2990"/>
      <c r="BF56" s="2990"/>
      <c r="BG56" s="2990"/>
      <c r="BH56" s="2990"/>
      <c r="BI56" s="2990"/>
      <c r="BJ56" s="2990"/>
      <c r="BK56" s="2990"/>
      <c r="BL56" s="2990"/>
      <c r="BM56" s="2990"/>
      <c r="BN56" s="2990"/>
      <c r="BO56" s="2990"/>
      <c r="BP56" s="2990"/>
      <c r="BQ56" s="2990"/>
      <c r="BR56" s="2990"/>
      <c r="BS56" s="2990"/>
      <c r="BT56" s="2990"/>
      <c r="BU56" s="2991"/>
      <c r="BV56" s="2312"/>
      <c r="BW56" s="2309"/>
      <c r="BX56" s="2992">
        <f>[1]SPELLS!AA5</f>
        <v>4</v>
      </c>
      <c r="BY56" s="2794"/>
      <c r="BZ56" s="2794"/>
      <c r="CA56" s="2794"/>
      <c r="CB56" s="2794"/>
      <c r="CC56" s="2794"/>
      <c r="CD56" s="2794"/>
      <c r="CE56" s="2795"/>
      <c r="CF56" s="2992">
        <f>[1]SPELLS!AA6</f>
        <v>4</v>
      </c>
      <c r="CG56" s="2794"/>
      <c r="CH56" s="2794"/>
      <c r="CI56" s="2794"/>
      <c r="CJ56" s="2794"/>
      <c r="CK56" s="2795"/>
      <c r="CL56" s="2992">
        <f>[1]SPELLS!AA7</f>
        <v>3</v>
      </c>
      <c r="CM56" s="2794"/>
      <c r="CN56" s="2794"/>
      <c r="CO56" s="2794"/>
      <c r="CP56" s="2794"/>
      <c r="CQ56" s="2795"/>
      <c r="CR56" s="2992">
        <f>[1]SPELLS!AA8</f>
        <v>3</v>
      </c>
      <c r="CS56" s="2794"/>
      <c r="CT56" s="2794"/>
      <c r="CU56" s="2794"/>
      <c r="CV56" s="2794"/>
      <c r="CW56" s="2795"/>
      <c r="CX56" s="2992">
        <f>[1]SPELLS!AA9</f>
        <v>1</v>
      </c>
      <c r="CY56" s="2794"/>
      <c r="CZ56" s="2794"/>
      <c r="DA56" s="2794"/>
      <c r="DB56" s="2794"/>
      <c r="DC56" s="2795"/>
      <c r="DD56" s="2992">
        <f>[1]SPELLS!AA10</f>
        <v>0</v>
      </c>
      <c r="DE56" s="2794"/>
      <c r="DF56" s="2794"/>
      <c r="DG56" s="2794"/>
      <c r="DH56" s="2794"/>
      <c r="DI56" s="2795"/>
      <c r="DJ56" s="2992">
        <f>[1]SPELLS!AA11</f>
        <v>0</v>
      </c>
      <c r="DK56" s="2794"/>
      <c r="DL56" s="2794"/>
      <c r="DM56" s="2794"/>
      <c r="DN56" s="2794"/>
      <c r="DO56" s="2795"/>
      <c r="DP56" s="2992">
        <f>[1]SPELLS!AA12</f>
        <v>0</v>
      </c>
      <c r="DQ56" s="2794"/>
      <c r="DR56" s="2794"/>
      <c r="DS56" s="2794"/>
      <c r="DT56" s="2794"/>
      <c r="DU56" s="2795"/>
      <c r="DV56" s="2992">
        <f>[1]SPELLS!AA13</f>
        <v>0</v>
      </c>
      <c r="DW56" s="2794"/>
      <c r="DX56" s="2794"/>
      <c r="DY56" s="2794"/>
      <c r="DZ56" s="2794"/>
      <c r="EA56" s="2795"/>
      <c r="EB56" s="2992">
        <f>[1]SPELLS!AA14</f>
        <v>0</v>
      </c>
      <c r="EC56" s="2794"/>
      <c r="ED56" s="2794"/>
      <c r="EE56" s="2794"/>
      <c r="EF56" s="2794"/>
      <c r="EG56" s="2795"/>
      <c r="EH56" s="3002">
        <f>[1]SPELLS!AE3</f>
        <v>11</v>
      </c>
      <c r="EI56" s="2794"/>
      <c r="EJ56" s="2794"/>
      <c r="EK56" s="2794"/>
      <c r="EL56" s="2794"/>
      <c r="EM56" s="2794"/>
      <c r="EN56" s="2794"/>
      <c r="EO56" s="2794"/>
      <c r="EP56" s="2795"/>
      <c r="EQ56" s="2312"/>
      <c r="ER56" s="2309"/>
      <c r="ES56" s="2947"/>
      <c r="ET56" s="2819"/>
      <c r="EU56" s="2819"/>
      <c r="EV56" s="2819"/>
      <c r="EW56" s="2819"/>
      <c r="EX56" s="2819"/>
      <c r="EY56" s="2819"/>
      <c r="EZ56" s="2819"/>
      <c r="FA56" s="2819"/>
      <c r="FB56" s="2819"/>
      <c r="FC56" s="2819"/>
      <c r="FD56" s="2819"/>
      <c r="FE56" s="2819"/>
      <c r="FF56" s="2819"/>
      <c r="FG56" s="2819"/>
      <c r="FH56" s="2819"/>
      <c r="FI56" s="2819"/>
      <c r="FJ56" s="2819"/>
      <c r="FK56" s="2819"/>
      <c r="FL56" s="2819"/>
      <c r="FM56" s="2819"/>
      <c r="FN56" s="2819"/>
      <c r="FO56" s="2819"/>
      <c r="FP56" s="2819"/>
      <c r="FQ56" s="2819"/>
      <c r="FR56" s="2819"/>
      <c r="FS56" s="2819"/>
      <c r="FT56" s="2819"/>
      <c r="FU56" s="2819"/>
      <c r="FV56" s="2819"/>
      <c r="FW56" s="2819"/>
      <c r="FX56" s="2819"/>
      <c r="FY56" s="2819"/>
      <c r="FZ56" s="2820"/>
      <c r="GC56" s="2947"/>
      <c r="GD56" s="2819"/>
      <c r="GE56" s="2819"/>
      <c r="GF56" s="2819"/>
      <c r="GG56" s="2819"/>
      <c r="GH56" s="2819"/>
      <c r="GI56" s="2819"/>
      <c r="GJ56" s="2819"/>
      <c r="GK56" s="2819"/>
      <c r="GL56" s="2819"/>
      <c r="GM56" s="2819"/>
      <c r="GN56" s="2819"/>
      <c r="GO56" s="2819"/>
      <c r="GP56" s="2819"/>
      <c r="GQ56" s="2819"/>
      <c r="GR56" s="2819"/>
      <c r="GS56" s="2819"/>
      <c r="GT56" s="2819"/>
      <c r="GU56" s="2819"/>
      <c r="GV56" s="2819"/>
      <c r="GW56" s="2819"/>
      <c r="GX56" s="2819"/>
      <c r="GY56" s="2819"/>
      <c r="GZ56" s="2819"/>
      <c r="HA56" s="2819"/>
      <c r="HB56" s="2819"/>
      <c r="HC56" s="2819"/>
      <c r="HD56" s="2819"/>
      <c r="HE56" s="2819"/>
      <c r="HF56" s="2819"/>
      <c r="HG56" s="2819"/>
      <c r="HH56" s="2819"/>
      <c r="HI56" s="2819"/>
      <c r="HJ56" s="2820"/>
      <c r="HK56" s="1522"/>
      <c r="HL56" s="2312"/>
    </row>
    <row r="57" spans="2:220" ht="7.5" customHeight="1">
      <c r="B57" s="2309"/>
      <c r="C57" s="2799"/>
      <c r="D57" s="2800"/>
      <c r="E57" s="2800"/>
      <c r="F57" s="2800"/>
      <c r="G57" s="2800"/>
      <c r="H57" s="2800"/>
      <c r="I57" s="2801"/>
      <c r="K57" s="2957"/>
      <c r="L57" s="2958"/>
      <c r="M57" s="2958"/>
      <c r="N57" s="2959"/>
      <c r="O57" s="2945"/>
      <c r="P57" s="2764"/>
      <c r="Q57" s="2764"/>
      <c r="R57" s="2764"/>
      <c r="S57" s="2764"/>
      <c r="T57" s="2764"/>
      <c r="U57" s="2764"/>
      <c r="V57" s="2764"/>
      <c r="W57" s="2765"/>
      <c r="Y57" s="2999"/>
      <c r="Z57" s="3000"/>
      <c r="AA57" s="3000"/>
      <c r="AB57" s="3000"/>
      <c r="AC57" s="3000"/>
      <c r="AD57" s="3000"/>
      <c r="AE57" s="3000"/>
      <c r="AF57" s="3000"/>
      <c r="AG57" s="3000"/>
      <c r="AH57" s="3000"/>
      <c r="AI57" s="3000"/>
      <c r="AJ57" s="3000"/>
      <c r="AK57" s="3000"/>
      <c r="AL57" s="3000"/>
      <c r="AM57" s="3000"/>
      <c r="AN57" s="3001"/>
      <c r="AP57" s="2799"/>
      <c r="AQ57" s="2800"/>
      <c r="AR57" s="2800"/>
      <c r="AS57" s="2989"/>
      <c r="AT57" s="2990"/>
      <c r="AU57" s="2990"/>
      <c r="AV57" s="2990"/>
      <c r="AW57" s="2990"/>
      <c r="AX57" s="2990"/>
      <c r="AY57" s="2990"/>
      <c r="AZ57" s="2990"/>
      <c r="BA57" s="2990"/>
      <c r="BB57" s="2990"/>
      <c r="BC57" s="2990"/>
      <c r="BD57" s="2990"/>
      <c r="BE57" s="2990"/>
      <c r="BF57" s="2990"/>
      <c r="BG57" s="2990"/>
      <c r="BH57" s="2990"/>
      <c r="BI57" s="2990"/>
      <c r="BJ57" s="2990"/>
      <c r="BK57" s="2990"/>
      <c r="BL57" s="2990"/>
      <c r="BM57" s="2990"/>
      <c r="BN57" s="2990"/>
      <c r="BO57" s="2990"/>
      <c r="BP57" s="2990"/>
      <c r="BQ57" s="2990"/>
      <c r="BR57" s="2990"/>
      <c r="BS57" s="2990"/>
      <c r="BT57" s="2990"/>
      <c r="BU57" s="2991"/>
      <c r="BV57" s="2312"/>
      <c r="BW57" s="2309"/>
      <c r="BX57" s="2799"/>
      <c r="BY57" s="2800"/>
      <c r="BZ57" s="2800"/>
      <c r="CA57" s="2800"/>
      <c r="CB57" s="2800"/>
      <c r="CC57" s="2800"/>
      <c r="CD57" s="2800"/>
      <c r="CE57" s="2801"/>
      <c r="CF57" s="2799"/>
      <c r="CG57" s="2800"/>
      <c r="CH57" s="2800"/>
      <c r="CI57" s="2800"/>
      <c r="CJ57" s="2800"/>
      <c r="CK57" s="2801"/>
      <c r="CL57" s="2799"/>
      <c r="CM57" s="2800"/>
      <c r="CN57" s="2800"/>
      <c r="CO57" s="2800"/>
      <c r="CP57" s="2800"/>
      <c r="CQ57" s="2801"/>
      <c r="CR57" s="2799"/>
      <c r="CS57" s="2800"/>
      <c r="CT57" s="2800"/>
      <c r="CU57" s="2800"/>
      <c r="CV57" s="2800"/>
      <c r="CW57" s="2801"/>
      <c r="CX57" s="2799"/>
      <c r="CY57" s="2800"/>
      <c r="CZ57" s="2800"/>
      <c r="DA57" s="2800"/>
      <c r="DB57" s="2800"/>
      <c r="DC57" s="2801"/>
      <c r="DD57" s="2799"/>
      <c r="DE57" s="2800"/>
      <c r="DF57" s="2800"/>
      <c r="DG57" s="2800"/>
      <c r="DH57" s="2800"/>
      <c r="DI57" s="2801"/>
      <c r="DJ57" s="2799"/>
      <c r="DK57" s="2800"/>
      <c r="DL57" s="2800"/>
      <c r="DM57" s="2800"/>
      <c r="DN57" s="2800"/>
      <c r="DO57" s="2801"/>
      <c r="DP57" s="2799"/>
      <c r="DQ57" s="2800"/>
      <c r="DR57" s="2800"/>
      <c r="DS57" s="2800"/>
      <c r="DT57" s="2800"/>
      <c r="DU57" s="2801"/>
      <c r="DV57" s="2799"/>
      <c r="DW57" s="2800"/>
      <c r="DX57" s="2800"/>
      <c r="DY57" s="2800"/>
      <c r="DZ57" s="2800"/>
      <c r="EA57" s="2801"/>
      <c r="EB57" s="2799"/>
      <c r="EC57" s="2800"/>
      <c r="ED57" s="2800"/>
      <c r="EE57" s="2800"/>
      <c r="EF57" s="2800"/>
      <c r="EG57" s="2801"/>
      <c r="EH57" s="2799"/>
      <c r="EI57" s="2800"/>
      <c r="EJ57" s="2800"/>
      <c r="EK57" s="2800"/>
      <c r="EL57" s="2800"/>
      <c r="EM57" s="2800"/>
      <c r="EN57" s="2800"/>
      <c r="EO57" s="2800"/>
      <c r="EP57" s="2801"/>
      <c r="EQ57" s="2312"/>
      <c r="ER57" s="2309"/>
      <c r="ES57" s="2824"/>
      <c r="ET57" s="2825"/>
      <c r="EU57" s="2825"/>
      <c r="EV57" s="2825"/>
      <c r="EW57" s="2825"/>
      <c r="EX57" s="2825"/>
      <c r="EY57" s="2825"/>
      <c r="EZ57" s="2825"/>
      <c r="FA57" s="2825"/>
      <c r="FB57" s="2825"/>
      <c r="FC57" s="2825"/>
      <c r="FD57" s="2825"/>
      <c r="FE57" s="2825"/>
      <c r="FF57" s="2825"/>
      <c r="FG57" s="2825"/>
      <c r="FH57" s="2825"/>
      <c r="FI57" s="2825"/>
      <c r="FJ57" s="2825"/>
      <c r="FK57" s="2825"/>
      <c r="FL57" s="2825"/>
      <c r="FM57" s="2825"/>
      <c r="FN57" s="2825"/>
      <c r="FO57" s="2825"/>
      <c r="FP57" s="2825"/>
      <c r="FQ57" s="2825"/>
      <c r="FR57" s="2825"/>
      <c r="FS57" s="2825"/>
      <c r="FT57" s="2825"/>
      <c r="FU57" s="2825"/>
      <c r="FV57" s="2825"/>
      <c r="FW57" s="2825"/>
      <c r="FX57" s="2825"/>
      <c r="FY57" s="2825"/>
      <c r="FZ57" s="2826"/>
      <c r="GC57" s="2824"/>
      <c r="GD57" s="2825"/>
      <c r="GE57" s="2825"/>
      <c r="GF57" s="2825"/>
      <c r="GG57" s="2825"/>
      <c r="GH57" s="2825"/>
      <c r="GI57" s="2825"/>
      <c r="GJ57" s="2825"/>
      <c r="GK57" s="2825"/>
      <c r="GL57" s="2825"/>
      <c r="GM57" s="2825"/>
      <c r="GN57" s="2825"/>
      <c r="GO57" s="2825"/>
      <c r="GP57" s="2825"/>
      <c r="GQ57" s="2825"/>
      <c r="GR57" s="2825"/>
      <c r="GS57" s="2825"/>
      <c r="GT57" s="2825"/>
      <c r="GU57" s="2825"/>
      <c r="GV57" s="2825"/>
      <c r="GW57" s="2825"/>
      <c r="GX57" s="2825"/>
      <c r="GY57" s="2825"/>
      <c r="GZ57" s="2825"/>
      <c r="HA57" s="2825"/>
      <c r="HB57" s="2825"/>
      <c r="HC57" s="2825"/>
      <c r="HD57" s="2825"/>
      <c r="HE57" s="2825"/>
      <c r="HF57" s="2825"/>
      <c r="HG57" s="2825"/>
      <c r="HH57" s="2825"/>
      <c r="HI57" s="2825"/>
      <c r="HJ57" s="2826"/>
      <c r="HK57" s="1522"/>
      <c r="HL57" s="2312"/>
    </row>
    <row r="58" spans="2:220" ht="7.5" customHeight="1">
      <c r="B58" s="2309"/>
      <c r="C58" s="2981">
        <f>VLOOKUP(C54,[1]ABILITIES!$Z$3:$AA$24,2)</f>
        <v>0</v>
      </c>
      <c r="D58" s="2794"/>
      <c r="E58" s="2794"/>
      <c r="F58" s="2794"/>
      <c r="G58" s="2794"/>
      <c r="H58" s="2794"/>
      <c r="I58" s="2795"/>
      <c r="K58" s="2901">
        <f>[1]SKILLS!$I$38</f>
        <v>0</v>
      </c>
      <c r="L58" s="2955"/>
      <c r="M58" s="2955"/>
      <c r="N58" s="2956"/>
      <c r="O58" s="2944" t="s">
        <v>6959</v>
      </c>
      <c r="P58" s="2760"/>
      <c r="Q58" s="2760"/>
      <c r="R58" s="2760"/>
      <c r="S58" s="2760"/>
      <c r="T58" s="2760"/>
      <c r="U58" s="2760"/>
      <c r="V58" s="2760"/>
      <c r="W58" s="2761"/>
      <c r="Y58" s="2982" t="s">
        <v>10344</v>
      </c>
      <c r="Z58" s="2983"/>
      <c r="AA58" s="2983"/>
      <c r="AB58" s="2983"/>
      <c r="AC58" s="2983"/>
      <c r="AD58" s="2983"/>
      <c r="AE58" s="2983"/>
      <c r="AF58" s="2983"/>
      <c r="AG58" s="2983"/>
      <c r="AH58" s="2983"/>
      <c r="AI58" s="2983"/>
      <c r="AJ58" s="2983"/>
      <c r="AK58" s="2983"/>
      <c r="AL58" s="2983"/>
      <c r="AM58" s="2983"/>
      <c r="AN58" s="2984"/>
      <c r="AP58" s="2988">
        <v>20</v>
      </c>
      <c r="AQ58" s="2794"/>
      <c r="AR58" s="2794"/>
      <c r="AS58" s="2989"/>
      <c r="AT58" s="2990"/>
      <c r="AU58" s="2990"/>
      <c r="AV58" s="2990"/>
      <c r="AW58" s="2990"/>
      <c r="AX58" s="2990"/>
      <c r="AY58" s="2990"/>
      <c r="AZ58" s="2990"/>
      <c r="BA58" s="2990"/>
      <c r="BB58" s="2990"/>
      <c r="BC58" s="2990"/>
      <c r="BD58" s="2990"/>
      <c r="BE58" s="2990"/>
      <c r="BF58" s="2990"/>
      <c r="BG58" s="2990"/>
      <c r="BH58" s="2990"/>
      <c r="BI58" s="2990"/>
      <c r="BJ58" s="2990"/>
      <c r="BK58" s="2990"/>
      <c r="BL58" s="2990"/>
      <c r="BM58" s="2990"/>
      <c r="BN58" s="2990"/>
      <c r="BO58" s="2990"/>
      <c r="BP58" s="2990"/>
      <c r="BQ58" s="2990"/>
      <c r="BR58" s="2990"/>
      <c r="BS58" s="2990"/>
      <c r="BT58" s="2990"/>
      <c r="BU58" s="2991"/>
      <c r="BV58" s="2312"/>
      <c r="BW58" s="2309"/>
      <c r="CF58" s="2337"/>
      <c r="CG58" s="2337"/>
      <c r="CH58" s="2338"/>
      <c r="CI58" s="2338"/>
      <c r="CJ58" s="2338"/>
      <c r="CK58" s="2338"/>
      <c r="CL58" s="2338"/>
      <c r="CM58" s="2338"/>
      <c r="CN58" s="2338"/>
      <c r="CO58" s="2338"/>
      <c r="CP58" s="2338"/>
      <c r="CQ58" s="2338"/>
      <c r="CR58" s="2338"/>
      <c r="CS58" s="2338"/>
      <c r="CT58" s="2338"/>
      <c r="CU58" s="2338"/>
      <c r="CV58" s="2338"/>
      <c r="CW58" s="2338"/>
      <c r="CX58" s="2338"/>
      <c r="CY58" s="2338"/>
      <c r="CZ58" s="2338"/>
      <c r="DA58" s="2338"/>
      <c r="DB58" s="2338"/>
      <c r="EQ58" s="2312"/>
      <c r="ER58" s="2309"/>
      <c r="ES58" s="2947"/>
      <c r="ET58" s="2819"/>
      <c r="EU58" s="2819"/>
      <c r="EV58" s="2819"/>
      <c r="EW58" s="2819"/>
      <c r="EX58" s="2819"/>
      <c r="EY58" s="2819"/>
      <c r="EZ58" s="2819"/>
      <c r="FA58" s="2819"/>
      <c r="FB58" s="2819"/>
      <c r="FC58" s="2819"/>
      <c r="FD58" s="2819"/>
      <c r="FE58" s="2819"/>
      <c r="FF58" s="2819"/>
      <c r="FG58" s="2819"/>
      <c r="FH58" s="2819"/>
      <c r="FI58" s="2819"/>
      <c r="FJ58" s="2819"/>
      <c r="FK58" s="2819"/>
      <c r="FL58" s="2819"/>
      <c r="FM58" s="2819"/>
      <c r="FN58" s="2819"/>
      <c r="FO58" s="2819"/>
      <c r="FP58" s="2819"/>
      <c r="FQ58" s="2819"/>
      <c r="FR58" s="2819"/>
      <c r="FS58" s="2819"/>
      <c r="FT58" s="2819"/>
      <c r="FU58" s="2819"/>
      <c r="FV58" s="2819"/>
      <c r="FW58" s="2819"/>
      <c r="FX58" s="2819"/>
      <c r="FY58" s="2819"/>
      <c r="FZ58" s="2820"/>
      <c r="GC58" s="2947"/>
      <c r="GD58" s="2819"/>
      <c r="GE58" s="2819"/>
      <c r="GF58" s="2819"/>
      <c r="GG58" s="2819"/>
      <c r="GH58" s="2819"/>
      <c r="GI58" s="2819"/>
      <c r="GJ58" s="2819"/>
      <c r="GK58" s="2819"/>
      <c r="GL58" s="2819"/>
      <c r="GM58" s="2819"/>
      <c r="GN58" s="2819"/>
      <c r="GO58" s="2819"/>
      <c r="GP58" s="2819"/>
      <c r="GQ58" s="2819"/>
      <c r="GR58" s="2819"/>
      <c r="GS58" s="2819"/>
      <c r="GT58" s="2819"/>
      <c r="GU58" s="2819"/>
      <c r="GV58" s="2819"/>
      <c r="GW58" s="2819"/>
      <c r="GX58" s="2819"/>
      <c r="GY58" s="2819"/>
      <c r="GZ58" s="2819"/>
      <c r="HA58" s="2819"/>
      <c r="HB58" s="2819"/>
      <c r="HC58" s="2819"/>
      <c r="HD58" s="2819"/>
      <c r="HE58" s="2819"/>
      <c r="HF58" s="2819"/>
      <c r="HG58" s="2819"/>
      <c r="HH58" s="2819"/>
      <c r="HI58" s="2819"/>
      <c r="HJ58" s="2820"/>
      <c r="HK58" s="1522"/>
      <c r="HL58" s="2312"/>
    </row>
    <row r="59" spans="2:220" ht="7.5" customHeight="1">
      <c r="B59" s="2309"/>
      <c r="C59" s="2799"/>
      <c r="D59" s="2800"/>
      <c r="E59" s="2800"/>
      <c r="F59" s="2800"/>
      <c r="G59" s="2800"/>
      <c r="H59" s="2800"/>
      <c r="I59" s="2801"/>
      <c r="K59" s="2957"/>
      <c r="L59" s="2958"/>
      <c r="M59" s="2958"/>
      <c r="N59" s="2959"/>
      <c r="O59" s="2945"/>
      <c r="P59" s="2764"/>
      <c r="Q59" s="2764"/>
      <c r="R59" s="2764"/>
      <c r="S59" s="2764"/>
      <c r="T59" s="2764"/>
      <c r="U59" s="2764"/>
      <c r="V59" s="2764"/>
      <c r="W59" s="2765"/>
      <c r="Y59" s="2985"/>
      <c r="Z59" s="2986"/>
      <c r="AA59" s="2986"/>
      <c r="AB59" s="2986"/>
      <c r="AC59" s="2986"/>
      <c r="AD59" s="2986"/>
      <c r="AE59" s="2986"/>
      <c r="AF59" s="2986"/>
      <c r="AG59" s="2986"/>
      <c r="AH59" s="2986"/>
      <c r="AI59" s="2986"/>
      <c r="AJ59" s="2986"/>
      <c r="AK59" s="2986"/>
      <c r="AL59" s="2986"/>
      <c r="AM59" s="2986"/>
      <c r="AN59" s="2987"/>
      <c r="AP59" s="2799"/>
      <c r="AQ59" s="2800"/>
      <c r="AR59" s="2800"/>
      <c r="AS59" s="2989"/>
      <c r="AT59" s="2990"/>
      <c r="AU59" s="2990"/>
      <c r="AV59" s="2990"/>
      <c r="AW59" s="2990"/>
      <c r="AX59" s="2990"/>
      <c r="AY59" s="2990"/>
      <c r="AZ59" s="2990"/>
      <c r="BA59" s="2990"/>
      <c r="BB59" s="2990"/>
      <c r="BC59" s="2990"/>
      <c r="BD59" s="2990"/>
      <c r="BE59" s="2990"/>
      <c r="BF59" s="2990"/>
      <c r="BG59" s="2990"/>
      <c r="BH59" s="2990"/>
      <c r="BI59" s="2990"/>
      <c r="BJ59" s="2990"/>
      <c r="BK59" s="2990"/>
      <c r="BL59" s="2990"/>
      <c r="BM59" s="2990"/>
      <c r="BN59" s="2990"/>
      <c r="BO59" s="2990"/>
      <c r="BP59" s="2990"/>
      <c r="BQ59" s="2990"/>
      <c r="BR59" s="2990"/>
      <c r="BS59" s="2990"/>
      <c r="BT59" s="2990"/>
      <c r="BU59" s="2991"/>
      <c r="BV59" s="2312"/>
      <c r="BW59" s="2309"/>
      <c r="BX59" s="2965" t="s">
        <v>10348</v>
      </c>
      <c r="BY59" s="2966"/>
      <c r="BZ59" s="2966"/>
      <c r="CA59" s="2966"/>
      <c r="CB59" s="2966"/>
      <c r="CC59" s="2966"/>
      <c r="CD59" s="2966"/>
      <c r="CE59" s="2966"/>
      <c r="CF59" s="2966"/>
      <c r="CG59" s="2966"/>
      <c r="CH59" s="2967"/>
      <c r="CI59" s="2967"/>
      <c r="CJ59" s="2967"/>
      <c r="CK59" s="2967"/>
      <c r="CL59" s="2967"/>
      <c r="CM59" s="2967"/>
      <c r="CN59" s="2967"/>
      <c r="CO59" s="2967"/>
      <c r="CP59" s="2967"/>
      <c r="CQ59" s="2967"/>
      <c r="CR59" s="2967"/>
      <c r="CS59" s="2967"/>
      <c r="CT59" s="2967"/>
      <c r="CU59" s="2967"/>
      <c r="CV59" s="2967"/>
      <c r="CW59" s="2967"/>
      <c r="CX59" s="2967"/>
      <c r="CY59" s="2967"/>
      <c r="CZ59" s="2967"/>
      <c r="DA59" s="2967"/>
      <c r="DB59" s="2968"/>
      <c r="DC59" s="2339"/>
      <c r="DJ59" s="2969" t="s">
        <v>10349</v>
      </c>
      <c r="DK59" s="2970"/>
      <c r="DL59" s="2970"/>
      <c r="DM59" s="2970"/>
      <c r="DN59" s="2970"/>
      <c r="DO59" s="2970"/>
      <c r="DP59" s="2970"/>
      <c r="DQ59" s="2970"/>
      <c r="DR59" s="2970"/>
      <c r="DS59" s="2970"/>
      <c r="DT59" s="2970"/>
      <c r="DU59" s="2971"/>
      <c r="DV59" s="2975" t="e">
        <f>#REF!</f>
        <v>#REF!</v>
      </c>
      <c r="DW59" s="2976"/>
      <c r="DX59" s="2976"/>
      <c r="DY59" s="2976"/>
      <c r="DZ59" s="2976"/>
      <c r="EA59" s="2976"/>
      <c r="EB59" s="2976"/>
      <c r="EC59" s="2976"/>
      <c r="ED59" s="2976"/>
      <c r="EE59" s="2976"/>
      <c r="EF59" s="2976"/>
      <c r="EG59" s="2976"/>
      <c r="EH59" s="2976"/>
      <c r="EI59" s="2976"/>
      <c r="EJ59" s="2976"/>
      <c r="EK59" s="2976"/>
      <c r="EL59" s="2976"/>
      <c r="EM59" s="2976"/>
      <c r="EN59" s="2976"/>
      <c r="EO59" s="2976"/>
      <c r="EP59" s="2977"/>
      <c r="EQ59" s="2312"/>
      <c r="ER59" s="2309"/>
      <c r="ES59" s="2824"/>
      <c r="ET59" s="2825"/>
      <c r="EU59" s="2825"/>
      <c r="EV59" s="2825"/>
      <c r="EW59" s="2825"/>
      <c r="EX59" s="2825"/>
      <c r="EY59" s="2825"/>
      <c r="EZ59" s="2825"/>
      <c r="FA59" s="2825"/>
      <c r="FB59" s="2825"/>
      <c r="FC59" s="2825"/>
      <c r="FD59" s="2825"/>
      <c r="FE59" s="2825"/>
      <c r="FF59" s="2825"/>
      <c r="FG59" s="2825"/>
      <c r="FH59" s="2825"/>
      <c r="FI59" s="2825"/>
      <c r="FJ59" s="2825"/>
      <c r="FK59" s="2825"/>
      <c r="FL59" s="2825"/>
      <c r="FM59" s="2825"/>
      <c r="FN59" s="2825"/>
      <c r="FO59" s="2825"/>
      <c r="FP59" s="2825"/>
      <c r="FQ59" s="2825"/>
      <c r="FR59" s="2825"/>
      <c r="FS59" s="2825"/>
      <c r="FT59" s="2825"/>
      <c r="FU59" s="2825"/>
      <c r="FV59" s="2825"/>
      <c r="FW59" s="2825"/>
      <c r="FX59" s="2825"/>
      <c r="FY59" s="2825"/>
      <c r="FZ59" s="2826"/>
      <c r="GC59" s="2824"/>
      <c r="GD59" s="2825"/>
      <c r="GE59" s="2825"/>
      <c r="GF59" s="2825"/>
      <c r="GG59" s="2825"/>
      <c r="GH59" s="2825"/>
      <c r="GI59" s="2825"/>
      <c r="GJ59" s="2825"/>
      <c r="GK59" s="2825"/>
      <c r="GL59" s="2825"/>
      <c r="GM59" s="2825"/>
      <c r="GN59" s="2825"/>
      <c r="GO59" s="2825"/>
      <c r="GP59" s="2825"/>
      <c r="GQ59" s="2825"/>
      <c r="GR59" s="2825"/>
      <c r="GS59" s="2825"/>
      <c r="GT59" s="2825"/>
      <c r="GU59" s="2825"/>
      <c r="GV59" s="2825"/>
      <c r="GW59" s="2825"/>
      <c r="GX59" s="2825"/>
      <c r="GY59" s="2825"/>
      <c r="GZ59" s="2825"/>
      <c r="HA59" s="2825"/>
      <c r="HB59" s="2825"/>
      <c r="HC59" s="2825"/>
      <c r="HD59" s="2825"/>
      <c r="HE59" s="2825"/>
      <c r="HF59" s="2825"/>
      <c r="HG59" s="2825"/>
      <c r="HH59" s="2825"/>
      <c r="HI59" s="2825"/>
      <c r="HJ59" s="2826"/>
      <c r="HK59" s="1522"/>
      <c r="HL59" s="2312"/>
    </row>
    <row r="60" spans="2:220" ht="7.5" customHeight="1">
      <c r="B60" s="2309"/>
      <c r="K60" s="2901">
        <f>[1]SKILLS!$I$39</f>
        <v>2</v>
      </c>
      <c r="L60" s="2955"/>
      <c r="M60" s="2955"/>
      <c r="N60" s="2956"/>
      <c r="O60" s="2944" t="s">
        <v>6960</v>
      </c>
      <c r="P60" s="2760"/>
      <c r="Q60" s="2760"/>
      <c r="R60" s="2760"/>
      <c r="S60" s="2760"/>
      <c r="T60" s="2760"/>
      <c r="U60" s="2760"/>
      <c r="V60" s="2760"/>
      <c r="W60" s="2761"/>
      <c r="BV60" s="2312"/>
      <c r="BW60" s="2309"/>
      <c r="BX60" s="2966"/>
      <c r="BY60" s="2966"/>
      <c r="BZ60" s="2966"/>
      <c r="CA60" s="2966"/>
      <c r="CB60" s="2966"/>
      <c r="CC60" s="2966"/>
      <c r="CD60" s="2966"/>
      <c r="CE60" s="2966"/>
      <c r="CF60" s="2966"/>
      <c r="CG60" s="2966"/>
      <c r="CH60" s="2967"/>
      <c r="CI60" s="2967"/>
      <c r="CJ60" s="2967"/>
      <c r="CK60" s="2967"/>
      <c r="CL60" s="2967"/>
      <c r="CM60" s="2967"/>
      <c r="CN60" s="2967"/>
      <c r="CO60" s="2967"/>
      <c r="CP60" s="2967"/>
      <c r="CQ60" s="2967"/>
      <c r="CR60" s="2967"/>
      <c r="CS60" s="2967"/>
      <c r="CT60" s="2967"/>
      <c r="CU60" s="2967"/>
      <c r="CV60" s="2967"/>
      <c r="CW60" s="2967"/>
      <c r="CX60" s="2967"/>
      <c r="CY60" s="2967"/>
      <c r="CZ60" s="2967"/>
      <c r="DA60" s="2967"/>
      <c r="DB60" s="2968"/>
      <c r="DJ60" s="2972"/>
      <c r="DK60" s="2973"/>
      <c r="DL60" s="2973"/>
      <c r="DM60" s="2973"/>
      <c r="DN60" s="2973"/>
      <c r="DO60" s="2973"/>
      <c r="DP60" s="2973"/>
      <c r="DQ60" s="2973"/>
      <c r="DR60" s="2973"/>
      <c r="DS60" s="2973"/>
      <c r="DT60" s="2973"/>
      <c r="DU60" s="2974"/>
      <c r="DV60" s="2978"/>
      <c r="DW60" s="2979"/>
      <c r="DX60" s="2979"/>
      <c r="DY60" s="2979"/>
      <c r="DZ60" s="2979"/>
      <c r="EA60" s="2979"/>
      <c r="EB60" s="2979"/>
      <c r="EC60" s="2979"/>
      <c r="ED60" s="2979"/>
      <c r="EE60" s="2979"/>
      <c r="EF60" s="2979"/>
      <c r="EG60" s="2979"/>
      <c r="EH60" s="2979"/>
      <c r="EI60" s="2979"/>
      <c r="EJ60" s="2979"/>
      <c r="EK60" s="2979"/>
      <c r="EL60" s="2979"/>
      <c r="EM60" s="2979"/>
      <c r="EN60" s="2979"/>
      <c r="EO60" s="2979"/>
      <c r="EP60" s="2980"/>
      <c r="EQ60" s="2312"/>
      <c r="ER60" s="2309"/>
      <c r="ES60" s="2947"/>
      <c r="ET60" s="2819"/>
      <c r="EU60" s="2819"/>
      <c r="EV60" s="2819"/>
      <c r="EW60" s="2819"/>
      <c r="EX60" s="2819"/>
      <c r="EY60" s="2819"/>
      <c r="EZ60" s="2819"/>
      <c r="FA60" s="2819"/>
      <c r="FB60" s="2819"/>
      <c r="FC60" s="2819"/>
      <c r="FD60" s="2819"/>
      <c r="FE60" s="2819"/>
      <c r="FF60" s="2819"/>
      <c r="FG60" s="2819"/>
      <c r="FH60" s="2819"/>
      <c r="FI60" s="2819"/>
      <c r="FJ60" s="2819"/>
      <c r="FK60" s="2819"/>
      <c r="FL60" s="2819"/>
      <c r="FM60" s="2819"/>
      <c r="FN60" s="2819"/>
      <c r="FO60" s="2819"/>
      <c r="FP60" s="2819"/>
      <c r="FQ60" s="2819"/>
      <c r="FR60" s="2819"/>
      <c r="FS60" s="2819"/>
      <c r="FT60" s="2819"/>
      <c r="FU60" s="2819"/>
      <c r="FV60" s="2819"/>
      <c r="FW60" s="2819"/>
      <c r="FX60" s="2819"/>
      <c r="FY60" s="2819"/>
      <c r="FZ60" s="2820"/>
      <c r="GC60" s="2947"/>
      <c r="GD60" s="2819"/>
      <c r="GE60" s="2819"/>
      <c r="GF60" s="2819"/>
      <c r="GG60" s="2819"/>
      <c r="GH60" s="2819"/>
      <c r="GI60" s="2819"/>
      <c r="GJ60" s="2819"/>
      <c r="GK60" s="2819"/>
      <c r="GL60" s="2819"/>
      <c r="GM60" s="2819"/>
      <c r="GN60" s="2819"/>
      <c r="GO60" s="2819"/>
      <c r="GP60" s="2819"/>
      <c r="GQ60" s="2819"/>
      <c r="GR60" s="2819"/>
      <c r="GS60" s="2819"/>
      <c r="GT60" s="2819"/>
      <c r="GU60" s="2819"/>
      <c r="GV60" s="2819"/>
      <c r="GW60" s="2819"/>
      <c r="GX60" s="2819"/>
      <c r="GY60" s="2819"/>
      <c r="GZ60" s="2819"/>
      <c r="HA60" s="2819"/>
      <c r="HB60" s="2819"/>
      <c r="HC60" s="2819"/>
      <c r="HD60" s="2819"/>
      <c r="HE60" s="2819"/>
      <c r="HF60" s="2819"/>
      <c r="HG60" s="2819"/>
      <c r="HH60" s="2819"/>
      <c r="HI60" s="2819"/>
      <c r="HJ60" s="2820"/>
      <c r="HK60" s="1522"/>
      <c r="HL60" s="2312"/>
    </row>
    <row r="61" spans="2:220" ht="7.5" customHeight="1">
      <c r="B61" s="2309"/>
      <c r="C61" s="2887" t="s">
        <v>10350</v>
      </c>
      <c r="D61" s="2797"/>
      <c r="E61" s="2797"/>
      <c r="F61" s="2797"/>
      <c r="G61" s="2797"/>
      <c r="H61" s="2797"/>
      <c r="I61" s="2797"/>
      <c r="K61" s="2957"/>
      <c r="L61" s="2958"/>
      <c r="M61" s="2958"/>
      <c r="N61" s="2959"/>
      <c r="O61" s="2945"/>
      <c r="P61" s="2764"/>
      <c r="Q61" s="2764"/>
      <c r="R61" s="2764"/>
      <c r="S61" s="2764"/>
      <c r="T61" s="2764"/>
      <c r="U61" s="2764"/>
      <c r="V61" s="2764"/>
      <c r="W61" s="2765"/>
      <c r="Y61" s="2887" t="s">
        <v>10351</v>
      </c>
      <c r="Z61" s="2887"/>
      <c r="AA61" s="2887"/>
      <c r="AB61" s="2887"/>
      <c r="AC61" s="2887"/>
      <c r="AD61" s="2887"/>
      <c r="AE61" s="2887"/>
      <c r="AF61" s="2887"/>
      <c r="AG61" s="2887"/>
      <c r="AH61" s="2887"/>
      <c r="AI61" s="2887"/>
      <c r="AJ61" s="2887"/>
      <c r="AK61" s="2887"/>
      <c r="AL61" s="2887"/>
      <c r="AM61" s="2887"/>
      <c r="AN61" s="2887"/>
      <c r="AO61" s="2887"/>
      <c r="AP61" s="2887"/>
      <c r="AQ61" s="2887"/>
      <c r="AR61" s="2887"/>
      <c r="AS61" s="2960"/>
      <c r="AT61" s="2960"/>
      <c r="AU61" s="2960"/>
      <c r="AV61" s="2960"/>
      <c r="AX61" s="2887" t="s">
        <v>10352</v>
      </c>
      <c r="AY61" s="2887"/>
      <c r="AZ61" s="2887"/>
      <c r="BA61" s="2887"/>
      <c r="BB61" s="2887"/>
      <c r="BC61" s="2887"/>
      <c r="BD61" s="2887"/>
      <c r="BE61" s="2887"/>
      <c r="BF61" s="2887"/>
      <c r="BG61" s="2887"/>
      <c r="BH61" s="2887"/>
      <c r="BI61" s="2887"/>
      <c r="BJ61" s="2887"/>
      <c r="BK61" s="2887"/>
      <c r="BL61" s="2887"/>
      <c r="BM61" s="2887"/>
      <c r="BN61" s="2887"/>
      <c r="BO61" s="2887"/>
      <c r="BP61" s="2887"/>
      <c r="BQ61" s="2887"/>
      <c r="BR61" s="2960"/>
      <c r="BS61" s="2960"/>
      <c r="BT61" s="2960"/>
      <c r="BU61" s="2960"/>
      <c r="BV61" s="2312"/>
      <c r="BW61" s="2309"/>
      <c r="BX61" s="2961" t="s">
        <v>7170</v>
      </c>
      <c r="BY61" s="2962"/>
      <c r="BZ61" s="2962"/>
      <c r="CA61" s="2962"/>
      <c r="CB61" s="2962"/>
      <c r="CC61" s="2962"/>
      <c r="CD61" s="2962"/>
      <c r="CE61" s="2962"/>
      <c r="CF61" s="2962"/>
      <c r="CG61" s="2963"/>
      <c r="CH61" s="2964" t="e">
        <f>#REF!</f>
        <v>#REF!</v>
      </c>
      <c r="CI61" s="2822"/>
      <c r="CJ61" s="2822"/>
      <c r="CK61" s="2822"/>
      <c r="CL61" s="2822"/>
      <c r="CM61" s="2822"/>
      <c r="CN61" s="2822"/>
      <c r="CO61" s="2822"/>
      <c r="CP61" s="2822"/>
      <c r="CQ61" s="2822"/>
      <c r="CR61" s="2822"/>
      <c r="CS61" s="2822"/>
      <c r="CT61" s="2822"/>
      <c r="CU61" s="2822"/>
      <c r="CV61" s="2822"/>
      <c r="CW61" s="2822"/>
      <c r="CX61" s="2822"/>
      <c r="CY61" s="2822"/>
      <c r="CZ61" s="2822"/>
      <c r="DA61" s="2822"/>
      <c r="DB61" s="2822"/>
      <c r="DC61" s="2822"/>
      <c r="DD61" s="2822"/>
      <c r="DE61" s="2822"/>
      <c r="DF61" s="2822"/>
      <c r="DG61" s="2822"/>
      <c r="DH61" s="2822"/>
      <c r="DI61" s="2822"/>
      <c r="DJ61" s="2822"/>
      <c r="DK61" s="2822"/>
      <c r="DL61" s="2822"/>
      <c r="DM61" s="2822"/>
      <c r="DN61" s="2822"/>
      <c r="DO61" s="2822"/>
      <c r="DP61" s="2822"/>
      <c r="DQ61" s="2822"/>
      <c r="DR61" s="2822"/>
      <c r="DS61" s="2822"/>
      <c r="DT61" s="2822"/>
      <c r="DU61" s="2822"/>
      <c r="DV61" s="2822"/>
      <c r="DW61" s="2822"/>
      <c r="DX61" s="2822"/>
      <c r="DY61" s="2822"/>
      <c r="DZ61" s="2822"/>
      <c r="EA61" s="2822"/>
      <c r="EB61" s="2822"/>
      <c r="EC61" s="2822"/>
      <c r="ED61" s="2822"/>
      <c r="EE61" s="2822"/>
      <c r="EF61" s="2822"/>
      <c r="EG61" s="2822"/>
      <c r="EH61" s="2822"/>
      <c r="EI61" s="2822"/>
      <c r="EJ61" s="2822"/>
      <c r="EK61" s="2822"/>
      <c r="EL61" s="2822"/>
      <c r="EM61" s="2822"/>
      <c r="EN61" s="2822"/>
      <c r="EO61" s="2822"/>
      <c r="EP61" s="2340"/>
      <c r="EQ61" s="2312"/>
      <c r="ER61" s="2309"/>
      <c r="ES61" s="2824"/>
      <c r="ET61" s="2825"/>
      <c r="EU61" s="2825"/>
      <c r="EV61" s="2825"/>
      <c r="EW61" s="2825"/>
      <c r="EX61" s="2825"/>
      <c r="EY61" s="2825"/>
      <c r="EZ61" s="2825"/>
      <c r="FA61" s="2825"/>
      <c r="FB61" s="2825"/>
      <c r="FC61" s="2825"/>
      <c r="FD61" s="2825"/>
      <c r="FE61" s="2825"/>
      <c r="FF61" s="2825"/>
      <c r="FG61" s="2825"/>
      <c r="FH61" s="2825"/>
      <c r="FI61" s="2825"/>
      <c r="FJ61" s="2825"/>
      <c r="FK61" s="2825"/>
      <c r="FL61" s="2825"/>
      <c r="FM61" s="2825"/>
      <c r="FN61" s="2825"/>
      <c r="FO61" s="2825"/>
      <c r="FP61" s="2825"/>
      <c r="FQ61" s="2825"/>
      <c r="FR61" s="2825"/>
      <c r="FS61" s="2825"/>
      <c r="FT61" s="2825"/>
      <c r="FU61" s="2825"/>
      <c r="FV61" s="2825"/>
      <c r="FW61" s="2825"/>
      <c r="FX61" s="2825"/>
      <c r="FY61" s="2825"/>
      <c r="FZ61" s="2826"/>
      <c r="GC61" s="2824"/>
      <c r="GD61" s="2825"/>
      <c r="GE61" s="2825"/>
      <c r="GF61" s="2825"/>
      <c r="GG61" s="2825"/>
      <c r="GH61" s="2825"/>
      <c r="GI61" s="2825"/>
      <c r="GJ61" s="2825"/>
      <c r="GK61" s="2825"/>
      <c r="GL61" s="2825"/>
      <c r="GM61" s="2825"/>
      <c r="GN61" s="2825"/>
      <c r="GO61" s="2825"/>
      <c r="GP61" s="2825"/>
      <c r="GQ61" s="2825"/>
      <c r="GR61" s="2825"/>
      <c r="GS61" s="2825"/>
      <c r="GT61" s="2825"/>
      <c r="GU61" s="2825"/>
      <c r="GV61" s="2825"/>
      <c r="GW61" s="2825"/>
      <c r="GX61" s="2825"/>
      <c r="GY61" s="2825"/>
      <c r="GZ61" s="2825"/>
      <c r="HA61" s="2825"/>
      <c r="HB61" s="2825"/>
      <c r="HC61" s="2825"/>
      <c r="HD61" s="2825"/>
      <c r="HE61" s="2825"/>
      <c r="HF61" s="2825"/>
      <c r="HG61" s="2825"/>
      <c r="HH61" s="2825"/>
      <c r="HI61" s="2825"/>
      <c r="HJ61" s="2826"/>
      <c r="HK61" s="1522"/>
      <c r="HL61" s="2312"/>
    </row>
    <row r="62" spans="2:220" ht="7.5" customHeight="1">
      <c r="B62" s="2309"/>
      <c r="C62" s="2800"/>
      <c r="D62" s="2800"/>
      <c r="E62" s="2800"/>
      <c r="F62" s="2800"/>
      <c r="G62" s="2800"/>
      <c r="H62" s="2800"/>
      <c r="I62" s="2800"/>
      <c r="K62" s="2901">
        <f>[1]SKILLS!$I$40</f>
        <v>2</v>
      </c>
      <c r="L62" s="2955"/>
      <c r="M62" s="2955"/>
      <c r="N62" s="2956"/>
      <c r="O62" s="2944" t="s">
        <v>6961</v>
      </c>
      <c r="P62" s="2760"/>
      <c r="Q62" s="2760"/>
      <c r="R62" s="2760"/>
      <c r="S62" s="2760"/>
      <c r="T62" s="2760"/>
      <c r="U62" s="2760"/>
      <c r="V62" s="2760"/>
      <c r="W62" s="2761"/>
      <c r="Y62" s="2887"/>
      <c r="Z62" s="2887"/>
      <c r="AA62" s="2887"/>
      <c r="AB62" s="2887"/>
      <c r="AC62" s="2887"/>
      <c r="AD62" s="2887"/>
      <c r="AE62" s="2887"/>
      <c r="AF62" s="2887"/>
      <c r="AG62" s="2887"/>
      <c r="AH62" s="2887"/>
      <c r="AI62" s="2887"/>
      <c r="AJ62" s="2887"/>
      <c r="AK62" s="2887"/>
      <c r="AL62" s="2887"/>
      <c r="AM62" s="2887"/>
      <c r="AN62" s="2887"/>
      <c r="AO62" s="2887"/>
      <c r="AP62" s="2887"/>
      <c r="AQ62" s="2887"/>
      <c r="AR62" s="2887"/>
      <c r="AS62" s="2960"/>
      <c r="AT62" s="2960"/>
      <c r="AU62" s="2960"/>
      <c r="AV62" s="2960"/>
      <c r="AX62" s="2887"/>
      <c r="AY62" s="2887"/>
      <c r="AZ62" s="2887"/>
      <c r="BA62" s="2887"/>
      <c r="BB62" s="2887"/>
      <c r="BC62" s="2887"/>
      <c r="BD62" s="2887"/>
      <c r="BE62" s="2887"/>
      <c r="BF62" s="2887"/>
      <c r="BG62" s="2887"/>
      <c r="BH62" s="2887"/>
      <c r="BI62" s="2887"/>
      <c r="BJ62" s="2887"/>
      <c r="BK62" s="2887"/>
      <c r="BL62" s="2887"/>
      <c r="BM62" s="2887"/>
      <c r="BN62" s="2887"/>
      <c r="BO62" s="2887"/>
      <c r="BP62" s="2887"/>
      <c r="BQ62" s="2887"/>
      <c r="BR62" s="2960"/>
      <c r="BS62" s="2960"/>
      <c r="BT62" s="2960"/>
      <c r="BU62" s="2960"/>
      <c r="BV62" s="2312"/>
      <c r="BW62" s="2309"/>
      <c r="BX62" s="2796"/>
      <c r="BY62" s="2797"/>
      <c r="BZ62" s="2797"/>
      <c r="CA62" s="2797"/>
      <c r="CB62" s="2797"/>
      <c r="CC62" s="2797"/>
      <c r="CD62" s="2797"/>
      <c r="CE62" s="2797"/>
      <c r="CF62" s="2797"/>
      <c r="CG62" s="2798"/>
      <c r="CH62" s="2821"/>
      <c r="CI62" s="2822"/>
      <c r="CJ62" s="2822"/>
      <c r="CK62" s="2822"/>
      <c r="CL62" s="2822"/>
      <c r="CM62" s="2822"/>
      <c r="CN62" s="2822"/>
      <c r="CO62" s="2822"/>
      <c r="CP62" s="2822"/>
      <c r="CQ62" s="2822"/>
      <c r="CR62" s="2822"/>
      <c r="CS62" s="2822"/>
      <c r="CT62" s="2822"/>
      <c r="CU62" s="2822"/>
      <c r="CV62" s="2822"/>
      <c r="CW62" s="2822"/>
      <c r="CX62" s="2822"/>
      <c r="CY62" s="2822"/>
      <c r="CZ62" s="2822"/>
      <c r="DA62" s="2822"/>
      <c r="DB62" s="2822"/>
      <c r="DC62" s="2822"/>
      <c r="DD62" s="2822"/>
      <c r="DE62" s="2822"/>
      <c r="DF62" s="2822"/>
      <c r="DG62" s="2822"/>
      <c r="DH62" s="2822"/>
      <c r="DI62" s="2822"/>
      <c r="DJ62" s="2822"/>
      <c r="DK62" s="2822"/>
      <c r="DL62" s="2822"/>
      <c r="DM62" s="2822"/>
      <c r="DN62" s="2822"/>
      <c r="DO62" s="2822"/>
      <c r="DP62" s="2822"/>
      <c r="DQ62" s="2822"/>
      <c r="DR62" s="2822"/>
      <c r="DS62" s="2822"/>
      <c r="DT62" s="2822"/>
      <c r="DU62" s="2822"/>
      <c r="DV62" s="2822"/>
      <c r="DW62" s="2822"/>
      <c r="DX62" s="2822"/>
      <c r="DY62" s="2822"/>
      <c r="DZ62" s="2822"/>
      <c r="EA62" s="2822"/>
      <c r="EB62" s="2822"/>
      <c r="EC62" s="2822"/>
      <c r="ED62" s="2822"/>
      <c r="EE62" s="2822"/>
      <c r="EF62" s="2822"/>
      <c r="EG62" s="2822"/>
      <c r="EH62" s="2822"/>
      <c r="EI62" s="2822"/>
      <c r="EJ62" s="2822"/>
      <c r="EK62" s="2822"/>
      <c r="EL62" s="2822"/>
      <c r="EM62" s="2822"/>
      <c r="EN62" s="2822"/>
      <c r="EO62" s="2822"/>
      <c r="EP62" s="2340"/>
      <c r="EQ62" s="2312"/>
      <c r="ER62" s="2309"/>
      <c r="ES62" s="2947"/>
      <c r="ET62" s="2819"/>
      <c r="EU62" s="2819"/>
      <c r="EV62" s="2819"/>
      <c r="EW62" s="2819"/>
      <c r="EX62" s="2819"/>
      <c r="EY62" s="2819"/>
      <c r="EZ62" s="2819"/>
      <c r="FA62" s="2819"/>
      <c r="FB62" s="2819"/>
      <c r="FC62" s="2819"/>
      <c r="FD62" s="2819"/>
      <c r="FE62" s="2819"/>
      <c r="FF62" s="2819"/>
      <c r="FG62" s="2819"/>
      <c r="FH62" s="2819"/>
      <c r="FI62" s="2819"/>
      <c r="FJ62" s="2819"/>
      <c r="FK62" s="2819"/>
      <c r="FL62" s="2819"/>
      <c r="FM62" s="2819"/>
      <c r="FN62" s="2819"/>
      <c r="FO62" s="2819"/>
      <c r="FP62" s="2819"/>
      <c r="FQ62" s="2819"/>
      <c r="FR62" s="2819"/>
      <c r="FS62" s="2819"/>
      <c r="FT62" s="2819"/>
      <c r="FU62" s="2819"/>
      <c r="FV62" s="2819"/>
      <c r="FW62" s="2819"/>
      <c r="FX62" s="2819"/>
      <c r="FY62" s="2819"/>
      <c r="FZ62" s="2820"/>
      <c r="GC62" s="2947"/>
      <c r="GD62" s="2819"/>
      <c r="GE62" s="2819"/>
      <c r="GF62" s="2819"/>
      <c r="GG62" s="2819"/>
      <c r="GH62" s="2819"/>
      <c r="GI62" s="2819"/>
      <c r="GJ62" s="2819"/>
      <c r="GK62" s="2819"/>
      <c r="GL62" s="2819"/>
      <c r="GM62" s="2819"/>
      <c r="GN62" s="2819"/>
      <c r="GO62" s="2819"/>
      <c r="GP62" s="2819"/>
      <c r="GQ62" s="2819"/>
      <c r="GR62" s="2819"/>
      <c r="GS62" s="2819"/>
      <c r="GT62" s="2819"/>
      <c r="GU62" s="2819"/>
      <c r="GV62" s="2819"/>
      <c r="GW62" s="2819"/>
      <c r="GX62" s="2819"/>
      <c r="GY62" s="2819"/>
      <c r="GZ62" s="2819"/>
      <c r="HA62" s="2819"/>
      <c r="HB62" s="2819"/>
      <c r="HC62" s="2819"/>
      <c r="HD62" s="2819"/>
      <c r="HE62" s="2819"/>
      <c r="HF62" s="2819"/>
      <c r="HG62" s="2819"/>
      <c r="HH62" s="2819"/>
      <c r="HI62" s="2819"/>
      <c r="HJ62" s="2820"/>
      <c r="HK62" s="1522"/>
      <c r="HL62" s="2312"/>
    </row>
    <row r="63" spans="2:220" ht="7.5" customHeight="1">
      <c r="B63" s="2309"/>
      <c r="C63" s="2948">
        <f>[1]ABILITIES!Q29</f>
        <v>14.022116237486282</v>
      </c>
      <c r="D63" s="2794"/>
      <c r="E63" s="2794"/>
      <c r="F63" s="2794"/>
      <c r="G63" s="2794"/>
      <c r="H63" s="2794"/>
      <c r="I63" s="2795"/>
      <c r="K63" s="2957"/>
      <c r="L63" s="2958"/>
      <c r="M63" s="2958"/>
      <c r="N63" s="2959"/>
      <c r="O63" s="2945"/>
      <c r="P63" s="2764"/>
      <c r="Q63" s="2764"/>
      <c r="R63" s="2764"/>
      <c r="S63" s="2764"/>
      <c r="T63" s="2764"/>
      <c r="U63" s="2764"/>
      <c r="V63" s="2764"/>
      <c r="W63" s="2765"/>
      <c r="Y63" s="2897"/>
      <c r="Z63" s="2949"/>
      <c r="AA63" s="2949"/>
      <c r="AB63" s="2949"/>
      <c r="AC63" s="2949"/>
      <c r="AD63" s="2949"/>
      <c r="AE63" s="2949"/>
      <c r="AF63" s="2949"/>
      <c r="AG63" s="2949"/>
      <c r="AH63" s="2949"/>
      <c r="AI63" s="2949"/>
      <c r="AJ63" s="2949"/>
      <c r="AK63" s="2949"/>
      <c r="AL63" s="2949"/>
      <c r="AM63" s="2949"/>
      <c r="AN63" s="2949"/>
      <c r="AO63" s="2949"/>
      <c r="AP63" s="2949"/>
      <c r="AQ63" s="2949"/>
      <c r="AR63" s="2949"/>
      <c r="AS63" s="2949"/>
      <c r="AT63" s="2949"/>
      <c r="AU63" s="2949"/>
      <c r="AV63" s="2950"/>
      <c r="AX63" s="2897" t="e">
        <f>#REF!</f>
        <v>#REF!</v>
      </c>
      <c r="AY63" s="2949"/>
      <c r="AZ63" s="2949"/>
      <c r="BA63" s="2949"/>
      <c r="BB63" s="2949"/>
      <c r="BC63" s="2949"/>
      <c r="BD63" s="2949"/>
      <c r="BE63" s="2949"/>
      <c r="BF63" s="2949"/>
      <c r="BG63" s="2949"/>
      <c r="BH63" s="2949"/>
      <c r="BI63" s="2949"/>
      <c r="BJ63" s="2949"/>
      <c r="BK63" s="2949"/>
      <c r="BL63" s="2949"/>
      <c r="BM63" s="2949"/>
      <c r="BN63" s="2949"/>
      <c r="BO63" s="2949"/>
      <c r="BP63" s="2949"/>
      <c r="BQ63" s="2949"/>
      <c r="BR63" s="2949"/>
      <c r="BS63" s="2949"/>
      <c r="BT63" s="2949"/>
      <c r="BU63" s="2950"/>
      <c r="BV63" s="2312"/>
      <c r="BW63" s="2309"/>
      <c r="BX63" s="2796"/>
      <c r="BY63" s="2797"/>
      <c r="BZ63" s="2797"/>
      <c r="CA63" s="2797"/>
      <c r="CB63" s="2797"/>
      <c r="CC63" s="2797"/>
      <c r="CD63" s="2797"/>
      <c r="CE63" s="2797"/>
      <c r="CF63" s="2797"/>
      <c r="CG63" s="2798"/>
      <c r="CH63" s="2821"/>
      <c r="CI63" s="2822"/>
      <c r="CJ63" s="2822"/>
      <c r="CK63" s="2822"/>
      <c r="CL63" s="2822"/>
      <c r="CM63" s="2822"/>
      <c r="CN63" s="2822"/>
      <c r="CO63" s="2822"/>
      <c r="CP63" s="2822"/>
      <c r="CQ63" s="2822"/>
      <c r="CR63" s="2822"/>
      <c r="CS63" s="2822"/>
      <c r="CT63" s="2822"/>
      <c r="CU63" s="2822"/>
      <c r="CV63" s="2822"/>
      <c r="CW63" s="2822"/>
      <c r="CX63" s="2822"/>
      <c r="CY63" s="2822"/>
      <c r="CZ63" s="2822"/>
      <c r="DA63" s="2822"/>
      <c r="DB63" s="2822"/>
      <c r="DC63" s="2822"/>
      <c r="DD63" s="2822"/>
      <c r="DE63" s="2822"/>
      <c r="DF63" s="2822"/>
      <c r="DG63" s="2822"/>
      <c r="DH63" s="2822"/>
      <c r="DI63" s="2822"/>
      <c r="DJ63" s="2822"/>
      <c r="DK63" s="2822"/>
      <c r="DL63" s="2822"/>
      <c r="DM63" s="2822"/>
      <c r="DN63" s="2822"/>
      <c r="DO63" s="2822"/>
      <c r="DP63" s="2822"/>
      <c r="DQ63" s="2822"/>
      <c r="DR63" s="2822"/>
      <c r="DS63" s="2822"/>
      <c r="DT63" s="2822"/>
      <c r="DU63" s="2822"/>
      <c r="DV63" s="2822"/>
      <c r="DW63" s="2822"/>
      <c r="DX63" s="2822"/>
      <c r="DY63" s="2822"/>
      <c r="DZ63" s="2822"/>
      <c r="EA63" s="2822"/>
      <c r="EB63" s="2822"/>
      <c r="EC63" s="2822"/>
      <c r="ED63" s="2822"/>
      <c r="EE63" s="2822"/>
      <c r="EF63" s="2822"/>
      <c r="EG63" s="2822"/>
      <c r="EH63" s="2822"/>
      <c r="EI63" s="2822"/>
      <c r="EJ63" s="2822"/>
      <c r="EK63" s="2822"/>
      <c r="EL63" s="2822"/>
      <c r="EM63" s="2822"/>
      <c r="EN63" s="2822"/>
      <c r="EO63" s="2822"/>
      <c r="EP63" s="2340"/>
      <c r="EQ63" s="2312"/>
      <c r="ER63" s="2309"/>
      <c r="ES63" s="2824"/>
      <c r="ET63" s="2825"/>
      <c r="EU63" s="2825"/>
      <c r="EV63" s="2825"/>
      <c r="EW63" s="2825"/>
      <c r="EX63" s="2825"/>
      <c r="EY63" s="2825"/>
      <c r="EZ63" s="2825"/>
      <c r="FA63" s="2825"/>
      <c r="FB63" s="2825"/>
      <c r="FC63" s="2825"/>
      <c r="FD63" s="2825"/>
      <c r="FE63" s="2825"/>
      <c r="FF63" s="2825"/>
      <c r="FG63" s="2825"/>
      <c r="FH63" s="2825"/>
      <c r="FI63" s="2825"/>
      <c r="FJ63" s="2825"/>
      <c r="FK63" s="2825"/>
      <c r="FL63" s="2825"/>
      <c r="FM63" s="2825"/>
      <c r="FN63" s="2825"/>
      <c r="FO63" s="2825"/>
      <c r="FP63" s="2825"/>
      <c r="FQ63" s="2825"/>
      <c r="FR63" s="2825"/>
      <c r="FS63" s="2825"/>
      <c r="FT63" s="2825"/>
      <c r="FU63" s="2825"/>
      <c r="FV63" s="2825"/>
      <c r="FW63" s="2825"/>
      <c r="FX63" s="2825"/>
      <c r="FY63" s="2825"/>
      <c r="FZ63" s="2826"/>
      <c r="GC63" s="2824"/>
      <c r="GD63" s="2825"/>
      <c r="GE63" s="2825"/>
      <c r="GF63" s="2825"/>
      <c r="GG63" s="2825"/>
      <c r="GH63" s="2825"/>
      <c r="GI63" s="2825"/>
      <c r="GJ63" s="2825"/>
      <c r="GK63" s="2825"/>
      <c r="GL63" s="2825"/>
      <c r="GM63" s="2825"/>
      <c r="GN63" s="2825"/>
      <c r="GO63" s="2825"/>
      <c r="GP63" s="2825"/>
      <c r="GQ63" s="2825"/>
      <c r="GR63" s="2825"/>
      <c r="GS63" s="2825"/>
      <c r="GT63" s="2825"/>
      <c r="GU63" s="2825"/>
      <c r="GV63" s="2825"/>
      <c r="GW63" s="2825"/>
      <c r="GX63" s="2825"/>
      <c r="GY63" s="2825"/>
      <c r="GZ63" s="2825"/>
      <c r="HA63" s="2825"/>
      <c r="HB63" s="2825"/>
      <c r="HC63" s="2825"/>
      <c r="HD63" s="2825"/>
      <c r="HE63" s="2825"/>
      <c r="HF63" s="2825"/>
      <c r="HG63" s="2825"/>
      <c r="HH63" s="2825"/>
      <c r="HI63" s="2825"/>
      <c r="HJ63" s="2826"/>
      <c r="HK63" s="1522"/>
      <c r="HL63" s="2312"/>
    </row>
    <row r="64" spans="2:220" ht="7.5" customHeight="1">
      <c r="B64" s="2309"/>
      <c r="C64" s="2796"/>
      <c r="D64" s="2797"/>
      <c r="E64" s="2797"/>
      <c r="F64" s="2797"/>
      <c r="G64" s="2797"/>
      <c r="H64" s="2797"/>
      <c r="I64" s="2798"/>
      <c r="K64" s="2901">
        <f>[1]SKILLS!$I$41</f>
        <v>7</v>
      </c>
      <c r="L64" s="2955"/>
      <c r="M64" s="2955"/>
      <c r="N64" s="2956"/>
      <c r="O64" s="2944" t="s">
        <v>6962</v>
      </c>
      <c r="P64" s="2760"/>
      <c r="Q64" s="2760"/>
      <c r="R64" s="2760"/>
      <c r="S64" s="2760"/>
      <c r="T64" s="2760"/>
      <c r="U64" s="2760"/>
      <c r="V64" s="2760"/>
      <c r="W64" s="2761"/>
      <c r="Y64" s="2951"/>
      <c r="Z64" s="2859"/>
      <c r="AA64" s="2859"/>
      <c r="AB64" s="2859"/>
      <c r="AC64" s="2859"/>
      <c r="AD64" s="2859"/>
      <c r="AE64" s="2859"/>
      <c r="AF64" s="2859"/>
      <c r="AG64" s="2859"/>
      <c r="AH64" s="2859"/>
      <c r="AI64" s="2859"/>
      <c r="AJ64" s="2859"/>
      <c r="AK64" s="2859"/>
      <c r="AL64" s="2859"/>
      <c r="AM64" s="2859"/>
      <c r="AN64" s="2859"/>
      <c r="AO64" s="2859"/>
      <c r="AP64" s="2859"/>
      <c r="AQ64" s="2859"/>
      <c r="AR64" s="2859"/>
      <c r="AS64" s="2859"/>
      <c r="AT64" s="2859"/>
      <c r="AU64" s="2859"/>
      <c r="AV64" s="2952"/>
      <c r="AX64" s="2951"/>
      <c r="AY64" s="2859"/>
      <c r="AZ64" s="2859"/>
      <c r="BA64" s="2859"/>
      <c r="BB64" s="2859"/>
      <c r="BC64" s="2859"/>
      <c r="BD64" s="2859"/>
      <c r="BE64" s="2859"/>
      <c r="BF64" s="2859"/>
      <c r="BG64" s="2859"/>
      <c r="BH64" s="2859"/>
      <c r="BI64" s="2859"/>
      <c r="BJ64" s="2859"/>
      <c r="BK64" s="2859"/>
      <c r="BL64" s="2859"/>
      <c r="BM64" s="2859"/>
      <c r="BN64" s="2859"/>
      <c r="BO64" s="2859"/>
      <c r="BP64" s="2859"/>
      <c r="BQ64" s="2859"/>
      <c r="BR64" s="2859"/>
      <c r="BS64" s="2859"/>
      <c r="BT64" s="2859"/>
      <c r="BU64" s="2952"/>
      <c r="BV64" s="2312"/>
      <c r="BW64" s="2309"/>
      <c r="BX64" s="2799"/>
      <c r="BY64" s="2800"/>
      <c r="BZ64" s="2800"/>
      <c r="CA64" s="2800"/>
      <c r="CB64" s="2800"/>
      <c r="CC64" s="2800"/>
      <c r="CD64" s="2800"/>
      <c r="CE64" s="2800"/>
      <c r="CF64" s="2800"/>
      <c r="CG64" s="2801"/>
      <c r="CH64" s="2824"/>
      <c r="CI64" s="2825"/>
      <c r="CJ64" s="2825"/>
      <c r="CK64" s="2825"/>
      <c r="CL64" s="2825"/>
      <c r="CM64" s="2825"/>
      <c r="CN64" s="2825"/>
      <c r="CO64" s="2825"/>
      <c r="CP64" s="2825"/>
      <c r="CQ64" s="2825"/>
      <c r="CR64" s="2825"/>
      <c r="CS64" s="2825"/>
      <c r="CT64" s="2825"/>
      <c r="CU64" s="2825"/>
      <c r="CV64" s="2825"/>
      <c r="CW64" s="2825"/>
      <c r="CX64" s="2825"/>
      <c r="CY64" s="2825"/>
      <c r="CZ64" s="2825"/>
      <c r="DA64" s="2825"/>
      <c r="DB64" s="2825"/>
      <c r="DC64" s="2825"/>
      <c r="DD64" s="2825"/>
      <c r="DE64" s="2825"/>
      <c r="DF64" s="2825"/>
      <c r="DG64" s="2825"/>
      <c r="DH64" s="2825"/>
      <c r="DI64" s="2825"/>
      <c r="DJ64" s="2825"/>
      <c r="DK64" s="2825"/>
      <c r="DL64" s="2825"/>
      <c r="DM64" s="2825"/>
      <c r="DN64" s="2825"/>
      <c r="DO64" s="2825"/>
      <c r="DP64" s="2825"/>
      <c r="DQ64" s="2825"/>
      <c r="DR64" s="2825"/>
      <c r="DS64" s="2825"/>
      <c r="DT64" s="2825"/>
      <c r="DU64" s="2825"/>
      <c r="DV64" s="2825"/>
      <c r="DW64" s="2825"/>
      <c r="DX64" s="2825"/>
      <c r="DY64" s="2825"/>
      <c r="DZ64" s="2825"/>
      <c r="EA64" s="2825"/>
      <c r="EB64" s="2825"/>
      <c r="EC64" s="2825"/>
      <c r="ED64" s="2825"/>
      <c r="EE64" s="2825"/>
      <c r="EF64" s="2825"/>
      <c r="EG64" s="2825"/>
      <c r="EH64" s="2825"/>
      <c r="EI64" s="2825"/>
      <c r="EJ64" s="2825"/>
      <c r="EK64" s="2825"/>
      <c r="EL64" s="2825"/>
      <c r="EM64" s="2825"/>
      <c r="EN64" s="2825"/>
      <c r="EO64" s="2825"/>
      <c r="EP64" s="2341"/>
      <c r="EQ64" s="2312"/>
      <c r="ER64" s="2309"/>
      <c r="ES64" s="2947"/>
      <c r="ET64" s="2819"/>
      <c r="EU64" s="2819"/>
      <c r="EV64" s="2819"/>
      <c r="EW64" s="2819"/>
      <c r="EX64" s="2819"/>
      <c r="EY64" s="2819"/>
      <c r="EZ64" s="2819"/>
      <c r="FA64" s="2819"/>
      <c r="FB64" s="2819"/>
      <c r="FC64" s="2819"/>
      <c r="FD64" s="2819"/>
      <c r="FE64" s="2819"/>
      <c r="FF64" s="2819"/>
      <c r="FG64" s="2819"/>
      <c r="FH64" s="2819"/>
      <c r="FI64" s="2819"/>
      <c r="FJ64" s="2819"/>
      <c r="FK64" s="2819"/>
      <c r="FL64" s="2819"/>
      <c r="FM64" s="2819"/>
      <c r="FN64" s="2819"/>
      <c r="FO64" s="2819"/>
      <c r="FP64" s="2819"/>
      <c r="FQ64" s="2819"/>
      <c r="FR64" s="2819"/>
      <c r="FS64" s="2819"/>
      <c r="FT64" s="2819"/>
      <c r="FU64" s="2819"/>
      <c r="FV64" s="2819"/>
      <c r="FW64" s="2819"/>
      <c r="FX64" s="2819"/>
      <c r="FY64" s="2819"/>
      <c r="FZ64" s="2820"/>
      <c r="GC64" s="2947"/>
      <c r="GD64" s="2819"/>
      <c r="GE64" s="2819"/>
      <c r="GF64" s="2819"/>
      <c r="GG64" s="2819"/>
      <c r="GH64" s="2819"/>
      <c r="GI64" s="2819"/>
      <c r="GJ64" s="2819"/>
      <c r="GK64" s="2819"/>
      <c r="GL64" s="2819"/>
      <c r="GM64" s="2819"/>
      <c r="GN64" s="2819"/>
      <c r="GO64" s="2819"/>
      <c r="GP64" s="2819"/>
      <c r="GQ64" s="2819"/>
      <c r="GR64" s="2819"/>
      <c r="GS64" s="2819"/>
      <c r="GT64" s="2819"/>
      <c r="GU64" s="2819"/>
      <c r="GV64" s="2819"/>
      <c r="GW64" s="2819"/>
      <c r="GX64" s="2819"/>
      <c r="GY64" s="2819"/>
      <c r="GZ64" s="2819"/>
      <c r="HA64" s="2819"/>
      <c r="HB64" s="2819"/>
      <c r="HC64" s="2819"/>
      <c r="HD64" s="2819"/>
      <c r="HE64" s="2819"/>
      <c r="HF64" s="2819"/>
      <c r="HG64" s="2819"/>
      <c r="HH64" s="2819"/>
      <c r="HI64" s="2819"/>
      <c r="HJ64" s="2820"/>
      <c r="HK64" s="1522"/>
      <c r="HL64" s="2312"/>
    </row>
    <row r="65" spans="2:220" ht="7.5" customHeight="1">
      <c r="B65" s="2309"/>
      <c r="C65" s="2796"/>
      <c r="D65" s="2797"/>
      <c r="E65" s="2797"/>
      <c r="F65" s="2797"/>
      <c r="G65" s="2797"/>
      <c r="H65" s="2797"/>
      <c r="I65" s="2798"/>
      <c r="K65" s="2957"/>
      <c r="L65" s="2958"/>
      <c r="M65" s="2958"/>
      <c r="N65" s="2959"/>
      <c r="O65" s="2945"/>
      <c r="P65" s="2764"/>
      <c r="Q65" s="2764"/>
      <c r="R65" s="2764"/>
      <c r="S65" s="2764"/>
      <c r="T65" s="2764"/>
      <c r="U65" s="2764"/>
      <c r="V65" s="2764"/>
      <c r="W65" s="2765"/>
      <c r="Y65" s="2951"/>
      <c r="Z65" s="2859"/>
      <c r="AA65" s="2859"/>
      <c r="AB65" s="2859"/>
      <c r="AC65" s="2859"/>
      <c r="AD65" s="2859"/>
      <c r="AE65" s="2859"/>
      <c r="AF65" s="2859"/>
      <c r="AG65" s="2859"/>
      <c r="AH65" s="2859"/>
      <c r="AI65" s="2859"/>
      <c r="AJ65" s="2859"/>
      <c r="AK65" s="2859"/>
      <c r="AL65" s="2859"/>
      <c r="AM65" s="2859"/>
      <c r="AN65" s="2859"/>
      <c r="AO65" s="2859"/>
      <c r="AP65" s="2859"/>
      <c r="AQ65" s="2859"/>
      <c r="AR65" s="2859"/>
      <c r="AS65" s="2859"/>
      <c r="AT65" s="2859"/>
      <c r="AU65" s="2859"/>
      <c r="AV65" s="2952"/>
      <c r="AX65" s="2951"/>
      <c r="AY65" s="2859"/>
      <c r="AZ65" s="2859"/>
      <c r="BA65" s="2859"/>
      <c r="BB65" s="2859"/>
      <c r="BC65" s="2859"/>
      <c r="BD65" s="2859"/>
      <c r="BE65" s="2859"/>
      <c r="BF65" s="2859"/>
      <c r="BG65" s="2859"/>
      <c r="BH65" s="2859"/>
      <c r="BI65" s="2859"/>
      <c r="BJ65" s="2859"/>
      <c r="BK65" s="2859"/>
      <c r="BL65" s="2859"/>
      <c r="BM65" s="2859"/>
      <c r="BN65" s="2859"/>
      <c r="BO65" s="2859"/>
      <c r="BP65" s="2859"/>
      <c r="BQ65" s="2859"/>
      <c r="BR65" s="2859"/>
      <c r="BS65" s="2859"/>
      <c r="BT65" s="2859"/>
      <c r="BU65" s="2952"/>
      <c r="BV65" s="2312"/>
      <c r="BW65" s="2309"/>
      <c r="EQ65" s="2312"/>
      <c r="ER65" s="2309"/>
      <c r="ES65" s="2824"/>
      <c r="ET65" s="2825"/>
      <c r="EU65" s="2825"/>
      <c r="EV65" s="2825"/>
      <c r="EW65" s="2825"/>
      <c r="EX65" s="2825"/>
      <c r="EY65" s="2825"/>
      <c r="EZ65" s="2825"/>
      <c r="FA65" s="2825"/>
      <c r="FB65" s="2825"/>
      <c r="FC65" s="2825"/>
      <c r="FD65" s="2825"/>
      <c r="FE65" s="2825"/>
      <c r="FF65" s="2825"/>
      <c r="FG65" s="2825"/>
      <c r="FH65" s="2825"/>
      <c r="FI65" s="2825"/>
      <c r="FJ65" s="2825"/>
      <c r="FK65" s="2825"/>
      <c r="FL65" s="2825"/>
      <c r="FM65" s="2825"/>
      <c r="FN65" s="2825"/>
      <c r="FO65" s="2825"/>
      <c r="FP65" s="2825"/>
      <c r="FQ65" s="2825"/>
      <c r="FR65" s="2825"/>
      <c r="FS65" s="2825"/>
      <c r="FT65" s="2825"/>
      <c r="FU65" s="2825"/>
      <c r="FV65" s="2825"/>
      <c r="FW65" s="2825"/>
      <c r="FX65" s="2825"/>
      <c r="FY65" s="2825"/>
      <c r="FZ65" s="2826"/>
      <c r="GC65" s="2824"/>
      <c r="GD65" s="2825"/>
      <c r="GE65" s="2825"/>
      <c r="GF65" s="2825"/>
      <c r="GG65" s="2825"/>
      <c r="GH65" s="2825"/>
      <c r="GI65" s="2825"/>
      <c r="GJ65" s="2825"/>
      <c r="GK65" s="2825"/>
      <c r="GL65" s="2825"/>
      <c r="GM65" s="2825"/>
      <c r="GN65" s="2825"/>
      <c r="GO65" s="2825"/>
      <c r="GP65" s="2825"/>
      <c r="GQ65" s="2825"/>
      <c r="GR65" s="2825"/>
      <c r="GS65" s="2825"/>
      <c r="GT65" s="2825"/>
      <c r="GU65" s="2825"/>
      <c r="GV65" s="2825"/>
      <c r="GW65" s="2825"/>
      <c r="GX65" s="2825"/>
      <c r="GY65" s="2825"/>
      <c r="GZ65" s="2825"/>
      <c r="HA65" s="2825"/>
      <c r="HB65" s="2825"/>
      <c r="HC65" s="2825"/>
      <c r="HD65" s="2825"/>
      <c r="HE65" s="2825"/>
      <c r="HF65" s="2825"/>
      <c r="HG65" s="2825"/>
      <c r="HH65" s="2825"/>
      <c r="HI65" s="2825"/>
      <c r="HJ65" s="2826"/>
      <c r="HK65" s="1522"/>
      <c r="HL65" s="2312"/>
    </row>
    <row r="66" spans="2:220" ht="7.5" customHeight="1">
      <c r="B66" s="2309"/>
      <c r="C66" s="2799"/>
      <c r="D66" s="2800"/>
      <c r="E66" s="2800"/>
      <c r="F66" s="2800"/>
      <c r="G66" s="2800"/>
      <c r="H66" s="2800"/>
      <c r="I66" s="2801"/>
      <c r="K66" s="2901">
        <f>[1]SKILLS!$I$42</f>
        <v>3</v>
      </c>
      <c r="L66" s="2955"/>
      <c r="M66" s="2955"/>
      <c r="N66" s="2956"/>
      <c r="O66" s="2944" t="s">
        <v>6963</v>
      </c>
      <c r="P66" s="2760"/>
      <c r="Q66" s="2760"/>
      <c r="R66" s="2760"/>
      <c r="S66" s="2760"/>
      <c r="T66" s="2760"/>
      <c r="U66" s="2760"/>
      <c r="V66" s="2760"/>
      <c r="W66" s="2761"/>
      <c r="Y66" s="2951"/>
      <c r="Z66" s="2859"/>
      <c r="AA66" s="2859"/>
      <c r="AB66" s="2859"/>
      <c r="AC66" s="2859"/>
      <c r="AD66" s="2859"/>
      <c r="AE66" s="2859"/>
      <c r="AF66" s="2859"/>
      <c r="AG66" s="2859"/>
      <c r="AH66" s="2859"/>
      <c r="AI66" s="2859"/>
      <c r="AJ66" s="2859"/>
      <c r="AK66" s="2859"/>
      <c r="AL66" s="2859"/>
      <c r="AM66" s="2859"/>
      <c r="AN66" s="2859"/>
      <c r="AO66" s="2859"/>
      <c r="AP66" s="2859"/>
      <c r="AQ66" s="2859"/>
      <c r="AR66" s="2859"/>
      <c r="AS66" s="2859"/>
      <c r="AT66" s="2859"/>
      <c r="AU66" s="2859"/>
      <c r="AV66" s="2952"/>
      <c r="AX66" s="2951"/>
      <c r="AY66" s="2859"/>
      <c r="AZ66" s="2859"/>
      <c r="BA66" s="2859"/>
      <c r="BB66" s="2859"/>
      <c r="BC66" s="2859"/>
      <c r="BD66" s="2859"/>
      <c r="BE66" s="2859"/>
      <c r="BF66" s="2859"/>
      <c r="BG66" s="2859"/>
      <c r="BH66" s="2859"/>
      <c r="BI66" s="2859"/>
      <c r="BJ66" s="2859"/>
      <c r="BK66" s="2859"/>
      <c r="BL66" s="2859"/>
      <c r="BM66" s="2859"/>
      <c r="BN66" s="2859"/>
      <c r="BO66" s="2859"/>
      <c r="BP66" s="2859"/>
      <c r="BQ66" s="2859"/>
      <c r="BR66" s="2859"/>
      <c r="BS66" s="2859"/>
      <c r="BT66" s="2859"/>
      <c r="BU66" s="2952"/>
      <c r="BV66" s="2312"/>
      <c r="BW66" s="2309"/>
      <c r="BX66" s="2793" t="s">
        <v>8734</v>
      </c>
      <c r="BY66" s="2794"/>
      <c r="BZ66" s="2794"/>
      <c r="CA66" s="2794"/>
      <c r="CB66" s="2794"/>
      <c r="CC66" s="2794"/>
      <c r="CD66" s="2794"/>
      <c r="CE66" s="2794"/>
      <c r="CF66" s="2794"/>
      <c r="CG66" s="2795"/>
      <c r="CH66" s="2818" t="e">
        <f>#REF!</f>
        <v>#REF!</v>
      </c>
      <c r="CI66" s="2819"/>
      <c r="CJ66" s="2819"/>
      <c r="CK66" s="2819"/>
      <c r="CL66" s="2819"/>
      <c r="CM66" s="2819"/>
      <c r="CN66" s="2819"/>
      <c r="CO66" s="2819"/>
      <c r="CP66" s="2819"/>
      <c r="CQ66" s="2819"/>
      <c r="CR66" s="2819"/>
      <c r="CS66" s="2819"/>
      <c r="CT66" s="2819"/>
      <c r="CU66" s="2819"/>
      <c r="CV66" s="2819"/>
      <c r="CW66" s="2819"/>
      <c r="CX66" s="2819"/>
      <c r="CY66" s="2819"/>
      <c r="CZ66" s="2819"/>
      <c r="DA66" s="2819"/>
      <c r="DB66" s="2819"/>
      <c r="DC66" s="2819"/>
      <c r="DD66" s="2819"/>
      <c r="DE66" s="2819"/>
      <c r="DF66" s="2819"/>
      <c r="DG66" s="2819"/>
      <c r="DH66" s="2819"/>
      <c r="DI66" s="2819"/>
      <c r="DJ66" s="2819"/>
      <c r="DK66" s="2819"/>
      <c r="DL66" s="2819"/>
      <c r="DM66" s="2819"/>
      <c r="DN66" s="2819"/>
      <c r="DO66" s="2819"/>
      <c r="DP66" s="2819"/>
      <c r="DQ66" s="2819"/>
      <c r="DR66" s="2819"/>
      <c r="DS66" s="2819"/>
      <c r="DT66" s="2819"/>
      <c r="DU66" s="2819"/>
      <c r="DV66" s="2819"/>
      <c r="DW66" s="2819"/>
      <c r="DX66" s="2819"/>
      <c r="DY66" s="2819"/>
      <c r="DZ66" s="2819"/>
      <c r="EA66" s="2819"/>
      <c r="EB66" s="2819"/>
      <c r="EC66" s="2819"/>
      <c r="ED66" s="2819"/>
      <c r="EE66" s="2819"/>
      <c r="EF66" s="2819"/>
      <c r="EG66" s="2819"/>
      <c r="EH66" s="2819"/>
      <c r="EI66" s="2819"/>
      <c r="EJ66" s="2819"/>
      <c r="EK66" s="2819"/>
      <c r="EL66" s="2819"/>
      <c r="EM66" s="2819"/>
      <c r="EN66" s="2819"/>
      <c r="EO66" s="2819"/>
      <c r="EP66" s="2820"/>
      <c r="EQ66" s="2312"/>
      <c r="ER66" s="2309"/>
      <c r="GD66" s="1522"/>
      <c r="GE66" s="1522"/>
      <c r="GF66" s="1522"/>
      <c r="GG66" s="1522"/>
      <c r="GH66" s="1522"/>
      <c r="GI66" s="1522"/>
      <c r="GJ66" s="1522"/>
      <c r="GK66" s="1522"/>
      <c r="GL66" s="1522"/>
      <c r="GM66" s="1522"/>
      <c r="GN66" s="1522"/>
      <c r="GO66" s="1522"/>
      <c r="GP66" s="1522"/>
      <c r="GQ66" s="1522"/>
      <c r="GR66" s="1522"/>
      <c r="GS66" s="1522"/>
      <c r="GT66" s="1522"/>
      <c r="GU66" s="1522"/>
      <c r="GV66" s="1522"/>
      <c r="GW66" s="1522"/>
      <c r="GX66" s="1522"/>
      <c r="GY66" s="1522"/>
      <c r="GZ66" s="1522"/>
      <c r="HA66" s="1522"/>
      <c r="HB66" s="1522"/>
      <c r="HC66" s="1522"/>
      <c r="HD66" s="1522"/>
      <c r="HE66" s="1522"/>
      <c r="HF66" s="1522"/>
      <c r="HG66" s="1522"/>
      <c r="HH66" s="1522"/>
      <c r="HI66" s="1522"/>
      <c r="HJ66" s="1522"/>
      <c r="HK66" s="1522"/>
      <c r="HL66" s="2312"/>
    </row>
    <row r="67" spans="2:220" ht="7.5" customHeight="1">
      <c r="B67" s="2309"/>
      <c r="C67" s="2946">
        <f>VLOOKUP(C63,[1]ABILITIES!$Z$3:$AA$24,2)</f>
        <v>2</v>
      </c>
      <c r="D67" s="2946"/>
      <c r="E67" s="2946"/>
      <c r="F67" s="2946"/>
      <c r="G67" s="2946"/>
      <c r="H67" s="2946"/>
      <c r="I67" s="2946"/>
      <c r="K67" s="2957"/>
      <c r="L67" s="2958"/>
      <c r="M67" s="2958"/>
      <c r="N67" s="2959"/>
      <c r="O67" s="2945"/>
      <c r="P67" s="2764"/>
      <c r="Q67" s="2764"/>
      <c r="R67" s="2764"/>
      <c r="S67" s="2764"/>
      <c r="T67" s="2764"/>
      <c r="U67" s="2764"/>
      <c r="V67" s="2764"/>
      <c r="W67" s="2765"/>
      <c r="Y67" s="2953"/>
      <c r="Z67" s="2860"/>
      <c r="AA67" s="2860"/>
      <c r="AB67" s="2860"/>
      <c r="AC67" s="2860"/>
      <c r="AD67" s="2860"/>
      <c r="AE67" s="2860"/>
      <c r="AF67" s="2860"/>
      <c r="AG67" s="2860"/>
      <c r="AH67" s="2860"/>
      <c r="AI67" s="2860"/>
      <c r="AJ67" s="2860"/>
      <c r="AK67" s="2860"/>
      <c r="AL67" s="2860"/>
      <c r="AM67" s="2860"/>
      <c r="AN67" s="2860"/>
      <c r="AO67" s="2860"/>
      <c r="AP67" s="2860"/>
      <c r="AQ67" s="2860"/>
      <c r="AR67" s="2860"/>
      <c r="AS67" s="2860"/>
      <c r="AT67" s="2860"/>
      <c r="AU67" s="2860"/>
      <c r="AV67" s="2954"/>
      <c r="AX67" s="2953"/>
      <c r="AY67" s="2860"/>
      <c r="AZ67" s="2860"/>
      <c r="BA67" s="2860"/>
      <c r="BB67" s="2860"/>
      <c r="BC67" s="2860"/>
      <c r="BD67" s="2860"/>
      <c r="BE67" s="2860"/>
      <c r="BF67" s="2860"/>
      <c r="BG67" s="2860"/>
      <c r="BH67" s="2860"/>
      <c r="BI67" s="2860"/>
      <c r="BJ67" s="2860"/>
      <c r="BK67" s="2860"/>
      <c r="BL67" s="2860"/>
      <c r="BM67" s="2860"/>
      <c r="BN67" s="2860"/>
      <c r="BO67" s="2860"/>
      <c r="BP67" s="2860"/>
      <c r="BQ67" s="2860"/>
      <c r="BR67" s="2860"/>
      <c r="BS67" s="2860"/>
      <c r="BT67" s="2860"/>
      <c r="BU67" s="2954"/>
      <c r="BV67" s="2312"/>
      <c r="BW67" s="2309"/>
      <c r="BX67" s="2796"/>
      <c r="BY67" s="2797"/>
      <c r="BZ67" s="2797"/>
      <c r="CA67" s="2797"/>
      <c r="CB67" s="2797"/>
      <c r="CC67" s="2797"/>
      <c r="CD67" s="2797"/>
      <c r="CE67" s="2797"/>
      <c r="CF67" s="2797"/>
      <c r="CG67" s="2798"/>
      <c r="CH67" s="2821"/>
      <c r="CI67" s="2822"/>
      <c r="CJ67" s="2822"/>
      <c r="CK67" s="2822"/>
      <c r="CL67" s="2822"/>
      <c r="CM67" s="2822"/>
      <c r="CN67" s="2822"/>
      <c r="CO67" s="2822"/>
      <c r="CP67" s="2822"/>
      <c r="CQ67" s="2822"/>
      <c r="CR67" s="2822"/>
      <c r="CS67" s="2822"/>
      <c r="CT67" s="2822"/>
      <c r="CU67" s="2822"/>
      <c r="CV67" s="2822"/>
      <c r="CW67" s="2822"/>
      <c r="CX67" s="2822"/>
      <c r="CY67" s="2822"/>
      <c r="CZ67" s="2822"/>
      <c r="DA67" s="2822"/>
      <c r="DB67" s="2822"/>
      <c r="DC67" s="2822"/>
      <c r="DD67" s="2822"/>
      <c r="DE67" s="2822"/>
      <c r="DF67" s="2822"/>
      <c r="DG67" s="2822"/>
      <c r="DH67" s="2822"/>
      <c r="DI67" s="2822"/>
      <c r="DJ67" s="2822"/>
      <c r="DK67" s="2822"/>
      <c r="DL67" s="2822"/>
      <c r="DM67" s="2822"/>
      <c r="DN67" s="2822"/>
      <c r="DO67" s="2822"/>
      <c r="DP67" s="2822"/>
      <c r="DQ67" s="2822"/>
      <c r="DR67" s="2822"/>
      <c r="DS67" s="2822"/>
      <c r="DT67" s="2822"/>
      <c r="DU67" s="2822"/>
      <c r="DV67" s="2822"/>
      <c r="DW67" s="2822"/>
      <c r="DX67" s="2822"/>
      <c r="DY67" s="2822"/>
      <c r="DZ67" s="2822"/>
      <c r="EA67" s="2822"/>
      <c r="EB67" s="2822"/>
      <c r="EC67" s="2822"/>
      <c r="ED67" s="2822"/>
      <c r="EE67" s="2822"/>
      <c r="EF67" s="2822"/>
      <c r="EG67" s="2822"/>
      <c r="EH67" s="2822"/>
      <c r="EI67" s="2822"/>
      <c r="EJ67" s="2822"/>
      <c r="EK67" s="2822"/>
      <c r="EL67" s="2822"/>
      <c r="EM67" s="2822"/>
      <c r="EN67" s="2822"/>
      <c r="EO67" s="2822"/>
      <c r="EP67" s="2823"/>
      <c r="EQ67" s="2312"/>
      <c r="ER67" s="2309"/>
      <c r="GD67" s="1522"/>
      <c r="GE67" s="1522"/>
      <c r="GF67" s="1522"/>
      <c r="GG67" s="1522"/>
      <c r="GH67" s="1522"/>
      <c r="GI67" s="1522"/>
      <c r="GJ67" s="1522"/>
      <c r="GK67" s="1522"/>
      <c r="GL67" s="1522"/>
      <c r="GM67" s="1522"/>
      <c r="GN67" s="1522"/>
      <c r="GO67" s="1522"/>
      <c r="GP67" s="1522"/>
      <c r="GQ67" s="1522"/>
      <c r="GR67" s="1522"/>
      <c r="GS67" s="1522"/>
      <c r="GT67" s="1522"/>
      <c r="GU67" s="1522"/>
      <c r="GV67" s="1522"/>
      <c r="GW67" s="1522"/>
      <c r="GX67" s="1522"/>
      <c r="GY67" s="1522"/>
      <c r="GZ67" s="1522"/>
      <c r="HA67" s="1522"/>
      <c r="HB67" s="1522"/>
      <c r="HC67" s="1522"/>
      <c r="HD67" s="1522"/>
      <c r="HE67" s="1522"/>
      <c r="HF67" s="1522"/>
      <c r="HG67" s="1522"/>
      <c r="HH67" s="1522"/>
      <c r="HI67" s="1522"/>
      <c r="HJ67" s="1522"/>
      <c r="HK67" s="1522"/>
      <c r="HL67" s="2312"/>
    </row>
    <row r="68" spans="2:220" ht="7.5" customHeight="1">
      <c r="B68" s="2309"/>
      <c r="C68" s="2946"/>
      <c r="D68" s="2946"/>
      <c r="E68" s="2946"/>
      <c r="F68" s="2946"/>
      <c r="G68" s="2946"/>
      <c r="H68" s="2946"/>
      <c r="I68" s="2946"/>
      <c r="K68" s="2901">
        <f>[1]SKILLS!$I$43</f>
        <v>3</v>
      </c>
      <c r="L68" s="2902"/>
      <c r="M68" s="2902"/>
      <c r="N68" s="2903"/>
      <c r="O68" s="2907" t="s">
        <v>6964</v>
      </c>
      <c r="P68" s="2907"/>
      <c r="Q68" s="2907"/>
      <c r="R68" s="2907"/>
      <c r="S68" s="2907"/>
      <c r="T68" s="2907"/>
      <c r="U68" s="2907"/>
      <c r="V68" s="2907"/>
      <c r="W68" s="2908"/>
      <c r="Y68" s="2887" t="s">
        <v>9802</v>
      </c>
      <c r="Z68" s="2797"/>
      <c r="AA68" s="2797"/>
      <c r="AB68" s="2797"/>
      <c r="AC68" s="2797"/>
      <c r="AD68" s="2797"/>
      <c r="AE68" s="2797"/>
      <c r="AF68" s="2797"/>
      <c r="AG68" s="2797"/>
      <c r="AH68" s="2797"/>
      <c r="AI68" s="2797"/>
      <c r="AJ68" s="2797"/>
      <c r="AK68" s="2797"/>
      <c r="AL68" s="2797"/>
      <c r="AM68" s="2797"/>
      <c r="AN68" s="2797"/>
      <c r="AO68" s="2797"/>
      <c r="AP68" s="2797"/>
      <c r="AQ68" s="2797"/>
      <c r="AR68" s="2797"/>
      <c r="AS68" s="2797"/>
      <c r="AT68" s="2797"/>
      <c r="AU68" s="2797"/>
      <c r="AV68" s="2797"/>
      <c r="AW68" s="2797"/>
      <c r="AX68" s="2797"/>
      <c r="AY68" s="2797"/>
      <c r="AZ68" s="2797"/>
      <c r="BA68" s="2797"/>
      <c r="BB68" s="2797"/>
      <c r="BC68" s="2797"/>
      <c r="BD68" s="2797"/>
      <c r="BE68" s="2797"/>
      <c r="BF68" s="2797"/>
      <c r="BG68" s="2797"/>
      <c r="BH68" s="2797"/>
      <c r="BI68" s="2797"/>
      <c r="BJ68" s="2797"/>
      <c r="BK68" s="2797"/>
      <c r="BL68" s="2797"/>
      <c r="BM68" s="2797"/>
      <c r="BN68" s="2797"/>
      <c r="BO68" s="2797"/>
      <c r="BP68" s="2797"/>
      <c r="BQ68" s="2797"/>
      <c r="BR68" s="2797"/>
      <c r="BS68" s="2797"/>
      <c r="BT68" s="2797"/>
      <c r="BU68" s="2797"/>
      <c r="BV68" s="2312"/>
      <c r="BW68" s="2309"/>
      <c r="BX68" s="2796"/>
      <c r="BY68" s="2797"/>
      <c r="BZ68" s="2797"/>
      <c r="CA68" s="2797"/>
      <c r="CB68" s="2797"/>
      <c r="CC68" s="2797"/>
      <c r="CD68" s="2797"/>
      <c r="CE68" s="2797"/>
      <c r="CF68" s="2797"/>
      <c r="CG68" s="2798"/>
      <c r="CH68" s="2821"/>
      <c r="CI68" s="2822"/>
      <c r="CJ68" s="2822"/>
      <c r="CK68" s="2822"/>
      <c r="CL68" s="2822"/>
      <c r="CM68" s="2822"/>
      <c r="CN68" s="2822"/>
      <c r="CO68" s="2822"/>
      <c r="CP68" s="2822"/>
      <c r="CQ68" s="2822"/>
      <c r="CR68" s="2822"/>
      <c r="CS68" s="2822"/>
      <c r="CT68" s="2822"/>
      <c r="CU68" s="2822"/>
      <c r="CV68" s="2822"/>
      <c r="CW68" s="2822"/>
      <c r="CX68" s="2822"/>
      <c r="CY68" s="2822"/>
      <c r="CZ68" s="2822"/>
      <c r="DA68" s="2822"/>
      <c r="DB68" s="2822"/>
      <c r="DC68" s="2822"/>
      <c r="DD68" s="2822"/>
      <c r="DE68" s="2822"/>
      <c r="DF68" s="2822"/>
      <c r="DG68" s="2822"/>
      <c r="DH68" s="2822"/>
      <c r="DI68" s="2822"/>
      <c r="DJ68" s="2822"/>
      <c r="DK68" s="2822"/>
      <c r="DL68" s="2822"/>
      <c r="DM68" s="2822"/>
      <c r="DN68" s="2822"/>
      <c r="DO68" s="2822"/>
      <c r="DP68" s="2822"/>
      <c r="DQ68" s="2822"/>
      <c r="DR68" s="2822"/>
      <c r="DS68" s="2822"/>
      <c r="DT68" s="2822"/>
      <c r="DU68" s="2822"/>
      <c r="DV68" s="2822"/>
      <c r="DW68" s="2822"/>
      <c r="DX68" s="2822"/>
      <c r="DY68" s="2822"/>
      <c r="DZ68" s="2822"/>
      <c r="EA68" s="2822"/>
      <c r="EB68" s="2822"/>
      <c r="EC68" s="2822"/>
      <c r="ED68" s="2822"/>
      <c r="EE68" s="2822"/>
      <c r="EF68" s="2822"/>
      <c r="EG68" s="2822"/>
      <c r="EH68" s="2822"/>
      <c r="EI68" s="2822"/>
      <c r="EJ68" s="2822"/>
      <c r="EK68" s="2822"/>
      <c r="EL68" s="2822"/>
      <c r="EM68" s="2822"/>
      <c r="EN68" s="2822"/>
      <c r="EO68" s="2822"/>
      <c r="EP68" s="2823"/>
      <c r="EQ68" s="2312"/>
      <c r="ER68" s="2309"/>
      <c r="ES68" s="2900" t="s">
        <v>8431</v>
      </c>
      <c r="ET68" s="2794"/>
      <c r="EU68" s="2794"/>
      <c r="EV68" s="2794"/>
      <c r="EW68" s="2794"/>
      <c r="EX68" s="2794"/>
      <c r="EY68" s="2794"/>
      <c r="EZ68" s="2794"/>
      <c r="FA68" s="2794"/>
      <c r="FB68" s="2794"/>
      <c r="FC68" s="2794"/>
      <c r="FD68" s="2794"/>
      <c r="FE68" s="2794"/>
      <c r="FF68" s="2794"/>
      <c r="FG68" s="2794"/>
      <c r="FH68" s="2794"/>
      <c r="FI68" s="2794"/>
      <c r="FJ68" s="2794"/>
      <c r="FK68" s="2794"/>
      <c r="FL68" s="2794"/>
      <c r="FM68" s="2794"/>
      <c r="FN68" s="2794"/>
      <c r="FO68" s="2794"/>
      <c r="FP68" s="2794"/>
      <c r="FQ68" s="2794"/>
      <c r="FR68" s="2794"/>
      <c r="FS68" s="2794"/>
      <c r="FT68" s="2794"/>
      <c r="FU68" s="2794"/>
      <c r="FV68" s="2794"/>
      <c r="FW68" s="2794"/>
      <c r="FX68" s="2794"/>
      <c r="FY68" s="2794"/>
      <c r="FZ68" s="2795"/>
      <c r="GC68" s="2900" t="s">
        <v>10353</v>
      </c>
      <c r="GD68" s="2794"/>
      <c r="GE68" s="2794"/>
      <c r="GF68" s="2794"/>
      <c r="GG68" s="2794"/>
      <c r="GH68" s="2794"/>
      <c r="GI68" s="2794"/>
      <c r="GJ68" s="2794"/>
      <c r="GK68" s="2794"/>
      <c r="GL68" s="2794"/>
      <c r="GM68" s="2794"/>
      <c r="GN68" s="2794"/>
      <c r="GO68" s="2794"/>
      <c r="GP68" s="2794"/>
      <c r="GQ68" s="2794"/>
      <c r="GR68" s="2794"/>
      <c r="GS68" s="2794"/>
      <c r="GT68" s="2794"/>
      <c r="GU68" s="2794"/>
      <c r="GV68" s="2794"/>
      <c r="GW68" s="2794"/>
      <c r="GX68" s="2794"/>
      <c r="GY68" s="2794"/>
      <c r="GZ68" s="2794"/>
      <c r="HA68" s="2794"/>
      <c r="HB68" s="2794"/>
      <c r="HC68" s="2794"/>
      <c r="HD68" s="2794"/>
      <c r="HE68" s="2794"/>
      <c r="HF68" s="2794"/>
      <c r="HG68" s="2794"/>
      <c r="HH68" s="2794"/>
      <c r="HI68" s="2794"/>
      <c r="HJ68" s="2795"/>
      <c r="HK68" s="1522"/>
      <c r="HL68" s="2312"/>
    </row>
    <row r="69" spans="2:220" ht="7.5" customHeight="1">
      <c r="B69" s="2309"/>
      <c r="K69" s="2904"/>
      <c r="L69" s="2905"/>
      <c r="M69" s="2905"/>
      <c r="N69" s="2906"/>
      <c r="O69" s="2909"/>
      <c r="P69" s="2909"/>
      <c r="Q69" s="2909"/>
      <c r="R69" s="2909"/>
      <c r="S69" s="2909"/>
      <c r="T69" s="2909"/>
      <c r="U69" s="2909"/>
      <c r="V69" s="2909"/>
      <c r="W69" s="2910"/>
      <c r="Y69" s="2800"/>
      <c r="Z69" s="2800"/>
      <c r="AA69" s="2800"/>
      <c r="AB69" s="2800"/>
      <c r="AC69" s="2800"/>
      <c r="AD69" s="2800"/>
      <c r="AE69" s="2800"/>
      <c r="AF69" s="2800"/>
      <c r="AG69" s="2800"/>
      <c r="AH69" s="2800"/>
      <c r="AI69" s="2800"/>
      <c r="AJ69" s="2800"/>
      <c r="AK69" s="2800"/>
      <c r="AL69" s="2800"/>
      <c r="AM69" s="2800"/>
      <c r="AN69" s="2800"/>
      <c r="AO69" s="2800"/>
      <c r="AP69" s="2800"/>
      <c r="AQ69" s="2800"/>
      <c r="AR69" s="2800"/>
      <c r="AS69" s="2800"/>
      <c r="AT69" s="2800"/>
      <c r="AU69" s="2800"/>
      <c r="AV69" s="2800"/>
      <c r="AW69" s="2800"/>
      <c r="AX69" s="2800"/>
      <c r="AY69" s="2800"/>
      <c r="AZ69" s="2800"/>
      <c r="BA69" s="2800"/>
      <c r="BB69" s="2800"/>
      <c r="BC69" s="2800"/>
      <c r="BD69" s="2800"/>
      <c r="BE69" s="2800"/>
      <c r="BF69" s="2800"/>
      <c r="BG69" s="2800"/>
      <c r="BH69" s="2800"/>
      <c r="BI69" s="2800"/>
      <c r="BJ69" s="2800"/>
      <c r="BK69" s="2800"/>
      <c r="BL69" s="2800"/>
      <c r="BM69" s="2800"/>
      <c r="BN69" s="2800"/>
      <c r="BO69" s="2800"/>
      <c r="BP69" s="2800"/>
      <c r="BQ69" s="2800"/>
      <c r="BR69" s="2800"/>
      <c r="BS69" s="2800"/>
      <c r="BT69" s="2800"/>
      <c r="BU69" s="2800"/>
      <c r="BV69" s="2312"/>
      <c r="BW69" s="2309"/>
      <c r="BX69" s="2799"/>
      <c r="BY69" s="2800"/>
      <c r="BZ69" s="2800"/>
      <c r="CA69" s="2800"/>
      <c r="CB69" s="2800"/>
      <c r="CC69" s="2800"/>
      <c r="CD69" s="2800"/>
      <c r="CE69" s="2800"/>
      <c r="CF69" s="2800"/>
      <c r="CG69" s="2801"/>
      <c r="CH69" s="2824"/>
      <c r="CI69" s="2825"/>
      <c r="CJ69" s="2825"/>
      <c r="CK69" s="2825"/>
      <c r="CL69" s="2825"/>
      <c r="CM69" s="2825"/>
      <c r="CN69" s="2825"/>
      <c r="CO69" s="2825"/>
      <c r="CP69" s="2825"/>
      <c r="CQ69" s="2825"/>
      <c r="CR69" s="2825"/>
      <c r="CS69" s="2825"/>
      <c r="CT69" s="2825"/>
      <c r="CU69" s="2825"/>
      <c r="CV69" s="2825"/>
      <c r="CW69" s="2825"/>
      <c r="CX69" s="2825"/>
      <c r="CY69" s="2825"/>
      <c r="CZ69" s="2825"/>
      <c r="DA69" s="2825"/>
      <c r="DB69" s="2825"/>
      <c r="DC69" s="2825"/>
      <c r="DD69" s="2825"/>
      <c r="DE69" s="2825"/>
      <c r="DF69" s="2825"/>
      <c r="DG69" s="2825"/>
      <c r="DH69" s="2825"/>
      <c r="DI69" s="2825"/>
      <c r="DJ69" s="2825"/>
      <c r="DK69" s="2825"/>
      <c r="DL69" s="2825"/>
      <c r="DM69" s="2825"/>
      <c r="DN69" s="2825"/>
      <c r="DO69" s="2825"/>
      <c r="DP69" s="2825"/>
      <c r="DQ69" s="2825"/>
      <c r="DR69" s="2825"/>
      <c r="DS69" s="2825"/>
      <c r="DT69" s="2825"/>
      <c r="DU69" s="2825"/>
      <c r="DV69" s="2825"/>
      <c r="DW69" s="2825"/>
      <c r="DX69" s="2825"/>
      <c r="DY69" s="2825"/>
      <c r="DZ69" s="2825"/>
      <c r="EA69" s="2825"/>
      <c r="EB69" s="2825"/>
      <c r="EC69" s="2825"/>
      <c r="ED69" s="2825"/>
      <c r="EE69" s="2825"/>
      <c r="EF69" s="2825"/>
      <c r="EG69" s="2825"/>
      <c r="EH69" s="2825"/>
      <c r="EI69" s="2825"/>
      <c r="EJ69" s="2825"/>
      <c r="EK69" s="2825"/>
      <c r="EL69" s="2825"/>
      <c r="EM69" s="2825"/>
      <c r="EN69" s="2825"/>
      <c r="EO69" s="2825"/>
      <c r="EP69" s="2826"/>
      <c r="EQ69" s="2312"/>
      <c r="ER69" s="2309"/>
      <c r="ES69" s="2799"/>
      <c r="ET69" s="2800"/>
      <c r="EU69" s="2800"/>
      <c r="EV69" s="2800"/>
      <c r="EW69" s="2800"/>
      <c r="EX69" s="2800"/>
      <c r="EY69" s="2800"/>
      <c r="EZ69" s="2800"/>
      <c r="FA69" s="2800"/>
      <c r="FB69" s="2800"/>
      <c r="FC69" s="2800"/>
      <c r="FD69" s="2800"/>
      <c r="FE69" s="2800"/>
      <c r="FF69" s="2800"/>
      <c r="FG69" s="2800"/>
      <c r="FH69" s="2800"/>
      <c r="FI69" s="2800"/>
      <c r="FJ69" s="2800"/>
      <c r="FK69" s="2800"/>
      <c r="FL69" s="2800"/>
      <c r="FM69" s="2800"/>
      <c r="FN69" s="2800"/>
      <c r="FO69" s="2800"/>
      <c r="FP69" s="2800"/>
      <c r="FQ69" s="2800"/>
      <c r="FR69" s="2800"/>
      <c r="FS69" s="2800"/>
      <c r="FT69" s="2800"/>
      <c r="FU69" s="2800"/>
      <c r="FV69" s="2800"/>
      <c r="FW69" s="2800"/>
      <c r="FX69" s="2800"/>
      <c r="FY69" s="2800"/>
      <c r="FZ69" s="2801"/>
      <c r="GC69" s="2799"/>
      <c r="GD69" s="2800"/>
      <c r="GE69" s="2800"/>
      <c r="GF69" s="2800"/>
      <c r="GG69" s="2800"/>
      <c r="GH69" s="2800"/>
      <c r="GI69" s="2800"/>
      <c r="GJ69" s="2800"/>
      <c r="GK69" s="2800"/>
      <c r="GL69" s="2800"/>
      <c r="GM69" s="2800"/>
      <c r="GN69" s="2800"/>
      <c r="GO69" s="2800"/>
      <c r="GP69" s="2800"/>
      <c r="GQ69" s="2800"/>
      <c r="GR69" s="2800"/>
      <c r="GS69" s="2800"/>
      <c r="GT69" s="2800"/>
      <c r="GU69" s="2800"/>
      <c r="GV69" s="2800"/>
      <c r="GW69" s="2800"/>
      <c r="GX69" s="2800"/>
      <c r="GY69" s="2800"/>
      <c r="GZ69" s="2800"/>
      <c r="HA69" s="2800"/>
      <c r="HB69" s="2800"/>
      <c r="HC69" s="2800"/>
      <c r="HD69" s="2800"/>
      <c r="HE69" s="2800"/>
      <c r="HF69" s="2800"/>
      <c r="HG69" s="2800"/>
      <c r="HH69" s="2800"/>
      <c r="HI69" s="2800"/>
      <c r="HJ69" s="2801"/>
      <c r="HK69" s="1522"/>
      <c r="HL69" s="2312"/>
    </row>
    <row r="70" spans="2:220" ht="7.5" customHeight="1">
      <c r="B70" s="2309"/>
      <c r="K70" s="2901">
        <f>[1]SKILLS!$I$44</f>
        <v>0</v>
      </c>
      <c r="L70" s="2902"/>
      <c r="M70" s="2902"/>
      <c r="N70" s="2903"/>
      <c r="O70" s="2907" t="s">
        <v>6965</v>
      </c>
      <c r="P70" s="2907"/>
      <c r="Q70" s="2907"/>
      <c r="R70" s="2907"/>
      <c r="S70" s="2907"/>
      <c r="T70" s="2907"/>
      <c r="U70" s="2907"/>
      <c r="V70" s="2907"/>
      <c r="W70" s="2908"/>
      <c r="Y70" s="2911"/>
      <c r="Z70" s="2847"/>
      <c r="AA70" s="2847"/>
      <c r="AB70" s="2847"/>
      <c r="AC70" s="2847"/>
      <c r="AD70" s="2847"/>
      <c r="AE70" s="2847"/>
      <c r="AF70" s="2847"/>
      <c r="AG70" s="2847"/>
      <c r="AH70" s="2847"/>
      <c r="AI70" s="2847"/>
      <c r="AJ70" s="2847"/>
      <c r="AK70" s="2847"/>
      <c r="AL70" s="2847"/>
      <c r="AM70" s="2847"/>
      <c r="AN70" s="2847"/>
      <c r="AO70" s="2847"/>
      <c r="AP70" s="2847"/>
      <c r="AQ70" s="2847"/>
      <c r="AR70" s="2847"/>
      <c r="AS70" s="2847"/>
      <c r="AT70" s="2847"/>
      <c r="AU70" s="2847"/>
      <c r="AV70" s="2847"/>
      <c r="AW70" s="2847"/>
      <c r="AX70" s="2847"/>
      <c r="AY70" s="2847"/>
      <c r="AZ70" s="2847"/>
      <c r="BA70" s="2847"/>
      <c r="BB70" s="2847"/>
      <c r="BC70" s="2847"/>
      <c r="BD70" s="2847"/>
      <c r="BE70" s="2847"/>
      <c r="BF70" s="2847"/>
      <c r="BG70" s="2847"/>
      <c r="BH70" s="2847"/>
      <c r="BI70" s="2847"/>
      <c r="BJ70" s="2847"/>
      <c r="BK70" s="2847"/>
      <c r="BL70" s="2847"/>
      <c r="BM70" s="2847"/>
      <c r="BN70" s="2847"/>
      <c r="BO70" s="2847"/>
      <c r="BP70" s="2847"/>
      <c r="BQ70" s="2847"/>
      <c r="BR70" s="2847"/>
      <c r="BS70" s="2847"/>
      <c r="BT70" s="2847"/>
      <c r="BU70" s="2848"/>
      <c r="BV70" s="2312"/>
      <c r="BW70" s="2309"/>
      <c r="EQ70" s="2312"/>
      <c r="ER70" s="2309"/>
      <c r="ES70" s="2912" t="s">
        <v>8695</v>
      </c>
      <c r="ET70" s="2803"/>
      <c r="EU70" s="2803"/>
      <c r="EV70" s="2803"/>
      <c r="EW70" s="2803"/>
      <c r="EX70" s="2803"/>
      <c r="EY70" s="2803"/>
      <c r="EZ70" s="2803"/>
      <c r="FA70" s="2803"/>
      <c r="FB70" s="2803"/>
      <c r="FC70" s="2803"/>
      <c r="FD70" s="2803"/>
      <c r="FE70" s="2803"/>
      <c r="FF70" s="2803"/>
      <c r="FG70" s="2803"/>
      <c r="FH70" s="2803"/>
      <c r="FI70" s="2803"/>
      <c r="FJ70" s="2803"/>
      <c r="FK70" s="2803"/>
      <c r="FL70" s="2803"/>
      <c r="FM70" s="2803"/>
      <c r="FN70" s="2803"/>
      <c r="FO70" s="2803"/>
      <c r="FP70" s="2803"/>
      <c r="FQ70" s="2803"/>
      <c r="FR70" s="2803"/>
      <c r="FS70" s="2803"/>
      <c r="FT70" s="2803"/>
      <c r="FU70" s="2803"/>
      <c r="FV70" s="2803"/>
      <c r="FW70" s="2803"/>
      <c r="FX70" s="2803"/>
      <c r="FY70" s="2803"/>
      <c r="FZ70" s="2804"/>
      <c r="GC70" s="2913" t="e">
        <f xml:space="preserve"> "Usual Lifestyle: "&amp;#REF!</f>
        <v>#REF!</v>
      </c>
      <c r="GD70" s="2914"/>
      <c r="GE70" s="2914"/>
      <c r="GF70" s="2914"/>
      <c r="GG70" s="2914"/>
      <c r="GH70" s="2914"/>
      <c r="GI70" s="2914"/>
      <c r="GJ70" s="2914"/>
      <c r="GK70" s="2914"/>
      <c r="GL70" s="2914"/>
      <c r="GM70" s="2914"/>
      <c r="GN70" s="2914"/>
      <c r="GO70" s="2914"/>
      <c r="GP70" s="2914"/>
      <c r="GQ70" s="2914"/>
      <c r="GR70" s="2914"/>
      <c r="GS70" s="2914"/>
      <c r="GT70" s="2914"/>
      <c r="GU70" s="2914"/>
      <c r="GV70" s="2914"/>
      <c r="GW70" s="2914"/>
      <c r="GX70" s="2914"/>
      <c r="GY70" s="2914"/>
      <c r="GZ70" s="2914"/>
      <c r="HA70" s="2914"/>
      <c r="HB70" s="2914"/>
      <c r="HC70" s="2914"/>
      <c r="HD70" s="2914"/>
      <c r="HE70" s="2914"/>
      <c r="HF70" s="2914"/>
      <c r="HG70" s="2914"/>
      <c r="HH70" s="2914"/>
      <c r="HI70" s="2914"/>
      <c r="HJ70" s="2915"/>
      <c r="HK70" s="1522"/>
      <c r="HL70" s="2312"/>
    </row>
    <row r="71" spans="2:220" ht="7.5" customHeight="1">
      <c r="B71" s="2309"/>
      <c r="K71" s="2904"/>
      <c r="L71" s="2905"/>
      <c r="M71" s="2905"/>
      <c r="N71" s="2906"/>
      <c r="O71" s="2909"/>
      <c r="P71" s="2909"/>
      <c r="Q71" s="2909"/>
      <c r="R71" s="2909"/>
      <c r="S71" s="2909"/>
      <c r="T71" s="2909"/>
      <c r="U71" s="2909"/>
      <c r="V71" s="2909"/>
      <c r="W71" s="2910"/>
      <c r="Y71" s="2849"/>
      <c r="Z71" s="2850"/>
      <c r="AA71" s="2850"/>
      <c r="AB71" s="2850"/>
      <c r="AC71" s="2850"/>
      <c r="AD71" s="2850"/>
      <c r="AE71" s="2850"/>
      <c r="AF71" s="2850"/>
      <c r="AG71" s="2850"/>
      <c r="AH71" s="2850"/>
      <c r="AI71" s="2850"/>
      <c r="AJ71" s="2850"/>
      <c r="AK71" s="2850"/>
      <c r="AL71" s="2850"/>
      <c r="AM71" s="2850"/>
      <c r="AN71" s="2850"/>
      <c r="AO71" s="2850"/>
      <c r="AP71" s="2850"/>
      <c r="AQ71" s="2850"/>
      <c r="AR71" s="2850"/>
      <c r="AS71" s="2850"/>
      <c r="AT71" s="2850"/>
      <c r="AU71" s="2850"/>
      <c r="AV71" s="2850"/>
      <c r="AW71" s="2850"/>
      <c r="AX71" s="2850"/>
      <c r="AY71" s="2850"/>
      <c r="AZ71" s="2850"/>
      <c r="BA71" s="2850"/>
      <c r="BB71" s="2850"/>
      <c r="BC71" s="2850"/>
      <c r="BD71" s="2850"/>
      <c r="BE71" s="2850"/>
      <c r="BF71" s="2850"/>
      <c r="BG71" s="2850"/>
      <c r="BH71" s="2850"/>
      <c r="BI71" s="2850"/>
      <c r="BJ71" s="2850"/>
      <c r="BK71" s="2850"/>
      <c r="BL71" s="2850"/>
      <c r="BM71" s="2850"/>
      <c r="BN71" s="2850"/>
      <c r="BO71" s="2850"/>
      <c r="BP71" s="2850"/>
      <c r="BQ71" s="2850"/>
      <c r="BR71" s="2850"/>
      <c r="BS71" s="2850"/>
      <c r="BT71" s="2850"/>
      <c r="BU71" s="2851"/>
      <c r="BV71" s="2312"/>
      <c r="BW71" s="2309"/>
      <c r="BX71" s="2793" t="s">
        <v>8740</v>
      </c>
      <c r="BY71" s="2922"/>
      <c r="BZ71" s="2922"/>
      <c r="CA71" s="2922"/>
      <c r="CB71" s="2922"/>
      <c r="CC71" s="2922"/>
      <c r="CD71" s="2922"/>
      <c r="CE71" s="2922"/>
      <c r="CF71" s="2922"/>
      <c r="CG71" s="2923"/>
      <c r="CH71" s="2818" t="e">
        <f>#REF!</f>
        <v>#REF!</v>
      </c>
      <c r="CI71" s="2819"/>
      <c r="CJ71" s="2819"/>
      <c r="CK71" s="2819"/>
      <c r="CL71" s="2819"/>
      <c r="CM71" s="2819"/>
      <c r="CN71" s="2819"/>
      <c r="CO71" s="2819"/>
      <c r="CP71" s="2819"/>
      <c r="CQ71" s="2819"/>
      <c r="CR71" s="2819"/>
      <c r="CS71" s="2819"/>
      <c r="CT71" s="2819"/>
      <c r="CU71" s="2819"/>
      <c r="CV71" s="2819"/>
      <c r="CW71" s="2819"/>
      <c r="CX71" s="2819"/>
      <c r="CY71" s="2819"/>
      <c r="CZ71" s="2819"/>
      <c r="DA71" s="2819"/>
      <c r="DB71" s="2819"/>
      <c r="DC71" s="2819"/>
      <c r="DD71" s="2819"/>
      <c r="DE71" s="2819"/>
      <c r="DF71" s="2819"/>
      <c r="DG71" s="2819"/>
      <c r="DH71" s="2819"/>
      <c r="DI71" s="2819"/>
      <c r="DJ71" s="2819"/>
      <c r="DK71" s="2819"/>
      <c r="DL71" s="2819"/>
      <c r="DM71" s="2819"/>
      <c r="DN71" s="2819"/>
      <c r="DO71" s="2819"/>
      <c r="DP71" s="2819"/>
      <c r="DQ71" s="2819"/>
      <c r="DR71" s="2819"/>
      <c r="DS71" s="2819"/>
      <c r="DT71" s="2819"/>
      <c r="DU71" s="2819"/>
      <c r="DV71" s="2819"/>
      <c r="DW71" s="2819"/>
      <c r="DX71" s="2819"/>
      <c r="DY71" s="2819"/>
      <c r="DZ71" s="2819"/>
      <c r="EA71" s="2819"/>
      <c r="EB71" s="2819"/>
      <c r="EC71" s="2819"/>
      <c r="ED71" s="2819"/>
      <c r="EE71" s="2819"/>
      <c r="EF71" s="2819"/>
      <c r="EG71" s="2819"/>
      <c r="EH71" s="2819"/>
      <c r="EI71" s="2819"/>
      <c r="EJ71" s="2819"/>
      <c r="EK71" s="2819"/>
      <c r="EL71" s="2819"/>
      <c r="EM71" s="2819"/>
      <c r="EN71" s="2819"/>
      <c r="EO71" s="2819"/>
      <c r="EP71" s="2820"/>
      <c r="EQ71" s="2312"/>
      <c r="ER71" s="2309"/>
      <c r="ES71" s="2805"/>
      <c r="ET71" s="2806"/>
      <c r="EU71" s="2806"/>
      <c r="EV71" s="2806"/>
      <c r="EW71" s="2806"/>
      <c r="EX71" s="2806"/>
      <c r="EY71" s="2806"/>
      <c r="EZ71" s="2806"/>
      <c r="FA71" s="2806"/>
      <c r="FB71" s="2806"/>
      <c r="FC71" s="2806"/>
      <c r="FD71" s="2806"/>
      <c r="FE71" s="2806"/>
      <c r="FF71" s="2806"/>
      <c r="FG71" s="2806"/>
      <c r="FH71" s="2806"/>
      <c r="FI71" s="2806"/>
      <c r="FJ71" s="2806"/>
      <c r="FK71" s="2806"/>
      <c r="FL71" s="2806"/>
      <c r="FM71" s="2806"/>
      <c r="FN71" s="2806"/>
      <c r="FO71" s="2806"/>
      <c r="FP71" s="2806"/>
      <c r="FQ71" s="2806"/>
      <c r="FR71" s="2806"/>
      <c r="FS71" s="2806"/>
      <c r="FT71" s="2806"/>
      <c r="FU71" s="2806"/>
      <c r="FV71" s="2806"/>
      <c r="FW71" s="2806"/>
      <c r="FX71" s="2806"/>
      <c r="FY71" s="2806"/>
      <c r="FZ71" s="2807"/>
      <c r="GC71" s="2916"/>
      <c r="GD71" s="2917"/>
      <c r="GE71" s="2917"/>
      <c r="GF71" s="2917"/>
      <c r="GG71" s="2917"/>
      <c r="GH71" s="2917"/>
      <c r="GI71" s="2917"/>
      <c r="GJ71" s="2917"/>
      <c r="GK71" s="2917"/>
      <c r="GL71" s="2917"/>
      <c r="GM71" s="2917"/>
      <c r="GN71" s="2917"/>
      <c r="GO71" s="2917"/>
      <c r="GP71" s="2917"/>
      <c r="GQ71" s="2917"/>
      <c r="GR71" s="2917"/>
      <c r="GS71" s="2917"/>
      <c r="GT71" s="2917"/>
      <c r="GU71" s="2917"/>
      <c r="GV71" s="2917"/>
      <c r="GW71" s="2917"/>
      <c r="GX71" s="2917"/>
      <c r="GY71" s="2917"/>
      <c r="GZ71" s="2917"/>
      <c r="HA71" s="2917"/>
      <c r="HB71" s="2917"/>
      <c r="HC71" s="2917"/>
      <c r="HD71" s="2917"/>
      <c r="HE71" s="2917"/>
      <c r="HF71" s="2917"/>
      <c r="HG71" s="2917"/>
      <c r="HH71" s="2917"/>
      <c r="HI71" s="2917"/>
      <c r="HJ71" s="2918"/>
      <c r="HK71" s="1522"/>
      <c r="HL71" s="2312"/>
    </row>
    <row r="72" spans="2:220" ht="7.5" customHeight="1">
      <c r="B72" s="2309"/>
      <c r="Y72" s="2849"/>
      <c r="Z72" s="2850"/>
      <c r="AA72" s="2850"/>
      <c r="AB72" s="2850"/>
      <c r="AC72" s="2850"/>
      <c r="AD72" s="2850"/>
      <c r="AE72" s="2850"/>
      <c r="AF72" s="2850"/>
      <c r="AG72" s="2850"/>
      <c r="AH72" s="2850"/>
      <c r="AI72" s="2850"/>
      <c r="AJ72" s="2850"/>
      <c r="AK72" s="2850"/>
      <c r="AL72" s="2850"/>
      <c r="AM72" s="2850"/>
      <c r="AN72" s="2850"/>
      <c r="AO72" s="2850"/>
      <c r="AP72" s="2850"/>
      <c r="AQ72" s="2850"/>
      <c r="AR72" s="2850"/>
      <c r="AS72" s="2850"/>
      <c r="AT72" s="2850"/>
      <c r="AU72" s="2850"/>
      <c r="AV72" s="2850"/>
      <c r="AW72" s="2850"/>
      <c r="AX72" s="2850"/>
      <c r="AY72" s="2850"/>
      <c r="AZ72" s="2850"/>
      <c r="BA72" s="2850"/>
      <c r="BB72" s="2850"/>
      <c r="BC72" s="2850"/>
      <c r="BD72" s="2850"/>
      <c r="BE72" s="2850"/>
      <c r="BF72" s="2850"/>
      <c r="BG72" s="2850"/>
      <c r="BH72" s="2850"/>
      <c r="BI72" s="2850"/>
      <c r="BJ72" s="2850"/>
      <c r="BK72" s="2850"/>
      <c r="BL72" s="2850"/>
      <c r="BM72" s="2850"/>
      <c r="BN72" s="2850"/>
      <c r="BO72" s="2850"/>
      <c r="BP72" s="2850"/>
      <c r="BQ72" s="2850"/>
      <c r="BR72" s="2850"/>
      <c r="BS72" s="2850"/>
      <c r="BT72" s="2850"/>
      <c r="BU72" s="2851"/>
      <c r="BV72" s="2312"/>
      <c r="BW72" s="2309"/>
      <c r="BX72" s="2827"/>
      <c r="BY72" s="2924"/>
      <c r="BZ72" s="2924"/>
      <c r="CA72" s="2924"/>
      <c r="CB72" s="2924"/>
      <c r="CC72" s="2924"/>
      <c r="CD72" s="2924"/>
      <c r="CE72" s="2924"/>
      <c r="CF72" s="2924"/>
      <c r="CG72" s="2925"/>
      <c r="CH72" s="2821"/>
      <c r="CI72" s="2822"/>
      <c r="CJ72" s="2822"/>
      <c r="CK72" s="2822"/>
      <c r="CL72" s="2822"/>
      <c r="CM72" s="2822"/>
      <c r="CN72" s="2822"/>
      <c r="CO72" s="2822"/>
      <c r="CP72" s="2822"/>
      <c r="CQ72" s="2822"/>
      <c r="CR72" s="2822"/>
      <c r="CS72" s="2822"/>
      <c r="CT72" s="2822"/>
      <c r="CU72" s="2822"/>
      <c r="CV72" s="2822"/>
      <c r="CW72" s="2822"/>
      <c r="CX72" s="2822"/>
      <c r="CY72" s="2822"/>
      <c r="CZ72" s="2822"/>
      <c r="DA72" s="2822"/>
      <c r="DB72" s="2822"/>
      <c r="DC72" s="2822"/>
      <c r="DD72" s="2822"/>
      <c r="DE72" s="2822"/>
      <c r="DF72" s="2822"/>
      <c r="DG72" s="2822"/>
      <c r="DH72" s="2822"/>
      <c r="DI72" s="2822"/>
      <c r="DJ72" s="2822"/>
      <c r="DK72" s="2822"/>
      <c r="DL72" s="2822"/>
      <c r="DM72" s="2822"/>
      <c r="DN72" s="2822"/>
      <c r="DO72" s="2822"/>
      <c r="DP72" s="2822"/>
      <c r="DQ72" s="2822"/>
      <c r="DR72" s="2822"/>
      <c r="DS72" s="2822"/>
      <c r="DT72" s="2822"/>
      <c r="DU72" s="2822"/>
      <c r="DV72" s="2822"/>
      <c r="DW72" s="2822"/>
      <c r="DX72" s="2822"/>
      <c r="DY72" s="2822"/>
      <c r="DZ72" s="2822"/>
      <c r="EA72" s="2822"/>
      <c r="EB72" s="2822"/>
      <c r="EC72" s="2822"/>
      <c r="ED72" s="2822"/>
      <c r="EE72" s="2822"/>
      <c r="EF72" s="2822"/>
      <c r="EG72" s="2822"/>
      <c r="EH72" s="2822"/>
      <c r="EI72" s="2822"/>
      <c r="EJ72" s="2822"/>
      <c r="EK72" s="2822"/>
      <c r="EL72" s="2822"/>
      <c r="EM72" s="2822"/>
      <c r="EN72" s="2822"/>
      <c r="EO72" s="2822"/>
      <c r="EP72" s="2823"/>
      <c r="EQ72" s="2312"/>
      <c r="ER72" s="2309"/>
      <c r="ES72" s="2805"/>
      <c r="ET72" s="2806"/>
      <c r="EU72" s="2806"/>
      <c r="EV72" s="2806"/>
      <c r="EW72" s="2806"/>
      <c r="EX72" s="2806"/>
      <c r="EY72" s="2806"/>
      <c r="EZ72" s="2806"/>
      <c r="FA72" s="2806"/>
      <c r="FB72" s="2806"/>
      <c r="FC72" s="2806"/>
      <c r="FD72" s="2806"/>
      <c r="FE72" s="2806"/>
      <c r="FF72" s="2806"/>
      <c r="FG72" s="2806"/>
      <c r="FH72" s="2806"/>
      <c r="FI72" s="2806"/>
      <c r="FJ72" s="2806"/>
      <c r="FK72" s="2806"/>
      <c r="FL72" s="2806"/>
      <c r="FM72" s="2806"/>
      <c r="FN72" s="2806"/>
      <c r="FO72" s="2806"/>
      <c r="FP72" s="2806"/>
      <c r="FQ72" s="2806"/>
      <c r="FR72" s="2806"/>
      <c r="FS72" s="2806"/>
      <c r="FT72" s="2806"/>
      <c r="FU72" s="2806"/>
      <c r="FV72" s="2806"/>
      <c r="FW72" s="2806"/>
      <c r="FX72" s="2806"/>
      <c r="FY72" s="2806"/>
      <c r="FZ72" s="2807"/>
      <c r="GC72" s="2919"/>
      <c r="GD72" s="2920"/>
      <c r="GE72" s="2920"/>
      <c r="GF72" s="2920"/>
      <c r="GG72" s="2920"/>
      <c r="GH72" s="2920"/>
      <c r="GI72" s="2920"/>
      <c r="GJ72" s="2920"/>
      <c r="GK72" s="2920"/>
      <c r="GL72" s="2920"/>
      <c r="GM72" s="2920"/>
      <c r="GN72" s="2920"/>
      <c r="GO72" s="2920"/>
      <c r="GP72" s="2920"/>
      <c r="GQ72" s="2920"/>
      <c r="GR72" s="2920"/>
      <c r="GS72" s="2920"/>
      <c r="GT72" s="2920"/>
      <c r="GU72" s="2920"/>
      <c r="GV72" s="2920"/>
      <c r="GW72" s="2920"/>
      <c r="GX72" s="2920"/>
      <c r="GY72" s="2920"/>
      <c r="GZ72" s="2920"/>
      <c r="HA72" s="2920"/>
      <c r="HB72" s="2920"/>
      <c r="HC72" s="2920"/>
      <c r="HD72" s="2920"/>
      <c r="HE72" s="2920"/>
      <c r="HF72" s="2920"/>
      <c r="HG72" s="2920"/>
      <c r="HH72" s="2920"/>
      <c r="HI72" s="2920"/>
      <c r="HJ72" s="2921"/>
      <c r="HK72" s="1522"/>
      <c r="HL72" s="2312"/>
    </row>
    <row r="73" spans="2:220" ht="7.5" customHeight="1">
      <c r="B73" s="2309"/>
      <c r="D73" s="2929" t="s">
        <v>10354</v>
      </c>
      <c r="E73" s="2767"/>
      <c r="F73" s="2767"/>
      <c r="G73" s="2767"/>
      <c r="H73" s="2767"/>
      <c r="I73" s="2767"/>
      <c r="J73" s="2767"/>
      <c r="K73" s="2767"/>
      <c r="L73" s="2767"/>
      <c r="M73" s="2884"/>
      <c r="N73" s="2896"/>
      <c r="O73" s="2794"/>
      <c r="P73" s="2794"/>
      <c r="Q73" s="2794"/>
      <c r="R73" s="2794"/>
      <c r="S73" s="2794"/>
      <c r="T73" s="2795"/>
      <c r="Y73" s="2852"/>
      <c r="Z73" s="2853"/>
      <c r="AA73" s="2853"/>
      <c r="AB73" s="2853"/>
      <c r="AC73" s="2853"/>
      <c r="AD73" s="2853"/>
      <c r="AE73" s="2853"/>
      <c r="AF73" s="2853"/>
      <c r="AG73" s="2853"/>
      <c r="AH73" s="2853"/>
      <c r="AI73" s="2853"/>
      <c r="AJ73" s="2853"/>
      <c r="AK73" s="2853"/>
      <c r="AL73" s="2853"/>
      <c r="AM73" s="2853"/>
      <c r="AN73" s="2853"/>
      <c r="AO73" s="2853"/>
      <c r="AP73" s="2853"/>
      <c r="AQ73" s="2853"/>
      <c r="AR73" s="2853"/>
      <c r="AS73" s="2853"/>
      <c r="AT73" s="2853"/>
      <c r="AU73" s="2853"/>
      <c r="AV73" s="2853"/>
      <c r="AW73" s="2853"/>
      <c r="AX73" s="2853"/>
      <c r="AY73" s="2853"/>
      <c r="AZ73" s="2853"/>
      <c r="BA73" s="2853"/>
      <c r="BB73" s="2853"/>
      <c r="BC73" s="2853"/>
      <c r="BD73" s="2853"/>
      <c r="BE73" s="2853"/>
      <c r="BF73" s="2853"/>
      <c r="BG73" s="2853"/>
      <c r="BH73" s="2853"/>
      <c r="BI73" s="2853"/>
      <c r="BJ73" s="2853"/>
      <c r="BK73" s="2853"/>
      <c r="BL73" s="2853"/>
      <c r="BM73" s="2853"/>
      <c r="BN73" s="2853"/>
      <c r="BO73" s="2853"/>
      <c r="BP73" s="2853"/>
      <c r="BQ73" s="2853"/>
      <c r="BR73" s="2853"/>
      <c r="BS73" s="2853"/>
      <c r="BT73" s="2853"/>
      <c r="BU73" s="2854"/>
      <c r="BV73" s="2312"/>
      <c r="BW73" s="2309"/>
      <c r="BX73" s="2827"/>
      <c r="BY73" s="2924"/>
      <c r="BZ73" s="2924"/>
      <c r="CA73" s="2924"/>
      <c r="CB73" s="2924"/>
      <c r="CC73" s="2924"/>
      <c r="CD73" s="2924"/>
      <c r="CE73" s="2924"/>
      <c r="CF73" s="2924"/>
      <c r="CG73" s="2925"/>
      <c r="CH73" s="2821"/>
      <c r="CI73" s="2822"/>
      <c r="CJ73" s="2822"/>
      <c r="CK73" s="2822"/>
      <c r="CL73" s="2822"/>
      <c r="CM73" s="2822"/>
      <c r="CN73" s="2822"/>
      <c r="CO73" s="2822"/>
      <c r="CP73" s="2822"/>
      <c r="CQ73" s="2822"/>
      <c r="CR73" s="2822"/>
      <c r="CS73" s="2822"/>
      <c r="CT73" s="2822"/>
      <c r="CU73" s="2822"/>
      <c r="CV73" s="2822"/>
      <c r="CW73" s="2822"/>
      <c r="CX73" s="2822"/>
      <c r="CY73" s="2822"/>
      <c r="CZ73" s="2822"/>
      <c r="DA73" s="2822"/>
      <c r="DB73" s="2822"/>
      <c r="DC73" s="2822"/>
      <c r="DD73" s="2822"/>
      <c r="DE73" s="2822"/>
      <c r="DF73" s="2822"/>
      <c r="DG73" s="2822"/>
      <c r="DH73" s="2822"/>
      <c r="DI73" s="2822"/>
      <c r="DJ73" s="2822"/>
      <c r="DK73" s="2822"/>
      <c r="DL73" s="2822"/>
      <c r="DM73" s="2822"/>
      <c r="DN73" s="2822"/>
      <c r="DO73" s="2822"/>
      <c r="DP73" s="2822"/>
      <c r="DQ73" s="2822"/>
      <c r="DR73" s="2822"/>
      <c r="DS73" s="2822"/>
      <c r="DT73" s="2822"/>
      <c r="DU73" s="2822"/>
      <c r="DV73" s="2822"/>
      <c r="DW73" s="2822"/>
      <c r="DX73" s="2822"/>
      <c r="DY73" s="2822"/>
      <c r="DZ73" s="2822"/>
      <c r="EA73" s="2822"/>
      <c r="EB73" s="2822"/>
      <c r="EC73" s="2822"/>
      <c r="ED73" s="2822"/>
      <c r="EE73" s="2822"/>
      <c r="EF73" s="2822"/>
      <c r="EG73" s="2822"/>
      <c r="EH73" s="2822"/>
      <c r="EI73" s="2822"/>
      <c r="EJ73" s="2822"/>
      <c r="EK73" s="2822"/>
      <c r="EL73" s="2822"/>
      <c r="EM73" s="2822"/>
      <c r="EN73" s="2822"/>
      <c r="EO73" s="2822"/>
      <c r="EP73" s="2823"/>
      <c r="EQ73" s="2312"/>
      <c r="ER73" s="2309"/>
      <c r="ES73" s="2808"/>
      <c r="ET73" s="2809"/>
      <c r="EU73" s="2809"/>
      <c r="EV73" s="2809"/>
      <c r="EW73" s="2809"/>
      <c r="EX73" s="2809"/>
      <c r="EY73" s="2809"/>
      <c r="EZ73" s="2809"/>
      <c r="FA73" s="2809"/>
      <c r="FB73" s="2809"/>
      <c r="FC73" s="2809"/>
      <c r="FD73" s="2809"/>
      <c r="FE73" s="2809"/>
      <c r="FF73" s="2809"/>
      <c r="FG73" s="2809"/>
      <c r="FH73" s="2809"/>
      <c r="FI73" s="2809"/>
      <c r="FJ73" s="2809"/>
      <c r="FK73" s="2809"/>
      <c r="FL73" s="2809"/>
      <c r="FM73" s="2809"/>
      <c r="FN73" s="2809"/>
      <c r="FO73" s="2809"/>
      <c r="FP73" s="2809"/>
      <c r="FQ73" s="2809"/>
      <c r="FR73" s="2809"/>
      <c r="FS73" s="2809"/>
      <c r="FT73" s="2809"/>
      <c r="FU73" s="2809"/>
      <c r="FV73" s="2809"/>
      <c r="FW73" s="2809"/>
      <c r="FX73" s="2809"/>
      <c r="FY73" s="2809"/>
      <c r="FZ73" s="2810"/>
      <c r="GD73" s="1522"/>
      <c r="GE73" s="1522"/>
      <c r="GF73" s="1522"/>
      <c r="GG73" s="1522"/>
      <c r="GH73" s="1522"/>
      <c r="GI73" s="1522"/>
      <c r="GJ73" s="1522"/>
      <c r="GK73" s="1522"/>
      <c r="GL73" s="1522"/>
      <c r="GM73" s="1522"/>
      <c r="GN73" s="1522"/>
      <c r="GO73" s="1522"/>
      <c r="GP73" s="1522"/>
      <c r="GQ73" s="1522"/>
      <c r="GR73" s="1522"/>
      <c r="GS73" s="1522"/>
      <c r="GT73" s="1522"/>
      <c r="GU73" s="1522"/>
      <c r="GV73" s="1522"/>
      <c r="GW73" s="1522"/>
      <c r="GX73" s="1522"/>
      <c r="GY73" s="1522"/>
      <c r="GZ73" s="1522"/>
      <c r="HA73" s="1522"/>
      <c r="HB73" s="1522"/>
      <c r="HC73" s="1522"/>
      <c r="HD73" s="1522"/>
      <c r="HE73" s="1522"/>
      <c r="HF73" s="1522"/>
      <c r="HG73" s="1522"/>
      <c r="HH73" s="1522"/>
      <c r="HI73" s="1522"/>
      <c r="HJ73" s="1522"/>
      <c r="HK73" s="1522"/>
      <c r="HL73" s="2312"/>
    </row>
    <row r="74" spans="2:220" ht="7.5" customHeight="1">
      <c r="B74" s="2309"/>
      <c r="D74" s="2767"/>
      <c r="E74" s="2767"/>
      <c r="F74" s="2767"/>
      <c r="G74" s="2767"/>
      <c r="H74" s="2767"/>
      <c r="I74" s="2767"/>
      <c r="J74" s="2767"/>
      <c r="K74" s="2767"/>
      <c r="L74" s="2767"/>
      <c r="M74" s="2884"/>
      <c r="N74" s="2796"/>
      <c r="O74" s="2797"/>
      <c r="P74" s="2797"/>
      <c r="Q74" s="2797"/>
      <c r="R74" s="2797"/>
      <c r="S74" s="2797"/>
      <c r="T74" s="2798"/>
      <c r="Y74" s="2887" t="s">
        <v>10355</v>
      </c>
      <c r="Z74" s="2797"/>
      <c r="AA74" s="2797"/>
      <c r="AB74" s="2797"/>
      <c r="AC74" s="2797"/>
      <c r="AD74" s="2797"/>
      <c r="AE74" s="2797"/>
      <c r="AF74" s="2797"/>
      <c r="AG74" s="2797"/>
      <c r="AH74" s="2797"/>
      <c r="AI74" s="2797"/>
      <c r="AJ74" s="2797"/>
      <c r="AK74" s="2797"/>
      <c r="AL74" s="2797"/>
      <c r="AM74" s="2797"/>
      <c r="AN74" s="2797"/>
      <c r="AO74" s="2797"/>
      <c r="AP74" s="2797"/>
      <c r="AQ74" s="2797"/>
      <c r="AR74" s="2797"/>
      <c r="AS74" s="2797"/>
      <c r="AT74" s="2797"/>
      <c r="AU74" s="2797"/>
      <c r="AV74" s="2797"/>
      <c r="AW74" s="2797"/>
      <c r="AX74" s="2797"/>
      <c r="AY74" s="2797"/>
      <c r="AZ74" s="2797"/>
      <c r="BA74" s="2797"/>
      <c r="BB74" s="2797"/>
      <c r="BC74" s="2797"/>
      <c r="BD74" s="2797"/>
      <c r="BE74" s="2797"/>
      <c r="BF74" s="2797"/>
      <c r="BG74" s="2797"/>
      <c r="BH74" s="2797"/>
      <c r="BI74" s="2797"/>
      <c r="BJ74" s="2797"/>
      <c r="BK74" s="2797"/>
      <c r="BL74" s="2797"/>
      <c r="BM74" s="2797"/>
      <c r="BN74" s="2797"/>
      <c r="BO74" s="2797"/>
      <c r="BP74" s="2797"/>
      <c r="BQ74" s="2797"/>
      <c r="BR74" s="2797"/>
      <c r="BS74" s="2797"/>
      <c r="BT74" s="2797"/>
      <c r="BU74" s="2797"/>
      <c r="BV74" s="2312"/>
      <c r="BW74" s="2309"/>
      <c r="BX74" s="2926"/>
      <c r="BY74" s="2927"/>
      <c r="BZ74" s="2927"/>
      <c r="CA74" s="2927"/>
      <c r="CB74" s="2927"/>
      <c r="CC74" s="2927"/>
      <c r="CD74" s="2927"/>
      <c r="CE74" s="2927"/>
      <c r="CF74" s="2927"/>
      <c r="CG74" s="2928"/>
      <c r="CH74" s="2824"/>
      <c r="CI74" s="2825"/>
      <c r="CJ74" s="2825"/>
      <c r="CK74" s="2825"/>
      <c r="CL74" s="2825"/>
      <c r="CM74" s="2825"/>
      <c r="CN74" s="2825"/>
      <c r="CO74" s="2825"/>
      <c r="CP74" s="2825"/>
      <c r="CQ74" s="2825"/>
      <c r="CR74" s="2825"/>
      <c r="CS74" s="2825"/>
      <c r="CT74" s="2825"/>
      <c r="CU74" s="2825"/>
      <c r="CV74" s="2825"/>
      <c r="CW74" s="2825"/>
      <c r="CX74" s="2825"/>
      <c r="CY74" s="2825"/>
      <c r="CZ74" s="2825"/>
      <c r="DA74" s="2825"/>
      <c r="DB74" s="2825"/>
      <c r="DC74" s="2825"/>
      <c r="DD74" s="2825"/>
      <c r="DE74" s="2825"/>
      <c r="DF74" s="2825"/>
      <c r="DG74" s="2825"/>
      <c r="DH74" s="2825"/>
      <c r="DI74" s="2825"/>
      <c r="DJ74" s="2825"/>
      <c r="DK74" s="2825"/>
      <c r="DL74" s="2825"/>
      <c r="DM74" s="2825"/>
      <c r="DN74" s="2825"/>
      <c r="DO74" s="2825"/>
      <c r="DP74" s="2825"/>
      <c r="DQ74" s="2825"/>
      <c r="DR74" s="2825"/>
      <c r="DS74" s="2825"/>
      <c r="DT74" s="2825"/>
      <c r="DU74" s="2825"/>
      <c r="DV74" s="2825"/>
      <c r="DW74" s="2825"/>
      <c r="DX74" s="2825"/>
      <c r="DY74" s="2825"/>
      <c r="DZ74" s="2825"/>
      <c r="EA74" s="2825"/>
      <c r="EB74" s="2825"/>
      <c r="EC74" s="2825"/>
      <c r="ED74" s="2825"/>
      <c r="EE74" s="2825"/>
      <c r="EF74" s="2825"/>
      <c r="EG74" s="2825"/>
      <c r="EH74" s="2825"/>
      <c r="EI74" s="2825"/>
      <c r="EJ74" s="2825"/>
      <c r="EK74" s="2825"/>
      <c r="EL74" s="2825"/>
      <c r="EM74" s="2825"/>
      <c r="EN74" s="2825"/>
      <c r="EO74" s="2825"/>
      <c r="EP74" s="2826"/>
      <c r="EQ74" s="2312"/>
      <c r="ER74" s="2309"/>
      <c r="GD74" s="1522"/>
      <c r="GE74" s="1522"/>
      <c r="GF74" s="1522"/>
      <c r="GG74" s="1522"/>
      <c r="GH74" s="1522"/>
      <c r="GI74" s="1522"/>
      <c r="GJ74" s="1522"/>
      <c r="GK74" s="1522"/>
      <c r="GL74" s="1522"/>
      <c r="GM74" s="1522"/>
      <c r="GN74" s="1522"/>
      <c r="GO74" s="1522"/>
      <c r="GP74" s="1522"/>
      <c r="GQ74" s="1522"/>
      <c r="GR74" s="1522"/>
      <c r="GS74" s="1522"/>
      <c r="GT74" s="1522"/>
      <c r="GU74" s="1522"/>
      <c r="GV74" s="1522"/>
      <c r="GW74" s="1522"/>
      <c r="GX74" s="1522"/>
      <c r="GY74" s="1522"/>
      <c r="GZ74" s="1522"/>
      <c r="HA74" s="1522"/>
      <c r="HB74" s="1522"/>
      <c r="HC74" s="1522"/>
      <c r="HD74" s="1522"/>
      <c r="HE74" s="1522"/>
      <c r="HF74" s="1522"/>
      <c r="HG74" s="1522"/>
      <c r="HH74" s="1522"/>
      <c r="HI74" s="1522"/>
      <c r="HJ74" s="1522"/>
      <c r="HK74" s="1522"/>
      <c r="HL74" s="2312"/>
    </row>
    <row r="75" spans="2:220" ht="7.5" customHeight="1" thickBot="1">
      <c r="B75" s="2309"/>
      <c r="D75" s="2767"/>
      <c r="E75" s="2767"/>
      <c r="F75" s="2767"/>
      <c r="G75" s="2767"/>
      <c r="H75" s="2767"/>
      <c r="I75" s="2767"/>
      <c r="J75" s="2767"/>
      <c r="K75" s="2767"/>
      <c r="L75" s="2767"/>
      <c r="M75" s="2884"/>
      <c r="N75" s="2799"/>
      <c r="O75" s="2800"/>
      <c r="P75" s="2800"/>
      <c r="Q75" s="2800"/>
      <c r="R75" s="2800"/>
      <c r="S75" s="2800"/>
      <c r="T75" s="2801"/>
      <c r="Y75" s="2800"/>
      <c r="Z75" s="2800"/>
      <c r="AA75" s="2800"/>
      <c r="AB75" s="2800"/>
      <c r="AC75" s="2800"/>
      <c r="AD75" s="2800"/>
      <c r="AE75" s="2800"/>
      <c r="AF75" s="2800"/>
      <c r="AG75" s="2800"/>
      <c r="AH75" s="2800"/>
      <c r="AI75" s="2800"/>
      <c r="AJ75" s="2800"/>
      <c r="AK75" s="2800"/>
      <c r="AL75" s="2800"/>
      <c r="AM75" s="2800"/>
      <c r="AN75" s="2800"/>
      <c r="AO75" s="2800"/>
      <c r="AP75" s="2800"/>
      <c r="AQ75" s="2800"/>
      <c r="AR75" s="2800"/>
      <c r="AS75" s="2800"/>
      <c r="AT75" s="2800"/>
      <c r="AU75" s="2800"/>
      <c r="AV75" s="2800"/>
      <c r="AW75" s="2800"/>
      <c r="AX75" s="2800"/>
      <c r="AY75" s="2800"/>
      <c r="AZ75" s="2800"/>
      <c r="BA75" s="2800"/>
      <c r="BB75" s="2800"/>
      <c r="BC75" s="2800"/>
      <c r="BD75" s="2800"/>
      <c r="BE75" s="2800"/>
      <c r="BF75" s="2800"/>
      <c r="BG75" s="2800"/>
      <c r="BH75" s="2800"/>
      <c r="BI75" s="2800"/>
      <c r="BJ75" s="2800"/>
      <c r="BK75" s="2800"/>
      <c r="BL75" s="2800"/>
      <c r="BM75" s="2800"/>
      <c r="BN75" s="2800"/>
      <c r="BO75" s="2800"/>
      <c r="BP75" s="2800"/>
      <c r="BQ75" s="2800"/>
      <c r="BR75" s="2800"/>
      <c r="BS75" s="2800"/>
      <c r="BT75" s="2800"/>
      <c r="BU75" s="2800"/>
      <c r="BV75" s="2312"/>
      <c r="BW75" s="2309"/>
      <c r="EQ75" s="2312"/>
      <c r="ER75" s="2309"/>
      <c r="GD75" s="1522"/>
      <c r="GE75" s="1522"/>
      <c r="GF75" s="1522"/>
      <c r="GG75" s="1522"/>
      <c r="GH75" s="1522"/>
      <c r="GI75" s="1522"/>
      <c r="GJ75" s="1522"/>
      <c r="GK75" s="1522"/>
      <c r="GL75" s="1522"/>
      <c r="GM75" s="1522"/>
      <c r="GN75" s="1522"/>
      <c r="GO75" s="1522"/>
      <c r="GP75" s="1522"/>
      <c r="GQ75" s="1522"/>
      <c r="GR75" s="1522"/>
      <c r="GS75" s="1522"/>
      <c r="GT75" s="1522"/>
      <c r="GU75" s="1522"/>
      <c r="GV75" s="1522"/>
      <c r="GW75" s="1522"/>
      <c r="GX75" s="1522"/>
      <c r="GY75" s="1522"/>
      <c r="GZ75" s="1522"/>
      <c r="HA75" s="1522"/>
      <c r="HB75" s="1522"/>
      <c r="HC75" s="1522"/>
      <c r="HD75" s="1522"/>
      <c r="HE75" s="1522"/>
      <c r="HF75" s="1522"/>
      <c r="HG75" s="1522"/>
      <c r="HH75" s="1522"/>
      <c r="HI75" s="1522"/>
      <c r="HJ75" s="1522"/>
      <c r="HK75" s="1522"/>
      <c r="HL75" s="2312"/>
    </row>
    <row r="76" spans="2:220" ht="7.5" customHeight="1">
      <c r="B76" s="2309"/>
      <c r="D76" s="32"/>
      <c r="E76" s="32"/>
      <c r="F76" s="32"/>
      <c r="G76" s="32"/>
      <c r="H76" s="32"/>
      <c r="I76" s="32"/>
      <c r="J76" s="32"/>
      <c r="K76" s="32"/>
      <c r="L76" s="32"/>
      <c r="M76" s="32"/>
      <c r="N76" s="2342"/>
      <c r="O76" s="2342"/>
      <c r="P76" s="2342"/>
      <c r="Q76" s="2342"/>
      <c r="R76" s="2342"/>
      <c r="S76" s="2342"/>
      <c r="T76" s="2342"/>
      <c r="Y76" s="2897"/>
      <c r="Z76" s="2898"/>
      <c r="AA76" s="2898"/>
      <c r="AB76" s="2898"/>
      <c r="AC76" s="2898"/>
      <c r="AD76" s="2898"/>
      <c r="AE76" s="2898"/>
      <c r="AF76" s="2898"/>
      <c r="AG76" s="2898"/>
      <c r="AH76" s="2898"/>
      <c r="AI76" s="2898"/>
      <c r="AJ76" s="2898"/>
      <c r="AK76" s="2898"/>
      <c r="AL76" s="2898"/>
      <c r="AM76" s="2898"/>
      <c r="AN76" s="2898"/>
      <c r="AO76" s="2898"/>
      <c r="AP76" s="2898"/>
      <c r="AQ76" s="2898"/>
      <c r="AR76" s="2898"/>
      <c r="AS76" s="2898"/>
      <c r="AT76" s="2898"/>
      <c r="AU76" s="2898"/>
      <c r="AV76" s="2898"/>
      <c r="AW76" s="2898"/>
      <c r="AX76" s="2898"/>
      <c r="AY76" s="2898"/>
      <c r="AZ76" s="2898"/>
      <c r="BA76" s="2898"/>
      <c r="BB76" s="2898"/>
      <c r="BC76" s="2898"/>
      <c r="BD76" s="2898"/>
      <c r="BE76" s="2898"/>
      <c r="BF76" s="2898"/>
      <c r="BG76" s="2898"/>
      <c r="BH76" s="2898"/>
      <c r="BI76" s="2898"/>
      <c r="BJ76" s="2898"/>
      <c r="BK76" s="2898"/>
      <c r="BL76" s="2898"/>
      <c r="BM76" s="2898"/>
      <c r="BN76" s="2898"/>
      <c r="BO76" s="2898"/>
      <c r="BP76" s="2898"/>
      <c r="BQ76" s="2898"/>
      <c r="BR76" s="2898"/>
      <c r="BS76" s="2898"/>
      <c r="BT76" s="2898"/>
      <c r="BU76" s="2899"/>
      <c r="BV76" s="2312"/>
      <c r="BW76" s="2309"/>
      <c r="BX76" s="2793" t="s">
        <v>8746</v>
      </c>
      <c r="BY76" s="2794"/>
      <c r="BZ76" s="2794"/>
      <c r="CA76" s="2794"/>
      <c r="CB76" s="2794"/>
      <c r="CC76" s="2794"/>
      <c r="CD76" s="2794"/>
      <c r="CE76" s="2794"/>
      <c r="CF76" s="2794"/>
      <c r="CG76" s="2795"/>
      <c r="CH76" s="2818" t="e">
        <f>#REF!</f>
        <v>#REF!</v>
      </c>
      <c r="CI76" s="2819"/>
      <c r="CJ76" s="2819"/>
      <c r="CK76" s="2819"/>
      <c r="CL76" s="2819"/>
      <c r="CM76" s="2819"/>
      <c r="CN76" s="2819"/>
      <c r="CO76" s="2819"/>
      <c r="CP76" s="2819"/>
      <c r="CQ76" s="2819"/>
      <c r="CR76" s="2819"/>
      <c r="CS76" s="2819"/>
      <c r="CT76" s="2819"/>
      <c r="CU76" s="2819"/>
      <c r="CV76" s="2819"/>
      <c r="CW76" s="2819"/>
      <c r="CX76" s="2819"/>
      <c r="CY76" s="2819"/>
      <c r="CZ76" s="2819"/>
      <c r="DA76" s="2819"/>
      <c r="DB76" s="2819"/>
      <c r="DC76" s="2819"/>
      <c r="DD76" s="2819"/>
      <c r="DE76" s="2819"/>
      <c r="DF76" s="2819"/>
      <c r="DG76" s="2819"/>
      <c r="DH76" s="2819"/>
      <c r="DI76" s="2819"/>
      <c r="DJ76" s="2819"/>
      <c r="DK76" s="2819"/>
      <c r="DL76" s="2819"/>
      <c r="DM76" s="2819"/>
      <c r="DN76" s="2819"/>
      <c r="DO76" s="2819"/>
      <c r="DP76" s="2819"/>
      <c r="DQ76" s="2819"/>
      <c r="DR76" s="2819"/>
      <c r="DS76" s="2819"/>
      <c r="DT76" s="2819"/>
      <c r="DU76" s="2819"/>
      <c r="DV76" s="2819"/>
      <c r="DW76" s="2819"/>
      <c r="DX76" s="2819"/>
      <c r="DY76" s="2819"/>
      <c r="DZ76" s="2819"/>
      <c r="EA76" s="2819"/>
      <c r="EB76" s="2819"/>
      <c r="EC76" s="2819"/>
      <c r="ED76" s="2819"/>
      <c r="EE76" s="2819"/>
      <c r="EF76" s="2819"/>
      <c r="EG76" s="2819"/>
      <c r="EH76" s="2819"/>
      <c r="EI76" s="2819"/>
      <c r="EJ76" s="2819"/>
      <c r="EK76" s="2819"/>
      <c r="EL76" s="2819"/>
      <c r="EM76" s="2819"/>
      <c r="EN76" s="2819"/>
      <c r="EO76" s="2819"/>
      <c r="EP76" s="2820"/>
      <c r="EQ76" s="2312"/>
      <c r="ER76" s="2309"/>
      <c r="ES76" s="2900" t="s">
        <v>8856</v>
      </c>
      <c r="ET76" s="2794"/>
      <c r="EU76" s="2794"/>
      <c r="EV76" s="2794"/>
      <c r="EW76" s="2794"/>
      <c r="EX76" s="2794"/>
      <c r="EY76" s="2794"/>
      <c r="EZ76" s="2794"/>
      <c r="FA76" s="2794"/>
      <c r="FB76" s="2794"/>
      <c r="FC76" s="2794"/>
      <c r="FD76" s="2794"/>
      <c r="FE76" s="2794"/>
      <c r="FF76" s="2794"/>
      <c r="FG76" s="2794"/>
      <c r="FH76" s="2794"/>
      <c r="FI76" s="2794"/>
      <c r="FJ76" s="2794"/>
      <c r="FK76" s="2794"/>
      <c r="FL76" s="2794"/>
      <c r="FM76" s="2794"/>
      <c r="FN76" s="2794"/>
      <c r="FO76" s="2794"/>
      <c r="FP76" s="2794"/>
      <c r="FQ76" s="2794"/>
      <c r="FR76" s="2794"/>
      <c r="FS76" s="2794"/>
      <c r="FT76" s="2794"/>
      <c r="FU76" s="2794"/>
      <c r="FV76" s="2794"/>
      <c r="FW76" s="2794"/>
      <c r="FX76" s="2794"/>
      <c r="FY76" s="2794"/>
      <c r="FZ76" s="2795"/>
      <c r="GA76" s="918"/>
      <c r="GB76" s="918"/>
      <c r="GC76" s="2930" t="s">
        <v>10356</v>
      </c>
      <c r="GD76" s="2862"/>
      <c r="GE76" s="2862"/>
      <c r="GF76" s="2862"/>
      <c r="GG76" s="2862"/>
      <c r="GH76" s="2862"/>
      <c r="GI76" s="2862"/>
      <c r="GJ76" s="2862"/>
      <c r="GK76" s="2862"/>
      <c r="GL76" s="2862"/>
      <c r="GM76" s="2862"/>
      <c r="GN76" s="2862"/>
      <c r="GO76" s="2862"/>
      <c r="GP76" s="2862"/>
      <c r="GQ76" s="2862"/>
      <c r="GR76" s="2862"/>
      <c r="GS76" s="2862"/>
      <c r="GT76" s="2862"/>
      <c r="GU76" s="2862"/>
      <c r="GV76" s="2862"/>
      <c r="GW76" s="2862"/>
      <c r="GX76" s="2862"/>
      <c r="GY76" s="2862"/>
      <c r="GZ76" s="2862"/>
      <c r="HA76" s="2862"/>
      <c r="HB76" s="2862"/>
      <c r="HC76" s="2862"/>
      <c r="HD76" s="2862"/>
      <c r="HE76" s="2862"/>
      <c r="HF76" s="2862"/>
      <c r="HG76" s="2862"/>
      <c r="HH76" s="2862"/>
      <c r="HI76" s="2862"/>
      <c r="HJ76" s="2863"/>
      <c r="HL76" s="2312"/>
    </row>
    <row r="77" spans="2:220" ht="7.5" customHeight="1" thickBot="1">
      <c r="B77" s="2309"/>
      <c r="C77" s="2887" t="s">
        <v>10357</v>
      </c>
      <c r="D77" s="2797"/>
      <c r="E77" s="2797"/>
      <c r="F77" s="2797"/>
      <c r="G77" s="2797"/>
      <c r="H77" s="2797"/>
      <c r="I77" s="2797"/>
      <c r="J77" s="2797"/>
      <c r="K77" s="2797"/>
      <c r="L77" s="2797"/>
      <c r="M77" s="2797"/>
      <c r="N77" s="2797"/>
      <c r="O77" s="2797"/>
      <c r="P77" s="2797"/>
      <c r="Q77" s="2797"/>
      <c r="R77" s="2797"/>
      <c r="S77" s="2797"/>
      <c r="T77" s="2797"/>
      <c r="U77" s="2797"/>
      <c r="V77" s="2797"/>
      <c r="W77" s="2797"/>
      <c r="Y77" s="2891"/>
      <c r="Z77" s="2889"/>
      <c r="AA77" s="2889"/>
      <c r="AB77" s="2889"/>
      <c r="AC77" s="2889"/>
      <c r="AD77" s="2889"/>
      <c r="AE77" s="2889"/>
      <c r="AF77" s="2889"/>
      <c r="AG77" s="2889"/>
      <c r="AH77" s="2889"/>
      <c r="AI77" s="2889"/>
      <c r="AJ77" s="2889"/>
      <c r="AK77" s="2889"/>
      <c r="AL77" s="2889"/>
      <c r="AM77" s="2889"/>
      <c r="AN77" s="2889"/>
      <c r="AO77" s="2889"/>
      <c r="AP77" s="2889"/>
      <c r="AQ77" s="2889"/>
      <c r="AR77" s="2889"/>
      <c r="AS77" s="2889"/>
      <c r="AT77" s="2889"/>
      <c r="AU77" s="2889"/>
      <c r="AV77" s="2889"/>
      <c r="AW77" s="2889"/>
      <c r="AX77" s="2889"/>
      <c r="AY77" s="2889"/>
      <c r="AZ77" s="2889"/>
      <c r="BA77" s="2889"/>
      <c r="BB77" s="2889"/>
      <c r="BC77" s="2889"/>
      <c r="BD77" s="2889"/>
      <c r="BE77" s="2889"/>
      <c r="BF77" s="2889"/>
      <c r="BG77" s="2889"/>
      <c r="BH77" s="2889"/>
      <c r="BI77" s="2889"/>
      <c r="BJ77" s="2889"/>
      <c r="BK77" s="2889"/>
      <c r="BL77" s="2889"/>
      <c r="BM77" s="2889"/>
      <c r="BN77" s="2889"/>
      <c r="BO77" s="2889"/>
      <c r="BP77" s="2889"/>
      <c r="BQ77" s="2889"/>
      <c r="BR77" s="2889"/>
      <c r="BS77" s="2889"/>
      <c r="BT77" s="2889"/>
      <c r="BU77" s="2890"/>
      <c r="BV77" s="2312"/>
      <c r="BW77" s="2309"/>
      <c r="BX77" s="2796"/>
      <c r="BY77" s="2797"/>
      <c r="BZ77" s="2797"/>
      <c r="CA77" s="2797"/>
      <c r="CB77" s="2797"/>
      <c r="CC77" s="2797"/>
      <c r="CD77" s="2797"/>
      <c r="CE77" s="2797"/>
      <c r="CF77" s="2797"/>
      <c r="CG77" s="2798"/>
      <c r="CH77" s="2821"/>
      <c r="CI77" s="2822"/>
      <c r="CJ77" s="2822"/>
      <c r="CK77" s="2822"/>
      <c r="CL77" s="2822"/>
      <c r="CM77" s="2822"/>
      <c r="CN77" s="2822"/>
      <c r="CO77" s="2822"/>
      <c r="CP77" s="2822"/>
      <c r="CQ77" s="2822"/>
      <c r="CR77" s="2822"/>
      <c r="CS77" s="2822"/>
      <c r="CT77" s="2822"/>
      <c r="CU77" s="2822"/>
      <c r="CV77" s="2822"/>
      <c r="CW77" s="2822"/>
      <c r="CX77" s="2822"/>
      <c r="CY77" s="2822"/>
      <c r="CZ77" s="2822"/>
      <c r="DA77" s="2822"/>
      <c r="DB77" s="2822"/>
      <c r="DC77" s="2822"/>
      <c r="DD77" s="2822"/>
      <c r="DE77" s="2822"/>
      <c r="DF77" s="2822"/>
      <c r="DG77" s="2822"/>
      <c r="DH77" s="2822"/>
      <c r="DI77" s="2822"/>
      <c r="DJ77" s="2822"/>
      <c r="DK77" s="2822"/>
      <c r="DL77" s="2822"/>
      <c r="DM77" s="2822"/>
      <c r="DN77" s="2822"/>
      <c r="DO77" s="2822"/>
      <c r="DP77" s="2822"/>
      <c r="DQ77" s="2822"/>
      <c r="DR77" s="2822"/>
      <c r="DS77" s="2822"/>
      <c r="DT77" s="2822"/>
      <c r="DU77" s="2822"/>
      <c r="DV77" s="2822"/>
      <c r="DW77" s="2822"/>
      <c r="DX77" s="2822"/>
      <c r="DY77" s="2822"/>
      <c r="DZ77" s="2822"/>
      <c r="EA77" s="2822"/>
      <c r="EB77" s="2822"/>
      <c r="EC77" s="2822"/>
      <c r="ED77" s="2822"/>
      <c r="EE77" s="2822"/>
      <c r="EF77" s="2822"/>
      <c r="EG77" s="2822"/>
      <c r="EH77" s="2822"/>
      <c r="EI77" s="2822"/>
      <c r="EJ77" s="2822"/>
      <c r="EK77" s="2822"/>
      <c r="EL77" s="2822"/>
      <c r="EM77" s="2822"/>
      <c r="EN77" s="2822"/>
      <c r="EO77" s="2822"/>
      <c r="EP77" s="2823"/>
      <c r="EQ77" s="2312"/>
      <c r="ER77" s="2309"/>
      <c r="ES77" s="2796"/>
      <c r="ET77" s="2797"/>
      <c r="EU77" s="2797"/>
      <c r="EV77" s="2797"/>
      <c r="EW77" s="2797"/>
      <c r="EX77" s="2797"/>
      <c r="EY77" s="2797"/>
      <c r="EZ77" s="2797"/>
      <c r="FA77" s="2797"/>
      <c r="FB77" s="2797"/>
      <c r="FC77" s="2797"/>
      <c r="FD77" s="2797"/>
      <c r="FE77" s="2797"/>
      <c r="FF77" s="2797"/>
      <c r="FG77" s="2797"/>
      <c r="FH77" s="2797"/>
      <c r="FI77" s="2797"/>
      <c r="FJ77" s="2797"/>
      <c r="FK77" s="2797"/>
      <c r="FL77" s="2797"/>
      <c r="FM77" s="2797"/>
      <c r="FN77" s="2797"/>
      <c r="FO77" s="2797"/>
      <c r="FP77" s="2797"/>
      <c r="FQ77" s="2797"/>
      <c r="FR77" s="2797"/>
      <c r="FS77" s="2797"/>
      <c r="FT77" s="2797"/>
      <c r="FU77" s="2797"/>
      <c r="FV77" s="2797"/>
      <c r="FW77" s="2797"/>
      <c r="FX77" s="2797"/>
      <c r="FY77" s="2797"/>
      <c r="FZ77" s="2798"/>
      <c r="GA77" s="918"/>
      <c r="GB77" s="918"/>
      <c r="GC77" s="2931"/>
      <c r="GD77" s="2932"/>
      <c r="GE77" s="2932"/>
      <c r="GF77" s="2932"/>
      <c r="GG77" s="2932"/>
      <c r="GH77" s="2932"/>
      <c r="GI77" s="2932"/>
      <c r="GJ77" s="2932"/>
      <c r="GK77" s="2932"/>
      <c r="GL77" s="2932"/>
      <c r="GM77" s="2932"/>
      <c r="GN77" s="2932"/>
      <c r="GO77" s="2932"/>
      <c r="GP77" s="2932"/>
      <c r="GQ77" s="2932"/>
      <c r="GR77" s="2932"/>
      <c r="GS77" s="2932"/>
      <c r="GT77" s="2932"/>
      <c r="GU77" s="2932"/>
      <c r="GV77" s="2932"/>
      <c r="GW77" s="2932"/>
      <c r="GX77" s="2932"/>
      <c r="GY77" s="2932"/>
      <c r="GZ77" s="2932"/>
      <c r="HA77" s="2932"/>
      <c r="HB77" s="2932"/>
      <c r="HC77" s="2932"/>
      <c r="HD77" s="2932"/>
      <c r="HE77" s="2932"/>
      <c r="HF77" s="2932"/>
      <c r="HG77" s="2932"/>
      <c r="HH77" s="2932"/>
      <c r="HI77" s="2932"/>
      <c r="HJ77" s="2933"/>
      <c r="HL77" s="2312"/>
    </row>
    <row r="78" spans="2:220" ht="7.5" customHeight="1" thickBot="1">
      <c r="B78" s="2309"/>
      <c r="C78" s="2797"/>
      <c r="D78" s="2797"/>
      <c r="E78" s="2797"/>
      <c r="F78" s="2797"/>
      <c r="G78" s="2797"/>
      <c r="H78" s="2797"/>
      <c r="I78" s="2797"/>
      <c r="J78" s="2797"/>
      <c r="K78" s="2797"/>
      <c r="L78" s="2797"/>
      <c r="M78" s="2797"/>
      <c r="N78" s="2797"/>
      <c r="O78" s="2797"/>
      <c r="P78" s="2797"/>
      <c r="Q78" s="2797"/>
      <c r="R78" s="2797"/>
      <c r="S78" s="2797"/>
      <c r="T78" s="2797"/>
      <c r="U78" s="2797"/>
      <c r="V78" s="2797"/>
      <c r="W78" s="2797"/>
      <c r="Y78" s="2891"/>
      <c r="Z78" s="2889"/>
      <c r="AA78" s="2889"/>
      <c r="AB78" s="2889"/>
      <c r="AC78" s="2889"/>
      <c r="AD78" s="2889"/>
      <c r="AE78" s="2889"/>
      <c r="AF78" s="2889"/>
      <c r="AG78" s="2889"/>
      <c r="AH78" s="2889"/>
      <c r="AI78" s="2889"/>
      <c r="AJ78" s="2889"/>
      <c r="AK78" s="2889"/>
      <c r="AL78" s="2889"/>
      <c r="AM78" s="2889"/>
      <c r="AN78" s="2889"/>
      <c r="AO78" s="2889"/>
      <c r="AP78" s="2889"/>
      <c r="AQ78" s="2889"/>
      <c r="AR78" s="2889"/>
      <c r="AS78" s="2889"/>
      <c r="AT78" s="2889"/>
      <c r="AU78" s="2889"/>
      <c r="AV78" s="2889"/>
      <c r="AW78" s="2889"/>
      <c r="AX78" s="2889"/>
      <c r="AY78" s="2889"/>
      <c r="AZ78" s="2889"/>
      <c r="BA78" s="2889"/>
      <c r="BB78" s="2889"/>
      <c r="BC78" s="2889"/>
      <c r="BD78" s="2889"/>
      <c r="BE78" s="2889"/>
      <c r="BF78" s="2889"/>
      <c r="BG78" s="2889"/>
      <c r="BH78" s="2889"/>
      <c r="BI78" s="2889"/>
      <c r="BJ78" s="2889"/>
      <c r="BK78" s="2889"/>
      <c r="BL78" s="2889"/>
      <c r="BM78" s="2889"/>
      <c r="BN78" s="2889"/>
      <c r="BO78" s="2889"/>
      <c r="BP78" s="2889"/>
      <c r="BQ78" s="2889"/>
      <c r="BR78" s="2889"/>
      <c r="BS78" s="2889"/>
      <c r="BT78" s="2889"/>
      <c r="BU78" s="2890"/>
      <c r="BV78" s="2312"/>
      <c r="BW78" s="2309"/>
      <c r="BX78" s="2796"/>
      <c r="BY78" s="2797"/>
      <c r="BZ78" s="2797"/>
      <c r="CA78" s="2797"/>
      <c r="CB78" s="2797"/>
      <c r="CC78" s="2797"/>
      <c r="CD78" s="2797"/>
      <c r="CE78" s="2797"/>
      <c r="CF78" s="2797"/>
      <c r="CG78" s="2798"/>
      <c r="CH78" s="2821"/>
      <c r="CI78" s="2822"/>
      <c r="CJ78" s="2822"/>
      <c r="CK78" s="2822"/>
      <c r="CL78" s="2822"/>
      <c r="CM78" s="2822"/>
      <c r="CN78" s="2822"/>
      <c r="CO78" s="2822"/>
      <c r="CP78" s="2822"/>
      <c r="CQ78" s="2822"/>
      <c r="CR78" s="2822"/>
      <c r="CS78" s="2822"/>
      <c r="CT78" s="2822"/>
      <c r="CU78" s="2822"/>
      <c r="CV78" s="2822"/>
      <c r="CW78" s="2822"/>
      <c r="CX78" s="2822"/>
      <c r="CY78" s="2822"/>
      <c r="CZ78" s="2822"/>
      <c r="DA78" s="2822"/>
      <c r="DB78" s="2822"/>
      <c r="DC78" s="2822"/>
      <c r="DD78" s="2822"/>
      <c r="DE78" s="2822"/>
      <c r="DF78" s="2822"/>
      <c r="DG78" s="2822"/>
      <c r="DH78" s="2822"/>
      <c r="DI78" s="2822"/>
      <c r="DJ78" s="2822"/>
      <c r="DK78" s="2822"/>
      <c r="DL78" s="2822"/>
      <c r="DM78" s="2822"/>
      <c r="DN78" s="2822"/>
      <c r="DO78" s="2822"/>
      <c r="DP78" s="2822"/>
      <c r="DQ78" s="2822"/>
      <c r="DR78" s="2822"/>
      <c r="DS78" s="2822"/>
      <c r="DT78" s="2822"/>
      <c r="DU78" s="2822"/>
      <c r="DV78" s="2822"/>
      <c r="DW78" s="2822"/>
      <c r="DX78" s="2822"/>
      <c r="DY78" s="2822"/>
      <c r="DZ78" s="2822"/>
      <c r="EA78" s="2822"/>
      <c r="EB78" s="2822"/>
      <c r="EC78" s="2822"/>
      <c r="ED78" s="2822"/>
      <c r="EE78" s="2822"/>
      <c r="EF78" s="2822"/>
      <c r="EG78" s="2822"/>
      <c r="EH78" s="2822"/>
      <c r="EI78" s="2822"/>
      <c r="EJ78" s="2822"/>
      <c r="EK78" s="2822"/>
      <c r="EL78" s="2822"/>
      <c r="EM78" s="2822"/>
      <c r="EN78" s="2822"/>
      <c r="EO78" s="2822"/>
      <c r="EP78" s="2823"/>
      <c r="EQ78" s="2312"/>
      <c r="ER78" s="2309"/>
      <c r="ES78" s="2934" t="e">
        <f>#REF!</f>
        <v>#REF!</v>
      </c>
      <c r="ET78" s="2935"/>
      <c r="EU78" s="2935"/>
      <c r="EV78" s="2935"/>
      <c r="EW78" s="2935"/>
      <c r="EX78" s="2935"/>
      <c r="EY78" s="2935"/>
      <c r="EZ78" s="2935"/>
      <c r="FA78" s="2935"/>
      <c r="FB78" s="2935"/>
      <c r="FC78" s="2935"/>
      <c r="FD78" s="2935"/>
      <c r="FE78" s="2935"/>
      <c r="FF78" s="2935"/>
      <c r="FG78" s="2935"/>
      <c r="FH78" s="2935"/>
      <c r="FI78" s="2935"/>
      <c r="FJ78" s="2935"/>
      <c r="FK78" s="2935"/>
      <c r="FL78" s="2935"/>
      <c r="FM78" s="2935"/>
      <c r="FN78" s="2935"/>
      <c r="FO78" s="2935"/>
      <c r="FP78" s="2935"/>
      <c r="FQ78" s="2935"/>
      <c r="FR78" s="2935"/>
      <c r="FS78" s="2935"/>
      <c r="FT78" s="2936"/>
      <c r="FU78" s="2936"/>
      <c r="FV78" s="2936"/>
      <c r="FW78" s="2936"/>
      <c r="FX78" s="2936"/>
      <c r="FY78" s="2936"/>
      <c r="FZ78" s="2937"/>
      <c r="GA78" s="2343"/>
      <c r="GB78" s="2343"/>
      <c r="GC78" s="2344"/>
      <c r="GD78" s="2345"/>
      <c r="GE78" s="2345"/>
      <c r="GF78" s="2345"/>
      <c r="GG78" s="2345"/>
      <c r="GH78" s="2345"/>
      <c r="GI78" s="2345"/>
      <c r="GJ78" s="2345"/>
      <c r="GK78" s="2345"/>
      <c r="GL78" s="2345"/>
      <c r="GM78" s="2345"/>
      <c r="GN78" s="2345"/>
      <c r="GO78" s="2345"/>
      <c r="GP78" s="2345"/>
      <c r="GQ78" s="2345"/>
      <c r="GR78" s="2345"/>
      <c r="GS78" s="2345"/>
      <c r="GT78" s="2345"/>
      <c r="GU78" s="2345"/>
      <c r="GV78" s="2345"/>
      <c r="GW78" s="2345"/>
      <c r="GX78" s="2345"/>
      <c r="GY78" s="2345"/>
      <c r="GZ78" s="2345"/>
      <c r="HA78" s="2345"/>
      <c r="HB78" s="2345"/>
      <c r="HC78" s="2345"/>
      <c r="HD78" s="2345"/>
      <c r="HE78" s="2345"/>
      <c r="HF78" s="2345"/>
      <c r="HG78" s="2346"/>
      <c r="HH78" s="2346"/>
      <c r="HI78" s="2346"/>
      <c r="HJ78" s="2347"/>
      <c r="HL78" s="2312"/>
    </row>
    <row r="79" spans="2:220" ht="7.5" customHeight="1">
      <c r="B79" s="2309"/>
      <c r="C79" s="2940"/>
      <c r="D79" s="2941"/>
      <c r="E79" s="2941"/>
      <c r="F79" s="2941"/>
      <c r="G79" s="2941"/>
      <c r="H79" s="2941"/>
      <c r="I79" s="2941"/>
      <c r="J79" s="2941"/>
      <c r="K79" s="2941"/>
      <c r="L79" s="2941"/>
      <c r="M79" s="2941"/>
      <c r="N79" s="2941"/>
      <c r="O79" s="2941"/>
      <c r="P79" s="2941"/>
      <c r="Q79" s="2941"/>
      <c r="R79" s="2941"/>
      <c r="S79" s="2941"/>
      <c r="T79" s="2942"/>
      <c r="U79" s="2943"/>
      <c r="V79" s="2794"/>
      <c r="W79" s="2795"/>
      <c r="Y79" s="2892"/>
      <c r="Z79" s="2893"/>
      <c r="AA79" s="2893"/>
      <c r="AB79" s="2893"/>
      <c r="AC79" s="2893"/>
      <c r="AD79" s="2893"/>
      <c r="AE79" s="2893"/>
      <c r="AF79" s="2893"/>
      <c r="AG79" s="2893"/>
      <c r="AH79" s="2893"/>
      <c r="AI79" s="2893"/>
      <c r="AJ79" s="2893"/>
      <c r="AK79" s="2893"/>
      <c r="AL79" s="2893"/>
      <c r="AM79" s="2893"/>
      <c r="AN79" s="2893"/>
      <c r="AO79" s="2893"/>
      <c r="AP79" s="2893"/>
      <c r="AQ79" s="2893"/>
      <c r="AR79" s="2893"/>
      <c r="AS79" s="2893"/>
      <c r="AT79" s="2893"/>
      <c r="AU79" s="2893"/>
      <c r="AV79" s="2893"/>
      <c r="AW79" s="2893"/>
      <c r="AX79" s="2893"/>
      <c r="AY79" s="2893"/>
      <c r="AZ79" s="2893"/>
      <c r="BA79" s="2893"/>
      <c r="BB79" s="2893"/>
      <c r="BC79" s="2893"/>
      <c r="BD79" s="2893"/>
      <c r="BE79" s="2893"/>
      <c r="BF79" s="2893"/>
      <c r="BG79" s="2893"/>
      <c r="BH79" s="2893"/>
      <c r="BI79" s="2893"/>
      <c r="BJ79" s="2893"/>
      <c r="BK79" s="2893"/>
      <c r="BL79" s="2893"/>
      <c r="BM79" s="2893"/>
      <c r="BN79" s="2893"/>
      <c r="BO79" s="2893"/>
      <c r="BP79" s="2893"/>
      <c r="BQ79" s="2893"/>
      <c r="BR79" s="2893"/>
      <c r="BS79" s="2893"/>
      <c r="BT79" s="2893"/>
      <c r="BU79" s="2894"/>
      <c r="BV79" s="2312"/>
      <c r="BW79" s="2309"/>
      <c r="BX79" s="2799"/>
      <c r="BY79" s="2800"/>
      <c r="BZ79" s="2800"/>
      <c r="CA79" s="2800"/>
      <c r="CB79" s="2800"/>
      <c r="CC79" s="2800"/>
      <c r="CD79" s="2800"/>
      <c r="CE79" s="2800"/>
      <c r="CF79" s="2800"/>
      <c r="CG79" s="2801"/>
      <c r="CH79" s="2824"/>
      <c r="CI79" s="2825"/>
      <c r="CJ79" s="2825"/>
      <c r="CK79" s="2825"/>
      <c r="CL79" s="2825"/>
      <c r="CM79" s="2825"/>
      <c r="CN79" s="2825"/>
      <c r="CO79" s="2825"/>
      <c r="CP79" s="2825"/>
      <c r="CQ79" s="2825"/>
      <c r="CR79" s="2825"/>
      <c r="CS79" s="2825"/>
      <c r="CT79" s="2825"/>
      <c r="CU79" s="2825"/>
      <c r="CV79" s="2825"/>
      <c r="CW79" s="2825"/>
      <c r="CX79" s="2825"/>
      <c r="CY79" s="2825"/>
      <c r="CZ79" s="2825"/>
      <c r="DA79" s="2825"/>
      <c r="DB79" s="2825"/>
      <c r="DC79" s="2825"/>
      <c r="DD79" s="2825"/>
      <c r="DE79" s="2825"/>
      <c r="DF79" s="2825"/>
      <c r="DG79" s="2825"/>
      <c r="DH79" s="2825"/>
      <c r="DI79" s="2825"/>
      <c r="DJ79" s="2825"/>
      <c r="DK79" s="2825"/>
      <c r="DL79" s="2825"/>
      <c r="DM79" s="2825"/>
      <c r="DN79" s="2825"/>
      <c r="DO79" s="2825"/>
      <c r="DP79" s="2825"/>
      <c r="DQ79" s="2825"/>
      <c r="DR79" s="2825"/>
      <c r="DS79" s="2825"/>
      <c r="DT79" s="2825"/>
      <c r="DU79" s="2825"/>
      <c r="DV79" s="2825"/>
      <c r="DW79" s="2825"/>
      <c r="DX79" s="2825"/>
      <c r="DY79" s="2825"/>
      <c r="DZ79" s="2825"/>
      <c r="EA79" s="2825"/>
      <c r="EB79" s="2825"/>
      <c r="EC79" s="2825"/>
      <c r="ED79" s="2825"/>
      <c r="EE79" s="2825"/>
      <c r="EF79" s="2825"/>
      <c r="EG79" s="2825"/>
      <c r="EH79" s="2825"/>
      <c r="EI79" s="2825"/>
      <c r="EJ79" s="2825"/>
      <c r="EK79" s="2825"/>
      <c r="EL79" s="2825"/>
      <c r="EM79" s="2825"/>
      <c r="EN79" s="2825"/>
      <c r="EO79" s="2825"/>
      <c r="EP79" s="2826"/>
      <c r="EQ79" s="2312"/>
      <c r="ER79" s="2309"/>
      <c r="ES79" s="2938"/>
      <c r="ET79" s="2939"/>
      <c r="EU79" s="2939"/>
      <c r="EV79" s="2939"/>
      <c r="EW79" s="2939"/>
      <c r="EX79" s="2939"/>
      <c r="EY79" s="2939"/>
      <c r="EZ79" s="2939"/>
      <c r="FA79" s="2939"/>
      <c r="FB79" s="2939"/>
      <c r="FC79" s="2939"/>
      <c r="FD79" s="2939"/>
      <c r="FE79" s="2939"/>
      <c r="FF79" s="2939"/>
      <c r="FG79" s="2939"/>
      <c r="FH79" s="2939"/>
      <c r="FI79" s="2939"/>
      <c r="FJ79" s="2939"/>
      <c r="FK79" s="2939"/>
      <c r="FL79" s="2939"/>
      <c r="FM79" s="2939"/>
      <c r="FN79" s="2939"/>
      <c r="FO79" s="2939"/>
      <c r="FP79" s="2939"/>
      <c r="FQ79" s="2939"/>
      <c r="FR79" s="2939"/>
      <c r="FS79" s="2939"/>
      <c r="FT79" s="2850"/>
      <c r="FU79" s="2850"/>
      <c r="FV79" s="2850"/>
      <c r="FW79" s="2850"/>
      <c r="FX79" s="2850"/>
      <c r="FY79" s="2850"/>
      <c r="FZ79" s="2851"/>
      <c r="GA79" s="2343"/>
      <c r="GB79" s="2343"/>
      <c r="GC79" s="2348"/>
      <c r="GD79" s="2349"/>
      <c r="GE79" s="2349"/>
      <c r="GF79" s="2349"/>
      <c r="GG79" s="2349"/>
      <c r="GH79" s="2349"/>
      <c r="GI79" s="2349"/>
      <c r="GJ79" s="2349"/>
      <c r="GK79" s="2349"/>
      <c r="GL79" s="2349"/>
      <c r="GM79" s="2349"/>
      <c r="GN79" s="2349"/>
      <c r="GO79" s="2349"/>
      <c r="GP79" s="2349"/>
      <c r="GQ79" s="2349"/>
      <c r="GR79" s="2349"/>
      <c r="GS79" s="2349"/>
      <c r="GT79" s="2349"/>
      <c r="GU79" s="2349"/>
      <c r="GV79" s="2349"/>
      <c r="GW79" s="2349"/>
      <c r="GX79" s="2349"/>
      <c r="GY79" s="2349"/>
      <c r="GZ79" s="2349"/>
      <c r="HA79" s="2349"/>
      <c r="HB79" s="2349"/>
      <c r="HC79" s="2349"/>
      <c r="HD79" s="2349"/>
      <c r="HE79" s="2349"/>
      <c r="HF79" s="2349"/>
      <c r="HG79" s="2350"/>
      <c r="HH79" s="2350"/>
      <c r="HI79" s="2350"/>
      <c r="HJ79" s="2351"/>
      <c r="HL79" s="2312"/>
    </row>
    <row r="80" spans="2:220" ht="7.5" customHeight="1">
      <c r="B80" s="2309"/>
      <c r="C80" s="2883"/>
      <c r="D80" s="2767"/>
      <c r="E80" s="2767"/>
      <c r="F80" s="2767"/>
      <c r="G80" s="2767"/>
      <c r="H80" s="2767"/>
      <c r="I80" s="2767"/>
      <c r="J80" s="2767"/>
      <c r="K80" s="2767"/>
      <c r="L80" s="2767"/>
      <c r="M80" s="2767"/>
      <c r="N80" s="2767"/>
      <c r="O80" s="2767"/>
      <c r="P80" s="2767"/>
      <c r="Q80" s="2767"/>
      <c r="R80" s="2767"/>
      <c r="S80" s="2767"/>
      <c r="T80" s="2884"/>
      <c r="U80" s="2796"/>
      <c r="V80" s="2797"/>
      <c r="W80" s="2798"/>
      <c r="Y80" s="2897"/>
      <c r="Z80" s="2898"/>
      <c r="AA80" s="2898"/>
      <c r="AB80" s="2898"/>
      <c r="AC80" s="2898"/>
      <c r="AD80" s="2898"/>
      <c r="AE80" s="2898"/>
      <c r="AF80" s="2898"/>
      <c r="AG80" s="2898"/>
      <c r="AH80" s="2898"/>
      <c r="AI80" s="2898"/>
      <c r="AJ80" s="2898"/>
      <c r="AK80" s="2898"/>
      <c r="AL80" s="2898"/>
      <c r="AM80" s="2898"/>
      <c r="AN80" s="2898"/>
      <c r="AO80" s="2898"/>
      <c r="AP80" s="2898"/>
      <c r="AQ80" s="2898"/>
      <c r="AR80" s="2898"/>
      <c r="AS80" s="2898"/>
      <c r="AT80" s="2898"/>
      <c r="AU80" s="2898"/>
      <c r="AV80" s="2898"/>
      <c r="AW80" s="2898"/>
      <c r="AX80" s="2898"/>
      <c r="AY80" s="2898"/>
      <c r="AZ80" s="2898"/>
      <c r="BA80" s="2898"/>
      <c r="BB80" s="2898"/>
      <c r="BC80" s="2898"/>
      <c r="BD80" s="2898"/>
      <c r="BE80" s="2898"/>
      <c r="BF80" s="2898"/>
      <c r="BG80" s="2898"/>
      <c r="BH80" s="2898"/>
      <c r="BI80" s="2898"/>
      <c r="BJ80" s="2898"/>
      <c r="BK80" s="2898"/>
      <c r="BL80" s="2898"/>
      <c r="BM80" s="2898"/>
      <c r="BN80" s="2898"/>
      <c r="BO80" s="2898"/>
      <c r="BP80" s="2898"/>
      <c r="BQ80" s="2898"/>
      <c r="BR80" s="2898"/>
      <c r="BS80" s="2898"/>
      <c r="BT80" s="2898"/>
      <c r="BU80" s="2899"/>
      <c r="BV80" s="2312"/>
      <c r="BW80" s="2309"/>
      <c r="EQ80" s="2312"/>
      <c r="ER80" s="2309"/>
      <c r="ES80" s="2849"/>
      <c r="ET80" s="2850"/>
      <c r="EU80" s="2850"/>
      <c r="EV80" s="2850"/>
      <c r="EW80" s="2850"/>
      <c r="EX80" s="2850"/>
      <c r="EY80" s="2850"/>
      <c r="EZ80" s="2850"/>
      <c r="FA80" s="2850"/>
      <c r="FB80" s="2850"/>
      <c r="FC80" s="2850"/>
      <c r="FD80" s="2850"/>
      <c r="FE80" s="2850"/>
      <c r="FF80" s="2850"/>
      <c r="FG80" s="2850"/>
      <c r="FH80" s="2850"/>
      <c r="FI80" s="2850"/>
      <c r="FJ80" s="2850"/>
      <c r="FK80" s="2850"/>
      <c r="FL80" s="2850"/>
      <c r="FM80" s="2850"/>
      <c r="FN80" s="2850"/>
      <c r="FO80" s="2850"/>
      <c r="FP80" s="2850"/>
      <c r="FQ80" s="2850"/>
      <c r="FR80" s="2850"/>
      <c r="FS80" s="2850"/>
      <c r="FT80" s="2850"/>
      <c r="FU80" s="2850"/>
      <c r="FV80" s="2850"/>
      <c r="FW80" s="2850"/>
      <c r="FX80" s="2850"/>
      <c r="FY80" s="2850"/>
      <c r="FZ80" s="2851"/>
      <c r="GA80" s="2343"/>
      <c r="GB80" s="2343"/>
      <c r="GC80" s="2348"/>
      <c r="GD80" s="2349"/>
      <c r="GE80" s="2349"/>
      <c r="GF80" s="2349"/>
      <c r="GG80" s="2349"/>
      <c r="GH80" s="2349"/>
      <c r="GI80" s="2349"/>
      <c r="GJ80" s="2349"/>
      <c r="GK80" s="2349"/>
      <c r="GL80" s="2349"/>
      <c r="GM80" s="2349"/>
      <c r="GN80" s="2349"/>
      <c r="GO80" s="2349"/>
      <c r="GP80" s="2349"/>
      <c r="GQ80" s="2349"/>
      <c r="GR80" s="2349"/>
      <c r="GS80" s="2349"/>
      <c r="GT80" s="2349"/>
      <c r="GU80" s="2349"/>
      <c r="GV80" s="2349"/>
      <c r="GW80" s="2349"/>
      <c r="GX80" s="2349"/>
      <c r="GY80" s="2349"/>
      <c r="GZ80" s="2349"/>
      <c r="HA80" s="2349"/>
      <c r="HB80" s="2349"/>
      <c r="HC80" s="2349"/>
      <c r="HD80" s="2349"/>
      <c r="HE80" s="2349"/>
      <c r="HF80" s="2349"/>
      <c r="HG80" s="2350"/>
      <c r="HH80" s="2350"/>
      <c r="HI80" s="2350"/>
      <c r="HJ80" s="2351"/>
      <c r="HL80" s="2312"/>
    </row>
    <row r="81" spans="2:220" ht="7.5" customHeight="1">
      <c r="B81" s="2309"/>
      <c r="C81" s="2885"/>
      <c r="D81" s="2768"/>
      <c r="E81" s="2768"/>
      <c r="F81" s="2768"/>
      <c r="G81" s="2768"/>
      <c r="H81" s="2768"/>
      <c r="I81" s="2768"/>
      <c r="J81" s="2768"/>
      <c r="K81" s="2768"/>
      <c r="L81" s="2768"/>
      <c r="M81" s="2768"/>
      <c r="N81" s="2768"/>
      <c r="O81" s="2768"/>
      <c r="P81" s="2768"/>
      <c r="Q81" s="2768"/>
      <c r="R81" s="2768"/>
      <c r="S81" s="2768"/>
      <c r="T81" s="2886"/>
      <c r="U81" s="2796"/>
      <c r="V81" s="2797"/>
      <c r="W81" s="2798"/>
      <c r="Y81" s="2891"/>
      <c r="Z81" s="2889"/>
      <c r="AA81" s="2889"/>
      <c r="AB81" s="2889"/>
      <c r="AC81" s="2889"/>
      <c r="AD81" s="2889"/>
      <c r="AE81" s="2889"/>
      <c r="AF81" s="2889"/>
      <c r="AG81" s="2889"/>
      <c r="AH81" s="2889"/>
      <c r="AI81" s="2889"/>
      <c r="AJ81" s="2889"/>
      <c r="AK81" s="2889"/>
      <c r="AL81" s="2889"/>
      <c r="AM81" s="2889"/>
      <c r="AN81" s="2889"/>
      <c r="AO81" s="2889"/>
      <c r="AP81" s="2889"/>
      <c r="AQ81" s="2889"/>
      <c r="AR81" s="2889"/>
      <c r="AS81" s="2889"/>
      <c r="AT81" s="2889"/>
      <c r="AU81" s="2889"/>
      <c r="AV81" s="2889"/>
      <c r="AW81" s="2889"/>
      <c r="AX81" s="2889"/>
      <c r="AY81" s="2889"/>
      <c r="AZ81" s="2889"/>
      <c r="BA81" s="2889"/>
      <c r="BB81" s="2889"/>
      <c r="BC81" s="2889"/>
      <c r="BD81" s="2889"/>
      <c r="BE81" s="2889"/>
      <c r="BF81" s="2889"/>
      <c r="BG81" s="2889"/>
      <c r="BH81" s="2889"/>
      <c r="BI81" s="2889"/>
      <c r="BJ81" s="2889"/>
      <c r="BK81" s="2889"/>
      <c r="BL81" s="2889"/>
      <c r="BM81" s="2889"/>
      <c r="BN81" s="2889"/>
      <c r="BO81" s="2889"/>
      <c r="BP81" s="2889"/>
      <c r="BQ81" s="2889"/>
      <c r="BR81" s="2889"/>
      <c r="BS81" s="2889"/>
      <c r="BT81" s="2889"/>
      <c r="BU81" s="2890"/>
      <c r="BV81" s="2312"/>
      <c r="BW81" s="2309"/>
      <c r="BX81" s="2793" t="s">
        <v>10358</v>
      </c>
      <c r="BY81" s="2794"/>
      <c r="BZ81" s="2794"/>
      <c r="CA81" s="2794"/>
      <c r="CB81" s="2794"/>
      <c r="CC81" s="2794"/>
      <c r="CD81" s="2794"/>
      <c r="CE81" s="2794"/>
      <c r="CF81" s="2794"/>
      <c r="CG81" s="2795"/>
      <c r="CH81" s="2802" t="e">
        <f>#REF!</f>
        <v>#REF!</v>
      </c>
      <c r="CI81" s="2803"/>
      <c r="CJ81" s="2803"/>
      <c r="CK81" s="2803"/>
      <c r="CL81" s="2803"/>
      <c r="CM81" s="2803"/>
      <c r="CN81" s="2803"/>
      <c r="CO81" s="2803"/>
      <c r="CP81" s="2803"/>
      <c r="CQ81" s="2803"/>
      <c r="CR81" s="2803"/>
      <c r="CS81" s="2803"/>
      <c r="CT81" s="2803"/>
      <c r="CU81" s="2803"/>
      <c r="CV81" s="2803"/>
      <c r="CW81" s="2803"/>
      <c r="CX81" s="2803"/>
      <c r="CY81" s="2803"/>
      <c r="CZ81" s="2803"/>
      <c r="DA81" s="2803"/>
      <c r="DB81" s="2803"/>
      <c r="DC81" s="2803"/>
      <c r="DD81" s="2803"/>
      <c r="DE81" s="2803"/>
      <c r="DF81" s="2803"/>
      <c r="DG81" s="2803"/>
      <c r="DH81" s="2803"/>
      <c r="DI81" s="2803"/>
      <c r="DJ81" s="2803"/>
      <c r="DK81" s="2803"/>
      <c r="DL81" s="2803"/>
      <c r="DM81" s="2803"/>
      <c r="DN81" s="2803"/>
      <c r="DO81" s="2803"/>
      <c r="DP81" s="2803"/>
      <c r="DQ81" s="2803"/>
      <c r="DR81" s="2803"/>
      <c r="DS81" s="2803"/>
      <c r="DT81" s="2803"/>
      <c r="DU81" s="2803"/>
      <c r="DV81" s="2803"/>
      <c r="DW81" s="2803"/>
      <c r="DX81" s="2803"/>
      <c r="DY81" s="2803"/>
      <c r="DZ81" s="2803"/>
      <c r="EA81" s="2803"/>
      <c r="EB81" s="2803"/>
      <c r="EC81" s="2803"/>
      <c r="ED81" s="2803"/>
      <c r="EE81" s="2803"/>
      <c r="EF81" s="2803"/>
      <c r="EG81" s="2803"/>
      <c r="EH81" s="2803"/>
      <c r="EI81" s="2803"/>
      <c r="EJ81" s="2803"/>
      <c r="EK81" s="2803"/>
      <c r="EL81" s="2803"/>
      <c r="EM81" s="2803"/>
      <c r="EN81" s="2803"/>
      <c r="EO81" s="2803"/>
      <c r="EP81" s="2804"/>
      <c r="EQ81" s="2312"/>
      <c r="ER81" s="2309"/>
      <c r="ES81" s="2849"/>
      <c r="ET81" s="2850"/>
      <c r="EU81" s="2850"/>
      <c r="EV81" s="2850"/>
      <c r="EW81" s="2850"/>
      <c r="EX81" s="2850"/>
      <c r="EY81" s="2850"/>
      <c r="EZ81" s="2850"/>
      <c r="FA81" s="2850"/>
      <c r="FB81" s="2850"/>
      <c r="FC81" s="2850"/>
      <c r="FD81" s="2850"/>
      <c r="FE81" s="2850"/>
      <c r="FF81" s="2850"/>
      <c r="FG81" s="2850"/>
      <c r="FH81" s="2850"/>
      <c r="FI81" s="2850"/>
      <c r="FJ81" s="2850"/>
      <c r="FK81" s="2850"/>
      <c r="FL81" s="2850"/>
      <c r="FM81" s="2850"/>
      <c r="FN81" s="2850"/>
      <c r="FO81" s="2850"/>
      <c r="FP81" s="2850"/>
      <c r="FQ81" s="2850"/>
      <c r="FR81" s="2850"/>
      <c r="FS81" s="2850"/>
      <c r="FT81" s="2850"/>
      <c r="FU81" s="2850"/>
      <c r="FV81" s="2850"/>
      <c r="FW81" s="2850"/>
      <c r="FX81" s="2850"/>
      <c r="FY81" s="2850"/>
      <c r="FZ81" s="2851"/>
      <c r="GA81" s="2343"/>
      <c r="GB81" s="2343"/>
      <c r="GC81" s="2348"/>
      <c r="GD81" s="2349"/>
      <c r="GE81" s="2349"/>
      <c r="GF81" s="2349"/>
      <c r="GG81" s="2349"/>
      <c r="GH81" s="2349"/>
      <c r="GI81" s="2349"/>
      <c r="GJ81" s="2349"/>
      <c r="GK81" s="2349"/>
      <c r="GL81" s="2349"/>
      <c r="GM81" s="2349"/>
      <c r="GN81" s="2349"/>
      <c r="GO81" s="2349"/>
      <c r="GP81" s="2349"/>
      <c r="GQ81" s="2349"/>
      <c r="GR81" s="2349"/>
      <c r="GS81" s="2349"/>
      <c r="GT81" s="2349"/>
      <c r="GU81" s="2349"/>
      <c r="GV81" s="2349"/>
      <c r="GW81" s="2349"/>
      <c r="GX81" s="2349"/>
      <c r="GY81" s="2349"/>
      <c r="GZ81" s="2349"/>
      <c r="HA81" s="2349"/>
      <c r="HB81" s="2349"/>
      <c r="HC81" s="2349"/>
      <c r="HD81" s="2349"/>
      <c r="HE81" s="2349"/>
      <c r="HF81" s="2349"/>
      <c r="HG81" s="2350"/>
      <c r="HH81" s="2350"/>
      <c r="HI81" s="2350"/>
      <c r="HJ81" s="2351"/>
      <c r="HL81" s="2312"/>
    </row>
    <row r="82" spans="2:220" ht="7.5" customHeight="1">
      <c r="B82" s="2309"/>
      <c r="C82" s="2881"/>
      <c r="D82" s="2845"/>
      <c r="E82" s="2845"/>
      <c r="F82" s="2845"/>
      <c r="G82" s="2845"/>
      <c r="H82" s="2845"/>
      <c r="I82" s="2845"/>
      <c r="J82" s="2845"/>
      <c r="K82" s="2845"/>
      <c r="L82" s="2845"/>
      <c r="M82" s="2845"/>
      <c r="N82" s="2845"/>
      <c r="O82" s="2845"/>
      <c r="P82" s="2845"/>
      <c r="Q82" s="2845"/>
      <c r="R82" s="2845"/>
      <c r="S82" s="2845"/>
      <c r="T82" s="2882"/>
      <c r="U82" s="2796"/>
      <c r="V82" s="2797"/>
      <c r="W82" s="2798"/>
      <c r="Y82" s="2891"/>
      <c r="Z82" s="2889"/>
      <c r="AA82" s="2889"/>
      <c r="AB82" s="2889"/>
      <c r="AC82" s="2889"/>
      <c r="AD82" s="2889"/>
      <c r="AE82" s="2889"/>
      <c r="AF82" s="2889"/>
      <c r="AG82" s="2889"/>
      <c r="AH82" s="2889"/>
      <c r="AI82" s="2889"/>
      <c r="AJ82" s="2889"/>
      <c r="AK82" s="2889"/>
      <c r="AL82" s="2889"/>
      <c r="AM82" s="2889"/>
      <c r="AN82" s="2889"/>
      <c r="AO82" s="2889"/>
      <c r="AP82" s="2889"/>
      <c r="AQ82" s="2889"/>
      <c r="AR82" s="2889"/>
      <c r="AS82" s="2889"/>
      <c r="AT82" s="2889"/>
      <c r="AU82" s="2889"/>
      <c r="AV82" s="2889"/>
      <c r="AW82" s="2889"/>
      <c r="AX82" s="2889"/>
      <c r="AY82" s="2889"/>
      <c r="AZ82" s="2889"/>
      <c r="BA82" s="2889"/>
      <c r="BB82" s="2889"/>
      <c r="BC82" s="2889"/>
      <c r="BD82" s="2889"/>
      <c r="BE82" s="2889"/>
      <c r="BF82" s="2889"/>
      <c r="BG82" s="2889"/>
      <c r="BH82" s="2889"/>
      <c r="BI82" s="2889"/>
      <c r="BJ82" s="2889"/>
      <c r="BK82" s="2889"/>
      <c r="BL82" s="2889"/>
      <c r="BM82" s="2889"/>
      <c r="BN82" s="2889"/>
      <c r="BO82" s="2889"/>
      <c r="BP82" s="2889"/>
      <c r="BQ82" s="2889"/>
      <c r="BR82" s="2889"/>
      <c r="BS82" s="2889"/>
      <c r="BT82" s="2889"/>
      <c r="BU82" s="2890"/>
      <c r="BV82" s="2312"/>
      <c r="BW82" s="2309"/>
      <c r="BX82" s="2796"/>
      <c r="BY82" s="2797"/>
      <c r="BZ82" s="2797"/>
      <c r="CA82" s="2797"/>
      <c r="CB82" s="2797"/>
      <c r="CC82" s="2797"/>
      <c r="CD82" s="2797"/>
      <c r="CE82" s="2797"/>
      <c r="CF82" s="2797"/>
      <c r="CG82" s="2798"/>
      <c r="CH82" s="2805"/>
      <c r="CI82" s="2806"/>
      <c r="CJ82" s="2806"/>
      <c r="CK82" s="2806"/>
      <c r="CL82" s="2806"/>
      <c r="CM82" s="2806"/>
      <c r="CN82" s="2806"/>
      <c r="CO82" s="2806"/>
      <c r="CP82" s="2806"/>
      <c r="CQ82" s="2806"/>
      <c r="CR82" s="2806"/>
      <c r="CS82" s="2806"/>
      <c r="CT82" s="2806"/>
      <c r="CU82" s="2806"/>
      <c r="CV82" s="2806"/>
      <c r="CW82" s="2806"/>
      <c r="CX82" s="2806"/>
      <c r="CY82" s="2806"/>
      <c r="CZ82" s="2806"/>
      <c r="DA82" s="2806"/>
      <c r="DB82" s="2806"/>
      <c r="DC82" s="2806"/>
      <c r="DD82" s="2806"/>
      <c r="DE82" s="2806"/>
      <c r="DF82" s="2806"/>
      <c r="DG82" s="2806"/>
      <c r="DH82" s="2806"/>
      <c r="DI82" s="2806"/>
      <c r="DJ82" s="2806"/>
      <c r="DK82" s="2806"/>
      <c r="DL82" s="2806"/>
      <c r="DM82" s="2806"/>
      <c r="DN82" s="2806"/>
      <c r="DO82" s="2806"/>
      <c r="DP82" s="2806"/>
      <c r="DQ82" s="2806"/>
      <c r="DR82" s="2806"/>
      <c r="DS82" s="2806"/>
      <c r="DT82" s="2806"/>
      <c r="DU82" s="2806"/>
      <c r="DV82" s="2806"/>
      <c r="DW82" s="2806"/>
      <c r="DX82" s="2806"/>
      <c r="DY82" s="2806"/>
      <c r="DZ82" s="2806"/>
      <c r="EA82" s="2806"/>
      <c r="EB82" s="2806"/>
      <c r="EC82" s="2806"/>
      <c r="ED82" s="2806"/>
      <c r="EE82" s="2806"/>
      <c r="EF82" s="2806"/>
      <c r="EG82" s="2806"/>
      <c r="EH82" s="2806"/>
      <c r="EI82" s="2806"/>
      <c r="EJ82" s="2806"/>
      <c r="EK82" s="2806"/>
      <c r="EL82" s="2806"/>
      <c r="EM82" s="2806"/>
      <c r="EN82" s="2806"/>
      <c r="EO82" s="2806"/>
      <c r="EP82" s="2807"/>
      <c r="EQ82" s="2312"/>
      <c r="ER82" s="2309"/>
      <c r="ES82" s="2849"/>
      <c r="ET82" s="2850"/>
      <c r="EU82" s="2850"/>
      <c r="EV82" s="2850"/>
      <c r="EW82" s="2850"/>
      <c r="EX82" s="2850"/>
      <c r="EY82" s="2850"/>
      <c r="EZ82" s="2850"/>
      <c r="FA82" s="2850"/>
      <c r="FB82" s="2850"/>
      <c r="FC82" s="2850"/>
      <c r="FD82" s="2850"/>
      <c r="FE82" s="2850"/>
      <c r="FF82" s="2850"/>
      <c r="FG82" s="2850"/>
      <c r="FH82" s="2850"/>
      <c r="FI82" s="2850"/>
      <c r="FJ82" s="2850"/>
      <c r="FK82" s="2850"/>
      <c r="FL82" s="2850"/>
      <c r="FM82" s="2850"/>
      <c r="FN82" s="2850"/>
      <c r="FO82" s="2850"/>
      <c r="FP82" s="2850"/>
      <c r="FQ82" s="2850"/>
      <c r="FR82" s="2850"/>
      <c r="FS82" s="2850"/>
      <c r="FT82" s="2850"/>
      <c r="FU82" s="2850"/>
      <c r="FV82" s="2850"/>
      <c r="FW82" s="2850"/>
      <c r="FX82" s="2850"/>
      <c r="FY82" s="2850"/>
      <c r="FZ82" s="2851"/>
      <c r="GA82" s="2343"/>
      <c r="GB82" s="2343"/>
      <c r="GC82" s="2348"/>
      <c r="GD82" s="2349"/>
      <c r="GE82" s="2349"/>
      <c r="GF82" s="2349"/>
      <c r="GG82" s="2349"/>
      <c r="GH82" s="2349"/>
      <c r="GI82" s="2349"/>
      <c r="GJ82" s="2349"/>
      <c r="GK82" s="2349"/>
      <c r="GL82" s="2349"/>
      <c r="GM82" s="2349"/>
      <c r="GN82" s="2349"/>
      <c r="GO82" s="2349"/>
      <c r="GP82" s="2349"/>
      <c r="GQ82" s="2349"/>
      <c r="GR82" s="2349"/>
      <c r="GS82" s="2349"/>
      <c r="GT82" s="2349"/>
      <c r="GU82" s="2349"/>
      <c r="GV82" s="2349"/>
      <c r="GW82" s="2349"/>
      <c r="GX82" s="2349"/>
      <c r="GY82" s="2349"/>
      <c r="GZ82" s="2349"/>
      <c r="HA82" s="2349"/>
      <c r="HB82" s="2349"/>
      <c r="HC82" s="2349"/>
      <c r="HD82" s="2349"/>
      <c r="HE82" s="2349"/>
      <c r="HF82" s="2349"/>
      <c r="HG82" s="2350"/>
      <c r="HH82" s="2350"/>
      <c r="HI82" s="2350"/>
      <c r="HJ82" s="2351"/>
      <c r="HL82" s="2312"/>
    </row>
    <row r="83" spans="2:220" ht="7.5" customHeight="1">
      <c r="B83" s="2309"/>
      <c r="C83" s="2883"/>
      <c r="D83" s="2767"/>
      <c r="E83" s="2767"/>
      <c r="F83" s="2767"/>
      <c r="G83" s="2767"/>
      <c r="H83" s="2767"/>
      <c r="I83" s="2767"/>
      <c r="J83" s="2767"/>
      <c r="K83" s="2767"/>
      <c r="L83" s="2767"/>
      <c r="M83" s="2767"/>
      <c r="N83" s="2767"/>
      <c r="O83" s="2767"/>
      <c r="P83" s="2767"/>
      <c r="Q83" s="2767"/>
      <c r="R83" s="2767"/>
      <c r="S83" s="2767"/>
      <c r="T83" s="2884"/>
      <c r="U83" s="2796"/>
      <c r="V83" s="2797"/>
      <c r="W83" s="2798"/>
      <c r="Y83" s="2892"/>
      <c r="Z83" s="2893"/>
      <c r="AA83" s="2893"/>
      <c r="AB83" s="2893"/>
      <c r="AC83" s="2893"/>
      <c r="AD83" s="2893"/>
      <c r="AE83" s="2893"/>
      <c r="AF83" s="2893"/>
      <c r="AG83" s="2893"/>
      <c r="AH83" s="2893"/>
      <c r="AI83" s="2893"/>
      <c r="AJ83" s="2893"/>
      <c r="AK83" s="2893"/>
      <c r="AL83" s="2893"/>
      <c r="AM83" s="2893"/>
      <c r="AN83" s="2893"/>
      <c r="AO83" s="2893"/>
      <c r="AP83" s="2893"/>
      <c r="AQ83" s="2893"/>
      <c r="AR83" s="2893"/>
      <c r="AS83" s="2893"/>
      <c r="AT83" s="2893"/>
      <c r="AU83" s="2893"/>
      <c r="AV83" s="2893"/>
      <c r="AW83" s="2893"/>
      <c r="AX83" s="2893"/>
      <c r="AY83" s="2893"/>
      <c r="AZ83" s="2893"/>
      <c r="BA83" s="2893"/>
      <c r="BB83" s="2893"/>
      <c r="BC83" s="2893"/>
      <c r="BD83" s="2893"/>
      <c r="BE83" s="2893"/>
      <c r="BF83" s="2893"/>
      <c r="BG83" s="2893"/>
      <c r="BH83" s="2893"/>
      <c r="BI83" s="2893"/>
      <c r="BJ83" s="2893"/>
      <c r="BK83" s="2893"/>
      <c r="BL83" s="2893"/>
      <c r="BM83" s="2893"/>
      <c r="BN83" s="2893"/>
      <c r="BO83" s="2893"/>
      <c r="BP83" s="2893"/>
      <c r="BQ83" s="2893"/>
      <c r="BR83" s="2893"/>
      <c r="BS83" s="2893"/>
      <c r="BT83" s="2893"/>
      <c r="BU83" s="2894"/>
      <c r="BV83" s="2312"/>
      <c r="BW83" s="2309"/>
      <c r="BX83" s="2796"/>
      <c r="BY83" s="2797"/>
      <c r="BZ83" s="2797"/>
      <c r="CA83" s="2797"/>
      <c r="CB83" s="2797"/>
      <c r="CC83" s="2797"/>
      <c r="CD83" s="2797"/>
      <c r="CE83" s="2797"/>
      <c r="CF83" s="2797"/>
      <c r="CG83" s="2798"/>
      <c r="CH83" s="2805"/>
      <c r="CI83" s="2806"/>
      <c r="CJ83" s="2806"/>
      <c r="CK83" s="2806"/>
      <c r="CL83" s="2806"/>
      <c r="CM83" s="2806"/>
      <c r="CN83" s="2806"/>
      <c r="CO83" s="2806"/>
      <c r="CP83" s="2806"/>
      <c r="CQ83" s="2806"/>
      <c r="CR83" s="2806"/>
      <c r="CS83" s="2806"/>
      <c r="CT83" s="2806"/>
      <c r="CU83" s="2806"/>
      <c r="CV83" s="2806"/>
      <c r="CW83" s="2806"/>
      <c r="CX83" s="2806"/>
      <c r="CY83" s="2806"/>
      <c r="CZ83" s="2806"/>
      <c r="DA83" s="2806"/>
      <c r="DB83" s="2806"/>
      <c r="DC83" s="2806"/>
      <c r="DD83" s="2806"/>
      <c r="DE83" s="2806"/>
      <c r="DF83" s="2806"/>
      <c r="DG83" s="2806"/>
      <c r="DH83" s="2806"/>
      <c r="DI83" s="2806"/>
      <c r="DJ83" s="2806"/>
      <c r="DK83" s="2806"/>
      <c r="DL83" s="2806"/>
      <c r="DM83" s="2806"/>
      <c r="DN83" s="2806"/>
      <c r="DO83" s="2806"/>
      <c r="DP83" s="2806"/>
      <c r="DQ83" s="2806"/>
      <c r="DR83" s="2806"/>
      <c r="DS83" s="2806"/>
      <c r="DT83" s="2806"/>
      <c r="DU83" s="2806"/>
      <c r="DV83" s="2806"/>
      <c r="DW83" s="2806"/>
      <c r="DX83" s="2806"/>
      <c r="DY83" s="2806"/>
      <c r="DZ83" s="2806"/>
      <c r="EA83" s="2806"/>
      <c r="EB83" s="2806"/>
      <c r="EC83" s="2806"/>
      <c r="ED83" s="2806"/>
      <c r="EE83" s="2806"/>
      <c r="EF83" s="2806"/>
      <c r="EG83" s="2806"/>
      <c r="EH83" s="2806"/>
      <c r="EI83" s="2806"/>
      <c r="EJ83" s="2806"/>
      <c r="EK83" s="2806"/>
      <c r="EL83" s="2806"/>
      <c r="EM83" s="2806"/>
      <c r="EN83" s="2806"/>
      <c r="EO83" s="2806"/>
      <c r="EP83" s="2807"/>
      <c r="EQ83" s="2312"/>
      <c r="ER83" s="2309"/>
      <c r="ES83" s="2849"/>
      <c r="ET83" s="2850"/>
      <c r="EU83" s="2850"/>
      <c r="EV83" s="2850"/>
      <c r="EW83" s="2850"/>
      <c r="EX83" s="2850"/>
      <c r="EY83" s="2850"/>
      <c r="EZ83" s="2850"/>
      <c r="FA83" s="2850"/>
      <c r="FB83" s="2850"/>
      <c r="FC83" s="2850"/>
      <c r="FD83" s="2850"/>
      <c r="FE83" s="2850"/>
      <c r="FF83" s="2850"/>
      <c r="FG83" s="2850"/>
      <c r="FH83" s="2850"/>
      <c r="FI83" s="2850"/>
      <c r="FJ83" s="2850"/>
      <c r="FK83" s="2850"/>
      <c r="FL83" s="2850"/>
      <c r="FM83" s="2850"/>
      <c r="FN83" s="2850"/>
      <c r="FO83" s="2850"/>
      <c r="FP83" s="2850"/>
      <c r="FQ83" s="2850"/>
      <c r="FR83" s="2850"/>
      <c r="FS83" s="2850"/>
      <c r="FT83" s="2850"/>
      <c r="FU83" s="2850"/>
      <c r="FV83" s="2850"/>
      <c r="FW83" s="2850"/>
      <c r="FX83" s="2850"/>
      <c r="FY83" s="2850"/>
      <c r="FZ83" s="2851"/>
      <c r="GA83" s="2343"/>
      <c r="GB83" s="2343"/>
      <c r="GC83" s="2348"/>
      <c r="GD83" s="2349"/>
      <c r="GE83" s="2349"/>
      <c r="GF83" s="2349"/>
      <c r="GG83" s="2349"/>
      <c r="GH83" s="2349"/>
      <c r="GI83" s="2349"/>
      <c r="GJ83" s="2349"/>
      <c r="GK83" s="2349"/>
      <c r="GL83" s="2349"/>
      <c r="GM83" s="2349"/>
      <c r="GN83" s="2349"/>
      <c r="GO83" s="2349"/>
      <c r="GP83" s="2349"/>
      <c r="GQ83" s="2349"/>
      <c r="GR83" s="2349"/>
      <c r="GS83" s="2349"/>
      <c r="GT83" s="2349"/>
      <c r="GU83" s="2349"/>
      <c r="GV83" s="2349"/>
      <c r="GW83" s="2349"/>
      <c r="GX83" s="2349"/>
      <c r="GY83" s="2349"/>
      <c r="GZ83" s="2349"/>
      <c r="HA83" s="2349"/>
      <c r="HB83" s="2349"/>
      <c r="HC83" s="2349"/>
      <c r="HD83" s="2349"/>
      <c r="HE83" s="2349"/>
      <c r="HF83" s="2349"/>
      <c r="HG83" s="2350"/>
      <c r="HH83" s="2350"/>
      <c r="HI83" s="2350"/>
      <c r="HJ83" s="2351"/>
      <c r="HL83" s="2312"/>
    </row>
    <row r="84" spans="2:220" ht="7.5" customHeight="1">
      <c r="B84" s="2309"/>
      <c r="C84" s="2883"/>
      <c r="D84" s="2767"/>
      <c r="E84" s="2767"/>
      <c r="F84" s="2767"/>
      <c r="G84" s="2767"/>
      <c r="H84" s="2767"/>
      <c r="I84" s="2767"/>
      <c r="J84" s="2767"/>
      <c r="K84" s="2767"/>
      <c r="L84" s="2767"/>
      <c r="M84" s="2767"/>
      <c r="N84" s="2767"/>
      <c r="O84" s="2767"/>
      <c r="P84" s="2767"/>
      <c r="Q84" s="2767"/>
      <c r="R84" s="2767"/>
      <c r="S84" s="2767"/>
      <c r="T84" s="2884"/>
      <c r="U84" s="2796"/>
      <c r="V84" s="2797"/>
      <c r="W84" s="2798"/>
      <c r="BV84" s="2312"/>
      <c r="BW84" s="2309"/>
      <c r="BX84" s="2799"/>
      <c r="BY84" s="2800"/>
      <c r="BZ84" s="2800"/>
      <c r="CA84" s="2800"/>
      <c r="CB84" s="2800"/>
      <c r="CC84" s="2800"/>
      <c r="CD84" s="2800"/>
      <c r="CE84" s="2800"/>
      <c r="CF84" s="2800"/>
      <c r="CG84" s="2801"/>
      <c r="CH84" s="2808"/>
      <c r="CI84" s="2809"/>
      <c r="CJ84" s="2809"/>
      <c r="CK84" s="2809"/>
      <c r="CL84" s="2809"/>
      <c r="CM84" s="2809"/>
      <c r="CN84" s="2809"/>
      <c r="CO84" s="2809"/>
      <c r="CP84" s="2809"/>
      <c r="CQ84" s="2809"/>
      <c r="CR84" s="2809"/>
      <c r="CS84" s="2809"/>
      <c r="CT84" s="2809"/>
      <c r="CU84" s="2809"/>
      <c r="CV84" s="2809"/>
      <c r="CW84" s="2809"/>
      <c r="CX84" s="2809"/>
      <c r="CY84" s="2809"/>
      <c r="CZ84" s="2809"/>
      <c r="DA84" s="2809"/>
      <c r="DB84" s="2809"/>
      <c r="DC84" s="2809"/>
      <c r="DD84" s="2809"/>
      <c r="DE84" s="2809"/>
      <c r="DF84" s="2809"/>
      <c r="DG84" s="2809"/>
      <c r="DH84" s="2809"/>
      <c r="DI84" s="2809"/>
      <c r="DJ84" s="2809"/>
      <c r="DK84" s="2809"/>
      <c r="DL84" s="2809"/>
      <c r="DM84" s="2809"/>
      <c r="DN84" s="2809"/>
      <c r="DO84" s="2809"/>
      <c r="DP84" s="2809"/>
      <c r="DQ84" s="2809"/>
      <c r="DR84" s="2809"/>
      <c r="DS84" s="2809"/>
      <c r="DT84" s="2809"/>
      <c r="DU84" s="2809"/>
      <c r="DV84" s="2809"/>
      <c r="DW84" s="2809"/>
      <c r="DX84" s="2809"/>
      <c r="DY84" s="2809"/>
      <c r="DZ84" s="2809"/>
      <c r="EA84" s="2809"/>
      <c r="EB84" s="2809"/>
      <c r="EC84" s="2809"/>
      <c r="ED84" s="2809"/>
      <c r="EE84" s="2809"/>
      <c r="EF84" s="2809"/>
      <c r="EG84" s="2809"/>
      <c r="EH84" s="2809"/>
      <c r="EI84" s="2809"/>
      <c r="EJ84" s="2809"/>
      <c r="EK84" s="2809"/>
      <c r="EL84" s="2809"/>
      <c r="EM84" s="2809"/>
      <c r="EN84" s="2809"/>
      <c r="EO84" s="2809"/>
      <c r="EP84" s="2810"/>
      <c r="EQ84" s="2312"/>
      <c r="ER84" s="2309"/>
      <c r="ES84" s="2849"/>
      <c r="ET84" s="2850"/>
      <c r="EU84" s="2850"/>
      <c r="EV84" s="2850"/>
      <c r="EW84" s="2850"/>
      <c r="EX84" s="2850"/>
      <c r="EY84" s="2850"/>
      <c r="EZ84" s="2850"/>
      <c r="FA84" s="2850"/>
      <c r="FB84" s="2850"/>
      <c r="FC84" s="2850"/>
      <c r="FD84" s="2850"/>
      <c r="FE84" s="2850"/>
      <c r="FF84" s="2850"/>
      <c r="FG84" s="2850"/>
      <c r="FH84" s="2850"/>
      <c r="FI84" s="2850"/>
      <c r="FJ84" s="2850"/>
      <c r="FK84" s="2850"/>
      <c r="FL84" s="2850"/>
      <c r="FM84" s="2850"/>
      <c r="FN84" s="2850"/>
      <c r="FO84" s="2850"/>
      <c r="FP84" s="2850"/>
      <c r="FQ84" s="2850"/>
      <c r="FR84" s="2850"/>
      <c r="FS84" s="2850"/>
      <c r="FT84" s="2850"/>
      <c r="FU84" s="2850"/>
      <c r="FV84" s="2850"/>
      <c r="FW84" s="2850"/>
      <c r="FX84" s="2850"/>
      <c r="FY84" s="2850"/>
      <c r="FZ84" s="2851"/>
      <c r="GA84" s="2343"/>
      <c r="GB84" s="2343"/>
      <c r="GC84" s="2348"/>
      <c r="GD84" s="2349"/>
      <c r="GE84" s="2349"/>
      <c r="GF84" s="2349"/>
      <c r="GG84" s="2349"/>
      <c r="GH84" s="2349"/>
      <c r="GI84" s="2349"/>
      <c r="GJ84" s="2349"/>
      <c r="GK84" s="2349"/>
      <c r="GL84" s="2349"/>
      <c r="GM84" s="2349"/>
      <c r="GN84" s="2349"/>
      <c r="GO84" s="2349"/>
      <c r="GP84" s="2349"/>
      <c r="GQ84" s="2349"/>
      <c r="GR84" s="2349"/>
      <c r="GS84" s="2349"/>
      <c r="GT84" s="2349"/>
      <c r="GU84" s="2349"/>
      <c r="GV84" s="2349"/>
      <c r="GW84" s="2349"/>
      <c r="GX84" s="2349"/>
      <c r="GY84" s="2349"/>
      <c r="GZ84" s="2349"/>
      <c r="HA84" s="2349"/>
      <c r="HB84" s="2349"/>
      <c r="HC84" s="2349"/>
      <c r="HD84" s="2349"/>
      <c r="HE84" s="2349"/>
      <c r="HF84" s="2349"/>
      <c r="HG84" s="2350"/>
      <c r="HH84" s="2350"/>
      <c r="HI84" s="2350"/>
      <c r="HJ84" s="2351"/>
      <c r="HL84" s="2312"/>
    </row>
    <row r="85" spans="2:220" ht="7.5" customHeight="1">
      <c r="B85" s="2309"/>
      <c r="C85" s="2885"/>
      <c r="D85" s="2768"/>
      <c r="E85" s="2768"/>
      <c r="F85" s="2768"/>
      <c r="G85" s="2768"/>
      <c r="H85" s="2768"/>
      <c r="I85" s="2768"/>
      <c r="J85" s="2768"/>
      <c r="K85" s="2768"/>
      <c r="L85" s="2768"/>
      <c r="M85" s="2768"/>
      <c r="N85" s="2768"/>
      <c r="O85" s="2768"/>
      <c r="P85" s="2768"/>
      <c r="Q85" s="2768"/>
      <c r="R85" s="2768"/>
      <c r="S85" s="2768"/>
      <c r="T85" s="2886"/>
      <c r="U85" s="2799"/>
      <c r="V85" s="2800"/>
      <c r="W85" s="2801"/>
      <c r="Y85" s="2766" t="s">
        <v>10359</v>
      </c>
      <c r="Z85" s="2766"/>
      <c r="AA85" s="2766"/>
      <c r="AB85" s="2766"/>
      <c r="AC85" s="2766"/>
      <c r="AD85" s="2766"/>
      <c r="AE85" s="2766"/>
      <c r="AF85" s="2766"/>
      <c r="AG85" s="2766"/>
      <c r="AH85" s="2766"/>
      <c r="AI85" s="2766"/>
      <c r="AJ85" s="2766"/>
      <c r="AK85" s="2766"/>
      <c r="AL85" s="2766"/>
      <c r="AM85" s="2766"/>
      <c r="AN85" s="2766"/>
      <c r="AO85" s="2766"/>
      <c r="AP85" s="2766"/>
      <c r="AQ85" s="2766"/>
      <c r="AR85" s="2766"/>
      <c r="AS85" s="2766"/>
      <c r="AT85" s="2766"/>
      <c r="AU85" s="2766"/>
      <c r="AV85" s="2766"/>
      <c r="AX85" s="2766" t="s">
        <v>10360</v>
      </c>
      <c r="AY85" s="2766"/>
      <c r="AZ85" s="2766"/>
      <c r="BA85" s="2766"/>
      <c r="BB85" s="2766"/>
      <c r="BC85" s="2766"/>
      <c r="BD85" s="2766"/>
      <c r="BE85" s="2766"/>
      <c r="BF85" s="2766"/>
      <c r="BG85" s="2766"/>
      <c r="BH85" s="2766"/>
      <c r="BI85" s="2766"/>
      <c r="BJ85" s="2766"/>
      <c r="BK85" s="2766"/>
      <c r="BL85" s="2766"/>
      <c r="BM85" s="2766"/>
      <c r="BN85" s="2766"/>
      <c r="BO85" s="2766"/>
      <c r="BP85" s="2766"/>
      <c r="BQ85" s="2766"/>
      <c r="BR85" s="2766"/>
      <c r="BS85" s="2766"/>
      <c r="BT85" s="2766"/>
      <c r="BU85" s="2766"/>
      <c r="BV85" s="2312"/>
      <c r="BW85" s="2309"/>
      <c r="CF85" s="2316" t="s">
        <v>2007</v>
      </c>
      <c r="CG85" s="918"/>
      <c r="CH85" s="2338"/>
      <c r="CI85" s="2338"/>
      <c r="CJ85" s="2338"/>
      <c r="CK85" s="2338"/>
      <c r="CL85" s="2338"/>
      <c r="CM85" s="2338"/>
      <c r="CN85" s="2338"/>
      <c r="CO85" s="2338"/>
      <c r="CP85" s="2338"/>
      <c r="CQ85" s="2338"/>
      <c r="CR85" s="2338"/>
      <c r="CS85" s="2338"/>
      <c r="CT85" s="2338"/>
      <c r="CU85" s="2338"/>
      <c r="CV85" s="2338"/>
      <c r="CW85" s="2338"/>
      <c r="CX85" s="2338"/>
      <c r="CY85" s="2338"/>
      <c r="CZ85" s="2338"/>
      <c r="DA85" s="2338"/>
      <c r="DB85" s="2338"/>
      <c r="EQ85" s="2312"/>
      <c r="ER85" s="2309"/>
      <c r="ES85" s="2849"/>
      <c r="ET85" s="2850"/>
      <c r="EU85" s="2850"/>
      <c r="EV85" s="2850"/>
      <c r="EW85" s="2850"/>
      <c r="EX85" s="2850"/>
      <c r="EY85" s="2850"/>
      <c r="EZ85" s="2850"/>
      <c r="FA85" s="2850"/>
      <c r="FB85" s="2850"/>
      <c r="FC85" s="2850"/>
      <c r="FD85" s="2850"/>
      <c r="FE85" s="2850"/>
      <c r="FF85" s="2850"/>
      <c r="FG85" s="2850"/>
      <c r="FH85" s="2850"/>
      <c r="FI85" s="2850"/>
      <c r="FJ85" s="2850"/>
      <c r="FK85" s="2850"/>
      <c r="FL85" s="2850"/>
      <c r="FM85" s="2850"/>
      <c r="FN85" s="2850"/>
      <c r="FO85" s="2850"/>
      <c r="FP85" s="2850"/>
      <c r="FQ85" s="2850"/>
      <c r="FR85" s="2850"/>
      <c r="FS85" s="2850"/>
      <c r="FT85" s="2850"/>
      <c r="FU85" s="2850"/>
      <c r="FV85" s="2850"/>
      <c r="FW85" s="2850"/>
      <c r="FX85" s="2850"/>
      <c r="FY85" s="2850"/>
      <c r="FZ85" s="2851"/>
      <c r="GA85" s="2343"/>
      <c r="GB85" s="2343"/>
      <c r="GC85" s="2348"/>
      <c r="GD85" s="2349"/>
      <c r="GE85" s="2349"/>
      <c r="GF85" s="2349"/>
      <c r="GG85" s="2349"/>
      <c r="GH85" s="2349"/>
      <c r="GI85" s="2349"/>
      <c r="GJ85" s="2349"/>
      <c r="GK85" s="2349"/>
      <c r="GL85" s="2349"/>
      <c r="GM85" s="2349"/>
      <c r="GN85" s="2349"/>
      <c r="GO85" s="2349"/>
      <c r="GP85" s="2349"/>
      <c r="GQ85" s="2349"/>
      <c r="GR85" s="2349"/>
      <c r="GS85" s="2349"/>
      <c r="GT85" s="2349"/>
      <c r="GU85" s="2349"/>
      <c r="GV85" s="2349"/>
      <c r="GW85" s="2349"/>
      <c r="GX85" s="2349"/>
      <c r="GY85" s="2349"/>
      <c r="GZ85" s="2349"/>
      <c r="HA85" s="2349"/>
      <c r="HB85" s="2349"/>
      <c r="HC85" s="2349"/>
      <c r="HD85" s="2349"/>
      <c r="HE85" s="2349"/>
      <c r="HF85" s="2349"/>
      <c r="HG85" s="2350"/>
      <c r="HH85" s="2350"/>
      <c r="HI85" s="2350"/>
      <c r="HJ85" s="2351"/>
      <c r="HL85" s="2312"/>
    </row>
    <row r="86" spans="2:220" ht="7.5" customHeight="1">
      <c r="B86" s="2309"/>
      <c r="C86" s="2887" t="s">
        <v>10361</v>
      </c>
      <c r="D86" s="2797"/>
      <c r="E86" s="2797"/>
      <c r="F86" s="2797"/>
      <c r="G86" s="2797"/>
      <c r="H86" s="2797"/>
      <c r="I86" s="2797"/>
      <c r="J86" s="2797"/>
      <c r="K86" s="2797"/>
      <c r="L86" s="2797"/>
      <c r="M86" s="2797"/>
      <c r="N86" s="2797"/>
      <c r="O86" s="2797"/>
      <c r="P86" s="2797"/>
      <c r="Q86" s="2797"/>
      <c r="R86" s="2797"/>
      <c r="S86" s="2797"/>
      <c r="T86" s="2797"/>
      <c r="U86" s="2797"/>
      <c r="V86" s="2797"/>
      <c r="W86" s="2797"/>
      <c r="Y86" s="2766"/>
      <c r="Z86" s="2766"/>
      <c r="AA86" s="2766"/>
      <c r="AB86" s="2766"/>
      <c r="AC86" s="2766"/>
      <c r="AD86" s="2766"/>
      <c r="AE86" s="2766"/>
      <c r="AF86" s="2766"/>
      <c r="AG86" s="2766"/>
      <c r="AH86" s="2766"/>
      <c r="AI86" s="2766"/>
      <c r="AJ86" s="2766"/>
      <c r="AK86" s="2766"/>
      <c r="AL86" s="2766"/>
      <c r="AM86" s="2766"/>
      <c r="AN86" s="2766"/>
      <c r="AO86" s="2766"/>
      <c r="AP86" s="2766"/>
      <c r="AQ86" s="2766"/>
      <c r="AR86" s="2766"/>
      <c r="AS86" s="2766"/>
      <c r="AT86" s="2766"/>
      <c r="AU86" s="2766"/>
      <c r="AV86" s="2766"/>
      <c r="AX86" s="2766"/>
      <c r="AY86" s="2766"/>
      <c r="AZ86" s="2766"/>
      <c r="BA86" s="2766"/>
      <c r="BB86" s="2766"/>
      <c r="BC86" s="2766"/>
      <c r="BD86" s="2766"/>
      <c r="BE86" s="2766"/>
      <c r="BF86" s="2766"/>
      <c r="BG86" s="2766"/>
      <c r="BH86" s="2766"/>
      <c r="BI86" s="2766"/>
      <c r="BJ86" s="2766"/>
      <c r="BK86" s="2766"/>
      <c r="BL86" s="2766"/>
      <c r="BM86" s="2766"/>
      <c r="BN86" s="2766"/>
      <c r="BO86" s="2766"/>
      <c r="BP86" s="2766"/>
      <c r="BQ86" s="2766"/>
      <c r="BR86" s="2766"/>
      <c r="BS86" s="2766"/>
      <c r="BT86" s="2766"/>
      <c r="BU86" s="2766"/>
      <c r="BV86" s="2312"/>
      <c r="BW86" s="2309"/>
      <c r="BX86" s="2793" t="s">
        <v>10362</v>
      </c>
      <c r="BY86" s="2794"/>
      <c r="BZ86" s="2794"/>
      <c r="CA86" s="2794"/>
      <c r="CB86" s="2794"/>
      <c r="CC86" s="2794"/>
      <c r="CD86" s="2794"/>
      <c r="CE86" s="2794"/>
      <c r="CF86" s="2794"/>
      <c r="CG86" s="2795"/>
      <c r="CH86" s="2802" t="e">
        <f>#REF!</f>
        <v>#REF!</v>
      </c>
      <c r="CI86" s="2803"/>
      <c r="CJ86" s="2803"/>
      <c r="CK86" s="2803"/>
      <c r="CL86" s="2803"/>
      <c r="CM86" s="2803"/>
      <c r="CN86" s="2803"/>
      <c r="CO86" s="2803"/>
      <c r="CP86" s="2803"/>
      <c r="CQ86" s="2803"/>
      <c r="CR86" s="2803"/>
      <c r="CS86" s="2803"/>
      <c r="CT86" s="2803"/>
      <c r="CU86" s="2803"/>
      <c r="CV86" s="2803"/>
      <c r="CW86" s="2803"/>
      <c r="CX86" s="2803"/>
      <c r="CY86" s="2803"/>
      <c r="CZ86" s="2803"/>
      <c r="DA86" s="2803"/>
      <c r="DB86" s="2803"/>
      <c r="DC86" s="2803"/>
      <c r="DD86" s="2803"/>
      <c r="DE86" s="2803"/>
      <c r="DF86" s="2803"/>
      <c r="DG86" s="2803"/>
      <c r="DH86" s="2803"/>
      <c r="DI86" s="2803"/>
      <c r="DJ86" s="2803"/>
      <c r="DK86" s="2803"/>
      <c r="DL86" s="2803"/>
      <c r="DM86" s="2803"/>
      <c r="DN86" s="2803"/>
      <c r="DO86" s="2803"/>
      <c r="DP86" s="2803"/>
      <c r="DQ86" s="2803"/>
      <c r="DR86" s="2803"/>
      <c r="DS86" s="2803"/>
      <c r="DT86" s="2803"/>
      <c r="DU86" s="2803"/>
      <c r="DV86" s="2803"/>
      <c r="DW86" s="2803"/>
      <c r="DX86" s="2803"/>
      <c r="DY86" s="2803"/>
      <c r="DZ86" s="2803"/>
      <c r="EA86" s="2803"/>
      <c r="EB86" s="2803"/>
      <c r="EC86" s="2803"/>
      <c r="ED86" s="2803"/>
      <c r="EE86" s="2803"/>
      <c r="EF86" s="2803"/>
      <c r="EG86" s="2803"/>
      <c r="EH86" s="2803"/>
      <c r="EI86" s="2803"/>
      <c r="EJ86" s="2803"/>
      <c r="EK86" s="2803"/>
      <c r="EL86" s="2803"/>
      <c r="EM86" s="2803"/>
      <c r="EN86" s="2803"/>
      <c r="EO86" s="2803"/>
      <c r="EP86" s="2804"/>
      <c r="EQ86" s="2312"/>
      <c r="ER86" s="2309"/>
      <c r="ES86" s="2849"/>
      <c r="ET86" s="2850"/>
      <c r="EU86" s="2850"/>
      <c r="EV86" s="2850"/>
      <c r="EW86" s="2850"/>
      <c r="EX86" s="2850"/>
      <c r="EY86" s="2850"/>
      <c r="EZ86" s="2850"/>
      <c r="FA86" s="2850"/>
      <c r="FB86" s="2850"/>
      <c r="FC86" s="2850"/>
      <c r="FD86" s="2850"/>
      <c r="FE86" s="2850"/>
      <c r="FF86" s="2850"/>
      <c r="FG86" s="2850"/>
      <c r="FH86" s="2850"/>
      <c r="FI86" s="2850"/>
      <c r="FJ86" s="2850"/>
      <c r="FK86" s="2850"/>
      <c r="FL86" s="2850"/>
      <c r="FM86" s="2850"/>
      <c r="FN86" s="2850"/>
      <c r="FO86" s="2850"/>
      <c r="FP86" s="2850"/>
      <c r="FQ86" s="2850"/>
      <c r="FR86" s="2850"/>
      <c r="FS86" s="2850"/>
      <c r="FT86" s="2850"/>
      <c r="FU86" s="2850"/>
      <c r="FV86" s="2850"/>
      <c r="FW86" s="2850"/>
      <c r="FX86" s="2850"/>
      <c r="FY86" s="2850"/>
      <c r="FZ86" s="2851"/>
      <c r="GA86" s="2343"/>
      <c r="GB86" s="2343"/>
      <c r="GC86" s="2348"/>
      <c r="GD86" s="2349"/>
      <c r="GE86" s="2349"/>
      <c r="GF86" s="2349"/>
      <c r="GG86" s="2349"/>
      <c r="GH86" s="2349"/>
      <c r="GI86" s="2349"/>
      <c r="GJ86" s="2349"/>
      <c r="GK86" s="2349"/>
      <c r="GL86" s="2349"/>
      <c r="GM86" s="2349"/>
      <c r="GN86" s="2349"/>
      <c r="GO86" s="2349"/>
      <c r="GP86" s="2349"/>
      <c r="GQ86" s="2349"/>
      <c r="GR86" s="2349"/>
      <c r="GS86" s="2349"/>
      <c r="GT86" s="2349"/>
      <c r="GU86" s="2349"/>
      <c r="GV86" s="2349"/>
      <c r="GW86" s="2349"/>
      <c r="GX86" s="2349"/>
      <c r="GY86" s="2349"/>
      <c r="GZ86" s="2349"/>
      <c r="HA86" s="2349"/>
      <c r="HB86" s="2349"/>
      <c r="HC86" s="2349"/>
      <c r="HD86" s="2349"/>
      <c r="HE86" s="2349"/>
      <c r="HF86" s="2349"/>
      <c r="HG86" s="2350"/>
      <c r="HH86" s="2350"/>
      <c r="HI86" s="2350"/>
      <c r="HJ86" s="2351"/>
      <c r="HL86" s="2312"/>
    </row>
    <row r="87" spans="2:220" ht="7.5" customHeight="1">
      <c r="B87" s="2309"/>
      <c r="C87" s="2797"/>
      <c r="D87" s="2797"/>
      <c r="E87" s="2797"/>
      <c r="F87" s="2797"/>
      <c r="G87" s="2797"/>
      <c r="H87" s="2797"/>
      <c r="I87" s="2797"/>
      <c r="J87" s="2797"/>
      <c r="K87" s="2797"/>
      <c r="L87" s="2797"/>
      <c r="M87" s="2797"/>
      <c r="N87" s="2797"/>
      <c r="O87" s="2797"/>
      <c r="P87" s="2797"/>
      <c r="Q87" s="2797"/>
      <c r="R87" s="2797"/>
      <c r="S87" s="2797"/>
      <c r="T87" s="2797"/>
      <c r="U87" s="2797"/>
      <c r="V87" s="2797"/>
      <c r="W87" s="2797"/>
      <c r="Y87" s="2888" t="e">
        <f>#REF!</f>
        <v>#REF!</v>
      </c>
      <c r="Z87" s="2889"/>
      <c r="AA87" s="2889"/>
      <c r="AB87" s="2889"/>
      <c r="AC87" s="2889"/>
      <c r="AD87" s="2889"/>
      <c r="AE87" s="2889"/>
      <c r="AF87" s="2889"/>
      <c r="AG87" s="2889"/>
      <c r="AH87" s="2889"/>
      <c r="AI87" s="2889"/>
      <c r="AJ87" s="2889"/>
      <c r="AK87" s="2889"/>
      <c r="AL87" s="2889"/>
      <c r="AM87" s="2889"/>
      <c r="AN87" s="2889"/>
      <c r="AO87" s="2889"/>
      <c r="AP87" s="2889"/>
      <c r="AQ87" s="2889"/>
      <c r="AR87" s="2889"/>
      <c r="AS87" s="2889"/>
      <c r="AT87" s="2889"/>
      <c r="AU87" s="2889"/>
      <c r="AV87" s="2890"/>
      <c r="AX87" s="2888" t="e">
        <f>#REF!</f>
        <v>#REF!</v>
      </c>
      <c r="AY87" s="2889"/>
      <c r="AZ87" s="2889"/>
      <c r="BA87" s="2889"/>
      <c r="BB87" s="2889"/>
      <c r="BC87" s="2889"/>
      <c r="BD87" s="2889"/>
      <c r="BE87" s="2889"/>
      <c r="BF87" s="2889"/>
      <c r="BG87" s="2889"/>
      <c r="BH87" s="2889"/>
      <c r="BI87" s="2889"/>
      <c r="BJ87" s="2889"/>
      <c r="BK87" s="2889"/>
      <c r="BL87" s="2889"/>
      <c r="BM87" s="2889"/>
      <c r="BN87" s="2889"/>
      <c r="BO87" s="2889"/>
      <c r="BP87" s="2889"/>
      <c r="BQ87" s="2889"/>
      <c r="BR87" s="2889"/>
      <c r="BS87" s="2889"/>
      <c r="BT87" s="2889"/>
      <c r="BU87" s="2890"/>
      <c r="BV87" s="2312"/>
      <c r="BW87" s="2309"/>
      <c r="BX87" s="2796"/>
      <c r="BY87" s="2797"/>
      <c r="BZ87" s="2797"/>
      <c r="CA87" s="2797"/>
      <c r="CB87" s="2797"/>
      <c r="CC87" s="2797"/>
      <c r="CD87" s="2797"/>
      <c r="CE87" s="2797"/>
      <c r="CF87" s="2797"/>
      <c r="CG87" s="2798"/>
      <c r="CH87" s="2805"/>
      <c r="CI87" s="2806"/>
      <c r="CJ87" s="2806"/>
      <c r="CK87" s="2806"/>
      <c r="CL87" s="2806"/>
      <c r="CM87" s="2806"/>
      <c r="CN87" s="2806"/>
      <c r="CO87" s="2806"/>
      <c r="CP87" s="2806"/>
      <c r="CQ87" s="2806"/>
      <c r="CR87" s="2806"/>
      <c r="CS87" s="2806"/>
      <c r="CT87" s="2806"/>
      <c r="CU87" s="2806"/>
      <c r="CV87" s="2806"/>
      <c r="CW87" s="2806"/>
      <c r="CX87" s="2806"/>
      <c r="CY87" s="2806"/>
      <c r="CZ87" s="2806"/>
      <c r="DA87" s="2806"/>
      <c r="DB87" s="2806"/>
      <c r="DC87" s="2806"/>
      <c r="DD87" s="2806"/>
      <c r="DE87" s="2806"/>
      <c r="DF87" s="2806"/>
      <c r="DG87" s="2806"/>
      <c r="DH87" s="2806"/>
      <c r="DI87" s="2806"/>
      <c r="DJ87" s="2806"/>
      <c r="DK87" s="2806"/>
      <c r="DL87" s="2806"/>
      <c r="DM87" s="2806"/>
      <c r="DN87" s="2806"/>
      <c r="DO87" s="2806"/>
      <c r="DP87" s="2806"/>
      <c r="DQ87" s="2806"/>
      <c r="DR87" s="2806"/>
      <c r="DS87" s="2806"/>
      <c r="DT87" s="2806"/>
      <c r="DU87" s="2806"/>
      <c r="DV87" s="2806"/>
      <c r="DW87" s="2806"/>
      <c r="DX87" s="2806"/>
      <c r="DY87" s="2806"/>
      <c r="DZ87" s="2806"/>
      <c r="EA87" s="2806"/>
      <c r="EB87" s="2806"/>
      <c r="EC87" s="2806"/>
      <c r="ED87" s="2806"/>
      <c r="EE87" s="2806"/>
      <c r="EF87" s="2806"/>
      <c r="EG87" s="2806"/>
      <c r="EH87" s="2806"/>
      <c r="EI87" s="2806"/>
      <c r="EJ87" s="2806"/>
      <c r="EK87" s="2806"/>
      <c r="EL87" s="2806"/>
      <c r="EM87" s="2806"/>
      <c r="EN87" s="2806"/>
      <c r="EO87" s="2806"/>
      <c r="EP87" s="2807"/>
      <c r="EQ87" s="2312"/>
      <c r="ER87" s="2309"/>
      <c r="ES87" s="2849"/>
      <c r="ET87" s="2850"/>
      <c r="EU87" s="2850"/>
      <c r="EV87" s="2850"/>
      <c r="EW87" s="2850"/>
      <c r="EX87" s="2850"/>
      <c r="EY87" s="2850"/>
      <c r="EZ87" s="2850"/>
      <c r="FA87" s="2850"/>
      <c r="FB87" s="2850"/>
      <c r="FC87" s="2850"/>
      <c r="FD87" s="2850"/>
      <c r="FE87" s="2850"/>
      <c r="FF87" s="2850"/>
      <c r="FG87" s="2850"/>
      <c r="FH87" s="2850"/>
      <c r="FI87" s="2850"/>
      <c r="FJ87" s="2850"/>
      <c r="FK87" s="2850"/>
      <c r="FL87" s="2850"/>
      <c r="FM87" s="2850"/>
      <c r="FN87" s="2850"/>
      <c r="FO87" s="2850"/>
      <c r="FP87" s="2850"/>
      <c r="FQ87" s="2850"/>
      <c r="FR87" s="2850"/>
      <c r="FS87" s="2850"/>
      <c r="FT87" s="2850"/>
      <c r="FU87" s="2850"/>
      <c r="FV87" s="2850"/>
      <c r="FW87" s="2850"/>
      <c r="FX87" s="2850"/>
      <c r="FY87" s="2850"/>
      <c r="FZ87" s="2851"/>
      <c r="GA87" s="2343"/>
      <c r="GB87" s="2343"/>
      <c r="GC87" s="2348"/>
      <c r="GD87" s="2349"/>
      <c r="GE87" s="2349"/>
      <c r="GF87" s="2349"/>
      <c r="GG87" s="2349"/>
      <c r="GH87" s="2349"/>
      <c r="GI87" s="2349"/>
      <c r="GJ87" s="2349"/>
      <c r="GK87" s="2349"/>
      <c r="GL87" s="2349"/>
      <c r="GM87" s="2349"/>
      <c r="GN87" s="2349"/>
      <c r="GO87" s="2349"/>
      <c r="GP87" s="2349"/>
      <c r="GQ87" s="2349"/>
      <c r="GR87" s="2349"/>
      <c r="GS87" s="2349"/>
      <c r="GT87" s="2349"/>
      <c r="GU87" s="2349"/>
      <c r="GV87" s="2349"/>
      <c r="GW87" s="2349"/>
      <c r="GX87" s="2349"/>
      <c r="GY87" s="2349"/>
      <c r="GZ87" s="2349"/>
      <c r="HA87" s="2349"/>
      <c r="HB87" s="2349"/>
      <c r="HC87" s="2349"/>
      <c r="HD87" s="2349"/>
      <c r="HE87" s="2349"/>
      <c r="HF87" s="2349"/>
      <c r="HG87" s="2350"/>
      <c r="HH87" s="2350"/>
      <c r="HI87" s="2350"/>
      <c r="HJ87" s="2351"/>
      <c r="HL87" s="2312"/>
    </row>
    <row r="88" spans="2:220" ht="7.5" customHeight="1">
      <c r="B88" s="2309"/>
      <c r="C88" s="2895" t="e">
        <f>#REF!</f>
        <v>#REF!</v>
      </c>
      <c r="D88" s="2797"/>
      <c r="E88" s="2797"/>
      <c r="F88" s="2797"/>
      <c r="G88" s="2797"/>
      <c r="H88" s="2797"/>
      <c r="I88" s="2797"/>
      <c r="J88" s="2797"/>
      <c r="K88" s="2797"/>
      <c r="L88" s="2797"/>
      <c r="M88" s="2797"/>
      <c r="N88" s="2797"/>
      <c r="O88" s="2797"/>
      <c r="P88" s="2797"/>
      <c r="Q88" s="2797"/>
      <c r="R88" s="2797"/>
      <c r="S88" s="2797"/>
      <c r="T88" s="2797"/>
      <c r="U88" s="2797"/>
      <c r="V88" s="2797"/>
      <c r="W88" s="2798"/>
      <c r="Y88" s="2891"/>
      <c r="Z88" s="2889"/>
      <c r="AA88" s="2889"/>
      <c r="AB88" s="2889"/>
      <c r="AC88" s="2889"/>
      <c r="AD88" s="2889"/>
      <c r="AE88" s="2889"/>
      <c r="AF88" s="2889"/>
      <c r="AG88" s="2889"/>
      <c r="AH88" s="2889"/>
      <c r="AI88" s="2889"/>
      <c r="AJ88" s="2889"/>
      <c r="AK88" s="2889"/>
      <c r="AL88" s="2889"/>
      <c r="AM88" s="2889"/>
      <c r="AN88" s="2889"/>
      <c r="AO88" s="2889"/>
      <c r="AP88" s="2889"/>
      <c r="AQ88" s="2889"/>
      <c r="AR88" s="2889"/>
      <c r="AS88" s="2889"/>
      <c r="AT88" s="2889"/>
      <c r="AU88" s="2889"/>
      <c r="AV88" s="2890"/>
      <c r="AX88" s="2891"/>
      <c r="AY88" s="2889"/>
      <c r="AZ88" s="2889"/>
      <c r="BA88" s="2889"/>
      <c r="BB88" s="2889"/>
      <c r="BC88" s="2889"/>
      <c r="BD88" s="2889"/>
      <c r="BE88" s="2889"/>
      <c r="BF88" s="2889"/>
      <c r="BG88" s="2889"/>
      <c r="BH88" s="2889"/>
      <c r="BI88" s="2889"/>
      <c r="BJ88" s="2889"/>
      <c r="BK88" s="2889"/>
      <c r="BL88" s="2889"/>
      <c r="BM88" s="2889"/>
      <c r="BN88" s="2889"/>
      <c r="BO88" s="2889"/>
      <c r="BP88" s="2889"/>
      <c r="BQ88" s="2889"/>
      <c r="BR88" s="2889"/>
      <c r="BS88" s="2889"/>
      <c r="BT88" s="2889"/>
      <c r="BU88" s="2890"/>
      <c r="BV88" s="2312"/>
      <c r="BW88" s="2309"/>
      <c r="BX88" s="2796"/>
      <c r="BY88" s="2797"/>
      <c r="BZ88" s="2797"/>
      <c r="CA88" s="2797"/>
      <c r="CB88" s="2797"/>
      <c r="CC88" s="2797"/>
      <c r="CD88" s="2797"/>
      <c r="CE88" s="2797"/>
      <c r="CF88" s="2797"/>
      <c r="CG88" s="2798"/>
      <c r="CH88" s="2805"/>
      <c r="CI88" s="2806"/>
      <c r="CJ88" s="2806"/>
      <c r="CK88" s="2806"/>
      <c r="CL88" s="2806"/>
      <c r="CM88" s="2806"/>
      <c r="CN88" s="2806"/>
      <c r="CO88" s="2806"/>
      <c r="CP88" s="2806"/>
      <c r="CQ88" s="2806"/>
      <c r="CR88" s="2806"/>
      <c r="CS88" s="2806"/>
      <c r="CT88" s="2806"/>
      <c r="CU88" s="2806"/>
      <c r="CV88" s="2806"/>
      <c r="CW88" s="2806"/>
      <c r="CX88" s="2806"/>
      <c r="CY88" s="2806"/>
      <c r="CZ88" s="2806"/>
      <c r="DA88" s="2806"/>
      <c r="DB88" s="2806"/>
      <c r="DC88" s="2806"/>
      <c r="DD88" s="2806"/>
      <c r="DE88" s="2806"/>
      <c r="DF88" s="2806"/>
      <c r="DG88" s="2806"/>
      <c r="DH88" s="2806"/>
      <c r="DI88" s="2806"/>
      <c r="DJ88" s="2806"/>
      <c r="DK88" s="2806"/>
      <c r="DL88" s="2806"/>
      <c r="DM88" s="2806"/>
      <c r="DN88" s="2806"/>
      <c r="DO88" s="2806"/>
      <c r="DP88" s="2806"/>
      <c r="DQ88" s="2806"/>
      <c r="DR88" s="2806"/>
      <c r="DS88" s="2806"/>
      <c r="DT88" s="2806"/>
      <c r="DU88" s="2806"/>
      <c r="DV88" s="2806"/>
      <c r="DW88" s="2806"/>
      <c r="DX88" s="2806"/>
      <c r="DY88" s="2806"/>
      <c r="DZ88" s="2806"/>
      <c r="EA88" s="2806"/>
      <c r="EB88" s="2806"/>
      <c r="EC88" s="2806"/>
      <c r="ED88" s="2806"/>
      <c r="EE88" s="2806"/>
      <c r="EF88" s="2806"/>
      <c r="EG88" s="2806"/>
      <c r="EH88" s="2806"/>
      <c r="EI88" s="2806"/>
      <c r="EJ88" s="2806"/>
      <c r="EK88" s="2806"/>
      <c r="EL88" s="2806"/>
      <c r="EM88" s="2806"/>
      <c r="EN88" s="2806"/>
      <c r="EO88" s="2806"/>
      <c r="EP88" s="2807"/>
      <c r="EQ88" s="2312"/>
      <c r="ER88" s="2309"/>
      <c r="ES88" s="2849"/>
      <c r="ET88" s="2850"/>
      <c r="EU88" s="2850"/>
      <c r="EV88" s="2850"/>
      <c r="EW88" s="2850"/>
      <c r="EX88" s="2850"/>
      <c r="EY88" s="2850"/>
      <c r="EZ88" s="2850"/>
      <c r="FA88" s="2850"/>
      <c r="FB88" s="2850"/>
      <c r="FC88" s="2850"/>
      <c r="FD88" s="2850"/>
      <c r="FE88" s="2850"/>
      <c r="FF88" s="2850"/>
      <c r="FG88" s="2850"/>
      <c r="FH88" s="2850"/>
      <c r="FI88" s="2850"/>
      <c r="FJ88" s="2850"/>
      <c r="FK88" s="2850"/>
      <c r="FL88" s="2850"/>
      <c r="FM88" s="2850"/>
      <c r="FN88" s="2850"/>
      <c r="FO88" s="2850"/>
      <c r="FP88" s="2850"/>
      <c r="FQ88" s="2850"/>
      <c r="FR88" s="2850"/>
      <c r="FS88" s="2850"/>
      <c r="FT88" s="2850"/>
      <c r="FU88" s="2850"/>
      <c r="FV88" s="2850"/>
      <c r="FW88" s="2850"/>
      <c r="FX88" s="2850"/>
      <c r="FY88" s="2850"/>
      <c r="FZ88" s="2851"/>
      <c r="GA88" s="2343"/>
      <c r="GB88" s="2343"/>
      <c r="GC88" s="2348"/>
      <c r="GD88" s="2349"/>
      <c r="GE88" s="2349"/>
      <c r="GF88" s="2349"/>
      <c r="GG88" s="2349"/>
      <c r="GH88" s="2349"/>
      <c r="GI88" s="2349"/>
      <c r="GJ88" s="2349"/>
      <c r="GK88" s="2349"/>
      <c r="GL88" s="2349"/>
      <c r="GM88" s="2349"/>
      <c r="GN88" s="2349"/>
      <c r="GO88" s="2349"/>
      <c r="GP88" s="2349"/>
      <c r="GQ88" s="2349"/>
      <c r="GR88" s="2349"/>
      <c r="GS88" s="2349"/>
      <c r="GT88" s="2349"/>
      <c r="GU88" s="2349"/>
      <c r="GV88" s="2349"/>
      <c r="GW88" s="2349"/>
      <c r="GX88" s="2349"/>
      <c r="GY88" s="2349"/>
      <c r="GZ88" s="2349"/>
      <c r="HA88" s="2349"/>
      <c r="HB88" s="2349"/>
      <c r="HC88" s="2349"/>
      <c r="HD88" s="2349"/>
      <c r="HE88" s="2349"/>
      <c r="HF88" s="2349"/>
      <c r="HG88" s="2350"/>
      <c r="HH88" s="2350"/>
      <c r="HI88" s="2350"/>
      <c r="HJ88" s="2351"/>
      <c r="HL88" s="2312"/>
    </row>
    <row r="89" spans="2:220" ht="7.5" customHeight="1">
      <c r="B89" s="2309"/>
      <c r="C89" s="2796"/>
      <c r="D89" s="2797"/>
      <c r="E89" s="2797"/>
      <c r="F89" s="2797"/>
      <c r="G89" s="2797"/>
      <c r="H89" s="2797"/>
      <c r="I89" s="2797"/>
      <c r="J89" s="2797"/>
      <c r="K89" s="2797"/>
      <c r="L89" s="2797"/>
      <c r="M89" s="2797"/>
      <c r="N89" s="2797"/>
      <c r="O89" s="2797"/>
      <c r="P89" s="2797"/>
      <c r="Q89" s="2797"/>
      <c r="R89" s="2797"/>
      <c r="S89" s="2797"/>
      <c r="T89" s="2797"/>
      <c r="U89" s="2797"/>
      <c r="V89" s="2797"/>
      <c r="W89" s="2798"/>
      <c r="Y89" s="2891"/>
      <c r="Z89" s="2889"/>
      <c r="AA89" s="2889"/>
      <c r="AB89" s="2889"/>
      <c r="AC89" s="2889"/>
      <c r="AD89" s="2889"/>
      <c r="AE89" s="2889"/>
      <c r="AF89" s="2889"/>
      <c r="AG89" s="2889"/>
      <c r="AH89" s="2889"/>
      <c r="AI89" s="2889"/>
      <c r="AJ89" s="2889"/>
      <c r="AK89" s="2889"/>
      <c r="AL89" s="2889"/>
      <c r="AM89" s="2889"/>
      <c r="AN89" s="2889"/>
      <c r="AO89" s="2889"/>
      <c r="AP89" s="2889"/>
      <c r="AQ89" s="2889"/>
      <c r="AR89" s="2889"/>
      <c r="AS89" s="2889"/>
      <c r="AT89" s="2889"/>
      <c r="AU89" s="2889"/>
      <c r="AV89" s="2890"/>
      <c r="AX89" s="2891"/>
      <c r="AY89" s="2889"/>
      <c r="AZ89" s="2889"/>
      <c r="BA89" s="2889"/>
      <c r="BB89" s="2889"/>
      <c r="BC89" s="2889"/>
      <c r="BD89" s="2889"/>
      <c r="BE89" s="2889"/>
      <c r="BF89" s="2889"/>
      <c r="BG89" s="2889"/>
      <c r="BH89" s="2889"/>
      <c r="BI89" s="2889"/>
      <c r="BJ89" s="2889"/>
      <c r="BK89" s="2889"/>
      <c r="BL89" s="2889"/>
      <c r="BM89" s="2889"/>
      <c r="BN89" s="2889"/>
      <c r="BO89" s="2889"/>
      <c r="BP89" s="2889"/>
      <c r="BQ89" s="2889"/>
      <c r="BR89" s="2889"/>
      <c r="BS89" s="2889"/>
      <c r="BT89" s="2889"/>
      <c r="BU89" s="2890"/>
      <c r="BV89" s="2312"/>
      <c r="BW89" s="2309"/>
      <c r="BX89" s="2799"/>
      <c r="BY89" s="2800"/>
      <c r="BZ89" s="2800"/>
      <c r="CA89" s="2800"/>
      <c r="CB89" s="2800"/>
      <c r="CC89" s="2800"/>
      <c r="CD89" s="2800"/>
      <c r="CE89" s="2800"/>
      <c r="CF89" s="2800"/>
      <c r="CG89" s="2801"/>
      <c r="CH89" s="2808"/>
      <c r="CI89" s="2809"/>
      <c r="CJ89" s="2809"/>
      <c r="CK89" s="2809"/>
      <c r="CL89" s="2809"/>
      <c r="CM89" s="2809"/>
      <c r="CN89" s="2809"/>
      <c r="CO89" s="2809"/>
      <c r="CP89" s="2809"/>
      <c r="CQ89" s="2809"/>
      <c r="CR89" s="2809"/>
      <c r="CS89" s="2809"/>
      <c r="CT89" s="2809"/>
      <c r="CU89" s="2809"/>
      <c r="CV89" s="2809"/>
      <c r="CW89" s="2809"/>
      <c r="CX89" s="2809"/>
      <c r="CY89" s="2809"/>
      <c r="CZ89" s="2809"/>
      <c r="DA89" s="2809"/>
      <c r="DB89" s="2809"/>
      <c r="DC89" s="2809"/>
      <c r="DD89" s="2809"/>
      <c r="DE89" s="2809"/>
      <c r="DF89" s="2809"/>
      <c r="DG89" s="2809"/>
      <c r="DH89" s="2809"/>
      <c r="DI89" s="2809"/>
      <c r="DJ89" s="2809"/>
      <c r="DK89" s="2809"/>
      <c r="DL89" s="2809"/>
      <c r="DM89" s="2809"/>
      <c r="DN89" s="2809"/>
      <c r="DO89" s="2809"/>
      <c r="DP89" s="2809"/>
      <c r="DQ89" s="2809"/>
      <c r="DR89" s="2809"/>
      <c r="DS89" s="2809"/>
      <c r="DT89" s="2809"/>
      <c r="DU89" s="2809"/>
      <c r="DV89" s="2809"/>
      <c r="DW89" s="2809"/>
      <c r="DX89" s="2809"/>
      <c r="DY89" s="2809"/>
      <c r="DZ89" s="2809"/>
      <c r="EA89" s="2809"/>
      <c r="EB89" s="2809"/>
      <c r="EC89" s="2809"/>
      <c r="ED89" s="2809"/>
      <c r="EE89" s="2809"/>
      <c r="EF89" s="2809"/>
      <c r="EG89" s="2809"/>
      <c r="EH89" s="2809"/>
      <c r="EI89" s="2809"/>
      <c r="EJ89" s="2809"/>
      <c r="EK89" s="2809"/>
      <c r="EL89" s="2809"/>
      <c r="EM89" s="2809"/>
      <c r="EN89" s="2809"/>
      <c r="EO89" s="2809"/>
      <c r="EP89" s="2810"/>
      <c r="EQ89" s="2312"/>
      <c r="ER89" s="2309"/>
      <c r="ES89" s="2849"/>
      <c r="ET89" s="2850"/>
      <c r="EU89" s="2850"/>
      <c r="EV89" s="2850"/>
      <c r="EW89" s="2850"/>
      <c r="EX89" s="2850"/>
      <c r="EY89" s="2850"/>
      <c r="EZ89" s="2850"/>
      <c r="FA89" s="2850"/>
      <c r="FB89" s="2850"/>
      <c r="FC89" s="2850"/>
      <c r="FD89" s="2850"/>
      <c r="FE89" s="2850"/>
      <c r="FF89" s="2850"/>
      <c r="FG89" s="2850"/>
      <c r="FH89" s="2850"/>
      <c r="FI89" s="2850"/>
      <c r="FJ89" s="2850"/>
      <c r="FK89" s="2850"/>
      <c r="FL89" s="2850"/>
      <c r="FM89" s="2850"/>
      <c r="FN89" s="2850"/>
      <c r="FO89" s="2850"/>
      <c r="FP89" s="2850"/>
      <c r="FQ89" s="2850"/>
      <c r="FR89" s="2850"/>
      <c r="FS89" s="2850"/>
      <c r="FT89" s="2850"/>
      <c r="FU89" s="2850"/>
      <c r="FV89" s="2850"/>
      <c r="FW89" s="2850"/>
      <c r="FX89" s="2850"/>
      <c r="FY89" s="2850"/>
      <c r="FZ89" s="2851"/>
      <c r="GA89" s="2343"/>
      <c r="GB89" s="2343"/>
      <c r="GC89" s="2348"/>
      <c r="GD89" s="2349"/>
      <c r="GE89" s="2349"/>
      <c r="GF89" s="2349"/>
      <c r="GG89" s="2349"/>
      <c r="GH89" s="2349"/>
      <c r="GI89" s="2349"/>
      <c r="GJ89" s="2349"/>
      <c r="GK89" s="2349"/>
      <c r="GL89" s="2349"/>
      <c r="GM89" s="2349"/>
      <c r="GN89" s="2349"/>
      <c r="GO89" s="2349"/>
      <c r="GP89" s="2349"/>
      <c r="GQ89" s="2349"/>
      <c r="GR89" s="2349"/>
      <c r="GS89" s="2349"/>
      <c r="GT89" s="2349"/>
      <c r="GU89" s="2349"/>
      <c r="GV89" s="2349"/>
      <c r="GW89" s="2349"/>
      <c r="GX89" s="2349"/>
      <c r="GY89" s="2349"/>
      <c r="GZ89" s="2349"/>
      <c r="HA89" s="2349"/>
      <c r="HB89" s="2349"/>
      <c r="HC89" s="2349"/>
      <c r="HD89" s="2349"/>
      <c r="HE89" s="2349"/>
      <c r="HF89" s="2349"/>
      <c r="HG89" s="2350"/>
      <c r="HH89" s="2350"/>
      <c r="HI89" s="2350"/>
      <c r="HJ89" s="2351"/>
      <c r="HL89" s="2312"/>
    </row>
    <row r="90" spans="2:220" ht="7.5" customHeight="1">
      <c r="B90" s="2309"/>
      <c r="C90" s="2799"/>
      <c r="D90" s="2800"/>
      <c r="E90" s="2800"/>
      <c r="F90" s="2800"/>
      <c r="G90" s="2800"/>
      <c r="H90" s="2800"/>
      <c r="I90" s="2800"/>
      <c r="J90" s="2800"/>
      <c r="K90" s="2800"/>
      <c r="L90" s="2800"/>
      <c r="M90" s="2800"/>
      <c r="N90" s="2800"/>
      <c r="O90" s="2800"/>
      <c r="P90" s="2800"/>
      <c r="Q90" s="2800"/>
      <c r="R90" s="2800"/>
      <c r="S90" s="2800"/>
      <c r="T90" s="2800"/>
      <c r="U90" s="2800"/>
      <c r="V90" s="2800"/>
      <c r="W90" s="2801"/>
      <c r="Y90" s="2891"/>
      <c r="Z90" s="2889"/>
      <c r="AA90" s="2889"/>
      <c r="AB90" s="2889"/>
      <c r="AC90" s="2889"/>
      <c r="AD90" s="2889"/>
      <c r="AE90" s="2889"/>
      <c r="AF90" s="2889"/>
      <c r="AG90" s="2889"/>
      <c r="AH90" s="2889"/>
      <c r="AI90" s="2889"/>
      <c r="AJ90" s="2889"/>
      <c r="AK90" s="2889"/>
      <c r="AL90" s="2889"/>
      <c r="AM90" s="2889"/>
      <c r="AN90" s="2889"/>
      <c r="AO90" s="2889"/>
      <c r="AP90" s="2889"/>
      <c r="AQ90" s="2889"/>
      <c r="AR90" s="2889"/>
      <c r="AS90" s="2889"/>
      <c r="AT90" s="2889"/>
      <c r="AU90" s="2889"/>
      <c r="AV90" s="2890"/>
      <c r="AX90" s="2891"/>
      <c r="AY90" s="2889"/>
      <c r="AZ90" s="2889"/>
      <c r="BA90" s="2889"/>
      <c r="BB90" s="2889"/>
      <c r="BC90" s="2889"/>
      <c r="BD90" s="2889"/>
      <c r="BE90" s="2889"/>
      <c r="BF90" s="2889"/>
      <c r="BG90" s="2889"/>
      <c r="BH90" s="2889"/>
      <c r="BI90" s="2889"/>
      <c r="BJ90" s="2889"/>
      <c r="BK90" s="2889"/>
      <c r="BL90" s="2889"/>
      <c r="BM90" s="2889"/>
      <c r="BN90" s="2889"/>
      <c r="BO90" s="2889"/>
      <c r="BP90" s="2889"/>
      <c r="BQ90" s="2889"/>
      <c r="BR90" s="2889"/>
      <c r="BS90" s="2889"/>
      <c r="BT90" s="2889"/>
      <c r="BU90" s="2890"/>
      <c r="BV90" s="2312"/>
      <c r="BW90" s="2309"/>
      <c r="EQ90" s="2312"/>
      <c r="ER90" s="2309"/>
      <c r="ES90" s="2849"/>
      <c r="ET90" s="2850"/>
      <c r="EU90" s="2850"/>
      <c r="EV90" s="2850"/>
      <c r="EW90" s="2850"/>
      <c r="EX90" s="2850"/>
      <c r="EY90" s="2850"/>
      <c r="EZ90" s="2850"/>
      <c r="FA90" s="2850"/>
      <c r="FB90" s="2850"/>
      <c r="FC90" s="2850"/>
      <c r="FD90" s="2850"/>
      <c r="FE90" s="2850"/>
      <c r="FF90" s="2850"/>
      <c r="FG90" s="2850"/>
      <c r="FH90" s="2850"/>
      <c r="FI90" s="2850"/>
      <c r="FJ90" s="2850"/>
      <c r="FK90" s="2850"/>
      <c r="FL90" s="2850"/>
      <c r="FM90" s="2850"/>
      <c r="FN90" s="2850"/>
      <c r="FO90" s="2850"/>
      <c r="FP90" s="2850"/>
      <c r="FQ90" s="2850"/>
      <c r="FR90" s="2850"/>
      <c r="FS90" s="2850"/>
      <c r="FT90" s="2850"/>
      <c r="FU90" s="2850"/>
      <c r="FV90" s="2850"/>
      <c r="FW90" s="2850"/>
      <c r="FX90" s="2850"/>
      <c r="FY90" s="2850"/>
      <c r="FZ90" s="2851"/>
      <c r="GA90" s="2343"/>
      <c r="GB90" s="2343"/>
      <c r="GC90" s="2348"/>
      <c r="GD90" s="2349"/>
      <c r="GE90" s="2349"/>
      <c r="GF90" s="2349"/>
      <c r="GG90" s="2349"/>
      <c r="GH90" s="2349"/>
      <c r="GI90" s="2349"/>
      <c r="GJ90" s="2349"/>
      <c r="GK90" s="2349"/>
      <c r="GL90" s="2349"/>
      <c r="GM90" s="2349"/>
      <c r="GN90" s="2349"/>
      <c r="GO90" s="2349"/>
      <c r="GP90" s="2349"/>
      <c r="GQ90" s="2349"/>
      <c r="GR90" s="2349"/>
      <c r="GS90" s="2349"/>
      <c r="GT90" s="2349"/>
      <c r="GU90" s="2349"/>
      <c r="GV90" s="2349"/>
      <c r="GW90" s="2349"/>
      <c r="GX90" s="2349"/>
      <c r="GY90" s="2349"/>
      <c r="GZ90" s="2349"/>
      <c r="HA90" s="2349"/>
      <c r="HB90" s="2349"/>
      <c r="HC90" s="2349"/>
      <c r="HD90" s="2349"/>
      <c r="HE90" s="2349"/>
      <c r="HF90" s="2349"/>
      <c r="HG90" s="2350"/>
      <c r="HH90" s="2350"/>
      <c r="HI90" s="2350"/>
      <c r="HJ90" s="2351"/>
      <c r="HL90" s="2312"/>
    </row>
    <row r="91" spans="2:220" ht="7.5" customHeight="1">
      <c r="B91" s="2309"/>
      <c r="C91" s="2766" t="s">
        <v>10363</v>
      </c>
      <c r="D91" s="2767"/>
      <c r="E91" s="2767"/>
      <c r="F91" s="2767"/>
      <c r="G91" s="2767"/>
      <c r="H91" s="2767"/>
      <c r="I91" s="2767"/>
      <c r="J91" s="2767"/>
      <c r="K91" s="2767"/>
      <c r="L91" s="2767"/>
      <c r="M91" s="2767"/>
      <c r="N91" s="2767"/>
      <c r="O91" s="2767"/>
      <c r="P91" s="2767"/>
      <c r="Q91" s="2767"/>
      <c r="R91" s="2767"/>
      <c r="S91" s="2767"/>
      <c r="T91" s="2767"/>
      <c r="U91" s="2767"/>
      <c r="V91" s="2767"/>
      <c r="W91" s="2767"/>
      <c r="Y91" s="2892"/>
      <c r="Z91" s="2893"/>
      <c r="AA91" s="2893"/>
      <c r="AB91" s="2893"/>
      <c r="AC91" s="2893"/>
      <c r="AD91" s="2893"/>
      <c r="AE91" s="2893"/>
      <c r="AF91" s="2893"/>
      <c r="AG91" s="2893"/>
      <c r="AH91" s="2893"/>
      <c r="AI91" s="2893"/>
      <c r="AJ91" s="2893"/>
      <c r="AK91" s="2893"/>
      <c r="AL91" s="2893"/>
      <c r="AM91" s="2893"/>
      <c r="AN91" s="2893"/>
      <c r="AO91" s="2893"/>
      <c r="AP91" s="2893"/>
      <c r="AQ91" s="2893"/>
      <c r="AR91" s="2893"/>
      <c r="AS91" s="2893"/>
      <c r="AT91" s="2893"/>
      <c r="AU91" s="2893"/>
      <c r="AV91" s="2894"/>
      <c r="AX91" s="2892"/>
      <c r="AY91" s="2893"/>
      <c r="AZ91" s="2893"/>
      <c r="BA91" s="2893"/>
      <c r="BB91" s="2893"/>
      <c r="BC91" s="2893"/>
      <c r="BD91" s="2893"/>
      <c r="BE91" s="2893"/>
      <c r="BF91" s="2893"/>
      <c r="BG91" s="2893"/>
      <c r="BH91" s="2893"/>
      <c r="BI91" s="2893"/>
      <c r="BJ91" s="2893"/>
      <c r="BK91" s="2893"/>
      <c r="BL91" s="2893"/>
      <c r="BM91" s="2893"/>
      <c r="BN91" s="2893"/>
      <c r="BO91" s="2893"/>
      <c r="BP91" s="2893"/>
      <c r="BQ91" s="2893"/>
      <c r="BR91" s="2893"/>
      <c r="BS91" s="2893"/>
      <c r="BT91" s="2893"/>
      <c r="BU91" s="2894"/>
      <c r="BV91" s="2312"/>
      <c r="BW91" s="2309"/>
      <c r="BX91" s="2793" t="s">
        <v>10364</v>
      </c>
      <c r="BY91" s="2794"/>
      <c r="BZ91" s="2794"/>
      <c r="CA91" s="2794"/>
      <c r="CB91" s="2794"/>
      <c r="CC91" s="2794"/>
      <c r="CD91" s="2794"/>
      <c r="CE91" s="2794"/>
      <c r="CF91" s="2794"/>
      <c r="CG91" s="2795"/>
      <c r="CH91" s="2802" t="e">
        <f>#REF!</f>
        <v>#REF!</v>
      </c>
      <c r="CI91" s="2803"/>
      <c r="CJ91" s="2803"/>
      <c r="CK91" s="2803"/>
      <c r="CL91" s="2803"/>
      <c r="CM91" s="2803"/>
      <c r="CN91" s="2803"/>
      <c r="CO91" s="2803"/>
      <c r="CP91" s="2803"/>
      <c r="CQ91" s="2803"/>
      <c r="CR91" s="2803"/>
      <c r="CS91" s="2803"/>
      <c r="CT91" s="2803"/>
      <c r="CU91" s="2803"/>
      <c r="CV91" s="2803"/>
      <c r="CW91" s="2803"/>
      <c r="CX91" s="2803"/>
      <c r="CY91" s="2803"/>
      <c r="CZ91" s="2803"/>
      <c r="DA91" s="2803"/>
      <c r="DB91" s="2803"/>
      <c r="DC91" s="2803"/>
      <c r="DD91" s="2803"/>
      <c r="DE91" s="2803"/>
      <c r="DF91" s="2803"/>
      <c r="DG91" s="2803"/>
      <c r="DH91" s="2803"/>
      <c r="DI91" s="2803"/>
      <c r="DJ91" s="2803"/>
      <c r="DK91" s="2803"/>
      <c r="DL91" s="2803"/>
      <c r="DM91" s="2803"/>
      <c r="DN91" s="2803"/>
      <c r="DO91" s="2803"/>
      <c r="DP91" s="2803"/>
      <c r="DQ91" s="2803"/>
      <c r="DR91" s="2803"/>
      <c r="DS91" s="2803"/>
      <c r="DT91" s="2803"/>
      <c r="DU91" s="2803"/>
      <c r="DV91" s="2803"/>
      <c r="DW91" s="2803"/>
      <c r="DX91" s="2803"/>
      <c r="DY91" s="2803"/>
      <c r="DZ91" s="2803"/>
      <c r="EA91" s="2803"/>
      <c r="EB91" s="2803"/>
      <c r="EC91" s="2803"/>
      <c r="ED91" s="2803"/>
      <c r="EE91" s="2803"/>
      <c r="EF91" s="2803"/>
      <c r="EG91" s="2803"/>
      <c r="EH91" s="2803"/>
      <c r="EI91" s="2803"/>
      <c r="EJ91" s="2803"/>
      <c r="EK91" s="2803"/>
      <c r="EL91" s="2803"/>
      <c r="EM91" s="2803"/>
      <c r="EN91" s="2803"/>
      <c r="EO91" s="2803"/>
      <c r="EP91" s="2804"/>
      <c r="EQ91" s="2312"/>
      <c r="ER91" s="2309"/>
      <c r="ES91" s="2849"/>
      <c r="ET91" s="2850"/>
      <c r="EU91" s="2850"/>
      <c r="EV91" s="2850"/>
      <c r="EW91" s="2850"/>
      <c r="EX91" s="2850"/>
      <c r="EY91" s="2850"/>
      <c r="EZ91" s="2850"/>
      <c r="FA91" s="2850"/>
      <c r="FB91" s="2850"/>
      <c r="FC91" s="2850"/>
      <c r="FD91" s="2850"/>
      <c r="FE91" s="2850"/>
      <c r="FF91" s="2850"/>
      <c r="FG91" s="2850"/>
      <c r="FH91" s="2850"/>
      <c r="FI91" s="2850"/>
      <c r="FJ91" s="2850"/>
      <c r="FK91" s="2850"/>
      <c r="FL91" s="2850"/>
      <c r="FM91" s="2850"/>
      <c r="FN91" s="2850"/>
      <c r="FO91" s="2850"/>
      <c r="FP91" s="2850"/>
      <c r="FQ91" s="2850"/>
      <c r="FR91" s="2850"/>
      <c r="FS91" s="2850"/>
      <c r="FT91" s="2850"/>
      <c r="FU91" s="2850"/>
      <c r="FV91" s="2850"/>
      <c r="FW91" s="2850"/>
      <c r="FX91" s="2850"/>
      <c r="FY91" s="2850"/>
      <c r="FZ91" s="2851"/>
      <c r="GA91" s="2343"/>
      <c r="GB91" s="2343"/>
      <c r="GC91" s="2348"/>
      <c r="GD91" s="2349"/>
      <c r="GE91" s="2349"/>
      <c r="GF91" s="2349"/>
      <c r="GG91" s="2349"/>
      <c r="GH91" s="2349"/>
      <c r="GI91" s="2349"/>
      <c r="GJ91" s="2349"/>
      <c r="GK91" s="2349"/>
      <c r="GL91" s="2349"/>
      <c r="GM91" s="2349"/>
      <c r="GN91" s="2349"/>
      <c r="GO91" s="2349"/>
      <c r="GP91" s="2349"/>
      <c r="GQ91" s="2349"/>
      <c r="GR91" s="2349"/>
      <c r="GS91" s="2349"/>
      <c r="GT91" s="2349"/>
      <c r="GU91" s="2349"/>
      <c r="GV91" s="2349"/>
      <c r="GW91" s="2349"/>
      <c r="GX91" s="2349"/>
      <c r="GY91" s="2349"/>
      <c r="GZ91" s="2349"/>
      <c r="HA91" s="2349"/>
      <c r="HB91" s="2349"/>
      <c r="HC91" s="2349"/>
      <c r="HD91" s="2349"/>
      <c r="HE91" s="2349"/>
      <c r="HF91" s="2349"/>
      <c r="HG91" s="2350"/>
      <c r="HH91" s="2350"/>
      <c r="HI91" s="2350"/>
      <c r="HJ91" s="2351"/>
      <c r="HL91" s="2312"/>
    </row>
    <row r="92" spans="2:220" ht="7.5" customHeight="1" thickBot="1">
      <c r="B92" s="2309"/>
      <c r="C92" s="2768"/>
      <c r="D92" s="2768"/>
      <c r="E92" s="2768"/>
      <c r="F92" s="2768"/>
      <c r="G92" s="2768"/>
      <c r="H92" s="2768"/>
      <c r="I92" s="2768"/>
      <c r="J92" s="2768"/>
      <c r="K92" s="2768"/>
      <c r="L92" s="2768"/>
      <c r="M92" s="2768"/>
      <c r="N92" s="2768"/>
      <c r="O92" s="2768"/>
      <c r="P92" s="2768"/>
      <c r="Q92" s="2768"/>
      <c r="R92" s="2768"/>
      <c r="S92" s="2768"/>
      <c r="T92" s="2768"/>
      <c r="U92" s="2768"/>
      <c r="V92" s="2768"/>
      <c r="W92" s="2768"/>
      <c r="BV92" s="2312"/>
      <c r="BW92" s="2309"/>
      <c r="BX92" s="2796"/>
      <c r="BY92" s="2797"/>
      <c r="BZ92" s="2797"/>
      <c r="CA92" s="2797"/>
      <c r="CB92" s="2797"/>
      <c r="CC92" s="2797"/>
      <c r="CD92" s="2797"/>
      <c r="CE92" s="2797"/>
      <c r="CF92" s="2797"/>
      <c r="CG92" s="2798"/>
      <c r="CH92" s="2805"/>
      <c r="CI92" s="2806"/>
      <c r="CJ92" s="2806"/>
      <c r="CK92" s="2806"/>
      <c r="CL92" s="2806"/>
      <c r="CM92" s="2806"/>
      <c r="CN92" s="2806"/>
      <c r="CO92" s="2806"/>
      <c r="CP92" s="2806"/>
      <c r="CQ92" s="2806"/>
      <c r="CR92" s="2806"/>
      <c r="CS92" s="2806"/>
      <c r="CT92" s="2806"/>
      <c r="CU92" s="2806"/>
      <c r="CV92" s="2806"/>
      <c r="CW92" s="2806"/>
      <c r="CX92" s="2806"/>
      <c r="CY92" s="2806"/>
      <c r="CZ92" s="2806"/>
      <c r="DA92" s="2806"/>
      <c r="DB92" s="2806"/>
      <c r="DC92" s="2806"/>
      <c r="DD92" s="2806"/>
      <c r="DE92" s="2806"/>
      <c r="DF92" s="2806"/>
      <c r="DG92" s="2806"/>
      <c r="DH92" s="2806"/>
      <c r="DI92" s="2806"/>
      <c r="DJ92" s="2806"/>
      <c r="DK92" s="2806"/>
      <c r="DL92" s="2806"/>
      <c r="DM92" s="2806"/>
      <c r="DN92" s="2806"/>
      <c r="DO92" s="2806"/>
      <c r="DP92" s="2806"/>
      <c r="DQ92" s="2806"/>
      <c r="DR92" s="2806"/>
      <c r="DS92" s="2806"/>
      <c r="DT92" s="2806"/>
      <c r="DU92" s="2806"/>
      <c r="DV92" s="2806"/>
      <c r="DW92" s="2806"/>
      <c r="DX92" s="2806"/>
      <c r="DY92" s="2806"/>
      <c r="DZ92" s="2806"/>
      <c r="EA92" s="2806"/>
      <c r="EB92" s="2806"/>
      <c r="EC92" s="2806"/>
      <c r="ED92" s="2806"/>
      <c r="EE92" s="2806"/>
      <c r="EF92" s="2806"/>
      <c r="EG92" s="2806"/>
      <c r="EH92" s="2806"/>
      <c r="EI92" s="2806"/>
      <c r="EJ92" s="2806"/>
      <c r="EK92" s="2806"/>
      <c r="EL92" s="2806"/>
      <c r="EM92" s="2806"/>
      <c r="EN92" s="2806"/>
      <c r="EO92" s="2806"/>
      <c r="EP92" s="2807"/>
      <c r="EQ92" s="2312"/>
      <c r="ER92" s="2309"/>
      <c r="ES92" s="2849"/>
      <c r="ET92" s="2850"/>
      <c r="EU92" s="2850"/>
      <c r="EV92" s="2850"/>
      <c r="EW92" s="2850"/>
      <c r="EX92" s="2850"/>
      <c r="EY92" s="2850"/>
      <c r="EZ92" s="2850"/>
      <c r="FA92" s="2850"/>
      <c r="FB92" s="2850"/>
      <c r="FC92" s="2850"/>
      <c r="FD92" s="2850"/>
      <c r="FE92" s="2850"/>
      <c r="FF92" s="2850"/>
      <c r="FG92" s="2850"/>
      <c r="FH92" s="2850"/>
      <c r="FI92" s="2850"/>
      <c r="FJ92" s="2850"/>
      <c r="FK92" s="2850"/>
      <c r="FL92" s="2850"/>
      <c r="FM92" s="2850"/>
      <c r="FN92" s="2850"/>
      <c r="FO92" s="2850"/>
      <c r="FP92" s="2850"/>
      <c r="FQ92" s="2850"/>
      <c r="FR92" s="2850"/>
      <c r="FS92" s="2850"/>
      <c r="FT92" s="2850"/>
      <c r="FU92" s="2850"/>
      <c r="FV92" s="2850"/>
      <c r="FW92" s="2850"/>
      <c r="FX92" s="2850"/>
      <c r="FY92" s="2850"/>
      <c r="FZ92" s="2851"/>
      <c r="GA92" s="2343"/>
      <c r="GB92" s="2343"/>
      <c r="GC92" s="2348"/>
      <c r="GD92" s="2349"/>
      <c r="GE92" s="2349"/>
      <c r="GF92" s="2349"/>
      <c r="GG92" s="2349"/>
      <c r="GH92" s="2349"/>
      <c r="GI92" s="2349"/>
      <c r="GJ92" s="2349"/>
      <c r="GK92" s="2349"/>
      <c r="GL92" s="2349"/>
      <c r="GM92" s="2349"/>
      <c r="GN92" s="2349"/>
      <c r="GO92" s="2349"/>
      <c r="GP92" s="2349"/>
      <c r="GQ92" s="2349"/>
      <c r="GR92" s="2349"/>
      <c r="GS92" s="2349"/>
      <c r="GT92" s="2349"/>
      <c r="GU92" s="2349"/>
      <c r="GV92" s="2349"/>
      <c r="GW92" s="2349"/>
      <c r="GX92" s="2349"/>
      <c r="GY92" s="2349"/>
      <c r="GZ92" s="2349"/>
      <c r="HA92" s="2349"/>
      <c r="HB92" s="2349"/>
      <c r="HC92" s="2349"/>
      <c r="HD92" s="2349"/>
      <c r="HE92" s="2349"/>
      <c r="HF92" s="2349"/>
      <c r="HG92" s="2350"/>
      <c r="HH92" s="2350"/>
      <c r="HI92" s="2350"/>
      <c r="HJ92" s="2351"/>
      <c r="HL92" s="2312"/>
    </row>
    <row r="93" spans="2:220" ht="7.5" customHeight="1">
      <c r="B93" s="2309"/>
      <c r="C93" s="2846"/>
      <c r="D93" s="2847"/>
      <c r="E93" s="2847"/>
      <c r="F93" s="2847"/>
      <c r="G93" s="2847"/>
      <c r="H93" s="2847"/>
      <c r="I93" s="2847"/>
      <c r="J93" s="2847"/>
      <c r="K93" s="2847"/>
      <c r="L93" s="2847"/>
      <c r="M93" s="2847"/>
      <c r="N93" s="2847"/>
      <c r="O93" s="2847"/>
      <c r="P93" s="2847"/>
      <c r="Q93" s="2847"/>
      <c r="R93" s="2847"/>
      <c r="S93" s="2847"/>
      <c r="T93" s="2847"/>
      <c r="U93" s="2847"/>
      <c r="V93" s="2847"/>
      <c r="W93" s="2848"/>
      <c r="Y93" s="2858" t="s">
        <v>10365</v>
      </c>
      <c r="Z93" s="2859"/>
      <c r="AA93" s="2859"/>
      <c r="AB93" s="2859"/>
      <c r="AC93" s="2859"/>
      <c r="AD93" s="2859"/>
      <c r="AE93" s="2859"/>
      <c r="AF93" s="2859"/>
      <c r="AG93" s="2859"/>
      <c r="AH93" s="2859"/>
      <c r="AI93" s="2859"/>
      <c r="AJ93" s="2859"/>
      <c r="AK93" s="2859"/>
      <c r="AL93" s="2859"/>
      <c r="AM93" s="2859"/>
      <c r="AN93" s="2859"/>
      <c r="AO93" s="2859"/>
      <c r="AP93" s="2859"/>
      <c r="AQ93" s="2859"/>
      <c r="AR93" s="2859"/>
      <c r="AS93" s="2859"/>
      <c r="AT93" s="2859"/>
      <c r="AU93" s="2859"/>
      <c r="AV93" s="2859"/>
      <c r="AW93" s="2859"/>
      <c r="AX93" s="2859"/>
      <c r="AY93" s="2859"/>
      <c r="AZ93" s="2859"/>
      <c r="BA93" s="2859"/>
      <c r="BB93" s="2859"/>
      <c r="BC93" s="2859"/>
      <c r="BD93" s="2859"/>
      <c r="BE93" s="2859"/>
      <c r="BF93" s="2859"/>
      <c r="BG93" s="2859"/>
      <c r="BI93" s="2861" t="s">
        <v>8430</v>
      </c>
      <c r="BJ93" s="2862"/>
      <c r="BK93" s="2862"/>
      <c r="BL93" s="2862"/>
      <c r="BM93" s="2862"/>
      <c r="BN93" s="2862"/>
      <c r="BO93" s="2862"/>
      <c r="BP93" s="2862"/>
      <c r="BQ93" s="2862"/>
      <c r="BR93" s="2862"/>
      <c r="BS93" s="2862"/>
      <c r="BT93" s="2862"/>
      <c r="BU93" s="2863"/>
      <c r="BV93" s="2312"/>
      <c r="BW93" s="2309"/>
      <c r="BX93" s="2796"/>
      <c r="BY93" s="2797"/>
      <c r="BZ93" s="2797"/>
      <c r="CA93" s="2797"/>
      <c r="CB93" s="2797"/>
      <c r="CC93" s="2797"/>
      <c r="CD93" s="2797"/>
      <c r="CE93" s="2797"/>
      <c r="CF93" s="2797"/>
      <c r="CG93" s="2798"/>
      <c r="CH93" s="2805"/>
      <c r="CI93" s="2806"/>
      <c r="CJ93" s="2806"/>
      <c r="CK93" s="2806"/>
      <c r="CL93" s="2806"/>
      <c r="CM93" s="2806"/>
      <c r="CN93" s="2806"/>
      <c r="CO93" s="2806"/>
      <c r="CP93" s="2806"/>
      <c r="CQ93" s="2806"/>
      <c r="CR93" s="2806"/>
      <c r="CS93" s="2806"/>
      <c r="CT93" s="2806"/>
      <c r="CU93" s="2806"/>
      <c r="CV93" s="2806"/>
      <c r="CW93" s="2806"/>
      <c r="CX93" s="2806"/>
      <c r="CY93" s="2806"/>
      <c r="CZ93" s="2806"/>
      <c r="DA93" s="2806"/>
      <c r="DB93" s="2806"/>
      <c r="DC93" s="2806"/>
      <c r="DD93" s="2806"/>
      <c r="DE93" s="2806"/>
      <c r="DF93" s="2806"/>
      <c r="DG93" s="2806"/>
      <c r="DH93" s="2806"/>
      <c r="DI93" s="2806"/>
      <c r="DJ93" s="2806"/>
      <c r="DK93" s="2806"/>
      <c r="DL93" s="2806"/>
      <c r="DM93" s="2806"/>
      <c r="DN93" s="2806"/>
      <c r="DO93" s="2806"/>
      <c r="DP93" s="2806"/>
      <c r="DQ93" s="2806"/>
      <c r="DR93" s="2806"/>
      <c r="DS93" s="2806"/>
      <c r="DT93" s="2806"/>
      <c r="DU93" s="2806"/>
      <c r="DV93" s="2806"/>
      <c r="DW93" s="2806"/>
      <c r="DX93" s="2806"/>
      <c r="DY93" s="2806"/>
      <c r="DZ93" s="2806"/>
      <c r="EA93" s="2806"/>
      <c r="EB93" s="2806"/>
      <c r="EC93" s="2806"/>
      <c r="ED93" s="2806"/>
      <c r="EE93" s="2806"/>
      <c r="EF93" s="2806"/>
      <c r="EG93" s="2806"/>
      <c r="EH93" s="2806"/>
      <c r="EI93" s="2806"/>
      <c r="EJ93" s="2806"/>
      <c r="EK93" s="2806"/>
      <c r="EL93" s="2806"/>
      <c r="EM93" s="2806"/>
      <c r="EN93" s="2806"/>
      <c r="EO93" s="2806"/>
      <c r="EP93" s="2807"/>
      <c r="EQ93" s="2312"/>
      <c r="ER93" s="2309"/>
      <c r="ES93" s="2849"/>
      <c r="ET93" s="2850"/>
      <c r="EU93" s="2850"/>
      <c r="EV93" s="2850"/>
      <c r="EW93" s="2850"/>
      <c r="EX93" s="2850"/>
      <c r="EY93" s="2850"/>
      <c r="EZ93" s="2850"/>
      <c r="FA93" s="2850"/>
      <c r="FB93" s="2850"/>
      <c r="FC93" s="2850"/>
      <c r="FD93" s="2850"/>
      <c r="FE93" s="2850"/>
      <c r="FF93" s="2850"/>
      <c r="FG93" s="2850"/>
      <c r="FH93" s="2850"/>
      <c r="FI93" s="2850"/>
      <c r="FJ93" s="2850"/>
      <c r="FK93" s="2850"/>
      <c r="FL93" s="2850"/>
      <c r="FM93" s="2850"/>
      <c r="FN93" s="2850"/>
      <c r="FO93" s="2850"/>
      <c r="FP93" s="2850"/>
      <c r="FQ93" s="2850"/>
      <c r="FR93" s="2850"/>
      <c r="FS93" s="2850"/>
      <c r="FT93" s="2850"/>
      <c r="FU93" s="2850"/>
      <c r="FV93" s="2850"/>
      <c r="FW93" s="2850"/>
      <c r="FX93" s="2850"/>
      <c r="FY93" s="2850"/>
      <c r="FZ93" s="2851"/>
      <c r="GA93" s="2343"/>
      <c r="GB93" s="2343"/>
      <c r="GC93" s="2348"/>
      <c r="GD93" s="2349"/>
      <c r="GE93" s="2349"/>
      <c r="GF93" s="2349"/>
      <c r="GG93" s="2349"/>
      <c r="GH93" s="2349"/>
      <c r="GI93" s="2349"/>
      <c r="GJ93" s="2349"/>
      <c r="GK93" s="2349"/>
      <c r="GL93" s="2349"/>
      <c r="GM93" s="2349"/>
      <c r="GN93" s="2349"/>
      <c r="GO93" s="2349"/>
      <c r="GP93" s="2349"/>
      <c r="GQ93" s="2349"/>
      <c r="GR93" s="2349"/>
      <c r="GS93" s="2349"/>
      <c r="GT93" s="2349"/>
      <c r="GU93" s="2349"/>
      <c r="GV93" s="2349"/>
      <c r="GW93" s="2349"/>
      <c r="GX93" s="2349"/>
      <c r="GY93" s="2349"/>
      <c r="GZ93" s="2349"/>
      <c r="HA93" s="2349"/>
      <c r="HB93" s="2349"/>
      <c r="HC93" s="2349"/>
      <c r="HD93" s="2349"/>
      <c r="HE93" s="2349"/>
      <c r="HF93" s="2349"/>
      <c r="HG93" s="2350"/>
      <c r="HH93" s="2350"/>
      <c r="HI93" s="2350"/>
      <c r="HJ93" s="2351"/>
      <c r="HL93" s="2312"/>
    </row>
    <row r="94" spans="2:220" ht="7.5" customHeight="1" thickBot="1">
      <c r="B94" s="2309"/>
      <c r="C94" s="2849"/>
      <c r="D94" s="2850"/>
      <c r="E94" s="2850"/>
      <c r="F94" s="2850"/>
      <c r="G94" s="2850"/>
      <c r="H94" s="2850"/>
      <c r="I94" s="2850"/>
      <c r="J94" s="2850"/>
      <c r="K94" s="2850"/>
      <c r="L94" s="2850"/>
      <c r="M94" s="2850"/>
      <c r="N94" s="2850"/>
      <c r="O94" s="2850"/>
      <c r="P94" s="2850"/>
      <c r="Q94" s="2850"/>
      <c r="R94" s="2850"/>
      <c r="S94" s="2850"/>
      <c r="T94" s="2850"/>
      <c r="U94" s="2850"/>
      <c r="V94" s="2850"/>
      <c r="W94" s="2851"/>
      <c r="Y94" s="2860"/>
      <c r="Z94" s="2860"/>
      <c r="AA94" s="2860"/>
      <c r="AB94" s="2860"/>
      <c r="AC94" s="2860"/>
      <c r="AD94" s="2860"/>
      <c r="AE94" s="2860"/>
      <c r="AF94" s="2860"/>
      <c r="AG94" s="2860"/>
      <c r="AH94" s="2860"/>
      <c r="AI94" s="2860"/>
      <c r="AJ94" s="2860"/>
      <c r="AK94" s="2860"/>
      <c r="AL94" s="2860"/>
      <c r="AM94" s="2860"/>
      <c r="AN94" s="2860"/>
      <c r="AO94" s="2860"/>
      <c r="AP94" s="2860"/>
      <c r="AQ94" s="2860"/>
      <c r="AR94" s="2860"/>
      <c r="AS94" s="2860"/>
      <c r="AT94" s="2860"/>
      <c r="AU94" s="2860"/>
      <c r="AV94" s="2860"/>
      <c r="AW94" s="2860"/>
      <c r="AX94" s="2860"/>
      <c r="AY94" s="2860"/>
      <c r="AZ94" s="2860"/>
      <c r="BA94" s="2860"/>
      <c r="BB94" s="2860"/>
      <c r="BC94" s="2860"/>
      <c r="BD94" s="2860"/>
      <c r="BE94" s="2860"/>
      <c r="BF94" s="2860"/>
      <c r="BG94" s="2860"/>
      <c r="BI94" s="2864"/>
      <c r="BJ94" s="2797"/>
      <c r="BK94" s="2797"/>
      <c r="BL94" s="2797"/>
      <c r="BM94" s="2797"/>
      <c r="BN94" s="2797"/>
      <c r="BO94" s="2797"/>
      <c r="BP94" s="2797"/>
      <c r="BQ94" s="2797"/>
      <c r="BR94" s="2797"/>
      <c r="BS94" s="2797"/>
      <c r="BT94" s="2797"/>
      <c r="BU94" s="2865"/>
      <c r="BV94" s="2312"/>
      <c r="BW94" s="2309"/>
      <c r="BX94" s="2799"/>
      <c r="BY94" s="2800"/>
      <c r="BZ94" s="2800"/>
      <c r="CA94" s="2800"/>
      <c r="CB94" s="2800"/>
      <c r="CC94" s="2800"/>
      <c r="CD94" s="2800"/>
      <c r="CE94" s="2800"/>
      <c r="CF94" s="2800"/>
      <c r="CG94" s="2801"/>
      <c r="CH94" s="2808"/>
      <c r="CI94" s="2809"/>
      <c r="CJ94" s="2809"/>
      <c r="CK94" s="2809"/>
      <c r="CL94" s="2809"/>
      <c r="CM94" s="2809"/>
      <c r="CN94" s="2809"/>
      <c r="CO94" s="2809"/>
      <c r="CP94" s="2809"/>
      <c r="CQ94" s="2809"/>
      <c r="CR94" s="2809"/>
      <c r="CS94" s="2809"/>
      <c r="CT94" s="2809"/>
      <c r="CU94" s="2809"/>
      <c r="CV94" s="2809"/>
      <c r="CW94" s="2809"/>
      <c r="CX94" s="2809"/>
      <c r="CY94" s="2809"/>
      <c r="CZ94" s="2809"/>
      <c r="DA94" s="2809"/>
      <c r="DB94" s="2809"/>
      <c r="DC94" s="2809"/>
      <c r="DD94" s="2809"/>
      <c r="DE94" s="2809"/>
      <c r="DF94" s="2809"/>
      <c r="DG94" s="2809"/>
      <c r="DH94" s="2809"/>
      <c r="DI94" s="2809"/>
      <c r="DJ94" s="2809"/>
      <c r="DK94" s="2809"/>
      <c r="DL94" s="2809"/>
      <c r="DM94" s="2809"/>
      <c r="DN94" s="2809"/>
      <c r="DO94" s="2809"/>
      <c r="DP94" s="2809"/>
      <c r="DQ94" s="2809"/>
      <c r="DR94" s="2809"/>
      <c r="DS94" s="2809"/>
      <c r="DT94" s="2809"/>
      <c r="DU94" s="2809"/>
      <c r="DV94" s="2809"/>
      <c r="DW94" s="2809"/>
      <c r="DX94" s="2809"/>
      <c r="DY94" s="2809"/>
      <c r="DZ94" s="2809"/>
      <c r="EA94" s="2809"/>
      <c r="EB94" s="2809"/>
      <c r="EC94" s="2809"/>
      <c r="ED94" s="2809"/>
      <c r="EE94" s="2809"/>
      <c r="EF94" s="2809"/>
      <c r="EG94" s="2809"/>
      <c r="EH94" s="2809"/>
      <c r="EI94" s="2809"/>
      <c r="EJ94" s="2809"/>
      <c r="EK94" s="2809"/>
      <c r="EL94" s="2809"/>
      <c r="EM94" s="2809"/>
      <c r="EN94" s="2809"/>
      <c r="EO94" s="2809"/>
      <c r="EP94" s="2810"/>
      <c r="EQ94" s="2312"/>
      <c r="ER94" s="2309"/>
      <c r="ES94" s="2849"/>
      <c r="ET94" s="2850"/>
      <c r="EU94" s="2850"/>
      <c r="EV94" s="2850"/>
      <c r="EW94" s="2850"/>
      <c r="EX94" s="2850"/>
      <c r="EY94" s="2850"/>
      <c r="EZ94" s="2850"/>
      <c r="FA94" s="2850"/>
      <c r="FB94" s="2850"/>
      <c r="FC94" s="2850"/>
      <c r="FD94" s="2850"/>
      <c r="FE94" s="2850"/>
      <c r="FF94" s="2850"/>
      <c r="FG94" s="2850"/>
      <c r="FH94" s="2850"/>
      <c r="FI94" s="2850"/>
      <c r="FJ94" s="2850"/>
      <c r="FK94" s="2850"/>
      <c r="FL94" s="2850"/>
      <c r="FM94" s="2850"/>
      <c r="FN94" s="2850"/>
      <c r="FO94" s="2850"/>
      <c r="FP94" s="2850"/>
      <c r="FQ94" s="2850"/>
      <c r="FR94" s="2850"/>
      <c r="FS94" s="2850"/>
      <c r="FT94" s="2850"/>
      <c r="FU94" s="2850"/>
      <c r="FV94" s="2850"/>
      <c r="FW94" s="2850"/>
      <c r="FX94" s="2850"/>
      <c r="FY94" s="2850"/>
      <c r="FZ94" s="2851"/>
      <c r="GA94" s="2343"/>
      <c r="GB94" s="2343"/>
      <c r="GC94" s="2348"/>
      <c r="GD94" s="2349"/>
      <c r="GE94" s="2349"/>
      <c r="GF94" s="2349"/>
      <c r="GG94" s="2349"/>
      <c r="GH94" s="2349"/>
      <c r="GI94" s="2349"/>
      <c r="GJ94" s="2349"/>
      <c r="GK94" s="2349"/>
      <c r="GL94" s="2349"/>
      <c r="GM94" s="2349"/>
      <c r="GN94" s="2349"/>
      <c r="GO94" s="2349"/>
      <c r="GP94" s="2349"/>
      <c r="GQ94" s="2349"/>
      <c r="GR94" s="2349"/>
      <c r="GS94" s="2349"/>
      <c r="GT94" s="2349"/>
      <c r="GU94" s="2349"/>
      <c r="GV94" s="2349"/>
      <c r="GW94" s="2349"/>
      <c r="GX94" s="2349"/>
      <c r="GY94" s="2349"/>
      <c r="GZ94" s="2349"/>
      <c r="HA94" s="2349"/>
      <c r="HB94" s="2349"/>
      <c r="HC94" s="2349"/>
      <c r="HD94" s="2349"/>
      <c r="HE94" s="2349"/>
      <c r="HF94" s="2349"/>
      <c r="HG94" s="2350"/>
      <c r="HH94" s="2350"/>
      <c r="HI94" s="2350"/>
      <c r="HJ94" s="2351"/>
      <c r="HL94" s="2312"/>
    </row>
    <row r="95" spans="2:220" ht="7.5" customHeight="1">
      <c r="B95" s="2309"/>
      <c r="C95" s="2849"/>
      <c r="D95" s="2850"/>
      <c r="E95" s="2850"/>
      <c r="F95" s="2850"/>
      <c r="G95" s="2850"/>
      <c r="H95" s="2850"/>
      <c r="I95" s="2850"/>
      <c r="J95" s="2850"/>
      <c r="K95" s="2850"/>
      <c r="L95" s="2850"/>
      <c r="M95" s="2850"/>
      <c r="N95" s="2850"/>
      <c r="O95" s="2850"/>
      <c r="P95" s="2850"/>
      <c r="Q95" s="2850"/>
      <c r="R95" s="2850"/>
      <c r="S95" s="2850"/>
      <c r="T95" s="2850"/>
      <c r="U95" s="2850"/>
      <c r="V95" s="2850"/>
      <c r="W95" s="2851"/>
      <c r="Y95" s="2769"/>
      <c r="Z95" s="2770"/>
      <c r="AA95" s="2770"/>
      <c r="AB95" s="2770"/>
      <c r="AC95" s="2770"/>
      <c r="AD95" s="2770"/>
      <c r="AE95" s="2770"/>
      <c r="AF95" s="2770"/>
      <c r="AG95" s="2770"/>
      <c r="AH95" s="2770"/>
      <c r="AI95" s="2770"/>
      <c r="AJ95" s="2770"/>
      <c r="AK95" s="2770"/>
      <c r="AL95" s="2770"/>
      <c r="AM95" s="2770"/>
      <c r="AN95" s="2770"/>
      <c r="AO95" s="2770"/>
      <c r="AP95" s="2770"/>
      <c r="AQ95" s="2770"/>
      <c r="AR95" s="2770"/>
      <c r="AS95" s="2770"/>
      <c r="AT95" s="2770"/>
      <c r="AU95" s="2770"/>
      <c r="AV95" s="2770"/>
      <c r="AW95" s="2770"/>
      <c r="AX95" s="2770"/>
      <c r="AY95" s="2770"/>
      <c r="AZ95" s="2770"/>
      <c r="BA95" s="2866"/>
      <c r="BB95" s="2866"/>
      <c r="BC95" s="2866"/>
      <c r="BD95" s="2866"/>
      <c r="BE95" s="2866"/>
      <c r="BF95" s="2866"/>
      <c r="BG95" s="2867"/>
      <c r="BI95" s="2870" t="s">
        <v>2252</v>
      </c>
      <c r="BJ95" s="2862"/>
      <c r="BK95" s="2862"/>
      <c r="BL95" s="2862"/>
      <c r="BM95" s="2862"/>
      <c r="BN95" s="2871"/>
      <c r="BO95" s="871"/>
      <c r="BP95" s="2872" t="s">
        <v>2253</v>
      </c>
      <c r="BQ95" s="2862"/>
      <c r="BR95" s="2862"/>
      <c r="BS95" s="2862"/>
      <c r="BT95" s="2862"/>
      <c r="BU95" s="2863"/>
      <c r="BV95" s="2312"/>
      <c r="BW95" s="2309"/>
      <c r="EQ95" s="2312"/>
      <c r="ER95" s="2309"/>
      <c r="ES95" s="2849"/>
      <c r="ET95" s="2850"/>
      <c r="EU95" s="2850"/>
      <c r="EV95" s="2850"/>
      <c r="EW95" s="2850"/>
      <c r="EX95" s="2850"/>
      <c r="EY95" s="2850"/>
      <c r="EZ95" s="2850"/>
      <c r="FA95" s="2850"/>
      <c r="FB95" s="2850"/>
      <c r="FC95" s="2850"/>
      <c r="FD95" s="2850"/>
      <c r="FE95" s="2850"/>
      <c r="FF95" s="2850"/>
      <c r="FG95" s="2850"/>
      <c r="FH95" s="2850"/>
      <c r="FI95" s="2850"/>
      <c r="FJ95" s="2850"/>
      <c r="FK95" s="2850"/>
      <c r="FL95" s="2850"/>
      <c r="FM95" s="2850"/>
      <c r="FN95" s="2850"/>
      <c r="FO95" s="2850"/>
      <c r="FP95" s="2850"/>
      <c r="FQ95" s="2850"/>
      <c r="FR95" s="2850"/>
      <c r="FS95" s="2850"/>
      <c r="FT95" s="2850"/>
      <c r="FU95" s="2850"/>
      <c r="FV95" s="2850"/>
      <c r="FW95" s="2850"/>
      <c r="FX95" s="2850"/>
      <c r="FY95" s="2850"/>
      <c r="FZ95" s="2851"/>
      <c r="GA95" s="2343"/>
      <c r="GB95" s="2343"/>
      <c r="GC95" s="2348"/>
      <c r="GD95" s="2349"/>
      <c r="GE95" s="2349"/>
      <c r="GF95" s="2349"/>
      <c r="GG95" s="2349"/>
      <c r="GH95" s="2349"/>
      <c r="GI95" s="2349"/>
      <c r="GJ95" s="2349"/>
      <c r="GK95" s="2349"/>
      <c r="GL95" s="2349"/>
      <c r="GM95" s="2349"/>
      <c r="GN95" s="2349"/>
      <c r="GO95" s="2349"/>
      <c r="GP95" s="2349"/>
      <c r="GQ95" s="2349"/>
      <c r="GR95" s="2349"/>
      <c r="GS95" s="2349"/>
      <c r="GT95" s="2349"/>
      <c r="GU95" s="2349"/>
      <c r="GV95" s="2349"/>
      <c r="GW95" s="2349"/>
      <c r="GX95" s="2349"/>
      <c r="GY95" s="2349"/>
      <c r="GZ95" s="2349"/>
      <c r="HA95" s="2349"/>
      <c r="HB95" s="2349"/>
      <c r="HC95" s="2349"/>
      <c r="HD95" s="2349"/>
      <c r="HE95" s="2349"/>
      <c r="HF95" s="2349"/>
      <c r="HG95" s="2350"/>
      <c r="HH95" s="2350"/>
      <c r="HI95" s="2350"/>
      <c r="HJ95" s="2351"/>
      <c r="HL95" s="2312"/>
    </row>
    <row r="96" spans="2:220" ht="7.5" customHeight="1">
      <c r="B96" s="2309"/>
      <c r="C96" s="2852"/>
      <c r="D96" s="2853"/>
      <c r="E96" s="2853"/>
      <c r="F96" s="2853"/>
      <c r="G96" s="2853"/>
      <c r="H96" s="2853"/>
      <c r="I96" s="2853"/>
      <c r="J96" s="2853"/>
      <c r="K96" s="2853"/>
      <c r="L96" s="2853"/>
      <c r="M96" s="2853"/>
      <c r="N96" s="2853"/>
      <c r="O96" s="2853"/>
      <c r="P96" s="2853"/>
      <c r="Q96" s="2853"/>
      <c r="R96" s="2853"/>
      <c r="S96" s="2853"/>
      <c r="T96" s="2853"/>
      <c r="U96" s="2853"/>
      <c r="V96" s="2853"/>
      <c r="W96" s="2854"/>
      <c r="Y96" s="2773"/>
      <c r="Z96" s="2774"/>
      <c r="AA96" s="2774"/>
      <c r="AB96" s="2774"/>
      <c r="AC96" s="2774"/>
      <c r="AD96" s="2774"/>
      <c r="AE96" s="2774"/>
      <c r="AF96" s="2774"/>
      <c r="AG96" s="2774"/>
      <c r="AH96" s="2774"/>
      <c r="AI96" s="2774"/>
      <c r="AJ96" s="2774"/>
      <c r="AK96" s="2774"/>
      <c r="AL96" s="2774"/>
      <c r="AM96" s="2774"/>
      <c r="AN96" s="2774"/>
      <c r="AO96" s="2774"/>
      <c r="AP96" s="2774"/>
      <c r="AQ96" s="2774"/>
      <c r="AR96" s="2774"/>
      <c r="AS96" s="2774"/>
      <c r="AT96" s="2774"/>
      <c r="AU96" s="2774"/>
      <c r="AV96" s="2774"/>
      <c r="AW96" s="2774"/>
      <c r="AX96" s="2774"/>
      <c r="AY96" s="2774"/>
      <c r="AZ96" s="2774"/>
      <c r="BA96" s="2868"/>
      <c r="BB96" s="2868"/>
      <c r="BC96" s="2868"/>
      <c r="BD96" s="2868"/>
      <c r="BE96" s="2868"/>
      <c r="BF96" s="2868"/>
      <c r="BG96" s="2869"/>
      <c r="BI96" s="2811">
        <v>12.8</v>
      </c>
      <c r="BJ96" s="2812"/>
      <c r="BK96" s="2812"/>
      <c r="BL96" s="2812"/>
      <c r="BM96" s="2812"/>
      <c r="BN96" s="2813"/>
      <c r="BO96" s="1224"/>
      <c r="BP96" s="2815">
        <v>51.52</v>
      </c>
      <c r="BQ96" s="2812"/>
      <c r="BR96" s="2812"/>
      <c r="BS96" s="2812"/>
      <c r="BT96" s="2812"/>
      <c r="BU96" s="2816"/>
      <c r="BV96" s="2312"/>
      <c r="BW96" s="2309"/>
      <c r="BX96" s="2793" t="s">
        <v>10366</v>
      </c>
      <c r="BY96" s="2794"/>
      <c r="BZ96" s="2794"/>
      <c r="CA96" s="2794"/>
      <c r="CB96" s="2794"/>
      <c r="CC96" s="2794"/>
      <c r="CD96" s="2794"/>
      <c r="CE96" s="2794"/>
      <c r="CF96" s="2794"/>
      <c r="CG96" s="2795"/>
      <c r="CH96" s="2818" t="e">
        <f>#REF!</f>
        <v>#REF!</v>
      </c>
      <c r="CI96" s="2819"/>
      <c r="CJ96" s="2819"/>
      <c r="CK96" s="2819"/>
      <c r="CL96" s="2819"/>
      <c r="CM96" s="2819"/>
      <c r="CN96" s="2819"/>
      <c r="CO96" s="2819"/>
      <c r="CP96" s="2819"/>
      <c r="CQ96" s="2819"/>
      <c r="CR96" s="2819"/>
      <c r="CS96" s="2819"/>
      <c r="CT96" s="2819"/>
      <c r="CU96" s="2819"/>
      <c r="CV96" s="2819"/>
      <c r="CW96" s="2819"/>
      <c r="CX96" s="2819"/>
      <c r="CY96" s="2819"/>
      <c r="CZ96" s="2819"/>
      <c r="DA96" s="2819"/>
      <c r="DB96" s="2819"/>
      <c r="DC96" s="2819"/>
      <c r="DD96" s="2819"/>
      <c r="DE96" s="2819"/>
      <c r="DF96" s="2819"/>
      <c r="DG96" s="2819"/>
      <c r="DH96" s="2819"/>
      <c r="DI96" s="2819"/>
      <c r="DJ96" s="2819"/>
      <c r="DK96" s="2819"/>
      <c r="DL96" s="2819"/>
      <c r="DM96" s="2819"/>
      <c r="DN96" s="2819"/>
      <c r="DO96" s="2819"/>
      <c r="DP96" s="2819"/>
      <c r="DQ96" s="2819"/>
      <c r="DR96" s="2819"/>
      <c r="DS96" s="2819"/>
      <c r="DT96" s="2819"/>
      <c r="DU96" s="2819"/>
      <c r="DV96" s="2819"/>
      <c r="DW96" s="2819"/>
      <c r="DX96" s="2819"/>
      <c r="DY96" s="2819"/>
      <c r="DZ96" s="2819"/>
      <c r="EA96" s="2819"/>
      <c r="EB96" s="2819"/>
      <c r="EC96" s="2819"/>
      <c r="ED96" s="2819"/>
      <c r="EE96" s="2819"/>
      <c r="EF96" s="2819"/>
      <c r="EG96" s="2819"/>
      <c r="EH96" s="2819"/>
      <c r="EI96" s="2819"/>
      <c r="EJ96" s="2819"/>
      <c r="EK96" s="2819"/>
      <c r="EL96" s="2819"/>
      <c r="EM96" s="2819"/>
      <c r="EN96" s="2819"/>
      <c r="EO96" s="2819"/>
      <c r="EP96" s="2820"/>
      <c r="EQ96" s="2312"/>
      <c r="ER96" s="2309"/>
      <c r="ES96" s="2849"/>
      <c r="ET96" s="2850"/>
      <c r="EU96" s="2850"/>
      <c r="EV96" s="2850"/>
      <c r="EW96" s="2850"/>
      <c r="EX96" s="2850"/>
      <c r="EY96" s="2850"/>
      <c r="EZ96" s="2850"/>
      <c r="FA96" s="2850"/>
      <c r="FB96" s="2850"/>
      <c r="FC96" s="2850"/>
      <c r="FD96" s="2850"/>
      <c r="FE96" s="2850"/>
      <c r="FF96" s="2850"/>
      <c r="FG96" s="2850"/>
      <c r="FH96" s="2850"/>
      <c r="FI96" s="2850"/>
      <c r="FJ96" s="2850"/>
      <c r="FK96" s="2850"/>
      <c r="FL96" s="2850"/>
      <c r="FM96" s="2850"/>
      <c r="FN96" s="2850"/>
      <c r="FO96" s="2850"/>
      <c r="FP96" s="2850"/>
      <c r="FQ96" s="2850"/>
      <c r="FR96" s="2850"/>
      <c r="FS96" s="2850"/>
      <c r="FT96" s="2850"/>
      <c r="FU96" s="2850"/>
      <c r="FV96" s="2850"/>
      <c r="FW96" s="2850"/>
      <c r="FX96" s="2850"/>
      <c r="FY96" s="2850"/>
      <c r="FZ96" s="2851"/>
      <c r="GA96" s="2343"/>
      <c r="GB96" s="2343"/>
      <c r="GC96" s="2348"/>
      <c r="GD96" s="2349"/>
      <c r="GE96" s="2349"/>
      <c r="GF96" s="2349"/>
      <c r="GG96" s="2349"/>
      <c r="GH96" s="2349"/>
      <c r="GI96" s="2349"/>
      <c r="GJ96" s="2349"/>
      <c r="GK96" s="2349"/>
      <c r="GL96" s="2349"/>
      <c r="GM96" s="2349"/>
      <c r="GN96" s="2349"/>
      <c r="GO96" s="2349"/>
      <c r="GP96" s="2349"/>
      <c r="GQ96" s="2349"/>
      <c r="GR96" s="2349"/>
      <c r="GS96" s="2349"/>
      <c r="GT96" s="2349"/>
      <c r="GU96" s="2349"/>
      <c r="GV96" s="2349"/>
      <c r="GW96" s="2349"/>
      <c r="GX96" s="2349"/>
      <c r="GY96" s="2349"/>
      <c r="GZ96" s="2349"/>
      <c r="HA96" s="2349"/>
      <c r="HB96" s="2349"/>
      <c r="HC96" s="2349"/>
      <c r="HD96" s="2349"/>
      <c r="HE96" s="2349"/>
      <c r="HF96" s="2349"/>
      <c r="HG96" s="2350"/>
      <c r="HH96" s="2350"/>
      <c r="HI96" s="2350"/>
      <c r="HJ96" s="2351"/>
      <c r="HL96" s="2312"/>
    </row>
    <row r="97" spans="2:220" ht="7.5" customHeight="1">
      <c r="B97" s="2309"/>
      <c r="C97" s="2844"/>
      <c r="D97" s="2845"/>
      <c r="E97" s="2845"/>
      <c r="F97" s="2845"/>
      <c r="G97" s="2845"/>
      <c r="H97" s="2845"/>
      <c r="I97" s="2845"/>
      <c r="J97" s="2845"/>
      <c r="K97" s="2845"/>
      <c r="L97" s="2845"/>
      <c r="M97" s="2845"/>
      <c r="N97" s="2845"/>
      <c r="O97" s="2845"/>
      <c r="P97" s="2845"/>
      <c r="Q97" s="2845"/>
      <c r="R97" s="2845"/>
      <c r="S97" s="2845"/>
      <c r="T97" s="2845"/>
      <c r="U97" s="2845"/>
      <c r="V97" s="2845"/>
      <c r="W97" s="2845"/>
      <c r="Y97" s="2758"/>
      <c r="Z97" s="2759"/>
      <c r="AA97" s="2759"/>
      <c r="AB97" s="2759"/>
      <c r="AC97" s="2759"/>
      <c r="AD97" s="2759"/>
      <c r="AE97" s="2759"/>
      <c r="AF97" s="2759"/>
      <c r="AG97" s="2760"/>
      <c r="AH97" s="2760"/>
      <c r="AI97" s="2760"/>
      <c r="AJ97" s="2760"/>
      <c r="AK97" s="2760"/>
      <c r="AL97" s="2760"/>
      <c r="AM97" s="2760"/>
      <c r="AN97" s="2760"/>
      <c r="AO97" s="2760"/>
      <c r="AP97" s="2760"/>
      <c r="AQ97" s="2760"/>
      <c r="AR97" s="2760"/>
      <c r="AS97" s="2760"/>
      <c r="AT97" s="2760"/>
      <c r="AU97" s="2760"/>
      <c r="AV97" s="2760"/>
      <c r="AW97" s="2760"/>
      <c r="AX97" s="2760"/>
      <c r="AY97" s="2760"/>
      <c r="AZ97" s="2760"/>
      <c r="BA97" s="2760"/>
      <c r="BB97" s="2760"/>
      <c r="BC97" s="2760"/>
      <c r="BD97" s="2760"/>
      <c r="BE97" s="2760"/>
      <c r="BF97" s="2760"/>
      <c r="BG97" s="2761"/>
      <c r="BI97" s="2814"/>
      <c r="BJ97" s="2812"/>
      <c r="BK97" s="2812"/>
      <c r="BL97" s="2812"/>
      <c r="BM97" s="2812"/>
      <c r="BN97" s="2813"/>
      <c r="BO97" s="1224"/>
      <c r="BP97" s="2817"/>
      <c r="BQ97" s="2812"/>
      <c r="BR97" s="2812"/>
      <c r="BS97" s="2812"/>
      <c r="BT97" s="2812"/>
      <c r="BU97" s="2816"/>
      <c r="BV97" s="2312"/>
      <c r="BW97" s="2309"/>
      <c r="BX97" s="2796"/>
      <c r="BY97" s="2797"/>
      <c r="BZ97" s="2797"/>
      <c r="CA97" s="2797"/>
      <c r="CB97" s="2797"/>
      <c r="CC97" s="2797"/>
      <c r="CD97" s="2797"/>
      <c r="CE97" s="2797"/>
      <c r="CF97" s="2797"/>
      <c r="CG97" s="2798"/>
      <c r="CH97" s="2821"/>
      <c r="CI97" s="2822"/>
      <c r="CJ97" s="2822"/>
      <c r="CK97" s="2822"/>
      <c r="CL97" s="2822"/>
      <c r="CM97" s="2822"/>
      <c r="CN97" s="2822"/>
      <c r="CO97" s="2822"/>
      <c r="CP97" s="2822"/>
      <c r="CQ97" s="2822"/>
      <c r="CR97" s="2822"/>
      <c r="CS97" s="2822"/>
      <c r="CT97" s="2822"/>
      <c r="CU97" s="2822"/>
      <c r="CV97" s="2822"/>
      <c r="CW97" s="2822"/>
      <c r="CX97" s="2822"/>
      <c r="CY97" s="2822"/>
      <c r="CZ97" s="2822"/>
      <c r="DA97" s="2822"/>
      <c r="DB97" s="2822"/>
      <c r="DC97" s="2822"/>
      <c r="DD97" s="2822"/>
      <c r="DE97" s="2822"/>
      <c r="DF97" s="2822"/>
      <c r="DG97" s="2822"/>
      <c r="DH97" s="2822"/>
      <c r="DI97" s="2822"/>
      <c r="DJ97" s="2822"/>
      <c r="DK97" s="2822"/>
      <c r="DL97" s="2822"/>
      <c r="DM97" s="2822"/>
      <c r="DN97" s="2822"/>
      <c r="DO97" s="2822"/>
      <c r="DP97" s="2822"/>
      <c r="DQ97" s="2822"/>
      <c r="DR97" s="2822"/>
      <c r="DS97" s="2822"/>
      <c r="DT97" s="2822"/>
      <c r="DU97" s="2822"/>
      <c r="DV97" s="2822"/>
      <c r="DW97" s="2822"/>
      <c r="DX97" s="2822"/>
      <c r="DY97" s="2822"/>
      <c r="DZ97" s="2822"/>
      <c r="EA97" s="2822"/>
      <c r="EB97" s="2822"/>
      <c r="EC97" s="2822"/>
      <c r="ED97" s="2822"/>
      <c r="EE97" s="2822"/>
      <c r="EF97" s="2822"/>
      <c r="EG97" s="2822"/>
      <c r="EH97" s="2822"/>
      <c r="EI97" s="2822"/>
      <c r="EJ97" s="2822"/>
      <c r="EK97" s="2822"/>
      <c r="EL97" s="2822"/>
      <c r="EM97" s="2822"/>
      <c r="EN97" s="2822"/>
      <c r="EO97" s="2822"/>
      <c r="EP97" s="2823"/>
      <c r="EQ97" s="2312"/>
      <c r="ER97" s="2309"/>
      <c r="ES97" s="2849"/>
      <c r="ET97" s="2850"/>
      <c r="EU97" s="2850"/>
      <c r="EV97" s="2850"/>
      <c r="EW97" s="2850"/>
      <c r="EX97" s="2850"/>
      <c r="EY97" s="2850"/>
      <c r="EZ97" s="2850"/>
      <c r="FA97" s="2850"/>
      <c r="FB97" s="2850"/>
      <c r="FC97" s="2850"/>
      <c r="FD97" s="2850"/>
      <c r="FE97" s="2850"/>
      <c r="FF97" s="2850"/>
      <c r="FG97" s="2850"/>
      <c r="FH97" s="2850"/>
      <c r="FI97" s="2850"/>
      <c r="FJ97" s="2850"/>
      <c r="FK97" s="2850"/>
      <c r="FL97" s="2850"/>
      <c r="FM97" s="2850"/>
      <c r="FN97" s="2850"/>
      <c r="FO97" s="2850"/>
      <c r="FP97" s="2850"/>
      <c r="FQ97" s="2850"/>
      <c r="FR97" s="2850"/>
      <c r="FS97" s="2850"/>
      <c r="FT97" s="2850"/>
      <c r="FU97" s="2850"/>
      <c r="FV97" s="2850"/>
      <c r="FW97" s="2850"/>
      <c r="FX97" s="2850"/>
      <c r="FY97" s="2850"/>
      <c r="FZ97" s="2851"/>
      <c r="GA97" s="2343"/>
      <c r="GB97" s="2343"/>
      <c r="GC97" s="2348"/>
      <c r="GD97" s="2349"/>
      <c r="GE97" s="2349"/>
      <c r="GF97" s="2349"/>
      <c r="GG97" s="2349"/>
      <c r="GH97" s="2349"/>
      <c r="GI97" s="2349"/>
      <c r="GJ97" s="2349"/>
      <c r="GK97" s="2349"/>
      <c r="GL97" s="2349"/>
      <c r="GM97" s="2349"/>
      <c r="GN97" s="2349"/>
      <c r="GO97" s="2349"/>
      <c r="GP97" s="2349"/>
      <c r="GQ97" s="2349"/>
      <c r="GR97" s="2349"/>
      <c r="GS97" s="2349"/>
      <c r="GT97" s="2349"/>
      <c r="GU97" s="2349"/>
      <c r="GV97" s="2349"/>
      <c r="GW97" s="2349"/>
      <c r="GX97" s="2349"/>
      <c r="GY97" s="2349"/>
      <c r="GZ97" s="2349"/>
      <c r="HA97" s="2349"/>
      <c r="HB97" s="2349"/>
      <c r="HC97" s="2349"/>
      <c r="HD97" s="2349"/>
      <c r="HE97" s="2349"/>
      <c r="HF97" s="2349"/>
      <c r="HG97" s="2350"/>
      <c r="HH97" s="2350"/>
      <c r="HI97" s="2350"/>
      <c r="HJ97" s="2351"/>
      <c r="HL97" s="2312"/>
    </row>
    <row r="98" spans="2:220" ht="7.5" customHeight="1">
      <c r="B98" s="2309"/>
      <c r="C98" s="2768"/>
      <c r="D98" s="2768"/>
      <c r="E98" s="2768"/>
      <c r="F98" s="2768"/>
      <c r="G98" s="2768"/>
      <c r="H98" s="2768"/>
      <c r="I98" s="2768"/>
      <c r="J98" s="2768"/>
      <c r="K98" s="2768"/>
      <c r="L98" s="2768"/>
      <c r="M98" s="2768"/>
      <c r="N98" s="2768"/>
      <c r="O98" s="2768"/>
      <c r="P98" s="2768"/>
      <c r="Q98" s="2768"/>
      <c r="R98" s="2768"/>
      <c r="S98" s="2768"/>
      <c r="T98" s="2768"/>
      <c r="U98" s="2768"/>
      <c r="V98" s="2768"/>
      <c r="W98" s="2768"/>
      <c r="Y98" s="2762"/>
      <c r="Z98" s="2763"/>
      <c r="AA98" s="2763"/>
      <c r="AB98" s="2763"/>
      <c r="AC98" s="2763"/>
      <c r="AD98" s="2763"/>
      <c r="AE98" s="2763"/>
      <c r="AF98" s="2763"/>
      <c r="AG98" s="2764"/>
      <c r="AH98" s="2764"/>
      <c r="AI98" s="2764"/>
      <c r="AJ98" s="2764"/>
      <c r="AK98" s="2764"/>
      <c r="AL98" s="2764"/>
      <c r="AM98" s="2764"/>
      <c r="AN98" s="2764"/>
      <c r="AO98" s="2764"/>
      <c r="AP98" s="2764"/>
      <c r="AQ98" s="2764"/>
      <c r="AR98" s="2764"/>
      <c r="AS98" s="2764"/>
      <c r="AT98" s="2764"/>
      <c r="AU98" s="2764"/>
      <c r="AV98" s="2764"/>
      <c r="AW98" s="2764"/>
      <c r="AX98" s="2764"/>
      <c r="AY98" s="2764"/>
      <c r="AZ98" s="2764"/>
      <c r="BA98" s="2764"/>
      <c r="BB98" s="2764"/>
      <c r="BC98" s="2764"/>
      <c r="BD98" s="2764"/>
      <c r="BE98" s="2764"/>
      <c r="BF98" s="2764"/>
      <c r="BG98" s="2765"/>
      <c r="BH98" s="1224"/>
      <c r="BI98" s="2777" t="s">
        <v>8496</v>
      </c>
      <c r="BJ98" s="2812"/>
      <c r="BK98" s="2812"/>
      <c r="BL98" s="2812"/>
      <c r="BM98" s="2812"/>
      <c r="BN98" s="2813"/>
      <c r="BO98" s="1224"/>
      <c r="BP98" s="2781" t="s">
        <v>2254</v>
      </c>
      <c r="BQ98" s="2812"/>
      <c r="BR98" s="2812"/>
      <c r="BS98" s="2812"/>
      <c r="BT98" s="2812"/>
      <c r="BU98" s="2816"/>
      <c r="BV98" s="2312"/>
      <c r="BW98" s="2309"/>
      <c r="BX98" s="2796"/>
      <c r="BY98" s="2797"/>
      <c r="BZ98" s="2797"/>
      <c r="CA98" s="2797"/>
      <c r="CB98" s="2797"/>
      <c r="CC98" s="2797"/>
      <c r="CD98" s="2797"/>
      <c r="CE98" s="2797"/>
      <c r="CF98" s="2797"/>
      <c r="CG98" s="2798"/>
      <c r="CH98" s="2821"/>
      <c r="CI98" s="2822"/>
      <c r="CJ98" s="2822"/>
      <c r="CK98" s="2822"/>
      <c r="CL98" s="2822"/>
      <c r="CM98" s="2822"/>
      <c r="CN98" s="2822"/>
      <c r="CO98" s="2822"/>
      <c r="CP98" s="2822"/>
      <c r="CQ98" s="2822"/>
      <c r="CR98" s="2822"/>
      <c r="CS98" s="2822"/>
      <c r="CT98" s="2822"/>
      <c r="CU98" s="2822"/>
      <c r="CV98" s="2822"/>
      <c r="CW98" s="2822"/>
      <c r="CX98" s="2822"/>
      <c r="CY98" s="2822"/>
      <c r="CZ98" s="2822"/>
      <c r="DA98" s="2822"/>
      <c r="DB98" s="2822"/>
      <c r="DC98" s="2822"/>
      <c r="DD98" s="2822"/>
      <c r="DE98" s="2822"/>
      <c r="DF98" s="2822"/>
      <c r="DG98" s="2822"/>
      <c r="DH98" s="2822"/>
      <c r="DI98" s="2822"/>
      <c r="DJ98" s="2822"/>
      <c r="DK98" s="2822"/>
      <c r="DL98" s="2822"/>
      <c r="DM98" s="2822"/>
      <c r="DN98" s="2822"/>
      <c r="DO98" s="2822"/>
      <c r="DP98" s="2822"/>
      <c r="DQ98" s="2822"/>
      <c r="DR98" s="2822"/>
      <c r="DS98" s="2822"/>
      <c r="DT98" s="2822"/>
      <c r="DU98" s="2822"/>
      <c r="DV98" s="2822"/>
      <c r="DW98" s="2822"/>
      <c r="DX98" s="2822"/>
      <c r="DY98" s="2822"/>
      <c r="DZ98" s="2822"/>
      <c r="EA98" s="2822"/>
      <c r="EB98" s="2822"/>
      <c r="EC98" s="2822"/>
      <c r="ED98" s="2822"/>
      <c r="EE98" s="2822"/>
      <c r="EF98" s="2822"/>
      <c r="EG98" s="2822"/>
      <c r="EH98" s="2822"/>
      <c r="EI98" s="2822"/>
      <c r="EJ98" s="2822"/>
      <c r="EK98" s="2822"/>
      <c r="EL98" s="2822"/>
      <c r="EM98" s="2822"/>
      <c r="EN98" s="2822"/>
      <c r="EO98" s="2822"/>
      <c r="EP98" s="2823"/>
      <c r="EQ98" s="2312"/>
      <c r="ER98" s="2309"/>
      <c r="ES98" s="2849"/>
      <c r="ET98" s="2850"/>
      <c r="EU98" s="2850"/>
      <c r="EV98" s="2850"/>
      <c r="EW98" s="2850"/>
      <c r="EX98" s="2850"/>
      <c r="EY98" s="2850"/>
      <c r="EZ98" s="2850"/>
      <c r="FA98" s="2850"/>
      <c r="FB98" s="2850"/>
      <c r="FC98" s="2850"/>
      <c r="FD98" s="2850"/>
      <c r="FE98" s="2850"/>
      <c r="FF98" s="2850"/>
      <c r="FG98" s="2850"/>
      <c r="FH98" s="2850"/>
      <c r="FI98" s="2850"/>
      <c r="FJ98" s="2850"/>
      <c r="FK98" s="2850"/>
      <c r="FL98" s="2850"/>
      <c r="FM98" s="2850"/>
      <c r="FN98" s="2850"/>
      <c r="FO98" s="2850"/>
      <c r="FP98" s="2850"/>
      <c r="FQ98" s="2850"/>
      <c r="FR98" s="2850"/>
      <c r="FS98" s="2850"/>
      <c r="FT98" s="2850"/>
      <c r="FU98" s="2850"/>
      <c r="FV98" s="2850"/>
      <c r="FW98" s="2850"/>
      <c r="FX98" s="2850"/>
      <c r="FY98" s="2850"/>
      <c r="FZ98" s="2851"/>
      <c r="GA98" s="2343"/>
      <c r="GB98" s="2343"/>
      <c r="GC98" s="2348"/>
      <c r="GD98" s="2349"/>
      <c r="GE98" s="2349"/>
      <c r="GF98" s="2349"/>
      <c r="GG98" s="2349"/>
      <c r="GH98" s="2349"/>
      <c r="GI98" s="2349"/>
      <c r="GJ98" s="2349"/>
      <c r="GK98" s="2349"/>
      <c r="GL98" s="2349"/>
      <c r="GM98" s="2349"/>
      <c r="GN98" s="2349"/>
      <c r="GO98" s="2349"/>
      <c r="GP98" s="2349"/>
      <c r="GQ98" s="2349"/>
      <c r="GR98" s="2349"/>
      <c r="GS98" s="2349"/>
      <c r="GT98" s="2349"/>
      <c r="GU98" s="2349"/>
      <c r="GV98" s="2349"/>
      <c r="GW98" s="2349"/>
      <c r="GX98" s="2349"/>
      <c r="GY98" s="2349"/>
      <c r="GZ98" s="2349"/>
      <c r="HA98" s="2349"/>
      <c r="HB98" s="2349"/>
      <c r="HC98" s="2349"/>
      <c r="HD98" s="2349"/>
      <c r="HE98" s="2349"/>
      <c r="HF98" s="2349"/>
      <c r="HG98" s="2350"/>
      <c r="HH98" s="2350"/>
      <c r="HI98" s="2350"/>
      <c r="HJ98" s="2351"/>
      <c r="HL98" s="2312"/>
    </row>
    <row r="99" spans="2:220" ht="7.5" customHeight="1">
      <c r="B99" s="2309"/>
      <c r="C99" s="2846" t="e">
        <f>VLOOKUP(#REF!,[1]CLASS!B6:X17,23)&amp;" from class &amp; "&amp;IF(AND(#REF!="Fighter",#REF!="Battle Master",#REF!&gt;=3),'[1]WEAPONS ARMOR'!P26,[1]BACKGROUNDS!$H$4)</f>
        <v>#REF!</v>
      </c>
      <c r="D99" s="2847"/>
      <c r="E99" s="2847"/>
      <c r="F99" s="2847"/>
      <c r="G99" s="2847"/>
      <c r="H99" s="2847"/>
      <c r="I99" s="2847"/>
      <c r="J99" s="2847"/>
      <c r="K99" s="2847"/>
      <c r="L99" s="2847"/>
      <c r="M99" s="2847"/>
      <c r="N99" s="2847"/>
      <c r="O99" s="2847"/>
      <c r="P99" s="2847"/>
      <c r="Q99" s="2847"/>
      <c r="R99" s="2847"/>
      <c r="S99" s="2847"/>
      <c r="T99" s="2847"/>
      <c r="U99" s="2847"/>
      <c r="V99" s="2847"/>
      <c r="W99" s="2848"/>
      <c r="Y99" s="2758"/>
      <c r="Z99" s="2759"/>
      <c r="AA99" s="2759"/>
      <c r="AB99" s="2759"/>
      <c r="AC99" s="2759"/>
      <c r="AD99" s="2759"/>
      <c r="AE99" s="2759"/>
      <c r="AF99" s="2759"/>
      <c r="AG99" s="2760"/>
      <c r="AH99" s="2760"/>
      <c r="AI99" s="2760"/>
      <c r="AJ99" s="2760"/>
      <c r="AK99" s="2760"/>
      <c r="AL99" s="2760"/>
      <c r="AM99" s="2760"/>
      <c r="AN99" s="2760"/>
      <c r="AO99" s="2760"/>
      <c r="AP99" s="2760"/>
      <c r="AQ99" s="2760"/>
      <c r="AR99" s="2760"/>
      <c r="AS99" s="2760"/>
      <c r="AT99" s="2760"/>
      <c r="AU99" s="2760"/>
      <c r="AV99" s="2760"/>
      <c r="AW99" s="2760"/>
      <c r="AX99" s="2760"/>
      <c r="AY99" s="2760"/>
      <c r="AZ99" s="2760"/>
      <c r="BA99" s="2760"/>
      <c r="BB99" s="2760"/>
      <c r="BC99" s="2760"/>
      <c r="BD99" s="2760"/>
      <c r="BE99" s="2760"/>
      <c r="BF99" s="2760"/>
      <c r="BG99" s="2761"/>
      <c r="BH99" s="1224"/>
      <c r="BI99" s="2811">
        <v>15.04</v>
      </c>
      <c r="BJ99" s="2812"/>
      <c r="BK99" s="2812"/>
      <c r="BL99" s="2812"/>
      <c r="BM99" s="2812"/>
      <c r="BN99" s="2813"/>
      <c r="BO99" s="1224"/>
      <c r="BP99" s="2815">
        <v>108.80000000000001</v>
      </c>
      <c r="BQ99" s="2812"/>
      <c r="BR99" s="2812"/>
      <c r="BS99" s="2812"/>
      <c r="BT99" s="2812"/>
      <c r="BU99" s="2816"/>
      <c r="BV99" s="2312"/>
      <c r="BW99" s="2309"/>
      <c r="BX99" s="2799"/>
      <c r="BY99" s="2800"/>
      <c r="BZ99" s="2800"/>
      <c r="CA99" s="2800"/>
      <c r="CB99" s="2800"/>
      <c r="CC99" s="2800"/>
      <c r="CD99" s="2800"/>
      <c r="CE99" s="2800"/>
      <c r="CF99" s="2800"/>
      <c r="CG99" s="2801"/>
      <c r="CH99" s="2824"/>
      <c r="CI99" s="2825"/>
      <c r="CJ99" s="2825"/>
      <c r="CK99" s="2825"/>
      <c r="CL99" s="2825"/>
      <c r="CM99" s="2825"/>
      <c r="CN99" s="2825"/>
      <c r="CO99" s="2825"/>
      <c r="CP99" s="2825"/>
      <c r="CQ99" s="2825"/>
      <c r="CR99" s="2825"/>
      <c r="CS99" s="2825"/>
      <c r="CT99" s="2825"/>
      <c r="CU99" s="2825"/>
      <c r="CV99" s="2825"/>
      <c r="CW99" s="2825"/>
      <c r="CX99" s="2825"/>
      <c r="CY99" s="2825"/>
      <c r="CZ99" s="2825"/>
      <c r="DA99" s="2825"/>
      <c r="DB99" s="2825"/>
      <c r="DC99" s="2825"/>
      <c r="DD99" s="2825"/>
      <c r="DE99" s="2825"/>
      <c r="DF99" s="2825"/>
      <c r="DG99" s="2825"/>
      <c r="DH99" s="2825"/>
      <c r="DI99" s="2825"/>
      <c r="DJ99" s="2825"/>
      <c r="DK99" s="2825"/>
      <c r="DL99" s="2825"/>
      <c r="DM99" s="2825"/>
      <c r="DN99" s="2825"/>
      <c r="DO99" s="2825"/>
      <c r="DP99" s="2825"/>
      <c r="DQ99" s="2825"/>
      <c r="DR99" s="2825"/>
      <c r="DS99" s="2825"/>
      <c r="DT99" s="2825"/>
      <c r="DU99" s="2825"/>
      <c r="DV99" s="2825"/>
      <c r="DW99" s="2825"/>
      <c r="DX99" s="2825"/>
      <c r="DY99" s="2825"/>
      <c r="DZ99" s="2825"/>
      <c r="EA99" s="2825"/>
      <c r="EB99" s="2825"/>
      <c r="EC99" s="2825"/>
      <c r="ED99" s="2825"/>
      <c r="EE99" s="2825"/>
      <c r="EF99" s="2825"/>
      <c r="EG99" s="2825"/>
      <c r="EH99" s="2825"/>
      <c r="EI99" s="2825"/>
      <c r="EJ99" s="2825"/>
      <c r="EK99" s="2825"/>
      <c r="EL99" s="2825"/>
      <c r="EM99" s="2825"/>
      <c r="EN99" s="2825"/>
      <c r="EO99" s="2825"/>
      <c r="EP99" s="2826"/>
      <c r="EQ99" s="2312"/>
      <c r="ER99" s="2309"/>
      <c r="ES99" s="2849"/>
      <c r="ET99" s="2850"/>
      <c r="EU99" s="2850"/>
      <c r="EV99" s="2850"/>
      <c r="EW99" s="2850"/>
      <c r="EX99" s="2850"/>
      <c r="EY99" s="2850"/>
      <c r="EZ99" s="2850"/>
      <c r="FA99" s="2850"/>
      <c r="FB99" s="2850"/>
      <c r="FC99" s="2850"/>
      <c r="FD99" s="2850"/>
      <c r="FE99" s="2850"/>
      <c r="FF99" s="2850"/>
      <c r="FG99" s="2850"/>
      <c r="FH99" s="2850"/>
      <c r="FI99" s="2850"/>
      <c r="FJ99" s="2850"/>
      <c r="FK99" s="2850"/>
      <c r="FL99" s="2850"/>
      <c r="FM99" s="2850"/>
      <c r="FN99" s="2850"/>
      <c r="FO99" s="2850"/>
      <c r="FP99" s="2850"/>
      <c r="FQ99" s="2850"/>
      <c r="FR99" s="2850"/>
      <c r="FS99" s="2850"/>
      <c r="FT99" s="2850"/>
      <c r="FU99" s="2850"/>
      <c r="FV99" s="2850"/>
      <c r="FW99" s="2850"/>
      <c r="FX99" s="2850"/>
      <c r="FY99" s="2850"/>
      <c r="FZ99" s="2851"/>
      <c r="GA99" s="2343"/>
      <c r="GB99" s="2343"/>
      <c r="GC99" s="2348"/>
      <c r="GD99" s="2349"/>
      <c r="GE99" s="2349"/>
      <c r="GF99" s="2349"/>
      <c r="GG99" s="2349"/>
      <c r="GH99" s="2349"/>
      <c r="GI99" s="2349"/>
      <c r="GJ99" s="2349"/>
      <c r="GK99" s="2349"/>
      <c r="GL99" s="2349"/>
      <c r="GM99" s="2349"/>
      <c r="GN99" s="2349"/>
      <c r="GO99" s="2349"/>
      <c r="GP99" s="2349"/>
      <c r="GQ99" s="2349"/>
      <c r="GR99" s="2349"/>
      <c r="GS99" s="2349"/>
      <c r="GT99" s="2349"/>
      <c r="GU99" s="2349"/>
      <c r="GV99" s="2349"/>
      <c r="GW99" s="2349"/>
      <c r="GX99" s="2349"/>
      <c r="GY99" s="2349"/>
      <c r="GZ99" s="2349"/>
      <c r="HA99" s="2349"/>
      <c r="HB99" s="2349"/>
      <c r="HC99" s="2349"/>
      <c r="HD99" s="2349"/>
      <c r="HE99" s="2349"/>
      <c r="HF99" s="2349"/>
      <c r="HG99" s="2350"/>
      <c r="HH99" s="2350"/>
      <c r="HI99" s="2350"/>
      <c r="HJ99" s="2351"/>
      <c r="HL99" s="2312"/>
    </row>
    <row r="100" spans="2:220" ht="7.5" customHeight="1">
      <c r="B100" s="2309"/>
      <c r="C100" s="2849"/>
      <c r="D100" s="2850"/>
      <c r="E100" s="2850"/>
      <c r="F100" s="2850"/>
      <c r="G100" s="2850"/>
      <c r="H100" s="2850"/>
      <c r="I100" s="2850"/>
      <c r="J100" s="2850"/>
      <c r="K100" s="2850"/>
      <c r="L100" s="2850"/>
      <c r="M100" s="2850"/>
      <c r="N100" s="2850"/>
      <c r="O100" s="2850"/>
      <c r="P100" s="2850"/>
      <c r="Q100" s="2850"/>
      <c r="R100" s="2850"/>
      <c r="S100" s="2850"/>
      <c r="T100" s="2850"/>
      <c r="U100" s="2850"/>
      <c r="V100" s="2850"/>
      <c r="W100" s="2851"/>
      <c r="Y100" s="2762"/>
      <c r="Z100" s="2763"/>
      <c r="AA100" s="2763"/>
      <c r="AB100" s="2763"/>
      <c r="AC100" s="2763"/>
      <c r="AD100" s="2763"/>
      <c r="AE100" s="2763"/>
      <c r="AF100" s="2763"/>
      <c r="AG100" s="2764"/>
      <c r="AH100" s="2764"/>
      <c r="AI100" s="2764"/>
      <c r="AJ100" s="2764"/>
      <c r="AK100" s="2764"/>
      <c r="AL100" s="2764"/>
      <c r="AM100" s="2764"/>
      <c r="AN100" s="2764"/>
      <c r="AO100" s="2764"/>
      <c r="AP100" s="2764"/>
      <c r="AQ100" s="2764"/>
      <c r="AR100" s="2764"/>
      <c r="AS100" s="2764"/>
      <c r="AT100" s="2764"/>
      <c r="AU100" s="2764"/>
      <c r="AV100" s="2764"/>
      <c r="AW100" s="2764"/>
      <c r="AX100" s="2764"/>
      <c r="AY100" s="2764"/>
      <c r="AZ100" s="2764"/>
      <c r="BA100" s="2764"/>
      <c r="BB100" s="2764"/>
      <c r="BC100" s="2764"/>
      <c r="BD100" s="2764"/>
      <c r="BE100" s="2764"/>
      <c r="BF100" s="2764"/>
      <c r="BG100" s="2765"/>
      <c r="BH100" s="1224"/>
      <c r="BI100" s="2814"/>
      <c r="BJ100" s="2812"/>
      <c r="BK100" s="2812"/>
      <c r="BL100" s="2812"/>
      <c r="BM100" s="2812"/>
      <c r="BN100" s="2813"/>
      <c r="BO100" s="1224"/>
      <c r="BP100" s="2855"/>
      <c r="BQ100" s="2856"/>
      <c r="BR100" s="2856"/>
      <c r="BS100" s="2856"/>
      <c r="BT100" s="2856"/>
      <c r="BU100" s="2857"/>
      <c r="BV100" s="2312"/>
      <c r="BW100" s="2309"/>
      <c r="CF100" s="918"/>
      <c r="CG100" s="918"/>
      <c r="CH100" s="2352"/>
      <c r="CI100" s="2352"/>
      <c r="CJ100" s="2352"/>
      <c r="CK100" s="2352"/>
      <c r="CL100" s="2352"/>
      <c r="CM100" s="2352"/>
      <c r="CN100" s="2352"/>
      <c r="CO100" s="2352"/>
      <c r="CP100" s="2352"/>
      <c r="CQ100" s="2352"/>
      <c r="CR100" s="2352"/>
      <c r="CS100" s="2352"/>
      <c r="CT100" s="2352"/>
      <c r="CU100" s="2352"/>
      <c r="CV100" s="2352"/>
      <c r="CW100" s="2352"/>
      <c r="CX100" s="2352"/>
      <c r="CY100" s="2352"/>
      <c r="CZ100" s="2352"/>
      <c r="DA100" s="2352"/>
      <c r="DB100" s="2352"/>
      <c r="EQ100" s="2312"/>
      <c r="ER100" s="2309"/>
      <c r="ES100" s="2849"/>
      <c r="ET100" s="2850"/>
      <c r="EU100" s="2850"/>
      <c r="EV100" s="2850"/>
      <c r="EW100" s="2850"/>
      <c r="EX100" s="2850"/>
      <c r="EY100" s="2850"/>
      <c r="EZ100" s="2850"/>
      <c r="FA100" s="2850"/>
      <c r="FB100" s="2850"/>
      <c r="FC100" s="2850"/>
      <c r="FD100" s="2850"/>
      <c r="FE100" s="2850"/>
      <c r="FF100" s="2850"/>
      <c r="FG100" s="2850"/>
      <c r="FH100" s="2850"/>
      <c r="FI100" s="2850"/>
      <c r="FJ100" s="2850"/>
      <c r="FK100" s="2850"/>
      <c r="FL100" s="2850"/>
      <c r="FM100" s="2850"/>
      <c r="FN100" s="2850"/>
      <c r="FO100" s="2850"/>
      <c r="FP100" s="2850"/>
      <c r="FQ100" s="2850"/>
      <c r="FR100" s="2850"/>
      <c r="FS100" s="2850"/>
      <c r="FT100" s="2850"/>
      <c r="FU100" s="2850"/>
      <c r="FV100" s="2850"/>
      <c r="FW100" s="2850"/>
      <c r="FX100" s="2850"/>
      <c r="FY100" s="2850"/>
      <c r="FZ100" s="2851"/>
      <c r="GA100" s="2343"/>
      <c r="GB100" s="2343"/>
      <c r="GC100" s="2348"/>
      <c r="GD100" s="2349"/>
      <c r="GE100" s="2349"/>
      <c r="GF100" s="2349"/>
      <c r="GG100" s="2349"/>
      <c r="GH100" s="2349"/>
      <c r="GI100" s="2349"/>
      <c r="GJ100" s="2349"/>
      <c r="GK100" s="2349"/>
      <c r="GL100" s="2349"/>
      <c r="GM100" s="2349"/>
      <c r="GN100" s="2349"/>
      <c r="GO100" s="2349"/>
      <c r="GP100" s="2349"/>
      <c r="GQ100" s="2349"/>
      <c r="GR100" s="2349"/>
      <c r="GS100" s="2349"/>
      <c r="GT100" s="2349"/>
      <c r="GU100" s="2349"/>
      <c r="GV100" s="2349"/>
      <c r="GW100" s="2349"/>
      <c r="GX100" s="2349"/>
      <c r="GY100" s="2349"/>
      <c r="GZ100" s="2349"/>
      <c r="HA100" s="2349"/>
      <c r="HB100" s="2349"/>
      <c r="HC100" s="2349"/>
      <c r="HD100" s="2349"/>
      <c r="HE100" s="2349"/>
      <c r="HF100" s="2349"/>
      <c r="HG100" s="2350"/>
      <c r="HH100" s="2350"/>
      <c r="HI100" s="2350"/>
      <c r="HJ100" s="2351"/>
      <c r="HL100" s="2312"/>
    </row>
    <row r="101" spans="2:220" ht="7.5" customHeight="1">
      <c r="B101" s="2309"/>
      <c r="C101" s="2849"/>
      <c r="D101" s="2850"/>
      <c r="E101" s="2850"/>
      <c r="F101" s="2850"/>
      <c r="G101" s="2850"/>
      <c r="H101" s="2850"/>
      <c r="I101" s="2850"/>
      <c r="J101" s="2850"/>
      <c r="K101" s="2850"/>
      <c r="L101" s="2850"/>
      <c r="M101" s="2850"/>
      <c r="N101" s="2850"/>
      <c r="O101" s="2850"/>
      <c r="P101" s="2850"/>
      <c r="Q101" s="2850"/>
      <c r="R101" s="2850"/>
      <c r="S101" s="2850"/>
      <c r="T101" s="2850"/>
      <c r="U101" s="2850"/>
      <c r="V101" s="2850"/>
      <c r="W101" s="2851"/>
      <c r="Y101" s="2873"/>
      <c r="Z101" s="2874"/>
      <c r="AA101" s="2874"/>
      <c r="AB101" s="2874"/>
      <c r="AC101" s="2874"/>
      <c r="AD101" s="2874"/>
      <c r="AE101" s="2874"/>
      <c r="AF101" s="2874"/>
      <c r="AG101" s="2875"/>
      <c r="AH101" s="2875"/>
      <c r="AI101" s="2875"/>
      <c r="AJ101" s="2875"/>
      <c r="AK101" s="2875"/>
      <c r="AL101" s="2875"/>
      <c r="AM101" s="2875"/>
      <c r="AN101" s="2875"/>
      <c r="AO101" s="2875"/>
      <c r="AP101" s="2875"/>
      <c r="AQ101" s="2875"/>
      <c r="AR101" s="2875"/>
      <c r="AS101" s="2875"/>
      <c r="AT101" s="2875"/>
      <c r="AU101" s="2875"/>
      <c r="AV101" s="2875"/>
      <c r="AW101" s="2875"/>
      <c r="AX101" s="2875"/>
      <c r="AY101" s="2875"/>
      <c r="AZ101" s="2875"/>
      <c r="BA101" s="2875"/>
      <c r="BB101" s="2875"/>
      <c r="BC101" s="2875"/>
      <c r="BD101" s="2875"/>
      <c r="BE101" s="2875"/>
      <c r="BF101" s="2875"/>
      <c r="BG101" s="2876"/>
      <c r="BH101" s="918"/>
      <c r="BI101" s="2777" t="s">
        <v>8517</v>
      </c>
      <c r="BJ101" s="2812"/>
      <c r="BK101" s="2812"/>
      <c r="BL101" s="2812"/>
      <c r="BM101" s="2812"/>
      <c r="BN101" s="2813"/>
      <c r="BO101" s="1224"/>
      <c r="BP101" s="2781" t="s">
        <v>10367</v>
      </c>
      <c r="BQ101" s="2812"/>
      <c r="BR101" s="2812"/>
      <c r="BS101" s="2812"/>
      <c r="BT101" s="2812"/>
      <c r="BU101" s="2816"/>
      <c r="BV101" s="2312"/>
      <c r="BW101" s="2309"/>
      <c r="BX101" s="2793" t="s">
        <v>10368</v>
      </c>
      <c r="BY101" s="2794"/>
      <c r="BZ101" s="2794"/>
      <c r="CA101" s="2794"/>
      <c r="CB101" s="2794"/>
      <c r="CC101" s="2794"/>
      <c r="CD101" s="2794"/>
      <c r="CE101" s="2794"/>
      <c r="CF101" s="2794"/>
      <c r="CG101" s="2795"/>
      <c r="CH101" s="2802" t="e">
        <f>#REF!</f>
        <v>#REF!</v>
      </c>
      <c r="CI101" s="2803"/>
      <c r="CJ101" s="2803"/>
      <c r="CK101" s="2803"/>
      <c r="CL101" s="2803"/>
      <c r="CM101" s="2803"/>
      <c r="CN101" s="2803"/>
      <c r="CO101" s="2803"/>
      <c r="CP101" s="2803"/>
      <c r="CQ101" s="2803"/>
      <c r="CR101" s="2803"/>
      <c r="CS101" s="2803"/>
      <c r="CT101" s="2803"/>
      <c r="CU101" s="2803"/>
      <c r="CV101" s="2803"/>
      <c r="CW101" s="2803"/>
      <c r="CX101" s="2803"/>
      <c r="CY101" s="2803"/>
      <c r="CZ101" s="2803"/>
      <c r="DA101" s="2803"/>
      <c r="DB101" s="2803"/>
      <c r="DC101" s="2803"/>
      <c r="DD101" s="2803"/>
      <c r="DE101" s="2803"/>
      <c r="DF101" s="2803"/>
      <c r="DG101" s="2803"/>
      <c r="DH101" s="2803"/>
      <c r="DI101" s="2803"/>
      <c r="DJ101" s="2803"/>
      <c r="DK101" s="2803"/>
      <c r="DL101" s="2803"/>
      <c r="DM101" s="2803"/>
      <c r="DN101" s="2803"/>
      <c r="DO101" s="2803"/>
      <c r="DP101" s="2803"/>
      <c r="DQ101" s="2803"/>
      <c r="DR101" s="2803"/>
      <c r="DS101" s="2803"/>
      <c r="DT101" s="2803"/>
      <c r="DU101" s="2803"/>
      <c r="DV101" s="2803"/>
      <c r="DW101" s="2803"/>
      <c r="DX101" s="2803"/>
      <c r="DY101" s="2803"/>
      <c r="DZ101" s="2803"/>
      <c r="EA101" s="2803"/>
      <c r="EB101" s="2803"/>
      <c r="EC101" s="2803"/>
      <c r="ED101" s="2803"/>
      <c r="EE101" s="2803"/>
      <c r="EF101" s="2803"/>
      <c r="EG101" s="2803"/>
      <c r="EH101" s="2803"/>
      <c r="EI101" s="2803"/>
      <c r="EJ101" s="2803"/>
      <c r="EK101" s="2803"/>
      <c r="EL101" s="2803"/>
      <c r="EM101" s="2803"/>
      <c r="EN101" s="2803"/>
      <c r="EO101" s="2803"/>
      <c r="EP101" s="2804"/>
      <c r="EQ101" s="2312"/>
      <c r="ER101" s="2309"/>
      <c r="ES101" s="2849"/>
      <c r="ET101" s="2850"/>
      <c r="EU101" s="2850"/>
      <c r="EV101" s="2850"/>
      <c r="EW101" s="2850"/>
      <c r="EX101" s="2850"/>
      <c r="EY101" s="2850"/>
      <c r="EZ101" s="2850"/>
      <c r="FA101" s="2850"/>
      <c r="FB101" s="2850"/>
      <c r="FC101" s="2850"/>
      <c r="FD101" s="2850"/>
      <c r="FE101" s="2850"/>
      <c r="FF101" s="2850"/>
      <c r="FG101" s="2850"/>
      <c r="FH101" s="2850"/>
      <c r="FI101" s="2850"/>
      <c r="FJ101" s="2850"/>
      <c r="FK101" s="2850"/>
      <c r="FL101" s="2850"/>
      <c r="FM101" s="2850"/>
      <c r="FN101" s="2850"/>
      <c r="FO101" s="2850"/>
      <c r="FP101" s="2850"/>
      <c r="FQ101" s="2850"/>
      <c r="FR101" s="2850"/>
      <c r="FS101" s="2850"/>
      <c r="FT101" s="2850"/>
      <c r="FU101" s="2850"/>
      <c r="FV101" s="2850"/>
      <c r="FW101" s="2850"/>
      <c r="FX101" s="2850"/>
      <c r="FY101" s="2850"/>
      <c r="FZ101" s="2851"/>
      <c r="GA101" s="2343"/>
      <c r="GB101" s="2343"/>
      <c r="GC101" s="2348"/>
      <c r="GD101" s="2349"/>
      <c r="GE101" s="2349"/>
      <c r="GF101" s="2349"/>
      <c r="GG101" s="2349"/>
      <c r="GH101" s="2349"/>
      <c r="GI101" s="2349"/>
      <c r="GJ101" s="2349"/>
      <c r="GK101" s="2349"/>
      <c r="GL101" s="2349"/>
      <c r="GM101" s="2349"/>
      <c r="GN101" s="2349"/>
      <c r="GO101" s="2349"/>
      <c r="GP101" s="2349"/>
      <c r="GQ101" s="2349"/>
      <c r="GR101" s="2349"/>
      <c r="GS101" s="2349"/>
      <c r="GT101" s="2349"/>
      <c r="GU101" s="2349"/>
      <c r="GV101" s="2349"/>
      <c r="GW101" s="2349"/>
      <c r="GX101" s="2349"/>
      <c r="GY101" s="2349"/>
      <c r="GZ101" s="2349"/>
      <c r="HA101" s="2349"/>
      <c r="HB101" s="2349"/>
      <c r="HC101" s="2349"/>
      <c r="HD101" s="2349"/>
      <c r="HE101" s="2349"/>
      <c r="HF101" s="2349"/>
      <c r="HG101" s="2350"/>
      <c r="HH101" s="2350"/>
      <c r="HI101" s="2350"/>
      <c r="HJ101" s="2351"/>
      <c r="HL101" s="2312"/>
    </row>
    <row r="102" spans="2:220" ht="7.5" customHeight="1">
      <c r="B102" s="2309"/>
      <c r="C102" s="2852"/>
      <c r="D102" s="2853"/>
      <c r="E102" s="2853"/>
      <c r="F102" s="2853"/>
      <c r="G102" s="2853"/>
      <c r="H102" s="2853"/>
      <c r="I102" s="2853"/>
      <c r="J102" s="2853"/>
      <c r="K102" s="2853"/>
      <c r="L102" s="2853"/>
      <c r="M102" s="2853"/>
      <c r="N102" s="2853"/>
      <c r="O102" s="2853"/>
      <c r="P102" s="2853"/>
      <c r="Q102" s="2853"/>
      <c r="R102" s="2853"/>
      <c r="S102" s="2853"/>
      <c r="T102" s="2853"/>
      <c r="U102" s="2853"/>
      <c r="V102" s="2853"/>
      <c r="W102" s="2854"/>
      <c r="Y102" s="2877"/>
      <c r="Z102" s="2878"/>
      <c r="AA102" s="2878"/>
      <c r="AB102" s="2878"/>
      <c r="AC102" s="2878"/>
      <c r="AD102" s="2878"/>
      <c r="AE102" s="2878"/>
      <c r="AF102" s="2878"/>
      <c r="AG102" s="2879"/>
      <c r="AH102" s="2879"/>
      <c r="AI102" s="2879"/>
      <c r="AJ102" s="2879"/>
      <c r="AK102" s="2879"/>
      <c r="AL102" s="2879"/>
      <c r="AM102" s="2879"/>
      <c r="AN102" s="2879"/>
      <c r="AO102" s="2879"/>
      <c r="AP102" s="2879"/>
      <c r="AQ102" s="2879"/>
      <c r="AR102" s="2879"/>
      <c r="AS102" s="2879"/>
      <c r="AT102" s="2879"/>
      <c r="AU102" s="2879"/>
      <c r="AV102" s="2879"/>
      <c r="AW102" s="2879"/>
      <c r="AX102" s="2879"/>
      <c r="AY102" s="2879"/>
      <c r="AZ102" s="2879"/>
      <c r="BA102" s="2879"/>
      <c r="BB102" s="2879"/>
      <c r="BC102" s="2879"/>
      <c r="BD102" s="2879"/>
      <c r="BE102" s="2879"/>
      <c r="BF102" s="2879"/>
      <c r="BG102" s="2880"/>
      <c r="BH102" s="918"/>
      <c r="BI102" s="2811">
        <v>0.64</v>
      </c>
      <c r="BJ102" s="2812"/>
      <c r="BK102" s="2812"/>
      <c r="BL102" s="2812"/>
      <c r="BM102" s="2812"/>
      <c r="BN102" s="2813"/>
      <c r="BO102" s="1224"/>
      <c r="BP102" s="2815"/>
      <c r="BQ102" s="2812"/>
      <c r="BR102" s="2812"/>
      <c r="BS102" s="2812"/>
      <c r="BT102" s="2812"/>
      <c r="BU102" s="2816"/>
      <c r="BV102" s="2312"/>
      <c r="BW102" s="2309"/>
      <c r="BX102" s="2796"/>
      <c r="BY102" s="2797"/>
      <c r="BZ102" s="2797"/>
      <c r="CA102" s="2797"/>
      <c r="CB102" s="2797"/>
      <c r="CC102" s="2797"/>
      <c r="CD102" s="2797"/>
      <c r="CE102" s="2797"/>
      <c r="CF102" s="2797"/>
      <c r="CG102" s="2798"/>
      <c r="CH102" s="2805"/>
      <c r="CI102" s="2806"/>
      <c r="CJ102" s="2806"/>
      <c r="CK102" s="2806"/>
      <c r="CL102" s="2806"/>
      <c r="CM102" s="2806"/>
      <c r="CN102" s="2806"/>
      <c r="CO102" s="2806"/>
      <c r="CP102" s="2806"/>
      <c r="CQ102" s="2806"/>
      <c r="CR102" s="2806"/>
      <c r="CS102" s="2806"/>
      <c r="CT102" s="2806"/>
      <c r="CU102" s="2806"/>
      <c r="CV102" s="2806"/>
      <c r="CW102" s="2806"/>
      <c r="CX102" s="2806"/>
      <c r="CY102" s="2806"/>
      <c r="CZ102" s="2806"/>
      <c r="DA102" s="2806"/>
      <c r="DB102" s="2806"/>
      <c r="DC102" s="2806"/>
      <c r="DD102" s="2806"/>
      <c r="DE102" s="2806"/>
      <c r="DF102" s="2806"/>
      <c r="DG102" s="2806"/>
      <c r="DH102" s="2806"/>
      <c r="DI102" s="2806"/>
      <c r="DJ102" s="2806"/>
      <c r="DK102" s="2806"/>
      <c r="DL102" s="2806"/>
      <c r="DM102" s="2806"/>
      <c r="DN102" s="2806"/>
      <c r="DO102" s="2806"/>
      <c r="DP102" s="2806"/>
      <c r="DQ102" s="2806"/>
      <c r="DR102" s="2806"/>
      <c r="DS102" s="2806"/>
      <c r="DT102" s="2806"/>
      <c r="DU102" s="2806"/>
      <c r="DV102" s="2806"/>
      <c r="DW102" s="2806"/>
      <c r="DX102" s="2806"/>
      <c r="DY102" s="2806"/>
      <c r="DZ102" s="2806"/>
      <c r="EA102" s="2806"/>
      <c r="EB102" s="2806"/>
      <c r="EC102" s="2806"/>
      <c r="ED102" s="2806"/>
      <c r="EE102" s="2806"/>
      <c r="EF102" s="2806"/>
      <c r="EG102" s="2806"/>
      <c r="EH102" s="2806"/>
      <c r="EI102" s="2806"/>
      <c r="EJ102" s="2806"/>
      <c r="EK102" s="2806"/>
      <c r="EL102" s="2806"/>
      <c r="EM102" s="2806"/>
      <c r="EN102" s="2806"/>
      <c r="EO102" s="2806"/>
      <c r="EP102" s="2807"/>
      <c r="EQ102" s="2312"/>
      <c r="ER102" s="2309"/>
      <c r="ES102" s="2849"/>
      <c r="ET102" s="2850"/>
      <c r="EU102" s="2850"/>
      <c r="EV102" s="2850"/>
      <c r="EW102" s="2850"/>
      <c r="EX102" s="2850"/>
      <c r="EY102" s="2850"/>
      <c r="EZ102" s="2850"/>
      <c r="FA102" s="2850"/>
      <c r="FB102" s="2850"/>
      <c r="FC102" s="2850"/>
      <c r="FD102" s="2850"/>
      <c r="FE102" s="2850"/>
      <c r="FF102" s="2850"/>
      <c r="FG102" s="2850"/>
      <c r="FH102" s="2850"/>
      <c r="FI102" s="2850"/>
      <c r="FJ102" s="2850"/>
      <c r="FK102" s="2850"/>
      <c r="FL102" s="2850"/>
      <c r="FM102" s="2850"/>
      <c r="FN102" s="2850"/>
      <c r="FO102" s="2850"/>
      <c r="FP102" s="2850"/>
      <c r="FQ102" s="2850"/>
      <c r="FR102" s="2850"/>
      <c r="FS102" s="2850"/>
      <c r="FT102" s="2850"/>
      <c r="FU102" s="2850"/>
      <c r="FV102" s="2850"/>
      <c r="FW102" s="2850"/>
      <c r="FX102" s="2850"/>
      <c r="FY102" s="2850"/>
      <c r="FZ102" s="2851"/>
      <c r="GA102" s="2343"/>
      <c r="GB102" s="2343"/>
      <c r="GC102" s="2348"/>
      <c r="GD102" s="2349"/>
      <c r="GE102" s="2349"/>
      <c r="GF102" s="2349"/>
      <c r="GG102" s="2349"/>
      <c r="GH102" s="2349"/>
      <c r="GI102" s="2349"/>
      <c r="GJ102" s="2349"/>
      <c r="GK102" s="2349"/>
      <c r="GL102" s="2349"/>
      <c r="GM102" s="2349"/>
      <c r="GN102" s="2349"/>
      <c r="GO102" s="2349"/>
      <c r="GP102" s="2349"/>
      <c r="GQ102" s="2349"/>
      <c r="GR102" s="2349"/>
      <c r="GS102" s="2349"/>
      <c r="GT102" s="2349"/>
      <c r="GU102" s="2349"/>
      <c r="GV102" s="2349"/>
      <c r="GW102" s="2349"/>
      <c r="GX102" s="2349"/>
      <c r="GY102" s="2349"/>
      <c r="GZ102" s="2349"/>
      <c r="HA102" s="2349"/>
      <c r="HB102" s="2349"/>
      <c r="HC102" s="2349"/>
      <c r="HD102" s="2349"/>
      <c r="HE102" s="2349"/>
      <c r="HF102" s="2349"/>
      <c r="HG102" s="2350"/>
      <c r="HH102" s="2350"/>
      <c r="HI102" s="2350"/>
      <c r="HJ102" s="2351"/>
      <c r="HL102" s="2312"/>
    </row>
    <row r="103" spans="2:220" ht="7.5" customHeight="1">
      <c r="B103" s="2309"/>
      <c r="C103" s="2766" t="s">
        <v>7061</v>
      </c>
      <c r="D103" s="2767"/>
      <c r="E103" s="2767"/>
      <c r="F103" s="2767"/>
      <c r="G103" s="2767"/>
      <c r="H103" s="2767"/>
      <c r="I103" s="2767"/>
      <c r="J103" s="2767"/>
      <c r="K103" s="2767"/>
      <c r="L103" s="2767"/>
      <c r="M103" s="2767"/>
      <c r="N103" s="2767"/>
      <c r="O103" s="2767"/>
      <c r="P103" s="2767"/>
      <c r="Q103" s="2767"/>
      <c r="R103" s="2767"/>
      <c r="S103" s="2767"/>
      <c r="T103" s="2767"/>
      <c r="U103" s="2767"/>
      <c r="V103" s="2767"/>
      <c r="W103" s="2767"/>
      <c r="Y103" s="2769"/>
      <c r="Z103" s="2770"/>
      <c r="AA103" s="2770"/>
      <c r="AB103" s="2770"/>
      <c r="AC103" s="2770"/>
      <c r="AD103" s="2770"/>
      <c r="AE103" s="2770"/>
      <c r="AF103" s="2770"/>
      <c r="AG103" s="2770"/>
      <c r="AH103" s="2770"/>
      <c r="AI103" s="2770"/>
      <c r="AJ103" s="2770"/>
      <c r="AK103" s="2770"/>
      <c r="AL103" s="2770"/>
      <c r="AM103" s="2770"/>
      <c r="AN103" s="2770"/>
      <c r="AO103" s="2770"/>
      <c r="AP103" s="2770"/>
      <c r="AQ103" s="2770"/>
      <c r="AR103" s="2770"/>
      <c r="AS103" s="2770"/>
      <c r="AT103" s="2770"/>
      <c r="AU103" s="2770"/>
      <c r="AV103" s="2770"/>
      <c r="AW103" s="2770"/>
      <c r="AX103" s="2770"/>
      <c r="AY103" s="2770"/>
      <c r="AZ103" s="2770"/>
      <c r="BA103" s="2771"/>
      <c r="BB103" s="2771"/>
      <c r="BC103" s="2771"/>
      <c r="BD103" s="2771"/>
      <c r="BE103" s="2771"/>
      <c r="BF103" s="2771"/>
      <c r="BG103" s="2772"/>
      <c r="BH103" s="2353"/>
      <c r="BI103" s="2814"/>
      <c r="BJ103" s="2812"/>
      <c r="BK103" s="2812"/>
      <c r="BL103" s="2812"/>
      <c r="BM103" s="2812"/>
      <c r="BN103" s="2813"/>
      <c r="BO103" s="1224"/>
      <c r="BP103" s="2817"/>
      <c r="BQ103" s="2812"/>
      <c r="BR103" s="2812"/>
      <c r="BS103" s="2812"/>
      <c r="BT103" s="2812"/>
      <c r="BU103" s="2816"/>
      <c r="BV103" s="2312"/>
      <c r="BW103" s="2309"/>
      <c r="BX103" s="2799"/>
      <c r="BY103" s="2800"/>
      <c r="BZ103" s="2800"/>
      <c r="CA103" s="2800"/>
      <c r="CB103" s="2800"/>
      <c r="CC103" s="2800"/>
      <c r="CD103" s="2800"/>
      <c r="CE103" s="2800"/>
      <c r="CF103" s="2800"/>
      <c r="CG103" s="2801"/>
      <c r="CH103" s="2808"/>
      <c r="CI103" s="2809"/>
      <c r="CJ103" s="2809"/>
      <c r="CK103" s="2809"/>
      <c r="CL103" s="2809"/>
      <c r="CM103" s="2809"/>
      <c r="CN103" s="2809"/>
      <c r="CO103" s="2809"/>
      <c r="CP103" s="2809"/>
      <c r="CQ103" s="2809"/>
      <c r="CR103" s="2809"/>
      <c r="CS103" s="2809"/>
      <c r="CT103" s="2809"/>
      <c r="CU103" s="2809"/>
      <c r="CV103" s="2809"/>
      <c r="CW103" s="2809"/>
      <c r="CX103" s="2809"/>
      <c r="CY103" s="2809"/>
      <c r="CZ103" s="2809"/>
      <c r="DA103" s="2809"/>
      <c r="DB103" s="2809"/>
      <c r="DC103" s="2809"/>
      <c r="DD103" s="2809"/>
      <c r="DE103" s="2809"/>
      <c r="DF103" s="2809"/>
      <c r="DG103" s="2809"/>
      <c r="DH103" s="2809"/>
      <c r="DI103" s="2809"/>
      <c r="DJ103" s="2809"/>
      <c r="DK103" s="2809"/>
      <c r="DL103" s="2809"/>
      <c r="DM103" s="2809"/>
      <c r="DN103" s="2809"/>
      <c r="DO103" s="2809"/>
      <c r="DP103" s="2809"/>
      <c r="DQ103" s="2809"/>
      <c r="DR103" s="2809"/>
      <c r="DS103" s="2809"/>
      <c r="DT103" s="2809"/>
      <c r="DU103" s="2809"/>
      <c r="DV103" s="2809"/>
      <c r="DW103" s="2809"/>
      <c r="DX103" s="2809"/>
      <c r="DY103" s="2809"/>
      <c r="DZ103" s="2809"/>
      <c r="EA103" s="2809"/>
      <c r="EB103" s="2809"/>
      <c r="EC103" s="2809"/>
      <c r="ED103" s="2809"/>
      <c r="EE103" s="2809"/>
      <c r="EF103" s="2809"/>
      <c r="EG103" s="2809"/>
      <c r="EH103" s="2809"/>
      <c r="EI103" s="2809"/>
      <c r="EJ103" s="2809"/>
      <c r="EK103" s="2809"/>
      <c r="EL103" s="2809"/>
      <c r="EM103" s="2809"/>
      <c r="EN103" s="2809"/>
      <c r="EO103" s="2809"/>
      <c r="EP103" s="2810"/>
      <c r="EQ103" s="2312"/>
      <c r="ER103" s="2309"/>
      <c r="ES103" s="2849"/>
      <c r="ET103" s="2850"/>
      <c r="EU103" s="2850"/>
      <c r="EV103" s="2850"/>
      <c r="EW103" s="2850"/>
      <c r="EX103" s="2850"/>
      <c r="EY103" s="2850"/>
      <c r="EZ103" s="2850"/>
      <c r="FA103" s="2850"/>
      <c r="FB103" s="2850"/>
      <c r="FC103" s="2850"/>
      <c r="FD103" s="2850"/>
      <c r="FE103" s="2850"/>
      <c r="FF103" s="2850"/>
      <c r="FG103" s="2850"/>
      <c r="FH103" s="2850"/>
      <c r="FI103" s="2850"/>
      <c r="FJ103" s="2850"/>
      <c r="FK103" s="2850"/>
      <c r="FL103" s="2850"/>
      <c r="FM103" s="2850"/>
      <c r="FN103" s="2850"/>
      <c r="FO103" s="2850"/>
      <c r="FP103" s="2850"/>
      <c r="FQ103" s="2850"/>
      <c r="FR103" s="2850"/>
      <c r="FS103" s="2850"/>
      <c r="FT103" s="2850"/>
      <c r="FU103" s="2850"/>
      <c r="FV103" s="2850"/>
      <c r="FW103" s="2850"/>
      <c r="FX103" s="2850"/>
      <c r="FY103" s="2850"/>
      <c r="FZ103" s="2851"/>
      <c r="GA103" s="2343"/>
      <c r="GB103" s="2343"/>
      <c r="GC103" s="2348"/>
      <c r="GD103" s="2349"/>
      <c r="GE103" s="2349"/>
      <c r="GF103" s="2349"/>
      <c r="GG103" s="2349"/>
      <c r="GH103" s="2349"/>
      <c r="GI103" s="2349"/>
      <c r="GJ103" s="2349"/>
      <c r="GK103" s="2349"/>
      <c r="GL103" s="2349"/>
      <c r="GM103" s="2349"/>
      <c r="GN103" s="2349"/>
      <c r="GO103" s="2349"/>
      <c r="GP103" s="2349"/>
      <c r="GQ103" s="2349"/>
      <c r="GR103" s="2349"/>
      <c r="GS103" s="2349"/>
      <c r="GT103" s="2349"/>
      <c r="GU103" s="2349"/>
      <c r="GV103" s="2349"/>
      <c r="GW103" s="2349"/>
      <c r="GX103" s="2349"/>
      <c r="GY103" s="2349"/>
      <c r="GZ103" s="2349"/>
      <c r="HA103" s="2349"/>
      <c r="HB103" s="2349"/>
      <c r="HC103" s="2349"/>
      <c r="HD103" s="2349"/>
      <c r="HE103" s="2349"/>
      <c r="HF103" s="2349"/>
      <c r="HG103" s="2350"/>
      <c r="HH103" s="2350"/>
      <c r="HI103" s="2350"/>
      <c r="HJ103" s="2351"/>
      <c r="HL103" s="2312"/>
    </row>
    <row r="104" spans="2:220" ht="7.5" customHeight="1">
      <c r="B104" s="2309"/>
      <c r="C104" s="2768"/>
      <c r="D104" s="2768"/>
      <c r="E104" s="2768"/>
      <c r="F104" s="2768"/>
      <c r="G104" s="2768"/>
      <c r="H104" s="2768"/>
      <c r="I104" s="2768"/>
      <c r="J104" s="2768"/>
      <c r="K104" s="2768"/>
      <c r="L104" s="2768"/>
      <c r="M104" s="2768"/>
      <c r="N104" s="2768"/>
      <c r="O104" s="2768"/>
      <c r="P104" s="2768"/>
      <c r="Q104" s="2768"/>
      <c r="R104" s="2768"/>
      <c r="S104" s="2768"/>
      <c r="T104" s="2768"/>
      <c r="U104" s="2768"/>
      <c r="V104" s="2768"/>
      <c r="W104" s="2768"/>
      <c r="Y104" s="2773"/>
      <c r="Z104" s="2774"/>
      <c r="AA104" s="2774"/>
      <c r="AB104" s="2774"/>
      <c r="AC104" s="2774"/>
      <c r="AD104" s="2774"/>
      <c r="AE104" s="2774"/>
      <c r="AF104" s="2774"/>
      <c r="AG104" s="2774"/>
      <c r="AH104" s="2774"/>
      <c r="AI104" s="2774"/>
      <c r="AJ104" s="2774"/>
      <c r="AK104" s="2774"/>
      <c r="AL104" s="2774"/>
      <c r="AM104" s="2774"/>
      <c r="AN104" s="2774"/>
      <c r="AO104" s="2774"/>
      <c r="AP104" s="2774"/>
      <c r="AQ104" s="2774"/>
      <c r="AR104" s="2774"/>
      <c r="AS104" s="2774"/>
      <c r="AT104" s="2774"/>
      <c r="AU104" s="2774"/>
      <c r="AV104" s="2774"/>
      <c r="AW104" s="2774"/>
      <c r="AX104" s="2774"/>
      <c r="AY104" s="2774"/>
      <c r="AZ104" s="2774"/>
      <c r="BA104" s="2775"/>
      <c r="BB104" s="2775"/>
      <c r="BC104" s="2775"/>
      <c r="BD104" s="2775"/>
      <c r="BE104" s="2775"/>
      <c r="BF104" s="2775"/>
      <c r="BG104" s="2776"/>
      <c r="BH104" s="918"/>
      <c r="BI104" s="2777" t="s">
        <v>8528</v>
      </c>
      <c r="BJ104" s="2778"/>
      <c r="BK104" s="2778"/>
      <c r="BL104" s="2778"/>
      <c r="BM104" s="2778"/>
      <c r="BN104" s="2779"/>
      <c r="BO104" s="1224"/>
      <c r="BP104" s="2781" t="s">
        <v>10369</v>
      </c>
      <c r="BQ104" s="2778"/>
      <c r="BR104" s="2778"/>
      <c r="BS104" s="2778"/>
      <c r="BT104" s="2778"/>
      <c r="BU104" s="2782"/>
      <c r="BV104" s="2312"/>
      <c r="BW104" s="2309"/>
      <c r="EQ104" s="2312"/>
      <c r="ER104" s="2309"/>
      <c r="ES104" s="2849"/>
      <c r="ET104" s="2850"/>
      <c r="EU104" s="2850"/>
      <c r="EV104" s="2850"/>
      <c r="EW104" s="2850"/>
      <c r="EX104" s="2850"/>
      <c r="EY104" s="2850"/>
      <c r="EZ104" s="2850"/>
      <c r="FA104" s="2850"/>
      <c r="FB104" s="2850"/>
      <c r="FC104" s="2850"/>
      <c r="FD104" s="2850"/>
      <c r="FE104" s="2850"/>
      <c r="FF104" s="2850"/>
      <c r="FG104" s="2850"/>
      <c r="FH104" s="2850"/>
      <c r="FI104" s="2850"/>
      <c r="FJ104" s="2850"/>
      <c r="FK104" s="2850"/>
      <c r="FL104" s="2850"/>
      <c r="FM104" s="2850"/>
      <c r="FN104" s="2850"/>
      <c r="FO104" s="2850"/>
      <c r="FP104" s="2850"/>
      <c r="FQ104" s="2850"/>
      <c r="FR104" s="2850"/>
      <c r="FS104" s="2850"/>
      <c r="FT104" s="2850"/>
      <c r="FU104" s="2850"/>
      <c r="FV104" s="2850"/>
      <c r="FW104" s="2850"/>
      <c r="FX104" s="2850"/>
      <c r="FY104" s="2850"/>
      <c r="FZ104" s="2851"/>
      <c r="GA104" s="2343"/>
      <c r="GB104" s="2343"/>
      <c r="GC104" s="2348"/>
      <c r="GD104" s="2349"/>
      <c r="GE104" s="2349"/>
      <c r="GF104" s="2349"/>
      <c r="GG104" s="2349"/>
      <c r="GH104" s="2349"/>
      <c r="GI104" s="2349"/>
      <c r="GJ104" s="2349"/>
      <c r="GK104" s="2349"/>
      <c r="GL104" s="2349"/>
      <c r="GM104" s="2349"/>
      <c r="GN104" s="2349"/>
      <c r="GO104" s="2349"/>
      <c r="GP104" s="2349"/>
      <c r="GQ104" s="2349"/>
      <c r="GR104" s="2349"/>
      <c r="GS104" s="2349"/>
      <c r="GT104" s="2349"/>
      <c r="GU104" s="2349"/>
      <c r="GV104" s="2349"/>
      <c r="GW104" s="2349"/>
      <c r="GX104" s="2349"/>
      <c r="GY104" s="2349"/>
      <c r="GZ104" s="2349"/>
      <c r="HA104" s="2349"/>
      <c r="HB104" s="2349"/>
      <c r="HC104" s="2349"/>
      <c r="HD104" s="2349"/>
      <c r="HE104" s="2349"/>
      <c r="HF104" s="2349"/>
      <c r="HG104" s="2350"/>
      <c r="HH104" s="2350"/>
      <c r="HI104" s="2350"/>
      <c r="HJ104" s="2351"/>
      <c r="HL104" s="2312"/>
    </row>
    <row r="105" spans="2:220" ht="7.5" customHeight="1">
      <c r="B105" s="2309"/>
      <c r="C105" s="2784"/>
      <c r="D105" s="2785"/>
      <c r="E105" s="2785"/>
      <c r="F105" s="2785"/>
      <c r="G105" s="2785"/>
      <c r="H105" s="2785"/>
      <c r="I105" s="2785"/>
      <c r="J105" s="2785"/>
      <c r="K105" s="2785"/>
      <c r="L105" s="2785"/>
      <c r="M105" s="2785"/>
      <c r="N105" s="2785"/>
      <c r="O105" s="2785"/>
      <c r="P105" s="2785"/>
      <c r="Q105" s="2785"/>
      <c r="R105" s="2785"/>
      <c r="S105" s="2785"/>
      <c r="T105" s="2785"/>
      <c r="U105" s="2785"/>
      <c r="V105" s="2785"/>
      <c r="W105" s="2786"/>
      <c r="Y105" s="2758"/>
      <c r="Z105" s="2759"/>
      <c r="AA105" s="2759"/>
      <c r="AB105" s="2759"/>
      <c r="AC105" s="2759"/>
      <c r="AD105" s="2759"/>
      <c r="AE105" s="2759"/>
      <c r="AF105" s="2759"/>
      <c r="AG105" s="2760"/>
      <c r="AH105" s="2760"/>
      <c r="AI105" s="2760"/>
      <c r="AJ105" s="2760"/>
      <c r="AK105" s="2760"/>
      <c r="AL105" s="2760"/>
      <c r="AM105" s="2760"/>
      <c r="AN105" s="2760"/>
      <c r="AO105" s="2760"/>
      <c r="AP105" s="2760"/>
      <c r="AQ105" s="2760"/>
      <c r="AR105" s="2760"/>
      <c r="AS105" s="2760"/>
      <c r="AT105" s="2760"/>
      <c r="AU105" s="2760"/>
      <c r="AV105" s="2760"/>
      <c r="AW105" s="2760"/>
      <c r="AX105" s="2760"/>
      <c r="AY105" s="2760"/>
      <c r="AZ105" s="2760"/>
      <c r="BA105" s="2760"/>
      <c r="BB105" s="2760"/>
      <c r="BC105" s="2760"/>
      <c r="BD105" s="2760"/>
      <c r="BE105" s="2760"/>
      <c r="BF105" s="2760"/>
      <c r="BG105" s="2761"/>
      <c r="BH105" s="918"/>
      <c r="BI105" s="2780"/>
      <c r="BJ105" s="2778"/>
      <c r="BK105" s="2778"/>
      <c r="BL105" s="2778"/>
      <c r="BM105" s="2778"/>
      <c r="BN105" s="2779"/>
      <c r="BO105" s="2354"/>
      <c r="BP105" s="2783"/>
      <c r="BQ105" s="2778"/>
      <c r="BR105" s="2778"/>
      <c r="BS105" s="2778"/>
      <c r="BT105" s="2778"/>
      <c r="BU105" s="2782"/>
      <c r="BV105" s="2312"/>
      <c r="BW105" s="2309"/>
      <c r="BX105" s="2827" t="s">
        <v>10370</v>
      </c>
      <c r="BY105" s="2797"/>
      <c r="BZ105" s="2797"/>
      <c r="CA105" s="2797"/>
      <c r="CB105" s="2797"/>
      <c r="CC105" s="2797"/>
      <c r="CD105" s="2797"/>
      <c r="CE105" s="2797"/>
      <c r="CF105" s="2797"/>
      <c r="CG105" s="2798"/>
      <c r="CH105" s="2802" t="e">
        <f>#REF!</f>
        <v>#REF!</v>
      </c>
      <c r="CI105" s="2803"/>
      <c r="CJ105" s="2803"/>
      <c r="CK105" s="2803"/>
      <c r="CL105" s="2803"/>
      <c r="CM105" s="2803"/>
      <c r="CN105" s="2803"/>
      <c r="CO105" s="2803"/>
      <c r="CP105" s="2803"/>
      <c r="CQ105" s="2803"/>
      <c r="CR105" s="2803"/>
      <c r="CS105" s="2803"/>
      <c r="CT105" s="2803"/>
      <c r="CU105" s="2803"/>
      <c r="CV105" s="2803"/>
      <c r="CW105" s="2803"/>
      <c r="CX105" s="2803"/>
      <c r="CY105" s="2803"/>
      <c r="CZ105" s="2803"/>
      <c r="DA105" s="2803"/>
      <c r="DB105" s="2803"/>
      <c r="DC105" s="2803"/>
      <c r="DD105" s="2803"/>
      <c r="DE105" s="2803"/>
      <c r="DF105" s="2803"/>
      <c r="DG105" s="2803"/>
      <c r="DH105" s="2803"/>
      <c r="DI105" s="2803"/>
      <c r="DJ105" s="2803"/>
      <c r="DK105" s="2803"/>
      <c r="DL105" s="2803"/>
      <c r="DM105" s="2803"/>
      <c r="DN105" s="2803"/>
      <c r="DO105" s="2803"/>
      <c r="DP105" s="2803"/>
      <c r="DQ105" s="2803"/>
      <c r="DR105" s="2803"/>
      <c r="DS105" s="2803"/>
      <c r="DT105" s="2803"/>
      <c r="DU105" s="2803"/>
      <c r="DV105" s="2803"/>
      <c r="DW105" s="2803"/>
      <c r="DX105" s="2803"/>
      <c r="DY105" s="2803"/>
      <c r="DZ105" s="2803"/>
      <c r="EA105" s="2803"/>
      <c r="EB105" s="2803"/>
      <c r="EC105" s="2803"/>
      <c r="ED105" s="2803"/>
      <c r="EE105" s="2803"/>
      <c r="EF105" s="2803"/>
      <c r="EG105" s="2803"/>
      <c r="EH105" s="2803"/>
      <c r="EI105" s="2803"/>
      <c r="EJ105" s="2803"/>
      <c r="EK105" s="2803"/>
      <c r="EL105" s="2803"/>
      <c r="EM105" s="2803"/>
      <c r="EN105" s="2803"/>
      <c r="EO105" s="2803"/>
      <c r="EP105" s="2804"/>
      <c r="EQ105" s="2312"/>
      <c r="ER105" s="2309"/>
      <c r="ES105" s="2849"/>
      <c r="ET105" s="2850"/>
      <c r="EU105" s="2850"/>
      <c r="EV105" s="2850"/>
      <c r="EW105" s="2850"/>
      <c r="EX105" s="2850"/>
      <c r="EY105" s="2850"/>
      <c r="EZ105" s="2850"/>
      <c r="FA105" s="2850"/>
      <c r="FB105" s="2850"/>
      <c r="FC105" s="2850"/>
      <c r="FD105" s="2850"/>
      <c r="FE105" s="2850"/>
      <c r="FF105" s="2850"/>
      <c r="FG105" s="2850"/>
      <c r="FH105" s="2850"/>
      <c r="FI105" s="2850"/>
      <c r="FJ105" s="2850"/>
      <c r="FK105" s="2850"/>
      <c r="FL105" s="2850"/>
      <c r="FM105" s="2850"/>
      <c r="FN105" s="2850"/>
      <c r="FO105" s="2850"/>
      <c r="FP105" s="2850"/>
      <c r="FQ105" s="2850"/>
      <c r="FR105" s="2850"/>
      <c r="FS105" s="2850"/>
      <c r="FT105" s="2850"/>
      <c r="FU105" s="2850"/>
      <c r="FV105" s="2850"/>
      <c r="FW105" s="2850"/>
      <c r="FX105" s="2850"/>
      <c r="FY105" s="2850"/>
      <c r="FZ105" s="2851"/>
      <c r="GA105" s="2343"/>
      <c r="GB105" s="2343"/>
      <c r="GC105" s="2348"/>
      <c r="GD105" s="2349"/>
      <c r="GE105" s="2349"/>
      <c r="GF105" s="2349"/>
      <c r="GG105" s="2349"/>
      <c r="GH105" s="2349"/>
      <c r="GI105" s="2349"/>
      <c r="GJ105" s="2349"/>
      <c r="GK105" s="2349"/>
      <c r="GL105" s="2349"/>
      <c r="GM105" s="2349"/>
      <c r="GN105" s="2349"/>
      <c r="GO105" s="2349"/>
      <c r="GP105" s="2349"/>
      <c r="GQ105" s="2349"/>
      <c r="GR105" s="2349"/>
      <c r="GS105" s="2349"/>
      <c r="GT105" s="2349"/>
      <c r="GU105" s="2349"/>
      <c r="GV105" s="2349"/>
      <c r="GW105" s="2349"/>
      <c r="GX105" s="2349"/>
      <c r="GY105" s="2349"/>
      <c r="GZ105" s="2349"/>
      <c r="HA105" s="2349"/>
      <c r="HB105" s="2349"/>
      <c r="HC105" s="2349"/>
      <c r="HD105" s="2349"/>
      <c r="HE105" s="2349"/>
      <c r="HF105" s="2349"/>
      <c r="HG105" s="2350"/>
      <c r="HH105" s="2350"/>
      <c r="HI105" s="2350"/>
      <c r="HJ105" s="2351"/>
      <c r="HL105" s="2312"/>
    </row>
    <row r="106" spans="2:220" ht="7.5" customHeight="1">
      <c r="B106" s="2309"/>
      <c r="C106" s="2787"/>
      <c r="D106" s="2788"/>
      <c r="E106" s="2788"/>
      <c r="F106" s="2788"/>
      <c r="G106" s="2788"/>
      <c r="H106" s="2788"/>
      <c r="I106" s="2788"/>
      <c r="J106" s="2788"/>
      <c r="K106" s="2788"/>
      <c r="L106" s="2788"/>
      <c r="M106" s="2788"/>
      <c r="N106" s="2788"/>
      <c r="O106" s="2788"/>
      <c r="P106" s="2788"/>
      <c r="Q106" s="2788"/>
      <c r="R106" s="2788"/>
      <c r="S106" s="2788"/>
      <c r="T106" s="2788"/>
      <c r="U106" s="2788"/>
      <c r="V106" s="2788"/>
      <c r="W106" s="2789"/>
      <c r="Y106" s="2762"/>
      <c r="Z106" s="2763"/>
      <c r="AA106" s="2763"/>
      <c r="AB106" s="2763"/>
      <c r="AC106" s="2763"/>
      <c r="AD106" s="2763"/>
      <c r="AE106" s="2763"/>
      <c r="AF106" s="2763"/>
      <c r="AG106" s="2764"/>
      <c r="AH106" s="2764"/>
      <c r="AI106" s="2764"/>
      <c r="AJ106" s="2764"/>
      <c r="AK106" s="2764"/>
      <c r="AL106" s="2764"/>
      <c r="AM106" s="2764"/>
      <c r="AN106" s="2764"/>
      <c r="AO106" s="2764"/>
      <c r="AP106" s="2764"/>
      <c r="AQ106" s="2764"/>
      <c r="AR106" s="2764"/>
      <c r="AS106" s="2764"/>
      <c r="AT106" s="2764"/>
      <c r="AU106" s="2764"/>
      <c r="AV106" s="2764"/>
      <c r="AW106" s="2764"/>
      <c r="AX106" s="2764"/>
      <c r="AY106" s="2764"/>
      <c r="AZ106" s="2764"/>
      <c r="BA106" s="2764"/>
      <c r="BB106" s="2764"/>
      <c r="BC106" s="2764"/>
      <c r="BD106" s="2764"/>
      <c r="BE106" s="2764"/>
      <c r="BF106" s="2764"/>
      <c r="BG106" s="2765"/>
      <c r="BH106" s="918"/>
      <c r="BI106" s="2828" t="s">
        <v>13436</v>
      </c>
      <c r="BJ106" s="2829"/>
      <c r="BK106" s="2829"/>
      <c r="BL106" s="2829"/>
      <c r="BM106" s="2829"/>
      <c r="BN106" s="2830"/>
      <c r="BO106" s="2354"/>
      <c r="BP106" s="2835" t="s">
        <v>13745</v>
      </c>
      <c r="BQ106" s="2836"/>
      <c r="BR106" s="2836"/>
      <c r="BS106" s="2836"/>
      <c r="BT106" s="2836"/>
      <c r="BU106" s="2837"/>
      <c r="BV106" s="2312"/>
      <c r="BW106" s="2309"/>
      <c r="BX106" s="2796"/>
      <c r="BY106" s="2797"/>
      <c r="BZ106" s="2797"/>
      <c r="CA106" s="2797"/>
      <c r="CB106" s="2797"/>
      <c r="CC106" s="2797"/>
      <c r="CD106" s="2797"/>
      <c r="CE106" s="2797"/>
      <c r="CF106" s="2797"/>
      <c r="CG106" s="2798"/>
      <c r="CH106" s="2805"/>
      <c r="CI106" s="2806"/>
      <c r="CJ106" s="2806"/>
      <c r="CK106" s="2806"/>
      <c r="CL106" s="2806"/>
      <c r="CM106" s="2806"/>
      <c r="CN106" s="2806"/>
      <c r="CO106" s="2806"/>
      <c r="CP106" s="2806"/>
      <c r="CQ106" s="2806"/>
      <c r="CR106" s="2806"/>
      <c r="CS106" s="2806"/>
      <c r="CT106" s="2806"/>
      <c r="CU106" s="2806"/>
      <c r="CV106" s="2806"/>
      <c r="CW106" s="2806"/>
      <c r="CX106" s="2806"/>
      <c r="CY106" s="2806"/>
      <c r="CZ106" s="2806"/>
      <c r="DA106" s="2806"/>
      <c r="DB106" s="2806"/>
      <c r="DC106" s="2806"/>
      <c r="DD106" s="2806"/>
      <c r="DE106" s="2806"/>
      <c r="DF106" s="2806"/>
      <c r="DG106" s="2806"/>
      <c r="DH106" s="2806"/>
      <c r="DI106" s="2806"/>
      <c r="DJ106" s="2806"/>
      <c r="DK106" s="2806"/>
      <c r="DL106" s="2806"/>
      <c r="DM106" s="2806"/>
      <c r="DN106" s="2806"/>
      <c r="DO106" s="2806"/>
      <c r="DP106" s="2806"/>
      <c r="DQ106" s="2806"/>
      <c r="DR106" s="2806"/>
      <c r="DS106" s="2806"/>
      <c r="DT106" s="2806"/>
      <c r="DU106" s="2806"/>
      <c r="DV106" s="2806"/>
      <c r="DW106" s="2806"/>
      <c r="DX106" s="2806"/>
      <c r="DY106" s="2806"/>
      <c r="DZ106" s="2806"/>
      <c r="EA106" s="2806"/>
      <c r="EB106" s="2806"/>
      <c r="EC106" s="2806"/>
      <c r="ED106" s="2806"/>
      <c r="EE106" s="2806"/>
      <c r="EF106" s="2806"/>
      <c r="EG106" s="2806"/>
      <c r="EH106" s="2806"/>
      <c r="EI106" s="2806"/>
      <c r="EJ106" s="2806"/>
      <c r="EK106" s="2806"/>
      <c r="EL106" s="2806"/>
      <c r="EM106" s="2806"/>
      <c r="EN106" s="2806"/>
      <c r="EO106" s="2806"/>
      <c r="EP106" s="2807"/>
      <c r="EQ106" s="2312"/>
      <c r="ER106" s="2309"/>
      <c r="ES106" s="2849"/>
      <c r="ET106" s="2850"/>
      <c r="EU106" s="2850"/>
      <c r="EV106" s="2850"/>
      <c r="EW106" s="2850"/>
      <c r="EX106" s="2850"/>
      <c r="EY106" s="2850"/>
      <c r="EZ106" s="2850"/>
      <c r="FA106" s="2850"/>
      <c r="FB106" s="2850"/>
      <c r="FC106" s="2850"/>
      <c r="FD106" s="2850"/>
      <c r="FE106" s="2850"/>
      <c r="FF106" s="2850"/>
      <c r="FG106" s="2850"/>
      <c r="FH106" s="2850"/>
      <c r="FI106" s="2850"/>
      <c r="FJ106" s="2850"/>
      <c r="FK106" s="2850"/>
      <c r="FL106" s="2850"/>
      <c r="FM106" s="2850"/>
      <c r="FN106" s="2850"/>
      <c r="FO106" s="2850"/>
      <c r="FP106" s="2850"/>
      <c r="FQ106" s="2850"/>
      <c r="FR106" s="2850"/>
      <c r="FS106" s="2850"/>
      <c r="FT106" s="2850"/>
      <c r="FU106" s="2850"/>
      <c r="FV106" s="2850"/>
      <c r="FW106" s="2850"/>
      <c r="FX106" s="2850"/>
      <c r="FY106" s="2850"/>
      <c r="FZ106" s="2851"/>
      <c r="GA106" s="2343"/>
      <c r="GB106" s="2343"/>
      <c r="GC106" s="2348"/>
      <c r="GD106" s="2349"/>
      <c r="GE106" s="2349"/>
      <c r="GF106" s="2349"/>
      <c r="GG106" s="2349"/>
      <c r="GH106" s="2349"/>
      <c r="GI106" s="2349"/>
      <c r="GJ106" s="2349"/>
      <c r="GK106" s="2349"/>
      <c r="GL106" s="2349"/>
      <c r="GM106" s="2349"/>
      <c r="GN106" s="2349"/>
      <c r="GO106" s="2349"/>
      <c r="GP106" s="2349"/>
      <c r="GQ106" s="2349"/>
      <c r="GR106" s="2349"/>
      <c r="GS106" s="2349"/>
      <c r="GT106" s="2349"/>
      <c r="GU106" s="2349"/>
      <c r="GV106" s="2349"/>
      <c r="GW106" s="2349"/>
      <c r="GX106" s="2349"/>
      <c r="GY106" s="2349"/>
      <c r="GZ106" s="2349"/>
      <c r="HA106" s="2349"/>
      <c r="HB106" s="2349"/>
      <c r="HC106" s="2349"/>
      <c r="HD106" s="2349"/>
      <c r="HE106" s="2349"/>
      <c r="HF106" s="2349"/>
      <c r="HG106" s="2350"/>
      <c r="HH106" s="2350"/>
      <c r="HI106" s="2350"/>
      <c r="HJ106" s="2351"/>
      <c r="HL106" s="2312"/>
    </row>
    <row r="107" spans="2:220" ht="7.5" customHeight="1">
      <c r="B107" s="2309"/>
      <c r="C107" s="2787"/>
      <c r="D107" s="2788"/>
      <c r="E107" s="2788"/>
      <c r="F107" s="2788"/>
      <c r="G107" s="2788"/>
      <c r="H107" s="2788"/>
      <c r="I107" s="2788"/>
      <c r="J107" s="2788"/>
      <c r="K107" s="2788"/>
      <c r="L107" s="2788"/>
      <c r="M107" s="2788"/>
      <c r="N107" s="2788"/>
      <c r="O107" s="2788"/>
      <c r="P107" s="2788"/>
      <c r="Q107" s="2788"/>
      <c r="R107" s="2788"/>
      <c r="S107" s="2788"/>
      <c r="T107" s="2788"/>
      <c r="U107" s="2788"/>
      <c r="V107" s="2788"/>
      <c r="W107" s="2789"/>
      <c r="Y107" s="2758"/>
      <c r="Z107" s="2759"/>
      <c r="AA107" s="2759"/>
      <c r="AB107" s="2759"/>
      <c r="AC107" s="2759"/>
      <c r="AD107" s="2759"/>
      <c r="AE107" s="2759"/>
      <c r="AF107" s="2759"/>
      <c r="AG107" s="2760"/>
      <c r="AH107" s="2760"/>
      <c r="AI107" s="2760"/>
      <c r="AJ107" s="2760"/>
      <c r="AK107" s="2760"/>
      <c r="AL107" s="2760"/>
      <c r="AM107" s="2760"/>
      <c r="AN107" s="2760"/>
      <c r="AO107" s="2760"/>
      <c r="AP107" s="2760"/>
      <c r="AQ107" s="2760"/>
      <c r="AR107" s="2760"/>
      <c r="AS107" s="2760"/>
      <c r="AT107" s="2760"/>
      <c r="AU107" s="2760"/>
      <c r="AV107" s="2760"/>
      <c r="AW107" s="2760"/>
      <c r="AX107" s="2760"/>
      <c r="AY107" s="2760"/>
      <c r="AZ107" s="2760"/>
      <c r="BA107" s="2760"/>
      <c r="BB107" s="2760"/>
      <c r="BC107" s="2760"/>
      <c r="BD107" s="2760"/>
      <c r="BE107" s="2760"/>
      <c r="BF107" s="2760"/>
      <c r="BG107" s="2761"/>
      <c r="BH107" s="918"/>
      <c r="BI107" s="2831"/>
      <c r="BJ107" s="2829"/>
      <c r="BK107" s="2829"/>
      <c r="BL107" s="2829"/>
      <c r="BM107" s="2829"/>
      <c r="BN107" s="2830"/>
      <c r="BO107" s="2354"/>
      <c r="BP107" s="2838"/>
      <c r="BQ107" s="2839"/>
      <c r="BR107" s="2839"/>
      <c r="BS107" s="2839"/>
      <c r="BT107" s="2839"/>
      <c r="BU107" s="2840"/>
      <c r="BV107" s="2312"/>
      <c r="BW107" s="2309"/>
      <c r="BX107" s="2796"/>
      <c r="BY107" s="2797"/>
      <c r="BZ107" s="2797"/>
      <c r="CA107" s="2797"/>
      <c r="CB107" s="2797"/>
      <c r="CC107" s="2797"/>
      <c r="CD107" s="2797"/>
      <c r="CE107" s="2797"/>
      <c r="CF107" s="2797"/>
      <c r="CG107" s="2798"/>
      <c r="CH107" s="2808"/>
      <c r="CI107" s="2809"/>
      <c r="CJ107" s="2809"/>
      <c r="CK107" s="2809"/>
      <c r="CL107" s="2809"/>
      <c r="CM107" s="2809"/>
      <c r="CN107" s="2809"/>
      <c r="CO107" s="2809"/>
      <c r="CP107" s="2809"/>
      <c r="CQ107" s="2809"/>
      <c r="CR107" s="2809"/>
      <c r="CS107" s="2809"/>
      <c r="CT107" s="2809"/>
      <c r="CU107" s="2809"/>
      <c r="CV107" s="2809"/>
      <c r="CW107" s="2809"/>
      <c r="CX107" s="2809"/>
      <c r="CY107" s="2809"/>
      <c r="CZ107" s="2809"/>
      <c r="DA107" s="2809"/>
      <c r="DB107" s="2809"/>
      <c r="DC107" s="2809"/>
      <c r="DD107" s="2809"/>
      <c r="DE107" s="2809"/>
      <c r="DF107" s="2809"/>
      <c r="DG107" s="2809"/>
      <c r="DH107" s="2809"/>
      <c r="DI107" s="2809"/>
      <c r="DJ107" s="2809"/>
      <c r="DK107" s="2809"/>
      <c r="DL107" s="2809"/>
      <c r="DM107" s="2809"/>
      <c r="DN107" s="2809"/>
      <c r="DO107" s="2809"/>
      <c r="DP107" s="2809"/>
      <c r="DQ107" s="2809"/>
      <c r="DR107" s="2809"/>
      <c r="DS107" s="2809"/>
      <c r="DT107" s="2809"/>
      <c r="DU107" s="2809"/>
      <c r="DV107" s="2809"/>
      <c r="DW107" s="2809"/>
      <c r="DX107" s="2809"/>
      <c r="DY107" s="2809"/>
      <c r="DZ107" s="2809"/>
      <c r="EA107" s="2809"/>
      <c r="EB107" s="2809"/>
      <c r="EC107" s="2809"/>
      <c r="ED107" s="2809"/>
      <c r="EE107" s="2809"/>
      <c r="EF107" s="2809"/>
      <c r="EG107" s="2809"/>
      <c r="EH107" s="2809"/>
      <c r="EI107" s="2809"/>
      <c r="EJ107" s="2809"/>
      <c r="EK107" s="2809"/>
      <c r="EL107" s="2809"/>
      <c r="EM107" s="2809"/>
      <c r="EN107" s="2809"/>
      <c r="EO107" s="2809"/>
      <c r="EP107" s="2810"/>
      <c r="EQ107" s="2312"/>
      <c r="ER107" s="2309"/>
      <c r="ES107" s="2849"/>
      <c r="ET107" s="2850"/>
      <c r="EU107" s="2850"/>
      <c r="EV107" s="2850"/>
      <c r="EW107" s="2850"/>
      <c r="EX107" s="2850"/>
      <c r="EY107" s="2850"/>
      <c r="EZ107" s="2850"/>
      <c r="FA107" s="2850"/>
      <c r="FB107" s="2850"/>
      <c r="FC107" s="2850"/>
      <c r="FD107" s="2850"/>
      <c r="FE107" s="2850"/>
      <c r="FF107" s="2850"/>
      <c r="FG107" s="2850"/>
      <c r="FH107" s="2850"/>
      <c r="FI107" s="2850"/>
      <c r="FJ107" s="2850"/>
      <c r="FK107" s="2850"/>
      <c r="FL107" s="2850"/>
      <c r="FM107" s="2850"/>
      <c r="FN107" s="2850"/>
      <c r="FO107" s="2850"/>
      <c r="FP107" s="2850"/>
      <c r="FQ107" s="2850"/>
      <c r="FR107" s="2850"/>
      <c r="FS107" s="2850"/>
      <c r="FT107" s="2850"/>
      <c r="FU107" s="2850"/>
      <c r="FV107" s="2850"/>
      <c r="FW107" s="2850"/>
      <c r="FX107" s="2850"/>
      <c r="FY107" s="2850"/>
      <c r="FZ107" s="2851"/>
      <c r="GA107" s="2343"/>
      <c r="GB107" s="2343"/>
      <c r="GC107" s="2348"/>
      <c r="GD107" s="2349"/>
      <c r="GE107" s="2349"/>
      <c r="GF107" s="2349"/>
      <c r="GG107" s="2349"/>
      <c r="GH107" s="2349"/>
      <c r="GI107" s="2349"/>
      <c r="GJ107" s="2349"/>
      <c r="GK107" s="2349"/>
      <c r="GL107" s="2349"/>
      <c r="GM107" s="2349"/>
      <c r="GN107" s="2349"/>
      <c r="GO107" s="2349"/>
      <c r="GP107" s="2349"/>
      <c r="GQ107" s="2349"/>
      <c r="GR107" s="2349"/>
      <c r="GS107" s="2349"/>
      <c r="GT107" s="2349"/>
      <c r="GU107" s="2349"/>
      <c r="GV107" s="2349"/>
      <c r="GW107" s="2349"/>
      <c r="GX107" s="2349"/>
      <c r="GY107" s="2349"/>
      <c r="GZ107" s="2349"/>
      <c r="HA107" s="2349"/>
      <c r="HB107" s="2349"/>
      <c r="HC107" s="2349"/>
      <c r="HD107" s="2349"/>
      <c r="HE107" s="2349"/>
      <c r="HF107" s="2349"/>
      <c r="HG107" s="2350"/>
      <c r="HH107" s="2350"/>
      <c r="HI107" s="2350"/>
      <c r="HJ107" s="2351"/>
      <c r="HL107" s="2312"/>
    </row>
    <row r="108" spans="2:220" ht="7.5" customHeight="1" thickBot="1">
      <c r="B108" s="2309"/>
      <c r="C108" s="2790"/>
      <c r="D108" s="2791"/>
      <c r="E108" s="2791"/>
      <c r="F108" s="2791"/>
      <c r="G108" s="2791"/>
      <c r="H108" s="2791"/>
      <c r="I108" s="2791"/>
      <c r="J108" s="2791"/>
      <c r="K108" s="2791"/>
      <c r="L108" s="2791"/>
      <c r="M108" s="2791"/>
      <c r="N108" s="2791"/>
      <c r="O108" s="2791"/>
      <c r="P108" s="2791"/>
      <c r="Q108" s="2791"/>
      <c r="R108" s="2791"/>
      <c r="S108" s="2791"/>
      <c r="T108" s="2791"/>
      <c r="U108" s="2791"/>
      <c r="V108" s="2791"/>
      <c r="W108" s="2792"/>
      <c r="Y108" s="2762"/>
      <c r="Z108" s="2763"/>
      <c r="AA108" s="2763"/>
      <c r="AB108" s="2763"/>
      <c r="AC108" s="2763"/>
      <c r="AD108" s="2763"/>
      <c r="AE108" s="2763"/>
      <c r="AF108" s="2763"/>
      <c r="AG108" s="2764"/>
      <c r="AH108" s="2764"/>
      <c r="AI108" s="2764"/>
      <c r="AJ108" s="2764"/>
      <c r="AK108" s="2764"/>
      <c r="AL108" s="2764"/>
      <c r="AM108" s="2764"/>
      <c r="AN108" s="2764"/>
      <c r="AO108" s="2764"/>
      <c r="AP108" s="2764"/>
      <c r="AQ108" s="2764"/>
      <c r="AR108" s="2764"/>
      <c r="AS108" s="2764"/>
      <c r="AT108" s="2764"/>
      <c r="AU108" s="2764"/>
      <c r="AV108" s="2764"/>
      <c r="AW108" s="2764"/>
      <c r="AX108" s="2764"/>
      <c r="AY108" s="2764"/>
      <c r="AZ108" s="2764"/>
      <c r="BA108" s="2764"/>
      <c r="BB108" s="2764"/>
      <c r="BC108" s="2764"/>
      <c r="BD108" s="2764"/>
      <c r="BE108" s="2764"/>
      <c r="BF108" s="2764"/>
      <c r="BG108" s="2765"/>
      <c r="BH108" s="918"/>
      <c r="BI108" s="2832"/>
      <c r="BJ108" s="2833"/>
      <c r="BK108" s="2833"/>
      <c r="BL108" s="2833"/>
      <c r="BM108" s="2833"/>
      <c r="BN108" s="2834"/>
      <c r="BO108" s="2355"/>
      <c r="BP108" s="2841"/>
      <c r="BQ108" s="2842"/>
      <c r="BR108" s="2842"/>
      <c r="BS108" s="2842"/>
      <c r="BT108" s="2842"/>
      <c r="BU108" s="2843"/>
      <c r="BV108" s="2312"/>
      <c r="BW108" s="2309"/>
      <c r="EQ108" s="2312"/>
      <c r="ER108" s="2309"/>
      <c r="ES108" s="2849"/>
      <c r="ET108" s="2850"/>
      <c r="EU108" s="2850"/>
      <c r="EV108" s="2850"/>
      <c r="EW108" s="2850"/>
      <c r="EX108" s="2850"/>
      <c r="EY108" s="2850"/>
      <c r="EZ108" s="2850"/>
      <c r="FA108" s="2850"/>
      <c r="FB108" s="2850"/>
      <c r="FC108" s="2850"/>
      <c r="FD108" s="2850"/>
      <c r="FE108" s="2850"/>
      <c r="FF108" s="2850"/>
      <c r="FG108" s="2850"/>
      <c r="FH108" s="2850"/>
      <c r="FI108" s="2850"/>
      <c r="FJ108" s="2850"/>
      <c r="FK108" s="2850"/>
      <c r="FL108" s="2850"/>
      <c r="FM108" s="2850"/>
      <c r="FN108" s="2850"/>
      <c r="FO108" s="2850"/>
      <c r="FP108" s="2850"/>
      <c r="FQ108" s="2850"/>
      <c r="FR108" s="2850"/>
      <c r="FS108" s="2850"/>
      <c r="FT108" s="2850"/>
      <c r="FU108" s="2850"/>
      <c r="FV108" s="2850"/>
      <c r="FW108" s="2850"/>
      <c r="FX108" s="2850"/>
      <c r="FY108" s="2850"/>
      <c r="FZ108" s="2851"/>
      <c r="GA108" s="2343"/>
      <c r="GB108" s="2343"/>
      <c r="GC108" s="2348"/>
      <c r="GD108" s="2349"/>
      <c r="GE108" s="2349"/>
      <c r="GF108" s="2349"/>
      <c r="GG108" s="2349"/>
      <c r="GH108" s="2349"/>
      <c r="GI108" s="2349"/>
      <c r="GJ108" s="2349"/>
      <c r="GK108" s="2349"/>
      <c r="GL108" s="2349"/>
      <c r="GM108" s="2349"/>
      <c r="GN108" s="2349"/>
      <c r="GO108" s="2349"/>
      <c r="GP108" s="2349"/>
      <c r="GQ108" s="2349"/>
      <c r="GR108" s="2349"/>
      <c r="GS108" s="2349"/>
      <c r="GT108" s="2349"/>
      <c r="GU108" s="2349"/>
      <c r="GV108" s="2349"/>
      <c r="GW108" s="2349"/>
      <c r="GX108" s="2349"/>
      <c r="GY108" s="2349"/>
      <c r="GZ108" s="2349"/>
      <c r="HA108" s="2349"/>
      <c r="HB108" s="2349"/>
      <c r="HC108" s="2349"/>
      <c r="HD108" s="2349"/>
      <c r="HE108" s="2349"/>
      <c r="HF108" s="2349"/>
      <c r="HG108" s="2350"/>
      <c r="HH108" s="2350"/>
      <c r="HI108" s="2350"/>
      <c r="HJ108" s="2351"/>
      <c r="HL108" s="2312"/>
    </row>
    <row r="109" spans="2:220" ht="7.5" customHeight="1" thickBot="1">
      <c r="B109" s="2309"/>
      <c r="BO109" s="918"/>
      <c r="BP109" s="918"/>
      <c r="BQ109" s="918"/>
      <c r="BR109" s="918"/>
      <c r="BS109" s="918"/>
      <c r="BV109" s="2312"/>
      <c r="BW109" s="2309"/>
      <c r="EQ109" s="2312"/>
      <c r="ER109" s="2309"/>
      <c r="ES109" s="2852"/>
      <c r="ET109" s="2853"/>
      <c r="EU109" s="2853"/>
      <c r="EV109" s="2853"/>
      <c r="EW109" s="2853"/>
      <c r="EX109" s="2853"/>
      <c r="EY109" s="2853"/>
      <c r="EZ109" s="2853"/>
      <c r="FA109" s="2853"/>
      <c r="FB109" s="2853"/>
      <c r="FC109" s="2853"/>
      <c r="FD109" s="2853"/>
      <c r="FE109" s="2853"/>
      <c r="FF109" s="2853"/>
      <c r="FG109" s="2853"/>
      <c r="FH109" s="2853"/>
      <c r="FI109" s="2853"/>
      <c r="FJ109" s="2853"/>
      <c r="FK109" s="2853"/>
      <c r="FL109" s="2853"/>
      <c r="FM109" s="2853"/>
      <c r="FN109" s="2853"/>
      <c r="FO109" s="2853"/>
      <c r="FP109" s="2853"/>
      <c r="FQ109" s="2853"/>
      <c r="FR109" s="2853"/>
      <c r="FS109" s="2853"/>
      <c r="FT109" s="2853"/>
      <c r="FU109" s="2853"/>
      <c r="FV109" s="2853"/>
      <c r="FW109" s="2853"/>
      <c r="FX109" s="2853"/>
      <c r="FY109" s="2853"/>
      <c r="FZ109" s="2854"/>
      <c r="GA109" s="2343"/>
      <c r="GB109" s="2343"/>
      <c r="GC109" s="2356"/>
      <c r="GD109" s="2357"/>
      <c r="GE109" s="2357"/>
      <c r="GF109" s="2357"/>
      <c r="GG109" s="2357"/>
      <c r="GH109" s="2357"/>
      <c r="GI109" s="2357"/>
      <c r="GJ109" s="2357"/>
      <c r="GK109" s="2357"/>
      <c r="GL109" s="2357"/>
      <c r="GM109" s="2357"/>
      <c r="GN109" s="2357"/>
      <c r="GO109" s="2357"/>
      <c r="GP109" s="2357"/>
      <c r="GQ109" s="2357"/>
      <c r="GR109" s="2357"/>
      <c r="GS109" s="2357"/>
      <c r="GT109" s="2357"/>
      <c r="GU109" s="2357"/>
      <c r="GV109" s="2357"/>
      <c r="GW109" s="2357"/>
      <c r="GX109" s="2357"/>
      <c r="GY109" s="2357"/>
      <c r="GZ109" s="2357"/>
      <c r="HA109" s="2357"/>
      <c r="HB109" s="2357"/>
      <c r="HC109" s="2357"/>
      <c r="HD109" s="2357"/>
      <c r="HE109" s="2357"/>
      <c r="HF109" s="2357"/>
      <c r="HG109" s="2358"/>
      <c r="HH109" s="2358"/>
      <c r="HI109" s="2358"/>
      <c r="HJ109" s="2359"/>
      <c r="HL109" s="2312"/>
    </row>
    <row r="110" spans="2:220" ht="7.5" customHeight="1" thickBot="1">
      <c r="B110" s="2360"/>
      <c r="C110" s="2361"/>
      <c r="D110" s="2361"/>
      <c r="E110" s="2361"/>
      <c r="F110" s="2361"/>
      <c r="G110" s="2361"/>
      <c r="H110" s="2361"/>
      <c r="I110" s="2361"/>
      <c r="J110" s="2361"/>
      <c r="K110" s="2361"/>
      <c r="L110" s="2361"/>
      <c r="M110" s="2361"/>
      <c r="N110" s="2361"/>
      <c r="O110" s="2361"/>
      <c r="P110" s="2361"/>
      <c r="Q110" s="2361"/>
      <c r="R110" s="2361"/>
      <c r="S110" s="2361"/>
      <c r="T110" s="2361"/>
      <c r="U110" s="2361"/>
      <c r="V110" s="2361"/>
      <c r="W110" s="2361"/>
      <c r="X110" s="2361"/>
      <c r="Y110" s="2361"/>
      <c r="Z110" s="2361"/>
      <c r="AA110" s="2361"/>
      <c r="AB110" s="2361"/>
      <c r="AC110" s="2361"/>
      <c r="AD110" s="2361"/>
      <c r="AE110" s="2361"/>
      <c r="AF110" s="2361"/>
      <c r="AG110" s="2361"/>
      <c r="AH110" s="2361"/>
      <c r="AI110" s="2361"/>
      <c r="AJ110" s="2361"/>
      <c r="AK110" s="2361"/>
      <c r="AL110" s="2361"/>
      <c r="AM110" s="2361"/>
      <c r="AN110" s="2361"/>
      <c r="AO110" s="2361"/>
      <c r="AP110" s="2361"/>
      <c r="AQ110" s="2361"/>
      <c r="AR110" s="2361"/>
      <c r="AS110" s="2361"/>
      <c r="AT110" s="2361"/>
      <c r="AU110" s="2361"/>
      <c r="AV110" s="2361"/>
      <c r="AW110" s="2361"/>
      <c r="AX110" s="2361"/>
      <c r="AY110" s="2361"/>
      <c r="AZ110" s="2361"/>
      <c r="BA110" s="2361"/>
      <c r="BB110" s="2361"/>
      <c r="BC110" s="2361"/>
      <c r="BD110" s="2361"/>
      <c r="BE110" s="2361"/>
      <c r="BF110" s="2361"/>
      <c r="BG110" s="2361"/>
      <c r="BH110" s="2361"/>
      <c r="BI110" s="2361"/>
      <c r="BJ110" s="2361"/>
      <c r="BK110" s="2361"/>
      <c r="BL110" s="2361"/>
      <c r="BM110" s="2361"/>
      <c r="BN110" s="2361"/>
      <c r="BO110" s="2361"/>
      <c r="BP110" s="2361"/>
      <c r="BQ110" s="2361"/>
      <c r="BR110" s="2361"/>
      <c r="BS110" s="2361"/>
      <c r="BT110" s="2361"/>
      <c r="BU110" s="2361"/>
      <c r="BV110" s="2362"/>
      <c r="BW110" s="2360"/>
      <c r="BX110" s="2361"/>
      <c r="BY110" s="2361"/>
      <c r="BZ110" s="2361"/>
      <c r="CA110" s="2361"/>
      <c r="CB110" s="2361"/>
      <c r="CC110" s="2361"/>
      <c r="CD110" s="2361"/>
      <c r="CE110" s="2361"/>
      <c r="CF110" s="2361"/>
      <c r="CG110" s="2361"/>
      <c r="CH110" s="2361"/>
      <c r="CI110" s="2361"/>
      <c r="CJ110" s="2361"/>
      <c r="CK110" s="2361"/>
      <c r="CL110" s="2361"/>
      <c r="CM110" s="2361"/>
      <c r="CN110" s="2361"/>
      <c r="CO110" s="2361"/>
      <c r="CP110" s="2361"/>
      <c r="CQ110" s="2361"/>
      <c r="CR110" s="2361"/>
      <c r="CS110" s="2361"/>
      <c r="CT110" s="2361"/>
      <c r="CU110" s="2361"/>
      <c r="CV110" s="2361"/>
      <c r="CW110" s="2361"/>
      <c r="CX110" s="2361"/>
      <c r="CY110" s="2361"/>
      <c r="CZ110" s="2361"/>
      <c r="DA110" s="2361"/>
      <c r="DB110" s="2361"/>
      <c r="DC110" s="2361"/>
      <c r="DD110" s="2361"/>
      <c r="DE110" s="2361"/>
      <c r="DF110" s="2361"/>
      <c r="DG110" s="2361"/>
      <c r="DH110" s="2361"/>
      <c r="DI110" s="2361"/>
      <c r="DJ110" s="2361"/>
      <c r="DK110" s="2361"/>
      <c r="DL110" s="2361"/>
      <c r="DM110" s="2361"/>
      <c r="DN110" s="2361"/>
      <c r="DO110" s="2361"/>
      <c r="DP110" s="2361"/>
      <c r="DQ110" s="2361"/>
      <c r="DR110" s="2361"/>
      <c r="DS110" s="2361"/>
      <c r="DT110" s="2361"/>
      <c r="DU110" s="2361"/>
      <c r="DV110" s="2361"/>
      <c r="DW110" s="2361"/>
      <c r="DX110" s="2361"/>
      <c r="DY110" s="2361"/>
      <c r="DZ110" s="2361"/>
      <c r="EA110" s="2361"/>
      <c r="EB110" s="2361"/>
      <c r="EC110" s="2361"/>
      <c r="ED110" s="2361"/>
      <c r="EE110" s="2361"/>
      <c r="EF110" s="2361"/>
      <c r="EG110" s="2361"/>
      <c r="EH110" s="2361"/>
      <c r="EI110" s="2361"/>
      <c r="EJ110" s="2361"/>
      <c r="EK110" s="2361"/>
      <c r="EL110" s="2361"/>
      <c r="EM110" s="2361"/>
      <c r="EN110" s="2361"/>
      <c r="EO110" s="2361"/>
      <c r="EP110" s="2361"/>
      <c r="EQ110" s="2362"/>
      <c r="ER110" s="2360"/>
      <c r="ES110" s="2361"/>
      <c r="ET110" s="2361"/>
      <c r="EU110" s="2361"/>
      <c r="EV110" s="2361"/>
      <c r="EW110" s="2361"/>
      <c r="EX110" s="2361"/>
      <c r="EY110" s="2361"/>
      <c r="EZ110" s="2361"/>
      <c r="FA110" s="2361"/>
      <c r="FB110" s="2361"/>
      <c r="FC110" s="2361"/>
      <c r="FD110" s="2361"/>
      <c r="FE110" s="2361"/>
      <c r="FF110" s="2361"/>
      <c r="FG110" s="2361"/>
      <c r="FH110" s="2361"/>
      <c r="FI110" s="2361"/>
      <c r="FJ110" s="2361"/>
      <c r="FK110" s="2361"/>
      <c r="FL110" s="2361"/>
      <c r="FM110" s="2361"/>
      <c r="FN110" s="2361"/>
      <c r="FO110" s="2361"/>
      <c r="FP110" s="2361"/>
      <c r="FQ110" s="2361"/>
      <c r="FR110" s="2361"/>
      <c r="FS110" s="2361"/>
      <c r="FT110" s="2361"/>
      <c r="FU110" s="2361"/>
      <c r="FV110" s="2361"/>
      <c r="FW110" s="2361"/>
      <c r="FX110" s="2361"/>
      <c r="FY110" s="2361"/>
      <c r="FZ110" s="2361"/>
      <c r="GA110" s="2361"/>
      <c r="GB110" s="2361"/>
      <c r="GC110" s="2360"/>
      <c r="GD110" s="2361"/>
      <c r="GE110" s="2361"/>
      <c r="GF110" s="2361"/>
      <c r="GG110" s="2361"/>
      <c r="GH110" s="2361"/>
      <c r="GI110" s="2361"/>
      <c r="GJ110" s="2361"/>
      <c r="GK110" s="2361"/>
      <c r="GL110" s="2361"/>
      <c r="GM110" s="2361"/>
      <c r="GN110" s="2361"/>
      <c r="GO110" s="2361"/>
      <c r="GP110" s="2361"/>
      <c r="GQ110" s="2361"/>
      <c r="GR110" s="2361"/>
      <c r="GS110" s="2361"/>
      <c r="GT110" s="2361"/>
      <c r="GU110" s="2361"/>
      <c r="GV110" s="2361"/>
      <c r="GW110" s="2361"/>
      <c r="GX110" s="2361"/>
      <c r="GY110" s="2361"/>
      <c r="GZ110" s="2361"/>
      <c r="HA110" s="2361"/>
      <c r="HB110" s="2361"/>
      <c r="HC110" s="2361"/>
      <c r="HD110" s="2361"/>
      <c r="HE110" s="2361"/>
      <c r="HF110" s="2361"/>
      <c r="HG110" s="2361"/>
      <c r="HH110" s="2361"/>
      <c r="HI110" s="2361"/>
      <c r="HJ110" s="2362"/>
      <c r="HK110" s="2361"/>
      <c r="HL110" s="2362"/>
    </row>
  </sheetData>
  <mergeCells count="353">
    <mergeCell ref="DV3:EO4"/>
    <mergeCell ref="ES3:FL4"/>
    <mergeCell ref="C5:W7"/>
    <mergeCell ref="AG5:AU7"/>
    <mergeCell ref="AW5:BJ7"/>
    <mergeCell ref="BL5:BT7"/>
    <mergeCell ref="BX5:CR8"/>
    <mergeCell ref="DA5:DT8"/>
    <mergeCell ref="DV5:EO8"/>
    <mergeCell ref="ES5:FL7"/>
    <mergeCell ref="C3:W4"/>
    <mergeCell ref="AG3:AU4"/>
    <mergeCell ref="AW3:BJ4"/>
    <mergeCell ref="BL3:BT4"/>
    <mergeCell ref="BX3:CR4"/>
    <mergeCell ref="DA3:DT4"/>
    <mergeCell ref="C16:I17"/>
    <mergeCell ref="K16:M17"/>
    <mergeCell ref="N16:W17"/>
    <mergeCell ref="Y16:AB17"/>
    <mergeCell ref="AC16:AI17"/>
    <mergeCell ref="AJ16:AN17"/>
    <mergeCell ref="GI22:GL23"/>
    <mergeCell ref="GC9:HJ10"/>
    <mergeCell ref="BX10:EP11"/>
    <mergeCell ref="C11:K13"/>
    <mergeCell ref="M11:S13"/>
    <mergeCell ref="U11:AS13"/>
    <mergeCell ref="AV11:BI13"/>
    <mergeCell ref="BL11:BT13"/>
    <mergeCell ref="ES11:FZ16"/>
    <mergeCell ref="GC11:HJ16"/>
    <mergeCell ref="BX12:EP21"/>
    <mergeCell ref="C9:K10"/>
    <mergeCell ref="M9:S10"/>
    <mergeCell ref="U9:AS10"/>
    <mergeCell ref="AV9:BI10"/>
    <mergeCell ref="BL9:BT10"/>
    <mergeCell ref="ES9:FZ10"/>
    <mergeCell ref="AP16:BU17"/>
    <mergeCell ref="GM22:GR23"/>
    <mergeCell ref="GS22:HB23"/>
    <mergeCell ref="HC22:HJ23"/>
    <mergeCell ref="AS20:BU21"/>
    <mergeCell ref="ES20:HJ21"/>
    <mergeCell ref="K21:N22"/>
    <mergeCell ref="O21:W22"/>
    <mergeCell ref="C22:I23"/>
    <mergeCell ref="Y22:AN23"/>
    <mergeCell ref="AP22:AR23"/>
    <mergeCell ref="AS22:BU23"/>
    <mergeCell ref="ES22:FC23"/>
    <mergeCell ref="FD22:FG23"/>
    <mergeCell ref="Y20:AN21"/>
    <mergeCell ref="AP20:AR21"/>
    <mergeCell ref="C18:I21"/>
    <mergeCell ref="Y18:AB19"/>
    <mergeCell ref="AC18:AI19"/>
    <mergeCell ref="AJ18:AN19"/>
    <mergeCell ref="AP18:AR19"/>
    <mergeCell ref="AS18:BU19"/>
    <mergeCell ref="K19:W20"/>
    <mergeCell ref="HC24:HJ25"/>
    <mergeCell ref="C25:I26"/>
    <mergeCell ref="K25:N26"/>
    <mergeCell ref="O25:W26"/>
    <mergeCell ref="BX25:CP26"/>
    <mergeCell ref="CR25:DW26"/>
    <mergeCell ref="DY25:EP26"/>
    <mergeCell ref="AP26:AR27"/>
    <mergeCell ref="AS26:BU27"/>
    <mergeCell ref="C27:I30"/>
    <mergeCell ref="FD24:FG25"/>
    <mergeCell ref="FH24:GD25"/>
    <mergeCell ref="GE24:GH25"/>
    <mergeCell ref="GI24:GL25"/>
    <mergeCell ref="GM24:GR25"/>
    <mergeCell ref="GS24:HB25"/>
    <mergeCell ref="K23:N24"/>
    <mergeCell ref="O23:W24"/>
    <mergeCell ref="Y24:AN25"/>
    <mergeCell ref="AP24:AR25"/>
    <mergeCell ref="AS24:BU25"/>
    <mergeCell ref="ES24:FC25"/>
    <mergeCell ref="FH22:GD23"/>
    <mergeCell ref="GE22:GH23"/>
    <mergeCell ref="C31:I32"/>
    <mergeCell ref="K31:N32"/>
    <mergeCell ref="O31:W32"/>
    <mergeCell ref="BX31:CP32"/>
    <mergeCell ref="K27:N28"/>
    <mergeCell ref="O27:W28"/>
    <mergeCell ref="Y27:AN28"/>
    <mergeCell ref="BX27:CP28"/>
    <mergeCell ref="CR27:DW29"/>
    <mergeCell ref="AP28:AR29"/>
    <mergeCell ref="AS28:BU29"/>
    <mergeCell ref="K29:N30"/>
    <mergeCell ref="O29:W30"/>
    <mergeCell ref="DY31:EP32"/>
    <mergeCell ref="AP32:AR33"/>
    <mergeCell ref="AS32:BU33"/>
    <mergeCell ref="Y33:AF34"/>
    <mergeCell ref="AG33:AN34"/>
    <mergeCell ref="BX33:CP34"/>
    <mergeCell ref="DY33:EP34"/>
    <mergeCell ref="Y29:AN32"/>
    <mergeCell ref="BX29:CP30"/>
    <mergeCell ref="AP30:AR31"/>
    <mergeCell ref="AS30:BU31"/>
    <mergeCell ref="CR30:DW32"/>
    <mergeCell ref="DY27:EP29"/>
    <mergeCell ref="GC34:HJ35"/>
    <mergeCell ref="BX35:CP36"/>
    <mergeCell ref="DY35:EP36"/>
    <mergeCell ref="C36:I39"/>
    <mergeCell ref="K36:N37"/>
    <mergeCell ref="O36:W37"/>
    <mergeCell ref="Y36:AN37"/>
    <mergeCell ref="AP36:AR37"/>
    <mergeCell ref="AS36:BU37"/>
    <mergeCell ref="CR36:DW44"/>
    <mergeCell ref="C34:I35"/>
    <mergeCell ref="K34:W35"/>
    <mergeCell ref="AP34:AR35"/>
    <mergeCell ref="AS34:BU35"/>
    <mergeCell ref="CR34:DW35"/>
    <mergeCell ref="ES34:FZ35"/>
    <mergeCell ref="ES36:FZ37"/>
    <mergeCell ref="GC36:HJ37"/>
    <mergeCell ref="BX37:CP38"/>
    <mergeCell ref="DY37:EP38"/>
    <mergeCell ref="K38:N39"/>
    <mergeCell ref="O38:W39"/>
    <mergeCell ref="Y38:AN42"/>
    <mergeCell ref="AP38:AR39"/>
    <mergeCell ref="AS38:BU39"/>
    <mergeCell ref="ES38:FZ39"/>
    <mergeCell ref="GC38:HJ39"/>
    <mergeCell ref="BX39:CP40"/>
    <mergeCell ref="DY39:EP40"/>
    <mergeCell ref="C40:I41"/>
    <mergeCell ref="K40:N41"/>
    <mergeCell ref="O40:W41"/>
    <mergeCell ref="AP40:AR41"/>
    <mergeCell ref="AS40:BU41"/>
    <mergeCell ref="ES40:FZ41"/>
    <mergeCell ref="GC40:HJ41"/>
    <mergeCell ref="ES42:FZ43"/>
    <mergeCell ref="GC42:HJ43"/>
    <mergeCell ref="C43:I44"/>
    <mergeCell ref="BX43:CP44"/>
    <mergeCell ref="DY43:EP44"/>
    <mergeCell ref="K44:N45"/>
    <mergeCell ref="O44:W45"/>
    <mergeCell ref="Y44:AN45"/>
    <mergeCell ref="AP44:AR45"/>
    <mergeCell ref="AS44:BU45"/>
    <mergeCell ref="BX41:CP42"/>
    <mergeCell ref="DY41:EP42"/>
    <mergeCell ref="K42:N43"/>
    <mergeCell ref="O42:W43"/>
    <mergeCell ref="AP42:AR43"/>
    <mergeCell ref="AS42:BU43"/>
    <mergeCell ref="ES44:FZ45"/>
    <mergeCell ref="GC44:HJ45"/>
    <mergeCell ref="C45:I48"/>
    <mergeCell ref="K46:N47"/>
    <mergeCell ref="O46:W47"/>
    <mergeCell ref="Y46:AN47"/>
    <mergeCell ref="AP46:AR47"/>
    <mergeCell ref="AS46:BU47"/>
    <mergeCell ref="BY46:CP47"/>
    <mergeCell ref="CR46:DG47"/>
    <mergeCell ref="DI46:DW47"/>
    <mergeCell ref="DY46:EO47"/>
    <mergeCell ref="ES46:FZ47"/>
    <mergeCell ref="GC46:HJ47"/>
    <mergeCell ref="K48:N49"/>
    <mergeCell ref="O48:W49"/>
    <mergeCell ref="Y48:AN49"/>
    <mergeCell ref="AP48:AR49"/>
    <mergeCell ref="AS48:BU49"/>
    <mergeCell ref="BY48:CP50"/>
    <mergeCell ref="ES50:FZ51"/>
    <mergeCell ref="GC50:HJ51"/>
    <mergeCell ref="Y51:AN52"/>
    <mergeCell ref="GC48:HJ49"/>
    <mergeCell ref="GC52:HJ53"/>
    <mergeCell ref="C52:I53"/>
    <mergeCell ref="K52:N53"/>
    <mergeCell ref="O52:W53"/>
    <mergeCell ref="AP52:AR53"/>
    <mergeCell ref="AS52:BU53"/>
    <mergeCell ref="BX52:EP53"/>
    <mergeCell ref="ES52:FZ53"/>
    <mergeCell ref="CR48:DG50"/>
    <mergeCell ref="DI48:DW50"/>
    <mergeCell ref="DY48:EO50"/>
    <mergeCell ref="ES48:FZ49"/>
    <mergeCell ref="C49:I50"/>
    <mergeCell ref="K50:N51"/>
    <mergeCell ref="O50:W51"/>
    <mergeCell ref="AP50:AR51"/>
    <mergeCell ref="AS50:BU51"/>
    <mergeCell ref="Y53:AN54"/>
    <mergeCell ref="C54:I57"/>
    <mergeCell ref="K54:N55"/>
    <mergeCell ref="O54:W55"/>
    <mergeCell ref="AP54:AR55"/>
    <mergeCell ref="AS54:BU55"/>
    <mergeCell ref="BX54:CE55"/>
    <mergeCell ref="CF54:CK55"/>
    <mergeCell ref="EH54:EP55"/>
    <mergeCell ref="ES54:FZ55"/>
    <mergeCell ref="GC54:HJ55"/>
    <mergeCell ref="K56:N57"/>
    <mergeCell ref="O56:W57"/>
    <mergeCell ref="Y56:AN57"/>
    <mergeCell ref="AP56:AR57"/>
    <mergeCell ref="AS56:BU57"/>
    <mergeCell ref="BX56:CE57"/>
    <mergeCell ref="CR54:CW55"/>
    <mergeCell ref="CX54:DC55"/>
    <mergeCell ref="DD54:DI55"/>
    <mergeCell ref="DJ54:DO55"/>
    <mergeCell ref="DP54:DU55"/>
    <mergeCell ref="DV54:EA55"/>
    <mergeCell ref="EH56:EP57"/>
    <mergeCell ref="ES56:FZ57"/>
    <mergeCell ref="GC56:HJ57"/>
    <mergeCell ref="CF56:CK57"/>
    <mergeCell ref="CL56:CQ57"/>
    <mergeCell ref="CR56:CW57"/>
    <mergeCell ref="CX56:DC57"/>
    <mergeCell ref="C58:I59"/>
    <mergeCell ref="K58:N59"/>
    <mergeCell ref="O58:W59"/>
    <mergeCell ref="Y58:AN59"/>
    <mergeCell ref="AP58:AR59"/>
    <mergeCell ref="AS58:BU59"/>
    <mergeCell ref="DP56:DU57"/>
    <mergeCell ref="CL54:CQ55"/>
    <mergeCell ref="EB54:EG55"/>
    <mergeCell ref="DV56:EA57"/>
    <mergeCell ref="EB56:EG57"/>
    <mergeCell ref="DD56:DI57"/>
    <mergeCell ref="DJ56:DO57"/>
    <mergeCell ref="ES58:FZ59"/>
    <mergeCell ref="GC58:HJ59"/>
    <mergeCell ref="BX59:DB60"/>
    <mergeCell ref="DJ59:DU60"/>
    <mergeCell ref="DV59:EP60"/>
    <mergeCell ref="K60:N61"/>
    <mergeCell ref="O60:W61"/>
    <mergeCell ref="ES60:FZ61"/>
    <mergeCell ref="GC60:HJ61"/>
    <mergeCell ref="O66:W67"/>
    <mergeCell ref="BX66:CG69"/>
    <mergeCell ref="CH66:EP69"/>
    <mergeCell ref="C67:I68"/>
    <mergeCell ref="K68:N69"/>
    <mergeCell ref="O68:W69"/>
    <mergeCell ref="Y68:BU69"/>
    <mergeCell ref="ES62:FZ63"/>
    <mergeCell ref="GC62:HJ63"/>
    <mergeCell ref="C63:I66"/>
    <mergeCell ref="Y63:AV67"/>
    <mergeCell ref="AX63:BU67"/>
    <mergeCell ref="K64:N65"/>
    <mergeCell ref="O64:W65"/>
    <mergeCell ref="ES64:FZ65"/>
    <mergeCell ref="GC64:HJ65"/>
    <mergeCell ref="K66:N67"/>
    <mergeCell ref="C61:I62"/>
    <mergeCell ref="Y61:AV62"/>
    <mergeCell ref="AX61:BU62"/>
    <mergeCell ref="BX61:CG64"/>
    <mergeCell ref="CH61:EO64"/>
    <mergeCell ref="K62:N63"/>
    <mergeCell ref="O62:W63"/>
    <mergeCell ref="N73:T75"/>
    <mergeCell ref="Y74:BU75"/>
    <mergeCell ref="Y76:BU79"/>
    <mergeCell ref="BX76:CG79"/>
    <mergeCell ref="CH76:EP79"/>
    <mergeCell ref="ES76:FZ77"/>
    <mergeCell ref="ES68:FZ69"/>
    <mergeCell ref="GC68:HJ69"/>
    <mergeCell ref="K70:N71"/>
    <mergeCell ref="O70:W71"/>
    <mergeCell ref="Y70:BU73"/>
    <mergeCell ref="ES70:FZ73"/>
    <mergeCell ref="GC70:HJ72"/>
    <mergeCell ref="BX71:CG74"/>
    <mergeCell ref="CH71:EP74"/>
    <mergeCell ref="D73:M75"/>
    <mergeCell ref="GC76:HJ77"/>
    <mergeCell ref="C77:W78"/>
    <mergeCell ref="ES78:FZ109"/>
    <mergeCell ref="C79:T81"/>
    <mergeCell ref="U79:W85"/>
    <mergeCell ref="Y80:BU83"/>
    <mergeCell ref="BX81:CG84"/>
    <mergeCell ref="CH81:EP84"/>
    <mergeCell ref="C82:T85"/>
    <mergeCell ref="Y85:AV86"/>
    <mergeCell ref="AX85:BU86"/>
    <mergeCell ref="C86:W87"/>
    <mergeCell ref="BX86:CG89"/>
    <mergeCell ref="CH86:EP89"/>
    <mergeCell ref="Y87:AV91"/>
    <mergeCell ref="AX87:BU91"/>
    <mergeCell ref="C88:W90"/>
    <mergeCell ref="C91:W92"/>
    <mergeCell ref="BX91:CG94"/>
    <mergeCell ref="CH91:EP94"/>
    <mergeCell ref="BX96:CG99"/>
    <mergeCell ref="CH96:EP99"/>
    <mergeCell ref="BX105:CG107"/>
    <mergeCell ref="CH105:EP107"/>
    <mergeCell ref="BI106:BN108"/>
    <mergeCell ref="BP106:BU108"/>
    <mergeCell ref="C97:W98"/>
    <mergeCell ref="Y97:BG98"/>
    <mergeCell ref="BI98:BN98"/>
    <mergeCell ref="BP98:BU98"/>
    <mergeCell ref="C99:W102"/>
    <mergeCell ref="Y99:BG100"/>
    <mergeCell ref="BI99:BN100"/>
    <mergeCell ref="BP99:BU100"/>
    <mergeCell ref="C93:W96"/>
    <mergeCell ref="Y93:BG94"/>
    <mergeCell ref="BI93:BU94"/>
    <mergeCell ref="Y95:BG96"/>
    <mergeCell ref="BI95:BN95"/>
    <mergeCell ref="BP95:BU95"/>
    <mergeCell ref="BI96:BN97"/>
    <mergeCell ref="BP96:BU97"/>
    <mergeCell ref="Y101:BG102"/>
    <mergeCell ref="BI101:BN101"/>
    <mergeCell ref="Y107:BG108"/>
    <mergeCell ref="C103:W104"/>
    <mergeCell ref="Y103:BG104"/>
    <mergeCell ref="BI104:BN105"/>
    <mergeCell ref="BP104:BU105"/>
    <mergeCell ref="C105:W108"/>
    <mergeCell ref="Y105:BG106"/>
    <mergeCell ref="BX101:CG103"/>
    <mergeCell ref="CH101:EP103"/>
    <mergeCell ref="BI102:BN103"/>
    <mergeCell ref="BP102:BU103"/>
    <mergeCell ref="BP101:BU101"/>
  </mergeCells>
  <printOptions horizontalCentered="1" verticalCentered="1"/>
  <pageMargins left="0.25" right="0.25" top="0" bottom="0" header="0.3" footer="0.3"/>
  <pageSetup scale="96" fitToWidth="0" fitToHeight="0" orientation="portrait" r:id="rId1"/>
  <colBreaks count="2" manualBreakCount="2">
    <brk id="74" max="1048575" man="1"/>
    <brk id="147" max="104857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8F782-9E32-4587-8F56-D607D404B90C}">
  <sheetPr codeName="Аркуш5">
    <tabColor rgb="FFFF0000"/>
  </sheetPr>
  <dimension ref="B2:R35"/>
  <sheetViews>
    <sheetView workbookViewId="0">
      <selection activeCell="H37" sqref="H37"/>
    </sheetView>
  </sheetViews>
  <sheetFormatPr defaultRowHeight="14.25"/>
  <cols>
    <col min="1" max="2" width="8.88671875" style="32"/>
    <col min="3" max="3" width="13.33203125" style="32" customWidth="1"/>
    <col min="4" max="4" width="12.77734375" style="32" customWidth="1"/>
    <col min="5" max="13" width="15.88671875" style="32" customWidth="1"/>
    <col min="14" max="15" width="8.88671875" style="32"/>
    <col min="16" max="16" width="10.5546875" style="32" bestFit="1" customWidth="1"/>
    <col min="17" max="17" width="9.109375" style="32" customWidth="1"/>
    <col min="18" max="16384" width="8.88671875" style="32"/>
  </cols>
  <sheetData>
    <row r="2" spans="2:18" ht="15" thickBot="1"/>
    <row r="3" spans="2:18" ht="15" thickBot="1">
      <c r="B3" s="1623" t="s">
        <v>6158</v>
      </c>
      <c r="C3" s="1080"/>
      <c r="D3" s="2364"/>
      <c r="E3" s="282"/>
      <c r="F3" s="282"/>
      <c r="G3" s="282"/>
      <c r="H3" s="282"/>
      <c r="I3" s="282"/>
      <c r="J3" s="282"/>
      <c r="K3" s="282"/>
      <c r="L3" s="282"/>
      <c r="M3" s="282"/>
      <c r="N3" s="282"/>
    </row>
    <row r="4" spans="2:18" ht="15" thickBot="1">
      <c r="B4" s="2365" t="s">
        <v>10185</v>
      </c>
      <c r="C4" s="2366"/>
      <c r="D4" s="3201" t="s">
        <v>10372</v>
      </c>
      <c r="E4" s="3202"/>
      <c r="F4" s="3202"/>
      <c r="G4" s="3202"/>
      <c r="H4" s="3202"/>
      <c r="I4" s="3202"/>
      <c r="J4" s="3202"/>
      <c r="K4" s="3202"/>
      <c r="L4" s="3202"/>
      <c r="M4" s="3203"/>
    </row>
    <row r="5" spans="2:18" ht="15" thickBot="1">
      <c r="B5" s="2367" t="s">
        <v>10173</v>
      </c>
      <c r="C5" s="2368"/>
      <c r="D5" s="2369" t="s">
        <v>10373</v>
      </c>
      <c r="E5" s="2370" t="s">
        <v>10374</v>
      </c>
      <c r="F5" s="2370" t="s">
        <v>10375</v>
      </c>
      <c r="G5" s="2370" t="s">
        <v>10376</v>
      </c>
      <c r="H5" s="2370" t="s">
        <v>10377</v>
      </c>
      <c r="I5" s="2370" t="s">
        <v>10378</v>
      </c>
      <c r="J5" s="2370" t="s">
        <v>10379</v>
      </c>
      <c r="K5" s="2370" t="s">
        <v>10380</v>
      </c>
      <c r="L5" s="2370" t="s">
        <v>10381</v>
      </c>
      <c r="M5" s="2371" t="s">
        <v>10382</v>
      </c>
    </row>
    <row r="6" spans="2:18">
      <c r="B6" s="572">
        <v>1</v>
      </c>
      <c r="C6" s="576"/>
      <c r="D6" s="32" t="s">
        <v>7434</v>
      </c>
      <c r="E6" s="32" t="s">
        <v>7407</v>
      </c>
      <c r="F6" s="32" t="s">
        <v>7383</v>
      </c>
      <c r="O6" s="32" t="s">
        <v>6299</v>
      </c>
      <c r="P6" s="32" t="s">
        <v>4041</v>
      </c>
      <c r="Q6" s="32" t="s">
        <v>10374</v>
      </c>
      <c r="R6" s="32" t="s">
        <v>10375</v>
      </c>
    </row>
    <row r="7" spans="2:18">
      <c r="B7" s="578">
        <v>2</v>
      </c>
      <c r="C7" s="576"/>
      <c r="O7" s="32" t="s">
        <v>6007</v>
      </c>
      <c r="P7" s="32" t="s">
        <v>10383</v>
      </c>
      <c r="Q7" s="32" t="s">
        <v>10384</v>
      </c>
    </row>
    <row r="8" spans="2:18">
      <c r="B8" s="578">
        <v>3</v>
      </c>
      <c r="C8" s="576"/>
      <c r="O8" s="32" t="s">
        <v>6020</v>
      </c>
      <c r="P8" s="32" t="s">
        <v>10385</v>
      </c>
      <c r="Q8" s="32" t="s">
        <v>10386</v>
      </c>
    </row>
    <row r="9" spans="2:18">
      <c r="B9" s="578">
        <v>4</v>
      </c>
      <c r="C9" s="576"/>
      <c r="O9" s="32" t="s">
        <v>4928</v>
      </c>
      <c r="P9" s="32" t="s">
        <v>10387</v>
      </c>
      <c r="Q9" s="32" t="s">
        <v>10388</v>
      </c>
    </row>
    <row r="10" spans="2:18">
      <c r="B10" s="578">
        <v>5</v>
      </c>
      <c r="C10" s="576"/>
    </row>
    <row r="11" spans="2:18">
      <c r="B11" s="578">
        <v>6</v>
      </c>
      <c r="C11" s="576"/>
    </row>
    <row r="12" spans="2:18">
      <c r="B12" s="578">
        <v>7</v>
      </c>
      <c r="C12" s="576"/>
    </row>
    <row r="13" spans="2:18">
      <c r="B13" s="578">
        <v>8</v>
      </c>
      <c r="C13" s="576"/>
    </row>
    <row r="14" spans="2:18">
      <c r="B14" s="578">
        <v>9</v>
      </c>
      <c r="C14" s="576"/>
    </row>
    <row r="15" spans="2:18">
      <c r="B15" s="578">
        <v>10</v>
      </c>
      <c r="C15" s="576"/>
    </row>
    <row r="16" spans="2:18">
      <c r="B16" s="578">
        <v>11</v>
      </c>
      <c r="C16" s="576"/>
    </row>
    <row r="17" spans="2:3" ht="15" thickBot="1">
      <c r="B17" s="1602">
        <v>12</v>
      </c>
      <c r="C17" s="576"/>
    </row>
    <row r="18" spans="2:3">
      <c r="B18" s="705"/>
      <c r="C18" s="447"/>
    </row>
    <row r="19" spans="2:3">
      <c r="B19" s="271"/>
      <c r="C19" s="272"/>
    </row>
    <row r="20" spans="2:3">
      <c r="B20" s="271"/>
      <c r="C20" s="272"/>
    </row>
    <row r="21" spans="2:3">
      <c r="B21" s="271"/>
      <c r="C21" s="272"/>
    </row>
    <row r="22" spans="2:3">
      <c r="B22" s="271"/>
      <c r="C22" s="272"/>
    </row>
    <row r="23" spans="2:3">
      <c r="B23" s="271"/>
      <c r="C23" s="272"/>
    </row>
    <row r="24" spans="2:3">
      <c r="B24" s="271"/>
      <c r="C24" s="272"/>
    </row>
    <row r="25" spans="2:3">
      <c r="B25" s="271"/>
      <c r="C25" s="272"/>
    </row>
    <row r="26" spans="2:3">
      <c r="B26" s="271"/>
      <c r="C26" s="272"/>
    </row>
    <row r="27" spans="2:3">
      <c r="B27" s="271"/>
      <c r="C27" s="272"/>
    </row>
    <row r="28" spans="2:3">
      <c r="B28" s="271"/>
      <c r="C28" s="272"/>
    </row>
    <row r="29" spans="2:3">
      <c r="B29" s="271"/>
      <c r="C29" s="272"/>
    </row>
    <row r="30" spans="2:3">
      <c r="B30" s="271"/>
      <c r="C30" s="272"/>
    </row>
    <row r="31" spans="2:3">
      <c r="B31" s="271"/>
      <c r="C31" s="272"/>
    </row>
    <row r="32" spans="2:3">
      <c r="B32" s="271"/>
      <c r="C32" s="272"/>
    </row>
    <row r="33" spans="2:3">
      <c r="B33" s="271"/>
      <c r="C33" s="272"/>
    </row>
    <row r="34" spans="2:3">
      <c r="B34" s="271"/>
      <c r="C34" s="272"/>
    </row>
    <row r="35" spans="2:3">
      <c r="B35" s="271"/>
      <c r="C35" s="272"/>
    </row>
  </sheetData>
  <mergeCells count="1">
    <mergeCell ref="D4:M4"/>
  </mergeCells>
  <dataValidations count="3">
    <dataValidation type="list" allowBlank="1" showInputMessage="1" showErrorMessage="1" sqref="E6:M6" xr:uid="{BE6E91B5-84A2-46CA-A643-BA1ACEEE3C56}">
      <formula1>INDIRECT(VLOOKUP($C$6,Lists,3,FALSE))</formula1>
    </dataValidation>
    <dataValidation type="list" allowBlank="1" showInputMessage="1" showErrorMessage="1" sqref="D6" xr:uid="{2017367F-F16B-4215-9A09-1F52E3F722A8}">
      <formula1>IF(B6=1,INDIRECT(VLOOKUP($C$6,Lists,2,FALSE)),"")</formula1>
    </dataValidation>
    <dataValidation type="list" allowBlank="1" showInputMessage="1" showErrorMessage="1" sqref="C18:C20" xr:uid="{FFBF9D13-618D-4350-AF75-1CC3424F6446}">
      <formula1>BardCantrips</formula1>
    </dataValidation>
  </dataValidations>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46DC3-D4CD-47D9-BDE7-36CA191F17AA}">
  <sheetPr codeName="Аркуш8">
    <tabColor rgb="FF92D050"/>
  </sheetPr>
  <dimension ref="A1:BB175"/>
  <sheetViews>
    <sheetView showGridLines="0" showZeros="0" topLeftCell="E41" zoomScale="145" zoomScaleNormal="145" zoomScalePageLayoutView="175" workbookViewId="0">
      <selection activeCell="M2" sqref="M2:N2"/>
    </sheetView>
  </sheetViews>
  <sheetFormatPr defaultColWidth="6.88671875" defaultRowHeight="14.1" customHeight="1"/>
  <cols>
    <col min="1" max="1" width="2.44140625" style="272" customWidth="1"/>
    <col min="2" max="2" width="18.44140625" style="272" customWidth="1"/>
    <col min="3" max="3" width="17.44140625" style="272" bestFit="1" customWidth="1"/>
    <col min="4" max="4" width="26.88671875" style="272" bestFit="1" customWidth="1"/>
    <col min="5" max="5" width="5.5546875" style="272" customWidth="1"/>
    <col min="6" max="6" width="12.109375" style="272" customWidth="1"/>
    <col min="7" max="7" width="7.88671875" style="272" customWidth="1"/>
    <col min="8" max="9" width="8.33203125" style="272" customWidth="1"/>
    <col min="10" max="10" width="12.5546875" style="272" customWidth="1"/>
    <col min="11" max="11" width="2.88671875" style="272" customWidth="1"/>
    <col min="12" max="12" width="3.5546875" style="2139" customWidth="1"/>
    <col min="13" max="13" width="6.88671875" style="272"/>
    <col min="14" max="33" width="20" style="272" customWidth="1"/>
    <col min="34" max="34" width="6.88671875" style="272"/>
    <col min="35" max="35" width="17.88671875" style="272" customWidth="1"/>
    <col min="36" max="38" width="6.88671875" style="272"/>
    <col min="39" max="39" width="6.88671875" style="271"/>
    <col min="40" max="42" width="6.88671875" style="272"/>
    <col min="43" max="43" width="2.6640625" style="272" customWidth="1"/>
    <col min="44" max="44" width="6.88671875" style="272"/>
    <col min="45" max="45" width="9.109375" style="272" customWidth="1"/>
    <col min="46" max="47" width="6.88671875" style="272"/>
    <col min="48" max="48" width="7.77734375" style="272" customWidth="1"/>
    <col min="49" max="50" width="6.88671875" style="272"/>
    <col min="51" max="51" width="11.77734375" style="272" bestFit="1" customWidth="1"/>
    <col min="52" max="16384" width="6.88671875" style="272"/>
  </cols>
  <sheetData>
    <row r="1" spans="2:54" ht="14.1" customHeight="1" thickBot="1">
      <c r="L1" s="2115"/>
      <c r="AJ1" s="543"/>
    </row>
    <row r="2" spans="2:54" ht="14.1" customHeight="1" thickTop="1" thickBot="1">
      <c r="B2" s="1858" t="s">
        <v>10163</v>
      </c>
      <c r="C2" s="2116"/>
      <c r="D2" s="2117"/>
      <c r="F2" s="3254" t="s">
        <v>10164</v>
      </c>
      <c r="G2" s="3255"/>
      <c r="H2" s="3255"/>
      <c r="I2" s="3255"/>
      <c r="J2" s="3256"/>
      <c r="L2" s="2115"/>
      <c r="M2" s="2686" t="s">
        <v>10165</v>
      </c>
      <c r="N2" s="2686"/>
      <c r="R2" s="3257"/>
      <c r="S2" s="3258"/>
      <c r="T2" s="3258"/>
      <c r="U2" s="3258"/>
      <c r="V2" s="3258"/>
      <c r="W2" s="3258"/>
      <c r="X2" s="3258"/>
      <c r="Y2" s="3258"/>
      <c r="Z2" s="3258"/>
      <c r="AA2" s="3258"/>
      <c r="AB2" s="3258"/>
      <c r="AC2" s="3258"/>
      <c r="AI2" s="271"/>
      <c r="AJ2" s="543"/>
      <c r="AM2" s="272"/>
      <c r="AX2" s="271"/>
      <c r="BB2" s="271"/>
    </row>
    <row r="3" spans="2:54" ht="14.1" customHeight="1" thickTop="1" thickBot="1">
      <c r="B3" s="2118"/>
      <c r="C3" s="2119"/>
      <c r="D3" s="739" t="s">
        <v>10166</v>
      </c>
      <c r="F3" s="2120" t="s">
        <v>10167</v>
      </c>
      <c r="G3" s="2121">
        <f>[1]ABILITIES!R25</f>
        <v>3</v>
      </c>
      <c r="H3" s="3259" t="s">
        <v>10168</v>
      </c>
      <c r="I3" s="3260"/>
      <c r="J3" s="2122" t="str">
        <f>[1]GEAR!C22</f>
        <v>None</v>
      </c>
      <c r="L3" s="2115"/>
      <c r="M3" s="501" t="s">
        <v>6055</v>
      </c>
      <c r="N3" s="2123" t="str">
        <f ca="1">$D$8</f>
        <v>Fighter</v>
      </c>
      <c r="R3" s="271"/>
      <c r="S3" s="271"/>
      <c r="T3" s="271"/>
      <c r="U3" s="271"/>
      <c r="V3" s="271"/>
      <c r="W3" s="271"/>
      <c r="X3" s="271"/>
      <c r="Y3" s="271"/>
      <c r="Z3" s="271"/>
      <c r="AA3" s="271"/>
      <c r="AB3" s="271"/>
      <c r="AC3" s="271"/>
      <c r="AJ3" s="543"/>
      <c r="AM3" s="272"/>
      <c r="AX3" s="271"/>
    </row>
    <row r="4" spans="2:54" ht="14.1" customHeight="1" thickBot="1">
      <c r="B4" s="2124" t="s">
        <v>10169</v>
      </c>
      <c r="C4" s="2125"/>
      <c r="D4" s="2126" t="str">
        <f ca="1">IF([1]USER!X6=0,VLOOKUP(C11,[1]RACE!B6:AD34,3),"")</f>
        <v>Grim  Dundragon</v>
      </c>
      <c r="F4" s="2127" t="s">
        <v>10170</v>
      </c>
      <c r="G4" s="1660">
        <f>'[1]WEAPONS ARMOR'!S23</f>
        <v>9</v>
      </c>
      <c r="H4" s="3245" t="s">
        <v>10171</v>
      </c>
      <c r="I4" s="3246"/>
      <c r="J4" s="1660">
        <f>'[1]WEAPONS ARMOR'!R23</f>
        <v>10</v>
      </c>
      <c r="L4" s="2115"/>
      <c r="M4" s="502"/>
      <c r="N4" s="1692" t="str">
        <f ca="1">"LVL - "&amp;D5</f>
        <v>LVL - 1</v>
      </c>
      <c r="O4" s="272" t="s">
        <v>10172</v>
      </c>
      <c r="Q4" s="543"/>
      <c r="R4" s="3257"/>
      <c r="S4" s="3258"/>
      <c r="T4" s="3258"/>
      <c r="U4" s="3258"/>
      <c r="V4" s="3258"/>
      <c r="W4" s="3258"/>
      <c r="X4" s="3258"/>
      <c r="Y4" s="3258"/>
      <c r="Z4" s="3258"/>
      <c r="AA4" s="3258"/>
      <c r="AB4" s="3258"/>
      <c r="AC4" s="3258"/>
      <c r="AH4" s="272" t="s">
        <v>1287</v>
      </c>
      <c r="AJ4" s="543"/>
      <c r="AM4" s="272"/>
      <c r="AX4" s="271"/>
    </row>
    <row r="5" spans="2:54" ht="14.1" customHeight="1" thickBot="1">
      <c r="B5" s="2128" t="s">
        <v>10173</v>
      </c>
      <c r="C5" s="382">
        <f ca="1">IF([1]USER!I6=0,RANDBETWEEN(1,20),[1]USER!I6)</f>
        <v>1</v>
      </c>
      <c r="D5" s="2129">
        <f ca="1">C5</f>
        <v>1</v>
      </c>
      <c r="E5" s="272" t="s">
        <v>1287</v>
      </c>
      <c r="F5" s="2127" t="s">
        <v>10174</v>
      </c>
      <c r="G5" s="2130">
        <f>[1]ABILITIES!Q24</f>
        <v>13.010917186970582</v>
      </c>
      <c r="H5" s="3245" t="s">
        <v>10175</v>
      </c>
      <c r="I5" s="3246"/>
      <c r="J5" s="2129" t="str">
        <f>[1]GEAR!C28</f>
        <v>no</v>
      </c>
      <c r="L5" s="2115"/>
      <c r="M5" s="487" t="s">
        <v>6172</v>
      </c>
      <c r="N5" s="1635" t="s">
        <v>10172</v>
      </c>
      <c r="O5" s="481" t="s">
        <v>10176</v>
      </c>
      <c r="Q5" s="2131"/>
      <c r="AH5" s="272" t="s">
        <v>1287</v>
      </c>
      <c r="AJ5" s="543"/>
      <c r="AM5" s="272"/>
      <c r="AX5" s="271"/>
    </row>
    <row r="6" spans="2:54" ht="14.1" customHeight="1" thickBot="1">
      <c r="B6" s="2128" t="s">
        <v>10177</v>
      </c>
      <c r="C6" s="1121"/>
      <c r="D6" s="2129" t="str">
        <f>[1]DESCRIPTION!$K$3&amp;", "&amp;[1]DESCRIPTION!L3</f>
        <v>Older Looking, Adult</v>
      </c>
      <c r="E6" s="272" t="s">
        <v>1287</v>
      </c>
      <c r="F6" s="2127" t="s">
        <v>10178</v>
      </c>
      <c r="G6" s="1660">
        <f>IF(J3="Chain mail",13,IF(J3="Splint",15,3))</f>
        <v>3</v>
      </c>
      <c r="H6" s="3245" t="s">
        <v>10179</v>
      </c>
      <c r="I6" s="3246"/>
      <c r="J6" s="1660">
        <f>IF([1]GEAR!C28&lt;&gt;"no",2,0)</f>
        <v>0</v>
      </c>
      <c r="L6" s="2115"/>
      <c r="M6" s="492" t="s">
        <v>6070</v>
      </c>
      <c r="N6" s="2132">
        <f ca="1">10-COUNTBLANK(N7:N16)</f>
        <v>10</v>
      </c>
      <c r="O6" s="272" t="s">
        <v>1287</v>
      </c>
      <c r="P6" s="676" t="str">
        <f ca="1">CONCATENATE(N3,"  Spells per level")</f>
        <v>Fighter  Spells per level</v>
      </c>
      <c r="Q6" s="2133"/>
      <c r="R6" s="273"/>
      <c r="AH6" s="272" t="s">
        <v>1287</v>
      </c>
      <c r="AJ6" s="543"/>
      <c r="AM6" s="272"/>
      <c r="AX6" s="271"/>
    </row>
    <row r="7" spans="2:54" ht="14.1" customHeight="1">
      <c r="B7" s="2128" t="s">
        <v>10180</v>
      </c>
      <c r="C7" s="382">
        <f ca="1">IF([1]USER!X12=[1]USER!W15,RANDBETWEEN(1,2),[1]USER!X12)</f>
        <v>1</v>
      </c>
      <c r="D7" s="2129" t="str">
        <f ca="1">IF(C7=1,"Male","Female")</f>
        <v>Male</v>
      </c>
      <c r="E7" s="272" t="s">
        <v>1287</v>
      </c>
      <c r="F7" s="2127" t="s">
        <v>10181</v>
      </c>
      <c r="G7" s="2134" t="str">
        <f>IF(G5&lt;G6,"YES!!!!","NO")</f>
        <v>NO</v>
      </c>
      <c r="H7" s="3245" t="s">
        <v>10182</v>
      </c>
      <c r="I7" s="3246"/>
      <c r="J7" s="1660">
        <f>IF(G3&gt;G4,G4,G3)</f>
        <v>3</v>
      </c>
      <c r="L7" s="2115"/>
      <c r="M7" s="2135" t="s">
        <v>7170</v>
      </c>
      <c r="N7" s="3247" t="str">
        <f ca="1">HLOOKUP($N$4,$M$21:$AG$33,4,)</f>
        <v>NIL</v>
      </c>
      <c r="O7" s="3248"/>
      <c r="P7" s="1300">
        <f>[1]SPELLS!AA5</f>
        <v>4</v>
      </c>
      <c r="Q7" s="2133"/>
      <c r="AH7" s="272" t="s">
        <v>1287</v>
      </c>
      <c r="AJ7" s="543"/>
      <c r="AM7" s="272"/>
      <c r="AX7" s="271"/>
    </row>
    <row r="8" spans="2:54" ht="14.1" customHeight="1" thickBot="1">
      <c r="B8" s="2128" t="s">
        <v>6158</v>
      </c>
      <c r="C8" s="382">
        <f ca="1">IF([1]USER!F6=0,RANDBETWEEN(1,[1]CLASS!$C$5),[1]USER!F6)</f>
        <v>2</v>
      </c>
      <c r="D8" s="2129" t="str">
        <f ca="1">VLOOKUP(C8,[1]CLASS!$B$6:$X$18,2)</f>
        <v>Fighter</v>
      </c>
      <c r="E8" s="272" t="s">
        <v>1287</v>
      </c>
      <c r="F8" s="2136" t="s">
        <v>10183</v>
      </c>
      <c r="G8" s="1051"/>
      <c r="H8" s="3245" t="s">
        <v>10184</v>
      </c>
      <c r="I8" s="3246"/>
      <c r="J8" s="2137" t="str">
        <f>[1]SKILLS!$C$59</f>
        <v/>
      </c>
      <c r="L8" s="2115"/>
      <c r="M8" s="2138" t="s">
        <v>7172</v>
      </c>
      <c r="N8" s="3229" t="str">
        <f ca="1">HLOOKUP($N$4,$M$21:$AG$33,5,)</f>
        <v>NIL</v>
      </c>
      <c r="O8" s="3230"/>
      <c r="P8" s="1302">
        <f>[1]SPELLS!AA6</f>
        <v>4</v>
      </c>
      <c r="Q8" s="2133"/>
      <c r="R8" s="273"/>
      <c r="AH8" s="272" t="s">
        <v>1287</v>
      </c>
      <c r="AJ8" s="543"/>
      <c r="AM8" s="272"/>
      <c r="AX8" s="271"/>
    </row>
    <row r="9" spans="2:54" ht="14.1" customHeight="1" thickBot="1">
      <c r="B9" s="2128" t="s">
        <v>10185</v>
      </c>
      <c r="C9" s="382">
        <f ca="1">IF([1]USER!U6=0,HLOOKUP(C8,[1]CLASS!C63:O67,5,TRUE),[1]USER!U6)</f>
        <v>7</v>
      </c>
      <c r="D9" s="1303" t="str">
        <f ca="1">IF([1]USER!U6=0,HLOOKUP(C8,[1]CLASS!C63:P64,2,TRUE),INDEX([1]CLASS!B69:P80,[1]USER!U6,C8+1))</f>
        <v>Samurai</v>
      </c>
      <c r="E9" s="272" t="s">
        <v>1287</v>
      </c>
      <c r="H9" s="3249" t="s">
        <v>10186</v>
      </c>
      <c r="I9" s="3250"/>
      <c r="J9" s="504" t="str">
        <f ca="1">IF(C8=8,[1]ABILITIES!R25+[1]ABILITIES!R28,"")</f>
        <v/>
      </c>
      <c r="M9" s="2138" t="s">
        <v>7174</v>
      </c>
      <c r="N9" s="3229" t="str">
        <f ca="1">HLOOKUP($N$4,$M$21:$AG$33,6,)</f>
        <v>NIL</v>
      </c>
      <c r="O9" s="3230"/>
      <c r="P9" s="1302">
        <f>[1]SPELLS!AA7</f>
        <v>3</v>
      </c>
      <c r="Q9" s="2133"/>
      <c r="R9" s="273"/>
      <c r="AH9" s="272" t="s">
        <v>1287</v>
      </c>
      <c r="AM9" s="272"/>
      <c r="AX9" s="271"/>
    </row>
    <row r="10" spans="2:54" ht="14.1" customHeight="1" thickBot="1">
      <c r="B10" s="2128" t="s">
        <v>10187</v>
      </c>
      <c r="C10" s="382">
        <f ca="1">INDEX([1]CLASS!C83:O87,4,C8)</f>
        <v>3</v>
      </c>
      <c r="D10" s="904" t="str">
        <f ca="1">INDEX([1]CLASS!C83:O84,1,C8)</f>
        <v/>
      </c>
      <c r="E10" s="272" t="s">
        <v>1287</v>
      </c>
      <c r="H10" s="3251" t="s">
        <v>10188</v>
      </c>
      <c r="I10" s="3252"/>
      <c r="J10" s="2140">
        <f ca="1">SUM(J4:J9)</f>
        <v>13</v>
      </c>
      <c r="M10" s="2138" t="s">
        <v>7175</v>
      </c>
      <c r="N10" s="3229" t="str">
        <f ca="1">HLOOKUP($N$4,$M$21:$AG$33,7,)</f>
        <v>NIL</v>
      </c>
      <c r="O10" s="3230"/>
      <c r="P10" s="1302">
        <f>[1]SPELLS!AA8</f>
        <v>3</v>
      </c>
      <c r="AH10" s="272" t="s">
        <v>1287</v>
      </c>
      <c r="AM10" s="272"/>
      <c r="AX10" s="271"/>
    </row>
    <row r="11" spans="2:54" ht="14.1" customHeight="1" thickBot="1">
      <c r="B11" s="2128" t="s">
        <v>10189</v>
      </c>
      <c r="C11" s="382">
        <f ca="1">IF([1]USER!C6=0,(RANDBETWEEN(1,[1]RACE!B4)),[1]USER!C6)</f>
        <v>8</v>
      </c>
      <c r="D11" s="2129" t="str">
        <f ca="1">VLOOKUP(C11,[1]RACE!B6:C41,2)</f>
        <v>Human (Chondathan)</v>
      </c>
      <c r="E11" s="272" t="s">
        <v>1287</v>
      </c>
      <c r="F11" s="1783" t="s">
        <v>10190</v>
      </c>
      <c r="G11" s="2141"/>
      <c r="H11" s="3251" t="s">
        <v>10191</v>
      </c>
      <c r="I11" s="3253"/>
      <c r="J11" s="2142" t="str">
        <f>'[1]WEAPONS ARMOR'!M23</f>
        <v>Normal stealth</v>
      </c>
      <c r="M11" s="2138" t="s">
        <v>7176</v>
      </c>
      <c r="N11" s="3229" t="str">
        <f ca="1">HLOOKUP($N$4,$M$21:$AG$33,8,)</f>
        <v>NIL</v>
      </c>
      <c r="O11" s="3230"/>
      <c r="P11" s="1302">
        <f>[1]SPELLS!AA9</f>
        <v>1</v>
      </c>
      <c r="AH11" s="272" t="s">
        <v>1287</v>
      </c>
      <c r="AM11" s="272"/>
      <c r="AX11" s="271"/>
    </row>
    <row r="12" spans="2:54" ht="14.1" customHeight="1">
      <c r="B12" s="2128" t="s">
        <v>10192</v>
      </c>
      <c r="C12" s="1121" t="s">
        <v>1287</v>
      </c>
      <c r="D12" s="2129" t="str">
        <f ca="1">VLOOKUP(C11,[1]RACE!B6:AA41,26)</f>
        <v>-</v>
      </c>
      <c r="E12" s="272" t="s">
        <v>1287</v>
      </c>
      <c r="F12" s="2143" t="s">
        <v>10193</v>
      </c>
      <c r="G12" s="2144">
        <f>[1]ABILITIES!R25</f>
        <v>3</v>
      </c>
      <c r="M12" s="2138" t="s">
        <v>7177</v>
      </c>
      <c r="N12" s="3229" t="str">
        <f ca="1">HLOOKUP($N$4,$M$21:$AG$33,9,)</f>
        <v>NIL</v>
      </c>
      <c r="O12" s="3230"/>
      <c r="P12" s="1302">
        <f>[1]SPELLS!AA10</f>
        <v>0</v>
      </c>
      <c r="AH12" s="272" t="s">
        <v>1287</v>
      </c>
      <c r="AM12" s="272"/>
      <c r="AX12" s="271"/>
    </row>
    <row r="13" spans="2:54" ht="14.1" customHeight="1">
      <c r="B13" s="2128" t="s">
        <v>10194</v>
      </c>
      <c r="C13" s="382">
        <f ca="1">IF([1]USER!AH6=0,(RANDBETWEEN(1,25)),[1]USER!AH6)</f>
        <v>7</v>
      </c>
      <c r="D13" s="2129" t="str">
        <f ca="1">VLOOKUP(C13,[1]BACKGROUNDS!B5:C35,2)</f>
        <v>Charlatan</v>
      </c>
      <c r="E13" s="272" t="s">
        <v>1287</v>
      </c>
      <c r="F13" s="2127" t="s">
        <v>10195</v>
      </c>
      <c r="G13" s="2130">
        <f ca="1">VLOOKUP(C8,[1]CLASS!B6:U17,20)+[1]ABILITIES!R24+[1]SKILLS!C57</f>
        <v>4</v>
      </c>
      <c r="M13" s="2138" t="s">
        <v>7178</v>
      </c>
      <c r="N13" s="3229" t="str">
        <f ca="1">HLOOKUP($N$4,$M$21:$AG$33,10,)</f>
        <v>NIL</v>
      </c>
      <c r="O13" s="3230"/>
      <c r="P13" s="1302">
        <f>[1]SPELLS!AA11</f>
        <v>0</v>
      </c>
      <c r="AH13" s="272" t="s">
        <v>1287</v>
      </c>
      <c r="AM13" s="272"/>
      <c r="AX13" s="271"/>
    </row>
    <row r="14" spans="2:54" ht="14.1" customHeight="1">
      <c r="B14" s="2128" t="s">
        <v>10196</v>
      </c>
      <c r="C14" s="1121">
        <f ca="1">IF([1]USER!AA6=10,RANDBETWEEN(1,6),RANDBETWEEN(1,9))</f>
        <v>7</v>
      </c>
      <c r="D14" s="2129" t="str">
        <f>IF([1]USER!AA6=0,[1]DESCRIPTION!$O$3,IF([1]USER!AA6=10,VLOOKUP(C14,[1]DESCRIPTION!B7:O15,14),VLOOKUP([1]USER!AA6,[1]USER!Z9:AA19,2)))</f>
        <v>Neutral Good</v>
      </c>
      <c r="E14" s="272" t="s">
        <v>1287</v>
      </c>
      <c r="F14" s="2127" t="s">
        <v>10197</v>
      </c>
      <c r="G14" s="2130">
        <f ca="1">VLOOKUP(C8,[1]CLASS!B6:U17,20)+[1]ABILITIES!R25+[1]SKILLS!C57</f>
        <v>6</v>
      </c>
      <c r="M14" s="2138" t="s">
        <v>7179</v>
      </c>
      <c r="N14" s="3229" t="str">
        <f ca="1">HLOOKUP($N$4,$M$21:$AG$33,11,)</f>
        <v>NIL</v>
      </c>
      <c r="O14" s="3230"/>
      <c r="P14" s="1302">
        <f>[1]SPELLS!AA12</f>
        <v>0</v>
      </c>
      <c r="AH14" s="272" t="s">
        <v>1287</v>
      </c>
      <c r="AM14" s="272"/>
      <c r="AX14" s="271"/>
    </row>
    <row r="15" spans="2:54" ht="14.1" customHeight="1">
      <c r="B15" s="2128" t="s">
        <v>10198</v>
      </c>
      <c r="C15" s="1121"/>
      <c r="D15" s="2129" t="str">
        <f ca="1">VLOOKUP(C11,[1]RACE!B6:W41,19)&amp;""""</f>
        <v>61"</v>
      </c>
      <c r="E15" s="272" t="s">
        <v>1287</v>
      </c>
      <c r="F15" s="2127" t="s">
        <v>10199</v>
      </c>
      <c r="G15" s="2130">
        <f>[1]ABILITIES!R24</f>
        <v>1</v>
      </c>
      <c r="M15" s="2138" t="s">
        <v>7180</v>
      </c>
      <c r="N15" s="3229" t="str">
        <f ca="1">HLOOKUP($N$4,$M$21:$AG$33,12,)</f>
        <v>NIL</v>
      </c>
      <c r="O15" s="3230"/>
      <c r="P15" s="1302">
        <f>[1]SPELLS!AA13</f>
        <v>0</v>
      </c>
      <c r="AH15" s="272" t="s">
        <v>1287</v>
      </c>
      <c r="AM15" s="272"/>
      <c r="AR15" s="543"/>
      <c r="AX15" s="271"/>
    </row>
    <row r="16" spans="2:54" ht="14.1" customHeight="1" thickBot="1">
      <c r="B16" s="2128" t="s">
        <v>10200</v>
      </c>
      <c r="C16" s="2145"/>
      <c r="D16" s="2129" t="str">
        <f ca="1">VLOOKUP(C11,[1]RACE!B6:W41,22)&amp;" lbs"</f>
        <v>125 lbs</v>
      </c>
      <c r="E16" s="272" t="s">
        <v>1287</v>
      </c>
      <c r="F16" s="2136" t="s">
        <v>10201</v>
      </c>
      <c r="G16" s="2146">
        <f>[1]ABILITIES!R25</f>
        <v>3</v>
      </c>
      <c r="M16" s="2147" t="s">
        <v>7181</v>
      </c>
      <c r="N16" s="3231" t="str">
        <f ca="1">HLOOKUP($N$4,$M$21:$AG$33,13,)</f>
        <v>NIL</v>
      </c>
      <c r="O16" s="3232"/>
      <c r="P16" s="1305">
        <f>[1]SPELLS!AA14</f>
        <v>0</v>
      </c>
      <c r="AH16" s="272" t="s">
        <v>1287</v>
      </c>
      <c r="AI16" s="543"/>
      <c r="AM16" s="272"/>
      <c r="AX16" s="271"/>
    </row>
    <row r="17" spans="2:50" ht="14.1" customHeight="1" thickBot="1">
      <c r="B17" s="2148" t="s">
        <v>10202</v>
      </c>
      <c r="C17" s="2145"/>
      <c r="D17" s="2129" t="str">
        <f ca="1">IF(AND(C8=8,C5&gt;1,J3="None",C17),VLOOKUP(C11,[1]RACE!B6:X41,23)+[1]CLASS!N262,VLOOKUP(C11,[1]RACE!B6:X41,23))&amp;"'"</f>
        <v>30'</v>
      </c>
      <c r="E17" s="272" t="s">
        <v>1287</v>
      </c>
      <c r="AI17" s="543"/>
      <c r="AM17" s="272"/>
      <c r="AX17" s="271"/>
    </row>
    <row r="18" spans="2:50" ht="14.1" customHeight="1" thickBot="1">
      <c r="B18" s="2149" t="s">
        <v>10203</v>
      </c>
      <c r="C18" s="2145"/>
      <c r="D18" s="2137" t="str">
        <f>'[1]WEAPONS ARMOR'!L26</f>
        <v>Modest (1 gp/d)</v>
      </c>
      <c r="E18" s="272" t="s">
        <v>1287</v>
      </c>
      <c r="F18" s="275" t="s">
        <v>7016</v>
      </c>
      <c r="G18" s="1658"/>
      <c r="H18" s="2150" t="s">
        <v>10204</v>
      </c>
      <c r="I18" s="276" t="s">
        <v>7061</v>
      </c>
      <c r="J18" s="1659"/>
      <c r="AI18" s="543"/>
      <c r="AM18" s="272"/>
      <c r="AX18" s="271"/>
    </row>
    <row r="19" spans="2:50" ht="14.1" customHeight="1" thickBot="1">
      <c r="B19" s="2151" t="s">
        <v>10205</v>
      </c>
      <c r="C19" s="2152"/>
      <c r="D19" s="2153"/>
      <c r="F19" s="2154" t="s">
        <v>10206</v>
      </c>
      <c r="G19" s="2155" t="str">
        <f>VLOOKUP([1]SKILLS!R60,[1]SKILLS!$B$3:$D$20,3,0)</f>
        <v>Athletics</v>
      </c>
      <c r="H19" s="2156" t="str">
        <f>" +"&amp;VLOOKUP(G19,[1]SKILLS!$B$27:$I$44,8)&amp;", "</f>
        <v xml:space="preserve"> +4, </v>
      </c>
      <c r="I19" s="2157" t="s">
        <v>10207</v>
      </c>
      <c r="J19" s="2158" t="str">
        <f>[1]SKILLS!AA60</f>
        <v>Common</v>
      </c>
      <c r="M19" s="1621"/>
      <c r="N19" s="277" t="s">
        <v>10208</v>
      </c>
      <c r="O19" s="811"/>
      <c r="P19" s="811"/>
      <c r="Q19" s="811"/>
      <c r="R19" s="811"/>
      <c r="S19" s="811"/>
      <c r="T19" s="811"/>
      <c r="U19" s="811"/>
      <c r="V19" s="811"/>
      <c r="W19" s="811"/>
      <c r="X19" s="811"/>
      <c r="Y19" s="811"/>
      <c r="Z19" s="811"/>
      <c r="AA19" s="811"/>
      <c r="AB19" s="811"/>
      <c r="AC19" s="811"/>
      <c r="AD19" s="811"/>
      <c r="AE19" s="811"/>
      <c r="AF19" s="811"/>
      <c r="AG19" s="812"/>
      <c r="AI19" s="543"/>
      <c r="AM19" s="272"/>
      <c r="AX19" s="271"/>
    </row>
    <row r="20" spans="2:50" ht="14.1" customHeight="1" thickBot="1">
      <c r="B20" s="2159" t="s">
        <v>10209</v>
      </c>
      <c r="C20" s="2152"/>
      <c r="D20" s="2137" t="str">
        <f ca="1">VLOOKUP(C8,[1]CLASS!$B$6:$X$17,22)</f>
        <v>All armor, Shields</v>
      </c>
      <c r="F20" s="2160" t="s">
        <v>10210</v>
      </c>
      <c r="G20" s="2161" t="str">
        <f>VLOOKUP([1]SKILLS!R61,[1]SKILLS!$B$3:$D$20,3,0)</f>
        <v>Intimidation</v>
      </c>
      <c r="H20" s="2156" t="str">
        <f>" +"&amp;VLOOKUP(G20,[1]SKILLS!$B$27:$I$44,8)&amp;", "</f>
        <v xml:space="preserve"> +5, </v>
      </c>
      <c r="I20" s="2162" t="s">
        <v>10211</v>
      </c>
      <c r="J20" s="2163" t="str">
        <f>[1]SKILLS!AA61</f>
        <v>Infernal</v>
      </c>
      <c r="M20" s="501" t="s">
        <v>6055</v>
      </c>
      <c r="N20" s="467" t="str">
        <f t="shared" ref="N20:AG20" ca="1" si="0">$D$8</f>
        <v>Fighter</v>
      </c>
      <c r="O20" s="467" t="str">
        <f t="shared" ca="1" si="0"/>
        <v>Fighter</v>
      </c>
      <c r="P20" s="467" t="str">
        <f t="shared" ca="1" si="0"/>
        <v>Fighter</v>
      </c>
      <c r="Q20" s="467" t="str">
        <f t="shared" ca="1" si="0"/>
        <v>Fighter</v>
      </c>
      <c r="R20" s="467" t="str">
        <f t="shared" ca="1" si="0"/>
        <v>Fighter</v>
      </c>
      <c r="S20" s="467" t="str">
        <f t="shared" ca="1" si="0"/>
        <v>Fighter</v>
      </c>
      <c r="T20" s="467" t="str">
        <f t="shared" ca="1" si="0"/>
        <v>Fighter</v>
      </c>
      <c r="U20" s="467" t="str">
        <f t="shared" ca="1" si="0"/>
        <v>Fighter</v>
      </c>
      <c r="V20" s="467" t="str">
        <f t="shared" ca="1" si="0"/>
        <v>Fighter</v>
      </c>
      <c r="W20" s="467" t="str">
        <f t="shared" ca="1" si="0"/>
        <v>Fighter</v>
      </c>
      <c r="X20" s="467" t="str">
        <f t="shared" ca="1" si="0"/>
        <v>Fighter</v>
      </c>
      <c r="Y20" s="467" t="str">
        <f t="shared" ca="1" si="0"/>
        <v>Fighter</v>
      </c>
      <c r="Z20" s="467" t="str">
        <f t="shared" ca="1" si="0"/>
        <v>Fighter</v>
      </c>
      <c r="AA20" s="467" t="str">
        <f t="shared" ca="1" si="0"/>
        <v>Fighter</v>
      </c>
      <c r="AB20" s="467" t="str">
        <f t="shared" ca="1" si="0"/>
        <v>Fighter</v>
      </c>
      <c r="AC20" s="467" t="str">
        <f t="shared" ca="1" si="0"/>
        <v>Fighter</v>
      </c>
      <c r="AD20" s="467" t="str">
        <f t="shared" ca="1" si="0"/>
        <v>Fighter</v>
      </c>
      <c r="AE20" s="467" t="str">
        <f t="shared" ca="1" si="0"/>
        <v>Fighter</v>
      </c>
      <c r="AF20" s="467" t="str">
        <f t="shared" ca="1" si="0"/>
        <v>Fighter</v>
      </c>
      <c r="AG20" s="2123" t="str">
        <f t="shared" ca="1" si="0"/>
        <v>Fighter</v>
      </c>
      <c r="AH20" s="272" t="s">
        <v>1287</v>
      </c>
      <c r="AI20" s="543"/>
      <c r="AM20" s="272"/>
      <c r="AX20" s="271"/>
    </row>
    <row r="21" spans="2:50" ht="14.1" customHeight="1" thickBot="1">
      <c r="B21" s="2164" t="s">
        <v>10212</v>
      </c>
      <c r="C21" s="2165">
        <f>[1]USER!L6</f>
        <v>0</v>
      </c>
      <c r="D21" s="504" t="str">
        <f>VLOOKUP([1]USER!L6,[1]USER!K9:L12,2,FALSE)</f>
        <v>Rolled</v>
      </c>
      <c r="F21" s="2160" t="s">
        <v>10213</v>
      </c>
      <c r="G21" s="2161" t="str">
        <f>IFERROR(VLOOKUP([1]SKILLS!R62,[1]SKILLS!$B$3:$D$20,3,0),"")</f>
        <v/>
      </c>
      <c r="H21" s="2156" t="str">
        <f>IF(G21&lt;&gt;""," +"&amp;VLOOKUP(G21,[1]SKILLS!$B$27:$I$44,8)&amp;", ","")</f>
        <v/>
      </c>
      <c r="I21" s="2162" t="s">
        <v>10214</v>
      </c>
      <c r="J21" s="2163" t="str">
        <f>[1]SKILLS!AA62</f>
        <v/>
      </c>
      <c r="M21" s="502"/>
      <c r="N21" s="749" t="s">
        <v>7125</v>
      </c>
      <c r="O21" s="749" t="s">
        <v>7126</v>
      </c>
      <c r="P21" s="749" t="s">
        <v>7127</v>
      </c>
      <c r="Q21" s="749" t="s">
        <v>7128</v>
      </c>
      <c r="R21" s="749" t="s">
        <v>7129</v>
      </c>
      <c r="S21" s="749" t="s">
        <v>7130</v>
      </c>
      <c r="T21" s="749" t="s">
        <v>7131</v>
      </c>
      <c r="U21" s="749" t="s">
        <v>7132</v>
      </c>
      <c r="V21" s="749" t="s">
        <v>7133</v>
      </c>
      <c r="W21" s="749" t="s">
        <v>7134</v>
      </c>
      <c r="X21" s="749" t="s">
        <v>7135</v>
      </c>
      <c r="Y21" s="749" t="s">
        <v>7136</v>
      </c>
      <c r="Z21" s="749" t="s">
        <v>7137</v>
      </c>
      <c r="AA21" s="749" t="s">
        <v>7138</v>
      </c>
      <c r="AB21" s="749" t="s">
        <v>7139</v>
      </c>
      <c r="AC21" s="749" t="s">
        <v>7140</v>
      </c>
      <c r="AD21" s="749" t="s">
        <v>7141</v>
      </c>
      <c r="AE21" s="749" t="s">
        <v>7142</v>
      </c>
      <c r="AF21" s="749" t="s">
        <v>7143</v>
      </c>
      <c r="AG21" s="1082" t="s">
        <v>7144</v>
      </c>
      <c r="AH21" s="272" t="s">
        <v>1287</v>
      </c>
      <c r="AI21" s="543"/>
      <c r="AM21" s="272"/>
      <c r="AX21" s="271"/>
    </row>
    <row r="22" spans="2:50" ht="14.1" customHeight="1" thickBot="1">
      <c r="F22" s="2160" t="s">
        <v>10215</v>
      </c>
      <c r="G22" s="2161" t="str">
        <f>IFERROR(VLOOKUP([1]SKILLS!R63,[1]SKILLS!$B$3:$D$20,3,0),"")</f>
        <v/>
      </c>
      <c r="H22" s="2156" t="str">
        <f>IF(G22&lt;&gt;""," +"&amp;VLOOKUP(G22,[1]SKILLS!$B$27:$I$44,8)&amp;". ","")</f>
        <v/>
      </c>
      <c r="I22" s="2162" t="s">
        <v>10216</v>
      </c>
      <c r="J22" s="2163" t="str">
        <f>[1]SKILLS!AA63</f>
        <v/>
      </c>
      <c r="M22" s="487" t="s">
        <v>6172</v>
      </c>
      <c r="N22" s="352">
        <v>2</v>
      </c>
      <c r="O22" s="352">
        <v>3</v>
      </c>
      <c r="P22" s="352">
        <v>4</v>
      </c>
      <c r="Q22" s="352">
        <v>5</v>
      </c>
      <c r="R22" s="352">
        <v>6</v>
      </c>
      <c r="S22" s="352">
        <v>7</v>
      </c>
      <c r="T22" s="352">
        <v>8</v>
      </c>
      <c r="U22" s="352">
        <v>9</v>
      </c>
      <c r="V22" s="352">
        <v>10</v>
      </c>
      <c r="W22" s="352">
        <v>11</v>
      </c>
      <c r="X22" s="352">
        <v>12</v>
      </c>
      <c r="Y22" s="352">
        <v>13</v>
      </c>
      <c r="Z22" s="352">
        <v>14</v>
      </c>
      <c r="AA22" s="352">
        <v>15</v>
      </c>
      <c r="AB22" s="352">
        <v>16</v>
      </c>
      <c r="AC22" s="352">
        <v>17</v>
      </c>
      <c r="AD22" s="352">
        <v>18</v>
      </c>
      <c r="AE22" s="352">
        <v>19</v>
      </c>
      <c r="AF22" s="352">
        <v>20</v>
      </c>
      <c r="AG22" s="883">
        <v>21</v>
      </c>
      <c r="AH22" s="272" t="s">
        <v>1287</v>
      </c>
      <c r="AI22" s="543"/>
      <c r="AM22" s="272"/>
      <c r="AU22" s="543"/>
      <c r="AV22" s="543"/>
      <c r="AW22" s="543"/>
      <c r="AX22" s="271"/>
    </row>
    <row r="23" spans="2:50" ht="14.1" customHeight="1" thickBot="1">
      <c r="B23" s="1783" t="s">
        <v>10217</v>
      </c>
      <c r="C23" s="1630"/>
      <c r="D23" s="2141"/>
      <c r="F23" s="2160" t="s">
        <v>10218</v>
      </c>
      <c r="G23" s="2161" t="str">
        <f>VLOOKUP([1]SKILLS!R64,[1]SKILLS!$B$3:$D$20,3,0)</f>
        <v>Religion</v>
      </c>
      <c r="H23" s="2156" t="str">
        <f>" +"&amp;VLOOKUP(G23,[1]SKILLS!$B$27:$I$44,8)&amp;", "</f>
        <v xml:space="preserve"> +7, </v>
      </c>
      <c r="I23" s="2162" t="s">
        <v>10219</v>
      </c>
      <c r="J23" s="2163" t="str">
        <f>[1]SKILLS!AA64</f>
        <v/>
      </c>
      <c r="M23" s="492" t="s">
        <v>6070</v>
      </c>
      <c r="N23" s="419">
        <f t="shared" ref="N23:AG23" ca="1" si="1">10-COUNTBLANK(N24:N33)</f>
        <v>10</v>
      </c>
      <c r="O23" s="419">
        <f t="shared" ca="1" si="1"/>
        <v>10</v>
      </c>
      <c r="P23" s="419">
        <f t="shared" ca="1" si="1"/>
        <v>10</v>
      </c>
      <c r="Q23" s="419">
        <f t="shared" ca="1" si="1"/>
        <v>10</v>
      </c>
      <c r="R23" s="419">
        <f t="shared" ca="1" si="1"/>
        <v>10</v>
      </c>
      <c r="S23" s="419">
        <f t="shared" ca="1" si="1"/>
        <v>10</v>
      </c>
      <c r="T23" s="419">
        <f t="shared" ca="1" si="1"/>
        <v>10</v>
      </c>
      <c r="U23" s="419">
        <f t="shared" ca="1" si="1"/>
        <v>10</v>
      </c>
      <c r="V23" s="419">
        <f t="shared" ca="1" si="1"/>
        <v>10</v>
      </c>
      <c r="W23" s="419">
        <f t="shared" ca="1" si="1"/>
        <v>10</v>
      </c>
      <c r="X23" s="419">
        <f t="shared" ca="1" si="1"/>
        <v>10</v>
      </c>
      <c r="Y23" s="419">
        <f t="shared" ca="1" si="1"/>
        <v>10</v>
      </c>
      <c r="Z23" s="419">
        <f t="shared" ca="1" si="1"/>
        <v>10</v>
      </c>
      <c r="AA23" s="419">
        <f t="shared" ca="1" si="1"/>
        <v>10</v>
      </c>
      <c r="AB23" s="419">
        <f t="shared" ca="1" si="1"/>
        <v>10</v>
      </c>
      <c r="AC23" s="419">
        <f t="shared" ca="1" si="1"/>
        <v>10</v>
      </c>
      <c r="AD23" s="419">
        <f t="shared" ca="1" si="1"/>
        <v>10</v>
      </c>
      <c r="AE23" s="419">
        <f t="shared" ca="1" si="1"/>
        <v>10</v>
      </c>
      <c r="AF23" s="419">
        <f t="shared" ca="1" si="1"/>
        <v>10</v>
      </c>
      <c r="AG23" s="504">
        <f t="shared" ca="1" si="1"/>
        <v>10</v>
      </c>
      <c r="AH23" s="272" t="s">
        <v>1287</v>
      </c>
      <c r="AI23" s="543"/>
      <c r="AM23" s="272"/>
      <c r="AU23" s="543"/>
      <c r="AV23" s="543"/>
      <c r="AW23" s="543"/>
      <c r="AX23" s="271"/>
    </row>
    <row r="24" spans="2:50" ht="14.1" customHeight="1">
      <c r="B24" s="2143" t="s">
        <v>10220</v>
      </c>
      <c r="C24" s="2166">
        <f ca="1">VLOOKUP(C8,[1]CLASS!$B$6:$X$18,4)</f>
        <v>10</v>
      </c>
      <c r="D24" s="2167"/>
      <c r="F24" s="2160" t="s">
        <v>10221</v>
      </c>
      <c r="G24" s="2161" t="str">
        <f>VLOOKUP([1]SKILLS!R65,[1]SKILLS!$B$3:$D$20,3,0)</f>
        <v>Medicine</v>
      </c>
      <c r="H24" s="2156" t="str">
        <f>" +"&amp;VLOOKUP(G24,[1]SKILLS!$B$27:$I$44,8)&amp;". "</f>
        <v xml:space="preserve"> +3. </v>
      </c>
      <c r="I24" s="2162" t="s">
        <v>10222</v>
      </c>
      <c r="J24" s="2163" t="str">
        <f>[1]SKILLS!AA65</f>
        <v/>
      </c>
      <c r="M24" s="2135" t="s">
        <v>7170</v>
      </c>
      <c r="N24" s="1382" t="str">
        <f t="shared" ref="N24:AG33" ca="1" si="2">IF(N$20=$M$36,N38,IF(N$20=$M$50,N52,IF(N$20=$M$64,N66,IF(N$20=$M$78,N80,IF(N$20=$M$92,N94,IF(N$20=$M$106,N108,IF(N$20=$M$120,N122,IF(N$20=$M$134,N136,IF(N$20=$M$148,N150,IF(N$20=$M$162,N164,IF($D$9=$M$78,N80,IF($D$9=$M$120,N122,"NIL"))))))))))))</f>
        <v>NIL</v>
      </c>
      <c r="O24" s="1382" t="str">
        <f t="shared" ca="1" si="2"/>
        <v>NIL</v>
      </c>
      <c r="P24" s="1382" t="str">
        <f t="shared" ca="1" si="2"/>
        <v>NIL</v>
      </c>
      <c r="Q24" s="1382" t="str">
        <f t="shared" ca="1" si="2"/>
        <v>NIL</v>
      </c>
      <c r="R24" s="1382" t="str">
        <f t="shared" ca="1" si="2"/>
        <v>NIL</v>
      </c>
      <c r="S24" s="1382" t="str">
        <f t="shared" ca="1" si="2"/>
        <v>NIL</v>
      </c>
      <c r="T24" s="1382" t="str">
        <f t="shared" ca="1" si="2"/>
        <v>NIL</v>
      </c>
      <c r="U24" s="1382" t="str">
        <f t="shared" ca="1" si="2"/>
        <v>NIL</v>
      </c>
      <c r="V24" s="1382" t="str">
        <f t="shared" ca="1" si="2"/>
        <v>NIL</v>
      </c>
      <c r="W24" s="1382" t="str">
        <f t="shared" ca="1" si="2"/>
        <v>NIL</v>
      </c>
      <c r="X24" s="1382" t="str">
        <f t="shared" ca="1" si="2"/>
        <v>NIL</v>
      </c>
      <c r="Y24" s="1382" t="str">
        <f t="shared" ca="1" si="2"/>
        <v>NIL</v>
      </c>
      <c r="Z24" s="1382" t="str">
        <f t="shared" ca="1" si="2"/>
        <v>NIL</v>
      </c>
      <c r="AA24" s="1382" t="str">
        <f t="shared" ca="1" si="2"/>
        <v>NIL</v>
      </c>
      <c r="AB24" s="1382" t="str">
        <f t="shared" ca="1" si="2"/>
        <v>NIL</v>
      </c>
      <c r="AC24" s="1382" t="str">
        <f t="shared" ca="1" si="2"/>
        <v>NIL</v>
      </c>
      <c r="AD24" s="1382" t="str">
        <f t="shared" ca="1" si="2"/>
        <v>NIL</v>
      </c>
      <c r="AE24" s="1382" t="str">
        <f t="shared" ca="1" si="2"/>
        <v>NIL</v>
      </c>
      <c r="AF24" s="1382" t="str">
        <f t="shared" ca="1" si="2"/>
        <v>NIL</v>
      </c>
      <c r="AG24" s="2168" t="str">
        <f t="shared" ca="1" si="2"/>
        <v>NIL</v>
      </c>
      <c r="AH24" s="272" t="s">
        <v>1287</v>
      </c>
      <c r="AM24" s="272"/>
      <c r="AU24" s="543"/>
      <c r="AV24" s="543"/>
      <c r="AW24" s="543"/>
      <c r="AX24" s="271"/>
    </row>
    <row r="25" spans="2:50" ht="14.1" customHeight="1">
      <c r="B25" s="2127" t="s">
        <v>10223</v>
      </c>
      <c r="C25" s="363">
        <f ca="1">IF([1]USER!R6=0,H58,I58)</f>
        <v>10</v>
      </c>
      <c r="D25" s="1032"/>
      <c r="F25" s="2160" t="s">
        <v>10224</v>
      </c>
      <c r="G25" s="2161" t="str">
        <f>IFERROR(VLOOKUP([1]SKILLS!R66,[1]SKILLS!$B$3:$D$20,3,0),"")</f>
        <v/>
      </c>
      <c r="H25" s="2156" t="str">
        <f>IF(G25&lt;&gt;""," +"&amp;VLOOKUP(G25,[1]SKILLS!$B$27:$I$44,8)&amp;". ","")</f>
        <v/>
      </c>
      <c r="I25" s="2162" t="s">
        <v>10225</v>
      </c>
      <c r="J25" s="2163" t="str">
        <f>[1]SKILLS!AA66</f>
        <v/>
      </c>
      <c r="M25" s="2138" t="s">
        <v>7172</v>
      </c>
      <c r="N25" s="368" t="str">
        <f t="shared" ca="1" si="2"/>
        <v>NIL</v>
      </c>
      <c r="O25" s="368" t="str">
        <f t="shared" ca="1" si="2"/>
        <v>NIL</v>
      </c>
      <c r="P25" s="368" t="str">
        <f t="shared" ca="1" si="2"/>
        <v>NIL</v>
      </c>
      <c r="Q25" s="368" t="str">
        <f t="shared" ca="1" si="2"/>
        <v>NIL</v>
      </c>
      <c r="R25" s="368" t="str">
        <f t="shared" ca="1" si="2"/>
        <v>NIL</v>
      </c>
      <c r="S25" s="368" t="str">
        <f t="shared" ca="1" si="2"/>
        <v>NIL</v>
      </c>
      <c r="T25" s="368" t="str">
        <f t="shared" ca="1" si="2"/>
        <v>NIL</v>
      </c>
      <c r="U25" s="368" t="str">
        <f t="shared" ca="1" si="2"/>
        <v>NIL</v>
      </c>
      <c r="V25" s="368" t="str">
        <f t="shared" ca="1" si="2"/>
        <v>NIL</v>
      </c>
      <c r="W25" s="368" t="str">
        <f t="shared" ca="1" si="2"/>
        <v>NIL</v>
      </c>
      <c r="X25" s="368" t="str">
        <f t="shared" ca="1" si="2"/>
        <v>NIL</v>
      </c>
      <c r="Y25" s="368" t="str">
        <f t="shared" ca="1" si="2"/>
        <v>NIL</v>
      </c>
      <c r="Z25" s="368" t="str">
        <f t="shared" ca="1" si="2"/>
        <v>NIL</v>
      </c>
      <c r="AA25" s="368" t="str">
        <f t="shared" ca="1" si="2"/>
        <v>NIL</v>
      </c>
      <c r="AB25" s="368" t="str">
        <f t="shared" ca="1" si="2"/>
        <v>NIL</v>
      </c>
      <c r="AC25" s="368" t="str">
        <f t="shared" ca="1" si="2"/>
        <v>NIL</v>
      </c>
      <c r="AD25" s="368" t="str">
        <f t="shared" ca="1" si="2"/>
        <v>NIL</v>
      </c>
      <c r="AE25" s="368" t="str">
        <f t="shared" ca="1" si="2"/>
        <v>NIL</v>
      </c>
      <c r="AF25" s="368" t="str">
        <f t="shared" ca="1" si="2"/>
        <v>NIL</v>
      </c>
      <c r="AG25" s="536" t="str">
        <f t="shared" ca="1" si="2"/>
        <v>NIL</v>
      </c>
      <c r="AH25" s="272" t="s">
        <v>1287</v>
      </c>
      <c r="AM25" s="272"/>
      <c r="AU25" s="543"/>
      <c r="AV25" s="543"/>
      <c r="AW25" s="543"/>
      <c r="AX25" s="271"/>
    </row>
    <row r="26" spans="2:50" ht="14.1" customHeight="1" thickBot="1">
      <c r="B26" s="2127" t="s">
        <v>10226</v>
      </c>
      <c r="C26" s="1838">
        <f>[1]ABILITIES!R26</f>
        <v>2</v>
      </c>
      <c r="D26" s="2130" t="str">
        <f>"Con: "&amp;INT([1]ABILITIES!R26)</f>
        <v>Con: 2</v>
      </c>
      <c r="F26" s="2169" t="s">
        <v>10227</v>
      </c>
      <c r="G26" s="2170" t="str">
        <f>IFERROR(VLOOKUP([1]SKILLS!R67,[1]SKILLS!$B$3:$D$20,3,0),"")</f>
        <v/>
      </c>
      <c r="H26" s="1763" t="str">
        <f>IF(G26&lt;&gt;""," +"&amp;VLOOKUP(G26,[1]SKILLS!$B$27:$I$44,8)&amp;".","")</f>
        <v/>
      </c>
      <c r="I26" s="2162" t="s">
        <v>10228</v>
      </c>
      <c r="J26" s="2163" t="str">
        <f>[1]SKILLS!AA67</f>
        <v/>
      </c>
      <c r="M26" s="2138" t="s">
        <v>7174</v>
      </c>
      <c r="N26" s="368" t="str">
        <f t="shared" ca="1" si="2"/>
        <v>NIL</v>
      </c>
      <c r="O26" s="368" t="str">
        <f t="shared" ca="1" si="2"/>
        <v>NIL</v>
      </c>
      <c r="P26" s="368" t="str">
        <f t="shared" ca="1" si="2"/>
        <v>NIL</v>
      </c>
      <c r="Q26" s="368" t="str">
        <f t="shared" ca="1" si="2"/>
        <v>NIL</v>
      </c>
      <c r="R26" s="368" t="str">
        <f t="shared" ca="1" si="2"/>
        <v>NIL</v>
      </c>
      <c r="S26" s="368" t="str">
        <f t="shared" ca="1" si="2"/>
        <v>NIL</v>
      </c>
      <c r="T26" s="368" t="str">
        <f t="shared" ca="1" si="2"/>
        <v>NIL</v>
      </c>
      <c r="U26" s="368" t="str">
        <f t="shared" ca="1" si="2"/>
        <v>NIL</v>
      </c>
      <c r="V26" s="368" t="str">
        <f t="shared" ca="1" si="2"/>
        <v>NIL</v>
      </c>
      <c r="W26" s="368" t="str">
        <f t="shared" ca="1" si="2"/>
        <v>NIL</v>
      </c>
      <c r="X26" s="368" t="str">
        <f t="shared" ca="1" si="2"/>
        <v>NIL</v>
      </c>
      <c r="Y26" s="368" t="str">
        <f t="shared" ca="1" si="2"/>
        <v>NIL</v>
      </c>
      <c r="Z26" s="368" t="str">
        <f t="shared" ca="1" si="2"/>
        <v>NIL</v>
      </c>
      <c r="AA26" s="368" t="str">
        <f t="shared" ca="1" si="2"/>
        <v>NIL</v>
      </c>
      <c r="AB26" s="368" t="str">
        <f t="shared" ca="1" si="2"/>
        <v>NIL</v>
      </c>
      <c r="AC26" s="368" t="str">
        <f t="shared" ca="1" si="2"/>
        <v>NIL</v>
      </c>
      <c r="AD26" s="368" t="str">
        <f t="shared" ca="1" si="2"/>
        <v>NIL</v>
      </c>
      <c r="AE26" s="368" t="str">
        <f t="shared" ca="1" si="2"/>
        <v>NIL</v>
      </c>
      <c r="AF26" s="368" t="str">
        <f t="shared" ca="1" si="2"/>
        <v>NIL</v>
      </c>
      <c r="AG26" s="536" t="str">
        <f t="shared" ca="1" si="2"/>
        <v>NIL</v>
      </c>
      <c r="AH26" s="272" t="s">
        <v>1287</v>
      </c>
      <c r="AM26" s="272"/>
      <c r="AU26" s="543"/>
      <c r="AV26" s="543"/>
      <c r="AW26" s="543"/>
      <c r="AX26" s="271"/>
    </row>
    <row r="27" spans="2:50" ht="14.1" customHeight="1" thickBot="1">
      <c r="B27" s="2136" t="s">
        <v>10229</v>
      </c>
      <c r="C27" s="2171">
        <f ca="1">IF(D11="Hill Dwarf",(1*D5),0)</f>
        <v>0</v>
      </c>
      <c r="D27" s="2172" t="s">
        <v>10230</v>
      </c>
      <c r="F27" s="2173" t="s">
        <v>10231</v>
      </c>
      <c r="G27" s="2174">
        <f>10+[1]SKILLS!I38</f>
        <v>10</v>
      </c>
      <c r="I27" s="2160" t="s">
        <v>10232</v>
      </c>
      <c r="J27" s="2163" t="str">
        <f>[1]SKILLS!AA68</f>
        <v/>
      </c>
      <c r="M27" s="2138" t="s">
        <v>7175</v>
      </c>
      <c r="N27" s="368" t="str">
        <f t="shared" ca="1" si="2"/>
        <v>NIL</v>
      </c>
      <c r="O27" s="368" t="str">
        <f t="shared" ca="1" si="2"/>
        <v>NIL</v>
      </c>
      <c r="P27" s="368" t="str">
        <f t="shared" ca="1" si="2"/>
        <v>NIL</v>
      </c>
      <c r="Q27" s="368" t="str">
        <f t="shared" ca="1" si="2"/>
        <v>NIL</v>
      </c>
      <c r="R27" s="368" t="str">
        <f t="shared" ca="1" si="2"/>
        <v>NIL</v>
      </c>
      <c r="S27" s="368" t="str">
        <f t="shared" ca="1" si="2"/>
        <v>NIL</v>
      </c>
      <c r="T27" s="368" t="str">
        <f t="shared" ca="1" si="2"/>
        <v>NIL</v>
      </c>
      <c r="U27" s="368" t="str">
        <f t="shared" ca="1" si="2"/>
        <v>NIL</v>
      </c>
      <c r="V27" s="368" t="str">
        <f t="shared" ca="1" si="2"/>
        <v>NIL</v>
      </c>
      <c r="W27" s="368" t="str">
        <f t="shared" ca="1" si="2"/>
        <v>NIL</v>
      </c>
      <c r="X27" s="368" t="str">
        <f t="shared" ca="1" si="2"/>
        <v>NIL</v>
      </c>
      <c r="Y27" s="368" t="str">
        <f t="shared" ca="1" si="2"/>
        <v>NIL</v>
      </c>
      <c r="Z27" s="368" t="str">
        <f t="shared" ca="1" si="2"/>
        <v>NIL</v>
      </c>
      <c r="AA27" s="368" t="str">
        <f t="shared" ca="1" si="2"/>
        <v>NIL</v>
      </c>
      <c r="AB27" s="368" t="str">
        <f t="shared" ca="1" si="2"/>
        <v>NIL</v>
      </c>
      <c r="AC27" s="368" t="str">
        <f t="shared" ca="1" si="2"/>
        <v>NIL</v>
      </c>
      <c r="AD27" s="368" t="str">
        <f t="shared" ca="1" si="2"/>
        <v>NIL</v>
      </c>
      <c r="AE27" s="368" t="str">
        <f t="shared" ca="1" si="2"/>
        <v>NIL</v>
      </c>
      <c r="AF27" s="368" t="str">
        <f t="shared" ca="1" si="2"/>
        <v>NIL</v>
      </c>
      <c r="AG27" s="536" t="str">
        <f t="shared" ca="1" si="2"/>
        <v>NIL</v>
      </c>
      <c r="AH27" s="272" t="s">
        <v>1287</v>
      </c>
      <c r="AM27" s="272"/>
      <c r="AU27" s="543"/>
      <c r="AV27" s="543"/>
      <c r="AW27" s="543"/>
      <c r="AX27" s="271"/>
    </row>
    <row r="28" spans="2:50" ht="14.1" customHeight="1" thickBot="1">
      <c r="B28" s="2175" t="s">
        <v>10233</v>
      </c>
      <c r="C28" s="2176">
        <f ca="1">C25+(C26*D5)+C27</f>
        <v>12</v>
      </c>
      <c r="D28" s="1082"/>
      <c r="I28" s="2160" t="s">
        <v>10234</v>
      </c>
      <c r="J28" s="2163" t="str">
        <f>[1]SKILLS!AA69</f>
        <v/>
      </c>
      <c r="M28" s="2138" t="s">
        <v>7176</v>
      </c>
      <c r="N28" s="368" t="str">
        <f t="shared" ca="1" si="2"/>
        <v>NIL</v>
      </c>
      <c r="O28" s="368" t="str">
        <f t="shared" ca="1" si="2"/>
        <v>NIL</v>
      </c>
      <c r="P28" s="368" t="str">
        <f t="shared" ca="1" si="2"/>
        <v>NIL</v>
      </c>
      <c r="Q28" s="368" t="str">
        <f t="shared" ca="1" si="2"/>
        <v>NIL</v>
      </c>
      <c r="R28" s="368" t="str">
        <f t="shared" ca="1" si="2"/>
        <v>NIL</v>
      </c>
      <c r="S28" s="368" t="str">
        <f t="shared" ca="1" si="2"/>
        <v>NIL</v>
      </c>
      <c r="T28" s="368" t="str">
        <f t="shared" ca="1" si="2"/>
        <v>NIL</v>
      </c>
      <c r="U28" s="368" t="str">
        <f t="shared" ca="1" si="2"/>
        <v>NIL</v>
      </c>
      <c r="V28" s="368" t="str">
        <f t="shared" ca="1" si="2"/>
        <v>NIL</v>
      </c>
      <c r="W28" s="368" t="str">
        <f t="shared" ca="1" si="2"/>
        <v>NIL</v>
      </c>
      <c r="X28" s="368" t="str">
        <f t="shared" ca="1" si="2"/>
        <v>NIL</v>
      </c>
      <c r="Y28" s="368" t="str">
        <f t="shared" ca="1" si="2"/>
        <v>NIL</v>
      </c>
      <c r="Z28" s="368" t="str">
        <f t="shared" ca="1" si="2"/>
        <v>NIL</v>
      </c>
      <c r="AA28" s="368" t="str">
        <f t="shared" ca="1" si="2"/>
        <v>NIL</v>
      </c>
      <c r="AB28" s="368" t="str">
        <f t="shared" ca="1" si="2"/>
        <v>NIL</v>
      </c>
      <c r="AC28" s="368" t="str">
        <f t="shared" ca="1" si="2"/>
        <v>NIL</v>
      </c>
      <c r="AD28" s="368" t="str">
        <f t="shared" ca="1" si="2"/>
        <v>NIL</v>
      </c>
      <c r="AE28" s="368" t="str">
        <f t="shared" ca="1" si="2"/>
        <v>NIL</v>
      </c>
      <c r="AF28" s="368" t="str">
        <f t="shared" ca="1" si="2"/>
        <v>NIL</v>
      </c>
      <c r="AG28" s="536" t="str">
        <f t="shared" ca="1" si="2"/>
        <v>NIL</v>
      </c>
      <c r="AH28" s="272" t="s">
        <v>1287</v>
      </c>
      <c r="AM28" s="272"/>
      <c r="AU28" s="543"/>
      <c r="AV28" s="543"/>
      <c r="AW28" s="543"/>
      <c r="AX28" s="271"/>
    </row>
    <row r="29" spans="2:50" ht="14.1" customHeight="1" thickBot="1">
      <c r="F29" s="2177" t="str">
        <f ca="1">"Experience Points by Level="&amp;D5</f>
        <v>Experience Points by Level=1</v>
      </c>
      <c r="G29" s="2178"/>
      <c r="I29" s="2169" t="s">
        <v>10235</v>
      </c>
      <c r="J29" s="2179" t="str">
        <f>[1]SKILLS!AA70</f>
        <v/>
      </c>
      <c r="M29" s="2138" t="s">
        <v>7177</v>
      </c>
      <c r="N29" s="368" t="str">
        <f t="shared" ca="1" si="2"/>
        <v>NIL</v>
      </c>
      <c r="O29" s="368" t="str">
        <f t="shared" ca="1" si="2"/>
        <v>NIL</v>
      </c>
      <c r="P29" s="368" t="str">
        <f t="shared" ca="1" si="2"/>
        <v>NIL</v>
      </c>
      <c r="Q29" s="368" t="str">
        <f t="shared" ca="1" si="2"/>
        <v>NIL</v>
      </c>
      <c r="R29" s="368" t="str">
        <f t="shared" ca="1" si="2"/>
        <v>NIL</v>
      </c>
      <c r="S29" s="368" t="str">
        <f t="shared" ca="1" si="2"/>
        <v>NIL</v>
      </c>
      <c r="T29" s="368" t="str">
        <f t="shared" ca="1" si="2"/>
        <v>NIL</v>
      </c>
      <c r="U29" s="368" t="str">
        <f t="shared" ca="1" si="2"/>
        <v>NIL</v>
      </c>
      <c r="V29" s="368" t="str">
        <f t="shared" ca="1" si="2"/>
        <v>NIL</v>
      </c>
      <c r="W29" s="368" t="str">
        <f t="shared" ca="1" si="2"/>
        <v>NIL</v>
      </c>
      <c r="X29" s="368" t="str">
        <f t="shared" ca="1" si="2"/>
        <v>NIL</v>
      </c>
      <c r="Y29" s="368" t="str">
        <f t="shared" ca="1" si="2"/>
        <v>NIL</v>
      </c>
      <c r="Z29" s="368" t="str">
        <f t="shared" ca="1" si="2"/>
        <v>NIL</v>
      </c>
      <c r="AA29" s="368" t="str">
        <f t="shared" ca="1" si="2"/>
        <v>NIL</v>
      </c>
      <c r="AB29" s="368" t="str">
        <f t="shared" ca="1" si="2"/>
        <v>NIL</v>
      </c>
      <c r="AC29" s="368" t="str">
        <f t="shared" ca="1" si="2"/>
        <v>NIL</v>
      </c>
      <c r="AD29" s="368" t="str">
        <f t="shared" ca="1" si="2"/>
        <v>NIL</v>
      </c>
      <c r="AE29" s="368" t="str">
        <f t="shared" ca="1" si="2"/>
        <v>NIL</v>
      </c>
      <c r="AF29" s="368" t="str">
        <f t="shared" ca="1" si="2"/>
        <v>NIL</v>
      </c>
      <c r="AG29" s="536" t="str">
        <f t="shared" ca="1" si="2"/>
        <v>NIL</v>
      </c>
      <c r="AH29" s="272" t="s">
        <v>1287</v>
      </c>
      <c r="AM29" s="272"/>
      <c r="AU29" s="543"/>
      <c r="AV29" s="543"/>
      <c r="AW29" s="543"/>
      <c r="AX29" s="271"/>
    </row>
    <row r="30" spans="2:50" ht="14.1" customHeight="1" thickBot="1">
      <c r="B30" s="1783" t="s">
        <v>7804</v>
      </c>
      <c r="C30" s="1630"/>
      <c r="D30" s="2141"/>
      <c r="F30" s="2180">
        <f ca="1">VLOOKUP(D5,[1]CLASS!R24:S43,2,FALSE)</f>
        <v>0</v>
      </c>
      <c r="G30" s="2181"/>
      <c r="M30" s="2138" t="s">
        <v>7178</v>
      </c>
      <c r="N30" s="368" t="str">
        <f t="shared" ca="1" si="2"/>
        <v>NIL</v>
      </c>
      <c r="O30" s="368" t="str">
        <f t="shared" ca="1" si="2"/>
        <v>NIL</v>
      </c>
      <c r="P30" s="368" t="str">
        <f t="shared" ca="1" si="2"/>
        <v>NIL</v>
      </c>
      <c r="Q30" s="368" t="str">
        <f t="shared" ca="1" si="2"/>
        <v>NIL</v>
      </c>
      <c r="R30" s="368" t="str">
        <f t="shared" ca="1" si="2"/>
        <v>NIL</v>
      </c>
      <c r="S30" s="368" t="str">
        <f t="shared" ca="1" si="2"/>
        <v>NIL</v>
      </c>
      <c r="T30" s="368" t="str">
        <f t="shared" ca="1" si="2"/>
        <v>NIL</v>
      </c>
      <c r="U30" s="368" t="str">
        <f t="shared" ca="1" si="2"/>
        <v>NIL</v>
      </c>
      <c r="V30" s="368" t="str">
        <f t="shared" ca="1" si="2"/>
        <v>NIL</v>
      </c>
      <c r="W30" s="368" t="str">
        <f t="shared" ca="1" si="2"/>
        <v>NIL</v>
      </c>
      <c r="X30" s="368" t="str">
        <f t="shared" ca="1" si="2"/>
        <v>NIL</v>
      </c>
      <c r="Y30" s="368" t="str">
        <f t="shared" ca="1" si="2"/>
        <v>NIL</v>
      </c>
      <c r="Z30" s="368" t="str">
        <f t="shared" ca="1" si="2"/>
        <v>NIL</v>
      </c>
      <c r="AA30" s="368" t="str">
        <f t="shared" ca="1" si="2"/>
        <v>NIL</v>
      </c>
      <c r="AB30" s="368" t="str">
        <f t="shared" ca="1" si="2"/>
        <v>NIL</v>
      </c>
      <c r="AC30" s="368" t="str">
        <f t="shared" ca="1" si="2"/>
        <v>NIL</v>
      </c>
      <c r="AD30" s="368" t="str">
        <f t="shared" ca="1" si="2"/>
        <v>NIL</v>
      </c>
      <c r="AE30" s="368" t="str">
        <f t="shared" ca="1" si="2"/>
        <v>NIL</v>
      </c>
      <c r="AF30" s="368" t="str">
        <f t="shared" ca="1" si="2"/>
        <v>NIL</v>
      </c>
      <c r="AG30" s="536" t="str">
        <f t="shared" ca="1" si="2"/>
        <v>NIL</v>
      </c>
      <c r="AH30" s="272" t="s">
        <v>1287</v>
      </c>
      <c r="AM30" s="272"/>
      <c r="AU30" s="543"/>
      <c r="AV30" s="543"/>
      <c r="AW30" s="543"/>
      <c r="AX30" s="271"/>
    </row>
    <row r="31" spans="2:50" ht="14.1" customHeight="1" thickBot="1">
      <c r="B31" s="2182" t="s">
        <v>10236</v>
      </c>
      <c r="C31" s="467">
        <f>VLOOKUP([1]USER!AD6,[1]USER!AC9:AD20,1)</f>
        <v>0</v>
      </c>
      <c r="D31" s="741" t="str">
        <f>VLOOKUP([1]USER!AD6,[1]USER!AC9:AD20,2)</f>
        <v>Random Pantheon</v>
      </c>
      <c r="M31" s="2138" t="s">
        <v>7179</v>
      </c>
      <c r="N31" s="368" t="str">
        <f t="shared" ca="1" si="2"/>
        <v>NIL</v>
      </c>
      <c r="O31" s="368" t="str">
        <f t="shared" ca="1" si="2"/>
        <v>NIL</v>
      </c>
      <c r="P31" s="368" t="str">
        <f t="shared" ca="1" si="2"/>
        <v>NIL</v>
      </c>
      <c r="Q31" s="368" t="str">
        <f t="shared" ca="1" si="2"/>
        <v>NIL</v>
      </c>
      <c r="R31" s="368" t="str">
        <f t="shared" ca="1" si="2"/>
        <v>NIL</v>
      </c>
      <c r="S31" s="368" t="str">
        <f t="shared" ca="1" si="2"/>
        <v>NIL</v>
      </c>
      <c r="T31" s="368" t="str">
        <f t="shared" ca="1" si="2"/>
        <v>NIL</v>
      </c>
      <c r="U31" s="368" t="str">
        <f t="shared" ca="1" si="2"/>
        <v>NIL</v>
      </c>
      <c r="V31" s="368" t="str">
        <f t="shared" ca="1" si="2"/>
        <v>NIL</v>
      </c>
      <c r="W31" s="368" t="str">
        <f t="shared" ca="1" si="2"/>
        <v>NIL</v>
      </c>
      <c r="X31" s="368" t="str">
        <f t="shared" ca="1" si="2"/>
        <v>NIL</v>
      </c>
      <c r="Y31" s="368" t="str">
        <f t="shared" ca="1" si="2"/>
        <v>NIL</v>
      </c>
      <c r="Z31" s="368" t="str">
        <f t="shared" ca="1" si="2"/>
        <v>NIL</v>
      </c>
      <c r="AA31" s="368" t="str">
        <f t="shared" ca="1" si="2"/>
        <v>NIL</v>
      </c>
      <c r="AB31" s="368" t="str">
        <f t="shared" ca="1" si="2"/>
        <v>NIL</v>
      </c>
      <c r="AC31" s="368" t="str">
        <f t="shared" ca="1" si="2"/>
        <v>NIL</v>
      </c>
      <c r="AD31" s="368" t="str">
        <f t="shared" ca="1" si="2"/>
        <v>NIL</v>
      </c>
      <c r="AE31" s="368" t="str">
        <f t="shared" ca="1" si="2"/>
        <v>NIL</v>
      </c>
      <c r="AF31" s="368" t="str">
        <f t="shared" ca="1" si="2"/>
        <v>NIL</v>
      </c>
      <c r="AG31" s="536" t="str">
        <f t="shared" ca="1" si="2"/>
        <v>NIL</v>
      </c>
      <c r="AH31" s="272" t="s">
        <v>1287</v>
      </c>
      <c r="AM31" s="272"/>
      <c r="AU31" s="543"/>
      <c r="AV31" s="543"/>
      <c r="AW31" s="543"/>
      <c r="AX31" s="271"/>
    </row>
    <row r="32" spans="2:50" ht="14.1" customHeight="1" thickBot="1">
      <c r="B32" s="2183" t="s">
        <v>10237</v>
      </c>
      <c r="C32" s="382">
        <f ca="1">IF([1]USER!AD6=0,RANDBETWEEN(1,11),[1]USER!AD6)</f>
        <v>9</v>
      </c>
      <c r="D32" s="2184" t="str">
        <f ca="1">VLOOKUP(C32,[1]USER!AC9:AD20,2)</f>
        <v>Norse</v>
      </c>
      <c r="E32" s="272" t="s">
        <v>1287</v>
      </c>
      <c r="F32" s="2185" t="s">
        <v>10238</v>
      </c>
      <c r="G32" s="2186"/>
      <c r="H32" s="2187"/>
      <c r="M32" s="2138" t="s">
        <v>7180</v>
      </c>
      <c r="N32" s="368" t="str">
        <f t="shared" ca="1" si="2"/>
        <v>NIL</v>
      </c>
      <c r="O32" s="368" t="str">
        <f t="shared" ca="1" si="2"/>
        <v>NIL</v>
      </c>
      <c r="P32" s="368" t="str">
        <f t="shared" ca="1" si="2"/>
        <v>NIL</v>
      </c>
      <c r="Q32" s="368" t="str">
        <f t="shared" ca="1" si="2"/>
        <v>NIL</v>
      </c>
      <c r="R32" s="368" t="str">
        <f t="shared" ca="1" si="2"/>
        <v>NIL</v>
      </c>
      <c r="S32" s="368" t="str">
        <f t="shared" ca="1" si="2"/>
        <v>NIL</v>
      </c>
      <c r="T32" s="368" t="str">
        <f t="shared" ca="1" si="2"/>
        <v>NIL</v>
      </c>
      <c r="U32" s="368" t="str">
        <f t="shared" ca="1" si="2"/>
        <v>NIL</v>
      </c>
      <c r="V32" s="368" t="str">
        <f t="shared" ca="1" si="2"/>
        <v>NIL</v>
      </c>
      <c r="W32" s="368" t="str">
        <f t="shared" ca="1" si="2"/>
        <v>NIL</v>
      </c>
      <c r="X32" s="368" t="str">
        <f t="shared" ca="1" si="2"/>
        <v>NIL</v>
      </c>
      <c r="Y32" s="368" t="str">
        <f t="shared" ca="1" si="2"/>
        <v>NIL</v>
      </c>
      <c r="Z32" s="368" t="str">
        <f t="shared" ca="1" si="2"/>
        <v>NIL</v>
      </c>
      <c r="AA32" s="368" t="str">
        <f t="shared" ca="1" si="2"/>
        <v>NIL</v>
      </c>
      <c r="AB32" s="368" t="str">
        <f t="shared" ca="1" si="2"/>
        <v>NIL</v>
      </c>
      <c r="AC32" s="368" t="str">
        <f t="shared" ca="1" si="2"/>
        <v>NIL</v>
      </c>
      <c r="AD32" s="368" t="str">
        <f t="shared" ca="1" si="2"/>
        <v>NIL</v>
      </c>
      <c r="AE32" s="368" t="str">
        <f t="shared" ca="1" si="2"/>
        <v>NIL</v>
      </c>
      <c r="AF32" s="368" t="str">
        <f t="shared" ca="1" si="2"/>
        <v>NIL</v>
      </c>
      <c r="AG32" s="536" t="str">
        <f t="shared" ca="1" si="2"/>
        <v>NIL</v>
      </c>
      <c r="AH32" s="272" t="s">
        <v>1287</v>
      </c>
      <c r="AM32" s="272"/>
      <c r="AU32" s="543"/>
      <c r="AV32" s="543"/>
      <c r="AW32" s="543"/>
      <c r="AX32" s="271"/>
    </row>
    <row r="33" spans="1:50" ht="14.1" customHeight="1" thickBot="1">
      <c r="B33" s="2164" t="s">
        <v>10239</v>
      </c>
      <c r="C33" s="2188"/>
      <c r="D33" s="2189" t="str">
        <f>IF(D14=[1]EQUIPMENT!M4,[1]EQUIPMENT!M5,IF(D14=[1]EQUIPMENT!N4,[1]EQUIPMENT!N5,IF(D14=[1]EQUIPMENT!O4,[1]EQUIPMENT!O5,IF(D14=[1]EQUIPMENT!P4,[1]EQUIPMENT!P5,IF(D14=[1]EQUIPMENT!Q4,[1]EQUIPMENT!Q5,IF(D14=[1]EQUIPMENT!R4,[1]EQUIPMENT!R5,IF(D14=[1]EQUIPMENT!S4,[1]EQUIPMENT!S5,IF(D14=[1]EQUIPMENT!T4,[1]EQUIPMENT!T5,[1]EQUIPMENT!U5))))))))</f>
        <v xml:space="preserve">Brigantia, goddess of rivers and livestock NG </v>
      </c>
      <c r="F33" s="2473" t="s">
        <v>10240</v>
      </c>
      <c r="G33" s="1622" t="str">
        <f ca="1">VLOOKUP(C8,[1]CLASS!B6:AA18,25,FALSE)</f>
        <v>Str</v>
      </c>
      <c r="H33" s="571" t="str">
        <f ca="1">VLOOKUP(C8,[1]CLASS!B6:AA18,26,FALSE)</f>
        <v>Con</v>
      </c>
      <c r="M33" s="2147" t="s">
        <v>7181</v>
      </c>
      <c r="N33" s="423" t="str">
        <f t="shared" ca="1" si="2"/>
        <v>NIL</v>
      </c>
      <c r="O33" s="423" t="str">
        <f t="shared" ca="1" si="2"/>
        <v>NIL</v>
      </c>
      <c r="P33" s="423" t="str">
        <f t="shared" ca="1" si="2"/>
        <v>NIL</v>
      </c>
      <c r="Q33" s="423" t="str">
        <f t="shared" ca="1" si="2"/>
        <v>NIL</v>
      </c>
      <c r="R33" s="423" t="str">
        <f t="shared" ca="1" si="2"/>
        <v>NIL</v>
      </c>
      <c r="S33" s="423" t="str">
        <f t="shared" ca="1" si="2"/>
        <v>NIL</v>
      </c>
      <c r="T33" s="423" t="str">
        <f t="shared" ca="1" si="2"/>
        <v>NIL</v>
      </c>
      <c r="U33" s="423" t="str">
        <f t="shared" ca="1" si="2"/>
        <v>NIL</v>
      </c>
      <c r="V33" s="423" t="str">
        <f t="shared" ca="1" si="2"/>
        <v>NIL</v>
      </c>
      <c r="W33" s="423" t="str">
        <f t="shared" ca="1" si="2"/>
        <v>NIL</v>
      </c>
      <c r="X33" s="423" t="str">
        <f t="shared" ca="1" si="2"/>
        <v>NIL</v>
      </c>
      <c r="Y33" s="423" t="str">
        <f t="shared" ca="1" si="2"/>
        <v>NIL</v>
      </c>
      <c r="Z33" s="423" t="str">
        <f t="shared" ca="1" si="2"/>
        <v>NIL</v>
      </c>
      <c r="AA33" s="423" t="str">
        <f t="shared" ca="1" si="2"/>
        <v>NIL</v>
      </c>
      <c r="AB33" s="423" t="str">
        <f t="shared" ca="1" si="2"/>
        <v>NIL</v>
      </c>
      <c r="AC33" s="423" t="str">
        <f t="shared" ca="1" si="2"/>
        <v>NIL</v>
      </c>
      <c r="AD33" s="423" t="str">
        <f t="shared" ca="1" si="2"/>
        <v>NIL</v>
      </c>
      <c r="AE33" s="423" t="str">
        <f t="shared" ca="1" si="2"/>
        <v>NIL</v>
      </c>
      <c r="AF33" s="423" t="str">
        <f t="shared" ca="1" si="2"/>
        <v>NIL</v>
      </c>
      <c r="AG33" s="541" t="str">
        <f t="shared" ca="1" si="2"/>
        <v>NIL</v>
      </c>
      <c r="AH33" s="272" t="s">
        <v>1287</v>
      </c>
      <c r="AL33" s="543"/>
      <c r="AM33" s="272"/>
      <c r="AS33" s="543"/>
      <c r="AT33" s="543"/>
      <c r="AU33" s="543"/>
      <c r="AV33" s="543"/>
      <c r="AW33" s="543"/>
      <c r="AX33" s="271"/>
    </row>
    <row r="34" spans="1:50" ht="14.1" customHeight="1" thickBot="1">
      <c r="AH34" s="272" t="s">
        <v>1287</v>
      </c>
      <c r="AL34" s="543"/>
      <c r="AM34" s="272"/>
      <c r="AS34" s="543"/>
      <c r="AT34" s="543"/>
      <c r="AU34" s="543"/>
      <c r="AV34" s="543"/>
      <c r="AW34" s="543"/>
      <c r="AX34" s="271"/>
    </row>
    <row r="35" spans="1:50" ht="14.1" customHeight="1" thickTop="1" thickBot="1">
      <c r="B35" s="1783" t="s">
        <v>9687</v>
      </c>
      <c r="C35" s="1630"/>
      <c r="D35" s="2141"/>
      <c r="E35" s="272" t="s">
        <v>1287</v>
      </c>
      <c r="F35" s="3233" t="s">
        <v>10217</v>
      </c>
      <c r="G35" s="3233"/>
      <c r="H35" s="3233"/>
      <c r="I35" s="3233"/>
      <c r="AH35" s="272" t="s">
        <v>1287</v>
      </c>
      <c r="AL35" s="543"/>
      <c r="AM35" s="272"/>
      <c r="AS35" s="543"/>
      <c r="AT35" s="543"/>
      <c r="AU35" s="543"/>
      <c r="AV35" s="543"/>
      <c r="AW35" s="543"/>
      <c r="AX35" s="271"/>
    </row>
    <row r="36" spans="1:50" ht="14.1" customHeight="1" thickBot="1">
      <c r="B36" s="2182" t="s">
        <v>10241</v>
      </c>
      <c r="C36" s="467">
        <f ca="1">RANDBETWEEN(2,14)</f>
        <v>3</v>
      </c>
      <c r="D36" s="2167"/>
      <c r="E36" s="272" t="s">
        <v>1287</v>
      </c>
      <c r="F36" s="2190" t="s">
        <v>10220</v>
      </c>
      <c r="G36" s="2191">
        <f ca="1">C24</f>
        <v>10</v>
      </c>
      <c r="H36" s="3234" t="s">
        <v>10242</v>
      </c>
      <c r="I36" s="3236" t="s">
        <v>10243</v>
      </c>
      <c r="M36" s="560" t="s">
        <v>6061</v>
      </c>
      <c r="N36" s="811"/>
      <c r="O36" s="811"/>
      <c r="P36" s="811"/>
      <c r="Q36" s="811"/>
      <c r="R36" s="811"/>
      <c r="S36" s="811"/>
      <c r="T36" s="811"/>
      <c r="U36" s="811"/>
      <c r="V36" s="811"/>
      <c r="W36" s="811"/>
      <c r="X36" s="811"/>
      <c r="Y36" s="811"/>
      <c r="Z36" s="811"/>
      <c r="AA36" s="811"/>
      <c r="AB36" s="811"/>
      <c r="AC36" s="811"/>
      <c r="AD36" s="811"/>
      <c r="AE36" s="811"/>
      <c r="AF36" s="811"/>
      <c r="AG36" s="812"/>
      <c r="AH36" s="560" t="s">
        <v>6061</v>
      </c>
      <c r="AK36" s="543"/>
      <c r="AL36" s="543"/>
    </row>
    <row r="37" spans="1:50" ht="14.1" customHeight="1" thickBot="1">
      <c r="B37" s="2127" t="s">
        <v>10244</v>
      </c>
      <c r="C37" s="2192" t="str">
        <f>[1]BACKGROUNDS!E40</f>
        <v>I misuse long words in an attempt to sound smarter.</v>
      </c>
      <c r="D37" s="2193"/>
      <c r="E37" s="272" t="s">
        <v>1287</v>
      </c>
      <c r="F37" s="2136" t="s">
        <v>10173</v>
      </c>
      <c r="G37" s="2194">
        <f ca="1">D5</f>
        <v>1</v>
      </c>
      <c r="H37" s="3235"/>
      <c r="I37" s="3237"/>
      <c r="M37" s="1987"/>
      <c r="N37" s="749" t="s">
        <v>7125</v>
      </c>
      <c r="O37" s="749" t="s">
        <v>7126</v>
      </c>
      <c r="P37" s="749" t="s">
        <v>10245</v>
      </c>
      <c r="Q37" s="749" t="s">
        <v>10246</v>
      </c>
      <c r="R37" s="749" t="s">
        <v>7129</v>
      </c>
      <c r="S37" s="749" t="s">
        <v>7130</v>
      </c>
      <c r="T37" s="749" t="s">
        <v>7131</v>
      </c>
      <c r="U37" s="749" t="s">
        <v>7132</v>
      </c>
      <c r="V37" s="749" t="s">
        <v>7133</v>
      </c>
      <c r="W37" s="749" t="s">
        <v>7134</v>
      </c>
      <c r="X37" s="749" t="s">
        <v>7135</v>
      </c>
      <c r="Y37" s="749" t="s">
        <v>7136</v>
      </c>
      <c r="Z37" s="749" t="s">
        <v>10247</v>
      </c>
      <c r="AA37" s="749" t="s">
        <v>10248</v>
      </c>
      <c r="AB37" s="749" t="s">
        <v>7139</v>
      </c>
      <c r="AC37" s="749" t="s">
        <v>7140</v>
      </c>
      <c r="AD37" s="749" t="s">
        <v>7141</v>
      </c>
      <c r="AE37" s="749" t="s">
        <v>7142</v>
      </c>
      <c r="AF37" s="749" t="s">
        <v>7143</v>
      </c>
      <c r="AG37" s="1082" t="s">
        <v>10249</v>
      </c>
      <c r="AK37" s="543"/>
      <c r="AL37" s="543"/>
    </row>
    <row r="38" spans="1:50" ht="14.1" customHeight="1">
      <c r="B38" s="2127" t="s">
        <v>10250</v>
      </c>
      <c r="C38" s="2192" t="str">
        <f>[1]BACKGROUNDS!E41</f>
        <v>I enjoy being strong and like breaking things.</v>
      </c>
      <c r="D38" s="2193"/>
      <c r="E38" s="272" t="s">
        <v>1287</v>
      </c>
      <c r="F38" s="1143">
        <v>1</v>
      </c>
      <c r="G38" s="2195">
        <f ca="1">H38</f>
        <v>10</v>
      </c>
      <c r="H38" s="2195">
        <f ca="1">$G$36</f>
        <v>10</v>
      </c>
      <c r="I38" s="2196">
        <f ca="1">$G$36</f>
        <v>10</v>
      </c>
      <c r="M38" s="2135" t="s">
        <v>7170</v>
      </c>
      <c r="N38" s="344" t="str">
        <f>[1]SPELLBOOK!$G$19&amp;", "&amp;[1]SPELLBOOK!$G$20</f>
        <v>Mage hand, Thunder Clap</v>
      </c>
      <c r="O38" s="344" t="str">
        <f>N38</f>
        <v>Mage hand, Thunder Clap</v>
      </c>
      <c r="P38" s="344" t="str">
        <f>N38</f>
        <v>Mage hand, Thunder Clap</v>
      </c>
      <c r="Q38" s="344" t="str">
        <f>N38&amp;", "&amp;[1]SPELLBOOK!$G$21</f>
        <v>Mage hand, Thunder Clap, Dancing Lights</v>
      </c>
      <c r="R38" s="344" t="str">
        <f>$Q$38</f>
        <v>Mage hand, Thunder Clap, Dancing Lights</v>
      </c>
      <c r="S38" s="344" t="str">
        <f>$Q$38</f>
        <v>Mage hand, Thunder Clap, Dancing Lights</v>
      </c>
      <c r="T38" s="344" t="str">
        <f>$Q$38</f>
        <v>Mage hand, Thunder Clap, Dancing Lights</v>
      </c>
      <c r="U38" s="344" t="str">
        <f>$Q$38</f>
        <v>Mage hand, Thunder Clap, Dancing Lights</v>
      </c>
      <c r="V38" s="344" t="str">
        <f>$Q$38</f>
        <v>Mage hand, Thunder Clap, Dancing Lights</v>
      </c>
      <c r="W38" s="344" t="str">
        <f>[1]SPELLBOOK!$G$19&amp;", "&amp;[1]SPELLBOOK!$G$20&amp;", "&amp;[1]SPELLBOOK!$G$21&amp;", "&amp;[1]SPELLBOOK!$G$22</f>
        <v>Mage hand, Thunder Clap, Dancing Lights, True Strike</v>
      </c>
      <c r="X38" s="344" t="str">
        <f>[1]SPELLBOOK!$G$19&amp;", "&amp;[1]SPELLBOOK!$G$20&amp;", "&amp;[1]SPELLBOOK!$G$21&amp;", "&amp;[1]SPELLBOOK!$G$22</f>
        <v>Mage hand, Thunder Clap, Dancing Lights, True Strike</v>
      </c>
      <c r="Y38" s="344" t="str">
        <f>[1]SPELLBOOK!$G$19&amp;", "&amp;[1]SPELLBOOK!$G$20&amp;", "&amp;[1]SPELLBOOK!$G$21&amp;", "&amp;[1]SPELLBOOK!$G$22</f>
        <v>Mage hand, Thunder Clap, Dancing Lights, True Strike</v>
      </c>
      <c r="Z38" s="344" t="str">
        <f>[1]SPELLBOOK!$G$19&amp;", "&amp;[1]SPELLBOOK!$G$20&amp;", "&amp;[1]SPELLBOOK!$G$21&amp;", "&amp;[1]SPELLBOOK!$G$22</f>
        <v>Mage hand, Thunder Clap, Dancing Lights, True Strike</v>
      </c>
      <c r="AA38" s="344" t="str">
        <f>[1]SPELLBOOK!$G$19&amp;", "&amp;[1]SPELLBOOK!$G$20&amp;", "&amp;[1]SPELLBOOK!$G$21&amp;", "&amp;[1]SPELLBOOK!$G$22</f>
        <v>Mage hand, Thunder Clap, Dancing Lights, True Strike</v>
      </c>
      <c r="AB38" s="344" t="str">
        <f>[1]SPELLBOOK!$G$19&amp;", "&amp;[1]SPELLBOOK!$G$20&amp;", "&amp;[1]SPELLBOOK!$G$21&amp;", "&amp;[1]SPELLBOOK!$G$22</f>
        <v>Mage hand, Thunder Clap, Dancing Lights, True Strike</v>
      </c>
      <c r="AC38" s="344" t="str">
        <f>[1]SPELLBOOK!$G$19&amp;", "&amp;[1]SPELLBOOK!$G$20&amp;", "&amp;[1]SPELLBOOK!$G$21&amp;", "&amp;[1]SPELLBOOK!$G$22</f>
        <v>Mage hand, Thunder Clap, Dancing Lights, True Strike</v>
      </c>
      <c r="AD38" s="344" t="str">
        <f>[1]SPELLBOOK!$G$19&amp;", "&amp;[1]SPELLBOOK!$G$20&amp;", "&amp;[1]SPELLBOOK!$G$21&amp;", "&amp;[1]SPELLBOOK!$G$22</f>
        <v>Mage hand, Thunder Clap, Dancing Lights, True Strike</v>
      </c>
      <c r="AE38" s="344" t="str">
        <f>[1]SPELLBOOK!$G$19&amp;", "&amp;[1]SPELLBOOK!$G$20&amp;", "&amp;[1]SPELLBOOK!$G$21&amp;", "&amp;[1]SPELLBOOK!$G$22</f>
        <v>Mage hand, Thunder Clap, Dancing Lights, True Strike</v>
      </c>
      <c r="AF38" s="344" t="str">
        <f>[1]SPELLBOOK!$G$19&amp;", "&amp;[1]SPELLBOOK!$G$20&amp;", "&amp;[1]SPELLBOOK!$G$21&amp;", "&amp;[1]SPELLBOOK!$G$22</f>
        <v>Mage hand, Thunder Clap, Dancing Lights, True Strike</v>
      </c>
      <c r="AG38" s="741" t="str">
        <f>[1]SPELLBOOK!$G$19&amp;", "&amp;[1]SPELLBOOK!$G$20&amp;", "&amp;[1]SPELLBOOK!$G$21&amp;", "&amp;[1]SPELLBOOK!$G$22</f>
        <v>Mage hand, Thunder Clap, Dancing Lights, True Strike</v>
      </c>
      <c r="AK38" s="543"/>
      <c r="AL38" s="543"/>
    </row>
    <row r="39" spans="1:50" ht="14.1" customHeight="1">
      <c r="B39" s="2127" t="s">
        <v>10251</v>
      </c>
      <c r="C39" s="2192" t="str">
        <f>[1]BACKGROUNDS!G62</f>
        <v>Greater Good. Our lot is to lay down our lives in defense of others. (Good)</v>
      </c>
      <c r="D39" s="2193"/>
      <c r="E39" s="272" t="s">
        <v>1287</v>
      </c>
      <c r="F39" s="1128">
        <v>2</v>
      </c>
      <c r="G39" s="2130" t="str">
        <f ca="1">IF($G$37&gt;=2,SUM($H$38:H39),"")</f>
        <v/>
      </c>
      <c r="H39" s="2130" t="str">
        <f ca="1">IF($G$37&gt;=2,RANDBETWEEN(1,$G$36),"")</f>
        <v/>
      </c>
      <c r="I39" s="2197" t="str">
        <f ca="1">IF($G$37&gt;=2,$G$36/2+1,"")</f>
        <v/>
      </c>
      <c r="M39" s="2138" t="s">
        <v>7172</v>
      </c>
      <c r="N39" s="368" t="str">
        <f>[1]SPELLBOOK!$L$19&amp;", "&amp;[1]SPELLBOOK!$L$20</f>
        <v>Earth Tremors, Detect Magic</v>
      </c>
      <c r="O39" s="368" t="str">
        <f>[1]SPELLBOOK!$L$19&amp;", "&amp;[1]SPELLBOOK!$L$20&amp;", "&amp;[1]SPELLBOOK!$L$21</f>
        <v>Earth Tremors, Detect Magic, Charm Person</v>
      </c>
      <c r="P39" s="368" t="str">
        <f>[1]SPELLBOOK!$L$19&amp;", "&amp;[1]SPELLBOOK!$L$20&amp;", "&amp;[1]SPELLBOOK!$L$21&amp;", "&amp;[1]SPELLBOOK!$L$22</f>
        <v>Earth Tremors, Detect Magic, Charm Person, Identify</v>
      </c>
      <c r="Q39" s="368" t="str">
        <f>[1]SPELLBOOK!$L$19&amp;", "&amp;[1]SPELLBOOK!$L$20&amp;", "&amp;[1]SPELLBOOK!$L$21&amp;", "&amp;[1]SPELLBOOK!$L$22</f>
        <v>Earth Tremors, Detect Magic, Charm Person, Identify</v>
      </c>
      <c r="R39" s="368" t="str">
        <f>[1]SPELLBOOK!$L$19&amp;", "&amp;[1]SPELLBOOK!$L$20&amp;", "&amp;[1]SPELLBOOK!$L$21&amp;", "&amp;[1]SPELLBOOK!$L$22</f>
        <v>Earth Tremors, Detect Magic, Charm Person, Identify</v>
      </c>
      <c r="S39" s="368" t="str">
        <f>[1]SPELLBOOK!$L$19&amp;", "&amp;[1]SPELLBOOK!$L$20&amp;", "&amp;[1]SPELLBOOK!$L$21&amp;", "&amp;[1]SPELLBOOK!$L$22</f>
        <v>Earth Tremors, Detect Magic, Charm Person, Identify</v>
      </c>
      <c r="T39" s="368" t="str">
        <f>[1]SPELLBOOK!$L$19&amp;", "&amp;[1]SPELLBOOK!$L$20&amp;", "&amp;[1]SPELLBOOK!$L$21&amp;", "&amp;[1]SPELLBOOK!$L$22</f>
        <v>Earth Tremors, Detect Magic, Charm Person, Identify</v>
      </c>
      <c r="U39" s="368" t="str">
        <f>[1]SPELLBOOK!$L$19&amp;", "&amp;[1]SPELLBOOK!$L$20&amp;", "&amp;[1]SPELLBOOK!$L$21&amp;", "&amp;[1]SPELLBOOK!$L$22</f>
        <v>Earth Tremors, Detect Magic, Charm Person, Identify</v>
      </c>
      <c r="V39" s="368" t="str">
        <f>[1]SPELLBOOK!$L$19&amp;", "&amp;[1]SPELLBOOK!$L$20&amp;", "&amp;[1]SPELLBOOK!$L$21&amp;", "&amp;[1]SPELLBOOK!$L$22</f>
        <v>Earth Tremors, Detect Magic, Charm Person, Identify</v>
      </c>
      <c r="W39" s="368" t="str">
        <f>[1]SPELLBOOK!$L$19&amp;", "&amp;[1]SPELLBOOK!$L$20&amp;", "&amp;[1]SPELLBOOK!$L$21&amp;", "&amp;[1]SPELLBOOK!$L$22</f>
        <v>Earth Tremors, Detect Magic, Charm Person, Identify</v>
      </c>
      <c r="X39" s="368" t="str">
        <f>[1]SPELLBOOK!$L$19&amp;", "&amp;[1]SPELLBOOK!$L$20&amp;", "&amp;[1]SPELLBOOK!$L$21&amp;", "&amp;[1]SPELLBOOK!$L$22</f>
        <v>Earth Tremors, Detect Magic, Charm Person, Identify</v>
      </c>
      <c r="Y39" s="368" t="str">
        <f>[1]SPELLBOOK!$L$19&amp;", "&amp;[1]SPELLBOOK!$L$20&amp;", "&amp;[1]SPELLBOOK!$L$21&amp;", "&amp;[1]SPELLBOOK!$L$22</f>
        <v>Earth Tremors, Detect Magic, Charm Person, Identify</v>
      </c>
      <c r="Z39" s="368" t="str">
        <f>[1]SPELLBOOK!$L$19&amp;", "&amp;[1]SPELLBOOK!$L$20&amp;", "&amp;[1]SPELLBOOK!$L$21&amp;", "&amp;[1]SPELLBOOK!$L$22</f>
        <v>Earth Tremors, Detect Magic, Charm Person, Identify</v>
      </c>
      <c r="AA39" s="368" t="str">
        <f>[1]SPELLBOOK!$L$19&amp;", "&amp;[1]SPELLBOOK!$L$20&amp;", "&amp;[1]SPELLBOOK!$L$21&amp;", "&amp;[1]SPELLBOOK!$L$22</f>
        <v>Earth Tremors, Detect Magic, Charm Person, Identify</v>
      </c>
      <c r="AB39" s="368" t="str">
        <f>[1]SPELLBOOK!$L$19&amp;", "&amp;[1]SPELLBOOK!$L$20&amp;", "&amp;[1]SPELLBOOK!$L$21&amp;", "&amp;[1]SPELLBOOK!$L$22</f>
        <v>Earth Tremors, Detect Magic, Charm Person, Identify</v>
      </c>
      <c r="AC39" s="368" t="str">
        <f>[1]SPELLBOOK!$L$19&amp;", "&amp;[1]SPELLBOOK!$L$20&amp;", "&amp;[1]SPELLBOOK!$L$21&amp;", "&amp;[1]SPELLBOOK!$L$22</f>
        <v>Earth Tremors, Detect Magic, Charm Person, Identify</v>
      </c>
      <c r="AD39" s="368" t="str">
        <f>[1]SPELLBOOK!$L$19&amp;", "&amp;[1]SPELLBOOK!$L$20&amp;", "&amp;[1]SPELLBOOK!$L$21&amp;", "&amp;[1]SPELLBOOK!$L$22</f>
        <v>Earth Tremors, Detect Magic, Charm Person, Identify</v>
      </c>
      <c r="AE39" s="368" t="str">
        <f>[1]SPELLBOOK!$L$19&amp;", "&amp;[1]SPELLBOOK!$L$20&amp;", "&amp;[1]SPELLBOOK!$L$21&amp;", "&amp;[1]SPELLBOOK!$L$22</f>
        <v>Earth Tremors, Detect Magic, Charm Person, Identify</v>
      </c>
      <c r="AF39" s="368" t="str">
        <f>[1]SPELLBOOK!$L$19&amp;", "&amp;[1]SPELLBOOK!$L$20&amp;", "&amp;[1]SPELLBOOK!$L$21&amp;", "&amp;[1]SPELLBOOK!$L$22</f>
        <v>Earth Tremors, Detect Magic, Charm Person, Identify</v>
      </c>
      <c r="AG39" s="536" t="str">
        <f>[1]SPELLBOOK!$L$19&amp;", "&amp;[1]SPELLBOOK!$L$20&amp;", "&amp;[1]SPELLBOOK!$L$21&amp;", "&amp;[1]SPELLBOOK!$L$22</f>
        <v>Earth Tremors, Detect Magic, Charm Person, Identify</v>
      </c>
      <c r="AH39" s="272" t="s">
        <v>1287</v>
      </c>
      <c r="AK39" s="543"/>
      <c r="AL39" s="543"/>
    </row>
    <row r="40" spans="1:50" ht="14.1" customHeight="1">
      <c r="B40" s="2127" t="s">
        <v>10252</v>
      </c>
      <c r="C40" s="2198" t="str">
        <f>[1]BACKGROUNDS!G77</f>
        <v>I fight for those who cannot fight for themselves.</v>
      </c>
      <c r="D40" s="2193"/>
      <c r="E40" s="272" t="s">
        <v>1287</v>
      </c>
      <c r="F40" s="1128">
        <v>3</v>
      </c>
      <c r="G40" s="2130" t="str">
        <f ca="1">IF($G$37&gt;=3,SUM($H$38:H40),"")</f>
        <v/>
      </c>
      <c r="H40" s="2130" t="str">
        <f ca="1">IF($G$37&gt;=3,RANDBETWEEN(1,$G$36),"")</f>
        <v/>
      </c>
      <c r="I40" s="2197" t="str">
        <f ca="1">IF($G$37&gt;=3,$G$36/2+1,"")</f>
        <v/>
      </c>
      <c r="J40" s="272" t="s">
        <v>1287</v>
      </c>
      <c r="M40" s="2138" t="s">
        <v>7174</v>
      </c>
      <c r="N40" s="2199" t="s">
        <v>1287</v>
      </c>
      <c r="O40" s="2199" t="s">
        <v>1287</v>
      </c>
      <c r="P40" s="368" t="str">
        <f>[1]SPELLBOOK!$Q$19&amp;", "&amp;[1]SPELLBOOK!$Q$20</f>
        <v>Heat Metal, Lesser Restoration</v>
      </c>
      <c r="Q40" s="368" t="str">
        <f>[1]SPELLBOOK!$Q$19&amp;", "&amp;[1]SPELLBOOK!$Q$20&amp;", "&amp;[1]SPELLBOOK!$Q$21</f>
        <v>Heat Metal, Lesser Restoration, Cloud of Daggers</v>
      </c>
      <c r="R40" s="368" t="str">
        <f>[1]SPELLBOOK!$Q$19&amp;", "&amp;[1]SPELLBOOK!$Q$20&amp;", "&amp;[1]SPELLBOOK!$Q$21</f>
        <v>Heat Metal, Lesser Restoration, Cloud of Daggers</v>
      </c>
      <c r="S40" s="368" t="str">
        <f>[1]SPELLBOOK!$Q$19&amp;", "&amp;[1]SPELLBOOK!$Q$20&amp;", "&amp;[1]SPELLBOOK!$Q$21</f>
        <v>Heat Metal, Lesser Restoration, Cloud of Daggers</v>
      </c>
      <c r="T40" s="368" t="str">
        <f>[1]SPELLBOOK!$Q$19&amp;", "&amp;[1]SPELLBOOK!$Q$20&amp;", "&amp;[1]SPELLBOOK!$Q$21</f>
        <v>Heat Metal, Lesser Restoration, Cloud of Daggers</v>
      </c>
      <c r="U40" s="368" t="str">
        <f>[1]SPELLBOOK!$Q$19&amp;", "&amp;[1]SPELLBOOK!$Q$20&amp;", "&amp;[1]SPELLBOOK!$Q$21</f>
        <v>Heat Metal, Lesser Restoration, Cloud of Daggers</v>
      </c>
      <c r="V40" s="368" t="str">
        <f>[1]SPELLBOOK!$Q$19&amp;", "&amp;[1]SPELLBOOK!$Q$20&amp;", "&amp;[1]SPELLBOOK!$Q$21</f>
        <v>Heat Metal, Lesser Restoration, Cloud of Daggers</v>
      </c>
      <c r="W40" s="368" t="str">
        <f>[1]SPELLBOOK!$Q$19&amp;", "&amp;[1]SPELLBOOK!$Q$20&amp;", "&amp;[1]SPELLBOOK!$Q$21</f>
        <v>Heat Metal, Lesser Restoration, Cloud of Daggers</v>
      </c>
      <c r="X40" s="368" t="str">
        <f>[1]SPELLBOOK!$Q$19&amp;", "&amp;[1]SPELLBOOK!$Q$20&amp;", "&amp;[1]SPELLBOOK!$Q$21</f>
        <v>Heat Metal, Lesser Restoration, Cloud of Daggers</v>
      </c>
      <c r="Y40" s="368" t="str">
        <f>[1]SPELLBOOK!$Q$19&amp;", "&amp;[1]SPELLBOOK!$Q$20&amp;", "&amp;[1]SPELLBOOK!$Q$21</f>
        <v>Heat Metal, Lesser Restoration, Cloud of Daggers</v>
      </c>
      <c r="Z40" s="368" t="str">
        <f>[1]SPELLBOOK!$Q$19&amp;", "&amp;[1]SPELLBOOK!$Q$20&amp;", "&amp;[1]SPELLBOOK!$Q$21</f>
        <v>Heat Metal, Lesser Restoration, Cloud of Daggers</v>
      </c>
      <c r="AA40" s="368" t="str">
        <f>[1]SPELLBOOK!$Q$19&amp;", "&amp;[1]SPELLBOOK!$Q$20&amp;", "&amp;[1]SPELLBOOK!$Q$21</f>
        <v>Heat Metal, Lesser Restoration, Cloud of Daggers</v>
      </c>
      <c r="AB40" s="368" t="str">
        <f>[1]SPELLBOOK!$Q$19&amp;", "&amp;[1]SPELLBOOK!$Q$20&amp;", "&amp;[1]SPELLBOOK!$Q$21</f>
        <v>Heat Metal, Lesser Restoration, Cloud of Daggers</v>
      </c>
      <c r="AC40" s="368" t="str">
        <f>[1]SPELLBOOK!$Q$19&amp;", "&amp;[1]SPELLBOOK!$Q$20&amp;", "&amp;[1]SPELLBOOK!$Q$21</f>
        <v>Heat Metal, Lesser Restoration, Cloud of Daggers</v>
      </c>
      <c r="AD40" s="368" t="str">
        <f>[1]SPELLBOOK!$Q$19&amp;", "&amp;[1]SPELLBOOK!$Q$20&amp;", "&amp;[1]SPELLBOOK!$Q$21</f>
        <v>Heat Metal, Lesser Restoration, Cloud of Daggers</v>
      </c>
      <c r="AE40" s="368" t="str">
        <f>[1]SPELLBOOK!$Q$19&amp;", "&amp;[1]SPELLBOOK!$Q$20&amp;", "&amp;[1]SPELLBOOK!$Q$21</f>
        <v>Heat Metal, Lesser Restoration, Cloud of Daggers</v>
      </c>
      <c r="AF40" s="368" t="str">
        <f>[1]SPELLBOOK!$Q$19&amp;", "&amp;[1]SPELLBOOK!$Q$20&amp;", "&amp;[1]SPELLBOOK!$Q$21</f>
        <v>Heat Metal, Lesser Restoration, Cloud of Daggers</v>
      </c>
      <c r="AG40" s="536" t="str">
        <f>[1]SPELLBOOK!$Q$19&amp;", "&amp;[1]SPELLBOOK!$Q$20&amp;", "&amp;[1]SPELLBOOK!$Q$21</f>
        <v>Heat Metal, Lesser Restoration, Cloud of Daggers</v>
      </c>
      <c r="AH40" s="272" t="s">
        <v>1287</v>
      </c>
      <c r="AK40" s="543"/>
      <c r="AL40" s="543"/>
    </row>
    <row r="41" spans="1:50" ht="14.1" customHeight="1" thickBot="1">
      <c r="B41" s="2136" t="s">
        <v>10253</v>
      </c>
      <c r="C41" s="2200" t="str">
        <f>[1]BACKGROUNDS!G92</f>
        <v>My hatred of my enemies is blind and unreasoning.</v>
      </c>
      <c r="D41" s="2201"/>
      <c r="E41" s="272" t="s">
        <v>1287</v>
      </c>
      <c r="F41" s="1128">
        <v>4</v>
      </c>
      <c r="G41" s="2130" t="str">
        <f ca="1">IF($G$37&gt;=4,SUM($H$38:H41),"")</f>
        <v/>
      </c>
      <c r="H41" s="2130" t="str">
        <f ca="1">IF($G$37&gt;=4,RANDBETWEEN(1,$G$36),"")</f>
        <v/>
      </c>
      <c r="I41" s="2197" t="str">
        <f ca="1">IF($G$37&gt;=4,$G$36/2+1,"")</f>
        <v/>
      </c>
      <c r="M41" s="2138" t="s">
        <v>7175</v>
      </c>
      <c r="N41" s="2199" t="s">
        <v>1287</v>
      </c>
      <c r="O41" s="2199" t="s">
        <v>1287</v>
      </c>
      <c r="P41" s="2199" t="s">
        <v>1287</v>
      </c>
      <c r="Q41" s="2199" t="s">
        <v>1287</v>
      </c>
      <c r="R41" s="368" t="str">
        <f>[1]SPELLBOOK!$V$19&amp;", "&amp;[1]SPELLBOOK!$V$20</f>
        <v>Fear, Dispel Magic</v>
      </c>
      <c r="S41" s="368" t="str">
        <f>[1]SPELLBOOK!$V$19&amp;", "&amp;[1]SPELLBOOK!$V$20&amp;", "&amp;[1]SPELLBOOK!$V$21</f>
        <v>Fear, Dispel Magic, Clairvoyance</v>
      </c>
      <c r="T41" s="368" t="str">
        <f>[1]SPELLBOOK!$V$19&amp;", "&amp;[1]SPELLBOOK!$V$20&amp;", "&amp;[1]SPELLBOOK!$V$21</f>
        <v>Fear, Dispel Magic, Clairvoyance</v>
      </c>
      <c r="U41" s="368" t="str">
        <f>[1]SPELLBOOK!$V$19&amp;", "&amp;[1]SPELLBOOK!$V$20&amp;", "&amp;[1]SPELLBOOK!$V$21</f>
        <v>Fear, Dispel Magic, Clairvoyance</v>
      </c>
      <c r="V41" s="368" t="str">
        <f>[1]SPELLBOOK!$V$19&amp;", "&amp;[1]SPELLBOOK!$V$20&amp;", "&amp;[1]SPELLBOOK!$V$21</f>
        <v>Fear, Dispel Magic, Clairvoyance</v>
      </c>
      <c r="W41" s="368" t="str">
        <f>[1]SPELLBOOK!$V$19&amp;", "&amp;[1]SPELLBOOK!$V$20&amp;", "&amp;[1]SPELLBOOK!$V$21</f>
        <v>Fear, Dispel Magic, Clairvoyance</v>
      </c>
      <c r="X41" s="368" t="str">
        <f>[1]SPELLBOOK!$V$19&amp;", "&amp;[1]SPELLBOOK!$V$20&amp;", "&amp;[1]SPELLBOOK!$V$21</f>
        <v>Fear, Dispel Magic, Clairvoyance</v>
      </c>
      <c r="Y41" s="368" t="str">
        <f>[1]SPELLBOOK!$V$19&amp;", "&amp;[1]SPELLBOOK!$V$20&amp;", "&amp;[1]SPELLBOOK!$V$21</f>
        <v>Fear, Dispel Magic, Clairvoyance</v>
      </c>
      <c r="Z41" s="368" t="str">
        <f>[1]SPELLBOOK!$V$19&amp;", "&amp;[1]SPELLBOOK!$V$20&amp;", "&amp;[1]SPELLBOOK!$V$21</f>
        <v>Fear, Dispel Magic, Clairvoyance</v>
      </c>
      <c r="AA41" s="368" t="str">
        <f>[1]SPELLBOOK!$V$19&amp;", "&amp;[1]SPELLBOOK!$V$20&amp;", "&amp;[1]SPELLBOOK!$V$21</f>
        <v>Fear, Dispel Magic, Clairvoyance</v>
      </c>
      <c r="AB41" s="368" t="str">
        <f>[1]SPELLBOOK!$V$19&amp;", "&amp;[1]SPELLBOOK!$V$20&amp;", "&amp;[1]SPELLBOOK!$V$21</f>
        <v>Fear, Dispel Magic, Clairvoyance</v>
      </c>
      <c r="AC41" s="368" t="str">
        <f>[1]SPELLBOOK!$V$19&amp;", "&amp;[1]SPELLBOOK!$V$20&amp;", "&amp;[1]SPELLBOOK!$V$21</f>
        <v>Fear, Dispel Magic, Clairvoyance</v>
      </c>
      <c r="AD41" s="368" t="str">
        <f>[1]SPELLBOOK!$V$19&amp;", "&amp;[1]SPELLBOOK!$V$20&amp;", "&amp;[1]SPELLBOOK!$V$21</f>
        <v>Fear, Dispel Magic, Clairvoyance</v>
      </c>
      <c r="AE41" s="368" t="str">
        <f>[1]SPELLBOOK!$V$19&amp;", "&amp;[1]SPELLBOOK!$V$20&amp;", "&amp;[1]SPELLBOOK!$V$21</f>
        <v>Fear, Dispel Magic, Clairvoyance</v>
      </c>
      <c r="AF41" s="368" t="str">
        <f>[1]SPELLBOOK!$V$19&amp;", "&amp;[1]SPELLBOOK!$V$20&amp;", "&amp;[1]SPELLBOOK!$V$21</f>
        <v>Fear, Dispel Magic, Clairvoyance</v>
      </c>
      <c r="AG41" s="536" t="str">
        <f>[1]SPELLBOOK!$V$19&amp;", "&amp;[1]SPELLBOOK!$V$20&amp;", "&amp;[1]SPELLBOOK!$V$21</f>
        <v>Fear, Dispel Magic, Clairvoyance</v>
      </c>
      <c r="AH41" s="272" t="s">
        <v>1287</v>
      </c>
      <c r="AK41" s="543"/>
      <c r="AL41" s="543"/>
    </row>
    <row r="42" spans="1:50" ht="14.1" customHeight="1" thickBot="1">
      <c r="F42" s="1128">
        <v>5</v>
      </c>
      <c r="G42" s="2130" t="str">
        <f ca="1">IF($G$37&gt;=5,SUM($H$38:H42),"")</f>
        <v/>
      </c>
      <c r="H42" s="2130" t="str">
        <f ca="1">IF($G$37&gt;=5,RANDBETWEEN(1,$G$36),"")</f>
        <v/>
      </c>
      <c r="I42" s="2197" t="str">
        <f ca="1">IF($G$37&gt;=5,$G$36/2+1,"")</f>
        <v/>
      </c>
      <c r="M42" s="2138" t="s">
        <v>7176</v>
      </c>
      <c r="N42" s="2199" t="s">
        <v>1287</v>
      </c>
      <c r="O42" s="2199" t="s">
        <v>1287</v>
      </c>
      <c r="P42" s="2199" t="s">
        <v>1287</v>
      </c>
      <c r="Q42" s="2199" t="s">
        <v>1287</v>
      </c>
      <c r="R42" s="2199" t="s">
        <v>1287</v>
      </c>
      <c r="S42" s="2199" t="s">
        <v>1287</v>
      </c>
      <c r="T42" s="368" t="str">
        <f>[1]SPELLBOOK!$AA$19</f>
        <v>Hallucinatory Terrain</v>
      </c>
      <c r="U42" s="368" t="str">
        <f>[1]SPELLBOOK!$AA$19&amp;", "&amp;[1]SPELLBOOK!$AA$20</f>
        <v>Hallucinatory Terrain, Polymorph</v>
      </c>
      <c r="V42" s="368" t="str">
        <f>[1]SPELLBOOK!$AA$19&amp;", "&amp;[1]SPELLBOOK!$AA$20&amp;", "&amp;[1]SPELLBOOK!$AA$21</f>
        <v>Hallucinatory Terrain, Polymorph, Locate Creature</v>
      </c>
      <c r="W42" s="368" t="str">
        <f>[1]SPELLBOOK!$AA$19&amp;", "&amp;[1]SPELLBOOK!$AA$20&amp;", "&amp;[1]SPELLBOOK!$AA$21</f>
        <v>Hallucinatory Terrain, Polymorph, Locate Creature</v>
      </c>
      <c r="X42" s="368" t="str">
        <f>[1]SPELLBOOK!$AA$19&amp;", "&amp;[1]SPELLBOOK!$AA$20&amp;", "&amp;[1]SPELLBOOK!$AA$21</f>
        <v>Hallucinatory Terrain, Polymorph, Locate Creature</v>
      </c>
      <c r="Y42" s="368" t="str">
        <f>[1]SPELLBOOK!$AA$19&amp;", "&amp;[1]SPELLBOOK!$AA$20&amp;", "&amp;[1]SPELLBOOK!$AA$21</f>
        <v>Hallucinatory Terrain, Polymorph, Locate Creature</v>
      </c>
      <c r="Z42" s="368" t="str">
        <f>[1]SPELLBOOK!$AA$19&amp;", "&amp;[1]SPELLBOOK!$AA$20&amp;", "&amp;[1]SPELLBOOK!$AA$21</f>
        <v>Hallucinatory Terrain, Polymorph, Locate Creature</v>
      </c>
      <c r="AA42" s="368" t="str">
        <f>[1]SPELLBOOK!$AA$19&amp;", "&amp;[1]SPELLBOOK!$AA$20&amp;", "&amp;[1]SPELLBOOK!$AA$21</f>
        <v>Hallucinatory Terrain, Polymorph, Locate Creature</v>
      </c>
      <c r="AB42" s="368" t="str">
        <f>[1]SPELLBOOK!$AA$19&amp;", "&amp;[1]SPELLBOOK!$AA$20&amp;", "&amp;[1]SPELLBOOK!$AA$21</f>
        <v>Hallucinatory Terrain, Polymorph, Locate Creature</v>
      </c>
      <c r="AC42" s="368" t="str">
        <f>[1]SPELLBOOK!$AA$19&amp;", "&amp;[1]SPELLBOOK!$AA$20&amp;", "&amp;[1]SPELLBOOK!$AA$21</f>
        <v>Hallucinatory Terrain, Polymorph, Locate Creature</v>
      </c>
      <c r="AD42" s="368" t="str">
        <f>[1]SPELLBOOK!$AA$19&amp;", "&amp;[1]SPELLBOOK!$AA$20&amp;", "&amp;[1]SPELLBOOK!$AA$21</f>
        <v>Hallucinatory Terrain, Polymorph, Locate Creature</v>
      </c>
      <c r="AE42" s="368" t="str">
        <f>[1]SPELLBOOK!$AA$19&amp;", "&amp;[1]SPELLBOOK!$AA$20&amp;", "&amp;[1]SPELLBOOK!$AA$21</f>
        <v>Hallucinatory Terrain, Polymorph, Locate Creature</v>
      </c>
      <c r="AF42" s="368" t="str">
        <f>[1]SPELLBOOK!$AA$19&amp;", "&amp;[1]SPELLBOOK!$AA$20&amp;", "&amp;[1]SPELLBOOK!$AA$21</f>
        <v>Hallucinatory Terrain, Polymorph, Locate Creature</v>
      </c>
      <c r="AG42" s="536" t="str">
        <f>[1]SPELLBOOK!$AA$19&amp;", "&amp;[1]SPELLBOOK!$AA$20&amp;", "&amp;[1]SPELLBOOK!$AA$21</f>
        <v>Hallucinatory Terrain, Polymorph, Locate Creature</v>
      </c>
      <c r="AH42" s="272" t="s">
        <v>1287</v>
      </c>
      <c r="AK42" s="543"/>
      <c r="AL42" s="543"/>
    </row>
    <row r="43" spans="1:50" ht="14.1" customHeight="1" thickBot="1">
      <c r="B43" s="3238" t="s">
        <v>10254</v>
      </c>
      <c r="C43" s="3239"/>
      <c r="D43" s="3240"/>
      <c r="F43" s="1128">
        <v>6</v>
      </c>
      <c r="G43" s="2130" t="str">
        <f ca="1">IF($G$37&gt;=6,SUM($H$38:H43),"")</f>
        <v/>
      </c>
      <c r="H43" s="2130" t="str">
        <f ca="1">IF($G$37&gt;=6,RANDBETWEEN(1,$G$36),"")</f>
        <v/>
      </c>
      <c r="I43" s="2197" t="str">
        <f ca="1">IF($G$37&gt;=6,$G$36/2+1,"")</f>
        <v/>
      </c>
      <c r="M43" s="2138" t="s">
        <v>7177</v>
      </c>
      <c r="N43" s="2199" t="s">
        <v>1287</v>
      </c>
      <c r="O43" s="2199" t="s">
        <v>1287</v>
      </c>
      <c r="P43" s="2199" t="s">
        <v>1287</v>
      </c>
      <c r="Q43" s="2199" t="s">
        <v>1287</v>
      </c>
      <c r="R43" s="2199" t="s">
        <v>1287</v>
      </c>
      <c r="S43" s="2199" t="s">
        <v>1287</v>
      </c>
      <c r="T43" s="2199" t="s">
        <v>1287</v>
      </c>
      <c r="U43" s="2199" t="s">
        <v>1287</v>
      </c>
      <c r="V43" s="368" t="str">
        <f>[1]SPELLBOOK!$AF$19</f>
        <v>Animate Object</v>
      </c>
      <c r="W43" s="368" t="str">
        <f>[1]SPELLBOOK!$AF$19&amp;", "&amp;[1]SPELLBOOK!$AF$20</f>
        <v>Animate Object, Dominate Person</v>
      </c>
      <c r="X43" s="368" t="str">
        <f>[1]SPELLBOOK!$AF$19&amp;", "&amp;[1]SPELLBOOK!$AF$20</f>
        <v>Animate Object, Dominate Person</v>
      </c>
      <c r="Y43" s="368" t="str">
        <f>[1]SPELLBOOK!$AF$19&amp;", "&amp;[1]SPELLBOOK!$AF$20</f>
        <v>Animate Object, Dominate Person</v>
      </c>
      <c r="Z43" s="368" t="str">
        <f>[1]SPELLBOOK!$AF$19&amp;", "&amp;[1]SPELLBOOK!$AF$20</f>
        <v>Animate Object, Dominate Person</v>
      </c>
      <c r="AA43" s="368" t="str">
        <f>[1]SPELLBOOK!$AF$19&amp;", "&amp;[1]SPELLBOOK!$AF$20</f>
        <v>Animate Object, Dominate Person</v>
      </c>
      <c r="AB43" s="368" t="str">
        <f>[1]SPELLBOOK!$AF$19&amp;", "&amp;[1]SPELLBOOK!$AF$20</f>
        <v>Animate Object, Dominate Person</v>
      </c>
      <c r="AC43" s="368" t="str">
        <f>[1]SPELLBOOK!$AF$19&amp;", "&amp;[1]SPELLBOOK!$AF$20</f>
        <v>Animate Object, Dominate Person</v>
      </c>
      <c r="AD43" s="368" t="str">
        <f>[1]SPELLBOOK!$AF$19&amp;", "&amp;[1]SPELLBOOK!$AF$20</f>
        <v>Animate Object, Dominate Person</v>
      </c>
      <c r="AE43" s="368" t="str">
        <f>[1]SPELLBOOK!$AF$19&amp;", "&amp;[1]SPELLBOOK!$AF$20&amp;", "&amp;[1]SPELLBOOK!$AF$21</f>
        <v>Animate Object, Dominate Person, Seeming</v>
      </c>
      <c r="AF43" s="368" t="str">
        <f>[1]SPELLBOOK!$AF$19&amp;", "&amp;[1]SPELLBOOK!$AF$20&amp;", "&amp;[1]SPELLBOOK!$AF$21</f>
        <v>Animate Object, Dominate Person, Seeming</v>
      </c>
      <c r="AG43" s="536" t="str">
        <f>[1]SPELLBOOK!$AF$19&amp;", "&amp;[1]SPELLBOOK!$AF$20&amp;", "&amp;[1]SPELLBOOK!$AF$21</f>
        <v>Animate Object, Dominate Person, Seeming</v>
      </c>
      <c r="AH43" s="272" t="s">
        <v>1287</v>
      </c>
      <c r="AK43" s="543"/>
      <c r="AL43" s="543"/>
    </row>
    <row r="44" spans="1:50" ht="14.1" customHeight="1">
      <c r="B44" s="2182" t="s">
        <v>10255</v>
      </c>
      <c r="C44" s="2166" t="str">
        <f ca="1">VLOOKUP(C8,[1]CLASS!B6:Y18,24,FALSE)</f>
        <v>Int</v>
      </c>
      <c r="D44" s="1848"/>
      <c r="F44" s="1128">
        <v>7</v>
      </c>
      <c r="G44" s="2130" t="str">
        <f ca="1">IF($G$37&gt;=7,SUM($H$38:H44),"")</f>
        <v/>
      </c>
      <c r="H44" s="2130" t="str">
        <f ca="1">IF($G$37&gt;=7,RANDBETWEEN(1,$G$36),"")</f>
        <v/>
      </c>
      <c r="I44" s="2197" t="str">
        <f ca="1">IF($G$37&gt;=7,$G$36/2+1,"")</f>
        <v/>
      </c>
      <c r="M44" s="2138" t="s">
        <v>7178</v>
      </c>
      <c r="N44" s="2199" t="s">
        <v>1287</v>
      </c>
      <c r="O44" s="2199" t="s">
        <v>1287</v>
      </c>
      <c r="P44" s="2199" t="s">
        <v>1287</v>
      </c>
      <c r="Q44" s="2199" t="s">
        <v>1287</v>
      </c>
      <c r="R44" s="2199" t="s">
        <v>1287</v>
      </c>
      <c r="S44" s="2199" t="s">
        <v>1287</v>
      </c>
      <c r="T44" s="2199" t="s">
        <v>1287</v>
      </c>
      <c r="U44" s="2199" t="s">
        <v>1287</v>
      </c>
      <c r="V44" s="2199" t="s">
        <v>1287</v>
      </c>
      <c r="W44" s="2199" t="s">
        <v>1287</v>
      </c>
      <c r="X44" s="368" t="str">
        <f>[1]SPELLBOOK!$AJ$19</f>
        <v>Eyebite</v>
      </c>
      <c r="Y44" s="368" t="str">
        <f>[1]SPELLBOOK!$AJ$19</f>
        <v>Eyebite</v>
      </c>
      <c r="Z44" s="368" t="str">
        <f>[1]SPELLBOOK!$AJ$19</f>
        <v>Eyebite</v>
      </c>
      <c r="AA44" s="368" t="str">
        <f>[1]SPELLBOOK!$AJ$19</f>
        <v>Eyebite</v>
      </c>
      <c r="AB44" s="368" t="str">
        <f>[1]SPELLBOOK!$AJ$19</f>
        <v>Eyebite</v>
      </c>
      <c r="AC44" s="368" t="str">
        <f>[1]SPELLBOOK!$AJ$19</f>
        <v>Eyebite</v>
      </c>
      <c r="AD44" s="368" t="str">
        <f>[1]SPELLBOOK!$AJ$19</f>
        <v>Eyebite</v>
      </c>
      <c r="AE44" s="368" t="str">
        <f>[1]SPELLBOOK!$AJ$19</f>
        <v>Eyebite</v>
      </c>
      <c r="AF44" s="368" t="str">
        <f>[1]SPELLBOOK!$AJ$19&amp;", "&amp;[1]SPELLBOOK!$AJ$20</f>
        <v>Eyebite, Find the Path</v>
      </c>
      <c r="AG44" s="536" t="str">
        <f>[1]SPELLBOOK!$AJ$19&amp;", "&amp;[1]SPELLBOOK!$AJ$20</f>
        <v>Eyebite, Find the Path</v>
      </c>
      <c r="AH44" s="272" t="s">
        <v>1287</v>
      </c>
      <c r="AJ44" s="543"/>
      <c r="AK44" s="543"/>
      <c r="AL44" s="543"/>
    </row>
    <row r="45" spans="1:50" ht="14.1" customHeight="1">
      <c r="B45" s="2183" t="s">
        <v>10256</v>
      </c>
      <c r="C45" s="2202">
        <f ca="1">IF(C44="","",VLOOKUP(MATH!C44,[1]ABILITIES!P24:R29,3,FALSE)+C46)</f>
        <v>7</v>
      </c>
      <c r="D45" s="2203"/>
      <c r="F45" s="1128">
        <v>8</v>
      </c>
      <c r="G45" s="2130" t="str">
        <f ca="1">IF($G$37&gt;=8,SUM($H$38:H45),"")</f>
        <v/>
      </c>
      <c r="H45" s="2130" t="str">
        <f ca="1">IF($G$37&gt;=8,RANDBETWEEN(1,$G$36),"")</f>
        <v/>
      </c>
      <c r="I45" s="2197" t="str">
        <f ca="1">IF($G$37&gt;=8,$G$36/2+1,"")</f>
        <v/>
      </c>
      <c r="M45" s="2138" t="s">
        <v>7179</v>
      </c>
      <c r="N45" s="2199" t="s">
        <v>1287</v>
      </c>
      <c r="O45" s="2199" t="s">
        <v>1287</v>
      </c>
      <c r="P45" s="2199" t="s">
        <v>1287</v>
      </c>
      <c r="Q45" s="2199" t="s">
        <v>1287</v>
      </c>
      <c r="R45" s="2199" t="s">
        <v>1287</v>
      </c>
      <c r="S45" s="2199" t="s">
        <v>1287</v>
      </c>
      <c r="T45" s="2199" t="s">
        <v>1287</v>
      </c>
      <c r="U45" s="2199" t="s">
        <v>1287</v>
      </c>
      <c r="V45" s="2199" t="s">
        <v>1287</v>
      </c>
      <c r="W45" s="2199" t="s">
        <v>1287</v>
      </c>
      <c r="X45" s="2199" t="s">
        <v>1287</v>
      </c>
      <c r="Y45" s="2199" t="s">
        <v>1287</v>
      </c>
      <c r="Z45" s="368" t="str">
        <f>[1]SPELLBOOK!$AP$19</f>
        <v>Mordekainen's Magnificent Mansion</v>
      </c>
      <c r="AA45" s="368" t="str">
        <f>[1]SPELLBOOK!$AP$19</f>
        <v>Mordekainen's Magnificent Mansion</v>
      </c>
      <c r="AB45" s="368" t="str">
        <f>[1]SPELLBOOK!$AP$19</f>
        <v>Mordekainen's Magnificent Mansion</v>
      </c>
      <c r="AC45" s="368" t="str">
        <f>[1]SPELLBOOK!$AP$19</f>
        <v>Mordekainen's Magnificent Mansion</v>
      </c>
      <c r="AD45" s="368" t="str">
        <f>[1]SPELLBOOK!$AP$19</f>
        <v>Mordekainen's Magnificent Mansion</v>
      </c>
      <c r="AE45" s="368" t="str">
        <f>[1]SPELLBOOK!$AP$19</f>
        <v>Mordekainen's Magnificent Mansion</v>
      </c>
      <c r="AF45" s="368" t="str">
        <f>[1]SPELLBOOK!$AP$19</f>
        <v>Mordekainen's Magnificent Mansion</v>
      </c>
      <c r="AG45" s="536" t="str">
        <f>[1]SPELLBOOK!$AP$19&amp;", "&amp;[1]SPELLBOOK!$AP$20</f>
        <v>Mordekainen's Magnificent Mansion, Forcecage</v>
      </c>
      <c r="AH45" s="272" t="s">
        <v>1287</v>
      </c>
      <c r="AJ45" s="543"/>
      <c r="AK45" s="543"/>
      <c r="AL45" s="543"/>
    </row>
    <row r="46" spans="1:50" ht="14.1" customHeight="1">
      <c r="A46" s="272" t="s">
        <v>1287</v>
      </c>
      <c r="B46" s="2183" t="s">
        <v>10257</v>
      </c>
      <c r="C46" s="2202">
        <f ca="1">VLOOKUP(MATH!$C$8,[1]CLASS!$B$6:$X$17,20)</f>
        <v>3</v>
      </c>
      <c r="D46" s="2203" t="s">
        <v>1287</v>
      </c>
      <c r="E46" s="272" t="s">
        <v>1287</v>
      </c>
      <c r="F46" s="1128">
        <v>9</v>
      </c>
      <c r="G46" s="2130" t="str">
        <f ca="1">IF($G$37&gt;=9,SUM($H$38:H46),"")</f>
        <v/>
      </c>
      <c r="H46" s="2130" t="str">
        <f ca="1">IF($G$37&gt;=9,RANDBETWEEN(1,$G$36),"")</f>
        <v/>
      </c>
      <c r="I46" s="2197" t="str">
        <f ca="1">IF($G$37&gt;=9,$G$36/2+1,"")</f>
        <v/>
      </c>
      <c r="L46" s="2115"/>
      <c r="M46" s="2138" t="s">
        <v>7180</v>
      </c>
      <c r="N46" s="2199" t="s">
        <v>1287</v>
      </c>
      <c r="O46" s="2199" t="s">
        <v>1287</v>
      </c>
      <c r="P46" s="2199" t="s">
        <v>1287</v>
      </c>
      <c r="Q46" s="2199" t="s">
        <v>1287</v>
      </c>
      <c r="R46" s="2199" t="s">
        <v>1287</v>
      </c>
      <c r="S46" s="2199" t="s">
        <v>1287</v>
      </c>
      <c r="T46" s="2199" t="s">
        <v>1287</v>
      </c>
      <c r="U46" s="2199" t="s">
        <v>1287</v>
      </c>
      <c r="V46" s="2199" t="s">
        <v>1287</v>
      </c>
      <c r="W46" s="2199" t="s">
        <v>1287</v>
      </c>
      <c r="X46" s="2199" t="s">
        <v>1287</v>
      </c>
      <c r="Y46" s="2199" t="s">
        <v>1287</v>
      </c>
      <c r="Z46" s="2199" t="s">
        <v>1287</v>
      </c>
      <c r="AA46" s="2199" t="s">
        <v>1287</v>
      </c>
      <c r="AB46" s="368" t="str">
        <f>[1]SPELLBOOK!$AU$19</f>
        <v>Glibness</v>
      </c>
      <c r="AC46" s="368" t="str">
        <f>[1]SPELLBOOK!$AU$19</f>
        <v>Glibness</v>
      </c>
      <c r="AD46" s="368" t="str">
        <f>[1]SPELLBOOK!$AU$19</f>
        <v>Glibness</v>
      </c>
      <c r="AE46" s="368" t="str">
        <f>[1]SPELLBOOK!$AU$19</f>
        <v>Glibness</v>
      </c>
      <c r="AF46" s="368" t="str">
        <f>[1]SPELLBOOK!$AU$19</f>
        <v>Glibness</v>
      </c>
      <c r="AG46" s="536" t="str">
        <f>[1]SPELLBOOK!$AU$19</f>
        <v>Glibness</v>
      </c>
      <c r="AH46" s="272" t="s">
        <v>1287</v>
      </c>
      <c r="AJ46" s="543"/>
      <c r="AK46" s="543"/>
      <c r="AL46" s="543"/>
    </row>
    <row r="47" spans="1:50" ht="14.1" customHeight="1" thickBot="1">
      <c r="A47" s="272" t="s">
        <v>1287</v>
      </c>
      <c r="B47" s="2183" t="s">
        <v>10258</v>
      </c>
      <c r="C47" s="2202">
        <f ca="1">IF(C44="","",VLOOKUP(C44,[1]ABILITIES!P24:R29,3,FALSE))</f>
        <v>4</v>
      </c>
      <c r="D47" s="2204" t="str">
        <f ca="1">D8</f>
        <v>Fighter</v>
      </c>
      <c r="F47" s="1128">
        <v>10</v>
      </c>
      <c r="G47" s="2130" t="str">
        <f ca="1">IF($G$37&gt;=10,SUM($H$38:H47),"")</f>
        <v/>
      </c>
      <c r="H47" s="2130" t="str">
        <f ca="1">IF($G$37&gt;=10,RANDBETWEEN(1,$G$36),"")</f>
        <v/>
      </c>
      <c r="I47" s="2197" t="str">
        <f ca="1">IF($G$37&gt;=10,$G$36/2+1,"")</f>
        <v/>
      </c>
      <c r="L47" s="2115"/>
      <c r="M47" s="2147" t="s">
        <v>7181</v>
      </c>
      <c r="N47" s="2205" t="s">
        <v>1287</v>
      </c>
      <c r="O47" s="2205" t="s">
        <v>1287</v>
      </c>
      <c r="P47" s="2205" t="s">
        <v>1287</v>
      </c>
      <c r="Q47" s="2205" t="s">
        <v>1287</v>
      </c>
      <c r="R47" s="2205" t="s">
        <v>1287</v>
      </c>
      <c r="S47" s="2205" t="s">
        <v>1287</v>
      </c>
      <c r="T47" s="2205" t="s">
        <v>1287</v>
      </c>
      <c r="U47" s="2205" t="s">
        <v>1287</v>
      </c>
      <c r="V47" s="2205" t="s">
        <v>1287</v>
      </c>
      <c r="W47" s="2205" t="s">
        <v>1287</v>
      </c>
      <c r="X47" s="2205" t="s">
        <v>1287</v>
      </c>
      <c r="Y47" s="2205" t="s">
        <v>1287</v>
      </c>
      <c r="Z47" s="2205" t="s">
        <v>1287</v>
      </c>
      <c r="AA47" s="2205" t="s">
        <v>1287</v>
      </c>
      <c r="AB47" s="2205" t="s">
        <v>1287</v>
      </c>
      <c r="AC47" s="2205" t="s">
        <v>1287</v>
      </c>
      <c r="AD47" s="423" t="str">
        <f>[1]SPELLBOOK!$AZ$19</f>
        <v>True Polymorph</v>
      </c>
      <c r="AE47" s="423" t="str">
        <f>[1]SPELLBOOK!$AZ$19</f>
        <v>True Polymorph</v>
      </c>
      <c r="AF47" s="423" t="str">
        <f>[1]SPELLBOOK!$AZ$19</f>
        <v>True Polymorph</v>
      </c>
      <c r="AG47" s="541" t="str">
        <f>[1]SPELLBOOK!$AZ$19</f>
        <v>True Polymorph</v>
      </c>
      <c r="AH47" s="272" t="s">
        <v>1287</v>
      </c>
      <c r="AJ47" s="543"/>
      <c r="AK47" s="543"/>
      <c r="AL47" s="543"/>
    </row>
    <row r="48" spans="1:50" ht="14.1" customHeight="1">
      <c r="A48" s="272" t="s">
        <v>1287</v>
      </c>
      <c r="B48" s="2183" t="s">
        <v>10259</v>
      </c>
      <c r="C48" s="2202">
        <f ca="1">SUM(C46:C47)+8</f>
        <v>15</v>
      </c>
      <c r="D48" s="2203"/>
      <c r="F48" s="1128">
        <v>11</v>
      </c>
      <c r="G48" s="2130" t="str">
        <f ca="1">IF($G$37&gt;=11,SUM($H$38:H48),"")</f>
        <v/>
      </c>
      <c r="H48" s="2130" t="str">
        <f ca="1">IF($G$37&gt;=11,RANDBETWEEN(1,$G$36),"")</f>
        <v/>
      </c>
      <c r="I48" s="2197" t="str">
        <f ca="1">IF($G$37&gt;=11,$G$36/2+1,"")</f>
        <v/>
      </c>
      <c r="AH48" s="272" t="s">
        <v>1287</v>
      </c>
      <c r="AJ48" s="543"/>
      <c r="AK48" s="543"/>
      <c r="AL48" s="543"/>
    </row>
    <row r="49" spans="1:38" ht="14.1" customHeight="1" thickBot="1">
      <c r="A49" s="272" t="s">
        <v>1287</v>
      </c>
      <c r="B49" s="2164" t="s">
        <v>10260</v>
      </c>
      <c r="C49" s="2188"/>
      <c r="D49" s="2206" t="str">
        <f ca="1">VLOOKUP(C11,[1]RACE!$B$6:$AE$41,27)</f>
        <v>N/A</v>
      </c>
      <c r="E49" s="272" t="s">
        <v>1287</v>
      </c>
      <c r="F49" s="1128">
        <v>12</v>
      </c>
      <c r="G49" s="2130" t="str">
        <f ca="1">IF($G$37&gt;=12,SUM($H$38:H49),"")</f>
        <v/>
      </c>
      <c r="H49" s="2130" t="str">
        <f ca="1">IF($G$37&gt;=12,RANDBETWEEN(1,$G$36),"")</f>
        <v/>
      </c>
      <c r="I49" s="2197" t="str">
        <f ca="1">IF($G$37&gt;=12,$G$36/2+1,"")</f>
        <v/>
      </c>
      <c r="AH49" s="272" t="s">
        <v>1287</v>
      </c>
      <c r="AJ49" s="543"/>
      <c r="AK49" s="543"/>
      <c r="AL49" s="543"/>
    </row>
    <row r="50" spans="1:38" ht="14.1" customHeight="1" thickBot="1">
      <c r="F50" s="1128">
        <v>13</v>
      </c>
      <c r="G50" s="2130" t="str">
        <f ca="1">IF($G$37&gt;=13,SUM($H$38:H50),"")</f>
        <v/>
      </c>
      <c r="H50" s="2130" t="str">
        <f ca="1">IF($G$37&gt;=13,RANDBETWEEN(1,$G$36),"")</f>
        <v/>
      </c>
      <c r="I50" s="2197" t="str">
        <f ca="1">IF($G$37&gt;=13,$G$36/2+1,"")</f>
        <v/>
      </c>
      <c r="M50" s="560" t="s">
        <v>6056</v>
      </c>
      <c r="N50" s="811"/>
      <c r="O50" s="811"/>
      <c r="P50" s="811"/>
      <c r="Q50" s="811"/>
      <c r="R50" s="811"/>
      <c r="S50" s="811"/>
      <c r="T50" s="811"/>
      <c r="U50" s="811"/>
      <c r="V50" s="811"/>
      <c r="W50" s="811"/>
      <c r="X50" s="811"/>
      <c r="Y50" s="811"/>
      <c r="Z50" s="811"/>
      <c r="AA50" s="811"/>
      <c r="AB50" s="811"/>
      <c r="AC50" s="811"/>
      <c r="AD50" s="811"/>
      <c r="AE50" s="811"/>
      <c r="AF50" s="811"/>
      <c r="AG50" s="812"/>
      <c r="AH50" s="560" t="s">
        <v>6056</v>
      </c>
      <c r="AJ50" s="543"/>
      <c r="AK50" s="543"/>
      <c r="AL50" s="543"/>
    </row>
    <row r="51" spans="1:38" ht="14.1" customHeight="1" thickBot="1">
      <c r="B51" s="3238" t="s">
        <v>7015</v>
      </c>
      <c r="C51" s="3239"/>
      <c r="D51" s="3240"/>
      <c r="F51" s="1128">
        <v>14</v>
      </c>
      <c r="G51" s="2130" t="str">
        <f ca="1">IF($G$37&gt;=14,SUM($H$38:H51),"")</f>
        <v/>
      </c>
      <c r="H51" s="2130" t="str">
        <f ca="1">IF($G$37&gt;=14,RANDBETWEEN(1,$G$36),"")</f>
        <v/>
      </c>
      <c r="I51" s="2197" t="str">
        <f ca="1">IF($G$37&gt;=14,$G$36/2+1,"")</f>
        <v/>
      </c>
      <c r="L51" s="2115"/>
      <c r="M51" s="1987"/>
      <c r="N51" s="749" t="s">
        <v>7125</v>
      </c>
      <c r="O51" s="749" t="s">
        <v>7126</v>
      </c>
      <c r="P51" s="749" t="s">
        <v>10245</v>
      </c>
      <c r="Q51" s="749" t="s">
        <v>10246</v>
      </c>
      <c r="R51" s="749" t="s">
        <v>7129</v>
      </c>
      <c r="S51" s="749" t="s">
        <v>7130</v>
      </c>
      <c r="T51" s="749" t="s">
        <v>7131</v>
      </c>
      <c r="U51" s="749" t="s">
        <v>7132</v>
      </c>
      <c r="V51" s="749" t="s">
        <v>7133</v>
      </c>
      <c r="W51" s="749" t="s">
        <v>7134</v>
      </c>
      <c r="X51" s="749" t="s">
        <v>7135</v>
      </c>
      <c r="Y51" s="749" t="s">
        <v>7136</v>
      </c>
      <c r="Z51" s="749" t="s">
        <v>10247</v>
      </c>
      <c r="AA51" s="749" t="s">
        <v>10248</v>
      </c>
      <c r="AB51" s="749" t="s">
        <v>7139</v>
      </c>
      <c r="AC51" s="749" t="s">
        <v>7140</v>
      </c>
      <c r="AD51" s="749" t="s">
        <v>7141</v>
      </c>
      <c r="AE51" s="749" t="s">
        <v>7142</v>
      </c>
      <c r="AF51" s="749" t="s">
        <v>7143</v>
      </c>
      <c r="AG51" s="1082" t="s">
        <v>10249</v>
      </c>
      <c r="AH51" s="272" t="s">
        <v>1287</v>
      </c>
      <c r="AJ51" s="543"/>
      <c r="AK51" s="543"/>
      <c r="AL51" s="543"/>
    </row>
    <row r="52" spans="1:38" ht="14.1" customHeight="1">
      <c r="B52" s="2182" t="s">
        <v>10189</v>
      </c>
      <c r="C52" s="2207" t="str">
        <f ca="1">MATH!$D$11</f>
        <v>Human (Chondathan)</v>
      </c>
      <c r="D52" s="2208"/>
      <c r="F52" s="1128">
        <v>15</v>
      </c>
      <c r="G52" s="2130" t="str">
        <f ca="1">IF($G$37&gt;=15,SUM($H$38:H52),"")</f>
        <v/>
      </c>
      <c r="H52" s="2130" t="str">
        <f ca="1">IF($G$37&gt;=15,RANDBETWEEN(1,$G$36),"")</f>
        <v/>
      </c>
      <c r="I52" s="2197" t="str">
        <f ca="1">IF($G$37&gt;=15,$G$36/2+1,"")</f>
        <v/>
      </c>
      <c r="M52" s="2135" t="s">
        <v>7170</v>
      </c>
      <c r="N52" s="344" t="str">
        <f>CONCATENATE([1]SPELLBOOK!J50,", ",[1]SPELLBOOK!J51,", ",[1]SPELLBOOK!J52)</f>
        <v>Light, Sacred Flame, Resistance</v>
      </c>
      <c r="O52" s="344" t="str">
        <f>N52</f>
        <v>Light, Sacred Flame, Resistance</v>
      </c>
      <c r="P52" s="344" t="str">
        <f>N52</f>
        <v>Light, Sacred Flame, Resistance</v>
      </c>
      <c r="Q52" s="344" t="str">
        <f>CONCATENATE(P52,", ",[1]SPELLBOOK!J53)</f>
        <v>Light, Sacred Flame, Resistance, Guidance</v>
      </c>
      <c r="R52" s="344" t="str">
        <f>Q52</f>
        <v>Light, Sacred Flame, Resistance, Guidance</v>
      </c>
      <c r="S52" s="344" t="str">
        <f>Q52</f>
        <v>Light, Sacred Flame, Resistance, Guidance</v>
      </c>
      <c r="T52" s="344" t="str">
        <f>Q52</f>
        <v>Light, Sacred Flame, Resistance, Guidance</v>
      </c>
      <c r="U52" s="344" t="str">
        <f>Q52</f>
        <v>Light, Sacred Flame, Resistance, Guidance</v>
      </c>
      <c r="V52" s="344" t="str">
        <f>Q52</f>
        <v>Light, Sacred Flame, Resistance, Guidance</v>
      </c>
      <c r="W52" s="344" t="str">
        <f>CONCATENATE($Q$52,", ",[1]SPELLBOOK!$J$54)</f>
        <v>Light, Sacred Flame, Resistance, Guidance, Mending</v>
      </c>
      <c r="X52" s="344" t="str">
        <f t="shared" ref="X52:AG52" si="3">$W$52</f>
        <v>Light, Sacred Flame, Resistance, Guidance, Mending</v>
      </c>
      <c r="Y52" s="344" t="str">
        <f t="shared" si="3"/>
        <v>Light, Sacred Flame, Resistance, Guidance, Mending</v>
      </c>
      <c r="Z52" s="344" t="str">
        <f t="shared" si="3"/>
        <v>Light, Sacred Flame, Resistance, Guidance, Mending</v>
      </c>
      <c r="AA52" s="344" t="str">
        <f t="shared" si="3"/>
        <v>Light, Sacred Flame, Resistance, Guidance, Mending</v>
      </c>
      <c r="AB52" s="344" t="str">
        <f t="shared" si="3"/>
        <v>Light, Sacred Flame, Resistance, Guidance, Mending</v>
      </c>
      <c r="AC52" s="344" t="str">
        <f t="shared" si="3"/>
        <v>Light, Sacred Flame, Resistance, Guidance, Mending</v>
      </c>
      <c r="AD52" s="344" t="str">
        <f t="shared" si="3"/>
        <v>Light, Sacred Flame, Resistance, Guidance, Mending</v>
      </c>
      <c r="AE52" s="344" t="str">
        <f t="shared" si="3"/>
        <v>Light, Sacred Flame, Resistance, Guidance, Mending</v>
      </c>
      <c r="AF52" s="344" t="str">
        <f t="shared" si="3"/>
        <v>Light, Sacred Flame, Resistance, Guidance, Mending</v>
      </c>
      <c r="AG52" s="741" t="str">
        <f t="shared" si="3"/>
        <v>Light, Sacred Flame, Resistance, Guidance, Mending</v>
      </c>
      <c r="AH52" s="272" t="s">
        <v>1287</v>
      </c>
      <c r="AJ52" s="543"/>
      <c r="AK52" s="543"/>
      <c r="AL52" s="543"/>
    </row>
    <row r="53" spans="1:38" ht="14.1" customHeight="1">
      <c r="B53" s="2183" t="s">
        <v>6158</v>
      </c>
      <c r="C53" s="2209" t="str">
        <f ca="1">CONCATENATE(MATH!$D$8,": ",[1]CLASS!E158)</f>
        <v>Fighter: Arcane Trickster</v>
      </c>
      <c r="D53" s="2204"/>
      <c r="F53" s="1128">
        <v>16</v>
      </c>
      <c r="G53" s="2130" t="str">
        <f ca="1">IF($G$37&gt;=16,SUM($H$38:H53),"")</f>
        <v/>
      </c>
      <c r="H53" s="2130" t="str">
        <f ca="1">IF($G$37&gt;=16,RANDBETWEEN(1,$G$36),"")</f>
        <v/>
      </c>
      <c r="I53" s="2197" t="str">
        <f ca="1">IF($G$37&gt;=16,$G$36/2+1,"")</f>
        <v/>
      </c>
      <c r="M53" s="2138" t="s">
        <v>7172</v>
      </c>
      <c r="N53" s="368" t="str">
        <f>CONCATENATE([1]SPELLBOOK!R50,", ",[1]SPELLBOOK!R51,", ",[1]SPELLBOOK!R52,", ",[1]SPELLBOOK!R53)</f>
        <v>Divine Favor, Shield of Faith, Bane, Cure Wounds</v>
      </c>
      <c r="O53" s="368" t="str">
        <f>CONCATENATE($N$53,", ",[1]SPELLBOOK!R54)</f>
        <v>Divine Favor, Shield of Faith, Bane, Cure Wounds, Detect Poison and Disease</v>
      </c>
      <c r="P53" s="368" t="str">
        <f>CONCATENATE(O53,", ",[1]SPELLBOOK!R55)</f>
        <v>Divine Favor, Shield of Faith, Bane, Cure Wounds, Detect Poison and Disease, Command</v>
      </c>
      <c r="Q53" s="368" t="str">
        <f t="shared" ref="Q53:AG53" si="4">$N$53</f>
        <v>Divine Favor, Shield of Faith, Bane, Cure Wounds</v>
      </c>
      <c r="R53" s="368" t="str">
        <f t="shared" si="4"/>
        <v>Divine Favor, Shield of Faith, Bane, Cure Wounds</v>
      </c>
      <c r="S53" s="368" t="str">
        <f t="shared" si="4"/>
        <v>Divine Favor, Shield of Faith, Bane, Cure Wounds</v>
      </c>
      <c r="T53" s="368" t="str">
        <f t="shared" si="4"/>
        <v>Divine Favor, Shield of Faith, Bane, Cure Wounds</v>
      </c>
      <c r="U53" s="368" t="str">
        <f t="shared" si="4"/>
        <v>Divine Favor, Shield of Faith, Bane, Cure Wounds</v>
      </c>
      <c r="V53" s="368" t="str">
        <f t="shared" si="4"/>
        <v>Divine Favor, Shield of Faith, Bane, Cure Wounds</v>
      </c>
      <c r="W53" s="368" t="str">
        <f t="shared" si="4"/>
        <v>Divine Favor, Shield of Faith, Bane, Cure Wounds</v>
      </c>
      <c r="X53" s="368" t="str">
        <f t="shared" si="4"/>
        <v>Divine Favor, Shield of Faith, Bane, Cure Wounds</v>
      </c>
      <c r="Y53" s="368" t="str">
        <f t="shared" si="4"/>
        <v>Divine Favor, Shield of Faith, Bane, Cure Wounds</v>
      </c>
      <c r="Z53" s="368" t="str">
        <f t="shared" si="4"/>
        <v>Divine Favor, Shield of Faith, Bane, Cure Wounds</v>
      </c>
      <c r="AA53" s="368" t="str">
        <f t="shared" si="4"/>
        <v>Divine Favor, Shield of Faith, Bane, Cure Wounds</v>
      </c>
      <c r="AB53" s="368" t="str">
        <f t="shared" si="4"/>
        <v>Divine Favor, Shield of Faith, Bane, Cure Wounds</v>
      </c>
      <c r="AC53" s="368" t="str">
        <f t="shared" si="4"/>
        <v>Divine Favor, Shield of Faith, Bane, Cure Wounds</v>
      </c>
      <c r="AD53" s="368" t="str">
        <f t="shared" si="4"/>
        <v>Divine Favor, Shield of Faith, Bane, Cure Wounds</v>
      </c>
      <c r="AE53" s="368" t="str">
        <f t="shared" si="4"/>
        <v>Divine Favor, Shield of Faith, Bane, Cure Wounds</v>
      </c>
      <c r="AF53" s="368" t="str">
        <f t="shared" si="4"/>
        <v>Divine Favor, Shield of Faith, Bane, Cure Wounds</v>
      </c>
      <c r="AG53" s="536" t="str">
        <f t="shared" si="4"/>
        <v>Divine Favor, Shield of Faith, Bane, Cure Wounds</v>
      </c>
      <c r="AH53" s="272" t="s">
        <v>1287</v>
      </c>
      <c r="AJ53" s="543"/>
      <c r="AK53" s="543"/>
      <c r="AL53" s="543"/>
    </row>
    <row r="54" spans="1:38" ht="14.1" customHeight="1">
      <c r="B54" s="2183" t="s">
        <v>10173</v>
      </c>
      <c r="C54" s="2209">
        <f ca="1">$D$5</f>
        <v>1</v>
      </c>
      <c r="D54" s="2163">
        <f ca="1">IF(AND(MATH!D5&gt;=1,MATH!D5&lt;=4),2,IF(AND(MATH!$D$5&gt;=5,MATH!$D$5&lt;=8),3,IF(AND(MATH!$D$5&gt;=9,MATH!$D$5&lt;=12),4,IF(AND(MATH!$D$5&gt;=13,MATH!$D$5&lt;=16),5,IF(AND(MATH!$D$5&gt;=17,MATH!$D$5&lt;=20),6,)))))</f>
        <v>2</v>
      </c>
      <c r="F54" s="1128">
        <v>17</v>
      </c>
      <c r="G54" s="2130" t="str">
        <f ca="1">IF($G$37&gt;=17,SUM($H$38:H54),"")</f>
        <v/>
      </c>
      <c r="H54" s="2130" t="str">
        <f ca="1">IF($G$37&gt;=17,RANDBETWEEN(1,$G$36),"")</f>
        <v/>
      </c>
      <c r="I54" s="2197" t="str">
        <f ca="1">IF($G$37&gt;=17,$G$36/2+1,"")</f>
        <v/>
      </c>
      <c r="M54" s="2138" t="s">
        <v>7174</v>
      </c>
      <c r="N54" s="2199" t="s">
        <v>1287</v>
      </c>
      <c r="O54" s="2199" t="s">
        <v>1287</v>
      </c>
      <c r="P54" s="368" t="str">
        <f>CONCATENATE([1]SPELLBOOK!Z50,", ",[1]SPELLBOOK!Z51,", ",[1]SPELLBOOK!Z52,", ",[1]SPELLBOOK!Z53)</f>
        <v>Magic Weapon, SpirItual Weapon, Augury, Enhance Ability</v>
      </c>
      <c r="Q54" s="368" t="str">
        <f>CONCATENATE($P$54,", ",[1]SPELLBOOK!Z54)</f>
        <v>Magic Weapon, SpirItual Weapon, Augury, Enhance Ability, Blindness/Deafness</v>
      </c>
      <c r="R54" s="368" t="str">
        <f>$Q$54</f>
        <v>Magic Weapon, SpirItual Weapon, Augury, Enhance Ability, Blindness/Deafness</v>
      </c>
      <c r="S54" s="368" t="str">
        <f t="shared" ref="S54:AG54" si="5">$P$54</f>
        <v>Magic Weapon, SpirItual Weapon, Augury, Enhance Ability</v>
      </c>
      <c r="T54" s="368" t="str">
        <f t="shared" si="5"/>
        <v>Magic Weapon, SpirItual Weapon, Augury, Enhance Ability</v>
      </c>
      <c r="U54" s="368" t="str">
        <f t="shared" si="5"/>
        <v>Magic Weapon, SpirItual Weapon, Augury, Enhance Ability</v>
      </c>
      <c r="V54" s="368" t="str">
        <f t="shared" si="5"/>
        <v>Magic Weapon, SpirItual Weapon, Augury, Enhance Ability</v>
      </c>
      <c r="W54" s="368" t="str">
        <f t="shared" si="5"/>
        <v>Magic Weapon, SpirItual Weapon, Augury, Enhance Ability</v>
      </c>
      <c r="X54" s="368" t="str">
        <f t="shared" si="5"/>
        <v>Magic Weapon, SpirItual Weapon, Augury, Enhance Ability</v>
      </c>
      <c r="Y54" s="368" t="str">
        <f t="shared" si="5"/>
        <v>Magic Weapon, SpirItual Weapon, Augury, Enhance Ability</v>
      </c>
      <c r="Z54" s="368" t="str">
        <f t="shared" si="5"/>
        <v>Magic Weapon, SpirItual Weapon, Augury, Enhance Ability</v>
      </c>
      <c r="AA54" s="368" t="str">
        <f t="shared" si="5"/>
        <v>Magic Weapon, SpirItual Weapon, Augury, Enhance Ability</v>
      </c>
      <c r="AB54" s="368" t="str">
        <f t="shared" si="5"/>
        <v>Magic Weapon, SpirItual Weapon, Augury, Enhance Ability</v>
      </c>
      <c r="AC54" s="368" t="str">
        <f t="shared" si="5"/>
        <v>Magic Weapon, SpirItual Weapon, Augury, Enhance Ability</v>
      </c>
      <c r="AD54" s="368" t="str">
        <f t="shared" si="5"/>
        <v>Magic Weapon, SpirItual Weapon, Augury, Enhance Ability</v>
      </c>
      <c r="AE54" s="368" t="str">
        <f t="shared" si="5"/>
        <v>Magic Weapon, SpirItual Weapon, Augury, Enhance Ability</v>
      </c>
      <c r="AF54" s="368" t="str">
        <f t="shared" si="5"/>
        <v>Magic Weapon, SpirItual Weapon, Augury, Enhance Ability</v>
      </c>
      <c r="AG54" s="536" t="str">
        <f t="shared" si="5"/>
        <v>Magic Weapon, SpirItual Weapon, Augury, Enhance Ability</v>
      </c>
      <c r="AH54" s="272" t="s">
        <v>1287</v>
      </c>
      <c r="AJ54" s="543"/>
      <c r="AL54" s="543"/>
    </row>
    <row r="55" spans="1:38" ht="14.1" customHeight="1">
      <c r="B55" s="2210" t="s">
        <v>10261</v>
      </c>
      <c r="C55" s="2161" t="str">
        <f>[1]SKILLS!D74</f>
        <v>Quarterstaff</v>
      </c>
      <c r="D55" s="2211" t="str">
        <f>[1]SKILLS!I74</f>
        <v>YES</v>
      </c>
      <c r="F55" s="1128">
        <v>18</v>
      </c>
      <c r="G55" s="2130" t="str">
        <f ca="1">IF($G$37&gt;=18,SUM($H$38:H55),"")</f>
        <v/>
      </c>
      <c r="H55" s="2130" t="str">
        <f ca="1">IF($G$37&gt;=18,RANDBETWEEN(1,$G$36),"")</f>
        <v/>
      </c>
      <c r="I55" s="2197" t="str">
        <f ca="1">IF($G$37&gt;=18,$G$36/2+1,"")</f>
        <v/>
      </c>
      <c r="M55" s="2138" t="s">
        <v>7175</v>
      </c>
      <c r="N55" s="2199" t="s">
        <v>1287</v>
      </c>
      <c r="O55" s="2199" t="s">
        <v>1287</v>
      </c>
      <c r="P55" s="2199" t="s">
        <v>1287</v>
      </c>
      <c r="Q55" s="2199" t="s">
        <v>1287</v>
      </c>
      <c r="R55" s="368" t="str">
        <f>CONCATENATE([1]SPELLBOOK!AH50,", ",[1]SPELLBOOK!AH51,", ",[1]SPELLBOOK!AH52,", ",[1]SPELLBOOK!AH53)</f>
        <v>Crusader's Mantle, Spirit Guardian, Water Walk, Animate Dead</v>
      </c>
      <c r="S55" s="368" t="str">
        <f>CONCATENATE($R$55,", ",[1]SPELLBOOK!AH54)</f>
        <v>Crusader's Mantle, Spirit Guardian, Water Walk, Animate Dead, Meld Into Stone</v>
      </c>
      <c r="T55" s="368" t="str">
        <f t="shared" ref="T55:AG55" si="6">$S$55</f>
        <v>Crusader's Mantle, Spirit Guardian, Water Walk, Animate Dead, Meld Into Stone</v>
      </c>
      <c r="U55" s="368" t="str">
        <f t="shared" si="6"/>
        <v>Crusader's Mantle, Spirit Guardian, Water Walk, Animate Dead, Meld Into Stone</v>
      </c>
      <c r="V55" s="368" t="str">
        <f t="shared" si="6"/>
        <v>Crusader's Mantle, Spirit Guardian, Water Walk, Animate Dead, Meld Into Stone</v>
      </c>
      <c r="W55" s="368" t="str">
        <f t="shared" si="6"/>
        <v>Crusader's Mantle, Spirit Guardian, Water Walk, Animate Dead, Meld Into Stone</v>
      </c>
      <c r="X55" s="368" t="str">
        <f t="shared" si="6"/>
        <v>Crusader's Mantle, Spirit Guardian, Water Walk, Animate Dead, Meld Into Stone</v>
      </c>
      <c r="Y55" s="368" t="str">
        <f t="shared" si="6"/>
        <v>Crusader's Mantle, Spirit Guardian, Water Walk, Animate Dead, Meld Into Stone</v>
      </c>
      <c r="Z55" s="368" t="str">
        <f t="shared" si="6"/>
        <v>Crusader's Mantle, Spirit Guardian, Water Walk, Animate Dead, Meld Into Stone</v>
      </c>
      <c r="AA55" s="368" t="str">
        <f t="shared" si="6"/>
        <v>Crusader's Mantle, Spirit Guardian, Water Walk, Animate Dead, Meld Into Stone</v>
      </c>
      <c r="AB55" s="368" t="str">
        <f t="shared" si="6"/>
        <v>Crusader's Mantle, Spirit Guardian, Water Walk, Animate Dead, Meld Into Stone</v>
      </c>
      <c r="AC55" s="368" t="str">
        <f t="shared" si="6"/>
        <v>Crusader's Mantle, Spirit Guardian, Water Walk, Animate Dead, Meld Into Stone</v>
      </c>
      <c r="AD55" s="368" t="str">
        <f t="shared" si="6"/>
        <v>Crusader's Mantle, Spirit Guardian, Water Walk, Animate Dead, Meld Into Stone</v>
      </c>
      <c r="AE55" s="368" t="str">
        <f t="shared" si="6"/>
        <v>Crusader's Mantle, Spirit Guardian, Water Walk, Animate Dead, Meld Into Stone</v>
      </c>
      <c r="AF55" s="368" t="str">
        <f t="shared" si="6"/>
        <v>Crusader's Mantle, Spirit Guardian, Water Walk, Animate Dead, Meld Into Stone</v>
      </c>
      <c r="AG55" s="536" t="str">
        <f t="shared" si="6"/>
        <v>Crusader's Mantle, Spirit Guardian, Water Walk, Animate Dead, Meld Into Stone</v>
      </c>
      <c r="AH55" s="272" t="s">
        <v>1287</v>
      </c>
      <c r="AJ55" s="543"/>
      <c r="AK55" s="543"/>
      <c r="AL55" s="543"/>
    </row>
    <row r="56" spans="1:38" ht="14.1" customHeight="1">
      <c r="B56" s="2183" t="s">
        <v>10262</v>
      </c>
      <c r="C56" s="2212" t="str">
        <f>VLOOKUP("*"&amp;$C$55&amp;"*",'[1]WEAPONS ARMOR'!$C$4:$E$53,3,FALSE)</f>
        <v>1d6</v>
      </c>
      <c r="D56" s="2213"/>
      <c r="F56" s="1128">
        <v>19</v>
      </c>
      <c r="G56" s="2130" t="str">
        <f ca="1">IF($G$37&gt;=19,SUM($H$38:H56),"")</f>
        <v/>
      </c>
      <c r="H56" s="2130" t="str">
        <f ca="1">IF($G$37&gt;=19,RANDBETWEEN(1,$G$36),"")</f>
        <v/>
      </c>
      <c r="I56" s="2197" t="str">
        <f ca="1">IF($G$37&gt;=19,$G$36/2+1,"")</f>
        <v/>
      </c>
      <c r="M56" s="2138" t="s">
        <v>7176</v>
      </c>
      <c r="N56" s="2199" t="s">
        <v>1287</v>
      </c>
      <c r="O56" s="2199" t="s">
        <v>1287</v>
      </c>
      <c r="P56" s="2199" t="s">
        <v>1287</v>
      </c>
      <c r="Q56" s="2199" t="s">
        <v>1287</v>
      </c>
      <c r="R56" s="2199" t="s">
        <v>1287</v>
      </c>
      <c r="S56" s="2199" t="s">
        <v>1287</v>
      </c>
      <c r="T56" s="368" t="str">
        <f>CONCATENATE([1]SPELLBOOK!AP50,", ",[1]SPELLBOOK!AP51,", ",[1]SPELLBOOK!AP52)</f>
        <v>Freedom of Movement, Stoneskin, Control Water</v>
      </c>
      <c r="U56" s="368" t="str">
        <f>CONCATENATE($T$56,", ",[1]SPELLBOOK!AP53)</f>
        <v>Freedom of Movement, Stoneskin, Control Water, Divination</v>
      </c>
      <c r="V56" s="368" t="str">
        <f>CONCATENATE($U$56,", ",[1]SPELLBOOK!AP54)</f>
        <v>Freedom of Movement, Stoneskin, Control Water, Divination, Locate Creature</v>
      </c>
      <c r="W56" s="368" t="str">
        <f t="shared" ref="W56:AG56" si="7">$V$56</f>
        <v>Freedom of Movement, Stoneskin, Control Water, Divination, Locate Creature</v>
      </c>
      <c r="X56" s="368" t="str">
        <f t="shared" si="7"/>
        <v>Freedom of Movement, Stoneskin, Control Water, Divination, Locate Creature</v>
      </c>
      <c r="Y56" s="368" t="str">
        <f t="shared" si="7"/>
        <v>Freedom of Movement, Stoneskin, Control Water, Divination, Locate Creature</v>
      </c>
      <c r="Z56" s="368" t="str">
        <f t="shared" si="7"/>
        <v>Freedom of Movement, Stoneskin, Control Water, Divination, Locate Creature</v>
      </c>
      <c r="AA56" s="368" t="str">
        <f t="shared" si="7"/>
        <v>Freedom of Movement, Stoneskin, Control Water, Divination, Locate Creature</v>
      </c>
      <c r="AB56" s="368" t="str">
        <f t="shared" si="7"/>
        <v>Freedom of Movement, Stoneskin, Control Water, Divination, Locate Creature</v>
      </c>
      <c r="AC56" s="368" t="str">
        <f t="shared" si="7"/>
        <v>Freedom of Movement, Stoneskin, Control Water, Divination, Locate Creature</v>
      </c>
      <c r="AD56" s="368" t="str">
        <f t="shared" si="7"/>
        <v>Freedom of Movement, Stoneskin, Control Water, Divination, Locate Creature</v>
      </c>
      <c r="AE56" s="368" t="str">
        <f t="shared" si="7"/>
        <v>Freedom of Movement, Stoneskin, Control Water, Divination, Locate Creature</v>
      </c>
      <c r="AF56" s="368" t="str">
        <f t="shared" si="7"/>
        <v>Freedom of Movement, Stoneskin, Control Water, Divination, Locate Creature</v>
      </c>
      <c r="AG56" s="536" t="str">
        <f t="shared" si="7"/>
        <v>Freedom of Movement, Stoneskin, Control Water, Divination, Locate Creature</v>
      </c>
      <c r="AH56" s="272" t="s">
        <v>1287</v>
      </c>
      <c r="AJ56" s="543"/>
      <c r="AK56" s="543"/>
      <c r="AL56" s="543"/>
    </row>
    <row r="57" spans="1:38" ht="14.1" customHeight="1" thickBot="1">
      <c r="B57" s="2214" t="s">
        <v>10263</v>
      </c>
      <c r="C57" s="2161" t="str">
        <f>VLOOKUP("*"&amp;$C$55&amp;"*",'[1]WEAPONS ARMOR'!$C$4:$H$53,6,0)</f>
        <v xml:space="preserve">Versatile (1d8) </v>
      </c>
      <c r="D57" s="2215"/>
      <c r="F57" s="1204">
        <v>20</v>
      </c>
      <c r="G57" s="2216" t="str">
        <f ca="1">IF($G$37=20,SUM($H$38:H57),"")</f>
        <v/>
      </c>
      <c r="H57" s="2146" t="str">
        <f ca="1">IF($G$37&gt;=20,RANDBETWEEN(1,$G$36),"")</f>
        <v/>
      </c>
      <c r="I57" s="2217" t="str">
        <f ca="1">IF($G$37&gt;=20,$G$36/2+1,"")</f>
        <v/>
      </c>
      <c r="J57" s="271"/>
      <c r="M57" s="2138" t="s">
        <v>7177</v>
      </c>
      <c r="N57" s="2199" t="s">
        <v>1287</v>
      </c>
      <c r="O57" s="2199" t="s">
        <v>1287</v>
      </c>
      <c r="P57" s="2199" t="s">
        <v>1287</v>
      </c>
      <c r="Q57" s="2199" t="s">
        <v>1287</v>
      </c>
      <c r="R57" s="2199" t="s">
        <v>1287</v>
      </c>
      <c r="S57" s="2199" t="s">
        <v>1287</v>
      </c>
      <c r="T57" s="2199" t="s">
        <v>1287</v>
      </c>
      <c r="U57" s="2199" t="s">
        <v>1287</v>
      </c>
      <c r="V57" s="368" t="str">
        <f>CONCATENATE([1]SPELLBOOK!AX50,", ",[1]SPELLBOOK!AX51,", ",[1]SPELLBOOK!AX52)</f>
        <v>Flame Strike, Hold Monster, Dispel Evil and Good</v>
      </c>
      <c r="W57" s="368" t="str">
        <f>CONCATENATE($V$57,", ",[1]SPELLBOOK!AX53)</f>
        <v>Flame Strike, Hold Monster, Dispel Evil and Good, Greater Restoration</v>
      </c>
      <c r="X57" s="368" t="str">
        <f t="shared" ref="X57:AD57" si="8">$W$57</f>
        <v>Flame Strike, Hold Monster, Dispel Evil and Good, Greater Restoration</v>
      </c>
      <c r="Y57" s="368" t="str">
        <f t="shared" si="8"/>
        <v>Flame Strike, Hold Monster, Dispel Evil and Good, Greater Restoration</v>
      </c>
      <c r="Z57" s="368" t="str">
        <f t="shared" si="8"/>
        <v>Flame Strike, Hold Monster, Dispel Evil and Good, Greater Restoration</v>
      </c>
      <c r="AA57" s="368" t="str">
        <f t="shared" si="8"/>
        <v>Flame Strike, Hold Monster, Dispel Evil and Good, Greater Restoration</v>
      </c>
      <c r="AB57" s="368" t="str">
        <f t="shared" si="8"/>
        <v>Flame Strike, Hold Monster, Dispel Evil and Good, Greater Restoration</v>
      </c>
      <c r="AC57" s="368" t="str">
        <f t="shared" si="8"/>
        <v>Flame Strike, Hold Monster, Dispel Evil and Good, Greater Restoration</v>
      </c>
      <c r="AD57" s="368" t="str">
        <f t="shared" si="8"/>
        <v>Flame Strike, Hold Monster, Dispel Evil and Good, Greater Restoration</v>
      </c>
      <c r="AE57" s="368" t="str">
        <f>CONCATENATE($W$57,", ",[1]SPELLBOOK!AX54)</f>
        <v>Flame Strike, Hold Monster, Dispel Evil and Good, Greater Restoration, Scrying</v>
      </c>
      <c r="AF57" s="368" t="str">
        <f>$AE$57</f>
        <v>Flame Strike, Hold Monster, Dispel Evil and Good, Greater Restoration, Scrying</v>
      </c>
      <c r="AG57" s="536" t="str">
        <f>$AE$57</f>
        <v>Flame Strike, Hold Monster, Dispel Evil and Good, Greater Restoration, Scrying</v>
      </c>
      <c r="AH57" s="272" t="s">
        <v>1287</v>
      </c>
      <c r="AJ57" s="543"/>
      <c r="AK57" s="543"/>
      <c r="AL57" s="543"/>
    </row>
    <row r="58" spans="1:38" ht="14.1" customHeight="1" thickBot="1">
      <c r="B58" s="2210" t="s">
        <v>10264</v>
      </c>
      <c r="C58" s="2218" t="str">
        <f>[1]SKILLS!D76</f>
        <v>Unarmed</v>
      </c>
      <c r="D58" s="2211" t="str">
        <f>[1]SKILLS!I76</f>
        <v/>
      </c>
      <c r="F58" s="2219" t="s">
        <v>6070</v>
      </c>
      <c r="G58" s="2220"/>
      <c r="H58" s="2221">
        <f ca="1">SUM(H38:H57)</f>
        <v>10</v>
      </c>
      <c r="I58" s="2221">
        <f ca="1">SUM(I38:I57)</f>
        <v>10</v>
      </c>
      <c r="M58" s="2138" t="s">
        <v>7178</v>
      </c>
      <c r="N58" s="2199" t="s">
        <v>1287</v>
      </c>
      <c r="O58" s="2199" t="s">
        <v>1287</v>
      </c>
      <c r="P58" s="2199" t="s">
        <v>1287</v>
      </c>
      <c r="Q58" s="2199" t="s">
        <v>1287</v>
      </c>
      <c r="R58" s="2199" t="s">
        <v>1287</v>
      </c>
      <c r="S58" s="2199" t="s">
        <v>1287</v>
      </c>
      <c r="T58" s="2199" t="s">
        <v>1287</v>
      </c>
      <c r="U58" s="2199" t="s">
        <v>1287</v>
      </c>
      <c r="V58" s="2199" t="s">
        <v>1287</v>
      </c>
      <c r="W58" s="2199" t="s">
        <v>1287</v>
      </c>
      <c r="X58" s="368" t="str">
        <f>[1]SPELLBOOK!BC50</f>
        <v>Find the Path</v>
      </c>
      <c r="Y58" s="368" t="str">
        <f t="shared" ref="Y58:AE58" si="9">$X$58</f>
        <v>Find the Path</v>
      </c>
      <c r="Z58" s="368" t="str">
        <f t="shared" si="9"/>
        <v>Find the Path</v>
      </c>
      <c r="AA58" s="368" t="str">
        <f t="shared" si="9"/>
        <v>Find the Path</v>
      </c>
      <c r="AB58" s="368" t="str">
        <f t="shared" si="9"/>
        <v>Find the Path</v>
      </c>
      <c r="AC58" s="368" t="str">
        <f t="shared" si="9"/>
        <v>Find the Path</v>
      </c>
      <c r="AD58" s="368" t="str">
        <f t="shared" si="9"/>
        <v>Find the Path</v>
      </c>
      <c r="AE58" s="368" t="str">
        <f t="shared" si="9"/>
        <v>Find the Path</v>
      </c>
      <c r="AF58" s="368" t="str">
        <f>CONCATENATE(AE58,", ",[1]SPELLBOOK!BC51)</f>
        <v>Find the Path, Planar Ally</v>
      </c>
      <c r="AG58" s="536" t="str">
        <f>AF58</f>
        <v>Find the Path, Planar Ally</v>
      </c>
      <c r="AH58" s="272" t="s">
        <v>1287</v>
      </c>
      <c r="AJ58" s="543"/>
      <c r="AK58" s="543"/>
      <c r="AL58" s="543"/>
    </row>
    <row r="59" spans="1:38" ht="14.1" customHeight="1">
      <c r="B59" s="2183" t="s">
        <v>10262</v>
      </c>
      <c r="C59" s="2218" t="str">
        <f>VLOOKUP("*"&amp;$C$58&amp;"*",'[1]WEAPONS ARMOR'!$C$4:$E$53,3,FALSE)</f>
        <v>1 point</v>
      </c>
      <c r="D59" s="2222"/>
      <c r="M59" s="2138" t="s">
        <v>7179</v>
      </c>
      <c r="N59" s="2199" t="s">
        <v>1287</v>
      </c>
      <c r="O59" s="2199" t="s">
        <v>1287</v>
      </c>
      <c r="P59" s="2199" t="s">
        <v>1287</v>
      </c>
      <c r="Q59" s="2199" t="s">
        <v>1287</v>
      </c>
      <c r="R59" s="2199" t="s">
        <v>1287</v>
      </c>
      <c r="S59" s="2199" t="s">
        <v>1287</v>
      </c>
      <c r="T59" s="2199" t="s">
        <v>1287</v>
      </c>
      <c r="U59" s="2199" t="s">
        <v>1287</v>
      </c>
      <c r="V59" s="2199" t="s">
        <v>1287</v>
      </c>
      <c r="W59" s="2199" t="s">
        <v>1287</v>
      </c>
      <c r="X59" s="2199" t="s">
        <v>1287</v>
      </c>
      <c r="Y59" s="2199" t="s">
        <v>1287</v>
      </c>
      <c r="Z59" s="368" t="str">
        <f>[1]SPELLBOOK!BH50</f>
        <v>Fire Storm</v>
      </c>
      <c r="AA59" s="368" t="str">
        <f t="shared" ref="AA59:AF59" si="10">$Z$59</f>
        <v>Fire Storm</v>
      </c>
      <c r="AB59" s="368" t="str">
        <f t="shared" si="10"/>
        <v>Fire Storm</v>
      </c>
      <c r="AC59" s="368" t="str">
        <f t="shared" si="10"/>
        <v>Fire Storm</v>
      </c>
      <c r="AD59" s="368" t="str">
        <f t="shared" si="10"/>
        <v>Fire Storm</v>
      </c>
      <c r="AE59" s="368" t="str">
        <f t="shared" si="10"/>
        <v>Fire Storm</v>
      </c>
      <c r="AF59" s="368" t="str">
        <f t="shared" si="10"/>
        <v>Fire Storm</v>
      </c>
      <c r="AG59" s="536" t="str">
        <f>CONCATENATE(AF59,", ",[1]SPELLBOOK!BH51)</f>
        <v>Fire Storm, Regenerate</v>
      </c>
      <c r="AH59" s="272" t="s">
        <v>1287</v>
      </c>
      <c r="AJ59" s="543"/>
    </row>
    <row r="60" spans="1:38" ht="14.1" customHeight="1">
      <c r="B60" s="2214" t="s">
        <v>10263</v>
      </c>
      <c r="C60" s="2218">
        <f>VLOOKUP("*"&amp;$C$58&amp;"*",'[1]WEAPONS ARMOR'!$C$4:$H$53,6,0)</f>
        <v>0</v>
      </c>
      <c r="D60" s="2223"/>
      <c r="M60" s="2138" t="s">
        <v>7180</v>
      </c>
      <c r="N60" s="2199" t="s">
        <v>1287</v>
      </c>
      <c r="O60" s="2199" t="s">
        <v>1287</v>
      </c>
      <c r="P60" s="2199" t="s">
        <v>1287</v>
      </c>
      <c r="Q60" s="2199" t="s">
        <v>1287</v>
      </c>
      <c r="R60" s="2199" t="s">
        <v>1287</v>
      </c>
      <c r="S60" s="2199" t="s">
        <v>1287</v>
      </c>
      <c r="T60" s="2199" t="s">
        <v>1287</v>
      </c>
      <c r="U60" s="2199" t="s">
        <v>1287</v>
      </c>
      <c r="V60" s="2199" t="s">
        <v>1287</v>
      </c>
      <c r="W60" s="2199" t="s">
        <v>1287</v>
      </c>
      <c r="X60" s="2199" t="s">
        <v>1287</v>
      </c>
      <c r="Y60" s="2199" t="s">
        <v>1287</v>
      </c>
      <c r="Z60" s="2199" t="s">
        <v>1287</v>
      </c>
      <c r="AA60" s="2199" t="s">
        <v>1287</v>
      </c>
      <c r="AB60" s="368" t="str">
        <f>[1]SPELLBOOK!BM50</f>
        <v>Earthquake</v>
      </c>
      <c r="AC60" s="368" t="str">
        <f>$AB$60</f>
        <v>Earthquake</v>
      </c>
      <c r="AD60" s="368" t="str">
        <f>$AB$60</f>
        <v>Earthquake</v>
      </c>
      <c r="AE60" s="368" t="str">
        <f>$AB$60</f>
        <v>Earthquake</v>
      </c>
      <c r="AF60" s="368" t="str">
        <f>$AB$60</f>
        <v>Earthquake</v>
      </c>
      <c r="AG60" s="536" t="str">
        <f>$AB$60</f>
        <v>Earthquake</v>
      </c>
      <c r="AH60" s="272" t="s">
        <v>1287</v>
      </c>
      <c r="AJ60" s="543"/>
    </row>
    <row r="61" spans="1:38" ht="14.1" customHeight="1" thickBot="1">
      <c r="B61" s="2210" t="s">
        <v>10265</v>
      </c>
      <c r="C61" s="2224" t="str">
        <f>[1]SKILLS!D78</f>
        <v>Lgt. X-bow</v>
      </c>
      <c r="D61" s="2225" t="str">
        <f>[1]SKILLS!I78</f>
        <v>YES</v>
      </c>
      <c r="M61" s="2147" t="s">
        <v>7181</v>
      </c>
      <c r="N61" s="2205" t="s">
        <v>1287</v>
      </c>
      <c r="O61" s="2205" t="s">
        <v>1287</v>
      </c>
      <c r="P61" s="2205" t="s">
        <v>1287</v>
      </c>
      <c r="Q61" s="2205" t="s">
        <v>1287</v>
      </c>
      <c r="R61" s="2205" t="s">
        <v>1287</v>
      </c>
      <c r="S61" s="2205" t="s">
        <v>1287</v>
      </c>
      <c r="T61" s="2205" t="s">
        <v>1287</v>
      </c>
      <c r="U61" s="2205" t="s">
        <v>1287</v>
      </c>
      <c r="V61" s="2205" t="s">
        <v>1287</v>
      </c>
      <c r="W61" s="2205" t="s">
        <v>1287</v>
      </c>
      <c r="X61" s="2205" t="s">
        <v>1287</v>
      </c>
      <c r="Y61" s="2205" t="s">
        <v>1287</v>
      </c>
      <c r="Z61" s="2205" t="s">
        <v>1287</v>
      </c>
      <c r="AA61" s="2205" t="s">
        <v>1287</v>
      </c>
      <c r="AB61" s="2205" t="s">
        <v>1287</v>
      </c>
      <c r="AC61" s="2205" t="s">
        <v>1287</v>
      </c>
      <c r="AD61" s="423" t="str">
        <f>[1]SPELLBOOK!BR50</f>
        <v>Mass Heal</v>
      </c>
      <c r="AE61" s="423" t="str">
        <f>$AD$61</f>
        <v>Mass Heal</v>
      </c>
      <c r="AF61" s="423" t="str">
        <f>$AD$61</f>
        <v>Mass Heal</v>
      </c>
      <c r="AG61" s="541" t="str">
        <f>$AD$61</f>
        <v>Mass Heal</v>
      </c>
      <c r="AH61" s="272" t="s">
        <v>1287</v>
      </c>
      <c r="AI61" s="543"/>
      <c r="AJ61" s="543"/>
    </row>
    <row r="62" spans="1:38" ht="14.1" customHeight="1">
      <c r="B62" s="2183" t="s">
        <v>10262</v>
      </c>
      <c r="C62" s="1913" t="e">
        <f>VLOOKUP("*"&amp;$C$61&amp;"*",'[1]WEAPONS ARMOR'!$C$4:$E$53,3,FALSE)</f>
        <v>#N/A</v>
      </c>
      <c r="D62" s="2226"/>
      <c r="AH62" s="272" t="s">
        <v>1287</v>
      </c>
      <c r="AI62" s="543"/>
      <c r="AJ62" s="543"/>
    </row>
    <row r="63" spans="1:38" ht="14.1" customHeight="1" thickBot="1">
      <c r="B63" s="2214" t="s">
        <v>10263</v>
      </c>
      <c r="C63" s="2161" t="e">
        <f>VLOOKUP("*"&amp;$C$61&amp;"*",'[1]WEAPONS ARMOR'!$C$4:$H$53,6,0)</f>
        <v>#N/A</v>
      </c>
      <c r="D63" s="2226"/>
      <c r="AH63" s="272" t="s">
        <v>1287</v>
      </c>
      <c r="AJ63" s="543"/>
    </row>
    <row r="64" spans="1:38" ht="14.1" customHeight="1" thickBot="1">
      <c r="B64" s="2210" t="s">
        <v>10266</v>
      </c>
      <c r="C64" s="2224" t="str">
        <f>[1]SKILLS!D80</f>
        <v>Scimitar</v>
      </c>
      <c r="D64" s="2225" t="str">
        <f>[1]SKILLS!I80</f>
        <v/>
      </c>
      <c r="M64" s="560" t="s">
        <v>6062</v>
      </c>
      <c r="N64" s="811"/>
      <c r="O64" s="811"/>
      <c r="P64" s="811"/>
      <c r="Q64" s="811"/>
      <c r="R64" s="811"/>
      <c r="S64" s="811"/>
      <c r="T64" s="811"/>
      <c r="U64" s="811"/>
      <c r="V64" s="811"/>
      <c r="W64" s="811"/>
      <c r="X64" s="811"/>
      <c r="Y64" s="811"/>
      <c r="Z64" s="811"/>
      <c r="AA64" s="811"/>
      <c r="AB64" s="811"/>
      <c r="AC64" s="811"/>
      <c r="AD64" s="811"/>
      <c r="AE64" s="811"/>
      <c r="AF64" s="811"/>
      <c r="AG64" s="812"/>
      <c r="AH64" s="560" t="s">
        <v>6062</v>
      </c>
      <c r="AJ64" s="543"/>
    </row>
    <row r="65" spans="2:36" ht="14.1" customHeight="1" thickBot="1">
      <c r="B65" s="2183" t="s">
        <v>10262</v>
      </c>
      <c r="C65" s="1913" t="str">
        <f>VLOOKUP("*"&amp;$C$64&amp;"*",'[1]WEAPONS ARMOR'!$C$4:$E$53,3,FALSE)</f>
        <v>1d6</v>
      </c>
      <c r="D65" s="2226"/>
      <c r="M65" s="1987"/>
      <c r="N65" s="749" t="s">
        <v>7125</v>
      </c>
      <c r="O65" s="749" t="s">
        <v>7126</v>
      </c>
      <c r="P65" s="749" t="s">
        <v>10245</v>
      </c>
      <c r="Q65" s="749" t="s">
        <v>10246</v>
      </c>
      <c r="R65" s="749" t="s">
        <v>7129</v>
      </c>
      <c r="S65" s="749" t="s">
        <v>7130</v>
      </c>
      <c r="T65" s="749" t="s">
        <v>7131</v>
      </c>
      <c r="U65" s="749" t="s">
        <v>7132</v>
      </c>
      <c r="V65" s="749" t="s">
        <v>7133</v>
      </c>
      <c r="W65" s="749" t="s">
        <v>7134</v>
      </c>
      <c r="X65" s="749" t="s">
        <v>7135</v>
      </c>
      <c r="Y65" s="749" t="s">
        <v>7136</v>
      </c>
      <c r="Z65" s="749" t="s">
        <v>10247</v>
      </c>
      <c r="AA65" s="749" t="s">
        <v>10248</v>
      </c>
      <c r="AB65" s="749" t="s">
        <v>7139</v>
      </c>
      <c r="AC65" s="749" t="s">
        <v>7140</v>
      </c>
      <c r="AD65" s="749" t="s">
        <v>7141</v>
      </c>
      <c r="AE65" s="749" t="s">
        <v>7142</v>
      </c>
      <c r="AF65" s="749" t="s">
        <v>7143</v>
      </c>
      <c r="AG65" s="1082" t="s">
        <v>10249</v>
      </c>
      <c r="AH65" s="272" t="s">
        <v>1287</v>
      </c>
      <c r="AJ65" s="543"/>
    </row>
    <row r="66" spans="2:36" ht="14.1" customHeight="1">
      <c r="B66" s="2214" t="s">
        <v>10263</v>
      </c>
      <c r="C66" s="2161" t="str">
        <f>VLOOKUP("*"&amp;$C$64&amp;"*",'[1]WEAPONS ARMOR'!$C$4:$H$53,6,0)</f>
        <v xml:space="preserve">Finesse, Light </v>
      </c>
      <c r="D66" s="2226"/>
      <c r="M66" s="2135" t="s">
        <v>7170</v>
      </c>
      <c r="N66" s="344" t="str">
        <f>CONCATENATE([1]SPELLBOOK!$J$78,", ",[1]SPELLBOOK!$J$79)</f>
        <v>Gust, Shape Water</v>
      </c>
      <c r="O66" s="344" t="str">
        <f ca="1">IF(MATH!D9="Circle of the Land",CONCATENATE(N66,", ",[1]SPELLBOOK!$J$80),N66)</f>
        <v>Gust, Shape Water</v>
      </c>
      <c r="P66" s="344" t="str">
        <f ca="1">IF(MATH!E9="Circle of the Land",CONCATENATE(O66,", ",[1]SPELLBOOK!$J$80),O66)</f>
        <v>Gust, Shape Water</v>
      </c>
      <c r="Q66" s="344" t="str">
        <f ca="1">CONCATENATE(P66,", ",[1]SPELLBOOK!J81)</f>
        <v>Gust, Shape Water, Thorn Whip</v>
      </c>
      <c r="R66" s="344" t="str">
        <f ca="1">$Q$66</f>
        <v>Gust, Shape Water, Thorn Whip</v>
      </c>
      <c r="S66" s="344" t="str">
        <f ca="1">$Q$66</f>
        <v>Gust, Shape Water, Thorn Whip</v>
      </c>
      <c r="T66" s="344" t="str">
        <f ca="1">$Q$66</f>
        <v>Gust, Shape Water, Thorn Whip</v>
      </c>
      <c r="U66" s="344" t="str">
        <f ca="1">$Q$66</f>
        <v>Gust, Shape Water, Thorn Whip</v>
      </c>
      <c r="V66" s="344" t="str">
        <f ca="1">$Q$66</f>
        <v>Gust, Shape Water, Thorn Whip</v>
      </c>
      <c r="W66" s="344" t="str">
        <f ca="1">CONCATENATE(Q66,", ",[1]SPELLBOOK!J82)</f>
        <v>Gust, Shape Water, Thorn Whip, Thunderclap</v>
      </c>
      <c r="X66" s="344" t="str">
        <f t="shared" ref="X66:AG66" ca="1" si="11">$W$66</f>
        <v>Gust, Shape Water, Thorn Whip, Thunderclap</v>
      </c>
      <c r="Y66" s="344" t="str">
        <f t="shared" ca="1" si="11"/>
        <v>Gust, Shape Water, Thorn Whip, Thunderclap</v>
      </c>
      <c r="Z66" s="344" t="str">
        <f t="shared" ca="1" si="11"/>
        <v>Gust, Shape Water, Thorn Whip, Thunderclap</v>
      </c>
      <c r="AA66" s="344" t="str">
        <f t="shared" ca="1" si="11"/>
        <v>Gust, Shape Water, Thorn Whip, Thunderclap</v>
      </c>
      <c r="AB66" s="344" t="str">
        <f t="shared" ca="1" si="11"/>
        <v>Gust, Shape Water, Thorn Whip, Thunderclap</v>
      </c>
      <c r="AC66" s="344" t="str">
        <f t="shared" ca="1" si="11"/>
        <v>Gust, Shape Water, Thorn Whip, Thunderclap</v>
      </c>
      <c r="AD66" s="344" t="str">
        <f t="shared" ca="1" si="11"/>
        <v>Gust, Shape Water, Thorn Whip, Thunderclap</v>
      </c>
      <c r="AE66" s="344" t="str">
        <f t="shared" ca="1" si="11"/>
        <v>Gust, Shape Water, Thorn Whip, Thunderclap</v>
      </c>
      <c r="AF66" s="344" t="str">
        <f t="shared" ca="1" si="11"/>
        <v>Gust, Shape Water, Thorn Whip, Thunderclap</v>
      </c>
      <c r="AG66" s="741" t="str">
        <f t="shared" ca="1" si="11"/>
        <v>Gust, Shape Water, Thorn Whip, Thunderclap</v>
      </c>
      <c r="AH66" s="272" t="s">
        <v>1287</v>
      </c>
      <c r="AI66" s="543"/>
      <c r="AJ66" s="543"/>
    </row>
    <row r="67" spans="2:36" ht="14.1" customHeight="1">
      <c r="B67" s="2210" t="s">
        <v>10267</v>
      </c>
      <c r="C67" s="2224" t="str">
        <f>[1]SKILLS!D82</f>
        <v>Hand X-bow</v>
      </c>
      <c r="D67" s="2225" t="str">
        <f>[1]SKILLS!I82</f>
        <v/>
      </c>
      <c r="M67" s="2138" t="s">
        <v>7172</v>
      </c>
      <c r="N67" s="368" t="str">
        <f>CONCATENATE([1]SPELLBOOK!$R$78,", ",[1]SPELLBOOK!$R$79)</f>
        <v>Thunderwave, Fog Cloud</v>
      </c>
      <c r="O67" s="368" t="str">
        <f>CONCATENATE(N67,", ",[1]SPELLBOOK!R80)</f>
        <v>Thunderwave, Fog Cloud, Healing Word</v>
      </c>
      <c r="P67" s="368" t="str">
        <f>CONCATENATE(O67,", ",[1]SPELLBOOK!R81)</f>
        <v>Thunderwave, Fog Cloud, Healing Word, Cure Wounds</v>
      </c>
      <c r="Q67" s="368" t="str">
        <f t="shared" ref="Q67:AG67" si="12">$P$67</f>
        <v>Thunderwave, Fog Cloud, Healing Word, Cure Wounds</v>
      </c>
      <c r="R67" s="368" t="str">
        <f t="shared" si="12"/>
        <v>Thunderwave, Fog Cloud, Healing Word, Cure Wounds</v>
      </c>
      <c r="S67" s="368" t="str">
        <f t="shared" si="12"/>
        <v>Thunderwave, Fog Cloud, Healing Word, Cure Wounds</v>
      </c>
      <c r="T67" s="368" t="str">
        <f t="shared" si="12"/>
        <v>Thunderwave, Fog Cloud, Healing Word, Cure Wounds</v>
      </c>
      <c r="U67" s="368" t="str">
        <f t="shared" si="12"/>
        <v>Thunderwave, Fog Cloud, Healing Word, Cure Wounds</v>
      </c>
      <c r="V67" s="368" t="str">
        <f t="shared" si="12"/>
        <v>Thunderwave, Fog Cloud, Healing Word, Cure Wounds</v>
      </c>
      <c r="W67" s="368" t="str">
        <f t="shared" si="12"/>
        <v>Thunderwave, Fog Cloud, Healing Word, Cure Wounds</v>
      </c>
      <c r="X67" s="368" t="str">
        <f t="shared" si="12"/>
        <v>Thunderwave, Fog Cloud, Healing Word, Cure Wounds</v>
      </c>
      <c r="Y67" s="368" t="str">
        <f t="shared" si="12"/>
        <v>Thunderwave, Fog Cloud, Healing Word, Cure Wounds</v>
      </c>
      <c r="Z67" s="368" t="str">
        <f t="shared" si="12"/>
        <v>Thunderwave, Fog Cloud, Healing Word, Cure Wounds</v>
      </c>
      <c r="AA67" s="368" t="str">
        <f t="shared" si="12"/>
        <v>Thunderwave, Fog Cloud, Healing Word, Cure Wounds</v>
      </c>
      <c r="AB67" s="368" t="str">
        <f t="shared" si="12"/>
        <v>Thunderwave, Fog Cloud, Healing Word, Cure Wounds</v>
      </c>
      <c r="AC67" s="368" t="str">
        <f t="shared" si="12"/>
        <v>Thunderwave, Fog Cloud, Healing Word, Cure Wounds</v>
      </c>
      <c r="AD67" s="368" t="str">
        <f t="shared" si="12"/>
        <v>Thunderwave, Fog Cloud, Healing Word, Cure Wounds</v>
      </c>
      <c r="AE67" s="368" t="str">
        <f t="shared" si="12"/>
        <v>Thunderwave, Fog Cloud, Healing Word, Cure Wounds</v>
      </c>
      <c r="AF67" s="368" t="str">
        <f t="shared" si="12"/>
        <v>Thunderwave, Fog Cloud, Healing Word, Cure Wounds</v>
      </c>
      <c r="AG67" s="536" t="str">
        <f t="shared" si="12"/>
        <v>Thunderwave, Fog Cloud, Healing Word, Cure Wounds</v>
      </c>
      <c r="AH67" s="272" t="s">
        <v>1287</v>
      </c>
      <c r="AJ67" s="543"/>
    </row>
    <row r="68" spans="2:36" ht="14.1" customHeight="1">
      <c r="B68" s="2183" t="s">
        <v>10262</v>
      </c>
      <c r="C68" s="1913" t="str">
        <f>VLOOKUP("*"&amp;$C$67&amp;"*",'[1]WEAPONS ARMOR'!$C$4:$E$53,3,FALSE)</f>
        <v>1d6</v>
      </c>
      <c r="D68" s="2226"/>
      <c r="M68" s="2138" t="s">
        <v>7174</v>
      </c>
      <c r="N68" s="2199" t="s">
        <v>1287</v>
      </c>
      <c r="O68" s="2199" t="s">
        <v>1287</v>
      </c>
      <c r="P68" s="368" t="str">
        <f>CONCATENATE([1]SPELLBOOK!$Z$78,", ",[1]SPELLBOOK!$Z$79)</f>
        <v>Pass without Trace, Protection from Poison</v>
      </c>
      <c r="Q68" s="368" t="str">
        <f>CONCATENATE(P68,", ",[1]SPELLBOOK!$Z$80)</f>
        <v>Pass without Trace, Protection from Poison, Locate Object</v>
      </c>
      <c r="R68" s="368" t="str">
        <f t="shared" ref="R68:AG68" si="13">$Q$68</f>
        <v>Pass without Trace, Protection from Poison, Locate Object</v>
      </c>
      <c r="S68" s="368" t="str">
        <f t="shared" si="13"/>
        <v>Pass without Trace, Protection from Poison, Locate Object</v>
      </c>
      <c r="T68" s="368" t="str">
        <f t="shared" si="13"/>
        <v>Pass without Trace, Protection from Poison, Locate Object</v>
      </c>
      <c r="U68" s="368" t="str">
        <f t="shared" si="13"/>
        <v>Pass without Trace, Protection from Poison, Locate Object</v>
      </c>
      <c r="V68" s="368" t="str">
        <f t="shared" si="13"/>
        <v>Pass without Trace, Protection from Poison, Locate Object</v>
      </c>
      <c r="W68" s="368" t="str">
        <f t="shared" si="13"/>
        <v>Pass without Trace, Protection from Poison, Locate Object</v>
      </c>
      <c r="X68" s="368" t="str">
        <f t="shared" si="13"/>
        <v>Pass without Trace, Protection from Poison, Locate Object</v>
      </c>
      <c r="Y68" s="368" t="str">
        <f t="shared" si="13"/>
        <v>Pass without Trace, Protection from Poison, Locate Object</v>
      </c>
      <c r="Z68" s="368" t="str">
        <f t="shared" si="13"/>
        <v>Pass without Trace, Protection from Poison, Locate Object</v>
      </c>
      <c r="AA68" s="368" t="str">
        <f t="shared" si="13"/>
        <v>Pass without Trace, Protection from Poison, Locate Object</v>
      </c>
      <c r="AB68" s="368" t="str">
        <f t="shared" si="13"/>
        <v>Pass without Trace, Protection from Poison, Locate Object</v>
      </c>
      <c r="AC68" s="368" t="str">
        <f t="shared" si="13"/>
        <v>Pass without Trace, Protection from Poison, Locate Object</v>
      </c>
      <c r="AD68" s="368" t="str">
        <f t="shared" si="13"/>
        <v>Pass without Trace, Protection from Poison, Locate Object</v>
      </c>
      <c r="AE68" s="368" t="str">
        <f t="shared" si="13"/>
        <v>Pass without Trace, Protection from Poison, Locate Object</v>
      </c>
      <c r="AF68" s="368" t="str">
        <f t="shared" si="13"/>
        <v>Pass without Trace, Protection from Poison, Locate Object</v>
      </c>
      <c r="AG68" s="536" t="str">
        <f t="shared" si="13"/>
        <v>Pass without Trace, Protection from Poison, Locate Object</v>
      </c>
      <c r="AH68" s="272" t="s">
        <v>1287</v>
      </c>
      <c r="AJ68" s="543"/>
    </row>
    <row r="69" spans="2:36" ht="14.1" customHeight="1" thickBot="1">
      <c r="B69" s="2164" t="s">
        <v>10263</v>
      </c>
      <c r="C69" s="2227" t="str">
        <f>VLOOKUP("*"&amp;$C$67&amp;"*",'[1]WEAPONS ARMOR'!$C$4:$H$53,6,0)</f>
        <v xml:space="preserve">Ammo (range 30/120), Light, Loading </v>
      </c>
      <c r="D69" s="2228"/>
      <c r="M69" s="2138" t="s">
        <v>7175</v>
      </c>
      <c r="N69" s="2199" t="s">
        <v>1287</v>
      </c>
      <c r="O69" s="2199" t="s">
        <v>1287</v>
      </c>
      <c r="P69" s="2199" t="s">
        <v>1287</v>
      </c>
      <c r="Q69" s="2199" t="s">
        <v>1287</v>
      </c>
      <c r="R69" s="368" t="str">
        <f>CONCATENATE([1]SPELLBOOK!$AH$78,", ",[1]SPELLBOOK!$AH$79)</f>
        <v>Call Lightning, Conjure Animals</v>
      </c>
      <c r="S69" s="368" t="str">
        <f>CONCATENATE(R69,", ",[1]SPELLBOOK!$AH$80)</f>
        <v>Call Lightning, Conjure Animals, Wind Wall</v>
      </c>
      <c r="T69" s="368" t="str">
        <f t="shared" ref="T69:AG69" si="14">$S$69</f>
        <v>Call Lightning, Conjure Animals, Wind Wall</v>
      </c>
      <c r="U69" s="368" t="str">
        <f t="shared" si="14"/>
        <v>Call Lightning, Conjure Animals, Wind Wall</v>
      </c>
      <c r="V69" s="368" t="str">
        <f t="shared" si="14"/>
        <v>Call Lightning, Conjure Animals, Wind Wall</v>
      </c>
      <c r="W69" s="368" t="str">
        <f t="shared" si="14"/>
        <v>Call Lightning, Conjure Animals, Wind Wall</v>
      </c>
      <c r="X69" s="368" t="str">
        <f t="shared" si="14"/>
        <v>Call Lightning, Conjure Animals, Wind Wall</v>
      </c>
      <c r="Y69" s="368" t="str">
        <f t="shared" si="14"/>
        <v>Call Lightning, Conjure Animals, Wind Wall</v>
      </c>
      <c r="Z69" s="368" t="str">
        <f t="shared" si="14"/>
        <v>Call Lightning, Conjure Animals, Wind Wall</v>
      </c>
      <c r="AA69" s="368" t="str">
        <f t="shared" si="14"/>
        <v>Call Lightning, Conjure Animals, Wind Wall</v>
      </c>
      <c r="AB69" s="368" t="str">
        <f t="shared" si="14"/>
        <v>Call Lightning, Conjure Animals, Wind Wall</v>
      </c>
      <c r="AC69" s="368" t="str">
        <f t="shared" si="14"/>
        <v>Call Lightning, Conjure Animals, Wind Wall</v>
      </c>
      <c r="AD69" s="368" t="str">
        <f t="shared" si="14"/>
        <v>Call Lightning, Conjure Animals, Wind Wall</v>
      </c>
      <c r="AE69" s="368" t="str">
        <f t="shared" si="14"/>
        <v>Call Lightning, Conjure Animals, Wind Wall</v>
      </c>
      <c r="AF69" s="368" t="str">
        <f t="shared" si="14"/>
        <v>Call Lightning, Conjure Animals, Wind Wall</v>
      </c>
      <c r="AG69" s="536" t="str">
        <f t="shared" si="14"/>
        <v>Call Lightning, Conjure Animals, Wind Wall</v>
      </c>
      <c r="AH69" s="272" t="s">
        <v>1287</v>
      </c>
      <c r="AJ69" s="543"/>
    </row>
    <row r="70" spans="2:36" ht="14.1" customHeight="1" thickBot="1">
      <c r="F70" s="2229" t="s">
        <v>10268</v>
      </c>
      <c r="G70" s="811"/>
      <c r="H70" s="811"/>
      <c r="I70" s="812"/>
      <c r="M70" s="2138" t="s">
        <v>7176</v>
      </c>
      <c r="N70" s="2199" t="s">
        <v>1287</v>
      </c>
      <c r="O70" s="2199" t="s">
        <v>1287</v>
      </c>
      <c r="P70" s="2199" t="s">
        <v>1287</v>
      </c>
      <c r="Q70" s="2199" t="s">
        <v>1287</v>
      </c>
      <c r="R70" s="2199" t="s">
        <v>1287</v>
      </c>
      <c r="S70" s="2199" t="s">
        <v>1287</v>
      </c>
      <c r="T70" s="368" t="str">
        <f>[1]SPELLBOOK!AP78</f>
        <v>Ice Storm</v>
      </c>
      <c r="U70" s="368" t="str">
        <f>CONCATENATE($T$70,", ",[1]SPELLBOOK!AP79)</f>
        <v>Ice Storm, Watery Sphere</v>
      </c>
      <c r="V70" s="368" t="str">
        <f>CONCATENATE(U70,", ",[1]SPELLBOOK!AP80)</f>
        <v>Ice Storm, Watery Sphere, Locate Creature</v>
      </c>
      <c r="W70" s="368" t="str">
        <f t="shared" ref="W70:AG70" si="15">$V$70</f>
        <v>Ice Storm, Watery Sphere, Locate Creature</v>
      </c>
      <c r="X70" s="368" t="str">
        <f t="shared" si="15"/>
        <v>Ice Storm, Watery Sphere, Locate Creature</v>
      </c>
      <c r="Y70" s="368" t="str">
        <f t="shared" si="15"/>
        <v>Ice Storm, Watery Sphere, Locate Creature</v>
      </c>
      <c r="Z70" s="368" t="str">
        <f t="shared" si="15"/>
        <v>Ice Storm, Watery Sphere, Locate Creature</v>
      </c>
      <c r="AA70" s="368" t="str">
        <f t="shared" si="15"/>
        <v>Ice Storm, Watery Sphere, Locate Creature</v>
      </c>
      <c r="AB70" s="368" t="str">
        <f t="shared" si="15"/>
        <v>Ice Storm, Watery Sphere, Locate Creature</v>
      </c>
      <c r="AC70" s="368" t="str">
        <f t="shared" si="15"/>
        <v>Ice Storm, Watery Sphere, Locate Creature</v>
      </c>
      <c r="AD70" s="368" t="str">
        <f t="shared" si="15"/>
        <v>Ice Storm, Watery Sphere, Locate Creature</v>
      </c>
      <c r="AE70" s="368" t="str">
        <f t="shared" si="15"/>
        <v>Ice Storm, Watery Sphere, Locate Creature</v>
      </c>
      <c r="AF70" s="368" t="str">
        <f t="shared" si="15"/>
        <v>Ice Storm, Watery Sphere, Locate Creature</v>
      </c>
      <c r="AG70" s="536" t="str">
        <f t="shared" si="15"/>
        <v>Ice Storm, Watery Sphere, Locate Creature</v>
      </c>
      <c r="AH70" s="272" t="s">
        <v>1287</v>
      </c>
    </row>
    <row r="71" spans="2:36" ht="14.1" customHeight="1" thickBot="1">
      <c r="B71" s="3238" t="s">
        <v>10269</v>
      </c>
      <c r="C71" s="3239"/>
      <c r="D71" s="3240"/>
      <c r="F71" s="3241" t="str">
        <f>CONCATENATE(MATH!G19," ",MATH!H19,MATH!G20,MATH!H20,MATH!G23,MATH!H23,MATH!G24,MATH!H24,MATH!G25,MATH!H25,MATH!G26,MATH!H26,MATH!G21,MATH!H21,MATH!G22,MATH!H22)</f>
        <v xml:space="preserve">Athletics  +4, Intimidation +5, Religion +7, Medicine +3. </v>
      </c>
      <c r="G71" s="3224"/>
      <c r="H71" s="3224"/>
      <c r="I71" s="3225"/>
      <c r="M71" s="2138" t="s">
        <v>7177</v>
      </c>
      <c r="N71" s="2199" t="s">
        <v>1287</v>
      </c>
      <c r="O71" s="2199" t="s">
        <v>1287</v>
      </c>
      <c r="P71" s="2199" t="s">
        <v>1287</v>
      </c>
      <c r="Q71" s="2199" t="s">
        <v>1287</v>
      </c>
      <c r="R71" s="2199" t="s">
        <v>1287</v>
      </c>
      <c r="S71" s="2199" t="s">
        <v>1287</v>
      </c>
      <c r="T71" s="2199" t="s">
        <v>1287</v>
      </c>
      <c r="U71" s="2199" t="s">
        <v>1287</v>
      </c>
      <c r="V71" s="368" t="str">
        <f>[1]SPELLBOOK!AX78</f>
        <v>Wall of Stone</v>
      </c>
      <c r="W71" s="368" t="str">
        <f>CONCATENATE(V71,", ",[1]SPELLBOOK!AX79)</f>
        <v>Wall of Stone, Control Winds</v>
      </c>
      <c r="X71" s="368" t="str">
        <f t="shared" ref="X71:AD71" si="16">$W$71</f>
        <v>Wall of Stone, Control Winds</v>
      </c>
      <c r="Y71" s="368" t="str">
        <f t="shared" si="16"/>
        <v>Wall of Stone, Control Winds</v>
      </c>
      <c r="Z71" s="368" t="str">
        <f t="shared" si="16"/>
        <v>Wall of Stone, Control Winds</v>
      </c>
      <c r="AA71" s="368" t="str">
        <f t="shared" si="16"/>
        <v>Wall of Stone, Control Winds</v>
      </c>
      <c r="AB71" s="368" t="str">
        <f t="shared" si="16"/>
        <v>Wall of Stone, Control Winds</v>
      </c>
      <c r="AC71" s="368" t="str">
        <f t="shared" si="16"/>
        <v>Wall of Stone, Control Winds</v>
      </c>
      <c r="AD71" s="368" t="str">
        <f t="shared" si="16"/>
        <v>Wall of Stone, Control Winds</v>
      </c>
      <c r="AE71" s="368" t="str">
        <f>CONCATENATE(AD71,", ",[1]SPELLBOOK!AX80)</f>
        <v>Wall of Stone, Control Winds, Scrying</v>
      </c>
      <c r="AF71" s="368" t="str">
        <f>CONCATENATE(AE71,", ",[1]SPELLBOOK!AY80)</f>
        <v>Wall of Stone, Control Winds, Scrying, 3</v>
      </c>
      <c r="AG71" s="536" t="str">
        <f>CONCATENATE(AF71,", ",[1]SPELLBOOK!AZ80)</f>
        <v>Wall of Stone, Control Winds, Scrying, 3, 0,304216284948888</v>
      </c>
      <c r="AH71" s="272" t="s">
        <v>1287</v>
      </c>
    </row>
    <row r="72" spans="2:36" ht="14.1" customHeight="1">
      <c r="B72" s="2182" t="s">
        <v>10189</v>
      </c>
      <c r="C72" s="2207" t="str">
        <f ca="1">MATH!$D$11</f>
        <v>Human (Chondathan)</v>
      </c>
      <c r="D72" s="2230" t="s">
        <v>10270</v>
      </c>
      <c r="F72" s="3223"/>
      <c r="G72" s="3224"/>
      <c r="H72" s="3224"/>
      <c r="I72" s="3225"/>
      <c r="M72" s="2138" t="s">
        <v>7178</v>
      </c>
      <c r="N72" s="2199" t="s">
        <v>1287</v>
      </c>
      <c r="O72" s="2199" t="s">
        <v>1287</v>
      </c>
      <c r="P72" s="2199" t="s">
        <v>1287</v>
      </c>
      <c r="Q72" s="2199" t="s">
        <v>1287</v>
      </c>
      <c r="R72" s="2199" t="s">
        <v>1287</v>
      </c>
      <c r="S72" s="2199" t="s">
        <v>1287</v>
      </c>
      <c r="T72" s="2199" t="s">
        <v>1287</v>
      </c>
      <c r="U72" s="2199" t="s">
        <v>1287</v>
      </c>
      <c r="V72" s="2199" t="s">
        <v>1287</v>
      </c>
      <c r="W72" s="2199" t="s">
        <v>1287</v>
      </c>
      <c r="X72" s="368" t="str">
        <f>[1]SPELLBOOK!BC78</f>
        <v>Bones of the Earth</v>
      </c>
      <c r="Y72" s="368" t="str">
        <f t="shared" ref="Y72:AE72" si="17">$X$72</f>
        <v>Bones of the Earth</v>
      </c>
      <c r="Z72" s="368" t="str">
        <f t="shared" si="17"/>
        <v>Bones of the Earth</v>
      </c>
      <c r="AA72" s="368" t="str">
        <f t="shared" si="17"/>
        <v>Bones of the Earth</v>
      </c>
      <c r="AB72" s="368" t="str">
        <f t="shared" si="17"/>
        <v>Bones of the Earth</v>
      </c>
      <c r="AC72" s="368" t="str">
        <f t="shared" si="17"/>
        <v>Bones of the Earth</v>
      </c>
      <c r="AD72" s="368" t="str">
        <f t="shared" si="17"/>
        <v>Bones of the Earth</v>
      </c>
      <c r="AE72" s="368" t="str">
        <f t="shared" si="17"/>
        <v>Bones of the Earth</v>
      </c>
      <c r="AF72" s="368" t="str">
        <f>CONCATENATE(X72,", ",[1]SPELLBOOK!BC79)</f>
        <v>Bones of the Earth, Wind Walk</v>
      </c>
      <c r="AG72" s="536" t="str">
        <f>AF72</f>
        <v>Bones of the Earth, Wind Walk</v>
      </c>
      <c r="AH72" s="272" t="s">
        <v>1287</v>
      </c>
    </row>
    <row r="73" spans="2:36" ht="14.1" customHeight="1" thickBot="1">
      <c r="B73" s="2164" t="s">
        <v>6158</v>
      </c>
      <c r="C73" s="2231" t="str">
        <f ca="1">CONCATENATE(MATH!$D$8,[1]CLASS!E151)</f>
        <v>FighterMantle of Majesty</v>
      </c>
      <c r="D73" s="2232" t="str">
        <f ca="1">VLOOKUP(MATH!$C$8,[1]CLASS!$B$6:$W$18,22)</f>
        <v>All armor, Shields</v>
      </c>
      <c r="F73" s="3223"/>
      <c r="G73" s="3224"/>
      <c r="H73" s="3224"/>
      <c r="I73" s="3225"/>
      <c r="M73" s="2138" t="s">
        <v>7179</v>
      </c>
      <c r="N73" s="2199" t="s">
        <v>1287</v>
      </c>
      <c r="O73" s="2199" t="s">
        <v>1287</v>
      </c>
      <c r="P73" s="2199" t="s">
        <v>1287</v>
      </c>
      <c r="Q73" s="2199" t="s">
        <v>1287</v>
      </c>
      <c r="R73" s="2199" t="s">
        <v>1287</v>
      </c>
      <c r="S73" s="2199" t="s">
        <v>1287</v>
      </c>
      <c r="T73" s="2199" t="s">
        <v>1287</v>
      </c>
      <c r="U73" s="2199" t="s">
        <v>1287</v>
      </c>
      <c r="V73" s="2199" t="s">
        <v>1287</v>
      </c>
      <c r="W73" s="2199" t="s">
        <v>1287</v>
      </c>
      <c r="X73" s="2199" t="s">
        <v>1287</v>
      </c>
      <c r="Y73" s="2199" t="s">
        <v>1287</v>
      </c>
      <c r="Z73" s="368" t="str">
        <f>[1]SPELLBOOK!BH78</f>
        <v>Whirlwind</v>
      </c>
      <c r="AA73" s="368" t="str">
        <f t="shared" ref="AA73:AF73" si="18">$Z$73</f>
        <v>Whirlwind</v>
      </c>
      <c r="AB73" s="368" t="str">
        <f t="shared" si="18"/>
        <v>Whirlwind</v>
      </c>
      <c r="AC73" s="368" t="str">
        <f t="shared" si="18"/>
        <v>Whirlwind</v>
      </c>
      <c r="AD73" s="368" t="str">
        <f t="shared" si="18"/>
        <v>Whirlwind</v>
      </c>
      <c r="AE73" s="368" t="str">
        <f t="shared" si="18"/>
        <v>Whirlwind</v>
      </c>
      <c r="AF73" s="368" t="str">
        <f t="shared" si="18"/>
        <v>Whirlwind</v>
      </c>
      <c r="AG73" s="536" t="str">
        <f>CONCATENATE(Z73,", ",[1]SPELLBOOK!BH79)</f>
        <v>Whirlwind, Plane Shift</v>
      </c>
      <c r="AH73" s="272" t="s">
        <v>1287</v>
      </c>
    </row>
    <row r="74" spans="2:36" ht="14.1" customHeight="1" thickBot="1">
      <c r="F74" s="763"/>
      <c r="G74" s="2061"/>
      <c r="H74" s="2061"/>
      <c r="I74" s="2007"/>
      <c r="M74" s="2138" t="s">
        <v>7180</v>
      </c>
      <c r="N74" s="2199" t="s">
        <v>1287</v>
      </c>
      <c r="O74" s="2199" t="s">
        <v>1287</v>
      </c>
      <c r="P74" s="2199" t="s">
        <v>1287</v>
      </c>
      <c r="Q74" s="2199" t="s">
        <v>1287</v>
      </c>
      <c r="R74" s="2199" t="s">
        <v>1287</v>
      </c>
      <c r="S74" s="2199" t="s">
        <v>1287</v>
      </c>
      <c r="T74" s="2199" t="s">
        <v>1287</v>
      </c>
      <c r="U74" s="2199" t="s">
        <v>1287</v>
      </c>
      <c r="V74" s="2199" t="s">
        <v>1287</v>
      </c>
      <c r="W74" s="2199" t="s">
        <v>1287</v>
      </c>
      <c r="X74" s="2199" t="s">
        <v>1287</v>
      </c>
      <c r="Y74" s="2199" t="s">
        <v>1287</v>
      </c>
      <c r="Z74" s="2199" t="s">
        <v>1287</v>
      </c>
      <c r="AA74" s="2199" t="s">
        <v>1287</v>
      </c>
      <c r="AB74" s="368" t="str">
        <f>[1]SPELLBOOK!$BM$78</f>
        <v>Earthquake</v>
      </c>
      <c r="AC74" s="368" t="str">
        <f>[1]SPELLBOOK!$BM$78</f>
        <v>Earthquake</v>
      </c>
      <c r="AD74" s="368" t="str">
        <f>[1]SPELLBOOK!$BM$78</f>
        <v>Earthquake</v>
      </c>
      <c r="AE74" s="368" t="str">
        <f>[1]SPELLBOOK!$BM$78</f>
        <v>Earthquake</v>
      </c>
      <c r="AF74" s="368" t="str">
        <f>[1]SPELLBOOK!$BM$78</f>
        <v>Earthquake</v>
      </c>
      <c r="AG74" s="536" t="str">
        <f>[1]SPELLBOOK!$BM$78</f>
        <v>Earthquake</v>
      </c>
      <c r="AH74" s="272" t="s">
        <v>1287</v>
      </c>
    </row>
    <row r="75" spans="2:36" ht="14.1" customHeight="1" thickBot="1">
      <c r="M75" s="2147" t="s">
        <v>7181</v>
      </c>
      <c r="N75" s="2205" t="s">
        <v>1287</v>
      </c>
      <c r="O75" s="2205" t="s">
        <v>1287</v>
      </c>
      <c r="P75" s="2205" t="s">
        <v>1287</v>
      </c>
      <c r="Q75" s="2205" t="s">
        <v>1287</v>
      </c>
      <c r="R75" s="2205" t="s">
        <v>1287</v>
      </c>
      <c r="S75" s="2205" t="s">
        <v>1287</v>
      </c>
      <c r="T75" s="2205" t="s">
        <v>1287</v>
      </c>
      <c r="U75" s="2205" t="s">
        <v>1287</v>
      </c>
      <c r="V75" s="2205" t="s">
        <v>1287</v>
      </c>
      <c r="W75" s="2205" t="s">
        <v>1287</v>
      </c>
      <c r="X75" s="2205" t="s">
        <v>1287</v>
      </c>
      <c r="Y75" s="2205" t="s">
        <v>1287</v>
      </c>
      <c r="Z75" s="2205" t="s">
        <v>1287</v>
      </c>
      <c r="AA75" s="2205" t="s">
        <v>1287</v>
      </c>
      <c r="AB75" s="2205" t="s">
        <v>1287</v>
      </c>
      <c r="AC75" s="2205" t="s">
        <v>1287</v>
      </c>
      <c r="AD75" s="423" t="str">
        <f>[1]SPELLBOOK!$BR$78</f>
        <v>Shapechange</v>
      </c>
      <c r="AE75" s="423" t="str">
        <f>[1]SPELLBOOK!$BR$78</f>
        <v>Shapechange</v>
      </c>
      <c r="AF75" s="423" t="str">
        <f>[1]SPELLBOOK!$BR$78</f>
        <v>Shapechange</v>
      </c>
      <c r="AG75" s="541" t="str">
        <f>[1]SPELLBOOK!$BR$78</f>
        <v>Shapechange</v>
      </c>
      <c r="AH75" s="272" t="s">
        <v>1287</v>
      </c>
    </row>
    <row r="76" spans="2:36" ht="14.1" customHeight="1" thickBot="1">
      <c r="AH76" s="272" t="s">
        <v>1287</v>
      </c>
    </row>
    <row r="77" spans="2:36" ht="14.1" customHeight="1" thickBot="1">
      <c r="B77" s="3242" t="s">
        <v>10271</v>
      </c>
      <c r="C77" s="3243"/>
      <c r="D77" s="3244"/>
      <c r="F77" s="592"/>
      <c r="G77" s="592"/>
      <c r="H77" s="592"/>
      <c r="I77" s="592"/>
      <c r="J77" s="592"/>
      <c r="AH77" s="272" t="s">
        <v>1287</v>
      </c>
    </row>
    <row r="78" spans="2:36" ht="14.1" customHeight="1" thickBot="1">
      <c r="B78" s="2182" t="s">
        <v>6158</v>
      </c>
      <c r="C78" s="2207" t="str">
        <f ca="1">D8</f>
        <v>Fighter</v>
      </c>
      <c r="D78" s="2208"/>
      <c r="F78" s="592"/>
      <c r="G78" s="592"/>
      <c r="H78" s="592"/>
      <c r="I78" s="592"/>
      <c r="J78" s="592"/>
      <c r="M78" s="2233" t="s">
        <v>6198</v>
      </c>
      <c r="N78" s="811"/>
      <c r="O78" s="811"/>
      <c r="P78" s="811"/>
      <c r="Q78" s="811"/>
      <c r="R78" s="811"/>
      <c r="S78" s="811"/>
      <c r="T78" s="811"/>
      <c r="U78" s="811"/>
      <c r="V78" s="811"/>
      <c r="W78" s="811"/>
      <c r="X78" s="811"/>
      <c r="Y78" s="811"/>
      <c r="Z78" s="811"/>
      <c r="AA78" s="811"/>
      <c r="AB78" s="811"/>
      <c r="AC78" s="811"/>
      <c r="AD78" s="811"/>
      <c r="AE78" s="811"/>
      <c r="AF78" s="811"/>
      <c r="AG78" s="812"/>
      <c r="AH78" s="560" t="s">
        <v>6198</v>
      </c>
    </row>
    <row r="79" spans="2:36" ht="14.1" customHeight="1" thickBot="1">
      <c r="B79" s="2183" t="s">
        <v>10185</v>
      </c>
      <c r="C79" s="2209" t="str">
        <f ca="1">D9</f>
        <v>Samurai</v>
      </c>
      <c r="D79" s="2204"/>
      <c r="F79" s="592"/>
      <c r="G79" s="592"/>
      <c r="H79" s="592"/>
      <c r="I79" s="592"/>
      <c r="J79" s="592"/>
      <c r="M79" s="1987"/>
      <c r="N79" s="749" t="s">
        <v>7125</v>
      </c>
      <c r="O79" s="749" t="s">
        <v>7126</v>
      </c>
      <c r="P79" s="749" t="s">
        <v>10245</v>
      </c>
      <c r="Q79" s="749" t="s">
        <v>10246</v>
      </c>
      <c r="R79" s="749" t="s">
        <v>7129</v>
      </c>
      <c r="S79" s="749" t="s">
        <v>7130</v>
      </c>
      <c r="T79" s="749" t="s">
        <v>7131</v>
      </c>
      <c r="U79" s="749" t="s">
        <v>7132</v>
      </c>
      <c r="V79" s="749" t="s">
        <v>7133</v>
      </c>
      <c r="W79" s="749" t="s">
        <v>7134</v>
      </c>
      <c r="X79" s="749" t="s">
        <v>7135</v>
      </c>
      <c r="Y79" s="749" t="s">
        <v>7136</v>
      </c>
      <c r="Z79" s="749" t="s">
        <v>10247</v>
      </c>
      <c r="AA79" s="749" t="s">
        <v>10248</v>
      </c>
      <c r="AB79" s="749" t="s">
        <v>7139</v>
      </c>
      <c r="AC79" s="749" t="s">
        <v>7140</v>
      </c>
      <c r="AD79" s="749" t="s">
        <v>7141</v>
      </c>
      <c r="AE79" s="749" t="s">
        <v>7142</v>
      </c>
      <c r="AF79" s="749" t="s">
        <v>7143</v>
      </c>
      <c r="AG79" s="1082" t="s">
        <v>10249</v>
      </c>
      <c r="AH79" s="272" t="s">
        <v>1287</v>
      </c>
    </row>
    <row r="80" spans="2:36" ht="14.1" customHeight="1">
      <c r="B80" s="2183" t="s">
        <v>10173</v>
      </c>
      <c r="C80" s="2209">
        <f ca="1">$D$5</f>
        <v>1</v>
      </c>
      <c r="D80" s="2204"/>
      <c r="F80" s="592"/>
      <c r="G80" s="592"/>
      <c r="H80" s="592"/>
      <c r="I80" s="592"/>
      <c r="J80" s="592"/>
      <c r="M80" s="2135" t="s">
        <v>7170</v>
      </c>
      <c r="N80" s="2199" t="s">
        <v>1287</v>
      </c>
      <c r="O80" s="2199" t="s">
        <v>1287</v>
      </c>
      <c r="P80" s="344" t="str">
        <f>CONCATENATE([1]SPELLBOOK!J106,", ",[1]SPELLBOOK!J107)</f>
        <v>Blade Ward, Shocking Grasp</v>
      </c>
      <c r="Q80" s="344" t="str">
        <f t="shared" ref="Q80:V80" si="19">$P$80</f>
        <v>Blade Ward, Shocking Grasp</v>
      </c>
      <c r="R80" s="344" t="str">
        <f t="shared" si="19"/>
        <v>Blade Ward, Shocking Grasp</v>
      </c>
      <c r="S80" s="344" t="str">
        <f t="shared" si="19"/>
        <v>Blade Ward, Shocking Grasp</v>
      </c>
      <c r="T80" s="344" t="str">
        <f t="shared" si="19"/>
        <v>Blade Ward, Shocking Grasp</v>
      </c>
      <c r="U80" s="344" t="str">
        <f t="shared" si="19"/>
        <v>Blade Ward, Shocking Grasp</v>
      </c>
      <c r="V80" s="344" t="str">
        <f t="shared" si="19"/>
        <v>Blade Ward, Shocking Grasp</v>
      </c>
      <c r="W80" s="344" t="str">
        <f>CONCATENATE(V80,", ",[1]SPELLBOOK!J108)</f>
        <v>Blade Ward, Shocking Grasp, Frostbite</v>
      </c>
      <c r="X80" s="344" t="str">
        <f t="shared" ref="X80:AG80" si="20">$W$80</f>
        <v>Blade Ward, Shocking Grasp, Frostbite</v>
      </c>
      <c r="Y80" s="344" t="str">
        <f t="shared" si="20"/>
        <v>Blade Ward, Shocking Grasp, Frostbite</v>
      </c>
      <c r="Z80" s="344" t="str">
        <f t="shared" si="20"/>
        <v>Blade Ward, Shocking Grasp, Frostbite</v>
      </c>
      <c r="AA80" s="344" t="str">
        <f t="shared" si="20"/>
        <v>Blade Ward, Shocking Grasp, Frostbite</v>
      </c>
      <c r="AB80" s="344" t="str">
        <f t="shared" si="20"/>
        <v>Blade Ward, Shocking Grasp, Frostbite</v>
      </c>
      <c r="AC80" s="344" t="str">
        <f t="shared" si="20"/>
        <v>Blade Ward, Shocking Grasp, Frostbite</v>
      </c>
      <c r="AD80" s="344" t="str">
        <f t="shared" si="20"/>
        <v>Blade Ward, Shocking Grasp, Frostbite</v>
      </c>
      <c r="AE80" s="344" t="str">
        <f t="shared" si="20"/>
        <v>Blade Ward, Shocking Grasp, Frostbite</v>
      </c>
      <c r="AF80" s="344" t="str">
        <f t="shared" si="20"/>
        <v>Blade Ward, Shocking Grasp, Frostbite</v>
      </c>
      <c r="AG80" s="344" t="str">
        <f t="shared" si="20"/>
        <v>Blade Ward, Shocking Grasp, Frostbite</v>
      </c>
      <c r="AH80" s="272" t="s">
        <v>1287</v>
      </c>
    </row>
    <row r="81" spans="2:39" ht="14.1" customHeight="1">
      <c r="B81" s="2183" t="s">
        <v>10272</v>
      </c>
      <c r="C81" s="2234" t="str">
        <f ca="1">VLOOKUP($C$8,[1]CLASS!$B$108:$L$112,ROWS($A$1:A3),FALSE)</f>
        <v>Precision Attack</v>
      </c>
      <c r="D81" s="2204"/>
      <c r="F81" s="592"/>
      <c r="G81" s="592"/>
      <c r="H81" s="592"/>
      <c r="I81" s="592"/>
      <c r="J81" s="592"/>
      <c r="M81" s="2138" t="s">
        <v>7172</v>
      </c>
      <c r="N81" s="2199" t="s">
        <v>1287</v>
      </c>
      <c r="O81" s="2199" t="s">
        <v>1287</v>
      </c>
      <c r="P81" s="368" t="str">
        <f>CONCATENATE([1]SPELLBOOK!R106,", ",[1]SPELLBOOK!R107)</f>
        <v>Earth Tremor, Alarm</v>
      </c>
      <c r="Q81" s="368" t="str">
        <f>CONCATENATE(P81,", ",[1]SPELLBOOK!R108)</f>
        <v>Earth Tremor, Alarm, Shield</v>
      </c>
      <c r="R81" s="368" t="str">
        <f>$Q$81</f>
        <v>Earth Tremor, Alarm, Shield</v>
      </c>
      <c r="S81" s="368" t="str">
        <f>$Q$81</f>
        <v>Earth Tremor, Alarm, Shield</v>
      </c>
      <c r="T81" s="368" t="str">
        <f>CONCATENATE(S81,", ",[1]SPELLBOOK!R109)</f>
        <v>Earth Tremor, Alarm, Shield, Chromatic Orb</v>
      </c>
      <c r="U81" s="368" t="str">
        <f t="shared" ref="U81:AG81" si="21">$T$81</f>
        <v>Earth Tremor, Alarm, Shield, Chromatic Orb</v>
      </c>
      <c r="V81" s="368" t="str">
        <f t="shared" si="21"/>
        <v>Earth Tremor, Alarm, Shield, Chromatic Orb</v>
      </c>
      <c r="W81" s="368" t="str">
        <f t="shared" si="21"/>
        <v>Earth Tremor, Alarm, Shield, Chromatic Orb</v>
      </c>
      <c r="X81" s="368" t="str">
        <f t="shared" si="21"/>
        <v>Earth Tremor, Alarm, Shield, Chromatic Orb</v>
      </c>
      <c r="Y81" s="368" t="str">
        <f t="shared" si="21"/>
        <v>Earth Tremor, Alarm, Shield, Chromatic Orb</v>
      </c>
      <c r="Z81" s="368" t="str">
        <f t="shared" si="21"/>
        <v>Earth Tremor, Alarm, Shield, Chromatic Orb</v>
      </c>
      <c r="AA81" s="368" t="str">
        <f t="shared" si="21"/>
        <v>Earth Tremor, Alarm, Shield, Chromatic Orb</v>
      </c>
      <c r="AB81" s="368" t="str">
        <f t="shared" si="21"/>
        <v>Earth Tremor, Alarm, Shield, Chromatic Orb</v>
      </c>
      <c r="AC81" s="368" t="str">
        <f t="shared" si="21"/>
        <v>Earth Tremor, Alarm, Shield, Chromatic Orb</v>
      </c>
      <c r="AD81" s="368" t="str">
        <f t="shared" si="21"/>
        <v>Earth Tremor, Alarm, Shield, Chromatic Orb</v>
      </c>
      <c r="AE81" s="368" t="str">
        <f t="shared" si="21"/>
        <v>Earth Tremor, Alarm, Shield, Chromatic Orb</v>
      </c>
      <c r="AF81" s="368" t="str">
        <f t="shared" si="21"/>
        <v>Earth Tremor, Alarm, Shield, Chromatic Orb</v>
      </c>
      <c r="AG81" s="368" t="str">
        <f t="shared" si="21"/>
        <v>Earth Tremor, Alarm, Shield, Chromatic Orb</v>
      </c>
      <c r="AH81" s="272" t="s">
        <v>1287</v>
      </c>
    </row>
    <row r="82" spans="2:39" ht="14.1" customHeight="1">
      <c r="B82" s="2183" t="s">
        <v>10273</v>
      </c>
      <c r="C82" s="2234" t="str">
        <f ca="1">VLOOKUP($C$8,[1]CLASS!$B$108:$L$112,ROWS($A$1:A4),FALSE)</f>
        <v>Feinting Attack</v>
      </c>
      <c r="D82" s="2204"/>
      <c r="F82" s="592"/>
      <c r="G82" s="592"/>
      <c r="H82" s="592"/>
      <c r="I82" s="592"/>
      <c r="J82" s="592"/>
      <c r="M82" s="2138" t="s">
        <v>7174</v>
      </c>
      <c r="N82" s="2199" t="s">
        <v>1287</v>
      </c>
      <c r="O82" s="2199" t="s">
        <v>1287</v>
      </c>
      <c r="P82" s="2199" t="s">
        <v>1287</v>
      </c>
      <c r="Q82" s="2199" t="s">
        <v>1287</v>
      </c>
      <c r="R82" s="2199" t="s">
        <v>1287</v>
      </c>
      <c r="S82" s="2199" t="s">
        <v>1287</v>
      </c>
      <c r="T82" s="368" t="str">
        <f>CONCATENATE([1]SPELLBOOK!Z106,", ",[1]SPELLBOOK!Z107)</f>
        <v>Shatter, Snilloc's Snowball Swarm</v>
      </c>
      <c r="U82" s="368" t="str">
        <f>$T$82</f>
        <v>Shatter, Snilloc's Snowball Swarm</v>
      </c>
      <c r="V82" s="368" t="str">
        <f>$T$82</f>
        <v>Shatter, Snilloc's Snowball Swarm</v>
      </c>
      <c r="W82" s="368" t="str">
        <f>CONCATENATE($T$82,",",[1]SPELLBOOK!Z108)</f>
        <v>Shatter, Snilloc's Snowball Swarm,Scorching Ray</v>
      </c>
      <c r="X82" s="368" t="str">
        <f t="shared" ref="X82:AG82" si="22">$W$82</f>
        <v>Shatter, Snilloc's Snowball Swarm,Scorching Ray</v>
      </c>
      <c r="Y82" s="368" t="str">
        <f t="shared" si="22"/>
        <v>Shatter, Snilloc's Snowball Swarm,Scorching Ray</v>
      </c>
      <c r="Z82" s="368" t="str">
        <f t="shared" si="22"/>
        <v>Shatter, Snilloc's Snowball Swarm,Scorching Ray</v>
      </c>
      <c r="AA82" s="368" t="str">
        <f t="shared" si="22"/>
        <v>Shatter, Snilloc's Snowball Swarm,Scorching Ray</v>
      </c>
      <c r="AB82" s="368" t="str">
        <f t="shared" si="22"/>
        <v>Shatter, Snilloc's Snowball Swarm,Scorching Ray</v>
      </c>
      <c r="AC82" s="368" t="str">
        <f t="shared" si="22"/>
        <v>Shatter, Snilloc's Snowball Swarm,Scorching Ray</v>
      </c>
      <c r="AD82" s="368" t="str">
        <f t="shared" si="22"/>
        <v>Shatter, Snilloc's Snowball Swarm,Scorching Ray</v>
      </c>
      <c r="AE82" s="368" t="str">
        <f t="shared" si="22"/>
        <v>Shatter, Snilloc's Snowball Swarm,Scorching Ray</v>
      </c>
      <c r="AF82" s="368" t="str">
        <f t="shared" si="22"/>
        <v>Shatter, Snilloc's Snowball Swarm,Scorching Ray</v>
      </c>
      <c r="AG82" s="368" t="str">
        <f t="shared" si="22"/>
        <v>Shatter, Snilloc's Snowball Swarm,Scorching Ray</v>
      </c>
      <c r="AH82" s="272" t="s">
        <v>1287</v>
      </c>
    </row>
    <row r="83" spans="2:39" ht="14.1" customHeight="1">
      <c r="B83" s="2214" t="s">
        <v>10274</v>
      </c>
      <c r="C83" s="2234" t="str">
        <f ca="1">VLOOKUP($C$8,[1]CLASS!$B$108:$L$112,ROWS($A$1:A5),FALSE)</f>
        <v>Disarming Attack</v>
      </c>
      <c r="D83" s="2204"/>
      <c r="F83" s="592"/>
      <c r="G83" s="592"/>
      <c r="H83" s="592"/>
      <c r="I83" s="592"/>
      <c r="J83" s="592"/>
      <c r="M83" s="2138" t="s">
        <v>7175</v>
      </c>
      <c r="N83" s="2199" t="s">
        <v>1287</v>
      </c>
      <c r="O83" s="2199" t="s">
        <v>1287</v>
      </c>
      <c r="P83" s="2199" t="s">
        <v>1287</v>
      </c>
      <c r="Q83" s="2199" t="s">
        <v>1287</v>
      </c>
      <c r="R83" s="2199" t="s">
        <v>1287</v>
      </c>
      <c r="S83" s="2199" t="s">
        <v>1287</v>
      </c>
      <c r="T83" s="2199" t="s">
        <v>1287</v>
      </c>
      <c r="U83" s="2199" t="s">
        <v>1287</v>
      </c>
      <c r="V83" s="2199" t="s">
        <v>1287</v>
      </c>
      <c r="W83" s="2199" t="s">
        <v>1287</v>
      </c>
      <c r="X83" s="2199" t="s">
        <v>1287</v>
      </c>
      <c r="Y83" s="2199" t="s">
        <v>1287</v>
      </c>
      <c r="Z83" s="368" t="str">
        <f>CONCATENATE([1]SPELLBOOK!AH106,", ",[1]SPELLBOOK!AH107)</f>
        <v>Sending, Wall of Sand</v>
      </c>
      <c r="AA83" s="368" t="str">
        <f>$Z$83</f>
        <v>Sending, Wall of Sand</v>
      </c>
      <c r="AB83" s="368" t="str">
        <f>$Z$83</f>
        <v>Sending, Wall of Sand</v>
      </c>
      <c r="AC83" s="368" t="str">
        <f>CONCATENATE($Z$83,", ",[1]SPELLBOOK!AH108)</f>
        <v>Sending, Wall of Sand, Glyph of Warding</v>
      </c>
      <c r="AD83" s="368" t="str">
        <f>$AC$83</f>
        <v>Sending, Wall of Sand, Glyph of Warding</v>
      </c>
      <c r="AE83" s="368" t="str">
        <f>$AC$83</f>
        <v>Sending, Wall of Sand, Glyph of Warding</v>
      </c>
      <c r="AF83" s="368" t="str">
        <f>$AC$83</f>
        <v>Sending, Wall of Sand, Glyph of Warding</v>
      </c>
      <c r="AG83" s="368" t="str">
        <f>$AC$83</f>
        <v>Sending, Wall of Sand, Glyph of Warding</v>
      </c>
      <c r="AH83" s="272" t="s">
        <v>1287</v>
      </c>
    </row>
    <row r="84" spans="2:39" ht="14.1" customHeight="1">
      <c r="B84" s="2214" t="s">
        <v>10275</v>
      </c>
      <c r="C84" s="2234" t="str">
        <f ca="1">VLOOKUP($C$8,[1]CLASS!$B$108:$L$112,ROWS($A$1:A6),FALSE)</f>
        <v>Sweeping Attack</v>
      </c>
      <c r="D84" s="2204"/>
      <c r="F84" s="592"/>
      <c r="G84" s="592"/>
      <c r="H84" s="592"/>
      <c r="I84" s="592"/>
      <c r="J84" s="592"/>
      <c r="M84" s="2138" t="s">
        <v>7176</v>
      </c>
      <c r="N84" s="2199" t="s">
        <v>1287</v>
      </c>
      <c r="O84" s="2199" t="s">
        <v>1287</v>
      </c>
      <c r="P84" s="2199" t="s">
        <v>1287</v>
      </c>
      <c r="Q84" s="2199" t="s">
        <v>1287</v>
      </c>
      <c r="R84" s="2199" t="s">
        <v>1287</v>
      </c>
      <c r="S84" s="2199" t="s">
        <v>1287</v>
      </c>
      <c r="T84" s="2199" t="s">
        <v>1287</v>
      </c>
      <c r="U84" s="2199" t="s">
        <v>1287</v>
      </c>
      <c r="V84" s="2199" t="s">
        <v>1287</v>
      </c>
      <c r="W84" s="2199" t="s">
        <v>1287</v>
      </c>
      <c r="X84" s="2199" t="s">
        <v>1287</v>
      </c>
      <c r="Y84" s="2199" t="s">
        <v>1287</v>
      </c>
      <c r="Z84" s="2199" t="s">
        <v>1287</v>
      </c>
      <c r="AA84" s="2199" t="s">
        <v>1287</v>
      </c>
      <c r="AB84" s="2199" t="s">
        <v>1287</v>
      </c>
      <c r="AC84" s="2199" t="s">
        <v>1287</v>
      </c>
      <c r="AD84" s="2199" t="s">
        <v>1287</v>
      </c>
      <c r="AE84" s="2199" t="s">
        <v>1287</v>
      </c>
      <c r="AF84" s="368" t="str">
        <f>[1]SPELLBOOK!AP106</f>
        <v>Stoneskin</v>
      </c>
      <c r="AG84" s="536" t="str">
        <f>AF84</f>
        <v>Stoneskin</v>
      </c>
      <c r="AH84" s="272" t="s">
        <v>1287</v>
      </c>
    </row>
    <row r="85" spans="2:39" ht="14.1" customHeight="1">
      <c r="B85" s="2214" t="s">
        <v>10276</v>
      </c>
      <c r="C85" s="2234" t="str">
        <f ca="1">VLOOKUP($C$8,[1]CLASS!$B$108:$L$112,ROWS($A$1:A7),FALSE)</f>
        <v>Distracting Strike</v>
      </c>
      <c r="D85" s="2204"/>
      <c r="M85" s="2138" t="s">
        <v>7177</v>
      </c>
      <c r="N85" s="2199" t="s">
        <v>1287</v>
      </c>
      <c r="O85" s="2199" t="s">
        <v>1287</v>
      </c>
      <c r="P85" s="2199" t="s">
        <v>1287</v>
      </c>
      <c r="Q85" s="2199" t="s">
        <v>1287</v>
      </c>
      <c r="R85" s="2199" t="s">
        <v>1287</v>
      </c>
      <c r="S85" s="2199" t="s">
        <v>1287</v>
      </c>
      <c r="T85" s="2199" t="s">
        <v>1287</v>
      </c>
      <c r="U85" s="2199" t="s">
        <v>1287</v>
      </c>
      <c r="V85" s="2199" t="s">
        <v>1287</v>
      </c>
      <c r="W85" s="2199" t="s">
        <v>1287</v>
      </c>
      <c r="X85" s="2199" t="s">
        <v>1287</v>
      </c>
      <c r="Y85" s="2199" t="s">
        <v>1287</v>
      </c>
      <c r="Z85" s="2199" t="s">
        <v>1287</v>
      </c>
      <c r="AA85" s="2199" t="s">
        <v>1287</v>
      </c>
      <c r="AB85" s="2199" t="s">
        <v>1287</v>
      </c>
      <c r="AC85" s="2199" t="s">
        <v>1287</v>
      </c>
      <c r="AD85" s="2199" t="s">
        <v>1287</v>
      </c>
      <c r="AE85" s="2199" t="s">
        <v>1287</v>
      </c>
      <c r="AF85" s="2199" t="s">
        <v>1287</v>
      </c>
      <c r="AG85" s="2199" t="s">
        <v>1287</v>
      </c>
      <c r="AH85" s="272" t="s">
        <v>1287</v>
      </c>
    </row>
    <row r="86" spans="2:39" ht="14.1" customHeight="1">
      <c r="B86" s="2214" t="s">
        <v>10277</v>
      </c>
      <c r="C86" s="2234" t="str">
        <f ca="1">VLOOKUP($C$8,[1]CLASS!$B$108:$L$112,ROWS($A$1:A8),FALSE)</f>
        <v/>
      </c>
      <c r="D86" s="2204"/>
      <c r="M86" s="2138" t="s">
        <v>7178</v>
      </c>
      <c r="N86" s="2199" t="s">
        <v>1287</v>
      </c>
      <c r="O86" s="2199" t="s">
        <v>1287</v>
      </c>
      <c r="P86" s="2199" t="s">
        <v>1287</v>
      </c>
      <c r="Q86" s="2199" t="s">
        <v>1287</v>
      </c>
      <c r="R86" s="2199" t="s">
        <v>1287</v>
      </c>
      <c r="S86" s="2199" t="s">
        <v>1287</v>
      </c>
      <c r="T86" s="2199" t="s">
        <v>1287</v>
      </c>
      <c r="U86" s="2199" t="s">
        <v>1287</v>
      </c>
      <c r="V86" s="2199" t="s">
        <v>1287</v>
      </c>
      <c r="W86" s="2199" t="s">
        <v>1287</v>
      </c>
      <c r="X86" s="2199" t="s">
        <v>1287</v>
      </c>
      <c r="Y86" s="2199" t="s">
        <v>1287</v>
      </c>
      <c r="Z86" s="2199" t="s">
        <v>1287</v>
      </c>
      <c r="AA86" s="2199" t="s">
        <v>1287</v>
      </c>
      <c r="AB86" s="2199" t="s">
        <v>1287</v>
      </c>
      <c r="AC86" s="2199" t="s">
        <v>1287</v>
      </c>
      <c r="AD86" s="2199" t="s">
        <v>1287</v>
      </c>
      <c r="AE86" s="2199" t="s">
        <v>1287</v>
      </c>
      <c r="AF86" s="2199" t="s">
        <v>1287</v>
      </c>
      <c r="AG86" s="2199" t="s">
        <v>1287</v>
      </c>
      <c r="AH86" s="272" t="s">
        <v>1287</v>
      </c>
    </row>
    <row r="87" spans="2:39" ht="14.1" customHeight="1">
      <c r="B87" s="2214" t="s">
        <v>10278</v>
      </c>
      <c r="C87" s="2234" t="str">
        <f ca="1">VLOOKUP($C$8,[1]CLASS!$B$108:$L$112,ROWS($A$1:A9),FALSE)</f>
        <v/>
      </c>
      <c r="D87" s="2204"/>
      <c r="M87" s="2138" t="s">
        <v>7179</v>
      </c>
      <c r="N87" s="2199" t="s">
        <v>1287</v>
      </c>
      <c r="O87" s="2199" t="s">
        <v>1287</v>
      </c>
      <c r="P87" s="2199" t="s">
        <v>1287</v>
      </c>
      <c r="Q87" s="2199" t="s">
        <v>1287</v>
      </c>
      <c r="R87" s="2199" t="s">
        <v>1287</v>
      </c>
      <c r="S87" s="2199" t="s">
        <v>1287</v>
      </c>
      <c r="T87" s="2199" t="s">
        <v>1287</v>
      </c>
      <c r="U87" s="2199" t="s">
        <v>1287</v>
      </c>
      <c r="V87" s="2199" t="s">
        <v>1287</v>
      </c>
      <c r="W87" s="2199" t="s">
        <v>1287</v>
      </c>
      <c r="X87" s="2199" t="s">
        <v>1287</v>
      </c>
      <c r="Y87" s="2199" t="s">
        <v>1287</v>
      </c>
      <c r="Z87" s="2199" t="s">
        <v>1287</v>
      </c>
      <c r="AA87" s="2199" t="s">
        <v>1287</v>
      </c>
      <c r="AB87" s="2199" t="s">
        <v>1287</v>
      </c>
      <c r="AC87" s="2199" t="s">
        <v>1287</v>
      </c>
      <c r="AD87" s="2199" t="s">
        <v>1287</v>
      </c>
      <c r="AE87" s="2199" t="s">
        <v>1287</v>
      </c>
      <c r="AF87" s="2199" t="s">
        <v>1287</v>
      </c>
      <c r="AG87" s="2199" t="s">
        <v>1287</v>
      </c>
      <c r="AH87" s="272" t="s">
        <v>1287</v>
      </c>
      <c r="AM87" s="272"/>
    </row>
    <row r="88" spans="2:39" ht="14.1" customHeight="1">
      <c r="B88" s="2214" t="s">
        <v>10279</v>
      </c>
      <c r="C88" s="2234" t="str">
        <f ca="1">VLOOKUP($C$8,[1]CLASS!$B$108:$L$112,ROWS($A$1:A10),FALSE)</f>
        <v/>
      </c>
      <c r="D88" s="2204"/>
      <c r="E88" s="592"/>
      <c r="M88" s="2138" t="s">
        <v>7180</v>
      </c>
      <c r="N88" s="2199" t="s">
        <v>1287</v>
      </c>
      <c r="O88" s="2199" t="s">
        <v>1287</v>
      </c>
      <c r="P88" s="2199" t="s">
        <v>1287</v>
      </c>
      <c r="Q88" s="2199" t="s">
        <v>1287</v>
      </c>
      <c r="R88" s="2199" t="s">
        <v>1287</v>
      </c>
      <c r="S88" s="2199" t="s">
        <v>1287</v>
      </c>
      <c r="T88" s="2199" t="s">
        <v>1287</v>
      </c>
      <c r="U88" s="2199" t="s">
        <v>1287</v>
      </c>
      <c r="V88" s="2199" t="s">
        <v>1287</v>
      </c>
      <c r="W88" s="2199" t="s">
        <v>1287</v>
      </c>
      <c r="X88" s="2199" t="s">
        <v>1287</v>
      </c>
      <c r="Y88" s="2199" t="s">
        <v>1287</v>
      </c>
      <c r="Z88" s="2199" t="s">
        <v>1287</v>
      </c>
      <c r="AA88" s="2199" t="s">
        <v>1287</v>
      </c>
      <c r="AB88" s="2199" t="s">
        <v>1287</v>
      </c>
      <c r="AC88" s="2199" t="s">
        <v>1287</v>
      </c>
      <c r="AD88" s="2199" t="s">
        <v>1287</v>
      </c>
      <c r="AE88" s="2199" t="s">
        <v>1287</v>
      </c>
      <c r="AF88" s="2199" t="s">
        <v>1287</v>
      </c>
      <c r="AG88" s="2199" t="s">
        <v>1287</v>
      </c>
      <c r="AH88" s="272" t="s">
        <v>1287</v>
      </c>
    </row>
    <row r="89" spans="2:39" ht="14.1" customHeight="1" thickBot="1">
      <c r="B89" s="2164" t="s">
        <v>10280</v>
      </c>
      <c r="C89" s="2235" t="str">
        <f ca="1">VLOOKUP($C$8,[1]CLASS!$B$108:$L$112,ROWS($A$1:A11),FALSE)</f>
        <v/>
      </c>
      <c r="D89" s="2232"/>
      <c r="M89" s="2147" t="s">
        <v>7181</v>
      </c>
      <c r="N89" s="2205" t="s">
        <v>1287</v>
      </c>
      <c r="O89" s="2205" t="s">
        <v>1287</v>
      </c>
      <c r="P89" s="2205" t="s">
        <v>1287</v>
      </c>
      <c r="Q89" s="2205" t="s">
        <v>1287</v>
      </c>
      <c r="R89" s="2205" t="s">
        <v>1287</v>
      </c>
      <c r="S89" s="2205" t="s">
        <v>1287</v>
      </c>
      <c r="T89" s="2205" t="s">
        <v>1287</v>
      </c>
      <c r="U89" s="2205" t="s">
        <v>1287</v>
      </c>
      <c r="V89" s="2205" t="s">
        <v>1287</v>
      </c>
      <c r="W89" s="2205" t="s">
        <v>1287</v>
      </c>
      <c r="X89" s="2205" t="s">
        <v>1287</v>
      </c>
      <c r="Y89" s="2205" t="s">
        <v>1287</v>
      </c>
      <c r="Z89" s="2205" t="s">
        <v>1287</v>
      </c>
      <c r="AA89" s="2205" t="s">
        <v>1287</v>
      </c>
      <c r="AB89" s="2205" t="s">
        <v>1287</v>
      </c>
      <c r="AC89" s="2205" t="s">
        <v>1287</v>
      </c>
      <c r="AD89" s="2205" t="s">
        <v>1287</v>
      </c>
      <c r="AE89" s="2205" t="s">
        <v>1287</v>
      </c>
      <c r="AF89" s="2205" t="s">
        <v>1287</v>
      </c>
      <c r="AG89" s="2205" t="s">
        <v>1287</v>
      </c>
      <c r="AH89" s="272" t="s">
        <v>1287</v>
      </c>
    </row>
    <row r="90" spans="2:39" ht="14.1" customHeight="1">
      <c r="AH90" s="272" t="s">
        <v>1287</v>
      </c>
    </row>
    <row r="91" spans="2:39" ht="14.1" customHeight="1" thickBot="1">
      <c r="AH91" s="272" t="s">
        <v>1287</v>
      </c>
    </row>
    <row r="92" spans="2:39" ht="14.1" customHeight="1" thickBot="1">
      <c r="B92" s="2236" t="s">
        <v>10281</v>
      </c>
      <c r="C92" s="2237"/>
      <c r="D92" s="2109" t="s">
        <v>10282</v>
      </c>
      <c r="E92" s="2109" t="s">
        <v>10283</v>
      </c>
      <c r="F92" s="2109" t="s">
        <v>10284</v>
      </c>
      <c r="G92" s="2238" t="s">
        <v>10285</v>
      </c>
      <c r="H92" s="2238"/>
      <c r="I92" s="2239"/>
      <c r="M92" s="560" t="s">
        <v>6064</v>
      </c>
      <c r="N92" s="811"/>
      <c r="O92" s="811"/>
      <c r="P92" s="811"/>
      <c r="Q92" s="811"/>
      <c r="R92" s="811"/>
      <c r="S92" s="811"/>
      <c r="T92" s="811"/>
      <c r="U92" s="811"/>
      <c r="V92" s="811"/>
      <c r="W92" s="811"/>
      <c r="X92" s="811"/>
      <c r="Y92" s="811"/>
      <c r="Z92" s="811"/>
      <c r="AA92" s="811"/>
      <c r="AB92" s="811"/>
      <c r="AC92" s="811"/>
      <c r="AD92" s="811"/>
      <c r="AE92" s="811"/>
      <c r="AF92" s="811"/>
      <c r="AG92" s="812"/>
      <c r="AH92" s="560" t="s">
        <v>6064</v>
      </c>
    </row>
    <row r="93" spans="2:39" ht="14.1" customHeight="1" thickBot="1">
      <c r="B93" s="2240"/>
      <c r="C93" s="2241" t="str">
        <f>'[1]MAGIC ITEMS'!M6</f>
        <v/>
      </c>
      <c r="D93" s="2241" t="str">
        <f>'[1]MAGIC ITEMS'!N6</f>
        <v/>
      </c>
      <c r="E93" s="2241" t="str">
        <f>'[1]MAGIC ITEMS'!O6</f>
        <v/>
      </c>
      <c r="F93" s="2242" t="str">
        <f>'[1]MAGIC ITEMS'!P6</f>
        <v/>
      </c>
      <c r="G93" s="2243" t="str">
        <f t="shared" ref="G93:G108" si="23">C93&amp;" ("&amp;F93&amp;"),  "</f>
        <v xml:space="preserve"> (),  </v>
      </c>
      <c r="H93" s="2244"/>
      <c r="I93" s="452"/>
      <c r="M93" s="1987"/>
      <c r="N93" s="749" t="s">
        <v>7125</v>
      </c>
      <c r="O93" s="749" t="s">
        <v>7126</v>
      </c>
      <c r="P93" s="749" t="s">
        <v>10245</v>
      </c>
      <c r="Q93" s="749" t="s">
        <v>10246</v>
      </c>
      <c r="R93" s="749" t="s">
        <v>7129</v>
      </c>
      <c r="S93" s="749" t="s">
        <v>7130</v>
      </c>
      <c r="T93" s="749" t="s">
        <v>7131</v>
      </c>
      <c r="U93" s="749" t="s">
        <v>7132</v>
      </c>
      <c r="V93" s="749" t="s">
        <v>7133</v>
      </c>
      <c r="W93" s="749" t="s">
        <v>7134</v>
      </c>
      <c r="X93" s="749" t="s">
        <v>7135</v>
      </c>
      <c r="Y93" s="749" t="s">
        <v>7136</v>
      </c>
      <c r="Z93" s="749" t="s">
        <v>10247</v>
      </c>
      <c r="AA93" s="749" t="s">
        <v>10248</v>
      </c>
      <c r="AB93" s="749" t="s">
        <v>7139</v>
      </c>
      <c r="AC93" s="749" t="s">
        <v>7140</v>
      </c>
      <c r="AD93" s="749" t="s">
        <v>7141</v>
      </c>
      <c r="AE93" s="749" t="s">
        <v>7142</v>
      </c>
      <c r="AF93" s="749" t="s">
        <v>7143</v>
      </c>
      <c r="AG93" s="1082" t="s">
        <v>10249</v>
      </c>
      <c r="AH93" s="272" t="s">
        <v>1287</v>
      </c>
    </row>
    <row r="94" spans="2:39" ht="14.1" customHeight="1">
      <c r="B94" s="2240"/>
      <c r="C94" s="2241" t="str">
        <f>'[1]MAGIC ITEMS'!M7</f>
        <v/>
      </c>
      <c r="D94" s="2241" t="str">
        <f>'[1]MAGIC ITEMS'!N7</f>
        <v/>
      </c>
      <c r="E94" s="2241" t="str">
        <f>'[1]MAGIC ITEMS'!O7</f>
        <v/>
      </c>
      <c r="F94" s="2242" t="str">
        <f>'[1]MAGIC ITEMS'!P7</f>
        <v/>
      </c>
      <c r="G94" s="2243" t="str">
        <f t="shared" si="23"/>
        <v xml:space="preserve"> (),  </v>
      </c>
      <c r="H94" s="2244"/>
      <c r="I94" s="452"/>
      <c r="M94" s="2135" t="s">
        <v>7170</v>
      </c>
      <c r="N94" s="2199" t="s">
        <v>1287</v>
      </c>
      <c r="O94" s="2199" t="s">
        <v>1287</v>
      </c>
      <c r="P94" s="2199" t="s">
        <v>1287</v>
      </c>
      <c r="Q94" s="2199" t="s">
        <v>1287</v>
      </c>
      <c r="R94" s="2199" t="s">
        <v>1287</v>
      </c>
      <c r="S94" s="2199" t="s">
        <v>1287</v>
      </c>
      <c r="T94" s="2199" t="s">
        <v>1287</v>
      </c>
      <c r="U94" s="2199" t="s">
        <v>1287</v>
      </c>
      <c r="V94" s="2199" t="s">
        <v>1287</v>
      </c>
      <c r="W94" s="2199" t="s">
        <v>1287</v>
      </c>
      <c r="X94" s="2199" t="s">
        <v>1287</v>
      </c>
      <c r="Y94" s="2199" t="s">
        <v>1287</v>
      </c>
      <c r="Z94" s="2199" t="s">
        <v>1287</v>
      </c>
      <c r="AA94" s="2199" t="s">
        <v>1287</v>
      </c>
      <c r="AB94" s="2199" t="s">
        <v>1287</v>
      </c>
      <c r="AC94" s="2199" t="s">
        <v>1287</v>
      </c>
      <c r="AD94" s="2199" t="s">
        <v>1287</v>
      </c>
      <c r="AE94" s="2199" t="s">
        <v>7801</v>
      </c>
      <c r="AF94" s="2199" t="s">
        <v>1287</v>
      </c>
      <c r="AG94" s="2245" t="s">
        <v>1287</v>
      </c>
      <c r="AH94" s="272" t="s">
        <v>1287</v>
      </c>
    </row>
    <row r="95" spans="2:39" ht="14.1" customHeight="1">
      <c r="B95" s="2240"/>
      <c r="C95" s="2241" t="str">
        <f>'[1]MAGIC ITEMS'!M8</f>
        <v/>
      </c>
      <c r="D95" s="2241" t="str">
        <f>'[1]MAGIC ITEMS'!N8</f>
        <v/>
      </c>
      <c r="E95" s="2241" t="str">
        <f>'[1]MAGIC ITEMS'!O8</f>
        <v/>
      </c>
      <c r="F95" s="2242" t="str">
        <f>'[1]MAGIC ITEMS'!P8</f>
        <v/>
      </c>
      <c r="G95" s="2243" t="str">
        <f t="shared" si="23"/>
        <v xml:space="preserve"> (),  </v>
      </c>
      <c r="H95" s="2244"/>
      <c r="I95" s="452"/>
      <c r="M95" s="2138" t="s">
        <v>7172</v>
      </c>
      <c r="N95" s="2199" t="s">
        <v>1287</v>
      </c>
      <c r="O95" s="368" t="str">
        <f>CONCATENATE([1]SPELLBOOK!J130,", ",[1]SPELLBOOK!J131,", ",[1]SPELLBOOK!J132,", ",[1]SPELLBOOK!J133)</f>
        <v>, , Thunderous Smite, Divine Favor</v>
      </c>
      <c r="P95" s="368" t="str">
        <f>CONCATENATE($O$95,", ",[1]SPELLBOOK!J134)</f>
        <v>, , Thunderous Smite, Divine Favor, Searing Smite</v>
      </c>
      <c r="Q95" s="368" t="str">
        <f>$P$95</f>
        <v>, , Thunderous Smite, Divine Favor, Searing Smite</v>
      </c>
      <c r="R95" s="368" t="str">
        <f>CONCATENATE($Q$95,", ",[1]SPELLBOOK!J135)</f>
        <v>, , Thunderous Smite, Divine Favor, Searing Smite, Command</v>
      </c>
      <c r="S95" s="368" t="str">
        <f t="shared" ref="S95:AG95" si="24">$R$95</f>
        <v>, , Thunderous Smite, Divine Favor, Searing Smite, Command</v>
      </c>
      <c r="T95" s="368" t="str">
        <f t="shared" si="24"/>
        <v>, , Thunderous Smite, Divine Favor, Searing Smite, Command</v>
      </c>
      <c r="U95" s="368" t="str">
        <f t="shared" si="24"/>
        <v>, , Thunderous Smite, Divine Favor, Searing Smite, Command</v>
      </c>
      <c r="V95" s="368" t="str">
        <f t="shared" si="24"/>
        <v>, , Thunderous Smite, Divine Favor, Searing Smite, Command</v>
      </c>
      <c r="W95" s="368" t="str">
        <f t="shared" si="24"/>
        <v>, , Thunderous Smite, Divine Favor, Searing Smite, Command</v>
      </c>
      <c r="X95" s="368" t="str">
        <f t="shared" si="24"/>
        <v>, , Thunderous Smite, Divine Favor, Searing Smite, Command</v>
      </c>
      <c r="Y95" s="368" t="str">
        <f t="shared" si="24"/>
        <v>, , Thunderous Smite, Divine Favor, Searing Smite, Command</v>
      </c>
      <c r="Z95" s="368" t="str">
        <f t="shared" si="24"/>
        <v>, , Thunderous Smite, Divine Favor, Searing Smite, Command</v>
      </c>
      <c r="AA95" s="368" t="str">
        <f t="shared" si="24"/>
        <v>, , Thunderous Smite, Divine Favor, Searing Smite, Command</v>
      </c>
      <c r="AB95" s="368" t="str">
        <f t="shared" si="24"/>
        <v>, , Thunderous Smite, Divine Favor, Searing Smite, Command</v>
      </c>
      <c r="AC95" s="368" t="str">
        <f t="shared" si="24"/>
        <v>, , Thunderous Smite, Divine Favor, Searing Smite, Command</v>
      </c>
      <c r="AD95" s="368" t="str">
        <f t="shared" si="24"/>
        <v>, , Thunderous Smite, Divine Favor, Searing Smite, Command</v>
      </c>
      <c r="AE95" s="368" t="str">
        <f t="shared" si="24"/>
        <v>, , Thunderous Smite, Divine Favor, Searing Smite, Command</v>
      </c>
      <c r="AF95" s="368" t="str">
        <f t="shared" si="24"/>
        <v>, , Thunderous Smite, Divine Favor, Searing Smite, Command</v>
      </c>
      <c r="AG95" s="368" t="str">
        <f t="shared" si="24"/>
        <v>, , Thunderous Smite, Divine Favor, Searing Smite, Command</v>
      </c>
      <c r="AH95" s="272" t="s">
        <v>1287</v>
      </c>
    </row>
    <row r="96" spans="2:39" ht="14.1" customHeight="1">
      <c r="B96" s="2240"/>
      <c r="C96" s="2241" t="str">
        <f>'[1]MAGIC ITEMS'!M9</f>
        <v/>
      </c>
      <c r="D96" s="2241" t="str">
        <f>'[1]MAGIC ITEMS'!N9</f>
        <v/>
      </c>
      <c r="E96" s="2241" t="str">
        <f>'[1]MAGIC ITEMS'!O9</f>
        <v/>
      </c>
      <c r="F96" s="2242" t="str">
        <f>'[1]MAGIC ITEMS'!P9</f>
        <v/>
      </c>
      <c r="G96" s="2243" t="str">
        <f t="shared" si="23"/>
        <v xml:space="preserve"> (),  </v>
      </c>
      <c r="H96" s="2244"/>
      <c r="I96" s="452"/>
      <c r="M96" s="2138" t="s">
        <v>7174</v>
      </c>
      <c r="N96" s="2199" t="s">
        <v>1287</v>
      </c>
      <c r="O96" s="2199" t="s">
        <v>1287</v>
      </c>
      <c r="P96" s="2199" t="s">
        <v>1287</v>
      </c>
      <c r="Q96" s="2199" t="s">
        <v>1287</v>
      </c>
      <c r="R96" s="368" t="str">
        <f>CONCATENATE([1]SPELLBOOK!R130,", ",[1]SPELLBOOK!R131,", ",[1]SPELLBOOK!R132,", ",[1]SPELLBOOK!R133)</f>
        <v>, , Lesser Restoration, Find Steed</v>
      </c>
      <c r="S96" s="368" t="str">
        <f>$R$96</f>
        <v>, , Lesser Restoration, Find Steed</v>
      </c>
      <c r="T96" s="368" t="str">
        <f>CONCATENATE($R$96,", ",[1]SPELLBOOK!R134)</f>
        <v>, , Lesser Restoration, Find Steed, Branding Smite</v>
      </c>
      <c r="U96" s="368" t="str">
        <f t="shared" ref="U96:AG96" si="25">$T$96</f>
        <v>, , Lesser Restoration, Find Steed, Branding Smite</v>
      </c>
      <c r="V96" s="368" t="str">
        <f t="shared" si="25"/>
        <v>, , Lesser Restoration, Find Steed, Branding Smite</v>
      </c>
      <c r="W96" s="368" t="str">
        <f t="shared" si="25"/>
        <v>, , Lesser Restoration, Find Steed, Branding Smite</v>
      </c>
      <c r="X96" s="368" t="str">
        <f t="shared" si="25"/>
        <v>, , Lesser Restoration, Find Steed, Branding Smite</v>
      </c>
      <c r="Y96" s="368" t="str">
        <f t="shared" si="25"/>
        <v>, , Lesser Restoration, Find Steed, Branding Smite</v>
      </c>
      <c r="Z96" s="368" t="str">
        <f t="shared" si="25"/>
        <v>, , Lesser Restoration, Find Steed, Branding Smite</v>
      </c>
      <c r="AA96" s="368" t="str">
        <f t="shared" si="25"/>
        <v>, , Lesser Restoration, Find Steed, Branding Smite</v>
      </c>
      <c r="AB96" s="368" t="str">
        <f t="shared" si="25"/>
        <v>, , Lesser Restoration, Find Steed, Branding Smite</v>
      </c>
      <c r="AC96" s="368" t="str">
        <f t="shared" si="25"/>
        <v>, , Lesser Restoration, Find Steed, Branding Smite</v>
      </c>
      <c r="AD96" s="368" t="str">
        <f t="shared" si="25"/>
        <v>, , Lesser Restoration, Find Steed, Branding Smite</v>
      </c>
      <c r="AE96" s="368" t="str">
        <f t="shared" si="25"/>
        <v>, , Lesser Restoration, Find Steed, Branding Smite</v>
      </c>
      <c r="AF96" s="368" t="str">
        <f t="shared" si="25"/>
        <v>, , Lesser Restoration, Find Steed, Branding Smite</v>
      </c>
      <c r="AG96" s="368" t="str">
        <f t="shared" si="25"/>
        <v>, , Lesser Restoration, Find Steed, Branding Smite</v>
      </c>
      <c r="AH96" s="272" t="s">
        <v>1287</v>
      </c>
    </row>
    <row r="97" spans="2:34" ht="14.1" customHeight="1">
      <c r="B97" s="2240"/>
      <c r="C97" s="2241" t="str">
        <f>'[1]MAGIC ITEMS'!M10</f>
        <v/>
      </c>
      <c r="D97" s="2241" t="str">
        <f>'[1]MAGIC ITEMS'!N10</f>
        <v/>
      </c>
      <c r="E97" s="2241" t="str">
        <f>'[1]MAGIC ITEMS'!O10</f>
        <v/>
      </c>
      <c r="F97" s="2242" t="str">
        <f>'[1]MAGIC ITEMS'!P10</f>
        <v/>
      </c>
      <c r="G97" s="2243" t="str">
        <f t="shared" si="23"/>
        <v xml:space="preserve"> (),  </v>
      </c>
      <c r="H97" s="2244"/>
      <c r="I97" s="452"/>
      <c r="M97" s="2138" t="s">
        <v>7175</v>
      </c>
      <c r="N97" s="2199" t="s">
        <v>1287</v>
      </c>
      <c r="O97" s="2199" t="s">
        <v>1287</v>
      </c>
      <c r="P97" s="2199" t="s">
        <v>1287</v>
      </c>
      <c r="Q97" s="2199" t="s">
        <v>1287</v>
      </c>
      <c r="R97" s="2199" t="s">
        <v>1287</v>
      </c>
      <c r="S97" s="2199" t="s">
        <v>1287</v>
      </c>
      <c r="T97" s="2199" t="s">
        <v>1287</v>
      </c>
      <c r="U97" s="2199" t="s">
        <v>1287</v>
      </c>
      <c r="V97" s="368" t="str">
        <f>CONCATENATE([1]SPELLBOOK!Z130,", ",[1]SPELLBOOK!Z131,", ",[1]SPELLBOOK!Z132,", ",[1]SPELLBOOK!Z133)</f>
        <v>, , Dispel Magic, Elemental Weapon</v>
      </c>
      <c r="W97" s="368" t="str">
        <f>$V$97</f>
        <v>, , Dispel Magic, Elemental Weapon</v>
      </c>
      <c r="X97" s="368" t="str">
        <f>CONCATENATE($W$97,", ",[1]SPELLBOOK!Z134)</f>
        <v>, , Dispel Magic, Elemental Weapon, Revivify</v>
      </c>
      <c r="Y97" s="368" t="str">
        <f t="shared" ref="Y97:AG97" si="26">$X$97</f>
        <v>, , Dispel Magic, Elemental Weapon, Revivify</v>
      </c>
      <c r="Z97" s="368" t="str">
        <f t="shared" si="26"/>
        <v>, , Dispel Magic, Elemental Weapon, Revivify</v>
      </c>
      <c r="AA97" s="368" t="str">
        <f t="shared" si="26"/>
        <v>, , Dispel Magic, Elemental Weapon, Revivify</v>
      </c>
      <c r="AB97" s="368" t="str">
        <f t="shared" si="26"/>
        <v>, , Dispel Magic, Elemental Weapon, Revivify</v>
      </c>
      <c r="AC97" s="368" t="str">
        <f t="shared" si="26"/>
        <v>, , Dispel Magic, Elemental Weapon, Revivify</v>
      </c>
      <c r="AD97" s="368" t="str">
        <f t="shared" si="26"/>
        <v>, , Dispel Magic, Elemental Weapon, Revivify</v>
      </c>
      <c r="AE97" s="368" t="str">
        <f t="shared" si="26"/>
        <v>, , Dispel Magic, Elemental Weapon, Revivify</v>
      </c>
      <c r="AF97" s="368" t="str">
        <f t="shared" si="26"/>
        <v>, , Dispel Magic, Elemental Weapon, Revivify</v>
      </c>
      <c r="AG97" s="368" t="str">
        <f t="shared" si="26"/>
        <v>, , Dispel Magic, Elemental Weapon, Revivify</v>
      </c>
      <c r="AH97" s="272" t="s">
        <v>1287</v>
      </c>
    </row>
    <row r="98" spans="2:34" ht="14.1" customHeight="1">
      <c r="B98" s="2240"/>
      <c r="C98" s="2241" t="str">
        <f>'[1]MAGIC ITEMS'!M11</f>
        <v/>
      </c>
      <c r="D98" s="2241" t="str">
        <f>'[1]MAGIC ITEMS'!N11</f>
        <v/>
      </c>
      <c r="E98" s="2241" t="str">
        <f>'[1]MAGIC ITEMS'!O11</f>
        <v/>
      </c>
      <c r="F98" s="2242" t="str">
        <f>'[1]MAGIC ITEMS'!P11</f>
        <v/>
      </c>
      <c r="G98" s="2243" t="str">
        <f t="shared" si="23"/>
        <v xml:space="preserve"> (),  </v>
      </c>
      <c r="H98" s="2244"/>
      <c r="I98" s="452"/>
      <c r="M98" s="2138" t="s">
        <v>7176</v>
      </c>
      <c r="N98" s="2199" t="s">
        <v>1287</v>
      </c>
      <c r="O98" s="2199" t="s">
        <v>1287</v>
      </c>
      <c r="P98" s="2199" t="s">
        <v>1287</v>
      </c>
      <c r="Q98" s="2199" t="s">
        <v>1287</v>
      </c>
      <c r="R98" s="2199" t="s">
        <v>1287</v>
      </c>
      <c r="S98" s="2199" t="s">
        <v>1287</v>
      </c>
      <c r="T98" s="2199" t="s">
        <v>1287</v>
      </c>
      <c r="U98" s="2199" t="s">
        <v>1287</v>
      </c>
      <c r="V98" s="2199" t="s">
        <v>1287</v>
      </c>
      <c r="W98" s="2199" t="s">
        <v>1287</v>
      </c>
      <c r="X98" s="2199" t="s">
        <v>1287</v>
      </c>
      <c r="Y98" s="2199" t="s">
        <v>1287</v>
      </c>
      <c r="Z98" s="368" t="str">
        <f>CONCATENATE([1]SPELLBOOK!AH130,", ",[1]SPELLBOOK!AH131,", ",[1]SPELLBOOK!AH132)</f>
        <v>, , Aura of Purity</v>
      </c>
      <c r="AA98" s="368" t="str">
        <f>$Z$98</f>
        <v>, , Aura of Purity</v>
      </c>
      <c r="AB98" s="368" t="str">
        <f>CONCATENATE($Z$98,", ",[1]SPELLBOOK!AH133)</f>
        <v>, , Aura of Purity, Locate Creature</v>
      </c>
      <c r="AC98" s="368" t="str">
        <f>AB98</f>
        <v>, , Aura of Purity, Locate Creature</v>
      </c>
      <c r="AD98" s="368" t="str">
        <f>CONCATENATE($AB$98,", ",[1]SPELLBOOK!AH134)</f>
        <v>, , Aura of Purity, Locate Creature, Banishment</v>
      </c>
      <c r="AE98" s="368" t="str">
        <f>$AD$98</f>
        <v>, , Aura of Purity, Locate Creature, Banishment</v>
      </c>
      <c r="AF98" s="368" t="str">
        <f>$AD$98</f>
        <v>, , Aura of Purity, Locate Creature, Banishment</v>
      </c>
      <c r="AG98" s="368" t="str">
        <f>$AD$98</f>
        <v>, , Aura of Purity, Locate Creature, Banishment</v>
      </c>
      <c r="AH98" s="272" t="s">
        <v>1287</v>
      </c>
    </row>
    <row r="99" spans="2:34" ht="14.1" customHeight="1">
      <c r="B99" s="2240"/>
      <c r="C99" s="2241" t="str">
        <f>'[1]MAGIC ITEMS'!M12</f>
        <v/>
      </c>
      <c r="D99" s="2241" t="str">
        <f>'[1]MAGIC ITEMS'!N12</f>
        <v/>
      </c>
      <c r="E99" s="2241" t="str">
        <f>'[1]MAGIC ITEMS'!O12</f>
        <v/>
      </c>
      <c r="F99" s="2242" t="str">
        <f>'[1]MAGIC ITEMS'!P12</f>
        <v/>
      </c>
      <c r="G99" s="2243" t="str">
        <f t="shared" si="23"/>
        <v xml:space="preserve"> (),  </v>
      </c>
      <c r="H99" s="2244"/>
      <c r="I99" s="452"/>
      <c r="M99" s="2138" t="s">
        <v>7177</v>
      </c>
      <c r="N99" s="2199" t="s">
        <v>1287</v>
      </c>
      <c r="O99" s="2199" t="s">
        <v>1287</v>
      </c>
      <c r="P99" s="2199" t="s">
        <v>1287</v>
      </c>
      <c r="Q99" s="2199" t="s">
        <v>1287</v>
      </c>
      <c r="R99" s="2199" t="s">
        <v>1287</v>
      </c>
      <c r="S99" s="2199" t="s">
        <v>1287</v>
      </c>
      <c r="T99" s="2199" t="s">
        <v>1287</v>
      </c>
      <c r="U99" s="2199" t="s">
        <v>1287</v>
      </c>
      <c r="V99" s="2199" t="s">
        <v>1287</v>
      </c>
      <c r="W99" s="2199" t="s">
        <v>1287</v>
      </c>
      <c r="X99" s="2199" t="s">
        <v>1287</v>
      </c>
      <c r="Y99" s="2199" t="s">
        <v>1287</v>
      </c>
      <c r="Z99" s="2199" t="s">
        <v>1287</v>
      </c>
      <c r="AA99" s="2199" t="s">
        <v>1287</v>
      </c>
      <c r="AB99" s="2199" t="s">
        <v>1287</v>
      </c>
      <c r="AC99" s="2199" t="s">
        <v>1287</v>
      </c>
      <c r="AD99" s="368" t="str">
        <f>CONCATENATE([1]SPELLBOOK!AP130,", ",[1]SPELLBOOK!AP131,", ",[1]SPELLBOOK!AP132)</f>
        <v>, , Destructive Wave (Smite?)</v>
      </c>
      <c r="AE99" s="368" t="str">
        <f>$AD$99</f>
        <v>, , Destructive Wave (Smite?)</v>
      </c>
      <c r="AF99" s="368" t="str">
        <f>CONCATENATE($AD$99,", ",[1]SPELLBOOK!AP133)</f>
        <v>, , Destructive Wave (Smite?), Circle of Power</v>
      </c>
      <c r="AG99" s="536" t="str">
        <f>$AF$99</f>
        <v>, , Destructive Wave (Smite?), Circle of Power</v>
      </c>
      <c r="AH99" s="272" t="s">
        <v>1287</v>
      </c>
    </row>
    <row r="100" spans="2:34" ht="14.1" customHeight="1">
      <c r="B100" s="2240"/>
      <c r="C100" s="2241" t="str">
        <f>'[1]MAGIC ITEMS'!M17</f>
        <v/>
      </c>
      <c r="D100" s="2241" t="str">
        <f>'[1]MAGIC ITEMS'!N17</f>
        <v/>
      </c>
      <c r="E100" s="2241" t="str">
        <f>'[1]MAGIC ITEMS'!O17</f>
        <v/>
      </c>
      <c r="F100" s="2242" t="str">
        <f>'[1]MAGIC ITEMS'!P17</f>
        <v/>
      </c>
      <c r="G100" s="2243" t="str">
        <f t="shared" si="23"/>
        <v xml:space="preserve"> (),  </v>
      </c>
      <c r="H100" s="2244"/>
      <c r="I100" s="452"/>
      <c r="M100" s="2138" t="s">
        <v>7178</v>
      </c>
      <c r="N100" s="2199" t="s">
        <v>1287</v>
      </c>
      <c r="O100" s="2199" t="s">
        <v>1287</v>
      </c>
      <c r="P100" s="2199" t="s">
        <v>1287</v>
      </c>
      <c r="Q100" s="2199" t="s">
        <v>1287</v>
      </c>
      <c r="R100" s="2199" t="s">
        <v>1287</v>
      </c>
      <c r="S100" s="2199" t="s">
        <v>1287</v>
      </c>
      <c r="T100" s="2199" t="s">
        <v>1287</v>
      </c>
      <c r="U100" s="2199" t="s">
        <v>1287</v>
      </c>
      <c r="V100" s="2199" t="s">
        <v>1287</v>
      </c>
      <c r="W100" s="2199" t="s">
        <v>1287</v>
      </c>
      <c r="X100" s="2199" t="s">
        <v>1287</v>
      </c>
      <c r="Y100" s="2199" t="s">
        <v>1287</v>
      </c>
      <c r="Z100" s="2199" t="s">
        <v>1287</v>
      </c>
      <c r="AA100" s="2199" t="s">
        <v>1287</v>
      </c>
      <c r="AB100" s="2199" t="s">
        <v>1287</v>
      </c>
      <c r="AC100" s="2199" t="s">
        <v>1287</v>
      </c>
      <c r="AD100" s="2199" t="s">
        <v>1287</v>
      </c>
      <c r="AE100" s="2199" t="s">
        <v>1287</v>
      </c>
      <c r="AF100" s="2199" t="s">
        <v>1287</v>
      </c>
      <c r="AG100" s="2245" t="s">
        <v>1287</v>
      </c>
      <c r="AH100" s="272" t="s">
        <v>1287</v>
      </c>
    </row>
    <row r="101" spans="2:34" ht="14.1" customHeight="1">
      <c r="B101" s="2240"/>
      <c r="C101" s="2241" t="str">
        <f>'[1]MAGIC ITEMS'!M18</f>
        <v/>
      </c>
      <c r="D101" s="2241" t="str">
        <f>'[1]MAGIC ITEMS'!N18</f>
        <v/>
      </c>
      <c r="E101" s="2241" t="str">
        <f>'[1]MAGIC ITEMS'!O18</f>
        <v/>
      </c>
      <c r="F101" s="2242" t="str">
        <f>'[1]MAGIC ITEMS'!P18</f>
        <v/>
      </c>
      <c r="G101" s="2243" t="str">
        <f t="shared" si="23"/>
        <v xml:space="preserve"> (),  </v>
      </c>
      <c r="H101" s="2244"/>
      <c r="I101" s="452"/>
      <c r="M101" s="2138" t="s">
        <v>7179</v>
      </c>
      <c r="N101" s="2199" t="s">
        <v>1287</v>
      </c>
      <c r="O101" s="2199" t="s">
        <v>1287</v>
      </c>
      <c r="P101" s="2199" t="s">
        <v>1287</v>
      </c>
      <c r="Q101" s="2199" t="s">
        <v>1287</v>
      </c>
      <c r="R101" s="2199" t="s">
        <v>1287</v>
      </c>
      <c r="S101" s="2199" t="s">
        <v>1287</v>
      </c>
      <c r="T101" s="2199" t="s">
        <v>1287</v>
      </c>
      <c r="U101" s="2199" t="s">
        <v>1287</v>
      </c>
      <c r="V101" s="2199" t="s">
        <v>1287</v>
      </c>
      <c r="W101" s="2199" t="s">
        <v>1287</v>
      </c>
      <c r="X101" s="2199" t="s">
        <v>1287</v>
      </c>
      <c r="Y101" s="2199" t="s">
        <v>1287</v>
      </c>
      <c r="Z101" s="2199" t="s">
        <v>1287</v>
      </c>
      <c r="AA101" s="2199" t="s">
        <v>1287</v>
      </c>
      <c r="AB101" s="2199" t="s">
        <v>1287</v>
      </c>
      <c r="AC101" s="2199" t="s">
        <v>1287</v>
      </c>
      <c r="AD101" s="2199" t="s">
        <v>1287</v>
      </c>
      <c r="AE101" s="2199" t="s">
        <v>1287</v>
      </c>
      <c r="AF101" s="2199" t="s">
        <v>1287</v>
      </c>
      <c r="AG101" s="2245" t="s">
        <v>1287</v>
      </c>
      <c r="AH101" s="272" t="s">
        <v>1287</v>
      </c>
    </row>
    <row r="102" spans="2:34" ht="14.1" customHeight="1">
      <c r="B102" s="2240"/>
      <c r="C102" s="2241" t="str">
        <f>'[1]MAGIC ITEMS'!M19</f>
        <v/>
      </c>
      <c r="D102" s="2241" t="str">
        <f>'[1]MAGIC ITEMS'!N19</f>
        <v/>
      </c>
      <c r="E102" s="2241" t="str">
        <f>'[1]MAGIC ITEMS'!O19</f>
        <v/>
      </c>
      <c r="F102" s="2242" t="str">
        <f>'[1]MAGIC ITEMS'!P19</f>
        <v/>
      </c>
      <c r="G102" s="2243" t="str">
        <f t="shared" si="23"/>
        <v xml:space="preserve"> (),  </v>
      </c>
      <c r="H102" s="2244"/>
      <c r="I102" s="452"/>
      <c r="M102" s="2138" t="s">
        <v>7180</v>
      </c>
      <c r="N102" s="2199" t="s">
        <v>1287</v>
      </c>
      <c r="O102" s="2199" t="s">
        <v>1287</v>
      </c>
      <c r="P102" s="2199" t="s">
        <v>1287</v>
      </c>
      <c r="Q102" s="2199" t="s">
        <v>1287</v>
      </c>
      <c r="R102" s="2199" t="s">
        <v>1287</v>
      </c>
      <c r="S102" s="2199" t="s">
        <v>1287</v>
      </c>
      <c r="T102" s="2199" t="s">
        <v>1287</v>
      </c>
      <c r="U102" s="2199" t="s">
        <v>1287</v>
      </c>
      <c r="V102" s="2199" t="s">
        <v>1287</v>
      </c>
      <c r="W102" s="2199" t="s">
        <v>1287</v>
      </c>
      <c r="X102" s="2199" t="s">
        <v>1287</v>
      </c>
      <c r="Y102" s="2199" t="s">
        <v>1287</v>
      </c>
      <c r="Z102" s="2199" t="s">
        <v>1287</v>
      </c>
      <c r="AA102" s="2199" t="s">
        <v>1287</v>
      </c>
      <c r="AB102" s="2199" t="s">
        <v>1287</v>
      </c>
      <c r="AC102" s="2199" t="s">
        <v>1287</v>
      </c>
      <c r="AD102" s="2199" t="s">
        <v>1287</v>
      </c>
      <c r="AE102" s="2199" t="s">
        <v>1287</v>
      </c>
      <c r="AF102" s="2199" t="s">
        <v>1287</v>
      </c>
      <c r="AG102" s="2245" t="s">
        <v>1287</v>
      </c>
      <c r="AH102" s="272" t="s">
        <v>1287</v>
      </c>
    </row>
    <row r="103" spans="2:34" ht="14.1" customHeight="1" thickBot="1">
      <c r="B103" s="2240"/>
      <c r="C103" s="2241" t="str">
        <f>'[1]MAGIC ITEMS'!M20</f>
        <v/>
      </c>
      <c r="D103" s="2241" t="str">
        <f>'[1]MAGIC ITEMS'!N20</f>
        <v/>
      </c>
      <c r="E103" s="2241" t="str">
        <f>'[1]MAGIC ITEMS'!O20</f>
        <v/>
      </c>
      <c r="F103" s="2242" t="str">
        <f>'[1]MAGIC ITEMS'!P20</f>
        <v/>
      </c>
      <c r="G103" s="2243" t="str">
        <f t="shared" si="23"/>
        <v xml:space="preserve"> (),  </v>
      </c>
      <c r="H103" s="2244"/>
      <c r="I103" s="452"/>
      <c r="M103" s="2147" t="s">
        <v>7181</v>
      </c>
      <c r="N103" s="2205" t="s">
        <v>1287</v>
      </c>
      <c r="O103" s="2205" t="s">
        <v>1287</v>
      </c>
      <c r="P103" s="2205" t="s">
        <v>1287</v>
      </c>
      <c r="Q103" s="2205" t="s">
        <v>1287</v>
      </c>
      <c r="R103" s="2205" t="s">
        <v>1287</v>
      </c>
      <c r="S103" s="2205" t="s">
        <v>1287</v>
      </c>
      <c r="T103" s="2205" t="s">
        <v>1287</v>
      </c>
      <c r="U103" s="2205" t="s">
        <v>1287</v>
      </c>
      <c r="V103" s="2205" t="s">
        <v>1287</v>
      </c>
      <c r="W103" s="2205" t="s">
        <v>1287</v>
      </c>
      <c r="X103" s="2205" t="s">
        <v>1287</v>
      </c>
      <c r="Y103" s="2205" t="s">
        <v>1287</v>
      </c>
      <c r="Z103" s="2205" t="s">
        <v>1287</v>
      </c>
      <c r="AA103" s="2205" t="s">
        <v>1287</v>
      </c>
      <c r="AB103" s="2205" t="s">
        <v>1287</v>
      </c>
      <c r="AC103" s="2205" t="s">
        <v>1287</v>
      </c>
      <c r="AD103" s="2205" t="s">
        <v>1287</v>
      </c>
      <c r="AE103" s="2205" t="s">
        <v>1287</v>
      </c>
      <c r="AF103" s="2205" t="s">
        <v>1287</v>
      </c>
      <c r="AG103" s="2246" t="s">
        <v>1287</v>
      </c>
      <c r="AH103" s="272" t="s">
        <v>1287</v>
      </c>
    </row>
    <row r="104" spans="2:34" ht="14.1" customHeight="1">
      <c r="B104" s="2240"/>
      <c r="C104" s="2241" t="str">
        <f>'[1]MAGIC ITEMS'!M21</f>
        <v/>
      </c>
      <c r="D104" s="2241" t="str">
        <f>'[1]MAGIC ITEMS'!N21</f>
        <v/>
      </c>
      <c r="E104" s="2241" t="str">
        <f>'[1]MAGIC ITEMS'!O21</f>
        <v/>
      </c>
      <c r="F104" s="2242" t="str">
        <f>'[1]MAGIC ITEMS'!P21</f>
        <v/>
      </c>
      <c r="G104" s="2243" t="str">
        <f t="shared" si="23"/>
        <v xml:space="preserve"> (),  </v>
      </c>
      <c r="H104" s="2244"/>
      <c r="I104" s="452"/>
      <c r="AH104" s="272" t="s">
        <v>1287</v>
      </c>
    </row>
    <row r="105" spans="2:34" ht="14.1" customHeight="1" thickBot="1">
      <c r="B105" s="2240"/>
      <c r="C105" s="2241" t="str">
        <f>'[1]MAGIC ITEMS'!M26</f>
        <v/>
      </c>
      <c r="D105" s="2241" t="str">
        <f>'[1]MAGIC ITEMS'!N26</f>
        <v/>
      </c>
      <c r="E105" s="2241" t="str">
        <f>'[1]MAGIC ITEMS'!O26</f>
        <v/>
      </c>
      <c r="F105" s="2242" t="str">
        <f>'[1]MAGIC ITEMS'!P26</f>
        <v/>
      </c>
      <c r="G105" s="2243" t="str">
        <f t="shared" si="23"/>
        <v xml:space="preserve"> (),  </v>
      </c>
      <c r="H105" s="2244"/>
      <c r="I105" s="452"/>
      <c r="AH105" s="272" t="s">
        <v>1287</v>
      </c>
    </row>
    <row r="106" spans="2:34" ht="14.1" customHeight="1" thickBot="1">
      <c r="B106" s="2240"/>
      <c r="C106" s="2241" t="str">
        <f>'[1]MAGIC ITEMS'!M27</f>
        <v/>
      </c>
      <c r="D106" s="2241" t="str">
        <f>'[1]MAGIC ITEMS'!N27</f>
        <v/>
      </c>
      <c r="E106" s="2241" t="str">
        <f>'[1]MAGIC ITEMS'!O27</f>
        <v/>
      </c>
      <c r="F106" s="2242" t="str">
        <f>'[1]MAGIC ITEMS'!P27</f>
        <v/>
      </c>
      <c r="G106" s="2243" t="str">
        <f t="shared" si="23"/>
        <v xml:space="preserve"> (),  </v>
      </c>
      <c r="H106" s="2244"/>
      <c r="I106" s="452"/>
      <c r="M106" s="560" t="s">
        <v>6065</v>
      </c>
      <c r="N106" s="811"/>
      <c r="O106" s="811"/>
      <c r="P106" s="811"/>
      <c r="Q106" s="811"/>
      <c r="R106" s="811"/>
      <c r="S106" s="811"/>
      <c r="T106" s="811"/>
      <c r="U106" s="811"/>
      <c r="V106" s="811"/>
      <c r="W106" s="811"/>
      <c r="X106" s="811"/>
      <c r="Y106" s="811"/>
      <c r="Z106" s="811"/>
      <c r="AA106" s="811"/>
      <c r="AB106" s="811"/>
      <c r="AC106" s="811"/>
      <c r="AD106" s="811"/>
      <c r="AE106" s="811"/>
      <c r="AF106" s="811"/>
      <c r="AG106" s="812"/>
      <c r="AH106" s="560" t="s">
        <v>6065</v>
      </c>
    </row>
    <row r="107" spans="2:34" ht="14.1" customHeight="1" thickBot="1">
      <c r="B107" s="2240"/>
      <c r="C107" s="2241" t="str">
        <f>'[1]MAGIC ITEMS'!M28</f>
        <v/>
      </c>
      <c r="D107" s="2241" t="str">
        <f>'[1]MAGIC ITEMS'!N28</f>
        <v/>
      </c>
      <c r="E107" s="2241" t="str">
        <f>'[1]MAGIC ITEMS'!O28</f>
        <v/>
      </c>
      <c r="F107" s="2242" t="str">
        <f>'[1]MAGIC ITEMS'!P28</f>
        <v/>
      </c>
      <c r="G107" s="2243" t="str">
        <f t="shared" si="23"/>
        <v xml:space="preserve"> (),  </v>
      </c>
      <c r="H107" s="2244"/>
      <c r="I107" s="452"/>
      <c r="M107" s="1987"/>
      <c r="N107" s="749" t="s">
        <v>7125</v>
      </c>
      <c r="O107" s="749" t="s">
        <v>7126</v>
      </c>
      <c r="P107" s="749" t="s">
        <v>10245</v>
      </c>
      <c r="Q107" s="749" t="s">
        <v>10246</v>
      </c>
      <c r="R107" s="749" t="s">
        <v>7129</v>
      </c>
      <c r="S107" s="749" t="s">
        <v>7130</v>
      </c>
      <c r="T107" s="749" t="s">
        <v>7131</v>
      </c>
      <c r="U107" s="749" t="s">
        <v>7132</v>
      </c>
      <c r="V107" s="749" t="s">
        <v>7133</v>
      </c>
      <c r="W107" s="749" t="s">
        <v>7134</v>
      </c>
      <c r="X107" s="749" t="s">
        <v>7135</v>
      </c>
      <c r="Y107" s="749" t="s">
        <v>7136</v>
      </c>
      <c r="Z107" s="749" t="s">
        <v>10247</v>
      </c>
      <c r="AA107" s="749" t="s">
        <v>10248</v>
      </c>
      <c r="AB107" s="749" t="s">
        <v>7139</v>
      </c>
      <c r="AC107" s="749" t="s">
        <v>7140</v>
      </c>
      <c r="AD107" s="749" t="s">
        <v>7141</v>
      </c>
      <c r="AE107" s="749" t="s">
        <v>7142</v>
      </c>
      <c r="AF107" s="749" t="s">
        <v>7143</v>
      </c>
      <c r="AG107" s="1082" t="s">
        <v>10249</v>
      </c>
      <c r="AH107" s="272" t="s">
        <v>1287</v>
      </c>
    </row>
    <row r="108" spans="2:34" ht="14.1" customHeight="1">
      <c r="B108" s="2240"/>
      <c r="C108" s="2241" t="str">
        <f>'[1]MAGIC ITEMS'!M33</f>
        <v/>
      </c>
      <c r="D108" s="2241" t="str">
        <f>'[1]MAGIC ITEMS'!N33</f>
        <v/>
      </c>
      <c r="E108" s="2241" t="str">
        <f>'[1]MAGIC ITEMS'!O33</f>
        <v/>
      </c>
      <c r="F108" s="2242" t="str">
        <f>'[1]MAGIC ITEMS'!P33</f>
        <v/>
      </c>
      <c r="G108" s="2243" t="str">
        <f t="shared" si="23"/>
        <v xml:space="preserve"> (),  </v>
      </c>
      <c r="H108" s="2244"/>
      <c r="I108" s="452"/>
      <c r="M108" s="2135" t="s">
        <v>7170</v>
      </c>
      <c r="N108" s="2199" t="s">
        <v>1287</v>
      </c>
      <c r="O108" s="2199" t="s">
        <v>1287</v>
      </c>
      <c r="P108" s="2199" t="s">
        <v>1287</v>
      </c>
      <c r="Q108" s="2199" t="s">
        <v>1287</v>
      </c>
      <c r="R108" s="2199" t="s">
        <v>1287</v>
      </c>
      <c r="S108" s="2199" t="s">
        <v>1287</v>
      </c>
      <c r="T108" s="2199" t="s">
        <v>1287</v>
      </c>
      <c r="U108" s="2199" t="s">
        <v>1287</v>
      </c>
      <c r="V108" s="2199" t="s">
        <v>1287</v>
      </c>
      <c r="W108" s="2199" t="s">
        <v>1287</v>
      </c>
      <c r="X108" s="2199" t="s">
        <v>1287</v>
      </c>
      <c r="Y108" s="2199" t="s">
        <v>1287</v>
      </c>
      <c r="Z108" s="2199" t="s">
        <v>1287</v>
      </c>
      <c r="AA108" s="2199" t="s">
        <v>1287</v>
      </c>
      <c r="AB108" s="2199" t="s">
        <v>1287</v>
      </c>
      <c r="AC108" s="2199" t="s">
        <v>1287</v>
      </c>
      <c r="AD108" s="2199" t="s">
        <v>1287</v>
      </c>
      <c r="AE108" s="2199" t="s">
        <v>7801</v>
      </c>
      <c r="AF108" s="2199" t="s">
        <v>1287</v>
      </c>
      <c r="AG108" s="2245" t="s">
        <v>1287</v>
      </c>
      <c r="AH108" s="272" t="s">
        <v>1287</v>
      </c>
    </row>
    <row r="109" spans="2:34" ht="14.1" customHeight="1">
      <c r="B109" s="602"/>
      <c r="I109" s="711"/>
      <c r="M109" s="2138" t="s">
        <v>7172</v>
      </c>
      <c r="N109" s="2199" t="s">
        <v>1287</v>
      </c>
      <c r="O109" s="368" t="str">
        <f>CONCATENATE([1]SPELLBOOK!J153,", ",[1]SPELLBOOK!J154)</f>
        <v>Ensnaring Strike, Hunter's Mark</v>
      </c>
      <c r="P109" s="368" t="str">
        <f>CONCATENATE($O$109,", ",[1]SPELLBOOK!J155)</f>
        <v>Ensnaring Strike, Hunter's Mark, Jump</v>
      </c>
      <c r="Q109" s="368" t="str">
        <f>$P$109</f>
        <v>Ensnaring Strike, Hunter's Mark, Jump</v>
      </c>
      <c r="R109" s="368" t="str">
        <f>CONCATENATE($P$109,", ",[1]SPELLBOOK!J156)</f>
        <v>Ensnaring Strike, Hunter's Mark, Jump, Detect Poison and Disease</v>
      </c>
      <c r="S109" s="368" t="str">
        <f t="shared" ref="S109:AG109" si="27">$R$109</f>
        <v>Ensnaring Strike, Hunter's Mark, Jump, Detect Poison and Disease</v>
      </c>
      <c r="T109" s="368" t="str">
        <f t="shared" si="27"/>
        <v>Ensnaring Strike, Hunter's Mark, Jump, Detect Poison and Disease</v>
      </c>
      <c r="U109" s="368" t="str">
        <f t="shared" si="27"/>
        <v>Ensnaring Strike, Hunter's Mark, Jump, Detect Poison and Disease</v>
      </c>
      <c r="V109" s="368" t="str">
        <f t="shared" si="27"/>
        <v>Ensnaring Strike, Hunter's Mark, Jump, Detect Poison and Disease</v>
      </c>
      <c r="W109" s="368" t="str">
        <f t="shared" si="27"/>
        <v>Ensnaring Strike, Hunter's Mark, Jump, Detect Poison and Disease</v>
      </c>
      <c r="X109" s="368" t="str">
        <f t="shared" si="27"/>
        <v>Ensnaring Strike, Hunter's Mark, Jump, Detect Poison and Disease</v>
      </c>
      <c r="Y109" s="368" t="str">
        <f t="shared" si="27"/>
        <v>Ensnaring Strike, Hunter's Mark, Jump, Detect Poison and Disease</v>
      </c>
      <c r="Z109" s="368" t="str">
        <f t="shared" si="27"/>
        <v>Ensnaring Strike, Hunter's Mark, Jump, Detect Poison and Disease</v>
      </c>
      <c r="AA109" s="368" t="str">
        <f t="shared" si="27"/>
        <v>Ensnaring Strike, Hunter's Mark, Jump, Detect Poison and Disease</v>
      </c>
      <c r="AB109" s="368" t="str">
        <f t="shared" si="27"/>
        <v>Ensnaring Strike, Hunter's Mark, Jump, Detect Poison and Disease</v>
      </c>
      <c r="AC109" s="368" t="str">
        <f t="shared" si="27"/>
        <v>Ensnaring Strike, Hunter's Mark, Jump, Detect Poison and Disease</v>
      </c>
      <c r="AD109" s="368" t="str">
        <f t="shared" si="27"/>
        <v>Ensnaring Strike, Hunter's Mark, Jump, Detect Poison and Disease</v>
      </c>
      <c r="AE109" s="368" t="str">
        <f t="shared" si="27"/>
        <v>Ensnaring Strike, Hunter's Mark, Jump, Detect Poison and Disease</v>
      </c>
      <c r="AF109" s="368" t="str">
        <f t="shared" si="27"/>
        <v>Ensnaring Strike, Hunter's Mark, Jump, Detect Poison and Disease</v>
      </c>
      <c r="AG109" s="536" t="str">
        <f t="shared" si="27"/>
        <v>Ensnaring Strike, Hunter's Mark, Jump, Detect Poison and Disease</v>
      </c>
      <c r="AH109" s="272" t="s">
        <v>1287</v>
      </c>
    </row>
    <row r="110" spans="2:34" ht="14.1" customHeight="1">
      <c r="B110" s="602"/>
      <c r="I110" s="711"/>
      <c r="M110" s="2138" t="s">
        <v>7174</v>
      </c>
      <c r="N110" s="2199" t="s">
        <v>1287</v>
      </c>
      <c r="O110" s="2199" t="s">
        <v>1287</v>
      </c>
      <c r="P110" s="2199" t="s">
        <v>1287</v>
      </c>
      <c r="Q110" s="2199" t="s">
        <v>1287</v>
      </c>
      <c r="R110" s="368" t="str">
        <f>CONCATENATE([1]SPELLBOOK!R153,", ",[1]SPELLBOOK!R154)</f>
        <v>Protection From Poison, Spike Growth</v>
      </c>
      <c r="S110" s="368" t="str">
        <f>$R$110</f>
        <v>Protection From Poison, Spike Growth</v>
      </c>
      <c r="T110" s="368" t="str">
        <f>CONCATENATE($R$110,", ",[1]SPELLBOOK!R155)</f>
        <v>Protection From Poison, Spike Growth, Locate Object</v>
      </c>
      <c r="U110" s="368" t="str">
        <f t="shared" ref="U110:AG110" si="28">$T$110</f>
        <v>Protection From Poison, Spike Growth, Locate Object</v>
      </c>
      <c r="V110" s="368" t="str">
        <f t="shared" si="28"/>
        <v>Protection From Poison, Spike Growth, Locate Object</v>
      </c>
      <c r="W110" s="368" t="str">
        <f t="shared" si="28"/>
        <v>Protection From Poison, Spike Growth, Locate Object</v>
      </c>
      <c r="X110" s="368" t="str">
        <f t="shared" si="28"/>
        <v>Protection From Poison, Spike Growth, Locate Object</v>
      </c>
      <c r="Y110" s="368" t="str">
        <f t="shared" si="28"/>
        <v>Protection From Poison, Spike Growth, Locate Object</v>
      </c>
      <c r="Z110" s="368" t="str">
        <f t="shared" si="28"/>
        <v>Protection From Poison, Spike Growth, Locate Object</v>
      </c>
      <c r="AA110" s="368" t="str">
        <f t="shared" si="28"/>
        <v>Protection From Poison, Spike Growth, Locate Object</v>
      </c>
      <c r="AB110" s="368" t="str">
        <f t="shared" si="28"/>
        <v>Protection From Poison, Spike Growth, Locate Object</v>
      </c>
      <c r="AC110" s="368" t="str">
        <f t="shared" si="28"/>
        <v>Protection From Poison, Spike Growth, Locate Object</v>
      </c>
      <c r="AD110" s="368" t="str">
        <f t="shared" si="28"/>
        <v>Protection From Poison, Spike Growth, Locate Object</v>
      </c>
      <c r="AE110" s="368" t="str">
        <f t="shared" si="28"/>
        <v>Protection From Poison, Spike Growth, Locate Object</v>
      </c>
      <c r="AF110" s="368" t="str">
        <f t="shared" si="28"/>
        <v>Protection From Poison, Spike Growth, Locate Object</v>
      </c>
      <c r="AG110" s="536" t="str">
        <f t="shared" si="28"/>
        <v>Protection From Poison, Spike Growth, Locate Object</v>
      </c>
      <c r="AH110" s="272" t="s">
        <v>1287</v>
      </c>
    </row>
    <row r="111" spans="2:34" ht="14.1" customHeight="1" thickBot="1">
      <c r="B111" s="2247" t="s">
        <v>10286</v>
      </c>
      <c r="C111" s="274"/>
      <c r="D111" s="274"/>
      <c r="E111" s="274"/>
      <c r="I111" s="711"/>
      <c r="M111" s="2138" t="s">
        <v>7175</v>
      </c>
      <c r="N111" s="2199" t="s">
        <v>1287</v>
      </c>
      <c r="O111" s="2199" t="s">
        <v>1287</v>
      </c>
      <c r="P111" s="2199" t="s">
        <v>1287</v>
      </c>
      <c r="Q111" s="2199" t="s">
        <v>1287</v>
      </c>
      <c r="R111" s="2199" t="s">
        <v>1287</v>
      </c>
      <c r="S111" s="2199" t="s">
        <v>1287</v>
      </c>
      <c r="T111" s="2199" t="s">
        <v>1287</v>
      </c>
      <c r="U111" s="2199" t="s">
        <v>1287</v>
      </c>
      <c r="V111" s="368" t="str">
        <f>CONCATENATE([1]SPELLBOOK!Z153,", ",[1]SPELLBOOK!Z154)</f>
        <v>Water Breathing, Flame Arrows</v>
      </c>
      <c r="W111" s="368" t="str">
        <f>$V$111</f>
        <v>Water Breathing, Flame Arrows</v>
      </c>
      <c r="X111" s="368" t="str">
        <f>CONCATENATE($V$111,", ",[1]SPELLBOOK!Z155)</f>
        <v>Water Breathing, Flame Arrows, Nondetection</v>
      </c>
      <c r="Y111" s="368" t="str">
        <f t="shared" ref="Y111:AG111" si="29">$X$111</f>
        <v>Water Breathing, Flame Arrows, Nondetection</v>
      </c>
      <c r="Z111" s="368" t="str">
        <f t="shared" si="29"/>
        <v>Water Breathing, Flame Arrows, Nondetection</v>
      </c>
      <c r="AA111" s="368" t="str">
        <f t="shared" si="29"/>
        <v>Water Breathing, Flame Arrows, Nondetection</v>
      </c>
      <c r="AB111" s="368" t="str">
        <f t="shared" si="29"/>
        <v>Water Breathing, Flame Arrows, Nondetection</v>
      </c>
      <c r="AC111" s="368" t="str">
        <f t="shared" si="29"/>
        <v>Water Breathing, Flame Arrows, Nondetection</v>
      </c>
      <c r="AD111" s="368" t="str">
        <f t="shared" si="29"/>
        <v>Water Breathing, Flame Arrows, Nondetection</v>
      </c>
      <c r="AE111" s="368" t="str">
        <f t="shared" si="29"/>
        <v>Water Breathing, Flame Arrows, Nondetection</v>
      </c>
      <c r="AF111" s="368" t="str">
        <f t="shared" si="29"/>
        <v>Water Breathing, Flame Arrows, Nondetection</v>
      </c>
      <c r="AG111" s="536" t="str">
        <f t="shared" si="29"/>
        <v>Water Breathing, Flame Arrows, Nondetection</v>
      </c>
      <c r="AH111" s="272" t="s">
        <v>1287</v>
      </c>
    </row>
    <row r="112" spans="2:34" ht="14.1" customHeight="1">
      <c r="B112" s="3220" t="str">
        <f>G93&amp;G94&amp; G95&amp; G96&amp; G97&amp; G98&amp; G99&amp; G100&amp; G101&amp; G102&amp; G103&amp; G104&amp; G105&amp; G106&amp; G107&amp; G108</f>
        <v xml:space="preserve"> (),   (),   (),   (),   (),   (),   (),   (),   (),   (),   (),   (),   (),   (),   (),   (),  </v>
      </c>
      <c r="C112" s="3221"/>
      <c r="D112" s="3221"/>
      <c r="E112" s="3222"/>
      <c r="I112" s="711"/>
      <c r="M112" s="2138" t="s">
        <v>7176</v>
      </c>
      <c r="N112" s="2199" t="s">
        <v>1287</v>
      </c>
      <c r="O112" s="2199" t="s">
        <v>1287</v>
      </c>
      <c r="P112" s="2199" t="s">
        <v>1287</v>
      </c>
      <c r="Q112" s="2199" t="s">
        <v>1287</v>
      </c>
      <c r="R112" s="2199" t="s">
        <v>1287</v>
      </c>
      <c r="S112" s="2199" t="s">
        <v>1287</v>
      </c>
      <c r="T112" s="2199" t="s">
        <v>1287</v>
      </c>
      <c r="U112" s="2199" t="s">
        <v>1287</v>
      </c>
      <c r="V112" s="2199" t="s">
        <v>1287</v>
      </c>
      <c r="W112" s="2199" t="s">
        <v>1287</v>
      </c>
      <c r="X112" s="2199" t="s">
        <v>1287</v>
      </c>
      <c r="Y112" s="2199" t="s">
        <v>1287</v>
      </c>
      <c r="Z112" s="368" t="str">
        <f>[1]SPELLBOOK!AH153</f>
        <v>Locate Creature</v>
      </c>
      <c r="AA112" s="368" t="str">
        <f>$Z$112</f>
        <v>Locate Creature</v>
      </c>
      <c r="AB112" s="368" t="str">
        <f>CONCATENATE($Z$112,", ",[1]SPELLBOOK!AH154)</f>
        <v>Locate Creature, Freedom of Movement</v>
      </c>
      <c r="AC112" s="368" t="str">
        <f>$AB$112</f>
        <v>Locate Creature, Freedom of Movement</v>
      </c>
      <c r="AD112" s="368" t="str">
        <f>CONCATENATE($AB$112,", ",[1]SPELLBOOK!AH155)</f>
        <v>Locate Creature, Freedom of Movement, Conjure Woodland Beings</v>
      </c>
      <c r="AE112" s="368" t="str">
        <f>$AD$112</f>
        <v>Locate Creature, Freedom of Movement, Conjure Woodland Beings</v>
      </c>
      <c r="AF112" s="368" t="str">
        <f>$AD$112</f>
        <v>Locate Creature, Freedom of Movement, Conjure Woodland Beings</v>
      </c>
      <c r="AG112" s="536" t="str">
        <f>$AD$112</f>
        <v>Locate Creature, Freedom of Movement, Conjure Woodland Beings</v>
      </c>
      <c r="AH112" s="272" t="s">
        <v>1287</v>
      </c>
    </row>
    <row r="113" spans="1:34" ht="14.1" customHeight="1">
      <c r="B113" s="3223"/>
      <c r="C113" s="3224"/>
      <c r="D113" s="3224"/>
      <c r="E113" s="3225"/>
      <c r="I113" s="711"/>
      <c r="M113" s="2138" t="s">
        <v>7177</v>
      </c>
      <c r="N113" s="2199" t="s">
        <v>1287</v>
      </c>
      <c r="O113" s="2199" t="s">
        <v>1287</v>
      </c>
      <c r="P113" s="2199" t="s">
        <v>1287</v>
      </c>
      <c r="Q113" s="2199" t="s">
        <v>1287</v>
      </c>
      <c r="R113" s="2199" t="s">
        <v>1287</v>
      </c>
      <c r="S113" s="2199" t="s">
        <v>1287</v>
      </c>
      <c r="T113" s="2199" t="s">
        <v>1287</v>
      </c>
      <c r="U113" s="2199" t="s">
        <v>1287</v>
      </c>
      <c r="V113" s="2199" t="s">
        <v>1287</v>
      </c>
      <c r="W113" s="2199" t="s">
        <v>1287</v>
      </c>
      <c r="X113" s="2199" t="s">
        <v>1287</v>
      </c>
      <c r="Y113" s="2199" t="s">
        <v>1287</v>
      </c>
      <c r="Z113" s="2199" t="s">
        <v>1287</v>
      </c>
      <c r="AA113" s="2199" t="s">
        <v>1287</v>
      </c>
      <c r="AB113" s="2199" t="s">
        <v>1287</v>
      </c>
      <c r="AC113" s="2199" t="s">
        <v>1287</v>
      </c>
      <c r="AD113" s="368" t="str">
        <f>[1]SPELLBOOK!AP153</f>
        <v>Conjure Volley</v>
      </c>
      <c r="AE113" s="368" t="str">
        <f>$AD$113</f>
        <v>Conjure Volley</v>
      </c>
      <c r="AF113" s="368" t="str">
        <f>CONCATENATE($AD$113,", ",[1]SPELLBOOK!AP154)</f>
        <v>Conjure Volley, Freedom of Movement</v>
      </c>
      <c r="AG113" s="536" t="str">
        <f>$AF$113</f>
        <v>Conjure Volley, Freedom of Movement</v>
      </c>
      <c r="AH113" s="272" t="s">
        <v>1287</v>
      </c>
    </row>
    <row r="114" spans="1:34" ht="14.1" customHeight="1">
      <c r="B114" s="3223"/>
      <c r="C114" s="3224"/>
      <c r="D114" s="3224"/>
      <c r="E114" s="3225"/>
      <c r="I114" s="711"/>
      <c r="M114" s="2138" t="s">
        <v>7178</v>
      </c>
      <c r="N114" s="2199" t="s">
        <v>1287</v>
      </c>
      <c r="O114" s="2199" t="s">
        <v>1287</v>
      </c>
      <c r="P114" s="2199" t="s">
        <v>1287</v>
      </c>
      <c r="Q114" s="2199" t="s">
        <v>1287</v>
      </c>
      <c r="R114" s="2199" t="s">
        <v>1287</v>
      </c>
      <c r="S114" s="2199" t="s">
        <v>1287</v>
      </c>
      <c r="T114" s="2199" t="s">
        <v>1287</v>
      </c>
      <c r="U114" s="2199" t="s">
        <v>1287</v>
      </c>
      <c r="V114" s="2199" t="s">
        <v>1287</v>
      </c>
      <c r="W114" s="2199" t="s">
        <v>1287</v>
      </c>
      <c r="X114" s="2199" t="s">
        <v>1287</v>
      </c>
      <c r="Y114" s="2199" t="s">
        <v>1287</v>
      </c>
      <c r="Z114" s="2199" t="s">
        <v>1287</v>
      </c>
      <c r="AA114" s="2199" t="s">
        <v>1287</v>
      </c>
      <c r="AB114" s="2199" t="s">
        <v>1287</v>
      </c>
      <c r="AC114" s="2199" t="s">
        <v>1287</v>
      </c>
      <c r="AD114" s="2199" t="s">
        <v>1287</v>
      </c>
      <c r="AE114" s="2199" t="s">
        <v>1287</v>
      </c>
      <c r="AF114" s="2199" t="s">
        <v>1287</v>
      </c>
      <c r="AG114" s="2245" t="s">
        <v>1287</v>
      </c>
      <c r="AH114" s="272" t="s">
        <v>1287</v>
      </c>
    </row>
    <row r="115" spans="1:34" ht="14.1" customHeight="1">
      <c r="B115" s="3223"/>
      <c r="C115" s="3224"/>
      <c r="D115" s="3224"/>
      <c r="E115" s="3225"/>
      <c r="I115" s="711"/>
      <c r="M115" s="2138" t="s">
        <v>7179</v>
      </c>
      <c r="N115" s="2199" t="s">
        <v>1287</v>
      </c>
      <c r="O115" s="2199" t="s">
        <v>1287</v>
      </c>
      <c r="P115" s="2199" t="s">
        <v>1287</v>
      </c>
      <c r="Q115" s="2199" t="s">
        <v>1287</v>
      </c>
      <c r="R115" s="2199" t="s">
        <v>1287</v>
      </c>
      <c r="S115" s="2199" t="s">
        <v>1287</v>
      </c>
      <c r="T115" s="2199" t="s">
        <v>1287</v>
      </c>
      <c r="U115" s="2199" t="s">
        <v>1287</v>
      </c>
      <c r="V115" s="2199" t="s">
        <v>1287</v>
      </c>
      <c r="W115" s="2199" t="s">
        <v>1287</v>
      </c>
      <c r="X115" s="2199" t="s">
        <v>1287</v>
      </c>
      <c r="Y115" s="2199" t="s">
        <v>1287</v>
      </c>
      <c r="Z115" s="2199" t="s">
        <v>1287</v>
      </c>
      <c r="AA115" s="2199" t="s">
        <v>1287</v>
      </c>
      <c r="AB115" s="2199" t="s">
        <v>1287</v>
      </c>
      <c r="AC115" s="2199" t="s">
        <v>1287</v>
      </c>
      <c r="AD115" s="2199" t="s">
        <v>1287</v>
      </c>
      <c r="AE115" s="2199" t="s">
        <v>1287</v>
      </c>
      <c r="AF115" s="2199" t="s">
        <v>1287</v>
      </c>
      <c r="AG115" s="2245" t="s">
        <v>1287</v>
      </c>
      <c r="AH115" s="272" t="s">
        <v>1287</v>
      </c>
    </row>
    <row r="116" spans="1:34" ht="14.1" customHeight="1">
      <c r="B116" s="3223"/>
      <c r="C116" s="3224"/>
      <c r="D116" s="3224"/>
      <c r="E116" s="3225"/>
      <c r="I116" s="711"/>
      <c r="M116" s="2138" t="s">
        <v>7180</v>
      </c>
      <c r="N116" s="2199" t="s">
        <v>1287</v>
      </c>
      <c r="O116" s="2199" t="s">
        <v>1287</v>
      </c>
      <c r="P116" s="2199" t="s">
        <v>1287</v>
      </c>
      <c r="Q116" s="2199" t="s">
        <v>1287</v>
      </c>
      <c r="R116" s="2199" t="s">
        <v>1287</v>
      </c>
      <c r="S116" s="2199" t="s">
        <v>1287</v>
      </c>
      <c r="T116" s="2199" t="s">
        <v>1287</v>
      </c>
      <c r="U116" s="2199" t="s">
        <v>1287</v>
      </c>
      <c r="V116" s="2199" t="s">
        <v>1287</v>
      </c>
      <c r="W116" s="2199" t="s">
        <v>1287</v>
      </c>
      <c r="X116" s="2199" t="s">
        <v>1287</v>
      </c>
      <c r="Y116" s="2199" t="s">
        <v>1287</v>
      </c>
      <c r="Z116" s="2199" t="s">
        <v>1287</v>
      </c>
      <c r="AA116" s="2199" t="s">
        <v>1287</v>
      </c>
      <c r="AB116" s="2199" t="s">
        <v>1287</v>
      </c>
      <c r="AC116" s="2199" t="s">
        <v>1287</v>
      </c>
      <c r="AD116" s="2199" t="s">
        <v>1287</v>
      </c>
      <c r="AE116" s="2199" t="s">
        <v>1287</v>
      </c>
      <c r="AF116" s="2199" t="s">
        <v>1287</v>
      </c>
      <c r="AG116" s="2245" t="s">
        <v>1287</v>
      </c>
      <c r="AH116" s="272" t="s">
        <v>1287</v>
      </c>
    </row>
    <row r="117" spans="1:34" ht="14.1" customHeight="1" thickBot="1">
      <c r="B117" s="3223"/>
      <c r="C117" s="3224"/>
      <c r="D117" s="3224"/>
      <c r="E117" s="3225"/>
      <c r="I117" s="711"/>
      <c r="M117" s="2147" t="s">
        <v>7181</v>
      </c>
      <c r="N117" s="2205" t="s">
        <v>1287</v>
      </c>
      <c r="O117" s="2205" t="s">
        <v>1287</v>
      </c>
      <c r="P117" s="2205" t="s">
        <v>1287</v>
      </c>
      <c r="Q117" s="2205" t="s">
        <v>1287</v>
      </c>
      <c r="R117" s="2205" t="s">
        <v>1287</v>
      </c>
      <c r="S117" s="2205" t="s">
        <v>1287</v>
      </c>
      <c r="T117" s="2205" t="s">
        <v>1287</v>
      </c>
      <c r="U117" s="2205" t="s">
        <v>1287</v>
      </c>
      <c r="V117" s="2205" t="s">
        <v>1287</v>
      </c>
      <c r="W117" s="2205" t="s">
        <v>1287</v>
      </c>
      <c r="X117" s="2205" t="s">
        <v>1287</v>
      </c>
      <c r="Y117" s="2205" t="s">
        <v>1287</v>
      </c>
      <c r="Z117" s="2205" t="s">
        <v>1287</v>
      </c>
      <c r="AA117" s="2205" t="s">
        <v>1287</v>
      </c>
      <c r="AB117" s="2205" t="s">
        <v>1287</v>
      </c>
      <c r="AC117" s="2205" t="s">
        <v>1287</v>
      </c>
      <c r="AD117" s="2205" t="s">
        <v>1287</v>
      </c>
      <c r="AE117" s="2205" t="s">
        <v>1287</v>
      </c>
      <c r="AF117" s="2205" t="s">
        <v>1287</v>
      </c>
      <c r="AG117" s="2246" t="s">
        <v>1287</v>
      </c>
      <c r="AH117" s="272" t="s">
        <v>1287</v>
      </c>
    </row>
    <row r="118" spans="1:34" ht="14.1" customHeight="1" thickBot="1">
      <c r="B118" s="3226"/>
      <c r="C118" s="3227"/>
      <c r="D118" s="3227"/>
      <c r="E118" s="3228"/>
      <c r="F118" s="520"/>
      <c r="G118" s="520"/>
      <c r="H118" s="520"/>
      <c r="I118" s="734"/>
      <c r="AH118" s="272" t="s">
        <v>1287</v>
      </c>
    </row>
    <row r="119" spans="1:34" ht="14.1" customHeight="1" thickBot="1">
      <c r="A119" s="2248"/>
      <c r="B119" s="2249"/>
      <c r="C119" s="2249"/>
      <c r="D119" s="2250"/>
      <c r="AH119" s="272" t="s">
        <v>1287</v>
      </c>
    </row>
    <row r="120" spans="1:34" ht="14.1" customHeight="1" thickBot="1">
      <c r="B120" s="3204" t="s">
        <v>10287</v>
      </c>
      <c r="C120" s="3205"/>
      <c r="D120" s="3205"/>
      <c r="E120" s="3206"/>
      <c r="M120" s="560" t="s">
        <v>6199</v>
      </c>
      <c r="N120" s="811"/>
      <c r="O120" s="811"/>
      <c r="P120" s="811"/>
      <c r="Q120" s="811"/>
      <c r="R120" s="811"/>
      <c r="S120" s="811"/>
      <c r="T120" s="811"/>
      <c r="U120" s="811"/>
      <c r="V120" s="811"/>
      <c r="W120" s="811"/>
      <c r="X120" s="811"/>
      <c r="Y120" s="811"/>
      <c r="Z120" s="811"/>
      <c r="AA120" s="811"/>
      <c r="AB120" s="811"/>
      <c r="AC120" s="811"/>
      <c r="AD120" s="811"/>
      <c r="AE120" s="811"/>
      <c r="AF120" s="811"/>
      <c r="AG120" s="812"/>
      <c r="AH120" s="3207" t="s">
        <v>10288</v>
      </c>
    </row>
    <row r="121" spans="1:34" ht="14.1" customHeight="1" thickBot="1">
      <c r="B121" s="3209" t="str">
        <f ca="1">VLOOKUP(C11,[1]RACE!B6:AF41,31,FALSE)</f>
        <v>Human</v>
      </c>
      <c r="C121" s="3210"/>
      <c r="D121" s="3210"/>
      <c r="E121" s="3211"/>
      <c r="M121" s="1987"/>
      <c r="N121" s="749" t="s">
        <v>7125</v>
      </c>
      <c r="O121" s="749" t="s">
        <v>7126</v>
      </c>
      <c r="P121" s="749" t="s">
        <v>10245</v>
      </c>
      <c r="Q121" s="749" t="s">
        <v>10246</v>
      </c>
      <c r="R121" s="749" t="s">
        <v>7129</v>
      </c>
      <c r="S121" s="749" t="s">
        <v>7130</v>
      </c>
      <c r="T121" s="749" t="s">
        <v>7131</v>
      </c>
      <c r="U121" s="749" t="s">
        <v>7132</v>
      </c>
      <c r="V121" s="749" t="s">
        <v>7133</v>
      </c>
      <c r="W121" s="749" t="s">
        <v>7134</v>
      </c>
      <c r="X121" s="749" t="s">
        <v>7135</v>
      </c>
      <c r="Y121" s="749" t="s">
        <v>7136</v>
      </c>
      <c r="Z121" s="749" t="s">
        <v>10247</v>
      </c>
      <c r="AA121" s="749" t="s">
        <v>10248</v>
      </c>
      <c r="AB121" s="749" t="s">
        <v>7139</v>
      </c>
      <c r="AC121" s="749" t="s">
        <v>7140</v>
      </c>
      <c r="AD121" s="749" t="s">
        <v>7141</v>
      </c>
      <c r="AE121" s="749" t="s">
        <v>7142</v>
      </c>
      <c r="AF121" s="749" t="s">
        <v>7143</v>
      </c>
      <c r="AG121" s="1082" t="s">
        <v>10249</v>
      </c>
      <c r="AH121" s="3208"/>
    </row>
    <row r="122" spans="1:34" ht="14.1" customHeight="1">
      <c r="B122" s="3212"/>
      <c r="C122" s="3213"/>
      <c r="D122" s="3213"/>
      <c r="E122" s="3214"/>
      <c r="M122" s="2135" t="s">
        <v>7170</v>
      </c>
      <c r="N122" s="2199" t="s">
        <v>1287</v>
      </c>
      <c r="O122" s="2199" t="s">
        <v>1287</v>
      </c>
      <c r="P122" s="344" t="str">
        <f>CONCATENATE([1]SPELLBOOK!J174,", ",[1]SPELLBOOK!J175,", ",[1]SPELLBOOK!J176)</f>
        <v>Mage Hand, Minor Illusion, Dancing Lights</v>
      </c>
      <c r="Q122" s="344" t="str">
        <f t="shared" ref="Q122:V122" si="30">$P$122</f>
        <v>Mage Hand, Minor Illusion, Dancing Lights</v>
      </c>
      <c r="R122" s="344" t="str">
        <f t="shared" si="30"/>
        <v>Mage Hand, Minor Illusion, Dancing Lights</v>
      </c>
      <c r="S122" s="344" t="str">
        <f t="shared" si="30"/>
        <v>Mage Hand, Minor Illusion, Dancing Lights</v>
      </c>
      <c r="T122" s="344" t="str">
        <f t="shared" si="30"/>
        <v>Mage Hand, Minor Illusion, Dancing Lights</v>
      </c>
      <c r="U122" s="344" t="str">
        <f t="shared" si="30"/>
        <v>Mage Hand, Minor Illusion, Dancing Lights</v>
      </c>
      <c r="V122" s="344" t="str">
        <f t="shared" si="30"/>
        <v>Mage Hand, Minor Illusion, Dancing Lights</v>
      </c>
      <c r="W122" s="344" t="str">
        <f>CONCATENATE($P$122,", ",[1]SPELLBOOK!J177)</f>
        <v>Mage Hand, Minor Illusion, Dancing Lights, Light</v>
      </c>
      <c r="X122" s="344" t="str">
        <f t="shared" ref="X122:AG122" si="31">$W$122</f>
        <v>Mage Hand, Minor Illusion, Dancing Lights, Light</v>
      </c>
      <c r="Y122" s="344" t="str">
        <f t="shared" si="31"/>
        <v>Mage Hand, Minor Illusion, Dancing Lights, Light</v>
      </c>
      <c r="Z122" s="344" t="str">
        <f t="shared" si="31"/>
        <v>Mage Hand, Minor Illusion, Dancing Lights, Light</v>
      </c>
      <c r="AA122" s="344" t="str">
        <f t="shared" si="31"/>
        <v>Mage Hand, Minor Illusion, Dancing Lights, Light</v>
      </c>
      <c r="AB122" s="344" t="str">
        <f t="shared" si="31"/>
        <v>Mage Hand, Minor Illusion, Dancing Lights, Light</v>
      </c>
      <c r="AC122" s="344" t="str">
        <f t="shared" si="31"/>
        <v>Mage Hand, Minor Illusion, Dancing Lights, Light</v>
      </c>
      <c r="AD122" s="344" t="str">
        <f t="shared" si="31"/>
        <v>Mage Hand, Minor Illusion, Dancing Lights, Light</v>
      </c>
      <c r="AE122" s="344" t="str">
        <f t="shared" si="31"/>
        <v>Mage Hand, Minor Illusion, Dancing Lights, Light</v>
      </c>
      <c r="AF122" s="344" t="str">
        <f t="shared" si="31"/>
        <v>Mage Hand, Minor Illusion, Dancing Lights, Light</v>
      </c>
      <c r="AG122" s="741" t="str">
        <f t="shared" si="31"/>
        <v>Mage Hand, Minor Illusion, Dancing Lights, Light</v>
      </c>
      <c r="AH122" s="272" t="s">
        <v>1287</v>
      </c>
    </row>
    <row r="123" spans="1:34" ht="14.1" customHeight="1">
      <c r="B123" s="3212"/>
      <c r="C123" s="3213"/>
      <c r="D123" s="3213"/>
      <c r="E123" s="3214"/>
      <c r="M123" s="2138" t="s">
        <v>7172</v>
      </c>
      <c r="N123" s="2199" t="s">
        <v>1287</v>
      </c>
      <c r="O123" s="2199" t="s">
        <v>1287</v>
      </c>
      <c r="P123" s="368" t="str">
        <f>CONCATENATE([1]SPELLBOOK!R174,", ",[1]SPELLBOOK!R175)</f>
        <v>Disguise Self, Chromatic Orb</v>
      </c>
      <c r="Q123" s="368" t="str">
        <f>CONCATENATE(P123,", ",[1]SPELLBOOK!R176)</f>
        <v>Disguise Self, Chromatic Orb, Detect Magic</v>
      </c>
      <c r="R123" s="368" t="str">
        <f>$Q$123</f>
        <v>Disguise Self, Chromatic Orb, Detect Magic</v>
      </c>
      <c r="S123" s="368" t="str">
        <f>$Q$123</f>
        <v>Disguise Self, Chromatic Orb, Detect Magic</v>
      </c>
      <c r="T123" s="368" t="str">
        <f>CONCATENATE(S123,", ",[1]SPELLBOOK!R177)</f>
        <v>Disguise Self, Chromatic Orb, Detect Magic, Tasha's Hideous Laughter</v>
      </c>
      <c r="U123" s="368" t="str">
        <f t="shared" ref="U123:AG123" si="32">$T$123</f>
        <v>Disguise Self, Chromatic Orb, Detect Magic, Tasha's Hideous Laughter</v>
      </c>
      <c r="V123" s="368" t="str">
        <f t="shared" si="32"/>
        <v>Disguise Self, Chromatic Orb, Detect Magic, Tasha's Hideous Laughter</v>
      </c>
      <c r="W123" s="368" t="str">
        <f t="shared" si="32"/>
        <v>Disguise Self, Chromatic Orb, Detect Magic, Tasha's Hideous Laughter</v>
      </c>
      <c r="X123" s="368" t="str">
        <f t="shared" si="32"/>
        <v>Disguise Self, Chromatic Orb, Detect Magic, Tasha's Hideous Laughter</v>
      </c>
      <c r="Y123" s="368" t="str">
        <f t="shared" si="32"/>
        <v>Disguise Self, Chromatic Orb, Detect Magic, Tasha's Hideous Laughter</v>
      </c>
      <c r="Z123" s="368" t="str">
        <f t="shared" si="32"/>
        <v>Disguise Self, Chromatic Orb, Detect Magic, Tasha's Hideous Laughter</v>
      </c>
      <c r="AA123" s="368" t="str">
        <f t="shared" si="32"/>
        <v>Disguise Self, Chromatic Orb, Detect Magic, Tasha's Hideous Laughter</v>
      </c>
      <c r="AB123" s="368" t="str">
        <f t="shared" si="32"/>
        <v>Disguise Self, Chromatic Orb, Detect Magic, Tasha's Hideous Laughter</v>
      </c>
      <c r="AC123" s="368" t="str">
        <f t="shared" si="32"/>
        <v>Disguise Self, Chromatic Orb, Detect Magic, Tasha's Hideous Laughter</v>
      </c>
      <c r="AD123" s="368" t="str">
        <f t="shared" si="32"/>
        <v>Disguise Self, Chromatic Orb, Detect Magic, Tasha's Hideous Laughter</v>
      </c>
      <c r="AE123" s="368" t="str">
        <f t="shared" si="32"/>
        <v>Disguise Self, Chromatic Orb, Detect Magic, Tasha's Hideous Laughter</v>
      </c>
      <c r="AF123" s="368" t="str">
        <f t="shared" si="32"/>
        <v>Disguise Self, Chromatic Orb, Detect Magic, Tasha's Hideous Laughter</v>
      </c>
      <c r="AG123" s="536" t="str">
        <f t="shared" si="32"/>
        <v>Disguise Self, Chromatic Orb, Detect Magic, Tasha's Hideous Laughter</v>
      </c>
      <c r="AH123" s="272" t="s">
        <v>1287</v>
      </c>
    </row>
    <row r="124" spans="1:34" ht="14.1" customHeight="1">
      <c r="B124" s="3212"/>
      <c r="C124" s="3213"/>
      <c r="D124" s="3213"/>
      <c r="E124" s="3214"/>
      <c r="M124" s="2138" t="s">
        <v>7174</v>
      </c>
      <c r="N124" s="2199" t="s">
        <v>1287</v>
      </c>
      <c r="O124" s="2199" t="s">
        <v>1287</v>
      </c>
      <c r="P124" s="2199" t="s">
        <v>1287</v>
      </c>
      <c r="Q124" s="2199" t="s">
        <v>1287</v>
      </c>
      <c r="R124" s="2199" t="s">
        <v>1287</v>
      </c>
      <c r="S124" s="2199" t="s">
        <v>1287</v>
      </c>
      <c r="T124" s="368" t="str">
        <f>CONCATENATE([1]SPELLBOOK!Z174,", ",[1]SPELLBOOK!Z175)</f>
        <v>Magic Weapon, Nystul's Magic Aura</v>
      </c>
      <c r="U124" s="368" t="str">
        <f>$T$124</f>
        <v>Magic Weapon, Nystul's Magic Aura</v>
      </c>
      <c r="V124" s="368" t="str">
        <f>$T$124</f>
        <v>Magic Weapon, Nystul's Magic Aura</v>
      </c>
      <c r="W124" s="368" t="str">
        <f>CONCATENATE($T$124,", ",[1]SPELLBOOK!Z176)</f>
        <v>Magic Weapon, Nystul's Magic Aura, Darkness</v>
      </c>
      <c r="X124" s="368" t="str">
        <f t="shared" ref="X124:AG124" si="33">$W$124</f>
        <v>Magic Weapon, Nystul's Magic Aura, Darkness</v>
      </c>
      <c r="Y124" s="368" t="str">
        <f t="shared" si="33"/>
        <v>Magic Weapon, Nystul's Magic Aura, Darkness</v>
      </c>
      <c r="Z124" s="368" t="str">
        <f t="shared" si="33"/>
        <v>Magic Weapon, Nystul's Magic Aura, Darkness</v>
      </c>
      <c r="AA124" s="368" t="str">
        <f t="shared" si="33"/>
        <v>Magic Weapon, Nystul's Magic Aura, Darkness</v>
      </c>
      <c r="AB124" s="368" t="str">
        <f t="shared" si="33"/>
        <v>Magic Weapon, Nystul's Magic Aura, Darkness</v>
      </c>
      <c r="AC124" s="368" t="str">
        <f t="shared" si="33"/>
        <v>Magic Weapon, Nystul's Magic Aura, Darkness</v>
      </c>
      <c r="AD124" s="368" t="str">
        <f t="shared" si="33"/>
        <v>Magic Weapon, Nystul's Magic Aura, Darkness</v>
      </c>
      <c r="AE124" s="368" t="str">
        <f t="shared" si="33"/>
        <v>Magic Weapon, Nystul's Magic Aura, Darkness</v>
      </c>
      <c r="AF124" s="368" t="str">
        <f t="shared" si="33"/>
        <v>Magic Weapon, Nystul's Magic Aura, Darkness</v>
      </c>
      <c r="AG124" s="536" t="str">
        <f t="shared" si="33"/>
        <v>Magic Weapon, Nystul's Magic Aura, Darkness</v>
      </c>
      <c r="AH124" s="272" t="s">
        <v>1287</v>
      </c>
    </row>
    <row r="125" spans="1:34" ht="14.1" customHeight="1">
      <c r="B125" s="3212"/>
      <c r="C125" s="3213"/>
      <c r="D125" s="3213"/>
      <c r="E125" s="3214"/>
      <c r="M125" s="2138" t="s">
        <v>7175</v>
      </c>
      <c r="N125" s="2199" t="s">
        <v>1287</v>
      </c>
      <c r="O125" s="2199" t="s">
        <v>1287</v>
      </c>
      <c r="P125" s="2199" t="s">
        <v>1287</v>
      </c>
      <c r="Q125" s="2199" t="s">
        <v>1287</v>
      </c>
      <c r="R125" s="2199" t="s">
        <v>1287</v>
      </c>
      <c r="S125" s="2199" t="s">
        <v>1287</v>
      </c>
      <c r="T125" s="2199" t="s">
        <v>1287</v>
      </c>
      <c r="U125" s="2199" t="s">
        <v>1287</v>
      </c>
      <c r="V125" s="2199" t="s">
        <v>1287</v>
      </c>
      <c r="W125" s="2199" t="s">
        <v>1287</v>
      </c>
      <c r="X125" s="2199" t="s">
        <v>1287</v>
      </c>
      <c r="Y125" s="2199" t="s">
        <v>1287</v>
      </c>
      <c r="Z125" s="368" t="str">
        <f>CONCATENATE([1]SPELLBOOK!AH174,", ",[1]SPELLBOOK!AH175)</f>
        <v>Fear, Protection From Energy</v>
      </c>
      <c r="AA125" s="368" t="str">
        <f>$Z$125</f>
        <v>Fear, Protection From Energy</v>
      </c>
      <c r="AB125" s="368" t="str">
        <f>$Z$125</f>
        <v>Fear, Protection From Energy</v>
      </c>
      <c r="AC125" s="368" t="str">
        <f>CONCATENATE($Z$125,", ",[1]SPELLBOOK!AH176)</f>
        <v>Fear, Protection From Energy, Blink</v>
      </c>
      <c r="AD125" s="368" t="str">
        <f>$AC$125</f>
        <v>Fear, Protection From Energy, Blink</v>
      </c>
      <c r="AE125" s="368" t="str">
        <f>$AC$125</f>
        <v>Fear, Protection From Energy, Blink</v>
      </c>
      <c r="AF125" s="368" t="str">
        <f>$AC$125</f>
        <v>Fear, Protection From Energy, Blink</v>
      </c>
      <c r="AG125" s="536" t="str">
        <f>$AC$125</f>
        <v>Fear, Protection From Energy, Blink</v>
      </c>
      <c r="AH125" s="272" t="s">
        <v>1287</v>
      </c>
    </row>
    <row r="126" spans="1:34" ht="14.1" customHeight="1">
      <c r="B126" s="3215"/>
      <c r="C126" s="3216"/>
      <c r="D126" s="3216"/>
      <c r="E126" s="3217"/>
      <c r="M126" s="2138" t="s">
        <v>7176</v>
      </c>
      <c r="N126" s="2199" t="s">
        <v>1287</v>
      </c>
      <c r="O126" s="2199" t="s">
        <v>1287</v>
      </c>
      <c r="P126" s="2199" t="s">
        <v>1287</v>
      </c>
      <c r="Q126" s="2199" t="s">
        <v>1287</v>
      </c>
      <c r="R126" s="2199" t="s">
        <v>1287</v>
      </c>
      <c r="S126" s="2199" t="s">
        <v>1287</v>
      </c>
      <c r="T126" s="2199" t="s">
        <v>1287</v>
      </c>
      <c r="U126" s="2199" t="s">
        <v>1287</v>
      </c>
      <c r="V126" s="2199" t="s">
        <v>1287</v>
      </c>
      <c r="W126" s="2199" t="s">
        <v>1287</v>
      </c>
      <c r="X126" s="2199" t="s">
        <v>1287</v>
      </c>
      <c r="Y126" s="2199" t="s">
        <v>1287</v>
      </c>
      <c r="Z126" s="2199" t="s">
        <v>1287</v>
      </c>
      <c r="AA126" s="2199" t="s">
        <v>1287</v>
      </c>
      <c r="AB126" s="2199" t="s">
        <v>1287</v>
      </c>
      <c r="AC126" s="2199" t="s">
        <v>1287</v>
      </c>
      <c r="AD126" s="2199" t="s">
        <v>1287</v>
      </c>
      <c r="AE126" s="2199" t="s">
        <v>1287</v>
      </c>
      <c r="AF126" s="368" t="str">
        <f>[1]SPELLBOOK!$AP$174</f>
        <v>Control Water</v>
      </c>
      <c r="AG126" s="536" t="str">
        <f>$AF$126</f>
        <v>Control Water</v>
      </c>
      <c r="AH126" s="272" t="s">
        <v>1287</v>
      </c>
    </row>
    <row r="127" spans="1:34" ht="14.1" customHeight="1">
      <c r="M127" s="2138" t="s">
        <v>7177</v>
      </c>
      <c r="N127" s="2199" t="s">
        <v>1287</v>
      </c>
      <c r="O127" s="2199" t="s">
        <v>1287</v>
      </c>
      <c r="P127" s="2199" t="s">
        <v>1287</v>
      </c>
      <c r="Q127" s="2199" t="s">
        <v>1287</v>
      </c>
      <c r="R127" s="2199" t="s">
        <v>1287</v>
      </c>
      <c r="S127" s="2199" t="s">
        <v>1287</v>
      </c>
      <c r="T127" s="2199" t="s">
        <v>1287</v>
      </c>
      <c r="U127" s="2199" t="s">
        <v>1287</v>
      </c>
      <c r="V127" s="2199" t="s">
        <v>1287</v>
      </c>
      <c r="W127" s="2199" t="s">
        <v>1287</v>
      </c>
      <c r="X127" s="2199" t="s">
        <v>1287</v>
      </c>
      <c r="Y127" s="2199" t="s">
        <v>1287</v>
      </c>
      <c r="Z127" s="2199" t="s">
        <v>1287</v>
      </c>
      <c r="AA127" s="2199" t="s">
        <v>1287</v>
      </c>
      <c r="AB127" s="2199" t="s">
        <v>1287</v>
      </c>
      <c r="AC127" s="2199" t="s">
        <v>1287</v>
      </c>
      <c r="AD127" s="2199" t="s">
        <v>1287</v>
      </c>
      <c r="AE127" s="2199" t="s">
        <v>1287</v>
      </c>
      <c r="AF127" s="2199" t="s">
        <v>1287</v>
      </c>
      <c r="AG127" s="2245" t="s">
        <v>1287</v>
      </c>
      <c r="AH127" s="272" t="s">
        <v>1287</v>
      </c>
    </row>
    <row r="128" spans="1:34" ht="14.1" customHeight="1">
      <c r="B128" s="2251" t="s">
        <v>10289</v>
      </c>
      <c r="C128" s="2252"/>
      <c r="D128" s="2252"/>
      <c r="E128" s="2252"/>
      <c r="F128" s="2252"/>
      <c r="G128" s="2252"/>
      <c r="H128" s="2252"/>
      <c r="I128" s="2252"/>
      <c r="J128" s="2253"/>
      <c r="M128" s="2138" t="s">
        <v>7178</v>
      </c>
      <c r="N128" s="2199" t="s">
        <v>1287</v>
      </c>
      <c r="O128" s="2199" t="s">
        <v>1287</v>
      </c>
      <c r="P128" s="2199" t="s">
        <v>1287</v>
      </c>
      <c r="Q128" s="2199" t="s">
        <v>1287</v>
      </c>
      <c r="R128" s="2199" t="s">
        <v>1287</v>
      </c>
      <c r="S128" s="2199" t="s">
        <v>1287</v>
      </c>
      <c r="T128" s="2199" t="s">
        <v>1287</v>
      </c>
      <c r="U128" s="2199" t="s">
        <v>1287</v>
      </c>
      <c r="V128" s="2199" t="s">
        <v>1287</v>
      </c>
      <c r="W128" s="2199" t="s">
        <v>1287</v>
      </c>
      <c r="X128" s="2199" t="s">
        <v>1287</v>
      </c>
      <c r="Y128" s="2199" t="s">
        <v>1287</v>
      </c>
      <c r="Z128" s="2199" t="s">
        <v>1287</v>
      </c>
      <c r="AA128" s="2199" t="s">
        <v>1287</v>
      </c>
      <c r="AB128" s="2199" t="s">
        <v>1287</v>
      </c>
      <c r="AC128" s="2199" t="s">
        <v>1287</v>
      </c>
      <c r="AD128" s="2199" t="s">
        <v>1287</v>
      </c>
      <c r="AE128" s="2199" t="s">
        <v>1287</v>
      </c>
      <c r="AF128" s="2199" t="s">
        <v>1287</v>
      </c>
      <c r="AG128" s="2245" t="s">
        <v>1287</v>
      </c>
      <c r="AH128" s="272" t="s">
        <v>1287</v>
      </c>
    </row>
    <row r="129" spans="2:34" ht="14.1" customHeight="1">
      <c r="B129" s="3218" t="e">
        <v>#REF!</v>
      </c>
      <c r="C129" s="2847"/>
      <c r="D129" s="2847"/>
      <c r="E129" s="2847"/>
      <c r="F129" s="2847"/>
      <c r="G129" s="2847"/>
      <c r="H129" s="2847"/>
      <c r="I129" s="2847"/>
      <c r="J129" s="2848"/>
      <c r="M129" s="2138" t="s">
        <v>7179</v>
      </c>
      <c r="N129" s="2199" t="s">
        <v>1287</v>
      </c>
      <c r="O129" s="2199" t="s">
        <v>1287</v>
      </c>
      <c r="P129" s="2199" t="s">
        <v>1287</v>
      </c>
      <c r="Q129" s="2199" t="s">
        <v>1287</v>
      </c>
      <c r="R129" s="2199" t="s">
        <v>1287</v>
      </c>
      <c r="S129" s="2199" t="s">
        <v>1287</v>
      </c>
      <c r="T129" s="2199" t="s">
        <v>1287</v>
      </c>
      <c r="U129" s="2199" t="s">
        <v>1287</v>
      </c>
      <c r="V129" s="2199" t="s">
        <v>1287</v>
      </c>
      <c r="W129" s="2199" t="s">
        <v>1287</v>
      </c>
      <c r="X129" s="2199" t="s">
        <v>1287</v>
      </c>
      <c r="Y129" s="2199" t="s">
        <v>1287</v>
      </c>
      <c r="Z129" s="2199" t="s">
        <v>1287</v>
      </c>
      <c r="AA129" s="2199" t="s">
        <v>1287</v>
      </c>
      <c r="AB129" s="2199" t="s">
        <v>1287</v>
      </c>
      <c r="AC129" s="2199" t="s">
        <v>1287</v>
      </c>
      <c r="AD129" s="2199" t="s">
        <v>1287</v>
      </c>
      <c r="AE129" s="2199" t="s">
        <v>1287</v>
      </c>
      <c r="AF129" s="2199" t="s">
        <v>1287</v>
      </c>
      <c r="AG129" s="2245" t="s">
        <v>1287</v>
      </c>
      <c r="AH129" s="272" t="s">
        <v>1287</v>
      </c>
    </row>
    <row r="130" spans="2:34" ht="14.1" customHeight="1">
      <c r="B130" s="2849"/>
      <c r="C130" s="2850"/>
      <c r="D130" s="2850"/>
      <c r="E130" s="2850"/>
      <c r="F130" s="2850"/>
      <c r="G130" s="2850"/>
      <c r="H130" s="2850"/>
      <c r="I130" s="2850"/>
      <c r="J130" s="2851"/>
      <c r="M130" s="2138" t="s">
        <v>7180</v>
      </c>
      <c r="N130" s="2199" t="s">
        <v>1287</v>
      </c>
      <c r="O130" s="2199" t="s">
        <v>1287</v>
      </c>
      <c r="P130" s="2199" t="s">
        <v>1287</v>
      </c>
      <c r="Q130" s="2199" t="s">
        <v>1287</v>
      </c>
      <c r="R130" s="2199" t="s">
        <v>1287</v>
      </c>
      <c r="S130" s="2199" t="s">
        <v>1287</v>
      </c>
      <c r="T130" s="2199" t="s">
        <v>1287</v>
      </c>
      <c r="U130" s="2199" t="s">
        <v>1287</v>
      </c>
      <c r="V130" s="2199" t="s">
        <v>1287</v>
      </c>
      <c r="W130" s="2199" t="s">
        <v>1287</v>
      </c>
      <c r="X130" s="2199" t="s">
        <v>1287</v>
      </c>
      <c r="Y130" s="2199" t="s">
        <v>1287</v>
      </c>
      <c r="Z130" s="2199" t="s">
        <v>1287</v>
      </c>
      <c r="AA130" s="2199" t="s">
        <v>1287</v>
      </c>
      <c r="AB130" s="2199" t="s">
        <v>1287</v>
      </c>
      <c r="AC130" s="2199" t="s">
        <v>1287</v>
      </c>
      <c r="AD130" s="2199" t="s">
        <v>1287</v>
      </c>
      <c r="AE130" s="2199" t="s">
        <v>1287</v>
      </c>
      <c r="AF130" s="2199" t="s">
        <v>1287</v>
      </c>
      <c r="AG130" s="2245" t="s">
        <v>1287</v>
      </c>
      <c r="AH130" s="272" t="s">
        <v>1287</v>
      </c>
    </row>
    <row r="131" spans="2:34" ht="14.1" customHeight="1" thickBot="1">
      <c r="B131" s="2849"/>
      <c r="C131" s="2850"/>
      <c r="D131" s="2850"/>
      <c r="E131" s="2850"/>
      <c r="F131" s="2850"/>
      <c r="G131" s="2850"/>
      <c r="H131" s="2850"/>
      <c r="I131" s="2850"/>
      <c r="J131" s="2851"/>
      <c r="M131" s="2147" t="s">
        <v>7181</v>
      </c>
      <c r="N131" s="2205" t="s">
        <v>1287</v>
      </c>
      <c r="O131" s="2205" t="s">
        <v>1287</v>
      </c>
      <c r="P131" s="2205" t="s">
        <v>1287</v>
      </c>
      <c r="Q131" s="2205" t="s">
        <v>1287</v>
      </c>
      <c r="R131" s="2205" t="s">
        <v>1287</v>
      </c>
      <c r="S131" s="2205" t="s">
        <v>1287</v>
      </c>
      <c r="T131" s="2205" t="s">
        <v>1287</v>
      </c>
      <c r="U131" s="2205" t="s">
        <v>1287</v>
      </c>
      <c r="V131" s="2205" t="s">
        <v>1287</v>
      </c>
      <c r="W131" s="2205" t="s">
        <v>1287</v>
      </c>
      <c r="X131" s="2205" t="s">
        <v>1287</v>
      </c>
      <c r="Y131" s="2205" t="s">
        <v>1287</v>
      </c>
      <c r="Z131" s="2205" t="s">
        <v>1287</v>
      </c>
      <c r="AA131" s="2205" t="s">
        <v>1287</v>
      </c>
      <c r="AB131" s="2205" t="s">
        <v>1287</v>
      </c>
      <c r="AC131" s="2205" t="s">
        <v>1287</v>
      </c>
      <c r="AD131" s="2205" t="s">
        <v>1287</v>
      </c>
      <c r="AE131" s="2205" t="s">
        <v>1287</v>
      </c>
      <c r="AF131" s="2205" t="s">
        <v>1287</v>
      </c>
      <c r="AG131" s="2246" t="s">
        <v>1287</v>
      </c>
      <c r="AH131" s="272" t="s">
        <v>1287</v>
      </c>
    </row>
    <row r="132" spans="2:34" ht="14.1" customHeight="1">
      <c r="B132" s="2852"/>
      <c r="C132" s="2853"/>
      <c r="D132" s="2853"/>
      <c r="E132" s="2853"/>
      <c r="F132" s="2853"/>
      <c r="G132" s="2853"/>
      <c r="H132" s="2853"/>
      <c r="I132" s="2853"/>
      <c r="J132" s="2854"/>
      <c r="AH132" s="272" t="s">
        <v>1287</v>
      </c>
    </row>
    <row r="133" spans="2:34" ht="14.1" customHeight="1" thickBot="1">
      <c r="AH133" s="272" t="s">
        <v>1287</v>
      </c>
    </row>
    <row r="134" spans="2:34" ht="14.1" customHeight="1" thickBot="1">
      <c r="B134" s="2254" t="s">
        <v>10290</v>
      </c>
      <c r="C134" s="2255"/>
      <c r="D134" s="2255"/>
      <c r="E134" s="2255"/>
      <c r="F134" s="2255"/>
      <c r="G134" s="2255"/>
      <c r="H134" s="2255"/>
      <c r="I134" s="2255"/>
      <c r="J134" s="2256"/>
      <c r="M134" s="560" t="s">
        <v>6066</v>
      </c>
      <c r="N134" s="811"/>
      <c r="O134" s="811"/>
      <c r="P134" s="811"/>
      <c r="Q134" s="811"/>
      <c r="R134" s="811"/>
      <c r="S134" s="811"/>
      <c r="T134" s="811"/>
      <c r="U134" s="811"/>
      <c r="V134" s="811"/>
      <c r="W134" s="811"/>
      <c r="X134" s="811"/>
      <c r="Y134" s="811"/>
      <c r="Z134" s="811"/>
      <c r="AA134" s="811"/>
      <c r="AB134" s="811"/>
      <c r="AC134" s="811"/>
      <c r="AD134" s="811"/>
      <c r="AE134" s="811"/>
      <c r="AF134" s="811"/>
      <c r="AG134" s="812"/>
      <c r="AH134" s="560" t="s">
        <v>6066</v>
      </c>
    </row>
    <row r="135" spans="2:34" ht="14.1" customHeight="1" thickBot="1">
      <c r="B135" s="2257"/>
      <c r="C135" s="481"/>
      <c r="D135" s="481"/>
      <c r="E135" s="481"/>
      <c r="F135" s="481"/>
      <c r="G135" s="481"/>
      <c r="H135" s="481"/>
      <c r="I135" s="481"/>
      <c r="J135" s="1288"/>
      <c r="M135" s="1987"/>
      <c r="N135" s="749" t="s">
        <v>7125</v>
      </c>
      <c r="O135" s="749" t="s">
        <v>7126</v>
      </c>
      <c r="P135" s="749" t="s">
        <v>10245</v>
      </c>
      <c r="Q135" s="749" t="s">
        <v>10246</v>
      </c>
      <c r="R135" s="749" t="s">
        <v>7129</v>
      </c>
      <c r="S135" s="749" t="s">
        <v>7130</v>
      </c>
      <c r="T135" s="749" t="s">
        <v>7131</v>
      </c>
      <c r="U135" s="749" t="s">
        <v>7132</v>
      </c>
      <c r="V135" s="749" t="s">
        <v>7133</v>
      </c>
      <c r="W135" s="749" t="s">
        <v>7134</v>
      </c>
      <c r="X135" s="749" t="s">
        <v>7135</v>
      </c>
      <c r="Y135" s="749" t="s">
        <v>7136</v>
      </c>
      <c r="Z135" s="749" t="s">
        <v>10247</v>
      </c>
      <c r="AA135" s="749" t="s">
        <v>10248</v>
      </c>
      <c r="AB135" s="749" t="s">
        <v>7139</v>
      </c>
      <c r="AC135" s="749" t="s">
        <v>7140</v>
      </c>
      <c r="AD135" s="749" t="s">
        <v>7141</v>
      </c>
      <c r="AE135" s="749" t="s">
        <v>7142</v>
      </c>
      <c r="AF135" s="749" t="s">
        <v>7143</v>
      </c>
      <c r="AG135" s="1082" t="s">
        <v>10249</v>
      </c>
      <c r="AH135" s="272" t="s">
        <v>1287</v>
      </c>
    </row>
    <row r="136" spans="2:34" ht="14.1" customHeight="1">
      <c r="B136" s="2257"/>
      <c r="C136" s="481"/>
      <c r="D136" s="481"/>
      <c r="E136" s="481"/>
      <c r="F136" s="481"/>
      <c r="G136" s="481"/>
      <c r="H136" s="481"/>
      <c r="I136" s="481"/>
      <c r="J136" s="1288"/>
      <c r="M136" s="2135" t="s">
        <v>7170</v>
      </c>
      <c r="N136" s="344" t="str">
        <f>CONCATENATE([1]SPELLBOOK!G215,", ",[1]SPELLBOOK!G216,", ",[1]SPELLBOOK!G217,", ",[1]SPELLBOOK!G218)</f>
        <v>Message, Friends, True Strike, Mendin</v>
      </c>
      <c r="O136" s="344" t="str">
        <f>$N$136</f>
        <v>Message, Friends, True Strike, Mendin</v>
      </c>
      <c r="P136" s="344" t="str">
        <f>$N$136</f>
        <v>Message, Friends, True Strike, Mendin</v>
      </c>
      <c r="Q136" s="344" t="str">
        <f>CONCATENATE($N$136,", ",[1]SPELLBOOK!G219)</f>
        <v>Message, Friends, True Strike, Mendin, Light</v>
      </c>
      <c r="R136" s="344" t="str">
        <f>$Q$136</f>
        <v>Message, Friends, True Strike, Mendin, Light</v>
      </c>
      <c r="S136" s="344" t="str">
        <f>$Q$136</f>
        <v>Message, Friends, True Strike, Mendin, Light</v>
      </c>
      <c r="T136" s="344" t="str">
        <f>$Q$136</f>
        <v>Message, Friends, True Strike, Mendin, Light</v>
      </c>
      <c r="U136" s="344" t="str">
        <f>$Q$136</f>
        <v>Message, Friends, True Strike, Mendin, Light</v>
      </c>
      <c r="V136" s="344" t="str">
        <f>$Q$136</f>
        <v>Message, Friends, True Strike, Mendin, Light</v>
      </c>
      <c r="W136" s="344" t="str">
        <f>CONCATENATE($V$136,", ",[1]SPELLBOOK!G220)</f>
        <v>Message, Friends, True Strike, Mendin, Light, Blade Ward</v>
      </c>
      <c r="X136" s="344" t="str">
        <f t="shared" ref="X136:AG136" si="34">$W$136</f>
        <v>Message, Friends, True Strike, Mendin, Light, Blade Ward</v>
      </c>
      <c r="Y136" s="344" t="str">
        <f t="shared" si="34"/>
        <v>Message, Friends, True Strike, Mendin, Light, Blade Ward</v>
      </c>
      <c r="Z136" s="344" t="str">
        <f t="shared" si="34"/>
        <v>Message, Friends, True Strike, Mendin, Light, Blade Ward</v>
      </c>
      <c r="AA136" s="344" t="str">
        <f t="shared" si="34"/>
        <v>Message, Friends, True Strike, Mendin, Light, Blade Ward</v>
      </c>
      <c r="AB136" s="344" t="str">
        <f t="shared" si="34"/>
        <v>Message, Friends, True Strike, Mendin, Light, Blade Ward</v>
      </c>
      <c r="AC136" s="344" t="str">
        <f t="shared" si="34"/>
        <v>Message, Friends, True Strike, Mendin, Light, Blade Ward</v>
      </c>
      <c r="AD136" s="344" t="str">
        <f t="shared" si="34"/>
        <v>Message, Friends, True Strike, Mendin, Light, Blade Ward</v>
      </c>
      <c r="AE136" s="344" t="str">
        <f t="shared" si="34"/>
        <v>Message, Friends, True Strike, Mendin, Light, Blade Ward</v>
      </c>
      <c r="AF136" s="344" t="str">
        <f t="shared" si="34"/>
        <v>Message, Friends, True Strike, Mendin, Light, Blade Ward</v>
      </c>
      <c r="AG136" s="741" t="str">
        <f t="shared" si="34"/>
        <v>Message, Friends, True Strike, Mendin, Light, Blade Ward</v>
      </c>
      <c r="AH136" s="272" t="s">
        <v>1287</v>
      </c>
    </row>
    <row r="137" spans="2:34" ht="14.1" customHeight="1">
      <c r="B137" s="2257"/>
      <c r="C137" s="481"/>
      <c r="D137" s="481"/>
      <c r="E137" s="481"/>
      <c r="F137" s="481"/>
      <c r="G137" s="481"/>
      <c r="H137" s="481"/>
      <c r="I137" s="481"/>
      <c r="J137" s="1288"/>
      <c r="M137" s="2138" t="s">
        <v>7172</v>
      </c>
      <c r="N137" s="368" t="str">
        <f>CONCATENATE([1]SPELLBOOK!L215,", ",[1]SPELLBOOK!L216)</f>
        <v>Witch Bolt, Burning Hands</v>
      </c>
      <c r="O137" s="368" t="str">
        <f>CONCATENATE($N$137,", ",[1]SPELLBOOK!L217)</f>
        <v>Witch Bolt, Burning Hands, Sleep</v>
      </c>
      <c r="P137" s="368" t="str">
        <f>CONCATENATE($O$137,", ",[1]SPELLBOOK!G218)</f>
        <v>Witch Bolt, Burning Hands, Sleep, Mendin</v>
      </c>
      <c r="Q137" s="368" t="str">
        <f t="shared" ref="Q137:AG137" si="35">$P$137</f>
        <v>Witch Bolt, Burning Hands, Sleep, Mendin</v>
      </c>
      <c r="R137" s="368" t="str">
        <f t="shared" si="35"/>
        <v>Witch Bolt, Burning Hands, Sleep, Mendin</v>
      </c>
      <c r="S137" s="368" t="str">
        <f t="shared" si="35"/>
        <v>Witch Bolt, Burning Hands, Sleep, Mendin</v>
      </c>
      <c r="T137" s="368" t="str">
        <f t="shared" si="35"/>
        <v>Witch Bolt, Burning Hands, Sleep, Mendin</v>
      </c>
      <c r="U137" s="368" t="str">
        <f t="shared" si="35"/>
        <v>Witch Bolt, Burning Hands, Sleep, Mendin</v>
      </c>
      <c r="V137" s="368" t="str">
        <f t="shared" si="35"/>
        <v>Witch Bolt, Burning Hands, Sleep, Mendin</v>
      </c>
      <c r="W137" s="368" t="str">
        <f t="shared" si="35"/>
        <v>Witch Bolt, Burning Hands, Sleep, Mendin</v>
      </c>
      <c r="X137" s="368" t="str">
        <f t="shared" si="35"/>
        <v>Witch Bolt, Burning Hands, Sleep, Mendin</v>
      </c>
      <c r="Y137" s="368" t="str">
        <f t="shared" si="35"/>
        <v>Witch Bolt, Burning Hands, Sleep, Mendin</v>
      </c>
      <c r="Z137" s="368" t="str">
        <f t="shared" si="35"/>
        <v>Witch Bolt, Burning Hands, Sleep, Mendin</v>
      </c>
      <c r="AA137" s="368" t="str">
        <f t="shared" si="35"/>
        <v>Witch Bolt, Burning Hands, Sleep, Mendin</v>
      </c>
      <c r="AB137" s="368" t="str">
        <f t="shared" si="35"/>
        <v>Witch Bolt, Burning Hands, Sleep, Mendin</v>
      </c>
      <c r="AC137" s="368" t="str">
        <f t="shared" si="35"/>
        <v>Witch Bolt, Burning Hands, Sleep, Mendin</v>
      </c>
      <c r="AD137" s="368" t="str">
        <f t="shared" si="35"/>
        <v>Witch Bolt, Burning Hands, Sleep, Mendin</v>
      </c>
      <c r="AE137" s="368" t="str">
        <f t="shared" si="35"/>
        <v>Witch Bolt, Burning Hands, Sleep, Mendin</v>
      </c>
      <c r="AF137" s="368" t="str">
        <f t="shared" si="35"/>
        <v>Witch Bolt, Burning Hands, Sleep, Mendin</v>
      </c>
      <c r="AG137" s="536" t="str">
        <f t="shared" si="35"/>
        <v>Witch Bolt, Burning Hands, Sleep, Mendin</v>
      </c>
      <c r="AH137" s="272" t="s">
        <v>1287</v>
      </c>
    </row>
    <row r="138" spans="2:34" ht="14.1" customHeight="1" thickBot="1">
      <c r="B138" s="2257"/>
      <c r="C138" s="481"/>
      <c r="D138" s="481"/>
      <c r="E138" s="481"/>
      <c r="F138" s="481"/>
      <c r="G138" s="481"/>
      <c r="H138" s="481"/>
      <c r="I138" s="481"/>
      <c r="J138" s="1288"/>
      <c r="M138" s="2138" t="s">
        <v>7174</v>
      </c>
      <c r="N138" s="2199" t="s">
        <v>1287</v>
      </c>
      <c r="O138" s="2199" t="s">
        <v>1287</v>
      </c>
      <c r="P138" s="368" t="str">
        <f>CONCATENATE([1]SPELLBOOK!Q215,", ",[1]SPELLBOOK!Q216)</f>
        <v>Web, Levitate</v>
      </c>
      <c r="Q138" s="368" t="str">
        <f>CONCATENATE($P$138,", ",[1]SPELLBOOK!Q217)</f>
        <v>Web, Levitate, Blur</v>
      </c>
      <c r="R138" s="368" t="str">
        <f t="shared" ref="R138:AG138" si="36">$Q$138</f>
        <v>Web, Levitate, Blur</v>
      </c>
      <c r="S138" s="368" t="str">
        <f t="shared" si="36"/>
        <v>Web, Levitate, Blur</v>
      </c>
      <c r="T138" s="368" t="str">
        <f t="shared" si="36"/>
        <v>Web, Levitate, Blur</v>
      </c>
      <c r="U138" s="368" t="str">
        <f t="shared" si="36"/>
        <v>Web, Levitate, Blur</v>
      </c>
      <c r="V138" s="368" t="str">
        <f t="shared" si="36"/>
        <v>Web, Levitate, Blur</v>
      </c>
      <c r="W138" s="368" t="str">
        <f t="shared" si="36"/>
        <v>Web, Levitate, Blur</v>
      </c>
      <c r="X138" s="368" t="str">
        <f t="shared" si="36"/>
        <v>Web, Levitate, Blur</v>
      </c>
      <c r="Y138" s="368" t="str">
        <f t="shared" si="36"/>
        <v>Web, Levitate, Blur</v>
      </c>
      <c r="Z138" s="368" t="str">
        <f t="shared" si="36"/>
        <v>Web, Levitate, Blur</v>
      </c>
      <c r="AA138" s="368" t="str">
        <f t="shared" si="36"/>
        <v>Web, Levitate, Blur</v>
      </c>
      <c r="AB138" s="368" t="str">
        <f t="shared" si="36"/>
        <v>Web, Levitate, Blur</v>
      </c>
      <c r="AC138" s="368" t="str">
        <f t="shared" si="36"/>
        <v>Web, Levitate, Blur</v>
      </c>
      <c r="AD138" s="368" t="str">
        <f t="shared" si="36"/>
        <v>Web, Levitate, Blur</v>
      </c>
      <c r="AE138" s="368" t="str">
        <f t="shared" si="36"/>
        <v>Web, Levitate, Blur</v>
      </c>
      <c r="AF138" s="368" t="str">
        <f t="shared" si="36"/>
        <v>Web, Levitate, Blur</v>
      </c>
      <c r="AG138" s="536" t="str">
        <f t="shared" si="36"/>
        <v>Web, Levitate, Blur</v>
      </c>
      <c r="AH138" s="272" t="s">
        <v>1287</v>
      </c>
    </row>
    <row r="139" spans="2:34" ht="14.1" customHeight="1" thickBot="1">
      <c r="B139" s="2258" t="s">
        <v>10291</v>
      </c>
      <c r="C139" s="2259"/>
      <c r="D139" s="2259"/>
      <c r="E139" s="2259"/>
      <c r="F139" s="481"/>
      <c r="G139" s="2260" t="s">
        <v>10292</v>
      </c>
      <c r="H139" s="2261"/>
      <c r="I139" s="2261"/>
      <c r="J139" s="2262"/>
      <c r="M139" s="2138" t="s">
        <v>7175</v>
      </c>
      <c r="N139" s="2199" t="s">
        <v>1287</v>
      </c>
      <c r="O139" s="2199" t="s">
        <v>1287</v>
      </c>
      <c r="P139" s="2199" t="s">
        <v>1287</v>
      </c>
      <c r="Q139" s="2199" t="s">
        <v>1287</v>
      </c>
      <c r="R139" s="368" t="str">
        <f>CONCATENATE([1]SPELLBOOK!V215,", ",[1]SPELLBOOK!V216)</f>
        <v>Dispel Magic, Tongues</v>
      </c>
      <c r="S139" s="368" t="str">
        <f>CONCATENATE($R$139,", ",[1]SPELLBOOK!V217)</f>
        <v>Dispel Magic, Tongues, Stinking Cloud</v>
      </c>
      <c r="T139" s="368" t="str">
        <f t="shared" ref="T139:AG139" si="37">$S$139</f>
        <v>Dispel Magic, Tongues, Stinking Cloud</v>
      </c>
      <c r="U139" s="368" t="str">
        <f t="shared" si="37"/>
        <v>Dispel Magic, Tongues, Stinking Cloud</v>
      </c>
      <c r="V139" s="368" t="str">
        <f t="shared" si="37"/>
        <v>Dispel Magic, Tongues, Stinking Cloud</v>
      </c>
      <c r="W139" s="368" t="str">
        <f t="shared" si="37"/>
        <v>Dispel Magic, Tongues, Stinking Cloud</v>
      </c>
      <c r="X139" s="368" t="str">
        <f t="shared" si="37"/>
        <v>Dispel Magic, Tongues, Stinking Cloud</v>
      </c>
      <c r="Y139" s="368" t="str">
        <f t="shared" si="37"/>
        <v>Dispel Magic, Tongues, Stinking Cloud</v>
      </c>
      <c r="Z139" s="368" t="str">
        <f t="shared" si="37"/>
        <v>Dispel Magic, Tongues, Stinking Cloud</v>
      </c>
      <c r="AA139" s="368" t="str">
        <f t="shared" si="37"/>
        <v>Dispel Magic, Tongues, Stinking Cloud</v>
      </c>
      <c r="AB139" s="368" t="str">
        <f t="shared" si="37"/>
        <v>Dispel Magic, Tongues, Stinking Cloud</v>
      </c>
      <c r="AC139" s="368" t="str">
        <f t="shared" si="37"/>
        <v>Dispel Magic, Tongues, Stinking Cloud</v>
      </c>
      <c r="AD139" s="368" t="str">
        <f t="shared" si="37"/>
        <v>Dispel Magic, Tongues, Stinking Cloud</v>
      </c>
      <c r="AE139" s="368" t="str">
        <f t="shared" si="37"/>
        <v>Dispel Magic, Tongues, Stinking Cloud</v>
      </c>
      <c r="AF139" s="368" t="str">
        <f t="shared" si="37"/>
        <v>Dispel Magic, Tongues, Stinking Cloud</v>
      </c>
      <c r="AG139" s="536" t="str">
        <f t="shared" si="37"/>
        <v>Dispel Magic, Tongues, Stinking Cloud</v>
      </c>
      <c r="AH139" s="272" t="s">
        <v>1287</v>
      </c>
    </row>
    <row r="140" spans="2:34" ht="14.1" customHeight="1">
      <c r="B140" s="2022" t="s">
        <v>10293</v>
      </c>
      <c r="C140" s="2259"/>
      <c r="D140" s="2259"/>
      <c r="E140" s="2259"/>
      <c r="F140" s="481"/>
      <c r="G140" s="2257"/>
      <c r="H140" s="481"/>
      <c r="I140" s="481"/>
      <c r="J140" s="1288"/>
      <c r="M140" s="2138" t="s">
        <v>7176</v>
      </c>
      <c r="N140" s="2199" t="s">
        <v>1287</v>
      </c>
      <c r="O140" s="2199" t="s">
        <v>1287</v>
      </c>
      <c r="P140" s="2199" t="s">
        <v>1287</v>
      </c>
      <c r="Q140" s="2199" t="s">
        <v>1287</v>
      </c>
      <c r="R140" s="2199" t="s">
        <v>1287</v>
      </c>
      <c r="S140" s="2199" t="s">
        <v>1287</v>
      </c>
      <c r="T140" s="368" t="str">
        <f>[1]SPELLBOOK!AA215</f>
        <v>Ice Storm</v>
      </c>
      <c r="U140" s="368" t="str">
        <f>CONCATENATE($T$140,", ",[1]SPELLBOOK!AA216)</f>
        <v>Ice Storm, Stoneskin</v>
      </c>
      <c r="V140" s="368" t="str">
        <f>CONCATENATE($U$140,", ",[1]SPELLBOOK!AA217)</f>
        <v>Ice Storm, Stoneskin, Dominate Beast</v>
      </c>
      <c r="W140" s="368" t="str">
        <f t="shared" ref="W140:AG140" si="38">$V$140</f>
        <v>Ice Storm, Stoneskin, Dominate Beast</v>
      </c>
      <c r="X140" s="368" t="str">
        <f t="shared" si="38"/>
        <v>Ice Storm, Stoneskin, Dominate Beast</v>
      </c>
      <c r="Y140" s="368" t="str">
        <f t="shared" si="38"/>
        <v>Ice Storm, Stoneskin, Dominate Beast</v>
      </c>
      <c r="Z140" s="368" t="str">
        <f t="shared" si="38"/>
        <v>Ice Storm, Stoneskin, Dominate Beast</v>
      </c>
      <c r="AA140" s="368" t="str">
        <f t="shared" si="38"/>
        <v>Ice Storm, Stoneskin, Dominate Beast</v>
      </c>
      <c r="AB140" s="368" t="str">
        <f t="shared" si="38"/>
        <v>Ice Storm, Stoneskin, Dominate Beast</v>
      </c>
      <c r="AC140" s="368" t="str">
        <f t="shared" si="38"/>
        <v>Ice Storm, Stoneskin, Dominate Beast</v>
      </c>
      <c r="AD140" s="368" t="str">
        <f t="shared" si="38"/>
        <v>Ice Storm, Stoneskin, Dominate Beast</v>
      </c>
      <c r="AE140" s="368" t="str">
        <f t="shared" si="38"/>
        <v>Ice Storm, Stoneskin, Dominate Beast</v>
      </c>
      <c r="AF140" s="368" t="str">
        <f t="shared" si="38"/>
        <v>Ice Storm, Stoneskin, Dominate Beast</v>
      </c>
      <c r="AG140" s="536" t="str">
        <f t="shared" si="38"/>
        <v>Ice Storm, Stoneskin, Dominate Beast</v>
      </c>
      <c r="AH140" s="272" t="s">
        <v>1287</v>
      </c>
    </row>
    <row r="141" spans="2:34" ht="14.1" customHeight="1">
      <c r="B141" s="2022" t="str">
        <f>[1]GEAR!C6</f>
        <v xml:space="preserve">Quarterstaff  | 1d6 | Versatile (1d8) </v>
      </c>
      <c r="C141" s="2259"/>
      <c r="D141" s="2259"/>
      <c r="E141" s="2259"/>
      <c r="F141" s="481"/>
      <c r="G141" s="2257"/>
      <c r="H141" s="481"/>
      <c r="I141" s="481"/>
      <c r="J141" s="1288"/>
      <c r="M141" s="2138" t="s">
        <v>7177</v>
      </c>
      <c r="N141" s="2199" t="s">
        <v>1287</v>
      </c>
      <c r="O141" s="2199" t="s">
        <v>1287</v>
      </c>
      <c r="P141" s="2199" t="s">
        <v>1287</v>
      </c>
      <c r="Q141" s="2199" t="s">
        <v>1287</v>
      </c>
      <c r="R141" s="2199" t="s">
        <v>1287</v>
      </c>
      <c r="S141" s="2199" t="s">
        <v>1287</v>
      </c>
      <c r="T141" s="2199" t="s">
        <v>1287</v>
      </c>
      <c r="U141" s="2199" t="s">
        <v>1287</v>
      </c>
      <c r="V141" s="368" t="str">
        <f>[1]SPELLBOOK!AF215</f>
        <v>Wall of Stone</v>
      </c>
      <c r="W141" s="368" t="str">
        <f>CONCATENATE($V$141,", ",[1]SPELLBOOK!AF216)</f>
        <v>Wall of Stone, Animate Object</v>
      </c>
      <c r="X141" s="368" t="str">
        <f t="shared" ref="X141:AC141" si="39">$W$141</f>
        <v>Wall of Stone, Animate Object</v>
      </c>
      <c r="Y141" s="368" t="str">
        <f t="shared" si="39"/>
        <v>Wall of Stone, Animate Object</v>
      </c>
      <c r="Z141" s="368" t="str">
        <f t="shared" si="39"/>
        <v>Wall of Stone, Animate Object</v>
      </c>
      <c r="AA141" s="368" t="str">
        <f t="shared" si="39"/>
        <v>Wall of Stone, Animate Object</v>
      </c>
      <c r="AB141" s="368" t="str">
        <f t="shared" si="39"/>
        <v>Wall of Stone, Animate Object</v>
      </c>
      <c r="AC141" s="368" t="str">
        <f t="shared" si="39"/>
        <v>Wall of Stone, Animate Object</v>
      </c>
      <c r="AD141" s="368" t="str">
        <f>CONCATENATE($AC$141,", ",[1]SPELLBOOK!AF217)</f>
        <v>Wall of Stone, Animate Object, Cloudkill</v>
      </c>
      <c r="AE141" s="368" t="str">
        <f>$AD$141</f>
        <v>Wall of Stone, Animate Object, Cloudkill</v>
      </c>
      <c r="AF141" s="368" t="str">
        <f>$AD$141</f>
        <v>Wall of Stone, Animate Object, Cloudkill</v>
      </c>
      <c r="AG141" s="536" t="str">
        <f>$AD$141</f>
        <v>Wall of Stone, Animate Object, Cloudkill</v>
      </c>
      <c r="AH141" s="272" t="s">
        <v>1287</v>
      </c>
    </row>
    <row r="142" spans="2:34" ht="14.1" customHeight="1">
      <c r="B142" s="2022" t="str">
        <f>[1]GEAR!C7</f>
        <v xml:space="preserve">Dagger  | 1d4 | Finesse, light, thrown (range 20/60) </v>
      </c>
      <c r="C142" s="2259"/>
      <c r="D142" s="2259"/>
      <c r="E142" s="2259"/>
      <c r="F142" s="481"/>
      <c r="G142" s="2257"/>
      <c r="H142" s="481"/>
      <c r="I142" s="481"/>
      <c r="J142" s="1288"/>
      <c r="M142" s="2138" t="s">
        <v>7178</v>
      </c>
      <c r="N142" s="2199" t="s">
        <v>1287</v>
      </c>
      <c r="O142" s="2199" t="s">
        <v>1287</v>
      </c>
      <c r="P142" s="2199" t="s">
        <v>1287</v>
      </c>
      <c r="Q142" s="2199" t="s">
        <v>1287</v>
      </c>
      <c r="R142" s="2199" t="s">
        <v>1287</v>
      </c>
      <c r="S142" s="2199" t="s">
        <v>1287</v>
      </c>
      <c r="T142" s="2199" t="s">
        <v>1287</v>
      </c>
      <c r="U142" s="2199" t="s">
        <v>1287</v>
      </c>
      <c r="V142" s="2199" t="s">
        <v>1287</v>
      </c>
      <c r="W142" s="2199" t="s">
        <v>1287</v>
      </c>
      <c r="X142" s="368" t="str">
        <f>[1]SPELLBOOK!AK215</f>
        <v>Chain Lightning</v>
      </c>
      <c r="Y142" s="368" t="str">
        <f t="shared" ref="Y142:AE142" si="40">$X$142</f>
        <v>Chain Lightning</v>
      </c>
      <c r="Z142" s="368" t="str">
        <f t="shared" si="40"/>
        <v>Chain Lightning</v>
      </c>
      <c r="AA142" s="368" t="str">
        <f t="shared" si="40"/>
        <v>Chain Lightning</v>
      </c>
      <c r="AB142" s="368" t="str">
        <f t="shared" si="40"/>
        <v>Chain Lightning</v>
      </c>
      <c r="AC142" s="368" t="str">
        <f t="shared" si="40"/>
        <v>Chain Lightning</v>
      </c>
      <c r="AD142" s="368" t="str">
        <f t="shared" si="40"/>
        <v>Chain Lightning</v>
      </c>
      <c r="AE142" s="368" t="str">
        <f t="shared" si="40"/>
        <v>Chain Lightning</v>
      </c>
      <c r="AF142" s="368" t="str">
        <f>CONCATENATE($AE$142,", ",[1]SPELLBOOK!AK216)</f>
        <v>Chain Lightning, Sunbeam</v>
      </c>
      <c r="AG142" s="536" t="str">
        <f>AF142</f>
        <v>Chain Lightning, Sunbeam</v>
      </c>
      <c r="AH142" s="272" t="s">
        <v>1287</v>
      </c>
    </row>
    <row r="143" spans="2:34" ht="14.1" customHeight="1">
      <c r="B143" s="2022" t="str">
        <f>[1]GEAR!C8</f>
        <v xml:space="preserve">Dagger  | 1d4 | Finesse, light, thrown (range 20/60) </v>
      </c>
      <c r="C143" s="2259"/>
      <c r="D143" s="2259"/>
      <c r="E143" s="2259"/>
      <c r="F143" s="481"/>
      <c r="G143" s="2257"/>
      <c r="H143" s="481"/>
      <c r="I143" s="481"/>
      <c r="J143" s="1288"/>
      <c r="M143" s="2138" t="s">
        <v>7179</v>
      </c>
      <c r="N143" s="2199" t="s">
        <v>1287</v>
      </c>
      <c r="O143" s="2199" t="s">
        <v>1287</v>
      </c>
      <c r="P143" s="2199" t="s">
        <v>1287</v>
      </c>
      <c r="Q143" s="2199" t="s">
        <v>1287</v>
      </c>
      <c r="R143" s="2199" t="s">
        <v>1287</v>
      </c>
      <c r="S143" s="2199" t="s">
        <v>1287</v>
      </c>
      <c r="T143" s="2199" t="s">
        <v>1287</v>
      </c>
      <c r="U143" s="2199" t="s">
        <v>1287</v>
      </c>
      <c r="V143" s="2199" t="s">
        <v>1287</v>
      </c>
      <c r="W143" s="2199" t="s">
        <v>1287</v>
      </c>
      <c r="X143" s="2199" t="s">
        <v>1287</v>
      </c>
      <c r="Y143" s="2199" t="s">
        <v>1287</v>
      </c>
      <c r="Z143" s="368" t="str">
        <f>[1]SPELLBOOK!AP215</f>
        <v>Prismatic Spray</v>
      </c>
      <c r="AA143" s="368" t="str">
        <f t="shared" ref="AA143:AF143" si="41">$Z$143</f>
        <v>Prismatic Spray</v>
      </c>
      <c r="AB143" s="368" t="str">
        <f t="shared" si="41"/>
        <v>Prismatic Spray</v>
      </c>
      <c r="AC143" s="368" t="str">
        <f t="shared" si="41"/>
        <v>Prismatic Spray</v>
      </c>
      <c r="AD143" s="368" t="str">
        <f t="shared" si="41"/>
        <v>Prismatic Spray</v>
      </c>
      <c r="AE143" s="368" t="str">
        <f t="shared" si="41"/>
        <v>Prismatic Spray</v>
      </c>
      <c r="AF143" s="368" t="str">
        <f t="shared" si="41"/>
        <v>Prismatic Spray</v>
      </c>
      <c r="AG143" s="536" t="str">
        <f>CONCATENATE($AF$143,", ",[1]SPELLBOOK!AP216)</f>
        <v>Prismatic Spray, Fire Storm</v>
      </c>
      <c r="AH143" s="272" t="s">
        <v>1287</v>
      </c>
    </row>
    <row r="144" spans="2:34" ht="14.1" customHeight="1">
      <c r="B144" s="2022" t="s">
        <v>10294</v>
      </c>
      <c r="C144" s="2259"/>
      <c r="D144" s="2259"/>
      <c r="E144" s="2259"/>
      <c r="F144" s="481"/>
      <c r="G144" s="2257"/>
      <c r="H144" s="481"/>
      <c r="I144" s="481"/>
      <c r="J144" s="1288"/>
      <c r="M144" s="2138" t="s">
        <v>7180</v>
      </c>
      <c r="N144" s="2199" t="s">
        <v>1287</v>
      </c>
      <c r="O144" s="2199" t="s">
        <v>1287</v>
      </c>
      <c r="P144" s="2199" t="s">
        <v>1287</v>
      </c>
      <c r="Q144" s="2199" t="s">
        <v>1287</v>
      </c>
      <c r="R144" s="2199" t="s">
        <v>1287</v>
      </c>
      <c r="S144" s="2199" t="s">
        <v>1287</v>
      </c>
      <c r="T144" s="2199" t="s">
        <v>1287</v>
      </c>
      <c r="U144" s="2199" t="s">
        <v>1287</v>
      </c>
      <c r="V144" s="2199" t="s">
        <v>1287</v>
      </c>
      <c r="W144" s="2199" t="s">
        <v>1287</v>
      </c>
      <c r="X144" s="2199" t="s">
        <v>1287</v>
      </c>
      <c r="Y144" s="2199" t="s">
        <v>1287</v>
      </c>
      <c r="Z144" s="2199" t="s">
        <v>1287</v>
      </c>
      <c r="AA144" s="2199" t="s">
        <v>1287</v>
      </c>
      <c r="AB144" s="368" t="str">
        <f>[1]SPELLBOOK!AU215</f>
        <v>Earthquake</v>
      </c>
      <c r="AC144" s="368" t="str">
        <f>$AB$144</f>
        <v>Earthquake</v>
      </c>
      <c r="AD144" s="368" t="str">
        <f>$AB$144</f>
        <v>Earthquake</v>
      </c>
      <c r="AE144" s="368" t="str">
        <f>$AB$144</f>
        <v>Earthquake</v>
      </c>
      <c r="AF144" s="368" t="str">
        <f>$AB$144</f>
        <v>Earthquake</v>
      </c>
      <c r="AG144" s="536" t="str">
        <f>$AB$144</f>
        <v>Earthquake</v>
      </c>
      <c r="AH144" s="272" t="s">
        <v>1287</v>
      </c>
    </row>
    <row r="145" spans="2:34" ht="14.1" customHeight="1" thickBot="1">
      <c r="B145" s="2022" t="str">
        <f>[1]GEAR!C12</f>
        <v xml:space="preserve">Dagger  | 1d4 | Finesse, light, thrown (range 20/60) </v>
      </c>
      <c r="C145" s="2259"/>
      <c r="D145" s="2259"/>
      <c r="E145" s="2259"/>
      <c r="F145" s="481"/>
      <c r="G145" s="2257"/>
      <c r="H145" s="481"/>
      <c r="I145" s="481"/>
      <c r="J145" s="1288"/>
      <c r="M145" s="2147" t="s">
        <v>7181</v>
      </c>
      <c r="N145" s="2205" t="s">
        <v>1287</v>
      </c>
      <c r="O145" s="2205" t="s">
        <v>1287</v>
      </c>
      <c r="P145" s="2205" t="s">
        <v>1287</v>
      </c>
      <c r="Q145" s="2205" t="s">
        <v>1287</v>
      </c>
      <c r="R145" s="2205" t="s">
        <v>1287</v>
      </c>
      <c r="S145" s="2205" t="s">
        <v>1287</v>
      </c>
      <c r="T145" s="2205" t="s">
        <v>1287</v>
      </c>
      <c r="U145" s="2205" t="s">
        <v>1287</v>
      </c>
      <c r="V145" s="2205" t="s">
        <v>1287</v>
      </c>
      <c r="W145" s="2205" t="s">
        <v>1287</v>
      </c>
      <c r="X145" s="2205" t="s">
        <v>1287</v>
      </c>
      <c r="Y145" s="2205" t="s">
        <v>1287</v>
      </c>
      <c r="Z145" s="2205" t="s">
        <v>1287</v>
      </c>
      <c r="AA145" s="2205" t="s">
        <v>1287</v>
      </c>
      <c r="AB145" s="2205" t="s">
        <v>1287</v>
      </c>
      <c r="AC145" s="2205" t="s">
        <v>1287</v>
      </c>
      <c r="AD145" s="423" t="str">
        <f>[1]SPELLBOOK!AZ215</f>
        <v>Meteor Swarm</v>
      </c>
      <c r="AE145" s="423" t="str">
        <f>$AD$145</f>
        <v>Meteor Swarm</v>
      </c>
      <c r="AF145" s="423" t="str">
        <f>$AD$145</f>
        <v>Meteor Swarm</v>
      </c>
      <c r="AG145" s="541" t="str">
        <f>$AD$145</f>
        <v>Meteor Swarm</v>
      </c>
      <c r="AH145" s="272" t="s">
        <v>1287</v>
      </c>
    </row>
    <row r="146" spans="2:34" ht="14.1" customHeight="1" thickBot="1">
      <c r="B146" s="2263" t="str">
        <f>[1]GEAR!C13</f>
        <v>Lt Crossbow | 1d8 | Ammo (range 80/320), Loading, 2-hand</v>
      </c>
      <c r="C146" s="2264"/>
      <c r="D146" s="2264"/>
      <c r="E146" s="2264"/>
      <c r="F146" s="2265"/>
      <c r="G146" s="2266"/>
      <c r="H146" s="2265"/>
      <c r="I146" s="2265"/>
      <c r="J146" s="2267"/>
      <c r="AH146" s="272" t="s">
        <v>1287</v>
      </c>
    </row>
    <row r="147" spans="2:34" ht="14.1" customHeight="1" thickBot="1">
      <c r="AH147" s="272" t="s">
        <v>1287</v>
      </c>
    </row>
    <row r="148" spans="2:34" ht="14.1" customHeight="1" thickBot="1">
      <c r="M148" s="560" t="s">
        <v>6067</v>
      </c>
      <c r="N148" s="811"/>
      <c r="O148" s="811"/>
      <c r="P148" s="811"/>
      <c r="Q148" s="811"/>
      <c r="R148" s="811"/>
      <c r="S148" s="811"/>
      <c r="T148" s="811"/>
      <c r="U148" s="811"/>
      <c r="V148" s="811"/>
      <c r="W148" s="811"/>
      <c r="X148" s="811"/>
      <c r="Y148" s="811"/>
      <c r="Z148" s="811"/>
      <c r="AA148" s="811"/>
      <c r="AB148" s="811"/>
      <c r="AC148" s="811"/>
      <c r="AD148" s="811"/>
      <c r="AE148" s="811"/>
      <c r="AF148" s="811"/>
      <c r="AG148" s="812"/>
      <c r="AH148" s="560" t="s">
        <v>6067</v>
      </c>
    </row>
    <row r="149" spans="2:34" ht="14.1" customHeight="1" thickBot="1">
      <c r="M149" s="1987"/>
      <c r="N149" s="749" t="s">
        <v>7125</v>
      </c>
      <c r="O149" s="749" t="s">
        <v>7126</v>
      </c>
      <c r="P149" s="749" t="s">
        <v>10245</v>
      </c>
      <c r="Q149" s="749" t="s">
        <v>10246</v>
      </c>
      <c r="R149" s="749" t="s">
        <v>7129</v>
      </c>
      <c r="S149" s="749" t="s">
        <v>7130</v>
      </c>
      <c r="T149" s="749" t="s">
        <v>7131</v>
      </c>
      <c r="U149" s="749" t="s">
        <v>7132</v>
      </c>
      <c r="V149" s="749" t="s">
        <v>7133</v>
      </c>
      <c r="W149" s="749" t="s">
        <v>7134</v>
      </c>
      <c r="X149" s="749" t="s">
        <v>7135</v>
      </c>
      <c r="Y149" s="749" t="s">
        <v>7136</v>
      </c>
      <c r="Z149" s="749" t="s">
        <v>10247</v>
      </c>
      <c r="AA149" s="749" t="s">
        <v>10248</v>
      </c>
      <c r="AB149" s="749" t="s">
        <v>7139</v>
      </c>
      <c r="AC149" s="749" t="s">
        <v>7140</v>
      </c>
      <c r="AD149" s="749" t="s">
        <v>7141</v>
      </c>
      <c r="AE149" s="749" t="s">
        <v>7142</v>
      </c>
      <c r="AF149" s="749" t="s">
        <v>7143</v>
      </c>
      <c r="AG149" s="1082" t="s">
        <v>10249</v>
      </c>
      <c r="AH149" s="272" t="s">
        <v>1287</v>
      </c>
    </row>
    <row r="150" spans="2:34" ht="14.1" customHeight="1" thickBot="1">
      <c r="B150" s="2268" t="s">
        <v>6548</v>
      </c>
      <c r="C150" s="3219" t="s">
        <v>10295</v>
      </c>
      <c r="D150" s="3219"/>
      <c r="E150" s="2269" t="s">
        <v>10296</v>
      </c>
      <c r="F150" s="2268" t="s">
        <v>773</v>
      </c>
      <c r="G150" s="2268" t="s">
        <v>10297</v>
      </c>
      <c r="H150" s="2270" t="s">
        <v>10298</v>
      </c>
      <c r="I150" s="2271" t="s">
        <v>10299</v>
      </c>
      <c r="M150" s="2135" t="s">
        <v>7170</v>
      </c>
      <c r="N150" s="344" t="str">
        <f>CONCATENATE([1]SPELLBOOK!$G$246&amp;", "&amp;[1]SPELLBOOK!$G$247)</f>
        <v>Prestidigitation, Poison Spray</v>
      </c>
      <c r="O150" s="344" t="str">
        <f>N150</f>
        <v>Prestidigitation, Poison Spray</v>
      </c>
      <c r="P150" s="344" t="str">
        <f ca="1">IF($C$10=3,CONCATENATE($N$150&amp;", "&amp;[1]SPELLBOOK!$G$248&amp;", "&amp;[1]SPELLBOOK!$G$249&amp;", "&amp;[1]SPELLBOOK!$G$250),$N$150)</f>
        <v>Prestidigitation, Poison Spray, Minor Illusion, Blade Ward, True Strike</v>
      </c>
      <c r="Q150" s="344" t="str">
        <f ca="1">IF(MATH!$C$10=3,CONCATENATE([1]SPELLBOOK!$G$246&amp;", "&amp;[1]SPELLBOOK!$G$247&amp;", "&amp;[1]SPELLBOOK!$G$248&amp;", "&amp;[1]SPELLBOOK!$G$249&amp;", "&amp;[1]SPELLBOOK!$G$250&amp;", "&amp;[1]SPELLBOOK!$G$251),CONCATENATE($N$150&amp;", "&amp;[1]SPELLBOOK!$G$248))</f>
        <v>Prestidigitation, Poison Spray, Minor Illusion, Blade Ward, True Strike, Eldritch Blast</v>
      </c>
      <c r="R150" s="344" t="str">
        <f ca="1">$Q$150</f>
        <v>Prestidigitation, Poison Spray, Minor Illusion, Blade Ward, True Strike, Eldritch Blast</v>
      </c>
      <c r="S150" s="344" t="str">
        <f ca="1">$Q$150</f>
        <v>Prestidigitation, Poison Spray, Minor Illusion, Blade Ward, True Strike, Eldritch Blast</v>
      </c>
      <c r="T150" s="344" t="str">
        <f ca="1">$Q$150</f>
        <v>Prestidigitation, Poison Spray, Minor Illusion, Blade Ward, True Strike, Eldritch Blast</v>
      </c>
      <c r="U150" s="344" t="str">
        <f ca="1">$Q$150</f>
        <v>Prestidigitation, Poison Spray, Minor Illusion, Blade Ward, True Strike, Eldritch Blast</v>
      </c>
      <c r="V150" s="344" t="str">
        <f ca="1">$Q$150</f>
        <v>Prestidigitation, Poison Spray, Minor Illusion, Blade Ward, True Strike, Eldritch Blast</v>
      </c>
      <c r="W150" s="344" t="str">
        <f ca="1">IF(MATH!$C$10=3,CONCATENATE(Q150,", ",[1]SPELLBOOK!G252),CONCATENATE(Q150,", ",[1]SPELLBOOK!G249))</f>
        <v>Prestidigitation, Poison Spray, Minor Illusion, Blade Ward, True Strike, Eldritch Blast, Friends</v>
      </c>
      <c r="X150" s="344" t="str">
        <f t="shared" ref="X150:AG150" ca="1" si="42">$W$150</f>
        <v>Prestidigitation, Poison Spray, Minor Illusion, Blade Ward, True Strike, Eldritch Blast, Friends</v>
      </c>
      <c r="Y150" s="344" t="str">
        <f t="shared" ca="1" si="42"/>
        <v>Prestidigitation, Poison Spray, Minor Illusion, Blade Ward, True Strike, Eldritch Blast, Friends</v>
      </c>
      <c r="Z150" s="344" t="str">
        <f t="shared" ca="1" si="42"/>
        <v>Prestidigitation, Poison Spray, Minor Illusion, Blade Ward, True Strike, Eldritch Blast, Friends</v>
      </c>
      <c r="AA150" s="344" t="str">
        <f t="shared" ca="1" si="42"/>
        <v>Prestidigitation, Poison Spray, Minor Illusion, Blade Ward, True Strike, Eldritch Blast, Friends</v>
      </c>
      <c r="AB150" s="344" t="str">
        <f t="shared" ca="1" si="42"/>
        <v>Prestidigitation, Poison Spray, Minor Illusion, Blade Ward, True Strike, Eldritch Blast, Friends</v>
      </c>
      <c r="AC150" s="344" t="str">
        <f t="shared" ca="1" si="42"/>
        <v>Prestidigitation, Poison Spray, Minor Illusion, Blade Ward, True Strike, Eldritch Blast, Friends</v>
      </c>
      <c r="AD150" s="344" t="str">
        <f t="shared" ca="1" si="42"/>
        <v>Prestidigitation, Poison Spray, Minor Illusion, Blade Ward, True Strike, Eldritch Blast, Friends</v>
      </c>
      <c r="AE150" s="344" t="str">
        <f t="shared" ca="1" si="42"/>
        <v>Prestidigitation, Poison Spray, Minor Illusion, Blade Ward, True Strike, Eldritch Blast, Friends</v>
      </c>
      <c r="AF150" s="344" t="str">
        <f t="shared" ca="1" si="42"/>
        <v>Prestidigitation, Poison Spray, Minor Illusion, Blade Ward, True Strike, Eldritch Blast, Friends</v>
      </c>
      <c r="AG150" s="344" t="str">
        <f t="shared" ca="1" si="42"/>
        <v>Prestidigitation, Poison Spray, Minor Illusion, Blade Ward, True Strike, Eldritch Blast, Friends</v>
      </c>
      <c r="AH150" s="272" t="s">
        <v>1287</v>
      </c>
    </row>
    <row r="151" spans="2:34" ht="14.1" customHeight="1" thickTop="1" thickBot="1">
      <c r="B151" s="2272">
        <f ca="1">RANDBETWEEN(E151,E153)</f>
        <v>19</v>
      </c>
      <c r="C151" s="2273" t="s">
        <v>10300</v>
      </c>
      <c r="D151" s="782" t="s">
        <v>10301</v>
      </c>
      <c r="E151" s="2274">
        <v>1</v>
      </c>
      <c r="F151" s="2275">
        <v>4</v>
      </c>
      <c r="G151" s="2276" t="str">
        <f ca="1">IF(B151&lt;31,$D$151,VLOOKUP(B151,$C$151:$D$171,2,FALSE))</f>
        <v>Ability Increase</v>
      </c>
      <c r="H151" s="2277">
        <f ca="1">IF(AND($D$5&gt;3,G151=$D$151),2,0)</f>
        <v>0</v>
      </c>
      <c r="I151" s="2278">
        <f ca="1">$E$156+$G$155</f>
        <v>13.010917186970582</v>
      </c>
      <c r="M151" s="2138" t="s">
        <v>7172</v>
      </c>
      <c r="N151" s="368" t="str">
        <f>CONCATENATE([1]SPELLBOOK!L246&amp;", "&amp;[1]SPELLBOOK!L247)</f>
        <v>Comprehend Languages, Hex</v>
      </c>
      <c r="O151" s="368" t="str">
        <f>N151</f>
        <v>Comprehend Languages, Hex</v>
      </c>
      <c r="P151" s="368" t="str">
        <f t="shared" ref="P151:AG151" si="43">O151</f>
        <v>Comprehend Languages, Hex</v>
      </c>
      <c r="Q151" s="368" t="str">
        <f t="shared" si="43"/>
        <v>Comprehend Languages, Hex</v>
      </c>
      <c r="R151" s="368" t="str">
        <f t="shared" si="43"/>
        <v>Comprehend Languages, Hex</v>
      </c>
      <c r="S151" s="368" t="str">
        <f t="shared" si="43"/>
        <v>Comprehend Languages, Hex</v>
      </c>
      <c r="T151" s="368" t="str">
        <f t="shared" si="43"/>
        <v>Comprehend Languages, Hex</v>
      </c>
      <c r="U151" s="368" t="str">
        <f t="shared" si="43"/>
        <v>Comprehend Languages, Hex</v>
      </c>
      <c r="V151" s="368" t="str">
        <f t="shared" si="43"/>
        <v>Comprehend Languages, Hex</v>
      </c>
      <c r="W151" s="368" t="str">
        <f t="shared" si="43"/>
        <v>Comprehend Languages, Hex</v>
      </c>
      <c r="X151" s="368" t="str">
        <f t="shared" si="43"/>
        <v>Comprehend Languages, Hex</v>
      </c>
      <c r="Y151" s="368" t="str">
        <f t="shared" si="43"/>
        <v>Comprehend Languages, Hex</v>
      </c>
      <c r="Z151" s="368" t="str">
        <f t="shared" si="43"/>
        <v>Comprehend Languages, Hex</v>
      </c>
      <c r="AA151" s="368" t="str">
        <f t="shared" si="43"/>
        <v>Comprehend Languages, Hex</v>
      </c>
      <c r="AB151" s="368" t="str">
        <f t="shared" si="43"/>
        <v>Comprehend Languages, Hex</v>
      </c>
      <c r="AC151" s="368" t="str">
        <f t="shared" si="43"/>
        <v>Comprehend Languages, Hex</v>
      </c>
      <c r="AD151" s="368" t="str">
        <f t="shared" si="43"/>
        <v>Comprehend Languages, Hex</v>
      </c>
      <c r="AE151" s="368" t="str">
        <f t="shared" si="43"/>
        <v>Comprehend Languages, Hex</v>
      </c>
      <c r="AF151" s="368" t="str">
        <f t="shared" si="43"/>
        <v>Comprehend Languages, Hex</v>
      </c>
      <c r="AG151" s="536" t="str">
        <f t="shared" si="43"/>
        <v>Comprehend Languages, Hex</v>
      </c>
      <c r="AH151" s="272" t="s">
        <v>1287</v>
      </c>
    </row>
    <row r="152" spans="2:34" ht="14.1" customHeight="1" thickBot="1">
      <c r="B152" s="796">
        <f ca="1">RANDBETWEEN(E151,E153)</f>
        <v>21</v>
      </c>
      <c r="C152" s="795">
        <v>31</v>
      </c>
      <c r="D152" s="2279"/>
      <c r="E152" s="2280" t="s">
        <v>10302</v>
      </c>
      <c r="F152" s="782">
        <v>8</v>
      </c>
      <c r="G152" s="2276" t="str">
        <f ca="1">IF(B152&lt;31,$D$151,VLOOKUP(B152,$C$151:$D$171,2,FALSE))</f>
        <v>Ability Increase</v>
      </c>
      <c r="H152" s="2281">
        <f ca="1">IF(AND($D$5&gt;7,G152=$D$151),2,0)</f>
        <v>0</v>
      </c>
      <c r="I152" s="858" t="s">
        <v>10303</v>
      </c>
      <c r="M152" s="2138" t="s">
        <v>7174</v>
      </c>
      <c r="N152" s="2199" t="s">
        <v>1287</v>
      </c>
      <c r="O152" s="2199" t="s">
        <v>1287</v>
      </c>
      <c r="P152" s="368" t="str">
        <f>[1]SPELLBOOK!Q246</f>
        <v>Darkness</v>
      </c>
      <c r="Q152" s="368" t="str">
        <f>CONCATENATE($P$152&amp;", "&amp;[1]SPELLBOOK!$Q$247)</f>
        <v>Darkness, Ray of Enfeeblement</v>
      </c>
      <c r="R152" s="368" t="str">
        <f>CONCATENATE($P$152&amp;", "&amp;[1]SPELLBOOK!$Q$247)</f>
        <v>Darkness, Ray of Enfeeblement</v>
      </c>
      <c r="S152" s="368" t="str">
        <f>CONCATENATE($P$152&amp;", "&amp;[1]SPELLBOOK!$Q$247)</f>
        <v>Darkness, Ray of Enfeeblement</v>
      </c>
      <c r="T152" s="368" t="str">
        <f>CONCATENATE($P$152&amp;", "&amp;[1]SPELLBOOK!$Q$247)</f>
        <v>Darkness, Ray of Enfeeblement</v>
      </c>
      <c r="U152" s="368" t="str">
        <f>CONCATENATE($P$152&amp;", "&amp;[1]SPELLBOOK!$Q$247)</f>
        <v>Darkness, Ray of Enfeeblement</v>
      </c>
      <c r="V152" s="368" t="str">
        <f>CONCATENATE($P$152&amp;", "&amp;[1]SPELLBOOK!$Q$247)</f>
        <v>Darkness, Ray of Enfeeblement</v>
      </c>
      <c r="W152" s="368" t="str">
        <f>CONCATENATE($P$152&amp;", "&amp;[1]SPELLBOOK!$Q$247)</f>
        <v>Darkness, Ray of Enfeeblement</v>
      </c>
      <c r="X152" s="368" t="str">
        <f>CONCATENATE($P$152&amp;", "&amp;[1]SPELLBOOK!$Q$247)</f>
        <v>Darkness, Ray of Enfeeblement</v>
      </c>
      <c r="Y152" s="368" t="str">
        <f>CONCATENATE($P$152&amp;", "&amp;[1]SPELLBOOK!$Q$247)</f>
        <v>Darkness, Ray of Enfeeblement</v>
      </c>
      <c r="Z152" s="368" t="str">
        <f>CONCATENATE($P$152&amp;", "&amp;[1]SPELLBOOK!$Q$247)</f>
        <v>Darkness, Ray of Enfeeblement</v>
      </c>
      <c r="AA152" s="368" t="str">
        <f>CONCATENATE($P$152&amp;", "&amp;[1]SPELLBOOK!$Q$247)</f>
        <v>Darkness, Ray of Enfeeblement</v>
      </c>
      <c r="AB152" s="368" t="str">
        <f>CONCATENATE($P$152&amp;", "&amp;[1]SPELLBOOK!$Q$247)</f>
        <v>Darkness, Ray of Enfeeblement</v>
      </c>
      <c r="AC152" s="368" t="str">
        <f>CONCATENATE($P$152&amp;", "&amp;[1]SPELLBOOK!$Q$247)</f>
        <v>Darkness, Ray of Enfeeblement</v>
      </c>
      <c r="AD152" s="368" t="str">
        <f>CONCATENATE($P$152&amp;", "&amp;[1]SPELLBOOK!$Q$247)</f>
        <v>Darkness, Ray of Enfeeblement</v>
      </c>
      <c r="AE152" s="368" t="str">
        <f>CONCATENATE($P$152&amp;", "&amp;[1]SPELLBOOK!$Q$247)</f>
        <v>Darkness, Ray of Enfeeblement</v>
      </c>
      <c r="AF152" s="368" t="str">
        <f>CONCATENATE($P$152&amp;", "&amp;[1]SPELLBOOK!$Q$247)</f>
        <v>Darkness, Ray of Enfeeblement</v>
      </c>
      <c r="AG152" s="536" t="str">
        <f>CONCATENATE($P$152&amp;", "&amp;[1]SPELLBOOK!$Q$247)</f>
        <v>Darkness, Ray of Enfeeblement</v>
      </c>
      <c r="AH152" s="272" t="s">
        <v>1287</v>
      </c>
    </row>
    <row r="153" spans="2:34" ht="14.1" customHeight="1" thickBot="1">
      <c r="B153" s="1576">
        <f ca="1">RANDBETWEEN(E151,E153)</f>
        <v>7</v>
      </c>
      <c r="C153" s="795">
        <v>32</v>
      </c>
      <c r="D153" s="2279"/>
      <c r="E153" s="2282">
        <v>30</v>
      </c>
      <c r="F153" s="782">
        <v>12</v>
      </c>
      <c r="G153" s="2276" t="str">
        <f ca="1">IF(B153&lt;31,$D$151,VLOOKUP(B153,$C$151:$D$171,2,FALSE))</f>
        <v>Ability Increase</v>
      </c>
      <c r="H153" s="2281">
        <f ca="1">IF(AND($D$5&gt;11,G153=$D$151),2,0)</f>
        <v>0</v>
      </c>
      <c r="I153" s="2283">
        <f ca="1">IF(I151&gt;20,I154,0)</f>
        <v>0</v>
      </c>
      <c r="M153" s="2138" t="s">
        <v>7175</v>
      </c>
      <c r="N153" s="2199" t="s">
        <v>1287</v>
      </c>
      <c r="O153" s="2199" t="s">
        <v>1287</v>
      </c>
      <c r="P153" s="2199" t="s">
        <v>1287</v>
      </c>
      <c r="Q153" s="2199" t="s">
        <v>1287</v>
      </c>
      <c r="R153" s="368" t="str">
        <f>[1]SPELLBOOK!$V$246</f>
        <v>Dispel Magic</v>
      </c>
      <c r="S153" s="368" t="str">
        <f>CONCATENATE($R$153&amp;", "&amp;[1]SPELLBOOK!$V$247)</f>
        <v>Dispel Magic, Tongues</v>
      </c>
      <c r="T153" s="368" t="str">
        <f>CONCATENATE($R$153&amp;", "&amp;[1]SPELLBOOK!$V$247)</f>
        <v>Dispel Magic, Tongues</v>
      </c>
      <c r="U153" s="368" t="str">
        <f>CONCATENATE($R$153&amp;", "&amp;[1]SPELLBOOK!$V$247)</f>
        <v>Dispel Magic, Tongues</v>
      </c>
      <c r="V153" s="368" t="str">
        <f>CONCATENATE($R$153&amp;", "&amp;[1]SPELLBOOK!$V$247)</f>
        <v>Dispel Magic, Tongues</v>
      </c>
      <c r="W153" s="368" t="str">
        <f>CONCATENATE($R$153&amp;", "&amp;[1]SPELLBOOK!$V$247)</f>
        <v>Dispel Magic, Tongues</v>
      </c>
      <c r="X153" s="368" t="str">
        <f>CONCATENATE($R$153&amp;", "&amp;[1]SPELLBOOK!$V$247)</f>
        <v>Dispel Magic, Tongues</v>
      </c>
      <c r="Y153" s="368" t="str">
        <f>CONCATENATE($R$153&amp;", "&amp;[1]SPELLBOOK!$V$247)</f>
        <v>Dispel Magic, Tongues</v>
      </c>
      <c r="Z153" s="368" t="str">
        <f>CONCATENATE($R$153&amp;", "&amp;[1]SPELLBOOK!$V$247)</f>
        <v>Dispel Magic, Tongues</v>
      </c>
      <c r="AA153" s="368" t="str">
        <f>CONCATENATE($R$153&amp;", "&amp;[1]SPELLBOOK!$V$247)</f>
        <v>Dispel Magic, Tongues</v>
      </c>
      <c r="AB153" s="368" t="str">
        <f>CONCATENATE($R$153&amp;", "&amp;[1]SPELLBOOK!$V$247)</f>
        <v>Dispel Magic, Tongues</v>
      </c>
      <c r="AC153" s="368" t="str">
        <f>CONCATENATE($R$153&amp;", "&amp;[1]SPELLBOOK!$V$247)</f>
        <v>Dispel Magic, Tongues</v>
      </c>
      <c r="AD153" s="368" t="str">
        <f>CONCATENATE($R$153&amp;", "&amp;[1]SPELLBOOK!$V$247)</f>
        <v>Dispel Magic, Tongues</v>
      </c>
      <c r="AE153" s="368" t="str">
        <f>CONCATENATE($R$153&amp;", "&amp;[1]SPELLBOOK!$V$247)</f>
        <v>Dispel Magic, Tongues</v>
      </c>
      <c r="AF153" s="368" t="str">
        <f>CONCATENATE($R$153&amp;", "&amp;[1]SPELLBOOK!$V$247)</f>
        <v>Dispel Magic, Tongues</v>
      </c>
      <c r="AG153" s="536" t="str">
        <f>CONCATENATE($R$153&amp;", "&amp;[1]SPELLBOOK!$V$247)</f>
        <v>Dispel Magic, Tongues</v>
      </c>
      <c r="AH153" s="272" t="s">
        <v>1287</v>
      </c>
    </row>
    <row r="154" spans="2:34" ht="14.1" customHeight="1" thickTop="1" thickBot="1">
      <c r="B154" s="2284">
        <f ca="1">RANDBETWEEN(E151,E153)</f>
        <v>22</v>
      </c>
      <c r="C154" s="795">
        <v>33</v>
      </c>
      <c r="D154" s="2285"/>
      <c r="E154" s="2286" t="s">
        <v>10304</v>
      </c>
      <c r="F154" s="2287">
        <v>16</v>
      </c>
      <c r="G154" s="2288" t="str">
        <f ca="1">IF(B154&lt;31,$D$151,VLOOKUP(B154,$C$151:$D$171,2,FALSE))</f>
        <v>Ability Increase</v>
      </c>
      <c r="H154" s="2289">
        <f ca="1">IF(AND($D$5&gt;15,G154=$D$151),2,0)</f>
        <v>0</v>
      </c>
      <c r="I154" s="2290">
        <f ca="1">I151-20</f>
        <v>-6.9890828130294178</v>
      </c>
      <c r="M154" s="2138" t="s">
        <v>7176</v>
      </c>
      <c r="N154" s="2199" t="s">
        <v>1287</v>
      </c>
      <c r="O154" s="2199" t="s">
        <v>1287</v>
      </c>
      <c r="P154" s="2199" t="s">
        <v>1287</v>
      </c>
      <c r="Q154" s="2199" t="s">
        <v>1287</v>
      </c>
      <c r="R154" s="2199" t="s">
        <v>1287</v>
      </c>
      <c r="S154" s="2199" t="s">
        <v>1287</v>
      </c>
      <c r="T154" s="368" t="str">
        <f>[1]SPELLBOOK!$AA$246</f>
        <v/>
      </c>
      <c r="U154" s="368" t="str">
        <f>CONCATENATE($T$154&amp;", "&amp;[1]SPELLBOOK!$AA$247)</f>
        <v>, Dimension Door</v>
      </c>
      <c r="V154" s="368" t="str">
        <f>CONCATENATE($T$154&amp;", "&amp;[1]SPELLBOOK!$AA$247)</f>
        <v>, Dimension Door</v>
      </c>
      <c r="W154" s="368" t="str">
        <f>CONCATENATE($T$154&amp;", "&amp;[1]SPELLBOOK!$AA$247)</f>
        <v>, Dimension Door</v>
      </c>
      <c r="X154" s="368" t="str">
        <f>CONCATENATE($T$154&amp;", "&amp;[1]SPELLBOOK!$AA$247)</f>
        <v>, Dimension Door</v>
      </c>
      <c r="Y154" s="368" t="str">
        <f>CONCATENATE($T$154&amp;", "&amp;[1]SPELLBOOK!$AA$247)</f>
        <v>, Dimension Door</v>
      </c>
      <c r="Z154" s="368" t="str">
        <f>CONCATENATE($T$154&amp;", "&amp;[1]SPELLBOOK!$AA$247)</f>
        <v>, Dimension Door</v>
      </c>
      <c r="AA154" s="368" t="str">
        <f>CONCATENATE($T$154&amp;", "&amp;[1]SPELLBOOK!$AA$247)</f>
        <v>, Dimension Door</v>
      </c>
      <c r="AB154" s="368" t="str">
        <f>CONCATENATE($T$154&amp;", "&amp;[1]SPELLBOOK!$AA$247)</f>
        <v>, Dimension Door</v>
      </c>
      <c r="AC154" s="368" t="str">
        <f>CONCATENATE($T$154&amp;", "&amp;[1]SPELLBOOK!$AA$247)</f>
        <v>, Dimension Door</v>
      </c>
      <c r="AD154" s="368" t="str">
        <f>CONCATENATE($T$154&amp;", "&amp;[1]SPELLBOOK!$AA$247)</f>
        <v>, Dimension Door</v>
      </c>
      <c r="AE154" s="368" t="str">
        <f>CONCATENATE($T$154&amp;", "&amp;[1]SPELLBOOK!$AA$247)</f>
        <v>, Dimension Door</v>
      </c>
      <c r="AF154" s="368" t="str">
        <f>CONCATENATE($T$154&amp;", "&amp;[1]SPELLBOOK!$AA$247)</f>
        <v>, Dimension Door</v>
      </c>
      <c r="AG154" s="536" t="str">
        <f>CONCATENATE($T$154&amp;", "&amp;[1]SPELLBOOK!$AA$247)</f>
        <v>, Dimension Door</v>
      </c>
      <c r="AH154" s="272" t="s">
        <v>1287</v>
      </c>
    </row>
    <row r="155" spans="2:34" ht="14.1" customHeight="1" thickBot="1">
      <c r="B155" s="602"/>
      <c r="C155" s="795">
        <v>34</v>
      </c>
      <c r="D155" s="2285"/>
      <c r="E155" s="2291" t="str">
        <f ca="1">VLOOKUP(C8,[1]CLASS!B6:H17,5)</f>
        <v>Str</v>
      </c>
      <c r="F155" s="2292" t="s">
        <v>10305</v>
      </c>
      <c r="G155" s="553">
        <f ca="1">SUM(H151:H154)</f>
        <v>0</v>
      </c>
      <c r="I155" s="2293"/>
      <c r="M155" s="2138" t="s">
        <v>7177</v>
      </c>
      <c r="N155" s="2199" t="s">
        <v>1287</v>
      </c>
      <c r="O155" s="2199" t="s">
        <v>1287</v>
      </c>
      <c r="P155" s="2199" t="s">
        <v>1287</v>
      </c>
      <c r="Q155" s="2199" t="s">
        <v>1287</v>
      </c>
      <c r="R155" s="2199" t="s">
        <v>1287</v>
      </c>
      <c r="S155" s="2199" t="s">
        <v>1287</v>
      </c>
      <c r="T155" s="2199" t="s">
        <v>1287</v>
      </c>
      <c r="U155" s="2199" t="s">
        <v>1287</v>
      </c>
      <c r="V155" s="368" t="str">
        <f>[1]SPELLBOOK!$AF$246</f>
        <v/>
      </c>
      <c r="W155" s="368" t="str">
        <f>CONCATENATE($V$155&amp;", "&amp;[1]SPELLBOOK!$AF$247)</f>
        <v xml:space="preserve">, </v>
      </c>
      <c r="X155" s="368" t="str">
        <f>CONCATENATE($V$155&amp;", "&amp;[1]SPELLBOOK!$AF$247)</f>
        <v xml:space="preserve">, </v>
      </c>
      <c r="Y155" s="368" t="str">
        <f>CONCATENATE($V$155&amp;", "&amp;[1]SPELLBOOK!$AF$247)</f>
        <v xml:space="preserve">, </v>
      </c>
      <c r="Z155" s="368" t="str">
        <f>CONCATENATE($V$155&amp;", "&amp;[1]SPELLBOOK!$AF$247)</f>
        <v xml:space="preserve">, </v>
      </c>
      <c r="AA155" s="368" t="str">
        <f>CONCATENATE($V$155&amp;", "&amp;[1]SPELLBOOK!$AF$247)</f>
        <v xml:space="preserve">, </v>
      </c>
      <c r="AB155" s="368" t="str">
        <f>CONCATENATE($V$155&amp;", "&amp;[1]SPELLBOOK!$AF$247)</f>
        <v xml:space="preserve">, </v>
      </c>
      <c r="AC155" s="368" t="str">
        <f>CONCATENATE($V$155&amp;", "&amp;[1]SPELLBOOK!$AF$247)</f>
        <v xml:space="preserve">, </v>
      </c>
      <c r="AD155" s="368" t="str">
        <f>CONCATENATE($V$155&amp;", "&amp;[1]SPELLBOOK!$AF$247)</f>
        <v xml:space="preserve">, </v>
      </c>
      <c r="AE155" s="368" t="str">
        <f>CONCATENATE($V$155&amp;", "&amp;[1]SPELLBOOK!$AF$247)</f>
        <v xml:space="preserve">, </v>
      </c>
      <c r="AF155" s="368" t="str">
        <f>CONCATENATE($V$155&amp;", "&amp;[1]SPELLBOOK!$AF$247)</f>
        <v xml:space="preserve">, </v>
      </c>
      <c r="AG155" s="536" t="str">
        <f>CONCATENATE($V$155&amp;", "&amp;[1]SPELLBOOK!$AF$247)</f>
        <v xml:space="preserve">, </v>
      </c>
      <c r="AH155" s="272" t="s">
        <v>1287</v>
      </c>
    </row>
    <row r="156" spans="2:34" ht="14.1" customHeight="1" thickBot="1">
      <c r="B156" s="602"/>
      <c r="C156" s="795">
        <v>35</v>
      </c>
      <c r="D156" s="2279"/>
      <c r="E156" s="2294">
        <f ca="1">IF(E155="Str",H157,IF(E155="Dex",H158,IF(E155="Con",H159,IF(E155="Int",H160,IF(E155="Wis",H161,H162)))))</f>
        <v>13.010917186970582</v>
      </c>
      <c r="H156" s="1492" t="s">
        <v>10306</v>
      </c>
      <c r="I156" s="2295" t="s">
        <v>10307</v>
      </c>
      <c r="M156" s="2138" t="s">
        <v>7178</v>
      </c>
      <c r="N156" s="2199" t="s">
        <v>1287</v>
      </c>
      <c r="O156" s="2199" t="s">
        <v>1287</v>
      </c>
      <c r="P156" s="2199" t="s">
        <v>1287</v>
      </c>
      <c r="Q156" s="2199" t="s">
        <v>1287</v>
      </c>
      <c r="R156" s="2199" t="s">
        <v>1287</v>
      </c>
      <c r="S156" s="2199" t="s">
        <v>1287</v>
      </c>
      <c r="T156" s="2199" t="s">
        <v>1287</v>
      </c>
      <c r="U156" s="2199" t="s">
        <v>1287</v>
      </c>
      <c r="V156" s="2199" t="s">
        <v>1287</v>
      </c>
      <c r="W156" s="2199" t="s">
        <v>1287</v>
      </c>
      <c r="X156" s="368" t="str">
        <f>[1]SPELLBOOK!$AK$246</f>
        <v/>
      </c>
      <c r="Y156" s="368" t="str">
        <f>[1]SPELLBOOK!$AK$246</f>
        <v/>
      </c>
      <c r="Z156" s="368" t="str">
        <f>[1]SPELLBOOK!$AK$246</f>
        <v/>
      </c>
      <c r="AA156" s="368" t="str">
        <f>[1]SPELLBOOK!$AK$246</f>
        <v/>
      </c>
      <c r="AB156" s="368" t="str">
        <f>[1]SPELLBOOK!$AK$246</f>
        <v/>
      </c>
      <c r="AC156" s="368" t="str">
        <f>[1]SPELLBOOK!$AK$246</f>
        <v/>
      </c>
      <c r="AD156" s="368" t="str">
        <f>[1]SPELLBOOK!$AK$246</f>
        <v/>
      </c>
      <c r="AE156" s="368" t="str">
        <f>[1]SPELLBOOK!$AK$246</f>
        <v/>
      </c>
      <c r="AF156" s="368" t="str">
        <f>[1]SPELLBOOK!$AK$246</f>
        <v/>
      </c>
      <c r="AG156" s="536" t="str">
        <f>[1]SPELLBOOK!$AK$246</f>
        <v/>
      </c>
      <c r="AH156" s="272" t="s">
        <v>1287</v>
      </c>
    </row>
    <row r="157" spans="2:34" ht="14.1" customHeight="1" thickTop="1">
      <c r="B157" s="602"/>
      <c r="C157" s="795">
        <v>36</v>
      </c>
      <c r="D157" s="2279"/>
      <c r="E157" s="2286" t="s">
        <v>10308</v>
      </c>
      <c r="H157" s="2296">
        <f>[1]ABILITIES!Q24</f>
        <v>13.010917186970582</v>
      </c>
      <c r="I157" s="2297" t="s">
        <v>1972</v>
      </c>
      <c r="M157" s="2138" t="s">
        <v>7179</v>
      </c>
      <c r="N157" s="2199" t="s">
        <v>1287</v>
      </c>
      <c r="O157" s="2199" t="s">
        <v>1287</v>
      </c>
      <c r="P157" s="2199" t="s">
        <v>1287</v>
      </c>
      <c r="Q157" s="2199" t="s">
        <v>1287</v>
      </c>
      <c r="R157" s="2199" t="s">
        <v>1287</v>
      </c>
      <c r="S157" s="2199" t="s">
        <v>1287</v>
      </c>
      <c r="T157" s="2199" t="s">
        <v>1287</v>
      </c>
      <c r="U157" s="2199" t="s">
        <v>1287</v>
      </c>
      <c r="V157" s="2199" t="s">
        <v>1287</v>
      </c>
      <c r="W157" s="2199" t="s">
        <v>1287</v>
      </c>
      <c r="X157" s="2199" t="s">
        <v>1287</v>
      </c>
      <c r="Y157" s="2199" t="s">
        <v>1287</v>
      </c>
      <c r="Z157" s="368" t="str">
        <f>[1]SPELLBOOK!$AP$246</f>
        <v/>
      </c>
      <c r="AA157" s="368" t="str">
        <f>[1]SPELLBOOK!$AP$246</f>
        <v/>
      </c>
      <c r="AB157" s="368" t="str">
        <f>[1]SPELLBOOK!$AP$246</f>
        <v/>
      </c>
      <c r="AC157" s="368" t="str">
        <f>[1]SPELLBOOK!$AP$246</f>
        <v/>
      </c>
      <c r="AD157" s="368" t="str">
        <f>[1]SPELLBOOK!$AP$246</f>
        <v/>
      </c>
      <c r="AE157" s="368" t="str">
        <f>[1]SPELLBOOK!$AP$246</f>
        <v/>
      </c>
      <c r="AF157" s="368" t="str">
        <f>[1]SPELLBOOK!$AP$246</f>
        <v/>
      </c>
      <c r="AG157" s="536" t="str">
        <f>[1]SPELLBOOK!$AP$246</f>
        <v/>
      </c>
      <c r="AH157" s="272" t="s">
        <v>1287</v>
      </c>
    </row>
    <row r="158" spans="2:34" ht="14.1" customHeight="1">
      <c r="B158" s="602"/>
      <c r="C158" s="795">
        <v>37</v>
      </c>
      <c r="D158" s="2279"/>
      <c r="E158" s="2291" t="str">
        <f ca="1">VLOOKUP(C8,[1]CLASS!B6:H17,6)</f>
        <v>Con</v>
      </c>
      <c r="H158" s="2298">
        <f>[1]ABILITIES!Q25</f>
        <v>16.014217381078286</v>
      </c>
      <c r="I158" s="2299" t="s">
        <v>1973</v>
      </c>
      <c r="M158" s="2138" t="s">
        <v>7180</v>
      </c>
      <c r="N158" s="2199" t="s">
        <v>1287</v>
      </c>
      <c r="O158" s="2199" t="s">
        <v>1287</v>
      </c>
      <c r="P158" s="2199" t="s">
        <v>1287</v>
      </c>
      <c r="Q158" s="2199" t="s">
        <v>1287</v>
      </c>
      <c r="R158" s="2199" t="s">
        <v>1287</v>
      </c>
      <c r="S158" s="2199" t="s">
        <v>1287</v>
      </c>
      <c r="T158" s="2199" t="s">
        <v>1287</v>
      </c>
      <c r="U158" s="2199" t="s">
        <v>1287</v>
      </c>
      <c r="V158" s="2199" t="s">
        <v>1287</v>
      </c>
      <c r="W158" s="2199" t="s">
        <v>1287</v>
      </c>
      <c r="X158" s="2199" t="s">
        <v>1287</v>
      </c>
      <c r="Y158" s="2199" t="s">
        <v>1287</v>
      </c>
      <c r="Z158" s="2199" t="s">
        <v>1287</v>
      </c>
      <c r="AA158" s="2199" t="s">
        <v>1287</v>
      </c>
      <c r="AB158" s="368" t="str">
        <f>[1]SPELLBOOK!$AU$246</f>
        <v/>
      </c>
      <c r="AC158" s="368" t="str">
        <f>[1]SPELLBOOK!$AU$246</f>
        <v/>
      </c>
      <c r="AD158" s="368" t="str">
        <f>[1]SPELLBOOK!$AU$246</f>
        <v/>
      </c>
      <c r="AE158" s="368" t="str">
        <f>[1]SPELLBOOK!$AU$246</f>
        <v/>
      </c>
      <c r="AF158" s="368" t="str">
        <f>[1]SPELLBOOK!$AU$246</f>
        <v/>
      </c>
      <c r="AG158" s="536" t="str">
        <f>[1]SPELLBOOK!$AU$246</f>
        <v/>
      </c>
      <c r="AH158" s="272" t="s">
        <v>1287</v>
      </c>
    </row>
    <row r="159" spans="2:34" ht="14.1" customHeight="1" thickBot="1">
      <c r="B159" s="602"/>
      <c r="C159" s="795">
        <v>38</v>
      </c>
      <c r="D159" s="2279"/>
      <c r="E159" s="2294">
        <f ca="1">IF(E158="Str",H157,IF(E158="Dex",H158,IF(E158="Con",H159,IF(E158="Int",H160,IF(E158="Wis",H161,H162)))))</f>
        <v>15.009468397344969</v>
      </c>
      <c r="H159" s="2298">
        <f>[1]ABILITIES!Q26</f>
        <v>15.009468397344969</v>
      </c>
      <c r="I159" s="2299" t="s">
        <v>1974</v>
      </c>
      <c r="M159" s="2147" t="s">
        <v>7181</v>
      </c>
      <c r="N159" s="2205" t="s">
        <v>1287</v>
      </c>
      <c r="O159" s="2205" t="s">
        <v>1287</v>
      </c>
      <c r="P159" s="2205" t="s">
        <v>1287</v>
      </c>
      <c r="Q159" s="2205" t="s">
        <v>1287</v>
      </c>
      <c r="R159" s="2205" t="s">
        <v>1287</v>
      </c>
      <c r="S159" s="2205" t="s">
        <v>1287</v>
      </c>
      <c r="T159" s="2205" t="s">
        <v>1287</v>
      </c>
      <c r="U159" s="2205" t="s">
        <v>1287</v>
      </c>
      <c r="V159" s="2205" t="s">
        <v>1287</v>
      </c>
      <c r="W159" s="2205" t="s">
        <v>1287</v>
      </c>
      <c r="X159" s="2205" t="s">
        <v>1287</v>
      </c>
      <c r="Y159" s="2205" t="s">
        <v>1287</v>
      </c>
      <c r="Z159" s="2205" t="s">
        <v>1287</v>
      </c>
      <c r="AA159" s="2205" t="s">
        <v>1287</v>
      </c>
      <c r="AB159" s="2205" t="s">
        <v>1287</v>
      </c>
      <c r="AC159" s="2205" t="s">
        <v>1287</v>
      </c>
      <c r="AD159" s="423" t="str">
        <f>[1]SPELLBOOK!$AZ$246</f>
        <v/>
      </c>
      <c r="AE159" s="423" t="str">
        <f>[1]SPELLBOOK!$AZ$246</f>
        <v/>
      </c>
      <c r="AF159" s="423" t="str">
        <f>[1]SPELLBOOK!$AZ$246</f>
        <v/>
      </c>
      <c r="AG159" s="541" t="str">
        <f>[1]SPELLBOOK!$AZ$246</f>
        <v/>
      </c>
      <c r="AH159" s="272" t="s">
        <v>1287</v>
      </c>
    </row>
    <row r="160" spans="2:34" ht="14.1" customHeight="1" thickTop="1">
      <c r="B160" s="602"/>
      <c r="C160" s="795">
        <v>39</v>
      </c>
      <c r="D160" s="2279"/>
      <c r="E160" s="2286" t="s">
        <v>10309</v>
      </c>
      <c r="F160" s="496"/>
      <c r="H160" s="2298">
        <f>[1]ABILITIES!Q27</f>
        <v>19.019143666433976</v>
      </c>
      <c r="I160" s="2299" t="s">
        <v>1975</v>
      </c>
      <c r="AH160" s="272" t="s">
        <v>1287</v>
      </c>
    </row>
    <row r="161" spans="2:39" ht="14.1" customHeight="1" thickBot="1">
      <c r="B161" s="602"/>
      <c r="C161" s="795">
        <v>40</v>
      </c>
      <c r="D161" s="2279"/>
      <c r="E161" s="2291" t="str">
        <f ca="1">VLOOKUP(C8,[1]CLASS!B6:H17,7)</f>
        <v>Dex</v>
      </c>
      <c r="H161" s="2298">
        <f>[1]ABILITIES!Q28</f>
        <v>10.013455674536051</v>
      </c>
      <c r="I161" s="2299" t="s">
        <v>1976</v>
      </c>
      <c r="AH161" s="272" t="s">
        <v>1287</v>
      </c>
    </row>
    <row r="162" spans="2:39" ht="14.1" customHeight="1" thickBot="1">
      <c r="B162" s="602"/>
      <c r="C162" s="795">
        <v>41</v>
      </c>
      <c r="D162" s="2279"/>
      <c r="E162" s="2294">
        <f ca="1">IF(E161="Str",H160,IF(E161="Dex",H161,IF(E161="Con",H162,IF(E161="Int",H163,IF(E161="Wis",H164,H165)))))</f>
        <v>10.013455674536051</v>
      </c>
      <c r="H162" s="2300">
        <f>[1]ABILITIES!Q29</f>
        <v>14.022116237486282</v>
      </c>
      <c r="I162" s="2301" t="s">
        <v>1977</v>
      </c>
      <c r="M162" s="560" t="s">
        <v>6059</v>
      </c>
      <c r="N162" s="811"/>
      <c r="O162" s="811"/>
      <c r="P162" s="811"/>
      <c r="Q162" s="811"/>
      <c r="R162" s="811"/>
      <c r="S162" s="811"/>
      <c r="T162" s="811"/>
      <c r="U162" s="811"/>
      <c r="V162" s="811"/>
      <c r="W162" s="811"/>
      <c r="X162" s="811"/>
      <c r="Y162" s="811"/>
      <c r="Z162" s="811"/>
      <c r="AA162" s="811"/>
      <c r="AB162" s="811"/>
      <c r="AC162" s="811"/>
      <c r="AD162" s="811"/>
      <c r="AE162" s="811"/>
      <c r="AF162" s="811"/>
      <c r="AG162" s="812"/>
      <c r="AH162" s="272" t="s">
        <v>1287</v>
      </c>
    </row>
    <row r="163" spans="2:39" ht="14.1" customHeight="1" thickTop="1" thickBot="1">
      <c r="B163" s="602"/>
      <c r="C163" s="795">
        <v>42</v>
      </c>
      <c r="D163" s="2279"/>
      <c r="E163" s="543"/>
      <c r="I163" s="711"/>
      <c r="M163" s="1987"/>
      <c r="N163" s="749" t="s">
        <v>7125</v>
      </c>
      <c r="O163" s="749" t="s">
        <v>7126</v>
      </c>
      <c r="P163" s="749" t="s">
        <v>10245</v>
      </c>
      <c r="Q163" s="749" t="s">
        <v>10246</v>
      </c>
      <c r="R163" s="749" t="s">
        <v>7129</v>
      </c>
      <c r="S163" s="749" t="s">
        <v>7130</v>
      </c>
      <c r="T163" s="749" t="s">
        <v>7131</v>
      </c>
      <c r="U163" s="749" t="s">
        <v>7132</v>
      </c>
      <c r="V163" s="749" t="s">
        <v>7133</v>
      </c>
      <c r="W163" s="749" t="s">
        <v>7134</v>
      </c>
      <c r="X163" s="749" t="s">
        <v>7135</v>
      </c>
      <c r="Y163" s="749" t="s">
        <v>7136</v>
      </c>
      <c r="Z163" s="749" t="s">
        <v>10247</v>
      </c>
      <c r="AA163" s="749" t="s">
        <v>10248</v>
      </c>
      <c r="AB163" s="749" t="s">
        <v>7139</v>
      </c>
      <c r="AC163" s="749" t="s">
        <v>7140</v>
      </c>
      <c r="AD163" s="749" t="s">
        <v>7141</v>
      </c>
      <c r="AE163" s="749" t="s">
        <v>7142</v>
      </c>
      <c r="AF163" s="749" t="s">
        <v>7143</v>
      </c>
      <c r="AG163" s="1082" t="s">
        <v>10249</v>
      </c>
      <c r="AH163" s="272" t="s">
        <v>1287</v>
      </c>
    </row>
    <row r="164" spans="2:39" ht="14.1" customHeight="1">
      <c r="B164" s="602"/>
      <c r="C164" s="795">
        <v>43</v>
      </c>
      <c r="D164" s="2279"/>
      <c r="E164" s="2302" t="s">
        <v>10310</v>
      </c>
      <c r="I164" s="711"/>
      <c r="M164" s="2135" t="s">
        <v>7170</v>
      </c>
      <c r="N164" s="1382" t="str">
        <f>CONCATENATE([1]SPELLBOOK!G266,", ",[1]SPELLBOOK!G267,", ",[1]SPELLBOOK!G268)</f>
        <v>Light, Shocking Grasp, Poison Spray</v>
      </c>
      <c r="O164" s="344" t="str">
        <f>$N$164</f>
        <v>Light, Shocking Grasp, Poison Spray</v>
      </c>
      <c r="P164" s="344" t="str">
        <f>$N$164</f>
        <v>Light, Shocking Grasp, Poison Spray</v>
      </c>
      <c r="Q164" s="344" t="str">
        <f>CONCATENATE($P$164,", ",[1]SPELLBOOK!G269)</f>
        <v>Light, Shocking Grasp, Poison Spray, Blade Ward</v>
      </c>
      <c r="R164" s="344" t="str">
        <f>$Q$164</f>
        <v>Light, Shocking Grasp, Poison Spray, Blade Ward</v>
      </c>
      <c r="S164" s="344" t="str">
        <f>$Q$164</f>
        <v>Light, Shocking Grasp, Poison Spray, Blade Ward</v>
      </c>
      <c r="T164" s="344" t="str">
        <f>$Q$164</f>
        <v>Light, Shocking Grasp, Poison Spray, Blade Ward</v>
      </c>
      <c r="U164" s="344" t="str">
        <f>$Q$164</f>
        <v>Light, Shocking Grasp, Poison Spray, Blade Ward</v>
      </c>
      <c r="V164" s="344" t="str">
        <f>$Q$164</f>
        <v>Light, Shocking Grasp, Poison Spray, Blade Ward</v>
      </c>
      <c r="W164" s="344" t="str">
        <f>CONCATENATE($V$164,", ",[1]SPELLBOOK!G270)</f>
        <v>Light, Shocking Grasp, Poison Spray, Blade Ward, Dancing Lights</v>
      </c>
      <c r="X164" s="344" t="str">
        <f t="shared" ref="X164:AG164" si="44">$W$164</f>
        <v>Light, Shocking Grasp, Poison Spray, Blade Ward, Dancing Lights</v>
      </c>
      <c r="Y164" s="344" t="str">
        <f t="shared" si="44"/>
        <v>Light, Shocking Grasp, Poison Spray, Blade Ward, Dancing Lights</v>
      </c>
      <c r="Z164" s="344" t="str">
        <f t="shared" si="44"/>
        <v>Light, Shocking Grasp, Poison Spray, Blade Ward, Dancing Lights</v>
      </c>
      <c r="AA164" s="344" t="str">
        <f t="shared" si="44"/>
        <v>Light, Shocking Grasp, Poison Spray, Blade Ward, Dancing Lights</v>
      </c>
      <c r="AB164" s="344" t="str">
        <f t="shared" si="44"/>
        <v>Light, Shocking Grasp, Poison Spray, Blade Ward, Dancing Lights</v>
      </c>
      <c r="AC164" s="344" t="str">
        <f t="shared" si="44"/>
        <v>Light, Shocking Grasp, Poison Spray, Blade Ward, Dancing Lights</v>
      </c>
      <c r="AD164" s="344" t="str">
        <f t="shared" si="44"/>
        <v>Light, Shocking Grasp, Poison Spray, Blade Ward, Dancing Lights</v>
      </c>
      <c r="AE164" s="344" t="str">
        <f t="shared" si="44"/>
        <v>Light, Shocking Grasp, Poison Spray, Blade Ward, Dancing Lights</v>
      </c>
      <c r="AF164" s="344" t="str">
        <f t="shared" si="44"/>
        <v>Light, Shocking Grasp, Poison Spray, Blade Ward, Dancing Lights</v>
      </c>
      <c r="AG164" s="741" t="str">
        <f t="shared" si="44"/>
        <v>Light, Shocking Grasp, Poison Spray, Blade Ward, Dancing Lights</v>
      </c>
      <c r="AH164" s="272" t="s">
        <v>1287</v>
      </c>
    </row>
    <row r="165" spans="2:39" ht="14.1" customHeight="1">
      <c r="B165" s="602"/>
      <c r="C165" s="795">
        <v>44</v>
      </c>
      <c r="D165" s="2279"/>
      <c r="E165" s="543"/>
      <c r="I165" s="711"/>
      <c r="M165" s="2138" t="s">
        <v>7172</v>
      </c>
      <c r="N165" s="368" t="str">
        <f>CONCATENATE([1]SPELLBOOK!L266,", ",[1]SPELLBOOK!L267)</f>
        <v>Burning Hands, Protection from Evil &amp; Good</v>
      </c>
      <c r="O165" s="368" t="str">
        <f>CONCATENATE($N$165,", ",[1]SPELLBOOK!L268)</f>
        <v>Burning Hands, Protection from Evil &amp; Good, Identify</v>
      </c>
      <c r="P165" s="368" t="str">
        <f>CONCATENATE(O165,", ",[1]SPELLBOOK!L269)</f>
        <v>Burning Hands, Protection from Evil &amp; Good, Identify, Jump</v>
      </c>
      <c r="Q165" s="368" t="str">
        <f t="shared" ref="Q165:AG165" si="45">$P$165</f>
        <v>Burning Hands, Protection from Evil &amp; Good, Identify, Jump</v>
      </c>
      <c r="R165" s="368" t="str">
        <f t="shared" si="45"/>
        <v>Burning Hands, Protection from Evil &amp; Good, Identify, Jump</v>
      </c>
      <c r="S165" s="368" t="str">
        <f t="shared" si="45"/>
        <v>Burning Hands, Protection from Evil &amp; Good, Identify, Jump</v>
      </c>
      <c r="T165" s="368" t="str">
        <f t="shared" si="45"/>
        <v>Burning Hands, Protection from Evil &amp; Good, Identify, Jump</v>
      </c>
      <c r="U165" s="368" t="str">
        <f t="shared" si="45"/>
        <v>Burning Hands, Protection from Evil &amp; Good, Identify, Jump</v>
      </c>
      <c r="V165" s="368" t="str">
        <f t="shared" si="45"/>
        <v>Burning Hands, Protection from Evil &amp; Good, Identify, Jump</v>
      </c>
      <c r="W165" s="368" t="str">
        <f t="shared" si="45"/>
        <v>Burning Hands, Protection from Evil &amp; Good, Identify, Jump</v>
      </c>
      <c r="X165" s="368" t="str">
        <f t="shared" si="45"/>
        <v>Burning Hands, Protection from Evil &amp; Good, Identify, Jump</v>
      </c>
      <c r="Y165" s="368" t="str">
        <f t="shared" si="45"/>
        <v>Burning Hands, Protection from Evil &amp; Good, Identify, Jump</v>
      </c>
      <c r="Z165" s="368" t="str">
        <f t="shared" si="45"/>
        <v>Burning Hands, Protection from Evil &amp; Good, Identify, Jump</v>
      </c>
      <c r="AA165" s="368" t="str">
        <f t="shared" si="45"/>
        <v>Burning Hands, Protection from Evil &amp; Good, Identify, Jump</v>
      </c>
      <c r="AB165" s="368" t="str">
        <f t="shared" si="45"/>
        <v>Burning Hands, Protection from Evil &amp; Good, Identify, Jump</v>
      </c>
      <c r="AC165" s="368" t="str">
        <f t="shared" si="45"/>
        <v>Burning Hands, Protection from Evil &amp; Good, Identify, Jump</v>
      </c>
      <c r="AD165" s="368" t="str">
        <f t="shared" si="45"/>
        <v>Burning Hands, Protection from Evil &amp; Good, Identify, Jump</v>
      </c>
      <c r="AE165" s="368" t="str">
        <f t="shared" si="45"/>
        <v>Burning Hands, Protection from Evil &amp; Good, Identify, Jump</v>
      </c>
      <c r="AF165" s="368" t="str">
        <f t="shared" si="45"/>
        <v>Burning Hands, Protection from Evil &amp; Good, Identify, Jump</v>
      </c>
      <c r="AG165" s="536" t="str">
        <f t="shared" si="45"/>
        <v>Burning Hands, Protection from Evil &amp; Good, Identify, Jump</v>
      </c>
      <c r="AH165" s="272" t="s">
        <v>1287</v>
      </c>
    </row>
    <row r="166" spans="2:39" ht="14.1" customHeight="1">
      <c r="B166" s="602"/>
      <c r="C166" s="795">
        <v>45</v>
      </c>
      <c r="D166" s="2279"/>
      <c r="E166" s="543"/>
      <c r="I166" s="711"/>
      <c r="M166" s="2138" t="s">
        <v>7174</v>
      </c>
      <c r="N166" s="2199" t="s">
        <v>1287</v>
      </c>
      <c r="O166" s="2199" t="s">
        <v>1287</v>
      </c>
      <c r="P166" s="368" t="str">
        <f>CONCATENATE([1]SPELLBOOK!Q266,", ",[1]SPELLBOOK!Q267)</f>
        <v>Gust of Wind, Mirror Image</v>
      </c>
      <c r="Q166" s="368" t="str">
        <f>CONCATENATE($P$166,", ",[1]SPELLBOOK!Q268)</f>
        <v>Gust of Wind, Mirror Image, Blindness/Deafness</v>
      </c>
      <c r="R166" s="368" t="str">
        <f t="shared" ref="R166:AG166" si="46">$Q$166</f>
        <v>Gust of Wind, Mirror Image, Blindness/Deafness</v>
      </c>
      <c r="S166" s="368" t="str">
        <f t="shared" si="46"/>
        <v>Gust of Wind, Mirror Image, Blindness/Deafness</v>
      </c>
      <c r="T166" s="368" t="str">
        <f t="shared" si="46"/>
        <v>Gust of Wind, Mirror Image, Blindness/Deafness</v>
      </c>
      <c r="U166" s="368" t="str">
        <f t="shared" si="46"/>
        <v>Gust of Wind, Mirror Image, Blindness/Deafness</v>
      </c>
      <c r="V166" s="368" t="str">
        <f t="shared" si="46"/>
        <v>Gust of Wind, Mirror Image, Blindness/Deafness</v>
      </c>
      <c r="W166" s="368" t="str">
        <f t="shared" si="46"/>
        <v>Gust of Wind, Mirror Image, Blindness/Deafness</v>
      </c>
      <c r="X166" s="368" t="str">
        <f t="shared" si="46"/>
        <v>Gust of Wind, Mirror Image, Blindness/Deafness</v>
      </c>
      <c r="Y166" s="368" t="str">
        <f t="shared" si="46"/>
        <v>Gust of Wind, Mirror Image, Blindness/Deafness</v>
      </c>
      <c r="Z166" s="368" t="str">
        <f t="shared" si="46"/>
        <v>Gust of Wind, Mirror Image, Blindness/Deafness</v>
      </c>
      <c r="AA166" s="368" t="str">
        <f t="shared" si="46"/>
        <v>Gust of Wind, Mirror Image, Blindness/Deafness</v>
      </c>
      <c r="AB166" s="368" t="str">
        <f t="shared" si="46"/>
        <v>Gust of Wind, Mirror Image, Blindness/Deafness</v>
      </c>
      <c r="AC166" s="368" t="str">
        <f t="shared" si="46"/>
        <v>Gust of Wind, Mirror Image, Blindness/Deafness</v>
      </c>
      <c r="AD166" s="368" t="str">
        <f t="shared" si="46"/>
        <v>Gust of Wind, Mirror Image, Blindness/Deafness</v>
      </c>
      <c r="AE166" s="368" t="str">
        <f t="shared" si="46"/>
        <v>Gust of Wind, Mirror Image, Blindness/Deafness</v>
      </c>
      <c r="AF166" s="368" t="str">
        <f t="shared" si="46"/>
        <v>Gust of Wind, Mirror Image, Blindness/Deafness</v>
      </c>
      <c r="AG166" s="536" t="str">
        <f t="shared" si="46"/>
        <v>Gust of Wind, Mirror Image, Blindness/Deafness</v>
      </c>
      <c r="AH166" s="272" t="s">
        <v>1287</v>
      </c>
    </row>
    <row r="167" spans="2:39" ht="14.1" customHeight="1">
      <c r="B167" s="602"/>
      <c r="C167" s="795">
        <v>46</v>
      </c>
      <c r="D167" s="2279"/>
      <c r="E167" s="543"/>
      <c r="I167" s="711"/>
      <c r="M167" s="2138" t="s">
        <v>7175</v>
      </c>
      <c r="N167" s="2199" t="s">
        <v>1287</v>
      </c>
      <c r="O167" s="2199" t="s">
        <v>1287</v>
      </c>
      <c r="P167" s="2199" t="s">
        <v>1287</v>
      </c>
      <c r="Q167" s="2199" t="s">
        <v>1287</v>
      </c>
      <c r="R167" s="368" t="str">
        <f>CONCATENATE([1]SPELLBOOK!V266,", ",[1]SPELLBOOK!V267)</f>
        <v>Magic Circle, Tongues</v>
      </c>
      <c r="S167" s="368" t="str">
        <f>CONCATENATE($R$167,", ",[1]SPELLBOOK!V268)</f>
        <v>Magic Circle, Tongues, Phantom Seed</v>
      </c>
      <c r="T167" s="368" t="str">
        <f t="shared" ref="T167:AG167" si="47">$S$167</f>
        <v>Magic Circle, Tongues, Phantom Seed</v>
      </c>
      <c r="U167" s="368" t="str">
        <f t="shared" si="47"/>
        <v>Magic Circle, Tongues, Phantom Seed</v>
      </c>
      <c r="V167" s="368" t="str">
        <f t="shared" si="47"/>
        <v>Magic Circle, Tongues, Phantom Seed</v>
      </c>
      <c r="W167" s="368" t="str">
        <f t="shared" si="47"/>
        <v>Magic Circle, Tongues, Phantom Seed</v>
      </c>
      <c r="X167" s="368" t="str">
        <f t="shared" si="47"/>
        <v>Magic Circle, Tongues, Phantom Seed</v>
      </c>
      <c r="Y167" s="368" t="str">
        <f t="shared" si="47"/>
        <v>Magic Circle, Tongues, Phantom Seed</v>
      </c>
      <c r="Z167" s="368" t="str">
        <f t="shared" si="47"/>
        <v>Magic Circle, Tongues, Phantom Seed</v>
      </c>
      <c r="AA167" s="368" t="str">
        <f t="shared" si="47"/>
        <v>Magic Circle, Tongues, Phantom Seed</v>
      </c>
      <c r="AB167" s="368" t="str">
        <f t="shared" si="47"/>
        <v>Magic Circle, Tongues, Phantom Seed</v>
      </c>
      <c r="AC167" s="368" t="str">
        <f t="shared" si="47"/>
        <v>Magic Circle, Tongues, Phantom Seed</v>
      </c>
      <c r="AD167" s="368" t="str">
        <f t="shared" si="47"/>
        <v>Magic Circle, Tongues, Phantom Seed</v>
      </c>
      <c r="AE167" s="368" t="str">
        <f t="shared" si="47"/>
        <v>Magic Circle, Tongues, Phantom Seed</v>
      </c>
      <c r="AF167" s="368" t="str">
        <f t="shared" si="47"/>
        <v>Magic Circle, Tongues, Phantom Seed</v>
      </c>
      <c r="AG167" s="536" t="str">
        <f t="shared" si="47"/>
        <v>Magic Circle, Tongues, Phantom Seed</v>
      </c>
      <c r="AH167" s="272" t="s">
        <v>1287</v>
      </c>
    </row>
    <row r="168" spans="2:39" ht="14.1" customHeight="1">
      <c r="B168" s="602"/>
      <c r="C168" s="795">
        <v>47</v>
      </c>
      <c r="D168" s="2279"/>
      <c r="E168" s="543"/>
      <c r="I168" s="711"/>
      <c r="M168" s="2138" t="s">
        <v>7176</v>
      </c>
      <c r="N168" s="2199" t="s">
        <v>1287</v>
      </c>
      <c r="O168" s="2199" t="s">
        <v>1287</v>
      </c>
      <c r="P168" s="2199" t="s">
        <v>1287</v>
      </c>
      <c r="Q168" s="2199" t="s">
        <v>1287</v>
      </c>
      <c r="R168" s="2199" t="s">
        <v>1287</v>
      </c>
      <c r="S168" s="2199" t="s">
        <v>1287</v>
      </c>
      <c r="T168" s="368" t="str">
        <f>[1]SPELLBOOK!AA266</f>
        <v>Evard's Black Tentacles</v>
      </c>
      <c r="U168" s="368" t="str">
        <f>CONCATENATE($T$168,", ",[1]SPELLBOOK!AA267)</f>
        <v>Evard's Black Tentacles, Fabricate</v>
      </c>
      <c r="V168" s="368" t="str">
        <f>CONCATENATE($U$168,", ",[1]SPELLBOOK!AA268)</f>
        <v>Evard's Black Tentacles, Fabricate, Confusion</v>
      </c>
      <c r="W168" s="368" t="str">
        <f t="shared" ref="W168:AG168" si="48">$V$168</f>
        <v>Evard's Black Tentacles, Fabricate, Confusion</v>
      </c>
      <c r="X168" s="368" t="str">
        <f t="shared" si="48"/>
        <v>Evard's Black Tentacles, Fabricate, Confusion</v>
      </c>
      <c r="Y168" s="368" t="str">
        <f t="shared" si="48"/>
        <v>Evard's Black Tentacles, Fabricate, Confusion</v>
      </c>
      <c r="Z168" s="368" t="str">
        <f t="shared" si="48"/>
        <v>Evard's Black Tentacles, Fabricate, Confusion</v>
      </c>
      <c r="AA168" s="368" t="str">
        <f t="shared" si="48"/>
        <v>Evard's Black Tentacles, Fabricate, Confusion</v>
      </c>
      <c r="AB168" s="368" t="str">
        <f t="shared" si="48"/>
        <v>Evard's Black Tentacles, Fabricate, Confusion</v>
      </c>
      <c r="AC168" s="368" t="str">
        <f t="shared" si="48"/>
        <v>Evard's Black Tentacles, Fabricate, Confusion</v>
      </c>
      <c r="AD168" s="368" t="str">
        <f t="shared" si="48"/>
        <v>Evard's Black Tentacles, Fabricate, Confusion</v>
      </c>
      <c r="AE168" s="368" t="str">
        <f t="shared" si="48"/>
        <v>Evard's Black Tentacles, Fabricate, Confusion</v>
      </c>
      <c r="AF168" s="368" t="str">
        <f t="shared" si="48"/>
        <v>Evard's Black Tentacles, Fabricate, Confusion</v>
      </c>
      <c r="AG168" s="536" t="str">
        <f t="shared" si="48"/>
        <v>Evard's Black Tentacles, Fabricate, Confusion</v>
      </c>
      <c r="AH168" s="272" t="s">
        <v>1287</v>
      </c>
    </row>
    <row r="169" spans="2:39" ht="14.1" customHeight="1">
      <c r="B169" s="602"/>
      <c r="C169" s="795">
        <v>48</v>
      </c>
      <c r="D169" s="2279"/>
      <c r="I169" s="711"/>
      <c r="M169" s="2138" t="s">
        <v>7177</v>
      </c>
      <c r="N169" s="2199" t="s">
        <v>1287</v>
      </c>
      <c r="O169" s="2199" t="s">
        <v>1287</v>
      </c>
      <c r="P169" s="2199" t="s">
        <v>1287</v>
      </c>
      <c r="Q169" s="2199" t="s">
        <v>1287</v>
      </c>
      <c r="R169" s="2199" t="s">
        <v>1287</v>
      </c>
      <c r="S169" s="2199" t="s">
        <v>1287</v>
      </c>
      <c r="T169" s="2199" t="s">
        <v>1287</v>
      </c>
      <c r="U169" s="2199" t="s">
        <v>1287</v>
      </c>
      <c r="V169" s="368" t="str">
        <f>[1]SPELLBOOK!AF266</f>
        <v>Creation</v>
      </c>
      <c r="W169" s="368" t="str">
        <f>CONCATENATE($V$169,", ",[1]SPELLBOOK!AF267)</f>
        <v>Creation, Planar Binding</v>
      </c>
      <c r="X169" s="368" t="str">
        <f t="shared" ref="X169:AD169" si="49">$W$169</f>
        <v>Creation, Planar Binding</v>
      </c>
      <c r="Y169" s="368" t="str">
        <f t="shared" si="49"/>
        <v>Creation, Planar Binding</v>
      </c>
      <c r="Z169" s="368" t="str">
        <f t="shared" si="49"/>
        <v>Creation, Planar Binding</v>
      </c>
      <c r="AA169" s="368" t="str">
        <f t="shared" si="49"/>
        <v>Creation, Planar Binding</v>
      </c>
      <c r="AB169" s="368" t="str">
        <f t="shared" si="49"/>
        <v>Creation, Planar Binding</v>
      </c>
      <c r="AC169" s="368" t="str">
        <f t="shared" si="49"/>
        <v>Creation, Planar Binding</v>
      </c>
      <c r="AD169" s="368" t="str">
        <f t="shared" si="49"/>
        <v>Creation, Planar Binding</v>
      </c>
      <c r="AE169" s="368" t="str">
        <f>CONCATENATE($AD$169,", ",[1]SPELLBOOK!AF268)</f>
        <v>Creation, Planar Binding, Passwall</v>
      </c>
      <c r="AF169" s="368" t="str">
        <f>$AE$169</f>
        <v>Creation, Planar Binding, Passwall</v>
      </c>
      <c r="AG169" s="536" t="str">
        <f>$AE$169</f>
        <v>Creation, Planar Binding, Passwall</v>
      </c>
      <c r="AH169" s="272" t="s">
        <v>1287</v>
      </c>
    </row>
    <row r="170" spans="2:39" ht="14.1" customHeight="1">
      <c r="B170" s="602"/>
      <c r="C170" s="795">
        <v>49</v>
      </c>
      <c r="D170" s="2279"/>
      <c r="I170" s="711"/>
      <c r="M170" s="2138" t="s">
        <v>7178</v>
      </c>
      <c r="N170" s="2199" t="s">
        <v>1287</v>
      </c>
      <c r="O170" s="2199" t="s">
        <v>1287</v>
      </c>
      <c r="P170" s="2199" t="s">
        <v>1287</v>
      </c>
      <c r="Q170" s="2199" t="s">
        <v>1287</v>
      </c>
      <c r="R170" s="2199" t="s">
        <v>1287</v>
      </c>
      <c r="S170" s="2199" t="s">
        <v>1287</v>
      </c>
      <c r="T170" s="2199" t="s">
        <v>1287</v>
      </c>
      <c r="U170" s="2199" t="s">
        <v>1287</v>
      </c>
      <c r="V170" s="2199" t="s">
        <v>1287</v>
      </c>
      <c r="W170" s="2199" t="s">
        <v>1287</v>
      </c>
      <c r="X170" s="368" t="str">
        <f>[1]SPELLBOOK!AK266</f>
        <v>Eyebite</v>
      </c>
      <c r="Y170" s="368" t="str">
        <f t="shared" ref="Y170:AE170" si="50">$X$170</f>
        <v>Eyebite</v>
      </c>
      <c r="Z170" s="368" t="str">
        <f t="shared" si="50"/>
        <v>Eyebite</v>
      </c>
      <c r="AA170" s="368" t="str">
        <f t="shared" si="50"/>
        <v>Eyebite</v>
      </c>
      <c r="AB170" s="368" t="str">
        <f t="shared" si="50"/>
        <v>Eyebite</v>
      </c>
      <c r="AC170" s="368" t="str">
        <f t="shared" si="50"/>
        <v>Eyebite</v>
      </c>
      <c r="AD170" s="368" t="str">
        <f t="shared" si="50"/>
        <v>Eyebite</v>
      </c>
      <c r="AE170" s="368" t="str">
        <f t="shared" si="50"/>
        <v>Eyebite</v>
      </c>
      <c r="AF170" s="368" t="str">
        <f>CONCATENATE(AE170,", ",[1]SPELLBOOK!AK267)</f>
        <v>Eyebite, Drawmij's Instant Summon</v>
      </c>
      <c r="AG170" s="536" t="str">
        <f>$AF$170</f>
        <v>Eyebite, Drawmij's Instant Summon</v>
      </c>
      <c r="AH170" s="272" t="s">
        <v>1287</v>
      </c>
    </row>
    <row r="171" spans="2:39" ht="14.1" customHeight="1" thickBot="1">
      <c r="B171" s="1264"/>
      <c r="C171" s="807">
        <v>50</v>
      </c>
      <c r="D171" s="2303"/>
      <c r="E171" s="520"/>
      <c r="F171" s="520"/>
      <c r="G171" s="520"/>
      <c r="H171" s="520"/>
      <c r="I171" s="734"/>
      <c r="M171" s="2138" t="s">
        <v>7179</v>
      </c>
      <c r="N171" s="2199" t="s">
        <v>1287</v>
      </c>
      <c r="O171" s="2199" t="s">
        <v>1287</v>
      </c>
      <c r="P171" s="2199" t="s">
        <v>1287</v>
      </c>
      <c r="Q171" s="2199" t="s">
        <v>1287</v>
      </c>
      <c r="R171" s="2199" t="s">
        <v>1287</v>
      </c>
      <c r="S171" s="2199" t="s">
        <v>1287</v>
      </c>
      <c r="T171" s="2199" t="s">
        <v>1287</v>
      </c>
      <c r="U171" s="2199" t="s">
        <v>1287</v>
      </c>
      <c r="V171" s="2199" t="s">
        <v>1287</v>
      </c>
      <c r="W171" s="2199" t="s">
        <v>1287</v>
      </c>
      <c r="X171" s="2199" t="s">
        <v>1287</v>
      </c>
      <c r="Y171" s="2199" t="s">
        <v>1287</v>
      </c>
      <c r="Z171" s="368" t="str">
        <f>[1]SPELLBOOK!AP266</f>
        <v>Mordekainen's Magnificent Mansion</v>
      </c>
      <c r="AA171" s="368" t="str">
        <f t="shared" ref="AA171:AF171" si="51">$Z$171</f>
        <v>Mordekainen's Magnificent Mansion</v>
      </c>
      <c r="AB171" s="368" t="str">
        <f t="shared" si="51"/>
        <v>Mordekainen's Magnificent Mansion</v>
      </c>
      <c r="AC171" s="368" t="str">
        <f t="shared" si="51"/>
        <v>Mordekainen's Magnificent Mansion</v>
      </c>
      <c r="AD171" s="368" t="str">
        <f t="shared" si="51"/>
        <v>Mordekainen's Magnificent Mansion</v>
      </c>
      <c r="AE171" s="368" t="str">
        <f t="shared" si="51"/>
        <v>Mordekainen's Magnificent Mansion</v>
      </c>
      <c r="AF171" s="368" t="str">
        <f t="shared" si="51"/>
        <v>Mordekainen's Magnificent Mansion</v>
      </c>
      <c r="AG171" s="536" t="str">
        <f>CONCATENATE($AF$171,", ",[1]SPELLBOOK!AP267)</f>
        <v>Mordekainen's Magnificent Mansion, Sequester</v>
      </c>
      <c r="AH171" s="272" t="s">
        <v>1287</v>
      </c>
    </row>
    <row r="172" spans="2:39" ht="14.1" customHeight="1">
      <c r="M172" s="2138" t="s">
        <v>7180</v>
      </c>
      <c r="N172" s="2199" t="s">
        <v>1287</v>
      </c>
      <c r="O172" s="2199" t="s">
        <v>1287</v>
      </c>
      <c r="P172" s="2199" t="s">
        <v>1287</v>
      </c>
      <c r="Q172" s="2199" t="s">
        <v>1287</v>
      </c>
      <c r="R172" s="2199" t="s">
        <v>1287</v>
      </c>
      <c r="S172" s="2199" t="s">
        <v>1287</v>
      </c>
      <c r="T172" s="2199" t="s">
        <v>1287</v>
      </c>
      <c r="U172" s="2199" t="s">
        <v>1287</v>
      </c>
      <c r="V172" s="2199" t="s">
        <v>1287</v>
      </c>
      <c r="W172" s="2199" t="s">
        <v>1287</v>
      </c>
      <c r="X172" s="2199" t="s">
        <v>1287</v>
      </c>
      <c r="Y172" s="2199" t="s">
        <v>1287</v>
      </c>
      <c r="Z172" s="2199" t="s">
        <v>1287</v>
      </c>
      <c r="AA172" s="2199" t="s">
        <v>1287</v>
      </c>
      <c r="AB172" s="368" t="str">
        <f>[1]SPELLBOOK!$AU$266</f>
        <v>Antimagic Field</v>
      </c>
      <c r="AC172" s="368" t="str">
        <f>[1]SPELLBOOK!$AU$266</f>
        <v>Antimagic Field</v>
      </c>
      <c r="AD172" s="368" t="str">
        <f>[1]SPELLBOOK!$AU$266</f>
        <v>Antimagic Field</v>
      </c>
      <c r="AE172" s="368" t="str">
        <f>[1]SPELLBOOK!$AU$266</f>
        <v>Antimagic Field</v>
      </c>
      <c r="AF172" s="368" t="str">
        <f>[1]SPELLBOOK!$AU$266</f>
        <v>Antimagic Field</v>
      </c>
      <c r="AG172" s="536" t="str">
        <f>[1]SPELLBOOK!$AU$266</f>
        <v>Antimagic Field</v>
      </c>
      <c r="AH172" s="272" t="s">
        <v>1287</v>
      </c>
    </row>
    <row r="173" spans="2:39" ht="14.1" customHeight="1" thickBot="1">
      <c r="M173" s="2147" t="s">
        <v>7181</v>
      </c>
      <c r="N173" s="2205" t="s">
        <v>1287</v>
      </c>
      <c r="O173" s="2205" t="s">
        <v>1287</v>
      </c>
      <c r="P173" s="2205" t="s">
        <v>1287</v>
      </c>
      <c r="Q173" s="2205" t="s">
        <v>1287</v>
      </c>
      <c r="R173" s="2205" t="s">
        <v>1287</v>
      </c>
      <c r="S173" s="2205" t="s">
        <v>1287</v>
      </c>
      <c r="T173" s="2205" t="s">
        <v>1287</v>
      </c>
      <c r="U173" s="2205" t="s">
        <v>1287</v>
      </c>
      <c r="V173" s="2205" t="s">
        <v>1287</v>
      </c>
      <c r="W173" s="2205" t="s">
        <v>1287</v>
      </c>
      <c r="X173" s="2205" t="s">
        <v>1287</v>
      </c>
      <c r="Y173" s="2205" t="s">
        <v>1287</v>
      </c>
      <c r="Z173" s="2205" t="s">
        <v>1287</v>
      </c>
      <c r="AA173" s="2205" t="s">
        <v>1287</v>
      </c>
      <c r="AB173" s="2205" t="s">
        <v>1287</v>
      </c>
      <c r="AC173" s="2205" t="s">
        <v>1287</v>
      </c>
      <c r="AD173" s="423" t="str">
        <f>[1]SPELLBOOK!$AZ$266</f>
        <v>Imprisonment</v>
      </c>
      <c r="AE173" s="423" t="str">
        <f>$AD$173</f>
        <v>Imprisonment</v>
      </c>
      <c r="AF173" s="423" t="str">
        <f>$AD$173</f>
        <v>Imprisonment</v>
      </c>
      <c r="AG173" s="541" t="str">
        <f>$AD$173</f>
        <v>Imprisonment</v>
      </c>
    </row>
    <row r="175" spans="2:39" s="2139" customFormat="1" ht="14.1" customHeight="1">
      <c r="AM175" s="2304"/>
    </row>
  </sheetData>
  <mergeCells count="37">
    <mergeCell ref="H6:I6"/>
    <mergeCell ref="F2:J2"/>
    <mergeCell ref="M2:N2"/>
    <mergeCell ref="R2:AC2"/>
    <mergeCell ref="H3:I3"/>
    <mergeCell ref="H4:I4"/>
    <mergeCell ref="R4:AC4"/>
    <mergeCell ref="H5:I5"/>
    <mergeCell ref="N13:O13"/>
    <mergeCell ref="H7:I7"/>
    <mergeCell ref="N7:O7"/>
    <mergeCell ref="H8:I8"/>
    <mergeCell ref="N8:O8"/>
    <mergeCell ref="H9:I9"/>
    <mergeCell ref="N9:O9"/>
    <mergeCell ref="H10:I10"/>
    <mergeCell ref="N10:O10"/>
    <mergeCell ref="H11:I11"/>
    <mergeCell ref="N11:O11"/>
    <mergeCell ref="N12:O12"/>
    <mergeCell ref="B112:E118"/>
    <mergeCell ref="N14:O14"/>
    <mergeCell ref="N15:O15"/>
    <mergeCell ref="N16:O16"/>
    <mergeCell ref="F35:I35"/>
    <mergeCell ref="H36:H37"/>
    <mergeCell ref="I36:I37"/>
    <mergeCell ref="B43:D43"/>
    <mergeCell ref="B51:D51"/>
    <mergeCell ref="B71:D71"/>
    <mergeCell ref="F71:I73"/>
    <mergeCell ref="B77:D77"/>
    <mergeCell ref="B120:E120"/>
    <mergeCell ref="AH120:AH121"/>
    <mergeCell ref="B121:E126"/>
    <mergeCell ref="B129:J132"/>
    <mergeCell ref="C150:D150"/>
  </mergeCells>
  <pageMargins left="0.7" right="0.7" top="0.75" bottom="0.75" header="0.3" footer="0.3"/>
  <pageSetup scale="10" orientation="portrait" horizontalDpi="4294967293"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2BA87-1FA8-4033-AE31-A3380A87BAB7}">
  <sheetPr codeName="Аркуш9">
    <tabColor rgb="FF92D050"/>
  </sheetPr>
  <dimension ref="A1:X148"/>
  <sheetViews>
    <sheetView showGridLines="0" topLeftCell="A66" zoomScale="85" zoomScaleNormal="85" workbookViewId="0">
      <selection activeCell="C159" sqref="B159:C159"/>
    </sheetView>
  </sheetViews>
  <sheetFormatPr defaultColWidth="6.88671875" defaultRowHeight="14.1" customHeight="1"/>
  <cols>
    <col min="1" max="1" width="3.77734375" style="272" customWidth="1"/>
    <col min="2" max="2" width="5.109375" style="271" customWidth="1"/>
    <col min="3" max="12" width="12.21875" style="272" customWidth="1"/>
    <col min="13" max="13" width="19.44140625" style="272" customWidth="1"/>
    <col min="14" max="15" width="12.21875" style="272" customWidth="1"/>
    <col min="16" max="16" width="13.5546875" style="272" customWidth="1"/>
    <col min="17" max="17" width="9.5546875" style="272" customWidth="1"/>
    <col min="18" max="18" width="5.44140625" style="272" bestFit="1" customWidth="1"/>
    <col min="19" max="19" width="4.33203125" style="272" bestFit="1" customWidth="1"/>
    <col min="20" max="20" width="7.21875" style="272" bestFit="1" customWidth="1"/>
    <col min="21" max="22" width="6.88671875" style="272"/>
    <col min="23" max="23" width="4.21875" style="272" customWidth="1"/>
    <col min="24" max="16384" width="6.88671875" style="272"/>
  </cols>
  <sheetData>
    <row r="1" spans="1:24" ht="14.1" customHeight="1" thickBot="1">
      <c r="Q1" s="1983" t="s">
        <v>9590</v>
      </c>
      <c r="R1" s="1984"/>
    </row>
    <row r="2" spans="1:24" ht="14.1" customHeight="1" thickBot="1">
      <c r="A2" s="778"/>
      <c r="B2" s="1985" t="s">
        <v>9591</v>
      </c>
      <c r="C2" s="1086"/>
      <c r="D2" s="1086"/>
      <c r="E2" s="1086"/>
      <c r="F2" s="1086"/>
      <c r="G2" s="1086"/>
      <c r="H2" s="1086"/>
      <c r="I2" s="1086"/>
      <c r="J2" s="1086"/>
      <c r="K2" s="1086"/>
      <c r="L2" s="1086"/>
      <c r="M2" s="1086"/>
      <c r="N2" s="1086"/>
      <c r="O2" s="1986"/>
      <c r="Q2" s="1987" t="s">
        <v>9592</v>
      </c>
      <c r="R2" s="1988"/>
    </row>
    <row r="3" spans="1:24" ht="14.1" customHeight="1" thickBot="1">
      <c r="A3" s="602"/>
      <c r="B3" s="1665" t="s">
        <v>9593</v>
      </c>
      <c r="C3" s="1989" t="str">
        <f>[1]MATH!D13</f>
        <v>Soldier</v>
      </c>
      <c r="D3" s="1990" t="s">
        <v>9594</v>
      </c>
      <c r="E3" s="1991" t="str">
        <f>VLOOKUP(B4,B5:N35,13,FALSE)</f>
        <v>Soldier</v>
      </c>
      <c r="F3" s="501" t="s">
        <v>5988</v>
      </c>
      <c r="G3" s="1992"/>
      <c r="H3" s="1993" t="s">
        <v>9595</v>
      </c>
      <c r="I3" s="1876" t="s">
        <v>9596</v>
      </c>
      <c r="J3" s="1876" t="s">
        <v>9597</v>
      </c>
      <c r="K3" s="3261" t="s">
        <v>9598</v>
      </c>
      <c r="L3" s="3262"/>
      <c r="M3" s="1994" t="s">
        <v>5982</v>
      </c>
      <c r="N3" s="501"/>
      <c r="O3" s="1992"/>
      <c r="P3" s="271"/>
      <c r="Q3" s="1995" t="s">
        <v>6943</v>
      </c>
      <c r="R3" s="1996">
        <v>1</v>
      </c>
      <c r="X3" s="1997"/>
    </row>
    <row r="4" spans="1:24" ht="14.1" customHeight="1" thickBot="1">
      <c r="A4" s="602"/>
      <c r="B4" s="1998">
        <f>[1]MATH!C13</f>
        <v>6</v>
      </c>
      <c r="C4" s="1999">
        <f>VLOOKUP(E3,N5:O23,2,FALSE)</f>
        <v>6</v>
      </c>
      <c r="D4" s="3263" t="s">
        <v>9599</v>
      </c>
      <c r="E4" s="2932"/>
      <c r="F4" s="2000" t="str">
        <f>VLOOKUP($B$4,$B$5:$O$17,5)</f>
        <v>Athletics</v>
      </c>
      <c r="G4" s="2001" t="str">
        <f>VLOOKUP($B$4,$B$5:$O$17,6)</f>
        <v>Intimidation</v>
      </c>
      <c r="H4" s="2002" t="str">
        <f>VLOOKUP(B4,B5:O17,7)</f>
        <v>One type of gaming set, vehicles (land)</v>
      </c>
      <c r="I4" s="2003" t="str">
        <f>VLOOKUP(B4,B5:O17,8)</f>
        <v>An insignia of rank, a trophy taken from a fallen enemy (a dagger, broken blade, or piece of a banner), a set of bone dice or deck of cards, a set of common clothes, and a belt pouch containing 10 gp</v>
      </c>
      <c r="J4" s="2003" t="str">
        <f>VLOOKUP(B4,B5:O17,9)</f>
        <v>Military Rank</v>
      </c>
      <c r="K4" s="2004" t="str">
        <f>VLOOKUP($B$4,$B$5:$O$17,10)</f>
        <v xml:space="preserve"> </v>
      </c>
      <c r="L4" s="2004">
        <f>VLOOKUP($B$4,$B$5:$O$17,11)</f>
        <v>0</v>
      </c>
      <c r="M4" s="2005" t="str">
        <f ca="1">VLOOKUP(B4,B5:O17,12)</f>
        <v>Military Organization: Standard bearer</v>
      </c>
      <c r="N4" s="2006" t="s">
        <v>9600</v>
      </c>
      <c r="O4" s="2007"/>
      <c r="Q4" s="2008" t="s">
        <v>6945</v>
      </c>
      <c r="R4" s="2009">
        <v>2</v>
      </c>
    </row>
    <row r="5" spans="1:24" ht="14.1" customHeight="1" thickBot="1">
      <c r="A5" s="602"/>
      <c r="B5" s="587">
        <v>1</v>
      </c>
      <c r="C5" s="330" t="s">
        <v>5732</v>
      </c>
      <c r="D5" s="1247">
        <v>7</v>
      </c>
      <c r="E5" s="346">
        <v>15</v>
      </c>
      <c r="F5" s="1846" t="str">
        <f>VLOOKUP(D5,[1]SKILLS!$B$3:$D$20,3)</f>
        <v>Insight</v>
      </c>
      <c r="G5" s="589" t="str">
        <f>VLOOKUP(E5,[1]SKILLS!$B$3:$D$20,3)</f>
        <v>Religion</v>
      </c>
      <c r="H5" s="2010" t="s">
        <v>9601</v>
      </c>
      <c r="I5" s="330" t="s">
        <v>9602</v>
      </c>
      <c r="J5" s="330" t="s">
        <v>9603</v>
      </c>
      <c r="K5" s="328">
        <f>[1]SKILLS!$Z$63</f>
        <v>0</v>
      </c>
      <c r="L5" s="328">
        <f>[1]SKILLS!$Z$64</f>
        <v>0</v>
      </c>
      <c r="M5" s="2011" t="str">
        <f ca="1">"Religious service: "&amp;C107</f>
        <v>Religious service: Pantheon</v>
      </c>
      <c r="N5" s="330" t="s">
        <v>5732</v>
      </c>
      <c r="O5" s="587">
        <v>1</v>
      </c>
      <c r="Q5" s="2012" t="s">
        <v>6310</v>
      </c>
      <c r="R5" s="2013">
        <v>3</v>
      </c>
    </row>
    <row r="6" spans="1:24" ht="14.1" customHeight="1" thickBot="1">
      <c r="A6" s="602"/>
      <c r="B6" s="578">
        <v>2</v>
      </c>
      <c r="C6" s="1644" t="s">
        <v>9604</v>
      </c>
      <c r="D6" s="1724">
        <v>5</v>
      </c>
      <c r="E6" s="2014">
        <v>17</v>
      </c>
      <c r="F6" s="1834" t="str">
        <f>VLOOKUP(D6,[1]SKILLS!$B$3:$D$20,3)</f>
        <v>Deception</v>
      </c>
      <c r="G6" s="576" t="str">
        <f>VLOOKUP(E6,[1]SKILLS!$B$3:$D$20,3)</f>
        <v>Stealth</v>
      </c>
      <c r="H6" s="615" t="s">
        <v>9605</v>
      </c>
      <c r="I6" s="354" t="s">
        <v>9606</v>
      </c>
      <c r="J6" s="354" t="s">
        <v>9607</v>
      </c>
      <c r="K6" s="354" t="s">
        <v>1287</v>
      </c>
      <c r="L6" s="354"/>
      <c r="M6" s="2015" t="str">
        <f ca="1">"Specialty: "&amp;D107</f>
        <v>Specialty:  (Burglar)</v>
      </c>
      <c r="N6" s="1644" t="s">
        <v>9604</v>
      </c>
      <c r="O6" s="578">
        <v>2</v>
      </c>
      <c r="Q6" s="2016" t="s">
        <v>6948</v>
      </c>
      <c r="R6" s="2017">
        <v>4</v>
      </c>
    </row>
    <row r="7" spans="1:24" ht="14.1" customHeight="1">
      <c r="A7" s="602"/>
      <c r="B7" s="578">
        <v>3</v>
      </c>
      <c r="C7" s="354" t="s">
        <v>9608</v>
      </c>
      <c r="D7" s="909">
        <v>2</v>
      </c>
      <c r="E7" s="370">
        <v>18</v>
      </c>
      <c r="F7" s="1834" t="str">
        <f>VLOOKUP(D7,[1]SKILLS!$B$3:$D$20,3)</f>
        <v>Animal Handling</v>
      </c>
      <c r="G7" s="576" t="str">
        <f>VLOOKUP(E7,[1]SKILLS!$B$3:$D$20,3)</f>
        <v>Survival</v>
      </c>
      <c r="H7" s="615" t="s">
        <v>9609</v>
      </c>
      <c r="I7" s="354" t="s">
        <v>9610</v>
      </c>
      <c r="J7" s="354" t="s">
        <v>9611</v>
      </c>
      <c r="K7" s="354" t="s">
        <v>1287</v>
      </c>
      <c r="L7" s="354"/>
      <c r="M7" s="2015" t="str">
        <f ca="1">"Defining Event: "&amp;E107</f>
        <v>Defining Event: I trained the peasantry to use farm implements as weapons against a tyrant’s soldiers.</v>
      </c>
      <c r="N7" s="354" t="s">
        <v>9608</v>
      </c>
      <c r="O7" s="578">
        <v>3</v>
      </c>
      <c r="Q7" s="1995" t="s">
        <v>6950</v>
      </c>
      <c r="R7" s="1996">
        <v>5</v>
      </c>
    </row>
    <row r="8" spans="1:24" ht="14.1" customHeight="1">
      <c r="A8" s="602"/>
      <c r="B8" s="578">
        <v>4</v>
      </c>
      <c r="C8" s="354" t="s">
        <v>1025</v>
      </c>
      <c r="D8" s="909">
        <v>6</v>
      </c>
      <c r="E8" s="370">
        <v>14</v>
      </c>
      <c r="F8" s="1834" t="str">
        <f>VLOOKUP(D8,[1]SKILLS!$B$3:$D$20,3)</f>
        <v>History</v>
      </c>
      <c r="G8" s="576" t="str">
        <f>VLOOKUP(E8,[1]SKILLS!$B$3:$D$20,3)</f>
        <v>Persuasion</v>
      </c>
      <c r="H8" s="615" t="s">
        <v>9612</v>
      </c>
      <c r="I8" s="354" t="s">
        <v>9613</v>
      </c>
      <c r="J8" s="354" t="s">
        <v>9614</v>
      </c>
      <c r="K8" s="351">
        <f>[1]SKILLS!$Z$63</f>
        <v>0</v>
      </c>
      <c r="L8" s="2018"/>
      <c r="M8" s="2015" t="str">
        <f ca="1">"Title: "&amp;F107</f>
        <v>Title: Noble Knight Variant</v>
      </c>
      <c r="N8" s="354" t="s">
        <v>1025</v>
      </c>
      <c r="O8" s="578">
        <v>4</v>
      </c>
      <c r="Q8" s="2008" t="s">
        <v>6952</v>
      </c>
      <c r="R8" s="2009">
        <v>6</v>
      </c>
    </row>
    <row r="9" spans="1:24" ht="14.1" customHeight="1">
      <c r="A9" s="602"/>
      <c r="B9" s="578">
        <v>5</v>
      </c>
      <c r="C9" s="354" t="s">
        <v>9529</v>
      </c>
      <c r="D9" s="909">
        <v>3</v>
      </c>
      <c r="E9" s="370">
        <v>6</v>
      </c>
      <c r="F9" s="1834" t="str">
        <f>VLOOKUP(D9,[1]SKILLS!$B$3:$D$20,3)</f>
        <v>Arcana</v>
      </c>
      <c r="G9" s="576" t="str">
        <f>VLOOKUP(E9,[1]SKILLS!$B$3:$D$20,3)</f>
        <v>History</v>
      </c>
      <c r="H9" s="615" t="s">
        <v>9601</v>
      </c>
      <c r="I9" s="354" t="s">
        <v>9615</v>
      </c>
      <c r="J9" s="354" t="s">
        <v>9616</v>
      </c>
      <c r="K9" s="351">
        <f>[1]SKILLS!$Z$63</f>
        <v>0</v>
      </c>
      <c r="L9" s="351">
        <f>[1]SKILLS!$Z$64</f>
        <v>0</v>
      </c>
      <c r="M9" s="2015" t="str">
        <f ca="1">"Specialty: "&amp;G107</f>
        <v>Specialty: Discredited</v>
      </c>
      <c r="N9" s="354" t="s">
        <v>9529</v>
      </c>
      <c r="O9" s="578">
        <v>5</v>
      </c>
      <c r="Q9" s="2019" t="s">
        <v>6954</v>
      </c>
      <c r="R9" s="2020">
        <v>7</v>
      </c>
    </row>
    <row r="10" spans="1:24" ht="14.1" customHeight="1">
      <c r="A10" s="602"/>
      <c r="B10" s="578">
        <v>6</v>
      </c>
      <c r="C10" s="354" t="s">
        <v>9617</v>
      </c>
      <c r="D10" s="909">
        <v>4</v>
      </c>
      <c r="E10" s="370">
        <v>8</v>
      </c>
      <c r="F10" s="1834" t="str">
        <f>VLOOKUP(D10,[1]SKILLS!$B$3:$D$20,3)</f>
        <v>Athletics</v>
      </c>
      <c r="G10" s="576" t="str">
        <f>VLOOKUP(E10,[1]SKILLS!$B$3:$D$20,3)</f>
        <v>Intimidation</v>
      </c>
      <c r="H10" s="615" t="s">
        <v>9618</v>
      </c>
      <c r="I10" s="354" t="s">
        <v>9619</v>
      </c>
      <c r="J10" s="354" t="s">
        <v>9620</v>
      </c>
      <c r="K10" s="354" t="s">
        <v>1287</v>
      </c>
      <c r="L10" s="354"/>
      <c r="M10" s="2015" t="str">
        <f ca="1">"Military Organization: "&amp;H107</f>
        <v>Military Organization: Standard bearer</v>
      </c>
      <c r="N10" s="354" t="s">
        <v>9617</v>
      </c>
      <c r="O10" s="578">
        <v>6</v>
      </c>
      <c r="Q10" s="2008" t="s">
        <v>7054</v>
      </c>
      <c r="R10" s="2009">
        <v>8</v>
      </c>
    </row>
    <row r="11" spans="1:24" ht="14.1" customHeight="1">
      <c r="A11" s="602"/>
      <c r="B11" s="578">
        <v>7</v>
      </c>
      <c r="C11" s="354" t="s">
        <v>9496</v>
      </c>
      <c r="D11" s="909">
        <v>5</v>
      </c>
      <c r="E11" s="370">
        <v>16</v>
      </c>
      <c r="F11" s="1834" t="str">
        <f>VLOOKUP(D11,[1]SKILLS!$B$3:$D$20,3)</f>
        <v>Deception</v>
      </c>
      <c r="G11" s="576" t="str">
        <f>VLOOKUP(E11,[1]SKILLS!$B$3:$D$20,3)</f>
        <v>Sleight of Hand</v>
      </c>
      <c r="H11" s="615" t="s">
        <v>9621</v>
      </c>
      <c r="I11" s="354" t="s">
        <v>9622</v>
      </c>
      <c r="J11" s="354" t="s">
        <v>9623</v>
      </c>
      <c r="K11" s="354" t="s">
        <v>1287</v>
      </c>
      <c r="L11" s="354"/>
      <c r="M11" s="2015" t="str">
        <f ca="1">"Favorite Scheme: "&amp;I107</f>
        <v>Favorite Scheme: I convince people that worthless junk is worth their hard-earned money.</v>
      </c>
      <c r="N11" s="354" t="s">
        <v>9496</v>
      </c>
      <c r="O11" s="578">
        <v>7</v>
      </c>
      <c r="Q11" s="2008" t="s">
        <v>6957</v>
      </c>
      <c r="R11" s="2009">
        <v>9</v>
      </c>
    </row>
    <row r="12" spans="1:24" ht="14.1" customHeight="1">
      <c r="A12" s="602"/>
      <c r="B12" s="578">
        <v>8</v>
      </c>
      <c r="C12" s="354" t="s">
        <v>9624</v>
      </c>
      <c r="D12" s="909">
        <v>1</v>
      </c>
      <c r="E12" s="370">
        <v>13</v>
      </c>
      <c r="F12" s="1834" t="str">
        <f>VLOOKUP(D12,[1]SKILLS!$B$3:$D$20,3)</f>
        <v>Acrobatics</v>
      </c>
      <c r="G12" s="576" t="str">
        <f>VLOOKUP(E12,[1]SKILLS!$B$3:$D$20,3)</f>
        <v>Performance</v>
      </c>
      <c r="H12" s="615" t="s">
        <v>9625</v>
      </c>
      <c r="I12" s="354" t="s">
        <v>9626</v>
      </c>
      <c r="J12" s="354" t="s">
        <v>9627</v>
      </c>
      <c r="K12" s="354" t="s">
        <v>1287</v>
      </c>
      <c r="L12" s="354"/>
      <c r="M12" s="2015" t="str">
        <f ca="1">"Routine: "&amp;J107</f>
        <v xml:space="preserve">Routine: Dancer </v>
      </c>
      <c r="N12" s="354" t="s">
        <v>9624</v>
      </c>
      <c r="O12" s="578">
        <v>8</v>
      </c>
      <c r="Q12" s="2008" t="s">
        <v>6958</v>
      </c>
      <c r="R12" s="2009">
        <v>10</v>
      </c>
    </row>
    <row r="13" spans="1:24" ht="14.1" customHeight="1">
      <c r="A13" s="602"/>
      <c r="B13" s="578">
        <v>9</v>
      </c>
      <c r="C13" s="354" t="s">
        <v>9628</v>
      </c>
      <c r="D13" s="909">
        <v>7</v>
      </c>
      <c r="E13" s="370">
        <v>14</v>
      </c>
      <c r="F13" s="1834" t="str">
        <f>VLOOKUP(D13,[1]SKILLS!$B$3:$D$20,3)</f>
        <v>Insight</v>
      </c>
      <c r="G13" s="576" t="str">
        <f>VLOOKUP(E13,[1]SKILLS!$B$3:$D$20,3)</f>
        <v>Persuasion</v>
      </c>
      <c r="H13" s="615" t="s">
        <v>9629</v>
      </c>
      <c r="I13" s="354" t="s">
        <v>9630</v>
      </c>
      <c r="J13" s="354" t="s">
        <v>9631</v>
      </c>
      <c r="K13" s="351">
        <f>[1]SKILLS!$Z$63</f>
        <v>0</v>
      </c>
      <c r="L13" s="2018"/>
      <c r="M13" s="2015" t="str">
        <f ca="1">"Guild Business: "&amp;K107</f>
        <v>Guild Business: Alchemists and apothecaries</v>
      </c>
      <c r="N13" s="354" t="s">
        <v>9628</v>
      </c>
      <c r="O13" s="578">
        <v>9</v>
      </c>
      <c r="Q13" s="2008" t="s">
        <v>6306</v>
      </c>
      <c r="R13" s="2009">
        <v>11</v>
      </c>
    </row>
    <row r="14" spans="1:24" ht="14.1" customHeight="1">
      <c r="A14" s="602"/>
      <c r="B14" s="578">
        <v>10</v>
      </c>
      <c r="C14" s="354" t="s">
        <v>9632</v>
      </c>
      <c r="D14" s="909">
        <v>10</v>
      </c>
      <c r="E14" s="370">
        <v>15</v>
      </c>
      <c r="F14" s="1834" t="str">
        <f>VLOOKUP(D14,[1]SKILLS!$B$3:$D$20,3)</f>
        <v>Medicine</v>
      </c>
      <c r="G14" s="576" t="str">
        <f>VLOOKUP(E14,[1]SKILLS!$B$3:$D$20,3)</f>
        <v>Religion</v>
      </c>
      <c r="H14" s="615" t="s">
        <v>9633</v>
      </c>
      <c r="I14" s="354" t="s">
        <v>9634</v>
      </c>
      <c r="J14" s="354" t="s">
        <v>9635</v>
      </c>
      <c r="K14" s="351">
        <f>[1]SKILLS!$Z$63</f>
        <v>0</v>
      </c>
      <c r="L14" s="2018"/>
      <c r="M14" s="2015" t="str">
        <f ca="1">"Life of Seclusion: "&amp;L107</f>
        <v>Life of Seclusion: I needed a quiet place to work on my art, literature, music, or manifesto.</v>
      </c>
      <c r="N14" s="354" t="s">
        <v>9632</v>
      </c>
      <c r="O14" s="578">
        <v>10</v>
      </c>
      <c r="Q14" s="2008" t="s">
        <v>6959</v>
      </c>
      <c r="R14" s="2009">
        <v>12</v>
      </c>
    </row>
    <row r="15" spans="1:24" ht="14.1" customHeight="1">
      <c r="A15" s="602"/>
      <c r="B15" s="578">
        <v>11</v>
      </c>
      <c r="C15" s="354" t="s">
        <v>9636</v>
      </c>
      <c r="D15" s="909">
        <v>4</v>
      </c>
      <c r="E15" s="370">
        <v>18</v>
      </c>
      <c r="F15" s="1834" t="str">
        <f>VLOOKUP(D15,[1]SKILLS!$B$3:$D$20,3)</f>
        <v>Athletics</v>
      </c>
      <c r="G15" s="576" t="str">
        <f>VLOOKUP(E15,[1]SKILLS!$B$3:$D$20,3)</f>
        <v>Survival</v>
      </c>
      <c r="H15" s="615" t="s">
        <v>9637</v>
      </c>
      <c r="I15" s="354" t="s">
        <v>9638</v>
      </c>
      <c r="J15" s="354" t="s">
        <v>9639</v>
      </c>
      <c r="K15" s="354" t="s">
        <v>1287</v>
      </c>
      <c r="L15" s="354"/>
      <c r="M15" s="2015" t="str">
        <f ca="1">"Origin: "&amp;M107</f>
        <v>Origin: Tribal nomad</v>
      </c>
      <c r="N15" s="354" t="s">
        <v>9636</v>
      </c>
      <c r="O15" s="578">
        <v>11</v>
      </c>
      <c r="Q15" s="2008" t="s">
        <v>6960</v>
      </c>
      <c r="R15" s="2009">
        <v>13</v>
      </c>
    </row>
    <row r="16" spans="1:24" ht="14.1" customHeight="1">
      <c r="A16" s="602"/>
      <c r="B16" s="578">
        <v>12</v>
      </c>
      <c r="C16" s="354" t="s">
        <v>9640</v>
      </c>
      <c r="D16" s="909">
        <v>4</v>
      </c>
      <c r="E16" s="370">
        <v>12</v>
      </c>
      <c r="F16" s="1834" t="str">
        <f>VLOOKUP(D16,[1]SKILLS!$B$3:$D$20,3)</f>
        <v>Athletics</v>
      </c>
      <c r="G16" s="576" t="str">
        <f>VLOOKUP(E16,[1]SKILLS!$B$3:$D$20,3)</f>
        <v>Perception</v>
      </c>
      <c r="H16" s="615" t="s">
        <v>9641</v>
      </c>
      <c r="I16" s="354" t="s">
        <v>9642</v>
      </c>
      <c r="J16" s="354" t="s">
        <v>9643</v>
      </c>
      <c r="K16" s="354" t="s">
        <v>1287</v>
      </c>
      <c r="L16" s="354"/>
      <c r="M16" s="2015" t="str">
        <f ca="1">"Ship Service: "&amp;N107</f>
        <v>Ship Service: Bad Reputation variant</v>
      </c>
      <c r="N16" s="354" t="s">
        <v>9640</v>
      </c>
      <c r="O16" s="578">
        <v>12</v>
      </c>
      <c r="Q16" s="2019" t="s">
        <v>6961</v>
      </c>
      <c r="R16" s="2020">
        <v>14</v>
      </c>
    </row>
    <row r="17" spans="1:18" ht="14.1" customHeight="1" thickBot="1">
      <c r="A17" s="602"/>
      <c r="B17" s="583">
        <v>13</v>
      </c>
      <c r="C17" s="410" t="s">
        <v>9644</v>
      </c>
      <c r="D17" s="908">
        <v>16</v>
      </c>
      <c r="E17" s="425">
        <v>17</v>
      </c>
      <c r="F17" s="1841" t="str">
        <f>VLOOKUP(D17,[1]SKILLS!$B$3:$D$20,3)</f>
        <v>Sleight of Hand</v>
      </c>
      <c r="G17" s="411" t="str">
        <f>VLOOKUP(E17,[1]SKILLS!$B$3:$D$20,3)</f>
        <v>Stealth</v>
      </c>
      <c r="H17" s="619" t="s">
        <v>9645</v>
      </c>
      <c r="I17" s="410" t="s">
        <v>9646</v>
      </c>
      <c r="J17" s="410" t="s">
        <v>9647</v>
      </c>
      <c r="K17" s="410" t="s">
        <v>1287</v>
      </c>
      <c r="L17" s="410"/>
      <c r="M17" s="2021" t="str">
        <f>"City of Origin"</f>
        <v>City of Origin</v>
      </c>
      <c r="N17" s="410" t="s">
        <v>9644</v>
      </c>
      <c r="O17" s="583">
        <v>13</v>
      </c>
      <c r="Q17" s="2008" t="s">
        <v>6962</v>
      </c>
      <c r="R17" s="2009">
        <v>15</v>
      </c>
    </row>
    <row r="18" spans="1:18" ht="14.1" customHeight="1" thickBot="1">
      <c r="A18" s="2022" t="s">
        <v>6301</v>
      </c>
      <c r="B18" s="2023">
        <v>14</v>
      </c>
      <c r="C18" s="2024" t="str">
        <f ca="1">IF(RANDBETWEEN(1,6)&lt;&gt;6,"City Watch","City Watch: Investigator")</f>
        <v>City Watch</v>
      </c>
      <c r="D18" s="2025">
        <v>4</v>
      </c>
      <c r="E18" s="2026">
        <v>7</v>
      </c>
      <c r="F18" s="2027" t="s">
        <v>6948</v>
      </c>
      <c r="G18" s="2028" t="s">
        <v>6954</v>
      </c>
      <c r="H18" s="2029" t="s">
        <v>9601</v>
      </c>
      <c r="I18" s="2024" t="s">
        <v>9648</v>
      </c>
      <c r="J18" s="2024" t="s">
        <v>9649</v>
      </c>
      <c r="K18" s="328">
        <f>[1]SKILLS!$Z$63</f>
        <v>0</v>
      </c>
      <c r="L18" s="328">
        <f>[1]SKILLS!$Z$64</f>
        <v>0</v>
      </c>
      <c r="M18" s="2030" t="str">
        <f ca="1">M10</f>
        <v>Military Organization: Standard bearer</v>
      </c>
      <c r="N18" s="354" t="s">
        <v>9617</v>
      </c>
      <c r="O18" s="686"/>
      <c r="Q18" s="2008" t="s">
        <v>6963</v>
      </c>
      <c r="R18" s="2009">
        <v>16</v>
      </c>
    </row>
    <row r="19" spans="1:18" ht="14.1" customHeight="1" thickBot="1">
      <c r="A19" s="776"/>
      <c r="B19" s="2031">
        <v>15</v>
      </c>
      <c r="C19" s="2032" t="s">
        <v>9650</v>
      </c>
      <c r="D19" s="2033">
        <v>6</v>
      </c>
      <c r="E19" s="2034">
        <v>7</v>
      </c>
      <c r="F19" s="1619" t="s">
        <v>6952</v>
      </c>
      <c r="G19" s="2035" t="s">
        <v>6954</v>
      </c>
      <c r="H19" s="2036" t="s">
        <v>9651</v>
      </c>
      <c r="I19" s="2032" t="s">
        <v>9652</v>
      </c>
      <c r="J19" s="2032" t="s">
        <v>9653</v>
      </c>
      <c r="K19" s="328">
        <f>[1]SKILLS!$Z$63</f>
        <v>0</v>
      </c>
      <c r="L19" s="354"/>
      <c r="M19" s="2037" t="str">
        <f ca="1">M13</f>
        <v>Guild Business: Alchemists and apothecaries</v>
      </c>
      <c r="N19" s="354" t="s">
        <v>9628</v>
      </c>
      <c r="O19" s="452"/>
      <c r="Q19" s="2008" t="s">
        <v>6964</v>
      </c>
      <c r="R19" s="2009">
        <v>17</v>
      </c>
    </row>
    <row r="20" spans="1:18" ht="14.1" customHeight="1" thickBot="1">
      <c r="A20" s="776"/>
      <c r="B20" s="2031">
        <v>16</v>
      </c>
      <c r="C20" s="2032" t="s">
        <v>9654</v>
      </c>
      <c r="D20" s="2033">
        <v>6</v>
      </c>
      <c r="E20" s="2038">
        <f ca="1">VLOOKUP(G20,$Q$3:$R$20,2,FALSE)</f>
        <v>11</v>
      </c>
      <c r="F20" s="1619" t="s">
        <v>6952</v>
      </c>
      <c r="G20" s="2039" t="str">
        <f ca="1">VLOOKUP(RANDBETWEEN(1,3),B144:F147,2,FALSE)</f>
        <v>Nature</v>
      </c>
      <c r="H20" s="2036" t="s">
        <v>9601</v>
      </c>
      <c r="I20" s="2032" t="s">
        <v>9655</v>
      </c>
      <c r="J20" s="2032" t="s">
        <v>9656</v>
      </c>
      <c r="K20" s="328">
        <f>[1]SKILLS!$Z$63</f>
        <v>0</v>
      </c>
      <c r="L20" s="328">
        <f>[1]SKILLS!$Z$64</f>
        <v>0</v>
      </c>
      <c r="M20" s="2037" t="str">
        <f ca="1">M9</f>
        <v>Specialty: Discredited</v>
      </c>
      <c r="N20" s="354" t="s">
        <v>9529</v>
      </c>
      <c r="O20" s="452"/>
      <c r="Q20" s="2040" t="s">
        <v>6965</v>
      </c>
      <c r="R20" s="2041">
        <v>18</v>
      </c>
    </row>
    <row r="21" spans="1:18" ht="14.1" customHeight="1" thickBot="1">
      <c r="A21" s="776"/>
      <c r="B21" s="2031">
        <v>17</v>
      </c>
      <c r="C21" s="2032" t="s">
        <v>9657</v>
      </c>
      <c r="D21" s="2033">
        <v>7</v>
      </c>
      <c r="E21" s="2034">
        <v>14</v>
      </c>
      <c r="F21" s="1619" t="s">
        <v>6954</v>
      </c>
      <c r="G21" s="2035" t="s">
        <v>6961</v>
      </c>
      <c r="H21" s="2036" t="s">
        <v>9601</v>
      </c>
      <c r="I21" s="2032" t="s">
        <v>9658</v>
      </c>
      <c r="J21" s="2032" t="s">
        <v>9659</v>
      </c>
      <c r="K21" s="328">
        <f>[1]SKILLS!$Z$63</f>
        <v>0</v>
      </c>
      <c r="L21" s="328">
        <f>[1]SKILLS!$Z$64</f>
        <v>0</v>
      </c>
      <c r="M21" s="2037" t="str">
        <f ca="1">M13</f>
        <v>Guild Business: Alchemists and apothecaries</v>
      </c>
      <c r="N21" s="354" t="s">
        <v>9628</v>
      </c>
      <c r="O21" s="452"/>
    </row>
    <row r="22" spans="1:18" ht="14.1" customHeight="1" thickBot="1">
      <c r="A22" s="776"/>
      <c r="B22" s="2031">
        <v>18</v>
      </c>
      <c r="C22" s="2032" t="s">
        <v>9660</v>
      </c>
      <c r="D22" s="2033">
        <v>7</v>
      </c>
      <c r="E22" s="2038">
        <f ca="1">VLOOKUP(G22,$Q$3:$R$20,2,FALSE)</f>
        <v>9</v>
      </c>
      <c r="F22" s="1619" t="s">
        <v>6954</v>
      </c>
      <c r="G22" s="2039" t="str">
        <f ca="1">VLOOKUP(RANDBETWEEN(1,18),[1]SKILLS!A27:B44,2,FALSE)</f>
        <v>Investigation</v>
      </c>
      <c r="H22" s="2036" t="s">
        <v>9601</v>
      </c>
      <c r="I22" s="2032" t="s">
        <v>9661</v>
      </c>
      <c r="J22" s="2032" t="s">
        <v>9662</v>
      </c>
      <c r="K22" s="328">
        <f>[1]SKILLS!$Z$63</f>
        <v>0</v>
      </c>
      <c r="L22" s="328">
        <f>[1]SKILLS!$Z$64</f>
        <v>0</v>
      </c>
      <c r="M22" s="2037" t="s">
        <v>9482</v>
      </c>
      <c r="N22" s="330" t="s">
        <v>5732</v>
      </c>
      <c r="O22" s="452"/>
    </row>
    <row r="23" spans="1:18" ht="14.1" customHeight="1" thickBot="1">
      <c r="A23" s="776"/>
      <c r="B23" s="2031">
        <v>19</v>
      </c>
      <c r="C23" s="2032" t="s">
        <v>9663</v>
      </c>
      <c r="D23" s="2033">
        <v>7</v>
      </c>
      <c r="E23" s="2034">
        <v>12</v>
      </c>
      <c r="F23" s="1619" t="s">
        <v>6954</v>
      </c>
      <c r="G23" s="2035" t="s">
        <v>6959</v>
      </c>
      <c r="H23" s="2042" t="str">
        <f ca="1">IF(RANDBETWEEN(1,2)=1,"Mus.Instrument","Gaming set")</f>
        <v>Gaming set</v>
      </c>
      <c r="I23" s="2032" t="s">
        <v>9664</v>
      </c>
      <c r="J23" s="2032" t="s">
        <v>9665</v>
      </c>
      <c r="K23" s="328">
        <f>[1]SKILLS!$Z$63</f>
        <v>0</v>
      </c>
      <c r="L23" s="354"/>
      <c r="M23" s="2037" t="s">
        <v>9666</v>
      </c>
      <c r="N23" s="2043" t="s">
        <v>9663</v>
      </c>
      <c r="O23" s="2044">
        <v>14</v>
      </c>
    </row>
    <row r="24" spans="1:18" ht="14.1" customHeight="1" thickBot="1">
      <c r="A24" s="776"/>
      <c r="B24" s="2031">
        <v>20</v>
      </c>
      <c r="C24" s="2032" t="s">
        <v>9667</v>
      </c>
      <c r="D24" s="2033">
        <v>18</v>
      </c>
      <c r="E24" s="2038">
        <f ca="1">VLOOKUP(G24,$Q$3:$R$20,2,FALSE)</f>
        <v>15</v>
      </c>
      <c r="F24" s="1619" t="s">
        <v>6965</v>
      </c>
      <c r="G24" s="2039" t="str">
        <f ca="1">VLOOKUP(RANDBETWEEN(1,3),B144:D146,3,FALSE)</f>
        <v>Religion</v>
      </c>
      <c r="H24" s="2042" t="str">
        <f ca="1">IF(RANDBETWEEN(1,2)=1,"Mus.Instrument","Gaming set")</f>
        <v>Mus.Instrument</v>
      </c>
      <c r="I24" s="2032" t="s">
        <v>9668</v>
      </c>
      <c r="J24" s="2032" t="s">
        <v>9669</v>
      </c>
      <c r="K24" s="328">
        <f>[1]SKILLS!$Z$63</f>
        <v>0</v>
      </c>
      <c r="L24" s="354"/>
      <c r="M24" s="2037" t="str">
        <f ca="1">M7</f>
        <v>Defining Event: I trained the peasantry to use farm implements as weapons against a tyrant’s soldiers.</v>
      </c>
      <c r="N24" s="354" t="s">
        <v>9608</v>
      </c>
      <c r="O24" s="452"/>
    </row>
    <row r="25" spans="1:18" ht="14.1" customHeight="1">
      <c r="A25" s="776"/>
      <c r="B25" s="2031">
        <v>21</v>
      </c>
      <c r="C25" s="2032" t="s">
        <v>9670</v>
      </c>
      <c r="D25" s="2033">
        <v>14</v>
      </c>
      <c r="E25" s="2038">
        <f ca="1">VLOOKUP(G25,$Q$3:$R$20,2,FALSE)</f>
        <v>3</v>
      </c>
      <c r="F25" s="1619" t="s">
        <v>6961</v>
      </c>
      <c r="G25" s="2039" t="str">
        <f ca="1">VLOOKUP(RANDBETWEEN(1,4),B144:E147,4,FALSE)</f>
        <v>Arcana</v>
      </c>
      <c r="H25" s="2042" t="str">
        <f ca="1">IF(RANDBETWEEN(1,2)=1,"Mus.Instrument","Gaming set")</f>
        <v>Mus.Instrument</v>
      </c>
      <c r="I25" s="2032" t="s">
        <v>9671</v>
      </c>
      <c r="J25" s="2032" t="s">
        <v>9672</v>
      </c>
      <c r="K25" s="328">
        <f>[1]SKILLS!$Z$63</f>
        <v>0</v>
      </c>
      <c r="L25" s="354"/>
      <c r="M25" s="2037" t="str">
        <f ca="1">M10</f>
        <v>Military Organization: Standard bearer</v>
      </c>
      <c r="N25" s="354" t="s">
        <v>9617</v>
      </c>
      <c r="O25" s="452"/>
    </row>
    <row r="26" spans="1:18" ht="14.1" customHeight="1">
      <c r="A26" s="776"/>
      <c r="B26" s="2031">
        <v>22</v>
      </c>
      <c r="C26" s="2032" t="s">
        <v>9673</v>
      </c>
      <c r="D26" s="2033">
        <v>4</v>
      </c>
      <c r="E26" s="2034">
        <v>14</v>
      </c>
      <c r="F26" s="1619" t="s">
        <v>6948</v>
      </c>
      <c r="G26" s="2035" t="s">
        <v>6961</v>
      </c>
      <c r="H26" s="2036" t="s">
        <v>9674</v>
      </c>
      <c r="I26" s="2032" t="s">
        <v>9675</v>
      </c>
      <c r="J26" s="2032" t="s">
        <v>9676</v>
      </c>
      <c r="K26" s="354"/>
      <c r="L26" s="354"/>
      <c r="M26" s="2037" t="str">
        <f ca="1">M10</f>
        <v>Military Organization: Standard bearer</v>
      </c>
      <c r="N26" s="354" t="s">
        <v>9617</v>
      </c>
      <c r="O26" s="452"/>
    </row>
    <row r="27" spans="1:18" ht="14.1" customHeight="1" thickBot="1">
      <c r="A27" s="776"/>
      <c r="B27" s="2031">
        <v>23</v>
      </c>
      <c r="C27" s="2032" t="s">
        <v>9677</v>
      </c>
      <c r="D27" s="2033">
        <v>7</v>
      </c>
      <c r="E27" s="2038">
        <f ca="1">VLOOKUP(G27,$Q$3:$R$20,2,FALSE)</f>
        <v>17</v>
      </c>
      <c r="F27" s="1619" t="s">
        <v>6954</v>
      </c>
      <c r="G27" s="2039" t="str">
        <f ca="1">VLOOKUP(RANDBETWEEN(1,3),B144:F146,5,FALSE)</f>
        <v>Stealth</v>
      </c>
      <c r="H27" s="2036" t="s">
        <v>9678</v>
      </c>
      <c r="I27" s="2032" t="s">
        <v>9679</v>
      </c>
      <c r="J27" s="2032" t="s">
        <v>9680</v>
      </c>
      <c r="K27" s="354"/>
      <c r="L27" s="354"/>
      <c r="M27" s="2037" t="str">
        <f ca="1">M6</f>
        <v>Specialty:  (Burglar)</v>
      </c>
      <c r="N27" s="1644" t="s">
        <v>9604</v>
      </c>
      <c r="O27" s="452"/>
    </row>
    <row r="28" spans="1:18" ht="14.1" customHeight="1" thickBot="1">
      <c r="A28" s="776"/>
      <c r="B28" s="2031">
        <v>24</v>
      </c>
      <c r="C28" s="2032" t="s">
        <v>9681</v>
      </c>
      <c r="D28" s="2033">
        <v>4</v>
      </c>
      <c r="E28" s="2034">
        <v>18</v>
      </c>
      <c r="F28" s="1619" t="s">
        <v>6948</v>
      </c>
      <c r="G28" s="2035" t="s">
        <v>6965</v>
      </c>
      <c r="H28" s="2042" t="str">
        <f ca="1">IF(RANDBETWEEN(1,2)=1,"Mus.Instrument","Artisan's Tools")</f>
        <v>Mus.Instrument</v>
      </c>
      <c r="I28" s="2032" t="s">
        <v>9682</v>
      </c>
      <c r="J28" s="2032" t="s">
        <v>9683</v>
      </c>
      <c r="K28" s="328">
        <f>[1]SKILLS!$Z$63</f>
        <v>0</v>
      </c>
      <c r="L28" s="354"/>
      <c r="M28" s="2037" t="str">
        <f ca="1">M15</f>
        <v>Origin: Tribal nomad</v>
      </c>
      <c r="N28" s="354" t="s">
        <v>9636</v>
      </c>
      <c r="O28" s="452"/>
    </row>
    <row r="29" spans="1:18" ht="14.1" customHeight="1">
      <c r="A29" s="776"/>
      <c r="B29" s="2031">
        <v>25</v>
      </c>
      <c r="C29" s="2032" t="s">
        <v>9684</v>
      </c>
      <c r="D29" s="2033">
        <v>6</v>
      </c>
      <c r="E29" s="2034">
        <v>14</v>
      </c>
      <c r="F29" s="1619" t="s">
        <v>6952</v>
      </c>
      <c r="G29" s="2035" t="s">
        <v>6961</v>
      </c>
      <c r="H29" s="2042" t="str">
        <f ca="1">IF(RANDBETWEEN(1,2)=1,"Mus.Instrument","Gaming set")</f>
        <v>Mus.Instrument</v>
      </c>
      <c r="I29" s="2032" t="s">
        <v>9685</v>
      </c>
      <c r="J29" s="2032" t="s">
        <v>9686</v>
      </c>
      <c r="K29" s="328">
        <f>[1]SKILLS!$Z$63</f>
        <v>0</v>
      </c>
      <c r="L29" s="354"/>
      <c r="M29" s="2037" t="str">
        <f ca="1">M8</f>
        <v>Title: Noble Knight Variant</v>
      </c>
      <c r="N29" s="354" t="s">
        <v>1025</v>
      </c>
      <c r="O29" s="452"/>
    </row>
    <row r="30" spans="1:18" ht="14.1" customHeight="1">
      <c r="A30" s="776"/>
      <c r="B30" s="2045"/>
      <c r="C30" s="2046"/>
      <c r="D30" s="2047"/>
      <c r="E30" s="2048"/>
      <c r="F30" s="2049"/>
      <c r="G30" s="2050"/>
      <c r="H30" s="2051"/>
      <c r="I30" s="2046"/>
      <c r="J30" s="2046"/>
      <c r="K30" s="2046"/>
      <c r="L30" s="2046"/>
      <c r="M30" s="2037"/>
      <c r="N30" s="2052" t="s">
        <v>1287</v>
      </c>
      <c r="O30" s="711"/>
    </row>
    <row r="31" spans="1:18" ht="14.1" customHeight="1" thickBot="1">
      <c r="A31" s="776"/>
      <c r="B31" s="2045"/>
      <c r="C31" s="2046"/>
      <c r="D31" s="2047"/>
      <c r="E31" s="2048"/>
      <c r="F31" s="2053"/>
      <c r="G31" s="2054"/>
      <c r="H31" s="2051"/>
      <c r="I31" s="2046"/>
      <c r="J31" s="2046"/>
      <c r="K31" s="2046"/>
      <c r="L31" s="2046"/>
      <c r="M31" s="2037"/>
      <c r="N31" s="2052" t="s">
        <v>1287</v>
      </c>
      <c r="O31" s="711"/>
    </row>
    <row r="32" spans="1:18" ht="14.1" customHeight="1">
      <c r="A32" s="602"/>
      <c r="B32" s="2055"/>
      <c r="C32" s="2052"/>
      <c r="D32" s="2056"/>
      <c r="E32" s="2056"/>
      <c r="F32" s="2052"/>
      <c r="G32" s="2052"/>
      <c r="H32" s="2052"/>
      <c r="I32" s="2052"/>
      <c r="J32" s="2052"/>
      <c r="K32" s="2052"/>
      <c r="L32" s="2052"/>
      <c r="M32" s="2057"/>
      <c r="N32" s="2052" t="s">
        <v>1287</v>
      </c>
      <c r="O32" s="711"/>
    </row>
    <row r="33" spans="1:18" ht="14.1" customHeight="1">
      <c r="A33" s="602"/>
      <c r="B33" s="2055"/>
      <c r="C33" s="2052"/>
      <c r="D33" s="2056"/>
      <c r="E33" s="2056"/>
      <c r="F33" s="2052"/>
      <c r="G33" s="2052"/>
      <c r="H33" s="2052"/>
      <c r="I33" s="2052"/>
      <c r="J33" s="2052"/>
      <c r="K33" s="2052"/>
      <c r="L33" s="2052"/>
      <c r="M33" s="2057"/>
      <c r="N33" s="2052"/>
      <c r="O33" s="711"/>
    </row>
    <row r="34" spans="1:18" ht="14.1" customHeight="1">
      <c r="A34" s="602"/>
      <c r="B34" s="2055"/>
      <c r="C34" s="2052"/>
      <c r="D34" s="2056"/>
      <c r="E34" s="2056"/>
      <c r="F34" s="2052"/>
      <c r="G34" s="2052"/>
      <c r="H34" s="2052"/>
      <c r="I34" s="2052"/>
      <c r="J34" s="2052"/>
      <c r="K34" s="2052"/>
      <c r="L34" s="2052"/>
      <c r="M34" s="2057"/>
      <c r="N34" s="2052"/>
      <c r="O34" s="711"/>
    </row>
    <row r="35" spans="1:18" ht="14.1" customHeight="1" thickBot="1">
      <c r="A35" s="1264"/>
      <c r="B35" s="2058"/>
      <c r="C35" s="2059"/>
      <c r="D35" s="2060"/>
      <c r="E35" s="2060"/>
      <c r="F35" s="2059"/>
      <c r="G35" s="2059"/>
      <c r="H35" s="2059"/>
      <c r="I35" s="2059"/>
      <c r="J35" s="2059"/>
      <c r="K35" s="2059"/>
      <c r="L35" s="2059"/>
      <c r="M35" s="2061"/>
      <c r="N35" s="2059"/>
      <c r="O35" s="734"/>
    </row>
    <row r="38" spans="1:18" ht="14.1" customHeight="1" thickBot="1">
      <c r="I38" s="272" t="s">
        <v>1287</v>
      </c>
    </row>
    <row r="39" spans="1:18" ht="14.1" customHeight="1" thickBot="1">
      <c r="B39" s="2062" t="s">
        <v>9687</v>
      </c>
      <c r="C39" s="1085"/>
      <c r="D39" s="1085"/>
      <c r="E39" s="1085"/>
      <c r="F39" s="1085"/>
      <c r="G39" s="1085"/>
      <c r="H39" s="1085"/>
      <c r="I39" s="1085"/>
      <c r="J39" s="1085"/>
      <c r="K39" s="1085"/>
      <c r="L39" s="1085"/>
      <c r="M39" s="1085"/>
      <c r="N39" s="1085"/>
      <c r="O39" s="1085"/>
      <c r="P39" s="1164"/>
      <c r="R39" s="594"/>
    </row>
    <row r="40" spans="1:18" ht="14.1" customHeight="1">
      <c r="B40" s="1796"/>
      <c r="C40" s="2063" t="s">
        <v>9688</v>
      </c>
      <c r="D40" s="2064">
        <f ca="1">RANDBETWEEN(1,8)</f>
        <v>8</v>
      </c>
      <c r="E40" s="2065" t="str">
        <f ca="1">VLOOKUP(D40,B44:P51,(RANDBETWEEN(1,14)+1),FALSE)</f>
        <v>I’ve spent so long in the temple that I have little practical experience dealing with people in the outside world.</v>
      </c>
      <c r="F40" s="2066"/>
      <c r="G40" s="2066"/>
      <c r="H40" s="2066"/>
      <c r="I40" s="2066"/>
      <c r="J40" s="2066"/>
      <c r="K40" s="2066"/>
      <c r="L40" s="2066"/>
      <c r="M40" s="2066"/>
      <c r="N40" s="2066"/>
      <c r="O40" s="1984"/>
      <c r="P40" s="1984"/>
    </row>
    <row r="41" spans="1:18" ht="14.1" customHeight="1">
      <c r="B41" s="2067"/>
      <c r="C41" s="2068" t="s">
        <v>9689</v>
      </c>
      <c r="D41" s="2069">
        <f ca="1">RANDBETWEEN(1,8)</f>
        <v>3</v>
      </c>
      <c r="E41" s="2070" t="str">
        <f ca="1">VLOOKUP(D41,B44:P51,C4+1,FALSE)</f>
        <v>I’ve lost too many friends, and I’m slow to make new ones.</v>
      </c>
      <c r="F41" s="2071"/>
      <c r="G41" s="2071"/>
      <c r="H41" s="2071"/>
      <c r="I41" s="2071"/>
      <c r="J41" s="2071"/>
      <c r="K41" s="2071"/>
      <c r="L41" s="2071"/>
      <c r="M41" s="2071"/>
      <c r="N41" s="2071"/>
      <c r="O41" s="559"/>
      <c r="P41" s="559"/>
    </row>
    <row r="42" spans="1:18" ht="14.1" customHeight="1">
      <c r="B42" s="477" t="s">
        <v>6172</v>
      </c>
      <c r="C42" s="604">
        <v>2</v>
      </c>
      <c r="D42" s="352">
        <v>3</v>
      </c>
      <c r="E42" s="352">
        <v>4</v>
      </c>
      <c r="F42" s="352">
        <v>5</v>
      </c>
      <c r="G42" s="352">
        <v>6</v>
      </c>
      <c r="H42" s="352">
        <v>7</v>
      </c>
      <c r="I42" s="352">
        <v>8</v>
      </c>
      <c r="J42" s="352">
        <v>9</v>
      </c>
      <c r="K42" s="352">
        <v>10</v>
      </c>
      <c r="L42" s="352">
        <v>11</v>
      </c>
      <c r="M42" s="352">
        <v>12</v>
      </c>
      <c r="N42" s="352">
        <v>13</v>
      </c>
      <c r="O42" s="883">
        <v>14</v>
      </c>
      <c r="P42" s="883">
        <v>15</v>
      </c>
    </row>
    <row r="43" spans="1:18" ht="14.1" customHeight="1" thickBot="1">
      <c r="B43" s="555"/>
      <c r="C43" s="2072" t="s">
        <v>5732</v>
      </c>
      <c r="D43" s="1634" t="s">
        <v>9604</v>
      </c>
      <c r="E43" s="1634" t="s">
        <v>9608</v>
      </c>
      <c r="F43" s="1634" t="s">
        <v>1025</v>
      </c>
      <c r="G43" s="1634" t="s">
        <v>9529</v>
      </c>
      <c r="H43" s="1634" t="s">
        <v>9617</v>
      </c>
      <c r="I43" s="1634" t="s">
        <v>9496</v>
      </c>
      <c r="J43" s="1634" t="s">
        <v>9624</v>
      </c>
      <c r="K43" s="1634" t="s">
        <v>9628</v>
      </c>
      <c r="L43" s="1634" t="s">
        <v>9632</v>
      </c>
      <c r="M43" s="1634" t="s">
        <v>9636</v>
      </c>
      <c r="N43" s="1634" t="s">
        <v>9640</v>
      </c>
      <c r="O43" s="1635" t="s">
        <v>9644</v>
      </c>
      <c r="P43" s="1635" t="s">
        <v>9663</v>
      </c>
      <c r="Q43" s="272" t="s">
        <v>7801</v>
      </c>
    </row>
    <row r="44" spans="1:18" ht="14.1" customHeight="1">
      <c r="B44" s="572">
        <v>1</v>
      </c>
      <c r="C44" s="588" t="s">
        <v>9690</v>
      </c>
      <c r="D44" s="573" t="s">
        <v>9691</v>
      </c>
      <c r="E44" s="573" t="s">
        <v>9692</v>
      </c>
      <c r="F44" s="573" t="s">
        <v>9693</v>
      </c>
      <c r="G44" s="573" t="s">
        <v>9694</v>
      </c>
      <c r="H44" s="573" t="s">
        <v>9695</v>
      </c>
      <c r="I44" s="573" t="s">
        <v>9696</v>
      </c>
      <c r="J44" s="573" t="s">
        <v>9697</v>
      </c>
      <c r="K44" s="573" t="s">
        <v>9698</v>
      </c>
      <c r="L44" s="573" t="s">
        <v>9699</v>
      </c>
      <c r="M44" s="573" t="s">
        <v>9700</v>
      </c>
      <c r="N44" s="573" t="s">
        <v>9701</v>
      </c>
      <c r="O44" s="576" t="s">
        <v>9702</v>
      </c>
      <c r="P44" s="576" t="s">
        <v>9703</v>
      </c>
      <c r="Q44" s="272" t="s">
        <v>7801</v>
      </c>
    </row>
    <row r="45" spans="1:18" ht="14.1" customHeight="1">
      <c r="B45" s="578">
        <v>2</v>
      </c>
      <c r="C45" s="579" t="s">
        <v>9704</v>
      </c>
      <c r="D45" s="354" t="s">
        <v>9705</v>
      </c>
      <c r="E45" s="354" t="s">
        <v>9706</v>
      </c>
      <c r="F45" s="354" t="s">
        <v>9707</v>
      </c>
      <c r="G45" s="354" t="s">
        <v>9708</v>
      </c>
      <c r="H45" s="354" t="s">
        <v>9709</v>
      </c>
      <c r="I45" s="354" t="s">
        <v>9710</v>
      </c>
      <c r="J45" s="354" t="s">
        <v>9711</v>
      </c>
      <c r="K45" s="354" t="s">
        <v>9712</v>
      </c>
      <c r="L45" s="354" t="s">
        <v>9713</v>
      </c>
      <c r="M45" s="354" t="s">
        <v>9714</v>
      </c>
      <c r="N45" s="354" t="s">
        <v>9715</v>
      </c>
      <c r="O45" s="355" t="s">
        <v>9716</v>
      </c>
      <c r="P45" s="355" t="s">
        <v>9717</v>
      </c>
      <c r="Q45" s="272" t="s">
        <v>7801</v>
      </c>
    </row>
    <row r="46" spans="1:18" ht="14.1" customHeight="1">
      <c r="B46" s="578">
        <v>3</v>
      </c>
      <c r="C46" s="579" t="s">
        <v>9718</v>
      </c>
      <c r="D46" s="354" t="s">
        <v>9719</v>
      </c>
      <c r="E46" s="354" t="s">
        <v>9720</v>
      </c>
      <c r="F46" s="354" t="s">
        <v>9721</v>
      </c>
      <c r="G46" s="354" t="s">
        <v>9722</v>
      </c>
      <c r="H46" s="354" t="s">
        <v>9723</v>
      </c>
      <c r="I46" s="354" t="s">
        <v>9724</v>
      </c>
      <c r="J46" s="354" t="s">
        <v>9725</v>
      </c>
      <c r="K46" s="354" t="s">
        <v>9726</v>
      </c>
      <c r="L46" s="354" t="s">
        <v>9727</v>
      </c>
      <c r="M46" s="354" t="s">
        <v>9728</v>
      </c>
      <c r="N46" s="354" t="s">
        <v>9729</v>
      </c>
      <c r="O46" s="355" t="s">
        <v>9730</v>
      </c>
      <c r="P46" s="355" t="s">
        <v>9731</v>
      </c>
      <c r="Q46" s="272" t="s">
        <v>7801</v>
      </c>
    </row>
    <row r="47" spans="1:18" ht="14.1" customHeight="1">
      <c r="B47" s="578">
        <v>4</v>
      </c>
      <c r="C47" s="579" t="s">
        <v>9732</v>
      </c>
      <c r="D47" s="354" t="s">
        <v>9733</v>
      </c>
      <c r="E47" s="354" t="s">
        <v>9734</v>
      </c>
      <c r="F47" s="354" t="s">
        <v>9735</v>
      </c>
      <c r="G47" s="354" t="s">
        <v>9736</v>
      </c>
      <c r="H47" s="354" t="s">
        <v>9737</v>
      </c>
      <c r="I47" s="354" t="s">
        <v>9738</v>
      </c>
      <c r="J47" s="354" t="s">
        <v>9739</v>
      </c>
      <c r="K47" s="354" t="s">
        <v>9740</v>
      </c>
      <c r="L47" s="354" t="s">
        <v>9741</v>
      </c>
      <c r="M47" s="354" t="s">
        <v>9742</v>
      </c>
      <c r="N47" s="354" t="s">
        <v>9743</v>
      </c>
      <c r="O47" s="355" t="s">
        <v>9744</v>
      </c>
      <c r="P47" s="355" t="s">
        <v>9745</v>
      </c>
      <c r="Q47" s="272" t="s">
        <v>7801</v>
      </c>
    </row>
    <row r="48" spans="1:18" ht="14.1" customHeight="1">
      <c r="B48" s="578">
        <v>5</v>
      </c>
      <c r="C48" s="579" t="s">
        <v>9746</v>
      </c>
      <c r="D48" s="354" t="s">
        <v>9747</v>
      </c>
      <c r="E48" s="354" t="s">
        <v>9748</v>
      </c>
      <c r="F48" s="354" t="s">
        <v>9749</v>
      </c>
      <c r="G48" s="354" t="s">
        <v>9750</v>
      </c>
      <c r="H48" s="354" t="s">
        <v>9751</v>
      </c>
      <c r="I48" s="354" t="s">
        <v>9752</v>
      </c>
      <c r="J48" s="354" t="s">
        <v>9753</v>
      </c>
      <c r="K48" s="354" t="s">
        <v>9754</v>
      </c>
      <c r="L48" s="354" t="s">
        <v>9755</v>
      </c>
      <c r="M48" s="354" t="s">
        <v>9756</v>
      </c>
      <c r="N48" s="354" t="s">
        <v>9757</v>
      </c>
      <c r="O48" s="355" t="s">
        <v>9758</v>
      </c>
      <c r="P48" s="355" t="s">
        <v>9759</v>
      </c>
      <c r="Q48" s="272" t="s">
        <v>7801</v>
      </c>
    </row>
    <row r="49" spans="2:17" ht="14.1" customHeight="1">
      <c r="B49" s="578">
        <v>6</v>
      </c>
      <c r="C49" s="579" t="s">
        <v>9760</v>
      </c>
      <c r="D49" s="354" t="s">
        <v>9761</v>
      </c>
      <c r="E49" s="354" t="s">
        <v>9762</v>
      </c>
      <c r="F49" s="354" t="s">
        <v>9763</v>
      </c>
      <c r="G49" s="354" t="s">
        <v>9764</v>
      </c>
      <c r="H49" s="354" t="s">
        <v>9765</v>
      </c>
      <c r="I49" s="354" t="s">
        <v>9766</v>
      </c>
      <c r="J49" s="354" t="s">
        <v>9767</v>
      </c>
      <c r="K49" s="354" t="s">
        <v>9768</v>
      </c>
      <c r="L49" s="354" t="s">
        <v>9769</v>
      </c>
      <c r="M49" s="354" t="s">
        <v>9770</v>
      </c>
      <c r="N49" s="354" t="s">
        <v>9771</v>
      </c>
      <c r="O49" s="355" t="s">
        <v>9772</v>
      </c>
      <c r="P49" s="355" t="s">
        <v>9773</v>
      </c>
      <c r="Q49" s="272" t="s">
        <v>7801</v>
      </c>
    </row>
    <row r="50" spans="2:17" ht="14.1" customHeight="1">
      <c r="B50" s="578">
        <v>7</v>
      </c>
      <c r="C50" s="579" t="s">
        <v>9774</v>
      </c>
      <c r="D50" s="354" t="s">
        <v>9775</v>
      </c>
      <c r="E50" s="354" t="s">
        <v>9776</v>
      </c>
      <c r="F50" s="354" t="s">
        <v>9777</v>
      </c>
      <c r="G50" s="354" t="s">
        <v>9778</v>
      </c>
      <c r="H50" s="354" t="s">
        <v>9779</v>
      </c>
      <c r="I50" s="354" t="s">
        <v>9780</v>
      </c>
      <c r="J50" s="354" t="s">
        <v>9781</v>
      </c>
      <c r="K50" s="354" t="s">
        <v>9782</v>
      </c>
      <c r="L50" s="354" t="s">
        <v>9783</v>
      </c>
      <c r="M50" s="354" t="s">
        <v>9784</v>
      </c>
      <c r="N50" s="354" t="s">
        <v>9785</v>
      </c>
      <c r="O50" s="355" t="s">
        <v>9786</v>
      </c>
      <c r="P50" s="355" t="s">
        <v>9787</v>
      </c>
      <c r="Q50" s="272" t="s">
        <v>7801</v>
      </c>
    </row>
    <row r="51" spans="2:17" ht="14.1" customHeight="1">
      <c r="B51" s="578">
        <v>8</v>
      </c>
      <c r="C51" s="579" t="s">
        <v>9788</v>
      </c>
      <c r="D51" s="354" t="s">
        <v>9789</v>
      </c>
      <c r="E51" s="354" t="s">
        <v>9790</v>
      </c>
      <c r="F51" s="354" t="s">
        <v>9791</v>
      </c>
      <c r="G51" s="354" t="s">
        <v>9792</v>
      </c>
      <c r="H51" s="354" t="s">
        <v>9793</v>
      </c>
      <c r="I51" s="354" t="s">
        <v>9794</v>
      </c>
      <c r="J51" s="354" t="s">
        <v>9795</v>
      </c>
      <c r="K51" s="354" t="s">
        <v>9796</v>
      </c>
      <c r="L51" s="354" t="s">
        <v>9797</v>
      </c>
      <c r="M51" s="354" t="s">
        <v>9798</v>
      </c>
      <c r="N51" s="354" t="s">
        <v>9799</v>
      </c>
      <c r="O51" s="355" t="s">
        <v>9800</v>
      </c>
      <c r="P51" s="355" t="s">
        <v>9801</v>
      </c>
      <c r="Q51" s="272" t="s">
        <v>7801</v>
      </c>
    </row>
    <row r="52" spans="2:17" ht="14.1" customHeight="1">
      <c r="B52" s="578">
        <v>9</v>
      </c>
      <c r="C52" s="579"/>
      <c r="D52" s="354"/>
      <c r="E52" s="354"/>
      <c r="F52" s="354"/>
      <c r="G52" s="354"/>
      <c r="H52" s="354"/>
      <c r="I52" s="354"/>
      <c r="J52" s="354"/>
      <c r="K52" s="354"/>
      <c r="L52" s="354"/>
      <c r="M52" s="354"/>
      <c r="N52" s="354"/>
      <c r="O52" s="355"/>
      <c r="P52" s="355"/>
      <c r="Q52" s="272" t="s">
        <v>7801</v>
      </c>
    </row>
    <row r="53" spans="2:17" ht="14.1" customHeight="1">
      <c r="B53" s="578">
        <v>10</v>
      </c>
      <c r="C53" s="579"/>
      <c r="D53" s="354"/>
      <c r="E53" s="354"/>
      <c r="F53" s="354"/>
      <c r="G53" s="354"/>
      <c r="H53" s="354"/>
      <c r="I53" s="354"/>
      <c r="J53" s="354"/>
      <c r="K53" s="354"/>
      <c r="L53" s="354"/>
      <c r="M53" s="354"/>
      <c r="N53" s="354"/>
      <c r="O53" s="355"/>
      <c r="P53" s="355"/>
      <c r="Q53" s="272" t="s">
        <v>7801</v>
      </c>
    </row>
    <row r="54" spans="2:17" ht="14.1" customHeight="1">
      <c r="B54" s="578">
        <v>11</v>
      </c>
      <c r="C54" s="579"/>
      <c r="D54" s="354"/>
      <c r="E54" s="354"/>
      <c r="F54" s="354"/>
      <c r="G54" s="354"/>
      <c r="H54" s="354"/>
      <c r="I54" s="354"/>
      <c r="J54" s="354"/>
      <c r="K54" s="354"/>
      <c r="L54" s="354"/>
      <c r="M54" s="354"/>
      <c r="N54" s="354"/>
      <c r="O54" s="355"/>
      <c r="P54" s="355"/>
      <c r="Q54" s="272" t="s">
        <v>7801</v>
      </c>
    </row>
    <row r="55" spans="2:17" ht="14.1" customHeight="1">
      <c r="B55" s="578">
        <v>12</v>
      </c>
      <c r="C55" s="579"/>
      <c r="D55" s="354"/>
      <c r="E55" s="354"/>
      <c r="F55" s="354"/>
      <c r="G55" s="354"/>
      <c r="H55" s="354"/>
      <c r="I55" s="354"/>
      <c r="J55" s="354"/>
      <c r="K55" s="354"/>
      <c r="L55" s="354"/>
      <c r="M55" s="354"/>
      <c r="N55" s="354"/>
      <c r="O55" s="355"/>
      <c r="P55" s="355"/>
      <c r="Q55" s="272" t="s">
        <v>7801</v>
      </c>
    </row>
    <row r="56" spans="2:17" ht="14.1" customHeight="1">
      <c r="B56" s="578">
        <v>13</v>
      </c>
      <c r="C56" s="579"/>
      <c r="D56" s="354"/>
      <c r="E56" s="354"/>
      <c r="F56" s="354"/>
      <c r="G56" s="354"/>
      <c r="H56" s="354"/>
      <c r="I56" s="354"/>
      <c r="J56" s="354"/>
      <c r="K56" s="354"/>
      <c r="L56" s="354"/>
      <c r="M56" s="354"/>
      <c r="N56" s="354"/>
      <c r="O56" s="355"/>
      <c r="P56" s="355"/>
      <c r="Q56" s="272" t="s">
        <v>7801</v>
      </c>
    </row>
    <row r="57" spans="2:17" ht="14.1" customHeight="1">
      <c r="B57" s="578">
        <v>14</v>
      </c>
      <c r="C57" s="579"/>
      <c r="D57" s="354"/>
      <c r="E57" s="354"/>
      <c r="F57" s="354"/>
      <c r="G57" s="354"/>
      <c r="H57" s="354"/>
      <c r="I57" s="354"/>
      <c r="J57" s="354"/>
      <c r="K57" s="354"/>
      <c r="L57" s="354"/>
      <c r="M57" s="354"/>
      <c r="N57" s="354"/>
      <c r="O57" s="355"/>
      <c r="P57" s="355"/>
      <c r="Q57" s="272" t="s">
        <v>7801</v>
      </c>
    </row>
    <row r="58" spans="2:17" ht="14.1" customHeight="1" thickBot="1">
      <c r="B58" s="583">
        <v>15</v>
      </c>
      <c r="C58" s="585"/>
      <c r="D58" s="410"/>
      <c r="E58" s="410"/>
      <c r="F58" s="410"/>
      <c r="G58" s="410"/>
      <c r="H58" s="410"/>
      <c r="I58" s="410"/>
      <c r="J58" s="410"/>
      <c r="K58" s="410"/>
      <c r="L58" s="410"/>
      <c r="M58" s="410"/>
      <c r="N58" s="410"/>
      <c r="O58" s="411"/>
      <c r="P58" s="411"/>
      <c r="Q58" s="272" t="s">
        <v>7801</v>
      </c>
    </row>
    <row r="59" spans="2:17" ht="14.1" customHeight="1" thickBot="1">
      <c r="P59" s="272" t="s">
        <v>1287</v>
      </c>
      <c r="Q59" s="272" t="s">
        <v>7801</v>
      </c>
    </row>
    <row r="60" spans="2:17" ht="14.1" customHeight="1" thickBot="1">
      <c r="B60" s="2073" t="s">
        <v>9802</v>
      </c>
      <c r="C60" s="2074"/>
      <c r="D60" s="2075"/>
      <c r="E60" s="2075"/>
      <c r="F60" s="2075"/>
      <c r="G60" s="2075"/>
      <c r="H60" s="2075"/>
      <c r="I60" s="2075"/>
      <c r="J60" s="2075"/>
      <c r="K60" s="2075"/>
      <c r="L60" s="2075"/>
      <c r="M60" s="2075"/>
      <c r="N60" s="2075"/>
      <c r="O60" s="784"/>
      <c r="P60" s="272" t="s">
        <v>1287</v>
      </c>
      <c r="Q60" s="272" t="s">
        <v>7801</v>
      </c>
    </row>
    <row r="61" spans="2:17" ht="14.1" customHeight="1">
      <c r="B61" s="2073"/>
      <c r="C61" s="2074" t="s">
        <v>9803</v>
      </c>
      <c r="D61" s="2074"/>
      <c r="E61" s="2074"/>
      <c r="F61" s="2074" t="s">
        <v>1725</v>
      </c>
      <c r="G61" s="2074"/>
      <c r="H61" s="2074"/>
      <c r="I61" s="2074"/>
      <c r="J61" s="2074"/>
      <c r="K61" s="2074"/>
      <c r="L61" s="2074"/>
      <c r="M61" s="2074"/>
      <c r="N61" s="2074"/>
      <c r="O61" s="2076"/>
      <c r="P61" s="2076"/>
      <c r="Q61" s="272" t="s">
        <v>7801</v>
      </c>
    </row>
    <row r="62" spans="2:17" ht="14.1" customHeight="1" thickBot="1">
      <c r="B62" s="311"/>
      <c r="C62" s="2077">
        <f>COUNT(B64:B73)-COUNTBLANK(C64:C73)</f>
        <v>6</v>
      </c>
      <c r="D62" s="2077" t="s">
        <v>1287</v>
      </c>
      <c r="E62" s="2078" t="s">
        <v>9804</v>
      </c>
      <c r="F62" s="2077">
        <f ca="1">RANDBETWEEN(1,C62)</f>
        <v>5</v>
      </c>
      <c r="G62" s="2079" t="str">
        <f ca="1">VLOOKUP(F62,B64:P69,(C4+1),FALSE)</f>
        <v>Live and Let Live. Ideals aren’t worth killing over or going to war for. (Neutral)</v>
      </c>
      <c r="H62" s="2080"/>
      <c r="I62" s="2080"/>
      <c r="J62" s="2080"/>
      <c r="K62" s="2080"/>
      <c r="L62" s="2080"/>
      <c r="M62" s="2080"/>
      <c r="N62" s="2080"/>
      <c r="O62" s="1988"/>
      <c r="P62" s="1988"/>
      <c r="Q62" s="272" t="s">
        <v>7801</v>
      </c>
    </row>
    <row r="63" spans="2:17" ht="14.1" customHeight="1" thickBot="1">
      <c r="B63" s="502" t="s">
        <v>6172</v>
      </c>
      <c r="C63" s="2081">
        <v>2</v>
      </c>
      <c r="D63" s="2082">
        <v>3</v>
      </c>
      <c r="E63" s="2082">
        <v>4</v>
      </c>
      <c r="F63" s="2082">
        <v>5</v>
      </c>
      <c r="G63" s="2082">
        <v>6</v>
      </c>
      <c r="H63" s="2082">
        <v>7</v>
      </c>
      <c r="I63" s="2082">
        <v>8</v>
      </c>
      <c r="J63" s="2082">
        <v>9</v>
      </c>
      <c r="K63" s="2082">
        <v>10</v>
      </c>
      <c r="L63" s="2082">
        <v>11</v>
      </c>
      <c r="M63" s="2082">
        <v>12</v>
      </c>
      <c r="N63" s="2082">
        <v>13</v>
      </c>
      <c r="O63" s="2083">
        <v>14</v>
      </c>
      <c r="P63" s="2083">
        <v>15</v>
      </c>
      <c r="Q63" s="272" t="s">
        <v>7801</v>
      </c>
    </row>
    <row r="64" spans="2:17" ht="14.1" customHeight="1">
      <c r="B64" s="2084">
        <v>1</v>
      </c>
      <c r="C64" s="2085" t="s">
        <v>9805</v>
      </c>
      <c r="D64" s="2086" t="s">
        <v>9806</v>
      </c>
      <c r="E64" s="2086" t="s">
        <v>9807</v>
      </c>
      <c r="F64" s="2086" t="s">
        <v>9808</v>
      </c>
      <c r="G64" s="2086" t="s">
        <v>9809</v>
      </c>
      <c r="H64" s="2086" t="s">
        <v>9810</v>
      </c>
      <c r="I64" s="2086" t="s">
        <v>9811</v>
      </c>
      <c r="J64" s="2086" t="s">
        <v>9812</v>
      </c>
      <c r="K64" s="2086" t="s">
        <v>9813</v>
      </c>
      <c r="L64" s="2086" t="s">
        <v>9814</v>
      </c>
      <c r="M64" s="2086" t="s">
        <v>9815</v>
      </c>
      <c r="N64" s="2086" t="s">
        <v>9816</v>
      </c>
      <c r="O64" s="2087" t="s">
        <v>9817</v>
      </c>
      <c r="P64" s="2087" t="s">
        <v>9818</v>
      </c>
      <c r="Q64" s="272" t="s">
        <v>7801</v>
      </c>
    </row>
    <row r="65" spans="2:17" ht="14.1" customHeight="1">
      <c r="B65" s="2088">
        <v>2</v>
      </c>
      <c r="C65" s="2089" t="s">
        <v>9819</v>
      </c>
      <c r="D65" s="2090" t="s">
        <v>9820</v>
      </c>
      <c r="E65" s="2090" t="s">
        <v>9821</v>
      </c>
      <c r="F65" s="2090" t="s">
        <v>9822</v>
      </c>
      <c r="G65" s="2090" t="s">
        <v>9823</v>
      </c>
      <c r="H65" s="2090" t="s">
        <v>9824</v>
      </c>
      <c r="I65" s="2090" t="s">
        <v>9825</v>
      </c>
      <c r="J65" s="2090" t="s">
        <v>9826</v>
      </c>
      <c r="K65" s="2090" t="s">
        <v>9827</v>
      </c>
      <c r="L65" s="2090" t="s">
        <v>9828</v>
      </c>
      <c r="M65" s="2090" t="s">
        <v>9829</v>
      </c>
      <c r="N65" s="2090" t="s">
        <v>9830</v>
      </c>
      <c r="O65" s="2091" t="s">
        <v>9831</v>
      </c>
      <c r="P65" s="2091" t="s">
        <v>9832</v>
      </c>
      <c r="Q65" s="272" t="s">
        <v>7801</v>
      </c>
    </row>
    <row r="66" spans="2:17" ht="14.1" customHeight="1">
      <c r="B66" s="2088">
        <v>3</v>
      </c>
      <c r="C66" s="2089" t="s">
        <v>9833</v>
      </c>
      <c r="D66" s="2090" t="s">
        <v>9834</v>
      </c>
      <c r="E66" s="2090" t="s">
        <v>9835</v>
      </c>
      <c r="F66" s="2090" t="s">
        <v>9836</v>
      </c>
      <c r="G66" s="2090" t="s">
        <v>9837</v>
      </c>
      <c r="H66" s="2090" t="s">
        <v>9838</v>
      </c>
      <c r="I66" s="2090" t="s">
        <v>9839</v>
      </c>
      <c r="J66" s="2090" t="s">
        <v>9840</v>
      </c>
      <c r="K66" s="2090" t="s">
        <v>9841</v>
      </c>
      <c r="L66" s="2090" t="s">
        <v>9842</v>
      </c>
      <c r="M66" s="2090" t="s">
        <v>9843</v>
      </c>
      <c r="N66" s="2090" t="s">
        <v>9844</v>
      </c>
      <c r="O66" s="2091" t="s">
        <v>9845</v>
      </c>
      <c r="P66" s="2091" t="s">
        <v>9846</v>
      </c>
      <c r="Q66" s="272" t="s">
        <v>7801</v>
      </c>
    </row>
    <row r="67" spans="2:17" ht="14.1" customHeight="1">
      <c r="B67" s="2088">
        <v>4</v>
      </c>
      <c r="C67" s="2089" t="s">
        <v>9847</v>
      </c>
      <c r="D67" s="2090" t="s">
        <v>9848</v>
      </c>
      <c r="E67" s="2090" t="s">
        <v>9849</v>
      </c>
      <c r="F67" s="2090" t="s">
        <v>9850</v>
      </c>
      <c r="G67" s="2090" t="s">
        <v>9851</v>
      </c>
      <c r="H67" s="2090" t="s">
        <v>9852</v>
      </c>
      <c r="I67" s="2090" t="s">
        <v>9853</v>
      </c>
      <c r="J67" s="2090" t="s">
        <v>9854</v>
      </c>
      <c r="K67" s="2090" t="s">
        <v>9855</v>
      </c>
      <c r="L67" s="2090" t="s">
        <v>9856</v>
      </c>
      <c r="M67" s="2090" t="s">
        <v>9857</v>
      </c>
      <c r="N67" s="2090" t="s">
        <v>9858</v>
      </c>
      <c r="O67" s="2091" t="s">
        <v>9859</v>
      </c>
      <c r="P67" s="2091" t="s">
        <v>9860</v>
      </c>
      <c r="Q67" s="272" t="s">
        <v>7801</v>
      </c>
    </row>
    <row r="68" spans="2:17" ht="14.1" customHeight="1">
      <c r="B68" s="2088">
        <v>5</v>
      </c>
      <c r="C68" s="2089" t="s">
        <v>9861</v>
      </c>
      <c r="D68" s="2090" t="s">
        <v>9862</v>
      </c>
      <c r="E68" s="2090" t="s">
        <v>9863</v>
      </c>
      <c r="F68" s="2090" t="s">
        <v>9864</v>
      </c>
      <c r="G68" s="2090" t="s">
        <v>9865</v>
      </c>
      <c r="H68" s="2090" t="s">
        <v>9866</v>
      </c>
      <c r="I68" s="2090" t="s">
        <v>9867</v>
      </c>
      <c r="J68" s="2090" t="s">
        <v>9868</v>
      </c>
      <c r="K68" s="2090" t="s">
        <v>9869</v>
      </c>
      <c r="L68" s="2090" t="s">
        <v>9870</v>
      </c>
      <c r="M68" s="2090" t="s">
        <v>9871</v>
      </c>
      <c r="N68" s="2090" t="s">
        <v>9872</v>
      </c>
      <c r="O68" s="2091" t="s">
        <v>9873</v>
      </c>
      <c r="P68" s="2091" t="s">
        <v>9874</v>
      </c>
      <c r="Q68" s="272" t="s">
        <v>7801</v>
      </c>
    </row>
    <row r="69" spans="2:17" ht="14.1" customHeight="1">
      <c r="B69" s="2088">
        <v>6</v>
      </c>
      <c r="C69" s="2089" t="s">
        <v>9875</v>
      </c>
      <c r="D69" s="2090" t="s">
        <v>9876</v>
      </c>
      <c r="E69" s="2090" t="s">
        <v>9877</v>
      </c>
      <c r="F69" s="2090" t="s">
        <v>9878</v>
      </c>
      <c r="G69" s="2090" t="s">
        <v>9879</v>
      </c>
      <c r="H69" s="2090" t="s">
        <v>9880</v>
      </c>
      <c r="I69" s="2090" t="s">
        <v>9881</v>
      </c>
      <c r="J69" s="2090" t="s">
        <v>9882</v>
      </c>
      <c r="K69" s="2090" t="s">
        <v>9883</v>
      </c>
      <c r="L69" s="2090" t="s">
        <v>9884</v>
      </c>
      <c r="M69" s="2090" t="s">
        <v>9885</v>
      </c>
      <c r="N69" s="2090" t="s">
        <v>9886</v>
      </c>
      <c r="O69" s="2091" t="s">
        <v>9887</v>
      </c>
      <c r="P69" s="2091" t="s">
        <v>9888</v>
      </c>
      <c r="Q69" s="272" t="s">
        <v>7801</v>
      </c>
    </row>
    <row r="70" spans="2:17" ht="14.1" customHeight="1">
      <c r="B70" s="2088">
        <v>7</v>
      </c>
      <c r="C70" s="2089"/>
      <c r="D70" s="2090"/>
      <c r="E70" s="2090"/>
      <c r="F70" s="2090"/>
      <c r="G70" s="2090"/>
      <c r="H70" s="2090"/>
      <c r="I70" s="2090"/>
      <c r="J70" s="2090"/>
      <c r="K70" s="2090"/>
      <c r="L70" s="2090"/>
      <c r="M70" s="2090"/>
      <c r="N70" s="2090"/>
      <c r="O70" s="2091"/>
      <c r="P70" s="2091"/>
      <c r="Q70" s="272" t="s">
        <v>7801</v>
      </c>
    </row>
    <row r="71" spans="2:17" ht="14.1" customHeight="1">
      <c r="B71" s="2088">
        <v>8</v>
      </c>
      <c r="C71" s="2089"/>
      <c r="D71" s="2090"/>
      <c r="E71" s="2090"/>
      <c r="F71" s="2090"/>
      <c r="G71" s="2090"/>
      <c r="H71" s="2090"/>
      <c r="I71" s="2090"/>
      <c r="J71" s="2090"/>
      <c r="K71" s="2090"/>
      <c r="L71" s="2090"/>
      <c r="M71" s="2090"/>
      <c r="N71" s="2090"/>
      <c r="O71" s="2091"/>
      <c r="P71" s="2091"/>
      <c r="Q71" s="272" t="s">
        <v>7801</v>
      </c>
    </row>
    <row r="72" spans="2:17" ht="14.1" customHeight="1">
      <c r="B72" s="2088">
        <v>9</v>
      </c>
      <c r="C72" s="2089"/>
      <c r="D72" s="2090"/>
      <c r="E72" s="2090"/>
      <c r="F72" s="2090"/>
      <c r="G72" s="2090"/>
      <c r="H72" s="2090"/>
      <c r="I72" s="2090"/>
      <c r="J72" s="2090"/>
      <c r="K72" s="2090"/>
      <c r="L72" s="2090"/>
      <c r="M72" s="2090"/>
      <c r="N72" s="2090"/>
      <c r="O72" s="2091"/>
      <c r="P72" s="2091"/>
      <c r="Q72" s="272" t="s">
        <v>7801</v>
      </c>
    </row>
    <row r="73" spans="2:17" ht="14.1" customHeight="1" thickBot="1">
      <c r="B73" s="2092">
        <v>10</v>
      </c>
      <c r="C73" s="2093"/>
      <c r="D73" s="2094"/>
      <c r="E73" s="2094"/>
      <c r="F73" s="2094"/>
      <c r="G73" s="2094"/>
      <c r="H73" s="2094"/>
      <c r="I73" s="2094"/>
      <c r="J73" s="2094"/>
      <c r="K73" s="2094"/>
      <c r="L73" s="2094"/>
      <c r="M73" s="2094"/>
      <c r="N73" s="2094"/>
      <c r="O73" s="2095"/>
      <c r="P73" s="2095"/>
      <c r="Q73" s="272" t="s">
        <v>7801</v>
      </c>
    </row>
    <row r="74" spans="2:17" ht="14.1" customHeight="1" thickBot="1">
      <c r="B74" s="705"/>
      <c r="C74" s="447"/>
      <c r="D74" s="447"/>
      <c r="E74" s="447"/>
      <c r="F74" s="447"/>
      <c r="G74" s="447"/>
      <c r="H74" s="447"/>
      <c r="I74" s="447"/>
      <c r="J74" s="447"/>
      <c r="K74" s="447"/>
      <c r="L74" s="447"/>
      <c r="M74" s="447"/>
      <c r="N74" s="447"/>
      <c r="O74" s="447"/>
      <c r="P74" s="272" t="s">
        <v>1287</v>
      </c>
      <c r="Q74" s="272" t="s">
        <v>7801</v>
      </c>
    </row>
    <row r="75" spans="2:17" ht="14.1" customHeight="1" thickBot="1">
      <c r="B75" s="2073" t="s">
        <v>9889</v>
      </c>
      <c r="C75" s="2074"/>
      <c r="D75" s="2075"/>
      <c r="E75" s="2075"/>
      <c r="F75" s="2075"/>
      <c r="G75" s="2075"/>
      <c r="H75" s="2075"/>
      <c r="I75" s="2075"/>
      <c r="J75" s="2075"/>
      <c r="K75" s="2075"/>
      <c r="L75" s="2075"/>
      <c r="M75" s="2075"/>
      <c r="N75" s="2075"/>
      <c r="O75" s="784"/>
      <c r="P75" s="272" t="s">
        <v>1287</v>
      </c>
      <c r="Q75" s="272" t="s">
        <v>7801</v>
      </c>
    </row>
    <row r="76" spans="2:17" ht="14.1" customHeight="1">
      <c r="B76" s="1796"/>
      <c r="C76" s="2064" t="s">
        <v>9890</v>
      </c>
      <c r="D76" s="2063"/>
      <c r="E76" s="2063"/>
      <c r="F76" s="2063"/>
      <c r="G76" s="2063"/>
      <c r="H76" s="2063"/>
      <c r="I76" s="2063" t="s">
        <v>1287</v>
      </c>
      <c r="J76" s="2063"/>
      <c r="K76" s="2063"/>
      <c r="L76" s="2063"/>
      <c r="M76" s="2063"/>
      <c r="N76" s="2063"/>
      <c r="O76" s="1984"/>
      <c r="P76" s="1984"/>
      <c r="Q76" s="272" t="s">
        <v>7801</v>
      </c>
    </row>
    <row r="77" spans="2:17" ht="14.1" customHeight="1" thickBot="1">
      <c r="B77" s="2096" t="s">
        <v>1287</v>
      </c>
      <c r="C77" s="2077">
        <f>COUNT(B79:B88)-COUNTBLANK(C79:C88)</f>
        <v>6</v>
      </c>
      <c r="D77" s="2069"/>
      <c r="E77" s="2097" t="s">
        <v>9889</v>
      </c>
      <c r="F77" s="2077">
        <f ca="1">RANDBETWEEN(1,C77)</f>
        <v>1</v>
      </c>
      <c r="G77" s="2079" t="str">
        <f ca="1">VLOOKUP(F77,B79:P88,C4+1,FALSE)</f>
        <v>I would still lay down my life for the people I served with.</v>
      </c>
      <c r="H77" s="2080"/>
      <c r="I77" s="2080"/>
      <c r="J77" s="2080"/>
      <c r="K77" s="2080"/>
      <c r="L77" s="2080"/>
      <c r="M77" s="2080"/>
      <c r="N77" s="2080"/>
      <c r="O77" s="559"/>
      <c r="P77" s="559"/>
      <c r="Q77" s="272" t="s">
        <v>7801</v>
      </c>
    </row>
    <row r="78" spans="2:17" ht="14.1" customHeight="1" thickBot="1">
      <c r="B78" s="477" t="s">
        <v>6172</v>
      </c>
      <c r="C78" s="604">
        <v>2</v>
      </c>
      <c r="D78" s="352">
        <v>3</v>
      </c>
      <c r="E78" s="352">
        <v>4</v>
      </c>
      <c r="F78" s="352">
        <v>5</v>
      </c>
      <c r="G78" s="352">
        <v>6</v>
      </c>
      <c r="H78" s="352">
        <v>7</v>
      </c>
      <c r="I78" s="352">
        <v>8</v>
      </c>
      <c r="J78" s="352">
        <v>9</v>
      </c>
      <c r="K78" s="352">
        <v>10</v>
      </c>
      <c r="L78" s="352">
        <v>11</v>
      </c>
      <c r="M78" s="352">
        <v>12</v>
      </c>
      <c r="N78" s="352">
        <v>13</v>
      </c>
      <c r="O78" s="883">
        <v>14</v>
      </c>
      <c r="P78" s="883">
        <v>15</v>
      </c>
      <c r="Q78" s="272" t="s">
        <v>7801</v>
      </c>
    </row>
    <row r="79" spans="2:17" ht="14.1" customHeight="1">
      <c r="B79" s="2098">
        <v>1</v>
      </c>
      <c r="C79" s="2099" t="s">
        <v>9891</v>
      </c>
      <c r="D79" s="2100" t="s">
        <v>9892</v>
      </c>
      <c r="E79" s="2100" t="s">
        <v>9893</v>
      </c>
      <c r="F79" s="2100" t="s">
        <v>9894</v>
      </c>
      <c r="G79" s="2100" t="s">
        <v>9895</v>
      </c>
      <c r="H79" s="2100" t="s">
        <v>9896</v>
      </c>
      <c r="I79" s="2100" t="s">
        <v>9897</v>
      </c>
      <c r="J79" s="2100" t="s">
        <v>9898</v>
      </c>
      <c r="K79" s="2100" t="s">
        <v>9899</v>
      </c>
      <c r="L79" s="2100" t="s">
        <v>9900</v>
      </c>
      <c r="M79" s="2100" t="s">
        <v>9901</v>
      </c>
      <c r="N79" s="2100" t="s">
        <v>9902</v>
      </c>
      <c r="O79" s="2101" t="s">
        <v>9903</v>
      </c>
      <c r="P79" s="2101" t="s">
        <v>9904</v>
      </c>
      <c r="Q79" s="272" t="s">
        <v>7801</v>
      </c>
    </row>
    <row r="80" spans="2:17" ht="14.1" customHeight="1">
      <c r="B80" s="2088">
        <v>2</v>
      </c>
      <c r="C80" s="2089" t="s">
        <v>9905</v>
      </c>
      <c r="D80" s="2090" t="s">
        <v>9906</v>
      </c>
      <c r="E80" s="2090" t="s">
        <v>9907</v>
      </c>
      <c r="F80" s="2090" t="s">
        <v>9908</v>
      </c>
      <c r="G80" s="2090" t="s">
        <v>9909</v>
      </c>
      <c r="H80" s="2090" t="s">
        <v>9910</v>
      </c>
      <c r="I80" s="2090" t="s">
        <v>9911</v>
      </c>
      <c r="J80" s="2090" t="s">
        <v>9912</v>
      </c>
      <c r="K80" s="2090" t="s">
        <v>9913</v>
      </c>
      <c r="L80" s="2090" t="s">
        <v>9914</v>
      </c>
      <c r="M80" s="2090" t="s">
        <v>9915</v>
      </c>
      <c r="N80" s="2090" t="s">
        <v>9916</v>
      </c>
      <c r="O80" s="2091" t="s">
        <v>9917</v>
      </c>
      <c r="P80" s="2091" t="s">
        <v>9918</v>
      </c>
      <c r="Q80" s="272" t="s">
        <v>7801</v>
      </c>
    </row>
    <row r="81" spans="2:17" ht="14.1" customHeight="1">
      <c r="B81" s="2088">
        <v>3</v>
      </c>
      <c r="C81" s="2089" t="s">
        <v>9919</v>
      </c>
      <c r="D81" s="2090" t="s">
        <v>9920</v>
      </c>
      <c r="E81" s="2090" t="s">
        <v>9921</v>
      </c>
      <c r="F81" s="2090" t="s">
        <v>9922</v>
      </c>
      <c r="G81" s="2090" t="s">
        <v>9923</v>
      </c>
      <c r="H81" s="2090" t="s">
        <v>9924</v>
      </c>
      <c r="I81" s="2090" t="s">
        <v>9925</v>
      </c>
      <c r="J81" s="2090" t="s">
        <v>9926</v>
      </c>
      <c r="K81" s="2090" t="s">
        <v>9927</v>
      </c>
      <c r="L81" s="2090" t="s">
        <v>9928</v>
      </c>
      <c r="M81" s="2090" t="s">
        <v>9929</v>
      </c>
      <c r="N81" s="2090" t="s">
        <v>9930</v>
      </c>
      <c r="O81" s="2091" t="s">
        <v>9931</v>
      </c>
      <c r="P81" s="2091" t="s">
        <v>9932</v>
      </c>
      <c r="Q81" s="272" t="s">
        <v>7801</v>
      </c>
    </row>
    <row r="82" spans="2:17" ht="14.1" customHeight="1">
      <c r="B82" s="2088">
        <v>4</v>
      </c>
      <c r="C82" s="2089" t="s">
        <v>9933</v>
      </c>
      <c r="D82" s="2090" t="s">
        <v>9934</v>
      </c>
      <c r="E82" s="2090" t="s">
        <v>9935</v>
      </c>
      <c r="F82" s="2090" t="s">
        <v>9936</v>
      </c>
      <c r="G82" s="2090" t="s">
        <v>9937</v>
      </c>
      <c r="H82" s="2090" t="s">
        <v>9938</v>
      </c>
      <c r="I82" s="2090" t="s">
        <v>9939</v>
      </c>
      <c r="J82" s="2090" t="s">
        <v>9940</v>
      </c>
      <c r="K82" s="2090" t="s">
        <v>9941</v>
      </c>
      <c r="L82" s="2090" t="s">
        <v>9942</v>
      </c>
      <c r="M82" s="2090" t="s">
        <v>9943</v>
      </c>
      <c r="N82" s="2090" t="s">
        <v>9944</v>
      </c>
      <c r="O82" s="2091" t="s">
        <v>9945</v>
      </c>
      <c r="P82" s="2091" t="s">
        <v>9946</v>
      </c>
      <c r="Q82" s="272" t="s">
        <v>7801</v>
      </c>
    </row>
    <row r="83" spans="2:17" ht="14.1" customHeight="1">
      <c r="B83" s="2088">
        <v>5</v>
      </c>
      <c r="C83" s="2089" t="s">
        <v>9947</v>
      </c>
      <c r="D83" s="2090" t="s">
        <v>9948</v>
      </c>
      <c r="E83" s="2090" t="s">
        <v>9949</v>
      </c>
      <c r="F83" s="2090" t="s">
        <v>9950</v>
      </c>
      <c r="G83" s="2090" t="s">
        <v>9951</v>
      </c>
      <c r="H83" s="2090" t="s">
        <v>9952</v>
      </c>
      <c r="I83" s="2090" t="s">
        <v>9953</v>
      </c>
      <c r="J83" s="2090" t="s">
        <v>9954</v>
      </c>
      <c r="K83" s="2090" t="s">
        <v>9955</v>
      </c>
      <c r="L83" s="2090" t="s">
        <v>9956</v>
      </c>
      <c r="M83" s="2090" t="s">
        <v>9957</v>
      </c>
      <c r="N83" s="2090" t="s">
        <v>9958</v>
      </c>
      <c r="O83" s="2091" t="s">
        <v>9959</v>
      </c>
      <c r="P83" s="2091" t="s">
        <v>9960</v>
      </c>
      <c r="Q83" s="272" t="s">
        <v>7801</v>
      </c>
    </row>
    <row r="84" spans="2:17" ht="14.1" customHeight="1">
      <c r="B84" s="2088">
        <v>6</v>
      </c>
      <c r="C84" s="2089" t="s">
        <v>9961</v>
      </c>
      <c r="D84" s="2090" t="s">
        <v>9962</v>
      </c>
      <c r="E84" s="2090" t="s">
        <v>9963</v>
      </c>
      <c r="F84" s="2090" t="s">
        <v>9964</v>
      </c>
      <c r="G84" s="2090" t="s">
        <v>9965</v>
      </c>
      <c r="H84" s="2090" t="s">
        <v>9966</v>
      </c>
      <c r="I84" s="2090" t="s">
        <v>9967</v>
      </c>
      <c r="J84" s="2090" t="s">
        <v>9968</v>
      </c>
      <c r="K84" s="2090" t="s">
        <v>9969</v>
      </c>
      <c r="L84" s="2090" t="s">
        <v>9970</v>
      </c>
      <c r="M84" s="2090" t="s">
        <v>9971</v>
      </c>
      <c r="N84" s="2090" t="s">
        <v>9972</v>
      </c>
      <c r="O84" s="2091" t="s">
        <v>9973</v>
      </c>
      <c r="P84" s="2091" t="s">
        <v>9974</v>
      </c>
      <c r="Q84" s="272" t="s">
        <v>7801</v>
      </c>
    </row>
    <row r="85" spans="2:17" ht="14.1" customHeight="1">
      <c r="B85" s="2088">
        <v>7</v>
      </c>
      <c r="C85" s="2089"/>
      <c r="D85" s="2090"/>
      <c r="E85" s="2090"/>
      <c r="F85" s="2090"/>
      <c r="G85" s="2090"/>
      <c r="H85" s="2090"/>
      <c r="I85" s="2090"/>
      <c r="J85" s="2090"/>
      <c r="K85" s="2090"/>
      <c r="L85" s="2090"/>
      <c r="M85" s="2090"/>
      <c r="N85" s="2090"/>
      <c r="O85" s="2091"/>
      <c r="P85" s="2091"/>
      <c r="Q85" s="272" t="s">
        <v>7801</v>
      </c>
    </row>
    <row r="86" spans="2:17" ht="14.1" customHeight="1">
      <c r="B86" s="2088">
        <v>8</v>
      </c>
      <c r="C86" s="2089"/>
      <c r="D86" s="2090"/>
      <c r="E86" s="2090"/>
      <c r="F86" s="2090"/>
      <c r="G86" s="2090"/>
      <c r="H86" s="2090"/>
      <c r="I86" s="2090"/>
      <c r="J86" s="2090"/>
      <c r="K86" s="2090"/>
      <c r="L86" s="2090"/>
      <c r="M86" s="2090"/>
      <c r="N86" s="2090"/>
      <c r="O86" s="2091"/>
      <c r="P86" s="2091"/>
      <c r="Q86" s="272" t="s">
        <v>7801</v>
      </c>
    </row>
    <row r="87" spans="2:17" ht="14.1" customHeight="1">
      <c r="B87" s="2088">
        <v>9</v>
      </c>
      <c r="C87" s="2089"/>
      <c r="D87" s="2090"/>
      <c r="E87" s="2090"/>
      <c r="F87" s="2090"/>
      <c r="G87" s="2090"/>
      <c r="H87" s="2090"/>
      <c r="I87" s="2090"/>
      <c r="J87" s="2090"/>
      <c r="K87" s="2090"/>
      <c r="L87" s="2090"/>
      <c r="M87" s="2090"/>
      <c r="N87" s="2090"/>
      <c r="O87" s="2091"/>
      <c r="P87" s="2091"/>
      <c r="Q87" s="272" t="s">
        <v>7801</v>
      </c>
    </row>
    <row r="88" spans="2:17" ht="14.1" customHeight="1" thickBot="1">
      <c r="B88" s="2092">
        <v>10</v>
      </c>
      <c r="C88" s="2093"/>
      <c r="D88" s="2094"/>
      <c r="E88" s="2094"/>
      <c r="F88" s="2094"/>
      <c r="G88" s="2094"/>
      <c r="H88" s="2094"/>
      <c r="I88" s="2094"/>
      <c r="J88" s="2094"/>
      <c r="K88" s="2094"/>
      <c r="L88" s="2094"/>
      <c r="M88" s="2094"/>
      <c r="N88" s="2094"/>
      <c r="O88" s="2095"/>
      <c r="P88" s="2095"/>
      <c r="Q88" s="272" t="s">
        <v>7801</v>
      </c>
    </row>
    <row r="89" spans="2:17" ht="14.1" customHeight="1" thickBot="1">
      <c r="B89" s="705"/>
      <c r="C89" s="447"/>
      <c r="D89" s="447"/>
      <c r="E89" s="447"/>
      <c r="F89" s="447"/>
      <c r="G89" s="447"/>
      <c r="H89" s="447"/>
      <c r="I89" s="447"/>
      <c r="J89" s="447"/>
      <c r="K89" s="447"/>
      <c r="L89" s="447"/>
      <c r="M89" s="447"/>
      <c r="N89" s="447"/>
      <c r="O89" s="447"/>
      <c r="P89" s="272" t="s">
        <v>1287</v>
      </c>
      <c r="Q89" s="272" t="s">
        <v>7801</v>
      </c>
    </row>
    <row r="90" spans="2:17" ht="14.1" customHeight="1" thickBot="1">
      <c r="B90" s="2073" t="s">
        <v>9975</v>
      </c>
      <c r="C90" s="2074"/>
      <c r="D90" s="2075"/>
      <c r="E90" s="2075"/>
      <c r="F90" s="2075"/>
      <c r="G90" s="2075"/>
      <c r="H90" s="2075"/>
      <c r="I90" s="2075"/>
      <c r="J90" s="2075"/>
      <c r="K90" s="2075"/>
      <c r="L90" s="2075"/>
      <c r="M90" s="2075"/>
      <c r="N90" s="2075"/>
      <c r="O90" s="784"/>
      <c r="Q90" s="272" t="s">
        <v>7801</v>
      </c>
    </row>
    <row r="91" spans="2:17" ht="14.1" customHeight="1">
      <c r="B91" s="1796"/>
      <c r="C91" s="2064" t="s">
        <v>9890</v>
      </c>
      <c r="D91" s="2063"/>
      <c r="E91" s="2063"/>
      <c r="F91" s="2063"/>
      <c r="G91" s="2063"/>
      <c r="H91" s="2063"/>
      <c r="I91" s="2063" t="s">
        <v>1287</v>
      </c>
      <c r="J91" s="2063"/>
      <c r="K91" s="2063"/>
      <c r="L91" s="2063"/>
      <c r="M91" s="2063"/>
      <c r="N91" s="2063"/>
      <c r="O91" s="1984"/>
      <c r="P91" s="272" t="s">
        <v>1287</v>
      </c>
      <c r="Q91" s="272" t="s">
        <v>7801</v>
      </c>
    </row>
    <row r="92" spans="2:17" ht="14.1" customHeight="1" thickBot="1">
      <c r="B92" s="284"/>
      <c r="C92" s="2077">
        <f>COUNT(B94:B103)-COUNTBLANK(C94:C103)</f>
        <v>6</v>
      </c>
      <c r="D92" s="2069"/>
      <c r="E92" s="2097" t="s">
        <v>9975</v>
      </c>
      <c r="F92" s="2069">
        <f ca="1">RANDBETWEEN(1,C92)</f>
        <v>4</v>
      </c>
      <c r="G92" s="2079" t="str">
        <f ca="1">VLOOKUP(F92,B94:O103,(C4+1),FALSE)</f>
        <v>My hatred of my enemies is blind and unreasoning.</v>
      </c>
      <c r="H92" s="2080"/>
      <c r="I92" s="2080"/>
      <c r="J92" s="2080"/>
      <c r="K92" s="2080"/>
      <c r="L92" s="2080"/>
      <c r="M92" s="2080"/>
      <c r="N92" s="2080"/>
      <c r="O92" s="559"/>
      <c r="P92" s="272" t="s">
        <v>1287</v>
      </c>
      <c r="Q92" s="272" t="s">
        <v>7801</v>
      </c>
    </row>
    <row r="93" spans="2:17" ht="14.1" customHeight="1" thickBot="1">
      <c r="B93" s="477" t="s">
        <v>6172</v>
      </c>
      <c r="C93" s="604">
        <v>2</v>
      </c>
      <c r="D93" s="352">
        <v>3</v>
      </c>
      <c r="E93" s="352">
        <v>4</v>
      </c>
      <c r="F93" s="352">
        <v>5</v>
      </c>
      <c r="G93" s="352">
        <v>6</v>
      </c>
      <c r="H93" s="352">
        <v>7</v>
      </c>
      <c r="I93" s="352">
        <v>8</v>
      </c>
      <c r="J93" s="352">
        <v>9</v>
      </c>
      <c r="K93" s="352">
        <v>10</v>
      </c>
      <c r="L93" s="352">
        <v>11</v>
      </c>
      <c r="M93" s="352">
        <v>12</v>
      </c>
      <c r="N93" s="352">
        <v>13</v>
      </c>
      <c r="O93" s="883">
        <v>14</v>
      </c>
      <c r="P93" s="2102">
        <v>15</v>
      </c>
      <c r="Q93" s="272" t="s">
        <v>7801</v>
      </c>
    </row>
    <row r="94" spans="2:17" ht="14.1" customHeight="1">
      <c r="B94" s="2098">
        <v>1</v>
      </c>
      <c r="C94" s="2099" t="s">
        <v>9976</v>
      </c>
      <c r="D94" s="2100" t="s">
        <v>9977</v>
      </c>
      <c r="E94" s="2100" t="s">
        <v>9978</v>
      </c>
      <c r="F94" s="2100" t="s">
        <v>9979</v>
      </c>
      <c r="G94" s="2100" t="s">
        <v>9980</v>
      </c>
      <c r="H94" s="2100" t="s">
        <v>9981</v>
      </c>
      <c r="I94" s="2100" t="s">
        <v>9982</v>
      </c>
      <c r="J94" s="2100" t="s">
        <v>9983</v>
      </c>
      <c r="K94" s="2100" t="s">
        <v>9984</v>
      </c>
      <c r="L94" s="2100" t="s">
        <v>9985</v>
      </c>
      <c r="M94" s="2100" t="s">
        <v>9986</v>
      </c>
      <c r="N94" s="2100" t="s">
        <v>9987</v>
      </c>
      <c r="O94" s="2101" t="s">
        <v>9988</v>
      </c>
      <c r="P94" s="2087" t="s">
        <v>9989</v>
      </c>
      <c r="Q94" s="272" t="s">
        <v>7801</v>
      </c>
    </row>
    <row r="95" spans="2:17" ht="14.1" customHeight="1">
      <c r="B95" s="2088">
        <v>2</v>
      </c>
      <c r="C95" s="2089" t="s">
        <v>9990</v>
      </c>
      <c r="D95" s="2090" t="s">
        <v>9991</v>
      </c>
      <c r="E95" s="2090" t="s">
        <v>9992</v>
      </c>
      <c r="F95" s="2090" t="s">
        <v>9993</v>
      </c>
      <c r="G95" s="2090" t="s">
        <v>9994</v>
      </c>
      <c r="H95" s="2090" t="s">
        <v>9995</v>
      </c>
      <c r="I95" s="2090" t="s">
        <v>9996</v>
      </c>
      <c r="J95" s="2090" t="s">
        <v>9997</v>
      </c>
      <c r="K95" s="2090" t="s">
        <v>9998</v>
      </c>
      <c r="L95" s="2090" t="s">
        <v>9999</v>
      </c>
      <c r="M95" s="2090" t="s">
        <v>10000</v>
      </c>
      <c r="N95" s="2090" t="s">
        <v>10001</v>
      </c>
      <c r="O95" s="2091" t="s">
        <v>10002</v>
      </c>
      <c r="P95" s="2091" t="s">
        <v>10003</v>
      </c>
      <c r="Q95" s="272" t="s">
        <v>7801</v>
      </c>
    </row>
    <row r="96" spans="2:17" ht="14.1" customHeight="1">
      <c r="B96" s="2088">
        <v>3</v>
      </c>
      <c r="C96" s="2089" t="s">
        <v>10004</v>
      </c>
      <c r="D96" s="2090" t="s">
        <v>10005</v>
      </c>
      <c r="E96" s="2090" t="s">
        <v>10006</v>
      </c>
      <c r="F96" s="2090" t="s">
        <v>10007</v>
      </c>
      <c r="G96" s="2090" t="s">
        <v>10008</v>
      </c>
      <c r="H96" s="2090" t="s">
        <v>10009</v>
      </c>
      <c r="I96" s="2090" t="s">
        <v>10010</v>
      </c>
      <c r="J96" s="2090" t="s">
        <v>10011</v>
      </c>
      <c r="K96" s="2090" t="s">
        <v>10012</v>
      </c>
      <c r="L96" s="2090" t="s">
        <v>10013</v>
      </c>
      <c r="M96" s="2090" t="s">
        <v>10014</v>
      </c>
      <c r="N96" s="2090" t="s">
        <v>10015</v>
      </c>
      <c r="O96" s="2091" t="s">
        <v>10016</v>
      </c>
      <c r="P96" s="2091" t="s">
        <v>10017</v>
      </c>
      <c r="Q96" s="272" t="s">
        <v>7801</v>
      </c>
    </row>
    <row r="97" spans="1:17" ht="14.1" customHeight="1">
      <c r="B97" s="2088">
        <v>4</v>
      </c>
      <c r="C97" s="2089" t="s">
        <v>10018</v>
      </c>
      <c r="D97" s="2090" t="s">
        <v>10019</v>
      </c>
      <c r="E97" s="2090" t="s">
        <v>10020</v>
      </c>
      <c r="F97" s="2090" t="s">
        <v>10021</v>
      </c>
      <c r="G97" s="2090" t="s">
        <v>10022</v>
      </c>
      <c r="H97" s="2090" t="s">
        <v>10023</v>
      </c>
      <c r="I97" s="2090" t="s">
        <v>10024</v>
      </c>
      <c r="J97" s="2090" t="s">
        <v>10025</v>
      </c>
      <c r="K97" s="2090" t="s">
        <v>10026</v>
      </c>
      <c r="L97" s="2090" t="s">
        <v>10027</v>
      </c>
      <c r="M97" s="2090" t="s">
        <v>10028</v>
      </c>
      <c r="N97" s="2090" t="s">
        <v>10029</v>
      </c>
      <c r="O97" s="2091" t="s">
        <v>10030</v>
      </c>
      <c r="P97" s="2091" t="s">
        <v>10031</v>
      </c>
      <c r="Q97" s="272" t="s">
        <v>7801</v>
      </c>
    </row>
    <row r="98" spans="1:17" ht="14.1" customHeight="1">
      <c r="B98" s="2088">
        <v>5</v>
      </c>
      <c r="C98" s="2089" t="s">
        <v>10032</v>
      </c>
      <c r="D98" s="2090" t="s">
        <v>10033</v>
      </c>
      <c r="E98" s="2090" t="s">
        <v>10034</v>
      </c>
      <c r="F98" s="2090" t="s">
        <v>10035</v>
      </c>
      <c r="G98" s="2090" t="s">
        <v>10036</v>
      </c>
      <c r="H98" s="2090" t="s">
        <v>10037</v>
      </c>
      <c r="I98" s="2090" t="s">
        <v>10038</v>
      </c>
      <c r="J98" s="2090" t="s">
        <v>10039</v>
      </c>
      <c r="K98" s="2090" t="s">
        <v>10040</v>
      </c>
      <c r="L98" s="2090" t="s">
        <v>10041</v>
      </c>
      <c r="M98" s="2090" t="s">
        <v>10042</v>
      </c>
      <c r="N98" s="2090" t="s">
        <v>10043</v>
      </c>
      <c r="O98" s="2091" t="s">
        <v>10044</v>
      </c>
      <c r="P98" s="2091" t="s">
        <v>10045</v>
      </c>
      <c r="Q98" s="272" t="s">
        <v>7801</v>
      </c>
    </row>
    <row r="99" spans="1:17" ht="14.1" customHeight="1">
      <c r="B99" s="2088">
        <v>6</v>
      </c>
      <c r="C99" s="2089" t="s">
        <v>10046</v>
      </c>
      <c r="D99" s="2090" t="s">
        <v>10047</v>
      </c>
      <c r="E99" s="2090" t="s">
        <v>10048</v>
      </c>
      <c r="F99" s="2090" t="s">
        <v>10049</v>
      </c>
      <c r="G99" s="2090" t="s">
        <v>10050</v>
      </c>
      <c r="H99" s="2090" t="s">
        <v>10051</v>
      </c>
      <c r="I99" s="2090" t="s">
        <v>10052</v>
      </c>
      <c r="J99" s="2090" t="s">
        <v>10053</v>
      </c>
      <c r="K99" s="2090" t="s">
        <v>10054</v>
      </c>
      <c r="L99" s="2090" t="s">
        <v>10055</v>
      </c>
      <c r="M99" s="2090" t="s">
        <v>10056</v>
      </c>
      <c r="N99" s="2090" t="s">
        <v>10057</v>
      </c>
      <c r="O99" s="2091" t="s">
        <v>10058</v>
      </c>
      <c r="P99" s="2091" t="s">
        <v>10059</v>
      </c>
      <c r="Q99" s="272" t="s">
        <v>7801</v>
      </c>
    </row>
    <row r="100" spans="1:17" ht="14.1" customHeight="1">
      <c r="B100" s="2088">
        <v>7</v>
      </c>
      <c r="C100" s="2089"/>
      <c r="D100" s="2090"/>
      <c r="E100" s="2090"/>
      <c r="F100" s="2090"/>
      <c r="G100" s="2090"/>
      <c r="H100" s="2090"/>
      <c r="I100" s="2090"/>
      <c r="J100" s="2090"/>
      <c r="K100" s="2090"/>
      <c r="L100" s="2090"/>
      <c r="M100" s="2090"/>
      <c r="N100" s="2090"/>
      <c r="O100" s="2091"/>
      <c r="P100" s="2091"/>
      <c r="Q100" s="272" t="s">
        <v>7801</v>
      </c>
    </row>
    <row r="101" spans="1:17" ht="14.1" customHeight="1">
      <c r="B101" s="2088">
        <v>8</v>
      </c>
      <c r="C101" s="2089"/>
      <c r="D101" s="2090"/>
      <c r="E101" s="2090"/>
      <c r="F101" s="2090"/>
      <c r="G101" s="2090"/>
      <c r="H101" s="2090"/>
      <c r="I101" s="2090"/>
      <c r="J101" s="2090"/>
      <c r="K101" s="2090"/>
      <c r="L101" s="2090"/>
      <c r="M101" s="2090"/>
      <c r="N101" s="2090"/>
      <c r="O101" s="2091"/>
      <c r="P101" s="2091"/>
      <c r="Q101" s="272" t="s">
        <v>7801</v>
      </c>
    </row>
    <row r="102" spans="1:17" ht="14.1" customHeight="1">
      <c r="B102" s="2088">
        <v>9</v>
      </c>
      <c r="C102" s="2089"/>
      <c r="D102" s="2090"/>
      <c r="E102" s="2090"/>
      <c r="F102" s="2090"/>
      <c r="G102" s="2090"/>
      <c r="H102" s="2090"/>
      <c r="I102" s="2090"/>
      <c r="J102" s="2090"/>
      <c r="K102" s="2090"/>
      <c r="L102" s="2090"/>
      <c r="M102" s="2090"/>
      <c r="N102" s="2090"/>
      <c r="O102" s="2091"/>
      <c r="P102" s="2091"/>
      <c r="Q102" s="272" t="s">
        <v>7801</v>
      </c>
    </row>
    <row r="103" spans="1:17" ht="14.1" customHeight="1" thickBot="1">
      <c r="B103" s="2092">
        <v>10</v>
      </c>
      <c r="C103" s="2093"/>
      <c r="D103" s="2094"/>
      <c r="E103" s="2094"/>
      <c r="F103" s="2094"/>
      <c r="G103" s="2094"/>
      <c r="H103" s="2094"/>
      <c r="I103" s="2094"/>
      <c r="J103" s="2094"/>
      <c r="K103" s="2094"/>
      <c r="L103" s="2094"/>
      <c r="M103" s="2094"/>
      <c r="N103" s="2094"/>
      <c r="O103" s="2095"/>
      <c r="P103" s="2091"/>
      <c r="Q103" s="272" t="s">
        <v>7801</v>
      </c>
    </row>
    <row r="104" spans="1:17" ht="14.1" customHeight="1" thickBot="1">
      <c r="A104" s="2103"/>
      <c r="B104" s="2104"/>
      <c r="C104" s="2103"/>
      <c r="D104" s="2103"/>
      <c r="E104" s="2103"/>
      <c r="F104" s="2103"/>
      <c r="G104" s="2103"/>
      <c r="H104" s="2103"/>
      <c r="I104" s="2103"/>
      <c r="J104" s="2103"/>
      <c r="K104" s="2103"/>
      <c r="L104" s="2103"/>
      <c r="M104" s="2103"/>
      <c r="N104" s="2103"/>
      <c r="O104" s="2103"/>
      <c r="P104" s="2103"/>
      <c r="Q104" s="272" t="s">
        <v>7801</v>
      </c>
    </row>
    <row r="105" spans="1:17" ht="14.1" customHeight="1" thickBot="1">
      <c r="B105" s="2105" t="s">
        <v>10060</v>
      </c>
      <c r="C105" s="277"/>
      <c r="D105" s="277"/>
      <c r="E105" s="277"/>
      <c r="F105" s="277"/>
      <c r="G105" s="277"/>
      <c r="H105" s="277"/>
      <c r="I105" s="277"/>
      <c r="J105" s="277"/>
      <c r="K105" s="277" t="s">
        <v>10061</v>
      </c>
      <c r="L105" s="277"/>
      <c r="M105" s="277"/>
      <c r="N105" s="277"/>
      <c r="O105" s="277"/>
      <c r="P105" s="278"/>
      <c r="Q105" s="272" t="s">
        <v>7801</v>
      </c>
    </row>
    <row r="106" spans="1:17" ht="14.1" customHeight="1">
      <c r="B106" s="1796"/>
      <c r="C106" s="2063"/>
      <c r="D106" s="2063"/>
      <c r="E106" s="2063"/>
      <c r="F106" s="2063"/>
      <c r="G106" s="2063"/>
      <c r="H106" s="2063"/>
      <c r="I106" s="2063"/>
      <c r="J106" s="2063"/>
      <c r="K106" s="2063"/>
      <c r="L106" s="2063"/>
      <c r="M106" s="2063"/>
      <c r="N106" s="2063"/>
      <c r="O106" s="2063"/>
      <c r="P106" s="1984"/>
    </row>
    <row r="107" spans="1:17" ht="14.1" customHeight="1">
      <c r="B107" s="477">
        <v>1</v>
      </c>
      <c r="C107" s="2015" t="str">
        <f t="shared" ref="C107:P107" ca="1" si="0">VLOOKUP(RANDBETWEEN(1,C110),$B$111:$P$140,C109)</f>
        <v>Pantheon</v>
      </c>
      <c r="D107" s="351" t="str">
        <f t="shared" ca="1" si="0"/>
        <v xml:space="preserve"> (Burglar)</v>
      </c>
      <c r="E107" s="351" t="str">
        <f t="shared" ca="1" si="0"/>
        <v>I trained the peasantry to use farm implements as weapons against a tyrant’s soldiers.</v>
      </c>
      <c r="F107" s="351" t="str">
        <f t="shared" ca="1" si="0"/>
        <v>Noble Knight Variant</v>
      </c>
      <c r="G107" s="351" t="str">
        <f t="shared" ca="1" si="0"/>
        <v>Discredited</v>
      </c>
      <c r="H107" s="351" t="str">
        <f t="shared" ca="1" si="0"/>
        <v>Standard bearer</v>
      </c>
      <c r="I107" s="351" t="str">
        <f t="shared" ca="1" si="0"/>
        <v>I convince people that worthless junk is worth their hard-earned money.</v>
      </c>
      <c r="J107" s="351" t="str">
        <f t="shared" ca="1" si="0"/>
        <v xml:space="preserve">Dancer </v>
      </c>
      <c r="K107" s="351" t="str">
        <f t="shared" ca="1" si="0"/>
        <v>Alchemists and apothecaries</v>
      </c>
      <c r="L107" s="351" t="str">
        <f t="shared" ca="1" si="0"/>
        <v>I needed a quiet place to work on my art, literature, music, or manifesto.</v>
      </c>
      <c r="M107" s="351" t="str">
        <f t="shared" ca="1" si="0"/>
        <v>Tribal nomad</v>
      </c>
      <c r="N107" s="351" t="str">
        <f t="shared" ca="1" si="0"/>
        <v>Bad Reputation variant</v>
      </c>
      <c r="O107" s="2106" t="str">
        <f t="shared" ca="1" si="0"/>
        <v>FUTURE</v>
      </c>
      <c r="P107" s="2107" t="str">
        <f t="shared" ca="1" si="0"/>
        <v>FUTURE</v>
      </c>
    </row>
    <row r="108" spans="1:17" ht="14.1" customHeight="1">
      <c r="B108" s="477">
        <v>1</v>
      </c>
      <c r="C108" s="2072" t="s">
        <v>5732</v>
      </c>
      <c r="D108" s="1634" t="s">
        <v>9604</v>
      </c>
      <c r="E108" s="1634" t="s">
        <v>9608</v>
      </c>
      <c r="F108" s="1634" t="s">
        <v>1025</v>
      </c>
      <c r="G108" s="1634" t="s">
        <v>9529</v>
      </c>
      <c r="H108" s="1634" t="s">
        <v>9617</v>
      </c>
      <c r="I108" s="1634" t="s">
        <v>9496</v>
      </c>
      <c r="J108" s="1634" t="s">
        <v>9624</v>
      </c>
      <c r="K108" s="1634" t="s">
        <v>9628</v>
      </c>
      <c r="L108" s="1634" t="s">
        <v>9632</v>
      </c>
      <c r="M108" s="1634" t="s">
        <v>9636</v>
      </c>
      <c r="N108" s="1634" t="s">
        <v>9640</v>
      </c>
      <c r="O108" s="1634" t="s">
        <v>9644</v>
      </c>
      <c r="P108" s="1635"/>
    </row>
    <row r="109" spans="1:17" ht="14.1" customHeight="1">
      <c r="B109" s="477" t="s">
        <v>6172</v>
      </c>
      <c r="C109" s="604">
        <v>2</v>
      </c>
      <c r="D109" s="352">
        <v>3</v>
      </c>
      <c r="E109" s="352">
        <v>4</v>
      </c>
      <c r="F109" s="352">
        <v>5</v>
      </c>
      <c r="G109" s="352">
        <v>6</v>
      </c>
      <c r="H109" s="352">
        <v>7</v>
      </c>
      <c r="I109" s="352">
        <v>8</v>
      </c>
      <c r="J109" s="352">
        <v>9</v>
      </c>
      <c r="K109" s="352">
        <v>10</v>
      </c>
      <c r="L109" s="352">
        <v>11</v>
      </c>
      <c r="M109" s="352">
        <v>12</v>
      </c>
      <c r="N109" s="352">
        <v>13</v>
      </c>
      <c r="O109" s="352">
        <v>14</v>
      </c>
      <c r="P109" s="883">
        <v>15</v>
      </c>
    </row>
    <row r="110" spans="1:17" ht="14.1" customHeight="1" thickBot="1">
      <c r="B110" s="492" t="s">
        <v>6070</v>
      </c>
      <c r="C110" s="607">
        <f t="shared" ref="C110:K110" si="1">COUNT($B111:$B140)-COUNTBLANK(C111:C140)</f>
        <v>3</v>
      </c>
      <c r="D110" s="419">
        <f t="shared" si="1"/>
        <v>9</v>
      </c>
      <c r="E110" s="419">
        <f t="shared" si="1"/>
        <v>10</v>
      </c>
      <c r="F110" s="419">
        <f t="shared" si="1"/>
        <v>2</v>
      </c>
      <c r="G110" s="419">
        <f t="shared" si="1"/>
        <v>9</v>
      </c>
      <c r="H110" s="419">
        <f t="shared" si="1"/>
        <v>8</v>
      </c>
      <c r="I110" s="419">
        <f t="shared" si="1"/>
        <v>6</v>
      </c>
      <c r="J110" s="419">
        <f t="shared" si="1"/>
        <v>11</v>
      </c>
      <c r="K110" s="419">
        <f t="shared" si="1"/>
        <v>20</v>
      </c>
      <c r="L110" s="419">
        <f>COUNT($B111:$B140)-COUNTBLANK(L111:L140)</f>
        <v>8</v>
      </c>
      <c r="M110" s="419">
        <f>COUNT($B111:$B140)-COUNTBLANK(M111:M140)</f>
        <v>11</v>
      </c>
      <c r="N110" s="419">
        <f>COUNT($B111:$B140)-COUNTBLANK(N111:N140)</f>
        <v>2</v>
      </c>
      <c r="O110" s="419">
        <f>COUNT($B111:$B140)-COUNTBLANK(O111:O140)</f>
        <v>1</v>
      </c>
      <c r="P110" s="504">
        <f>COUNT($B111:$B140)-COUNTBLANK(P111:P140)</f>
        <v>1</v>
      </c>
    </row>
    <row r="111" spans="1:17" ht="14.1" customHeight="1">
      <c r="B111" s="578">
        <v>1</v>
      </c>
      <c r="C111" s="579" t="s">
        <v>10062</v>
      </c>
      <c r="D111" s="354" t="s">
        <v>10063</v>
      </c>
      <c r="E111" s="354" t="s">
        <v>10064</v>
      </c>
      <c r="F111" s="354" t="s">
        <v>10065</v>
      </c>
      <c r="G111" s="354" t="s">
        <v>10066</v>
      </c>
      <c r="H111" s="354" t="s">
        <v>10067</v>
      </c>
      <c r="I111" s="354" t="s">
        <v>10068</v>
      </c>
      <c r="J111" s="354" t="s">
        <v>10069</v>
      </c>
      <c r="K111" s="354" t="s">
        <v>10070</v>
      </c>
      <c r="L111" s="354" t="s">
        <v>10071</v>
      </c>
      <c r="M111" s="354" t="s">
        <v>10072</v>
      </c>
      <c r="N111" s="354" t="s">
        <v>10073</v>
      </c>
      <c r="O111" s="354" t="s">
        <v>10074</v>
      </c>
      <c r="P111" s="355" t="s">
        <v>10074</v>
      </c>
    </row>
    <row r="112" spans="1:17" ht="14.1" customHeight="1">
      <c r="B112" s="578">
        <v>2</v>
      </c>
      <c r="C112" s="579" t="s">
        <v>10075</v>
      </c>
      <c r="D112" s="354" t="s">
        <v>10076</v>
      </c>
      <c r="E112" s="354" t="s">
        <v>10077</v>
      </c>
      <c r="F112" s="354" t="s">
        <v>10078</v>
      </c>
      <c r="G112" s="354" t="s">
        <v>10079</v>
      </c>
      <c r="H112" s="354" t="s">
        <v>10080</v>
      </c>
      <c r="I112" s="354" t="s">
        <v>10081</v>
      </c>
      <c r="J112" s="354" t="s">
        <v>10082</v>
      </c>
      <c r="K112" s="354" t="s">
        <v>10083</v>
      </c>
      <c r="L112" s="354" t="s">
        <v>10084</v>
      </c>
      <c r="M112" s="354" t="s">
        <v>10085</v>
      </c>
      <c r="N112" s="354" t="s">
        <v>10086</v>
      </c>
      <c r="O112" s="354"/>
      <c r="P112" s="355"/>
    </row>
    <row r="113" spans="2:16" ht="14.1" customHeight="1">
      <c r="B113" s="578">
        <v>3</v>
      </c>
      <c r="C113" s="579" t="s">
        <v>10087</v>
      </c>
      <c r="D113" s="354" t="s">
        <v>10088</v>
      </c>
      <c r="E113" s="354" t="s">
        <v>10089</v>
      </c>
      <c r="F113" s="354"/>
      <c r="G113" s="354" t="s">
        <v>10090</v>
      </c>
      <c r="H113" s="354" t="s">
        <v>10091</v>
      </c>
      <c r="I113" s="354" t="s">
        <v>10092</v>
      </c>
      <c r="J113" s="354" t="s">
        <v>10093</v>
      </c>
      <c r="K113" s="354" t="s">
        <v>10094</v>
      </c>
      <c r="L113" s="354" t="s">
        <v>10095</v>
      </c>
      <c r="M113" s="354" t="s">
        <v>10096</v>
      </c>
      <c r="N113" s="354"/>
      <c r="O113" s="354"/>
      <c r="P113" s="355"/>
    </row>
    <row r="114" spans="2:16" ht="14.1" customHeight="1">
      <c r="B114" s="578">
        <v>4</v>
      </c>
      <c r="C114" s="579"/>
      <c r="D114" s="354" t="s">
        <v>10097</v>
      </c>
      <c r="E114" s="354" t="s">
        <v>10098</v>
      </c>
      <c r="F114" s="354"/>
      <c r="G114" s="354" t="s">
        <v>9616</v>
      </c>
      <c r="H114" s="354" t="s">
        <v>10099</v>
      </c>
      <c r="I114" s="354" t="s">
        <v>10100</v>
      </c>
      <c r="J114" s="354" t="s">
        <v>10101</v>
      </c>
      <c r="K114" s="354" t="s">
        <v>10102</v>
      </c>
      <c r="L114" s="354" t="s">
        <v>10103</v>
      </c>
      <c r="M114" s="354" t="s">
        <v>10104</v>
      </c>
      <c r="N114" s="354"/>
      <c r="O114" s="354"/>
      <c r="P114" s="355"/>
    </row>
    <row r="115" spans="2:16" ht="14.1" customHeight="1">
      <c r="B115" s="578">
        <v>5</v>
      </c>
      <c r="C115" s="579"/>
      <c r="D115" s="354" t="s">
        <v>10105</v>
      </c>
      <c r="E115" s="354" t="s">
        <v>10106</v>
      </c>
      <c r="F115" s="354"/>
      <c r="G115" s="354" t="s">
        <v>10107</v>
      </c>
      <c r="H115" s="354" t="s">
        <v>10108</v>
      </c>
      <c r="I115" s="354" t="s">
        <v>10109</v>
      </c>
      <c r="J115" s="354" t="s">
        <v>10110</v>
      </c>
      <c r="K115" s="354" t="s">
        <v>10111</v>
      </c>
      <c r="L115" s="354" t="s">
        <v>10112</v>
      </c>
      <c r="M115" s="354" t="s">
        <v>10113</v>
      </c>
      <c r="N115" s="354"/>
      <c r="O115" s="354"/>
      <c r="P115" s="355"/>
    </row>
    <row r="116" spans="2:16" ht="14.1" customHeight="1">
      <c r="B116" s="578">
        <v>6</v>
      </c>
      <c r="C116" s="579"/>
      <c r="D116" s="354" t="s">
        <v>10114</v>
      </c>
      <c r="E116" s="354" t="s">
        <v>10115</v>
      </c>
      <c r="F116" s="354"/>
      <c r="G116" s="354" t="s">
        <v>10116</v>
      </c>
      <c r="H116" s="354" t="s">
        <v>10117</v>
      </c>
      <c r="I116" s="354" t="s">
        <v>10118</v>
      </c>
      <c r="J116" s="354" t="s">
        <v>10119</v>
      </c>
      <c r="K116" s="354" t="s">
        <v>10120</v>
      </c>
      <c r="L116" s="354" t="s">
        <v>10121</v>
      </c>
      <c r="M116" s="354" t="s">
        <v>10122</v>
      </c>
      <c r="N116" s="354"/>
      <c r="O116" s="354"/>
      <c r="P116" s="355"/>
    </row>
    <row r="117" spans="2:16" ht="14.1" customHeight="1">
      <c r="B117" s="578">
        <v>7</v>
      </c>
      <c r="C117" s="579"/>
      <c r="D117" s="354" t="s">
        <v>10123</v>
      </c>
      <c r="E117" s="354" t="s">
        <v>10124</v>
      </c>
      <c r="F117" s="354"/>
      <c r="G117" s="354" t="s">
        <v>10125</v>
      </c>
      <c r="H117" s="354" t="s">
        <v>10126</v>
      </c>
      <c r="I117" s="354"/>
      <c r="J117" s="354" t="s">
        <v>10127</v>
      </c>
      <c r="K117" s="354" t="s">
        <v>10128</v>
      </c>
      <c r="L117" s="354" t="s">
        <v>10129</v>
      </c>
      <c r="M117" s="354" t="s">
        <v>10130</v>
      </c>
      <c r="N117" s="354"/>
      <c r="O117" s="354"/>
      <c r="P117" s="355"/>
    </row>
    <row r="118" spans="2:16" ht="14.1" customHeight="1">
      <c r="B118" s="578">
        <v>8</v>
      </c>
      <c r="C118" s="579"/>
      <c r="D118" s="354" t="s">
        <v>10131</v>
      </c>
      <c r="E118" s="354" t="s">
        <v>10132</v>
      </c>
      <c r="F118" s="354"/>
      <c r="G118" s="354" t="s">
        <v>10133</v>
      </c>
      <c r="H118" s="354" t="s">
        <v>7753</v>
      </c>
      <c r="I118" s="354"/>
      <c r="J118" s="354" t="s">
        <v>10134</v>
      </c>
      <c r="K118" s="354" t="s">
        <v>10135</v>
      </c>
      <c r="L118" s="354" t="s">
        <v>10136</v>
      </c>
      <c r="M118" s="354" t="s">
        <v>10137</v>
      </c>
      <c r="N118" s="354"/>
      <c r="O118" s="354"/>
      <c r="P118" s="355"/>
    </row>
    <row r="119" spans="2:16" ht="14.1" customHeight="1">
      <c r="B119" s="578">
        <v>9</v>
      </c>
      <c r="C119" s="579"/>
      <c r="D119" s="354" t="s">
        <v>10138</v>
      </c>
      <c r="E119" s="354" t="s">
        <v>10139</v>
      </c>
      <c r="F119" s="354"/>
      <c r="G119" s="354" t="s">
        <v>10140</v>
      </c>
      <c r="H119" s="354"/>
      <c r="I119" s="354"/>
      <c r="J119" s="354" t="s">
        <v>10141</v>
      </c>
      <c r="K119" s="354" t="s">
        <v>10142</v>
      </c>
      <c r="L119" s="354"/>
      <c r="M119" s="354" t="s">
        <v>10143</v>
      </c>
      <c r="N119" s="354"/>
      <c r="O119" s="354"/>
      <c r="P119" s="355"/>
    </row>
    <row r="120" spans="2:16" ht="14.1" customHeight="1">
      <c r="B120" s="578">
        <v>10</v>
      </c>
      <c r="C120" s="579"/>
      <c r="D120" s="354"/>
      <c r="E120" s="354" t="s">
        <v>10144</v>
      </c>
      <c r="F120" s="354"/>
      <c r="G120" s="354"/>
      <c r="H120" s="354"/>
      <c r="I120" s="354"/>
      <c r="J120" s="354" t="s">
        <v>10145</v>
      </c>
      <c r="K120" s="354" t="s">
        <v>10146</v>
      </c>
      <c r="L120" s="354"/>
      <c r="M120" s="354" t="s">
        <v>10147</v>
      </c>
      <c r="N120" s="354"/>
      <c r="O120" s="354"/>
      <c r="P120" s="355"/>
    </row>
    <row r="121" spans="2:16" ht="14.1" customHeight="1">
      <c r="B121" s="578">
        <v>11</v>
      </c>
      <c r="C121" s="579"/>
      <c r="D121" s="354"/>
      <c r="E121" s="354"/>
      <c r="F121" s="354"/>
      <c r="G121" s="354"/>
      <c r="H121" s="354"/>
      <c r="I121" s="354"/>
      <c r="J121" s="354" t="s">
        <v>10148</v>
      </c>
      <c r="K121" s="354" t="s">
        <v>10149</v>
      </c>
      <c r="L121" s="354"/>
      <c r="M121" s="354" t="s">
        <v>10150</v>
      </c>
      <c r="N121" s="354"/>
      <c r="O121" s="354"/>
      <c r="P121" s="355"/>
    </row>
    <row r="122" spans="2:16" ht="14.1" customHeight="1">
      <c r="B122" s="578">
        <v>12</v>
      </c>
      <c r="C122" s="579"/>
      <c r="D122" s="354"/>
      <c r="E122" s="354"/>
      <c r="F122" s="354"/>
      <c r="G122" s="354"/>
      <c r="H122" s="354"/>
      <c r="I122" s="354"/>
      <c r="J122" s="354"/>
      <c r="K122" s="354" t="s">
        <v>10151</v>
      </c>
      <c r="L122" s="354"/>
      <c r="M122" s="354"/>
      <c r="N122" s="354"/>
      <c r="O122" s="354"/>
      <c r="P122" s="355"/>
    </row>
    <row r="123" spans="2:16" ht="14.1" customHeight="1">
      <c r="B123" s="578">
        <v>13</v>
      </c>
      <c r="C123" s="579"/>
      <c r="D123" s="354"/>
      <c r="E123" s="354"/>
      <c r="F123" s="354"/>
      <c r="G123" s="354"/>
      <c r="H123" s="354"/>
      <c r="I123" s="354"/>
      <c r="J123" s="354"/>
      <c r="K123" s="354" t="s">
        <v>10152</v>
      </c>
      <c r="L123" s="354"/>
      <c r="M123" s="354"/>
      <c r="N123" s="354"/>
      <c r="O123" s="354"/>
      <c r="P123" s="355"/>
    </row>
    <row r="124" spans="2:16" ht="14.1" customHeight="1">
      <c r="B124" s="578">
        <v>14</v>
      </c>
      <c r="C124" s="579"/>
      <c r="D124" s="354"/>
      <c r="E124" s="354"/>
      <c r="F124" s="354"/>
      <c r="G124" s="354"/>
      <c r="H124" s="354"/>
      <c r="I124" s="354"/>
      <c r="J124" s="354"/>
      <c r="K124" s="354" t="s">
        <v>10153</v>
      </c>
      <c r="L124" s="354"/>
      <c r="M124" s="354"/>
      <c r="N124" s="354"/>
      <c r="O124" s="354"/>
      <c r="P124" s="355"/>
    </row>
    <row r="125" spans="2:16" ht="14.1" customHeight="1">
      <c r="B125" s="578">
        <v>15</v>
      </c>
      <c r="C125" s="579"/>
      <c r="D125" s="354"/>
      <c r="E125" s="354"/>
      <c r="F125" s="354"/>
      <c r="G125" s="354"/>
      <c r="H125" s="354"/>
      <c r="I125" s="354"/>
      <c r="J125" s="354"/>
      <c r="K125" s="354" t="s">
        <v>10154</v>
      </c>
      <c r="L125" s="354"/>
      <c r="M125" s="354"/>
      <c r="N125" s="354"/>
      <c r="O125" s="354"/>
      <c r="P125" s="355"/>
    </row>
    <row r="126" spans="2:16" ht="14.1" customHeight="1">
      <c r="B126" s="578">
        <v>16</v>
      </c>
      <c r="C126" s="579"/>
      <c r="D126" s="354"/>
      <c r="E126" s="354"/>
      <c r="F126" s="354"/>
      <c r="G126" s="354"/>
      <c r="H126" s="354"/>
      <c r="I126" s="354"/>
      <c r="J126" s="354"/>
      <c r="K126" s="354" t="s">
        <v>10155</v>
      </c>
      <c r="L126" s="354"/>
      <c r="M126" s="354"/>
      <c r="N126" s="354"/>
      <c r="O126" s="354"/>
      <c r="P126" s="355"/>
    </row>
    <row r="127" spans="2:16" ht="14.1" customHeight="1">
      <c r="B127" s="578">
        <v>17</v>
      </c>
      <c r="C127" s="579"/>
      <c r="D127" s="354"/>
      <c r="E127" s="354"/>
      <c r="F127" s="354"/>
      <c r="G127" s="354"/>
      <c r="H127" s="354"/>
      <c r="I127" s="354"/>
      <c r="J127" s="354"/>
      <c r="K127" s="354" t="s">
        <v>10156</v>
      </c>
      <c r="L127" s="354"/>
      <c r="M127" s="354"/>
      <c r="N127" s="354"/>
      <c r="O127" s="354"/>
      <c r="P127" s="355"/>
    </row>
    <row r="128" spans="2:16" ht="14.1" customHeight="1">
      <c r="B128" s="578">
        <v>18</v>
      </c>
      <c r="C128" s="579"/>
      <c r="D128" s="354"/>
      <c r="E128" s="354"/>
      <c r="F128" s="354"/>
      <c r="G128" s="354"/>
      <c r="H128" s="354"/>
      <c r="I128" s="354"/>
      <c r="J128" s="354"/>
      <c r="K128" s="354" t="s">
        <v>10157</v>
      </c>
      <c r="L128" s="354"/>
      <c r="M128" s="354"/>
      <c r="N128" s="354"/>
      <c r="O128" s="354"/>
      <c r="P128" s="355"/>
    </row>
    <row r="129" spans="2:19" ht="14.1" customHeight="1">
      <c r="B129" s="578">
        <v>19</v>
      </c>
      <c r="C129" s="579"/>
      <c r="D129" s="354"/>
      <c r="E129" s="354"/>
      <c r="F129" s="354"/>
      <c r="G129" s="354"/>
      <c r="H129" s="354"/>
      <c r="I129" s="354"/>
      <c r="J129" s="354"/>
      <c r="K129" s="354" t="s">
        <v>10158</v>
      </c>
      <c r="L129" s="354"/>
      <c r="M129" s="354"/>
      <c r="N129" s="354"/>
      <c r="O129" s="354"/>
      <c r="P129" s="355"/>
    </row>
    <row r="130" spans="2:19" ht="14.1" customHeight="1">
      <c r="B130" s="578">
        <v>20</v>
      </c>
      <c r="C130" s="579"/>
      <c r="D130" s="354"/>
      <c r="E130" s="354"/>
      <c r="F130" s="354"/>
      <c r="G130" s="354"/>
      <c r="H130" s="354"/>
      <c r="I130" s="354"/>
      <c r="J130" s="354"/>
      <c r="K130" s="354" t="s">
        <v>10159</v>
      </c>
      <c r="L130" s="354"/>
      <c r="M130" s="354"/>
      <c r="N130" s="354"/>
      <c r="O130" s="354"/>
      <c r="P130" s="355"/>
    </row>
    <row r="131" spans="2:19" ht="14.1" customHeight="1">
      <c r="B131" s="578">
        <v>21</v>
      </c>
      <c r="C131" s="579"/>
      <c r="D131" s="354"/>
      <c r="E131" s="354"/>
      <c r="F131" s="354"/>
      <c r="G131" s="354"/>
      <c r="H131" s="354"/>
      <c r="I131" s="354"/>
      <c r="J131" s="354"/>
      <c r="K131" s="354"/>
      <c r="L131" s="354"/>
      <c r="M131" s="354"/>
      <c r="N131" s="354"/>
      <c r="O131" s="354"/>
      <c r="P131" s="355"/>
    </row>
    <row r="132" spans="2:19" ht="14.1" customHeight="1">
      <c r="B132" s="578">
        <v>22</v>
      </c>
      <c r="C132" s="579"/>
      <c r="D132" s="354"/>
      <c r="E132" s="354"/>
      <c r="F132" s="354"/>
      <c r="G132" s="354"/>
      <c r="H132" s="354"/>
      <c r="I132" s="354"/>
      <c r="J132" s="354"/>
      <c r="K132" s="354"/>
      <c r="L132" s="354"/>
      <c r="M132" s="354"/>
      <c r="N132" s="354"/>
      <c r="O132" s="354"/>
      <c r="P132" s="355"/>
    </row>
    <row r="133" spans="2:19" ht="14.1" customHeight="1">
      <c r="B133" s="578">
        <v>23</v>
      </c>
      <c r="C133" s="579"/>
      <c r="D133" s="354"/>
      <c r="E133" s="354"/>
      <c r="F133" s="354"/>
      <c r="G133" s="354"/>
      <c r="H133" s="354"/>
      <c r="I133" s="354"/>
      <c r="J133" s="354"/>
      <c r="K133" s="354"/>
      <c r="L133" s="354"/>
      <c r="M133" s="354"/>
      <c r="N133" s="354"/>
      <c r="O133" s="354"/>
      <c r="P133" s="355"/>
    </row>
    <row r="134" spans="2:19" ht="14.1" customHeight="1">
      <c r="B134" s="578">
        <v>24</v>
      </c>
      <c r="C134" s="579"/>
      <c r="D134" s="354"/>
      <c r="E134" s="354"/>
      <c r="F134" s="354"/>
      <c r="G134" s="354"/>
      <c r="H134" s="354"/>
      <c r="I134" s="354"/>
      <c r="J134" s="354"/>
      <c r="K134" s="354"/>
      <c r="L134" s="354"/>
      <c r="M134" s="354"/>
      <c r="N134" s="354"/>
      <c r="O134" s="354"/>
      <c r="P134" s="355"/>
    </row>
    <row r="135" spans="2:19" ht="14.1" customHeight="1">
      <c r="B135" s="578">
        <v>25</v>
      </c>
      <c r="C135" s="579"/>
      <c r="D135" s="354"/>
      <c r="E135" s="354"/>
      <c r="F135" s="354"/>
      <c r="G135" s="354"/>
      <c r="H135" s="354"/>
      <c r="I135" s="354"/>
      <c r="J135" s="354"/>
      <c r="K135" s="354"/>
      <c r="L135" s="354"/>
      <c r="M135" s="354"/>
      <c r="N135" s="354"/>
      <c r="O135" s="354"/>
      <c r="P135" s="355"/>
    </row>
    <row r="136" spans="2:19" ht="14.1" customHeight="1">
      <c r="B136" s="578">
        <v>26</v>
      </c>
      <c r="C136" s="579"/>
      <c r="D136" s="354"/>
      <c r="E136" s="354"/>
      <c r="F136" s="354"/>
      <c r="G136" s="354"/>
      <c r="H136" s="354"/>
      <c r="I136" s="354"/>
      <c r="J136" s="354"/>
      <c r="K136" s="354"/>
      <c r="L136" s="354"/>
      <c r="M136" s="354"/>
      <c r="N136" s="354"/>
      <c r="O136" s="354"/>
      <c r="P136" s="355"/>
    </row>
    <row r="137" spans="2:19" ht="14.1" customHeight="1">
      <c r="B137" s="578">
        <v>27</v>
      </c>
      <c r="C137" s="579"/>
      <c r="D137" s="354"/>
      <c r="E137" s="354"/>
      <c r="F137" s="354"/>
      <c r="G137" s="354"/>
      <c r="H137" s="354"/>
      <c r="I137" s="354"/>
      <c r="J137" s="354"/>
      <c r="K137" s="354"/>
      <c r="L137" s="354"/>
      <c r="M137" s="354"/>
      <c r="N137" s="354"/>
      <c r="O137" s="354"/>
      <c r="P137" s="355"/>
    </row>
    <row r="138" spans="2:19" ht="14.1" customHeight="1">
      <c r="B138" s="578">
        <v>28</v>
      </c>
      <c r="C138" s="579"/>
      <c r="D138" s="354"/>
      <c r="E138" s="354"/>
      <c r="F138" s="354"/>
      <c r="G138" s="354"/>
      <c r="H138" s="354"/>
      <c r="I138" s="354"/>
      <c r="J138" s="354"/>
      <c r="K138" s="354"/>
      <c r="L138" s="354"/>
      <c r="M138" s="354"/>
      <c r="N138" s="354"/>
      <c r="O138" s="354"/>
      <c r="P138" s="355"/>
    </row>
    <row r="139" spans="2:19" ht="14.1" customHeight="1">
      <c r="B139" s="578">
        <v>29</v>
      </c>
      <c r="C139" s="579"/>
      <c r="D139" s="354"/>
      <c r="E139" s="354"/>
      <c r="F139" s="354"/>
      <c r="G139" s="354"/>
      <c r="H139" s="354"/>
      <c r="I139" s="354"/>
      <c r="J139" s="354"/>
      <c r="K139" s="354"/>
      <c r="L139" s="354"/>
      <c r="M139" s="354"/>
      <c r="N139" s="354"/>
      <c r="O139" s="354"/>
      <c r="P139" s="355"/>
    </row>
    <row r="140" spans="2:19" ht="14.1" customHeight="1" thickBot="1">
      <c r="B140" s="583">
        <v>30</v>
      </c>
      <c r="C140" s="585"/>
      <c r="D140" s="410"/>
      <c r="E140" s="410"/>
      <c r="F140" s="410"/>
      <c r="G140" s="410"/>
      <c r="H140" s="410"/>
      <c r="I140" s="410"/>
      <c r="J140" s="410"/>
      <c r="K140" s="410"/>
      <c r="L140" s="410"/>
      <c r="M140" s="410"/>
      <c r="N140" s="410"/>
      <c r="O140" s="410"/>
      <c r="P140" s="411"/>
    </row>
    <row r="141" spans="2:19" ht="14.1" customHeight="1" thickBot="1"/>
    <row r="142" spans="2:19" ht="14.1" customHeight="1" thickBot="1">
      <c r="B142" s="2108"/>
      <c r="C142" s="2109" t="s">
        <v>10160</v>
      </c>
      <c r="D142" s="2109"/>
      <c r="E142" s="2109"/>
      <c r="F142" s="721"/>
      <c r="G142" s="2110"/>
    </row>
    <row r="143" spans="2:19" ht="14.1" customHeight="1">
      <c r="B143" s="1618"/>
      <c r="C143" s="2111" t="s">
        <v>10161</v>
      </c>
      <c r="D143" s="2111" t="s">
        <v>9667</v>
      </c>
      <c r="E143" s="2111" t="s">
        <v>4118</v>
      </c>
      <c r="F143" s="2112" t="s">
        <v>10162</v>
      </c>
      <c r="S143" s="272" t="s">
        <v>1287</v>
      </c>
    </row>
    <row r="144" spans="2:19" ht="14.1" customHeight="1">
      <c r="B144" s="1619">
        <v>1</v>
      </c>
      <c r="C144" s="2032" t="s">
        <v>6310</v>
      </c>
      <c r="D144" s="2032" t="s">
        <v>6310</v>
      </c>
      <c r="E144" s="2032" t="s">
        <v>6310</v>
      </c>
      <c r="F144" s="2035" t="s">
        <v>6950</v>
      </c>
    </row>
    <row r="145" spans="2:6" ht="14.1" customHeight="1">
      <c r="B145" s="1619">
        <v>2</v>
      </c>
      <c r="C145" s="2032" t="s">
        <v>6306</v>
      </c>
      <c r="D145" s="2032" t="s">
        <v>6952</v>
      </c>
      <c r="E145" s="2032" t="s">
        <v>6952</v>
      </c>
      <c r="F145" s="2035" t="s">
        <v>6961</v>
      </c>
    </row>
    <row r="146" spans="2:6" ht="14.1" customHeight="1">
      <c r="B146" s="1619">
        <v>3</v>
      </c>
      <c r="C146" s="2032" t="s">
        <v>6962</v>
      </c>
      <c r="D146" s="2032" t="s">
        <v>6962</v>
      </c>
      <c r="E146" s="2032" t="s">
        <v>6306</v>
      </c>
      <c r="F146" s="2035" t="s">
        <v>6964</v>
      </c>
    </row>
    <row r="147" spans="2:6" ht="14.1" customHeight="1">
      <c r="B147" s="1619">
        <v>4</v>
      </c>
      <c r="C147" s="2032"/>
      <c r="D147" s="2032"/>
      <c r="E147" s="2032" t="s">
        <v>6962</v>
      </c>
      <c r="F147" s="2035"/>
    </row>
    <row r="148" spans="2:6" ht="14.1" customHeight="1" thickBot="1">
      <c r="B148" s="1620"/>
      <c r="C148" s="2113"/>
      <c r="D148" s="2113"/>
      <c r="E148" s="2113"/>
      <c r="F148" s="2114"/>
    </row>
  </sheetData>
  <mergeCells count="2">
    <mergeCell ref="K3:L3"/>
    <mergeCell ref="D4:E4"/>
  </mergeCells>
  <pageMargins left="0.7" right="0.7" top="0.75" bottom="0.75" header="0.3" footer="0.3"/>
  <pageSetup orientation="portrait" horizontalDpi="4294967293"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85DD0-5E60-485A-BBA4-2F8B6D3EDB81}">
  <sheetPr codeName="Аркуш11">
    <tabColor rgb="FF92D050"/>
  </sheetPr>
  <dimension ref="B1:X334"/>
  <sheetViews>
    <sheetView topLeftCell="A36" workbookViewId="0">
      <selection activeCell="C159" sqref="B159:C159"/>
    </sheetView>
  </sheetViews>
  <sheetFormatPr defaultColWidth="7.109375" defaultRowHeight="14.25"/>
  <cols>
    <col min="1" max="1" width="2.77734375" style="32" customWidth="1"/>
    <col min="2" max="2" width="10.77734375" style="32" customWidth="1"/>
    <col min="3" max="3" width="25.88671875" style="32" bestFit="1" customWidth="1"/>
    <col min="4" max="4" width="8.88671875" style="32" bestFit="1" customWidth="1"/>
    <col min="5" max="5" width="6.77734375" style="32" bestFit="1" customWidth="1"/>
    <col min="6" max="6" width="7.33203125" style="32" customWidth="1"/>
    <col min="7" max="7" width="38.6640625" style="32" customWidth="1"/>
    <col min="8" max="8" width="9.77734375" style="32" customWidth="1"/>
    <col min="9" max="9" width="7.44140625" style="32" customWidth="1"/>
    <col min="10" max="10" width="3.6640625" style="32" customWidth="1"/>
    <col min="11" max="11" width="14.77734375" style="32" customWidth="1"/>
    <col min="12" max="12" width="10.77734375" style="32" customWidth="1"/>
    <col min="13" max="13" width="25.5546875" style="32" customWidth="1"/>
    <col min="14" max="14" width="9.44140625" style="32" customWidth="1"/>
    <col min="15" max="15" width="38.33203125" style="32" customWidth="1"/>
    <col min="16" max="16" width="7.88671875" style="32" customWidth="1"/>
    <col min="17" max="16384" width="7.109375" style="32"/>
  </cols>
  <sheetData>
    <row r="1" spans="2:24" ht="12" customHeight="1" thickBot="1"/>
    <row r="2" spans="2:24" ht="15" thickBot="1">
      <c r="C2" s="3266" t="s">
        <v>8856</v>
      </c>
      <c r="D2" s="3267"/>
      <c r="E2" s="3267"/>
      <c r="F2" s="3267"/>
      <c r="G2" s="3267"/>
      <c r="H2" s="3267"/>
      <c r="I2" s="3268"/>
      <c r="K2" s="3269" t="s">
        <v>8857</v>
      </c>
      <c r="L2" s="3270"/>
      <c r="M2" s="3270"/>
      <c r="N2" s="3270"/>
      <c r="O2" s="3270"/>
      <c r="P2" s="3271"/>
      <c r="Q2" s="675"/>
      <c r="R2" s="675"/>
      <c r="S2" s="675"/>
      <c r="T2" s="675"/>
      <c r="U2" s="675"/>
      <c r="V2" s="675"/>
      <c r="W2" s="675"/>
      <c r="X2" s="675"/>
    </row>
    <row r="3" spans="2:24" ht="15" thickBot="1">
      <c r="B3" t="s">
        <v>597</v>
      </c>
      <c r="C3" t="s">
        <v>772</v>
      </c>
      <c r="D3" t="s">
        <v>1875</v>
      </c>
      <c r="E3" t="s">
        <v>2210</v>
      </c>
      <c r="F3" t="s">
        <v>8858</v>
      </c>
      <c r="G3" t="s">
        <v>2068</v>
      </c>
      <c r="H3" t="s">
        <v>8859</v>
      </c>
      <c r="I3" t="s">
        <v>5755</v>
      </c>
      <c r="K3" s="1244" t="s">
        <v>5981</v>
      </c>
      <c r="L3" s="1244" t="s">
        <v>8860</v>
      </c>
      <c r="M3" s="1244" t="s">
        <v>8861</v>
      </c>
      <c r="N3" s="1244" t="s">
        <v>8862</v>
      </c>
      <c r="O3" s="1244" t="s">
        <v>8863</v>
      </c>
      <c r="P3" s="1244" t="s">
        <v>8864</v>
      </c>
      <c r="Q3" s="271"/>
      <c r="R3" s="271"/>
      <c r="S3" s="271"/>
      <c r="T3" s="271"/>
      <c r="U3" s="271"/>
      <c r="V3" s="271"/>
      <c r="W3" s="271"/>
      <c r="X3" s="271"/>
    </row>
    <row r="4" spans="2:24" ht="12" customHeight="1" thickBot="1">
      <c r="B4">
        <v>1</v>
      </c>
      <c r="C4" t="s">
        <v>8865</v>
      </c>
      <c r="D4" t="s">
        <v>8866</v>
      </c>
      <c r="E4" t="s">
        <v>7064</v>
      </c>
      <c r="F4"/>
      <c r="G4" t="s">
        <v>8867</v>
      </c>
      <c r="H4"/>
      <c r="I4" t="s">
        <v>8868</v>
      </c>
      <c r="K4" s="1905" t="str">
        <f>[1]MATH!$D$8</f>
        <v>Wizard</v>
      </c>
      <c r="L4" s="1906">
        <f>IF([1]USER!AL6=0,[1]MATH!$D$5,0)</f>
        <v>0</v>
      </c>
      <c r="M4" s="1907">
        <f ca="1">IF(L4=0,0,IF(AND(L4&gt;=2,L4&lt;=4),RANDBETWEEN(0,1),IF(AND(L4&gt;=5,L4&lt;=10),RANDBETWEEN(2,3),IF(AND(L4&gt;=11,L4&lt;=16),RANDBETWEEN(4,5),IF(L4&gt;=17,RANDBETWEEN(6,7),"")))))</f>
        <v>0</v>
      </c>
      <c r="N4" s="1907">
        <f ca="1">IF(L4=0,0,IF(AND(L4&gt;=2,L4&lt;=4),RANDBETWEEN(0,0),IF(AND(L4&gt;=5,L4&lt;=10),RANDBETWEEN(0,1),IF(AND(L4&gt;=11,L4&lt;=16),RANDBETWEEN(2,3),IF(L4&gt;=17,RANDBETWEEN(4,5),"")))))</f>
        <v>0</v>
      </c>
      <c r="O4" s="1908">
        <f ca="1">(IF(L4=0,0,IF(AND(L4&gt;=2,L4&lt;=4),RANDBETWEEN(0,0),IF(AND(L4&gt;=5,L4&lt;=10),RANDBETWEEN(0,0),IF(AND(L4&gt;=11,L4&lt;=16),RANDBETWEEN(0,1),IF(L4&gt;=17,RANDBETWEEN(2,3),""))))))</f>
        <v>0</v>
      </c>
      <c r="P4" s="1909" t="str">
        <f ca="1">IF(L4&lt;=4,"",IF(AND(L4&gt;=5,L4&lt;=10),"",IF(AND(L4&gt;=11,L4&lt;=16),"",IF(L4&gt;=17,RANDBETWEEN(0,1),""))))</f>
        <v/>
      </c>
      <c r="Q4" s="271"/>
      <c r="R4" s="271"/>
      <c r="S4" s="271"/>
      <c r="T4" s="271"/>
      <c r="U4" s="271"/>
      <c r="V4" s="271"/>
      <c r="W4" s="271"/>
      <c r="X4" s="271"/>
    </row>
    <row r="5" spans="2:24" ht="12" customHeight="1" thickBot="1">
      <c r="B5">
        <v>2</v>
      </c>
      <c r="C5" t="s">
        <v>8869</v>
      </c>
      <c r="D5" t="s">
        <v>8866</v>
      </c>
      <c r="E5" t="s">
        <v>7064</v>
      </c>
      <c r="F5"/>
      <c r="G5" t="s">
        <v>8870</v>
      </c>
      <c r="H5"/>
      <c r="I5" t="s">
        <v>8868</v>
      </c>
      <c r="K5" s="1911"/>
      <c r="L5" s="1912"/>
      <c r="M5" s="1244" t="s">
        <v>7805</v>
      </c>
      <c r="N5" s="1244" t="s">
        <v>1406</v>
      </c>
      <c r="O5" s="1244" t="s">
        <v>8871</v>
      </c>
      <c r="P5" s="1244" t="s">
        <v>8872</v>
      </c>
      <c r="Q5" s="271"/>
      <c r="R5" s="271"/>
      <c r="S5" s="271"/>
      <c r="T5" s="271"/>
      <c r="U5" s="271"/>
      <c r="V5" s="271"/>
      <c r="W5" s="271"/>
      <c r="X5" s="271"/>
    </row>
    <row r="6" spans="2:24" ht="12" customHeight="1">
      <c r="B6">
        <v>3</v>
      </c>
      <c r="C6" t="s">
        <v>8873</v>
      </c>
      <c r="D6" t="s">
        <v>8874</v>
      </c>
      <c r="E6" t="s">
        <v>7064</v>
      </c>
      <c r="F6"/>
      <c r="G6" t="e">
        <f ca="1">IF([1]MATH!C8=1,VLOOKUP(RANDBETWEEN(1,15),[1]SPELLBOOK!K50:L64,4,0),IF([1]MATH!C8=2,VLOOKUP(RANDBETWEEN(1,30),[1]SPELLBOOK!K146:N148,4,0),IF([1]MATH!C8=3,VLOOKUP(RANDBETWEEN(1,30),[1]SPELLBOOK!#REF!,4,0),IF([1]MATH!C8=4,VLOOKUP(RANDBETWEEN(1,30),[1]SPELLBOOK!K267:N296,4,0),IF([1]MATH!C8=6,VLOOKUP(RANDBETWEEN(1,21),[1]SPELLBOOK!K19:N39,4,0),IF([1]MATH!C8=7,VLOOKUP(RANDBETWEEN(1,16),[1]SPELLBOOK!K106:N121,4,0),IF([1]MATH!C8=9,VLOOKUP(RANDBETWEEN(1,15),[1]SPELLBOOK!C130:F144,4,0),IF([1]MATH!C8=10,VLOOKUP(RANDBETWEEN(1,13),[1]SPELLBOOK!K153:N165,4,0),IF([1]MATH!C8=11,VLOOKUP(RANDBETWEEN(1,20),[1]SPELLBOOK!K223:N240,4,0),IF([1]MATH!C8=12,VLOOKUP(RANDBETWEEN(1,11),[1]SPELLBOOK!H246:J256,4,0),""))))))))))</f>
        <v>#N/A</v>
      </c>
      <c r="H6"/>
      <c r="I6" t="s">
        <v>8875</v>
      </c>
      <c r="K6" s="1911" t="s">
        <v>8876</v>
      </c>
      <c r="L6" s="1913" t="str">
        <f ca="1">IF($M$4&gt;=1,RANDBETWEEN(1,99),"")</f>
        <v/>
      </c>
      <c r="M6" s="1913" t="str">
        <f t="shared" ref="M6:M12" ca="1" si="0">IF(L6="","",VLOOKUP(L6,$B$4:$I$102,2,0))</f>
        <v/>
      </c>
      <c r="N6" s="1913" t="str">
        <f t="shared" ref="N6:N12" ca="1" si="1">IF(L6="","",VLOOKUP(L6,$B$4:$I$102,3,0))</f>
        <v/>
      </c>
      <c r="O6" s="1913" t="str">
        <f t="shared" ref="O6:O12" ca="1" si="2">IF(L6="","",VLOOKUP(L6,$B$4:$I$102,6,0))</f>
        <v/>
      </c>
      <c r="P6" s="1914" t="str">
        <f t="shared" ref="P6:P12" ca="1" si="3">IF(L6="","",VLOOKUP(L6,$B$4:$I$102,8,0))</f>
        <v/>
      </c>
      <c r="Q6" s="272"/>
      <c r="R6" s="272"/>
      <c r="S6" s="272"/>
      <c r="T6" s="272"/>
      <c r="U6" s="272"/>
      <c r="V6" s="272"/>
      <c r="W6" s="272"/>
      <c r="X6" s="272"/>
    </row>
    <row r="7" spans="2:24" ht="12" customHeight="1">
      <c r="B7">
        <v>4</v>
      </c>
      <c r="C7" t="s">
        <v>8877</v>
      </c>
      <c r="D7" t="s">
        <v>8874</v>
      </c>
      <c r="E7" t="s">
        <v>7064</v>
      </c>
      <c r="F7"/>
      <c r="G7" t="e">
        <f ca="1">IF([1]MATH!C8=1,VLOOKUP(RANDBETWEEN(1,6),[1]SPELLBOOK!F50:I56,4,0),IF([1]MATH!C8=2,VLOOKUP(RANDBETWEEN(1,16),[1]SPELLBOOK!F146:I148,4,0),IF([1]MATH!C8=3,VLOOKUP(RANDBETWEEN(1,17),[1]SPELLBOOK!#REF!,4,0),IF([1]MATH!C8=4,VLOOKUP(RANDBETWEEN(1,16),[1]SPELLBOOK!F267:I282,4,0),IF([1]MATH!C8=6,VLOOKUP(RANDBETWEEN(1,11),[1]SPELLBOOK!F19:I29,4,0),IF([1]MATH!C8=7,VLOOKUP(RANDBETWEEN(1,8),[1]SPELLBOOK!F106:I113,4,0),IF([1]MATH!C8=11,VLOOKUP(RANDBETWEEN(1,16),[1]SPELLBOOK!F223:I238,4,0),IF([1]MATH!C8=12,VLOOKUP(RANDBETWEEN(1,16),[1]SPELLBOOK!F223:I238,4,0),""))))))))</f>
        <v>#N/A</v>
      </c>
      <c r="H7"/>
      <c r="I7" t="s">
        <v>8875</v>
      </c>
      <c r="K7" s="1911" t="s">
        <v>8878</v>
      </c>
      <c r="L7" s="1913" t="str">
        <f ca="1">IF($M$4&gt;=2,RANDBETWEEN(1,99),"")</f>
        <v/>
      </c>
      <c r="M7" s="1913" t="str">
        <f t="shared" ca="1" si="0"/>
        <v/>
      </c>
      <c r="N7" s="1913" t="str">
        <f t="shared" ca="1" si="1"/>
        <v/>
      </c>
      <c r="O7" s="1913" t="str">
        <f t="shared" ca="1" si="2"/>
        <v/>
      </c>
      <c r="P7" s="1914" t="str">
        <f t="shared" ca="1" si="3"/>
        <v/>
      </c>
    </row>
    <row r="8" spans="2:24" ht="12" customHeight="1">
      <c r="B8">
        <v>5</v>
      </c>
      <c r="C8" t="s">
        <v>8879</v>
      </c>
      <c r="D8" t="s">
        <v>6001</v>
      </c>
      <c r="E8" t="s">
        <v>8880</v>
      </c>
      <c r="F8"/>
      <c r="G8" t="str">
        <f ca="1">CONCATENATE("Adamantine ",VLOOKUP(M124,K128:L135,2,0)," - Critical hits become normal hits")</f>
        <v>Adamantine Chain Shirt - Critical hits become normal hits</v>
      </c>
      <c r="H8"/>
      <c r="I8" t="s">
        <v>8881</v>
      </c>
      <c r="K8" s="1911" t="s">
        <v>8882</v>
      </c>
      <c r="L8" s="1913" t="str">
        <f ca="1">IF($M$4&gt;=3,RANDBETWEEN(1,99),"")</f>
        <v/>
      </c>
      <c r="M8" s="1913" t="str">
        <f t="shared" ca="1" si="0"/>
        <v/>
      </c>
      <c r="N8" s="1913" t="str">
        <f t="shared" ca="1" si="1"/>
        <v/>
      </c>
      <c r="O8" s="1913" t="str">
        <f t="shared" ca="1" si="2"/>
        <v/>
      </c>
      <c r="P8" s="1914" t="str">
        <f t="shared" ca="1" si="3"/>
        <v/>
      </c>
    </row>
    <row r="9" spans="2:24" ht="12" customHeight="1">
      <c r="B9">
        <v>6</v>
      </c>
      <c r="C9" t="s">
        <v>8883</v>
      </c>
      <c r="D9" t="s">
        <v>6001</v>
      </c>
      <c r="E9" t="s">
        <v>8880</v>
      </c>
      <c r="F9"/>
      <c r="G9" t="str">
        <f ca="1">CONCATENATE("Mariner's ",VLOOKUP(M123,K124:L135,2,0)," Armor"," (Swim speed = Walk speed)")</f>
        <v>Mariner's Scale Shirt Armor (Swim speed = Walk speed)</v>
      </c>
      <c r="H9"/>
      <c r="I9" t="s">
        <v>8884</v>
      </c>
      <c r="K9" s="1911" t="s">
        <v>8885</v>
      </c>
      <c r="L9" s="1913" t="str">
        <f ca="1">IF($M$4&gt;=4,RANDBETWEEN(1,99),"")</f>
        <v/>
      </c>
      <c r="M9" s="1913" t="str">
        <f t="shared" ca="1" si="0"/>
        <v/>
      </c>
      <c r="N9" s="1913" t="str">
        <f t="shared" ca="1" si="1"/>
        <v/>
      </c>
      <c r="O9" s="1913" t="str">
        <f t="shared" ca="1" si="2"/>
        <v/>
      </c>
      <c r="P9" s="1914" t="str">
        <f t="shared" ca="1" si="3"/>
        <v/>
      </c>
    </row>
    <row r="10" spans="2:24" ht="12" customHeight="1">
      <c r="B10">
        <v>7</v>
      </c>
      <c r="C10" t="s">
        <v>8886</v>
      </c>
      <c r="D10" t="s">
        <v>6001</v>
      </c>
      <c r="E10" t="s">
        <v>8880</v>
      </c>
      <c r="F10"/>
      <c r="G10" t="str">
        <f ca="1">CONCATENATE("Mithral ",VLOOKUP(M124,K128:L135,2,0)," - Can be worn under clothes")</f>
        <v>Mithral Chain Shirt - Can be worn under clothes</v>
      </c>
      <c r="H10"/>
      <c r="I10" t="s">
        <v>8887</v>
      </c>
      <c r="K10" s="1911" t="s">
        <v>8888</v>
      </c>
      <c r="L10" s="1913" t="str">
        <f ca="1">IF($M$4&gt;=5,RANDBETWEEN(1,99),"")</f>
        <v/>
      </c>
      <c r="M10" s="1913" t="str">
        <f t="shared" ca="1" si="0"/>
        <v/>
      </c>
      <c r="N10" s="1913" t="str">
        <f t="shared" ca="1" si="1"/>
        <v/>
      </c>
      <c r="O10" s="1913" t="str">
        <f t="shared" ca="1" si="2"/>
        <v/>
      </c>
      <c r="P10" s="1914" t="str">
        <f t="shared" ca="1" si="3"/>
        <v/>
      </c>
    </row>
    <row r="11" spans="2:24" ht="12" customHeight="1">
      <c r="B11">
        <v>8</v>
      </c>
      <c r="C11" t="s">
        <v>8889</v>
      </c>
      <c r="D11" t="s">
        <v>6001</v>
      </c>
      <c r="E11" t="s">
        <v>8880</v>
      </c>
      <c r="F11"/>
      <c r="G11" t="s">
        <v>8890</v>
      </c>
      <c r="H11"/>
      <c r="I11" t="s">
        <v>8891</v>
      </c>
      <c r="K11" s="1911" t="s">
        <v>8892</v>
      </c>
      <c r="L11" s="1913" t="str">
        <f ca="1">IF($M$4&gt;=6,RANDBETWEEN(1,99),"")</f>
        <v/>
      </c>
      <c r="M11" s="1913" t="str">
        <f t="shared" ca="1" si="0"/>
        <v/>
      </c>
      <c r="N11" s="1913" t="str">
        <f t="shared" ca="1" si="1"/>
        <v/>
      </c>
      <c r="O11" s="1913" t="str">
        <f t="shared" ca="1" si="2"/>
        <v/>
      </c>
      <c r="P11" s="1914" t="str">
        <f t="shared" ca="1" si="3"/>
        <v/>
      </c>
    </row>
    <row r="12" spans="2:24" ht="12" customHeight="1" thickBot="1">
      <c r="B12">
        <v>9</v>
      </c>
      <c r="C12" t="s">
        <v>8893</v>
      </c>
      <c r="D12" t="s">
        <v>6001</v>
      </c>
      <c r="E12" t="s">
        <v>8880</v>
      </c>
      <c r="F12"/>
      <c r="G12" t="s">
        <v>3318</v>
      </c>
      <c r="H12">
        <v>1</v>
      </c>
      <c r="I12" t="s">
        <v>8875</v>
      </c>
      <c r="K12" s="1915" t="s">
        <v>8894</v>
      </c>
      <c r="L12" s="1916" t="str">
        <f ca="1">IF($M$4&gt;=7,RANDBETWEEN(1,99),"")</f>
        <v/>
      </c>
      <c r="M12" s="1916" t="str">
        <f t="shared" ca="1" si="0"/>
        <v/>
      </c>
      <c r="N12" s="1916" t="str">
        <f t="shared" ca="1" si="1"/>
        <v/>
      </c>
      <c r="O12" s="1916" t="str">
        <f t="shared" ca="1" si="2"/>
        <v/>
      </c>
      <c r="P12" s="1917" t="str">
        <f t="shared" ca="1" si="3"/>
        <v/>
      </c>
    </row>
    <row r="13" spans="2:24" ht="12" customHeight="1">
      <c r="B13">
        <v>10</v>
      </c>
      <c r="C13" t="s">
        <v>8895</v>
      </c>
      <c r="D13" t="s">
        <v>8866</v>
      </c>
      <c r="E13" t="s">
        <v>8880</v>
      </c>
      <c r="F13"/>
      <c r="G13" t="s">
        <v>8896</v>
      </c>
      <c r="H13"/>
      <c r="I13" t="s">
        <v>8897</v>
      </c>
    </row>
    <row r="14" spans="2:24" ht="12" customHeight="1" thickBot="1">
      <c r="B14">
        <v>11</v>
      </c>
      <c r="C14" t="s">
        <v>8898</v>
      </c>
      <c r="D14" t="s">
        <v>8866</v>
      </c>
      <c r="E14" t="s">
        <v>8880</v>
      </c>
      <c r="F14"/>
      <c r="G14" t="s">
        <v>8899</v>
      </c>
      <c r="H14"/>
      <c r="I14" t="s">
        <v>8897</v>
      </c>
    </row>
    <row r="15" spans="2:24" ht="12" customHeight="1" thickBot="1">
      <c r="B15">
        <v>12</v>
      </c>
      <c r="C15" t="s">
        <v>8900</v>
      </c>
      <c r="D15" t="s">
        <v>8866</v>
      </c>
      <c r="E15" t="s">
        <v>8880</v>
      </c>
      <c r="F15"/>
      <c r="G15" t="s">
        <v>8901</v>
      </c>
      <c r="H15"/>
      <c r="I15" t="s">
        <v>8868</v>
      </c>
      <c r="K15" s="3269" t="s">
        <v>8902</v>
      </c>
      <c r="L15" s="3270"/>
      <c r="M15" s="3270"/>
      <c r="N15" s="3270"/>
      <c r="O15" s="3270"/>
      <c r="P15" s="3271"/>
    </row>
    <row r="16" spans="2:24" ht="12" customHeight="1" thickBot="1">
      <c r="B16">
        <v>13</v>
      </c>
      <c r="C16" t="s">
        <v>8903</v>
      </c>
      <c r="D16" t="s">
        <v>8866</v>
      </c>
      <c r="E16" t="s">
        <v>8880</v>
      </c>
      <c r="F16"/>
      <c r="G16" t="s">
        <v>8904</v>
      </c>
      <c r="H16"/>
      <c r="I16" t="s">
        <v>8868</v>
      </c>
      <c r="K16" s="1911"/>
      <c r="L16" s="1912"/>
      <c r="M16" s="1244" t="s">
        <v>7805</v>
      </c>
      <c r="N16" s="1244" t="s">
        <v>1406</v>
      </c>
      <c r="O16" s="1244" t="s">
        <v>8871</v>
      </c>
      <c r="P16" s="1244" t="s">
        <v>8872</v>
      </c>
    </row>
    <row r="17" spans="2:16" ht="12" customHeight="1">
      <c r="B17">
        <v>14</v>
      </c>
      <c r="C17" t="s">
        <v>8905</v>
      </c>
      <c r="D17" t="s">
        <v>8866</v>
      </c>
      <c r="E17" t="s">
        <v>8880</v>
      </c>
      <c r="F17"/>
      <c r="G17" t="s">
        <v>8906</v>
      </c>
      <c r="H17"/>
      <c r="I17" t="s">
        <v>8868</v>
      </c>
      <c r="K17" s="1911" t="s">
        <v>8876</v>
      </c>
      <c r="L17" s="1913" t="str">
        <f ca="1">IF($N$4&gt;=1,RANDBETWEEN(1,112),"")</f>
        <v/>
      </c>
      <c r="M17" s="1913" t="str">
        <f ca="1">IF(L17="","",VLOOKUP(L17,$B$103:$I$214,2,0))</f>
        <v/>
      </c>
      <c r="N17" s="1913" t="str">
        <f ca="1">IF(L17="","",VLOOKUP(L17,$B$103:$I$214,3,0))</f>
        <v/>
      </c>
      <c r="O17" s="1913" t="str">
        <f ca="1">IF(L17="","",VLOOKUP(L17,$B$103:$I$214,6,0))</f>
        <v/>
      </c>
      <c r="P17" s="1918" t="str">
        <f ca="1">IF(L17="","",VLOOKUP(L17,$B$103:$I$214,8,0))</f>
        <v/>
      </c>
    </row>
    <row r="18" spans="2:16" ht="12" customHeight="1">
      <c r="B18">
        <v>15</v>
      </c>
      <c r="C18" t="s">
        <v>8907</v>
      </c>
      <c r="D18" t="s">
        <v>8866</v>
      </c>
      <c r="E18" t="s">
        <v>8880</v>
      </c>
      <c r="F18"/>
      <c r="G18" t="s">
        <v>8908</v>
      </c>
      <c r="H18"/>
      <c r="I18" t="s">
        <v>8868</v>
      </c>
      <c r="K18" s="1911" t="s">
        <v>8878</v>
      </c>
      <c r="L18" s="1913" t="str">
        <f ca="1">IF($N$4&gt;=2,RANDBETWEEN(1,112),"")</f>
        <v/>
      </c>
      <c r="M18" s="1913" t="str">
        <f ca="1">IF(L18="","",VLOOKUP(L18,$B$103:$I$214,2,0))</f>
        <v/>
      </c>
      <c r="N18" s="1913" t="str">
        <f ca="1">IF(L18="","",VLOOKUP(L18,$B$103:$I$214,3,0))</f>
        <v/>
      </c>
      <c r="O18" s="1913" t="str">
        <f ca="1">IF(L18="","",VLOOKUP(L18,$B$103:$I$214,6,0))</f>
        <v/>
      </c>
      <c r="P18" s="1914" t="str">
        <f ca="1">IF(L18="","",VLOOKUP(L18,$B$103:$I$214,8,0))</f>
        <v/>
      </c>
    </row>
    <row r="19" spans="2:16" ht="12" customHeight="1">
      <c r="B19">
        <v>16</v>
      </c>
      <c r="C19" t="s">
        <v>8909</v>
      </c>
      <c r="D19" t="s">
        <v>8866</v>
      </c>
      <c r="E19" t="s">
        <v>8880</v>
      </c>
      <c r="F19"/>
      <c r="G19" t="s">
        <v>8910</v>
      </c>
      <c r="H19"/>
      <c r="I19" t="s">
        <v>8868</v>
      </c>
      <c r="K19" s="1911" t="s">
        <v>8882</v>
      </c>
      <c r="L19" s="1913" t="str">
        <f ca="1">IF($N$4&gt;=3,RANDBETWEEN(1,112),"")</f>
        <v/>
      </c>
      <c r="M19" s="1913" t="str">
        <f ca="1">IF(L19="","",VLOOKUP(L19,$B$103:$I$214,2,0))</f>
        <v/>
      </c>
      <c r="N19" s="1913" t="str">
        <f ca="1">IF(L19="","",VLOOKUP(L19,$B$103:$I$214,3,0))</f>
        <v/>
      </c>
      <c r="O19" s="1913" t="str">
        <f ca="1">IF(L19="","",VLOOKUP(L19,$B$103:$I$214,6,0))</f>
        <v/>
      </c>
      <c r="P19" s="1914" t="str">
        <f ca="1">IF(L19="","",VLOOKUP(L19,$B$103:$I$214,8,0))</f>
        <v/>
      </c>
    </row>
    <row r="20" spans="2:16" ht="12" customHeight="1">
      <c r="B20">
        <v>17</v>
      </c>
      <c r="C20" t="s">
        <v>8911</v>
      </c>
      <c r="D20" t="s">
        <v>8866</v>
      </c>
      <c r="E20" t="s">
        <v>8880</v>
      </c>
      <c r="F20"/>
      <c r="G20" t="s">
        <v>8912</v>
      </c>
      <c r="H20"/>
      <c r="I20" t="s">
        <v>8913</v>
      </c>
      <c r="K20" s="1911" t="s">
        <v>8885</v>
      </c>
      <c r="L20" s="1913" t="str">
        <f ca="1">IF($N$4&gt;=4,RANDBETWEEN(1,112),"")</f>
        <v/>
      </c>
      <c r="M20" s="1913" t="str">
        <f ca="1">IF(L20="","",VLOOKUP(L20,$B$103:$I$214,2,0))</f>
        <v/>
      </c>
      <c r="N20" s="1913" t="str">
        <f ca="1">IF(L20="","",VLOOKUP(L20,$B$103:$I$214,3,0))</f>
        <v/>
      </c>
      <c r="O20" s="1913" t="str">
        <f ca="1">IF(L20="","",VLOOKUP(L20,$B$103:$I$214,6,0))</f>
        <v/>
      </c>
      <c r="P20" s="1914" t="str">
        <f ca="1">IF(L20="","",VLOOKUP(L20,$B$103:$I$214,8,0))</f>
        <v/>
      </c>
    </row>
    <row r="21" spans="2:16" ht="12" customHeight="1" thickBot="1">
      <c r="B21">
        <v>18</v>
      </c>
      <c r="C21" t="s">
        <v>8914</v>
      </c>
      <c r="D21" t="s">
        <v>8866</v>
      </c>
      <c r="E21" t="s">
        <v>8880</v>
      </c>
      <c r="F21"/>
      <c r="G21" t="str">
        <f ca="1">CONCATENATE(VLOOKUP(M35,K36:L45,2,0)," Reistance - 1 hr.")</f>
        <v>Poison Reistance - 1 hr.</v>
      </c>
      <c r="H21"/>
      <c r="I21" t="s">
        <v>8913</v>
      </c>
      <c r="K21" s="1915" t="s">
        <v>8888</v>
      </c>
      <c r="L21" s="1916" t="str">
        <f ca="1">IF($N$4=5,RANDBETWEEN(1,112),"")</f>
        <v/>
      </c>
      <c r="M21" s="1916" t="str">
        <f ca="1">IF(L21="","",VLOOKUP(L21,$B$103:$I$214,2,0))</f>
        <v/>
      </c>
      <c r="N21" s="1916" t="str">
        <f ca="1">IF(L21="","",VLOOKUP(L21,$B$103:$I$214,3,0))</f>
        <v/>
      </c>
      <c r="O21" s="1916" t="str">
        <f ca="1">IF(L21="","",VLOOKUP(L21,$B$103:$I$214,6,0))</f>
        <v/>
      </c>
      <c r="P21" s="1917" t="str">
        <f ca="1">IF(L21="","",VLOOKUP(L21,$B$103:$I$214,8,0))</f>
        <v/>
      </c>
    </row>
    <row r="22" spans="2:16" ht="12" customHeight="1">
      <c r="B22">
        <v>19</v>
      </c>
      <c r="C22" t="s">
        <v>8915</v>
      </c>
      <c r="D22" t="s">
        <v>8866</v>
      </c>
      <c r="E22" t="s">
        <v>8880</v>
      </c>
      <c r="F22"/>
      <c r="G22" t="s">
        <v>8916</v>
      </c>
      <c r="H22"/>
      <c r="I22" t="s">
        <v>8913</v>
      </c>
      <c r="K22" s="272"/>
      <c r="L22" s="543"/>
      <c r="M22" s="543"/>
      <c r="N22" s="543"/>
      <c r="O22" s="543"/>
      <c r="P22" s="543"/>
    </row>
    <row r="23" spans="2:16" ht="12" customHeight="1" thickBot="1">
      <c r="B23">
        <v>20</v>
      </c>
      <c r="C23" t="s">
        <v>8917</v>
      </c>
      <c r="D23" t="s">
        <v>8918</v>
      </c>
      <c r="E23" t="s">
        <v>8880</v>
      </c>
      <c r="F23" t="s">
        <v>8919</v>
      </c>
      <c r="G23" t="s">
        <v>8920</v>
      </c>
      <c r="H23"/>
      <c r="I23" t="s">
        <v>8921</v>
      </c>
      <c r="K23" s="272"/>
      <c r="L23" s="543"/>
      <c r="M23" s="543"/>
      <c r="N23" s="543"/>
      <c r="O23" s="543"/>
      <c r="P23" s="543"/>
    </row>
    <row r="24" spans="2:16" ht="12" customHeight="1" thickBot="1">
      <c r="B24">
        <v>21</v>
      </c>
      <c r="C24" t="s">
        <v>8922</v>
      </c>
      <c r="D24" t="s">
        <v>8918</v>
      </c>
      <c r="E24" t="s">
        <v>8880</v>
      </c>
      <c r="F24" t="s">
        <v>8919</v>
      </c>
      <c r="G24" t="s">
        <v>8923</v>
      </c>
      <c r="H24"/>
      <c r="I24" t="s">
        <v>8921</v>
      </c>
      <c r="K24" s="3269" t="s">
        <v>8924</v>
      </c>
      <c r="L24" s="3272"/>
      <c r="M24" s="3272"/>
      <c r="N24" s="3272"/>
      <c r="O24" s="3272"/>
      <c r="P24" s="3273"/>
    </row>
    <row r="25" spans="2:16" ht="12" customHeight="1" thickBot="1">
      <c r="B25">
        <v>22</v>
      </c>
      <c r="C25" t="s">
        <v>8925</v>
      </c>
      <c r="D25" t="s">
        <v>8918</v>
      </c>
      <c r="E25" t="s">
        <v>8880</v>
      </c>
      <c r="F25"/>
      <c r="G25" t="s">
        <v>8926</v>
      </c>
      <c r="H25"/>
      <c r="I25" t="s">
        <v>8927</v>
      </c>
      <c r="K25" s="1911"/>
      <c r="L25" s="1912"/>
      <c r="M25" s="1244" t="s">
        <v>7805</v>
      </c>
      <c r="N25" s="1244" t="s">
        <v>1406</v>
      </c>
      <c r="O25" s="1244" t="s">
        <v>8871</v>
      </c>
      <c r="P25" s="1244" t="s">
        <v>8872</v>
      </c>
    </row>
    <row r="26" spans="2:16" ht="12" customHeight="1">
      <c r="B26">
        <v>23</v>
      </c>
      <c r="C26" t="s">
        <v>8928</v>
      </c>
      <c r="D26" t="s">
        <v>8918</v>
      </c>
      <c r="E26" t="s">
        <v>8880</v>
      </c>
      <c r="F26" t="s">
        <v>8919</v>
      </c>
      <c r="G26" t="s">
        <v>8929</v>
      </c>
      <c r="H26"/>
      <c r="I26" t="s">
        <v>8927</v>
      </c>
      <c r="K26" s="1911" t="s">
        <v>8876</v>
      </c>
      <c r="L26" s="1913" t="str">
        <f ca="1">IF($O$4&gt;=1,RANDBETWEEN(1,75),"")</f>
        <v/>
      </c>
      <c r="M26" s="1913" t="str">
        <f ca="1">IF(L26="","",VLOOKUP($L$26,$B$215:$I$289,2,0))</f>
        <v/>
      </c>
      <c r="N26" s="1913" t="str">
        <f ca="1">IF(L26="","",VLOOKUP($L$26,$B$215:$I$289,3,0))</f>
        <v/>
      </c>
      <c r="O26" s="1913" t="str">
        <f ca="1">IF(N26="","",VLOOKUP($L$26,$B$215:$I$289,6,0))</f>
        <v/>
      </c>
      <c r="P26" s="1918" t="str">
        <f ca="1">IF(O26="","",VLOOKUP($L$26,$B$215:$I$289,8,0))</f>
        <v/>
      </c>
    </row>
    <row r="27" spans="2:16" ht="12" customHeight="1">
      <c r="B27">
        <v>24</v>
      </c>
      <c r="C27" t="s">
        <v>8930</v>
      </c>
      <c r="D27" t="s">
        <v>8918</v>
      </c>
      <c r="E27" t="s">
        <v>8880</v>
      </c>
      <c r="F27"/>
      <c r="G27" t="s">
        <v>8931</v>
      </c>
      <c r="H27"/>
      <c r="I27" t="s">
        <v>8927</v>
      </c>
      <c r="K27" s="1911" t="s">
        <v>8878</v>
      </c>
      <c r="L27" s="1913" t="str">
        <f ca="1">IF($O$4&gt;=2,RANDBETWEEN(1,75),"")</f>
        <v/>
      </c>
      <c r="M27" s="1913" t="str">
        <f ca="1">IF(L27="","",VLOOKUP($L$27,$B$215:$I$289,2,0))</f>
        <v/>
      </c>
      <c r="N27" s="1913" t="str">
        <f ca="1">IF(L27="","",VLOOKUP($L$27,$B$215:$I$289,3,0))</f>
        <v/>
      </c>
      <c r="O27" s="1913" t="str">
        <f ca="1">IF(N27="","",VLOOKUP($L$27,$B$215:$I$289,6,0))</f>
        <v/>
      </c>
      <c r="P27" s="1914" t="str">
        <f ca="1">IF(O27="","",VLOOKUP($L$27,$B$215:$I$289,8,0))</f>
        <v/>
      </c>
    </row>
    <row r="28" spans="2:16" ht="12" customHeight="1" thickBot="1">
      <c r="B28">
        <v>25</v>
      </c>
      <c r="C28" t="s">
        <v>8932</v>
      </c>
      <c r="D28" t="s">
        <v>7838</v>
      </c>
      <c r="E28" t="s">
        <v>8880</v>
      </c>
      <c r="F28"/>
      <c r="G28" t="s">
        <v>8933</v>
      </c>
      <c r="H28"/>
      <c r="I28" t="s">
        <v>8934</v>
      </c>
      <c r="K28" s="1919" t="s">
        <v>8882</v>
      </c>
      <c r="L28" s="1913" t="str">
        <f ca="1">IF($O$4=3,RANDBETWEEN(1,75),"")</f>
        <v/>
      </c>
      <c r="M28" s="1913" t="str">
        <f ca="1">IF(L28="","",VLOOKUP($L$28,$B$215:$I$289,2,0))</f>
        <v/>
      </c>
      <c r="N28" s="1913" t="str">
        <f ca="1">IF(L28="","",VLOOKUP($L$28,$B$215:$I$289,3,0))</f>
        <v/>
      </c>
      <c r="O28" s="1913" t="str">
        <f ca="1">IF(N28="","",VLOOKUP($L$28,$B$215:$I$289,2,0))</f>
        <v/>
      </c>
      <c r="P28" s="1917" t="str">
        <f ca="1">IF(O28="","",VLOOKUP($L$28,$B$215:$I$289,8,0))</f>
        <v/>
      </c>
    </row>
    <row r="29" spans="2:16" ht="12" customHeight="1">
      <c r="B29">
        <v>26</v>
      </c>
      <c r="C29" t="s">
        <v>8935</v>
      </c>
      <c r="D29" t="s">
        <v>7838</v>
      </c>
      <c r="E29" t="s">
        <v>8880</v>
      </c>
      <c r="F29" t="s">
        <v>8919</v>
      </c>
      <c r="G29" t="s">
        <v>8936</v>
      </c>
      <c r="H29"/>
      <c r="I29" t="s">
        <v>8937</v>
      </c>
      <c r="K29" s="447"/>
      <c r="L29" s="1920"/>
      <c r="M29" s="1920"/>
      <c r="N29" s="1920"/>
      <c r="O29" s="1920"/>
      <c r="P29" s="1920"/>
    </row>
    <row r="30" spans="2:16" ht="12" customHeight="1" thickBot="1">
      <c r="B30">
        <v>27</v>
      </c>
      <c r="C30" t="s">
        <v>8938</v>
      </c>
      <c r="D30" t="s">
        <v>8874</v>
      </c>
      <c r="E30" t="s">
        <v>8880</v>
      </c>
      <c r="F30"/>
      <c r="G30" t="e">
        <f ca="1">IF([1]MATH!C8=1,VLOOKUP(RANDBETWEEN(1,17),[1]SPELLBOOK!V52:Y68,4,0),IF([1]MATH!C8=2,VLOOKUP(RANDBETWEEN(1,34),[1]SPELLBOOK!V146:Y176,4,0),IF([1]MATH!C8=3,VLOOKUP(RANDBETWEEN(1,34),[1]SPELLBOOK!#REF!,4,0),IF([1]MATH!C8=4,VLOOKUP(RANDBETWEEN(1,34),[1]SPELLBOOK!P267:S300,4,0),IF([1]MATH!C8=6,VLOOKUP(RANDBETWEEN(1,22),[1]SPELLBOOK!P19:S40,4,0),IF([1]MATH!C8=7,VLOOKUP(RANDBETWEEN(1,18),[1]SPELLBOOK!V106:Y123,4,0),IF([1]MATH!C8=9,VLOOKUP(RANDBETWEEN(1,8),[1]SPELLBOOK!N130:Q137,4,0),IF([1]MATH!C8=10,VLOOKUP(RANDBETWEEN(1,13),[1]SPELLBOOK!#REF!,4,0),IF([1]MATH!C8=11,VLOOKUP(RANDBETWEEN(1,24),[1]SPELLBOOK!P223:S240,4,0),IF([1]MATH!C8=12,VLOOKUP(RANDBETWEEN(1,12),[1]SPELLBOOK!J246:L257,4,0),""))))))))))</f>
        <v>#N/A</v>
      </c>
      <c r="H30"/>
      <c r="I30" t="s">
        <v>8875</v>
      </c>
      <c r="K30" s="272"/>
      <c r="L30" s="543"/>
      <c r="M30" s="543"/>
      <c r="N30" s="543"/>
      <c r="O30" s="543"/>
      <c r="P30" s="543"/>
    </row>
    <row r="31" spans="2:16" ht="12" customHeight="1" thickBot="1">
      <c r="B31">
        <v>28</v>
      </c>
      <c r="C31" t="s">
        <v>8939</v>
      </c>
      <c r="D31" t="s">
        <v>8874</v>
      </c>
      <c r="E31" t="s">
        <v>8880</v>
      </c>
      <c r="F31"/>
      <c r="G31" t="e">
        <f ca="1">IF([1]MATH!C8=1,VLOOKUP(RANDBETWEEN(1,20),[1]SPELLBOOK!AD50:AG69,4,0),IF([1]MATH!C8=2,VLOOKUP(RANDBETWEEN(1,29),[1]SPELLBOOK!AD146:AG171,4,0),IF([1]MATH!C8=3,VLOOKUP(RANDBETWEEN(1,29),[1]SPELLBOOK!#REF!,4,0),IF([1]MATH!C8=4,VLOOKUP(RANDBETWEEN(1,29),[1]SPELLBOOK!X267:AA295,4,0),IF([1]MATH!C8=6,VLOOKUP(RANDBETWEEN(1,16),[1]SPELLBOOK!X19:AA34,4,0),IF([1]MATH!C8=7,VLOOKUP(RANDBETWEEN(1,13),[1]SPELLBOOK!AD106:AG118,4,0),IF([1]MATH!C8=9,VLOOKUP(RANDBETWEEN(1,10),[1]SPELLBOOK!V130:Y139,4,0),IF([1]MATH!C8=10,VLOOKUP(RANDBETWEEN(1,11),[1]SPELLBOOK!#REF!,4,0),IF([1]MATH!C8=11,VLOOKUP(RANDBETWEEN(1,20),[1]SPELLBOOK!X223:AA240,4,0),IF([1]MATH!C8=12,VLOOKUP(RANDBETWEEN(1,12),[1]SPELLBOOK!O246:Q257,4,0),""))))))))))</f>
        <v>#N/A</v>
      </c>
      <c r="H31"/>
      <c r="I31" t="s">
        <v>8875</v>
      </c>
      <c r="K31" s="3269" t="s">
        <v>8940</v>
      </c>
      <c r="L31" s="3272"/>
      <c r="M31" s="3272"/>
      <c r="N31" s="3272"/>
      <c r="O31" s="3272"/>
      <c r="P31" s="3273"/>
    </row>
    <row r="32" spans="2:16" ht="12" customHeight="1" thickBot="1">
      <c r="B32">
        <v>29</v>
      </c>
      <c r="C32" t="s">
        <v>8941</v>
      </c>
      <c r="D32" t="s">
        <v>7840</v>
      </c>
      <c r="E32" t="s">
        <v>8880</v>
      </c>
      <c r="F32" t="s">
        <v>8919</v>
      </c>
      <c r="G32" t="str">
        <f>CONCATENATE("Cleric, Druid, or Wizard"," +",[1]MATH!C46," Attack - (1d6 - DC15 - 3d6 posion)")</f>
        <v>Cleric, Druid, or Wizard +3 Attack - (1d6 - DC15 - 3d6 posion)</v>
      </c>
      <c r="H32"/>
      <c r="I32" t="s">
        <v>8942</v>
      </c>
      <c r="K32" s="1911"/>
      <c r="L32" s="1912"/>
      <c r="M32" s="1244" t="s">
        <v>7805</v>
      </c>
      <c r="N32" s="1244" t="s">
        <v>1406</v>
      </c>
      <c r="O32" s="1244" t="s">
        <v>8871</v>
      </c>
      <c r="P32" s="1244" t="s">
        <v>8872</v>
      </c>
    </row>
    <row r="33" spans="2:16" ht="12" customHeight="1" thickBot="1">
      <c r="B33">
        <v>30</v>
      </c>
      <c r="C33" t="s">
        <v>8943</v>
      </c>
      <c r="D33" t="s">
        <v>7840</v>
      </c>
      <c r="E33" t="s">
        <v>8880</v>
      </c>
      <c r="F33" t="s">
        <v>8919</v>
      </c>
      <c r="G33" t="s">
        <v>8944</v>
      </c>
      <c r="H33"/>
      <c r="I33" t="s">
        <v>8945</v>
      </c>
      <c r="K33" s="1915" t="s">
        <v>8876</v>
      </c>
      <c r="L33" s="1916" t="str">
        <f ca="1">IF($P$4=1,RANDBETWEEN(1,45),"")</f>
        <v/>
      </c>
      <c r="M33" s="1916" t="str">
        <f ca="1">IF($L$33="","",VLOOKUP($L$33,$B$290:$I$334,2,0))</f>
        <v/>
      </c>
      <c r="N33" s="1916" t="str">
        <f ca="1">IF($L$33="","",VLOOKUP($L$33,$B$290:$I$334,3,0))</f>
        <v/>
      </c>
      <c r="O33" s="1916" t="str">
        <f ca="1">IF($L$33="","",VLOOKUP($L$33,$B$290:$I$334,6,0))</f>
        <v/>
      </c>
      <c r="P33" s="1921" t="str">
        <f ca="1">IF($L$33="","",VLOOKUP($L$33,$B$290:$I$334,8,0))</f>
        <v/>
      </c>
    </row>
    <row r="34" spans="2:16" ht="12" customHeight="1">
      <c r="B34">
        <v>31</v>
      </c>
      <c r="C34" t="s">
        <v>8946</v>
      </c>
      <c r="D34" t="s">
        <v>7842</v>
      </c>
      <c r="E34" t="s">
        <v>8880</v>
      </c>
      <c r="F34"/>
      <c r="G34" t="s">
        <v>8947</v>
      </c>
      <c r="H34"/>
      <c r="I34" t="s">
        <v>8948</v>
      </c>
    </row>
    <row r="35" spans="2:16" ht="12" customHeight="1">
      <c r="B35">
        <v>32</v>
      </c>
      <c r="C35" t="s">
        <v>8949</v>
      </c>
      <c r="D35" t="s">
        <v>7842</v>
      </c>
      <c r="E35" t="s">
        <v>8880</v>
      </c>
      <c r="F35"/>
      <c r="G35" t="s">
        <v>8950</v>
      </c>
      <c r="H35"/>
      <c r="I35" t="s">
        <v>8948</v>
      </c>
      <c r="K35" s="32" t="s">
        <v>1725</v>
      </c>
      <c r="L35" t="s">
        <v>8951</v>
      </c>
      <c r="M35" s="1522">
        <f ca="1">RANDBETWEEN(1,10)</f>
        <v>7</v>
      </c>
    </row>
    <row r="36" spans="2:16" ht="12" customHeight="1">
      <c r="B36">
        <v>33</v>
      </c>
      <c r="C36" t="s">
        <v>8952</v>
      </c>
      <c r="D36" t="s">
        <v>7842</v>
      </c>
      <c r="E36" t="s">
        <v>8880</v>
      </c>
      <c r="F36"/>
      <c r="G36" t="s">
        <v>8953</v>
      </c>
      <c r="H36"/>
      <c r="I36" t="s">
        <v>8948</v>
      </c>
      <c r="K36">
        <v>1</v>
      </c>
      <c r="L36" t="s">
        <v>8954</v>
      </c>
    </row>
    <row r="37" spans="2:16" ht="12" customHeight="1">
      <c r="B37">
        <v>34</v>
      </c>
      <c r="C37" t="s">
        <v>8955</v>
      </c>
      <c r="D37" t="s">
        <v>7842</v>
      </c>
      <c r="E37" t="s">
        <v>8880</v>
      </c>
      <c r="F37" t="s">
        <v>8919</v>
      </c>
      <c r="G37" t="s">
        <v>8956</v>
      </c>
      <c r="H37"/>
      <c r="I37" t="s">
        <v>8957</v>
      </c>
      <c r="K37">
        <v>2</v>
      </c>
      <c r="L37" t="s">
        <v>8958</v>
      </c>
    </row>
    <row r="38" spans="2:16" ht="12" customHeight="1">
      <c r="B38">
        <v>35</v>
      </c>
      <c r="C38" t="s">
        <v>8959</v>
      </c>
      <c r="D38" t="s">
        <v>7842</v>
      </c>
      <c r="E38" t="s">
        <v>8880</v>
      </c>
      <c r="F38" t="s">
        <v>8919</v>
      </c>
      <c r="G38" t="s">
        <v>8960</v>
      </c>
      <c r="H38"/>
      <c r="I38" t="s">
        <v>8957</v>
      </c>
      <c r="K38">
        <v>3</v>
      </c>
      <c r="L38" t="s">
        <v>8961</v>
      </c>
    </row>
    <row r="39" spans="2:16" ht="12" customHeight="1">
      <c r="B39">
        <v>36</v>
      </c>
      <c r="C39" t="str">
        <f>CONCATENATE([1]MATH!C61," +1 ammo - 10 pieces")</f>
        <v>Lgt. X-bow +1 ammo - 10 pieces</v>
      </c>
      <c r="D39" t="s">
        <v>1980</v>
      </c>
      <c r="E39" t="s">
        <v>8880</v>
      </c>
      <c r="F39"/>
      <c r="G39" t="s">
        <v>8962</v>
      </c>
      <c r="H39"/>
      <c r="I39" t="s">
        <v>8881</v>
      </c>
      <c r="K39">
        <v>4</v>
      </c>
      <c r="L39" t="s">
        <v>8963</v>
      </c>
    </row>
    <row r="40" spans="2:16" ht="12" customHeight="1">
      <c r="B40">
        <v>37</v>
      </c>
      <c r="C40" t="s">
        <v>8964</v>
      </c>
      <c r="D40" t="s">
        <v>1980</v>
      </c>
      <c r="E40" t="s">
        <v>8880</v>
      </c>
      <c r="F40"/>
      <c r="G40" t="s">
        <v>8965</v>
      </c>
      <c r="H40"/>
      <c r="I40" t="s">
        <v>8966</v>
      </c>
      <c r="K40">
        <v>5</v>
      </c>
      <c r="L40" t="s">
        <v>8967</v>
      </c>
    </row>
    <row r="41" spans="2:16" ht="12" customHeight="1">
      <c r="B41">
        <v>38</v>
      </c>
      <c r="C41" t="s">
        <v>8968</v>
      </c>
      <c r="D41" t="s">
        <v>1980</v>
      </c>
      <c r="E41" t="s">
        <v>8880</v>
      </c>
      <c r="F41" t="s">
        <v>8919</v>
      </c>
      <c r="G41" t="str">
        <f ca="1">CONCATENATE("Cursed ",VLOOKUP(M47,K48:L52,2,0)," +1 hit/dam.  - see DMG")</f>
        <v>Cursed Shortsword +1 hit/dam.  - see DMG</v>
      </c>
      <c r="H41"/>
      <c r="I41" t="s">
        <v>8969</v>
      </c>
      <c r="K41">
        <v>6</v>
      </c>
      <c r="L41" t="s">
        <v>8970</v>
      </c>
    </row>
    <row r="42" spans="2:16" ht="12" customHeight="1">
      <c r="B42">
        <v>39</v>
      </c>
      <c r="C42" t="s">
        <v>8971</v>
      </c>
      <c r="D42" t="s">
        <v>1980</v>
      </c>
      <c r="E42" t="s">
        <v>8880</v>
      </c>
      <c r="F42" t="s">
        <v>8919</v>
      </c>
      <c r="G42" t="s">
        <v>8972</v>
      </c>
      <c r="H42"/>
      <c r="I42" t="s">
        <v>8973</v>
      </c>
      <c r="K42">
        <v>7</v>
      </c>
      <c r="L42" t="s">
        <v>8974</v>
      </c>
    </row>
    <row r="43" spans="2:16" ht="12" customHeight="1">
      <c r="B43">
        <v>40</v>
      </c>
      <c r="C43" t="s">
        <v>8975</v>
      </c>
      <c r="D43" t="s">
        <v>1980</v>
      </c>
      <c r="E43" t="s">
        <v>8880</v>
      </c>
      <c r="F43" t="s">
        <v>8919</v>
      </c>
      <c r="G43" t="s">
        <v>8976</v>
      </c>
      <c r="H43"/>
      <c r="I43" t="s">
        <v>8977</v>
      </c>
      <c r="K43">
        <v>8</v>
      </c>
      <c r="L43" t="s">
        <v>8978</v>
      </c>
    </row>
    <row r="44" spans="2:16" ht="12" customHeight="1">
      <c r="B44">
        <v>41</v>
      </c>
      <c r="C44" t="str">
        <f>CONCATENATE([1]MATH!C55," +1")</f>
        <v>Quarterstaff +1</v>
      </c>
      <c r="D44" t="s">
        <v>1980</v>
      </c>
      <c r="E44" t="s">
        <v>8880</v>
      </c>
      <c r="F44"/>
      <c r="G44" t="s">
        <v>7360</v>
      </c>
      <c r="H44"/>
      <c r="I44" t="s">
        <v>8977</v>
      </c>
      <c r="K44">
        <v>9</v>
      </c>
      <c r="L44" t="s">
        <v>8979</v>
      </c>
    </row>
    <row r="45" spans="2:16" ht="12" customHeight="1">
      <c r="B45">
        <v>42</v>
      </c>
      <c r="C45" t="s">
        <v>8980</v>
      </c>
      <c r="D45" t="s">
        <v>8981</v>
      </c>
      <c r="E45" t="s">
        <v>8880</v>
      </c>
      <c r="F45"/>
      <c r="G45" t="s">
        <v>8982</v>
      </c>
      <c r="H45"/>
      <c r="I45" t="s">
        <v>8881</v>
      </c>
      <c r="K45">
        <v>10</v>
      </c>
      <c r="L45" t="s">
        <v>8983</v>
      </c>
    </row>
    <row r="46" spans="2:16" ht="12" customHeight="1">
      <c r="B46">
        <v>43</v>
      </c>
      <c r="C46" t="s">
        <v>8984</v>
      </c>
      <c r="D46" t="s">
        <v>8981</v>
      </c>
      <c r="E46" t="s">
        <v>8880</v>
      </c>
      <c r="F46" t="s">
        <v>8919</v>
      </c>
      <c r="G46" t="s">
        <v>8985</v>
      </c>
      <c r="H46"/>
      <c r="I46" t="s">
        <v>8881</v>
      </c>
    </row>
    <row r="47" spans="2:16" ht="12" customHeight="1">
      <c r="B47">
        <v>44</v>
      </c>
      <c r="C47" t="s">
        <v>8986</v>
      </c>
      <c r="D47" t="s">
        <v>8981</v>
      </c>
      <c r="E47" t="s">
        <v>8880</v>
      </c>
      <c r="F47"/>
      <c r="G47" t="s">
        <v>8987</v>
      </c>
      <c r="H47"/>
      <c r="I47" t="s">
        <v>8988</v>
      </c>
      <c r="K47" s="3264" t="s">
        <v>8989</v>
      </c>
      <c r="L47" s="3265"/>
      <c r="M47" s="1522">
        <f ca="1">RANDBETWEEN(1,5)</f>
        <v>2</v>
      </c>
    </row>
    <row r="48" spans="2:16" ht="12" customHeight="1">
      <c r="B48">
        <v>45</v>
      </c>
      <c r="C48" t="s">
        <v>8990</v>
      </c>
      <c r="D48" t="s">
        <v>8981</v>
      </c>
      <c r="E48" t="s">
        <v>8880</v>
      </c>
      <c r="F48"/>
      <c r="G48" t="str">
        <f ca="1">CONCATENATE("Empty ",VLOOKUP(M54,K56:L58,2,0),"  -  Friendly Animal - 3/day")</f>
        <v>Empty Gray Bag  -  Friendly Animal - 3/day</v>
      </c>
      <c r="H48"/>
      <c r="I48" t="s">
        <v>8991</v>
      </c>
      <c r="K48" s="1922">
        <v>1</v>
      </c>
      <c r="L48" s="1923" t="s">
        <v>2727</v>
      </c>
    </row>
    <row r="49" spans="2:16" ht="12" customHeight="1">
      <c r="B49">
        <v>46</v>
      </c>
      <c r="C49" t="s">
        <v>8992</v>
      </c>
      <c r="D49" t="s">
        <v>8981</v>
      </c>
      <c r="E49" t="s">
        <v>8880</v>
      </c>
      <c r="F49"/>
      <c r="G49" t="s">
        <v>8993</v>
      </c>
      <c r="H49"/>
      <c r="I49" t="s">
        <v>8994</v>
      </c>
      <c r="K49" s="1924">
        <v>2</v>
      </c>
      <c r="L49" s="1925" t="s">
        <v>2898</v>
      </c>
      <c r="M49" s="543"/>
      <c r="N49" s="543"/>
      <c r="O49" s="543"/>
      <c r="P49" s="543"/>
    </row>
    <row r="50" spans="2:16" ht="12" customHeight="1">
      <c r="B50">
        <v>47</v>
      </c>
      <c r="C50" t="s">
        <v>8995</v>
      </c>
      <c r="D50" t="s">
        <v>8981</v>
      </c>
      <c r="E50" t="s">
        <v>8880</v>
      </c>
      <c r="F50" t="s">
        <v>8919</v>
      </c>
      <c r="G50" t="s">
        <v>8996</v>
      </c>
      <c r="H50"/>
      <c r="I50" t="s">
        <v>8997</v>
      </c>
      <c r="K50" s="1924">
        <v>3</v>
      </c>
      <c r="L50" s="1925" t="s">
        <v>3143</v>
      </c>
      <c r="M50" s="543"/>
      <c r="N50" s="543"/>
      <c r="O50" s="543"/>
      <c r="P50" s="543"/>
    </row>
    <row r="51" spans="2:16" ht="12" customHeight="1">
      <c r="B51">
        <v>48</v>
      </c>
      <c r="C51" t="s">
        <v>8998</v>
      </c>
      <c r="D51" t="s">
        <v>8981</v>
      </c>
      <c r="E51" t="s">
        <v>8880</v>
      </c>
      <c r="F51" t="s">
        <v>8919</v>
      </c>
      <c r="G51" t="s">
        <v>8999</v>
      </c>
      <c r="H51"/>
      <c r="I51" t="s">
        <v>8997</v>
      </c>
      <c r="K51" s="1924">
        <v>4</v>
      </c>
      <c r="L51" s="1926" t="s">
        <v>9000</v>
      </c>
    </row>
    <row r="52" spans="2:16" ht="12" customHeight="1">
      <c r="B52">
        <v>49</v>
      </c>
      <c r="C52" t="s">
        <v>9001</v>
      </c>
      <c r="D52" t="s">
        <v>8981</v>
      </c>
      <c r="E52" t="s">
        <v>8880</v>
      </c>
      <c r="F52" t="s">
        <v>8919</v>
      </c>
      <c r="G52" t="s">
        <v>9002</v>
      </c>
      <c r="H52"/>
      <c r="I52" t="s">
        <v>8997</v>
      </c>
      <c r="K52" s="1924">
        <v>5</v>
      </c>
      <c r="L52" s="1926" t="s">
        <v>3784</v>
      </c>
    </row>
    <row r="53" spans="2:16" ht="12" customHeight="1">
      <c r="B53">
        <v>50</v>
      </c>
      <c r="C53" t="s">
        <v>9003</v>
      </c>
      <c r="D53" t="s">
        <v>8981</v>
      </c>
      <c r="E53" t="s">
        <v>8880</v>
      </c>
      <c r="F53" t="s">
        <v>8919</v>
      </c>
      <c r="G53" t="s">
        <v>9004</v>
      </c>
      <c r="H53"/>
      <c r="I53" t="s">
        <v>8997</v>
      </c>
      <c r="K53" s="1929"/>
      <c r="L53" s="1930"/>
      <c r="N53" s="1522"/>
    </row>
    <row r="54" spans="2:16" ht="12" customHeight="1">
      <c r="B54">
        <v>51</v>
      </c>
      <c r="C54" t="s">
        <v>9005</v>
      </c>
      <c r="D54" t="s">
        <v>8981</v>
      </c>
      <c r="E54" t="s">
        <v>8880</v>
      </c>
      <c r="F54"/>
      <c r="G54" t="s">
        <v>9006</v>
      </c>
      <c r="H54"/>
      <c r="I54" t="s">
        <v>8997</v>
      </c>
      <c r="K54" s="3264" t="s">
        <v>8990</v>
      </c>
      <c r="L54" s="3265"/>
      <c r="M54" s="1522">
        <f ca="1">RANDBETWEEN(1,3)</f>
        <v>1</v>
      </c>
      <c r="N54" s="1522"/>
    </row>
    <row r="55" spans="2:16" ht="12" customHeight="1">
      <c r="B55">
        <v>52</v>
      </c>
      <c r="C55" t="s">
        <v>9007</v>
      </c>
      <c r="D55" t="s">
        <v>8981</v>
      </c>
      <c r="E55" t="s">
        <v>8880</v>
      </c>
      <c r="F55"/>
      <c r="G55" t="s">
        <v>9008</v>
      </c>
      <c r="H55"/>
      <c r="I55" t="s">
        <v>9009</v>
      </c>
      <c r="K55" s="3264" t="s">
        <v>9010</v>
      </c>
      <c r="L55" s="3265"/>
      <c r="M55" s="1931"/>
      <c r="N55" s="1224"/>
      <c r="P55" s="918"/>
    </row>
    <row r="56" spans="2:16" ht="12" customHeight="1">
      <c r="B56">
        <v>53</v>
      </c>
      <c r="C56" t="s">
        <v>9011</v>
      </c>
      <c r="D56" t="s">
        <v>8981</v>
      </c>
      <c r="E56" t="s">
        <v>8880</v>
      </c>
      <c r="F56"/>
      <c r="G56" t="s">
        <v>9012</v>
      </c>
      <c r="H56"/>
      <c r="I56" t="s">
        <v>9013</v>
      </c>
      <c r="K56" s="1924">
        <v>1</v>
      </c>
      <c r="L56" s="1925" t="s">
        <v>9010</v>
      </c>
      <c r="M56" s="1932"/>
      <c r="N56" s="1693"/>
      <c r="O56" s="543"/>
    </row>
    <row r="57" spans="2:16" ht="12" customHeight="1">
      <c r="B57">
        <v>54</v>
      </c>
      <c r="C57" t="s">
        <v>9014</v>
      </c>
      <c r="D57" t="s">
        <v>8981</v>
      </c>
      <c r="E57" t="s">
        <v>8880</v>
      </c>
      <c r="F57" t="s">
        <v>8919</v>
      </c>
      <c r="G57" t="s">
        <v>9015</v>
      </c>
      <c r="H57"/>
      <c r="I57" t="s">
        <v>9013</v>
      </c>
      <c r="K57" s="1924">
        <v>2</v>
      </c>
      <c r="L57" s="1925" t="s">
        <v>9016</v>
      </c>
      <c r="M57" s="1932"/>
      <c r="N57" s="1693"/>
      <c r="O57" s="543"/>
    </row>
    <row r="58" spans="2:16" ht="12" customHeight="1">
      <c r="B58">
        <v>55</v>
      </c>
      <c r="C58" t="s">
        <v>9017</v>
      </c>
      <c r="D58" t="s">
        <v>8981</v>
      </c>
      <c r="E58" t="s">
        <v>8880</v>
      </c>
      <c r="F58" t="s">
        <v>8919</v>
      </c>
      <c r="G58" t="s">
        <v>9018</v>
      </c>
      <c r="H58">
        <v>1</v>
      </c>
      <c r="I58" t="s">
        <v>9019</v>
      </c>
      <c r="K58" s="1924">
        <v>3</v>
      </c>
      <c r="L58" s="1926" t="s">
        <v>9020</v>
      </c>
      <c r="M58" s="1933"/>
      <c r="N58" s="272"/>
      <c r="O58" s="543"/>
    </row>
    <row r="59" spans="2:16" ht="12" customHeight="1">
      <c r="B59">
        <v>56</v>
      </c>
      <c r="C59" t="s">
        <v>9021</v>
      </c>
      <c r="D59" t="s">
        <v>8981</v>
      </c>
      <c r="E59" t="s">
        <v>8880</v>
      </c>
      <c r="F59"/>
      <c r="G59" t="s">
        <v>9022</v>
      </c>
      <c r="H59"/>
      <c r="I59" t="s">
        <v>9019</v>
      </c>
      <c r="K59" s="1929"/>
      <c r="L59" s="1934"/>
      <c r="M59" s="272"/>
      <c r="N59" s="272"/>
      <c r="O59" s="543"/>
    </row>
    <row r="60" spans="2:16" ht="12" customHeight="1">
      <c r="B60">
        <v>57</v>
      </c>
      <c r="C60" t="s">
        <v>9023</v>
      </c>
      <c r="D60" t="s">
        <v>8981</v>
      </c>
      <c r="E60" t="s">
        <v>8880</v>
      </c>
      <c r="F60"/>
      <c r="G60" t="s">
        <v>9024</v>
      </c>
      <c r="H60"/>
      <c r="I60" t="s">
        <v>9025</v>
      </c>
      <c r="K60" s="3264" t="s">
        <v>9026</v>
      </c>
      <c r="L60" s="3265"/>
      <c r="M60" s="1522">
        <f ca="1">RANDBETWEEN(1,4)</f>
        <v>4</v>
      </c>
      <c r="N60" s="272"/>
      <c r="O60" s="543"/>
    </row>
    <row r="61" spans="2:16" ht="12" customHeight="1">
      <c r="B61">
        <v>58</v>
      </c>
      <c r="C61" t="s">
        <v>9027</v>
      </c>
      <c r="D61" t="s">
        <v>8981</v>
      </c>
      <c r="E61" t="s">
        <v>8880</v>
      </c>
      <c r="F61"/>
      <c r="G61" t="s">
        <v>9028</v>
      </c>
      <c r="H61"/>
      <c r="I61" t="s">
        <v>9025</v>
      </c>
      <c r="K61" s="1924">
        <v>1</v>
      </c>
      <c r="L61" s="1925" t="s">
        <v>9029</v>
      </c>
      <c r="M61" s="496"/>
      <c r="N61" s="272"/>
      <c r="O61" s="543"/>
    </row>
    <row r="62" spans="2:16" ht="12" customHeight="1">
      <c r="B62">
        <v>59</v>
      </c>
      <c r="C62" t="s">
        <v>9030</v>
      </c>
      <c r="D62" t="s">
        <v>8981</v>
      </c>
      <c r="E62" t="s">
        <v>8880</v>
      </c>
      <c r="F62"/>
      <c r="G62" t="s">
        <v>9031</v>
      </c>
      <c r="H62"/>
      <c r="I62" t="s">
        <v>9032</v>
      </c>
      <c r="K62" s="1924">
        <v>2</v>
      </c>
      <c r="L62" s="1925" t="s">
        <v>9033</v>
      </c>
      <c r="M62" s="272"/>
      <c r="N62" s="272"/>
      <c r="O62" s="543"/>
    </row>
    <row r="63" spans="2:16" ht="12" customHeight="1">
      <c r="B63">
        <v>60</v>
      </c>
      <c r="C63" t="s">
        <v>9034</v>
      </c>
      <c r="D63" t="s">
        <v>8981</v>
      </c>
      <c r="E63" t="s">
        <v>8880</v>
      </c>
      <c r="F63"/>
      <c r="G63" t="s">
        <v>9035</v>
      </c>
      <c r="H63"/>
      <c r="I63" t="s">
        <v>9032</v>
      </c>
      <c r="K63" s="1924">
        <v>3</v>
      </c>
      <c r="L63" s="1926" t="s">
        <v>8961</v>
      </c>
      <c r="M63" s="272"/>
      <c r="N63" s="272"/>
      <c r="O63" s="543"/>
    </row>
    <row r="64" spans="2:16" ht="12" customHeight="1">
      <c r="B64">
        <v>61</v>
      </c>
      <c r="C64" t="s">
        <v>9036</v>
      </c>
      <c r="D64" t="s">
        <v>8981</v>
      </c>
      <c r="E64" t="s">
        <v>8880</v>
      </c>
      <c r="F64"/>
      <c r="G64" t="s">
        <v>9037</v>
      </c>
      <c r="H64"/>
      <c r="I64" t="s">
        <v>9032</v>
      </c>
      <c r="K64" s="1927">
        <v>4</v>
      </c>
      <c r="L64" s="1935" t="s">
        <v>9038</v>
      </c>
    </row>
    <row r="65" spans="2:9" ht="12" customHeight="1">
      <c r="B65">
        <v>62</v>
      </c>
      <c r="C65" t="s">
        <v>9039</v>
      </c>
      <c r="D65" t="s">
        <v>8981</v>
      </c>
      <c r="E65" t="s">
        <v>8880</v>
      </c>
      <c r="F65"/>
      <c r="G65" t="s">
        <v>9040</v>
      </c>
      <c r="H65"/>
      <c r="I65" t="s">
        <v>9032</v>
      </c>
    </row>
    <row r="66" spans="2:9" ht="12" customHeight="1">
      <c r="B66">
        <v>63</v>
      </c>
      <c r="C66" t="s">
        <v>9026</v>
      </c>
      <c r="D66" t="s">
        <v>8981</v>
      </c>
      <c r="E66" t="s">
        <v>8880</v>
      </c>
      <c r="F66"/>
      <c r="G66" t="str">
        <f ca="1">CONCATENATE("Summon ",VLOOKUP(M60,K61:L64,2,0)," Elemental")</f>
        <v>Summon Water Elemental</v>
      </c>
      <c r="H66"/>
      <c r="I66" t="s">
        <v>9041</v>
      </c>
    </row>
    <row r="67" spans="2:9" ht="12" customHeight="1">
      <c r="B67">
        <v>64</v>
      </c>
      <c r="C67" t="s">
        <v>9042</v>
      </c>
      <c r="D67" t="s">
        <v>8981</v>
      </c>
      <c r="E67" t="s">
        <v>8880</v>
      </c>
      <c r="F67"/>
      <c r="G67" t="s">
        <v>9043</v>
      </c>
      <c r="H67"/>
      <c r="I67" t="s">
        <v>9044</v>
      </c>
    </row>
    <row r="68" spans="2:9" ht="12" customHeight="1">
      <c r="B68">
        <v>65</v>
      </c>
      <c r="C68" t="s">
        <v>9045</v>
      </c>
      <c r="D68" t="s">
        <v>8981</v>
      </c>
      <c r="E68" t="s">
        <v>8880</v>
      </c>
      <c r="F68" t="s">
        <v>8919</v>
      </c>
      <c r="G68" t="s">
        <v>9046</v>
      </c>
      <c r="H68"/>
      <c r="I68" t="s">
        <v>9044</v>
      </c>
    </row>
    <row r="69" spans="2:9" ht="12" customHeight="1">
      <c r="B69">
        <v>66</v>
      </c>
      <c r="C69" t="s">
        <v>9047</v>
      </c>
      <c r="D69" t="s">
        <v>8981</v>
      </c>
      <c r="E69" t="s">
        <v>8880</v>
      </c>
      <c r="F69"/>
      <c r="G69" t="s">
        <v>9048</v>
      </c>
      <c r="H69"/>
      <c r="I69" t="s">
        <v>9044</v>
      </c>
    </row>
    <row r="70" spans="2:9" ht="12" customHeight="1">
      <c r="B70">
        <v>67</v>
      </c>
      <c r="C70" t="s">
        <v>9049</v>
      </c>
      <c r="D70" t="s">
        <v>8981</v>
      </c>
      <c r="E70" t="s">
        <v>8880</v>
      </c>
      <c r="F70" t="s">
        <v>8919</v>
      </c>
      <c r="G70" t="s">
        <v>9050</v>
      </c>
      <c r="H70"/>
      <c r="I70" t="s">
        <v>9044</v>
      </c>
    </row>
    <row r="71" spans="2:9" ht="12" customHeight="1">
      <c r="B71">
        <v>68</v>
      </c>
      <c r="C71" t="s">
        <v>9051</v>
      </c>
      <c r="D71" t="s">
        <v>8981</v>
      </c>
      <c r="E71" t="s">
        <v>8880</v>
      </c>
      <c r="F71"/>
      <c r="G71" t="s">
        <v>9052</v>
      </c>
      <c r="H71"/>
      <c r="I71" t="s">
        <v>9053</v>
      </c>
    </row>
    <row r="72" spans="2:9" ht="12" customHeight="1">
      <c r="B72">
        <v>69</v>
      </c>
      <c r="C72" t="s">
        <v>9054</v>
      </c>
      <c r="D72" t="s">
        <v>8981</v>
      </c>
      <c r="E72" t="s">
        <v>8880</v>
      </c>
      <c r="F72" t="s">
        <v>8919</v>
      </c>
      <c r="G72" t="s">
        <v>9055</v>
      </c>
      <c r="H72"/>
      <c r="I72" t="s">
        <v>9056</v>
      </c>
    </row>
    <row r="73" spans="2:9" ht="12" customHeight="1">
      <c r="B73">
        <v>70</v>
      </c>
      <c r="C73" t="s">
        <v>9057</v>
      </c>
      <c r="D73" t="s">
        <v>8981</v>
      </c>
      <c r="E73" t="s">
        <v>8880</v>
      </c>
      <c r="F73"/>
      <c r="G73" t="s">
        <v>9058</v>
      </c>
      <c r="H73"/>
      <c r="I73" t="s">
        <v>9056</v>
      </c>
    </row>
    <row r="74" spans="2:9" ht="12" customHeight="1">
      <c r="B74">
        <v>71</v>
      </c>
      <c r="C74" t="s">
        <v>9059</v>
      </c>
      <c r="D74" t="s">
        <v>8981</v>
      </c>
      <c r="E74" t="s">
        <v>8880</v>
      </c>
      <c r="F74" t="s">
        <v>8919</v>
      </c>
      <c r="G74" t="str">
        <f>CONCATENATE("Reduce ranged damage ",'[1]TOP SHEET'!C31," +1d10")</f>
        <v>Reduce ranged damage 3 +1d10</v>
      </c>
      <c r="H74"/>
      <c r="I74" t="s">
        <v>9060</v>
      </c>
    </row>
    <row r="75" spans="2:9" ht="12" customHeight="1">
      <c r="B75">
        <v>72</v>
      </c>
      <c r="C75" t="s">
        <v>9061</v>
      </c>
      <c r="D75" t="s">
        <v>8981</v>
      </c>
      <c r="E75" t="s">
        <v>8880</v>
      </c>
      <c r="F75" t="s">
        <v>8919</v>
      </c>
      <c r="G75" t="s">
        <v>9062</v>
      </c>
      <c r="H75"/>
      <c r="I75" t="s">
        <v>9060</v>
      </c>
    </row>
    <row r="76" spans="2:9" ht="12" customHeight="1">
      <c r="B76">
        <v>73</v>
      </c>
      <c r="C76" t="s">
        <v>9063</v>
      </c>
      <c r="D76" t="s">
        <v>8981</v>
      </c>
      <c r="E76" t="s">
        <v>8880</v>
      </c>
      <c r="F76"/>
      <c r="G76" t="s">
        <v>9064</v>
      </c>
      <c r="H76"/>
      <c r="I76" t="s">
        <v>9060</v>
      </c>
    </row>
    <row r="77" spans="2:9" ht="12" customHeight="1">
      <c r="B77">
        <v>74</v>
      </c>
      <c r="C77" t="s">
        <v>9065</v>
      </c>
      <c r="D77" t="s">
        <v>8981</v>
      </c>
      <c r="E77" t="s">
        <v>8880</v>
      </c>
      <c r="F77"/>
      <c r="G77" t="s">
        <v>9066</v>
      </c>
      <c r="H77"/>
      <c r="I77" t="s">
        <v>9060</v>
      </c>
    </row>
    <row r="78" spans="2:9" ht="12" customHeight="1">
      <c r="B78">
        <v>75</v>
      </c>
      <c r="C78" t="s">
        <v>9067</v>
      </c>
      <c r="D78" t="s">
        <v>8981</v>
      </c>
      <c r="E78" t="s">
        <v>8880</v>
      </c>
      <c r="F78" t="s">
        <v>8919</v>
      </c>
      <c r="G78" t="s">
        <v>9068</v>
      </c>
      <c r="H78"/>
      <c r="I78" t="s">
        <v>9069</v>
      </c>
    </row>
    <row r="79" spans="2:9" ht="12" customHeight="1">
      <c r="B79">
        <v>76</v>
      </c>
      <c r="C79" t="s">
        <v>9070</v>
      </c>
      <c r="D79" t="s">
        <v>8981</v>
      </c>
      <c r="E79" t="s">
        <v>8880</v>
      </c>
      <c r="F79" t="s">
        <v>8919</v>
      </c>
      <c r="G79" t="s">
        <v>9071</v>
      </c>
      <c r="H79"/>
      <c r="I79" t="s">
        <v>9069</v>
      </c>
    </row>
    <row r="80" spans="2:9" ht="12" customHeight="1">
      <c r="B80">
        <v>77</v>
      </c>
      <c r="C80" t="s">
        <v>9072</v>
      </c>
      <c r="D80" t="s">
        <v>8981</v>
      </c>
      <c r="E80" t="s">
        <v>8880</v>
      </c>
      <c r="F80"/>
      <c r="G80" t="s">
        <v>9073</v>
      </c>
      <c r="H80"/>
      <c r="I80" t="s">
        <v>9069</v>
      </c>
    </row>
    <row r="81" spans="2:9" ht="12" customHeight="1">
      <c r="B81">
        <v>78</v>
      </c>
      <c r="C81" t="s">
        <v>9074</v>
      </c>
      <c r="D81" t="s">
        <v>8981</v>
      </c>
      <c r="E81" t="s">
        <v>8880</v>
      </c>
      <c r="F81" t="s">
        <v>8919</v>
      </c>
      <c r="G81" t="s">
        <v>9075</v>
      </c>
      <c r="H81"/>
      <c r="I81" t="s">
        <v>9076</v>
      </c>
    </row>
    <row r="82" spans="2:9" ht="12" customHeight="1">
      <c r="B82">
        <v>79</v>
      </c>
      <c r="C82" t="s">
        <v>9077</v>
      </c>
      <c r="D82" t="s">
        <v>8981</v>
      </c>
      <c r="E82" t="s">
        <v>8880</v>
      </c>
      <c r="F82" t="s">
        <v>8919</v>
      </c>
      <c r="G82" t="s">
        <v>9078</v>
      </c>
      <c r="H82"/>
      <c r="I82" t="s">
        <v>9079</v>
      </c>
    </row>
    <row r="83" spans="2:9" ht="12" customHeight="1">
      <c r="B83">
        <v>80</v>
      </c>
      <c r="C83" t="s">
        <v>9080</v>
      </c>
      <c r="D83" t="s">
        <v>8981</v>
      </c>
      <c r="E83" t="s">
        <v>8880</v>
      </c>
      <c r="F83" t="s">
        <v>8919</v>
      </c>
      <c r="G83" t="s">
        <v>9081</v>
      </c>
      <c r="H83"/>
      <c r="I83" t="s">
        <v>9079</v>
      </c>
    </row>
    <row r="84" spans="2:9" ht="12" customHeight="1">
      <c r="B84">
        <v>81</v>
      </c>
      <c r="C84" t="s">
        <v>9082</v>
      </c>
      <c r="D84" t="s">
        <v>8981</v>
      </c>
      <c r="E84" t="s">
        <v>8880</v>
      </c>
      <c r="F84" t="s">
        <v>8919</v>
      </c>
      <c r="G84" t="s">
        <v>9083</v>
      </c>
      <c r="H84"/>
      <c r="I84" t="s">
        <v>9079</v>
      </c>
    </row>
    <row r="85" spans="2:9" ht="12" customHeight="1">
      <c r="B85">
        <v>82</v>
      </c>
      <c r="C85" t="s">
        <v>9084</v>
      </c>
      <c r="D85" t="s">
        <v>8981</v>
      </c>
      <c r="E85" t="s">
        <v>8880</v>
      </c>
      <c r="F85"/>
      <c r="G85" t="s">
        <v>9085</v>
      </c>
      <c r="H85"/>
      <c r="I85" t="s">
        <v>9086</v>
      </c>
    </row>
    <row r="86" spans="2:9" ht="12" customHeight="1">
      <c r="B86">
        <v>83</v>
      </c>
      <c r="C86" t="s">
        <v>9087</v>
      </c>
      <c r="D86" t="s">
        <v>8981</v>
      </c>
      <c r="E86" t="s">
        <v>8880</v>
      </c>
      <c r="F86"/>
      <c r="G86" t="s">
        <v>9088</v>
      </c>
      <c r="H86"/>
      <c r="I86" t="s">
        <v>9086</v>
      </c>
    </row>
    <row r="87" spans="2:9" ht="12" customHeight="1">
      <c r="B87">
        <v>84</v>
      </c>
      <c r="C87" t="s">
        <v>9089</v>
      </c>
      <c r="D87" t="s">
        <v>8981</v>
      </c>
      <c r="E87" t="s">
        <v>8880</v>
      </c>
      <c r="F87" t="s">
        <v>8919</v>
      </c>
      <c r="G87" t="s">
        <v>9090</v>
      </c>
      <c r="H87"/>
      <c r="I87" t="s">
        <v>8884</v>
      </c>
    </row>
    <row r="88" spans="2:9" ht="12" customHeight="1">
      <c r="B88">
        <v>85</v>
      </c>
      <c r="C88" t="s">
        <v>9091</v>
      </c>
      <c r="D88" t="s">
        <v>8981</v>
      </c>
      <c r="E88" t="s">
        <v>8880</v>
      </c>
      <c r="F88" t="s">
        <v>8919</v>
      </c>
      <c r="G88" t="s">
        <v>9092</v>
      </c>
      <c r="H88"/>
      <c r="I88" t="s">
        <v>8887</v>
      </c>
    </row>
    <row r="89" spans="2:9" ht="12" customHeight="1">
      <c r="B89">
        <v>86</v>
      </c>
      <c r="C89" t="s">
        <v>9093</v>
      </c>
      <c r="D89" t="s">
        <v>8981</v>
      </c>
      <c r="E89" t="s">
        <v>8880</v>
      </c>
      <c r="F89" t="s">
        <v>8919</v>
      </c>
      <c r="G89" t="s">
        <v>9094</v>
      </c>
      <c r="H89"/>
      <c r="I89" t="s">
        <v>8897</v>
      </c>
    </row>
    <row r="90" spans="2:9" ht="12" customHeight="1">
      <c r="B90">
        <v>87</v>
      </c>
      <c r="C90" t="s">
        <v>9095</v>
      </c>
      <c r="D90" t="s">
        <v>8981</v>
      </c>
      <c r="E90" t="s">
        <v>8880</v>
      </c>
      <c r="F90"/>
      <c r="G90" t="s">
        <v>9096</v>
      </c>
      <c r="H90"/>
      <c r="I90" t="s">
        <v>8897</v>
      </c>
    </row>
    <row r="91" spans="2:9" ht="12" customHeight="1">
      <c r="B91">
        <v>88</v>
      </c>
      <c r="C91" t="s">
        <v>9097</v>
      </c>
      <c r="D91" t="s">
        <v>8981</v>
      </c>
      <c r="E91" t="s">
        <v>8880</v>
      </c>
      <c r="F91" t="s">
        <v>8919</v>
      </c>
      <c r="G91" t="s">
        <v>9098</v>
      </c>
      <c r="H91"/>
      <c r="I91" t="s">
        <v>8897</v>
      </c>
    </row>
    <row r="92" spans="2:9" ht="12" customHeight="1">
      <c r="B92">
        <v>89</v>
      </c>
      <c r="C92" t="s">
        <v>9099</v>
      </c>
      <c r="D92" t="s">
        <v>8981</v>
      </c>
      <c r="E92" t="s">
        <v>8880</v>
      </c>
      <c r="F92"/>
      <c r="G92" t="s">
        <v>9100</v>
      </c>
      <c r="H92"/>
      <c r="I92" t="s">
        <v>9101</v>
      </c>
    </row>
    <row r="93" spans="2:9" ht="12" customHeight="1">
      <c r="B93">
        <v>90</v>
      </c>
      <c r="C93" t="s">
        <v>9102</v>
      </c>
      <c r="D93" t="s">
        <v>8981</v>
      </c>
      <c r="E93" t="s">
        <v>8880</v>
      </c>
      <c r="F93" t="s">
        <v>8919</v>
      </c>
      <c r="G93" t="s">
        <v>9103</v>
      </c>
      <c r="H93"/>
      <c r="I93" t="s">
        <v>9101</v>
      </c>
    </row>
    <row r="94" spans="2:9" ht="12" customHeight="1">
      <c r="B94">
        <v>91</v>
      </c>
      <c r="C94" t="s">
        <v>9104</v>
      </c>
      <c r="D94" t="s">
        <v>8981</v>
      </c>
      <c r="E94" t="s">
        <v>8880</v>
      </c>
      <c r="F94"/>
      <c r="G94" t="s">
        <v>9105</v>
      </c>
      <c r="H94"/>
      <c r="I94" t="s">
        <v>9106</v>
      </c>
    </row>
    <row r="95" spans="2:9" ht="12" customHeight="1">
      <c r="B95">
        <v>92</v>
      </c>
      <c r="C95" t="s">
        <v>9107</v>
      </c>
      <c r="D95" t="s">
        <v>8981</v>
      </c>
      <c r="E95" t="s">
        <v>8880</v>
      </c>
      <c r="F95"/>
      <c r="G95" t="s">
        <v>9108</v>
      </c>
      <c r="H95"/>
      <c r="I95" t="s">
        <v>9109</v>
      </c>
    </row>
    <row r="96" spans="2:9" ht="12" customHeight="1">
      <c r="B96">
        <v>93</v>
      </c>
      <c r="C96" t="s">
        <v>9110</v>
      </c>
      <c r="D96" t="s">
        <v>8981</v>
      </c>
      <c r="E96" t="s">
        <v>8880</v>
      </c>
      <c r="F96"/>
      <c r="G96" t="s">
        <v>9111</v>
      </c>
      <c r="H96"/>
      <c r="I96" t="s">
        <v>8937</v>
      </c>
    </row>
    <row r="97" spans="2:13" ht="12" customHeight="1">
      <c r="B97">
        <v>94</v>
      </c>
      <c r="C97" t="s">
        <v>9112</v>
      </c>
      <c r="D97" t="s">
        <v>8981</v>
      </c>
      <c r="E97" t="s">
        <v>8880</v>
      </c>
      <c r="F97"/>
      <c r="G97" t="s">
        <v>9113</v>
      </c>
      <c r="H97"/>
      <c r="I97" t="s">
        <v>8891</v>
      </c>
    </row>
    <row r="98" spans="2:13" ht="12" customHeight="1">
      <c r="B98">
        <v>95</v>
      </c>
      <c r="C98" t="s">
        <v>9114</v>
      </c>
      <c r="D98" t="s">
        <v>8981</v>
      </c>
      <c r="E98" t="s">
        <v>8880</v>
      </c>
      <c r="F98"/>
      <c r="G98" t="s">
        <v>9115</v>
      </c>
      <c r="H98"/>
      <c r="I98" t="s">
        <v>8891</v>
      </c>
    </row>
    <row r="99" spans="2:13" ht="12" customHeight="1">
      <c r="B99">
        <v>96</v>
      </c>
      <c r="C99" t="s">
        <v>9116</v>
      </c>
      <c r="D99" t="s">
        <v>8981</v>
      </c>
      <c r="E99" t="s">
        <v>8880</v>
      </c>
      <c r="F99" t="s">
        <v>8919</v>
      </c>
      <c r="G99" t="s">
        <v>9117</v>
      </c>
      <c r="H99"/>
      <c r="I99" t="s">
        <v>8875</v>
      </c>
    </row>
    <row r="100" spans="2:13" ht="12" customHeight="1">
      <c r="B100">
        <v>97</v>
      </c>
      <c r="C100" t="s">
        <v>9118</v>
      </c>
      <c r="D100" t="s">
        <v>8981</v>
      </c>
      <c r="E100" t="s">
        <v>8880</v>
      </c>
      <c r="F100" t="s">
        <v>8919</v>
      </c>
      <c r="G100" t="s">
        <v>9119</v>
      </c>
      <c r="H100"/>
      <c r="I100" t="s">
        <v>9120</v>
      </c>
    </row>
    <row r="101" spans="2:13" ht="12" customHeight="1">
      <c r="B101">
        <v>98</v>
      </c>
      <c r="C101" t="s">
        <v>9121</v>
      </c>
      <c r="D101" t="s">
        <v>8981</v>
      </c>
      <c r="E101" t="s">
        <v>8880</v>
      </c>
      <c r="F101"/>
      <c r="G101" t="s">
        <v>9122</v>
      </c>
      <c r="H101"/>
      <c r="I101" t="s">
        <v>8977</v>
      </c>
    </row>
    <row r="102" spans="2:13" ht="12" customHeight="1">
      <c r="B102">
        <v>99</v>
      </c>
      <c r="C102" t="s">
        <v>9123</v>
      </c>
      <c r="D102" t="s">
        <v>8981</v>
      </c>
      <c r="E102" t="s">
        <v>8880</v>
      </c>
      <c r="F102" t="s">
        <v>8919</v>
      </c>
      <c r="G102" t="s">
        <v>9124</v>
      </c>
      <c r="H102"/>
      <c r="I102" t="s">
        <v>9125</v>
      </c>
    </row>
    <row r="103" spans="2:13" ht="12" customHeight="1">
      <c r="B103">
        <v>1</v>
      </c>
      <c r="C103" t="str">
        <f ca="1">CONCATENATE(VLOOKUP(M103,K104:L113,2,0)," Reistant ",(VLOOKUP(M104,K114:L116,2,0))," Armor")</f>
        <v>Psychic Reistant Light Armor</v>
      </c>
      <c r="D103" t="s">
        <v>6001</v>
      </c>
      <c r="E103" t="s">
        <v>9126</v>
      </c>
      <c r="F103" t="s">
        <v>8919</v>
      </c>
      <c r="G103" t="str">
        <f ca="1">CONCATENATE(VLOOKUP(M103,K104:L113,2,0)," Reistant ",(VLOOKUP(M104,K114:L116,2,0))," Armor")</f>
        <v>Psychic Reistant Light Armor</v>
      </c>
      <c r="H103"/>
      <c r="I103" t="s">
        <v>9127</v>
      </c>
      <c r="K103" s="3264" t="s">
        <v>9128</v>
      </c>
      <c r="L103" s="3265"/>
      <c r="M103" s="1936">
        <f ca="1">RANDBETWEEN(1,10)</f>
        <v>8</v>
      </c>
    </row>
    <row r="104" spans="2:13" ht="12" customHeight="1">
      <c r="B104">
        <v>2</v>
      </c>
      <c r="C104" t="s">
        <v>9129</v>
      </c>
      <c r="D104" t="s">
        <v>6001</v>
      </c>
      <c r="E104" t="s">
        <v>9126</v>
      </c>
      <c r="F104" t="s">
        <v>8919</v>
      </c>
      <c r="G104" t="str">
        <f ca="1">CONCATENATE("CURSED Plate Armor of ",M120," - Resistant to ",VLOOKUP(M118,K119:L121,2,0))</f>
        <v>CURSED Plate Armor of Piercing and Slashing - Resistant to Bludgeoning</v>
      </c>
      <c r="H104"/>
      <c r="I104" t="s">
        <v>9127</v>
      </c>
      <c r="K104" s="1922">
        <v>1</v>
      </c>
      <c r="L104" s="1923" t="s">
        <v>8954</v>
      </c>
      <c r="M104" s="1936">
        <f ca="1">RANDBETWEEN(1,3)</f>
        <v>1</v>
      </c>
    </row>
    <row r="105" spans="2:13" ht="12" customHeight="1">
      <c r="B105">
        <v>3</v>
      </c>
      <c r="C105" t="str">
        <f ca="1">CONCATENATE("+1 ",VLOOKUP(M123,K124:L135,2,0), " Armor")</f>
        <v>+1 Scale Shirt Armor</v>
      </c>
      <c r="D105" t="s">
        <v>6001</v>
      </c>
      <c r="E105" t="s">
        <v>9126</v>
      </c>
      <c r="F105"/>
      <c r="G105" t="s">
        <v>9130</v>
      </c>
      <c r="H105"/>
      <c r="I105" t="s">
        <v>9127</v>
      </c>
      <c r="K105" s="1924">
        <v>2</v>
      </c>
      <c r="L105" s="1925" t="s">
        <v>8958</v>
      </c>
      <c r="M105" s="1936">
        <f ca="1">RANDBETWEEN(1,10)</f>
        <v>2</v>
      </c>
    </row>
    <row r="106" spans="2:13" ht="12" customHeight="1">
      <c r="B106">
        <v>4</v>
      </c>
      <c r="C106" t="s">
        <v>9131</v>
      </c>
      <c r="D106" t="s">
        <v>6001</v>
      </c>
      <c r="E106" t="s">
        <v>9126</v>
      </c>
      <c r="F106" t="s">
        <v>8919</v>
      </c>
      <c r="G106" t="s">
        <v>9132</v>
      </c>
      <c r="H106"/>
      <c r="I106" t="s">
        <v>9127</v>
      </c>
      <c r="K106" s="1924">
        <v>3</v>
      </c>
      <c r="L106" s="1925" t="s">
        <v>8961</v>
      </c>
    </row>
    <row r="107" spans="2:13" ht="12" customHeight="1">
      <c r="B107">
        <v>5</v>
      </c>
      <c r="C107" t="s">
        <v>9133</v>
      </c>
      <c r="D107" t="s">
        <v>6001</v>
      </c>
      <c r="E107" t="s">
        <v>9126</v>
      </c>
      <c r="F107"/>
      <c r="G107" t="s">
        <v>9134</v>
      </c>
      <c r="H107"/>
      <c r="I107" t="s">
        <v>9044</v>
      </c>
      <c r="K107" s="1924">
        <v>4</v>
      </c>
      <c r="L107" s="1926" t="s">
        <v>8963</v>
      </c>
    </row>
    <row r="108" spans="2:13" ht="12" customHeight="1">
      <c r="B108">
        <v>6</v>
      </c>
      <c r="C108" t="s">
        <v>9135</v>
      </c>
      <c r="D108" t="s">
        <v>6001</v>
      </c>
      <c r="E108" t="s">
        <v>9126</v>
      </c>
      <c r="F108"/>
      <c r="G108" t="s">
        <v>9136</v>
      </c>
      <c r="H108"/>
      <c r="I108" t="s">
        <v>9060</v>
      </c>
      <c r="K108" s="1924">
        <v>5</v>
      </c>
      <c r="L108" s="1926" t="s">
        <v>8967</v>
      </c>
    </row>
    <row r="109" spans="2:13" ht="12" customHeight="1">
      <c r="B109">
        <v>7</v>
      </c>
      <c r="C109" t="s">
        <v>9137</v>
      </c>
      <c r="D109" t="s">
        <v>6001</v>
      </c>
      <c r="E109" t="s">
        <v>9126</v>
      </c>
      <c r="F109" t="s">
        <v>8919</v>
      </c>
      <c r="G109" t="s">
        <v>9138</v>
      </c>
      <c r="H109"/>
      <c r="I109" t="s">
        <v>8875</v>
      </c>
      <c r="K109" s="1924">
        <v>6</v>
      </c>
      <c r="L109" s="1925" t="s">
        <v>8970</v>
      </c>
    </row>
    <row r="110" spans="2:13" ht="12" customHeight="1">
      <c r="B110">
        <v>8</v>
      </c>
      <c r="C110" t="s">
        <v>9139</v>
      </c>
      <c r="D110" t="s">
        <v>6001</v>
      </c>
      <c r="E110" t="s">
        <v>9126</v>
      </c>
      <c r="F110"/>
      <c r="G110" t="s">
        <v>9140</v>
      </c>
      <c r="H110">
        <v>2</v>
      </c>
      <c r="I110" t="s">
        <v>8875</v>
      </c>
      <c r="K110" s="1924">
        <v>7</v>
      </c>
      <c r="L110" s="1925" t="s">
        <v>8974</v>
      </c>
    </row>
    <row r="111" spans="2:13" ht="12" customHeight="1">
      <c r="B111">
        <v>9</v>
      </c>
      <c r="C111" t="s">
        <v>9141</v>
      </c>
      <c r="D111" t="s">
        <v>8866</v>
      </c>
      <c r="E111" t="s">
        <v>9126</v>
      </c>
      <c r="F111"/>
      <c r="G111" t="s">
        <v>9142</v>
      </c>
      <c r="H111"/>
      <c r="I111" t="s">
        <v>9044</v>
      </c>
      <c r="K111" s="1924">
        <v>8</v>
      </c>
      <c r="L111" s="1925" t="s">
        <v>8978</v>
      </c>
    </row>
    <row r="112" spans="2:13" ht="12" customHeight="1">
      <c r="B112">
        <v>10</v>
      </c>
      <c r="C112" t="s">
        <v>9143</v>
      </c>
      <c r="D112" t="s">
        <v>8866</v>
      </c>
      <c r="E112" t="s">
        <v>9126</v>
      </c>
      <c r="F112"/>
      <c r="G112" t="s">
        <v>9144</v>
      </c>
      <c r="H112"/>
      <c r="I112" t="s">
        <v>9145</v>
      </c>
      <c r="K112" s="1924">
        <v>9</v>
      </c>
      <c r="L112" s="1925" t="s">
        <v>8979</v>
      </c>
    </row>
    <row r="113" spans="2:13" ht="12" customHeight="1">
      <c r="B113">
        <v>11</v>
      </c>
      <c r="C113" t="s">
        <v>9146</v>
      </c>
      <c r="D113" t="s">
        <v>8866</v>
      </c>
      <c r="E113" t="s">
        <v>9126</v>
      </c>
      <c r="F113"/>
      <c r="G113" t="s">
        <v>9147</v>
      </c>
      <c r="H113"/>
      <c r="I113" t="s">
        <v>8868</v>
      </c>
      <c r="K113" s="1927">
        <v>10</v>
      </c>
      <c r="L113" s="1928" t="s">
        <v>8983</v>
      </c>
    </row>
    <row r="114" spans="2:13" ht="12" customHeight="1">
      <c r="B114">
        <v>12</v>
      </c>
      <c r="C114" t="s">
        <v>9148</v>
      </c>
      <c r="D114" t="s">
        <v>8866</v>
      </c>
      <c r="E114" t="s">
        <v>9126</v>
      </c>
      <c r="F114"/>
      <c r="G114" t="s">
        <v>9149</v>
      </c>
      <c r="H114"/>
      <c r="I114" t="s">
        <v>8868</v>
      </c>
      <c r="K114" s="1922">
        <v>1</v>
      </c>
      <c r="L114" s="1923" t="s">
        <v>6305</v>
      </c>
    </row>
    <row r="115" spans="2:13" ht="12" customHeight="1">
      <c r="B115">
        <v>13</v>
      </c>
      <c r="C115" t="s">
        <v>9150</v>
      </c>
      <c r="D115" t="s">
        <v>8866</v>
      </c>
      <c r="E115" t="s">
        <v>9126</v>
      </c>
      <c r="F115"/>
      <c r="G115" t="s">
        <v>9151</v>
      </c>
      <c r="H115"/>
      <c r="I115" t="s">
        <v>8868</v>
      </c>
      <c r="K115" s="1924">
        <v>2</v>
      </c>
      <c r="L115" s="1923" t="s">
        <v>2467</v>
      </c>
    </row>
    <row r="116" spans="2:13" ht="12" customHeight="1">
      <c r="B116">
        <v>14</v>
      </c>
      <c r="C116" t="s">
        <v>9152</v>
      </c>
      <c r="D116" t="s">
        <v>8866</v>
      </c>
      <c r="E116" t="s">
        <v>9126</v>
      </c>
      <c r="F116"/>
      <c r="G116" t="s">
        <v>9153</v>
      </c>
      <c r="H116"/>
      <c r="I116" t="s">
        <v>8868</v>
      </c>
      <c r="K116" s="1937">
        <v>3</v>
      </c>
      <c r="L116" s="1938" t="s">
        <v>9154</v>
      </c>
    </row>
    <row r="117" spans="2:13" ht="12" customHeight="1">
      <c r="B117">
        <v>15</v>
      </c>
      <c r="C117" t="s">
        <v>9155</v>
      </c>
      <c r="D117" t="s">
        <v>8866</v>
      </c>
      <c r="E117" t="s">
        <v>9126</v>
      </c>
      <c r="F117"/>
      <c r="G117" t="s">
        <v>9156</v>
      </c>
      <c r="H117"/>
      <c r="I117" t="s">
        <v>8868</v>
      </c>
    </row>
    <row r="118" spans="2:13" ht="12" customHeight="1">
      <c r="B118">
        <v>16</v>
      </c>
      <c r="C118" t="s">
        <v>9157</v>
      </c>
      <c r="D118" t="s">
        <v>8866</v>
      </c>
      <c r="E118" t="s">
        <v>9126</v>
      </c>
      <c r="F118"/>
      <c r="G118" t="s">
        <v>9158</v>
      </c>
      <c r="H118"/>
      <c r="I118" t="s">
        <v>8913</v>
      </c>
      <c r="K118" s="3264" t="s">
        <v>9159</v>
      </c>
      <c r="L118" s="3265"/>
      <c r="M118" s="1522">
        <f ca="1">RANDBETWEEN(1,3)</f>
        <v>1</v>
      </c>
    </row>
    <row r="119" spans="2:13" ht="12" customHeight="1">
      <c r="B119">
        <v>17</v>
      </c>
      <c r="C119" t="s">
        <v>9160</v>
      </c>
      <c r="D119" t="s">
        <v>8866</v>
      </c>
      <c r="E119" t="s">
        <v>9126</v>
      </c>
      <c r="F119"/>
      <c r="G119" t="s">
        <v>9161</v>
      </c>
      <c r="H119"/>
      <c r="I119" t="s">
        <v>8913</v>
      </c>
      <c r="K119" s="1924">
        <v>1</v>
      </c>
      <c r="L119" s="1925" t="s">
        <v>9162</v>
      </c>
    </row>
    <row r="120" spans="2:13" ht="12" customHeight="1">
      <c r="B120">
        <v>18</v>
      </c>
      <c r="C120" t="s">
        <v>9163</v>
      </c>
      <c r="D120" t="s">
        <v>8866</v>
      </c>
      <c r="E120" t="s">
        <v>9126</v>
      </c>
      <c r="F120"/>
      <c r="G120" t="s">
        <v>9164</v>
      </c>
      <c r="H120"/>
      <c r="I120" t="s">
        <v>8913</v>
      </c>
      <c r="K120" s="1924">
        <v>2</v>
      </c>
      <c r="L120" s="1925" t="s">
        <v>9165</v>
      </c>
      <c r="M120" s="1938" t="str">
        <f ca="1">IF(M118=1,"Piercing and Slashing",IF(M118=2,"Bludgeoning and Slashing",IF(M118=3,"Bludgeoning and Piercing")))</f>
        <v>Piercing and Slashing</v>
      </c>
    </row>
    <row r="121" spans="2:13" ht="12" customHeight="1">
      <c r="B121">
        <v>19</v>
      </c>
      <c r="C121" t="s">
        <v>9166</v>
      </c>
      <c r="D121" t="s">
        <v>8866</v>
      </c>
      <c r="E121" t="s">
        <v>9126</v>
      </c>
      <c r="F121"/>
      <c r="G121" t="s">
        <v>9153</v>
      </c>
      <c r="H121"/>
      <c r="I121" t="s">
        <v>8868</v>
      </c>
      <c r="K121" s="1927">
        <v>3</v>
      </c>
      <c r="L121" s="1935" t="s">
        <v>9167</v>
      </c>
    </row>
    <row r="122" spans="2:13" ht="12" customHeight="1">
      <c r="B122">
        <v>20</v>
      </c>
      <c r="C122" t="s">
        <v>9168</v>
      </c>
      <c r="D122" t="s">
        <v>8866</v>
      </c>
      <c r="E122" t="s">
        <v>9126</v>
      </c>
      <c r="F122"/>
      <c r="G122" t="s">
        <v>9169</v>
      </c>
      <c r="H122"/>
      <c r="I122" t="s">
        <v>8868</v>
      </c>
    </row>
    <row r="123" spans="2:13" ht="12" customHeight="1">
      <c r="B123">
        <v>21</v>
      </c>
      <c r="C123" t="s">
        <v>9170</v>
      </c>
      <c r="D123" t="s">
        <v>8918</v>
      </c>
      <c r="E123" t="s">
        <v>9126</v>
      </c>
      <c r="F123"/>
      <c r="G123" t="s">
        <v>9171</v>
      </c>
      <c r="H123"/>
      <c r="I123" t="s">
        <v>9106</v>
      </c>
      <c r="K123" s="3264" t="s">
        <v>9172</v>
      </c>
      <c r="L123" s="3265"/>
      <c r="M123" s="1936">
        <f ca="1">RANDBETWEEN(1,12)</f>
        <v>6</v>
      </c>
    </row>
    <row r="124" spans="2:13" ht="12" customHeight="1">
      <c r="B124">
        <v>22</v>
      </c>
      <c r="C124" t="s">
        <v>9173</v>
      </c>
      <c r="D124" t="s">
        <v>8918</v>
      </c>
      <c r="E124" t="s">
        <v>9126</v>
      </c>
      <c r="F124" t="s">
        <v>8919</v>
      </c>
      <c r="G124" t="s">
        <v>9174</v>
      </c>
      <c r="H124"/>
      <c r="I124" t="s">
        <v>8921</v>
      </c>
      <c r="K124" s="1922">
        <v>1</v>
      </c>
      <c r="L124" s="1923" t="s">
        <v>8279</v>
      </c>
      <c r="M124" s="1936">
        <f ca="1">RANDBETWEEN(5,12)</f>
        <v>5</v>
      </c>
    </row>
    <row r="125" spans="2:13" ht="12" customHeight="1">
      <c r="B125">
        <v>23</v>
      </c>
      <c r="C125" t="s">
        <v>9175</v>
      </c>
      <c r="D125" t="s">
        <v>8918</v>
      </c>
      <c r="E125" t="s">
        <v>9126</v>
      </c>
      <c r="F125" t="s">
        <v>8919</v>
      </c>
      <c r="G125" t="s">
        <v>9176</v>
      </c>
      <c r="H125"/>
      <c r="I125" t="s">
        <v>8921</v>
      </c>
      <c r="K125" s="1924">
        <v>2</v>
      </c>
      <c r="L125" s="1925" t="s">
        <v>8288</v>
      </c>
    </row>
    <row r="126" spans="2:13" ht="12" customHeight="1">
      <c r="B126">
        <v>24</v>
      </c>
      <c r="C126" t="s">
        <v>9177</v>
      </c>
      <c r="D126" t="s">
        <v>8918</v>
      </c>
      <c r="E126" t="s">
        <v>9126</v>
      </c>
      <c r="F126" t="s">
        <v>8919</v>
      </c>
      <c r="G126" t="s">
        <v>9178</v>
      </c>
      <c r="H126"/>
      <c r="I126" t="s">
        <v>8921</v>
      </c>
      <c r="K126" s="1924">
        <v>3</v>
      </c>
      <c r="L126" s="1925" t="s">
        <v>9179</v>
      </c>
    </row>
    <row r="127" spans="2:13" ht="12" customHeight="1">
      <c r="B127">
        <v>25</v>
      </c>
      <c r="C127" t="s">
        <v>9180</v>
      </c>
      <c r="D127" t="s">
        <v>8918</v>
      </c>
      <c r="E127" t="s">
        <v>9126</v>
      </c>
      <c r="F127" t="s">
        <v>8919</v>
      </c>
      <c r="G127" t="s">
        <v>9181</v>
      </c>
      <c r="H127">
        <v>1</v>
      </c>
      <c r="I127" t="s">
        <v>8921</v>
      </c>
      <c r="K127" s="1924">
        <v>4</v>
      </c>
      <c r="L127" s="1926" t="s">
        <v>7800</v>
      </c>
    </row>
    <row r="128" spans="2:13" ht="12" customHeight="1">
      <c r="B128">
        <v>26</v>
      </c>
      <c r="C128" t="s">
        <v>9182</v>
      </c>
      <c r="D128" t="s">
        <v>8918</v>
      </c>
      <c r="E128" t="s">
        <v>9126</v>
      </c>
      <c r="F128" t="s">
        <v>8919</v>
      </c>
      <c r="G128" t="str">
        <f ca="1">CONCATENATE(VLOOKUP(M105,K104:L113,2,0)," Reistant Ring")</f>
        <v>Cold Reistant Ring</v>
      </c>
      <c r="H128"/>
      <c r="I128" t="s">
        <v>9183</v>
      </c>
      <c r="K128" s="1924">
        <v>5</v>
      </c>
      <c r="L128" s="1926" t="s">
        <v>9184</v>
      </c>
    </row>
    <row r="129" spans="2:13" ht="12" customHeight="1">
      <c r="B129">
        <v>27</v>
      </c>
      <c r="C129" t="s">
        <v>9185</v>
      </c>
      <c r="D129" t="s">
        <v>8918</v>
      </c>
      <c r="E129" t="s">
        <v>9126</v>
      </c>
      <c r="F129" t="s">
        <v>8919</v>
      </c>
      <c r="G129"/>
      <c r="H129"/>
      <c r="I129" t="s">
        <v>9183</v>
      </c>
      <c r="K129" s="1924">
        <v>6</v>
      </c>
      <c r="L129" s="1925" t="s">
        <v>9186</v>
      </c>
    </row>
    <row r="130" spans="2:13" ht="12" customHeight="1">
      <c r="B130">
        <v>28</v>
      </c>
      <c r="C130" t="s">
        <v>9187</v>
      </c>
      <c r="D130" t="s">
        <v>8918</v>
      </c>
      <c r="E130" t="s">
        <v>9126</v>
      </c>
      <c r="F130" t="s">
        <v>8919</v>
      </c>
      <c r="G130" t="s">
        <v>9188</v>
      </c>
      <c r="H130"/>
      <c r="I130" t="s">
        <v>8927</v>
      </c>
      <c r="K130" s="1924">
        <v>7</v>
      </c>
      <c r="L130" s="1925" t="s">
        <v>8317</v>
      </c>
    </row>
    <row r="131" spans="2:13" ht="12" customHeight="1">
      <c r="B131">
        <v>29</v>
      </c>
      <c r="C131" t="s">
        <v>9189</v>
      </c>
      <c r="D131" t="s">
        <v>8918</v>
      </c>
      <c r="E131" t="s">
        <v>9126</v>
      </c>
      <c r="F131" t="s">
        <v>8919</v>
      </c>
      <c r="G131" t="s">
        <v>9190</v>
      </c>
      <c r="H131"/>
      <c r="I131" t="s">
        <v>8927</v>
      </c>
      <c r="K131" s="1924">
        <v>8</v>
      </c>
      <c r="L131" s="1925" t="s">
        <v>9191</v>
      </c>
    </row>
    <row r="132" spans="2:13" ht="12" customHeight="1">
      <c r="B132">
        <v>30</v>
      </c>
      <c r="C132" t="s">
        <v>9192</v>
      </c>
      <c r="D132" t="s">
        <v>7838</v>
      </c>
      <c r="E132" t="s">
        <v>9126</v>
      </c>
      <c r="F132" t="s">
        <v>8919</v>
      </c>
      <c r="G132" t="s">
        <v>9193</v>
      </c>
      <c r="H132"/>
      <c r="I132" t="s">
        <v>8937</v>
      </c>
      <c r="K132" s="1924">
        <v>9</v>
      </c>
      <c r="L132" s="1925" t="s">
        <v>9194</v>
      </c>
    </row>
    <row r="133" spans="2:13" ht="12" customHeight="1">
      <c r="B133">
        <v>31</v>
      </c>
      <c r="C133" t="s">
        <v>9195</v>
      </c>
      <c r="D133" t="s">
        <v>7838</v>
      </c>
      <c r="E133" t="s">
        <v>9126</v>
      </c>
      <c r="F133" t="s">
        <v>8919</v>
      </c>
      <c r="G133" t="s">
        <v>9196</v>
      </c>
      <c r="H133"/>
      <c r="I133" t="s">
        <v>8937</v>
      </c>
      <c r="K133" s="1910">
        <v>10</v>
      </c>
      <c r="L133" s="1925" t="s">
        <v>9197</v>
      </c>
    </row>
    <row r="134" spans="2:13" ht="12" customHeight="1">
      <c r="B134">
        <v>32</v>
      </c>
      <c r="C134" t="s">
        <v>9198</v>
      </c>
      <c r="D134" t="s">
        <v>7838</v>
      </c>
      <c r="E134" t="s">
        <v>9126</v>
      </c>
      <c r="F134" t="s">
        <v>8919</v>
      </c>
      <c r="G134" t="s">
        <v>9199</v>
      </c>
      <c r="H134"/>
      <c r="I134" t="s">
        <v>9200</v>
      </c>
      <c r="K134" s="1910">
        <v>11</v>
      </c>
      <c r="L134" s="1925" t="s">
        <v>8333</v>
      </c>
    </row>
    <row r="135" spans="2:13" ht="12" customHeight="1">
      <c r="B135">
        <v>33</v>
      </c>
      <c r="C135" t="s">
        <v>9201</v>
      </c>
      <c r="D135" t="s">
        <v>8874</v>
      </c>
      <c r="E135" t="s">
        <v>9126</v>
      </c>
      <c r="F135"/>
      <c r="G135" t="str">
        <f ca="1">CONCATENATE("Protection from ",VLOOKUP(M137,K138:L145,2,0)," - 5' radius, 10' tall cylinder, 5 min., moves w/ you, (DC 15 Cha. To enter)")</f>
        <v>Protection from Aberrations - 5' radius, 10' tall cylinder, 5 min., moves w/ you, (DC 15 Cha. To enter)</v>
      </c>
      <c r="H135"/>
      <c r="I135" t="s">
        <v>8891</v>
      </c>
      <c r="K135" s="1937">
        <v>12</v>
      </c>
      <c r="L135" s="1928" t="s">
        <v>8341</v>
      </c>
    </row>
    <row r="136" spans="2:13" ht="12" customHeight="1">
      <c r="B136">
        <v>34</v>
      </c>
      <c r="C136" t="s">
        <v>9202</v>
      </c>
      <c r="D136" t="s">
        <v>8874</v>
      </c>
      <c r="E136" t="s">
        <v>9126</v>
      </c>
      <c r="F136"/>
      <c r="G136" t="e">
        <f ca="1">IF([1]MATH!C8=1,VLOOKUP(RANDBETWEEN(1,8),[1]SPELLBOOK!AL52:AO59,4,0),IF([1]MATH!C8=2,VLOOKUP(RANDBETWEEN(1,23),[1]SPELLBOOK!AL146:AO164,4,0),IF([1]MATH!C8=3,VLOOKUP(RANDBETWEEN(1,23),[1]SPELLBOOK!#REF!,4,0),IF([1]MATH!C8=4,VLOOKUP(RANDBETWEEN(1,23),[1]SPELLBOOK!AF267:AI289,4,0),IF([1]MATH!C8=6,VLOOKUP(RANDBETWEEN(1,8),[1]SPELLBOOK!AF19:AI26,4,0),IF([1]MATH!C8=7,VLOOKUP(RANDBETWEEN(1,16),[1]SPELLBOOK!AL106:AO121,4,0),IF([1]MATH!C8=9,VLOOKUP(RANDBETWEEN(1,6),[1]SPELLBOOK!AD130:AG135,4,0),IF([1]MATH!C8=10,VLOOKUP(RANDBETWEEN(1,5),[1]SPELLBOOK!#REF!,4,0),IF([1]MATH!C8=11,VLOOKUP(RANDBETWEEN(1,10),[1]SPELLBOOK!AF223:AI232,4,0),IF([1]MATH!C8=12,VLOOKUP(RANDBETWEEN(1,4),[1]SPELLBOOK!T246:V249,4,0),""))))))))))</f>
        <v>#N/A</v>
      </c>
      <c r="H136"/>
      <c r="I136" t="s">
        <v>8875</v>
      </c>
    </row>
    <row r="137" spans="2:13" ht="12" customHeight="1">
      <c r="B137">
        <v>35</v>
      </c>
      <c r="C137" t="s">
        <v>9203</v>
      </c>
      <c r="D137" t="s">
        <v>8874</v>
      </c>
      <c r="E137" t="s">
        <v>9126</v>
      </c>
      <c r="F137"/>
      <c r="G137" t="e">
        <f ca="1">IF([1]MATH!C8=1,VLOOKUP(RANDBETWEEN(1,13),[1]SPELLBOOK!AT52:AW63,4,0),IF([1]MATH!C8=4,VLOOKUP(RANDBETWEEN(1,23),[1]SPELLBOOK!AN267:AQ289,4,0),IF([1]MATH!C8=6,VLOOKUP(RANDBETWEEN(1,16),[1]SPELLBOOK!AN19:AQ34,4,0),IF([1]MATH!C8=7,VLOOKUP(RANDBETWEEN(1,14),[1]SPELLBOOK!AT106:AW119,4,0),IF([1]MATH!C8=9,VLOOKUP(RANDBETWEEN(1,5),[1]SPELLBOOK!AL130:AO134,4,0),IF([1]MATH!C8=10,VLOOKUP(RANDBETWEEN(1,4),[1]SPELLBOOK!#REF!,4,0),IF([1]MATH!C8=11,VLOOKUP(RANDBETWEEN(1,11),[1]SPELLBOOK!AN223:AQ233,4,0),IF([1]MATH!C8=12,VLOOKUP(RANDBETWEEN(1,4),[1]SPELLBOOK!Y246:AA249,4,0),""))))))))</f>
        <v>#N/A</v>
      </c>
      <c r="H137"/>
      <c r="I137" t="s">
        <v>8875</v>
      </c>
      <c r="K137" s="3264" t="s">
        <v>9201</v>
      </c>
      <c r="L137" s="3265"/>
      <c r="M137" s="1936">
        <f ca="1">RANDBETWEEN(1,8)</f>
        <v>1</v>
      </c>
    </row>
    <row r="138" spans="2:13" ht="12" customHeight="1">
      <c r="B138">
        <v>36</v>
      </c>
      <c r="C138" t="str">
        <f ca="1">IF(OR([1]MATH!C8=1,[1]MATH!C8=4,[1]MATH!C8=6,[1]MATH!C8=7,[1]MATH!C8=11,[1]MATH!C8=12),"Staff of Charming",CONCATENATE("+2 ",VLOOKUP(RANDBETWEEN(1,5),K48:L52,2,0)))</f>
        <v>Staff of Charming</v>
      </c>
      <c r="D138" t="s">
        <v>9204</v>
      </c>
      <c r="E138" t="s">
        <v>9126</v>
      </c>
      <c r="F138" t="s">
        <v>8919</v>
      </c>
      <c r="G138" t="str">
        <f>IF(OR([1]MATH!C8=1,[1]MATH!C8=4,[1]MATH!C8=6,[1]MATH!C8=7,[1]MATH!C8=11,[1]MATH!C8=12),"10 Charges - Charm person, Command, or Comprehend languages","Magic weapon")</f>
        <v>10 Charges - Charm person, Command, or Comprehend languages</v>
      </c>
      <c r="H138"/>
      <c r="I138" t="s">
        <v>9205</v>
      </c>
      <c r="K138" s="1922">
        <v>1</v>
      </c>
      <c r="L138" s="1923" t="s">
        <v>6650</v>
      </c>
    </row>
    <row r="139" spans="2:13" ht="12" customHeight="1">
      <c r="B139">
        <v>37</v>
      </c>
      <c r="C139" t="str">
        <f ca="1">IF(OR([1]MATH!C8=1,[1]MATH!C8=6,[1]MATH!C8=7),"Staff of Healing",CONCATENATE("+2 ",VLOOKUP(RANDBETWEEN(1,5),K48:L52,2,0)))</f>
        <v>+2 Longsword</v>
      </c>
      <c r="D139" t="s">
        <v>9204</v>
      </c>
      <c r="E139" t="s">
        <v>9126</v>
      </c>
      <c r="F139" t="s">
        <v>8919</v>
      </c>
      <c r="G139" t="str">
        <f>IF(OR([1]MATH!C8=1,[1]MATH!C8=6,[1]MATH!C8=7),"10 Charges - Cure Wounds (1-4 chg.) - Lesser Restoration (2 chg.) - Mass Cure Wounds (5 chg.)","Magic weapon")</f>
        <v>Magic weapon</v>
      </c>
      <c r="H139"/>
      <c r="I139" t="s">
        <v>9206</v>
      </c>
      <c r="K139" s="1924">
        <v>2</v>
      </c>
      <c r="L139" s="1925" t="s">
        <v>6651</v>
      </c>
    </row>
    <row r="140" spans="2:13" ht="12" customHeight="1">
      <c r="B140">
        <v>38</v>
      </c>
      <c r="C140" t="str">
        <f ca="1">IF(OR([1]MATH!C8=1,[1]MATH!C8=4,[1]MATH!C8=6,[1]MATH!C8=7,[1]MATH!C8=11,[1]MATH!C8=12),"Staff of Swarming Insects",CONCATENATE("+2 ",VLOOKUP(RANDBETWEEN(1,5),K48:L52,2,0)))</f>
        <v>Staff of Swarming Insects</v>
      </c>
      <c r="D140" t="s">
        <v>9204</v>
      </c>
      <c r="E140" t="s">
        <v>9126</v>
      </c>
      <c r="F140" t="s">
        <v>8919</v>
      </c>
      <c r="G140" t="str">
        <f>IF(OR([1]MATH!C8=1,[1]MATH!C8=4,[1]MATH!C8=6,[1]MATH!C8=7,[1]MATH!C8=11,[1]MATH!C8=12),"10 Charges - Giant Insect (4 Chg.) - Insect Plague (5 Chg.) - Insect Cloud (1 Chg.)","Magic weapon")</f>
        <v>10 Charges - Giant Insect (4 Chg.) - Insect Plague (5 Chg.) - Insect Cloud (1 Chg.)</v>
      </c>
      <c r="H140"/>
      <c r="I140" t="s">
        <v>8942</v>
      </c>
      <c r="K140" s="1924">
        <v>3</v>
      </c>
      <c r="L140" s="1925" t="s">
        <v>6653</v>
      </c>
    </row>
    <row r="141" spans="2:13" ht="12" customHeight="1">
      <c r="B141">
        <v>39</v>
      </c>
      <c r="C141" t="str">
        <f ca="1">IF(OR([1]MATH!C8=1,[1]MATH!C8=7,[1]MATH!C8=12),"Staff of Withering",CONCATENATE("+2 ",VLOOKUP(RANDBETWEEN(1,5),K48:L52,2,0)))</f>
        <v>+2 Scimiter</v>
      </c>
      <c r="D141" t="s">
        <v>9204</v>
      </c>
      <c r="E141" t="s">
        <v>9126</v>
      </c>
      <c r="F141" t="s">
        <v>8919</v>
      </c>
      <c r="G141" t="str">
        <f>IF(OR([1]MATH!C8=1,[1]MATH!C8=7,[1]MATH!C8=12),"3 Charges - 2d10 Necrotic dmg. (1 chg.) - make save or disadvantage 1 hr.","Magic weapon")</f>
        <v>Magic weapon</v>
      </c>
      <c r="H141"/>
      <c r="I141" t="s">
        <v>9120</v>
      </c>
      <c r="K141" s="1924">
        <v>4</v>
      </c>
      <c r="L141" s="1926" t="s">
        <v>6657</v>
      </c>
    </row>
    <row r="142" spans="2:13" ht="12" customHeight="1">
      <c r="B142">
        <v>40</v>
      </c>
      <c r="C142" t="str">
        <f>IF([1]MATH!C8=7,"Staff of the Woodlands","+2 Quarterstaff")</f>
        <v>+2 Quarterstaff</v>
      </c>
      <c r="D142" t="s">
        <v>7840</v>
      </c>
      <c r="E142" t="s">
        <v>9126</v>
      </c>
      <c r="F142" t="s">
        <v>8919</v>
      </c>
      <c r="G142" t="str">
        <f>IF([1]MATH!C8=7,"+2 to hit, dmg. and spell attacks - 10 chg. - See DMG.","Magic weapon")</f>
        <v>Magic weapon</v>
      </c>
      <c r="H142"/>
      <c r="I142" t="s">
        <v>8945</v>
      </c>
      <c r="K142" s="1924">
        <v>5</v>
      </c>
      <c r="L142" s="1926" t="s">
        <v>3231</v>
      </c>
    </row>
    <row r="143" spans="2:13" ht="12" customHeight="1">
      <c r="B143">
        <v>41</v>
      </c>
      <c r="C143" t="s">
        <v>9207</v>
      </c>
      <c r="D143" t="s">
        <v>7842</v>
      </c>
      <c r="E143" t="s">
        <v>9126</v>
      </c>
      <c r="F143" t="s">
        <v>8919</v>
      </c>
      <c r="G143" t="s">
        <v>9208</v>
      </c>
      <c r="H143"/>
      <c r="I143" t="s">
        <v>8973</v>
      </c>
      <c r="K143" s="1924">
        <v>6</v>
      </c>
      <c r="L143" s="1925" t="s">
        <v>6659</v>
      </c>
    </row>
    <row r="144" spans="2:13" ht="12" customHeight="1">
      <c r="B144">
        <v>42</v>
      </c>
      <c r="C144" t="s">
        <v>9209</v>
      </c>
      <c r="D144" t="s">
        <v>7842</v>
      </c>
      <c r="E144" t="s">
        <v>9126</v>
      </c>
      <c r="F144" t="s">
        <v>8919</v>
      </c>
      <c r="G144" t="s">
        <v>9210</v>
      </c>
      <c r="H144"/>
      <c r="I144" t="s">
        <v>9211</v>
      </c>
      <c r="K144" s="1924">
        <v>7</v>
      </c>
      <c r="L144" s="1925" t="s">
        <v>6665</v>
      </c>
    </row>
    <row r="145" spans="2:13" ht="12" customHeight="1">
      <c r="B145">
        <v>43</v>
      </c>
      <c r="C145" t="s">
        <v>9212</v>
      </c>
      <c r="D145" t="s">
        <v>7842</v>
      </c>
      <c r="E145" t="s">
        <v>9126</v>
      </c>
      <c r="F145" t="s">
        <v>8919</v>
      </c>
      <c r="G145" t="s">
        <v>9213</v>
      </c>
      <c r="H145"/>
      <c r="I145" t="s">
        <v>9211</v>
      </c>
      <c r="K145" s="1924">
        <v>8</v>
      </c>
      <c r="L145" s="1925" t="s">
        <v>2466</v>
      </c>
    </row>
    <row r="146" spans="2:13" ht="12" customHeight="1">
      <c r="B146">
        <v>44</v>
      </c>
      <c r="C146" t="s">
        <v>9214</v>
      </c>
      <c r="D146" t="s">
        <v>7842</v>
      </c>
      <c r="E146" t="s">
        <v>9126</v>
      </c>
      <c r="F146" t="s">
        <v>8919</v>
      </c>
      <c r="G146" t="s">
        <v>9215</v>
      </c>
      <c r="H146"/>
      <c r="I146" t="s">
        <v>9211</v>
      </c>
      <c r="K146" s="1929"/>
      <c r="L146" s="1930"/>
    </row>
    <row r="147" spans="2:13" ht="12" customHeight="1">
      <c r="B147">
        <v>45</v>
      </c>
      <c r="C147" t="s">
        <v>9216</v>
      </c>
      <c r="D147" t="s">
        <v>7842</v>
      </c>
      <c r="E147" t="s">
        <v>9126</v>
      </c>
      <c r="F147" t="s">
        <v>8919</v>
      </c>
      <c r="G147" t="s">
        <v>9217</v>
      </c>
      <c r="H147"/>
      <c r="I147" t="s">
        <v>8948</v>
      </c>
      <c r="K147" s="3264" t="s">
        <v>9218</v>
      </c>
      <c r="L147" s="3265"/>
      <c r="M147" s="1936">
        <f ca="1">RANDBETWEEN(1,112)</f>
        <v>31</v>
      </c>
    </row>
    <row r="148" spans="2:13" ht="12" customHeight="1">
      <c r="B148">
        <v>46</v>
      </c>
      <c r="C148" t="s">
        <v>9219</v>
      </c>
      <c r="D148" t="s">
        <v>7842</v>
      </c>
      <c r="E148" t="s">
        <v>9126</v>
      </c>
      <c r="F148" t="s">
        <v>8919</v>
      </c>
      <c r="G148" t="s">
        <v>9220</v>
      </c>
      <c r="H148"/>
      <c r="I148" t="s">
        <v>8948</v>
      </c>
    </row>
    <row r="149" spans="2:13" ht="12" customHeight="1">
      <c r="B149">
        <v>47</v>
      </c>
      <c r="C149" t="s">
        <v>9221</v>
      </c>
      <c r="D149" t="s">
        <v>7842</v>
      </c>
      <c r="E149" t="s">
        <v>9126</v>
      </c>
      <c r="F149" t="s">
        <v>8919</v>
      </c>
      <c r="G149" t="s">
        <v>9222</v>
      </c>
      <c r="H149"/>
      <c r="I149" t="s">
        <v>8957</v>
      </c>
      <c r="K149" s="3264" t="s">
        <v>9223</v>
      </c>
      <c r="L149" s="3265"/>
      <c r="M149" s="1936">
        <f ca="1">RANDBETWEEN(1,8)</f>
        <v>3</v>
      </c>
    </row>
    <row r="150" spans="2:13" ht="12" customHeight="1">
      <c r="B150">
        <v>48</v>
      </c>
      <c r="C150" t="s">
        <v>9224</v>
      </c>
      <c r="D150" t="s">
        <v>7842</v>
      </c>
      <c r="E150" t="s">
        <v>9126</v>
      </c>
      <c r="F150" t="s">
        <v>8919</v>
      </c>
      <c r="G150" t="s">
        <v>9225</v>
      </c>
      <c r="H150"/>
      <c r="I150" t="s">
        <v>8957</v>
      </c>
      <c r="K150" s="1922">
        <v>1</v>
      </c>
      <c r="L150" s="1923" t="s">
        <v>2727</v>
      </c>
    </row>
    <row r="151" spans="2:13" ht="12" customHeight="1">
      <c r="B151">
        <v>49</v>
      </c>
      <c r="C151" t="str">
        <f>CONCATENATE([1]MATH!C61," +2 ammo - 10 pieces")</f>
        <v>Lgt. X-bow +2 ammo - 10 pieces</v>
      </c>
      <c r="D151" t="s">
        <v>1980</v>
      </c>
      <c r="E151" t="s">
        <v>9126</v>
      </c>
      <c r="F151"/>
      <c r="G151" t="s">
        <v>9226</v>
      </c>
      <c r="H151"/>
      <c r="I151" t="s">
        <v>8881</v>
      </c>
      <c r="K151" s="1924">
        <v>2</v>
      </c>
      <c r="L151" s="1925" t="s">
        <v>2898</v>
      </c>
      <c r="M151" s="1693"/>
    </row>
    <row r="152" spans="2:13" ht="12" customHeight="1">
      <c r="B152">
        <v>50</v>
      </c>
      <c r="C152" t="str">
        <f ca="1">CONCATENATE("Berserker ",VLOOKUP(RANDBETWEEN(6,8),K155:L157,2,0))</f>
        <v>Berserker Battleaxe</v>
      </c>
      <c r="D152" t="s">
        <v>1980</v>
      </c>
      <c r="E152" t="s">
        <v>9126</v>
      </c>
      <c r="F152" t="s">
        <v>8919</v>
      </c>
      <c r="G152" t="s">
        <v>9227</v>
      </c>
      <c r="H152"/>
      <c r="I152" t="s">
        <v>8994</v>
      </c>
      <c r="K152" s="1924">
        <v>3</v>
      </c>
      <c r="L152" s="1925" t="s">
        <v>3143</v>
      </c>
    </row>
    <row r="153" spans="2:13" ht="12" customHeight="1">
      <c r="B153">
        <v>51</v>
      </c>
      <c r="C153" t="s">
        <v>9228</v>
      </c>
      <c r="D153" t="s">
        <v>1980</v>
      </c>
      <c r="E153" t="s">
        <v>9126</v>
      </c>
      <c r="F153"/>
      <c r="G153" t="s">
        <v>9229</v>
      </c>
      <c r="H153"/>
      <c r="I153" t="s">
        <v>9025</v>
      </c>
      <c r="K153" s="1924">
        <v>4</v>
      </c>
      <c r="L153" s="1926" t="s">
        <v>9000</v>
      </c>
    </row>
    <row r="154" spans="2:13" ht="12" customHeight="1">
      <c r="B154">
        <v>52</v>
      </c>
      <c r="C154" t="str">
        <f ca="1" xml:space="preserve"> CONCATENATE("Dragon Slayer - ",VLOOKUP(RANDBETWEEN(1,5),K48:L52,2,0))</f>
        <v>Dragon Slayer - Rapier</v>
      </c>
      <c r="D154" t="s">
        <v>1980</v>
      </c>
      <c r="E154" t="s">
        <v>9126</v>
      </c>
      <c r="F154"/>
      <c r="G154" t="s">
        <v>9230</v>
      </c>
      <c r="H154"/>
      <c r="I154" t="s">
        <v>9032</v>
      </c>
      <c r="K154" s="1924">
        <v>5</v>
      </c>
      <c r="L154" s="1926" t="s">
        <v>3784</v>
      </c>
    </row>
    <row r="155" spans="2:13" ht="12" customHeight="1">
      <c r="B155">
        <v>53</v>
      </c>
      <c r="C155" t="str">
        <f ca="1" xml:space="preserve"> CONCATENATE("Flame Tongue - ",VLOOKUP(RANDBETWEEN(1,5),K48:L52,2,0))</f>
        <v>Flame Tongue - Scimiter</v>
      </c>
      <c r="D155" t="s">
        <v>1980</v>
      </c>
      <c r="E155" t="s">
        <v>9126</v>
      </c>
      <c r="F155" t="s">
        <v>8919</v>
      </c>
      <c r="G155" t="s">
        <v>9231</v>
      </c>
      <c r="H155"/>
      <c r="I155" t="s">
        <v>9053</v>
      </c>
      <c r="K155" s="1924">
        <v>6</v>
      </c>
      <c r="L155" s="1926" t="s">
        <v>9232</v>
      </c>
    </row>
    <row r="156" spans="2:13" ht="12" customHeight="1">
      <c r="B156">
        <v>54</v>
      </c>
      <c r="C156" t="str">
        <f ca="1" xml:space="preserve"> CONCATENATE("Giant Slayer - ",VLOOKUP(RANDBETWEEN(1,8),K150:L157,2,0))</f>
        <v>Giant Slayer - Rapier</v>
      </c>
      <c r="D156" t="s">
        <v>1980</v>
      </c>
      <c r="E156" t="s">
        <v>9126</v>
      </c>
      <c r="F156"/>
      <c r="G156" t="s">
        <v>9233</v>
      </c>
      <c r="H156"/>
      <c r="I156" t="s">
        <v>9060</v>
      </c>
      <c r="K156" s="1924">
        <v>7</v>
      </c>
      <c r="L156" s="1926" t="s">
        <v>4793</v>
      </c>
    </row>
    <row r="157" spans="2:13" ht="12" customHeight="1">
      <c r="B157">
        <v>55</v>
      </c>
      <c r="C157" t="s">
        <v>9234</v>
      </c>
      <c r="D157" t="s">
        <v>1980</v>
      </c>
      <c r="E157" t="s">
        <v>9126</v>
      </c>
      <c r="F157" t="s">
        <v>8919</v>
      </c>
      <c r="G157" t="s">
        <v>9235</v>
      </c>
      <c r="H157"/>
      <c r="I157" t="s">
        <v>9086</v>
      </c>
      <c r="K157" s="1927">
        <v>8</v>
      </c>
      <c r="L157" s="1935" t="s">
        <v>9236</v>
      </c>
    </row>
    <row r="158" spans="2:13" ht="12" customHeight="1">
      <c r="B158">
        <v>56</v>
      </c>
      <c r="C158" t="s">
        <v>9237</v>
      </c>
      <c r="D158" t="s">
        <v>1980</v>
      </c>
      <c r="E158" t="s">
        <v>9126</v>
      </c>
      <c r="F158"/>
      <c r="G158" t="s">
        <v>9238</v>
      </c>
      <c r="H158"/>
      <c r="I158" t="s">
        <v>9086</v>
      </c>
    </row>
    <row r="159" spans="2:13" ht="12" customHeight="1">
      <c r="B159">
        <v>57</v>
      </c>
      <c r="C159" t="s">
        <v>9239</v>
      </c>
      <c r="D159" t="s">
        <v>1980</v>
      </c>
      <c r="E159" t="s">
        <v>9126</v>
      </c>
      <c r="F159" t="s">
        <v>8919</v>
      </c>
      <c r="G159" t="s">
        <v>9240</v>
      </c>
      <c r="H159"/>
      <c r="I159" t="s">
        <v>9241</v>
      </c>
    </row>
    <row r="160" spans="2:13" ht="12" customHeight="1">
      <c r="B160">
        <v>58</v>
      </c>
      <c r="C160" t="s">
        <v>9242</v>
      </c>
      <c r="D160" t="s">
        <v>1980</v>
      </c>
      <c r="E160" t="s">
        <v>9126</v>
      </c>
      <c r="F160" t="s">
        <v>8919</v>
      </c>
      <c r="G160" t="s">
        <v>9243</v>
      </c>
      <c r="H160"/>
      <c r="I160" t="s">
        <v>9120</v>
      </c>
    </row>
    <row r="161" spans="2:9" ht="12" customHeight="1">
      <c r="B161">
        <v>59</v>
      </c>
      <c r="C161" t="str">
        <f ca="1" xml:space="preserve"> CONCATENATE(VLOOKUP(RANDBETWEEN(1,5),K48:L52,2,0)," of Life Stealing")</f>
        <v>Shortsword of Life Stealing</v>
      </c>
      <c r="D161" t="s">
        <v>1980</v>
      </c>
      <c r="E161" t="s">
        <v>9126</v>
      </c>
      <c r="F161" t="s">
        <v>8919</v>
      </c>
      <c r="G161" t="s">
        <v>9244</v>
      </c>
      <c r="H161"/>
      <c r="I161" t="s">
        <v>8969</v>
      </c>
    </row>
    <row r="162" spans="2:9" ht="12" customHeight="1">
      <c r="B162">
        <v>60</v>
      </c>
      <c r="C162" t="str">
        <f ca="1" xml:space="preserve"> CONCATENATE(VLOOKUP(RANDBETWEEN(1,5),K48:L52,2,0)," of Wounding")</f>
        <v>Longsword of Wounding</v>
      </c>
      <c r="D162" t="s">
        <v>1980</v>
      </c>
      <c r="E162" t="s">
        <v>9126</v>
      </c>
      <c r="F162" t="s">
        <v>8919</v>
      </c>
      <c r="G162" t="s">
        <v>9245</v>
      </c>
      <c r="H162"/>
      <c r="I162" t="s">
        <v>9246</v>
      </c>
    </row>
    <row r="163" spans="2:9" ht="12" customHeight="1">
      <c r="B163">
        <v>61</v>
      </c>
      <c r="C163" t="s">
        <v>9247</v>
      </c>
      <c r="D163" t="s">
        <v>1980</v>
      </c>
      <c r="E163" t="s">
        <v>9126</v>
      </c>
      <c r="F163"/>
      <c r="G163" t="s">
        <v>9248</v>
      </c>
      <c r="H163"/>
      <c r="I163" t="s">
        <v>8973</v>
      </c>
    </row>
    <row r="164" spans="2:9" ht="12" customHeight="1">
      <c r="B164">
        <v>62</v>
      </c>
      <c r="C164" t="str">
        <f>CONCATENATE("+2 ",'[1]TOP SHEET'!Y97)</f>
        <v xml:space="preserve">+2 Dagger  | 1d4 | Finesse, light, thrown (range 20/60) </v>
      </c>
      <c r="D164" t="s">
        <v>1980</v>
      </c>
      <c r="E164" t="s">
        <v>9126</v>
      </c>
      <c r="F164"/>
      <c r="G164" t="s">
        <v>9249</v>
      </c>
      <c r="H164"/>
      <c r="I164" t="s">
        <v>8977</v>
      </c>
    </row>
    <row r="165" spans="2:9" ht="12" customHeight="1">
      <c r="B165">
        <v>63</v>
      </c>
      <c r="C165" t="s">
        <v>9250</v>
      </c>
      <c r="D165" t="s">
        <v>8981</v>
      </c>
      <c r="E165" t="s">
        <v>9126</v>
      </c>
      <c r="F165" t="s">
        <v>8919</v>
      </c>
      <c r="G165" t="s">
        <v>9251</v>
      </c>
      <c r="H165"/>
      <c r="I165" t="s">
        <v>8881</v>
      </c>
    </row>
    <row r="166" spans="2:9" ht="12" customHeight="1">
      <c r="B166">
        <v>64</v>
      </c>
      <c r="C166" t="s">
        <v>9252</v>
      </c>
      <c r="D166" t="s">
        <v>8981</v>
      </c>
      <c r="E166" t="s">
        <v>9126</v>
      </c>
      <c r="F166"/>
      <c r="G166" t="s">
        <v>9253</v>
      </c>
      <c r="H166"/>
      <c r="I166" t="s">
        <v>9127</v>
      </c>
    </row>
    <row r="167" spans="2:9" ht="12" customHeight="1">
      <c r="B167">
        <v>65</v>
      </c>
      <c r="C167" t="s">
        <v>9254</v>
      </c>
      <c r="D167" t="s">
        <v>8981</v>
      </c>
      <c r="E167" t="s">
        <v>9126</v>
      </c>
      <c r="F167"/>
      <c r="G167" t="s">
        <v>9255</v>
      </c>
      <c r="H167"/>
      <c r="I167" t="s">
        <v>8991</v>
      </c>
    </row>
    <row r="168" spans="2:9" ht="12" customHeight="1">
      <c r="B168">
        <v>66</v>
      </c>
      <c r="C168" t="s">
        <v>9256</v>
      </c>
      <c r="D168" t="s">
        <v>8981</v>
      </c>
      <c r="E168" t="s">
        <v>9126</v>
      </c>
      <c r="F168" t="s">
        <v>8919</v>
      </c>
      <c r="G168" t="s">
        <v>9257</v>
      </c>
      <c r="H168"/>
      <c r="I168" t="s">
        <v>8994</v>
      </c>
    </row>
    <row r="169" spans="2:9" ht="12" customHeight="1">
      <c r="B169">
        <v>67</v>
      </c>
      <c r="C169" t="s">
        <v>9258</v>
      </c>
      <c r="D169" t="s">
        <v>8981</v>
      </c>
      <c r="E169" t="s">
        <v>9126</v>
      </c>
      <c r="F169" t="s">
        <v>8919</v>
      </c>
      <c r="G169" t="s">
        <v>9259</v>
      </c>
      <c r="H169"/>
      <c r="I169" t="s">
        <v>8994</v>
      </c>
    </row>
    <row r="170" spans="2:9" ht="12" customHeight="1">
      <c r="B170">
        <v>68</v>
      </c>
      <c r="C170" t="s">
        <v>9260</v>
      </c>
      <c r="D170" t="s">
        <v>8981</v>
      </c>
      <c r="E170" t="s">
        <v>9126</v>
      </c>
      <c r="F170" t="s">
        <v>8919</v>
      </c>
      <c r="G170" t="s">
        <v>9261</v>
      </c>
      <c r="H170"/>
      <c r="I170" t="s">
        <v>8994</v>
      </c>
    </row>
    <row r="171" spans="2:9" ht="12" customHeight="1">
      <c r="B171">
        <v>69</v>
      </c>
      <c r="C171" t="s">
        <v>9262</v>
      </c>
      <c r="D171" t="s">
        <v>8981</v>
      </c>
      <c r="E171" t="s">
        <v>9126</v>
      </c>
      <c r="F171" t="s">
        <v>8919</v>
      </c>
      <c r="G171" t="s">
        <v>9263</v>
      </c>
      <c r="H171"/>
      <c r="I171" t="s">
        <v>8994</v>
      </c>
    </row>
    <row r="172" spans="2:9" ht="12" customHeight="1">
      <c r="B172">
        <v>70</v>
      </c>
      <c r="C172" t="s">
        <v>9264</v>
      </c>
      <c r="D172" t="s">
        <v>8981</v>
      </c>
      <c r="E172" t="s">
        <v>9126</v>
      </c>
      <c r="F172"/>
      <c r="G172" t="s">
        <v>9265</v>
      </c>
      <c r="H172"/>
      <c r="I172" t="s">
        <v>8997</v>
      </c>
    </row>
    <row r="173" spans="2:9" ht="12" customHeight="1">
      <c r="B173">
        <v>71</v>
      </c>
      <c r="C173" t="s">
        <v>9266</v>
      </c>
      <c r="D173" t="s">
        <v>8981</v>
      </c>
      <c r="E173" t="s">
        <v>9126</v>
      </c>
      <c r="F173" t="s">
        <v>8919</v>
      </c>
      <c r="G173" t="s">
        <v>9267</v>
      </c>
      <c r="H173"/>
      <c r="I173" t="s">
        <v>8997</v>
      </c>
    </row>
    <row r="174" spans="2:9" ht="12" customHeight="1">
      <c r="B174">
        <v>72</v>
      </c>
      <c r="C174" t="s">
        <v>9268</v>
      </c>
      <c r="D174" t="s">
        <v>8981</v>
      </c>
      <c r="E174" t="s">
        <v>9126</v>
      </c>
      <c r="F174"/>
      <c r="G174" t="s">
        <v>9269</v>
      </c>
      <c r="H174"/>
      <c r="I174" t="s">
        <v>8997</v>
      </c>
    </row>
    <row r="175" spans="2:9" ht="12" customHeight="1">
      <c r="B175">
        <v>73</v>
      </c>
      <c r="C175" t="s">
        <v>9270</v>
      </c>
      <c r="D175" t="s">
        <v>8981</v>
      </c>
      <c r="E175" t="s">
        <v>9126</v>
      </c>
      <c r="F175"/>
      <c r="G175" t="s">
        <v>9271</v>
      </c>
      <c r="H175"/>
      <c r="I175" t="s">
        <v>9009</v>
      </c>
    </row>
    <row r="176" spans="2:9" ht="12" customHeight="1">
      <c r="B176">
        <v>74</v>
      </c>
      <c r="C176" t="s">
        <v>9272</v>
      </c>
      <c r="D176" t="s">
        <v>8981</v>
      </c>
      <c r="E176" t="s">
        <v>9126</v>
      </c>
      <c r="F176"/>
      <c r="G176" t="s">
        <v>9273</v>
      </c>
      <c r="H176"/>
      <c r="I176" t="s">
        <v>9013</v>
      </c>
    </row>
    <row r="177" spans="2:9" ht="12" customHeight="1">
      <c r="B177">
        <v>75</v>
      </c>
      <c r="C177" t="s">
        <v>9274</v>
      </c>
      <c r="D177" t="s">
        <v>8981</v>
      </c>
      <c r="E177" t="s">
        <v>9126</v>
      </c>
      <c r="F177"/>
      <c r="G177" t="s">
        <v>9275</v>
      </c>
      <c r="H177"/>
      <c r="I177" t="s">
        <v>9013</v>
      </c>
    </row>
    <row r="178" spans="2:9" ht="12" customHeight="1">
      <c r="B178">
        <v>76</v>
      </c>
      <c r="C178" t="s">
        <v>9276</v>
      </c>
      <c r="D178" t="s">
        <v>8981</v>
      </c>
      <c r="E178" t="s">
        <v>9126</v>
      </c>
      <c r="F178" t="s">
        <v>8919</v>
      </c>
      <c r="G178" t="s">
        <v>9277</v>
      </c>
      <c r="H178"/>
      <c r="I178" t="s">
        <v>9013</v>
      </c>
    </row>
    <row r="179" spans="2:9" ht="12" customHeight="1">
      <c r="B179">
        <v>77</v>
      </c>
      <c r="C179" t="s">
        <v>9278</v>
      </c>
      <c r="D179" t="s">
        <v>8981</v>
      </c>
      <c r="E179" t="s">
        <v>9126</v>
      </c>
      <c r="F179" t="s">
        <v>8919</v>
      </c>
      <c r="G179" t="s">
        <v>9279</v>
      </c>
      <c r="H179"/>
      <c r="I179" t="s">
        <v>9019</v>
      </c>
    </row>
    <row r="180" spans="2:9" ht="12" customHeight="1">
      <c r="B180">
        <v>78</v>
      </c>
      <c r="C180" t="s">
        <v>9280</v>
      </c>
      <c r="D180" t="s">
        <v>8981</v>
      </c>
      <c r="E180" t="s">
        <v>9126</v>
      </c>
      <c r="F180" t="s">
        <v>8919</v>
      </c>
      <c r="G180" t="s">
        <v>9281</v>
      </c>
      <c r="H180"/>
      <c r="I180" t="s">
        <v>9019</v>
      </c>
    </row>
    <row r="181" spans="2:9" ht="12" customHeight="1">
      <c r="B181">
        <v>79</v>
      </c>
      <c r="C181" t="s">
        <v>9282</v>
      </c>
      <c r="D181" t="s">
        <v>8981</v>
      </c>
      <c r="E181" t="s">
        <v>9126</v>
      </c>
      <c r="F181"/>
      <c r="G181" t="s">
        <v>9283</v>
      </c>
      <c r="H181"/>
      <c r="I181" t="s">
        <v>9284</v>
      </c>
    </row>
    <row r="182" spans="2:9" ht="12" customHeight="1">
      <c r="B182">
        <v>80</v>
      </c>
      <c r="C182" t="s">
        <v>9285</v>
      </c>
      <c r="D182" t="s">
        <v>8981</v>
      </c>
      <c r="E182" t="s">
        <v>9126</v>
      </c>
      <c r="F182"/>
      <c r="G182" t="s">
        <v>9286</v>
      </c>
      <c r="H182"/>
      <c r="I182" t="s">
        <v>9287</v>
      </c>
    </row>
    <row r="183" spans="2:9" ht="12" customHeight="1">
      <c r="B183">
        <v>81</v>
      </c>
      <c r="C183" t="s">
        <v>9288</v>
      </c>
      <c r="D183" t="s">
        <v>8981</v>
      </c>
      <c r="E183" t="s">
        <v>9126</v>
      </c>
      <c r="F183"/>
      <c r="G183" t="s">
        <v>9289</v>
      </c>
      <c r="H183"/>
      <c r="I183" t="s">
        <v>9290</v>
      </c>
    </row>
    <row r="184" spans="2:9" ht="12" customHeight="1">
      <c r="B184">
        <v>82</v>
      </c>
      <c r="C184" t="s">
        <v>9291</v>
      </c>
      <c r="D184" t="s">
        <v>8981</v>
      </c>
      <c r="E184" t="s">
        <v>9126</v>
      </c>
      <c r="F184"/>
      <c r="G184" t="s">
        <v>9292</v>
      </c>
      <c r="H184"/>
      <c r="I184" t="s">
        <v>9290</v>
      </c>
    </row>
    <row r="185" spans="2:9" ht="12" customHeight="1">
      <c r="B185">
        <v>83</v>
      </c>
      <c r="C185" t="s">
        <v>9293</v>
      </c>
      <c r="D185" t="s">
        <v>8981</v>
      </c>
      <c r="E185" t="s">
        <v>9126</v>
      </c>
      <c r="F185"/>
      <c r="G185" t="s">
        <v>9294</v>
      </c>
      <c r="H185"/>
      <c r="I185" t="s">
        <v>9290</v>
      </c>
    </row>
    <row r="186" spans="2:9" ht="12" customHeight="1">
      <c r="B186">
        <v>84</v>
      </c>
      <c r="C186" t="s">
        <v>9295</v>
      </c>
      <c r="D186" t="s">
        <v>8981</v>
      </c>
      <c r="E186" t="s">
        <v>9126</v>
      </c>
      <c r="F186"/>
      <c r="G186" t="s">
        <v>9296</v>
      </c>
      <c r="H186"/>
      <c r="I186" t="s">
        <v>9290</v>
      </c>
    </row>
    <row r="187" spans="2:9" ht="12" customHeight="1">
      <c r="B187">
        <v>85</v>
      </c>
      <c r="C187" t="s">
        <v>9297</v>
      </c>
      <c r="D187" t="s">
        <v>8981</v>
      </c>
      <c r="E187" t="s">
        <v>9126</v>
      </c>
      <c r="F187"/>
      <c r="G187" t="s">
        <v>9298</v>
      </c>
      <c r="H187"/>
      <c r="I187" t="s">
        <v>9053</v>
      </c>
    </row>
    <row r="188" spans="2:9" ht="12" customHeight="1">
      <c r="B188">
        <v>86</v>
      </c>
      <c r="C188" t="s">
        <v>9299</v>
      </c>
      <c r="D188" t="s">
        <v>8981</v>
      </c>
      <c r="E188" t="s">
        <v>9126</v>
      </c>
      <c r="F188"/>
      <c r="G188" t="s">
        <v>9300</v>
      </c>
      <c r="H188"/>
      <c r="I188" t="s">
        <v>9053</v>
      </c>
    </row>
    <row r="189" spans="2:9" ht="12" customHeight="1">
      <c r="B189">
        <v>87</v>
      </c>
      <c r="C189" t="s">
        <v>9301</v>
      </c>
      <c r="D189" t="s">
        <v>8981</v>
      </c>
      <c r="E189" t="s">
        <v>9126</v>
      </c>
      <c r="F189"/>
      <c r="G189"/>
      <c r="H189"/>
      <c r="I189" t="s">
        <v>9053</v>
      </c>
    </row>
    <row r="190" spans="2:9" ht="12" customHeight="1">
      <c r="B190">
        <v>88</v>
      </c>
      <c r="C190" t="s">
        <v>9302</v>
      </c>
      <c r="D190" t="s">
        <v>8981</v>
      </c>
      <c r="E190" t="s">
        <v>9126</v>
      </c>
      <c r="F190"/>
      <c r="G190"/>
      <c r="H190"/>
      <c r="I190" t="s">
        <v>9053</v>
      </c>
    </row>
    <row r="191" spans="2:9" ht="12" customHeight="1">
      <c r="B191">
        <v>89</v>
      </c>
      <c r="C191" t="s">
        <v>9303</v>
      </c>
      <c r="D191" t="s">
        <v>8981</v>
      </c>
      <c r="E191" t="s">
        <v>9126</v>
      </c>
      <c r="F191" t="s">
        <v>8919</v>
      </c>
      <c r="G191"/>
      <c r="H191"/>
      <c r="I191" t="s">
        <v>9060</v>
      </c>
    </row>
    <row r="192" spans="2:9" ht="12" customHeight="1">
      <c r="B192">
        <v>90</v>
      </c>
      <c r="C192" t="s">
        <v>9304</v>
      </c>
      <c r="D192" t="s">
        <v>8981</v>
      </c>
      <c r="E192" t="s">
        <v>9126</v>
      </c>
      <c r="F192" t="s">
        <v>8919</v>
      </c>
      <c r="G192"/>
      <c r="H192"/>
      <c r="I192" t="s">
        <v>9076</v>
      </c>
    </row>
    <row r="193" spans="2:9" ht="12" customHeight="1">
      <c r="B193">
        <v>91</v>
      </c>
      <c r="C193" t="s">
        <v>9305</v>
      </c>
      <c r="D193" t="s">
        <v>8981</v>
      </c>
      <c r="E193" t="s">
        <v>9126</v>
      </c>
      <c r="F193"/>
      <c r="G193"/>
      <c r="H193"/>
      <c r="I193" t="s">
        <v>9076</v>
      </c>
    </row>
    <row r="194" spans="2:9" ht="12" customHeight="1">
      <c r="B194">
        <v>92</v>
      </c>
      <c r="C194" t="s">
        <v>9306</v>
      </c>
      <c r="D194" t="s">
        <v>8981</v>
      </c>
      <c r="E194" t="s">
        <v>9126</v>
      </c>
      <c r="F194"/>
      <c r="G194"/>
      <c r="H194"/>
      <c r="I194" t="s">
        <v>9076</v>
      </c>
    </row>
    <row r="195" spans="2:9" ht="12" customHeight="1">
      <c r="B195">
        <v>93</v>
      </c>
      <c r="C195" t="s">
        <v>9307</v>
      </c>
      <c r="D195" t="s">
        <v>8981</v>
      </c>
      <c r="E195" t="s">
        <v>9126</v>
      </c>
      <c r="F195"/>
      <c r="G195"/>
      <c r="H195"/>
      <c r="I195" t="s">
        <v>8934</v>
      </c>
    </row>
    <row r="196" spans="2:9" ht="12" customHeight="1">
      <c r="B196">
        <v>94</v>
      </c>
      <c r="C196" t="s">
        <v>9308</v>
      </c>
      <c r="D196" t="s">
        <v>8981</v>
      </c>
      <c r="E196" t="s">
        <v>9126</v>
      </c>
      <c r="F196"/>
      <c r="G196"/>
      <c r="H196"/>
      <c r="I196" t="s">
        <v>8934</v>
      </c>
    </row>
    <row r="197" spans="2:9" ht="12" customHeight="1">
      <c r="B197">
        <v>95</v>
      </c>
      <c r="C197" t="s">
        <v>9309</v>
      </c>
      <c r="D197" t="s">
        <v>8981</v>
      </c>
      <c r="E197" t="s">
        <v>9126</v>
      </c>
      <c r="F197"/>
      <c r="G197"/>
      <c r="H197"/>
      <c r="I197" t="s">
        <v>8934</v>
      </c>
    </row>
    <row r="198" spans="2:9" ht="12" customHeight="1">
      <c r="B198">
        <v>96</v>
      </c>
      <c r="C198" t="s">
        <v>9310</v>
      </c>
      <c r="D198" t="s">
        <v>8981</v>
      </c>
      <c r="E198" t="s">
        <v>9126</v>
      </c>
      <c r="F198" t="s">
        <v>8919</v>
      </c>
      <c r="G198" t="s">
        <v>9311</v>
      </c>
      <c r="H198"/>
      <c r="I198" t="s">
        <v>9079</v>
      </c>
    </row>
    <row r="199" spans="2:9" ht="12" customHeight="1">
      <c r="B199">
        <v>97</v>
      </c>
      <c r="C199" t="s">
        <v>9312</v>
      </c>
      <c r="D199" t="s">
        <v>8981</v>
      </c>
      <c r="E199" t="s">
        <v>9126</v>
      </c>
      <c r="F199" t="s">
        <v>8919</v>
      </c>
      <c r="G199" t="s">
        <v>9311</v>
      </c>
      <c r="H199"/>
      <c r="I199" t="s">
        <v>9079</v>
      </c>
    </row>
    <row r="200" spans="2:9" ht="12" customHeight="1">
      <c r="B200">
        <v>98</v>
      </c>
      <c r="C200" t="s">
        <v>9313</v>
      </c>
      <c r="D200" t="s">
        <v>8981</v>
      </c>
      <c r="E200" t="s">
        <v>9126</v>
      </c>
      <c r="F200" t="s">
        <v>8919</v>
      </c>
      <c r="G200"/>
      <c r="H200"/>
      <c r="I200" t="s">
        <v>9079</v>
      </c>
    </row>
    <row r="201" spans="2:9" ht="12" customHeight="1">
      <c r="B201">
        <v>99</v>
      </c>
      <c r="C201" t="s">
        <v>9314</v>
      </c>
      <c r="D201" t="s">
        <v>8981</v>
      </c>
      <c r="E201" t="s">
        <v>9126</v>
      </c>
      <c r="F201" t="s">
        <v>8919</v>
      </c>
      <c r="G201"/>
      <c r="H201"/>
      <c r="I201" t="s">
        <v>9079</v>
      </c>
    </row>
    <row r="202" spans="2:9" ht="12" customHeight="1">
      <c r="B202">
        <v>100</v>
      </c>
      <c r="C202" t="s">
        <v>9315</v>
      </c>
      <c r="D202" t="s">
        <v>8981</v>
      </c>
      <c r="E202" t="s">
        <v>9126</v>
      </c>
      <c r="F202" t="s">
        <v>8919</v>
      </c>
      <c r="G202"/>
      <c r="H202"/>
      <c r="I202" t="s">
        <v>9079</v>
      </c>
    </row>
    <row r="203" spans="2:9" ht="12" customHeight="1">
      <c r="B203">
        <v>101</v>
      </c>
      <c r="C203" t="s">
        <v>9316</v>
      </c>
      <c r="D203" t="s">
        <v>8981</v>
      </c>
      <c r="E203" t="s">
        <v>9126</v>
      </c>
      <c r="F203" t="s">
        <v>8919</v>
      </c>
      <c r="G203"/>
      <c r="H203"/>
      <c r="I203" t="s">
        <v>9079</v>
      </c>
    </row>
    <row r="204" spans="2:9" ht="12" customHeight="1">
      <c r="B204">
        <v>102</v>
      </c>
      <c r="C204" t="s">
        <v>9317</v>
      </c>
      <c r="D204" t="s">
        <v>8981</v>
      </c>
      <c r="E204" t="s">
        <v>9126</v>
      </c>
      <c r="F204"/>
      <c r="G204"/>
      <c r="H204"/>
      <c r="I204" t="s">
        <v>9318</v>
      </c>
    </row>
    <row r="205" spans="2:9" ht="12" customHeight="1">
      <c r="B205">
        <v>103</v>
      </c>
      <c r="C205" t="s">
        <v>9319</v>
      </c>
      <c r="D205" t="s">
        <v>8981</v>
      </c>
      <c r="E205" t="s">
        <v>9126</v>
      </c>
      <c r="F205" t="s">
        <v>8919</v>
      </c>
      <c r="G205"/>
      <c r="H205"/>
      <c r="I205" t="s">
        <v>9241</v>
      </c>
    </row>
    <row r="206" spans="2:9" ht="12" customHeight="1">
      <c r="B206">
        <v>104</v>
      </c>
      <c r="C206" t="s">
        <v>9320</v>
      </c>
      <c r="D206" t="s">
        <v>8981</v>
      </c>
      <c r="E206" t="s">
        <v>9126</v>
      </c>
      <c r="F206"/>
      <c r="G206"/>
      <c r="H206"/>
      <c r="I206" t="s">
        <v>8887</v>
      </c>
    </row>
    <row r="207" spans="2:9" ht="12" customHeight="1">
      <c r="B207">
        <v>105</v>
      </c>
      <c r="C207" t="s">
        <v>9321</v>
      </c>
      <c r="D207" t="s">
        <v>8981</v>
      </c>
      <c r="E207" t="s">
        <v>9126</v>
      </c>
      <c r="F207" t="s">
        <v>8919</v>
      </c>
      <c r="G207" t="s">
        <v>9322</v>
      </c>
      <c r="H207"/>
      <c r="I207" t="s">
        <v>8887</v>
      </c>
    </row>
    <row r="208" spans="2:9" ht="12" customHeight="1">
      <c r="B208">
        <v>106</v>
      </c>
      <c r="C208" t="s">
        <v>9323</v>
      </c>
      <c r="D208" t="s">
        <v>8981</v>
      </c>
      <c r="E208" t="s">
        <v>9126</v>
      </c>
      <c r="F208"/>
      <c r="G208"/>
      <c r="H208"/>
      <c r="I208" t="s">
        <v>8897</v>
      </c>
    </row>
    <row r="209" spans="2:9" ht="12" customHeight="1">
      <c r="B209">
        <v>107</v>
      </c>
      <c r="C209" t="s">
        <v>9324</v>
      </c>
      <c r="D209" t="s">
        <v>8981</v>
      </c>
      <c r="E209" t="s">
        <v>9126</v>
      </c>
      <c r="F209"/>
      <c r="G209"/>
      <c r="H209"/>
      <c r="I209" t="s">
        <v>9101</v>
      </c>
    </row>
    <row r="210" spans="2:9" ht="12" customHeight="1">
      <c r="B210">
        <v>108</v>
      </c>
      <c r="C210" t="s">
        <v>9325</v>
      </c>
      <c r="D210" t="s">
        <v>8981</v>
      </c>
      <c r="E210" t="s">
        <v>9126</v>
      </c>
      <c r="F210"/>
      <c r="G210"/>
      <c r="H210"/>
      <c r="I210" t="s">
        <v>8913</v>
      </c>
    </row>
    <row r="211" spans="2:9" ht="12" customHeight="1">
      <c r="B211">
        <v>109</v>
      </c>
      <c r="C211" t="s">
        <v>9326</v>
      </c>
      <c r="D211" t="s">
        <v>8981</v>
      </c>
      <c r="E211" t="s">
        <v>9126</v>
      </c>
      <c r="F211" t="s">
        <v>8919</v>
      </c>
      <c r="G211"/>
      <c r="H211"/>
      <c r="I211" t="s">
        <v>8927</v>
      </c>
    </row>
    <row r="212" spans="2:9" ht="12" customHeight="1">
      <c r="B212">
        <v>110</v>
      </c>
      <c r="C212" t="s">
        <v>9327</v>
      </c>
      <c r="D212" t="s">
        <v>8981</v>
      </c>
      <c r="E212" t="s">
        <v>9126</v>
      </c>
      <c r="F212"/>
      <c r="G212"/>
      <c r="H212"/>
      <c r="I212" t="s">
        <v>8937</v>
      </c>
    </row>
    <row r="213" spans="2:9" ht="12" customHeight="1">
      <c r="B213">
        <v>111</v>
      </c>
      <c r="C213" t="s">
        <v>9328</v>
      </c>
      <c r="D213" t="s">
        <v>8981</v>
      </c>
      <c r="E213" t="s">
        <v>9126</v>
      </c>
      <c r="F213"/>
      <c r="G213"/>
      <c r="H213"/>
      <c r="I213" t="s">
        <v>9120</v>
      </c>
    </row>
    <row r="214" spans="2:9" ht="12" customHeight="1">
      <c r="B214">
        <v>112</v>
      </c>
      <c r="C214" t="s">
        <v>9329</v>
      </c>
      <c r="D214" t="s">
        <v>8981</v>
      </c>
      <c r="E214" t="s">
        <v>9126</v>
      </c>
      <c r="F214" t="s">
        <v>8919</v>
      </c>
      <c r="G214"/>
      <c r="H214"/>
      <c r="I214" t="s">
        <v>9125</v>
      </c>
    </row>
    <row r="215" spans="2:9" ht="12" customHeight="1">
      <c r="B215">
        <v>1</v>
      </c>
      <c r="C215" t="s">
        <v>9330</v>
      </c>
      <c r="D215" t="s">
        <v>8918</v>
      </c>
      <c r="E215" t="s">
        <v>9331</v>
      </c>
      <c r="F215" t="s">
        <v>8919</v>
      </c>
      <c r="G215"/>
      <c r="H215"/>
      <c r="I215" t="s">
        <v>8921</v>
      </c>
    </row>
    <row r="216" spans="2:9" ht="12" customHeight="1">
      <c r="B216">
        <v>2</v>
      </c>
      <c r="C216" t="s">
        <v>9332</v>
      </c>
      <c r="D216" t="s">
        <v>8918</v>
      </c>
      <c r="E216" t="s">
        <v>9331</v>
      </c>
      <c r="F216" t="s">
        <v>8919</v>
      </c>
      <c r="G216"/>
      <c r="H216"/>
      <c r="I216" t="s">
        <v>9183</v>
      </c>
    </row>
    <row r="217" spans="2:9" ht="12" customHeight="1">
      <c r="B217">
        <v>3</v>
      </c>
      <c r="C217" t="s">
        <v>9333</v>
      </c>
      <c r="D217" t="s">
        <v>8918</v>
      </c>
      <c r="E217" t="s">
        <v>9331</v>
      </c>
      <c r="F217" t="s">
        <v>8919</v>
      </c>
      <c r="G217"/>
      <c r="H217"/>
      <c r="I217" t="s">
        <v>8927</v>
      </c>
    </row>
    <row r="218" spans="2:9" ht="12" customHeight="1">
      <c r="B218">
        <v>4</v>
      </c>
      <c r="C218" t="s">
        <v>9334</v>
      </c>
      <c r="D218" t="s">
        <v>8866</v>
      </c>
      <c r="E218" t="s">
        <v>9331</v>
      </c>
      <c r="F218"/>
      <c r="G218"/>
      <c r="H218"/>
      <c r="I218" t="s">
        <v>8897</v>
      </c>
    </row>
    <row r="219" spans="2:9" ht="12" customHeight="1">
      <c r="B219">
        <v>5</v>
      </c>
      <c r="C219" t="s">
        <v>9335</v>
      </c>
      <c r="D219" t="s">
        <v>8866</v>
      </c>
      <c r="E219" t="s">
        <v>9331</v>
      </c>
      <c r="F219"/>
      <c r="G219"/>
      <c r="H219"/>
      <c r="I219" t="s">
        <v>8868</v>
      </c>
    </row>
    <row r="220" spans="2:9" ht="12" customHeight="1">
      <c r="B220">
        <v>6</v>
      </c>
      <c r="C220" t="s">
        <v>9336</v>
      </c>
      <c r="D220" t="s">
        <v>8866</v>
      </c>
      <c r="E220" t="s">
        <v>9331</v>
      </c>
      <c r="F220"/>
      <c r="G220"/>
      <c r="H220"/>
      <c r="I220" t="s">
        <v>8868</v>
      </c>
    </row>
    <row r="221" spans="2:9" ht="12" customHeight="1">
      <c r="B221">
        <v>7</v>
      </c>
      <c r="C221" t="s">
        <v>9337</v>
      </c>
      <c r="D221" t="s">
        <v>8866</v>
      </c>
      <c r="E221" t="s">
        <v>9331</v>
      </c>
      <c r="F221"/>
      <c r="G221"/>
      <c r="H221"/>
      <c r="I221" t="s">
        <v>8913</v>
      </c>
    </row>
    <row r="222" spans="2:9" ht="12" customHeight="1">
      <c r="B222">
        <v>8</v>
      </c>
      <c r="C222" t="s">
        <v>9338</v>
      </c>
      <c r="D222" t="s">
        <v>8866</v>
      </c>
      <c r="E222" t="s">
        <v>9331</v>
      </c>
      <c r="F222"/>
      <c r="G222" t="s">
        <v>9339</v>
      </c>
      <c r="H222"/>
      <c r="I222" t="s">
        <v>8913</v>
      </c>
    </row>
    <row r="223" spans="2:9" ht="12" customHeight="1">
      <c r="B223">
        <v>9</v>
      </c>
      <c r="C223" t="s">
        <v>9340</v>
      </c>
      <c r="D223" t="s">
        <v>8866</v>
      </c>
      <c r="E223" t="s">
        <v>9331</v>
      </c>
      <c r="F223"/>
      <c r="G223" t="s">
        <v>9341</v>
      </c>
      <c r="H223"/>
      <c r="I223" t="s">
        <v>8913</v>
      </c>
    </row>
    <row r="224" spans="2:9" ht="12" customHeight="1">
      <c r="B224">
        <v>10</v>
      </c>
      <c r="C224" t="s">
        <v>9342</v>
      </c>
      <c r="D224" t="s">
        <v>8866</v>
      </c>
      <c r="E224" t="s">
        <v>9331</v>
      </c>
      <c r="F224"/>
      <c r="G224" t="s">
        <v>9343</v>
      </c>
      <c r="H224"/>
      <c r="I224" t="s">
        <v>8868</v>
      </c>
    </row>
    <row r="225" spans="2:9" ht="12" customHeight="1">
      <c r="B225">
        <v>11</v>
      </c>
      <c r="C225" t="s">
        <v>9344</v>
      </c>
      <c r="D225" t="s">
        <v>8866</v>
      </c>
      <c r="E225" t="s">
        <v>9331</v>
      </c>
      <c r="F225"/>
      <c r="G225" t="s">
        <v>9345</v>
      </c>
      <c r="H225"/>
      <c r="I225" t="s">
        <v>8913</v>
      </c>
    </row>
    <row r="226" spans="2:9" ht="12" customHeight="1">
      <c r="B226">
        <v>12</v>
      </c>
      <c r="C226" t="s">
        <v>9346</v>
      </c>
      <c r="D226" t="s">
        <v>7838</v>
      </c>
      <c r="E226" t="s">
        <v>9331</v>
      </c>
      <c r="F226" t="s">
        <v>8919</v>
      </c>
      <c r="G226"/>
      <c r="H226"/>
      <c r="I226" t="s">
        <v>9109</v>
      </c>
    </row>
    <row r="227" spans="2:9" ht="12" customHeight="1">
      <c r="B227">
        <v>13</v>
      </c>
      <c r="C227" t="s">
        <v>9347</v>
      </c>
      <c r="D227" t="s">
        <v>7838</v>
      </c>
      <c r="E227" t="s">
        <v>9331</v>
      </c>
      <c r="F227" t="s">
        <v>8919</v>
      </c>
      <c r="G227"/>
      <c r="H227"/>
      <c r="I227" t="s">
        <v>9348</v>
      </c>
    </row>
    <row r="228" spans="2:9" ht="12" customHeight="1">
      <c r="B228">
        <v>14</v>
      </c>
      <c r="C228" t="s">
        <v>9349</v>
      </c>
      <c r="D228" t="s">
        <v>7838</v>
      </c>
      <c r="E228" t="s">
        <v>9331</v>
      </c>
      <c r="F228"/>
      <c r="G228"/>
      <c r="H228"/>
      <c r="I228" t="s">
        <v>8937</v>
      </c>
    </row>
    <row r="229" spans="2:9" ht="12" customHeight="1">
      <c r="B229">
        <v>15</v>
      </c>
      <c r="C229" t="s">
        <v>9350</v>
      </c>
      <c r="D229" t="s">
        <v>7838</v>
      </c>
      <c r="E229" t="s">
        <v>9331</v>
      </c>
      <c r="F229" t="s">
        <v>8919</v>
      </c>
      <c r="G229" t="s">
        <v>1795</v>
      </c>
      <c r="H229"/>
      <c r="I229" t="s">
        <v>8937</v>
      </c>
    </row>
    <row r="230" spans="2:9" ht="12" customHeight="1">
      <c r="B230">
        <v>16</v>
      </c>
      <c r="C230" t="s">
        <v>9351</v>
      </c>
      <c r="D230" t="s">
        <v>8874</v>
      </c>
      <c r="E230" t="s">
        <v>9331</v>
      </c>
      <c r="F230"/>
      <c r="G230"/>
      <c r="H230"/>
      <c r="I230" t="s">
        <v>8875</v>
      </c>
    </row>
    <row r="231" spans="2:9" ht="12" customHeight="1">
      <c r="B231">
        <v>17</v>
      </c>
      <c r="C231" t="s">
        <v>9352</v>
      </c>
      <c r="D231" t="s">
        <v>8874</v>
      </c>
      <c r="E231" t="s">
        <v>9331</v>
      </c>
      <c r="F231"/>
      <c r="G231"/>
      <c r="H231"/>
      <c r="I231" t="s">
        <v>8875</v>
      </c>
    </row>
    <row r="232" spans="2:9" ht="12" customHeight="1">
      <c r="B232">
        <v>18</v>
      </c>
      <c r="C232" t="s">
        <v>9353</v>
      </c>
      <c r="D232" t="s">
        <v>8874</v>
      </c>
      <c r="E232" t="s">
        <v>9331</v>
      </c>
      <c r="F232"/>
      <c r="G232"/>
      <c r="H232"/>
      <c r="I232" t="s">
        <v>8875</v>
      </c>
    </row>
    <row r="233" spans="2:9" ht="12" customHeight="1">
      <c r="B233">
        <v>19</v>
      </c>
      <c r="C233" t="s">
        <v>9354</v>
      </c>
      <c r="D233" t="s">
        <v>7840</v>
      </c>
      <c r="E233" t="s">
        <v>9331</v>
      </c>
      <c r="F233" t="s">
        <v>8919</v>
      </c>
      <c r="G233" t="s">
        <v>9355</v>
      </c>
      <c r="H233"/>
      <c r="I233" t="s">
        <v>9205</v>
      </c>
    </row>
    <row r="234" spans="2:9" ht="12" customHeight="1">
      <c r="B234">
        <v>20</v>
      </c>
      <c r="C234" t="s">
        <v>9356</v>
      </c>
      <c r="D234" t="s">
        <v>7840</v>
      </c>
      <c r="E234" t="s">
        <v>9331</v>
      </c>
      <c r="F234" t="s">
        <v>8919</v>
      </c>
      <c r="G234" t="s">
        <v>9355</v>
      </c>
      <c r="H234"/>
      <c r="I234" t="s">
        <v>9206</v>
      </c>
    </row>
    <row r="235" spans="2:9" ht="12" customHeight="1">
      <c r="B235">
        <v>21</v>
      </c>
      <c r="C235" t="s">
        <v>9357</v>
      </c>
      <c r="D235" t="s">
        <v>7840</v>
      </c>
      <c r="E235" t="s">
        <v>9331</v>
      </c>
      <c r="F235" t="s">
        <v>8919</v>
      </c>
      <c r="G235" t="s">
        <v>9358</v>
      </c>
      <c r="H235"/>
      <c r="I235" t="s">
        <v>9206</v>
      </c>
    </row>
    <row r="236" spans="2:9" ht="12" customHeight="1">
      <c r="B236">
        <v>22</v>
      </c>
      <c r="C236" t="s">
        <v>9359</v>
      </c>
      <c r="D236" t="s">
        <v>7840</v>
      </c>
      <c r="E236" t="s">
        <v>9331</v>
      </c>
      <c r="F236" t="s">
        <v>8919</v>
      </c>
      <c r="G236"/>
      <c r="H236"/>
      <c r="I236" t="s">
        <v>8942</v>
      </c>
    </row>
    <row r="237" spans="2:9" ht="12" customHeight="1">
      <c r="B237">
        <v>23</v>
      </c>
      <c r="C237" t="s">
        <v>9360</v>
      </c>
      <c r="D237" t="s">
        <v>7840</v>
      </c>
      <c r="E237" t="s">
        <v>9331</v>
      </c>
      <c r="F237" t="s">
        <v>8919</v>
      </c>
      <c r="G237"/>
      <c r="H237"/>
      <c r="I237" t="s">
        <v>8945</v>
      </c>
    </row>
    <row r="238" spans="2:9" ht="12" customHeight="1">
      <c r="B238">
        <v>24</v>
      </c>
      <c r="C238" t="s">
        <v>9361</v>
      </c>
      <c r="D238" t="s">
        <v>7842</v>
      </c>
      <c r="E238" t="s">
        <v>9331</v>
      </c>
      <c r="F238" t="s">
        <v>8919</v>
      </c>
      <c r="G238" t="s">
        <v>9362</v>
      </c>
      <c r="H238"/>
      <c r="I238" t="s">
        <v>8948</v>
      </c>
    </row>
    <row r="239" spans="2:9" ht="12" customHeight="1">
      <c r="B239">
        <v>25</v>
      </c>
      <c r="C239" t="s">
        <v>9363</v>
      </c>
      <c r="D239" t="s">
        <v>7842</v>
      </c>
      <c r="E239" t="s">
        <v>9331</v>
      </c>
      <c r="F239" t="s">
        <v>8919</v>
      </c>
      <c r="G239" t="s">
        <v>9362</v>
      </c>
      <c r="H239"/>
      <c r="I239" t="s">
        <v>8957</v>
      </c>
    </row>
    <row r="240" spans="2:9" ht="12" customHeight="1">
      <c r="B240">
        <v>26</v>
      </c>
      <c r="C240" t="s">
        <v>9364</v>
      </c>
      <c r="D240" t="s">
        <v>1980</v>
      </c>
      <c r="E240" t="s">
        <v>9331</v>
      </c>
      <c r="F240"/>
      <c r="G240" t="s">
        <v>9365</v>
      </c>
      <c r="H240"/>
      <c r="I240" t="s">
        <v>8881</v>
      </c>
    </row>
    <row r="241" spans="2:9" ht="12" customHeight="1">
      <c r="B241">
        <v>27</v>
      </c>
      <c r="C241" t="s">
        <v>9366</v>
      </c>
      <c r="D241" t="s">
        <v>1980</v>
      </c>
      <c r="E241" t="s">
        <v>9331</v>
      </c>
      <c r="F241"/>
      <c r="G241" t="s">
        <v>9367</v>
      </c>
      <c r="H241"/>
      <c r="I241" t="s">
        <v>9127</v>
      </c>
    </row>
    <row r="242" spans="2:9" ht="12" customHeight="1">
      <c r="B242">
        <v>28</v>
      </c>
      <c r="C242" t="s">
        <v>9368</v>
      </c>
      <c r="D242" t="s">
        <v>1980</v>
      </c>
      <c r="E242" t="s">
        <v>9331</v>
      </c>
      <c r="F242" t="s">
        <v>8919</v>
      </c>
      <c r="G242" t="s">
        <v>9369</v>
      </c>
      <c r="H242"/>
      <c r="I242" t="s">
        <v>9025</v>
      </c>
    </row>
    <row r="243" spans="2:9" ht="12" customHeight="1">
      <c r="B243">
        <v>29</v>
      </c>
      <c r="C243" t="s">
        <v>9370</v>
      </c>
      <c r="D243" t="s">
        <v>1980</v>
      </c>
      <c r="E243" t="s">
        <v>9331</v>
      </c>
      <c r="F243" t="s">
        <v>8919</v>
      </c>
      <c r="G243" t="s">
        <v>9371</v>
      </c>
      <c r="H243"/>
      <c r="I243" t="s">
        <v>9041</v>
      </c>
    </row>
    <row r="244" spans="2:9" ht="12" customHeight="1">
      <c r="B244">
        <v>30</v>
      </c>
      <c r="C244" t="s">
        <v>9372</v>
      </c>
      <c r="D244" t="s">
        <v>1980</v>
      </c>
      <c r="E244" t="s">
        <v>9331</v>
      </c>
      <c r="F244" t="s">
        <v>8919</v>
      </c>
      <c r="G244" t="s">
        <v>9369</v>
      </c>
      <c r="H244"/>
      <c r="I244" t="s">
        <v>9056</v>
      </c>
    </row>
    <row r="245" spans="2:9" ht="12" customHeight="1">
      <c r="B245">
        <v>31</v>
      </c>
      <c r="C245" t="s">
        <v>9373</v>
      </c>
      <c r="D245" t="s">
        <v>1980</v>
      </c>
      <c r="E245" t="s">
        <v>9331</v>
      </c>
      <c r="F245" t="s">
        <v>8919</v>
      </c>
      <c r="G245" t="s">
        <v>9369</v>
      </c>
      <c r="H245"/>
      <c r="I245" t="s">
        <v>9145</v>
      </c>
    </row>
    <row r="246" spans="2:9" ht="12" customHeight="1">
      <c r="B246">
        <v>32</v>
      </c>
      <c r="C246" t="s">
        <v>9374</v>
      </c>
      <c r="D246" t="s">
        <v>1980</v>
      </c>
      <c r="E246" t="s">
        <v>9331</v>
      </c>
      <c r="F246" t="s">
        <v>8919</v>
      </c>
      <c r="G246" t="s">
        <v>1935</v>
      </c>
      <c r="H246"/>
      <c r="I246" t="s">
        <v>9145</v>
      </c>
    </row>
    <row r="247" spans="2:9" ht="12" customHeight="1">
      <c r="B247">
        <v>33</v>
      </c>
      <c r="C247" t="s">
        <v>9375</v>
      </c>
      <c r="D247" t="s">
        <v>1980</v>
      </c>
      <c r="E247" t="s">
        <v>9331</v>
      </c>
      <c r="F247" t="s">
        <v>8919</v>
      </c>
      <c r="G247" t="s">
        <v>9376</v>
      </c>
      <c r="H247"/>
      <c r="I247" t="s">
        <v>8891</v>
      </c>
    </row>
    <row r="248" spans="2:9" ht="12" customHeight="1">
      <c r="B248">
        <v>34</v>
      </c>
      <c r="C248" t="s">
        <v>9377</v>
      </c>
      <c r="D248" t="s">
        <v>1980</v>
      </c>
      <c r="E248" t="s">
        <v>9331</v>
      </c>
      <c r="F248" t="s">
        <v>8919</v>
      </c>
      <c r="G248" t="s">
        <v>9378</v>
      </c>
      <c r="H248"/>
      <c r="I248" t="s">
        <v>8969</v>
      </c>
    </row>
    <row r="249" spans="2:9" ht="12" customHeight="1">
      <c r="B249">
        <v>35</v>
      </c>
      <c r="C249" t="s">
        <v>9379</v>
      </c>
      <c r="D249" t="s">
        <v>1980</v>
      </c>
      <c r="E249" t="s">
        <v>9331</v>
      </c>
      <c r="F249"/>
      <c r="G249"/>
      <c r="H249"/>
      <c r="I249" t="s">
        <v>8977</v>
      </c>
    </row>
    <row r="250" spans="2:9" ht="12" customHeight="1">
      <c r="B250">
        <v>36</v>
      </c>
      <c r="C250" t="s">
        <v>9380</v>
      </c>
      <c r="D250" t="s">
        <v>6001</v>
      </c>
      <c r="E250" t="s">
        <v>9331</v>
      </c>
      <c r="F250" t="s">
        <v>8919</v>
      </c>
      <c r="G250" t="s">
        <v>1882</v>
      </c>
      <c r="H250"/>
      <c r="I250" t="s">
        <v>9381</v>
      </c>
    </row>
    <row r="251" spans="2:9" ht="12" customHeight="1">
      <c r="B251">
        <v>37</v>
      </c>
      <c r="C251" t="s">
        <v>9382</v>
      </c>
      <c r="D251" t="s">
        <v>6001</v>
      </c>
      <c r="E251" t="s">
        <v>9331</v>
      </c>
      <c r="F251"/>
      <c r="G251"/>
      <c r="H251"/>
      <c r="I251" t="s">
        <v>9127</v>
      </c>
    </row>
    <row r="252" spans="2:9" ht="12" customHeight="1">
      <c r="B252">
        <v>38</v>
      </c>
      <c r="C252" t="s">
        <v>9383</v>
      </c>
      <c r="D252" t="s">
        <v>6001</v>
      </c>
      <c r="E252" t="s">
        <v>9331</v>
      </c>
      <c r="F252" t="s">
        <v>8919</v>
      </c>
      <c r="G252" t="s">
        <v>9384</v>
      </c>
      <c r="H252"/>
      <c r="I252" t="s">
        <v>9287</v>
      </c>
    </row>
    <row r="253" spans="2:9" ht="12" customHeight="1">
      <c r="B253">
        <v>39</v>
      </c>
      <c r="C253" t="s">
        <v>9385</v>
      </c>
      <c r="D253" t="s">
        <v>6001</v>
      </c>
      <c r="E253" t="s">
        <v>9331</v>
      </c>
      <c r="F253" t="s">
        <v>8919</v>
      </c>
      <c r="G253" t="s">
        <v>2052</v>
      </c>
      <c r="H253"/>
      <c r="I253" t="s">
        <v>9287</v>
      </c>
    </row>
    <row r="254" spans="2:9" ht="12" customHeight="1">
      <c r="B254">
        <v>40</v>
      </c>
      <c r="C254" t="s">
        <v>9386</v>
      </c>
      <c r="D254" t="s">
        <v>6001</v>
      </c>
      <c r="E254" t="s">
        <v>9331</v>
      </c>
      <c r="F254"/>
      <c r="G254" t="s">
        <v>9384</v>
      </c>
      <c r="H254"/>
      <c r="I254" t="s">
        <v>9041</v>
      </c>
    </row>
    <row r="255" spans="2:9" ht="12" customHeight="1">
      <c r="B255">
        <v>41</v>
      </c>
      <c r="C255" t="s">
        <v>9387</v>
      </c>
      <c r="D255" t="s">
        <v>6001</v>
      </c>
      <c r="E255" t="s">
        <v>9331</v>
      </c>
      <c r="F255"/>
      <c r="G255" t="s">
        <v>1882</v>
      </c>
      <c r="H255"/>
      <c r="I255" t="s">
        <v>8875</v>
      </c>
    </row>
    <row r="256" spans="2:9" ht="12" customHeight="1">
      <c r="B256">
        <v>42</v>
      </c>
      <c r="C256" t="s">
        <v>9388</v>
      </c>
      <c r="D256" t="s">
        <v>6001</v>
      </c>
      <c r="E256" t="s">
        <v>9331</v>
      </c>
      <c r="F256" t="s">
        <v>8919</v>
      </c>
      <c r="G256" t="s">
        <v>1882</v>
      </c>
      <c r="H256"/>
      <c r="I256" t="s">
        <v>9205</v>
      </c>
    </row>
    <row r="257" spans="2:9" ht="12" customHeight="1">
      <c r="B257">
        <v>43</v>
      </c>
      <c r="C257" t="s">
        <v>9389</v>
      </c>
      <c r="D257" t="s">
        <v>8981</v>
      </c>
      <c r="E257" t="s">
        <v>9331</v>
      </c>
      <c r="F257" t="s">
        <v>8919</v>
      </c>
      <c r="G257"/>
      <c r="H257"/>
      <c r="I257" t="s">
        <v>8881</v>
      </c>
    </row>
    <row r="258" spans="2:9" ht="12" customHeight="1">
      <c r="B258">
        <v>44</v>
      </c>
      <c r="C258" t="s">
        <v>9390</v>
      </c>
      <c r="D258" t="s">
        <v>8981</v>
      </c>
      <c r="E258" t="s">
        <v>9331</v>
      </c>
      <c r="F258"/>
      <c r="G258"/>
      <c r="H258"/>
      <c r="I258" t="s">
        <v>8988</v>
      </c>
    </row>
    <row r="259" spans="2:9" ht="12" customHeight="1">
      <c r="B259">
        <v>45</v>
      </c>
      <c r="C259" t="s">
        <v>9391</v>
      </c>
      <c r="D259" t="s">
        <v>8981</v>
      </c>
      <c r="E259" t="s">
        <v>9331</v>
      </c>
      <c r="F259" t="s">
        <v>8919</v>
      </c>
      <c r="G259"/>
      <c r="H259"/>
      <c r="I259" t="s">
        <v>8994</v>
      </c>
    </row>
    <row r="260" spans="2:9" ht="12" customHeight="1">
      <c r="B260">
        <v>46</v>
      </c>
      <c r="C260" t="s">
        <v>9392</v>
      </c>
      <c r="D260" t="s">
        <v>8981</v>
      </c>
      <c r="E260" t="s">
        <v>9331</v>
      </c>
      <c r="F260" t="s">
        <v>8919</v>
      </c>
      <c r="G260"/>
      <c r="H260"/>
      <c r="I260" t="s">
        <v>8994</v>
      </c>
    </row>
    <row r="261" spans="2:9" ht="12" customHeight="1">
      <c r="B261">
        <v>47</v>
      </c>
      <c r="C261" t="s">
        <v>9393</v>
      </c>
      <c r="D261" t="s">
        <v>8981</v>
      </c>
      <c r="E261" t="s">
        <v>9331</v>
      </c>
      <c r="F261" t="s">
        <v>8919</v>
      </c>
      <c r="G261"/>
      <c r="H261"/>
      <c r="I261" t="s">
        <v>8994</v>
      </c>
    </row>
    <row r="262" spans="2:9" ht="12" customHeight="1">
      <c r="B262">
        <v>48</v>
      </c>
      <c r="C262" t="s">
        <v>9394</v>
      </c>
      <c r="D262" t="s">
        <v>8981</v>
      </c>
      <c r="E262" t="s">
        <v>9331</v>
      </c>
      <c r="F262" t="s">
        <v>8919</v>
      </c>
      <c r="G262"/>
      <c r="H262"/>
      <c r="I262" t="s">
        <v>9009</v>
      </c>
    </row>
    <row r="263" spans="2:9" ht="12" customHeight="1">
      <c r="B263">
        <v>49</v>
      </c>
      <c r="C263" t="s">
        <v>9395</v>
      </c>
      <c r="D263" t="s">
        <v>8981</v>
      </c>
      <c r="E263" t="s">
        <v>9331</v>
      </c>
      <c r="F263"/>
      <c r="G263"/>
      <c r="H263"/>
      <c r="I263" t="s">
        <v>9009</v>
      </c>
    </row>
    <row r="264" spans="2:9" ht="12" customHeight="1">
      <c r="B264">
        <v>50</v>
      </c>
      <c r="C264" t="s">
        <v>9396</v>
      </c>
      <c r="D264" t="s">
        <v>8981</v>
      </c>
      <c r="E264" t="s">
        <v>9331</v>
      </c>
      <c r="F264" t="s">
        <v>8919</v>
      </c>
      <c r="G264"/>
      <c r="H264"/>
      <c r="I264" t="s">
        <v>9013</v>
      </c>
    </row>
    <row r="265" spans="2:9" ht="12" customHeight="1">
      <c r="B265">
        <v>51</v>
      </c>
      <c r="C265" t="s">
        <v>9397</v>
      </c>
      <c r="D265" t="s">
        <v>8981</v>
      </c>
      <c r="E265" t="s">
        <v>9331</v>
      </c>
      <c r="F265" t="s">
        <v>8919</v>
      </c>
      <c r="G265"/>
      <c r="H265"/>
      <c r="I265" t="s">
        <v>9019</v>
      </c>
    </row>
    <row r="266" spans="2:9" ht="12" customHeight="1">
      <c r="B266">
        <v>52</v>
      </c>
      <c r="C266" t="s">
        <v>9398</v>
      </c>
      <c r="D266" t="s">
        <v>8981</v>
      </c>
      <c r="E266" t="s">
        <v>9331</v>
      </c>
      <c r="F266"/>
      <c r="G266"/>
      <c r="H266"/>
      <c r="I266" t="s">
        <v>9041</v>
      </c>
    </row>
    <row r="267" spans="2:9" ht="12" customHeight="1">
      <c r="B267">
        <v>53</v>
      </c>
      <c r="C267" t="s">
        <v>9399</v>
      </c>
      <c r="D267" t="s">
        <v>8981</v>
      </c>
      <c r="E267" t="s">
        <v>9331</v>
      </c>
      <c r="F267"/>
      <c r="G267"/>
      <c r="H267"/>
      <c r="I267" t="s">
        <v>9053</v>
      </c>
    </row>
    <row r="268" spans="2:9" ht="12" customHeight="1">
      <c r="B268">
        <v>54</v>
      </c>
      <c r="C268" t="s">
        <v>9400</v>
      </c>
      <c r="D268" t="s">
        <v>8981</v>
      </c>
      <c r="E268" t="s">
        <v>9331</v>
      </c>
      <c r="F268" t="s">
        <v>8919</v>
      </c>
      <c r="G268"/>
      <c r="H268"/>
      <c r="I268" t="s">
        <v>9069</v>
      </c>
    </row>
    <row r="269" spans="2:9" ht="12" customHeight="1">
      <c r="B269">
        <v>55</v>
      </c>
      <c r="C269" t="s">
        <v>9401</v>
      </c>
      <c r="D269" t="s">
        <v>8981</v>
      </c>
      <c r="E269" t="s">
        <v>9331</v>
      </c>
      <c r="F269"/>
      <c r="G269"/>
      <c r="H269"/>
      <c r="I269" t="s">
        <v>8934</v>
      </c>
    </row>
    <row r="270" spans="2:9" ht="12" customHeight="1">
      <c r="B270">
        <v>56</v>
      </c>
      <c r="C270" t="s">
        <v>9402</v>
      </c>
      <c r="D270" t="s">
        <v>8981</v>
      </c>
      <c r="E270" t="s">
        <v>9331</v>
      </c>
      <c r="F270"/>
      <c r="G270"/>
      <c r="H270"/>
      <c r="I270" t="s">
        <v>8934</v>
      </c>
    </row>
    <row r="271" spans="2:9" ht="12" customHeight="1">
      <c r="B271">
        <v>57</v>
      </c>
      <c r="C271" t="s">
        <v>9403</v>
      </c>
      <c r="D271" t="s">
        <v>8981</v>
      </c>
      <c r="E271" t="s">
        <v>9331</v>
      </c>
      <c r="F271" t="s">
        <v>8919</v>
      </c>
      <c r="G271" t="s">
        <v>9311</v>
      </c>
      <c r="H271"/>
      <c r="I271" t="s">
        <v>9079</v>
      </c>
    </row>
    <row r="272" spans="2:9" ht="12" customHeight="1">
      <c r="B272">
        <v>58</v>
      </c>
      <c r="C272" t="s">
        <v>9404</v>
      </c>
      <c r="D272" t="s">
        <v>8981</v>
      </c>
      <c r="E272" t="s">
        <v>9331</v>
      </c>
      <c r="F272" t="s">
        <v>8919</v>
      </c>
      <c r="G272"/>
      <c r="H272"/>
      <c r="I272" t="s">
        <v>9079</v>
      </c>
    </row>
    <row r="273" spans="2:9" ht="12" customHeight="1">
      <c r="B273">
        <v>59</v>
      </c>
      <c r="C273" t="s">
        <v>9405</v>
      </c>
      <c r="D273" t="s">
        <v>8981</v>
      </c>
      <c r="E273" t="s">
        <v>9331</v>
      </c>
      <c r="F273" t="s">
        <v>8919</v>
      </c>
      <c r="G273"/>
      <c r="H273"/>
      <c r="I273" t="s">
        <v>9079</v>
      </c>
    </row>
    <row r="274" spans="2:9" ht="12" customHeight="1">
      <c r="B274">
        <v>60</v>
      </c>
      <c r="C274" t="s">
        <v>9406</v>
      </c>
      <c r="D274" t="s">
        <v>8981</v>
      </c>
      <c r="E274" t="s">
        <v>9331</v>
      </c>
      <c r="F274" t="s">
        <v>8919</v>
      </c>
      <c r="G274"/>
      <c r="H274"/>
      <c r="I274" t="s">
        <v>9079</v>
      </c>
    </row>
    <row r="275" spans="2:9" ht="12" customHeight="1">
      <c r="B275">
        <v>61</v>
      </c>
      <c r="C275" t="s">
        <v>9407</v>
      </c>
      <c r="D275" t="s">
        <v>8981</v>
      </c>
      <c r="E275" t="s">
        <v>9331</v>
      </c>
      <c r="F275" t="s">
        <v>8919</v>
      </c>
      <c r="G275"/>
      <c r="H275"/>
      <c r="I275" t="s">
        <v>9079</v>
      </c>
    </row>
    <row r="276" spans="2:9" ht="12" customHeight="1">
      <c r="B276">
        <v>62</v>
      </c>
      <c r="C276" t="s">
        <v>9408</v>
      </c>
      <c r="D276" t="s">
        <v>8981</v>
      </c>
      <c r="E276" t="s">
        <v>9331</v>
      </c>
      <c r="F276" t="s">
        <v>8919</v>
      </c>
      <c r="G276"/>
      <c r="H276"/>
      <c r="I276" t="s">
        <v>9079</v>
      </c>
    </row>
    <row r="277" spans="2:9" ht="12" customHeight="1">
      <c r="B277">
        <v>63</v>
      </c>
      <c r="C277" t="s">
        <v>9409</v>
      </c>
      <c r="D277" t="s">
        <v>8981</v>
      </c>
      <c r="E277" t="s">
        <v>9331</v>
      </c>
      <c r="F277" t="s">
        <v>8919</v>
      </c>
      <c r="G277"/>
      <c r="H277"/>
      <c r="I277" t="s">
        <v>9079</v>
      </c>
    </row>
    <row r="278" spans="2:9" ht="12" customHeight="1">
      <c r="B278">
        <v>64</v>
      </c>
      <c r="C278" t="s">
        <v>9410</v>
      </c>
      <c r="D278" t="s">
        <v>8981</v>
      </c>
      <c r="E278" t="s">
        <v>9331</v>
      </c>
      <c r="F278" t="s">
        <v>8919</v>
      </c>
      <c r="G278"/>
      <c r="H278"/>
      <c r="I278" t="s">
        <v>9079</v>
      </c>
    </row>
    <row r="279" spans="2:9" ht="12" customHeight="1">
      <c r="B279">
        <v>65</v>
      </c>
      <c r="C279" t="s">
        <v>9411</v>
      </c>
      <c r="D279" t="s">
        <v>8981</v>
      </c>
      <c r="E279" t="s">
        <v>9331</v>
      </c>
      <c r="F279"/>
      <c r="G279"/>
      <c r="H279"/>
      <c r="I279" t="s">
        <v>9241</v>
      </c>
    </row>
    <row r="280" spans="2:9" ht="12" customHeight="1">
      <c r="B280">
        <v>66</v>
      </c>
      <c r="C280" t="s">
        <v>9412</v>
      </c>
      <c r="D280" t="s">
        <v>8981</v>
      </c>
      <c r="E280" t="s">
        <v>9331</v>
      </c>
      <c r="F280"/>
      <c r="G280"/>
      <c r="H280"/>
      <c r="I280" t="s">
        <v>9241</v>
      </c>
    </row>
    <row r="281" spans="2:9" ht="12" customHeight="1">
      <c r="B281">
        <v>67</v>
      </c>
      <c r="C281" t="s">
        <v>9413</v>
      </c>
      <c r="D281" t="s">
        <v>8981</v>
      </c>
      <c r="E281" t="s">
        <v>9331</v>
      </c>
      <c r="F281"/>
      <c r="G281"/>
      <c r="H281"/>
      <c r="I281" t="s">
        <v>9241</v>
      </c>
    </row>
    <row r="282" spans="2:9" ht="12" customHeight="1">
      <c r="B282">
        <v>68</v>
      </c>
      <c r="C282" t="s">
        <v>9414</v>
      </c>
      <c r="D282" t="s">
        <v>8981</v>
      </c>
      <c r="E282" t="s">
        <v>9331</v>
      </c>
      <c r="F282"/>
      <c r="G282"/>
      <c r="H282"/>
      <c r="I282" t="s">
        <v>8884</v>
      </c>
    </row>
    <row r="283" spans="2:9" ht="12" customHeight="1">
      <c r="B283">
        <v>69</v>
      </c>
      <c r="C283" t="s">
        <v>9415</v>
      </c>
      <c r="D283" t="s">
        <v>8981</v>
      </c>
      <c r="E283" t="s">
        <v>9331</v>
      </c>
      <c r="F283"/>
      <c r="G283"/>
      <c r="H283"/>
      <c r="I283" t="s">
        <v>8884</v>
      </c>
    </row>
    <row r="284" spans="2:9" ht="12" customHeight="1">
      <c r="B284">
        <v>70</v>
      </c>
      <c r="C284" t="s">
        <v>9416</v>
      </c>
      <c r="D284" t="s">
        <v>8981</v>
      </c>
      <c r="E284" t="s">
        <v>9331</v>
      </c>
      <c r="F284"/>
      <c r="G284"/>
      <c r="H284"/>
      <c r="I284" t="s">
        <v>9145</v>
      </c>
    </row>
    <row r="285" spans="2:9" ht="12" customHeight="1">
      <c r="B285">
        <v>71</v>
      </c>
      <c r="C285" t="s">
        <v>9417</v>
      </c>
      <c r="D285" t="s">
        <v>8981</v>
      </c>
      <c r="E285" t="s">
        <v>9331</v>
      </c>
      <c r="F285" t="s">
        <v>8919</v>
      </c>
      <c r="G285"/>
      <c r="H285"/>
      <c r="I285" t="s">
        <v>9418</v>
      </c>
    </row>
    <row r="286" spans="2:9" ht="12" customHeight="1">
      <c r="B286">
        <v>72</v>
      </c>
      <c r="C286" t="s">
        <v>9419</v>
      </c>
      <c r="D286" t="s">
        <v>8981</v>
      </c>
      <c r="E286" t="s">
        <v>9331</v>
      </c>
      <c r="F286" t="s">
        <v>8919</v>
      </c>
      <c r="G286"/>
      <c r="H286"/>
      <c r="I286" t="s">
        <v>9418</v>
      </c>
    </row>
    <row r="287" spans="2:9" ht="12" customHeight="1">
      <c r="B287">
        <v>73</v>
      </c>
      <c r="C287" t="s">
        <v>9420</v>
      </c>
      <c r="D287" t="s">
        <v>8981</v>
      </c>
      <c r="E287" t="s">
        <v>9331</v>
      </c>
      <c r="F287"/>
      <c r="G287"/>
      <c r="H287"/>
      <c r="I287" t="s">
        <v>9200</v>
      </c>
    </row>
    <row r="288" spans="2:9" ht="12" customHeight="1">
      <c r="B288">
        <v>74</v>
      </c>
      <c r="C288" t="s">
        <v>9421</v>
      </c>
      <c r="D288" t="s">
        <v>8981</v>
      </c>
      <c r="E288" t="s">
        <v>9331</v>
      </c>
      <c r="F288"/>
      <c r="G288"/>
      <c r="H288"/>
      <c r="I288" t="s">
        <v>9200</v>
      </c>
    </row>
    <row r="289" spans="2:9" ht="12" customHeight="1">
      <c r="B289">
        <v>75</v>
      </c>
      <c r="C289" t="s">
        <v>9422</v>
      </c>
      <c r="D289" t="s">
        <v>8981</v>
      </c>
      <c r="E289" t="s">
        <v>9331</v>
      </c>
      <c r="F289"/>
      <c r="G289"/>
      <c r="H289"/>
      <c r="I289" t="s">
        <v>8973</v>
      </c>
    </row>
    <row r="290" spans="2:9" ht="12" customHeight="1">
      <c r="B290">
        <v>1</v>
      </c>
      <c r="C290" t="s">
        <v>9423</v>
      </c>
      <c r="D290" t="s">
        <v>6001</v>
      </c>
      <c r="E290" t="s">
        <v>2217</v>
      </c>
      <c r="F290" t="s">
        <v>8919</v>
      </c>
      <c r="G290" t="s">
        <v>9384</v>
      </c>
      <c r="H290"/>
      <c r="I290" t="s">
        <v>9127</v>
      </c>
    </row>
    <row r="291" spans="2:9" ht="12" customHeight="1">
      <c r="B291">
        <v>2</v>
      </c>
      <c r="C291" t="s">
        <v>9424</v>
      </c>
      <c r="D291" t="s">
        <v>6001</v>
      </c>
      <c r="E291" t="s">
        <v>2217</v>
      </c>
      <c r="F291"/>
      <c r="G291"/>
      <c r="H291"/>
      <c r="I291" t="s">
        <v>9127</v>
      </c>
    </row>
    <row r="292" spans="2:9" ht="12" customHeight="1">
      <c r="B292">
        <v>3</v>
      </c>
      <c r="C292" t="s">
        <v>9425</v>
      </c>
      <c r="D292" t="s">
        <v>6001</v>
      </c>
      <c r="E292" t="s">
        <v>2217</v>
      </c>
      <c r="F292" t="s">
        <v>8919</v>
      </c>
      <c r="G292" t="s">
        <v>9426</v>
      </c>
      <c r="H292"/>
      <c r="I292" t="s">
        <v>9041</v>
      </c>
    </row>
    <row r="293" spans="2:9" ht="12" customHeight="1">
      <c r="B293">
        <v>4</v>
      </c>
      <c r="C293" t="s">
        <v>9427</v>
      </c>
      <c r="D293" t="s">
        <v>6001</v>
      </c>
      <c r="E293" t="s">
        <v>2217</v>
      </c>
      <c r="F293" t="s">
        <v>8919</v>
      </c>
      <c r="G293" t="s">
        <v>9384</v>
      </c>
      <c r="H293"/>
      <c r="I293" t="s">
        <v>9101</v>
      </c>
    </row>
    <row r="294" spans="2:9" ht="12" customHeight="1">
      <c r="B294">
        <v>5</v>
      </c>
      <c r="C294" t="s">
        <v>9428</v>
      </c>
      <c r="D294" t="s">
        <v>8866</v>
      </c>
      <c r="E294" t="s">
        <v>2217</v>
      </c>
      <c r="F294"/>
      <c r="G294"/>
      <c r="H294"/>
      <c r="I294" t="s">
        <v>8868</v>
      </c>
    </row>
    <row r="295" spans="2:9" ht="12" customHeight="1">
      <c r="B295">
        <v>6</v>
      </c>
      <c r="C295" t="s">
        <v>9429</v>
      </c>
      <c r="D295" t="s">
        <v>8918</v>
      </c>
      <c r="E295" t="s">
        <v>2217</v>
      </c>
      <c r="F295" t="s">
        <v>8919</v>
      </c>
      <c r="G295"/>
      <c r="H295"/>
      <c r="I295" t="s">
        <v>9430</v>
      </c>
    </row>
    <row r="296" spans="2:9" ht="12" customHeight="1">
      <c r="B296">
        <v>7</v>
      </c>
      <c r="C296" t="s">
        <v>9431</v>
      </c>
      <c r="D296" t="s">
        <v>8918</v>
      </c>
      <c r="E296" t="s">
        <v>2217</v>
      </c>
      <c r="F296" t="s">
        <v>8919</v>
      </c>
      <c r="G296"/>
      <c r="H296"/>
      <c r="I296" t="s">
        <v>9430</v>
      </c>
    </row>
    <row r="297" spans="2:9" ht="12" customHeight="1">
      <c r="B297">
        <v>8</v>
      </c>
      <c r="C297" t="s">
        <v>9432</v>
      </c>
      <c r="D297" t="s">
        <v>8918</v>
      </c>
      <c r="E297" t="s">
        <v>2217</v>
      </c>
      <c r="F297" t="s">
        <v>8919</v>
      </c>
      <c r="G297"/>
      <c r="H297"/>
      <c r="I297" t="s">
        <v>8921</v>
      </c>
    </row>
    <row r="298" spans="2:9" ht="12" customHeight="1">
      <c r="B298">
        <v>9</v>
      </c>
      <c r="C298" t="s">
        <v>9433</v>
      </c>
      <c r="D298" t="s">
        <v>8918</v>
      </c>
      <c r="E298" t="s">
        <v>2217</v>
      </c>
      <c r="F298" t="s">
        <v>8919</v>
      </c>
      <c r="G298"/>
      <c r="H298"/>
      <c r="I298" t="s">
        <v>8927</v>
      </c>
    </row>
    <row r="299" spans="2:9" ht="12" customHeight="1">
      <c r="B299">
        <v>10</v>
      </c>
      <c r="C299" t="s">
        <v>9434</v>
      </c>
      <c r="D299" t="s">
        <v>8918</v>
      </c>
      <c r="E299" t="s">
        <v>2217</v>
      </c>
      <c r="F299"/>
      <c r="G299"/>
      <c r="H299"/>
      <c r="I299" t="s">
        <v>8927</v>
      </c>
    </row>
    <row r="300" spans="2:9" ht="12" customHeight="1">
      <c r="B300">
        <v>11</v>
      </c>
      <c r="C300" t="s">
        <v>9435</v>
      </c>
      <c r="D300" t="s">
        <v>7838</v>
      </c>
      <c r="E300" t="s">
        <v>2217</v>
      </c>
      <c r="F300" t="s">
        <v>8919</v>
      </c>
      <c r="G300"/>
      <c r="H300"/>
      <c r="I300" t="s">
        <v>9348</v>
      </c>
    </row>
    <row r="301" spans="2:9" ht="12" customHeight="1">
      <c r="B301">
        <v>12</v>
      </c>
      <c r="C301" t="s">
        <v>9436</v>
      </c>
      <c r="D301" t="s">
        <v>7838</v>
      </c>
      <c r="E301" t="s">
        <v>2217</v>
      </c>
      <c r="F301" t="s">
        <v>8919</v>
      </c>
      <c r="G301" t="s">
        <v>9322</v>
      </c>
      <c r="H301"/>
      <c r="I301" t="s">
        <v>8937</v>
      </c>
    </row>
    <row r="302" spans="2:9" ht="12" customHeight="1">
      <c r="B302">
        <v>13</v>
      </c>
      <c r="C302" t="s">
        <v>9437</v>
      </c>
      <c r="D302" t="s">
        <v>8874</v>
      </c>
      <c r="E302" t="s">
        <v>2217</v>
      </c>
      <c r="F302"/>
      <c r="G302"/>
      <c r="H302"/>
      <c r="I302" t="s">
        <v>8875</v>
      </c>
    </row>
    <row r="303" spans="2:9" ht="12" customHeight="1">
      <c r="B303">
        <v>14</v>
      </c>
      <c r="C303" t="s">
        <v>9438</v>
      </c>
      <c r="D303" t="s">
        <v>7840</v>
      </c>
      <c r="E303" t="s">
        <v>2217</v>
      </c>
      <c r="F303" t="s">
        <v>8919</v>
      </c>
      <c r="G303" t="s">
        <v>9358</v>
      </c>
      <c r="H303"/>
      <c r="I303" t="s">
        <v>8942</v>
      </c>
    </row>
    <row r="304" spans="2:9" ht="12" customHeight="1">
      <c r="B304">
        <v>15</v>
      </c>
      <c r="C304" t="s">
        <v>9439</v>
      </c>
      <c r="D304" t="s">
        <v>1980</v>
      </c>
      <c r="E304" t="s">
        <v>2217</v>
      </c>
      <c r="F304" t="s">
        <v>8919</v>
      </c>
      <c r="G304" t="s">
        <v>9369</v>
      </c>
      <c r="H304"/>
      <c r="I304" t="s">
        <v>9440</v>
      </c>
    </row>
    <row r="305" spans="2:9" ht="12" customHeight="1">
      <c r="B305">
        <v>16</v>
      </c>
      <c r="C305" t="s">
        <v>9441</v>
      </c>
      <c r="D305" t="s">
        <v>1980</v>
      </c>
      <c r="E305" t="s">
        <v>2217</v>
      </c>
      <c r="F305"/>
      <c r="G305" t="s">
        <v>1887</v>
      </c>
      <c r="H305"/>
      <c r="I305" t="s">
        <v>9069</v>
      </c>
    </row>
    <row r="306" spans="2:9" ht="12" customHeight="1">
      <c r="B306">
        <v>17</v>
      </c>
      <c r="C306" t="s">
        <v>9442</v>
      </c>
      <c r="D306" t="s">
        <v>1980</v>
      </c>
      <c r="E306" t="s">
        <v>2217</v>
      </c>
      <c r="F306" t="s">
        <v>8919</v>
      </c>
      <c r="G306" t="s">
        <v>9443</v>
      </c>
      <c r="H306"/>
      <c r="I306" t="s">
        <v>9076</v>
      </c>
    </row>
    <row r="307" spans="2:9" ht="12" customHeight="1">
      <c r="B307">
        <v>18</v>
      </c>
      <c r="C307" t="s">
        <v>9444</v>
      </c>
      <c r="D307" t="s">
        <v>1980</v>
      </c>
      <c r="E307" t="s">
        <v>2217</v>
      </c>
      <c r="F307" t="s">
        <v>8919</v>
      </c>
      <c r="G307" t="s">
        <v>9369</v>
      </c>
      <c r="H307"/>
      <c r="I307" t="s">
        <v>9086</v>
      </c>
    </row>
    <row r="308" spans="2:9" ht="12" customHeight="1">
      <c r="B308">
        <v>19</v>
      </c>
      <c r="C308" t="s">
        <v>9445</v>
      </c>
      <c r="D308" t="s">
        <v>1980</v>
      </c>
      <c r="E308" t="s">
        <v>2217</v>
      </c>
      <c r="F308" t="s">
        <v>8919</v>
      </c>
      <c r="G308" t="s">
        <v>9446</v>
      </c>
      <c r="H308"/>
      <c r="I308" t="s">
        <v>8969</v>
      </c>
    </row>
    <row r="309" spans="2:9" ht="12" customHeight="1">
      <c r="B309">
        <v>20</v>
      </c>
      <c r="C309" t="s">
        <v>9447</v>
      </c>
      <c r="D309" t="s">
        <v>1980</v>
      </c>
      <c r="E309" t="s">
        <v>2217</v>
      </c>
      <c r="F309" t="s">
        <v>8919</v>
      </c>
      <c r="G309" t="s">
        <v>9378</v>
      </c>
      <c r="H309"/>
      <c r="I309" t="s">
        <v>8973</v>
      </c>
    </row>
    <row r="310" spans="2:9" ht="12" customHeight="1">
      <c r="B310">
        <v>21</v>
      </c>
      <c r="C310" t="s">
        <v>9448</v>
      </c>
      <c r="D310" t="s">
        <v>8981</v>
      </c>
      <c r="E310" t="s">
        <v>2217</v>
      </c>
      <c r="F310"/>
      <c r="G310"/>
      <c r="H310"/>
      <c r="I310" t="s">
        <v>9381</v>
      </c>
    </row>
    <row r="311" spans="2:9" ht="12" customHeight="1">
      <c r="B311">
        <v>22</v>
      </c>
      <c r="C311" t="s">
        <v>9449</v>
      </c>
      <c r="D311" t="s">
        <v>8981</v>
      </c>
      <c r="E311" t="s">
        <v>2217</v>
      </c>
      <c r="F311" t="s">
        <v>8919</v>
      </c>
      <c r="G311"/>
      <c r="H311"/>
      <c r="I311" t="s">
        <v>8994</v>
      </c>
    </row>
    <row r="312" spans="2:9" ht="12" customHeight="1">
      <c r="B312">
        <v>23</v>
      </c>
      <c r="C312" t="s">
        <v>9450</v>
      </c>
      <c r="D312" t="s">
        <v>8981</v>
      </c>
      <c r="E312" t="s">
        <v>2217</v>
      </c>
      <c r="F312" t="s">
        <v>8919</v>
      </c>
      <c r="G312"/>
      <c r="H312"/>
      <c r="I312" t="s">
        <v>8994</v>
      </c>
    </row>
    <row r="313" spans="2:9" ht="12" customHeight="1">
      <c r="B313">
        <v>24</v>
      </c>
      <c r="C313" t="s">
        <v>9451</v>
      </c>
      <c r="D313" t="s">
        <v>8981</v>
      </c>
      <c r="E313" t="s">
        <v>2217</v>
      </c>
      <c r="F313" t="s">
        <v>8919</v>
      </c>
      <c r="G313"/>
      <c r="H313"/>
      <c r="I313" t="s">
        <v>9013</v>
      </c>
    </row>
    <row r="314" spans="2:9" ht="12" customHeight="1">
      <c r="B314">
        <v>25</v>
      </c>
      <c r="C314" t="s">
        <v>9452</v>
      </c>
      <c r="D314" t="s">
        <v>8981</v>
      </c>
      <c r="E314" t="s">
        <v>2217</v>
      </c>
      <c r="F314" t="s">
        <v>8919</v>
      </c>
      <c r="G314"/>
      <c r="H314"/>
      <c r="I314" t="s">
        <v>9019</v>
      </c>
    </row>
    <row r="315" spans="2:9" ht="12" customHeight="1">
      <c r="B315">
        <v>26</v>
      </c>
      <c r="C315" t="s">
        <v>9453</v>
      </c>
      <c r="D315" t="s">
        <v>8981</v>
      </c>
      <c r="E315" t="s">
        <v>2217</v>
      </c>
      <c r="F315" t="s">
        <v>8919</v>
      </c>
      <c r="G315"/>
      <c r="H315"/>
      <c r="I315" t="s">
        <v>9019</v>
      </c>
    </row>
    <row r="316" spans="2:9" ht="12" customHeight="1">
      <c r="B316">
        <v>27</v>
      </c>
      <c r="C316" t="s">
        <v>9454</v>
      </c>
      <c r="D316" t="s">
        <v>8981</v>
      </c>
      <c r="E316" t="s">
        <v>2217</v>
      </c>
      <c r="F316" t="s">
        <v>8919</v>
      </c>
      <c r="G316"/>
      <c r="H316"/>
      <c r="I316" t="s">
        <v>9019</v>
      </c>
    </row>
    <row r="317" spans="2:9" ht="12" customHeight="1">
      <c r="B317">
        <v>28</v>
      </c>
      <c r="C317" t="s">
        <v>9455</v>
      </c>
      <c r="D317" t="s">
        <v>8981</v>
      </c>
      <c r="E317" t="s">
        <v>2217</v>
      </c>
      <c r="F317"/>
      <c r="G317"/>
      <c r="H317"/>
      <c r="I317" t="s">
        <v>9284</v>
      </c>
    </row>
    <row r="318" spans="2:9" ht="12" customHeight="1">
      <c r="B318">
        <v>29</v>
      </c>
      <c r="C318" t="s">
        <v>9456</v>
      </c>
      <c r="D318" t="s">
        <v>8981</v>
      </c>
      <c r="E318" t="s">
        <v>2217</v>
      </c>
      <c r="F318"/>
      <c r="G318"/>
      <c r="H318"/>
      <c r="I318" t="s">
        <v>9457</v>
      </c>
    </row>
    <row r="319" spans="2:9" ht="12" customHeight="1">
      <c r="B319">
        <v>30</v>
      </c>
      <c r="C319" t="s">
        <v>9458</v>
      </c>
      <c r="D319" t="s">
        <v>8981</v>
      </c>
      <c r="E319" t="s">
        <v>2217</v>
      </c>
      <c r="F319"/>
      <c r="G319"/>
      <c r="H319"/>
      <c r="I319" t="s">
        <v>8934</v>
      </c>
    </row>
    <row r="320" spans="2:9" ht="12" customHeight="1">
      <c r="B320">
        <v>31</v>
      </c>
      <c r="C320" t="s">
        <v>9459</v>
      </c>
      <c r="D320" t="s">
        <v>8981</v>
      </c>
      <c r="E320" t="s">
        <v>2217</v>
      </c>
      <c r="F320" t="s">
        <v>8919</v>
      </c>
      <c r="G320" t="s">
        <v>9311</v>
      </c>
      <c r="H320"/>
      <c r="I320" t="s">
        <v>9079</v>
      </c>
    </row>
    <row r="321" spans="2:9" ht="12" customHeight="1">
      <c r="B321">
        <v>32</v>
      </c>
      <c r="C321" t="s">
        <v>9460</v>
      </c>
      <c r="D321" t="s">
        <v>8981</v>
      </c>
      <c r="E321" t="s">
        <v>2217</v>
      </c>
      <c r="F321" t="s">
        <v>8919</v>
      </c>
      <c r="G321"/>
      <c r="H321"/>
      <c r="I321" t="s">
        <v>9079</v>
      </c>
    </row>
    <row r="322" spans="2:9" ht="12" customHeight="1">
      <c r="B322">
        <v>33</v>
      </c>
      <c r="C322" t="s">
        <v>9461</v>
      </c>
      <c r="D322" t="s">
        <v>8981</v>
      </c>
      <c r="E322" t="s">
        <v>2217</v>
      </c>
      <c r="F322" t="s">
        <v>8919</v>
      </c>
      <c r="G322"/>
      <c r="H322"/>
      <c r="I322" t="s">
        <v>9079</v>
      </c>
    </row>
    <row r="323" spans="2:9" ht="12" customHeight="1">
      <c r="B323">
        <v>34</v>
      </c>
      <c r="C323" t="s">
        <v>9462</v>
      </c>
      <c r="D323" t="s">
        <v>8981</v>
      </c>
      <c r="E323" t="s">
        <v>2217</v>
      </c>
      <c r="F323" t="s">
        <v>8919</v>
      </c>
      <c r="G323"/>
      <c r="H323"/>
      <c r="I323" t="s">
        <v>9079</v>
      </c>
    </row>
    <row r="324" spans="2:9" ht="12" customHeight="1">
      <c r="B324">
        <v>35</v>
      </c>
      <c r="C324" t="s">
        <v>9463</v>
      </c>
      <c r="D324" t="s">
        <v>8981</v>
      </c>
      <c r="E324" t="s">
        <v>2217</v>
      </c>
      <c r="F324"/>
      <c r="G324"/>
      <c r="H324"/>
      <c r="I324" t="s">
        <v>8966</v>
      </c>
    </row>
    <row r="325" spans="2:9" ht="12" customHeight="1">
      <c r="B325">
        <v>36</v>
      </c>
      <c r="C325" t="s">
        <v>9464</v>
      </c>
      <c r="D325" t="s">
        <v>8981</v>
      </c>
      <c r="E325" t="s">
        <v>2217</v>
      </c>
      <c r="F325" t="s">
        <v>8919</v>
      </c>
      <c r="G325" t="s">
        <v>9358</v>
      </c>
      <c r="H325"/>
      <c r="I325" t="s">
        <v>9418</v>
      </c>
    </row>
    <row r="326" spans="2:9" ht="12" customHeight="1">
      <c r="B326">
        <v>37</v>
      </c>
      <c r="C326" t="s">
        <v>9465</v>
      </c>
      <c r="D326" t="s">
        <v>8981</v>
      </c>
      <c r="E326" t="s">
        <v>2217</v>
      </c>
      <c r="F326" t="s">
        <v>8919</v>
      </c>
      <c r="G326"/>
      <c r="H326"/>
      <c r="I326" t="s">
        <v>8891</v>
      </c>
    </row>
    <row r="327" spans="2:9" ht="12" customHeight="1">
      <c r="B327">
        <v>38</v>
      </c>
      <c r="C327" t="s">
        <v>9466</v>
      </c>
      <c r="D327" t="s">
        <v>8981</v>
      </c>
      <c r="E327" t="s">
        <v>2217</v>
      </c>
      <c r="F327"/>
      <c r="G327"/>
      <c r="H327"/>
      <c r="I327" t="s">
        <v>8875</v>
      </c>
    </row>
    <row r="328" spans="2:9" ht="12" customHeight="1">
      <c r="B328">
        <v>39</v>
      </c>
      <c r="C328" t="s">
        <v>9467</v>
      </c>
      <c r="D328" t="s">
        <v>8981</v>
      </c>
      <c r="E328" t="s">
        <v>2217</v>
      </c>
      <c r="F328"/>
      <c r="G328"/>
      <c r="H328"/>
      <c r="I328" t="s">
        <v>9205</v>
      </c>
    </row>
    <row r="329" spans="2:9" ht="12" customHeight="1">
      <c r="B329">
        <v>40</v>
      </c>
      <c r="C329" t="s">
        <v>9468</v>
      </c>
      <c r="D329" t="s">
        <v>8981</v>
      </c>
      <c r="E329" t="s">
        <v>2217</v>
      </c>
      <c r="F329" t="s">
        <v>8919</v>
      </c>
      <c r="G329" t="s">
        <v>9469</v>
      </c>
      <c r="H329"/>
      <c r="I329" t="s">
        <v>9246</v>
      </c>
    </row>
    <row r="330" spans="2:9" ht="12" customHeight="1">
      <c r="B330">
        <v>41</v>
      </c>
      <c r="C330" t="s">
        <v>9470</v>
      </c>
      <c r="D330" t="s">
        <v>8981</v>
      </c>
      <c r="E330" t="s">
        <v>2217</v>
      </c>
      <c r="F330" t="s">
        <v>8919</v>
      </c>
      <c r="G330" t="s">
        <v>9471</v>
      </c>
      <c r="H330"/>
      <c r="I330" t="s">
        <v>9246</v>
      </c>
    </row>
    <row r="331" spans="2:9" ht="12" customHeight="1">
      <c r="B331">
        <v>42</v>
      </c>
      <c r="C331" t="s">
        <v>9472</v>
      </c>
      <c r="D331" t="s">
        <v>8981</v>
      </c>
      <c r="E331" t="s">
        <v>2217</v>
      </c>
      <c r="F331" t="s">
        <v>8919</v>
      </c>
      <c r="G331"/>
      <c r="H331"/>
      <c r="I331" t="s">
        <v>9246</v>
      </c>
    </row>
    <row r="332" spans="2:9" ht="12" customHeight="1">
      <c r="B332">
        <v>43</v>
      </c>
      <c r="C332" t="s">
        <v>9473</v>
      </c>
      <c r="D332" t="s">
        <v>8981</v>
      </c>
      <c r="E332" t="s">
        <v>2217</v>
      </c>
      <c r="F332" t="s">
        <v>8919</v>
      </c>
      <c r="G332" t="s">
        <v>9474</v>
      </c>
      <c r="H332"/>
      <c r="I332" t="s">
        <v>9200</v>
      </c>
    </row>
    <row r="333" spans="2:9" ht="12" customHeight="1">
      <c r="B333">
        <v>44</v>
      </c>
      <c r="C333" t="s">
        <v>9475</v>
      </c>
      <c r="D333" t="s">
        <v>8981</v>
      </c>
      <c r="E333" t="s">
        <v>2217</v>
      </c>
      <c r="F333"/>
      <c r="G333"/>
      <c r="H333"/>
      <c r="I333" t="s">
        <v>8973</v>
      </c>
    </row>
    <row r="334" spans="2:9" ht="12" customHeight="1">
      <c r="B334">
        <v>45</v>
      </c>
      <c r="C334" t="s">
        <v>9476</v>
      </c>
      <c r="D334" t="s">
        <v>8981</v>
      </c>
      <c r="E334" t="s">
        <v>2217</v>
      </c>
      <c r="F334"/>
      <c r="G334"/>
      <c r="H334"/>
      <c r="I334" t="s">
        <v>8977</v>
      </c>
    </row>
  </sheetData>
  <mergeCells count="15">
    <mergeCell ref="C2:I2"/>
    <mergeCell ref="K2:P2"/>
    <mergeCell ref="K15:P15"/>
    <mergeCell ref="K24:P24"/>
    <mergeCell ref="K31:P31"/>
    <mergeCell ref="K123:L123"/>
    <mergeCell ref="K137:L137"/>
    <mergeCell ref="K147:L147"/>
    <mergeCell ref="K149:L149"/>
    <mergeCell ref="K47:L47"/>
    <mergeCell ref="K54:L54"/>
    <mergeCell ref="K55:L55"/>
    <mergeCell ref="K60:L60"/>
    <mergeCell ref="K103:L103"/>
    <mergeCell ref="K118:L118"/>
  </mergeCells>
  <pageMargins left="0.7" right="0.7" top="0.75" bottom="0.75" header="0.3" footer="0.3"/>
  <pageSetup orientation="portrait" r:id="rId1"/>
  <legacyDrawing r:id="rId2"/>
  <tableParts count="2">
    <tablePart r:id="rId3"/>
    <tablePart r:id="rId4"/>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C8AE1-69C9-4A0C-8658-04220D4C526B}">
  <sheetPr codeName="Аркуш12">
    <tabColor rgb="FF92D050"/>
  </sheetPr>
  <dimension ref="B1:AL285"/>
  <sheetViews>
    <sheetView zoomScaleNormal="100" workbookViewId="0">
      <selection activeCell="C159" sqref="B159:C159"/>
    </sheetView>
  </sheetViews>
  <sheetFormatPr defaultColWidth="7.109375" defaultRowHeight="10.5"/>
  <cols>
    <col min="1" max="1" width="2.6640625" style="272" customWidth="1"/>
    <col min="2" max="2" width="4.21875" style="272" customWidth="1"/>
    <col min="3" max="7" width="8.33203125" style="272" customWidth="1"/>
    <col min="8" max="8" width="2.6640625" style="272" customWidth="1"/>
    <col min="9" max="9" width="4.77734375" style="272" customWidth="1"/>
    <col min="10" max="10" width="33.109375" style="272" customWidth="1"/>
    <col min="11" max="11" width="1.77734375" style="272" customWidth="1"/>
    <col min="12" max="12" width="3.5546875" style="272" customWidth="1"/>
    <col min="13" max="13" width="19.44140625" style="273" customWidth="1"/>
    <col min="14" max="14" width="6.77734375" style="272" customWidth="1"/>
    <col min="15" max="15" width="3.109375" style="272" customWidth="1"/>
    <col min="16" max="16" width="2.109375" style="1782" bestFit="1" customWidth="1"/>
    <col min="17" max="17" width="11.109375" style="1782" customWidth="1"/>
    <col min="18" max="18" width="2.77734375" style="1782" bestFit="1" customWidth="1"/>
    <col min="19" max="19" width="8.33203125" style="1782" customWidth="1"/>
    <col min="20" max="20" width="2.77734375" style="1782" bestFit="1" customWidth="1"/>
    <col min="21" max="21" width="8.44140625" style="1782" customWidth="1"/>
    <col min="22" max="22" width="2.77734375" style="1782" bestFit="1" customWidth="1"/>
    <col min="23" max="23" width="8" style="1782" customWidth="1"/>
    <col min="24" max="24" width="5.109375" style="1782" customWidth="1"/>
    <col min="25" max="25" width="10.33203125" style="1782" customWidth="1"/>
    <col min="26" max="26" width="2.109375" style="1782" bestFit="1" customWidth="1"/>
    <col min="27" max="27" width="9.88671875" style="1782" customWidth="1"/>
    <col min="28" max="28" width="2.77734375" style="1781" bestFit="1" customWidth="1"/>
    <col min="29" max="29" width="10.44140625" style="1782" customWidth="1"/>
    <col min="30" max="30" width="6.21875" style="1782" bestFit="1" customWidth="1"/>
    <col min="31" max="31" width="2.109375" style="1781" bestFit="1" customWidth="1"/>
    <col min="32" max="32" width="10.21875" style="1782" customWidth="1"/>
    <col min="33" max="33" width="6.21875" style="1782" bestFit="1" customWidth="1"/>
    <col min="34" max="34" width="7.109375" style="1782"/>
    <col min="35" max="35" width="7.109375" style="272"/>
    <col min="36" max="36" width="11.88671875" style="1782" customWidth="1"/>
    <col min="37" max="37" width="75.44140625" style="1782" bestFit="1" customWidth="1"/>
    <col min="38" max="38" width="7" style="1782" customWidth="1"/>
    <col min="39" max="16384" width="7.109375" style="272"/>
  </cols>
  <sheetData>
    <row r="1" spans="3:38" ht="11.25" thickBot="1">
      <c r="P1" s="1781"/>
      <c r="R1" s="1781"/>
      <c r="T1" s="1781"/>
      <c r="V1" s="1781"/>
      <c r="X1" s="1781"/>
      <c r="Z1" s="1781"/>
    </row>
    <row r="2" spans="3:38" ht="11.25" thickBot="1">
      <c r="C2" s="275" t="s">
        <v>8430</v>
      </c>
      <c r="D2" s="1659"/>
      <c r="E2" s="1659"/>
      <c r="I2" s="275" t="s">
        <v>8431</v>
      </c>
      <c r="J2" s="1659"/>
      <c r="L2" s="1783" t="s">
        <v>8432</v>
      </c>
      <c r="M2" s="1784"/>
      <c r="N2" s="1785"/>
      <c r="P2" s="1786"/>
      <c r="Q2" s="1787"/>
      <c r="R2" s="1788"/>
      <c r="S2" s="1787"/>
      <c r="T2" s="1788"/>
      <c r="U2" s="1787"/>
      <c r="V2" s="1788"/>
      <c r="W2" s="1787"/>
      <c r="X2" s="1788"/>
      <c r="Y2" s="1787"/>
      <c r="Z2" s="1788"/>
      <c r="AA2" s="1787"/>
      <c r="AB2" s="1788"/>
      <c r="AC2" s="1789"/>
      <c r="AD2" s="1789"/>
      <c r="AE2" s="1790"/>
      <c r="AF2" s="1789"/>
      <c r="AG2" s="1791"/>
      <c r="AL2" s="1792"/>
    </row>
    <row r="3" spans="3:38" ht="11.25" thickBot="1">
      <c r="C3" s="1793" t="s">
        <v>8433</v>
      </c>
      <c r="D3" s="1794" t="str">
        <f>[1]MATH!D8</f>
        <v>Wizard</v>
      </c>
      <c r="E3" s="1795"/>
      <c r="I3" s="1796" t="s">
        <v>8363</v>
      </c>
      <c r="J3" s="1797" t="str">
        <f ca="1">VLOOKUP(RANDBETWEEN(1,I103),I4:J103,2)</f>
        <v>A glass jar containing lard with a label that reads,</v>
      </c>
      <c r="L3" s="1798">
        <f ca="1">RANDBETWEEN(1,L103)</f>
        <v>82</v>
      </c>
      <c r="M3" s="1799">
        <f ca="1">VLOOKUP(L3,L4:N103,2)</f>
        <v>0</v>
      </c>
      <c r="N3" s="1800">
        <f ca="1">VLOOKUP(L3,L4:N103,3)</f>
        <v>0</v>
      </c>
      <c r="P3" s="1801"/>
      <c r="Q3" s="1802" t="s">
        <v>8434</v>
      </c>
      <c r="R3" s="1803"/>
      <c r="S3" s="1803" t="s">
        <v>8435</v>
      </c>
      <c r="T3" s="1803"/>
      <c r="U3" s="1803" t="s">
        <v>8436</v>
      </c>
      <c r="V3" s="1803"/>
      <c r="W3" s="1803" t="s">
        <v>8437</v>
      </c>
      <c r="X3" s="1803"/>
      <c r="Y3" s="1803" t="s">
        <v>8438</v>
      </c>
      <c r="Z3" s="1803"/>
      <c r="AA3" s="1804" t="s">
        <v>8439</v>
      </c>
      <c r="AB3" s="1805"/>
      <c r="AC3" s="1806" t="s">
        <v>8440</v>
      </c>
      <c r="AD3" s="1806" t="s">
        <v>2244</v>
      </c>
      <c r="AE3" s="1806"/>
      <c r="AF3" s="1806" t="s">
        <v>8441</v>
      </c>
      <c r="AG3" s="1807" t="s">
        <v>2244</v>
      </c>
    </row>
    <row r="4" spans="3:38" ht="11.25" thickTop="1">
      <c r="C4" s="1808" t="s">
        <v>8442</v>
      </c>
      <c r="D4" s="1119">
        <f>[1]MATH!D5</f>
        <v>7</v>
      </c>
      <c r="E4" s="1809"/>
      <c r="I4" s="1810">
        <v>1</v>
      </c>
      <c r="J4" s="1811" t="s">
        <v>8443</v>
      </c>
      <c r="L4" s="572">
        <v>1</v>
      </c>
      <c r="M4" s="1812" t="s">
        <v>8444</v>
      </c>
      <c r="N4" s="1813">
        <v>10</v>
      </c>
      <c r="P4" s="1814">
        <v>1</v>
      </c>
      <c r="Q4" s="1815" t="s">
        <v>8445</v>
      </c>
      <c r="R4" s="1816">
        <v>1</v>
      </c>
      <c r="S4" s="1815" t="s">
        <v>8446</v>
      </c>
      <c r="T4" s="1816">
        <v>1</v>
      </c>
      <c r="U4" s="1815" t="s">
        <v>8447</v>
      </c>
      <c r="V4" s="1817">
        <v>1</v>
      </c>
      <c r="W4" s="1815" t="s">
        <v>8448</v>
      </c>
      <c r="X4" s="1817">
        <v>1</v>
      </c>
      <c r="Y4" s="1815" t="s">
        <v>8449</v>
      </c>
      <c r="Z4" s="1817">
        <v>1</v>
      </c>
      <c r="AA4" s="1818" t="s">
        <v>8450</v>
      </c>
      <c r="AB4" s="1816">
        <v>1</v>
      </c>
      <c r="AC4" s="1815" t="s">
        <v>8451</v>
      </c>
      <c r="AD4" s="1819">
        <v>1</v>
      </c>
      <c r="AE4" s="1817">
        <v>1</v>
      </c>
      <c r="AF4" s="1815" t="s">
        <v>8452</v>
      </c>
      <c r="AG4" s="1820">
        <v>10</v>
      </c>
    </row>
    <row r="5" spans="3:38">
      <c r="C5" s="1821" t="s">
        <v>8453</v>
      </c>
      <c r="D5" s="1822">
        <f>IF([1]USER!AL6=0,VLOOKUP([1]MATH!$D$5,B42:G61,6),VLOOKUP(1,B42:G61,6))</f>
        <v>160</v>
      </c>
      <c r="E5" s="1809"/>
      <c r="I5" s="578">
        <v>2</v>
      </c>
      <c r="J5" s="1823" t="s">
        <v>8454</v>
      </c>
      <c r="L5" s="578">
        <v>2</v>
      </c>
      <c r="M5" s="996" t="s">
        <v>8455</v>
      </c>
      <c r="N5" s="1824"/>
      <c r="P5" s="1825">
        <v>3</v>
      </c>
      <c r="Q5" s="1826" t="s">
        <v>8456</v>
      </c>
      <c r="R5" s="1827">
        <v>3.2</v>
      </c>
      <c r="S5" s="1826" t="s">
        <v>8457</v>
      </c>
      <c r="T5" s="1827">
        <v>3.25</v>
      </c>
      <c r="U5" s="1826" t="s">
        <v>8458</v>
      </c>
      <c r="V5" s="1828">
        <v>8</v>
      </c>
      <c r="W5" s="1826" t="s">
        <v>8459</v>
      </c>
      <c r="X5" s="1828">
        <v>6</v>
      </c>
      <c r="Y5" s="1826" t="s">
        <v>8460</v>
      </c>
      <c r="Z5" s="1828">
        <v>7</v>
      </c>
      <c r="AA5" s="1829" t="s">
        <v>8461</v>
      </c>
      <c r="AB5" s="1827">
        <v>6.8235294117647101</v>
      </c>
      <c r="AC5" s="1826" t="s">
        <v>8462</v>
      </c>
      <c r="AD5" s="1830">
        <v>2</v>
      </c>
      <c r="AE5" s="1828">
        <v>6</v>
      </c>
      <c r="AF5" s="1826" t="s">
        <v>8463</v>
      </c>
      <c r="AG5" s="1831">
        <v>25</v>
      </c>
    </row>
    <row r="6" spans="3:38">
      <c r="C6" s="523" t="s">
        <v>1406</v>
      </c>
      <c r="D6" s="1832" t="s">
        <v>8464</v>
      </c>
      <c r="E6" s="1833" t="s">
        <v>8465</v>
      </c>
      <c r="I6" s="578">
        <v>3</v>
      </c>
      <c r="J6" s="1823" t="s">
        <v>8466</v>
      </c>
      <c r="L6" s="578">
        <v>3</v>
      </c>
      <c r="M6" s="996" t="s">
        <v>8467</v>
      </c>
      <c r="N6" s="1824"/>
      <c r="P6" s="1825">
        <v>5</v>
      </c>
      <c r="Q6" s="1826" t="s">
        <v>8468</v>
      </c>
      <c r="R6" s="1827">
        <v>5.4</v>
      </c>
      <c r="S6" s="1826" t="s">
        <v>8469</v>
      </c>
      <c r="T6" s="1827">
        <v>5.5</v>
      </c>
      <c r="U6" s="1826" t="s">
        <v>8470</v>
      </c>
      <c r="V6" s="1828">
        <v>15</v>
      </c>
      <c r="W6" s="1826" t="s">
        <v>8471</v>
      </c>
      <c r="X6" s="1828">
        <v>12</v>
      </c>
      <c r="Y6" s="1826" t="s">
        <v>8472</v>
      </c>
      <c r="Z6" s="1828">
        <v>18</v>
      </c>
      <c r="AA6" s="1829" t="s">
        <v>8473</v>
      </c>
      <c r="AB6" s="1827">
        <v>12.64705882352942</v>
      </c>
      <c r="AC6" s="1826" t="s">
        <v>8474</v>
      </c>
      <c r="AD6" s="1830">
        <v>1</v>
      </c>
      <c r="AE6" s="1828">
        <v>8</v>
      </c>
      <c r="AF6" s="1826" t="s">
        <v>8475</v>
      </c>
      <c r="AG6" s="1831">
        <v>45</v>
      </c>
    </row>
    <row r="7" spans="3:38">
      <c r="C7" s="1834" t="s">
        <v>2252</v>
      </c>
      <c r="D7" s="1835">
        <f>($D$5*E7)*100</f>
        <v>12.8</v>
      </c>
      <c r="E7" s="1836">
        <v>8.0000000000000004E-4</v>
      </c>
      <c r="I7" s="578">
        <v>4</v>
      </c>
      <c r="J7" s="1823" t="s">
        <v>8476</v>
      </c>
      <c r="L7" s="578">
        <v>4</v>
      </c>
      <c r="M7" s="996" t="s">
        <v>8477</v>
      </c>
      <c r="N7" s="1824"/>
      <c r="P7" s="1825">
        <v>7</v>
      </c>
      <c r="Q7" s="1826" t="s">
        <v>8478</v>
      </c>
      <c r="R7" s="1827">
        <v>7.6</v>
      </c>
      <c r="S7" s="1826" t="s">
        <v>8479</v>
      </c>
      <c r="T7" s="1827">
        <v>7.75</v>
      </c>
      <c r="U7" s="1826" t="s">
        <v>8480</v>
      </c>
      <c r="V7" s="1828">
        <v>22</v>
      </c>
      <c r="W7" s="1826" t="s">
        <v>8481</v>
      </c>
      <c r="X7" s="1828">
        <v>17</v>
      </c>
      <c r="Y7" s="1826" t="s">
        <v>8482</v>
      </c>
      <c r="Z7" s="1828">
        <v>26</v>
      </c>
      <c r="AA7" s="1829" t="s">
        <v>8483</v>
      </c>
      <c r="AB7" s="1827">
        <v>18.47058823529413</v>
      </c>
      <c r="AC7" s="1826" t="s">
        <v>8484</v>
      </c>
      <c r="AD7" s="1830">
        <v>2</v>
      </c>
      <c r="AE7" s="1828">
        <v>15</v>
      </c>
      <c r="AF7" s="1826" t="s">
        <v>8485</v>
      </c>
      <c r="AG7" s="1831">
        <v>10</v>
      </c>
    </row>
    <row r="8" spans="3:38">
      <c r="C8" s="1837" t="s">
        <v>2253</v>
      </c>
      <c r="D8" s="1838">
        <f>($D$5*E8)*10</f>
        <v>51.52</v>
      </c>
      <c r="E8" s="1839">
        <v>3.2199999999999999E-2</v>
      </c>
      <c r="I8" s="578">
        <v>5</v>
      </c>
      <c r="J8" s="1823" t="s">
        <v>8486</v>
      </c>
      <c r="L8" s="578">
        <v>5</v>
      </c>
      <c r="M8" s="996" t="s">
        <v>8487</v>
      </c>
      <c r="N8" s="1824"/>
      <c r="P8" s="1825">
        <v>9</v>
      </c>
      <c r="Q8" s="1826" t="s">
        <v>8488</v>
      </c>
      <c r="R8" s="1827">
        <v>9.8000000000000007</v>
      </c>
      <c r="S8" s="1826" t="s">
        <v>8489</v>
      </c>
      <c r="T8" s="1827">
        <v>10</v>
      </c>
      <c r="U8" s="1826" t="s">
        <v>8490</v>
      </c>
      <c r="V8" s="1828">
        <v>30</v>
      </c>
      <c r="W8" s="1826" t="s">
        <v>8491</v>
      </c>
      <c r="X8" s="1828">
        <v>22</v>
      </c>
      <c r="Y8" s="1826" t="s">
        <v>8492</v>
      </c>
      <c r="Z8" s="1828">
        <v>37</v>
      </c>
      <c r="AA8" s="1829" t="s">
        <v>8493</v>
      </c>
      <c r="AB8" s="1827">
        <v>24.29411764705884</v>
      </c>
      <c r="AC8" s="1826" t="s">
        <v>8494</v>
      </c>
      <c r="AD8" s="1830">
        <v>3</v>
      </c>
      <c r="AE8" s="1828">
        <v>21</v>
      </c>
      <c r="AF8" s="1826" t="s">
        <v>8495</v>
      </c>
      <c r="AG8" s="1831">
        <v>10</v>
      </c>
    </row>
    <row r="9" spans="3:38">
      <c r="C9" s="1837" t="s">
        <v>8496</v>
      </c>
      <c r="D9" s="1838">
        <f>($D$5*E9)*2</f>
        <v>15.04</v>
      </c>
      <c r="E9" s="1839">
        <v>4.7E-2</v>
      </c>
      <c r="I9" s="578">
        <v>6</v>
      </c>
      <c r="J9" s="1823" t="s">
        <v>8497</v>
      </c>
      <c r="L9" s="578">
        <v>6</v>
      </c>
      <c r="M9" s="996" t="s">
        <v>8498</v>
      </c>
      <c r="N9" s="1824"/>
      <c r="P9" s="1825">
        <v>11</v>
      </c>
      <c r="Q9" s="1826" t="s">
        <v>8499</v>
      </c>
      <c r="R9" s="1827">
        <v>12</v>
      </c>
      <c r="S9" s="1826" t="s">
        <v>8500</v>
      </c>
      <c r="T9" s="1827">
        <v>12.25</v>
      </c>
      <c r="U9" s="1826" t="s">
        <v>8501</v>
      </c>
      <c r="V9" s="1828">
        <v>38</v>
      </c>
      <c r="W9" s="1826" t="s">
        <v>8502</v>
      </c>
      <c r="X9" s="1828">
        <v>27</v>
      </c>
      <c r="Y9" s="1826" t="s">
        <v>8503</v>
      </c>
      <c r="Z9" s="1828">
        <v>48</v>
      </c>
      <c r="AA9" s="1829" t="s">
        <v>8504</v>
      </c>
      <c r="AB9" s="1827">
        <v>30.11764705882355</v>
      </c>
      <c r="AC9" s="1826" t="s">
        <v>8505</v>
      </c>
      <c r="AD9" s="1830">
        <v>2</v>
      </c>
      <c r="AE9" s="1828">
        <v>29</v>
      </c>
      <c r="AF9" s="1826" t="s">
        <v>8506</v>
      </c>
      <c r="AG9" s="1831">
        <v>20</v>
      </c>
    </row>
    <row r="10" spans="3:38">
      <c r="C10" s="1837" t="s">
        <v>2254</v>
      </c>
      <c r="D10" s="1838">
        <f>$D$5*E10+D16+D19</f>
        <v>108.80000000000001</v>
      </c>
      <c r="E10" s="1839">
        <v>0.68</v>
      </c>
      <c r="I10" s="578">
        <v>7</v>
      </c>
      <c r="J10" s="1823" t="s">
        <v>8507</v>
      </c>
      <c r="L10" s="578">
        <v>7</v>
      </c>
      <c r="M10" s="996" t="s">
        <v>8508</v>
      </c>
      <c r="N10" s="1824"/>
      <c r="P10" s="1825">
        <v>13</v>
      </c>
      <c r="Q10" s="1826" t="s">
        <v>8509</v>
      </c>
      <c r="R10" s="1827">
        <v>14.2</v>
      </c>
      <c r="S10" s="1826" t="s">
        <v>8510</v>
      </c>
      <c r="T10" s="1827">
        <v>14.5</v>
      </c>
      <c r="U10" s="1826" t="s">
        <v>8511</v>
      </c>
      <c r="V10" s="1828">
        <v>45</v>
      </c>
      <c r="W10" s="1826" t="s">
        <v>8512</v>
      </c>
      <c r="X10" s="1828">
        <v>33</v>
      </c>
      <c r="Y10" s="1826" t="s">
        <v>8513</v>
      </c>
      <c r="Z10" s="1828">
        <v>59</v>
      </c>
      <c r="AA10" s="1829" t="s">
        <v>8514</v>
      </c>
      <c r="AB10" s="1827">
        <v>35.94117647058826</v>
      </c>
      <c r="AC10" s="1826" t="s">
        <v>8515</v>
      </c>
      <c r="AD10" s="1830">
        <v>3</v>
      </c>
      <c r="AE10" s="1828">
        <v>34</v>
      </c>
      <c r="AF10" s="1826" t="s">
        <v>8516</v>
      </c>
      <c r="AG10" s="1831">
        <v>100</v>
      </c>
    </row>
    <row r="11" spans="3:38">
      <c r="C11" s="1837" t="s">
        <v>8517</v>
      </c>
      <c r="D11" s="1838">
        <f>($D$5*E11)/10</f>
        <v>0.64</v>
      </c>
      <c r="E11" s="1839">
        <v>0.04</v>
      </c>
      <c r="I11" s="578">
        <v>8</v>
      </c>
      <c r="J11" s="1823" t="s">
        <v>8518</v>
      </c>
      <c r="L11" s="578">
        <v>8</v>
      </c>
      <c r="M11" s="996" t="s">
        <v>8519</v>
      </c>
      <c r="N11" s="1824"/>
      <c r="P11" s="1825">
        <v>15</v>
      </c>
      <c r="Q11" s="1826" t="s">
        <v>8520</v>
      </c>
      <c r="R11" s="1827">
        <v>16.399999999999999</v>
      </c>
      <c r="S11" s="1826" t="s">
        <v>8521</v>
      </c>
      <c r="T11" s="1827">
        <v>16.75</v>
      </c>
      <c r="U11" s="1826" t="s">
        <v>8522</v>
      </c>
      <c r="V11" s="1828">
        <v>52</v>
      </c>
      <c r="W11" s="1826" t="s">
        <v>8523</v>
      </c>
      <c r="X11" s="1828">
        <v>38</v>
      </c>
      <c r="Y11" s="1826" t="s">
        <v>8524</v>
      </c>
      <c r="Z11" s="1828">
        <v>70</v>
      </c>
      <c r="AA11" s="1829" t="s">
        <v>8525</v>
      </c>
      <c r="AB11" s="1827">
        <v>41.76470588235297</v>
      </c>
      <c r="AC11" s="1826" t="s">
        <v>8526</v>
      </c>
      <c r="AD11" s="1830">
        <v>3</v>
      </c>
      <c r="AE11" s="1828">
        <v>37</v>
      </c>
      <c r="AF11" s="1826" t="s">
        <v>8527</v>
      </c>
      <c r="AG11" s="1831">
        <v>4000</v>
      </c>
    </row>
    <row r="12" spans="3:38">
      <c r="C12" s="1837" t="s">
        <v>8528</v>
      </c>
      <c r="D12" s="1840">
        <f>$D$5*E12</f>
        <v>8</v>
      </c>
      <c r="E12" s="1839">
        <v>0.05</v>
      </c>
      <c r="I12" s="578">
        <v>9</v>
      </c>
      <c r="J12" s="1823" t="s">
        <v>8529</v>
      </c>
      <c r="L12" s="578">
        <v>9</v>
      </c>
      <c r="M12" s="996" t="s">
        <v>8530</v>
      </c>
      <c r="N12" s="1824"/>
      <c r="P12" s="1825">
        <v>17</v>
      </c>
      <c r="Q12" s="1826" t="s">
        <v>8531</v>
      </c>
      <c r="R12" s="1827">
        <v>18.600000000000001</v>
      </c>
      <c r="S12" s="1826" t="s">
        <v>8532</v>
      </c>
      <c r="T12" s="1827">
        <v>19</v>
      </c>
      <c r="U12" s="1826" t="s">
        <v>8533</v>
      </c>
      <c r="V12" s="1828">
        <v>60</v>
      </c>
      <c r="W12" s="1826" t="s">
        <v>8534</v>
      </c>
      <c r="X12" s="1828">
        <v>43</v>
      </c>
      <c r="Y12" s="1826" t="s">
        <v>8535</v>
      </c>
      <c r="Z12" s="1828">
        <v>72</v>
      </c>
      <c r="AA12" s="1829" t="s">
        <v>8536</v>
      </c>
      <c r="AB12" s="1827">
        <v>47.58823529411768</v>
      </c>
      <c r="AC12" s="1826" t="s">
        <v>8537</v>
      </c>
      <c r="AD12" s="1830">
        <v>2</v>
      </c>
      <c r="AE12" s="1828">
        <v>38</v>
      </c>
      <c r="AF12" s="1826" t="s">
        <v>8538</v>
      </c>
      <c r="AG12" s="1831">
        <v>50</v>
      </c>
    </row>
    <row r="13" spans="3:38" ht="11.25" thickBot="1">
      <c r="C13" s="1841" t="s">
        <v>8432</v>
      </c>
      <c r="D13" s="1842">
        <f>$D$5*E13</f>
        <v>24</v>
      </c>
      <c r="E13" s="1843">
        <v>0.15</v>
      </c>
      <c r="I13" s="578">
        <v>10</v>
      </c>
      <c r="J13" s="1823" t="s">
        <v>8539</v>
      </c>
      <c r="L13" s="578">
        <v>10</v>
      </c>
      <c r="M13" s="996" t="s">
        <v>8540</v>
      </c>
      <c r="N13" s="1824"/>
      <c r="P13" s="1825">
        <v>19</v>
      </c>
      <c r="Q13" s="1826" t="s">
        <v>8541</v>
      </c>
      <c r="R13" s="1827">
        <v>20.8</v>
      </c>
      <c r="S13" s="1826" t="s">
        <v>8542</v>
      </c>
      <c r="T13" s="1827">
        <v>21.25</v>
      </c>
      <c r="U13" s="1826" t="s">
        <v>8543</v>
      </c>
      <c r="V13" s="1828">
        <v>68</v>
      </c>
      <c r="W13" s="1826" t="s">
        <v>8544</v>
      </c>
      <c r="X13" s="1828">
        <v>48</v>
      </c>
      <c r="Y13" s="1826" t="s">
        <v>8545</v>
      </c>
      <c r="Z13" s="1828">
        <v>83</v>
      </c>
      <c r="AA13" s="1829" t="s">
        <v>8546</v>
      </c>
      <c r="AB13" s="1827">
        <v>53.411764705882391</v>
      </c>
      <c r="AC13" s="1826" t="s">
        <v>8547</v>
      </c>
      <c r="AD13" s="1830">
        <v>1</v>
      </c>
      <c r="AE13" s="1828">
        <v>45</v>
      </c>
      <c r="AF13" s="1826" t="s">
        <v>8548</v>
      </c>
      <c r="AG13" s="1831">
        <v>50</v>
      </c>
    </row>
    <row r="14" spans="3:38" ht="11.25" thickBot="1">
      <c r="C14" s="1844"/>
      <c r="D14" s="1622">
        <f>(D7/100)+(D8/10)+(D9/2)+D10+(D11*10)+D15</f>
        <v>136</v>
      </c>
      <c r="E14" s="1845">
        <f>SUM(E7:E13)</f>
        <v>1</v>
      </c>
      <c r="I14" s="578">
        <v>11</v>
      </c>
      <c r="J14" s="1823" t="s">
        <v>8549</v>
      </c>
      <c r="L14" s="578">
        <v>11</v>
      </c>
      <c r="M14" s="996" t="s">
        <v>8550</v>
      </c>
      <c r="N14" s="1824"/>
      <c r="P14" s="1825">
        <v>21</v>
      </c>
      <c r="Q14" s="1826" t="s">
        <v>8551</v>
      </c>
      <c r="R14" s="1827">
        <v>23</v>
      </c>
      <c r="S14" s="1826" t="s">
        <v>8552</v>
      </c>
      <c r="T14" s="1827">
        <v>23.5</v>
      </c>
      <c r="U14" s="1826" t="s">
        <v>8553</v>
      </c>
      <c r="V14" s="1828">
        <v>76</v>
      </c>
      <c r="W14" s="1826" t="s">
        <v>8554</v>
      </c>
      <c r="X14" s="1828">
        <v>54</v>
      </c>
      <c r="Y14" s="1826" t="s">
        <v>8555</v>
      </c>
      <c r="Z14" s="1828">
        <v>85</v>
      </c>
      <c r="AA14" s="1829" t="s">
        <v>8556</v>
      </c>
      <c r="AB14" s="1827">
        <v>59.235294117647101</v>
      </c>
      <c r="AC14" s="1826" t="s">
        <v>8557</v>
      </c>
      <c r="AD14" s="1830">
        <v>1</v>
      </c>
      <c r="AE14" s="1828">
        <v>52</v>
      </c>
      <c r="AF14" s="1826" t="s">
        <v>8558</v>
      </c>
      <c r="AG14" s="1831">
        <v>1</v>
      </c>
    </row>
    <row r="15" spans="3:38">
      <c r="C15" s="1846" t="s">
        <v>8559</v>
      </c>
      <c r="D15" s="1847">
        <f>D12</f>
        <v>8</v>
      </c>
      <c r="E15" s="1848"/>
      <c r="I15" s="578">
        <v>12</v>
      </c>
      <c r="J15" s="1823" t="s">
        <v>8560</v>
      </c>
      <c r="L15" s="578">
        <v>12</v>
      </c>
      <c r="M15" s="996" t="s">
        <v>8561</v>
      </c>
      <c r="N15" s="1824"/>
      <c r="P15" s="1825">
        <v>23</v>
      </c>
      <c r="Q15" s="1826" t="s">
        <v>8562</v>
      </c>
      <c r="R15" s="1827">
        <v>25.2</v>
      </c>
      <c r="S15" s="1826" t="s">
        <v>8563</v>
      </c>
      <c r="T15" s="1827">
        <v>25.75</v>
      </c>
      <c r="U15" s="1826" t="s">
        <v>8564</v>
      </c>
      <c r="V15" s="1828">
        <v>82</v>
      </c>
      <c r="W15" s="1826" t="s">
        <v>8565</v>
      </c>
      <c r="X15" s="1828">
        <v>59</v>
      </c>
      <c r="Y15" s="1826" t="s">
        <v>8566</v>
      </c>
      <c r="Z15" s="1828">
        <v>94</v>
      </c>
      <c r="AA15" s="1829" t="s">
        <v>8567</v>
      </c>
      <c r="AB15" s="1827">
        <v>65.058823529411811</v>
      </c>
      <c r="AC15" s="1826" t="s">
        <v>8568</v>
      </c>
      <c r="AD15" s="1830">
        <v>3</v>
      </c>
      <c r="AE15" s="1828">
        <v>59</v>
      </c>
      <c r="AF15" s="1826" t="s">
        <v>8569</v>
      </c>
      <c r="AG15" s="1831">
        <v>1</v>
      </c>
    </row>
    <row r="16" spans="3:38" ht="11.25" thickBot="1">
      <c r="C16" s="1841" t="s">
        <v>8570</v>
      </c>
      <c r="D16" s="1849">
        <f>D12-D15</f>
        <v>0</v>
      </c>
      <c r="E16" s="411" t="s">
        <v>8571</v>
      </c>
      <c r="I16" s="578">
        <v>13</v>
      </c>
      <c r="J16" s="1823" t="s">
        <v>8572</v>
      </c>
      <c r="L16" s="578">
        <v>13</v>
      </c>
      <c r="M16" s="996" t="s">
        <v>8573</v>
      </c>
      <c r="N16" s="1824"/>
      <c r="P16" s="1825">
        <v>25</v>
      </c>
      <c r="Q16" s="1826" t="s">
        <v>8574</v>
      </c>
      <c r="R16" s="1827">
        <v>27.4</v>
      </c>
      <c r="S16" s="1826" t="s">
        <v>8575</v>
      </c>
      <c r="T16" s="1827">
        <v>28</v>
      </c>
      <c r="U16" s="1826" t="s">
        <v>8576</v>
      </c>
      <c r="V16" s="1828">
        <v>89</v>
      </c>
      <c r="W16" s="1826" t="s">
        <v>8577</v>
      </c>
      <c r="X16" s="1828">
        <v>64</v>
      </c>
      <c r="Y16" s="1826" t="s">
        <v>8578</v>
      </c>
      <c r="Z16" s="1828"/>
      <c r="AA16" s="1829"/>
      <c r="AB16" s="1827">
        <v>70.882352941176521</v>
      </c>
      <c r="AC16" s="1826" t="s">
        <v>8579</v>
      </c>
      <c r="AD16" s="1830">
        <v>1</v>
      </c>
      <c r="AE16" s="1828">
        <v>66</v>
      </c>
      <c r="AF16" s="1826" t="s">
        <v>8580</v>
      </c>
      <c r="AG16" s="1831">
        <v>5</v>
      </c>
    </row>
    <row r="17" spans="3:33" ht="11.25" thickBot="1">
      <c r="C17" s="1850"/>
      <c r="D17" s="1851"/>
      <c r="E17" s="1852"/>
      <c r="I17" s="578">
        <v>14</v>
      </c>
      <c r="J17" s="1823" t="s">
        <v>8581</v>
      </c>
      <c r="L17" s="578">
        <v>14</v>
      </c>
      <c r="M17" s="996" t="s">
        <v>8582</v>
      </c>
      <c r="N17" s="1824"/>
      <c r="P17" s="1825">
        <v>27</v>
      </c>
      <c r="Q17" s="1826" t="s">
        <v>8583</v>
      </c>
      <c r="R17" s="1827">
        <v>29.6</v>
      </c>
      <c r="S17" s="1826" t="s">
        <v>8584</v>
      </c>
      <c r="T17" s="1827">
        <v>30.25</v>
      </c>
      <c r="U17" s="1826" t="s">
        <v>8585</v>
      </c>
      <c r="V17" s="1828">
        <v>96</v>
      </c>
      <c r="W17" s="1826" t="s">
        <v>8586</v>
      </c>
      <c r="X17" s="1828">
        <v>69</v>
      </c>
      <c r="Y17" s="1826" t="s">
        <v>8587</v>
      </c>
      <c r="Z17" s="1828"/>
      <c r="AA17" s="1829"/>
      <c r="AB17" s="1827">
        <v>76.705882352941231</v>
      </c>
      <c r="AC17" s="1826" t="s">
        <v>8588</v>
      </c>
      <c r="AD17" s="1830">
        <v>1</v>
      </c>
      <c r="AE17" s="1828">
        <v>73</v>
      </c>
      <c r="AF17" s="1826" t="s">
        <v>8589</v>
      </c>
      <c r="AG17" s="1831">
        <v>20</v>
      </c>
    </row>
    <row r="18" spans="3:33">
      <c r="C18" s="1846" t="s">
        <v>8590</v>
      </c>
      <c r="D18" s="1853">
        <f>D13</f>
        <v>24</v>
      </c>
      <c r="E18" s="1848"/>
      <c r="I18" s="578">
        <v>15</v>
      </c>
      <c r="J18" s="1823" t="s">
        <v>8591</v>
      </c>
      <c r="L18" s="578">
        <v>15</v>
      </c>
      <c r="M18" s="996" t="s">
        <v>8592</v>
      </c>
      <c r="N18" s="1824"/>
      <c r="P18" s="1825">
        <v>29</v>
      </c>
      <c r="Q18" s="1826" t="s">
        <v>8593</v>
      </c>
      <c r="R18" s="1827">
        <v>31.8</v>
      </c>
      <c r="S18" s="1826" t="s">
        <v>8594</v>
      </c>
      <c r="T18" s="1827">
        <v>32.5</v>
      </c>
      <c r="U18" s="1826" t="s">
        <v>8595</v>
      </c>
      <c r="V18" s="1828">
        <v>100</v>
      </c>
      <c r="W18" s="1826" t="s">
        <v>8596</v>
      </c>
      <c r="X18" s="1828">
        <v>75</v>
      </c>
      <c r="Y18" s="1826" t="s">
        <v>8597</v>
      </c>
      <c r="Z18" s="1828"/>
      <c r="AA18" s="1829"/>
      <c r="AB18" s="1827">
        <v>82.529411764705941</v>
      </c>
      <c r="AC18" s="1826" t="s">
        <v>8598</v>
      </c>
      <c r="AD18" s="1830">
        <v>1</v>
      </c>
      <c r="AE18" s="1828">
        <v>80</v>
      </c>
      <c r="AF18" s="1826" t="s">
        <v>8599</v>
      </c>
      <c r="AG18" s="1831">
        <v>40</v>
      </c>
    </row>
    <row r="19" spans="3:33" ht="11.25" thickBot="1">
      <c r="C19" s="1841" t="s">
        <v>8570</v>
      </c>
      <c r="D19" s="1849">
        <f>D13-D18</f>
        <v>0</v>
      </c>
      <c r="E19" s="411" t="s">
        <v>8571</v>
      </c>
      <c r="I19" s="578">
        <v>16</v>
      </c>
      <c r="J19" s="1823" t="s">
        <v>8600</v>
      </c>
      <c r="L19" s="578">
        <v>16</v>
      </c>
      <c r="M19" s="996" t="s">
        <v>8601</v>
      </c>
      <c r="N19" s="1824"/>
      <c r="P19" s="1825">
        <v>31</v>
      </c>
      <c r="Q19" s="1826" t="s">
        <v>8602</v>
      </c>
      <c r="R19" s="1827">
        <v>34</v>
      </c>
      <c r="S19" s="1826" t="s">
        <v>8603</v>
      </c>
      <c r="T19" s="1827">
        <v>34.75</v>
      </c>
      <c r="U19" s="1826" t="s">
        <v>8604</v>
      </c>
      <c r="V19" s="1828"/>
      <c r="W19" s="1826"/>
      <c r="X19" s="1828">
        <v>80</v>
      </c>
      <c r="Y19" s="1826" t="s">
        <v>8605</v>
      </c>
      <c r="Z19" s="1828"/>
      <c r="AA19" s="1829"/>
      <c r="AB19" s="1827">
        <v>88.352941176470651</v>
      </c>
      <c r="AC19" s="1826" t="s">
        <v>8606</v>
      </c>
      <c r="AD19" s="1830">
        <v>1</v>
      </c>
      <c r="AE19" s="1828">
        <v>86</v>
      </c>
      <c r="AF19" s="1826" t="s">
        <v>8607</v>
      </c>
      <c r="AG19" s="1831">
        <v>3</v>
      </c>
    </row>
    <row r="20" spans="3:33" ht="11.25" thickBot="1">
      <c r="D20" s="271"/>
      <c r="I20" s="578">
        <v>17</v>
      </c>
      <c r="J20" s="1823" t="s">
        <v>8608</v>
      </c>
      <c r="L20" s="578">
        <v>17</v>
      </c>
      <c r="M20" s="996" t="s">
        <v>8609</v>
      </c>
      <c r="N20" s="1824"/>
      <c r="P20" s="1825">
        <v>33</v>
      </c>
      <c r="Q20" s="1826" t="s">
        <v>8610</v>
      </c>
      <c r="R20" s="1827">
        <v>36.200000000000003</v>
      </c>
      <c r="S20" s="1826" t="s">
        <v>8611</v>
      </c>
      <c r="T20" s="1827">
        <v>37</v>
      </c>
      <c r="U20" s="1826" t="s">
        <v>8612</v>
      </c>
      <c r="V20" s="1828"/>
      <c r="W20" s="1826"/>
      <c r="X20" s="1828">
        <v>85</v>
      </c>
      <c r="Y20" s="1826" t="s">
        <v>8613</v>
      </c>
      <c r="Z20" s="1828"/>
      <c r="AA20" s="1829"/>
      <c r="AB20" s="1827">
        <v>94.176470588235361</v>
      </c>
      <c r="AC20" s="1826" t="s">
        <v>8614</v>
      </c>
      <c r="AD20" s="1830">
        <v>2</v>
      </c>
      <c r="AE20" s="1828">
        <v>91</v>
      </c>
      <c r="AF20" s="1826" t="s">
        <v>8615</v>
      </c>
      <c r="AG20" s="1831">
        <v>4</v>
      </c>
    </row>
    <row r="21" spans="3:33" ht="12" customHeight="1" thickBot="1">
      <c r="C21" s="1854" t="s">
        <v>8616</v>
      </c>
      <c r="D21" s="1855" t="str">
        <f>VLOOKUP([1]USER!AL6,[1]USER!AK9:AL11,2)</f>
        <v>No-just Max Starting Wealth</v>
      </c>
      <c r="E21" s="1856"/>
      <c r="I21" s="578">
        <v>18</v>
      </c>
      <c r="J21" s="1823" t="s">
        <v>8617</v>
      </c>
      <c r="L21" s="578">
        <v>18</v>
      </c>
      <c r="M21" s="996" t="s">
        <v>8618</v>
      </c>
      <c r="N21" s="1824"/>
      <c r="P21" s="1825">
        <v>35</v>
      </c>
      <c r="Q21" s="1826" t="s">
        <v>8619</v>
      </c>
      <c r="R21" s="1827">
        <v>38.4</v>
      </c>
      <c r="S21" s="1826" t="s">
        <v>8620</v>
      </c>
      <c r="T21" s="1827">
        <v>39.25</v>
      </c>
      <c r="U21" s="1826" t="s">
        <v>8621</v>
      </c>
      <c r="V21" s="1828"/>
      <c r="W21" s="1826"/>
      <c r="X21" s="1828">
        <v>90</v>
      </c>
      <c r="Y21" s="1826" t="s">
        <v>8622</v>
      </c>
      <c r="Z21" s="1828"/>
      <c r="AA21" s="1829"/>
      <c r="AB21" s="1827">
        <v>100</v>
      </c>
      <c r="AC21" s="1826" t="s">
        <v>8623</v>
      </c>
      <c r="AD21" s="1830">
        <v>10000</v>
      </c>
      <c r="AE21" s="1828">
        <v>95</v>
      </c>
      <c r="AF21" s="1826" t="s">
        <v>8624</v>
      </c>
      <c r="AG21" s="1831">
        <v>2</v>
      </c>
    </row>
    <row r="22" spans="3:33" ht="12" customHeight="1">
      <c r="I22" s="578">
        <v>19</v>
      </c>
      <c r="J22" s="1823" t="s">
        <v>8625</v>
      </c>
      <c r="L22" s="578">
        <v>19</v>
      </c>
      <c r="M22" s="996" t="s">
        <v>8626</v>
      </c>
      <c r="N22" s="1824"/>
      <c r="P22" s="1825">
        <v>37</v>
      </c>
      <c r="Q22" s="1826" t="s">
        <v>8627</v>
      </c>
      <c r="R22" s="1827">
        <v>40.6</v>
      </c>
      <c r="S22" s="1826" t="s">
        <v>8628</v>
      </c>
      <c r="T22" s="1827">
        <v>41.5</v>
      </c>
      <c r="U22" s="1826" t="s">
        <v>8629</v>
      </c>
      <c r="V22" s="1828"/>
      <c r="W22" s="1826"/>
      <c r="X22" s="1828">
        <v>96</v>
      </c>
      <c r="Y22" s="1826" t="s">
        <v>8630</v>
      </c>
      <c r="Z22" s="1828"/>
      <c r="AA22" s="1829"/>
      <c r="AB22" s="1828"/>
      <c r="AC22" s="1826"/>
      <c r="AD22" s="1826"/>
      <c r="AE22" s="1828">
        <v>99</v>
      </c>
      <c r="AF22" s="1826" t="s">
        <v>8631</v>
      </c>
      <c r="AG22" s="1831">
        <v>1</v>
      </c>
    </row>
    <row r="23" spans="3:33" ht="11.25" thickBot="1">
      <c r="I23" s="578">
        <v>20</v>
      </c>
      <c r="J23" s="1823" t="s">
        <v>8632</v>
      </c>
      <c r="L23" s="578">
        <v>20</v>
      </c>
      <c r="M23" s="996" t="s">
        <v>8633</v>
      </c>
      <c r="N23" s="1824"/>
      <c r="P23" s="1825">
        <v>39</v>
      </c>
      <c r="Q23" s="1826" t="s">
        <v>8634</v>
      </c>
      <c r="R23" s="1827">
        <v>42.8</v>
      </c>
      <c r="S23" s="1826" t="s">
        <v>8635</v>
      </c>
      <c r="T23" s="1827">
        <v>43.75</v>
      </c>
      <c r="U23" s="1826" t="s">
        <v>8636</v>
      </c>
      <c r="V23" s="1828"/>
      <c r="W23" s="1826"/>
      <c r="X23" s="1828"/>
      <c r="Y23" s="1826"/>
      <c r="Z23" s="1828"/>
      <c r="AA23" s="1829"/>
      <c r="AB23" s="1828"/>
      <c r="AC23" s="1826"/>
      <c r="AD23" s="1826"/>
      <c r="AE23" s="1828"/>
      <c r="AF23" s="1826"/>
      <c r="AG23" s="1857"/>
    </row>
    <row r="24" spans="3:33" ht="11.25" customHeight="1" thickBot="1">
      <c r="C24" s="1665" t="s">
        <v>8637</v>
      </c>
      <c r="D24" s="1858"/>
      <c r="E24" s="1859" t="s">
        <v>6598</v>
      </c>
      <c r="F24" s="1860" t="s">
        <v>8638</v>
      </c>
      <c r="I24" s="578">
        <v>21</v>
      </c>
      <c r="J24" s="1823" t="s">
        <v>8639</v>
      </c>
      <c r="L24" s="578">
        <v>21</v>
      </c>
      <c r="M24" s="996" t="s">
        <v>8640</v>
      </c>
      <c r="N24" s="1824"/>
      <c r="P24" s="1825">
        <v>41</v>
      </c>
      <c r="Q24" s="1826" t="s">
        <v>8641</v>
      </c>
      <c r="R24" s="1827">
        <v>45</v>
      </c>
      <c r="S24" s="1826" t="s">
        <v>8642</v>
      </c>
      <c r="T24" s="1827">
        <v>46</v>
      </c>
      <c r="U24" s="1826" t="s">
        <v>8643</v>
      </c>
      <c r="V24" s="1828"/>
      <c r="W24" s="1826"/>
      <c r="X24" s="1828"/>
      <c r="Y24" s="1826"/>
      <c r="Z24" s="1828"/>
      <c r="AA24" s="1829"/>
      <c r="AB24" s="1828"/>
      <c r="AC24" s="1826"/>
      <c r="AD24" s="1826"/>
      <c r="AE24" s="1828"/>
      <c r="AF24" s="1826"/>
      <c r="AG24" s="1857"/>
    </row>
    <row r="25" spans="3:33" ht="11.25" customHeight="1" thickBot="1">
      <c r="C25" s="1861"/>
      <c r="D25" s="561" t="s">
        <v>6299</v>
      </c>
      <c r="E25" s="1862" t="s">
        <v>8644</v>
      </c>
      <c r="F25" s="1863" t="s">
        <v>8644</v>
      </c>
      <c r="I25" s="578">
        <v>22</v>
      </c>
      <c r="J25" s="1823" t="s">
        <v>8645</v>
      </c>
      <c r="L25" s="578">
        <v>22</v>
      </c>
      <c r="M25" s="996" t="s">
        <v>8646</v>
      </c>
      <c r="N25" s="1824"/>
      <c r="P25" s="1825">
        <v>43</v>
      </c>
      <c r="Q25" s="1826" t="s">
        <v>8647</v>
      </c>
      <c r="R25" s="1827">
        <v>47.2</v>
      </c>
      <c r="S25" s="1826" t="s">
        <v>8648</v>
      </c>
      <c r="T25" s="1827">
        <v>48.25</v>
      </c>
      <c r="U25" s="1826" t="s">
        <v>8649</v>
      </c>
      <c r="V25" s="1828"/>
      <c r="W25" s="1826"/>
      <c r="X25" s="1828"/>
      <c r="Y25" s="1826"/>
      <c r="Z25" s="1828"/>
      <c r="AA25" s="1829"/>
      <c r="AB25" s="1828"/>
      <c r="AC25" s="1826"/>
      <c r="AD25" s="1826"/>
      <c r="AE25" s="1828"/>
      <c r="AF25" s="1826"/>
      <c r="AG25" s="1857"/>
    </row>
    <row r="26" spans="3:33">
      <c r="C26" s="1864">
        <v>1</v>
      </c>
      <c r="D26" s="1865" t="s">
        <v>6007</v>
      </c>
      <c r="E26" s="1866">
        <f ca="1">(RANDBETWEEN(1,4)+RANDBETWEEN(1,4)+RANDBETWEEN(1,4)+RANDBETWEEN(1,4)+RANDBETWEEN(1,4))*10</f>
        <v>120</v>
      </c>
      <c r="F26" s="1867">
        <v>200</v>
      </c>
      <c r="I26" s="578">
        <v>23</v>
      </c>
      <c r="J26" s="1823" t="s">
        <v>8650</v>
      </c>
      <c r="L26" s="578">
        <v>23</v>
      </c>
      <c r="M26" s="996" t="s">
        <v>8651</v>
      </c>
      <c r="N26" s="1824"/>
      <c r="P26" s="1825">
        <v>45</v>
      </c>
      <c r="Q26" s="1826" t="s">
        <v>8652</v>
      </c>
      <c r="R26" s="1827">
        <v>49.4</v>
      </c>
      <c r="S26" s="1826" t="s">
        <v>8653</v>
      </c>
      <c r="T26" s="1827">
        <v>50.5</v>
      </c>
      <c r="U26" s="1826" t="s">
        <v>8654</v>
      </c>
      <c r="V26" s="1828"/>
      <c r="W26" s="1826"/>
      <c r="X26" s="1828"/>
      <c r="Y26" s="1826"/>
      <c r="Z26" s="1828"/>
      <c r="AA26" s="1829"/>
      <c r="AB26" s="1828"/>
      <c r="AC26" s="1826"/>
      <c r="AD26" s="1826"/>
      <c r="AE26" s="1828"/>
      <c r="AF26" s="1826"/>
      <c r="AG26" s="1857"/>
    </row>
    <row r="27" spans="3:33" ht="11.25" customHeight="1">
      <c r="C27" s="349">
        <v>2</v>
      </c>
      <c r="D27" s="1868" t="s">
        <v>6010</v>
      </c>
      <c r="E27" s="1869">
        <f ca="1">(RANDBETWEEN(1,4)+RANDBETWEEN(1,4)+RANDBETWEEN(1,4)+RANDBETWEEN(1,4)+RANDBETWEEN(1,4))*10</f>
        <v>120</v>
      </c>
      <c r="F27" s="1870">
        <v>200</v>
      </c>
      <c r="I27" s="578">
        <v>24</v>
      </c>
      <c r="J27" s="1823" t="s">
        <v>8655</v>
      </c>
      <c r="L27" s="578">
        <v>24</v>
      </c>
      <c r="M27" s="996" t="s">
        <v>8656</v>
      </c>
      <c r="N27" s="1824"/>
      <c r="P27" s="1825">
        <v>47</v>
      </c>
      <c r="Q27" s="1826" t="s">
        <v>8657</v>
      </c>
      <c r="R27" s="1827">
        <v>51.6</v>
      </c>
      <c r="S27" s="1826" t="s">
        <v>8658</v>
      </c>
      <c r="T27" s="1827">
        <v>52.75</v>
      </c>
      <c r="U27" s="1826" t="s">
        <v>8659</v>
      </c>
      <c r="V27" s="1828"/>
      <c r="W27" s="1826"/>
      <c r="X27" s="1828"/>
      <c r="Y27" s="1826"/>
      <c r="Z27" s="1828"/>
      <c r="AA27" s="1829"/>
      <c r="AB27" s="1828"/>
      <c r="AC27" s="1826"/>
      <c r="AD27" s="1826"/>
      <c r="AE27" s="1828"/>
      <c r="AF27" s="1826"/>
      <c r="AG27" s="1857"/>
    </row>
    <row r="28" spans="3:33" ht="11.25" customHeight="1">
      <c r="C28" s="349">
        <v>3</v>
      </c>
      <c r="D28" s="1868" t="s">
        <v>6013</v>
      </c>
      <c r="E28" s="1869">
        <f ca="1">(RANDBETWEEN(1,4)+RANDBETWEEN(1,4)+RANDBETWEEN(1,4)+RANDBETWEEN(1,4))*10</f>
        <v>70</v>
      </c>
      <c r="F28" s="1870">
        <v>160</v>
      </c>
      <c r="I28" s="578">
        <v>25</v>
      </c>
      <c r="J28" s="1823" t="s">
        <v>8660</v>
      </c>
      <c r="L28" s="578">
        <v>25</v>
      </c>
      <c r="M28" s="996" t="s">
        <v>8661</v>
      </c>
      <c r="N28" s="1824"/>
      <c r="P28" s="1825">
        <v>49</v>
      </c>
      <c r="Q28" s="1826" t="s">
        <v>8662</v>
      </c>
      <c r="R28" s="1827">
        <v>53.8</v>
      </c>
      <c r="S28" s="1826" t="s">
        <v>8663</v>
      </c>
      <c r="T28" s="1827">
        <v>55</v>
      </c>
      <c r="U28" s="1826" t="s">
        <v>8664</v>
      </c>
      <c r="V28" s="1828"/>
      <c r="W28" s="1826"/>
      <c r="X28" s="1828"/>
      <c r="Y28" s="1826"/>
      <c r="Z28" s="1828"/>
      <c r="AA28" s="1829"/>
      <c r="AB28" s="1828"/>
      <c r="AC28" s="1826"/>
      <c r="AD28" s="1826"/>
      <c r="AE28" s="1828"/>
      <c r="AF28" s="1826"/>
      <c r="AG28" s="1857"/>
    </row>
    <row r="29" spans="3:33" ht="12" customHeight="1">
      <c r="C29" s="349">
        <v>4</v>
      </c>
      <c r="D29" s="1868" t="s">
        <v>1002</v>
      </c>
      <c r="E29" s="1869">
        <f ca="1">(RANDBETWEEN(1,4)+RANDBETWEEN(1,4)+RANDBETWEEN(1,4)+RANDBETWEEN(1,4))*10</f>
        <v>100</v>
      </c>
      <c r="F29" s="1870">
        <v>160</v>
      </c>
      <c r="I29" s="578">
        <v>26</v>
      </c>
      <c r="J29" s="1823" t="s">
        <v>8665</v>
      </c>
      <c r="L29" s="578">
        <v>26</v>
      </c>
      <c r="M29" s="996" t="s">
        <v>8666</v>
      </c>
      <c r="N29" s="1824"/>
      <c r="P29" s="1825">
        <v>51</v>
      </c>
      <c r="Q29" s="1826" t="s">
        <v>8667</v>
      </c>
      <c r="R29" s="1827">
        <v>56</v>
      </c>
      <c r="S29" s="1826" t="s">
        <v>8668</v>
      </c>
      <c r="T29" s="1827">
        <v>57.25</v>
      </c>
      <c r="U29" s="1826" t="s">
        <v>8669</v>
      </c>
      <c r="V29" s="1828"/>
      <c r="W29" s="1826"/>
      <c r="X29" s="1828"/>
      <c r="Y29" s="1826"/>
      <c r="Z29" s="1828"/>
      <c r="AA29" s="1829"/>
      <c r="AB29" s="1828"/>
      <c r="AC29" s="1826"/>
      <c r="AD29" s="1826"/>
      <c r="AE29" s="1828"/>
      <c r="AF29" s="1826"/>
      <c r="AG29" s="1857"/>
    </row>
    <row r="30" spans="3:33" ht="11.25" customHeight="1">
      <c r="C30" s="349">
        <v>5</v>
      </c>
      <c r="D30" s="1868" t="s">
        <v>6018</v>
      </c>
      <c r="E30" s="1869">
        <f ca="1">(RANDBETWEEN(1,4)+RANDBETWEEN(1,4))*10</f>
        <v>40</v>
      </c>
      <c r="F30" s="1870">
        <v>80</v>
      </c>
      <c r="I30" s="578">
        <v>27</v>
      </c>
      <c r="J30" s="1823" t="s">
        <v>8670</v>
      </c>
      <c r="L30" s="578">
        <v>27</v>
      </c>
      <c r="M30" s="996" t="s">
        <v>8671</v>
      </c>
      <c r="N30" s="1824"/>
      <c r="P30" s="1825">
        <v>53</v>
      </c>
      <c r="Q30" s="1826" t="s">
        <v>8672</v>
      </c>
      <c r="R30" s="1827">
        <v>58.2</v>
      </c>
      <c r="S30" s="1826" t="s">
        <v>8673</v>
      </c>
      <c r="T30" s="1827">
        <v>59.5</v>
      </c>
      <c r="U30" s="1826" t="s">
        <v>8674</v>
      </c>
      <c r="V30" s="1828"/>
      <c r="W30" s="1826"/>
      <c r="X30" s="1828"/>
      <c r="Y30" s="1826"/>
      <c r="Z30" s="1828"/>
      <c r="AA30" s="1829"/>
      <c r="AB30" s="1828"/>
      <c r="AC30" s="1826"/>
      <c r="AD30" s="1826"/>
      <c r="AE30" s="1828"/>
      <c r="AF30" s="1826"/>
      <c r="AG30" s="1857"/>
    </row>
    <row r="31" spans="3:33" ht="11.25" customHeight="1">
      <c r="C31" s="349">
        <v>6</v>
      </c>
      <c r="D31" s="1868" t="s">
        <v>6020</v>
      </c>
      <c r="E31" s="1869">
        <f ca="1">(RANDBETWEEN(1,4)+RANDBETWEEN(1,4)+RANDBETWEEN(1,4)+RANDBETWEEN(1,4)+RANDBETWEEN(1,4))*10</f>
        <v>150</v>
      </c>
      <c r="F31" s="1870">
        <v>200</v>
      </c>
      <c r="I31" s="578">
        <v>28</v>
      </c>
      <c r="J31" s="1823" t="s">
        <v>8675</v>
      </c>
      <c r="L31" s="578">
        <v>28</v>
      </c>
      <c r="M31" s="996" t="s">
        <v>8676</v>
      </c>
      <c r="N31" s="1824"/>
      <c r="P31" s="1825">
        <v>55</v>
      </c>
      <c r="Q31" s="1826" t="s">
        <v>8677</v>
      </c>
      <c r="R31" s="1827">
        <v>60.4</v>
      </c>
      <c r="S31" s="1826" t="s">
        <v>8678</v>
      </c>
      <c r="T31" s="1827">
        <v>61.75</v>
      </c>
      <c r="U31" s="1826" t="s">
        <v>8679</v>
      </c>
      <c r="V31" s="1828"/>
      <c r="W31" s="1826"/>
      <c r="X31" s="1828"/>
      <c r="Y31" s="1826"/>
      <c r="Z31" s="1828"/>
      <c r="AA31" s="1829"/>
      <c r="AB31" s="1828"/>
      <c r="AC31" s="1826"/>
      <c r="AD31" s="1826"/>
      <c r="AE31" s="1828"/>
      <c r="AF31" s="1826"/>
      <c r="AG31" s="1857"/>
    </row>
    <row r="32" spans="3:33" ht="12" customHeight="1">
      <c r="C32" s="349">
        <v>7</v>
      </c>
      <c r="D32" s="1868" t="s">
        <v>4928</v>
      </c>
      <c r="E32" s="1869">
        <f ca="1">(RANDBETWEEN(1,4)+RANDBETWEEN(1,4))*10</f>
        <v>50</v>
      </c>
      <c r="F32" s="1870">
        <v>80</v>
      </c>
      <c r="I32" s="578">
        <v>29</v>
      </c>
      <c r="J32" s="1823" t="s">
        <v>8680</v>
      </c>
      <c r="L32" s="578">
        <v>29</v>
      </c>
      <c r="M32" s="996" t="s">
        <v>8681</v>
      </c>
      <c r="N32" s="1824"/>
      <c r="P32" s="1825">
        <v>57</v>
      </c>
      <c r="Q32" s="1826" t="s">
        <v>8682</v>
      </c>
      <c r="R32" s="1827">
        <v>62.6</v>
      </c>
      <c r="S32" s="1826" t="s">
        <v>8683</v>
      </c>
      <c r="T32" s="1827">
        <v>64</v>
      </c>
      <c r="U32" s="1826" t="s">
        <v>8684</v>
      </c>
      <c r="V32" s="1828"/>
      <c r="W32" s="1826"/>
      <c r="X32" s="1828"/>
      <c r="Y32" s="1826"/>
      <c r="Z32" s="1828"/>
      <c r="AA32" s="1829"/>
      <c r="AB32" s="1828"/>
      <c r="AC32" s="1826"/>
      <c r="AD32" s="1826"/>
      <c r="AE32" s="1828"/>
      <c r="AF32" s="1826"/>
      <c r="AG32" s="1857"/>
    </row>
    <row r="33" spans="2:37" ht="11.25" customHeight="1">
      <c r="C33" s="349">
        <v>8</v>
      </c>
      <c r="D33" s="1868" t="s">
        <v>6025</v>
      </c>
      <c r="E33" s="1869">
        <f ca="1">(RANDBETWEEN(1,4)+RANDBETWEEN(1,4)+RANDBETWEEN(1,4)+RANDBETWEEN(1,4)+RANDBETWEEN(1,4))</f>
        <v>13</v>
      </c>
      <c r="F33" s="1870">
        <v>20</v>
      </c>
      <c r="I33" s="578">
        <v>30</v>
      </c>
      <c r="J33" s="1823" t="s">
        <v>8685</v>
      </c>
      <c r="L33" s="578">
        <v>30</v>
      </c>
      <c r="M33" s="996" t="s">
        <v>8686</v>
      </c>
      <c r="N33" s="1824"/>
      <c r="P33" s="1825">
        <v>59</v>
      </c>
      <c r="Q33" s="1826" t="s">
        <v>8687</v>
      </c>
      <c r="R33" s="1827">
        <v>64.8</v>
      </c>
      <c r="S33" s="1826" t="s">
        <v>8688</v>
      </c>
      <c r="T33" s="1827">
        <v>66.25</v>
      </c>
      <c r="U33" s="1826" t="s">
        <v>8689</v>
      </c>
      <c r="V33" s="1828"/>
      <c r="W33" s="1826"/>
      <c r="X33" s="1828"/>
      <c r="Y33" s="1826"/>
      <c r="Z33" s="1828"/>
      <c r="AA33" s="1829"/>
      <c r="AB33" s="1828"/>
      <c r="AC33" s="1826"/>
      <c r="AD33" s="1826"/>
      <c r="AE33" s="1828"/>
      <c r="AF33" s="1826"/>
      <c r="AG33" s="1857"/>
    </row>
    <row r="34" spans="2:37" ht="11.25" customHeight="1">
      <c r="C34" s="349">
        <v>9</v>
      </c>
      <c r="D34" s="1868" t="s">
        <v>6028</v>
      </c>
      <c r="E34" s="1869">
        <f ca="1">(RANDBETWEEN(1,4)+RANDBETWEEN(1,4)+RANDBETWEEN(1,4)+RANDBETWEEN(1,4)+RANDBETWEEN(1,4))*10</f>
        <v>130</v>
      </c>
      <c r="F34" s="1870">
        <v>200</v>
      </c>
      <c r="I34" s="578">
        <v>31</v>
      </c>
      <c r="J34" s="1823" t="s">
        <v>8690</v>
      </c>
      <c r="L34" s="578">
        <v>31</v>
      </c>
      <c r="M34" s="996" t="s">
        <v>8691</v>
      </c>
      <c r="N34" s="1824"/>
      <c r="P34" s="1825">
        <v>61</v>
      </c>
      <c r="Q34" s="1826" t="s">
        <v>8692</v>
      </c>
      <c r="R34" s="1827">
        <v>67</v>
      </c>
      <c r="S34" s="1826" t="s">
        <v>8693</v>
      </c>
      <c r="T34" s="1827">
        <v>68.5</v>
      </c>
      <c r="U34" s="1826" t="s">
        <v>8694</v>
      </c>
      <c r="V34" s="1828"/>
      <c r="W34" s="1826"/>
      <c r="X34" s="1828"/>
      <c r="Y34" s="1826"/>
      <c r="Z34" s="1828"/>
      <c r="AA34" s="1829"/>
      <c r="AB34" s="1828"/>
      <c r="AC34" s="1826"/>
      <c r="AD34" s="1826"/>
      <c r="AE34" s="1828"/>
      <c r="AF34" s="1826"/>
      <c r="AG34" s="1857"/>
    </row>
    <row r="35" spans="2:37" ht="11.25" customHeight="1">
      <c r="C35" s="349">
        <v>10</v>
      </c>
      <c r="D35" s="1868" t="s">
        <v>6031</v>
      </c>
      <c r="E35" s="1869">
        <f ca="1">(RANDBETWEEN(1,4)+RANDBETWEEN(1,4)+RANDBETWEEN(1,4)+RANDBETWEEN(1,4)+RANDBETWEEN(1,4))*10</f>
        <v>130</v>
      </c>
      <c r="F35" s="1870">
        <v>200</v>
      </c>
      <c r="I35" s="578">
        <v>32</v>
      </c>
      <c r="J35" s="1823" t="s">
        <v>8695</v>
      </c>
      <c r="L35" s="578">
        <v>32</v>
      </c>
      <c r="M35" s="996" t="s">
        <v>8696</v>
      </c>
      <c r="N35" s="1824"/>
      <c r="P35" s="1825">
        <v>63</v>
      </c>
      <c r="Q35" s="1826" t="s">
        <v>8697</v>
      </c>
      <c r="R35" s="1827">
        <v>69.2</v>
      </c>
      <c r="S35" s="1826" t="s">
        <v>8698</v>
      </c>
      <c r="T35" s="1827">
        <v>70.75</v>
      </c>
      <c r="U35" s="1826" t="s">
        <v>8699</v>
      </c>
      <c r="V35" s="1828"/>
      <c r="W35" s="1826"/>
      <c r="X35" s="1828"/>
      <c r="Y35" s="1826"/>
      <c r="Z35" s="1828"/>
      <c r="AA35" s="1829"/>
      <c r="AB35" s="1828"/>
      <c r="AC35" s="1826"/>
      <c r="AD35" s="1826"/>
      <c r="AE35" s="1828"/>
      <c r="AF35" s="1826"/>
      <c r="AG35" s="1857"/>
    </row>
    <row r="36" spans="2:37" ht="11.25" customHeight="1">
      <c r="C36" s="349">
        <v>11</v>
      </c>
      <c r="D36" s="1868" t="s">
        <v>6033</v>
      </c>
      <c r="E36" s="1869">
        <f ca="1">(RANDBETWEEN(1,4)+RANDBETWEEN(1,4)+RANDBETWEEN(1,4))*10</f>
        <v>70</v>
      </c>
      <c r="F36" s="1870">
        <v>120</v>
      </c>
      <c r="I36" s="578">
        <v>33</v>
      </c>
      <c r="J36" s="1823" t="s">
        <v>8700</v>
      </c>
      <c r="L36" s="578">
        <v>33</v>
      </c>
      <c r="M36" s="996" t="s">
        <v>8701</v>
      </c>
      <c r="N36" s="1824"/>
      <c r="P36" s="1825">
        <v>65</v>
      </c>
      <c r="Q36" s="1826" t="s">
        <v>8702</v>
      </c>
      <c r="R36" s="1827">
        <v>71.400000000000006</v>
      </c>
      <c r="S36" s="1826" t="s">
        <v>8703</v>
      </c>
      <c r="T36" s="1827">
        <v>73</v>
      </c>
      <c r="U36" s="1826" t="s">
        <v>8704</v>
      </c>
      <c r="V36" s="1828"/>
      <c r="W36" s="1826"/>
      <c r="X36" s="1828"/>
      <c r="Y36" s="1826"/>
      <c r="Z36" s="1828"/>
      <c r="AA36" s="1829"/>
      <c r="AB36" s="1828"/>
      <c r="AC36" s="1826"/>
      <c r="AD36" s="1826"/>
      <c r="AE36" s="1828"/>
      <c r="AF36" s="1826"/>
      <c r="AG36" s="1857"/>
      <c r="AJ36" s="272"/>
      <c r="AK36" s="272"/>
    </row>
    <row r="37" spans="2:37" ht="11.25" customHeight="1" thickBot="1">
      <c r="C37" s="406">
        <v>12</v>
      </c>
      <c r="D37" s="1871" t="s">
        <v>6034</v>
      </c>
      <c r="E37" s="1872">
        <f ca="1">(RANDBETWEEN(1,4)+RANDBETWEEN(1,4)+RANDBETWEEN(1,4)+RANDBETWEEN(1,4))*10</f>
        <v>100</v>
      </c>
      <c r="F37" s="1873">
        <v>160</v>
      </c>
      <c r="I37" s="578">
        <v>34</v>
      </c>
      <c r="J37" s="1823" t="s">
        <v>8705</v>
      </c>
      <c r="L37" s="578">
        <v>34</v>
      </c>
      <c r="M37" s="996" t="s">
        <v>8706</v>
      </c>
      <c r="N37" s="1824"/>
      <c r="P37" s="1825">
        <v>67</v>
      </c>
      <c r="Q37" s="1826" t="s">
        <v>8707</v>
      </c>
      <c r="R37" s="1827">
        <v>73.599999999999994</v>
      </c>
      <c r="S37" s="1826" t="s">
        <v>8708</v>
      </c>
      <c r="T37" s="1827">
        <v>75.25</v>
      </c>
      <c r="U37" s="1826" t="s">
        <v>8709</v>
      </c>
      <c r="V37" s="1828"/>
      <c r="W37" s="1826"/>
      <c r="X37" s="1828"/>
      <c r="Y37" s="1826"/>
      <c r="Z37" s="1828"/>
      <c r="AA37" s="1829"/>
      <c r="AB37" s="1828"/>
      <c r="AC37" s="1826"/>
      <c r="AD37" s="1826"/>
      <c r="AE37" s="1828"/>
      <c r="AF37" s="1826"/>
      <c r="AG37" s="1857"/>
      <c r="AJ37" s="272"/>
      <c r="AK37" s="272"/>
    </row>
    <row r="38" spans="2:37" ht="11.25" customHeight="1">
      <c r="I38" s="578">
        <v>35</v>
      </c>
      <c r="J38" s="1823" t="s">
        <v>8710</v>
      </c>
      <c r="L38" s="578">
        <v>35</v>
      </c>
      <c r="M38" s="996" t="s">
        <v>8711</v>
      </c>
      <c r="N38" s="1824"/>
      <c r="P38" s="1825">
        <v>69</v>
      </c>
      <c r="Q38" s="1826" t="s">
        <v>8712</v>
      </c>
      <c r="R38" s="1827">
        <v>75.8</v>
      </c>
      <c r="S38" s="1826" t="s">
        <v>8713</v>
      </c>
      <c r="T38" s="1827">
        <v>77.5</v>
      </c>
      <c r="U38" s="1826" t="s">
        <v>8714</v>
      </c>
      <c r="V38" s="1828"/>
      <c r="W38" s="1826"/>
      <c r="X38" s="1828"/>
      <c r="Y38" s="1826"/>
      <c r="Z38" s="1828"/>
      <c r="AA38" s="1829"/>
      <c r="AB38" s="1828"/>
      <c r="AC38" s="1826"/>
      <c r="AD38" s="1826"/>
      <c r="AE38" s="1828"/>
      <c r="AF38" s="1826"/>
      <c r="AG38" s="1857"/>
      <c r="AJ38" s="272"/>
      <c r="AK38" s="272"/>
    </row>
    <row r="39" spans="2:37" ht="11.25" customHeight="1" thickBot="1">
      <c r="I39" s="578">
        <v>36</v>
      </c>
      <c r="J39" s="1823" t="s">
        <v>8715</v>
      </c>
      <c r="L39" s="578">
        <v>36</v>
      </c>
      <c r="M39" s="996" t="s">
        <v>8716</v>
      </c>
      <c r="N39" s="1824"/>
      <c r="P39" s="1825">
        <v>71</v>
      </c>
      <c r="Q39" s="1826" t="s">
        <v>8717</v>
      </c>
      <c r="R39" s="1827">
        <v>78</v>
      </c>
      <c r="S39" s="1826" t="s">
        <v>8718</v>
      </c>
      <c r="T39" s="1827">
        <v>79.75</v>
      </c>
      <c r="U39" s="1826" t="s">
        <v>8719</v>
      </c>
      <c r="V39" s="1828"/>
      <c r="W39" s="1826"/>
      <c r="X39" s="1828"/>
      <c r="Y39" s="1826"/>
      <c r="Z39" s="1828"/>
      <c r="AA39" s="1829"/>
      <c r="AB39" s="1828"/>
      <c r="AC39" s="1826"/>
      <c r="AD39" s="1826"/>
      <c r="AE39" s="1828"/>
      <c r="AF39" s="1826"/>
      <c r="AG39" s="1857"/>
      <c r="AJ39" s="272"/>
      <c r="AK39" s="272"/>
    </row>
    <row r="40" spans="2:37" ht="11.25" customHeight="1" thickBot="1">
      <c r="B40" s="275" t="s">
        <v>8720</v>
      </c>
      <c r="C40" s="1658"/>
      <c r="D40" s="1658"/>
      <c r="E40" s="1658"/>
      <c r="F40" s="1658"/>
      <c r="G40" s="1659"/>
      <c r="I40" s="578">
        <v>37</v>
      </c>
      <c r="J40" s="1823" t="s">
        <v>8721</v>
      </c>
      <c r="L40" s="578">
        <v>37</v>
      </c>
      <c r="M40" s="996" t="s">
        <v>8722</v>
      </c>
      <c r="N40" s="1824"/>
      <c r="P40" s="1825">
        <v>73</v>
      </c>
      <c r="Q40" s="1826" t="s">
        <v>8723</v>
      </c>
      <c r="R40" s="1827">
        <v>80.2</v>
      </c>
      <c r="S40" s="1826" t="s">
        <v>8724</v>
      </c>
      <c r="T40" s="1827">
        <v>82</v>
      </c>
      <c r="U40" s="1826" t="s">
        <v>8725</v>
      </c>
      <c r="V40" s="1828"/>
      <c r="W40" s="1826"/>
      <c r="X40" s="1828"/>
      <c r="Y40" s="1826"/>
      <c r="Z40" s="1828"/>
      <c r="AA40" s="1829"/>
      <c r="AB40" s="1828"/>
      <c r="AC40" s="1826"/>
      <c r="AD40" s="1826"/>
      <c r="AE40" s="1828"/>
      <c r="AF40" s="1826"/>
      <c r="AG40" s="1857"/>
      <c r="AJ40" s="272"/>
      <c r="AK40" s="272"/>
    </row>
    <row r="41" spans="2:37" ht="11.25" customHeight="1" thickBot="1">
      <c r="B41" s="1874" t="s">
        <v>6042</v>
      </c>
      <c r="C41" s="1875" t="s">
        <v>6299</v>
      </c>
      <c r="D41" s="1875" t="s">
        <v>8644</v>
      </c>
      <c r="E41" s="1876" t="s">
        <v>8726</v>
      </c>
      <c r="F41" s="1876" t="s">
        <v>8727</v>
      </c>
      <c r="G41" s="1877" t="s">
        <v>8728</v>
      </c>
      <c r="I41" s="578">
        <v>38</v>
      </c>
      <c r="J41" s="1823" t="s">
        <v>8729</v>
      </c>
      <c r="L41" s="578">
        <v>38</v>
      </c>
      <c r="M41" s="996" t="s">
        <v>8730</v>
      </c>
      <c r="N41" s="1824"/>
      <c r="P41" s="1825">
        <v>75</v>
      </c>
      <c r="Q41" s="1826" t="s">
        <v>8731</v>
      </c>
      <c r="R41" s="1827">
        <v>82.4</v>
      </c>
      <c r="S41" s="1826" t="s">
        <v>8732</v>
      </c>
      <c r="T41" s="1827">
        <v>84.25</v>
      </c>
      <c r="U41" s="1826" t="s">
        <v>8733</v>
      </c>
      <c r="V41" s="1828"/>
      <c r="W41" s="1826"/>
      <c r="X41" s="1828"/>
      <c r="Y41" s="1826"/>
      <c r="Z41" s="1828"/>
      <c r="AA41" s="1829"/>
      <c r="AB41" s="1828"/>
      <c r="AC41" s="1826"/>
      <c r="AD41" s="1826"/>
      <c r="AE41" s="1828"/>
      <c r="AF41" s="1826"/>
      <c r="AG41" s="1857"/>
      <c r="AJ41" s="272"/>
      <c r="AK41" s="272"/>
    </row>
    <row r="42" spans="2:37" ht="12" customHeight="1">
      <c r="B42" s="587">
        <v>1</v>
      </c>
      <c r="C42" s="1878" t="s">
        <v>8734</v>
      </c>
      <c r="D42" s="1879">
        <f>IF([1]USER!AL6&lt;=1,VLOOKUP([1]MATH!C8,$C$26:$F$37,3),VLOOKUP([1]MATH!C8,$C$26:$F$37,4))</f>
        <v>160</v>
      </c>
      <c r="E42" s="1880"/>
      <c r="F42" s="1880"/>
      <c r="G42" s="1881">
        <f t="shared" ref="G42:G61" si="0">D42-E42</f>
        <v>160</v>
      </c>
      <c r="I42" s="578">
        <v>39</v>
      </c>
      <c r="J42" s="1823" t="s">
        <v>8735</v>
      </c>
      <c r="L42" s="578">
        <v>39</v>
      </c>
      <c r="M42" s="996" t="s">
        <v>8736</v>
      </c>
      <c r="N42" s="1824"/>
      <c r="P42" s="1825">
        <v>77</v>
      </c>
      <c r="Q42" s="1826" t="s">
        <v>8737</v>
      </c>
      <c r="R42" s="1827">
        <v>84.6</v>
      </c>
      <c r="S42" s="1826" t="s">
        <v>8738</v>
      </c>
      <c r="T42" s="1827">
        <v>86.5</v>
      </c>
      <c r="U42" s="1826" t="s">
        <v>8739</v>
      </c>
      <c r="V42" s="1828"/>
      <c r="W42" s="1826"/>
      <c r="X42" s="1828"/>
      <c r="Y42" s="1826"/>
      <c r="Z42" s="1828"/>
      <c r="AA42" s="1829"/>
      <c r="AB42" s="1828"/>
      <c r="AC42" s="1826"/>
      <c r="AD42" s="1826"/>
      <c r="AE42" s="1828"/>
      <c r="AF42" s="1826"/>
      <c r="AG42" s="1857"/>
      <c r="AJ42" s="272"/>
      <c r="AK42" s="272"/>
    </row>
    <row r="43" spans="2:37" ht="11.25" customHeight="1">
      <c r="B43" s="572">
        <v>2</v>
      </c>
      <c r="C43" s="1882" t="s">
        <v>8740</v>
      </c>
      <c r="D43" s="1883">
        <f ca="1">VLOOKUP([1]MATH!$C$8,$C$26:$F$37,3)</f>
        <v>100</v>
      </c>
      <c r="E43" s="1884"/>
      <c r="F43" s="1884"/>
      <c r="G43" s="1885">
        <f t="shared" ca="1" si="0"/>
        <v>100</v>
      </c>
      <c r="I43" s="578">
        <v>40</v>
      </c>
      <c r="J43" s="1823" t="s">
        <v>8741</v>
      </c>
      <c r="L43" s="578">
        <v>40</v>
      </c>
      <c r="M43" s="996" t="s">
        <v>8742</v>
      </c>
      <c r="N43" s="1824"/>
      <c r="P43" s="1825">
        <v>79</v>
      </c>
      <c r="Q43" s="1826" t="s">
        <v>8743</v>
      </c>
      <c r="R43" s="1827">
        <v>86.8</v>
      </c>
      <c r="S43" s="1826" t="s">
        <v>8744</v>
      </c>
      <c r="T43" s="1827">
        <v>88.75</v>
      </c>
      <c r="U43" s="1826" t="s">
        <v>8745</v>
      </c>
      <c r="V43" s="1828"/>
      <c r="W43" s="1826"/>
      <c r="X43" s="1828"/>
      <c r="Y43" s="1826"/>
      <c r="Z43" s="1828"/>
      <c r="AA43" s="1829"/>
      <c r="AB43" s="1828"/>
      <c r="AC43" s="1826"/>
      <c r="AD43" s="1826"/>
      <c r="AE43" s="1828"/>
      <c r="AF43" s="1826"/>
      <c r="AG43" s="1857"/>
      <c r="AJ43" s="272"/>
      <c r="AK43" s="272"/>
    </row>
    <row r="44" spans="2:37" ht="11.25" customHeight="1">
      <c r="B44" s="572">
        <v>3</v>
      </c>
      <c r="C44" s="1882" t="s">
        <v>8746</v>
      </c>
      <c r="D44" s="1883">
        <f ca="1">VLOOKUP([1]MATH!$C$8,$C$26:$F$37,3)</f>
        <v>100</v>
      </c>
      <c r="E44" s="1884"/>
      <c r="F44" s="1884"/>
      <c r="G44" s="1885">
        <f t="shared" ca="1" si="0"/>
        <v>100</v>
      </c>
      <c r="I44" s="578">
        <v>41</v>
      </c>
      <c r="J44" s="1823" t="s">
        <v>8747</v>
      </c>
      <c r="L44" s="578">
        <v>41</v>
      </c>
      <c r="M44" s="996" t="s">
        <v>8748</v>
      </c>
      <c r="N44" s="1824"/>
      <c r="P44" s="1825">
        <v>81</v>
      </c>
      <c r="Q44" s="1826" t="s">
        <v>8749</v>
      </c>
      <c r="R44" s="1827">
        <v>89</v>
      </c>
      <c r="S44" s="1826" t="s">
        <v>8750</v>
      </c>
      <c r="T44" s="1827">
        <v>91</v>
      </c>
      <c r="U44" s="1826" t="s">
        <v>8751</v>
      </c>
      <c r="V44" s="1828"/>
      <c r="W44" s="1826"/>
      <c r="X44" s="1828"/>
      <c r="Y44" s="1826"/>
      <c r="Z44" s="1828"/>
      <c r="AA44" s="1829"/>
      <c r="AB44" s="1828"/>
      <c r="AC44" s="1826"/>
      <c r="AD44" s="1826"/>
      <c r="AE44" s="1828"/>
      <c r="AF44" s="1826"/>
      <c r="AG44" s="1857"/>
      <c r="AJ44" s="272"/>
      <c r="AK44" s="272"/>
    </row>
    <row r="45" spans="2:37" ht="11.25" customHeight="1">
      <c r="B45" s="572">
        <v>4</v>
      </c>
      <c r="C45" s="1882" t="s">
        <v>8752</v>
      </c>
      <c r="D45" s="1883">
        <f ca="1">VLOOKUP([1]MATH!$C$8,$C$26:$F$37,3)</f>
        <v>100</v>
      </c>
      <c r="E45" s="1884"/>
      <c r="F45" s="1884"/>
      <c r="G45" s="1885">
        <f t="shared" ca="1" si="0"/>
        <v>100</v>
      </c>
      <c r="I45" s="578">
        <v>42</v>
      </c>
      <c r="J45" s="1823" t="s">
        <v>8753</v>
      </c>
      <c r="L45" s="578">
        <v>42</v>
      </c>
      <c r="M45" s="996" t="s">
        <v>8754</v>
      </c>
      <c r="N45" s="1824"/>
      <c r="P45" s="1825">
        <v>83</v>
      </c>
      <c r="Q45" s="1826" t="s">
        <v>8755</v>
      </c>
      <c r="R45" s="1827">
        <v>91.2</v>
      </c>
      <c r="S45" s="1826" t="s">
        <v>8756</v>
      </c>
      <c r="T45" s="1827">
        <v>93.25</v>
      </c>
      <c r="U45" s="1826" t="s">
        <v>8757</v>
      </c>
      <c r="V45" s="1828"/>
      <c r="W45" s="1826"/>
      <c r="X45" s="1828"/>
      <c r="Y45" s="1826"/>
      <c r="Z45" s="1828"/>
      <c r="AA45" s="1829"/>
      <c r="AB45" s="1828"/>
      <c r="AC45" s="1826"/>
      <c r="AD45" s="1826"/>
      <c r="AE45" s="1828"/>
      <c r="AF45" s="1826"/>
      <c r="AG45" s="1857"/>
      <c r="AJ45" s="272"/>
      <c r="AK45" s="272"/>
    </row>
    <row r="46" spans="2:37" ht="12" customHeight="1">
      <c r="B46" s="572">
        <v>5</v>
      </c>
      <c r="C46" s="1882" t="s">
        <v>8758</v>
      </c>
      <c r="D46" s="1886">
        <f t="shared" ref="D46:D51" ca="1" si="1">500+((RANDBETWEEN(1,10)*25))</f>
        <v>675</v>
      </c>
      <c r="E46" s="1884"/>
      <c r="F46" s="1884"/>
      <c r="G46" s="1885">
        <f t="shared" ca="1" si="0"/>
        <v>675</v>
      </c>
      <c r="I46" s="578">
        <v>43</v>
      </c>
      <c r="J46" s="1823" t="s">
        <v>8759</v>
      </c>
      <c r="L46" s="578">
        <v>43</v>
      </c>
      <c r="M46" s="996" t="s">
        <v>8760</v>
      </c>
      <c r="N46" s="1824"/>
      <c r="P46" s="1825">
        <v>85</v>
      </c>
      <c r="Q46" s="1826" t="s">
        <v>8761</v>
      </c>
      <c r="R46" s="1827">
        <v>93.4</v>
      </c>
      <c r="S46" s="1826" t="s">
        <v>8762</v>
      </c>
      <c r="T46" s="1827">
        <v>95.5</v>
      </c>
      <c r="U46" s="1826" t="s">
        <v>8763</v>
      </c>
      <c r="V46" s="1828"/>
      <c r="W46" s="1826"/>
      <c r="X46" s="1828"/>
      <c r="Y46" s="1826"/>
      <c r="Z46" s="1828"/>
      <c r="AA46" s="1829"/>
      <c r="AB46" s="1828"/>
      <c r="AC46" s="1826"/>
      <c r="AD46" s="1826"/>
      <c r="AE46" s="1828"/>
      <c r="AF46" s="1826"/>
      <c r="AG46" s="1857"/>
      <c r="AJ46" s="272"/>
      <c r="AK46" s="272"/>
    </row>
    <row r="47" spans="2:37" ht="11.25" customHeight="1">
      <c r="B47" s="572">
        <v>6</v>
      </c>
      <c r="C47" s="1882" t="s">
        <v>8764</v>
      </c>
      <c r="D47" s="1886">
        <f t="shared" ca="1" si="1"/>
        <v>650</v>
      </c>
      <c r="E47" s="1884"/>
      <c r="F47" s="1884"/>
      <c r="G47" s="1885">
        <f t="shared" ca="1" si="0"/>
        <v>650</v>
      </c>
      <c r="I47" s="578">
        <v>44</v>
      </c>
      <c r="J47" s="1823" t="s">
        <v>8765</v>
      </c>
      <c r="L47" s="578">
        <v>44</v>
      </c>
      <c r="M47" s="996" t="s">
        <v>8766</v>
      </c>
      <c r="N47" s="1824"/>
      <c r="P47" s="1825">
        <v>87</v>
      </c>
      <c r="Q47" s="1826" t="s">
        <v>8767</v>
      </c>
      <c r="R47" s="1827">
        <v>95.6</v>
      </c>
      <c r="S47" s="1826" t="s">
        <v>8768</v>
      </c>
      <c r="T47" s="1827">
        <v>97.75</v>
      </c>
      <c r="U47" s="1826" t="s">
        <v>8769</v>
      </c>
      <c r="V47" s="1828"/>
      <c r="W47" s="1826"/>
      <c r="X47" s="1828"/>
      <c r="Y47" s="1826"/>
      <c r="Z47" s="1828"/>
      <c r="AA47" s="1829"/>
      <c r="AB47" s="1828"/>
      <c r="AC47" s="1826"/>
      <c r="AD47" s="1826"/>
      <c r="AE47" s="1828"/>
      <c r="AF47" s="1826"/>
      <c r="AG47" s="1857"/>
      <c r="AJ47" s="272"/>
      <c r="AK47" s="272"/>
    </row>
    <row r="48" spans="2:37" ht="11.25" customHeight="1">
      <c r="B48" s="572">
        <v>7</v>
      </c>
      <c r="C48" s="1882" t="s">
        <v>8770</v>
      </c>
      <c r="D48" s="1886">
        <f t="shared" ca="1" si="1"/>
        <v>675</v>
      </c>
      <c r="E48" s="1884"/>
      <c r="F48" s="1884"/>
      <c r="G48" s="1885">
        <f t="shared" ca="1" si="0"/>
        <v>675</v>
      </c>
      <c r="I48" s="578">
        <v>45</v>
      </c>
      <c r="J48" s="1823" t="s">
        <v>8771</v>
      </c>
      <c r="L48" s="578">
        <v>45</v>
      </c>
      <c r="M48" s="996" t="s">
        <v>8772</v>
      </c>
      <c r="N48" s="1824"/>
      <c r="P48" s="1825">
        <v>89</v>
      </c>
      <c r="Q48" s="1826" t="s">
        <v>8773</v>
      </c>
      <c r="R48" s="1827">
        <v>97.8</v>
      </c>
      <c r="S48" s="1826" t="s">
        <v>8774</v>
      </c>
      <c r="T48" s="1827">
        <v>100</v>
      </c>
      <c r="U48" s="1826" t="s">
        <v>8775</v>
      </c>
      <c r="V48" s="1828"/>
      <c r="W48" s="1826"/>
      <c r="X48" s="1828"/>
      <c r="Y48" s="1826"/>
      <c r="Z48" s="1828"/>
      <c r="AA48" s="1829"/>
      <c r="AB48" s="1828"/>
      <c r="AC48" s="1826"/>
      <c r="AD48" s="1826"/>
      <c r="AE48" s="1828"/>
      <c r="AF48" s="1826"/>
      <c r="AG48" s="1857"/>
      <c r="AJ48" s="272"/>
      <c r="AK48" s="272"/>
    </row>
    <row r="49" spans="2:37" ht="12" customHeight="1">
      <c r="B49" s="572">
        <v>8</v>
      </c>
      <c r="C49" s="1882" t="s">
        <v>8776</v>
      </c>
      <c r="D49" s="1886">
        <f t="shared" ca="1" si="1"/>
        <v>600</v>
      </c>
      <c r="E49" s="1884"/>
      <c r="F49" s="1884"/>
      <c r="G49" s="1885">
        <f t="shared" ca="1" si="0"/>
        <v>600</v>
      </c>
      <c r="I49" s="578">
        <v>46</v>
      </c>
      <c r="J49" s="1823" t="s">
        <v>8777</v>
      </c>
      <c r="L49" s="578">
        <v>46</v>
      </c>
      <c r="M49" s="996" t="s">
        <v>8778</v>
      </c>
      <c r="N49" s="1824"/>
      <c r="P49" s="1825">
        <v>91</v>
      </c>
      <c r="Q49" s="1826" t="s">
        <v>8779</v>
      </c>
      <c r="R49" s="1827">
        <v>100</v>
      </c>
      <c r="S49" s="1826" t="s">
        <v>8780</v>
      </c>
      <c r="T49" s="1828"/>
      <c r="U49" s="1826"/>
      <c r="V49" s="1828"/>
      <c r="W49" s="1826"/>
      <c r="X49" s="1828"/>
      <c r="Y49" s="1826"/>
      <c r="Z49" s="1828"/>
      <c r="AA49" s="1829"/>
      <c r="AB49" s="1828"/>
      <c r="AC49" s="1826"/>
      <c r="AD49" s="1826"/>
      <c r="AE49" s="1828"/>
      <c r="AF49" s="1826"/>
      <c r="AG49" s="1857"/>
      <c r="AJ49" s="272"/>
      <c r="AK49" s="272"/>
    </row>
    <row r="50" spans="2:37">
      <c r="B50" s="572">
        <v>9</v>
      </c>
      <c r="C50" s="1882" t="s">
        <v>8781</v>
      </c>
      <c r="D50" s="1886">
        <f t="shared" ca="1" si="1"/>
        <v>750</v>
      </c>
      <c r="E50" s="1884"/>
      <c r="F50" s="1884"/>
      <c r="G50" s="1885">
        <f t="shared" ca="1" si="0"/>
        <v>750</v>
      </c>
      <c r="I50" s="578">
        <v>47</v>
      </c>
      <c r="J50" s="1823" t="s">
        <v>8782</v>
      </c>
      <c r="L50" s="578">
        <v>47</v>
      </c>
      <c r="M50" s="996" t="s">
        <v>8783</v>
      </c>
      <c r="N50" s="1824"/>
      <c r="P50" s="1825">
        <v>93</v>
      </c>
      <c r="Q50" s="1826" t="s">
        <v>8784</v>
      </c>
      <c r="R50" s="1828"/>
      <c r="S50" s="1826"/>
      <c r="T50" s="1828"/>
      <c r="U50" s="1826"/>
      <c r="V50" s="1828"/>
      <c r="W50" s="1826"/>
      <c r="X50" s="1828"/>
      <c r="Y50" s="1826"/>
      <c r="Z50" s="1828"/>
      <c r="AA50" s="1829"/>
      <c r="AB50" s="1828"/>
      <c r="AC50" s="1826"/>
      <c r="AD50" s="1826"/>
      <c r="AE50" s="1828"/>
      <c r="AF50" s="1826"/>
      <c r="AG50" s="1857"/>
      <c r="AJ50" s="272"/>
      <c r="AK50" s="272"/>
    </row>
    <row r="51" spans="2:37">
      <c r="B51" s="572">
        <v>10</v>
      </c>
      <c r="C51" s="1882" t="s">
        <v>8785</v>
      </c>
      <c r="D51" s="1886">
        <f t="shared" ca="1" si="1"/>
        <v>575</v>
      </c>
      <c r="E51" s="1884"/>
      <c r="F51" s="1884"/>
      <c r="G51" s="1885">
        <f t="shared" ca="1" si="0"/>
        <v>575</v>
      </c>
      <c r="I51" s="578">
        <v>48</v>
      </c>
      <c r="J51" s="1823" t="s">
        <v>8786</v>
      </c>
      <c r="L51" s="578">
        <v>48</v>
      </c>
      <c r="M51" s="996" t="s">
        <v>8787</v>
      </c>
      <c r="N51" s="1824"/>
      <c r="P51" s="1825">
        <v>95</v>
      </c>
      <c r="Q51" s="1826" t="s">
        <v>8788</v>
      </c>
      <c r="R51" s="1828"/>
      <c r="S51" s="1826"/>
      <c r="T51" s="1828"/>
      <c r="U51" s="1826"/>
      <c r="V51" s="1828"/>
      <c r="W51" s="1826"/>
      <c r="X51" s="1828"/>
      <c r="Y51" s="1826"/>
      <c r="Z51" s="1828"/>
      <c r="AA51" s="1829"/>
      <c r="AB51" s="1828"/>
      <c r="AC51" s="1826"/>
      <c r="AD51" s="1826"/>
      <c r="AE51" s="1828"/>
      <c r="AF51" s="1826"/>
      <c r="AG51" s="1857"/>
      <c r="AJ51" s="272"/>
      <c r="AK51" s="272"/>
    </row>
    <row r="52" spans="2:37">
      <c r="B52" s="572">
        <v>11</v>
      </c>
      <c r="C52" s="1887" t="s">
        <v>8789</v>
      </c>
      <c r="D52" s="1883">
        <f t="shared" ref="D52:D57" ca="1" si="2">5000+((RANDBETWEEN(1,10)*250))</f>
        <v>6500</v>
      </c>
      <c r="E52" s="1884"/>
      <c r="F52" s="1884"/>
      <c r="G52" s="1885">
        <f t="shared" ca="1" si="0"/>
        <v>6500</v>
      </c>
      <c r="I52" s="578">
        <v>49</v>
      </c>
      <c r="J52" s="1823" t="s">
        <v>8790</v>
      </c>
      <c r="L52" s="578">
        <v>49</v>
      </c>
      <c r="M52" s="996" t="s">
        <v>8791</v>
      </c>
      <c r="N52" s="1824"/>
      <c r="P52" s="1825">
        <v>97</v>
      </c>
      <c r="Q52" s="1826" t="s">
        <v>8792</v>
      </c>
      <c r="R52" s="1828"/>
      <c r="S52" s="1826"/>
      <c r="T52" s="1828"/>
      <c r="U52" s="1826"/>
      <c r="V52" s="1828"/>
      <c r="W52" s="1826"/>
      <c r="X52" s="1828"/>
      <c r="Y52" s="1826"/>
      <c r="Z52" s="1828"/>
      <c r="AA52" s="1829"/>
      <c r="AB52" s="1828"/>
      <c r="AC52" s="1826"/>
      <c r="AD52" s="1826"/>
      <c r="AE52" s="1828"/>
      <c r="AF52" s="1826"/>
      <c r="AG52" s="1857"/>
      <c r="AJ52" s="272"/>
      <c r="AK52" s="272"/>
    </row>
    <row r="53" spans="2:37">
      <c r="B53" s="572">
        <v>12</v>
      </c>
      <c r="C53" s="1882" t="s">
        <v>8793</v>
      </c>
      <c r="D53" s="1888">
        <f t="shared" ca="1" si="2"/>
        <v>6250</v>
      </c>
      <c r="E53" s="1884"/>
      <c r="F53" s="1884"/>
      <c r="G53" s="1885">
        <f t="shared" ca="1" si="0"/>
        <v>6250</v>
      </c>
      <c r="I53" s="578">
        <v>50</v>
      </c>
      <c r="J53" s="1823" t="s">
        <v>8794</v>
      </c>
      <c r="L53" s="578">
        <v>50</v>
      </c>
      <c r="M53" s="996" t="s">
        <v>8795</v>
      </c>
      <c r="N53" s="1824"/>
      <c r="P53" s="1889">
        <v>99</v>
      </c>
      <c r="Q53" s="1890" t="s">
        <v>8796</v>
      </c>
      <c r="R53" s="1891"/>
      <c r="S53" s="1890"/>
      <c r="T53" s="1891"/>
      <c r="U53" s="1890"/>
      <c r="V53" s="1891"/>
      <c r="W53" s="1890"/>
      <c r="X53" s="1891"/>
      <c r="Y53" s="1890"/>
      <c r="Z53" s="1891"/>
      <c r="AA53" s="1892"/>
      <c r="AB53" s="1891"/>
      <c r="AC53" s="1890"/>
      <c r="AD53" s="1890"/>
      <c r="AE53" s="1891"/>
      <c r="AF53" s="1890"/>
      <c r="AG53" s="1893"/>
      <c r="AJ53" s="272"/>
      <c r="AK53" s="272"/>
    </row>
    <row r="54" spans="2:37">
      <c r="B54" s="572">
        <v>13</v>
      </c>
      <c r="C54" s="1887" t="s">
        <v>8797</v>
      </c>
      <c r="D54" s="1888">
        <f t="shared" ca="1" si="2"/>
        <v>7250</v>
      </c>
      <c r="E54" s="1884"/>
      <c r="F54" s="1884"/>
      <c r="G54" s="1885">
        <f t="shared" ca="1" si="0"/>
        <v>7250</v>
      </c>
      <c r="I54" s="578">
        <v>51</v>
      </c>
      <c r="J54" s="1823" t="s">
        <v>8798</v>
      </c>
      <c r="L54" s="578">
        <v>51</v>
      </c>
      <c r="M54" s="996" t="s">
        <v>8799</v>
      </c>
      <c r="N54" s="1824"/>
      <c r="P54" s="1825"/>
      <c r="Q54" s="1826"/>
      <c r="R54" s="1828"/>
      <c r="S54" s="1826"/>
      <c r="T54" s="1828"/>
      <c r="U54" s="1826"/>
      <c r="V54" s="1828"/>
      <c r="W54" s="1826"/>
      <c r="X54" s="1828"/>
      <c r="Y54" s="1826"/>
      <c r="Z54" s="1828"/>
      <c r="AA54" s="1826"/>
      <c r="AB54" s="1828"/>
      <c r="AC54" s="1826"/>
      <c r="AD54" s="1826"/>
      <c r="AE54" s="1828"/>
      <c r="AF54" s="1826"/>
      <c r="AG54" s="1857"/>
      <c r="AJ54" s="272"/>
      <c r="AK54" s="272"/>
    </row>
    <row r="55" spans="2:37" ht="11.25" thickBot="1">
      <c r="B55" s="572">
        <v>14</v>
      </c>
      <c r="C55" s="1882" t="s">
        <v>8800</v>
      </c>
      <c r="D55" s="1888">
        <f t="shared" ca="1" si="2"/>
        <v>6500</v>
      </c>
      <c r="E55" s="1884"/>
      <c r="F55" s="1884"/>
      <c r="G55" s="1885">
        <f t="shared" ca="1" si="0"/>
        <v>6500</v>
      </c>
      <c r="I55" s="578">
        <v>52</v>
      </c>
      <c r="J55" s="1823" t="s">
        <v>8801</v>
      </c>
      <c r="L55" s="578">
        <v>52</v>
      </c>
      <c r="M55" s="996"/>
      <c r="N55" s="1824"/>
      <c r="P55" s="1894"/>
      <c r="Q55" s="1895"/>
      <c r="R55" s="1896"/>
      <c r="S55" s="1895"/>
      <c r="T55" s="1896"/>
      <c r="U55" s="1895"/>
      <c r="V55" s="1896"/>
      <c r="W55" s="1895"/>
      <c r="X55" s="1896"/>
      <c r="Y55" s="1895"/>
      <c r="Z55" s="1896"/>
      <c r="AA55" s="1895"/>
      <c r="AB55" s="1896"/>
      <c r="AC55" s="1895"/>
      <c r="AD55" s="1895"/>
      <c r="AE55" s="1896"/>
      <c r="AF55" s="1895"/>
      <c r="AG55" s="1897"/>
    </row>
    <row r="56" spans="2:37">
      <c r="B56" s="572">
        <v>15</v>
      </c>
      <c r="C56" s="1887" t="s">
        <v>8802</v>
      </c>
      <c r="D56" s="1888">
        <f t="shared" ca="1" si="2"/>
        <v>7500</v>
      </c>
      <c r="E56" s="1884"/>
      <c r="F56" s="1884"/>
      <c r="G56" s="1885">
        <f t="shared" ca="1" si="0"/>
        <v>7500</v>
      </c>
      <c r="I56" s="578">
        <v>53</v>
      </c>
      <c r="J56" s="1823" t="s">
        <v>8803</v>
      </c>
      <c r="L56" s="578">
        <v>53</v>
      </c>
      <c r="M56" s="996"/>
      <c r="N56" s="1824"/>
      <c r="P56" s="1781"/>
      <c r="R56" s="1781"/>
      <c r="T56" s="1781"/>
      <c r="V56" s="1781"/>
      <c r="X56" s="1781"/>
      <c r="Z56" s="1781"/>
    </row>
    <row r="57" spans="2:37">
      <c r="B57" s="572">
        <v>16</v>
      </c>
      <c r="C57" s="1882" t="s">
        <v>8804</v>
      </c>
      <c r="D57" s="1888">
        <f t="shared" ca="1" si="2"/>
        <v>7500</v>
      </c>
      <c r="E57" s="1884"/>
      <c r="F57" s="1884"/>
      <c r="G57" s="1885">
        <f t="shared" ca="1" si="0"/>
        <v>7500</v>
      </c>
      <c r="I57" s="578">
        <v>54</v>
      </c>
      <c r="J57" s="1823" t="s">
        <v>8805</v>
      </c>
      <c r="L57" s="578">
        <v>54</v>
      </c>
      <c r="M57" s="996"/>
      <c r="N57" s="1824"/>
      <c r="P57" s="1781"/>
      <c r="R57" s="1781"/>
      <c r="T57" s="1781"/>
      <c r="V57" s="1781"/>
      <c r="X57" s="1781"/>
      <c r="Z57" s="1781"/>
    </row>
    <row r="58" spans="2:37">
      <c r="B58" s="572">
        <v>17</v>
      </c>
      <c r="C58" s="1887" t="s">
        <v>8806</v>
      </c>
      <c r="D58" s="1888">
        <f ca="1">20000+((RANDBETWEEN(1,10)*250))</f>
        <v>22250</v>
      </c>
      <c r="E58" s="1884"/>
      <c r="F58" s="1884"/>
      <c r="G58" s="1885">
        <f t="shared" ca="1" si="0"/>
        <v>22250</v>
      </c>
      <c r="I58" s="578">
        <v>55</v>
      </c>
      <c r="J58" s="1823" t="s">
        <v>8807</v>
      </c>
      <c r="L58" s="578">
        <v>55</v>
      </c>
      <c r="M58" s="996"/>
      <c r="N58" s="1824"/>
      <c r="P58" s="1781"/>
      <c r="R58" s="1781"/>
      <c r="T58" s="1781"/>
      <c r="V58" s="1781"/>
      <c r="X58" s="1781"/>
      <c r="Z58" s="1781"/>
    </row>
    <row r="59" spans="2:37">
      <c r="B59" s="572">
        <v>18</v>
      </c>
      <c r="C59" s="1882" t="s">
        <v>8808</v>
      </c>
      <c r="D59" s="1888">
        <f ca="1">20000+((RANDBETWEEN(1,10)*250))</f>
        <v>21750</v>
      </c>
      <c r="E59" s="1884"/>
      <c r="F59" s="1884"/>
      <c r="G59" s="1885">
        <f t="shared" ca="1" si="0"/>
        <v>21750</v>
      </c>
      <c r="I59" s="578">
        <v>56</v>
      </c>
      <c r="J59" s="1823" t="s">
        <v>8809</v>
      </c>
      <c r="L59" s="578">
        <v>56</v>
      </c>
      <c r="M59" s="996"/>
      <c r="N59" s="1824"/>
      <c r="P59" s="1781"/>
      <c r="R59" s="1781"/>
      <c r="T59" s="1781"/>
      <c r="V59" s="1781"/>
      <c r="X59" s="1781"/>
      <c r="Z59" s="1781"/>
    </row>
    <row r="60" spans="2:37">
      <c r="B60" s="572">
        <v>19</v>
      </c>
      <c r="C60" s="1887" t="s">
        <v>8810</v>
      </c>
      <c r="D60" s="1888">
        <f ca="1">20000+((RANDBETWEEN(1,10)*250))</f>
        <v>22000</v>
      </c>
      <c r="E60" s="1884"/>
      <c r="F60" s="1884"/>
      <c r="G60" s="1885">
        <f t="shared" ca="1" si="0"/>
        <v>22000</v>
      </c>
      <c r="I60" s="578">
        <v>57</v>
      </c>
      <c r="J60" s="1823" t="s">
        <v>8811</v>
      </c>
      <c r="L60" s="578">
        <v>57</v>
      </c>
      <c r="M60" s="996"/>
      <c r="N60" s="1824"/>
      <c r="P60" s="1781"/>
      <c r="R60" s="1781"/>
      <c r="T60" s="1781"/>
      <c r="V60" s="1781"/>
      <c r="X60" s="1781"/>
      <c r="Z60" s="1781"/>
    </row>
    <row r="61" spans="2:37" ht="11.25" thickBot="1">
      <c r="B61" s="583">
        <v>20</v>
      </c>
      <c r="C61" s="1898" t="s">
        <v>8812</v>
      </c>
      <c r="D61" s="1899">
        <f ca="1">20000+((RANDBETWEEN(1,10)*250))</f>
        <v>21750</v>
      </c>
      <c r="E61" s="1900"/>
      <c r="F61" s="1900"/>
      <c r="G61" s="1901">
        <f t="shared" ca="1" si="0"/>
        <v>21750</v>
      </c>
      <c r="I61" s="578">
        <v>58</v>
      </c>
      <c r="J61" s="1823" t="s">
        <v>8813</v>
      </c>
      <c r="L61" s="578">
        <v>58</v>
      </c>
      <c r="M61" s="996"/>
      <c r="N61" s="1824"/>
      <c r="P61" s="1781"/>
      <c r="R61" s="1781"/>
      <c r="T61" s="1781"/>
      <c r="V61" s="1781"/>
      <c r="X61" s="1781"/>
      <c r="Z61" s="1781"/>
    </row>
    <row r="62" spans="2:37">
      <c r="I62" s="578">
        <v>59</v>
      </c>
      <c r="J62" s="1823" t="s">
        <v>8814</v>
      </c>
      <c r="L62" s="578">
        <v>59</v>
      </c>
      <c r="M62" s="996"/>
      <c r="N62" s="1824"/>
      <c r="P62" s="1781"/>
      <c r="R62" s="1781"/>
      <c r="T62" s="1781"/>
      <c r="V62" s="1781"/>
      <c r="X62" s="1781"/>
      <c r="Z62" s="1781"/>
    </row>
    <row r="63" spans="2:37">
      <c r="I63" s="578">
        <v>60</v>
      </c>
      <c r="J63" s="1823" t="s">
        <v>8815</v>
      </c>
      <c r="L63" s="578">
        <v>60</v>
      </c>
      <c r="M63" s="996"/>
      <c r="N63" s="1824"/>
      <c r="P63" s="1781"/>
      <c r="R63" s="1781"/>
      <c r="T63" s="1781"/>
      <c r="V63" s="1781"/>
      <c r="X63" s="1781"/>
      <c r="Z63" s="1781"/>
    </row>
    <row r="64" spans="2:37">
      <c r="I64" s="578">
        <v>61</v>
      </c>
      <c r="J64" s="1823" t="s">
        <v>8816</v>
      </c>
      <c r="L64" s="578">
        <v>61</v>
      </c>
      <c r="M64" s="996"/>
      <c r="N64" s="1824"/>
      <c r="P64" s="1781"/>
      <c r="R64" s="1781"/>
      <c r="T64" s="1781"/>
      <c r="V64" s="1781"/>
      <c r="X64" s="1781"/>
      <c r="Z64" s="1781"/>
    </row>
    <row r="65" spans="9:26">
      <c r="I65" s="578">
        <v>62</v>
      </c>
      <c r="J65" s="1823" t="s">
        <v>8817</v>
      </c>
      <c r="L65" s="578">
        <v>62</v>
      </c>
      <c r="M65" s="996"/>
      <c r="N65" s="1824"/>
      <c r="P65" s="1781"/>
      <c r="R65" s="1781"/>
      <c r="T65" s="1781"/>
      <c r="V65" s="1781"/>
      <c r="X65" s="1781"/>
      <c r="Z65" s="1781"/>
    </row>
    <row r="66" spans="9:26">
      <c r="I66" s="578">
        <v>63</v>
      </c>
      <c r="J66" s="1823" t="s">
        <v>8818</v>
      </c>
      <c r="L66" s="578">
        <v>63</v>
      </c>
      <c r="M66" s="996"/>
      <c r="N66" s="1824"/>
      <c r="P66" s="1781"/>
      <c r="R66" s="1781"/>
      <c r="T66" s="1781"/>
      <c r="V66" s="1781"/>
      <c r="X66" s="1781"/>
      <c r="Z66" s="1781"/>
    </row>
    <row r="67" spans="9:26">
      <c r="I67" s="578">
        <v>64</v>
      </c>
      <c r="J67" s="1823" t="s">
        <v>8819</v>
      </c>
      <c r="L67" s="578">
        <v>64</v>
      </c>
      <c r="M67" s="996"/>
      <c r="N67" s="1824"/>
      <c r="P67" s="1781"/>
      <c r="R67" s="1781"/>
      <c r="T67" s="1781"/>
      <c r="V67" s="1781"/>
      <c r="X67" s="1781"/>
      <c r="Z67" s="1781"/>
    </row>
    <row r="68" spans="9:26">
      <c r="I68" s="578">
        <v>65</v>
      </c>
      <c r="J68" s="1823" t="s">
        <v>8820</v>
      </c>
      <c r="L68" s="578">
        <v>65</v>
      </c>
      <c r="M68" s="996"/>
      <c r="N68" s="1824"/>
      <c r="P68" s="1781"/>
      <c r="R68" s="1781"/>
      <c r="T68" s="1781"/>
      <c r="V68" s="1781"/>
      <c r="X68" s="1781"/>
      <c r="Z68" s="1781"/>
    </row>
    <row r="69" spans="9:26">
      <c r="I69" s="578">
        <v>66</v>
      </c>
      <c r="J69" s="1823" t="s">
        <v>8821</v>
      </c>
      <c r="L69" s="578">
        <v>66</v>
      </c>
      <c r="M69" s="996"/>
      <c r="N69" s="1824"/>
      <c r="P69" s="1781"/>
      <c r="R69" s="1781"/>
      <c r="T69" s="1781"/>
      <c r="V69" s="1781"/>
      <c r="X69" s="1781"/>
      <c r="Z69" s="1781"/>
    </row>
    <row r="70" spans="9:26">
      <c r="I70" s="578">
        <v>67</v>
      </c>
      <c r="J70" s="1823" t="s">
        <v>8822</v>
      </c>
      <c r="L70" s="578">
        <v>67</v>
      </c>
      <c r="M70" s="996"/>
      <c r="N70" s="1824"/>
      <c r="P70" s="1781"/>
      <c r="R70" s="1781"/>
      <c r="T70" s="1781"/>
      <c r="V70" s="1781"/>
      <c r="X70" s="1781"/>
      <c r="Z70" s="1781"/>
    </row>
    <row r="71" spans="9:26">
      <c r="I71" s="578">
        <v>68</v>
      </c>
      <c r="J71" s="1823" t="s">
        <v>8823</v>
      </c>
      <c r="L71" s="578">
        <v>68</v>
      </c>
      <c r="M71" s="996"/>
      <c r="N71" s="1824"/>
      <c r="P71" s="1781"/>
      <c r="R71" s="1781"/>
      <c r="T71" s="1781"/>
      <c r="V71" s="1781"/>
      <c r="X71" s="1781"/>
      <c r="Z71" s="1781"/>
    </row>
    <row r="72" spans="9:26">
      <c r="I72" s="578">
        <v>69</v>
      </c>
      <c r="J72" s="1823" t="s">
        <v>8824</v>
      </c>
      <c r="L72" s="578">
        <v>69</v>
      </c>
      <c r="M72" s="996"/>
      <c r="N72" s="1824"/>
      <c r="P72" s="1781"/>
      <c r="R72" s="1781"/>
      <c r="T72" s="1781"/>
      <c r="V72" s="1781"/>
      <c r="X72" s="1781"/>
      <c r="Z72" s="1781"/>
    </row>
    <row r="73" spans="9:26">
      <c r="I73" s="578">
        <v>70</v>
      </c>
      <c r="J73" s="1823" t="s">
        <v>8825</v>
      </c>
      <c r="L73" s="578">
        <v>70</v>
      </c>
      <c r="M73" s="996"/>
      <c r="N73" s="1824"/>
      <c r="P73" s="1781"/>
      <c r="R73" s="1781"/>
      <c r="T73" s="1781"/>
      <c r="V73" s="1781"/>
      <c r="X73" s="1781"/>
      <c r="Z73" s="1781"/>
    </row>
    <row r="74" spans="9:26">
      <c r="I74" s="578">
        <v>71</v>
      </c>
      <c r="J74" s="1823" t="s">
        <v>8826</v>
      </c>
      <c r="L74" s="578">
        <v>71</v>
      </c>
      <c r="M74" s="996"/>
      <c r="N74" s="1824"/>
      <c r="P74" s="1781"/>
      <c r="R74" s="1781"/>
      <c r="T74" s="1781"/>
      <c r="V74" s="1781"/>
      <c r="X74" s="1781"/>
      <c r="Z74" s="1781"/>
    </row>
    <row r="75" spans="9:26">
      <c r="I75" s="578">
        <v>72</v>
      </c>
      <c r="J75" s="1823" t="s">
        <v>8827</v>
      </c>
      <c r="L75" s="578">
        <v>72</v>
      </c>
      <c r="M75" s="996"/>
      <c r="N75" s="1824"/>
      <c r="P75" s="1781"/>
      <c r="R75" s="1781"/>
      <c r="T75" s="1781"/>
      <c r="V75" s="1781"/>
      <c r="X75" s="1781"/>
      <c r="Z75" s="1781"/>
    </row>
    <row r="76" spans="9:26">
      <c r="I76" s="578">
        <v>73</v>
      </c>
      <c r="J76" s="1823" t="s">
        <v>8828</v>
      </c>
      <c r="L76" s="578">
        <v>73</v>
      </c>
      <c r="M76" s="996"/>
      <c r="N76" s="1824"/>
      <c r="P76" s="1781"/>
      <c r="R76" s="1781"/>
      <c r="T76" s="1781"/>
      <c r="V76" s="1781"/>
      <c r="X76" s="1781"/>
      <c r="Z76" s="1781"/>
    </row>
    <row r="77" spans="9:26">
      <c r="I77" s="578">
        <v>74</v>
      </c>
      <c r="J77" s="1823" t="s">
        <v>8829</v>
      </c>
      <c r="L77" s="578">
        <v>74</v>
      </c>
      <c r="M77" s="996"/>
      <c r="N77" s="1824"/>
      <c r="P77" s="1781"/>
      <c r="R77" s="1781"/>
      <c r="T77" s="1781"/>
      <c r="V77" s="1781"/>
      <c r="X77" s="1781"/>
      <c r="Z77" s="1781"/>
    </row>
    <row r="78" spans="9:26">
      <c r="I78" s="578">
        <v>75</v>
      </c>
      <c r="J78" s="1823" t="s">
        <v>8830</v>
      </c>
      <c r="L78" s="578">
        <v>75</v>
      </c>
      <c r="M78" s="996"/>
      <c r="N78" s="1824"/>
      <c r="P78" s="1781"/>
      <c r="R78" s="1781"/>
      <c r="T78" s="1781"/>
      <c r="V78" s="1781"/>
      <c r="X78" s="1781"/>
      <c r="Z78" s="1781"/>
    </row>
    <row r="79" spans="9:26">
      <c r="I79" s="578">
        <v>76</v>
      </c>
      <c r="J79" s="1823" t="s">
        <v>8831</v>
      </c>
      <c r="L79" s="578">
        <v>76</v>
      </c>
      <c r="M79" s="996"/>
      <c r="N79" s="1824"/>
      <c r="P79" s="1781"/>
      <c r="R79" s="1781"/>
      <c r="T79" s="1781"/>
      <c r="V79" s="1781"/>
      <c r="X79" s="1781"/>
      <c r="Z79" s="1781"/>
    </row>
    <row r="80" spans="9:26">
      <c r="I80" s="578">
        <v>77</v>
      </c>
      <c r="J80" s="1823" t="s">
        <v>8832</v>
      </c>
      <c r="L80" s="578">
        <v>77</v>
      </c>
      <c r="M80" s="996"/>
      <c r="N80" s="1824"/>
      <c r="P80" s="1781"/>
      <c r="R80" s="1781"/>
      <c r="T80" s="1781"/>
      <c r="V80" s="1781"/>
      <c r="X80" s="1781"/>
      <c r="Z80" s="1781"/>
    </row>
    <row r="81" spans="9:26">
      <c r="I81" s="578">
        <v>78</v>
      </c>
      <c r="J81" s="1823" t="s">
        <v>8833</v>
      </c>
      <c r="L81" s="578">
        <v>78</v>
      </c>
      <c r="M81" s="996"/>
      <c r="N81" s="1824"/>
      <c r="P81" s="1781"/>
      <c r="R81" s="1781"/>
      <c r="T81" s="1781"/>
      <c r="V81" s="1781"/>
      <c r="X81" s="1781"/>
      <c r="Z81" s="1781"/>
    </row>
    <row r="82" spans="9:26">
      <c r="I82" s="578">
        <v>79</v>
      </c>
      <c r="J82" s="1823" t="s">
        <v>8834</v>
      </c>
      <c r="L82" s="578">
        <v>79</v>
      </c>
      <c r="M82" s="996"/>
      <c r="N82" s="1824"/>
      <c r="P82" s="1781"/>
      <c r="R82" s="1781"/>
      <c r="T82" s="1781"/>
      <c r="V82" s="1781"/>
      <c r="X82" s="1781"/>
      <c r="Z82" s="1781"/>
    </row>
    <row r="83" spans="9:26">
      <c r="I83" s="578">
        <v>80</v>
      </c>
      <c r="J83" s="1823" t="s">
        <v>8835</v>
      </c>
      <c r="L83" s="578">
        <v>80</v>
      </c>
      <c r="M83" s="996"/>
      <c r="N83" s="1824"/>
      <c r="P83" s="1781"/>
      <c r="R83" s="1781"/>
      <c r="T83" s="1781"/>
      <c r="V83" s="1781"/>
      <c r="X83" s="1781"/>
      <c r="Z83" s="1781"/>
    </row>
    <row r="84" spans="9:26">
      <c r="I84" s="578">
        <v>81</v>
      </c>
      <c r="J84" s="1823" t="s">
        <v>8836</v>
      </c>
      <c r="L84" s="578">
        <v>81</v>
      </c>
      <c r="M84" s="996"/>
      <c r="N84" s="1824"/>
      <c r="P84" s="1781"/>
      <c r="R84" s="1781"/>
      <c r="T84" s="1781"/>
      <c r="V84" s="1781"/>
      <c r="X84" s="1781"/>
      <c r="Z84" s="1781"/>
    </row>
    <row r="85" spans="9:26">
      <c r="I85" s="578">
        <v>82</v>
      </c>
      <c r="J85" s="1823" t="s">
        <v>8837</v>
      </c>
      <c r="L85" s="578">
        <v>82</v>
      </c>
      <c r="M85" s="996"/>
      <c r="N85" s="1824"/>
      <c r="P85" s="1781"/>
      <c r="R85" s="1781"/>
      <c r="T85" s="1781"/>
      <c r="V85" s="1781"/>
      <c r="X85" s="1781"/>
      <c r="Z85" s="1781"/>
    </row>
    <row r="86" spans="9:26">
      <c r="I86" s="578">
        <v>83</v>
      </c>
      <c r="J86" s="1823" t="s">
        <v>8838</v>
      </c>
      <c r="L86" s="578">
        <v>83</v>
      </c>
      <c r="M86" s="996"/>
      <c r="N86" s="1824"/>
      <c r="P86" s="1781"/>
      <c r="R86" s="1781"/>
      <c r="T86" s="1781"/>
      <c r="V86" s="1781"/>
      <c r="X86" s="1781"/>
      <c r="Z86" s="1781"/>
    </row>
    <row r="87" spans="9:26">
      <c r="I87" s="578">
        <v>84</v>
      </c>
      <c r="J87" s="1823" t="s">
        <v>8839</v>
      </c>
      <c r="L87" s="578">
        <v>84</v>
      </c>
      <c r="M87" s="996"/>
      <c r="N87" s="1824"/>
      <c r="P87" s="1781"/>
      <c r="R87" s="1781"/>
      <c r="T87" s="1781"/>
      <c r="V87" s="1781"/>
      <c r="X87" s="1781"/>
      <c r="Z87" s="1781"/>
    </row>
    <row r="88" spans="9:26">
      <c r="I88" s="578">
        <v>85</v>
      </c>
      <c r="J88" s="1823" t="s">
        <v>8840</v>
      </c>
      <c r="L88" s="578">
        <v>85</v>
      </c>
      <c r="M88" s="996"/>
      <c r="N88" s="1824"/>
      <c r="P88" s="1781"/>
      <c r="R88" s="1781"/>
      <c r="T88" s="1781"/>
      <c r="V88" s="1781"/>
      <c r="X88" s="1781"/>
      <c r="Z88" s="1781"/>
    </row>
    <row r="89" spans="9:26">
      <c r="I89" s="578">
        <v>86</v>
      </c>
      <c r="J89" s="1823" t="s">
        <v>8841</v>
      </c>
      <c r="L89" s="578">
        <v>86</v>
      </c>
      <c r="M89" s="996"/>
      <c r="N89" s="1824"/>
      <c r="P89" s="1781"/>
      <c r="R89" s="1781"/>
      <c r="T89" s="1781"/>
      <c r="V89" s="1781"/>
      <c r="X89" s="1781"/>
      <c r="Z89" s="1781"/>
    </row>
    <row r="90" spans="9:26">
      <c r="I90" s="578">
        <v>87</v>
      </c>
      <c r="J90" s="1823" t="s">
        <v>8842</v>
      </c>
      <c r="L90" s="578">
        <v>87</v>
      </c>
      <c r="M90" s="996"/>
      <c r="N90" s="1824"/>
      <c r="P90" s="1781"/>
      <c r="R90" s="1781"/>
      <c r="T90" s="1781"/>
      <c r="V90" s="1781"/>
      <c r="X90" s="1781"/>
      <c r="Z90" s="1781"/>
    </row>
    <row r="91" spans="9:26">
      <c r="I91" s="578">
        <v>88</v>
      </c>
      <c r="J91" s="1823" t="s">
        <v>8843</v>
      </c>
      <c r="L91" s="578">
        <v>88</v>
      </c>
      <c r="M91" s="996"/>
      <c r="N91" s="1824"/>
      <c r="P91" s="1781"/>
      <c r="R91" s="1781"/>
      <c r="T91" s="1781"/>
      <c r="V91" s="1781"/>
      <c r="X91" s="1781"/>
      <c r="Z91" s="1781"/>
    </row>
    <row r="92" spans="9:26">
      <c r="I92" s="578">
        <v>89</v>
      </c>
      <c r="J92" s="1823" t="s">
        <v>8844</v>
      </c>
      <c r="L92" s="578">
        <v>89</v>
      </c>
      <c r="M92" s="996"/>
      <c r="N92" s="1824"/>
      <c r="P92" s="1781"/>
      <c r="R92" s="1781"/>
      <c r="T92" s="1781"/>
      <c r="V92" s="1781"/>
      <c r="X92" s="1781"/>
      <c r="Z92" s="1781"/>
    </row>
    <row r="93" spans="9:26">
      <c r="I93" s="578">
        <v>90</v>
      </c>
      <c r="J93" s="1823" t="s">
        <v>8845</v>
      </c>
      <c r="L93" s="578">
        <v>90</v>
      </c>
      <c r="M93" s="996"/>
      <c r="N93" s="1824"/>
      <c r="P93" s="1781"/>
      <c r="R93" s="1781"/>
      <c r="T93" s="1781"/>
      <c r="V93" s="1781"/>
      <c r="X93" s="1781"/>
      <c r="Z93" s="1781"/>
    </row>
    <row r="94" spans="9:26">
      <c r="I94" s="578">
        <v>91</v>
      </c>
      <c r="J94" s="1823" t="s">
        <v>8846</v>
      </c>
      <c r="L94" s="578">
        <v>91</v>
      </c>
      <c r="M94" s="996"/>
      <c r="N94" s="1824"/>
      <c r="P94" s="1781"/>
      <c r="R94" s="1781"/>
      <c r="T94" s="1781"/>
      <c r="V94" s="1781"/>
      <c r="X94" s="1781"/>
      <c r="Z94" s="1781"/>
    </row>
    <row r="95" spans="9:26">
      <c r="I95" s="578">
        <v>92</v>
      </c>
      <c r="J95" s="1823" t="s">
        <v>8847</v>
      </c>
      <c r="L95" s="578">
        <v>92</v>
      </c>
      <c r="M95" s="996"/>
      <c r="N95" s="1824"/>
      <c r="P95" s="1781"/>
      <c r="R95" s="1781"/>
      <c r="T95" s="1781"/>
      <c r="V95" s="1781"/>
      <c r="X95" s="1781"/>
      <c r="Z95" s="1781"/>
    </row>
    <row r="96" spans="9:26">
      <c r="I96" s="578">
        <v>93</v>
      </c>
      <c r="J96" s="1823" t="s">
        <v>8848</v>
      </c>
      <c r="L96" s="578">
        <v>93</v>
      </c>
      <c r="M96" s="996"/>
      <c r="N96" s="1824"/>
      <c r="P96" s="1781"/>
      <c r="R96" s="1781"/>
      <c r="T96" s="1781"/>
      <c r="V96" s="1781"/>
      <c r="X96" s="1781"/>
      <c r="Z96" s="1781"/>
    </row>
    <row r="97" spans="9:26">
      <c r="I97" s="578">
        <v>94</v>
      </c>
      <c r="J97" s="1823" t="s">
        <v>8849</v>
      </c>
      <c r="L97" s="578">
        <v>94</v>
      </c>
      <c r="M97" s="996"/>
      <c r="N97" s="1824"/>
      <c r="P97" s="1781"/>
      <c r="R97" s="1781"/>
      <c r="T97" s="1781"/>
      <c r="V97" s="1781"/>
      <c r="X97" s="1781"/>
      <c r="Z97" s="1781"/>
    </row>
    <row r="98" spans="9:26">
      <c r="I98" s="578">
        <v>95</v>
      </c>
      <c r="J98" s="1823" t="s">
        <v>8850</v>
      </c>
      <c r="L98" s="578">
        <v>95</v>
      </c>
      <c r="M98" s="996"/>
      <c r="N98" s="1824"/>
      <c r="P98" s="1781"/>
      <c r="R98" s="1781"/>
      <c r="T98" s="1781"/>
      <c r="V98" s="1781"/>
      <c r="X98" s="1781"/>
      <c r="Z98" s="1781"/>
    </row>
    <row r="99" spans="9:26">
      <c r="I99" s="578">
        <v>96</v>
      </c>
      <c r="J99" s="1823" t="s">
        <v>8851</v>
      </c>
      <c r="L99" s="578">
        <v>96</v>
      </c>
      <c r="M99" s="996"/>
      <c r="N99" s="1824"/>
      <c r="P99" s="1781"/>
      <c r="R99" s="1781"/>
      <c r="T99" s="1781"/>
      <c r="V99" s="1781"/>
      <c r="X99" s="1781"/>
      <c r="Z99" s="1781"/>
    </row>
    <row r="100" spans="9:26">
      <c r="I100" s="578">
        <v>97</v>
      </c>
      <c r="J100" s="1823" t="s">
        <v>8852</v>
      </c>
      <c r="L100" s="578">
        <v>97</v>
      </c>
      <c r="M100" s="996"/>
      <c r="N100" s="1824"/>
      <c r="P100" s="1781"/>
      <c r="R100" s="1781"/>
      <c r="T100" s="1781"/>
      <c r="V100" s="1781"/>
      <c r="X100" s="1781"/>
      <c r="Z100" s="1781"/>
    </row>
    <row r="101" spans="9:26">
      <c r="I101" s="578">
        <v>98</v>
      </c>
      <c r="J101" s="1823" t="s">
        <v>8853</v>
      </c>
      <c r="L101" s="578">
        <v>98</v>
      </c>
      <c r="M101" s="996"/>
      <c r="N101" s="1824"/>
      <c r="P101" s="1781"/>
      <c r="R101" s="1781"/>
      <c r="T101" s="1781"/>
      <c r="V101" s="1781"/>
      <c r="X101" s="1781"/>
      <c r="Z101" s="1781"/>
    </row>
    <row r="102" spans="9:26">
      <c r="I102" s="578">
        <v>99</v>
      </c>
      <c r="J102" s="1823" t="s">
        <v>8854</v>
      </c>
      <c r="L102" s="578">
        <v>99</v>
      </c>
      <c r="M102" s="996"/>
      <c r="N102" s="1824"/>
      <c r="P102" s="1781"/>
      <c r="R102" s="1781"/>
      <c r="T102" s="1781"/>
      <c r="V102" s="1781"/>
      <c r="X102" s="1781"/>
      <c r="Z102" s="1781"/>
    </row>
    <row r="103" spans="9:26" ht="11.25" thickBot="1">
      <c r="I103" s="583">
        <v>100</v>
      </c>
      <c r="J103" s="1902" t="s">
        <v>8855</v>
      </c>
      <c r="L103" s="583">
        <v>100</v>
      </c>
      <c r="M103" s="1903"/>
      <c r="N103" s="1904"/>
      <c r="P103" s="1781"/>
      <c r="R103" s="1781"/>
      <c r="T103" s="1781"/>
      <c r="V103" s="1781"/>
      <c r="X103" s="1781"/>
      <c r="Z103" s="1781"/>
    </row>
    <row r="104" spans="9:26">
      <c r="I104" s="271"/>
      <c r="J104" s="1693"/>
      <c r="P104" s="1781"/>
      <c r="R104" s="1781"/>
      <c r="T104" s="1781"/>
      <c r="V104" s="1781"/>
      <c r="X104" s="1781"/>
      <c r="Z104" s="1781"/>
    </row>
    <row r="105" spans="9:26">
      <c r="I105" s="271"/>
      <c r="P105" s="1781"/>
      <c r="R105" s="1781"/>
      <c r="T105" s="1781"/>
      <c r="V105" s="1781"/>
      <c r="X105" s="1781"/>
      <c r="Z105" s="1781"/>
    </row>
    <row r="106" spans="9:26">
      <c r="I106" s="271"/>
      <c r="P106" s="1781"/>
      <c r="R106" s="1781"/>
      <c r="T106" s="1781"/>
      <c r="V106" s="1781"/>
      <c r="X106" s="1781"/>
      <c r="Z106" s="1781"/>
    </row>
    <row r="107" spans="9:26">
      <c r="I107" s="271"/>
      <c r="P107" s="1781"/>
      <c r="R107" s="1781"/>
      <c r="T107" s="1781"/>
      <c r="V107" s="1781"/>
      <c r="X107" s="1781"/>
      <c r="Z107" s="1781"/>
    </row>
    <row r="108" spans="9:26">
      <c r="J108" s="271"/>
      <c r="P108" s="1781"/>
      <c r="R108" s="1781"/>
      <c r="T108" s="1781"/>
      <c r="V108" s="1781"/>
      <c r="X108" s="1781"/>
      <c r="Z108" s="1781"/>
    </row>
    <row r="109" spans="9:26">
      <c r="J109" s="271"/>
      <c r="P109" s="1781"/>
      <c r="R109" s="1781"/>
      <c r="T109" s="1781"/>
      <c r="V109" s="1781"/>
      <c r="X109" s="1781"/>
      <c r="Z109" s="1781"/>
    </row>
    <row r="110" spans="9:26">
      <c r="J110" s="271"/>
      <c r="P110" s="1781"/>
      <c r="R110" s="1781"/>
      <c r="T110" s="1781"/>
      <c r="V110" s="1781"/>
      <c r="X110" s="1781"/>
      <c r="Z110" s="1781"/>
    </row>
    <row r="111" spans="9:26">
      <c r="J111" s="271"/>
      <c r="P111" s="1781"/>
      <c r="R111" s="1781"/>
      <c r="T111" s="1781"/>
      <c r="V111" s="1781"/>
      <c r="X111" s="1781"/>
      <c r="Z111" s="1781"/>
    </row>
    <row r="112" spans="9:26">
      <c r="J112" s="271"/>
      <c r="P112" s="1781"/>
      <c r="R112" s="1781"/>
      <c r="T112" s="1781"/>
      <c r="V112" s="1781"/>
      <c r="X112" s="1781"/>
      <c r="Z112" s="1781"/>
    </row>
    <row r="113" spans="9:26">
      <c r="J113" s="271"/>
      <c r="P113" s="1781"/>
      <c r="R113" s="1781"/>
      <c r="T113" s="1781"/>
      <c r="V113" s="1781"/>
      <c r="X113" s="1781"/>
      <c r="Z113" s="1781"/>
    </row>
    <row r="114" spans="9:26">
      <c r="J114" s="271"/>
      <c r="P114" s="1781"/>
      <c r="R114" s="1781"/>
      <c r="T114" s="1781"/>
      <c r="V114" s="1781"/>
      <c r="X114" s="1781"/>
      <c r="Z114" s="1781"/>
    </row>
    <row r="115" spans="9:26">
      <c r="J115" s="271"/>
      <c r="P115" s="1781"/>
      <c r="R115" s="1781"/>
      <c r="T115" s="1781"/>
      <c r="V115" s="1781"/>
      <c r="X115" s="1781"/>
      <c r="Z115" s="1781"/>
    </row>
    <row r="116" spans="9:26">
      <c r="J116" s="271"/>
      <c r="P116" s="1781"/>
      <c r="R116" s="1781"/>
      <c r="T116" s="1781"/>
      <c r="V116" s="1781"/>
      <c r="X116" s="1781"/>
      <c r="Z116" s="1781"/>
    </row>
    <row r="117" spans="9:26">
      <c r="J117" s="271"/>
      <c r="P117" s="1781"/>
      <c r="R117" s="1781"/>
      <c r="T117" s="1781"/>
      <c r="V117" s="1781"/>
      <c r="X117" s="1781"/>
      <c r="Z117" s="1781"/>
    </row>
    <row r="118" spans="9:26">
      <c r="J118" s="271"/>
      <c r="P118" s="1781"/>
      <c r="R118" s="1781"/>
      <c r="T118" s="1781"/>
      <c r="V118" s="1781"/>
      <c r="X118" s="1781"/>
      <c r="Z118" s="1781"/>
    </row>
    <row r="119" spans="9:26">
      <c r="J119" s="271"/>
      <c r="P119" s="1781"/>
      <c r="R119" s="1781"/>
      <c r="T119" s="1781"/>
      <c r="V119" s="1781"/>
      <c r="X119" s="1781"/>
      <c r="Z119" s="1781"/>
    </row>
    <row r="120" spans="9:26">
      <c r="J120" s="271"/>
      <c r="P120" s="1781"/>
      <c r="R120" s="1781"/>
      <c r="T120" s="1781"/>
      <c r="V120" s="1781"/>
      <c r="X120" s="1781"/>
      <c r="Z120" s="1781"/>
    </row>
    <row r="121" spans="9:26">
      <c r="J121" s="271"/>
      <c r="P121" s="1781"/>
      <c r="R121" s="1781"/>
      <c r="T121" s="1781"/>
      <c r="V121" s="1781"/>
      <c r="X121" s="1781"/>
      <c r="Z121" s="1781"/>
    </row>
    <row r="122" spans="9:26">
      <c r="P122" s="1781"/>
      <c r="R122" s="1781"/>
      <c r="T122" s="1781"/>
      <c r="V122" s="1781"/>
      <c r="X122" s="1781"/>
      <c r="Z122" s="1781"/>
    </row>
    <row r="123" spans="9:26">
      <c r="P123" s="1781"/>
      <c r="R123" s="1781"/>
      <c r="T123" s="1781"/>
      <c r="V123" s="1781"/>
      <c r="X123" s="1781"/>
      <c r="Z123" s="1781"/>
    </row>
    <row r="124" spans="9:26">
      <c r="I124" s="271"/>
      <c r="P124" s="1781"/>
      <c r="R124" s="1781"/>
      <c r="T124" s="1781"/>
      <c r="V124" s="1781"/>
      <c r="X124" s="1781"/>
      <c r="Z124" s="1781"/>
    </row>
    <row r="125" spans="9:26">
      <c r="I125" s="271"/>
      <c r="P125" s="1781"/>
      <c r="R125" s="1781"/>
      <c r="T125" s="1781"/>
      <c r="V125" s="1781"/>
      <c r="X125" s="1781"/>
      <c r="Z125" s="1781"/>
    </row>
    <row r="126" spans="9:26">
      <c r="P126" s="1781"/>
      <c r="R126" s="1781"/>
      <c r="T126" s="1781"/>
      <c r="V126" s="1781"/>
      <c r="X126" s="1781"/>
      <c r="Z126" s="1781"/>
    </row>
    <row r="127" spans="9:26">
      <c r="I127" s="271"/>
      <c r="P127" s="1781"/>
      <c r="R127" s="1781"/>
      <c r="T127" s="1781"/>
      <c r="V127" s="1781"/>
      <c r="X127" s="1781"/>
      <c r="Z127" s="1781"/>
    </row>
    <row r="128" spans="9:26">
      <c r="I128" s="271"/>
      <c r="P128" s="1781"/>
      <c r="R128" s="1781"/>
      <c r="T128" s="1781"/>
      <c r="V128" s="1781"/>
      <c r="X128" s="1781"/>
      <c r="Z128" s="1781"/>
    </row>
    <row r="129" spans="9:26">
      <c r="I129" s="271"/>
      <c r="P129" s="1781"/>
      <c r="R129" s="1781"/>
      <c r="T129" s="1781"/>
      <c r="V129" s="1781"/>
      <c r="X129" s="1781"/>
      <c r="Z129" s="1781"/>
    </row>
    <row r="130" spans="9:26">
      <c r="I130" s="271"/>
      <c r="P130" s="1781"/>
      <c r="R130" s="1781"/>
      <c r="T130" s="1781"/>
      <c r="V130" s="1781"/>
      <c r="X130" s="1781"/>
      <c r="Z130" s="1781"/>
    </row>
    <row r="131" spans="9:26">
      <c r="I131" s="271"/>
      <c r="P131" s="1781"/>
      <c r="R131" s="1781"/>
      <c r="T131" s="1781"/>
      <c r="V131" s="1781"/>
      <c r="X131" s="1781"/>
      <c r="Z131" s="1781"/>
    </row>
    <row r="132" spans="9:26">
      <c r="I132" s="271"/>
      <c r="P132" s="1781"/>
      <c r="R132" s="1781"/>
      <c r="T132" s="1781"/>
      <c r="V132" s="1781"/>
      <c r="X132" s="1781"/>
      <c r="Z132" s="1781"/>
    </row>
    <row r="133" spans="9:26">
      <c r="I133" s="271"/>
      <c r="P133" s="1781"/>
      <c r="R133" s="1781"/>
      <c r="T133" s="1781"/>
      <c r="V133" s="1781"/>
      <c r="X133" s="1781"/>
      <c r="Z133" s="1781"/>
    </row>
    <row r="134" spans="9:26">
      <c r="I134" s="271"/>
      <c r="P134" s="1781"/>
      <c r="R134" s="1781"/>
      <c r="T134" s="1781"/>
      <c r="V134" s="1781"/>
      <c r="X134" s="1781"/>
      <c r="Z134" s="1781"/>
    </row>
    <row r="135" spans="9:26">
      <c r="I135" s="271"/>
      <c r="P135" s="1781"/>
      <c r="R135" s="1781"/>
      <c r="T135" s="1781"/>
      <c r="V135" s="1781"/>
      <c r="X135" s="1781"/>
      <c r="Z135" s="1781"/>
    </row>
    <row r="136" spans="9:26">
      <c r="I136" s="271"/>
      <c r="P136" s="1781"/>
      <c r="R136" s="1781"/>
      <c r="T136" s="1781"/>
      <c r="V136" s="1781"/>
      <c r="X136" s="1781"/>
      <c r="Z136" s="1781"/>
    </row>
    <row r="137" spans="9:26">
      <c r="I137" s="271"/>
      <c r="P137" s="1781"/>
      <c r="R137" s="1781"/>
      <c r="T137" s="1781"/>
      <c r="V137" s="1781"/>
      <c r="X137" s="1781"/>
      <c r="Z137" s="1781"/>
    </row>
    <row r="138" spans="9:26">
      <c r="I138" s="271"/>
      <c r="P138" s="1781"/>
      <c r="R138" s="1781"/>
      <c r="T138" s="1781"/>
      <c r="V138" s="1781"/>
      <c r="X138" s="1781"/>
      <c r="Z138" s="1781"/>
    </row>
    <row r="139" spans="9:26">
      <c r="P139" s="1781"/>
      <c r="R139" s="1781"/>
      <c r="T139" s="1781"/>
      <c r="V139" s="1781"/>
      <c r="X139" s="1781"/>
      <c r="Z139" s="1781"/>
    </row>
    <row r="140" spans="9:26">
      <c r="I140" s="271"/>
      <c r="P140" s="1781"/>
      <c r="R140" s="1781"/>
      <c r="T140" s="1781"/>
      <c r="V140" s="1781"/>
      <c r="X140" s="1781"/>
      <c r="Z140" s="1781"/>
    </row>
    <row r="141" spans="9:26">
      <c r="I141" s="271"/>
      <c r="P141" s="1781"/>
      <c r="R141" s="1781"/>
      <c r="T141" s="1781"/>
      <c r="V141" s="1781"/>
      <c r="X141" s="1781"/>
      <c r="Z141" s="1781"/>
    </row>
    <row r="142" spans="9:26">
      <c r="I142" s="271"/>
      <c r="P142" s="1781"/>
      <c r="R142" s="1781"/>
      <c r="T142" s="1781"/>
      <c r="V142" s="1781"/>
      <c r="X142" s="1781"/>
      <c r="Z142" s="1781"/>
    </row>
    <row r="143" spans="9:26">
      <c r="I143" s="271"/>
      <c r="P143" s="1781"/>
      <c r="R143" s="1781"/>
      <c r="T143" s="1781"/>
      <c r="V143" s="1781"/>
      <c r="X143" s="1781"/>
      <c r="Z143" s="1781"/>
    </row>
    <row r="144" spans="9:26">
      <c r="I144" s="271"/>
      <c r="P144" s="1781"/>
      <c r="R144" s="1781"/>
      <c r="T144" s="1781"/>
      <c r="V144" s="1781"/>
      <c r="X144" s="1781"/>
      <c r="Z144" s="1781"/>
    </row>
    <row r="145" spans="9:26">
      <c r="I145" s="271"/>
      <c r="P145" s="1781"/>
      <c r="R145" s="1781"/>
      <c r="T145" s="1781"/>
      <c r="V145" s="1781"/>
      <c r="X145" s="1781"/>
      <c r="Z145" s="1781"/>
    </row>
    <row r="146" spans="9:26">
      <c r="I146" s="271"/>
      <c r="P146" s="1781"/>
      <c r="R146" s="1781"/>
      <c r="T146" s="1781"/>
      <c r="V146" s="1781"/>
      <c r="X146" s="1781"/>
      <c r="Z146" s="1781"/>
    </row>
    <row r="147" spans="9:26">
      <c r="I147" s="271"/>
      <c r="P147" s="1781"/>
      <c r="R147" s="1781"/>
      <c r="T147" s="1781"/>
      <c r="V147" s="1781"/>
      <c r="X147" s="1781"/>
      <c r="Z147" s="1781"/>
    </row>
    <row r="148" spans="9:26">
      <c r="I148" s="271"/>
      <c r="P148" s="1781"/>
      <c r="R148" s="1781"/>
      <c r="T148" s="1781"/>
      <c r="V148" s="1781"/>
      <c r="X148" s="1781"/>
      <c r="Z148" s="1781"/>
    </row>
    <row r="149" spans="9:26">
      <c r="I149" s="271"/>
      <c r="P149" s="1781"/>
      <c r="R149" s="1781"/>
      <c r="T149" s="1781"/>
      <c r="V149" s="1781"/>
      <c r="X149" s="1781"/>
      <c r="Z149" s="1781"/>
    </row>
    <row r="150" spans="9:26">
      <c r="I150" s="271"/>
      <c r="P150" s="1781"/>
      <c r="R150" s="1781"/>
      <c r="T150" s="1781"/>
      <c r="V150" s="1781"/>
      <c r="X150" s="1781"/>
      <c r="Z150" s="1781"/>
    </row>
    <row r="151" spans="9:26">
      <c r="P151" s="1781"/>
      <c r="R151" s="1781"/>
      <c r="T151" s="1781"/>
      <c r="V151" s="1781"/>
      <c r="X151" s="1781"/>
      <c r="Z151" s="1781"/>
    </row>
    <row r="152" spans="9:26">
      <c r="P152" s="1781"/>
      <c r="R152" s="1781"/>
      <c r="T152" s="1781"/>
      <c r="V152" s="1781"/>
      <c r="X152" s="1781"/>
      <c r="Z152" s="1781"/>
    </row>
    <row r="153" spans="9:26">
      <c r="I153" s="271"/>
      <c r="P153" s="1781"/>
      <c r="R153" s="1781"/>
      <c r="T153" s="1781"/>
      <c r="V153" s="1781"/>
      <c r="X153" s="1781"/>
      <c r="Z153" s="1781"/>
    </row>
    <row r="154" spans="9:26">
      <c r="I154" s="271"/>
      <c r="P154" s="1781"/>
      <c r="R154" s="1781"/>
      <c r="T154" s="1781"/>
      <c r="V154" s="1781"/>
      <c r="X154" s="1781"/>
      <c r="Z154" s="1781"/>
    </row>
    <row r="155" spans="9:26">
      <c r="I155" s="271"/>
      <c r="P155" s="1781"/>
      <c r="R155" s="1781"/>
      <c r="T155" s="1781"/>
      <c r="V155" s="1781"/>
      <c r="X155" s="1781"/>
      <c r="Z155" s="1781"/>
    </row>
    <row r="156" spans="9:26">
      <c r="I156" s="271"/>
      <c r="P156" s="1781"/>
      <c r="R156" s="1781"/>
      <c r="T156" s="1781"/>
      <c r="V156" s="1781"/>
      <c r="X156" s="1781"/>
      <c r="Z156" s="1781"/>
    </row>
    <row r="157" spans="9:26">
      <c r="I157" s="271"/>
      <c r="P157" s="1781"/>
      <c r="R157" s="1781"/>
      <c r="T157" s="1781"/>
      <c r="V157" s="1781"/>
      <c r="X157" s="1781"/>
      <c r="Z157" s="1781"/>
    </row>
    <row r="158" spans="9:26">
      <c r="I158" s="271"/>
      <c r="P158" s="1781"/>
      <c r="R158" s="1781"/>
      <c r="T158" s="1781"/>
      <c r="V158" s="1781"/>
      <c r="X158" s="1781"/>
      <c r="Z158" s="1781"/>
    </row>
    <row r="159" spans="9:26">
      <c r="I159" s="271"/>
      <c r="P159" s="1781"/>
      <c r="R159" s="1781"/>
      <c r="T159" s="1781"/>
      <c r="V159" s="1781"/>
      <c r="X159" s="1781"/>
      <c r="Z159" s="1781"/>
    </row>
    <row r="160" spans="9:26">
      <c r="I160" s="271"/>
      <c r="P160" s="1781"/>
      <c r="R160" s="1781"/>
      <c r="T160" s="1781"/>
      <c r="V160" s="1781"/>
      <c r="X160" s="1781"/>
      <c r="Z160" s="1781"/>
    </row>
    <row r="161" spans="9:26">
      <c r="I161" s="271"/>
      <c r="P161" s="1781"/>
      <c r="R161" s="1781"/>
      <c r="T161" s="1781"/>
      <c r="V161" s="1781"/>
      <c r="X161" s="1781"/>
      <c r="Z161" s="1781"/>
    </row>
    <row r="162" spans="9:26">
      <c r="I162" s="271"/>
      <c r="P162" s="1781"/>
      <c r="R162" s="1781"/>
      <c r="T162" s="1781"/>
      <c r="V162" s="1781"/>
      <c r="X162" s="1781"/>
      <c r="Z162" s="1781"/>
    </row>
    <row r="163" spans="9:26">
      <c r="I163" s="271"/>
      <c r="P163" s="1781"/>
      <c r="R163" s="1781"/>
      <c r="T163" s="1781"/>
      <c r="V163" s="1781"/>
      <c r="X163" s="1781"/>
      <c r="Z163" s="1781"/>
    </row>
    <row r="164" spans="9:26">
      <c r="I164" s="271"/>
      <c r="P164" s="1781"/>
      <c r="R164" s="1781"/>
      <c r="T164" s="1781"/>
      <c r="V164" s="1781"/>
      <c r="X164" s="1781"/>
      <c r="Z164" s="1781"/>
    </row>
    <row r="165" spans="9:26">
      <c r="I165" s="271"/>
      <c r="P165" s="1781"/>
      <c r="R165" s="1781"/>
      <c r="T165" s="1781"/>
      <c r="V165" s="1781"/>
      <c r="X165" s="1781"/>
      <c r="Z165" s="1781"/>
    </row>
    <row r="166" spans="9:26">
      <c r="I166" s="271"/>
      <c r="P166" s="1781"/>
      <c r="R166" s="1781"/>
      <c r="T166" s="1781"/>
      <c r="V166" s="1781"/>
      <c r="X166" s="1781"/>
      <c r="Z166" s="1781"/>
    </row>
    <row r="167" spans="9:26">
      <c r="I167" s="271"/>
      <c r="P167" s="1781"/>
      <c r="R167" s="1781"/>
      <c r="T167" s="1781"/>
      <c r="V167" s="1781"/>
      <c r="X167" s="1781"/>
      <c r="Z167" s="1781"/>
    </row>
    <row r="168" spans="9:26">
      <c r="I168" s="271"/>
      <c r="P168" s="1781"/>
      <c r="R168" s="1781"/>
      <c r="T168" s="1781"/>
      <c r="V168" s="1781"/>
      <c r="X168" s="1781"/>
      <c r="Z168" s="1781"/>
    </row>
    <row r="169" spans="9:26">
      <c r="I169" s="271"/>
      <c r="P169" s="1781"/>
      <c r="R169" s="1781"/>
      <c r="T169" s="1781"/>
      <c r="V169" s="1781"/>
      <c r="X169" s="1781"/>
      <c r="Z169" s="1781"/>
    </row>
    <row r="170" spans="9:26">
      <c r="I170" s="271"/>
      <c r="P170" s="1781"/>
      <c r="R170" s="1781"/>
      <c r="T170" s="1781"/>
      <c r="V170" s="1781"/>
      <c r="X170" s="1781"/>
      <c r="Z170" s="1781"/>
    </row>
    <row r="171" spans="9:26">
      <c r="I171" s="271"/>
      <c r="P171" s="1781"/>
      <c r="R171" s="1781"/>
      <c r="T171" s="1781"/>
      <c r="V171" s="1781"/>
      <c r="X171" s="1781"/>
      <c r="Z171" s="1781"/>
    </row>
    <row r="172" spans="9:26">
      <c r="P172" s="1781"/>
      <c r="R172" s="1781"/>
      <c r="T172" s="1781"/>
      <c r="V172" s="1781"/>
      <c r="X172" s="1781"/>
      <c r="Z172" s="1781"/>
    </row>
    <row r="173" spans="9:26">
      <c r="P173" s="1781"/>
      <c r="R173" s="1781"/>
      <c r="T173" s="1781"/>
      <c r="V173" s="1781"/>
      <c r="X173" s="1781"/>
      <c r="Z173" s="1781"/>
    </row>
    <row r="174" spans="9:26">
      <c r="P174" s="1781"/>
      <c r="R174" s="1781"/>
      <c r="T174" s="1781"/>
      <c r="V174" s="1781"/>
      <c r="X174" s="1781"/>
      <c r="Z174" s="1781"/>
    </row>
    <row r="175" spans="9:26">
      <c r="P175" s="1781"/>
      <c r="R175" s="1781"/>
      <c r="T175" s="1781"/>
      <c r="V175" s="1781"/>
      <c r="X175" s="1781"/>
      <c r="Z175" s="1781"/>
    </row>
    <row r="176" spans="9:26">
      <c r="P176" s="1781"/>
      <c r="R176" s="1781"/>
      <c r="T176" s="1781"/>
      <c r="V176" s="1781"/>
      <c r="X176" s="1781"/>
      <c r="Z176" s="1781"/>
    </row>
    <row r="177" spans="9:26">
      <c r="P177" s="1781"/>
      <c r="R177" s="1781"/>
      <c r="T177" s="1781"/>
      <c r="V177" s="1781"/>
      <c r="X177" s="1781"/>
      <c r="Z177" s="1781"/>
    </row>
    <row r="178" spans="9:26">
      <c r="P178" s="1781"/>
      <c r="R178" s="1781"/>
      <c r="T178" s="1781"/>
      <c r="V178" s="1781"/>
      <c r="X178" s="1781"/>
      <c r="Z178" s="1781"/>
    </row>
    <row r="179" spans="9:26">
      <c r="P179" s="1781"/>
      <c r="R179" s="1781"/>
      <c r="T179" s="1781"/>
      <c r="V179" s="1781"/>
      <c r="X179" s="1781"/>
      <c r="Z179" s="1781"/>
    </row>
    <row r="180" spans="9:26">
      <c r="P180" s="1781"/>
      <c r="R180" s="1781"/>
      <c r="T180" s="1781"/>
      <c r="V180" s="1781"/>
      <c r="X180" s="1781"/>
      <c r="Z180" s="1781"/>
    </row>
    <row r="181" spans="9:26">
      <c r="I181" s="1693"/>
      <c r="P181" s="1781"/>
      <c r="R181" s="1781"/>
      <c r="T181" s="1781"/>
      <c r="V181" s="1781"/>
      <c r="X181" s="1781"/>
      <c r="Z181" s="1781"/>
    </row>
    <row r="182" spans="9:26">
      <c r="P182" s="1781"/>
      <c r="R182" s="1781"/>
      <c r="T182" s="1781"/>
      <c r="V182" s="1781"/>
      <c r="X182" s="1781"/>
      <c r="Z182" s="1781"/>
    </row>
    <row r="183" spans="9:26">
      <c r="P183" s="1781"/>
      <c r="R183" s="1781"/>
      <c r="T183" s="1781"/>
      <c r="V183" s="1781"/>
      <c r="X183" s="1781"/>
      <c r="Z183" s="1781"/>
    </row>
    <row r="184" spans="9:26">
      <c r="P184" s="1781"/>
      <c r="R184" s="1781"/>
      <c r="T184" s="1781"/>
      <c r="V184" s="1781"/>
      <c r="X184" s="1781"/>
      <c r="Z184" s="1781"/>
    </row>
    <row r="185" spans="9:26">
      <c r="P185" s="1781"/>
      <c r="R185" s="1781"/>
      <c r="T185" s="1781"/>
      <c r="V185" s="1781"/>
      <c r="X185" s="1781"/>
      <c r="Z185" s="1781"/>
    </row>
    <row r="186" spans="9:26">
      <c r="P186" s="1781"/>
      <c r="R186" s="1781"/>
      <c r="T186" s="1781"/>
      <c r="V186" s="1781"/>
      <c r="X186" s="1781"/>
      <c r="Z186" s="1781"/>
    </row>
    <row r="187" spans="9:26">
      <c r="P187" s="1781"/>
      <c r="R187" s="1781"/>
      <c r="T187" s="1781"/>
      <c r="V187" s="1781"/>
      <c r="X187" s="1781"/>
      <c r="Z187" s="1781"/>
    </row>
    <row r="188" spans="9:26">
      <c r="P188" s="1781"/>
      <c r="R188" s="1781"/>
      <c r="T188" s="1781"/>
      <c r="V188" s="1781"/>
      <c r="X188" s="1781"/>
      <c r="Z188" s="1781"/>
    </row>
    <row r="189" spans="9:26">
      <c r="P189" s="1781"/>
      <c r="R189" s="1781"/>
      <c r="T189" s="1781"/>
      <c r="V189" s="1781"/>
      <c r="X189" s="1781"/>
      <c r="Z189" s="1781"/>
    </row>
    <row r="190" spans="9:26">
      <c r="P190" s="1781"/>
      <c r="R190" s="1781"/>
      <c r="T190" s="1781"/>
      <c r="V190" s="1781"/>
      <c r="X190" s="1781"/>
      <c r="Z190" s="1781"/>
    </row>
    <row r="191" spans="9:26">
      <c r="P191" s="1781"/>
      <c r="R191" s="1781"/>
      <c r="T191" s="1781"/>
      <c r="V191" s="1781"/>
      <c r="X191" s="1781"/>
      <c r="Z191" s="1781"/>
    </row>
    <row r="192" spans="9:26">
      <c r="P192" s="1781"/>
      <c r="R192" s="1781"/>
      <c r="T192" s="1781"/>
      <c r="V192" s="1781"/>
      <c r="X192" s="1781"/>
      <c r="Z192" s="1781"/>
    </row>
    <row r="193" spans="16:26">
      <c r="P193" s="1781"/>
      <c r="R193" s="1781"/>
      <c r="T193" s="1781"/>
      <c r="V193" s="1781"/>
      <c r="X193" s="1781"/>
      <c r="Z193" s="1781"/>
    </row>
    <row r="194" spans="16:26">
      <c r="P194" s="1781"/>
      <c r="R194" s="1781"/>
      <c r="T194" s="1781"/>
      <c r="V194" s="1781"/>
      <c r="X194" s="1781"/>
      <c r="Z194" s="1781"/>
    </row>
    <row r="195" spans="16:26">
      <c r="P195" s="1781"/>
      <c r="R195" s="1781"/>
      <c r="T195" s="1781"/>
      <c r="V195" s="1781"/>
      <c r="X195" s="1781"/>
      <c r="Z195" s="1781"/>
    </row>
    <row r="196" spans="16:26">
      <c r="P196" s="1781"/>
      <c r="R196" s="1781"/>
      <c r="T196" s="1781"/>
      <c r="V196" s="1781"/>
      <c r="X196" s="1781"/>
      <c r="Z196" s="1781"/>
    </row>
    <row r="197" spans="16:26">
      <c r="P197" s="1781"/>
      <c r="R197" s="1781"/>
      <c r="T197" s="1781"/>
      <c r="V197" s="1781"/>
      <c r="X197" s="1781"/>
      <c r="Z197" s="1781"/>
    </row>
    <row r="198" spans="16:26">
      <c r="P198" s="1781"/>
      <c r="R198" s="1781"/>
      <c r="T198" s="1781"/>
      <c r="V198" s="1781"/>
      <c r="X198" s="1781"/>
      <c r="Z198" s="1781"/>
    </row>
    <row r="199" spans="16:26">
      <c r="P199" s="1781"/>
      <c r="R199" s="1781"/>
      <c r="T199" s="1781"/>
      <c r="V199" s="1781"/>
      <c r="X199" s="1781"/>
      <c r="Z199" s="1781"/>
    </row>
    <row r="200" spans="16:26">
      <c r="P200" s="1781"/>
      <c r="R200" s="1781"/>
      <c r="T200" s="1781"/>
      <c r="V200" s="1781"/>
      <c r="X200" s="1781"/>
      <c r="Z200" s="1781"/>
    </row>
    <row r="201" spans="16:26">
      <c r="P201" s="1781"/>
      <c r="R201" s="1781"/>
      <c r="T201" s="1781"/>
      <c r="V201" s="1781"/>
      <c r="X201" s="1781"/>
      <c r="Z201" s="1781"/>
    </row>
    <row r="202" spans="16:26">
      <c r="P202" s="1781"/>
      <c r="R202" s="1781"/>
      <c r="T202" s="1781"/>
      <c r="V202" s="1781"/>
      <c r="X202" s="1781"/>
      <c r="Z202" s="1781"/>
    </row>
    <row r="203" spans="16:26">
      <c r="P203" s="1781"/>
      <c r="R203" s="1781"/>
      <c r="T203" s="1781"/>
      <c r="V203" s="1781"/>
      <c r="X203" s="1781"/>
      <c r="Z203" s="1781"/>
    </row>
    <row r="204" spans="16:26">
      <c r="P204" s="1781"/>
      <c r="R204" s="1781"/>
      <c r="T204" s="1781"/>
      <c r="V204" s="1781"/>
      <c r="X204" s="1781"/>
      <c r="Z204" s="1781"/>
    </row>
    <row r="205" spans="16:26">
      <c r="P205" s="1781"/>
      <c r="R205" s="1781"/>
      <c r="T205" s="1781"/>
      <c r="V205" s="1781"/>
      <c r="X205" s="1781"/>
      <c r="Z205" s="1781"/>
    </row>
    <row r="206" spans="16:26">
      <c r="P206" s="1781"/>
      <c r="R206" s="1781"/>
      <c r="T206" s="1781"/>
      <c r="V206" s="1781"/>
      <c r="X206" s="1781"/>
      <c r="Z206" s="1781"/>
    </row>
    <row r="207" spans="16:26">
      <c r="P207" s="1781"/>
      <c r="R207" s="1781"/>
      <c r="T207" s="1781"/>
      <c r="V207" s="1781"/>
      <c r="X207" s="1781"/>
      <c r="Z207" s="1781"/>
    </row>
    <row r="208" spans="16:26">
      <c r="P208" s="1781"/>
      <c r="R208" s="1781"/>
      <c r="T208" s="1781"/>
      <c r="V208" s="1781"/>
      <c r="X208" s="1781"/>
      <c r="Z208" s="1781"/>
    </row>
    <row r="209" spans="16:26">
      <c r="P209" s="1781"/>
      <c r="R209" s="1781"/>
      <c r="T209" s="1781"/>
      <c r="V209" s="1781"/>
      <c r="X209" s="1781"/>
      <c r="Z209" s="1781"/>
    </row>
    <row r="210" spans="16:26">
      <c r="P210" s="1781"/>
      <c r="R210" s="1781"/>
      <c r="T210" s="1781"/>
      <c r="V210" s="1781"/>
      <c r="X210" s="1781"/>
      <c r="Z210" s="1781"/>
    </row>
    <row r="211" spans="16:26">
      <c r="P211" s="1781"/>
      <c r="R211" s="1781"/>
      <c r="T211" s="1781"/>
      <c r="V211" s="1781"/>
      <c r="X211" s="1781"/>
      <c r="Z211" s="1781"/>
    </row>
    <row r="212" spans="16:26">
      <c r="P212" s="1781"/>
      <c r="R212" s="1781"/>
      <c r="T212" s="1781"/>
      <c r="V212" s="1781"/>
      <c r="X212" s="1781"/>
      <c r="Z212" s="1781"/>
    </row>
    <row r="213" spans="16:26">
      <c r="P213" s="1781"/>
      <c r="R213" s="1781"/>
      <c r="T213" s="1781"/>
      <c r="V213" s="1781"/>
      <c r="X213" s="1781"/>
      <c r="Z213" s="1781"/>
    </row>
    <row r="214" spans="16:26">
      <c r="P214" s="1781"/>
      <c r="R214" s="1781"/>
      <c r="T214" s="1781"/>
      <c r="V214" s="1781"/>
      <c r="X214" s="1781"/>
      <c r="Z214" s="1781"/>
    </row>
    <row r="215" spans="16:26">
      <c r="P215" s="1781"/>
      <c r="R215" s="1781"/>
      <c r="T215" s="1781"/>
      <c r="V215" s="1781"/>
      <c r="X215" s="1781"/>
      <c r="Z215" s="1781"/>
    </row>
    <row r="216" spans="16:26">
      <c r="P216" s="1781"/>
      <c r="R216" s="1781"/>
      <c r="T216" s="1781"/>
      <c r="V216" s="1781"/>
      <c r="X216" s="1781"/>
      <c r="Z216" s="1781"/>
    </row>
    <row r="217" spans="16:26">
      <c r="P217" s="1781"/>
      <c r="R217" s="1781"/>
      <c r="T217" s="1781"/>
      <c r="V217" s="1781"/>
      <c r="X217" s="1781"/>
      <c r="Z217" s="1781"/>
    </row>
    <row r="218" spans="16:26">
      <c r="P218" s="1781"/>
      <c r="R218" s="1781"/>
      <c r="T218" s="1781"/>
      <c r="V218" s="1781"/>
      <c r="X218" s="1781"/>
      <c r="Z218" s="1781"/>
    </row>
    <row r="219" spans="16:26">
      <c r="P219" s="1781"/>
      <c r="R219" s="1781"/>
      <c r="T219" s="1781"/>
      <c r="V219" s="1781"/>
      <c r="X219" s="1781"/>
      <c r="Z219" s="1781"/>
    </row>
    <row r="220" spans="16:26">
      <c r="P220" s="1781"/>
      <c r="R220" s="1781"/>
      <c r="T220" s="1781"/>
      <c r="V220" s="1781"/>
      <c r="X220" s="1781"/>
      <c r="Z220" s="1781"/>
    </row>
    <row r="221" spans="16:26">
      <c r="P221" s="1781"/>
      <c r="R221" s="1781"/>
      <c r="T221" s="1781"/>
      <c r="V221" s="1781"/>
      <c r="X221" s="1781"/>
      <c r="Z221" s="1781"/>
    </row>
    <row r="222" spans="16:26">
      <c r="P222" s="1781"/>
      <c r="R222" s="1781"/>
      <c r="T222" s="1781"/>
      <c r="V222" s="1781"/>
      <c r="X222" s="1781"/>
      <c r="Z222" s="1781"/>
    </row>
    <row r="283" spans="16:26">
      <c r="P283" s="1781"/>
      <c r="R283" s="1781"/>
      <c r="T283" s="1781"/>
      <c r="V283" s="1781"/>
      <c r="X283" s="1781"/>
      <c r="Z283" s="1781"/>
    </row>
    <row r="284" spans="16:26">
      <c r="P284" s="1781"/>
      <c r="R284" s="1781"/>
      <c r="T284" s="1781"/>
      <c r="V284" s="1781"/>
      <c r="X284" s="1781"/>
      <c r="Z284" s="1781"/>
    </row>
    <row r="285" spans="16:26">
      <c r="P285" s="1781"/>
      <c r="R285" s="1781"/>
      <c r="T285" s="1781"/>
      <c r="V285" s="1781"/>
      <c r="X285" s="1781"/>
      <c r="Z285" s="1781"/>
    </row>
  </sheetData>
  <dataValidations count="2">
    <dataValidation type="list" allowBlank="1" showInputMessage="1" showErrorMessage="1" promptTitle="Carats" prompt="Small=(1/5ct - 1ct)_x000a_Moderate=(1ct - 10ct)_x000a_Large=(10ct +)_x000a_Random (1/5ct - 500ct)" sqref="AK131079 AK196615 AK262151 AK327687 AK393223 AK458759 AK524295 AK589831 AK655367 AK720903 AK786439 AK851975 AK917511 AK983047 AK65543" xr:uid="{2CDF988E-1E8E-48B1-B590-B8C272E06CD5}">
      <formula1>"Small,Moderate,Large,Random"</formula1>
    </dataValidation>
    <dataValidation type="whole" allowBlank="1" showInputMessage="1" showErrorMessage="1" promptTitle="Value" prompt="Enter a value between 1,20" sqref="AK65542 AK131078 AK196614 AK262150 AK327686 AK393222 AK458758 AK524294 AK589830 AK655366 AK720902 AK786438 AK851974 AK917510 AK983046" xr:uid="{22739A31-8013-4B27-A39A-5F6DD5D1F63A}">
      <formula1>1</formula1>
      <formula2>20</formula2>
    </dataValidation>
  </dataValidations>
  <pageMargins left="0.7" right="0.7" top="0.75" bottom="0.75" header="0.3" footer="0.3"/>
  <pageSetup orientation="portrait" verticalDpi="30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A3150-05AF-404E-84F6-852FFEB1704E}">
  <sheetPr codeName="Аркуш13">
    <tabColor rgb="FF92D050"/>
  </sheetPr>
  <dimension ref="A1:AC168"/>
  <sheetViews>
    <sheetView showGridLines="0" topLeftCell="E26" zoomScale="85" zoomScaleNormal="85" zoomScalePageLayoutView="145" workbookViewId="0">
      <selection activeCell="C159" sqref="B159:C159"/>
    </sheetView>
  </sheetViews>
  <sheetFormatPr defaultColWidth="6.88671875" defaultRowHeight="10.5"/>
  <cols>
    <col min="1" max="1" width="1.77734375" style="1693" customWidth="1"/>
    <col min="2" max="2" width="4.44140625" style="543" customWidth="1"/>
    <col min="3" max="3" width="15.21875" style="1693" bestFit="1" customWidth="1"/>
    <col min="4" max="7" width="6.44140625" style="543" customWidth="1"/>
    <col min="8" max="8" width="22.77734375" style="543" bestFit="1" customWidth="1"/>
    <col min="9" max="9" width="38.6640625" style="1693" bestFit="1" customWidth="1"/>
    <col min="10" max="10" width="2.77734375" style="1693" customWidth="1"/>
    <col min="11" max="11" width="4.44140625" style="543" customWidth="1"/>
    <col min="12" max="12" width="11.44140625" style="1693" customWidth="1"/>
    <col min="13" max="13" width="6.44140625" style="543" customWidth="1"/>
    <col min="14" max="14" width="11.33203125" style="1693" customWidth="1"/>
    <col min="15" max="15" width="6.44140625" style="1693" customWidth="1"/>
    <col min="16" max="16" width="12.21875" style="1693" customWidth="1"/>
    <col min="17" max="19" width="6.44140625" style="543" customWidth="1"/>
    <col min="20" max="21" width="3.21875" style="1693" customWidth="1"/>
    <col min="22" max="22" width="6.88671875" style="1693"/>
    <col min="23" max="23" width="10.44140625" style="1693" bestFit="1" customWidth="1"/>
    <col min="24" max="16384" width="6.88671875" style="1693"/>
  </cols>
  <sheetData>
    <row r="1" spans="2:29" ht="11.25" thickBot="1"/>
    <row r="2" spans="2:29" ht="15" thickBot="1">
      <c r="B2" s="1694" t="s">
        <v>8257</v>
      </c>
      <c r="C2" s="1695"/>
      <c r="D2" s="1695"/>
      <c r="E2" s="1695"/>
      <c r="F2" s="1695"/>
      <c r="G2" s="1695"/>
      <c r="H2" s="1695"/>
      <c r="I2" s="1696"/>
      <c r="K2" s="1697" t="s">
        <v>8258</v>
      </c>
      <c r="L2" s="1698"/>
      <c r="M2" s="1698"/>
      <c r="N2" s="1698"/>
      <c r="O2" s="1698"/>
      <c r="P2" s="1698"/>
      <c r="Q2" s="1698"/>
      <c r="R2" s="1698"/>
      <c r="S2" s="1699"/>
      <c r="W2" s="3257"/>
      <c r="X2" s="2797"/>
      <c r="Y2" s="2797"/>
      <c r="Z2" s="2797"/>
      <c r="AA2" s="2797"/>
      <c r="AB2" s="2797"/>
      <c r="AC2" s="2797"/>
    </row>
    <row r="3" spans="2:29" ht="12" customHeight="1" thickTop="1" thickBot="1">
      <c r="B3" s="1700"/>
      <c r="C3" s="1701" t="s">
        <v>8259</v>
      </c>
      <c r="D3" s="1702" t="s">
        <v>7806</v>
      </c>
      <c r="E3" s="1702" t="s">
        <v>5769</v>
      </c>
      <c r="F3" s="1702" t="s">
        <v>7807</v>
      </c>
      <c r="G3" s="1702" t="s">
        <v>1406</v>
      </c>
      <c r="H3" s="1703" t="s">
        <v>8260</v>
      </c>
      <c r="I3" s="1704" t="s">
        <v>8261</v>
      </c>
      <c r="K3" s="1705"/>
      <c r="L3" s="1706" t="s">
        <v>8262</v>
      </c>
      <c r="M3" s="1707" t="s">
        <v>8263</v>
      </c>
      <c r="N3" s="1707" t="s">
        <v>8264</v>
      </c>
      <c r="O3" s="1708" t="s">
        <v>8265</v>
      </c>
      <c r="P3" s="1708" t="s">
        <v>8266</v>
      </c>
      <c r="Q3" s="1707" t="s">
        <v>8267</v>
      </c>
      <c r="R3" s="1709" t="s">
        <v>5789</v>
      </c>
      <c r="S3" s="1710" t="s">
        <v>8268</v>
      </c>
      <c r="W3" s="543"/>
      <c r="X3" s="543"/>
      <c r="Y3" s="543"/>
      <c r="Z3" s="543"/>
      <c r="AA3" s="543"/>
      <c r="AB3" s="3060"/>
      <c r="AC3" s="2797"/>
    </row>
    <row r="4" spans="2:29" ht="12" customHeight="1" thickTop="1">
      <c r="B4" s="1711">
        <v>1</v>
      </c>
      <c r="C4" s="1712" t="s">
        <v>4301</v>
      </c>
      <c r="D4" s="1713" t="s">
        <v>8269</v>
      </c>
      <c r="E4" s="1713" t="s">
        <v>6605</v>
      </c>
      <c r="F4" s="1713" t="s">
        <v>8270</v>
      </c>
      <c r="G4" s="1714" t="s">
        <v>1999</v>
      </c>
      <c r="H4" s="1715" t="s">
        <v>8271</v>
      </c>
      <c r="I4" s="1716" t="str">
        <f>C4&amp;" | "&amp;E4&amp;" | "&amp;H4</f>
        <v xml:space="preserve">Club | 1d4 | Light </v>
      </c>
      <c r="K4" s="1717"/>
      <c r="L4" s="1718" t="s">
        <v>7841</v>
      </c>
      <c r="M4" s="1719">
        <v>0</v>
      </c>
      <c r="N4" s="1719" t="s">
        <v>8272</v>
      </c>
      <c r="O4" s="1720"/>
      <c r="P4" s="1720"/>
      <c r="Q4" s="1719" t="s">
        <v>8273</v>
      </c>
      <c r="R4" s="1721">
        <f>IF([1]GEAR!C22="None",10,0)</f>
        <v>10</v>
      </c>
      <c r="S4" s="1722">
        <f>IF([1]GEAR!C22="none",9,0)</f>
        <v>9</v>
      </c>
      <c r="X4" s="543"/>
      <c r="Y4" s="543"/>
      <c r="Z4" s="543"/>
      <c r="AA4" s="543"/>
      <c r="AB4" s="3274"/>
      <c r="AC4" s="3275"/>
    </row>
    <row r="5" spans="2:29" ht="12" customHeight="1">
      <c r="B5" s="1128">
        <v>2</v>
      </c>
      <c r="C5" s="1723" t="s">
        <v>8274</v>
      </c>
      <c r="D5" s="1724" t="s">
        <v>8275</v>
      </c>
      <c r="E5" s="1724" t="s">
        <v>6605</v>
      </c>
      <c r="F5" s="1724" t="s">
        <v>8276</v>
      </c>
      <c r="G5" s="909" t="s">
        <v>8277</v>
      </c>
      <c r="H5" s="1723" t="s">
        <v>8278</v>
      </c>
      <c r="I5" s="1716" t="str">
        <f t="shared" ref="I5:I25" si="0">C5&amp;" | "&amp;E5&amp;" | "&amp;H5</f>
        <v xml:space="preserve">Dagger  | 1d4 | Finesse, light, thrown (range 20/60) </v>
      </c>
      <c r="K5" s="1128">
        <v>1</v>
      </c>
      <c r="L5" s="1725" t="s">
        <v>8279</v>
      </c>
      <c r="M5" s="1724" t="s">
        <v>8280</v>
      </c>
      <c r="N5" s="1724" t="s">
        <v>8281</v>
      </c>
      <c r="O5" s="1664" t="s">
        <v>1287</v>
      </c>
      <c r="P5" s="1723" t="s">
        <v>8282</v>
      </c>
      <c r="Q5" s="1724" t="s">
        <v>8283</v>
      </c>
      <c r="R5" s="901">
        <f>IF([1]GEAR!C22="Padded",11,0)</f>
        <v>0</v>
      </c>
      <c r="S5" s="904">
        <f>IF([1]GEAR!C22="padded",9,0)</f>
        <v>0</v>
      </c>
      <c r="X5" s="543"/>
      <c r="Y5" s="543"/>
      <c r="Z5" s="543"/>
      <c r="AA5" s="543"/>
      <c r="AB5" s="3274"/>
      <c r="AC5" s="3275"/>
    </row>
    <row r="6" spans="2:29" ht="12" customHeight="1">
      <c r="B6" s="1128">
        <v>3</v>
      </c>
      <c r="C6" s="1723" t="s">
        <v>8284</v>
      </c>
      <c r="D6" s="1724" t="s">
        <v>8285</v>
      </c>
      <c r="E6" s="1724" t="s">
        <v>6619</v>
      </c>
      <c r="F6" s="1724" t="s">
        <v>8286</v>
      </c>
      <c r="G6" s="909" t="s">
        <v>1999</v>
      </c>
      <c r="H6" s="1723" t="s">
        <v>8287</v>
      </c>
      <c r="I6" s="1716" t="str">
        <f t="shared" si="0"/>
        <v xml:space="preserve">Greatclub  | 1d8 | Two-handed </v>
      </c>
      <c r="K6" s="1128">
        <v>4</v>
      </c>
      <c r="L6" s="1725" t="s">
        <v>8288</v>
      </c>
      <c r="M6" s="1724" t="s">
        <v>8289</v>
      </c>
      <c r="N6" s="1724" t="s">
        <v>8281</v>
      </c>
      <c r="O6" s="1664" t="s">
        <v>1287</v>
      </c>
      <c r="P6" s="1723"/>
      <c r="Q6" s="1724" t="s">
        <v>8286</v>
      </c>
      <c r="R6" s="901">
        <f>IF([1]GEAR!C22="leather",11,0)</f>
        <v>0</v>
      </c>
      <c r="S6" s="904">
        <f>IF([1]GEAR!C22="leather",9,0)</f>
        <v>0</v>
      </c>
      <c r="X6" s="543"/>
      <c r="Y6" s="543"/>
      <c r="Z6" s="543"/>
      <c r="AA6" s="543"/>
      <c r="AB6" s="3274"/>
      <c r="AC6" s="3275"/>
    </row>
    <row r="7" spans="2:29" ht="12" customHeight="1" thickBot="1">
      <c r="B7" s="1128">
        <v>4</v>
      </c>
      <c r="C7" s="1723" t="s">
        <v>8290</v>
      </c>
      <c r="D7" s="1724" t="s">
        <v>8280</v>
      </c>
      <c r="E7" s="1724" t="s">
        <v>6612</v>
      </c>
      <c r="F7" s="1724" t="s">
        <v>8270</v>
      </c>
      <c r="G7" s="909" t="s">
        <v>2018</v>
      </c>
      <c r="H7" s="1723" t="s">
        <v>8291</v>
      </c>
      <c r="I7" s="1716" t="str">
        <f t="shared" si="0"/>
        <v xml:space="preserve">Handaxe  | 1d6 | Light, Thrown (range 20/60) </v>
      </c>
      <c r="K7" s="1726">
        <v>10</v>
      </c>
      <c r="L7" s="1727" t="s">
        <v>8292</v>
      </c>
      <c r="M7" s="1728" t="s">
        <v>8293</v>
      </c>
      <c r="N7" s="1728" t="s">
        <v>8294</v>
      </c>
      <c r="O7" s="1669" t="s">
        <v>1287</v>
      </c>
      <c r="P7" s="1729"/>
      <c r="Q7" s="1728" t="s">
        <v>8295</v>
      </c>
      <c r="R7" s="1421">
        <f>IF([1]GEAR!C22="studded leather",12,0)</f>
        <v>0</v>
      </c>
      <c r="S7" s="1730">
        <f>IF([1]GEAR!C22="studded leather",9,0)</f>
        <v>0</v>
      </c>
      <c r="X7" s="543"/>
      <c r="Y7" s="543"/>
      <c r="Z7" s="543"/>
      <c r="AA7" s="543"/>
      <c r="AB7" s="3274"/>
      <c r="AC7" s="3275"/>
    </row>
    <row r="8" spans="2:29" ht="12" customHeight="1" thickTop="1">
      <c r="B8" s="1128">
        <v>5</v>
      </c>
      <c r="C8" s="1723" t="s">
        <v>8296</v>
      </c>
      <c r="D8" s="1724" t="s">
        <v>8297</v>
      </c>
      <c r="E8" s="1724" t="s">
        <v>6612</v>
      </c>
      <c r="F8" s="1724" t="s">
        <v>8270</v>
      </c>
      <c r="G8" s="909" t="s">
        <v>8277</v>
      </c>
      <c r="H8" s="1723" t="s">
        <v>8298</v>
      </c>
      <c r="I8" s="1716" t="str">
        <f t="shared" si="0"/>
        <v xml:space="preserve">Javelin  | 1d6 | Thrown (range 30/120) </v>
      </c>
      <c r="K8" s="1731" t="s">
        <v>1287</v>
      </c>
      <c r="L8" s="1732" t="s">
        <v>8299</v>
      </c>
      <c r="M8" s="1721"/>
      <c r="N8" s="1721"/>
      <c r="O8" s="1733" t="s">
        <v>1287</v>
      </c>
      <c r="P8" s="1733"/>
      <c r="Q8" s="1721"/>
      <c r="R8" s="1721" t="s">
        <v>1287</v>
      </c>
      <c r="S8" s="1722"/>
      <c r="X8" s="543"/>
      <c r="Y8" s="543"/>
      <c r="Z8" s="543"/>
      <c r="AA8" s="543"/>
      <c r="AB8" s="3274"/>
      <c r="AC8" s="3275"/>
    </row>
    <row r="9" spans="2:29" ht="12" customHeight="1">
      <c r="B9" s="1128">
        <v>6</v>
      </c>
      <c r="C9" s="1725" t="s">
        <v>8300</v>
      </c>
      <c r="D9" s="1724" t="s">
        <v>8275</v>
      </c>
      <c r="E9" s="1724" t="s">
        <v>6605</v>
      </c>
      <c r="F9" s="1724" t="s">
        <v>8270</v>
      </c>
      <c r="G9" s="909" t="s">
        <v>1999</v>
      </c>
      <c r="H9" s="1723" t="s">
        <v>8291</v>
      </c>
      <c r="I9" s="1716" t="str">
        <f t="shared" si="0"/>
        <v xml:space="preserve">Lt Hammer | 1d4 | Light, Thrown (range 20/60) </v>
      </c>
      <c r="K9" s="1128">
        <v>1</v>
      </c>
      <c r="L9" s="1725" t="s">
        <v>7800</v>
      </c>
      <c r="M9" s="1724" t="s">
        <v>8289</v>
      </c>
      <c r="N9" s="1724" t="s">
        <v>8301</v>
      </c>
      <c r="O9" s="1664" t="s">
        <v>1287</v>
      </c>
      <c r="P9" s="1723"/>
      <c r="Q9" s="1724" t="s">
        <v>8302</v>
      </c>
      <c r="R9" s="901">
        <f>IF([1]GEAR!C22="hide",12,0)</f>
        <v>0</v>
      </c>
      <c r="S9" s="904">
        <f>IF([1]GEAR!C22="hide",2,0)</f>
        <v>0</v>
      </c>
      <c r="X9" s="543"/>
      <c r="Y9" s="543"/>
      <c r="Z9" s="543"/>
      <c r="AA9" s="543"/>
      <c r="AB9" s="3274"/>
      <c r="AC9" s="3275"/>
    </row>
    <row r="10" spans="2:29" ht="12" customHeight="1">
      <c r="B10" s="1128">
        <v>7</v>
      </c>
      <c r="C10" s="1723" t="s">
        <v>8303</v>
      </c>
      <c r="D10" s="1724" t="s">
        <v>8280</v>
      </c>
      <c r="E10" s="1724" t="s">
        <v>6612</v>
      </c>
      <c r="F10" s="1724" t="s">
        <v>8304</v>
      </c>
      <c r="G10" s="909" t="s">
        <v>1999</v>
      </c>
      <c r="H10" s="1723" t="s">
        <v>8305</v>
      </c>
      <c r="I10" s="1716" t="str">
        <f t="shared" si="0"/>
        <v xml:space="preserve">Mace  | 1d6 |  — </v>
      </c>
      <c r="K10" s="1128">
        <v>3</v>
      </c>
      <c r="L10" s="1725" t="s">
        <v>8306</v>
      </c>
      <c r="M10" s="1724" t="s">
        <v>8307</v>
      </c>
      <c r="N10" s="1724" t="s">
        <v>8308</v>
      </c>
      <c r="O10" s="1664" t="s">
        <v>1287</v>
      </c>
      <c r="P10" s="1723"/>
      <c r="Q10" s="1724" t="s">
        <v>8309</v>
      </c>
      <c r="R10" s="901">
        <f>IF([1]GEAR!C22="chain shirt",13,0)</f>
        <v>0</v>
      </c>
      <c r="S10" s="904">
        <f>IF([1]GEAR!C22="chain shirt",2,0)</f>
        <v>0</v>
      </c>
      <c r="X10" s="543"/>
      <c r="Y10" s="543"/>
      <c r="Z10" s="543"/>
      <c r="AA10" s="543"/>
      <c r="AB10" s="3274"/>
      <c r="AC10" s="3275"/>
    </row>
    <row r="11" spans="2:29" ht="12" customHeight="1">
      <c r="B11" s="1128">
        <v>8</v>
      </c>
      <c r="C11" s="1723" t="s">
        <v>8310</v>
      </c>
      <c r="D11" s="1724" t="s">
        <v>8285</v>
      </c>
      <c r="E11" s="1724" t="s">
        <v>6612</v>
      </c>
      <c r="F11" s="1724" t="s">
        <v>8304</v>
      </c>
      <c r="G11" s="909" t="s">
        <v>1999</v>
      </c>
      <c r="H11" s="1723" t="s">
        <v>8311</v>
      </c>
      <c r="I11" s="1716" t="str">
        <f t="shared" si="0"/>
        <v xml:space="preserve">Quarterstaff  | 1d6 | Versatile (1d8) </v>
      </c>
      <c r="K11" s="1128">
        <v>7</v>
      </c>
      <c r="L11" s="1723" t="s">
        <v>8312</v>
      </c>
      <c r="M11" s="1724" t="s">
        <v>8307</v>
      </c>
      <c r="N11" s="1724" t="s">
        <v>8313</v>
      </c>
      <c r="O11" s="1664" t="s">
        <v>1287</v>
      </c>
      <c r="P11" s="1723" t="s">
        <v>8282</v>
      </c>
      <c r="Q11" s="1724" t="s">
        <v>8314</v>
      </c>
      <c r="R11" s="901">
        <f>IF([1]GEAR!C22="scale mail",14,0)</f>
        <v>0</v>
      </c>
      <c r="S11" s="904">
        <f>IF([1]GEAR!C22="scale mail",2,0)</f>
        <v>0</v>
      </c>
      <c r="X11" s="543"/>
      <c r="Y11" s="543"/>
      <c r="Z11" s="543"/>
      <c r="AA11" s="543"/>
      <c r="AB11" s="3274"/>
      <c r="AC11" s="3275"/>
    </row>
    <row r="12" spans="2:29" ht="12" customHeight="1">
      <c r="B12" s="1128">
        <v>9</v>
      </c>
      <c r="C12" s="1723" t="s">
        <v>8315</v>
      </c>
      <c r="D12" s="1724" t="s">
        <v>8316</v>
      </c>
      <c r="E12" s="1724" t="s">
        <v>6605</v>
      </c>
      <c r="F12" s="1724" t="s">
        <v>8270</v>
      </c>
      <c r="G12" s="909" t="s">
        <v>2018</v>
      </c>
      <c r="H12" s="1723" t="s">
        <v>8271</v>
      </c>
      <c r="I12" s="1716" t="str">
        <f t="shared" si="0"/>
        <v xml:space="preserve">Sickle  | 1d4 | Light </v>
      </c>
      <c r="K12" s="1128">
        <v>9</v>
      </c>
      <c r="L12" s="1725" t="s">
        <v>8317</v>
      </c>
      <c r="M12" s="1724" t="s">
        <v>8318</v>
      </c>
      <c r="N12" s="1724" t="s">
        <v>8313</v>
      </c>
      <c r="O12" s="1664" t="s">
        <v>1287</v>
      </c>
      <c r="P12" s="1723"/>
      <c r="Q12" s="1724" t="s">
        <v>8309</v>
      </c>
      <c r="R12" s="901">
        <f>IF([1]GEAR!C22="breastplate",14,0)</f>
        <v>0</v>
      </c>
      <c r="S12" s="904">
        <f>IF([1]GEAR!C22="breastplate",2,0)</f>
        <v>0</v>
      </c>
      <c r="X12" s="543"/>
      <c r="Y12" s="543"/>
      <c r="Z12" s="543"/>
      <c r="AA12" s="543"/>
      <c r="AB12" s="3274"/>
      <c r="AC12" s="3275"/>
    </row>
    <row r="13" spans="2:29" ht="12" customHeight="1" thickBot="1">
      <c r="B13" s="1128">
        <v>10</v>
      </c>
      <c r="C13" s="1723" t="s">
        <v>8319</v>
      </c>
      <c r="D13" s="1724" t="s">
        <v>8316</v>
      </c>
      <c r="E13" s="1724" t="s">
        <v>6612</v>
      </c>
      <c r="F13" s="1724" t="s">
        <v>8320</v>
      </c>
      <c r="G13" s="909" t="s">
        <v>8277</v>
      </c>
      <c r="H13" s="1723" t="s">
        <v>8321</v>
      </c>
      <c r="I13" s="1716" t="str">
        <f t="shared" si="0"/>
        <v xml:space="preserve">Spear  | 1d6 | Thrown (range 20/60), Versatile (1d8) </v>
      </c>
      <c r="K13" s="1726">
        <v>10</v>
      </c>
      <c r="L13" s="1727" t="s">
        <v>8322</v>
      </c>
      <c r="M13" s="1728" t="s">
        <v>8323</v>
      </c>
      <c r="N13" s="1728" t="s">
        <v>8324</v>
      </c>
      <c r="O13" s="1669" t="s">
        <v>1287</v>
      </c>
      <c r="P13" s="1723" t="s">
        <v>8282</v>
      </c>
      <c r="Q13" s="1728" t="s">
        <v>8325</v>
      </c>
      <c r="R13" s="1421">
        <f>IF([1]GEAR!C22="half plate",14,0)</f>
        <v>0</v>
      </c>
      <c r="S13" s="1730">
        <f>IF([1]GEAR!C22="half plate",2,0)</f>
        <v>0</v>
      </c>
      <c r="X13" s="543"/>
      <c r="Y13" s="543"/>
      <c r="Z13" s="543"/>
      <c r="AA13" s="543"/>
      <c r="AB13" s="3274"/>
      <c r="AC13" s="3275"/>
    </row>
    <row r="14" spans="2:29" ht="12" customHeight="1" thickTop="1">
      <c r="B14" s="1128">
        <v>11</v>
      </c>
      <c r="C14" s="1725" t="s">
        <v>7039</v>
      </c>
      <c r="D14" s="1724"/>
      <c r="E14" s="1724" t="str">
        <f>IF([1]MATH!C8=8,[1]CLASS!M262,"1 point")</f>
        <v>1 point</v>
      </c>
      <c r="F14" s="1724"/>
      <c r="G14" s="909" t="s">
        <v>1999</v>
      </c>
      <c r="H14" s="1723"/>
      <c r="I14" s="1716" t="str">
        <f t="shared" si="0"/>
        <v xml:space="preserve">Unarmed | 1 point | </v>
      </c>
      <c r="K14" s="1731"/>
      <c r="L14" s="1732" t="s">
        <v>8326</v>
      </c>
      <c r="M14" s="1721"/>
      <c r="N14" s="1721"/>
      <c r="O14" s="1733"/>
      <c r="P14" s="1733"/>
      <c r="Q14" s="1721"/>
      <c r="R14" s="1721" t="s">
        <v>1287</v>
      </c>
      <c r="S14" s="1722"/>
      <c r="X14" s="543"/>
      <c r="Y14" s="543"/>
      <c r="Z14" s="543"/>
      <c r="AA14" s="543"/>
      <c r="AB14" s="3274"/>
      <c r="AC14" s="3275"/>
    </row>
    <row r="15" spans="2:29" ht="12" customHeight="1" thickBot="1">
      <c r="B15" s="1734"/>
      <c r="C15" s="1735"/>
      <c r="D15" s="1736"/>
      <c r="E15" s="1736"/>
      <c r="F15" s="1736"/>
      <c r="G15" s="1737"/>
      <c r="H15" s="1735"/>
      <c r="I15" s="1716"/>
      <c r="K15" s="1128">
        <v>1</v>
      </c>
      <c r="L15" s="1725" t="s">
        <v>8327</v>
      </c>
      <c r="M15" s="1724" t="s">
        <v>8328</v>
      </c>
      <c r="N15" s="1738">
        <v>14</v>
      </c>
      <c r="O15" s="1664"/>
      <c r="P15" s="1723" t="s">
        <v>8282</v>
      </c>
      <c r="Q15" s="1724" t="s">
        <v>8325</v>
      </c>
      <c r="R15" s="901">
        <f>IF([1]GEAR!C22="ring mail",14,0)</f>
        <v>0</v>
      </c>
      <c r="S15" s="904">
        <v>0</v>
      </c>
      <c r="W15" s="3276"/>
      <c r="X15" s="3277"/>
      <c r="Y15" s="3277"/>
      <c r="Z15" s="3277"/>
      <c r="AA15" s="3277"/>
      <c r="AB15" s="3277"/>
      <c r="AC15" s="3277"/>
    </row>
    <row r="16" spans="2:29" ht="12" customHeight="1" thickTop="1">
      <c r="B16" s="1700"/>
      <c r="C16" s="1701" t="s">
        <v>7019</v>
      </c>
      <c r="D16" s="1702" t="s">
        <v>7806</v>
      </c>
      <c r="E16" s="1702" t="s">
        <v>5769</v>
      </c>
      <c r="F16" s="1702" t="s">
        <v>7807</v>
      </c>
      <c r="G16" s="1702" t="s">
        <v>1406</v>
      </c>
      <c r="H16" s="1703" t="s">
        <v>8260</v>
      </c>
      <c r="I16" s="1703" t="s">
        <v>8260</v>
      </c>
      <c r="K16" s="1128">
        <v>5</v>
      </c>
      <c r="L16" s="1725" t="s">
        <v>8329</v>
      </c>
      <c r="M16" s="1724" t="s">
        <v>8330</v>
      </c>
      <c r="N16" s="1724">
        <v>16</v>
      </c>
      <c r="O16" s="1723" t="s">
        <v>8331</v>
      </c>
      <c r="P16" s="1723" t="s">
        <v>8282</v>
      </c>
      <c r="Q16" s="1724" t="s">
        <v>8332</v>
      </c>
      <c r="R16" s="901">
        <f>IF([1]GEAR!C22="chain mail",16,0)</f>
        <v>0</v>
      </c>
      <c r="S16" s="904">
        <v>0</v>
      </c>
      <c r="X16" s="543"/>
      <c r="Y16" s="543"/>
      <c r="Z16" s="543"/>
      <c r="AA16" s="543"/>
      <c r="AB16" s="3274"/>
      <c r="AC16" s="3275"/>
    </row>
    <row r="17" spans="2:29" ht="12" customHeight="1">
      <c r="B17" s="1711">
        <v>1</v>
      </c>
      <c r="C17" s="1715" t="s">
        <v>8296</v>
      </c>
      <c r="D17" s="1713" t="s">
        <v>8297</v>
      </c>
      <c r="E17" s="1713" t="s">
        <v>6612</v>
      </c>
      <c r="F17" s="1713" t="s">
        <v>8270</v>
      </c>
      <c r="G17" s="1714" t="s">
        <v>8277</v>
      </c>
      <c r="H17" s="1715" t="s">
        <v>8298</v>
      </c>
      <c r="I17" s="1716" t="str">
        <f t="shared" si="0"/>
        <v xml:space="preserve">Javelin  | 1d6 | Thrown (range 30/120) </v>
      </c>
      <c r="K17" s="1128">
        <v>8</v>
      </c>
      <c r="L17" s="1725" t="s">
        <v>8333</v>
      </c>
      <c r="M17" s="1724" t="s">
        <v>8334</v>
      </c>
      <c r="N17" s="1724">
        <v>17</v>
      </c>
      <c r="O17" s="1723" t="s">
        <v>8335</v>
      </c>
      <c r="P17" s="1723" t="s">
        <v>8282</v>
      </c>
      <c r="Q17" s="1724" t="s">
        <v>8336</v>
      </c>
      <c r="R17" s="901">
        <f>IF([1]GEAR!C22="splint",17,0)</f>
        <v>0</v>
      </c>
      <c r="S17" s="904">
        <v>0</v>
      </c>
      <c r="X17" s="543"/>
      <c r="Y17" s="543"/>
      <c r="Z17" s="543"/>
      <c r="AA17" s="543"/>
      <c r="AB17" s="3274"/>
      <c r="AC17" s="3275"/>
    </row>
    <row r="18" spans="2:29" ht="12" customHeight="1">
      <c r="B18" s="1128">
        <v>2</v>
      </c>
      <c r="C18" s="1723" t="s">
        <v>8337</v>
      </c>
      <c r="D18" s="1724" t="s">
        <v>8338</v>
      </c>
      <c r="E18" s="1724" t="s">
        <v>6605</v>
      </c>
      <c r="F18" s="1724" t="s">
        <v>8339</v>
      </c>
      <c r="G18" s="909" t="s">
        <v>8277</v>
      </c>
      <c r="H18" s="1723" t="s">
        <v>8340</v>
      </c>
      <c r="I18" s="1716" t="str">
        <f t="shared" si="0"/>
        <v xml:space="preserve">Dart  | 1d4 | Finesse, Thrown (range 20/60) </v>
      </c>
      <c r="K18" s="1726">
        <v>10</v>
      </c>
      <c r="L18" s="1727" t="s">
        <v>8341</v>
      </c>
      <c r="M18" s="1728" t="s">
        <v>8342</v>
      </c>
      <c r="N18" s="1728">
        <v>18</v>
      </c>
      <c r="O18" s="1729" t="s">
        <v>8335</v>
      </c>
      <c r="P18" s="1723" t="s">
        <v>8282</v>
      </c>
      <c r="Q18" s="1728" t="s">
        <v>8343</v>
      </c>
      <c r="R18" s="1421">
        <f>IF([1]GEAR!C22="Plate",18,0)</f>
        <v>0</v>
      </c>
      <c r="S18" s="1730">
        <v>0</v>
      </c>
      <c r="X18" s="543"/>
      <c r="Y18" s="543"/>
      <c r="Z18" s="543"/>
      <c r="AA18" s="543"/>
      <c r="AB18" s="3274"/>
      <c r="AC18" s="3275"/>
    </row>
    <row r="19" spans="2:29" ht="12" customHeight="1" thickBot="1">
      <c r="B19" s="1128">
        <v>3</v>
      </c>
      <c r="C19" s="1723" t="s">
        <v>8319</v>
      </c>
      <c r="D19" s="1724" t="s">
        <v>8316</v>
      </c>
      <c r="E19" s="1724" t="s">
        <v>6612</v>
      </c>
      <c r="F19" s="1724" t="s">
        <v>8320</v>
      </c>
      <c r="G19" s="909" t="s">
        <v>8277</v>
      </c>
      <c r="H19" s="1723" t="s">
        <v>8321</v>
      </c>
      <c r="I19" s="1716" t="str">
        <f t="shared" si="0"/>
        <v xml:space="preserve">Spear  | 1d6 | Thrown (range 20/60), Versatile (1d8) </v>
      </c>
      <c r="K19" s="1739"/>
      <c r="L19" s="1740"/>
      <c r="M19" s="1741"/>
      <c r="N19" s="1741"/>
      <c r="O19" s="1742"/>
      <c r="P19" s="1742"/>
      <c r="Q19" s="1743"/>
      <c r="R19" s="1744">
        <f>IF([1]GEAR!C22=" ",10,0)</f>
        <v>0</v>
      </c>
      <c r="S19" s="1745">
        <f>IF([1]GEAR!C22=" ",10,0)</f>
        <v>0</v>
      </c>
      <c r="X19" s="543"/>
      <c r="Y19" s="543"/>
      <c r="Z19" s="543"/>
      <c r="AA19" s="543"/>
      <c r="AB19" s="3274"/>
      <c r="AC19" s="3275"/>
    </row>
    <row r="20" spans="2:29" ht="12" customHeight="1" thickTop="1">
      <c r="B20" s="1128">
        <v>4</v>
      </c>
      <c r="C20" s="1723" t="s">
        <v>8344</v>
      </c>
      <c r="D20" s="1724" t="s">
        <v>8269</v>
      </c>
      <c r="E20" s="1724" t="s">
        <v>6605</v>
      </c>
      <c r="F20" s="1724" t="s">
        <v>8345</v>
      </c>
      <c r="G20" s="909" t="s">
        <v>1999</v>
      </c>
      <c r="H20" s="1723" t="s">
        <v>8346</v>
      </c>
      <c r="I20" s="1716" t="str">
        <f t="shared" si="0"/>
        <v xml:space="preserve">Sling  | 1d4 | Ammo (range 30/120) </v>
      </c>
      <c r="K20" s="1731"/>
      <c r="L20" s="1732" t="s">
        <v>8347</v>
      </c>
      <c r="M20" s="1721"/>
      <c r="N20" s="1721"/>
      <c r="O20" s="1746"/>
      <c r="P20" s="1746"/>
      <c r="Q20" s="1747"/>
      <c r="R20" s="1747"/>
      <c r="S20" s="1748"/>
      <c r="W20" s="3276"/>
      <c r="X20" s="3277"/>
      <c r="Y20" s="3277"/>
      <c r="Z20" s="3277"/>
      <c r="AA20" s="3277"/>
      <c r="AB20" s="3277"/>
      <c r="AC20" s="3277"/>
    </row>
    <row r="21" spans="2:29" ht="12" customHeight="1" thickBot="1">
      <c r="B21" s="1128">
        <v>5</v>
      </c>
      <c r="C21" s="1723" t="s">
        <v>8274</v>
      </c>
      <c r="D21" s="1724" t="s">
        <v>8275</v>
      </c>
      <c r="E21" s="1724" t="s">
        <v>6605</v>
      </c>
      <c r="F21" s="1724" t="s">
        <v>8276</v>
      </c>
      <c r="G21" s="909" t="s">
        <v>8277</v>
      </c>
      <c r="H21" s="1723" t="s">
        <v>8348</v>
      </c>
      <c r="I21" s="1716" t="str">
        <f t="shared" si="0"/>
        <v xml:space="preserve">Dagger  | 1d4 | Finesse, Light, Thrown (range 20/60) </v>
      </c>
      <c r="K21" s="1204">
        <v>1</v>
      </c>
      <c r="L21" s="1749" t="s">
        <v>3318</v>
      </c>
      <c r="M21" s="1750" t="s">
        <v>8289</v>
      </c>
      <c r="N21" s="1750">
        <v>2</v>
      </c>
      <c r="O21" s="1678"/>
      <c r="P21" s="1751"/>
      <c r="Q21" s="1750" t="s">
        <v>8349</v>
      </c>
      <c r="R21" s="908">
        <v>2</v>
      </c>
      <c r="S21" s="1206"/>
      <c r="X21" s="543"/>
      <c r="Y21" s="543"/>
      <c r="Z21" s="543"/>
      <c r="AA21" s="543"/>
      <c r="AB21" s="3274"/>
      <c r="AC21" s="3275"/>
    </row>
    <row r="22" spans="2:29" ht="12" customHeight="1" thickBot="1">
      <c r="B22" s="1128">
        <v>6</v>
      </c>
      <c r="C22" s="1723" t="s">
        <v>8290</v>
      </c>
      <c r="D22" s="1724" t="s">
        <v>8280</v>
      </c>
      <c r="E22" s="1724" t="s">
        <v>6612</v>
      </c>
      <c r="F22" s="1724" t="s">
        <v>8270</v>
      </c>
      <c r="G22" s="909" t="s">
        <v>2018</v>
      </c>
      <c r="H22" s="1723" t="s">
        <v>8291</v>
      </c>
      <c r="I22" s="1716" t="str">
        <f t="shared" si="0"/>
        <v xml:space="preserve">Handaxe  | 1d6 | Light, Thrown (range 20/60) </v>
      </c>
      <c r="K22" s="1752"/>
      <c r="L22" s="1753"/>
      <c r="M22" s="1754"/>
      <c r="N22" s="1753"/>
      <c r="O22" s="1753"/>
      <c r="P22" s="1753"/>
      <c r="Q22" s="1754"/>
      <c r="R22" s="1754"/>
      <c r="S22" s="1755"/>
      <c r="X22" s="543"/>
      <c r="Y22" s="543"/>
      <c r="Z22" s="543"/>
      <c r="AA22" s="543"/>
      <c r="AB22" s="3274"/>
      <c r="AC22" s="3275"/>
    </row>
    <row r="23" spans="2:29" ht="12" customHeight="1" thickBot="1">
      <c r="B23" s="1128">
        <v>7</v>
      </c>
      <c r="C23" s="1723" t="s">
        <v>8350</v>
      </c>
      <c r="D23" s="1724" t="s">
        <v>8275</v>
      </c>
      <c r="E23" s="1724" t="s">
        <v>6605</v>
      </c>
      <c r="F23" s="1724" t="s">
        <v>8270</v>
      </c>
      <c r="G23" s="909" t="s">
        <v>1999</v>
      </c>
      <c r="H23" s="1723" t="s">
        <v>8291</v>
      </c>
      <c r="I23" s="1716" t="str">
        <f t="shared" si="0"/>
        <v xml:space="preserve">Lt Hammer  | 1d4 | Light, Thrown (range 20/60) </v>
      </c>
      <c r="K23" s="1756"/>
      <c r="L23" s="1757" t="s">
        <v>8351</v>
      </c>
      <c r="M23" s="1758" t="str">
        <f>IF(OR(P23="Padded",P23="Scale mail",P23="Half plate",P23="Ring mail",P23="Chain mail",P23="Splint",P23="Plate"),"Stealth Disadvantage","Normal stealth")</f>
        <v>Normal stealth</v>
      </c>
      <c r="N23" s="1759"/>
      <c r="O23" s="1760" t="s">
        <v>8352</v>
      </c>
      <c r="P23" s="1761" t="str">
        <f>[1]GEAR!C22</f>
        <v>None</v>
      </c>
      <c r="Q23" s="1762" t="s">
        <v>8353</v>
      </c>
      <c r="R23" s="1763">
        <f>SUM(R4:R19)</f>
        <v>10</v>
      </c>
      <c r="S23" s="1763">
        <f>SUM(S4:S19)</f>
        <v>9</v>
      </c>
      <c r="X23" s="543"/>
      <c r="Y23" s="543"/>
      <c r="Z23" s="543"/>
      <c r="AA23" s="543"/>
      <c r="AB23" s="3274"/>
      <c r="AC23" s="3275"/>
    </row>
    <row r="24" spans="2:29" ht="12" customHeight="1" thickBot="1">
      <c r="B24" s="1128">
        <v>8</v>
      </c>
      <c r="C24" s="1723" t="s">
        <v>8354</v>
      </c>
      <c r="D24" s="1724" t="s">
        <v>8355</v>
      </c>
      <c r="E24" s="1724" t="s">
        <v>6619</v>
      </c>
      <c r="F24" s="1724" t="s">
        <v>8356</v>
      </c>
      <c r="G24" s="909" t="s">
        <v>8277</v>
      </c>
      <c r="H24" s="1725" t="s">
        <v>8357</v>
      </c>
      <c r="I24" s="1716" t="str">
        <f t="shared" si="0"/>
        <v>Lt Crossbow | 1d8 | Ammo (range 80/320), Loading, 2-hand</v>
      </c>
      <c r="X24" s="543"/>
      <c r="Y24" s="543"/>
      <c r="Z24" s="543"/>
      <c r="AA24" s="543"/>
      <c r="AB24" s="3274"/>
      <c r="AC24" s="3275"/>
    </row>
    <row r="25" spans="2:29" ht="15" thickBot="1">
      <c r="B25" s="1128">
        <v>9</v>
      </c>
      <c r="C25" s="1723" t="s">
        <v>8358</v>
      </c>
      <c r="D25" s="1724" t="s">
        <v>8355</v>
      </c>
      <c r="E25" s="1724" t="s">
        <v>6612</v>
      </c>
      <c r="F25" s="1724" t="s">
        <v>8270</v>
      </c>
      <c r="G25" s="909" t="s">
        <v>8277</v>
      </c>
      <c r="H25" s="1723" t="s">
        <v>8359</v>
      </c>
      <c r="I25" s="1716" t="str">
        <f t="shared" si="0"/>
        <v xml:space="preserve">Shortbow  | 1d6 | Ammo (range 80/320), Two-handed </v>
      </c>
      <c r="K25" s="3242" t="s">
        <v>8360</v>
      </c>
      <c r="L25" s="3270"/>
      <c r="M25" s="3271"/>
      <c r="O25" s="3242" t="s">
        <v>8361</v>
      </c>
      <c r="P25" s="3270"/>
      <c r="Q25" s="3271"/>
      <c r="S25" s="1764"/>
    </row>
    <row r="26" spans="2:29" ht="11.25" thickBot="1">
      <c r="B26" s="1128">
        <v>10</v>
      </c>
      <c r="C26" s="1725" t="s">
        <v>7047</v>
      </c>
      <c r="D26" s="1724" t="s">
        <v>8330</v>
      </c>
      <c r="E26" s="1724" t="s">
        <v>6612</v>
      </c>
      <c r="F26" s="1724" t="s">
        <v>8320</v>
      </c>
      <c r="G26" s="909" t="s">
        <v>8277</v>
      </c>
      <c r="H26" s="1723" t="s">
        <v>8362</v>
      </c>
      <c r="I26" s="1716" t="str">
        <f>C26&amp;" | "&amp;E26&amp;" | "&amp;H26</f>
        <v xml:space="preserve">Hand X-bow | 1d6 | Ammo (range 30/120), Light, Loading </v>
      </c>
      <c r="K26" s="1705" t="s">
        <v>8363</v>
      </c>
      <c r="L26" s="1765" t="str">
        <f ca="1">VLOOKUP(RANDBETWEEN(1,K33),K27:L33,2)</f>
        <v>Self-sufficiency</v>
      </c>
      <c r="M26" s="1766"/>
      <c r="O26" s="1705" t="s">
        <v>8363</v>
      </c>
      <c r="P26" s="1767" t="str">
        <f ca="1">VLOOKUP(RANDBETWEEN(1,O43),O27:P43,2)</f>
        <v>Smith's tools</v>
      </c>
      <c r="Q26" s="1768"/>
      <c r="S26" s="1693"/>
    </row>
    <row r="27" spans="2:29" ht="11.25" thickTop="1">
      <c r="B27" s="1700"/>
      <c r="C27" s="1701" t="s">
        <v>8364</v>
      </c>
      <c r="D27" s="1702" t="s">
        <v>7806</v>
      </c>
      <c r="E27" s="1702" t="s">
        <v>5769</v>
      </c>
      <c r="F27" s="1702" t="s">
        <v>7807</v>
      </c>
      <c r="G27" s="1702" t="s">
        <v>1406</v>
      </c>
      <c r="H27" s="1703" t="s">
        <v>8260</v>
      </c>
      <c r="I27" s="1703" t="s">
        <v>8260</v>
      </c>
      <c r="K27" s="1143">
        <v>1</v>
      </c>
      <c r="L27" s="1769" t="s">
        <v>8365</v>
      </c>
      <c r="M27" s="1770"/>
      <c r="O27" s="1771">
        <v>1</v>
      </c>
      <c r="P27" s="1772" t="s">
        <v>8366</v>
      </c>
      <c r="Q27" s="1773"/>
      <c r="S27" s="1693"/>
    </row>
    <row r="28" spans="2:29">
      <c r="B28" s="1711">
        <v>1</v>
      </c>
      <c r="C28" s="1715" t="s">
        <v>4793</v>
      </c>
      <c r="D28" s="1713" t="s">
        <v>8289</v>
      </c>
      <c r="E28" s="1713" t="s">
        <v>6619</v>
      </c>
      <c r="F28" s="1713" t="s">
        <v>8304</v>
      </c>
      <c r="G28" s="1714" t="s">
        <v>2018</v>
      </c>
      <c r="H28" s="1715" t="s">
        <v>8367</v>
      </c>
      <c r="I28" s="1716" t="str">
        <f t="shared" ref="I28:I45" si="1">C28&amp;" | "&amp;E28&amp;" | "&amp;H28</f>
        <v xml:space="preserve">Battleaxe | 1d8 | Versatile (1d10) </v>
      </c>
      <c r="K28" s="1128">
        <v>2</v>
      </c>
      <c r="L28" s="1670" t="s">
        <v>8368</v>
      </c>
      <c r="M28" s="1774"/>
      <c r="O28" s="1128">
        <v>2</v>
      </c>
      <c r="P28" s="1670" t="s">
        <v>7797</v>
      </c>
      <c r="Q28" s="1774"/>
      <c r="S28" s="1693"/>
    </row>
    <row r="29" spans="2:29">
      <c r="B29" s="1128">
        <v>2</v>
      </c>
      <c r="C29" s="1723" t="s">
        <v>8369</v>
      </c>
      <c r="D29" s="1724" t="s">
        <v>8289</v>
      </c>
      <c r="E29" s="1724" t="s">
        <v>6619</v>
      </c>
      <c r="F29" s="1724" t="s">
        <v>8270</v>
      </c>
      <c r="G29" s="909" t="s">
        <v>1999</v>
      </c>
      <c r="H29" s="1723" t="s">
        <v>8370</v>
      </c>
      <c r="I29" s="1716" t="str">
        <f t="shared" si="1"/>
        <v xml:space="preserve">Flail  | 1d8 | — </v>
      </c>
      <c r="K29" s="1128">
        <v>3</v>
      </c>
      <c r="L29" s="1670" t="s">
        <v>8371</v>
      </c>
      <c r="M29" s="1774"/>
      <c r="O29" s="1128">
        <v>3</v>
      </c>
      <c r="P29" s="1670" t="s">
        <v>8372</v>
      </c>
      <c r="Q29" s="1774"/>
      <c r="T29" s="543"/>
      <c r="U29" s="543"/>
    </row>
    <row r="30" spans="2:29">
      <c r="B30" s="1128">
        <v>3</v>
      </c>
      <c r="C30" s="1723" t="s">
        <v>8373</v>
      </c>
      <c r="D30" s="1724" t="s">
        <v>8374</v>
      </c>
      <c r="E30" s="1724" t="s">
        <v>6626</v>
      </c>
      <c r="F30" s="1724" t="s">
        <v>8349</v>
      </c>
      <c r="G30" s="909" t="s">
        <v>2018</v>
      </c>
      <c r="H30" s="1723" t="s">
        <v>8375</v>
      </c>
      <c r="I30" s="1716" t="str">
        <f t="shared" si="1"/>
        <v xml:space="preserve">Glaive  | 1d10 | Heavy, Reach, Two-handed </v>
      </c>
      <c r="K30" s="1128">
        <v>4</v>
      </c>
      <c r="L30" s="1670" t="s">
        <v>8376</v>
      </c>
      <c r="M30" s="1774"/>
      <c r="O30" s="1128">
        <v>4</v>
      </c>
      <c r="P30" s="1670" t="s">
        <v>8377</v>
      </c>
      <c r="Q30" s="1774"/>
      <c r="R30" s="1693"/>
      <c r="T30" s="543"/>
      <c r="U30" s="543"/>
      <c r="Y30" s="543"/>
      <c r="Z30" s="543"/>
    </row>
    <row r="31" spans="2:29">
      <c r="B31" s="1128">
        <v>4</v>
      </c>
      <c r="C31" s="1723" t="s">
        <v>8378</v>
      </c>
      <c r="D31" s="1724" t="s">
        <v>8328</v>
      </c>
      <c r="E31" s="1724" t="s">
        <v>8379</v>
      </c>
      <c r="F31" s="1724" t="s">
        <v>8380</v>
      </c>
      <c r="G31" s="909" t="s">
        <v>2018</v>
      </c>
      <c r="H31" s="1723" t="s">
        <v>8381</v>
      </c>
      <c r="I31" s="1716" t="str">
        <f t="shared" si="1"/>
        <v xml:space="preserve">Greataxe  | 1d12 | Heavy, Two-handed </v>
      </c>
      <c r="K31" s="1128">
        <v>5</v>
      </c>
      <c r="L31" s="1670" t="s">
        <v>8382</v>
      </c>
      <c r="M31" s="1774"/>
      <c r="O31" s="1128">
        <v>5</v>
      </c>
      <c r="P31" s="1670" t="s">
        <v>8383</v>
      </c>
      <c r="Q31" s="1774"/>
      <c r="T31" s="543"/>
      <c r="U31" s="543"/>
    </row>
    <row r="32" spans="2:29">
      <c r="B32" s="1128">
        <v>5</v>
      </c>
      <c r="C32" s="1723" t="s">
        <v>8384</v>
      </c>
      <c r="D32" s="1724" t="s">
        <v>8307</v>
      </c>
      <c r="E32" s="1724" t="s">
        <v>8385</v>
      </c>
      <c r="F32" s="1724" t="s">
        <v>8349</v>
      </c>
      <c r="G32" s="909" t="s">
        <v>2018</v>
      </c>
      <c r="H32" s="1723" t="s">
        <v>8381</v>
      </c>
      <c r="I32" s="1716" t="str">
        <f t="shared" si="1"/>
        <v xml:space="preserve">Greatsword  | 2d6 | Heavy, Two-handed </v>
      </c>
      <c r="K32" s="1128">
        <v>6</v>
      </c>
      <c r="L32" s="1670" t="s">
        <v>8386</v>
      </c>
      <c r="M32" s="1774"/>
      <c r="O32" s="1128">
        <v>6</v>
      </c>
      <c r="P32" s="1670" t="s">
        <v>8387</v>
      </c>
      <c r="Q32" s="1774"/>
      <c r="T32" s="543"/>
      <c r="U32" s="543"/>
    </row>
    <row r="33" spans="2:26" ht="11.25" thickBot="1">
      <c r="B33" s="1128">
        <v>6</v>
      </c>
      <c r="C33" s="1723" t="s">
        <v>8388</v>
      </c>
      <c r="D33" s="1724" t="s">
        <v>8374</v>
      </c>
      <c r="E33" s="1724" t="s">
        <v>6626</v>
      </c>
      <c r="F33" s="1724" t="s">
        <v>8349</v>
      </c>
      <c r="G33" s="909" t="s">
        <v>2018</v>
      </c>
      <c r="H33" s="1723" t="s">
        <v>8375</v>
      </c>
      <c r="I33" s="1716" t="str">
        <f t="shared" si="1"/>
        <v xml:space="preserve">Halberd  | 1d10 | Heavy, Reach, Two-handed </v>
      </c>
      <c r="K33" s="1204">
        <v>7</v>
      </c>
      <c r="L33" s="1675" t="s">
        <v>8389</v>
      </c>
      <c r="M33" s="1775"/>
      <c r="O33" s="1128">
        <v>7</v>
      </c>
      <c r="P33" s="1670" t="s">
        <v>8390</v>
      </c>
      <c r="Q33" s="1774"/>
      <c r="T33" s="543"/>
      <c r="U33" s="543"/>
    </row>
    <row r="34" spans="2:26" ht="11.25" thickBot="1">
      <c r="B34" s="1128">
        <v>7</v>
      </c>
      <c r="C34" s="1723" t="s">
        <v>8391</v>
      </c>
      <c r="D34" s="1724" t="s">
        <v>8289</v>
      </c>
      <c r="E34" s="1724" t="s">
        <v>8379</v>
      </c>
      <c r="F34" s="1724" t="s">
        <v>8349</v>
      </c>
      <c r="G34" s="909" t="s">
        <v>2018</v>
      </c>
      <c r="H34" s="1723" t="s">
        <v>8392</v>
      </c>
      <c r="I34" s="1716" t="str">
        <f t="shared" si="1"/>
        <v xml:space="preserve">Lance  | 1d12 | Reach, Special </v>
      </c>
      <c r="O34" s="1128">
        <v>8</v>
      </c>
      <c r="P34" s="1670" t="s">
        <v>8393</v>
      </c>
      <c r="Q34" s="1774"/>
      <c r="T34" s="543"/>
      <c r="U34" s="543"/>
    </row>
    <row r="35" spans="2:26" ht="11.25" thickBot="1">
      <c r="B35" s="1128">
        <v>8</v>
      </c>
      <c r="C35" s="1723" t="s">
        <v>8394</v>
      </c>
      <c r="D35" s="1724" t="s">
        <v>8395</v>
      </c>
      <c r="E35" s="1724" t="s">
        <v>6619</v>
      </c>
      <c r="F35" s="1724" t="s">
        <v>8320</v>
      </c>
      <c r="G35" s="909" t="s">
        <v>2018</v>
      </c>
      <c r="H35" s="1723" t="s">
        <v>8367</v>
      </c>
      <c r="I35" s="1716" t="str">
        <f t="shared" si="1"/>
        <v xml:space="preserve">Longsword  | 1d8 | Versatile (1d10) </v>
      </c>
      <c r="K35" s="1084" t="s">
        <v>8396</v>
      </c>
      <c r="L35" s="1776"/>
      <c r="M35" s="1777"/>
      <c r="O35" s="1128">
        <v>9</v>
      </c>
      <c r="P35" s="1670" t="s">
        <v>8397</v>
      </c>
      <c r="Q35" s="1774"/>
      <c r="T35" s="543"/>
      <c r="U35" s="543"/>
    </row>
    <row r="36" spans="2:26" ht="11.25" thickBot="1">
      <c r="B36" s="1128">
        <v>9</v>
      </c>
      <c r="C36" s="1723" t="s">
        <v>8398</v>
      </c>
      <c r="D36" s="1724" t="s">
        <v>8289</v>
      </c>
      <c r="E36" s="1724" t="s">
        <v>8385</v>
      </c>
      <c r="F36" s="1724" t="s">
        <v>8286</v>
      </c>
      <c r="G36" s="909" t="s">
        <v>1999</v>
      </c>
      <c r="H36" s="1723" t="s">
        <v>8381</v>
      </c>
      <c r="I36" s="1716" t="str">
        <f t="shared" si="1"/>
        <v xml:space="preserve">Maul  | 2d6 | Heavy, Two-handed </v>
      </c>
      <c r="K36" s="1778" t="s">
        <v>8363</v>
      </c>
      <c r="L36" s="1779" t="str">
        <f ca="1">VLOOKUP(RANDBETWEEN(1,K41),K37:L41,2)</f>
        <v>Wand</v>
      </c>
      <c r="M36" s="1768"/>
      <c r="O36" s="1128">
        <v>10</v>
      </c>
      <c r="P36" s="1670" t="s">
        <v>8399</v>
      </c>
      <c r="Q36" s="1774"/>
      <c r="T36" s="543"/>
      <c r="U36" s="543"/>
    </row>
    <row r="37" spans="2:26" ht="11.25" thickTop="1">
      <c r="B37" s="1128">
        <v>10</v>
      </c>
      <c r="C37" s="1723" t="s">
        <v>8400</v>
      </c>
      <c r="D37" s="1724" t="s">
        <v>8395</v>
      </c>
      <c r="E37" s="1724" t="s">
        <v>6619</v>
      </c>
      <c r="F37" s="1724" t="s">
        <v>8304</v>
      </c>
      <c r="G37" s="909" t="s">
        <v>8277</v>
      </c>
      <c r="H37" s="1723" t="s">
        <v>8370</v>
      </c>
      <c r="I37" s="1716" t="str">
        <f t="shared" si="1"/>
        <v xml:space="preserve">Morningstar  | 1d8 | — </v>
      </c>
      <c r="K37" s="1771">
        <v>1</v>
      </c>
      <c r="L37" s="1772" t="s">
        <v>7833</v>
      </c>
      <c r="M37" s="1773"/>
      <c r="O37" s="1128">
        <v>11</v>
      </c>
      <c r="P37" s="1670" t="s">
        <v>7798</v>
      </c>
      <c r="Q37" s="1774"/>
      <c r="T37" s="543"/>
      <c r="U37" s="543"/>
    </row>
    <row r="38" spans="2:26">
      <c r="B38" s="1128">
        <v>11</v>
      </c>
      <c r="C38" s="1723" t="s">
        <v>8401</v>
      </c>
      <c r="D38" s="1724" t="s">
        <v>8280</v>
      </c>
      <c r="E38" s="1724" t="s">
        <v>6626</v>
      </c>
      <c r="F38" s="1724" t="s">
        <v>8402</v>
      </c>
      <c r="G38" s="909" t="s">
        <v>8277</v>
      </c>
      <c r="H38" s="1723" t="s">
        <v>8375</v>
      </c>
      <c r="I38" s="1716" t="str">
        <f t="shared" si="1"/>
        <v xml:space="preserve">Pike  | 1d10 | Heavy, Reach, Two-handed </v>
      </c>
      <c r="K38" s="1128">
        <v>2</v>
      </c>
      <c r="L38" s="1670" t="s">
        <v>7836</v>
      </c>
      <c r="M38" s="1774"/>
      <c r="O38" s="1128">
        <v>12</v>
      </c>
      <c r="P38" s="1670" t="s">
        <v>8403</v>
      </c>
      <c r="Q38" s="1774"/>
      <c r="T38" s="543"/>
      <c r="U38" s="543"/>
    </row>
    <row r="39" spans="2:26">
      <c r="B39" s="1128">
        <v>12</v>
      </c>
      <c r="C39" s="1723" t="s">
        <v>8404</v>
      </c>
      <c r="D39" s="1724" t="s">
        <v>8355</v>
      </c>
      <c r="E39" s="1724" t="s">
        <v>6619</v>
      </c>
      <c r="F39" s="1724" t="s">
        <v>8270</v>
      </c>
      <c r="G39" s="909" t="s">
        <v>8277</v>
      </c>
      <c r="H39" s="1723" t="s">
        <v>8405</v>
      </c>
      <c r="I39" s="1716" t="str">
        <f t="shared" si="1"/>
        <v xml:space="preserve">Rapier  | 1d8 | Finesse </v>
      </c>
      <c r="K39" s="1128">
        <v>3</v>
      </c>
      <c r="L39" s="1670" t="s">
        <v>7838</v>
      </c>
      <c r="M39" s="1774"/>
      <c r="O39" s="1128">
        <v>13</v>
      </c>
      <c r="P39" s="1670" t="s">
        <v>8406</v>
      </c>
      <c r="Q39" s="1774"/>
      <c r="T39" s="543"/>
      <c r="U39" s="543"/>
    </row>
    <row r="40" spans="2:26">
      <c r="B40" s="1128">
        <v>13</v>
      </c>
      <c r="C40" s="1723" t="s">
        <v>8407</v>
      </c>
      <c r="D40" s="1724" t="s">
        <v>8355</v>
      </c>
      <c r="E40" s="1724" t="s">
        <v>6612</v>
      </c>
      <c r="F40" s="1724" t="s">
        <v>8320</v>
      </c>
      <c r="G40" s="909" t="s">
        <v>2018</v>
      </c>
      <c r="H40" s="1723" t="s">
        <v>8408</v>
      </c>
      <c r="I40" s="1716" t="str">
        <f t="shared" si="1"/>
        <v xml:space="preserve">Scimitar  | 1d6 | Finesse, Light </v>
      </c>
      <c r="K40" s="1128">
        <v>4</v>
      </c>
      <c r="L40" s="1670" t="s">
        <v>7840</v>
      </c>
      <c r="M40" s="1268"/>
      <c r="O40" s="1128">
        <v>14</v>
      </c>
      <c r="P40" s="1670" t="s">
        <v>7796</v>
      </c>
      <c r="Q40" s="1774"/>
      <c r="Y40" s="543"/>
      <c r="Z40" s="543"/>
    </row>
    <row r="41" spans="2:26" ht="11.25" thickBot="1">
      <c r="B41" s="1128">
        <v>14</v>
      </c>
      <c r="C41" s="1723" t="s">
        <v>8409</v>
      </c>
      <c r="D41" s="1724" t="s">
        <v>8289</v>
      </c>
      <c r="E41" s="1724" t="s">
        <v>6612</v>
      </c>
      <c r="F41" s="1724" t="s">
        <v>8410</v>
      </c>
      <c r="G41" s="909" t="s">
        <v>8277</v>
      </c>
      <c r="H41" s="1723" t="s">
        <v>8408</v>
      </c>
      <c r="I41" s="1716" t="str">
        <f t="shared" si="1"/>
        <v xml:space="preserve">Shortsword  | 1d6 | Finesse, Light </v>
      </c>
      <c r="K41" s="1204">
        <v>5</v>
      </c>
      <c r="L41" s="1675" t="s">
        <v>7842</v>
      </c>
      <c r="M41" s="1780"/>
      <c r="O41" s="1128">
        <v>15</v>
      </c>
      <c r="P41" s="1670" t="s">
        <v>8411</v>
      </c>
      <c r="Q41" s="1774"/>
      <c r="Y41" s="543"/>
      <c r="Z41" s="543"/>
    </row>
    <row r="42" spans="2:26">
      <c r="B42" s="1128">
        <v>15</v>
      </c>
      <c r="C42" s="1723" t="s">
        <v>8412</v>
      </c>
      <c r="D42" s="1724" t="s">
        <v>8280</v>
      </c>
      <c r="E42" s="1724" t="s">
        <v>6612</v>
      </c>
      <c r="F42" s="1724" t="s">
        <v>8304</v>
      </c>
      <c r="G42" s="909" t="s">
        <v>8277</v>
      </c>
      <c r="H42" s="1723" t="s">
        <v>8413</v>
      </c>
      <c r="I42" s="1716" t="str">
        <f t="shared" si="1"/>
        <v xml:space="preserve">Trident  | 1d6 | Thrown (Range 20/60), Versatile (1d8) </v>
      </c>
      <c r="O42" s="1128">
        <v>16</v>
      </c>
      <c r="P42" s="1670" t="s">
        <v>8414</v>
      </c>
      <c r="Q42" s="1774"/>
      <c r="Y42" s="543"/>
      <c r="Z42" s="543"/>
    </row>
    <row r="43" spans="2:26" ht="11.25" thickBot="1">
      <c r="B43" s="1128">
        <v>16</v>
      </c>
      <c r="C43" s="1723" t="s">
        <v>8415</v>
      </c>
      <c r="D43" s="1724" t="s">
        <v>8280</v>
      </c>
      <c r="E43" s="1724" t="s">
        <v>6619</v>
      </c>
      <c r="F43" s="1724" t="s">
        <v>8270</v>
      </c>
      <c r="G43" s="909" t="s">
        <v>8277</v>
      </c>
      <c r="H43" s="1723" t="s">
        <v>8345</v>
      </c>
      <c r="I43" s="1716" t="str">
        <f t="shared" si="1"/>
        <v xml:space="preserve">War pick  | 1d8 |  — </v>
      </c>
      <c r="O43" s="1204">
        <v>17</v>
      </c>
      <c r="P43" s="1675" t="s">
        <v>8416</v>
      </c>
      <c r="Q43" s="1775"/>
      <c r="Y43" s="543"/>
      <c r="Z43" s="543"/>
    </row>
    <row r="44" spans="2:26">
      <c r="B44" s="1128">
        <v>17</v>
      </c>
      <c r="C44" s="1723" t="s">
        <v>8417</v>
      </c>
      <c r="D44" s="1724" t="s">
        <v>8395</v>
      </c>
      <c r="E44" s="1724" t="s">
        <v>6619</v>
      </c>
      <c r="F44" s="1724" t="s">
        <v>8270</v>
      </c>
      <c r="G44" s="909" t="s">
        <v>1999</v>
      </c>
      <c r="H44" s="1723" t="s">
        <v>8367</v>
      </c>
      <c r="I44" s="1716" t="str">
        <f t="shared" si="1"/>
        <v xml:space="preserve">Warhammer  | 1d8 | Versatile (1d10) </v>
      </c>
      <c r="O44" s="543"/>
      <c r="Q44" s="1693"/>
      <c r="Y44" s="543"/>
      <c r="Z44" s="543"/>
    </row>
    <row r="45" spans="2:26">
      <c r="B45" s="1128">
        <v>18</v>
      </c>
      <c r="C45" s="1723" t="s">
        <v>8418</v>
      </c>
      <c r="D45" s="1724" t="s">
        <v>8275</v>
      </c>
      <c r="E45" s="1724" t="s">
        <v>6605</v>
      </c>
      <c r="F45" s="1724" t="s">
        <v>8320</v>
      </c>
      <c r="G45" s="909" t="s">
        <v>2018</v>
      </c>
      <c r="H45" s="1723" t="s">
        <v>8419</v>
      </c>
      <c r="I45" s="1716" t="str">
        <f t="shared" si="1"/>
        <v xml:space="preserve">Whip  | 1d4 | Finesse, Reach </v>
      </c>
      <c r="Y45" s="543"/>
      <c r="Z45" s="543"/>
    </row>
    <row r="46" spans="2:26" ht="11.25" thickBot="1">
      <c r="B46" s="1734"/>
      <c r="C46" s="1735"/>
      <c r="D46" s="1736"/>
      <c r="E46" s="1736"/>
      <c r="F46" s="1736"/>
      <c r="G46" s="1737"/>
      <c r="H46" s="1735"/>
      <c r="I46" s="1716"/>
      <c r="Y46" s="543"/>
      <c r="Z46" s="543"/>
    </row>
    <row r="47" spans="2:26" ht="11.25" thickTop="1">
      <c r="B47" s="1700"/>
      <c r="C47" s="1701" t="s">
        <v>8420</v>
      </c>
      <c r="D47" s="1702" t="s">
        <v>7806</v>
      </c>
      <c r="E47" s="1702" t="s">
        <v>5769</v>
      </c>
      <c r="F47" s="1702" t="s">
        <v>7807</v>
      </c>
      <c r="G47" s="1702" t="s">
        <v>1406</v>
      </c>
      <c r="H47" s="1703" t="s">
        <v>8260</v>
      </c>
      <c r="I47" s="1703" t="s">
        <v>8260</v>
      </c>
      <c r="Y47" s="543"/>
      <c r="Z47" s="543"/>
    </row>
    <row r="48" spans="2:26">
      <c r="B48" s="1711">
        <v>1</v>
      </c>
      <c r="C48" s="1715" t="s">
        <v>8421</v>
      </c>
      <c r="D48" s="1713" t="s">
        <v>8289</v>
      </c>
      <c r="E48" s="1713">
        <v>1</v>
      </c>
      <c r="F48" s="1713" t="s">
        <v>8276</v>
      </c>
      <c r="G48" s="1714" t="s">
        <v>8277</v>
      </c>
      <c r="H48" s="1715" t="s">
        <v>8422</v>
      </c>
      <c r="I48" s="1716" t="str">
        <f t="shared" ref="I48:I53" si="2">C48&amp;" | "&amp;E48&amp;" | "&amp;H48</f>
        <v xml:space="preserve">Blowgun  | 1 | Ammo (range 25/100), Loading </v>
      </c>
      <c r="S48" s="1693"/>
      <c r="Y48" s="543"/>
      <c r="Z48" s="543"/>
    </row>
    <row r="49" spans="1:26">
      <c r="B49" s="1128">
        <v>2</v>
      </c>
      <c r="C49" s="1723" t="s">
        <v>7047</v>
      </c>
      <c r="D49" s="1724" t="s">
        <v>8330</v>
      </c>
      <c r="E49" s="1724" t="s">
        <v>6612</v>
      </c>
      <c r="F49" s="1724" t="s">
        <v>8320</v>
      </c>
      <c r="G49" s="909" t="s">
        <v>8277</v>
      </c>
      <c r="H49" s="1723" t="s">
        <v>8362</v>
      </c>
      <c r="I49" s="1716" t="str">
        <f t="shared" si="2"/>
        <v xml:space="preserve">Hand X-bow | 1d6 | Ammo (range 30/120), Light, Loading </v>
      </c>
      <c r="S49" s="1693"/>
      <c r="Y49" s="543"/>
      <c r="Z49" s="543"/>
    </row>
    <row r="50" spans="1:26">
      <c r="B50" s="1128">
        <v>3</v>
      </c>
      <c r="C50" s="1723" t="s">
        <v>7048</v>
      </c>
      <c r="D50" s="1724" t="s">
        <v>8307</v>
      </c>
      <c r="E50" s="1724" t="s">
        <v>6626</v>
      </c>
      <c r="F50" s="1724" t="s">
        <v>8402</v>
      </c>
      <c r="G50" s="909" t="s">
        <v>8277</v>
      </c>
      <c r="H50" s="1723" t="s">
        <v>8423</v>
      </c>
      <c r="I50" s="1716" t="str">
        <f t="shared" si="2"/>
        <v xml:space="preserve">Heavy X-bow | 1d10 | Ammo (range 100/400), Heavy, Load, 2-hand </v>
      </c>
      <c r="O50" s="543"/>
      <c r="Q50" s="1693"/>
      <c r="S50" s="1693"/>
      <c r="T50" s="543"/>
      <c r="U50" s="543"/>
    </row>
    <row r="51" spans="1:26">
      <c r="B51" s="1128">
        <v>4</v>
      </c>
      <c r="C51" s="1723" t="s">
        <v>8424</v>
      </c>
      <c r="D51" s="1724" t="s">
        <v>8307</v>
      </c>
      <c r="E51" s="1724" t="s">
        <v>6619</v>
      </c>
      <c r="F51" s="1724" t="s">
        <v>8270</v>
      </c>
      <c r="G51" s="909" t="s">
        <v>8277</v>
      </c>
      <c r="H51" s="1723" t="s">
        <v>8425</v>
      </c>
      <c r="I51" s="1716" t="str">
        <f t="shared" si="2"/>
        <v xml:space="preserve">Longbow  | 1d8 | Ammo (range 150/600), Heavy, 2-hand </v>
      </c>
      <c r="O51" s="543"/>
      <c r="Q51" s="1693"/>
      <c r="S51" s="1693"/>
      <c r="T51" s="543"/>
      <c r="U51" s="543"/>
    </row>
    <row r="52" spans="1:26">
      <c r="B52" s="1128">
        <v>5</v>
      </c>
      <c r="C52" s="1723" t="s">
        <v>8426</v>
      </c>
      <c r="D52" s="1724" t="s">
        <v>8316</v>
      </c>
      <c r="E52" s="1724" t="s">
        <v>8427</v>
      </c>
      <c r="F52" s="1724" t="s">
        <v>8320</v>
      </c>
      <c r="G52" s="909" t="s">
        <v>8428</v>
      </c>
      <c r="H52" s="1723" t="s">
        <v>8429</v>
      </c>
      <c r="I52" s="1716" t="str">
        <f t="shared" si="2"/>
        <v xml:space="preserve">Net  | 0d | Special, Thrown (Range 5/15) </v>
      </c>
      <c r="O52" s="543"/>
      <c r="Q52" s="1693"/>
      <c r="S52" s="1693"/>
      <c r="T52" s="543"/>
      <c r="U52" s="543"/>
    </row>
    <row r="53" spans="1:26">
      <c r="B53" s="1128">
        <v>6</v>
      </c>
      <c r="C53" s="1723" t="s">
        <v>8412</v>
      </c>
      <c r="D53" s="1724" t="s">
        <v>8280</v>
      </c>
      <c r="E53" s="1724" t="s">
        <v>6612</v>
      </c>
      <c r="F53" s="1724" t="s">
        <v>8304</v>
      </c>
      <c r="G53" s="909" t="s">
        <v>8277</v>
      </c>
      <c r="H53" s="1723" t="s">
        <v>8321</v>
      </c>
      <c r="I53" s="1716" t="str">
        <f t="shared" si="2"/>
        <v xml:space="preserve">Trident  | 1d6 | Thrown (range 20/60), Versatile (1d8) </v>
      </c>
      <c r="O53" s="543"/>
      <c r="Q53" s="1693"/>
      <c r="S53" s="1693"/>
    </row>
    <row r="54" spans="1:26" ht="11.25" thickBot="1">
      <c r="B54" s="1204"/>
      <c r="C54" s="1678"/>
      <c r="D54" s="908"/>
      <c r="E54" s="908"/>
      <c r="F54" s="908"/>
      <c r="G54" s="908"/>
      <c r="H54" s="1678"/>
      <c r="I54" s="1657"/>
      <c r="O54" s="543"/>
      <c r="Q54" s="1693"/>
      <c r="S54" s="1693"/>
    </row>
    <row r="55" spans="1:26">
      <c r="O55" s="543"/>
      <c r="Q55" s="1693"/>
    </row>
    <row r="56" spans="1:26">
      <c r="O56" s="543"/>
      <c r="Q56" s="1693"/>
    </row>
    <row r="57" spans="1:26">
      <c r="O57" s="543"/>
      <c r="Q57" s="1693"/>
    </row>
    <row r="58" spans="1:26">
      <c r="O58" s="543"/>
      <c r="Q58" s="1693"/>
      <c r="R58" s="1693"/>
    </row>
    <row r="59" spans="1:26">
      <c r="O59" s="543"/>
      <c r="Q59" s="1693"/>
      <c r="R59" s="1693"/>
    </row>
    <row r="60" spans="1:26">
      <c r="A60" s="543"/>
      <c r="C60" s="543"/>
      <c r="H60" s="1693"/>
      <c r="O60" s="543"/>
      <c r="Q60" s="1693"/>
      <c r="R60" s="1693"/>
    </row>
    <row r="61" spans="1:26">
      <c r="A61" s="543"/>
      <c r="C61" s="543"/>
      <c r="H61" s="1693"/>
    </row>
    <row r="62" spans="1:26">
      <c r="A62" s="543"/>
      <c r="C62" s="543"/>
      <c r="H62" s="1693"/>
    </row>
    <row r="63" spans="1:26">
      <c r="A63" s="543"/>
      <c r="C63" s="543"/>
      <c r="H63" s="1693"/>
    </row>
    <row r="64" spans="1:26">
      <c r="A64" s="543"/>
      <c r="C64" s="543"/>
      <c r="H64" s="1693"/>
    </row>
    <row r="65" spans="1:11">
      <c r="A65" s="543"/>
      <c r="C65" s="543"/>
      <c r="H65" s="1693"/>
      <c r="K65" s="1693"/>
    </row>
    <row r="66" spans="1:11">
      <c r="A66" s="543"/>
      <c r="C66" s="543"/>
      <c r="H66" s="1693"/>
    </row>
    <row r="67" spans="1:11">
      <c r="A67" s="543"/>
      <c r="C67" s="543"/>
      <c r="H67" s="1693"/>
    </row>
    <row r="68" spans="1:11">
      <c r="A68" s="543"/>
      <c r="C68" s="543"/>
      <c r="H68" s="1693"/>
    </row>
    <row r="69" spans="1:11">
      <c r="A69" s="543"/>
      <c r="C69" s="543"/>
      <c r="H69" s="1693"/>
    </row>
    <row r="70" spans="1:11">
      <c r="A70" s="543"/>
      <c r="C70" s="543"/>
      <c r="H70" s="1693"/>
    </row>
    <row r="71" spans="1:11">
      <c r="A71" s="543"/>
      <c r="C71" s="543"/>
      <c r="H71" s="1693"/>
    </row>
    <row r="72" spans="1:11">
      <c r="A72" s="543"/>
      <c r="C72" s="543"/>
      <c r="H72" s="1693"/>
    </row>
    <row r="73" spans="1:11">
      <c r="A73" s="543"/>
      <c r="C73" s="543"/>
      <c r="H73" s="1693"/>
    </row>
    <row r="74" spans="1:11">
      <c r="A74" s="543"/>
      <c r="C74" s="543"/>
      <c r="H74" s="1693"/>
    </row>
    <row r="75" spans="1:11">
      <c r="A75" s="543"/>
      <c r="C75" s="543"/>
      <c r="H75" s="1693"/>
    </row>
    <row r="76" spans="1:11">
      <c r="A76" s="543"/>
      <c r="C76" s="543"/>
      <c r="H76" s="1693"/>
    </row>
    <row r="77" spans="1:11">
      <c r="A77" s="543"/>
      <c r="C77" s="543"/>
      <c r="H77" s="1693"/>
    </row>
    <row r="78" spans="1:11">
      <c r="A78" s="543"/>
      <c r="C78" s="543"/>
      <c r="H78" s="1693"/>
    </row>
    <row r="79" spans="1:11">
      <c r="A79" s="543"/>
      <c r="C79" s="543"/>
      <c r="H79" s="1693"/>
    </row>
    <row r="80" spans="1:11">
      <c r="A80" s="543"/>
      <c r="C80" s="543"/>
      <c r="H80" s="1693"/>
    </row>
    <row r="81" spans="1:8">
      <c r="A81" s="543"/>
      <c r="C81" s="543"/>
      <c r="H81" s="1693"/>
    </row>
    <row r="82" spans="1:8">
      <c r="A82" s="543"/>
      <c r="C82" s="543"/>
      <c r="H82" s="1693"/>
    </row>
    <row r="83" spans="1:8">
      <c r="A83" s="543"/>
      <c r="C83" s="543"/>
      <c r="H83" s="1693"/>
    </row>
    <row r="84" spans="1:8">
      <c r="A84" s="543"/>
      <c r="C84" s="543"/>
      <c r="H84" s="1693"/>
    </row>
    <row r="85" spans="1:8">
      <c r="A85" s="543"/>
      <c r="C85" s="543"/>
      <c r="H85" s="1693"/>
    </row>
    <row r="86" spans="1:8">
      <c r="A86" s="543"/>
      <c r="C86" s="543"/>
      <c r="H86" s="1693"/>
    </row>
    <row r="87" spans="1:8">
      <c r="A87" s="543"/>
      <c r="C87" s="543"/>
      <c r="H87" s="1693"/>
    </row>
    <row r="88" spans="1:8">
      <c r="A88" s="543"/>
      <c r="C88" s="543"/>
      <c r="H88" s="1693"/>
    </row>
    <row r="89" spans="1:8">
      <c r="A89" s="543"/>
      <c r="C89" s="543"/>
      <c r="H89" s="1693"/>
    </row>
    <row r="90" spans="1:8">
      <c r="A90" s="543"/>
      <c r="C90" s="543"/>
      <c r="H90" s="1693"/>
    </row>
    <row r="91" spans="1:8">
      <c r="A91" s="543"/>
      <c r="C91" s="543"/>
      <c r="H91" s="1693"/>
    </row>
    <row r="92" spans="1:8">
      <c r="A92" s="543"/>
      <c r="C92" s="543"/>
      <c r="H92" s="1693"/>
    </row>
    <row r="93" spans="1:8">
      <c r="A93" s="543"/>
      <c r="C93" s="543"/>
      <c r="H93" s="1693"/>
    </row>
    <row r="94" spans="1:8">
      <c r="A94" s="543"/>
      <c r="C94" s="543"/>
      <c r="H94" s="1693"/>
    </row>
    <row r="95" spans="1:8">
      <c r="A95" s="543"/>
      <c r="C95" s="543"/>
      <c r="H95" s="1693"/>
    </row>
    <row r="96" spans="1:8">
      <c r="A96" s="543"/>
      <c r="C96" s="543"/>
      <c r="H96" s="1693"/>
    </row>
    <row r="97" spans="1:8">
      <c r="A97" s="543"/>
      <c r="C97" s="543"/>
      <c r="H97" s="1693"/>
    </row>
    <row r="98" spans="1:8">
      <c r="A98" s="543"/>
      <c r="C98" s="543"/>
      <c r="H98" s="1693"/>
    </row>
    <row r="99" spans="1:8">
      <c r="A99" s="543"/>
      <c r="C99" s="543"/>
      <c r="H99" s="1693"/>
    </row>
    <row r="100" spans="1:8">
      <c r="A100" s="543"/>
      <c r="C100" s="543"/>
      <c r="H100" s="1693"/>
    </row>
    <row r="101" spans="1:8">
      <c r="A101" s="543"/>
      <c r="C101" s="543"/>
      <c r="H101" s="1693"/>
    </row>
    <row r="102" spans="1:8">
      <c r="A102" s="543"/>
      <c r="C102" s="543"/>
      <c r="H102" s="1693"/>
    </row>
    <row r="103" spans="1:8">
      <c r="A103" s="543"/>
      <c r="C103" s="543"/>
      <c r="H103" s="1693"/>
    </row>
    <row r="104" spans="1:8">
      <c r="A104" s="543"/>
      <c r="C104" s="543"/>
      <c r="H104" s="1693"/>
    </row>
    <row r="105" spans="1:8">
      <c r="A105" s="543"/>
      <c r="C105" s="543"/>
      <c r="H105" s="1693"/>
    </row>
    <row r="106" spans="1:8">
      <c r="A106" s="543"/>
      <c r="C106" s="543"/>
      <c r="H106" s="1693"/>
    </row>
    <row r="107" spans="1:8">
      <c r="A107" s="543"/>
      <c r="C107" s="543"/>
      <c r="H107" s="1693"/>
    </row>
    <row r="108" spans="1:8">
      <c r="A108" s="543"/>
      <c r="C108" s="543"/>
      <c r="H108" s="1693"/>
    </row>
    <row r="109" spans="1:8">
      <c r="A109" s="543"/>
      <c r="C109" s="543"/>
      <c r="H109" s="1693"/>
    </row>
    <row r="110" spans="1:8">
      <c r="A110" s="543"/>
      <c r="C110" s="543"/>
      <c r="H110" s="1693"/>
    </row>
    <row r="111" spans="1:8">
      <c r="A111" s="543"/>
      <c r="C111" s="543"/>
      <c r="H111" s="1693"/>
    </row>
    <row r="112" spans="1:8">
      <c r="A112" s="543"/>
      <c r="C112" s="543"/>
      <c r="H112" s="1693"/>
    </row>
    <row r="113" spans="1:8">
      <c r="A113" s="543"/>
      <c r="C113" s="543"/>
      <c r="H113" s="1693"/>
    </row>
    <row r="114" spans="1:8">
      <c r="A114" s="543"/>
      <c r="C114" s="543"/>
      <c r="H114" s="1693"/>
    </row>
    <row r="115" spans="1:8">
      <c r="A115" s="543"/>
      <c r="C115" s="543"/>
      <c r="H115" s="1693"/>
    </row>
    <row r="116" spans="1:8">
      <c r="A116" s="543"/>
      <c r="C116" s="543"/>
      <c r="H116" s="1693"/>
    </row>
    <row r="117" spans="1:8">
      <c r="A117" s="543"/>
      <c r="C117" s="543"/>
      <c r="H117" s="1693"/>
    </row>
    <row r="118" spans="1:8">
      <c r="A118" s="543"/>
      <c r="C118" s="543"/>
      <c r="H118" s="1693"/>
    </row>
    <row r="119" spans="1:8">
      <c r="A119" s="543"/>
      <c r="C119" s="543"/>
      <c r="H119" s="1693"/>
    </row>
    <row r="120" spans="1:8">
      <c r="A120" s="543"/>
      <c r="C120" s="543"/>
      <c r="H120" s="1693"/>
    </row>
    <row r="121" spans="1:8">
      <c r="A121" s="543"/>
      <c r="C121" s="543"/>
      <c r="H121" s="1693"/>
    </row>
    <row r="122" spans="1:8">
      <c r="A122" s="543"/>
      <c r="C122" s="543"/>
      <c r="H122" s="1693"/>
    </row>
    <row r="123" spans="1:8">
      <c r="A123" s="543"/>
      <c r="C123" s="543"/>
      <c r="H123" s="1693"/>
    </row>
    <row r="124" spans="1:8">
      <c r="A124" s="543"/>
      <c r="C124" s="543"/>
      <c r="H124" s="1693"/>
    </row>
    <row r="125" spans="1:8">
      <c r="A125" s="543"/>
      <c r="C125" s="543"/>
      <c r="H125" s="1693"/>
    </row>
    <row r="126" spans="1:8">
      <c r="A126" s="543"/>
      <c r="C126" s="543"/>
      <c r="H126" s="1693"/>
    </row>
    <row r="127" spans="1:8">
      <c r="A127" s="543"/>
      <c r="C127" s="543"/>
      <c r="H127" s="1693"/>
    </row>
    <row r="128" spans="1:8">
      <c r="A128" s="543"/>
      <c r="C128" s="543"/>
      <c r="H128" s="1693"/>
    </row>
    <row r="129" spans="1:28">
      <c r="A129" s="543"/>
      <c r="C129" s="543"/>
      <c r="H129" s="1693"/>
    </row>
    <row r="130" spans="1:28">
      <c r="A130" s="543"/>
      <c r="C130" s="543"/>
      <c r="H130" s="1693"/>
    </row>
    <row r="131" spans="1:28">
      <c r="A131" s="543"/>
      <c r="C131" s="543"/>
      <c r="H131" s="1693"/>
    </row>
    <row r="132" spans="1:28">
      <c r="A132" s="543"/>
      <c r="C132" s="543"/>
      <c r="H132" s="1693"/>
    </row>
    <row r="133" spans="1:28">
      <c r="A133" s="543"/>
      <c r="C133" s="543"/>
      <c r="H133" s="1693"/>
    </row>
    <row r="134" spans="1:28">
      <c r="A134" s="543"/>
      <c r="C134" s="543"/>
      <c r="H134" s="1693"/>
      <c r="X134" s="543"/>
      <c r="AA134" s="543"/>
      <c r="AB134" s="543"/>
    </row>
    <row r="135" spans="1:28">
      <c r="A135" s="543"/>
      <c r="C135" s="543"/>
      <c r="H135" s="1693"/>
      <c r="X135" s="543"/>
      <c r="AA135" s="543"/>
      <c r="AB135" s="543"/>
    </row>
    <row r="136" spans="1:28">
      <c r="A136" s="543"/>
      <c r="C136" s="543"/>
      <c r="H136" s="1693"/>
      <c r="X136" s="543"/>
      <c r="AA136" s="543"/>
      <c r="AB136" s="543"/>
    </row>
    <row r="137" spans="1:28">
      <c r="A137" s="543"/>
      <c r="C137" s="543"/>
      <c r="H137" s="1693"/>
      <c r="X137" s="543"/>
      <c r="AA137" s="543"/>
      <c r="AB137" s="543"/>
    </row>
    <row r="138" spans="1:28">
      <c r="A138" s="543"/>
      <c r="C138" s="543"/>
      <c r="H138" s="1693"/>
      <c r="X138" s="543"/>
      <c r="AA138" s="543"/>
      <c r="AB138" s="543"/>
    </row>
    <row r="139" spans="1:28">
      <c r="A139" s="543"/>
      <c r="C139" s="543"/>
      <c r="H139" s="1693"/>
      <c r="X139" s="543"/>
      <c r="AA139" s="543"/>
      <c r="AB139" s="543"/>
    </row>
    <row r="140" spans="1:28">
      <c r="A140" s="543"/>
      <c r="C140" s="543"/>
      <c r="H140" s="1693"/>
      <c r="X140" s="543"/>
      <c r="AA140" s="543"/>
      <c r="AB140" s="543"/>
    </row>
    <row r="141" spans="1:28">
      <c r="A141" s="543"/>
      <c r="C141" s="543"/>
      <c r="H141" s="1693"/>
      <c r="X141" s="543"/>
      <c r="AA141" s="543"/>
      <c r="AB141" s="543"/>
    </row>
    <row r="142" spans="1:28">
      <c r="A142" s="543"/>
      <c r="C142" s="543"/>
      <c r="H142" s="1693"/>
      <c r="X142" s="543"/>
      <c r="AA142" s="543"/>
      <c r="AB142" s="543"/>
    </row>
    <row r="143" spans="1:28">
      <c r="A143" s="543"/>
      <c r="C143" s="543"/>
      <c r="H143" s="1693"/>
      <c r="X143" s="543"/>
    </row>
    <row r="144" spans="1:28">
      <c r="A144" s="543"/>
      <c r="C144" s="543"/>
      <c r="H144" s="1693"/>
      <c r="X144" s="543"/>
    </row>
    <row r="145" spans="1:24">
      <c r="A145" s="543"/>
      <c r="C145" s="543"/>
      <c r="H145" s="1693"/>
      <c r="X145" s="543"/>
    </row>
    <row r="146" spans="1:24">
      <c r="A146" s="543"/>
      <c r="C146" s="543"/>
      <c r="H146" s="1693"/>
      <c r="X146" s="543"/>
    </row>
    <row r="147" spans="1:24">
      <c r="A147" s="543"/>
      <c r="C147" s="543"/>
      <c r="H147" s="1693"/>
      <c r="X147" s="543"/>
    </row>
    <row r="148" spans="1:24">
      <c r="A148" s="543"/>
      <c r="C148" s="543"/>
      <c r="H148" s="1693"/>
      <c r="X148" s="543"/>
    </row>
    <row r="149" spans="1:24">
      <c r="A149" s="543"/>
      <c r="C149" s="543"/>
      <c r="H149" s="1693"/>
      <c r="X149" s="543"/>
    </row>
    <row r="150" spans="1:24">
      <c r="A150" s="543"/>
      <c r="C150" s="543"/>
      <c r="H150" s="1693"/>
      <c r="X150" s="543"/>
    </row>
    <row r="151" spans="1:24">
      <c r="A151" s="543"/>
      <c r="C151" s="543"/>
      <c r="H151" s="1693"/>
      <c r="X151" s="543"/>
    </row>
    <row r="152" spans="1:24">
      <c r="A152" s="543"/>
      <c r="C152" s="543"/>
      <c r="H152" s="1693"/>
      <c r="X152" s="543"/>
    </row>
    <row r="153" spans="1:24">
      <c r="A153" s="543"/>
      <c r="C153" s="543"/>
      <c r="H153" s="1693"/>
    </row>
    <row r="154" spans="1:24">
      <c r="A154" s="543"/>
      <c r="C154" s="543"/>
      <c r="H154" s="1693"/>
    </row>
    <row r="155" spans="1:24">
      <c r="A155" s="543"/>
      <c r="C155" s="543"/>
      <c r="H155" s="1693"/>
    </row>
    <row r="156" spans="1:24">
      <c r="A156" s="543"/>
      <c r="C156" s="543"/>
      <c r="H156" s="1693"/>
    </row>
    <row r="157" spans="1:24">
      <c r="A157" s="543"/>
      <c r="C157" s="543"/>
      <c r="H157" s="1693"/>
    </row>
    <row r="158" spans="1:24">
      <c r="A158" s="543"/>
      <c r="C158" s="543"/>
      <c r="H158" s="1693"/>
    </row>
    <row r="159" spans="1:24">
      <c r="A159" s="543"/>
      <c r="C159" s="543"/>
      <c r="H159" s="1693"/>
    </row>
    <row r="160" spans="1:24">
      <c r="A160" s="543"/>
      <c r="C160" s="543"/>
      <c r="H160" s="1693"/>
    </row>
    <row r="161" spans="1:8">
      <c r="A161" s="543"/>
      <c r="C161" s="543"/>
      <c r="H161" s="1693"/>
    </row>
    <row r="162" spans="1:8">
      <c r="A162" s="543"/>
      <c r="C162" s="543"/>
      <c r="H162" s="1693"/>
    </row>
    <row r="163" spans="1:8">
      <c r="A163" s="543"/>
      <c r="C163" s="543"/>
      <c r="H163" s="1693"/>
    </row>
    <row r="164" spans="1:8">
      <c r="A164" s="543"/>
      <c r="C164" s="543"/>
      <c r="H164" s="1693"/>
    </row>
    <row r="165" spans="1:8">
      <c r="A165" s="543"/>
      <c r="C165" s="543"/>
      <c r="H165" s="1693"/>
    </row>
    <row r="166" spans="1:8">
      <c r="A166" s="543"/>
      <c r="C166" s="543"/>
      <c r="H166" s="1693"/>
    </row>
    <row r="167" spans="1:8">
      <c r="A167" s="543"/>
      <c r="C167" s="543"/>
      <c r="H167" s="1693"/>
    </row>
    <row r="168" spans="1:8">
      <c r="A168" s="543"/>
      <c r="C168" s="543"/>
      <c r="H168" s="1693"/>
    </row>
  </sheetData>
  <mergeCells count="25">
    <mergeCell ref="AB13:AC13"/>
    <mergeCell ref="W2:AC2"/>
    <mergeCell ref="AB3:AC3"/>
    <mergeCell ref="AB4:AC4"/>
    <mergeCell ref="AB5:AC5"/>
    <mergeCell ref="AB6:AC6"/>
    <mergeCell ref="AB7:AC7"/>
    <mergeCell ref="AB8:AC8"/>
    <mergeCell ref="AB9:AC9"/>
    <mergeCell ref="AB10:AC10"/>
    <mergeCell ref="AB11:AC11"/>
    <mergeCell ref="AB12:AC12"/>
    <mergeCell ref="K25:M25"/>
    <mergeCell ref="O25:Q25"/>
    <mergeCell ref="AB14:AC14"/>
    <mergeCell ref="W15:AC15"/>
    <mergeCell ref="AB16:AC16"/>
    <mergeCell ref="AB17:AC17"/>
    <mergeCell ref="AB18:AC18"/>
    <mergeCell ref="AB19:AC19"/>
    <mergeCell ref="W20:AC20"/>
    <mergeCell ref="AB21:AC21"/>
    <mergeCell ref="AB22:AC22"/>
    <mergeCell ref="AB23:AC23"/>
    <mergeCell ref="AB24:AC24"/>
  </mergeCells>
  <pageMargins left="0.7" right="0.7" top="0.75" bottom="0.75" header="0.3" footer="0.3"/>
  <pageSetup orientation="portrait" horizontalDpi="4294967292" verticalDpi="4294967292"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EF49A-CB76-4EB7-95E8-E3B22E0C3CF4}">
  <sheetPr codeName="Аркуш14">
    <tabColor rgb="FF92D050"/>
  </sheetPr>
  <dimension ref="B1:AC276"/>
  <sheetViews>
    <sheetView zoomScale="160" zoomScaleNormal="160" workbookViewId="0">
      <selection activeCell="F62" sqref="F62"/>
    </sheetView>
  </sheetViews>
  <sheetFormatPr defaultColWidth="7.109375" defaultRowHeight="12" customHeight="1"/>
  <cols>
    <col min="1" max="1" width="2.6640625" style="32" customWidth="1"/>
    <col min="2" max="2" width="7.109375" style="32"/>
    <col min="3" max="3" width="19.5546875" style="32" customWidth="1"/>
    <col min="4" max="5" width="7.109375" style="32"/>
    <col min="6" max="6" width="16" style="32" customWidth="1"/>
    <col min="7" max="16384" width="7.109375" style="32"/>
  </cols>
  <sheetData>
    <row r="1" spans="2:29" ht="12" customHeight="1" thickBot="1"/>
    <row r="2" spans="2:29" ht="12" customHeight="1" thickBot="1">
      <c r="B2" s="1624" t="s">
        <v>7803</v>
      </c>
      <c r="C2" s="1625"/>
      <c r="D2" s="1625"/>
      <c r="E2" s="1625"/>
      <c r="F2" s="1626"/>
      <c r="J2" s="272"/>
      <c r="K2" s="271"/>
      <c r="L2" s="272"/>
      <c r="M2" s="272"/>
      <c r="N2" s="272"/>
      <c r="O2" s="272"/>
      <c r="P2" s="272"/>
      <c r="Q2" s="272"/>
      <c r="R2" s="272"/>
      <c r="S2" s="272"/>
      <c r="T2" s="272"/>
      <c r="U2" s="272"/>
      <c r="V2" s="272"/>
      <c r="W2" s="272"/>
      <c r="X2" s="272"/>
      <c r="Y2" s="272"/>
      <c r="Z2" s="272"/>
      <c r="AA2" s="272"/>
      <c r="AB2" s="272"/>
      <c r="AC2" s="272"/>
    </row>
    <row r="3" spans="2:29" ht="12" customHeight="1" thickTop="1" thickBot="1">
      <c r="B3" s="1627"/>
      <c r="C3" s="1628"/>
      <c r="D3" s="1628"/>
      <c r="E3" s="1628"/>
      <c r="F3" s="1629"/>
      <c r="J3" s="272"/>
      <c r="K3" s="275" t="s">
        <v>7804</v>
      </c>
      <c r="L3" s="1630"/>
      <c r="M3" s="1631"/>
      <c r="N3" s="1631"/>
      <c r="O3" s="1631"/>
      <c r="P3" s="1631"/>
      <c r="Q3" s="1631"/>
      <c r="R3" s="1631"/>
      <c r="S3" s="1631"/>
      <c r="T3" s="1631"/>
      <c r="U3" s="1632"/>
      <c r="V3" s="272"/>
      <c r="W3" s="272"/>
      <c r="X3" s="272"/>
      <c r="Y3" s="272"/>
      <c r="Z3" s="272"/>
      <c r="AA3" s="272"/>
      <c r="AB3" s="272"/>
      <c r="AC3" s="272"/>
    </row>
    <row r="4" spans="2:29" ht="12" customHeight="1">
      <c r="B4" s="555"/>
      <c r="C4" s="1633" t="s">
        <v>7805</v>
      </c>
      <c r="D4" s="1634" t="s">
        <v>7806</v>
      </c>
      <c r="E4" s="1634" t="s">
        <v>7807</v>
      </c>
      <c r="F4" s="1635" t="s">
        <v>1406</v>
      </c>
      <c r="J4" s="272"/>
      <c r="K4" s="465"/>
      <c r="L4" s="442"/>
      <c r="M4" s="442" t="s">
        <v>7808</v>
      </c>
      <c r="N4" s="442" t="s">
        <v>7809</v>
      </c>
      <c r="O4" s="442" t="s">
        <v>7810</v>
      </c>
      <c r="P4" s="442" t="s">
        <v>7811</v>
      </c>
      <c r="Q4" s="442" t="s">
        <v>7812</v>
      </c>
      <c r="R4" s="442" t="s">
        <v>7813</v>
      </c>
      <c r="S4" s="442" t="s">
        <v>7814</v>
      </c>
      <c r="T4" s="442" t="s">
        <v>7815</v>
      </c>
      <c r="U4" s="1636" t="s">
        <v>7816</v>
      </c>
      <c r="V4" s="272"/>
      <c r="W4" s="272"/>
      <c r="X4" s="272"/>
      <c r="Y4" s="272"/>
      <c r="Z4" s="272"/>
      <c r="AA4" s="272"/>
      <c r="AB4" s="272"/>
      <c r="AC4" s="272"/>
    </row>
    <row r="5" spans="2:29" ht="12" customHeight="1">
      <c r="B5" s="555"/>
      <c r="C5" s="352">
        <v>2</v>
      </c>
      <c r="D5" s="1634"/>
      <c r="E5" s="1634"/>
      <c r="F5" s="1635"/>
      <c r="J5" s="272"/>
      <c r="K5" s="979">
        <f>[1]MATH!C32</f>
        <v>6</v>
      </c>
      <c r="L5" s="382" t="str">
        <f>[1]MATH!D32</f>
        <v>Celtic</v>
      </c>
      <c r="M5" s="351" t="str">
        <f t="shared" ref="M5:U5" ca="1" si="0">VLOOKUP($K$5,$K$8:$U$18,M6)</f>
        <v>Diancecht, god of medicine and healing LG</v>
      </c>
      <c r="N5" s="351" t="str">
        <f t="shared" ca="1" si="0"/>
        <v xml:space="preserve">Manannan mac Lir, god of oceans and sea creatures LN </v>
      </c>
      <c r="O5" s="351" t="str">
        <f t="shared" ca="1" si="0"/>
        <v>NONE</v>
      </c>
      <c r="P5" s="351" t="str">
        <f t="shared" ca="1" si="0"/>
        <v xml:space="preserve">Belenus, god of sun, light, and warmth NG </v>
      </c>
      <c r="Q5" s="351" t="str">
        <f t="shared" ca="1" si="0"/>
        <v xml:space="preserve">Dunatis, god of mountains and peaks N </v>
      </c>
      <c r="R5" s="351" t="str">
        <f t="shared" ca="1" si="0"/>
        <v xml:space="preserve">Arawn, god of life and death NE </v>
      </c>
      <c r="S5" s="351" t="str">
        <f t="shared" ca="1" si="0"/>
        <v>The Daghdha, god of weather and crops CG</v>
      </c>
      <c r="T5" s="351" t="str">
        <f t="shared" ca="1" si="0"/>
        <v xml:space="preserve">Lugh, god of arts, travel, and commerce CN </v>
      </c>
      <c r="U5" s="633" t="str">
        <f t="shared" ca="1" si="0"/>
        <v xml:space="preserve">Morrigan, goddess of battle CE </v>
      </c>
      <c r="V5" s="272"/>
      <c r="W5" s="272"/>
      <c r="X5" s="272"/>
      <c r="Y5" s="272"/>
      <c r="Z5" s="272"/>
      <c r="AA5" s="272"/>
      <c r="AB5" s="272"/>
      <c r="AC5" s="272"/>
    </row>
    <row r="6" spans="2:29" ht="12" customHeight="1" thickBot="1">
      <c r="B6" s="455"/>
      <c r="C6" s="419">
        <f>COUNT(B7:B131)-COUNTBLANK(C7:C131)</f>
        <v>99</v>
      </c>
      <c r="D6" s="1637"/>
      <c r="E6" s="1637"/>
      <c r="F6" s="1638"/>
      <c r="J6" s="271"/>
      <c r="K6" s="477" t="s">
        <v>6172</v>
      </c>
      <c r="L6" s="352">
        <v>2</v>
      </c>
      <c r="M6" s="352">
        <v>3</v>
      </c>
      <c r="N6" s="352">
        <v>4</v>
      </c>
      <c r="O6" s="352">
        <v>5</v>
      </c>
      <c r="P6" s="352">
        <v>6</v>
      </c>
      <c r="Q6" s="352">
        <v>7</v>
      </c>
      <c r="R6" s="352">
        <v>8</v>
      </c>
      <c r="S6" s="352">
        <v>9</v>
      </c>
      <c r="T6" s="352">
        <v>10</v>
      </c>
      <c r="U6" s="883">
        <v>11</v>
      </c>
      <c r="V6" s="271"/>
      <c r="W6" s="272"/>
      <c r="X6" s="271"/>
      <c r="Y6" s="271"/>
      <c r="Z6" s="271"/>
      <c r="AA6" s="271"/>
      <c r="AB6" s="271"/>
      <c r="AC6" s="271"/>
    </row>
    <row r="7" spans="2:29" ht="12" customHeight="1" thickBot="1">
      <c r="B7" s="1639">
        <v>1</v>
      </c>
      <c r="C7" s="1640" t="s">
        <v>7817</v>
      </c>
      <c r="D7" s="1641">
        <v>2</v>
      </c>
      <c r="E7" s="1642">
        <v>2</v>
      </c>
      <c r="F7" s="1643"/>
      <c r="J7" s="271"/>
      <c r="K7" s="492" t="s">
        <v>6070</v>
      </c>
      <c r="L7" s="419">
        <f t="shared" ref="L7:U7" si="1">COUNT($K$8:$K$18)-COUNTBLANK(L8:L18)</f>
        <v>11</v>
      </c>
      <c r="M7" s="419">
        <f t="shared" ca="1" si="1"/>
        <v>11</v>
      </c>
      <c r="N7" s="419">
        <f t="shared" ca="1" si="1"/>
        <v>11</v>
      </c>
      <c r="O7" s="419">
        <f t="shared" ca="1" si="1"/>
        <v>11</v>
      </c>
      <c r="P7" s="419">
        <f t="shared" ca="1" si="1"/>
        <v>11</v>
      </c>
      <c r="Q7" s="419">
        <f t="shared" ca="1" si="1"/>
        <v>11</v>
      </c>
      <c r="R7" s="419">
        <f t="shared" ca="1" si="1"/>
        <v>11</v>
      </c>
      <c r="S7" s="419">
        <f t="shared" ca="1" si="1"/>
        <v>11</v>
      </c>
      <c r="T7" s="419">
        <f t="shared" ca="1" si="1"/>
        <v>11</v>
      </c>
      <c r="U7" s="504">
        <f t="shared" ca="1" si="1"/>
        <v>11</v>
      </c>
      <c r="V7" s="271" t="s">
        <v>1287</v>
      </c>
      <c r="W7" s="272"/>
      <c r="X7" s="271"/>
      <c r="Y7" s="271"/>
      <c r="Z7" s="271"/>
      <c r="AA7" s="271"/>
      <c r="AB7" s="271"/>
      <c r="AC7" s="271"/>
    </row>
    <row r="8" spans="2:29" ht="12" customHeight="1">
      <c r="B8" s="578">
        <v>2</v>
      </c>
      <c r="C8" s="1644" t="s">
        <v>7818</v>
      </c>
      <c r="D8" s="1645">
        <v>25</v>
      </c>
      <c r="E8" s="1646">
        <v>1</v>
      </c>
      <c r="F8" s="1647"/>
      <c r="J8" s="272"/>
      <c r="K8" s="587">
        <v>1</v>
      </c>
      <c r="L8" s="949" t="s">
        <v>7819</v>
      </c>
      <c r="M8" s="1648" t="str">
        <f ca="1">$L22</f>
        <v xml:space="preserve">Heironeous, god of chivalry and valor LG </v>
      </c>
      <c r="N8" s="1648" t="str">
        <f ca="1">$L48</f>
        <v>Wee Jas, goddess of magic and death LN</v>
      </c>
      <c r="O8" s="1648" t="str">
        <f ca="1">$L74</f>
        <v xml:space="preserve">Sekolah, sahuagin god of the hunt LE </v>
      </c>
      <c r="P8" s="1648" t="str">
        <f ca="1">$L100</f>
        <v xml:space="preserve">Fharlanghn, god of horizons and travel NG </v>
      </c>
      <c r="Q8" s="1648" t="str">
        <f ca="1">$L126</f>
        <v xml:space="preserve">Skoraeus Stonebones, god of stone giants and art N </v>
      </c>
      <c r="R8" s="1648" t="str">
        <f ca="1">$L152</f>
        <v xml:space="preserve">Nerull, god of death NE </v>
      </c>
      <c r="S8" s="1648" t="str">
        <f ca="1">$L178</f>
        <v xml:space="preserve">Kord, god of athletics and sport CG </v>
      </c>
      <c r="T8" s="1648" t="str">
        <f ca="1">$L204</f>
        <v xml:space="preserve">Ralishaz, god of ill luck and insanity CN </v>
      </c>
      <c r="U8" s="1649" t="str">
        <f ca="1">$L230</f>
        <v xml:space="preserve">Laogzed, troglodyte god of hunger CE </v>
      </c>
      <c r="V8" s="272" t="s">
        <v>1287</v>
      </c>
      <c r="W8" s="272"/>
      <c r="X8" s="272"/>
      <c r="Y8" s="272"/>
      <c r="Z8" s="272"/>
      <c r="AA8" s="272"/>
      <c r="AB8" s="272"/>
      <c r="AC8" s="272"/>
    </row>
    <row r="9" spans="2:29" ht="12" customHeight="1">
      <c r="B9" s="578">
        <v>3</v>
      </c>
      <c r="C9" s="1644" t="s">
        <v>7820</v>
      </c>
      <c r="D9" s="1645">
        <v>50</v>
      </c>
      <c r="E9" s="1646">
        <v>1</v>
      </c>
      <c r="F9" s="1647"/>
      <c r="J9" s="272"/>
      <c r="K9" s="578">
        <v>2</v>
      </c>
      <c r="L9" s="975" t="s">
        <v>7821</v>
      </c>
      <c r="M9" s="1650" t="str">
        <f ca="1">$M22</f>
        <v xml:space="preserve">Bahamut, dragon god of good LG </v>
      </c>
      <c r="N9" s="1650" t="str">
        <f ca="1">$M48</f>
        <v>Hoar, god of revenge and retribution LN</v>
      </c>
      <c r="O9" s="1650" t="str">
        <f ca="1">$M74</f>
        <v xml:space="preserve">Sekolah, sahuagin god of the hunt LE </v>
      </c>
      <c r="P9" s="1650" t="str">
        <f ca="1">$M100</f>
        <v xml:space="preserve">Milil, god of poetry and song NG </v>
      </c>
      <c r="Q9" s="1650" t="str">
        <f ca="1">$M126</f>
        <v xml:space="preserve">Silvanus, god of wild nature N </v>
      </c>
      <c r="R9" s="1650" t="str">
        <f ca="1">$M152</f>
        <v>Yurtrus, god of death and disease NE</v>
      </c>
      <c r="S9" s="1650" t="str">
        <f ca="1">$M178</f>
        <v xml:space="preserve">Tymora, goddess of good fortune CG </v>
      </c>
      <c r="T9" s="1650" t="str">
        <f ca="1">$M204</f>
        <v>Fenmarel Mestarine, god of outcasts CN</v>
      </c>
      <c r="U9" s="1651" t="str">
        <f ca="1">$M230</f>
        <v>Urdlen, god of greed and murder CE</v>
      </c>
      <c r="V9" s="272" t="s">
        <v>1287</v>
      </c>
      <c r="W9" s="272"/>
      <c r="X9" s="272"/>
      <c r="Y9" s="272"/>
      <c r="Z9" s="272"/>
      <c r="AA9" s="272"/>
      <c r="AB9" s="272"/>
      <c r="AC9" s="272"/>
    </row>
    <row r="10" spans="2:29" ht="12" customHeight="1">
      <c r="B10" s="578">
        <v>4</v>
      </c>
      <c r="C10" s="1644" t="s">
        <v>7822</v>
      </c>
      <c r="D10" s="1645">
        <v>1</v>
      </c>
      <c r="E10" s="1646">
        <v>1</v>
      </c>
      <c r="F10" s="1647" t="s">
        <v>7823</v>
      </c>
      <c r="J10" s="272"/>
      <c r="K10" s="578">
        <v>3</v>
      </c>
      <c r="L10" s="975" t="s">
        <v>7824</v>
      </c>
      <c r="M10" s="1650" t="str">
        <f ca="1">$N22</f>
        <v>Paladine, god of rulers and guardians LG</v>
      </c>
      <c r="N10" s="1650" t="str">
        <f ca="1">$N48</f>
        <v>NONE</v>
      </c>
      <c r="O10" s="1650" t="str">
        <f ca="1">$N74</f>
        <v>Takhisis, goddess of night and hatred LE</v>
      </c>
      <c r="P10" s="1650" t="str">
        <f ca="1">$N100</f>
        <v>Habbakuk, god of animal life and the sea NG</v>
      </c>
      <c r="Q10" s="1650" t="str">
        <f ca="1">$N126</f>
        <v>Zivilyn, god of wisdom N</v>
      </c>
      <c r="R10" s="1650" t="str">
        <f ca="1">$N152</f>
        <v>Morgion, god of disease and secrecy NE</v>
      </c>
      <c r="S10" s="1650" t="str">
        <f ca="1">$N178</f>
        <v>NONE</v>
      </c>
      <c r="T10" s="1650" t="str">
        <f ca="1">$N204</f>
        <v>NONE</v>
      </c>
      <c r="U10" s="1651" t="str">
        <f ca="1">$N230</f>
        <v>Hiddukel, god of lies and greed CE</v>
      </c>
      <c r="V10" s="272" t="s">
        <v>1287</v>
      </c>
      <c r="W10" s="272"/>
      <c r="X10" s="272"/>
      <c r="Y10" s="272"/>
      <c r="Z10" s="272"/>
      <c r="AA10" s="272"/>
      <c r="AB10" s="272"/>
      <c r="AC10" s="272"/>
    </row>
    <row r="11" spans="2:29" ht="12" customHeight="1">
      <c r="B11" s="578">
        <v>5</v>
      </c>
      <c r="C11" s="1644" t="s">
        <v>7825</v>
      </c>
      <c r="D11" s="1645">
        <v>1</v>
      </c>
      <c r="E11" s="1646">
        <v>1</v>
      </c>
      <c r="F11" s="1647" t="s">
        <v>7823</v>
      </c>
      <c r="J11" s="272"/>
      <c r="K11" s="578">
        <v>4</v>
      </c>
      <c r="L11" s="975" t="s">
        <v>7826</v>
      </c>
      <c r="M11" s="1650" t="str">
        <f ca="1">$O22</f>
        <v xml:space="preserve">The Silver Flame, deity of protection and good LG </v>
      </c>
      <c r="N11" s="1650" t="str">
        <f ca="1">$O48</f>
        <v xml:space="preserve">The Blood of Vol, philosophy of immortality and undeath LN </v>
      </c>
      <c r="O11" s="1650" t="str">
        <f ca="1">$O74</f>
        <v>NONE</v>
      </c>
      <c r="P11" s="1650" t="str">
        <f ca="1">$O100</f>
        <v xml:space="preserve">The Undying Court, elven ancestors NG </v>
      </c>
      <c r="Q11" s="1650" t="str">
        <f ca="1">$O126</f>
        <v xml:space="preserve">Kol Korran, god o f trade and wealth N </v>
      </c>
      <c r="R11" s="1650" t="str">
        <f ca="1">$O152</f>
        <v xml:space="preserve">The Devourer, god of nature’s wrath NE </v>
      </c>
      <c r="S11" s="1650" t="str">
        <f ca="1">$O178</f>
        <v xml:space="preserve">The Spirits of the Past, elven ancestors CG </v>
      </c>
      <c r="T11" s="1650" t="str">
        <f ca="1">$O204</f>
        <v xml:space="preserve">The Traveler, deity of chaos and change CN </v>
      </c>
      <c r="U11" s="1651" t="str">
        <f ca="1">$O230</f>
        <v xml:space="preserve">The Shadow, god of dark magic CE </v>
      </c>
      <c r="V11" s="272" t="s">
        <v>1287</v>
      </c>
      <c r="W11" s="272"/>
      <c r="X11" s="272"/>
      <c r="Y11" s="272"/>
      <c r="Z11" s="272"/>
      <c r="AA11" s="272"/>
      <c r="AB11" s="272"/>
      <c r="AC11" s="272"/>
    </row>
    <row r="12" spans="2:29" ht="12" customHeight="1">
      <c r="B12" s="578">
        <v>6</v>
      </c>
      <c r="C12" s="1644" t="s">
        <v>7827</v>
      </c>
      <c r="D12" s="1645">
        <v>1</v>
      </c>
      <c r="E12" s="1646">
        <v>1.5</v>
      </c>
      <c r="F12" s="1647" t="s">
        <v>7823</v>
      </c>
      <c r="J12" s="272"/>
      <c r="K12" s="578">
        <v>5</v>
      </c>
      <c r="L12" s="975" t="s">
        <v>7828</v>
      </c>
      <c r="M12" s="1650" t="str">
        <f ca="1">$P22</f>
        <v xml:space="preserve">Moradin, dwarf god of creation LG </v>
      </c>
      <c r="N12" s="1650" t="str">
        <f ca="1">$P48</f>
        <v>NONE</v>
      </c>
      <c r="O12" s="1650" t="str">
        <f ca="1">$P74</f>
        <v xml:space="preserve">Sekolah, sahuagin god of the hunt LE </v>
      </c>
      <c r="P12" s="1650" t="str">
        <f ca="1">$P100</f>
        <v>NONE</v>
      </c>
      <c r="Q12" s="1650" t="str">
        <f ca="1">$P126</f>
        <v xml:space="preserve">Eadro, merfolk deity of the sea N </v>
      </c>
      <c r="R12" s="1650" t="str">
        <f ca="1">$P152</f>
        <v xml:space="preserve">Blibdoolpoolp, kuo-toa goddess NE </v>
      </c>
      <c r="S12" s="1650" t="str">
        <f ca="1">$P178</f>
        <v xml:space="preserve">Rillifane Rallathil, wood elf god of nature CG </v>
      </c>
      <c r="T12" s="1650" t="str">
        <f ca="1">$P204</f>
        <v>NONE</v>
      </c>
      <c r="U12" s="1651" t="str">
        <f ca="1">$P230</f>
        <v xml:space="preserve">Laogzed, troglodyte god of hunger CE </v>
      </c>
      <c r="V12" s="272" t="s">
        <v>1287</v>
      </c>
      <c r="W12" s="272"/>
      <c r="X12" s="272"/>
      <c r="Y12" s="272"/>
      <c r="Z12" s="272"/>
      <c r="AA12" s="272"/>
      <c r="AB12" s="272"/>
      <c r="AC12" s="272"/>
    </row>
    <row r="13" spans="2:29" ht="12" customHeight="1">
      <c r="B13" s="578">
        <v>7</v>
      </c>
      <c r="C13" s="1644" t="s">
        <v>7829</v>
      </c>
      <c r="D13" s="1645">
        <v>0.04</v>
      </c>
      <c r="E13" s="1646">
        <v>1.5</v>
      </c>
      <c r="F13" s="1647" t="s">
        <v>7823</v>
      </c>
      <c r="J13" s="272"/>
      <c r="K13" s="578">
        <v>6</v>
      </c>
      <c r="L13" s="975" t="s">
        <v>7830</v>
      </c>
      <c r="M13" s="1650" t="str">
        <f ca="1">$Q22</f>
        <v>Diancecht, god of medicine and healing LG</v>
      </c>
      <c r="N13" s="1650" t="str">
        <f ca="1">$Q48</f>
        <v xml:space="preserve">Manannan mac Lir, god of oceans and sea creatures LN </v>
      </c>
      <c r="O13" s="1650" t="str">
        <f ca="1">$Q74</f>
        <v>NONE</v>
      </c>
      <c r="P13" s="1650" t="str">
        <f ca="1">$Q100</f>
        <v xml:space="preserve">Belenus, god of sun, light, and warmth NG </v>
      </c>
      <c r="Q13" s="1650" t="str">
        <f ca="1">$Q126</f>
        <v xml:space="preserve">Dunatis, god of mountains and peaks N </v>
      </c>
      <c r="R13" s="1650" t="str">
        <f ca="1">$Q152</f>
        <v xml:space="preserve">Arawn, god of life and death NE </v>
      </c>
      <c r="S13" s="1650" t="str">
        <f ca="1">$Q178</f>
        <v>The Daghdha, god of weather and crops CG</v>
      </c>
      <c r="T13" s="1650" t="str">
        <f ca="1">$Q204</f>
        <v xml:space="preserve">Lugh, god of arts, travel, and commerce CN </v>
      </c>
      <c r="U13" s="1651" t="str">
        <f ca="1">$Q230</f>
        <v xml:space="preserve">Morrigan, goddess of battle CE </v>
      </c>
      <c r="V13" s="272" t="s">
        <v>1287</v>
      </c>
      <c r="W13" s="272"/>
      <c r="X13" s="272"/>
      <c r="Y13" s="272"/>
      <c r="Z13" s="272"/>
      <c r="AA13" s="272"/>
      <c r="AB13" s="272"/>
      <c r="AC13" s="272"/>
    </row>
    <row r="14" spans="2:29" ht="12" customHeight="1">
      <c r="B14" s="578">
        <v>8</v>
      </c>
      <c r="C14" s="1644" t="s">
        <v>7831</v>
      </c>
      <c r="D14" s="1645">
        <v>50</v>
      </c>
      <c r="E14" s="1646">
        <v>1</v>
      </c>
      <c r="F14" s="1647"/>
      <c r="J14" s="272"/>
      <c r="K14" s="578">
        <v>7</v>
      </c>
      <c r="L14" s="975" t="s">
        <v>7832</v>
      </c>
      <c r="M14" s="1650" t="str">
        <f ca="1">$R22</f>
        <v xml:space="preserve">Athena, goddess of wisdom and civilization LG </v>
      </c>
      <c r="N14" s="1650" t="str">
        <f ca="1">$R48</f>
        <v xml:space="preserve">Nike, goddess of victory LN </v>
      </c>
      <c r="O14" s="1650" t="str">
        <f ca="1">$R74</f>
        <v xml:space="preserve">Hades, god of the underworld LE </v>
      </c>
      <c r="P14" s="1650" t="str">
        <f ca="1">$R100</f>
        <v xml:space="preserve">Demeter, goddess of agriculture NG </v>
      </c>
      <c r="Q14" s="1650" t="str">
        <f ca="1">$R126</f>
        <v xml:space="preserve">Zeus, god of the sky, ruler of the gods N </v>
      </c>
      <c r="R14" s="1650" t="str">
        <f ca="1">$R152</f>
        <v>NONE</v>
      </c>
      <c r="S14" s="1650" t="str">
        <f ca="1">$R178</f>
        <v xml:space="preserve">Hercules, god of strength and adventure CG </v>
      </c>
      <c r="T14" s="1650" t="str">
        <f ca="1">$R204</f>
        <v xml:space="preserve">Dionysus, god of mirth and wine CN </v>
      </c>
      <c r="U14" s="1651" t="str">
        <f ca="1">$R230</f>
        <v xml:space="preserve">Ares, god of war and strife CE </v>
      </c>
      <c r="V14" s="272" t="s">
        <v>1287</v>
      </c>
      <c r="W14" s="272"/>
      <c r="X14" s="272"/>
      <c r="Y14" s="272"/>
      <c r="Z14" s="272"/>
      <c r="AA14" s="272"/>
      <c r="AB14" s="272"/>
      <c r="AC14" s="272"/>
    </row>
    <row r="15" spans="2:29" ht="12" customHeight="1">
      <c r="B15" s="578">
        <v>9</v>
      </c>
      <c r="C15" s="1644" t="s">
        <v>7833</v>
      </c>
      <c r="D15" s="1645">
        <v>10</v>
      </c>
      <c r="E15" s="1646">
        <v>1</v>
      </c>
      <c r="F15" s="1647" t="s">
        <v>7834</v>
      </c>
      <c r="J15" s="272"/>
      <c r="K15" s="578">
        <v>8</v>
      </c>
      <c r="L15" s="975" t="s">
        <v>7835</v>
      </c>
      <c r="M15" s="1650" t="str">
        <f ca="1">$S22</f>
        <v xml:space="preserve">Re-Horakhty, god of the sun, ruler of the gods LG </v>
      </c>
      <c r="N15" s="1650" t="str">
        <f ca="1">$S48</f>
        <v xml:space="preserve">Ptah, god of crafts, knowledge, and secrets LN </v>
      </c>
      <c r="O15" s="1650" t="str">
        <f ca="1">$S74</f>
        <v xml:space="preserve">Sobek, god of water and crocodiles LE </v>
      </c>
      <c r="P15" s="1650" t="str">
        <f ca="1">$S100</f>
        <v xml:space="preserve">Imhotep, god of crafts and medicine NG </v>
      </c>
      <c r="Q15" s="1650" t="str">
        <f ca="1">$S126</f>
        <v xml:space="preserve">Thoth, god of knowledge and wisdom N </v>
      </c>
      <c r="R15" s="1650" t="str">
        <f ca="1">$S152</f>
        <v xml:space="preserve">Apep, god of evil, fire, and serpents NE </v>
      </c>
      <c r="S15" s="1650" t="str">
        <f ca="1">$S178</f>
        <v xml:space="preserve">Nephthys, goddess of death and grief CG </v>
      </c>
      <c r="T15" s="1650" t="str">
        <f ca="1">$S204</f>
        <v xml:space="preserve">Bes, god of luck and music CN </v>
      </c>
      <c r="U15" s="1651" t="str">
        <f ca="1">$S230</f>
        <v xml:space="preserve">Set, god of darkness and desert storms CE </v>
      </c>
      <c r="V15" s="272" t="s">
        <v>1287</v>
      </c>
      <c r="W15" s="272"/>
      <c r="X15" s="272"/>
      <c r="Y15" s="272"/>
      <c r="Z15" s="272"/>
      <c r="AA15" s="272"/>
      <c r="AB15" s="272"/>
      <c r="AC15" s="272"/>
    </row>
    <row r="16" spans="2:29" ht="12" customHeight="1">
      <c r="B16" s="578">
        <v>10</v>
      </c>
      <c r="C16" s="1644" t="s">
        <v>7836</v>
      </c>
      <c r="D16" s="1645">
        <v>20</v>
      </c>
      <c r="E16" s="1646">
        <v>3</v>
      </c>
      <c r="F16" s="1647" t="s">
        <v>7834</v>
      </c>
      <c r="J16" s="272"/>
      <c r="K16" s="1602">
        <v>9</v>
      </c>
      <c r="L16" s="1652" t="s">
        <v>7837</v>
      </c>
      <c r="M16" s="1653" t="str">
        <f ca="1">$T22</f>
        <v xml:space="preserve">Heimdall, god of watchfulness and loyalty LG </v>
      </c>
      <c r="N16" s="1653" t="str">
        <f ca="1">$T48</f>
        <v xml:space="preserve">Tyr, god of courage and strategy LN </v>
      </c>
      <c r="O16" s="1653" t="str">
        <f ca="1">$T74</f>
        <v xml:space="preserve">Surtur, god of fire giants and war LE </v>
      </c>
      <c r="P16" s="1653" t="str">
        <f ca="1">$T100</f>
        <v xml:space="preserve">Freya, goddess of fertility and love NG </v>
      </c>
      <c r="Q16" s="1653" t="str">
        <f ca="1">$T126</f>
        <v xml:space="preserve">Skadi, god of earth and mountains N </v>
      </c>
      <c r="R16" s="1653" t="str">
        <f ca="1">$T152</f>
        <v xml:space="preserve">Aegir, god of the sea and storms NE </v>
      </c>
      <c r="S16" s="1653" t="str">
        <f ca="1">$T178</f>
        <v xml:space="preserve">Odur, god of light and the sun CG </v>
      </c>
      <c r="T16" s="1653" t="str">
        <f ca="1">$T204</f>
        <v xml:space="preserve">Uller, god of hunting and winter CN </v>
      </c>
      <c r="U16" s="1654" t="str">
        <f ca="1">$T230</f>
        <v xml:space="preserve">Loki, god of thieves and trickery CE </v>
      </c>
      <c r="V16" s="272" t="s">
        <v>1287</v>
      </c>
      <c r="W16" s="272"/>
      <c r="X16" s="272"/>
      <c r="Y16" s="272"/>
      <c r="Z16" s="272"/>
      <c r="AA16" s="272"/>
      <c r="AB16" s="272"/>
      <c r="AC16" s="272"/>
    </row>
    <row r="17" spans="2:29" ht="12" customHeight="1">
      <c r="B17" s="578">
        <v>11</v>
      </c>
      <c r="C17" s="1644" t="s">
        <v>7838</v>
      </c>
      <c r="D17" s="1645">
        <v>10</v>
      </c>
      <c r="E17" s="1646">
        <v>2</v>
      </c>
      <c r="F17" s="1647" t="s">
        <v>7834</v>
      </c>
      <c r="J17" s="272"/>
      <c r="K17" s="1602">
        <v>10</v>
      </c>
      <c r="L17" s="1652" t="s">
        <v>7839</v>
      </c>
      <c r="M17" s="1653" t="str">
        <f ca="1">$U22</f>
        <v>Bytopia, the Twin Paradises of NG, LG</v>
      </c>
      <c r="N17" s="1653" t="str">
        <f ca="1">$U48</f>
        <v>Acheron, the Infinite Battlefield of LN, LE</v>
      </c>
      <c r="O17" s="1653" t="str">
        <f ca="1">$U74</f>
        <v>Acheron, the Infinite Battlefield of LN, LE</v>
      </c>
      <c r="P17" s="1653" t="str">
        <f ca="1">$U100</f>
        <v>Elysium, the Blessed Fields of NG</v>
      </c>
      <c r="Q17" s="1653" t="str">
        <f ca="1">$U126</f>
        <v>Shadowfell</v>
      </c>
      <c r="R17" s="1653" t="str">
        <f ca="1">$U152</f>
        <v>Gehenna, the Bleak Eternity of NE, LE</v>
      </c>
      <c r="S17" s="1653" t="str">
        <f ca="1">$U178</f>
        <v>The Beastlands, the Wilderness of NG, CG</v>
      </c>
      <c r="T17" s="1653" t="str">
        <f ca="1">$U204</f>
        <v>Pandemonium, the Windswept Depths of CN, CE</v>
      </c>
      <c r="U17" s="1654" t="str">
        <f ca="1">$U230</f>
        <v>Carceri, the Tarterian Depths of NE, CE</v>
      </c>
      <c r="V17" s="272"/>
      <c r="W17" s="272"/>
      <c r="X17" s="272"/>
      <c r="Y17" s="272"/>
      <c r="Z17" s="272"/>
      <c r="AA17" s="272"/>
      <c r="AB17" s="272"/>
      <c r="AC17" s="272"/>
    </row>
    <row r="18" spans="2:29" ht="12" customHeight="1" thickBot="1">
      <c r="B18" s="578">
        <v>12</v>
      </c>
      <c r="C18" s="1644" t="s">
        <v>7840</v>
      </c>
      <c r="D18" s="1645">
        <v>5</v>
      </c>
      <c r="E18" s="1646">
        <v>4</v>
      </c>
      <c r="F18" s="1647" t="s">
        <v>7834</v>
      </c>
      <c r="J18" s="272"/>
      <c r="K18" s="583">
        <v>11</v>
      </c>
      <c r="L18" s="1655" t="s">
        <v>7841</v>
      </c>
      <c r="M18" s="1656" t="str">
        <f ca="1">$V22</f>
        <v>NONE</v>
      </c>
      <c r="N18" s="1656" t="str">
        <f ca="1">$V48</f>
        <v>NONE</v>
      </c>
      <c r="O18" s="1656" t="str">
        <f ca="1">$V74</f>
        <v>NONE</v>
      </c>
      <c r="P18" s="1656" t="str">
        <f ca="1">$V100</f>
        <v>NONE</v>
      </c>
      <c r="Q18" s="1656" t="str">
        <f ca="1">$V126</f>
        <v>NONE</v>
      </c>
      <c r="R18" s="1656" t="str">
        <f ca="1">$V152</f>
        <v>NONE</v>
      </c>
      <c r="S18" s="1656" t="str">
        <f ca="1">$V178</f>
        <v>NONE</v>
      </c>
      <c r="T18" s="1656" t="str">
        <f ca="1">$V204</f>
        <v>NONE</v>
      </c>
      <c r="U18" s="1657" t="str">
        <f ca="1">$V230</f>
        <v>NONE</v>
      </c>
      <c r="V18" s="272" t="s">
        <v>1287</v>
      </c>
      <c r="W18" s="272"/>
      <c r="X18" s="272"/>
      <c r="Y18" s="272"/>
      <c r="Z18" s="272"/>
      <c r="AA18" s="272"/>
      <c r="AB18" s="272"/>
      <c r="AC18" s="272"/>
    </row>
    <row r="19" spans="2:29" ht="12" customHeight="1">
      <c r="B19" s="578">
        <v>13</v>
      </c>
      <c r="C19" s="1644" t="s">
        <v>7842</v>
      </c>
      <c r="D19" s="1645">
        <v>10</v>
      </c>
      <c r="E19" s="1646">
        <v>1</v>
      </c>
      <c r="F19" s="1647" t="s">
        <v>7834</v>
      </c>
      <c r="J19" s="272"/>
      <c r="K19" s="272"/>
      <c r="L19" s="272"/>
      <c r="M19" s="272"/>
      <c r="N19" s="272"/>
      <c r="O19" s="272"/>
      <c r="P19" s="272"/>
      <c r="Q19" s="272"/>
      <c r="R19" s="272"/>
      <c r="S19" s="272"/>
      <c r="T19" s="272"/>
      <c r="U19" s="272"/>
      <c r="V19" s="272"/>
      <c r="W19" s="272"/>
      <c r="X19" s="272"/>
      <c r="Y19" s="272"/>
      <c r="Z19" s="272"/>
      <c r="AA19" s="272"/>
      <c r="AB19" s="272"/>
      <c r="AC19" s="272"/>
    </row>
    <row r="20" spans="2:29" ht="12" customHeight="1" thickBot="1">
      <c r="B20" s="578">
        <v>14</v>
      </c>
      <c r="C20" s="1644" t="s">
        <v>7843</v>
      </c>
      <c r="D20" s="1645">
        <v>2</v>
      </c>
      <c r="E20" s="1646">
        <v>5</v>
      </c>
      <c r="F20" s="1647" t="s">
        <v>7844</v>
      </c>
      <c r="J20" s="272"/>
      <c r="K20" s="272"/>
      <c r="L20" s="272"/>
      <c r="M20" s="272"/>
      <c r="N20" s="272"/>
      <c r="O20" s="272"/>
      <c r="P20" s="272"/>
      <c r="Q20" s="272"/>
      <c r="R20" s="272"/>
      <c r="S20" s="272"/>
      <c r="T20" s="272"/>
      <c r="U20" s="272"/>
      <c r="V20" s="272"/>
      <c r="W20" s="272"/>
      <c r="X20" s="272"/>
      <c r="Y20" s="272"/>
      <c r="Z20" s="272"/>
      <c r="AA20" s="272"/>
      <c r="AB20" s="272"/>
      <c r="AC20" s="272"/>
    </row>
    <row r="21" spans="2:29" ht="12" customHeight="1" thickBot="1">
      <c r="B21" s="578">
        <v>15</v>
      </c>
      <c r="C21" s="1644" t="s">
        <v>7845</v>
      </c>
      <c r="D21" s="1645">
        <v>1</v>
      </c>
      <c r="E21" s="1646">
        <v>2</v>
      </c>
      <c r="F21" s="1647"/>
      <c r="J21" s="272"/>
      <c r="K21" s="275" t="s">
        <v>7846</v>
      </c>
      <c r="L21" s="1658"/>
      <c r="M21" s="1658"/>
      <c r="N21" s="1658"/>
      <c r="O21" s="1658"/>
      <c r="P21" s="1658"/>
      <c r="Q21" s="1658"/>
      <c r="R21" s="1658"/>
      <c r="S21" s="1658"/>
      <c r="T21" s="1658"/>
      <c r="U21" s="1658"/>
      <c r="V21" s="1659"/>
      <c r="W21" s="272"/>
      <c r="X21" s="272"/>
      <c r="Y21" s="272"/>
      <c r="Z21" s="272"/>
      <c r="AA21" s="272"/>
      <c r="AB21" s="272"/>
      <c r="AC21" s="272"/>
    </row>
    <row r="22" spans="2:29" ht="12" customHeight="1">
      <c r="B22" s="578">
        <v>16</v>
      </c>
      <c r="C22" s="1644" t="s">
        <v>7847</v>
      </c>
      <c r="D22" s="1645">
        <v>2</v>
      </c>
      <c r="E22" s="1646">
        <v>70</v>
      </c>
      <c r="F22" s="1647" t="s">
        <v>7844</v>
      </c>
      <c r="J22" s="272"/>
      <c r="K22" s="465"/>
      <c r="L22" s="328" t="str">
        <f t="shared" ref="L22:V22" ca="1" si="2">VLOOKUP(RANDBETWEEN(1,L25),$K26:$V44,L24)</f>
        <v xml:space="preserve">Heironeous, god of chivalry and valor LG </v>
      </c>
      <c r="M22" s="328" t="str">
        <f t="shared" ca="1" si="2"/>
        <v xml:space="preserve">Bahamut, dragon god of good LG </v>
      </c>
      <c r="N22" s="328" t="str">
        <f t="shared" ca="1" si="2"/>
        <v>Paladine, god of rulers and guardians LG</v>
      </c>
      <c r="O22" s="328" t="str">
        <f t="shared" ca="1" si="2"/>
        <v xml:space="preserve">The Silver Flame, deity of protection and good LG </v>
      </c>
      <c r="P22" s="328" t="str">
        <f t="shared" ca="1" si="2"/>
        <v xml:space="preserve">Moradin, dwarf god of creation LG </v>
      </c>
      <c r="Q22" s="328" t="str">
        <f t="shared" ca="1" si="2"/>
        <v>Diancecht, god of medicine and healing LG</v>
      </c>
      <c r="R22" s="328" t="str">
        <f t="shared" ca="1" si="2"/>
        <v xml:space="preserve">Athena, goddess of wisdom and civilization LG </v>
      </c>
      <c r="S22" s="328" t="str">
        <f t="shared" ca="1" si="2"/>
        <v xml:space="preserve">Re-Horakhty, god of the sun, ruler of the gods LG </v>
      </c>
      <c r="T22" s="328" t="str">
        <f t="shared" ca="1" si="2"/>
        <v xml:space="preserve">Heimdall, god of watchfulness and loyalty LG </v>
      </c>
      <c r="U22" s="328" t="str">
        <f t="shared" ca="1" si="2"/>
        <v>Bytopia, the Twin Paradises of NG, LG</v>
      </c>
      <c r="V22" s="898" t="str">
        <f t="shared" ca="1" si="2"/>
        <v>NONE</v>
      </c>
      <c r="W22" s="272"/>
      <c r="X22" s="272"/>
      <c r="Y22" s="272"/>
      <c r="Z22" s="272"/>
      <c r="AA22" s="272"/>
      <c r="AB22" s="272"/>
      <c r="AC22" s="272"/>
    </row>
    <row r="23" spans="2:29" ht="12" customHeight="1">
      <c r="B23" s="578">
        <v>17</v>
      </c>
      <c r="C23" s="1644" t="s">
        <v>7848</v>
      </c>
      <c r="D23" s="1645">
        <v>0.4</v>
      </c>
      <c r="E23" s="1646">
        <v>2</v>
      </c>
      <c r="F23" s="1647" t="s">
        <v>7844</v>
      </c>
      <c r="J23" s="272"/>
      <c r="K23" s="477"/>
      <c r="L23" s="1634" t="s">
        <v>7849</v>
      </c>
      <c r="M23" s="1634" t="s">
        <v>7850</v>
      </c>
      <c r="N23" s="1634" t="s">
        <v>7851</v>
      </c>
      <c r="O23" s="1634" t="s">
        <v>7852</v>
      </c>
      <c r="P23" s="1634" t="s">
        <v>7853</v>
      </c>
      <c r="Q23" s="545" t="s">
        <v>7854</v>
      </c>
      <c r="R23" s="545" t="s">
        <v>7855</v>
      </c>
      <c r="S23" s="545" t="s">
        <v>7856</v>
      </c>
      <c r="T23" s="545" t="s">
        <v>7857</v>
      </c>
      <c r="U23" s="545" t="s">
        <v>7858</v>
      </c>
      <c r="V23" s="1660" t="str">
        <f>IF([1]MATH!D34&lt;&gt;"Cleric","None","As Cleric")</f>
        <v>None</v>
      </c>
      <c r="W23" s="272"/>
      <c r="X23" s="272"/>
      <c r="Y23" s="272"/>
      <c r="Z23" s="272"/>
      <c r="AA23" s="272"/>
      <c r="AB23" s="272"/>
      <c r="AC23" s="272"/>
    </row>
    <row r="24" spans="2:29" ht="12" customHeight="1">
      <c r="B24" s="578">
        <v>18</v>
      </c>
      <c r="C24" s="1644" t="s">
        <v>7859</v>
      </c>
      <c r="D24" s="1645">
        <v>1</v>
      </c>
      <c r="E24" s="1661">
        <v>7</v>
      </c>
      <c r="F24" s="1647"/>
      <c r="J24" s="272"/>
      <c r="K24" s="477" t="s">
        <v>6172</v>
      </c>
      <c r="L24" s="352">
        <v>2</v>
      </c>
      <c r="M24" s="352">
        <v>3</v>
      </c>
      <c r="N24" s="352">
        <v>4</v>
      </c>
      <c r="O24" s="352">
        <v>5</v>
      </c>
      <c r="P24" s="352">
        <v>6</v>
      </c>
      <c r="Q24" s="352">
        <v>7</v>
      </c>
      <c r="R24" s="352">
        <v>8</v>
      </c>
      <c r="S24" s="352">
        <v>9</v>
      </c>
      <c r="T24" s="352">
        <v>10</v>
      </c>
      <c r="U24" s="352">
        <v>11</v>
      </c>
      <c r="V24" s="883">
        <v>12</v>
      </c>
      <c r="W24" s="272"/>
      <c r="X24" s="272"/>
      <c r="Y24" s="272"/>
      <c r="Z24" s="272"/>
      <c r="AA24" s="272"/>
      <c r="AB24" s="272"/>
      <c r="AC24" s="272"/>
    </row>
    <row r="25" spans="2:29" ht="12" customHeight="1" thickBot="1">
      <c r="B25" s="578">
        <v>19</v>
      </c>
      <c r="C25" s="1644" t="s">
        <v>7860</v>
      </c>
      <c r="D25" s="1645">
        <v>1</v>
      </c>
      <c r="E25" s="1661">
        <v>0</v>
      </c>
      <c r="F25" s="1647"/>
      <c r="J25" s="272"/>
      <c r="K25" s="492" t="s">
        <v>6070</v>
      </c>
      <c r="L25" s="419">
        <f t="shared" ref="L25:V25" si="3">COUNT($K$26:$K$44)-COUNTBLANK(L26:L44)</f>
        <v>8</v>
      </c>
      <c r="M25" s="419">
        <f t="shared" si="3"/>
        <v>13</v>
      </c>
      <c r="N25" s="419">
        <f t="shared" si="3"/>
        <v>5</v>
      </c>
      <c r="O25" s="419">
        <f t="shared" si="3"/>
        <v>3</v>
      </c>
      <c r="P25" s="419">
        <f t="shared" si="3"/>
        <v>4</v>
      </c>
      <c r="Q25" s="419">
        <f t="shared" si="3"/>
        <v>1</v>
      </c>
      <c r="R25" s="419">
        <f t="shared" si="3"/>
        <v>1</v>
      </c>
      <c r="S25" s="419">
        <f t="shared" si="3"/>
        <v>2</v>
      </c>
      <c r="T25" s="419">
        <f t="shared" si="3"/>
        <v>1</v>
      </c>
      <c r="U25" s="419">
        <f t="shared" si="3"/>
        <v>3</v>
      </c>
      <c r="V25" s="504">
        <f t="shared" si="3"/>
        <v>1</v>
      </c>
      <c r="W25" s="272"/>
      <c r="X25" s="272"/>
      <c r="Y25" s="272"/>
      <c r="Z25" s="272"/>
      <c r="AA25" s="272"/>
      <c r="AB25" s="272"/>
      <c r="AC25" s="272"/>
    </row>
    <row r="26" spans="2:29" ht="12" customHeight="1">
      <c r="B26" s="578">
        <v>20</v>
      </c>
      <c r="C26" s="1644" t="s">
        <v>7861</v>
      </c>
      <c r="D26" s="1645">
        <v>0.5</v>
      </c>
      <c r="E26" s="1661">
        <v>3</v>
      </c>
      <c r="F26" s="1647"/>
      <c r="J26" s="272"/>
      <c r="K26" s="587">
        <v>1</v>
      </c>
      <c r="L26" s="1662" t="s">
        <v>7862</v>
      </c>
      <c r="M26" s="1662" t="s">
        <v>7863</v>
      </c>
      <c r="N26" s="1662" t="s">
        <v>7864</v>
      </c>
      <c r="O26" s="1662" t="s">
        <v>7865</v>
      </c>
      <c r="P26" s="1662" t="s">
        <v>7866</v>
      </c>
      <c r="Q26" s="1662" t="s">
        <v>7867</v>
      </c>
      <c r="R26" s="1662" t="s">
        <v>7868</v>
      </c>
      <c r="S26" s="1662" t="s">
        <v>7869</v>
      </c>
      <c r="T26" s="1662" t="s">
        <v>7870</v>
      </c>
      <c r="U26" s="1662" t="s">
        <v>7871</v>
      </c>
      <c r="V26" s="1663" t="s">
        <v>7841</v>
      </c>
      <c r="W26" s="272"/>
      <c r="X26" s="272"/>
      <c r="Y26" s="272"/>
      <c r="Z26" s="272"/>
      <c r="AA26" s="272"/>
      <c r="AB26" s="272"/>
      <c r="AC26" s="272"/>
    </row>
    <row r="27" spans="2:29" ht="12" customHeight="1" thickBot="1">
      <c r="B27" s="578">
        <v>21</v>
      </c>
      <c r="C27" s="1644" t="s">
        <v>7872</v>
      </c>
      <c r="D27" s="1645">
        <v>1</v>
      </c>
      <c r="E27" s="1661">
        <v>5</v>
      </c>
      <c r="F27" s="1647"/>
      <c r="J27" s="272"/>
      <c r="K27" s="578">
        <v>2</v>
      </c>
      <c r="L27" s="1664" t="s">
        <v>7873</v>
      </c>
      <c r="M27" s="1664" t="s">
        <v>7874</v>
      </c>
      <c r="N27" s="1664" t="s">
        <v>7875</v>
      </c>
      <c r="O27" s="1664" t="s">
        <v>7876</v>
      </c>
      <c r="P27" s="1664" t="s">
        <v>7877</v>
      </c>
      <c r="Q27" s="1664"/>
      <c r="R27" s="1664"/>
      <c r="S27" s="1664" t="s">
        <v>7878</v>
      </c>
      <c r="T27" s="1664"/>
      <c r="U27" s="355" t="s">
        <v>7879</v>
      </c>
      <c r="V27" s="355"/>
      <c r="W27" s="272"/>
      <c r="X27" s="272"/>
      <c r="Y27" s="272"/>
      <c r="Z27" s="272"/>
      <c r="AA27" s="272"/>
      <c r="AB27" s="272"/>
      <c r="AC27" s="272"/>
    </row>
    <row r="28" spans="2:29" ht="12" customHeight="1" thickBot="1">
      <c r="B28" s="578">
        <v>22</v>
      </c>
      <c r="C28" s="1644" t="s">
        <v>7880</v>
      </c>
      <c r="D28" s="1645">
        <v>25</v>
      </c>
      <c r="E28" s="1661">
        <v>5</v>
      </c>
      <c r="F28" s="1647"/>
      <c r="J28" s="272"/>
      <c r="K28" s="578">
        <v>3</v>
      </c>
      <c r="L28" s="1664" t="s">
        <v>7881</v>
      </c>
      <c r="M28" s="1664" t="s">
        <v>7882</v>
      </c>
      <c r="N28" s="1664" t="s">
        <v>7883</v>
      </c>
      <c r="O28" s="1664" t="s">
        <v>7884</v>
      </c>
      <c r="P28" s="1664" t="s">
        <v>7885</v>
      </c>
      <c r="Q28" s="1664"/>
      <c r="R28" s="1664"/>
      <c r="S28" s="1664"/>
      <c r="T28" s="1664"/>
      <c r="U28" s="1664" t="s">
        <v>7886</v>
      </c>
      <c r="V28" s="355"/>
      <c r="W28" s="272"/>
      <c r="X28" s="272"/>
      <c r="Y28" s="272"/>
      <c r="Z28" s="272"/>
      <c r="AA28" s="272"/>
      <c r="AB28" s="1665"/>
      <c r="AC28" s="1666" t="s">
        <v>7839</v>
      </c>
    </row>
    <row r="29" spans="2:29" ht="12" customHeight="1">
      <c r="B29" s="578">
        <v>23</v>
      </c>
      <c r="C29" s="1644" t="s">
        <v>7887</v>
      </c>
      <c r="D29" s="1645">
        <v>2</v>
      </c>
      <c r="E29" s="1661">
        <v>2</v>
      </c>
      <c r="F29" s="1647" t="s">
        <v>7844</v>
      </c>
      <c r="J29" s="272"/>
      <c r="K29" s="578">
        <v>4</v>
      </c>
      <c r="L29" s="1664" t="s">
        <v>7888</v>
      </c>
      <c r="M29" s="1664" t="s">
        <v>7866</v>
      </c>
      <c r="N29" s="1664" t="s">
        <v>7889</v>
      </c>
      <c r="O29" s="1664"/>
      <c r="P29" s="1664" t="s">
        <v>7890</v>
      </c>
      <c r="Q29" s="1664"/>
      <c r="R29" s="1664"/>
      <c r="S29" s="1664"/>
      <c r="T29" s="1664"/>
      <c r="U29" s="1664"/>
      <c r="V29" s="355"/>
      <c r="W29" s="272"/>
      <c r="X29" s="272"/>
      <c r="Y29" s="272"/>
      <c r="Z29" s="272"/>
      <c r="AA29" s="272"/>
      <c r="AB29" s="272"/>
      <c r="AC29" s="272"/>
    </row>
    <row r="30" spans="2:29" ht="12" customHeight="1" thickBot="1">
      <c r="B30" s="578">
        <v>24</v>
      </c>
      <c r="C30" s="1644" t="s">
        <v>7891</v>
      </c>
      <c r="D30" s="1645">
        <v>0.5</v>
      </c>
      <c r="E30" s="1661">
        <v>2</v>
      </c>
      <c r="F30" s="1647" t="s">
        <v>7844</v>
      </c>
      <c r="J30" s="272"/>
      <c r="K30" s="578">
        <v>5</v>
      </c>
      <c r="L30" s="1664" t="s">
        <v>7866</v>
      </c>
      <c r="M30" s="1664" t="s">
        <v>7877</v>
      </c>
      <c r="N30" s="1664" t="s">
        <v>7892</v>
      </c>
      <c r="O30" s="1664"/>
      <c r="P30" s="1664"/>
      <c r="Q30" s="1664"/>
      <c r="R30" s="1664"/>
      <c r="S30" s="1664"/>
      <c r="T30" s="1664"/>
      <c r="U30" s="1664"/>
      <c r="V30" s="355"/>
      <c r="W30" s="272"/>
      <c r="X30" s="272"/>
      <c r="Y30" s="272"/>
      <c r="Z30" s="272"/>
      <c r="AA30" s="272"/>
      <c r="AB30" s="1667"/>
      <c r="AC30" s="1668">
        <f ca="1">VLOOKUP(RANDBETWEEN(1,AB56),AB31:AC56,2)</f>
        <v>0</v>
      </c>
    </row>
    <row r="31" spans="2:29" ht="12" customHeight="1">
      <c r="B31" s="578">
        <v>25</v>
      </c>
      <c r="C31" s="1644" t="s">
        <v>7893</v>
      </c>
      <c r="D31" s="1645">
        <v>1</v>
      </c>
      <c r="E31" s="1661">
        <v>2</v>
      </c>
      <c r="F31" s="1647"/>
      <c r="J31" s="272"/>
      <c r="K31" s="578">
        <v>6</v>
      </c>
      <c r="L31" s="1664" t="s">
        <v>7877</v>
      </c>
      <c r="M31" s="1664" t="s">
        <v>7885</v>
      </c>
      <c r="N31" s="1664"/>
      <c r="O31" s="1664"/>
      <c r="P31" s="1664"/>
      <c r="Q31" s="1664"/>
      <c r="R31" s="1664"/>
      <c r="S31" s="1664"/>
      <c r="T31" s="1664"/>
      <c r="U31" s="1664"/>
      <c r="V31" s="355"/>
      <c r="W31" s="272"/>
      <c r="X31" s="272"/>
      <c r="Y31" s="272"/>
      <c r="Z31" s="272"/>
      <c r="AA31" s="272"/>
      <c r="AB31" s="572">
        <v>1</v>
      </c>
      <c r="AC31" s="576"/>
    </row>
    <row r="32" spans="2:29" ht="12" customHeight="1" thickBot="1">
      <c r="B32" s="578">
        <v>26</v>
      </c>
      <c r="C32" s="1644" t="s">
        <v>7894</v>
      </c>
      <c r="D32" s="1645">
        <v>0.01</v>
      </c>
      <c r="E32" s="1661">
        <v>0</v>
      </c>
      <c r="F32" s="1647"/>
      <c r="J32" s="272"/>
      <c r="K32" s="578">
        <v>7</v>
      </c>
      <c r="L32" s="1664" t="s">
        <v>7885</v>
      </c>
      <c r="M32" s="1669" t="s">
        <v>7890</v>
      </c>
      <c r="N32" s="1664"/>
      <c r="O32" s="1664"/>
      <c r="P32" s="1664"/>
      <c r="Q32" s="1664"/>
      <c r="R32" s="1664"/>
      <c r="S32" s="1664"/>
      <c r="T32" s="1664"/>
      <c r="U32" s="1664"/>
      <c r="V32" s="355"/>
      <c r="W32" s="272"/>
      <c r="X32" s="272"/>
      <c r="Y32" s="272"/>
      <c r="Z32" s="272"/>
      <c r="AA32" s="272"/>
      <c r="AB32" s="578">
        <v>2</v>
      </c>
      <c r="AC32" s="355"/>
    </row>
    <row r="33" spans="2:29" ht="12" customHeight="1">
      <c r="B33" s="578">
        <v>27</v>
      </c>
      <c r="C33" s="1644" t="s">
        <v>7895</v>
      </c>
      <c r="D33" s="1645">
        <v>1</v>
      </c>
      <c r="E33" s="1661">
        <v>1</v>
      </c>
      <c r="F33" s="1647" t="s">
        <v>7844</v>
      </c>
      <c r="J33" s="272"/>
      <c r="K33" s="578">
        <v>8</v>
      </c>
      <c r="L33" s="1670" t="s">
        <v>7890</v>
      </c>
      <c r="M33" s="1671" t="s">
        <v>7896</v>
      </c>
      <c r="N33" s="1672"/>
      <c r="O33" s="1664"/>
      <c r="P33" s="1664"/>
      <c r="Q33" s="1664"/>
      <c r="R33" s="1664"/>
      <c r="S33" s="1664"/>
      <c r="T33" s="1664"/>
      <c r="U33" s="1664"/>
      <c r="V33" s="355"/>
      <c r="W33" s="272"/>
      <c r="X33" s="272"/>
      <c r="Y33" s="272"/>
      <c r="Z33" s="272"/>
      <c r="AA33" s="272"/>
      <c r="AB33" s="578">
        <v>3</v>
      </c>
      <c r="AC33" s="355"/>
    </row>
    <row r="34" spans="2:29" ht="12" customHeight="1">
      <c r="B34" s="578">
        <v>28</v>
      </c>
      <c r="C34" s="1644" t="s">
        <v>7897</v>
      </c>
      <c r="D34" s="1645">
        <v>1</v>
      </c>
      <c r="E34" s="1661">
        <v>1</v>
      </c>
      <c r="F34" s="1647" t="s">
        <v>7844</v>
      </c>
      <c r="J34" s="272"/>
      <c r="K34" s="578">
        <v>9</v>
      </c>
      <c r="L34" s="1670"/>
      <c r="M34" s="1673" t="s">
        <v>7898</v>
      </c>
      <c r="N34" s="1672"/>
      <c r="O34" s="1664"/>
      <c r="P34" s="1664"/>
      <c r="Q34" s="1664"/>
      <c r="R34" s="1664"/>
      <c r="S34" s="1664"/>
      <c r="T34" s="1664"/>
      <c r="U34" s="1664"/>
      <c r="V34" s="355"/>
      <c r="W34" s="272"/>
      <c r="X34" s="272"/>
      <c r="Y34" s="272"/>
      <c r="Z34" s="272"/>
      <c r="AA34" s="272"/>
      <c r="AB34" s="578">
        <v>4</v>
      </c>
      <c r="AC34" s="355"/>
    </row>
    <row r="35" spans="2:29" ht="12" customHeight="1">
      <c r="B35" s="578">
        <v>29</v>
      </c>
      <c r="C35" s="1644" t="s">
        <v>7899</v>
      </c>
      <c r="D35" s="1645">
        <v>5</v>
      </c>
      <c r="E35" s="1661">
        <v>10</v>
      </c>
      <c r="F35" s="1647"/>
      <c r="J35" s="272"/>
      <c r="K35" s="578">
        <v>10</v>
      </c>
      <c r="L35" s="1670"/>
      <c r="M35" s="1673" t="s">
        <v>7900</v>
      </c>
      <c r="N35" s="1672"/>
      <c r="O35" s="1664"/>
      <c r="P35" s="1664"/>
      <c r="Q35" s="1664"/>
      <c r="R35" s="1664"/>
      <c r="S35" s="1664"/>
      <c r="T35" s="1664"/>
      <c r="U35" s="1664"/>
      <c r="V35" s="355"/>
      <c r="W35" s="272"/>
      <c r="X35" s="272"/>
      <c r="Y35" s="272"/>
      <c r="Z35" s="272"/>
      <c r="AA35" s="272"/>
      <c r="AB35" s="578">
        <v>5</v>
      </c>
      <c r="AC35" s="355"/>
    </row>
    <row r="36" spans="2:29" ht="12" customHeight="1">
      <c r="B36" s="578">
        <v>30</v>
      </c>
      <c r="C36" s="1644" t="s">
        <v>7901</v>
      </c>
      <c r="D36" s="1645">
        <v>0.01</v>
      </c>
      <c r="E36" s="1661">
        <v>0</v>
      </c>
      <c r="F36" s="1647"/>
      <c r="J36" s="272"/>
      <c r="K36" s="578">
        <v>11</v>
      </c>
      <c r="L36" s="1670"/>
      <c r="M36" s="1673" t="s">
        <v>7902</v>
      </c>
      <c r="N36" s="1672"/>
      <c r="O36" s="1664"/>
      <c r="P36" s="1664"/>
      <c r="Q36" s="1664"/>
      <c r="R36" s="1664"/>
      <c r="S36" s="1664"/>
      <c r="T36" s="1664"/>
      <c r="U36" s="1664"/>
      <c r="V36" s="355"/>
      <c r="W36" s="272"/>
      <c r="X36" s="272"/>
      <c r="Y36" s="272"/>
      <c r="Z36" s="272"/>
      <c r="AA36" s="272"/>
      <c r="AB36" s="578">
        <v>6</v>
      </c>
      <c r="AC36" s="355"/>
    </row>
    <row r="37" spans="2:29" ht="12" customHeight="1">
      <c r="B37" s="578">
        <v>31</v>
      </c>
      <c r="C37" s="1674" t="s">
        <v>7903</v>
      </c>
      <c r="D37" s="1674" t="s">
        <v>7904</v>
      </c>
      <c r="E37" s="1674" t="s">
        <v>7905</v>
      </c>
      <c r="J37" s="272"/>
      <c r="K37" s="578">
        <v>12</v>
      </c>
      <c r="L37" s="1670"/>
      <c r="M37" s="1673" t="s">
        <v>7906</v>
      </c>
      <c r="N37" s="1672"/>
      <c r="O37" s="1664"/>
      <c r="P37" s="1664"/>
      <c r="Q37" s="1664"/>
      <c r="R37" s="1664"/>
      <c r="S37" s="1664"/>
      <c r="T37" s="1664"/>
      <c r="U37" s="1664"/>
      <c r="V37" s="355"/>
      <c r="W37" s="272"/>
      <c r="X37" s="272"/>
      <c r="Y37" s="272"/>
      <c r="Z37" s="272"/>
      <c r="AA37" s="272"/>
      <c r="AB37" s="578">
        <v>7</v>
      </c>
      <c r="AC37" s="355"/>
    </row>
    <row r="38" spans="2:29" ht="12" customHeight="1">
      <c r="B38" s="578">
        <v>32</v>
      </c>
      <c r="C38" s="1674" t="s">
        <v>7907</v>
      </c>
      <c r="D38" s="1674" t="s">
        <v>7908</v>
      </c>
      <c r="E38" s="1674" t="s">
        <v>7909</v>
      </c>
      <c r="J38" s="272"/>
      <c r="K38" s="578">
        <v>13</v>
      </c>
      <c r="L38" s="1670"/>
      <c r="M38" s="1673" t="s">
        <v>7910</v>
      </c>
      <c r="N38" s="1672"/>
      <c r="O38" s="1664"/>
      <c r="P38" s="1664"/>
      <c r="Q38" s="1664"/>
      <c r="R38" s="1664"/>
      <c r="S38" s="1664"/>
      <c r="T38" s="1664"/>
      <c r="U38" s="1664"/>
      <c r="V38" s="355"/>
      <c r="W38" s="272"/>
      <c r="X38" s="272"/>
      <c r="Y38" s="272"/>
      <c r="Z38" s="272"/>
      <c r="AA38" s="272"/>
      <c r="AB38" s="578">
        <v>8</v>
      </c>
      <c r="AC38" s="355"/>
    </row>
    <row r="39" spans="2:29" ht="12" customHeight="1">
      <c r="B39" s="578">
        <v>33</v>
      </c>
      <c r="C39" s="1674" t="s">
        <v>7911</v>
      </c>
      <c r="D39" s="1674" t="s">
        <v>7912</v>
      </c>
      <c r="J39" s="272"/>
      <c r="K39" s="578">
        <v>14</v>
      </c>
      <c r="L39" s="1670"/>
      <c r="M39" s="1673"/>
      <c r="N39" s="1672"/>
      <c r="O39" s="1664"/>
      <c r="P39" s="1664"/>
      <c r="Q39" s="1664"/>
      <c r="R39" s="1664"/>
      <c r="S39" s="1664"/>
      <c r="T39" s="1664"/>
      <c r="U39" s="1664"/>
      <c r="V39" s="355"/>
      <c r="W39" s="272"/>
      <c r="X39" s="272"/>
      <c r="Y39" s="272"/>
      <c r="Z39" s="272"/>
      <c r="AA39" s="272"/>
      <c r="AB39" s="578">
        <v>9</v>
      </c>
      <c r="AC39" s="355"/>
    </row>
    <row r="40" spans="2:29" ht="12" customHeight="1">
      <c r="B40" s="578">
        <v>34</v>
      </c>
      <c r="C40" s="1674" t="s">
        <v>7913</v>
      </c>
      <c r="D40" s="1674" t="s">
        <v>7914</v>
      </c>
      <c r="J40" s="272"/>
      <c r="K40" s="578">
        <v>15</v>
      </c>
      <c r="L40" s="1670"/>
      <c r="M40" s="1673"/>
      <c r="N40" s="1672"/>
      <c r="O40" s="1664"/>
      <c r="P40" s="1664"/>
      <c r="Q40" s="1664"/>
      <c r="R40" s="1664"/>
      <c r="S40" s="1664"/>
      <c r="T40" s="1664"/>
      <c r="U40" s="1664"/>
      <c r="V40" s="355"/>
      <c r="W40" s="272"/>
      <c r="X40" s="272"/>
      <c r="Y40" s="272"/>
      <c r="Z40" s="272"/>
      <c r="AA40" s="272"/>
      <c r="AB40" s="578">
        <v>10</v>
      </c>
      <c r="AC40" s="355"/>
    </row>
    <row r="41" spans="2:29" ht="12" customHeight="1">
      <c r="B41" s="578">
        <v>35</v>
      </c>
      <c r="C41" s="1674" t="s">
        <v>2310</v>
      </c>
      <c r="D41" s="1674" t="s">
        <v>7915</v>
      </c>
      <c r="J41" s="272"/>
      <c r="K41" s="578">
        <v>16</v>
      </c>
      <c r="L41" s="1670"/>
      <c r="M41" s="1673"/>
      <c r="N41" s="1672"/>
      <c r="O41" s="1664"/>
      <c r="P41" s="1664"/>
      <c r="Q41" s="1664"/>
      <c r="R41" s="1664"/>
      <c r="S41" s="1664"/>
      <c r="T41" s="1664"/>
      <c r="U41" s="1664"/>
      <c r="V41" s="355"/>
      <c r="W41" s="272"/>
      <c r="X41" s="272"/>
      <c r="Y41" s="272"/>
      <c r="Z41" s="272"/>
      <c r="AA41" s="272"/>
      <c r="AB41" s="578">
        <v>11</v>
      </c>
      <c r="AC41" s="355"/>
    </row>
    <row r="42" spans="2:29" ht="12" customHeight="1">
      <c r="B42" s="578">
        <v>36</v>
      </c>
      <c r="C42" s="1674" t="s">
        <v>7916</v>
      </c>
      <c r="D42" s="1674" t="s">
        <v>7917</v>
      </c>
      <c r="J42" s="272"/>
      <c r="K42" s="578">
        <v>17</v>
      </c>
      <c r="L42" s="1670"/>
      <c r="M42" s="1673"/>
      <c r="N42" s="1672"/>
      <c r="O42" s="1664"/>
      <c r="P42" s="1664"/>
      <c r="Q42" s="1664"/>
      <c r="R42" s="1664"/>
      <c r="S42" s="1664"/>
      <c r="T42" s="1664"/>
      <c r="U42" s="1664"/>
      <c r="V42" s="355"/>
      <c r="W42" s="272"/>
      <c r="X42" s="272"/>
      <c r="Y42" s="272"/>
      <c r="Z42" s="272"/>
      <c r="AA42" s="272"/>
      <c r="AB42" s="578">
        <v>12</v>
      </c>
      <c r="AC42" s="355"/>
    </row>
    <row r="43" spans="2:29" ht="12" customHeight="1">
      <c r="B43" s="578">
        <v>37</v>
      </c>
      <c r="C43" s="1674" t="s">
        <v>7918</v>
      </c>
      <c r="D43" s="1674" t="s">
        <v>7919</v>
      </c>
      <c r="E43" s="1674" t="s">
        <v>7920</v>
      </c>
      <c r="J43" s="272"/>
      <c r="K43" s="578">
        <v>18</v>
      </c>
      <c r="L43" s="1670"/>
      <c r="M43" s="1673"/>
      <c r="N43" s="1672"/>
      <c r="O43" s="1664"/>
      <c r="P43" s="1664"/>
      <c r="Q43" s="1664"/>
      <c r="R43" s="1664"/>
      <c r="S43" s="1664"/>
      <c r="T43" s="1664"/>
      <c r="U43" s="1664"/>
      <c r="V43" s="355"/>
      <c r="W43" s="272"/>
      <c r="X43" s="272"/>
      <c r="Y43" s="272"/>
      <c r="Z43" s="272"/>
      <c r="AA43" s="272"/>
      <c r="AB43" s="578">
        <v>13</v>
      </c>
      <c r="AC43" s="355"/>
    </row>
    <row r="44" spans="2:29" ht="12" customHeight="1" thickBot="1">
      <c r="B44" s="578">
        <v>38</v>
      </c>
      <c r="C44" s="1674" t="s">
        <v>7921</v>
      </c>
      <c r="D44" s="1674" t="s">
        <v>7922</v>
      </c>
      <c r="E44" s="1674" t="s">
        <v>7923</v>
      </c>
      <c r="J44" s="272"/>
      <c r="K44" s="583">
        <v>19</v>
      </c>
      <c r="L44" s="1675"/>
      <c r="M44" s="1676"/>
      <c r="N44" s="1677"/>
      <c r="O44" s="1678"/>
      <c r="P44" s="1678"/>
      <c r="Q44" s="1678"/>
      <c r="R44" s="1678"/>
      <c r="S44" s="1678"/>
      <c r="T44" s="1678"/>
      <c r="U44" s="1678"/>
      <c r="V44" s="411"/>
      <c r="W44" s="272"/>
      <c r="X44" s="272"/>
      <c r="Y44" s="272"/>
      <c r="Z44" s="272"/>
      <c r="AA44" s="272"/>
      <c r="AB44" s="578">
        <v>14</v>
      </c>
      <c r="AC44" s="355"/>
    </row>
    <row r="45" spans="2:29" ht="12" customHeight="1">
      <c r="B45" s="578">
        <v>39</v>
      </c>
      <c r="C45" s="1674" t="s">
        <v>7924</v>
      </c>
      <c r="D45" s="1674" t="s">
        <v>7925</v>
      </c>
      <c r="J45" s="272"/>
      <c r="K45" s="272"/>
      <c r="L45" s="272"/>
      <c r="M45" s="272"/>
      <c r="N45" s="272"/>
      <c r="O45" s="272"/>
      <c r="P45" s="272"/>
      <c r="Q45" s="272"/>
      <c r="R45" s="272"/>
      <c r="S45" s="272"/>
      <c r="T45" s="272"/>
      <c r="U45" s="272"/>
      <c r="V45" s="272"/>
      <c r="W45" s="272"/>
      <c r="X45" s="272"/>
      <c r="Y45" s="272"/>
      <c r="Z45" s="272"/>
      <c r="AA45" s="272"/>
      <c r="AB45" s="578">
        <v>15</v>
      </c>
      <c r="AC45" s="355"/>
    </row>
    <row r="46" spans="2:29" ht="12" customHeight="1" thickBot="1">
      <c r="B46" s="578">
        <v>40</v>
      </c>
      <c r="C46" s="1674" t="s">
        <v>7926</v>
      </c>
      <c r="D46" s="1674" t="s">
        <v>7925</v>
      </c>
      <c r="J46" s="272"/>
      <c r="K46" s="272"/>
      <c r="L46" s="272"/>
      <c r="M46" s="272"/>
      <c r="N46" s="272"/>
      <c r="O46" s="272"/>
      <c r="P46" s="272"/>
      <c r="Q46" s="272"/>
      <c r="R46" s="272"/>
      <c r="S46" s="272"/>
      <c r="T46" s="272"/>
      <c r="U46" s="272"/>
      <c r="V46" s="272"/>
      <c r="W46" s="272"/>
      <c r="X46" s="272"/>
      <c r="Y46" s="272"/>
      <c r="Z46" s="272"/>
      <c r="AA46" s="272"/>
      <c r="AB46" s="578">
        <v>16</v>
      </c>
      <c r="AC46" s="355"/>
    </row>
    <row r="47" spans="2:29" ht="12" customHeight="1" thickBot="1">
      <c r="B47" s="578">
        <v>41</v>
      </c>
      <c r="C47" s="1674" t="s">
        <v>7927</v>
      </c>
      <c r="D47" s="1674" t="s">
        <v>7914</v>
      </c>
      <c r="J47" s="272"/>
      <c r="K47" s="275" t="s">
        <v>7928</v>
      </c>
      <c r="L47" s="1658"/>
      <c r="M47" s="1658"/>
      <c r="N47" s="1658"/>
      <c r="O47" s="1658"/>
      <c r="P47" s="1658"/>
      <c r="Q47" s="1658"/>
      <c r="R47" s="1658"/>
      <c r="S47" s="1658"/>
      <c r="T47" s="1658"/>
      <c r="U47" s="1658"/>
      <c r="V47" s="1659"/>
      <c r="W47" s="272"/>
      <c r="X47" s="272"/>
      <c r="Y47" s="272"/>
      <c r="Z47" s="272"/>
      <c r="AA47" s="272"/>
      <c r="AB47" s="578">
        <v>17</v>
      </c>
      <c r="AC47" s="355" t="s">
        <v>7929</v>
      </c>
    </row>
    <row r="48" spans="2:29" ht="12" customHeight="1">
      <c r="B48" s="578">
        <v>42</v>
      </c>
      <c r="C48" s="1674" t="s">
        <v>7930</v>
      </c>
      <c r="D48" s="1674" t="s">
        <v>7931</v>
      </c>
      <c r="E48" s="1674" t="s">
        <v>7932</v>
      </c>
      <c r="J48" s="272"/>
      <c r="K48" s="465"/>
      <c r="L48" s="328" t="str">
        <f t="shared" ref="L48:V48" ca="1" si="4">VLOOKUP(RANDBETWEEN(1,L51),$K52:$V70,L50)</f>
        <v>Wee Jas, goddess of magic and death LN</v>
      </c>
      <c r="M48" s="328" t="str">
        <f t="shared" ca="1" si="4"/>
        <v>Hoar, god of revenge and retribution LN</v>
      </c>
      <c r="N48" s="328" t="str">
        <f t="shared" ca="1" si="4"/>
        <v>NONE</v>
      </c>
      <c r="O48" s="328" t="str">
        <f t="shared" ca="1" si="4"/>
        <v xml:space="preserve">The Blood of Vol, philosophy of immortality and undeath LN </v>
      </c>
      <c r="P48" s="328" t="str">
        <f t="shared" ca="1" si="4"/>
        <v>NONE</v>
      </c>
      <c r="Q48" s="328" t="str">
        <f t="shared" ca="1" si="4"/>
        <v xml:space="preserve">Manannan mac Lir, god of oceans and sea creatures LN </v>
      </c>
      <c r="R48" s="328" t="str">
        <f t="shared" ca="1" si="4"/>
        <v xml:space="preserve">Nike, goddess of victory LN </v>
      </c>
      <c r="S48" s="328" t="str">
        <f t="shared" ca="1" si="4"/>
        <v xml:space="preserve">Ptah, god of crafts, knowledge, and secrets LN </v>
      </c>
      <c r="T48" s="328" t="str">
        <f t="shared" ca="1" si="4"/>
        <v xml:space="preserve">Tyr, god of courage and strategy LN </v>
      </c>
      <c r="U48" s="328" t="str">
        <f t="shared" ca="1" si="4"/>
        <v>Acheron, the Infinite Battlefield of LN, LE</v>
      </c>
      <c r="V48" s="898" t="str">
        <f t="shared" ca="1" si="4"/>
        <v>NONE</v>
      </c>
      <c r="W48" s="272"/>
      <c r="X48" s="272"/>
      <c r="Y48" s="272"/>
      <c r="Z48" s="272"/>
      <c r="AA48" s="272"/>
      <c r="AB48" s="578">
        <v>18</v>
      </c>
      <c r="AC48" s="355" t="s">
        <v>7933</v>
      </c>
    </row>
    <row r="49" spans="2:29" ht="12" customHeight="1">
      <c r="B49" s="578">
        <v>43</v>
      </c>
      <c r="C49" s="1674" t="s">
        <v>2395</v>
      </c>
      <c r="D49" s="1674" t="s">
        <v>7934</v>
      </c>
      <c r="J49" s="272"/>
      <c r="K49" s="477"/>
      <c r="L49" s="1634" t="s">
        <v>7849</v>
      </c>
      <c r="M49" s="1634" t="s">
        <v>7850</v>
      </c>
      <c r="N49" s="1634" t="s">
        <v>7851</v>
      </c>
      <c r="O49" s="1634" t="s">
        <v>7852</v>
      </c>
      <c r="P49" s="1634" t="s">
        <v>7853</v>
      </c>
      <c r="Q49" s="545" t="s">
        <v>7854</v>
      </c>
      <c r="R49" s="545" t="s">
        <v>7855</v>
      </c>
      <c r="S49" s="545" t="s">
        <v>7856</v>
      </c>
      <c r="T49" s="545" t="s">
        <v>7857</v>
      </c>
      <c r="U49" s="545" t="s">
        <v>7858</v>
      </c>
      <c r="V49" s="1660" t="str">
        <f>IF([1]MATH!D34&lt;&gt;"Cleric","None","As Cleric")</f>
        <v>None</v>
      </c>
      <c r="W49" s="272"/>
      <c r="X49" s="272"/>
      <c r="Y49" s="272"/>
      <c r="Z49" s="272"/>
      <c r="AA49" s="272"/>
      <c r="AB49" s="578">
        <v>19</v>
      </c>
      <c r="AC49" s="355" t="s">
        <v>7935</v>
      </c>
    </row>
    <row r="50" spans="2:29" ht="12" customHeight="1">
      <c r="B50" s="578">
        <v>44</v>
      </c>
      <c r="C50" s="1674" t="s">
        <v>7936</v>
      </c>
      <c r="D50" s="1674" t="s">
        <v>7937</v>
      </c>
      <c r="E50" s="1674" t="s">
        <v>7932</v>
      </c>
      <c r="J50" s="272"/>
      <c r="K50" s="477" t="s">
        <v>6172</v>
      </c>
      <c r="L50" s="352">
        <v>2</v>
      </c>
      <c r="M50" s="352">
        <v>3</v>
      </c>
      <c r="N50" s="352">
        <v>4</v>
      </c>
      <c r="O50" s="352">
        <v>5</v>
      </c>
      <c r="P50" s="352">
        <v>6</v>
      </c>
      <c r="Q50" s="352">
        <v>7</v>
      </c>
      <c r="R50" s="352">
        <v>8</v>
      </c>
      <c r="S50" s="352">
        <v>9</v>
      </c>
      <c r="T50" s="352">
        <v>10</v>
      </c>
      <c r="U50" s="352">
        <v>11</v>
      </c>
      <c r="V50" s="883">
        <v>12</v>
      </c>
      <c r="W50" s="272"/>
      <c r="X50" s="272"/>
      <c r="Y50" s="272"/>
      <c r="Z50" s="272"/>
      <c r="AA50" s="272"/>
      <c r="AB50" s="578">
        <v>20</v>
      </c>
      <c r="AC50" s="633" t="str">
        <f ca="1">"Elemental plane of:  "&amp;IF(U254=1,"Chaos",IF(U254=2,"Air",IF(U254=3,"Fire",IF(U254=4,"water",IF(U254=5,"Earth")))))</f>
        <v>Elemental plane of:  water</v>
      </c>
    </row>
    <row r="51" spans="2:29" ht="12" customHeight="1" thickBot="1">
      <c r="B51" s="578">
        <v>45</v>
      </c>
      <c r="C51" s="1674" t="s">
        <v>7938</v>
      </c>
      <c r="D51" s="1674" t="s">
        <v>7917</v>
      </c>
      <c r="J51" s="272"/>
      <c r="K51" s="492" t="s">
        <v>6070</v>
      </c>
      <c r="L51" s="419">
        <f t="shared" ref="L51:V51" si="5">COUNT($K$52:$K$70)-COUNTBLANK(L52:L70)</f>
        <v>2</v>
      </c>
      <c r="M51" s="419">
        <f t="shared" si="5"/>
        <v>10</v>
      </c>
      <c r="N51" s="419">
        <f t="shared" si="5"/>
        <v>1</v>
      </c>
      <c r="O51" s="419">
        <f t="shared" si="5"/>
        <v>3</v>
      </c>
      <c r="P51" s="419">
        <f t="shared" si="5"/>
        <v>1</v>
      </c>
      <c r="Q51" s="419">
        <f t="shared" si="5"/>
        <v>1</v>
      </c>
      <c r="R51" s="419">
        <f t="shared" si="5"/>
        <v>1</v>
      </c>
      <c r="S51" s="419">
        <f t="shared" si="5"/>
        <v>2</v>
      </c>
      <c r="T51" s="419">
        <f t="shared" si="5"/>
        <v>1</v>
      </c>
      <c r="U51" s="419">
        <f t="shared" si="5"/>
        <v>3</v>
      </c>
      <c r="V51" s="504">
        <f t="shared" si="5"/>
        <v>1</v>
      </c>
      <c r="W51" s="272"/>
      <c r="X51" s="272"/>
      <c r="Y51" s="272"/>
      <c r="Z51" s="272"/>
      <c r="AA51" s="272"/>
      <c r="AB51" s="578">
        <v>21</v>
      </c>
      <c r="AC51" s="355" t="s">
        <v>7939</v>
      </c>
    </row>
    <row r="52" spans="2:29" ht="12" customHeight="1">
      <c r="B52" s="578">
        <v>46</v>
      </c>
      <c r="C52" s="1674" t="s">
        <v>2396</v>
      </c>
      <c r="D52" s="1674" t="s">
        <v>7940</v>
      </c>
      <c r="J52" s="272"/>
      <c r="K52" s="572">
        <v>1</v>
      </c>
      <c r="L52" s="1679" t="s">
        <v>7941</v>
      </c>
      <c r="M52" s="1662" t="s">
        <v>7942</v>
      </c>
      <c r="N52" s="1662" t="s">
        <v>7841</v>
      </c>
      <c r="O52" s="1662" t="s">
        <v>7943</v>
      </c>
      <c r="P52" s="1662" t="s">
        <v>7841</v>
      </c>
      <c r="Q52" s="1662" t="s">
        <v>7944</v>
      </c>
      <c r="R52" s="1662" t="s">
        <v>7945</v>
      </c>
      <c r="S52" s="1662" t="s">
        <v>7946</v>
      </c>
      <c r="T52" s="1662" t="s">
        <v>7947</v>
      </c>
      <c r="U52" s="1662" t="s">
        <v>7948</v>
      </c>
      <c r="V52" s="1663" t="s">
        <v>7841</v>
      </c>
      <c r="W52" s="272"/>
      <c r="X52" s="272"/>
      <c r="Y52" s="272"/>
      <c r="Z52" s="272"/>
      <c r="AA52" s="272"/>
      <c r="AB52" s="578">
        <v>22</v>
      </c>
      <c r="AC52" s="355" t="s">
        <v>7949</v>
      </c>
    </row>
    <row r="53" spans="2:29" ht="12" customHeight="1">
      <c r="B53" s="578">
        <v>47</v>
      </c>
      <c r="C53" s="1674" t="s">
        <v>7950</v>
      </c>
      <c r="D53" s="1674" t="s">
        <v>7951</v>
      </c>
      <c r="E53" s="1674" t="s">
        <v>7952</v>
      </c>
      <c r="J53" s="272"/>
      <c r="K53" s="578">
        <v>2</v>
      </c>
      <c r="L53" s="1664" t="s">
        <v>7953</v>
      </c>
      <c r="M53" s="1664" t="s">
        <v>7954</v>
      </c>
      <c r="N53" s="1664"/>
      <c r="O53" s="1664" t="s">
        <v>7955</v>
      </c>
      <c r="P53" s="1664"/>
      <c r="Q53" s="1664"/>
      <c r="R53" s="1664"/>
      <c r="S53" s="1664" t="s">
        <v>7956</v>
      </c>
      <c r="T53" s="1664"/>
      <c r="U53" s="1664" t="s">
        <v>7957</v>
      </c>
      <c r="V53" s="355"/>
      <c r="W53" s="272"/>
      <c r="X53" s="272"/>
      <c r="Y53" s="272"/>
      <c r="Z53" s="272"/>
      <c r="AA53" s="272"/>
      <c r="AB53" s="578">
        <v>23</v>
      </c>
      <c r="AC53" s="355" t="s">
        <v>7958</v>
      </c>
    </row>
    <row r="54" spans="2:29" ht="12" customHeight="1">
      <c r="B54" s="578">
        <v>48</v>
      </c>
      <c r="C54" s="1674" t="s">
        <v>7959</v>
      </c>
      <c r="D54" s="1674" t="s">
        <v>7960</v>
      </c>
      <c r="J54" s="272"/>
      <c r="K54" s="578">
        <v>3</v>
      </c>
      <c r="L54" s="1664"/>
      <c r="M54" s="1664" t="s">
        <v>7961</v>
      </c>
      <c r="N54" s="1664"/>
      <c r="O54" s="1664" t="s">
        <v>7962</v>
      </c>
      <c r="P54" s="1664"/>
      <c r="Q54" s="1664"/>
      <c r="R54" s="1664"/>
      <c r="S54" s="1664"/>
      <c r="T54" s="1664"/>
      <c r="U54" s="1664" t="s">
        <v>7886</v>
      </c>
      <c r="V54" s="355"/>
      <c r="W54" s="272"/>
      <c r="X54" s="272"/>
      <c r="Y54" s="272"/>
      <c r="Z54" s="272"/>
      <c r="AA54" s="272"/>
      <c r="AB54" s="578">
        <v>24</v>
      </c>
      <c r="AC54" s="355" t="s">
        <v>7963</v>
      </c>
    </row>
    <row r="55" spans="2:29" ht="12" customHeight="1">
      <c r="B55" s="578">
        <v>49</v>
      </c>
      <c r="C55" s="1674" t="s">
        <v>7964</v>
      </c>
      <c r="D55" s="1674" t="s">
        <v>7965</v>
      </c>
      <c r="E55" s="1674" t="s">
        <v>7932</v>
      </c>
      <c r="J55" s="272"/>
      <c r="K55" s="578">
        <v>4</v>
      </c>
      <c r="L55" s="1664"/>
      <c r="M55" s="1664" t="s">
        <v>7966</v>
      </c>
      <c r="N55" s="1664"/>
      <c r="O55" s="1664"/>
      <c r="P55" s="1664"/>
      <c r="Q55" s="1664"/>
      <c r="R55" s="1664"/>
      <c r="S55" s="1664"/>
      <c r="T55" s="1664"/>
      <c r="U55" s="1664"/>
      <c r="V55" s="355"/>
      <c r="W55" s="272"/>
      <c r="X55" s="272"/>
      <c r="Y55" s="272"/>
      <c r="Z55" s="272"/>
      <c r="AA55" s="272"/>
      <c r="AB55" s="578">
        <v>25</v>
      </c>
      <c r="AC55" s="355" t="s">
        <v>7967</v>
      </c>
    </row>
    <row r="56" spans="2:29" ht="12" customHeight="1" thickBot="1">
      <c r="B56" s="578">
        <v>50</v>
      </c>
      <c r="C56" s="1674" t="s">
        <v>7968</v>
      </c>
      <c r="D56" s="1674" t="s">
        <v>7969</v>
      </c>
      <c r="J56" s="272"/>
      <c r="K56" s="578">
        <v>5</v>
      </c>
      <c r="L56" s="1664"/>
      <c r="M56" s="1664" t="s">
        <v>7970</v>
      </c>
      <c r="N56" s="1664"/>
      <c r="O56" s="1664"/>
      <c r="P56" s="1664"/>
      <c r="Q56" s="1664"/>
      <c r="R56" s="1664"/>
      <c r="S56" s="1664"/>
      <c r="T56" s="1664"/>
      <c r="U56" s="1664"/>
      <c r="V56" s="355"/>
      <c r="W56" s="272"/>
      <c r="X56" s="272"/>
      <c r="Y56" s="272"/>
      <c r="Z56" s="272"/>
      <c r="AA56" s="272"/>
      <c r="AB56" s="583">
        <v>26</v>
      </c>
      <c r="AC56" s="411" t="s">
        <v>7971</v>
      </c>
    </row>
    <row r="57" spans="2:29" ht="12" customHeight="1">
      <c r="B57" s="578">
        <v>51</v>
      </c>
      <c r="C57" s="1674" t="s">
        <v>7972</v>
      </c>
      <c r="D57" s="1674" t="s">
        <v>7904</v>
      </c>
      <c r="E57" s="1674" t="s">
        <v>7920</v>
      </c>
      <c r="J57" s="272"/>
      <c r="K57" s="578">
        <v>6</v>
      </c>
      <c r="L57" s="1664"/>
      <c r="M57" s="1664" t="s">
        <v>7973</v>
      </c>
      <c r="N57" s="1664"/>
      <c r="O57" s="1664"/>
      <c r="P57" s="1664"/>
      <c r="Q57" s="1664"/>
      <c r="R57" s="1664"/>
      <c r="S57" s="1664"/>
      <c r="T57" s="1664"/>
      <c r="U57" s="1664"/>
      <c r="V57" s="355"/>
      <c r="W57" s="272"/>
      <c r="X57" s="272"/>
      <c r="Y57" s="272"/>
      <c r="Z57" s="272"/>
      <c r="AA57" s="272"/>
      <c r="AB57" s="272"/>
      <c r="AC57" s="272"/>
    </row>
    <row r="58" spans="2:29" ht="12" customHeight="1">
      <c r="B58" s="578">
        <v>52</v>
      </c>
      <c r="C58" s="1674" t="s">
        <v>7974</v>
      </c>
      <c r="D58" s="1674" t="s">
        <v>7908</v>
      </c>
      <c r="E58" s="1674" t="s">
        <v>7932</v>
      </c>
      <c r="J58" s="272"/>
      <c r="K58" s="578">
        <v>7</v>
      </c>
      <c r="L58" s="1664"/>
      <c r="M58" s="1664" t="s">
        <v>7975</v>
      </c>
      <c r="N58" s="1664"/>
      <c r="O58" s="1664"/>
      <c r="P58" s="1664"/>
      <c r="Q58" s="1664"/>
      <c r="R58" s="1664"/>
      <c r="S58" s="1664"/>
      <c r="T58" s="1664"/>
      <c r="U58" s="1664"/>
      <c r="V58" s="355"/>
      <c r="W58" s="272"/>
      <c r="X58" s="272"/>
      <c r="Y58" s="272"/>
      <c r="Z58" s="272"/>
      <c r="AA58" s="272"/>
      <c r="AB58" s="272"/>
      <c r="AC58" s="272"/>
    </row>
    <row r="59" spans="2:29" ht="12" customHeight="1">
      <c r="B59" s="578">
        <v>53</v>
      </c>
      <c r="C59" s="1674" t="s">
        <v>7976</v>
      </c>
      <c r="D59" s="1674" t="s">
        <v>7908</v>
      </c>
      <c r="E59" s="1674" t="s">
        <v>7932</v>
      </c>
      <c r="J59" s="272"/>
      <c r="K59" s="578">
        <v>8</v>
      </c>
      <c r="L59" s="1664"/>
      <c r="M59" s="1664" t="s">
        <v>7977</v>
      </c>
      <c r="N59" s="1664"/>
      <c r="O59" s="1664"/>
      <c r="P59" s="1664"/>
      <c r="Q59" s="1664"/>
      <c r="R59" s="1664"/>
      <c r="S59" s="1664"/>
      <c r="T59" s="1664"/>
      <c r="U59" s="1664"/>
      <c r="V59" s="355"/>
      <c r="W59" s="272"/>
      <c r="X59" s="272"/>
      <c r="Y59" s="272"/>
      <c r="Z59" s="272"/>
      <c r="AA59" s="272"/>
      <c r="AB59" s="272"/>
      <c r="AC59" s="272"/>
    </row>
    <row r="60" spans="2:29" ht="12" customHeight="1">
      <c r="B60" s="578">
        <v>54</v>
      </c>
      <c r="C60" s="1674" t="s">
        <v>7978</v>
      </c>
      <c r="D60" s="1674" t="s">
        <v>7904</v>
      </c>
      <c r="E60" s="1674" t="s">
        <v>7905</v>
      </c>
      <c r="J60" s="272"/>
      <c r="K60" s="578">
        <v>9</v>
      </c>
      <c r="L60" s="1664"/>
      <c r="M60" s="1664" t="s">
        <v>7979</v>
      </c>
      <c r="N60" s="1664"/>
      <c r="O60" s="1664"/>
      <c r="P60" s="1664"/>
      <c r="Q60" s="1664"/>
      <c r="R60" s="1664"/>
      <c r="S60" s="1664"/>
      <c r="T60" s="1664"/>
      <c r="U60" s="1664"/>
      <c r="V60" s="355"/>
      <c r="W60" s="272"/>
      <c r="X60" s="272"/>
      <c r="Y60" s="272"/>
      <c r="Z60" s="272"/>
      <c r="AA60" s="272"/>
      <c r="AB60" s="272"/>
      <c r="AC60" s="272"/>
    </row>
    <row r="61" spans="2:29" ht="12" customHeight="1">
      <c r="B61" s="578">
        <v>55</v>
      </c>
      <c r="C61" s="1674" t="s">
        <v>7980</v>
      </c>
      <c r="D61" s="1674" t="s">
        <v>7981</v>
      </c>
      <c r="E61" s="1674" t="s">
        <v>7982</v>
      </c>
      <c r="J61" s="272"/>
      <c r="K61" s="578">
        <v>10</v>
      </c>
      <c r="L61" s="1664"/>
      <c r="M61" s="1664" t="s">
        <v>7983</v>
      </c>
      <c r="N61" s="1664"/>
      <c r="O61" s="1664"/>
      <c r="P61" s="1664"/>
      <c r="Q61" s="1664"/>
      <c r="R61" s="1664"/>
      <c r="S61" s="1664"/>
      <c r="T61" s="1664"/>
      <c r="U61" s="1664"/>
      <c r="V61" s="355"/>
      <c r="W61" s="272"/>
      <c r="X61" s="272"/>
      <c r="Y61" s="272"/>
      <c r="Z61" s="272"/>
      <c r="AA61" s="272"/>
      <c r="AB61" s="272"/>
      <c r="AC61" s="272"/>
    </row>
    <row r="62" spans="2:29" ht="12" customHeight="1">
      <c r="B62" s="578">
        <v>56</v>
      </c>
      <c r="C62" s="1674" t="s">
        <v>7984</v>
      </c>
      <c r="D62" s="1674" t="s">
        <v>7985</v>
      </c>
      <c r="J62" s="272"/>
      <c r="K62" s="578">
        <v>11</v>
      </c>
      <c r="L62" s="1664"/>
      <c r="M62" s="1664"/>
      <c r="N62" s="1664"/>
      <c r="O62" s="1664"/>
      <c r="P62" s="1664"/>
      <c r="Q62" s="1664"/>
      <c r="R62" s="1664"/>
      <c r="S62" s="1664"/>
      <c r="T62" s="1664"/>
      <c r="U62" s="1664"/>
      <c r="V62" s="355"/>
      <c r="W62" s="272"/>
      <c r="X62" s="272"/>
      <c r="Y62" s="272"/>
      <c r="Z62" s="272"/>
      <c r="AA62" s="272"/>
      <c r="AB62" s="272"/>
      <c r="AC62" s="272"/>
    </row>
    <row r="63" spans="2:29" ht="12" customHeight="1">
      <c r="B63" s="578">
        <v>57</v>
      </c>
      <c r="C63" s="1674" t="s">
        <v>7986</v>
      </c>
      <c r="D63" s="1674" t="s">
        <v>7987</v>
      </c>
      <c r="J63" s="272"/>
      <c r="K63" s="578">
        <v>12</v>
      </c>
      <c r="L63" s="1664"/>
      <c r="M63" s="1664"/>
      <c r="N63" s="1664"/>
      <c r="O63" s="1664"/>
      <c r="P63" s="1664"/>
      <c r="Q63" s="1664"/>
      <c r="R63" s="1664"/>
      <c r="S63" s="1664"/>
      <c r="T63" s="1664"/>
      <c r="U63" s="1664"/>
      <c r="V63" s="355"/>
      <c r="W63" s="272"/>
      <c r="X63" s="272"/>
      <c r="Y63" s="272"/>
      <c r="Z63" s="272"/>
      <c r="AA63" s="272"/>
      <c r="AB63" s="272"/>
      <c r="AC63" s="272"/>
    </row>
    <row r="64" spans="2:29" ht="12" customHeight="1">
      <c r="B64" s="578">
        <v>58</v>
      </c>
      <c r="C64" s="1674" t="s">
        <v>7988</v>
      </c>
      <c r="D64" s="1674" t="s">
        <v>7989</v>
      </c>
      <c r="E64" s="1674" t="s">
        <v>7990</v>
      </c>
      <c r="J64" s="272"/>
      <c r="K64" s="578">
        <v>13</v>
      </c>
      <c r="L64" s="1664"/>
      <c r="M64" s="1664"/>
      <c r="N64" s="1664"/>
      <c r="O64" s="1664"/>
      <c r="P64" s="1664"/>
      <c r="Q64" s="1664"/>
      <c r="R64" s="1664"/>
      <c r="S64" s="1664"/>
      <c r="T64" s="1664"/>
      <c r="U64" s="1664"/>
      <c r="V64" s="355"/>
      <c r="W64" s="272"/>
      <c r="X64" s="272"/>
      <c r="Y64" s="272"/>
      <c r="Z64" s="272"/>
      <c r="AA64" s="272"/>
      <c r="AB64" s="272"/>
      <c r="AC64" s="272"/>
    </row>
    <row r="65" spans="2:29" ht="12" customHeight="1">
      <c r="B65" s="578">
        <v>59</v>
      </c>
      <c r="C65" s="1674" t="s">
        <v>7991</v>
      </c>
      <c r="D65" s="1674" t="s">
        <v>7992</v>
      </c>
      <c r="E65" s="1674" t="s">
        <v>7932</v>
      </c>
      <c r="J65" s="272"/>
      <c r="K65" s="578">
        <v>14</v>
      </c>
      <c r="L65" s="1664"/>
      <c r="M65" s="1664"/>
      <c r="N65" s="1664"/>
      <c r="O65" s="1664"/>
      <c r="P65" s="1664"/>
      <c r="Q65" s="1664"/>
      <c r="R65" s="1664"/>
      <c r="S65" s="1664"/>
      <c r="T65" s="1664"/>
      <c r="U65" s="1664"/>
      <c r="V65" s="355"/>
      <c r="W65" s="272"/>
      <c r="X65" s="272"/>
      <c r="Y65" s="272"/>
      <c r="Z65" s="272"/>
      <c r="AA65" s="272"/>
      <c r="AB65" s="272"/>
      <c r="AC65" s="272"/>
    </row>
    <row r="66" spans="2:29" ht="12" customHeight="1">
      <c r="B66" s="578">
        <v>60</v>
      </c>
      <c r="C66" s="1674" t="s">
        <v>2324</v>
      </c>
      <c r="D66" s="1674" t="s">
        <v>7993</v>
      </c>
      <c r="E66" s="1674" t="s">
        <v>7920</v>
      </c>
      <c r="J66" s="272"/>
      <c r="K66" s="578">
        <v>15</v>
      </c>
      <c r="L66" s="1664"/>
      <c r="M66" s="1664"/>
      <c r="N66" s="1664"/>
      <c r="O66" s="1664"/>
      <c r="P66" s="1664"/>
      <c r="Q66" s="1664"/>
      <c r="R66" s="1664"/>
      <c r="S66" s="1664"/>
      <c r="T66" s="1664"/>
      <c r="U66" s="1664"/>
      <c r="V66" s="355"/>
      <c r="W66" s="272"/>
      <c r="X66" s="272"/>
      <c r="Y66" s="272"/>
      <c r="Z66" s="272"/>
      <c r="AA66" s="272"/>
      <c r="AB66" s="272"/>
      <c r="AC66" s="272"/>
    </row>
    <row r="67" spans="2:29" ht="12" customHeight="1">
      <c r="B67" s="578">
        <v>61</v>
      </c>
      <c r="C67" s="1674" t="s">
        <v>7994</v>
      </c>
      <c r="D67" s="1674" t="s">
        <v>7904</v>
      </c>
      <c r="E67" s="1674" t="s">
        <v>7920</v>
      </c>
      <c r="F67" s="1674" t="s">
        <v>7905</v>
      </c>
      <c r="J67" s="272"/>
      <c r="K67" s="578">
        <v>16</v>
      </c>
      <c r="L67" s="1664"/>
      <c r="M67" s="1664"/>
      <c r="N67" s="1664"/>
      <c r="O67" s="1664"/>
      <c r="P67" s="1664"/>
      <c r="Q67" s="1664"/>
      <c r="R67" s="1664"/>
      <c r="S67" s="1664"/>
      <c r="T67" s="1664"/>
      <c r="U67" s="1664"/>
      <c r="V67" s="355"/>
      <c r="W67" s="272"/>
      <c r="X67" s="272"/>
      <c r="Y67" s="272"/>
      <c r="Z67" s="272"/>
      <c r="AA67" s="272"/>
      <c r="AB67" s="272"/>
      <c r="AC67" s="272"/>
    </row>
    <row r="68" spans="2:29" ht="12" customHeight="1">
      <c r="B68" s="578">
        <v>62</v>
      </c>
      <c r="C68" s="1674" t="s">
        <v>2326</v>
      </c>
      <c r="D68" s="1674" t="s">
        <v>7931</v>
      </c>
      <c r="E68" s="1674" t="s">
        <v>7932</v>
      </c>
      <c r="J68" s="272"/>
      <c r="K68" s="578">
        <v>17</v>
      </c>
      <c r="L68" s="1664"/>
      <c r="M68" s="1664"/>
      <c r="N68" s="1664"/>
      <c r="O68" s="1664"/>
      <c r="P68" s="1664"/>
      <c r="Q68" s="1664"/>
      <c r="R68" s="1664"/>
      <c r="S68" s="1664"/>
      <c r="T68" s="1664"/>
      <c r="U68" s="1664"/>
      <c r="V68" s="355"/>
      <c r="W68" s="272"/>
      <c r="X68" s="272"/>
      <c r="Y68" s="272"/>
      <c r="Z68" s="272"/>
      <c r="AA68" s="272"/>
      <c r="AB68" s="272"/>
      <c r="AC68" s="272"/>
    </row>
    <row r="69" spans="2:29" ht="12" customHeight="1">
      <c r="B69" s="578">
        <v>63</v>
      </c>
      <c r="C69" s="1674" t="s">
        <v>2265</v>
      </c>
      <c r="D69" s="1674" t="s">
        <v>7995</v>
      </c>
      <c r="J69" s="272"/>
      <c r="K69" s="578">
        <v>18</v>
      </c>
      <c r="L69" s="1664"/>
      <c r="M69" s="1664"/>
      <c r="N69" s="1664"/>
      <c r="O69" s="1664"/>
      <c r="P69" s="1664"/>
      <c r="Q69" s="1664"/>
      <c r="R69" s="1664"/>
      <c r="S69" s="1664"/>
      <c r="T69" s="1664"/>
      <c r="U69" s="1664"/>
      <c r="V69" s="355"/>
      <c r="W69" s="272"/>
      <c r="X69" s="272"/>
      <c r="Y69" s="272"/>
      <c r="Z69" s="272"/>
      <c r="AA69" s="272"/>
      <c r="AB69" s="272"/>
      <c r="AC69" s="272"/>
    </row>
    <row r="70" spans="2:29" ht="12" customHeight="1" thickBot="1">
      <c r="B70" s="578">
        <v>64</v>
      </c>
      <c r="C70" s="1674" t="s">
        <v>7996</v>
      </c>
      <c r="D70" s="1674" t="s">
        <v>7997</v>
      </c>
      <c r="J70" s="272"/>
      <c r="K70" s="583">
        <v>19</v>
      </c>
      <c r="L70" s="1678"/>
      <c r="M70" s="1678"/>
      <c r="N70" s="1678"/>
      <c r="O70" s="1678"/>
      <c r="P70" s="1678"/>
      <c r="Q70" s="1678"/>
      <c r="R70" s="1678"/>
      <c r="S70" s="1678"/>
      <c r="T70" s="1678"/>
      <c r="U70" s="1678"/>
      <c r="V70" s="411"/>
      <c r="W70" s="272"/>
      <c r="X70" s="272"/>
      <c r="Y70" s="272"/>
      <c r="Z70" s="272"/>
      <c r="AA70" s="272"/>
      <c r="AB70" s="272"/>
      <c r="AC70" s="272"/>
    </row>
    <row r="71" spans="2:29" ht="12" customHeight="1">
      <c r="B71" s="578">
        <v>65</v>
      </c>
      <c r="C71" s="1674" t="s">
        <v>7998</v>
      </c>
      <c r="D71" s="1674" t="s">
        <v>7999</v>
      </c>
      <c r="E71" s="1674" t="s">
        <v>7932</v>
      </c>
      <c r="J71" s="272"/>
      <c r="K71" s="272"/>
      <c r="L71" s="272"/>
      <c r="M71" s="272"/>
      <c r="N71" s="272"/>
      <c r="O71" s="272"/>
      <c r="P71" s="272"/>
      <c r="Q71" s="272"/>
      <c r="R71" s="272"/>
      <c r="S71" s="272"/>
      <c r="T71" s="272"/>
      <c r="U71" s="272"/>
      <c r="V71" s="272"/>
      <c r="W71" s="272"/>
      <c r="X71" s="272"/>
      <c r="Y71" s="272"/>
      <c r="Z71" s="272"/>
      <c r="AA71" s="272"/>
      <c r="AB71" s="272"/>
      <c r="AC71" s="272"/>
    </row>
    <row r="72" spans="2:29" ht="12" customHeight="1" thickBot="1">
      <c r="B72" s="578">
        <v>66</v>
      </c>
      <c r="C72" s="1674" t="s">
        <v>8000</v>
      </c>
      <c r="D72" s="1674" t="s">
        <v>7965</v>
      </c>
      <c r="E72" s="1674" t="s">
        <v>8001</v>
      </c>
      <c r="J72" s="272"/>
      <c r="K72" s="272"/>
      <c r="L72" s="272"/>
      <c r="M72" s="272"/>
      <c r="N72" s="272"/>
      <c r="O72" s="272"/>
      <c r="P72" s="272"/>
      <c r="Q72" s="272"/>
      <c r="R72" s="272"/>
      <c r="S72" s="272"/>
      <c r="T72" s="272"/>
      <c r="U72" s="272"/>
      <c r="V72" s="272"/>
      <c r="W72" s="272"/>
      <c r="X72" s="272"/>
      <c r="Y72" s="272"/>
      <c r="Z72" s="272"/>
      <c r="AA72" s="272"/>
      <c r="AB72" s="272"/>
      <c r="AC72" s="272"/>
    </row>
    <row r="73" spans="2:29" ht="12" customHeight="1" thickBot="1">
      <c r="B73" s="578">
        <v>67</v>
      </c>
      <c r="C73" s="1674" t="s">
        <v>2428</v>
      </c>
      <c r="D73" s="1674" t="s">
        <v>8002</v>
      </c>
      <c r="E73" s="1674" t="s">
        <v>7932</v>
      </c>
      <c r="J73" s="272"/>
      <c r="K73" s="275" t="s">
        <v>8003</v>
      </c>
      <c r="L73" s="1658"/>
      <c r="M73" s="1658"/>
      <c r="N73" s="1658"/>
      <c r="O73" s="1658"/>
      <c r="P73" s="1658"/>
      <c r="Q73" s="1658"/>
      <c r="R73" s="1658"/>
      <c r="S73" s="1658"/>
      <c r="T73" s="1658"/>
      <c r="U73" s="1658"/>
      <c r="V73" s="1659"/>
      <c r="W73" s="272"/>
      <c r="X73" s="272"/>
      <c r="Y73" s="272"/>
      <c r="Z73" s="272"/>
      <c r="AA73" s="272"/>
      <c r="AB73" s="272"/>
      <c r="AC73" s="272"/>
    </row>
    <row r="74" spans="2:29" ht="12" customHeight="1">
      <c r="B74" s="578">
        <v>68</v>
      </c>
      <c r="C74" s="1674" t="s">
        <v>8004</v>
      </c>
      <c r="D74" s="1674" t="s">
        <v>8005</v>
      </c>
      <c r="J74" s="272"/>
      <c r="K74" s="465"/>
      <c r="L74" s="328" t="str">
        <f t="shared" ref="L74:V74" ca="1" si="6">VLOOKUP(RANDBETWEEN(1,L77),$K78:$V96,L76)</f>
        <v xml:space="preserve">Sekolah, sahuagin god of the hunt LE </v>
      </c>
      <c r="M74" s="328" t="str">
        <f t="shared" ca="1" si="6"/>
        <v xml:space="preserve">Sekolah, sahuagin god of the hunt LE </v>
      </c>
      <c r="N74" s="328" t="str">
        <f t="shared" ca="1" si="6"/>
        <v>Takhisis, goddess of night and hatred LE</v>
      </c>
      <c r="O74" s="328" t="str">
        <f t="shared" ca="1" si="6"/>
        <v>NONE</v>
      </c>
      <c r="P74" s="328" t="str">
        <f t="shared" ca="1" si="6"/>
        <v xml:space="preserve">Sekolah, sahuagin god of the hunt LE </v>
      </c>
      <c r="Q74" s="328" t="str">
        <f t="shared" ca="1" si="6"/>
        <v>NONE</v>
      </c>
      <c r="R74" s="328" t="str">
        <f t="shared" ca="1" si="6"/>
        <v xml:space="preserve">Hades, god of the underworld LE </v>
      </c>
      <c r="S74" s="328" t="str">
        <f t="shared" ca="1" si="6"/>
        <v xml:space="preserve">Sobek, god of water and crocodiles LE </v>
      </c>
      <c r="T74" s="328" t="str">
        <f t="shared" ca="1" si="6"/>
        <v xml:space="preserve">Surtur, god of fire giants and war LE </v>
      </c>
      <c r="U74" s="328" t="str">
        <f t="shared" ca="1" si="6"/>
        <v>Acheron, the Infinite Battlefield of LN, LE</v>
      </c>
      <c r="V74" s="898" t="str">
        <f t="shared" ca="1" si="6"/>
        <v>NONE</v>
      </c>
      <c r="W74" s="272"/>
      <c r="X74" s="272"/>
      <c r="Y74" s="272"/>
      <c r="Z74" s="272"/>
      <c r="AA74" s="272"/>
      <c r="AB74" s="272"/>
      <c r="AC74" s="272"/>
    </row>
    <row r="75" spans="2:29" ht="12" customHeight="1">
      <c r="B75" s="578">
        <v>69</v>
      </c>
      <c r="C75" s="1674" t="s">
        <v>2429</v>
      </c>
      <c r="D75" s="1674" t="s">
        <v>8006</v>
      </c>
      <c r="J75" s="272"/>
      <c r="K75" s="477"/>
      <c r="L75" s="1634" t="s">
        <v>7849</v>
      </c>
      <c r="M75" s="1634" t="s">
        <v>7850</v>
      </c>
      <c r="N75" s="1634" t="s">
        <v>7851</v>
      </c>
      <c r="O75" s="1634" t="s">
        <v>7852</v>
      </c>
      <c r="P75" s="1634" t="s">
        <v>7853</v>
      </c>
      <c r="Q75" s="545" t="s">
        <v>7854</v>
      </c>
      <c r="R75" s="545" t="s">
        <v>7855</v>
      </c>
      <c r="S75" s="545" t="s">
        <v>7856</v>
      </c>
      <c r="T75" s="545" t="s">
        <v>7857</v>
      </c>
      <c r="U75" s="545" t="s">
        <v>7858</v>
      </c>
      <c r="V75" s="1660" t="str">
        <f>IF(EQUIPMENT!AC37&lt;&gt;"Cleric","None","As Cleric")</f>
        <v>None</v>
      </c>
      <c r="W75" s="272"/>
      <c r="X75" s="272"/>
      <c r="Y75" s="272"/>
      <c r="Z75" s="272"/>
      <c r="AA75" s="272"/>
      <c r="AB75" s="272"/>
      <c r="AC75" s="272"/>
    </row>
    <row r="76" spans="2:29" ht="12" customHeight="1">
      <c r="B76" s="578">
        <v>70</v>
      </c>
      <c r="C76" s="1674" t="s">
        <v>8007</v>
      </c>
      <c r="D76" s="1674" t="s">
        <v>7969</v>
      </c>
      <c r="J76" s="272"/>
      <c r="K76" s="477" t="s">
        <v>6172</v>
      </c>
      <c r="L76" s="352">
        <v>2</v>
      </c>
      <c r="M76" s="352">
        <v>3</v>
      </c>
      <c r="N76" s="352">
        <v>4</v>
      </c>
      <c r="O76" s="352">
        <v>5</v>
      </c>
      <c r="P76" s="352">
        <v>6</v>
      </c>
      <c r="Q76" s="352">
        <v>7</v>
      </c>
      <c r="R76" s="352">
        <v>8</v>
      </c>
      <c r="S76" s="352">
        <v>9</v>
      </c>
      <c r="T76" s="352">
        <v>10</v>
      </c>
      <c r="U76" s="352">
        <v>11</v>
      </c>
      <c r="V76" s="883">
        <v>12</v>
      </c>
      <c r="W76" s="272"/>
      <c r="X76" s="272"/>
      <c r="Y76" s="272"/>
      <c r="Z76" s="272"/>
      <c r="AA76" s="272"/>
      <c r="AB76" s="272"/>
      <c r="AC76" s="272"/>
    </row>
    <row r="77" spans="2:29" ht="12" customHeight="1" thickBot="1">
      <c r="B77" s="578">
        <v>71</v>
      </c>
      <c r="C77" s="1674" t="s">
        <v>8008</v>
      </c>
      <c r="D77" s="1674" t="s">
        <v>7951</v>
      </c>
      <c r="E77" s="1674" t="s">
        <v>7952</v>
      </c>
      <c r="J77" s="272"/>
      <c r="K77" s="492" t="s">
        <v>6070</v>
      </c>
      <c r="L77" s="419">
        <f t="shared" ref="L77:V77" si="7">COUNT($K$78:$K$96)-COUNTBLANK(L78:L96)</f>
        <v>6</v>
      </c>
      <c r="M77" s="419">
        <f t="shared" si="7"/>
        <v>13</v>
      </c>
      <c r="N77" s="419">
        <f t="shared" si="7"/>
        <v>4</v>
      </c>
      <c r="O77" s="419">
        <f t="shared" si="7"/>
        <v>1</v>
      </c>
      <c r="P77" s="419">
        <f t="shared" si="7"/>
        <v>5</v>
      </c>
      <c r="Q77" s="419">
        <f t="shared" si="7"/>
        <v>1</v>
      </c>
      <c r="R77" s="419">
        <f t="shared" si="7"/>
        <v>1</v>
      </c>
      <c r="S77" s="419">
        <f t="shared" si="7"/>
        <v>1</v>
      </c>
      <c r="T77" s="419">
        <f t="shared" si="7"/>
        <v>1</v>
      </c>
      <c r="U77" s="419">
        <f t="shared" si="7"/>
        <v>3</v>
      </c>
      <c r="V77" s="504">
        <f t="shared" si="7"/>
        <v>1</v>
      </c>
      <c r="W77" s="272"/>
      <c r="X77" s="272"/>
      <c r="Y77" s="272"/>
      <c r="Z77" s="272"/>
      <c r="AA77" s="272"/>
      <c r="AB77" s="272"/>
      <c r="AC77" s="272"/>
    </row>
    <row r="78" spans="2:29" ht="12" customHeight="1">
      <c r="B78" s="578">
        <v>72</v>
      </c>
      <c r="C78" s="1674" t="s">
        <v>8009</v>
      </c>
      <c r="D78" s="1674" t="s">
        <v>8010</v>
      </c>
      <c r="E78" s="1674" t="s">
        <v>8011</v>
      </c>
      <c r="J78" s="272"/>
      <c r="K78" s="572">
        <v>1</v>
      </c>
      <c r="L78" s="1664" t="s">
        <v>8012</v>
      </c>
      <c r="M78" s="1662" t="s">
        <v>8013</v>
      </c>
      <c r="N78" s="1662" t="s">
        <v>8014</v>
      </c>
      <c r="O78" s="1662" t="s">
        <v>7841</v>
      </c>
      <c r="P78" s="1662" t="s">
        <v>8015</v>
      </c>
      <c r="Q78" s="1662" t="s">
        <v>7841</v>
      </c>
      <c r="R78" s="1662" t="s">
        <v>8016</v>
      </c>
      <c r="S78" s="1662" t="s">
        <v>8017</v>
      </c>
      <c r="T78" s="1662" t="s">
        <v>8018</v>
      </c>
      <c r="U78" s="1662" t="s">
        <v>8019</v>
      </c>
      <c r="V78" s="1663" t="s">
        <v>7841</v>
      </c>
      <c r="W78" s="272"/>
      <c r="X78" s="272"/>
      <c r="Y78" s="272"/>
      <c r="Z78" s="272"/>
      <c r="AA78" s="272"/>
      <c r="AB78" s="272"/>
      <c r="AC78" s="272"/>
    </row>
    <row r="79" spans="2:29" ht="12" customHeight="1">
      <c r="B79" s="578">
        <v>73</v>
      </c>
      <c r="C79" s="1674" t="s">
        <v>2266</v>
      </c>
      <c r="D79" s="1674" t="s">
        <v>7995</v>
      </c>
      <c r="J79" s="272"/>
      <c r="K79" s="578">
        <v>2</v>
      </c>
      <c r="L79" s="1664" t="s">
        <v>8015</v>
      </c>
      <c r="M79" s="1664" t="s">
        <v>8020</v>
      </c>
      <c r="N79" s="1664" t="s">
        <v>8021</v>
      </c>
      <c r="O79" s="1664"/>
      <c r="P79" s="1664" t="s">
        <v>8022</v>
      </c>
      <c r="Q79" s="1664"/>
      <c r="R79" s="1664"/>
      <c r="S79" s="1664"/>
      <c r="T79" s="1664"/>
      <c r="U79" s="1664" t="s">
        <v>8023</v>
      </c>
      <c r="V79" s="355"/>
      <c r="W79" s="272"/>
      <c r="X79" s="272"/>
      <c r="Y79" s="272"/>
      <c r="Z79" s="272"/>
      <c r="AA79" s="272"/>
      <c r="AB79" s="272"/>
      <c r="AC79" s="272"/>
    </row>
    <row r="80" spans="2:29" ht="12" customHeight="1">
      <c r="B80" s="578">
        <v>74</v>
      </c>
      <c r="C80" s="1674" t="s">
        <v>8024</v>
      </c>
      <c r="D80" s="1674" t="s">
        <v>8025</v>
      </c>
      <c r="E80" s="1674" t="s">
        <v>8026</v>
      </c>
      <c r="J80" s="272"/>
      <c r="K80" s="578">
        <v>3</v>
      </c>
      <c r="L80" s="1664" t="s">
        <v>8022</v>
      </c>
      <c r="M80" s="1664" t="s">
        <v>8015</v>
      </c>
      <c r="N80" s="1664" t="s">
        <v>8027</v>
      </c>
      <c r="O80" s="1664"/>
      <c r="P80" s="1664" t="s">
        <v>8028</v>
      </c>
      <c r="Q80" s="1664"/>
      <c r="R80" s="1664"/>
      <c r="S80" s="1664"/>
      <c r="T80" s="1664"/>
      <c r="U80" s="1664" t="s">
        <v>7948</v>
      </c>
      <c r="V80" s="355"/>
      <c r="W80" s="272"/>
      <c r="X80" s="272"/>
      <c r="Y80" s="272"/>
      <c r="Z80" s="272"/>
      <c r="AA80" s="272"/>
      <c r="AB80" s="272"/>
      <c r="AC80" s="272"/>
    </row>
    <row r="81" spans="2:29" ht="12" customHeight="1">
      <c r="B81" s="578">
        <v>75</v>
      </c>
      <c r="C81" s="1674" t="s">
        <v>8029</v>
      </c>
      <c r="D81" s="1674" t="s">
        <v>7951</v>
      </c>
      <c r="E81" s="1674" t="s">
        <v>7952</v>
      </c>
      <c r="J81" s="272"/>
      <c r="K81" s="578">
        <v>4</v>
      </c>
      <c r="L81" s="1664" t="s">
        <v>8028</v>
      </c>
      <c r="M81" s="1664" t="s">
        <v>8022</v>
      </c>
      <c r="N81" s="1664" t="s">
        <v>8030</v>
      </c>
      <c r="O81" s="1664"/>
      <c r="P81" s="1664" t="s">
        <v>8031</v>
      </c>
      <c r="Q81" s="1664"/>
      <c r="R81" s="1664"/>
      <c r="S81" s="1664"/>
      <c r="T81" s="1664"/>
      <c r="U81" s="1664"/>
      <c r="V81" s="355"/>
      <c r="W81" s="272"/>
      <c r="X81" s="272"/>
      <c r="Y81" s="272"/>
      <c r="Z81" s="272"/>
      <c r="AA81" s="272"/>
      <c r="AB81" s="272"/>
      <c r="AC81" s="272"/>
    </row>
    <row r="82" spans="2:29" ht="12" customHeight="1">
      <c r="B82" s="578">
        <v>76</v>
      </c>
      <c r="C82" s="1680" t="s">
        <v>8032</v>
      </c>
      <c r="D82" s="1680" t="s">
        <v>8033</v>
      </c>
      <c r="E82" s="1674" t="s">
        <v>8001</v>
      </c>
      <c r="J82" s="272"/>
      <c r="K82" s="578">
        <v>5</v>
      </c>
      <c r="L82" s="1664" t="s">
        <v>8031</v>
      </c>
      <c r="M82" s="1664" t="s">
        <v>8028</v>
      </c>
      <c r="N82" s="1664"/>
      <c r="O82" s="1664"/>
      <c r="P82" s="1664" t="s">
        <v>8034</v>
      </c>
      <c r="Q82" s="1664"/>
      <c r="R82" s="1664"/>
      <c r="S82" s="1664"/>
      <c r="T82" s="1664"/>
      <c r="U82" s="1664"/>
      <c r="V82" s="355"/>
      <c r="W82" s="272"/>
      <c r="X82" s="272"/>
      <c r="Y82" s="272"/>
      <c r="Z82" s="272"/>
      <c r="AA82" s="272"/>
      <c r="AB82" s="272"/>
      <c r="AC82" s="272"/>
    </row>
    <row r="83" spans="2:29" ht="12" customHeight="1">
      <c r="B83" s="578">
        <v>77</v>
      </c>
      <c r="C83" s="1674" t="s">
        <v>8035</v>
      </c>
      <c r="D83" s="1674" t="s">
        <v>7992</v>
      </c>
      <c r="E83" s="1674" t="s">
        <v>7932</v>
      </c>
      <c r="J83" s="272"/>
      <c r="K83" s="578">
        <v>6</v>
      </c>
      <c r="L83" s="1664" t="s">
        <v>8034</v>
      </c>
      <c r="M83" s="1664" t="s">
        <v>8031</v>
      </c>
      <c r="N83" s="1664"/>
      <c r="O83" s="1664"/>
      <c r="P83" s="1664"/>
      <c r="Q83" s="1664"/>
      <c r="R83" s="1664"/>
      <c r="S83" s="1664"/>
      <c r="T83" s="1664"/>
      <c r="U83" s="1664"/>
      <c r="V83" s="355"/>
      <c r="W83" s="272"/>
      <c r="X83" s="272"/>
      <c r="Y83" s="272"/>
      <c r="Z83" s="272"/>
      <c r="AA83" s="272"/>
      <c r="AB83" s="272"/>
      <c r="AC83" s="272"/>
    </row>
    <row r="84" spans="2:29" ht="12" customHeight="1" thickBot="1">
      <c r="B84" s="578">
        <v>78</v>
      </c>
      <c r="C84" s="1674" t="s">
        <v>2398</v>
      </c>
      <c r="D84" s="1674" t="s">
        <v>8036</v>
      </c>
      <c r="E84" s="1674" t="s">
        <v>7932</v>
      </c>
      <c r="J84" s="272"/>
      <c r="K84" s="578">
        <v>7</v>
      </c>
      <c r="L84" s="1664"/>
      <c r="M84" s="1669" t="s">
        <v>8034</v>
      </c>
      <c r="N84" s="1664"/>
      <c r="O84" s="1664"/>
      <c r="P84" s="1664"/>
      <c r="Q84" s="1664"/>
      <c r="R84" s="1664"/>
      <c r="S84" s="1664"/>
      <c r="T84" s="1664"/>
      <c r="U84" s="1664"/>
      <c r="V84" s="355"/>
      <c r="W84" s="272"/>
      <c r="X84" s="272"/>
      <c r="Y84" s="272"/>
      <c r="Z84" s="272"/>
      <c r="AA84" s="272"/>
      <c r="AB84" s="272"/>
      <c r="AC84" s="272"/>
    </row>
    <row r="85" spans="2:29" ht="12" customHeight="1">
      <c r="B85" s="578">
        <v>79</v>
      </c>
      <c r="C85" s="1674" t="s">
        <v>8037</v>
      </c>
      <c r="J85" s="272"/>
      <c r="K85" s="578">
        <v>8</v>
      </c>
      <c r="L85" s="1670"/>
      <c r="M85" s="1671" t="s">
        <v>8038</v>
      </c>
      <c r="N85" s="1672"/>
      <c r="O85" s="1664"/>
      <c r="P85" s="1664"/>
      <c r="Q85" s="1664"/>
      <c r="R85" s="1664"/>
      <c r="S85" s="1664"/>
      <c r="T85" s="1664"/>
      <c r="U85" s="1664"/>
      <c r="V85" s="355"/>
      <c r="W85" s="272"/>
      <c r="X85" s="272"/>
      <c r="Y85" s="272"/>
      <c r="Z85" s="272"/>
      <c r="AA85" s="272"/>
      <c r="AB85" s="272"/>
      <c r="AC85" s="272"/>
    </row>
    <row r="86" spans="2:29" ht="12" customHeight="1">
      <c r="B86" s="578">
        <v>80</v>
      </c>
      <c r="C86" s="1674" t="s">
        <v>8039</v>
      </c>
      <c r="D86" s="1674" t="s">
        <v>8040</v>
      </c>
      <c r="E86" s="1674" t="s">
        <v>8041</v>
      </c>
      <c r="J86" s="272"/>
      <c r="K86" s="578">
        <v>9</v>
      </c>
      <c r="L86" s="1670"/>
      <c r="M86" s="1673" t="s">
        <v>8042</v>
      </c>
      <c r="N86" s="1672"/>
      <c r="O86" s="1664"/>
      <c r="P86" s="1664"/>
      <c r="Q86" s="1664"/>
      <c r="R86" s="1664"/>
      <c r="S86" s="1664"/>
      <c r="T86" s="1664"/>
      <c r="U86" s="1664"/>
      <c r="V86" s="355"/>
      <c r="W86" s="272"/>
      <c r="X86" s="272"/>
      <c r="Y86" s="272"/>
      <c r="Z86" s="272"/>
      <c r="AA86" s="272"/>
      <c r="AB86" s="272"/>
      <c r="AC86" s="272"/>
    </row>
    <row r="87" spans="2:29" ht="12" customHeight="1">
      <c r="B87" s="578">
        <v>81</v>
      </c>
      <c r="C87" s="1674" t="s">
        <v>2399</v>
      </c>
      <c r="D87" s="1674" t="s">
        <v>7934</v>
      </c>
      <c r="J87" s="272"/>
      <c r="K87" s="578">
        <v>10</v>
      </c>
      <c r="L87" s="1670"/>
      <c r="M87" s="1673" t="s">
        <v>8043</v>
      </c>
      <c r="N87" s="1672"/>
      <c r="O87" s="1664"/>
      <c r="P87" s="1664"/>
      <c r="Q87" s="1664"/>
      <c r="R87" s="1664"/>
      <c r="S87" s="1664"/>
      <c r="T87" s="1664"/>
      <c r="U87" s="1664"/>
      <c r="V87" s="355"/>
      <c r="W87" s="272"/>
      <c r="X87" s="272"/>
      <c r="Y87" s="272"/>
      <c r="Z87" s="272"/>
      <c r="AA87" s="272"/>
      <c r="AB87" s="272"/>
      <c r="AC87" s="272"/>
    </row>
    <row r="88" spans="2:29" ht="12" customHeight="1">
      <c r="B88" s="578">
        <v>82</v>
      </c>
      <c r="C88" s="1674" t="s">
        <v>2400</v>
      </c>
      <c r="D88" s="1674" t="s">
        <v>8036</v>
      </c>
      <c r="E88" s="1674" t="s">
        <v>7952</v>
      </c>
      <c r="J88" s="272"/>
      <c r="K88" s="578">
        <v>11</v>
      </c>
      <c r="L88" s="1670"/>
      <c r="M88" s="1673" t="s">
        <v>8044</v>
      </c>
      <c r="N88" s="1672"/>
      <c r="O88" s="1664"/>
      <c r="P88" s="1664"/>
      <c r="Q88" s="1664"/>
      <c r="R88" s="1664"/>
      <c r="S88" s="1664"/>
      <c r="T88" s="1664"/>
      <c r="U88" s="1664"/>
      <c r="V88" s="355"/>
      <c r="W88" s="272"/>
      <c r="X88" s="272"/>
      <c r="Y88" s="272"/>
      <c r="Z88" s="272"/>
      <c r="AA88" s="272"/>
      <c r="AB88" s="272"/>
      <c r="AC88" s="272"/>
    </row>
    <row r="89" spans="2:29" ht="12" customHeight="1">
      <c r="B89" s="578">
        <v>83</v>
      </c>
      <c r="C89" s="1674" t="s">
        <v>2332</v>
      </c>
      <c r="D89" s="1674" t="s">
        <v>7993</v>
      </c>
      <c r="E89" s="1674" t="s">
        <v>7923</v>
      </c>
      <c r="F89" s="1674" t="s">
        <v>7920</v>
      </c>
      <c r="J89" s="272"/>
      <c r="K89" s="578">
        <v>12</v>
      </c>
      <c r="L89" s="1670"/>
      <c r="M89" s="1673" t="s">
        <v>8045</v>
      </c>
      <c r="N89" s="1672"/>
      <c r="O89" s="1664"/>
      <c r="P89" s="1664"/>
      <c r="Q89" s="1664"/>
      <c r="R89" s="1664"/>
      <c r="S89" s="1664"/>
      <c r="T89" s="1664"/>
      <c r="U89" s="1664"/>
      <c r="V89" s="355"/>
      <c r="W89" s="272"/>
      <c r="X89" s="272"/>
      <c r="Y89" s="272"/>
      <c r="Z89" s="272"/>
      <c r="AA89" s="272"/>
      <c r="AB89" s="272"/>
      <c r="AC89" s="272"/>
    </row>
    <row r="90" spans="2:29" ht="12" customHeight="1">
      <c r="B90" s="578">
        <v>84</v>
      </c>
      <c r="C90" s="1674" t="s">
        <v>2443</v>
      </c>
      <c r="D90" s="1674" t="s">
        <v>8046</v>
      </c>
      <c r="E90" s="1674" t="s">
        <v>8001</v>
      </c>
      <c r="J90" s="272"/>
      <c r="K90" s="578">
        <v>13</v>
      </c>
      <c r="L90" s="1670"/>
      <c r="M90" s="1673" t="s">
        <v>8047</v>
      </c>
      <c r="N90" s="1672"/>
      <c r="O90" s="1664"/>
      <c r="P90" s="1664"/>
      <c r="Q90" s="1664"/>
      <c r="R90" s="1664"/>
      <c r="S90" s="1664"/>
      <c r="T90" s="1664"/>
      <c r="U90" s="1664"/>
      <c r="V90" s="355"/>
      <c r="W90" s="272"/>
      <c r="X90" s="272"/>
      <c r="Y90" s="272"/>
      <c r="Z90" s="272"/>
      <c r="AA90" s="272"/>
      <c r="AB90" s="272"/>
      <c r="AC90" s="272"/>
    </row>
    <row r="91" spans="2:29" ht="12" customHeight="1">
      <c r="B91" s="578">
        <v>85</v>
      </c>
      <c r="C91" s="1674" t="s">
        <v>8048</v>
      </c>
      <c r="D91" s="1674" t="s">
        <v>7960</v>
      </c>
      <c r="J91" s="272"/>
      <c r="K91" s="578">
        <v>14</v>
      </c>
      <c r="L91" s="1670"/>
      <c r="M91" s="1673"/>
      <c r="N91" s="1672"/>
      <c r="O91" s="1664"/>
      <c r="P91" s="1664"/>
      <c r="Q91" s="1664"/>
      <c r="R91" s="1664"/>
      <c r="S91" s="1664"/>
      <c r="T91" s="1664"/>
      <c r="U91" s="1664"/>
      <c r="V91" s="355"/>
      <c r="W91" s="272"/>
      <c r="X91" s="272"/>
      <c r="Y91" s="272"/>
      <c r="Z91" s="272"/>
      <c r="AA91" s="272"/>
      <c r="AB91" s="272"/>
      <c r="AC91" s="272"/>
    </row>
    <row r="92" spans="2:29" ht="12" customHeight="1">
      <c r="B92" s="578">
        <v>86</v>
      </c>
      <c r="C92" s="1674" t="s">
        <v>8049</v>
      </c>
      <c r="D92" s="1674" t="s">
        <v>8041</v>
      </c>
      <c r="J92" s="272"/>
      <c r="K92" s="578">
        <v>15</v>
      </c>
      <c r="L92" s="1670"/>
      <c r="M92" s="1673"/>
      <c r="N92" s="1672"/>
      <c r="O92" s="1664"/>
      <c r="P92" s="1664"/>
      <c r="Q92" s="1664"/>
      <c r="R92" s="1664"/>
      <c r="S92" s="1664"/>
      <c r="T92" s="1664"/>
      <c r="U92" s="1664"/>
      <c r="V92" s="355"/>
      <c r="W92" s="272"/>
      <c r="X92" s="272"/>
      <c r="Y92" s="272"/>
      <c r="Z92" s="272"/>
      <c r="AA92" s="272"/>
      <c r="AB92" s="272"/>
      <c r="AC92" s="272"/>
    </row>
    <row r="93" spans="2:29" ht="12" customHeight="1">
      <c r="B93" s="578">
        <v>87</v>
      </c>
      <c r="C93" s="1674" t="s">
        <v>8050</v>
      </c>
      <c r="D93" s="1674" t="s">
        <v>7922</v>
      </c>
      <c r="E93" s="1674" t="s">
        <v>7923</v>
      </c>
      <c r="J93" s="272"/>
      <c r="K93" s="578">
        <v>16</v>
      </c>
      <c r="L93" s="1670"/>
      <c r="M93" s="1673"/>
      <c r="N93" s="1672"/>
      <c r="O93" s="1664"/>
      <c r="P93" s="1664"/>
      <c r="Q93" s="1664"/>
      <c r="R93" s="1664"/>
      <c r="S93" s="1664"/>
      <c r="T93" s="1664"/>
      <c r="U93" s="1664"/>
      <c r="V93" s="355"/>
      <c r="W93" s="272"/>
      <c r="X93" s="272"/>
      <c r="Y93" s="272"/>
      <c r="Z93" s="272"/>
      <c r="AA93" s="272"/>
      <c r="AB93" s="272"/>
      <c r="AC93" s="272"/>
    </row>
    <row r="94" spans="2:29" ht="12" customHeight="1">
      <c r="B94" s="578">
        <v>88</v>
      </c>
      <c r="C94" s="1674" t="s">
        <v>8051</v>
      </c>
      <c r="D94" s="1674" t="s">
        <v>8052</v>
      </c>
      <c r="J94" s="272"/>
      <c r="K94" s="578">
        <v>17</v>
      </c>
      <c r="L94" s="1670"/>
      <c r="M94" s="1673"/>
      <c r="N94" s="1672"/>
      <c r="O94" s="1664"/>
      <c r="P94" s="1664"/>
      <c r="Q94" s="1664"/>
      <c r="R94" s="1664"/>
      <c r="S94" s="1664"/>
      <c r="T94" s="1664"/>
      <c r="U94" s="1664"/>
      <c r="V94" s="355"/>
      <c r="W94" s="272"/>
      <c r="X94" s="272"/>
      <c r="Y94" s="272"/>
      <c r="Z94" s="272"/>
      <c r="AA94" s="272"/>
      <c r="AB94" s="272"/>
      <c r="AC94" s="272"/>
    </row>
    <row r="95" spans="2:29" ht="12" customHeight="1">
      <c r="B95" s="578">
        <v>89</v>
      </c>
      <c r="C95" s="1674" t="s">
        <v>8053</v>
      </c>
      <c r="D95" s="1674" t="s">
        <v>7969</v>
      </c>
      <c r="J95" s="272"/>
      <c r="K95" s="578">
        <v>18</v>
      </c>
      <c r="L95" s="1670"/>
      <c r="M95" s="1673"/>
      <c r="N95" s="1672"/>
      <c r="O95" s="1664"/>
      <c r="P95" s="1664"/>
      <c r="Q95" s="1664"/>
      <c r="R95" s="1664"/>
      <c r="S95" s="1664"/>
      <c r="T95" s="1664"/>
      <c r="U95" s="1664"/>
      <c r="V95" s="355"/>
      <c r="W95" s="272"/>
      <c r="X95" s="272"/>
      <c r="Y95" s="272"/>
      <c r="Z95" s="272"/>
      <c r="AA95" s="272"/>
      <c r="AB95" s="272"/>
      <c r="AC95" s="272"/>
    </row>
    <row r="96" spans="2:29" ht="12" customHeight="1" thickBot="1">
      <c r="B96" s="578">
        <v>90</v>
      </c>
      <c r="C96" s="1674" t="s">
        <v>8054</v>
      </c>
      <c r="D96" s="1674" t="s">
        <v>7985</v>
      </c>
      <c r="J96" s="272"/>
      <c r="K96" s="583">
        <v>19</v>
      </c>
      <c r="L96" s="1675"/>
      <c r="M96" s="1676"/>
      <c r="N96" s="1677"/>
      <c r="O96" s="1678"/>
      <c r="P96" s="1678"/>
      <c r="Q96" s="1678"/>
      <c r="R96" s="1678"/>
      <c r="S96" s="1678"/>
      <c r="T96" s="1678"/>
      <c r="U96" s="1678"/>
      <c r="V96" s="411"/>
      <c r="W96" s="272"/>
      <c r="X96" s="272"/>
      <c r="Y96" s="272"/>
      <c r="Z96" s="272"/>
      <c r="AA96" s="272"/>
      <c r="AB96" s="272"/>
      <c r="AC96" s="272"/>
    </row>
    <row r="97" spans="2:29" ht="12" customHeight="1">
      <c r="B97" s="578">
        <v>91</v>
      </c>
      <c r="C97" s="1674" t="s">
        <v>8055</v>
      </c>
      <c r="D97" s="1674" t="s">
        <v>8056</v>
      </c>
      <c r="J97" s="272"/>
      <c r="K97" s="272"/>
      <c r="L97" s="272"/>
      <c r="M97" s="272"/>
      <c r="N97" s="272"/>
      <c r="O97" s="272"/>
      <c r="P97" s="272"/>
      <c r="Q97" s="272"/>
      <c r="R97" s="272"/>
      <c r="S97" s="272"/>
      <c r="T97" s="272"/>
      <c r="U97" s="272"/>
      <c r="V97" s="272"/>
      <c r="W97" s="272"/>
      <c r="X97" s="272"/>
      <c r="Y97" s="272"/>
      <c r="Z97" s="272"/>
      <c r="AA97" s="272"/>
      <c r="AB97" s="272"/>
      <c r="AC97" s="272"/>
    </row>
    <row r="98" spans="2:29" ht="12" customHeight="1" thickBot="1">
      <c r="B98" s="578">
        <v>92</v>
      </c>
      <c r="C98" s="1674" t="s">
        <v>8057</v>
      </c>
      <c r="D98" s="1674" t="s">
        <v>8058</v>
      </c>
      <c r="E98" s="1674" t="s">
        <v>8059</v>
      </c>
      <c r="J98" s="272"/>
      <c r="K98" s="272"/>
      <c r="L98" s="272"/>
      <c r="M98" s="272"/>
      <c r="N98" s="272"/>
      <c r="O98" s="272"/>
      <c r="P98" s="272"/>
      <c r="Q98" s="272"/>
      <c r="R98" s="272"/>
      <c r="S98" s="272"/>
      <c r="T98" s="272"/>
      <c r="U98" s="272"/>
      <c r="V98" s="272"/>
      <c r="W98" s="272"/>
      <c r="X98" s="272"/>
      <c r="Y98" s="272"/>
      <c r="Z98" s="272"/>
      <c r="AA98" s="272"/>
      <c r="AB98" s="272"/>
      <c r="AC98" s="272"/>
    </row>
    <row r="99" spans="2:29" ht="12" customHeight="1" thickBot="1">
      <c r="B99" s="578">
        <v>93</v>
      </c>
      <c r="C99" s="1674" t="s">
        <v>2261</v>
      </c>
      <c r="D99" s="1674" t="s">
        <v>8060</v>
      </c>
      <c r="E99" s="1674" t="s">
        <v>7932</v>
      </c>
      <c r="J99" s="272"/>
      <c r="K99" s="275" t="s">
        <v>8061</v>
      </c>
      <c r="L99" s="1658"/>
      <c r="M99" s="1658"/>
      <c r="N99" s="1658"/>
      <c r="O99" s="1658"/>
      <c r="P99" s="1658"/>
      <c r="Q99" s="1658"/>
      <c r="R99" s="1658"/>
      <c r="S99" s="1658"/>
      <c r="T99" s="1658"/>
      <c r="U99" s="1658"/>
      <c r="V99" s="1659"/>
      <c r="W99" s="272"/>
      <c r="X99" s="272"/>
      <c r="Y99" s="272"/>
      <c r="Z99" s="272"/>
      <c r="AA99" s="272"/>
      <c r="AB99" s="272"/>
      <c r="AC99" s="272"/>
    </row>
    <row r="100" spans="2:29" ht="12" customHeight="1">
      <c r="B100" s="578">
        <v>94</v>
      </c>
      <c r="C100" s="1674" t="s">
        <v>8062</v>
      </c>
      <c r="D100" s="1674" t="s">
        <v>7922</v>
      </c>
      <c r="E100" s="1674" t="s">
        <v>8063</v>
      </c>
      <c r="J100" s="272"/>
      <c r="K100" s="465"/>
      <c r="L100" s="328" t="str">
        <f t="shared" ref="L100:V100" ca="1" si="8">VLOOKUP(RANDBETWEEN(1,L103),$K104:$V122,L102)</f>
        <v xml:space="preserve">Fharlanghn, god of horizons and travel NG </v>
      </c>
      <c r="M100" s="328" t="str">
        <f t="shared" ca="1" si="8"/>
        <v xml:space="preserve">Milil, god of poetry and song NG </v>
      </c>
      <c r="N100" s="328" t="str">
        <f t="shared" ca="1" si="8"/>
        <v>Habbakuk, god of animal life and the sea NG</v>
      </c>
      <c r="O100" s="328" t="str">
        <f t="shared" ca="1" si="8"/>
        <v xml:space="preserve">The Undying Court, elven ancestors NG </v>
      </c>
      <c r="P100" s="328" t="str">
        <f t="shared" ca="1" si="8"/>
        <v>NONE</v>
      </c>
      <c r="Q100" s="328" t="str">
        <f t="shared" ca="1" si="8"/>
        <v xml:space="preserve">Belenus, god of sun, light, and warmth NG </v>
      </c>
      <c r="R100" s="328" t="str">
        <f t="shared" ca="1" si="8"/>
        <v xml:space="preserve">Demeter, goddess of agriculture NG </v>
      </c>
      <c r="S100" s="328" t="str">
        <f t="shared" ca="1" si="8"/>
        <v xml:space="preserve">Imhotep, god of crafts and medicine NG </v>
      </c>
      <c r="T100" s="328" t="str">
        <f t="shared" ca="1" si="8"/>
        <v xml:space="preserve">Freya, goddess of fertility and love NG </v>
      </c>
      <c r="U100" s="328" t="str">
        <f t="shared" ca="1" si="8"/>
        <v>Elysium, the Blessed Fields of NG</v>
      </c>
      <c r="V100" s="898" t="str">
        <f t="shared" ca="1" si="8"/>
        <v>NONE</v>
      </c>
      <c r="W100" s="272"/>
      <c r="X100" s="272"/>
      <c r="Y100" s="272"/>
      <c r="Z100" s="272"/>
      <c r="AA100" s="272"/>
      <c r="AB100" s="272"/>
      <c r="AC100" s="272"/>
    </row>
    <row r="101" spans="2:29" ht="12" customHeight="1">
      <c r="B101" s="578">
        <v>95</v>
      </c>
      <c r="C101" s="1674" t="s">
        <v>8064</v>
      </c>
      <c r="D101" s="1674" t="s">
        <v>7992</v>
      </c>
      <c r="E101" s="1674" t="s">
        <v>7932</v>
      </c>
      <c r="F101" s="1674" t="s">
        <v>7923</v>
      </c>
      <c r="J101" s="272"/>
      <c r="K101" s="477"/>
      <c r="L101" s="1634" t="s">
        <v>7849</v>
      </c>
      <c r="M101" s="1634" t="s">
        <v>7850</v>
      </c>
      <c r="N101" s="1634" t="s">
        <v>7851</v>
      </c>
      <c r="O101" s="1634" t="s">
        <v>7852</v>
      </c>
      <c r="P101" s="1634" t="s">
        <v>7853</v>
      </c>
      <c r="Q101" s="545" t="s">
        <v>7854</v>
      </c>
      <c r="R101" s="545" t="s">
        <v>7855</v>
      </c>
      <c r="S101" s="545" t="s">
        <v>7856</v>
      </c>
      <c r="T101" s="545" t="s">
        <v>7857</v>
      </c>
      <c r="U101" s="545" t="s">
        <v>7858</v>
      </c>
      <c r="V101" s="1660" t="e">
        <f>IF([1]MATH!#REF!&lt;&gt;"Cleric","None","As Cleric")</f>
        <v>#REF!</v>
      </c>
      <c r="W101" s="272"/>
      <c r="X101" s="272"/>
      <c r="Y101" s="272"/>
      <c r="Z101" s="272"/>
      <c r="AA101" s="272"/>
      <c r="AB101" s="272"/>
      <c r="AC101" s="272"/>
    </row>
    <row r="102" spans="2:29" ht="12" customHeight="1">
      <c r="B102" s="578">
        <v>96</v>
      </c>
      <c r="C102" s="1674" t="s">
        <v>2444</v>
      </c>
      <c r="D102" s="1674" t="s">
        <v>8046</v>
      </c>
      <c r="E102" s="1674" t="s">
        <v>7932</v>
      </c>
      <c r="J102" s="272"/>
      <c r="K102" s="477" t="s">
        <v>6172</v>
      </c>
      <c r="L102" s="352">
        <v>2</v>
      </c>
      <c r="M102" s="352">
        <v>3</v>
      </c>
      <c r="N102" s="352">
        <v>4</v>
      </c>
      <c r="O102" s="352">
        <v>5</v>
      </c>
      <c r="P102" s="352">
        <v>6</v>
      </c>
      <c r="Q102" s="352">
        <v>7</v>
      </c>
      <c r="R102" s="352">
        <v>8</v>
      </c>
      <c r="S102" s="352">
        <v>9</v>
      </c>
      <c r="T102" s="352">
        <v>10</v>
      </c>
      <c r="U102" s="352">
        <v>11</v>
      </c>
      <c r="V102" s="883">
        <v>12</v>
      </c>
      <c r="W102" s="272"/>
      <c r="X102" s="272"/>
      <c r="Y102" s="272"/>
      <c r="Z102" s="272"/>
      <c r="AA102" s="272"/>
      <c r="AB102" s="272"/>
      <c r="AC102" s="272"/>
    </row>
    <row r="103" spans="2:29" ht="12" customHeight="1" thickBot="1">
      <c r="B103" s="578">
        <v>97</v>
      </c>
      <c r="C103" s="1674" t="s">
        <v>2407</v>
      </c>
      <c r="D103" s="1674" t="s">
        <v>7925</v>
      </c>
      <c r="J103" s="272"/>
      <c r="K103" s="492" t="s">
        <v>6070</v>
      </c>
      <c r="L103" s="419">
        <f t="shared" ref="L103:V103" si="9">COUNT($K$104:$K$122)-COUNTBLANK(L104:L122)</f>
        <v>3</v>
      </c>
      <c r="M103" s="419">
        <f t="shared" si="9"/>
        <v>12</v>
      </c>
      <c r="N103" s="419">
        <f t="shared" si="9"/>
        <v>2</v>
      </c>
      <c r="O103" s="419">
        <f t="shared" si="9"/>
        <v>4</v>
      </c>
      <c r="P103" s="419">
        <f t="shared" si="9"/>
        <v>1</v>
      </c>
      <c r="Q103" s="419">
        <f t="shared" si="9"/>
        <v>4</v>
      </c>
      <c r="R103" s="419">
        <f t="shared" si="9"/>
        <v>4</v>
      </c>
      <c r="S103" s="419">
        <f t="shared" si="9"/>
        <v>3</v>
      </c>
      <c r="T103" s="419">
        <f t="shared" si="9"/>
        <v>5</v>
      </c>
      <c r="U103" s="419">
        <f t="shared" si="9"/>
        <v>3</v>
      </c>
      <c r="V103" s="504">
        <f t="shared" si="9"/>
        <v>1</v>
      </c>
      <c r="W103" s="272"/>
      <c r="X103" s="272"/>
      <c r="Y103" s="272"/>
      <c r="Z103" s="272"/>
      <c r="AA103" s="272"/>
      <c r="AB103" s="272"/>
      <c r="AC103" s="272"/>
    </row>
    <row r="104" spans="2:29" ht="12" customHeight="1">
      <c r="B104" s="578">
        <v>98</v>
      </c>
      <c r="C104" s="1674" t="s">
        <v>8065</v>
      </c>
      <c r="D104" s="1674" t="s">
        <v>8066</v>
      </c>
      <c r="E104" s="1674" t="s">
        <v>8067</v>
      </c>
      <c r="J104" s="272"/>
      <c r="K104" s="572">
        <v>1</v>
      </c>
      <c r="L104" s="1664" t="s">
        <v>8068</v>
      </c>
      <c r="M104" s="1662" t="s">
        <v>8069</v>
      </c>
      <c r="N104" s="1662" t="s">
        <v>8070</v>
      </c>
      <c r="O104" s="1662" t="s">
        <v>8071</v>
      </c>
      <c r="P104" s="1662" t="s">
        <v>7841</v>
      </c>
      <c r="Q104" s="1662" t="s">
        <v>8072</v>
      </c>
      <c r="R104" s="1662" t="s">
        <v>8073</v>
      </c>
      <c r="S104" s="1662" t="s">
        <v>8074</v>
      </c>
      <c r="T104" s="1662" t="s">
        <v>8075</v>
      </c>
      <c r="U104" s="1662" t="s">
        <v>7879</v>
      </c>
      <c r="V104" s="1663" t="s">
        <v>7841</v>
      </c>
      <c r="W104" s="272"/>
      <c r="X104" s="272"/>
      <c r="Y104" s="272"/>
      <c r="Z104" s="272"/>
      <c r="AA104" s="272"/>
      <c r="AB104" s="272"/>
      <c r="AC104" s="272"/>
    </row>
    <row r="105" spans="2:29" ht="12" customHeight="1">
      <c r="B105" s="578">
        <v>99</v>
      </c>
      <c r="C105" s="1674" t="s">
        <v>2445</v>
      </c>
      <c r="D105" s="1674" t="s">
        <v>8046</v>
      </c>
      <c r="E105" s="1674" t="s">
        <v>7932</v>
      </c>
      <c r="J105" s="272"/>
      <c r="K105" s="578">
        <v>2</v>
      </c>
      <c r="L105" s="1664" t="s">
        <v>8076</v>
      </c>
      <c r="M105" s="1664" t="s">
        <v>8077</v>
      </c>
      <c r="N105" s="1664" t="s">
        <v>8078</v>
      </c>
      <c r="O105" s="1664" t="s">
        <v>8079</v>
      </c>
      <c r="P105" s="1664"/>
      <c r="Q105" s="1664" t="s">
        <v>8080</v>
      </c>
      <c r="R105" s="1664" t="s">
        <v>8081</v>
      </c>
      <c r="S105" s="1664" t="s">
        <v>8082</v>
      </c>
      <c r="T105" s="1664" t="s">
        <v>8083</v>
      </c>
      <c r="U105" s="355" t="s">
        <v>8084</v>
      </c>
      <c r="V105" s="355"/>
      <c r="W105" s="272"/>
      <c r="X105" s="272"/>
      <c r="Y105" s="272"/>
      <c r="Z105" s="272"/>
      <c r="AA105" s="272"/>
      <c r="AB105" s="272"/>
      <c r="AC105" s="272"/>
    </row>
    <row r="106" spans="2:29" ht="12" customHeight="1">
      <c r="B106" s="578">
        <v>100</v>
      </c>
      <c r="J106" s="272"/>
      <c r="K106" s="578">
        <v>3</v>
      </c>
      <c r="L106" s="1664" t="s">
        <v>8085</v>
      </c>
      <c r="M106" s="1664" t="s">
        <v>8086</v>
      </c>
      <c r="N106" s="1664"/>
      <c r="O106" s="1664" t="s">
        <v>8087</v>
      </c>
      <c r="P106" s="1664"/>
      <c r="Q106" s="1664" t="s">
        <v>8088</v>
      </c>
      <c r="R106" s="1664" t="s">
        <v>8089</v>
      </c>
      <c r="S106" s="1664" t="s">
        <v>8090</v>
      </c>
      <c r="T106" s="1664" t="s">
        <v>8091</v>
      </c>
      <c r="U106" s="355" t="s">
        <v>8092</v>
      </c>
      <c r="V106" s="355"/>
      <c r="W106" s="272"/>
      <c r="X106" s="272"/>
      <c r="Y106" s="272"/>
      <c r="Z106" s="272"/>
      <c r="AA106" s="272"/>
      <c r="AB106" s="272"/>
      <c r="AC106" s="272"/>
    </row>
    <row r="107" spans="2:29" ht="12" customHeight="1">
      <c r="B107" s="578">
        <v>101</v>
      </c>
      <c r="J107" s="272"/>
      <c r="K107" s="578">
        <v>4</v>
      </c>
      <c r="L107" s="1664"/>
      <c r="M107" s="1664" t="s">
        <v>8093</v>
      </c>
      <c r="N107" s="1664"/>
      <c r="O107" s="1664" t="s">
        <v>8094</v>
      </c>
      <c r="P107" s="1664"/>
      <c r="Q107" s="1664" t="s">
        <v>8095</v>
      </c>
      <c r="R107" s="1664" t="s">
        <v>8096</v>
      </c>
      <c r="S107" s="1664"/>
      <c r="T107" s="1664" t="s">
        <v>8097</v>
      </c>
      <c r="U107" s="1664"/>
      <c r="V107" s="355"/>
      <c r="W107" s="272"/>
      <c r="X107" s="272"/>
      <c r="Y107" s="272"/>
      <c r="Z107" s="272"/>
      <c r="AA107" s="272"/>
      <c r="AB107" s="272"/>
      <c r="AC107" s="272"/>
    </row>
    <row r="108" spans="2:29" ht="12" customHeight="1">
      <c r="B108" s="578">
        <v>102</v>
      </c>
      <c r="J108" s="272"/>
      <c r="K108" s="578">
        <v>5</v>
      </c>
      <c r="L108" s="1664"/>
      <c r="M108" s="1664" t="s">
        <v>8098</v>
      </c>
      <c r="N108" s="1664"/>
      <c r="O108" s="1664"/>
      <c r="P108" s="1664"/>
      <c r="Q108" s="1664"/>
      <c r="R108" s="1664"/>
      <c r="S108" s="1664"/>
      <c r="T108" s="1664" t="s">
        <v>8099</v>
      </c>
      <c r="U108" s="1664"/>
      <c r="V108" s="355"/>
      <c r="W108" s="272"/>
      <c r="X108" s="272"/>
      <c r="Y108" s="272"/>
      <c r="Z108" s="272"/>
      <c r="AA108" s="272"/>
      <c r="AB108" s="272"/>
      <c r="AC108" s="272"/>
    </row>
    <row r="109" spans="2:29" ht="12" customHeight="1">
      <c r="B109" s="578">
        <v>103</v>
      </c>
      <c r="C109" s="1644"/>
      <c r="D109" s="1645"/>
      <c r="E109" s="1661"/>
      <c r="F109" s="1647"/>
      <c r="J109" s="272"/>
      <c r="K109" s="578">
        <v>6</v>
      </c>
      <c r="L109" s="1664"/>
      <c r="M109" s="1664" t="s">
        <v>8100</v>
      </c>
      <c r="N109" s="1664"/>
      <c r="O109" s="1664"/>
      <c r="P109" s="1664"/>
      <c r="Q109" s="1664"/>
      <c r="R109" s="1664"/>
      <c r="S109" s="1664"/>
      <c r="T109" s="1664"/>
      <c r="U109" s="1664"/>
      <c r="V109" s="355"/>
      <c r="W109" s="272"/>
      <c r="X109" s="272"/>
      <c r="Y109" s="272"/>
      <c r="Z109" s="272"/>
      <c r="AA109" s="272"/>
      <c r="AB109" s="272"/>
      <c r="AC109" s="272"/>
    </row>
    <row r="110" spans="2:29" ht="12" customHeight="1" thickBot="1">
      <c r="B110" s="578">
        <v>104</v>
      </c>
      <c r="C110" s="1644"/>
      <c r="D110" s="1645"/>
      <c r="E110" s="1661"/>
      <c r="F110" s="1647"/>
      <c r="J110" s="272"/>
      <c r="K110" s="578">
        <v>7</v>
      </c>
      <c r="L110" s="1664"/>
      <c r="M110" s="1669" t="s">
        <v>8101</v>
      </c>
      <c r="N110" s="1664"/>
      <c r="O110" s="1664"/>
      <c r="P110" s="1664"/>
      <c r="Q110" s="1664"/>
      <c r="R110" s="1664"/>
      <c r="S110" s="1664"/>
      <c r="T110" s="1664"/>
      <c r="U110" s="1664"/>
      <c r="V110" s="355"/>
      <c r="W110" s="272"/>
      <c r="X110" s="272"/>
      <c r="Y110" s="272"/>
      <c r="Z110" s="272"/>
      <c r="AA110" s="272"/>
      <c r="AB110" s="272"/>
      <c r="AC110" s="272"/>
    </row>
    <row r="111" spans="2:29" ht="12" customHeight="1">
      <c r="B111" s="578">
        <v>105</v>
      </c>
      <c r="C111" s="1644"/>
      <c r="D111" s="1645"/>
      <c r="E111" s="1661"/>
      <c r="F111" s="1647"/>
      <c r="J111" s="272"/>
      <c r="K111" s="578">
        <v>8</v>
      </c>
      <c r="L111" s="1670"/>
      <c r="M111" s="1671" t="s">
        <v>8102</v>
      </c>
      <c r="N111" s="1672"/>
      <c r="O111" s="1664"/>
      <c r="P111" s="1664"/>
      <c r="Q111" s="1664"/>
      <c r="R111" s="1664"/>
      <c r="S111" s="1664"/>
      <c r="T111" s="1664"/>
      <c r="U111" s="1664"/>
      <c r="V111" s="355"/>
      <c r="W111" s="272"/>
      <c r="X111" s="272"/>
      <c r="Y111" s="272"/>
      <c r="Z111" s="272"/>
      <c r="AA111" s="272"/>
      <c r="AB111" s="272"/>
      <c r="AC111" s="272"/>
    </row>
    <row r="112" spans="2:29" ht="12" customHeight="1">
      <c r="B112" s="578">
        <v>106</v>
      </c>
      <c r="C112" s="1644"/>
      <c r="D112" s="1645"/>
      <c r="E112" s="1661"/>
      <c r="F112" s="1647"/>
      <c r="J112" s="272"/>
      <c r="K112" s="578">
        <v>9</v>
      </c>
      <c r="L112" s="1670"/>
      <c r="M112" s="1673" t="s">
        <v>8103</v>
      </c>
      <c r="N112" s="1672"/>
      <c r="O112" s="1664"/>
      <c r="P112" s="1664"/>
      <c r="Q112" s="1664"/>
      <c r="R112" s="1664"/>
      <c r="S112" s="1664"/>
      <c r="T112" s="1664"/>
      <c r="U112" s="1664"/>
      <c r="V112" s="355"/>
      <c r="W112" s="272"/>
      <c r="X112" s="272"/>
      <c r="Y112" s="272"/>
      <c r="Z112" s="272"/>
      <c r="AA112" s="272"/>
      <c r="AB112" s="272"/>
      <c r="AC112" s="272"/>
    </row>
    <row r="113" spans="2:29" ht="12" customHeight="1">
      <c r="B113" s="578">
        <v>107</v>
      </c>
      <c r="C113" s="1644"/>
      <c r="D113" s="1645"/>
      <c r="E113" s="1661"/>
      <c r="F113" s="1647"/>
      <c r="J113" s="272"/>
      <c r="K113" s="578">
        <v>10</v>
      </c>
      <c r="L113" s="1670"/>
      <c r="M113" s="1673" t="s">
        <v>8104</v>
      </c>
      <c r="N113" s="1672"/>
      <c r="O113" s="1664"/>
      <c r="P113" s="1664"/>
      <c r="Q113" s="1664"/>
      <c r="R113" s="1664"/>
      <c r="S113" s="1664"/>
      <c r="T113" s="1664"/>
      <c r="U113" s="1664"/>
      <c r="V113" s="355"/>
      <c r="W113" s="272"/>
      <c r="X113" s="272"/>
      <c r="Y113" s="272"/>
      <c r="Z113" s="272"/>
      <c r="AA113" s="272"/>
      <c r="AB113" s="272"/>
      <c r="AC113" s="272"/>
    </row>
    <row r="114" spans="2:29" ht="12" customHeight="1">
      <c r="B114" s="578">
        <v>108</v>
      </c>
      <c r="C114" s="1644"/>
      <c r="D114" s="1645"/>
      <c r="E114" s="1661"/>
      <c r="F114" s="1647"/>
      <c r="J114" s="272"/>
      <c r="K114" s="578">
        <v>11</v>
      </c>
      <c r="L114" s="1670"/>
      <c r="M114" s="1673" t="s">
        <v>8105</v>
      </c>
      <c r="N114" s="1672"/>
      <c r="O114" s="1664"/>
      <c r="P114" s="1664"/>
      <c r="Q114" s="1664"/>
      <c r="R114" s="1664"/>
      <c r="S114" s="1664"/>
      <c r="T114" s="1664"/>
      <c r="U114" s="1664"/>
      <c r="V114" s="355"/>
      <c r="W114" s="272"/>
      <c r="X114" s="272"/>
      <c r="Y114" s="272"/>
      <c r="Z114" s="272"/>
      <c r="AA114" s="272"/>
      <c r="AB114" s="272"/>
      <c r="AC114" s="272"/>
    </row>
    <row r="115" spans="2:29" ht="12" customHeight="1">
      <c r="B115" s="578">
        <v>109</v>
      </c>
      <c r="C115" s="1644"/>
      <c r="D115" s="1645"/>
      <c r="E115" s="1661"/>
      <c r="F115" s="1647"/>
      <c r="J115" s="272"/>
      <c r="K115" s="578">
        <v>12</v>
      </c>
      <c r="L115" s="1670"/>
      <c r="M115" s="1673" t="s">
        <v>8106</v>
      </c>
      <c r="N115" s="1672"/>
      <c r="O115" s="1664"/>
      <c r="P115" s="1664"/>
      <c r="Q115" s="1664"/>
      <c r="R115" s="1664"/>
      <c r="S115" s="1664"/>
      <c r="T115" s="1664"/>
      <c r="U115" s="1664"/>
      <c r="V115" s="355"/>
      <c r="W115" s="272"/>
      <c r="X115" s="272"/>
      <c r="Y115" s="272"/>
      <c r="Z115" s="272"/>
      <c r="AA115" s="272"/>
      <c r="AB115" s="272"/>
      <c r="AC115" s="272"/>
    </row>
    <row r="116" spans="2:29" ht="12" customHeight="1">
      <c r="B116" s="578">
        <v>110</v>
      </c>
      <c r="C116" s="1644"/>
      <c r="D116" s="1645"/>
      <c r="E116" s="1661"/>
      <c r="F116" s="1647"/>
      <c r="J116" s="272"/>
      <c r="K116" s="578">
        <v>13</v>
      </c>
      <c r="L116" s="1670"/>
      <c r="M116" s="1673"/>
      <c r="N116" s="1672"/>
      <c r="O116" s="1664"/>
      <c r="P116" s="1664"/>
      <c r="Q116" s="1664"/>
      <c r="R116" s="1664"/>
      <c r="S116" s="1664"/>
      <c r="T116" s="1664"/>
      <c r="U116" s="1664"/>
      <c r="V116" s="355"/>
      <c r="W116" s="272"/>
      <c r="X116" s="272"/>
      <c r="Y116" s="272"/>
      <c r="Z116" s="272"/>
      <c r="AA116" s="272"/>
      <c r="AB116" s="272"/>
      <c r="AC116" s="272"/>
    </row>
    <row r="117" spans="2:29" ht="12" customHeight="1">
      <c r="B117" s="578">
        <v>111</v>
      </c>
      <c r="C117" s="1644"/>
      <c r="D117" s="1645"/>
      <c r="E117" s="1661"/>
      <c r="F117" s="1647"/>
      <c r="J117" s="272"/>
      <c r="K117" s="578">
        <v>14</v>
      </c>
      <c r="L117" s="1670"/>
      <c r="M117" s="1673"/>
      <c r="N117" s="1672"/>
      <c r="O117" s="1664"/>
      <c r="P117" s="1664"/>
      <c r="Q117" s="1664"/>
      <c r="R117" s="1664"/>
      <c r="S117" s="1664"/>
      <c r="T117" s="1664"/>
      <c r="U117" s="1664"/>
      <c r="V117" s="355"/>
      <c r="W117" s="272"/>
      <c r="X117" s="272"/>
      <c r="Y117" s="272"/>
      <c r="Z117" s="272"/>
      <c r="AA117" s="272"/>
      <c r="AB117" s="272"/>
      <c r="AC117" s="272"/>
    </row>
    <row r="118" spans="2:29" ht="12" customHeight="1">
      <c r="B118" s="578">
        <v>112</v>
      </c>
      <c r="C118" s="1644"/>
      <c r="D118" s="1645"/>
      <c r="E118" s="1661"/>
      <c r="F118" s="1647"/>
      <c r="J118" s="272"/>
      <c r="K118" s="578">
        <v>15</v>
      </c>
      <c r="L118" s="1670"/>
      <c r="M118" s="1673"/>
      <c r="N118" s="1672"/>
      <c r="O118" s="1664"/>
      <c r="P118" s="1664"/>
      <c r="Q118" s="1664"/>
      <c r="R118" s="1664"/>
      <c r="S118" s="1664"/>
      <c r="T118" s="1664"/>
      <c r="U118" s="1664"/>
      <c r="V118" s="355"/>
      <c r="W118" s="272"/>
      <c r="X118" s="272"/>
      <c r="Y118" s="272"/>
      <c r="Z118" s="272"/>
      <c r="AA118" s="272"/>
      <c r="AB118" s="272"/>
      <c r="AC118" s="272"/>
    </row>
    <row r="119" spans="2:29" ht="12" customHeight="1">
      <c r="B119" s="578">
        <v>113</v>
      </c>
      <c r="C119" s="1644"/>
      <c r="D119" s="1645"/>
      <c r="E119" s="1661"/>
      <c r="F119" s="1647"/>
      <c r="J119" s="272"/>
      <c r="K119" s="578">
        <v>16</v>
      </c>
      <c r="L119" s="1670"/>
      <c r="M119" s="1673"/>
      <c r="N119" s="1672"/>
      <c r="O119" s="1664"/>
      <c r="P119" s="1664"/>
      <c r="Q119" s="1664"/>
      <c r="R119" s="1664"/>
      <c r="S119" s="1664"/>
      <c r="T119" s="1664"/>
      <c r="U119" s="1664"/>
      <c r="V119" s="355"/>
      <c r="W119" s="272"/>
      <c r="X119" s="272"/>
      <c r="Y119" s="272"/>
      <c r="Z119" s="272"/>
      <c r="AA119" s="272"/>
      <c r="AB119" s="272"/>
      <c r="AC119" s="272"/>
    </row>
    <row r="120" spans="2:29" ht="12" customHeight="1">
      <c r="B120" s="578">
        <v>114</v>
      </c>
      <c r="C120" s="1644"/>
      <c r="D120" s="1645"/>
      <c r="E120" s="1661"/>
      <c r="F120" s="1647"/>
      <c r="J120" s="272"/>
      <c r="K120" s="578">
        <v>17</v>
      </c>
      <c r="L120" s="1670"/>
      <c r="M120" s="1673"/>
      <c r="N120" s="1672"/>
      <c r="O120" s="1664"/>
      <c r="P120" s="1664"/>
      <c r="Q120" s="1664"/>
      <c r="R120" s="1664"/>
      <c r="S120" s="1664"/>
      <c r="T120" s="1664"/>
      <c r="U120" s="1664"/>
      <c r="V120" s="355"/>
      <c r="W120" s="272"/>
      <c r="X120" s="272"/>
      <c r="Y120" s="272"/>
      <c r="Z120" s="272"/>
      <c r="AA120" s="272"/>
      <c r="AB120" s="272"/>
      <c r="AC120" s="272"/>
    </row>
    <row r="121" spans="2:29" ht="12" customHeight="1">
      <c r="B121" s="578">
        <v>115</v>
      </c>
      <c r="C121" s="1644"/>
      <c r="D121" s="1645"/>
      <c r="E121" s="1661"/>
      <c r="F121" s="1647"/>
      <c r="J121" s="272"/>
      <c r="K121" s="578">
        <v>18</v>
      </c>
      <c r="L121" s="1670"/>
      <c r="M121" s="1673"/>
      <c r="N121" s="1672"/>
      <c r="O121" s="1664"/>
      <c r="P121" s="1664"/>
      <c r="Q121" s="1664"/>
      <c r="R121" s="1664"/>
      <c r="S121" s="1664"/>
      <c r="T121" s="1664"/>
      <c r="U121" s="1664"/>
      <c r="V121" s="355"/>
      <c r="W121" s="272"/>
      <c r="X121" s="272"/>
      <c r="Y121" s="272"/>
      <c r="Z121" s="272"/>
      <c r="AA121" s="272"/>
      <c r="AB121" s="272"/>
      <c r="AC121" s="272"/>
    </row>
    <row r="122" spans="2:29" ht="12" customHeight="1" thickBot="1">
      <c r="B122" s="578">
        <v>116</v>
      </c>
      <c r="C122" s="1644"/>
      <c r="D122" s="1645"/>
      <c r="E122" s="1661"/>
      <c r="F122" s="1647"/>
      <c r="J122" s="272"/>
      <c r="K122" s="583">
        <v>19</v>
      </c>
      <c r="L122" s="1675"/>
      <c r="M122" s="1676"/>
      <c r="N122" s="1677"/>
      <c r="O122" s="1678"/>
      <c r="P122" s="1678"/>
      <c r="Q122" s="1678"/>
      <c r="R122" s="1678"/>
      <c r="S122" s="1678"/>
      <c r="T122" s="1678"/>
      <c r="U122" s="1678"/>
      <c r="V122" s="411"/>
      <c r="W122" s="272"/>
      <c r="X122" s="272"/>
      <c r="Y122" s="272"/>
      <c r="Z122" s="272"/>
      <c r="AA122" s="272"/>
      <c r="AB122" s="272"/>
      <c r="AC122" s="272"/>
    </row>
    <row r="123" spans="2:29" ht="12" customHeight="1">
      <c r="B123" s="578">
        <v>117</v>
      </c>
      <c r="C123" s="1644"/>
      <c r="D123" s="1645"/>
      <c r="E123" s="1661"/>
      <c r="F123" s="1647"/>
      <c r="J123" s="272"/>
      <c r="K123" s="272"/>
      <c r="L123" s="272"/>
      <c r="M123" s="272"/>
      <c r="N123" s="272"/>
      <c r="O123" s="272"/>
      <c r="P123" s="272"/>
      <c r="Q123" s="272"/>
      <c r="R123" s="272"/>
      <c r="S123" s="272"/>
      <c r="T123" s="272"/>
      <c r="U123" s="272"/>
      <c r="V123" s="272"/>
      <c r="W123" s="272"/>
      <c r="X123" s="272"/>
      <c r="Y123" s="272"/>
      <c r="Z123" s="272"/>
      <c r="AA123" s="272"/>
      <c r="AB123" s="272"/>
      <c r="AC123" s="272"/>
    </row>
    <row r="124" spans="2:29" ht="12" customHeight="1" thickBot="1">
      <c r="B124" s="578">
        <v>118</v>
      </c>
      <c r="C124" s="1644"/>
      <c r="D124" s="1645"/>
      <c r="E124" s="1661"/>
      <c r="F124" s="1647"/>
      <c r="J124" s="272"/>
      <c r="K124" s="272"/>
      <c r="L124" s="272"/>
      <c r="M124" s="272"/>
      <c r="N124" s="272"/>
      <c r="O124" s="272"/>
      <c r="P124" s="272"/>
      <c r="Q124" s="272"/>
      <c r="R124" s="272"/>
      <c r="S124" s="272"/>
      <c r="T124" s="272"/>
      <c r="U124" s="272"/>
      <c r="V124" s="272"/>
      <c r="W124" s="272"/>
      <c r="X124" s="272"/>
      <c r="Y124" s="272"/>
      <c r="Z124" s="272"/>
      <c r="AA124" s="272"/>
      <c r="AB124" s="272"/>
      <c r="AC124" s="272"/>
    </row>
    <row r="125" spans="2:29" ht="12" customHeight="1" thickBot="1">
      <c r="B125" s="578">
        <v>119</v>
      </c>
      <c r="C125" s="1644"/>
      <c r="D125" s="1645"/>
      <c r="E125" s="1661"/>
      <c r="F125" s="1647"/>
      <c r="J125" s="272"/>
      <c r="K125" s="275" t="s">
        <v>8107</v>
      </c>
      <c r="L125" s="1658"/>
      <c r="M125" s="1658"/>
      <c r="N125" s="1658"/>
      <c r="O125" s="1658"/>
      <c r="P125" s="1658"/>
      <c r="Q125" s="1658"/>
      <c r="R125" s="1658"/>
      <c r="S125" s="1658"/>
      <c r="T125" s="1658"/>
      <c r="U125" s="1658"/>
      <c r="V125" s="1659"/>
      <c r="W125" s="272"/>
      <c r="X125" s="272"/>
      <c r="Y125" s="272"/>
      <c r="Z125" s="272"/>
      <c r="AA125" s="272"/>
      <c r="AB125" s="272"/>
      <c r="AC125" s="272"/>
    </row>
    <row r="126" spans="2:29" ht="12" customHeight="1">
      <c r="B126" s="578">
        <v>120</v>
      </c>
      <c r="C126" s="1644"/>
      <c r="D126" s="1645"/>
      <c r="E126" s="1661"/>
      <c r="F126" s="1647"/>
      <c r="J126" s="272"/>
      <c r="K126" s="465"/>
      <c r="L126" s="328" t="str">
        <f t="shared" ref="L126:V126" ca="1" si="10">VLOOKUP(RANDBETWEEN(1,L129),$K130:$V148,L128)</f>
        <v xml:space="preserve">Skoraeus Stonebones, god of stone giants and art N </v>
      </c>
      <c r="M126" s="328" t="str">
        <f t="shared" ca="1" si="10"/>
        <v xml:space="preserve">Silvanus, god of wild nature N </v>
      </c>
      <c r="N126" s="328" t="str">
        <f t="shared" ca="1" si="10"/>
        <v>Zivilyn, god of wisdom N</v>
      </c>
      <c r="O126" s="328" t="str">
        <f t="shared" ca="1" si="10"/>
        <v xml:space="preserve">Kol Korran, god o f trade and wealth N </v>
      </c>
      <c r="P126" s="328" t="str">
        <f t="shared" ca="1" si="10"/>
        <v xml:space="preserve">Eadro, merfolk deity of the sea N </v>
      </c>
      <c r="Q126" s="328" t="str">
        <f t="shared" ca="1" si="10"/>
        <v xml:space="preserve">Dunatis, god of mountains and peaks N </v>
      </c>
      <c r="R126" s="328" t="str">
        <f t="shared" ca="1" si="10"/>
        <v xml:space="preserve">Zeus, god of the sky, ruler of the gods N </v>
      </c>
      <c r="S126" s="328" t="str">
        <f t="shared" ca="1" si="10"/>
        <v xml:space="preserve">Thoth, god of knowledge and wisdom N </v>
      </c>
      <c r="T126" s="328" t="str">
        <f t="shared" ca="1" si="10"/>
        <v xml:space="preserve">Skadi, god of earth and mountains N </v>
      </c>
      <c r="U126" s="328" t="str">
        <f t="shared" ca="1" si="10"/>
        <v>Shadowfell</v>
      </c>
      <c r="V126" s="898" t="str">
        <f t="shared" ca="1" si="10"/>
        <v>NONE</v>
      </c>
      <c r="W126" s="272"/>
      <c r="X126" s="272"/>
      <c r="Y126" s="272"/>
      <c r="Z126" s="272"/>
      <c r="AA126" s="272"/>
      <c r="AB126" s="272"/>
      <c r="AC126" s="272"/>
    </row>
    <row r="127" spans="2:29" ht="12" customHeight="1">
      <c r="B127" s="578">
        <v>121</v>
      </c>
      <c r="C127" s="1644"/>
      <c r="D127" s="1645"/>
      <c r="E127" s="1661"/>
      <c r="F127" s="1647"/>
      <c r="J127" s="272"/>
      <c r="K127" s="477"/>
      <c r="L127" s="1634" t="s">
        <v>7849</v>
      </c>
      <c r="M127" s="1634" t="s">
        <v>7850</v>
      </c>
      <c r="N127" s="1634" t="s">
        <v>7851</v>
      </c>
      <c r="O127" s="1634" t="s">
        <v>7852</v>
      </c>
      <c r="P127" s="1634" t="s">
        <v>7853</v>
      </c>
      <c r="Q127" s="545" t="s">
        <v>7854</v>
      </c>
      <c r="R127" s="545" t="s">
        <v>7855</v>
      </c>
      <c r="S127" s="545" t="s">
        <v>7856</v>
      </c>
      <c r="T127" s="545" t="s">
        <v>7857</v>
      </c>
      <c r="U127" s="545" t="s">
        <v>7858</v>
      </c>
      <c r="V127" s="1660" t="e">
        <f>IF([1]MATH!#REF!&lt;&gt;"Cleric","None","As Cleric")</f>
        <v>#REF!</v>
      </c>
      <c r="W127" s="272"/>
      <c r="X127" s="272"/>
      <c r="Y127" s="272"/>
      <c r="Z127" s="272"/>
      <c r="AA127" s="272"/>
      <c r="AB127" s="272"/>
      <c r="AC127" s="272"/>
    </row>
    <row r="128" spans="2:29" ht="12" customHeight="1">
      <c r="B128" s="578">
        <v>122</v>
      </c>
      <c r="C128" s="1644"/>
      <c r="D128" s="1645"/>
      <c r="E128" s="1661"/>
      <c r="F128" s="1647"/>
      <c r="J128" s="272"/>
      <c r="K128" s="477" t="s">
        <v>6172</v>
      </c>
      <c r="L128" s="352">
        <v>2</v>
      </c>
      <c r="M128" s="352">
        <v>3</v>
      </c>
      <c r="N128" s="352">
        <v>4</v>
      </c>
      <c r="O128" s="352">
        <v>5</v>
      </c>
      <c r="P128" s="352">
        <v>6</v>
      </c>
      <c r="Q128" s="352">
        <v>7</v>
      </c>
      <c r="R128" s="352">
        <v>8</v>
      </c>
      <c r="S128" s="352">
        <v>9</v>
      </c>
      <c r="T128" s="352">
        <v>10</v>
      </c>
      <c r="U128" s="352">
        <v>11</v>
      </c>
      <c r="V128" s="883">
        <v>12</v>
      </c>
      <c r="W128" s="272"/>
      <c r="X128" s="272"/>
      <c r="Y128" s="272"/>
      <c r="Z128" s="272"/>
      <c r="AA128" s="272"/>
      <c r="AB128" s="272"/>
      <c r="AC128" s="272"/>
    </row>
    <row r="129" spans="2:29" ht="12" customHeight="1" thickBot="1">
      <c r="B129" s="578">
        <v>123</v>
      </c>
      <c r="C129" s="1644"/>
      <c r="D129" s="1645"/>
      <c r="E129" s="1661"/>
      <c r="F129" s="1647"/>
      <c r="J129" s="272"/>
      <c r="K129" s="492" t="s">
        <v>6070</v>
      </c>
      <c r="L129" s="419">
        <f t="shared" ref="L129:V129" si="11">COUNT($K$130:$K$148)-COUNTBLANK(L130:L148)</f>
        <v>9</v>
      </c>
      <c r="M129" s="419">
        <f t="shared" si="11"/>
        <v>16</v>
      </c>
      <c r="N129" s="419">
        <f t="shared" si="11"/>
        <v>7</v>
      </c>
      <c r="O129" s="419">
        <f t="shared" si="11"/>
        <v>2</v>
      </c>
      <c r="P129" s="419">
        <f t="shared" si="11"/>
        <v>4</v>
      </c>
      <c r="Q129" s="419">
        <f t="shared" si="11"/>
        <v>3</v>
      </c>
      <c r="R129" s="419">
        <f t="shared" si="11"/>
        <v>2</v>
      </c>
      <c r="S129" s="419">
        <f t="shared" si="11"/>
        <v>1</v>
      </c>
      <c r="T129" s="419">
        <f t="shared" si="11"/>
        <v>3</v>
      </c>
      <c r="U129" s="419">
        <f t="shared" ca="1" si="11"/>
        <v>10</v>
      </c>
      <c r="V129" s="504">
        <f t="shared" si="11"/>
        <v>1</v>
      </c>
      <c r="W129" s="272"/>
      <c r="X129" s="272"/>
      <c r="Y129" s="272"/>
      <c r="Z129" s="272"/>
      <c r="AA129" s="272"/>
      <c r="AB129" s="272"/>
      <c r="AC129" s="272"/>
    </row>
    <row r="130" spans="2:29" ht="12" customHeight="1">
      <c r="B130" s="578">
        <v>124</v>
      </c>
      <c r="C130" s="1681"/>
      <c r="D130" s="1682"/>
      <c r="E130" s="1683"/>
      <c r="F130" s="1684"/>
      <c r="J130" s="272"/>
      <c r="K130" s="572">
        <v>1</v>
      </c>
      <c r="L130" s="1664" t="s">
        <v>8108</v>
      </c>
      <c r="M130" s="1662" t="s">
        <v>8109</v>
      </c>
      <c r="N130" s="1662" t="s">
        <v>8110</v>
      </c>
      <c r="O130" s="1662" t="s">
        <v>8111</v>
      </c>
      <c r="P130" s="1662" t="s">
        <v>8112</v>
      </c>
      <c r="Q130" s="1662" t="s">
        <v>8113</v>
      </c>
      <c r="R130" s="1662" t="s">
        <v>8114</v>
      </c>
      <c r="S130" s="1662" t="s">
        <v>8115</v>
      </c>
      <c r="T130" s="1662" t="s">
        <v>8116</v>
      </c>
      <c r="U130" s="330" t="s">
        <v>7929</v>
      </c>
      <c r="V130" s="1685" t="s">
        <v>7841</v>
      </c>
      <c r="W130" s="272"/>
      <c r="X130" s="272"/>
      <c r="Y130" s="272"/>
      <c r="Z130" s="272"/>
      <c r="AA130" s="272"/>
      <c r="AB130" s="272"/>
      <c r="AC130" s="272"/>
    </row>
    <row r="131" spans="2:29" ht="12" customHeight="1" thickBot="1">
      <c r="B131" s="1686">
        <v>125</v>
      </c>
      <c r="C131" s="1687"/>
      <c r="D131" s="1688"/>
      <c r="E131" s="1689"/>
      <c r="F131" s="1690"/>
      <c r="J131" s="272"/>
      <c r="K131" s="578">
        <v>2</v>
      </c>
      <c r="L131" s="1664" t="s">
        <v>8117</v>
      </c>
      <c r="M131" s="1664" t="s">
        <v>8118</v>
      </c>
      <c r="N131" s="1664" t="s">
        <v>8119</v>
      </c>
      <c r="O131" s="1664" t="s">
        <v>8120</v>
      </c>
      <c r="P131" s="1664" t="s">
        <v>8121</v>
      </c>
      <c r="Q131" s="1664" t="s">
        <v>8122</v>
      </c>
      <c r="R131" s="1664" t="s">
        <v>8123</v>
      </c>
      <c r="S131" s="1664"/>
      <c r="T131" s="1664" t="s">
        <v>8124</v>
      </c>
      <c r="U131" s="354" t="s">
        <v>7933</v>
      </c>
      <c r="V131" s="580"/>
      <c r="W131" s="272"/>
      <c r="X131" s="272"/>
      <c r="Y131" s="272"/>
      <c r="Z131" s="272"/>
      <c r="AA131" s="272"/>
      <c r="AB131" s="272"/>
      <c r="AC131" s="272"/>
    </row>
    <row r="132" spans="2:29" ht="12" customHeight="1">
      <c r="J132" s="272"/>
      <c r="K132" s="578">
        <v>3</v>
      </c>
      <c r="L132" s="1664" t="s">
        <v>8125</v>
      </c>
      <c r="M132" s="1664" t="s">
        <v>8126</v>
      </c>
      <c r="N132" s="1664" t="s">
        <v>8127</v>
      </c>
      <c r="O132" s="1664"/>
      <c r="P132" s="1664" t="s">
        <v>8128</v>
      </c>
      <c r="Q132" s="1664" t="s">
        <v>8129</v>
      </c>
      <c r="R132" s="1664"/>
      <c r="S132" s="1664"/>
      <c r="T132" s="1664" t="s">
        <v>8130</v>
      </c>
      <c r="U132" s="354" t="s">
        <v>7935</v>
      </c>
      <c r="V132" s="580"/>
      <c r="W132" s="272"/>
      <c r="X132" s="272"/>
      <c r="Y132" s="272"/>
      <c r="Z132" s="272"/>
      <c r="AA132" s="272"/>
      <c r="AB132" s="272"/>
      <c r="AC132" s="272"/>
    </row>
    <row r="133" spans="2:29" ht="12" customHeight="1">
      <c r="J133" s="272"/>
      <c r="K133" s="578">
        <v>4</v>
      </c>
      <c r="L133" s="1664" t="s">
        <v>8131</v>
      </c>
      <c r="M133" s="1664" t="s">
        <v>8132</v>
      </c>
      <c r="N133" s="1664" t="s">
        <v>8133</v>
      </c>
      <c r="O133" s="1664"/>
      <c r="P133" s="1664" t="s">
        <v>8134</v>
      </c>
      <c r="Q133" s="1664"/>
      <c r="R133" s="1664"/>
      <c r="S133" s="1664"/>
      <c r="T133" s="1664"/>
      <c r="U133" s="351" t="str">
        <f ca="1">"Elemental plane of:  "&amp;IF(U254=1,"Chaos",IF(U254=2,"Air",IF(U254=3,"Fire",IF(U254=4,"water",IF(U254=5,"Earth")))))</f>
        <v>Elemental plane of:  water</v>
      </c>
      <c r="V133" s="580"/>
      <c r="W133" s="272"/>
      <c r="X133" s="272"/>
      <c r="Y133" s="272"/>
      <c r="Z133" s="272"/>
      <c r="AA133" s="272"/>
      <c r="AB133" s="272"/>
      <c r="AC133" s="272"/>
    </row>
    <row r="134" spans="2:29" ht="12" customHeight="1">
      <c r="J134" s="272"/>
      <c r="K134" s="578">
        <v>5</v>
      </c>
      <c r="L134" s="1664" t="s">
        <v>8135</v>
      </c>
      <c r="M134" s="1664" t="s">
        <v>8136</v>
      </c>
      <c r="N134" s="1664" t="s">
        <v>8137</v>
      </c>
      <c r="O134" s="1664"/>
      <c r="P134" s="1664"/>
      <c r="Q134" s="1664"/>
      <c r="R134" s="1664"/>
      <c r="S134" s="1664"/>
      <c r="T134" s="1664"/>
      <c r="U134" s="354" t="s">
        <v>7939</v>
      </c>
      <c r="V134" s="580"/>
      <c r="W134" s="272"/>
      <c r="X134" s="272"/>
      <c r="Y134" s="272"/>
      <c r="Z134" s="272"/>
      <c r="AA134" s="272"/>
      <c r="AB134" s="272"/>
      <c r="AC134" s="272"/>
    </row>
    <row r="135" spans="2:29" ht="12" customHeight="1">
      <c r="J135" s="272"/>
      <c r="K135" s="578">
        <v>6</v>
      </c>
      <c r="L135" s="354" t="s">
        <v>8112</v>
      </c>
      <c r="M135" s="1664" t="s">
        <v>8112</v>
      </c>
      <c r="N135" s="1664" t="s">
        <v>8138</v>
      </c>
      <c r="O135" s="1664"/>
      <c r="P135" s="1664"/>
      <c r="Q135" s="1664"/>
      <c r="R135" s="1664"/>
      <c r="S135" s="1664"/>
      <c r="T135" s="1664"/>
      <c r="U135" s="354" t="s">
        <v>7949</v>
      </c>
      <c r="V135" s="580"/>
      <c r="W135" s="272"/>
      <c r="X135" s="272"/>
      <c r="Y135" s="272"/>
      <c r="Z135" s="272"/>
      <c r="AA135" s="272"/>
      <c r="AB135" s="272"/>
      <c r="AC135" s="272"/>
    </row>
    <row r="136" spans="2:29" ht="12" customHeight="1">
      <c r="J136" s="272"/>
      <c r="K136" s="578">
        <v>7</v>
      </c>
      <c r="L136" s="1664" t="s">
        <v>8121</v>
      </c>
      <c r="M136" s="1664" t="s">
        <v>8121</v>
      </c>
      <c r="N136" s="1664" t="s">
        <v>8139</v>
      </c>
      <c r="O136" s="1664"/>
      <c r="P136" s="1664"/>
      <c r="Q136" s="1664"/>
      <c r="R136" s="1664"/>
      <c r="S136" s="1664"/>
      <c r="T136" s="1664"/>
      <c r="U136" s="354" t="s">
        <v>7958</v>
      </c>
      <c r="V136" s="580"/>
      <c r="W136" s="272"/>
      <c r="X136" s="272"/>
      <c r="Y136" s="272"/>
      <c r="Z136" s="272"/>
      <c r="AA136" s="272"/>
      <c r="AB136" s="272"/>
      <c r="AC136" s="272"/>
    </row>
    <row r="137" spans="2:29" ht="12" customHeight="1">
      <c r="J137" s="272"/>
      <c r="K137" s="578">
        <v>8</v>
      </c>
      <c r="L137" s="1664" t="s">
        <v>8128</v>
      </c>
      <c r="M137" s="1664" t="s">
        <v>8128</v>
      </c>
      <c r="N137" s="1664"/>
      <c r="O137" s="1664"/>
      <c r="P137" s="1664"/>
      <c r="Q137" s="1664"/>
      <c r="R137" s="1664"/>
      <c r="S137" s="1664"/>
      <c r="T137" s="1664"/>
      <c r="U137" s="354" t="s">
        <v>7963</v>
      </c>
      <c r="V137" s="580"/>
      <c r="W137" s="272"/>
      <c r="X137" s="272"/>
      <c r="Y137" s="272"/>
      <c r="Z137" s="272"/>
      <c r="AA137" s="272"/>
      <c r="AB137" s="272"/>
      <c r="AC137" s="272"/>
    </row>
    <row r="138" spans="2:29" ht="12" customHeight="1" thickBot="1">
      <c r="J138" s="272"/>
      <c r="K138" s="578">
        <v>9</v>
      </c>
      <c r="L138" s="1664" t="s">
        <v>8134</v>
      </c>
      <c r="M138" s="1669" t="s">
        <v>8134</v>
      </c>
      <c r="N138" s="1664"/>
      <c r="O138" s="1664"/>
      <c r="P138" s="1664"/>
      <c r="Q138" s="1664"/>
      <c r="R138" s="1664"/>
      <c r="S138" s="1664"/>
      <c r="T138" s="1664"/>
      <c r="U138" s="354" t="s">
        <v>7967</v>
      </c>
      <c r="V138" s="580"/>
      <c r="W138" s="272"/>
      <c r="X138" s="272"/>
      <c r="Y138" s="272"/>
      <c r="Z138" s="272"/>
      <c r="AA138" s="272"/>
      <c r="AB138" s="272"/>
      <c r="AC138" s="272"/>
    </row>
    <row r="139" spans="2:29" ht="12" customHeight="1">
      <c r="J139" s="272"/>
      <c r="K139" s="578">
        <v>10</v>
      </c>
      <c r="L139" s="1670"/>
      <c r="M139" s="1671" t="s">
        <v>8140</v>
      </c>
      <c r="N139" s="1672"/>
      <c r="O139" s="1664"/>
      <c r="P139" s="1664"/>
      <c r="Q139" s="1664"/>
      <c r="R139" s="1664"/>
      <c r="S139" s="1664"/>
      <c r="T139" s="1664"/>
      <c r="U139" s="354" t="s">
        <v>7971</v>
      </c>
      <c r="V139" s="580"/>
      <c r="W139" s="272"/>
      <c r="X139" s="272"/>
      <c r="Y139" s="272"/>
      <c r="Z139" s="272"/>
      <c r="AA139" s="272"/>
      <c r="AB139" s="272"/>
      <c r="AC139" s="272"/>
    </row>
    <row r="140" spans="2:29" ht="12" customHeight="1">
      <c r="J140" s="272"/>
      <c r="K140" s="578">
        <v>11</v>
      </c>
      <c r="L140" s="1670"/>
      <c r="M140" s="1673" t="s">
        <v>8141</v>
      </c>
      <c r="N140" s="1672"/>
      <c r="O140" s="1664"/>
      <c r="P140" s="1664"/>
      <c r="Q140" s="1664"/>
      <c r="R140" s="1664"/>
      <c r="S140" s="1664"/>
      <c r="T140" s="1664"/>
      <c r="U140" s="1664"/>
      <c r="V140" s="580"/>
      <c r="W140" s="272"/>
      <c r="X140" s="272"/>
      <c r="Y140" s="272"/>
      <c r="Z140" s="272"/>
      <c r="AA140" s="272"/>
      <c r="AB140" s="272"/>
      <c r="AC140" s="272"/>
    </row>
    <row r="141" spans="2:29" ht="12" customHeight="1">
      <c r="J141" s="272"/>
      <c r="K141" s="578">
        <v>12</v>
      </c>
      <c r="L141" s="1670"/>
      <c r="M141" s="1673" t="s">
        <v>8142</v>
      </c>
      <c r="N141" s="1672"/>
      <c r="O141" s="1664"/>
      <c r="P141" s="1664"/>
      <c r="Q141" s="1664"/>
      <c r="R141" s="1664"/>
      <c r="S141" s="1664"/>
      <c r="T141" s="1664"/>
      <c r="U141" s="1664"/>
      <c r="V141" s="580"/>
      <c r="W141" s="272"/>
      <c r="X141" s="272"/>
      <c r="Y141" s="272"/>
      <c r="Z141" s="272"/>
      <c r="AA141" s="272"/>
      <c r="AB141" s="272"/>
      <c r="AC141" s="272"/>
    </row>
    <row r="142" spans="2:29" ht="12" customHeight="1">
      <c r="J142" s="272"/>
      <c r="K142" s="578">
        <v>13</v>
      </c>
      <c r="L142" s="1670"/>
      <c r="M142" s="1673" t="s">
        <v>8143</v>
      </c>
      <c r="N142" s="1672"/>
      <c r="O142" s="1664"/>
      <c r="P142" s="1664"/>
      <c r="Q142" s="1664"/>
      <c r="R142" s="1664"/>
      <c r="S142" s="1664"/>
      <c r="T142" s="1664"/>
      <c r="U142" s="1664"/>
      <c r="V142" s="580"/>
      <c r="W142" s="272"/>
      <c r="X142" s="272"/>
      <c r="Y142" s="272"/>
      <c r="Z142" s="272"/>
      <c r="AA142" s="272"/>
      <c r="AB142" s="272"/>
      <c r="AC142" s="272"/>
    </row>
    <row r="143" spans="2:29" ht="12" customHeight="1">
      <c r="J143" s="272"/>
      <c r="K143" s="578">
        <v>14</v>
      </c>
      <c r="L143" s="1670"/>
      <c r="M143" s="1673" t="s">
        <v>8144</v>
      </c>
      <c r="N143" s="1672"/>
      <c r="O143" s="1664"/>
      <c r="P143" s="1664"/>
      <c r="Q143" s="1664"/>
      <c r="R143" s="1664"/>
      <c r="S143" s="1664"/>
      <c r="T143" s="1664"/>
      <c r="U143" s="1664"/>
      <c r="V143" s="580"/>
      <c r="W143" s="272"/>
      <c r="X143" s="272"/>
      <c r="Y143" s="272"/>
      <c r="Z143" s="272"/>
      <c r="AA143" s="272"/>
      <c r="AB143" s="272"/>
      <c r="AC143" s="272"/>
    </row>
    <row r="144" spans="2:29" ht="12" customHeight="1">
      <c r="J144" s="272"/>
      <c r="K144" s="578">
        <v>15</v>
      </c>
      <c r="L144" s="1670"/>
      <c r="M144" s="1673" t="s">
        <v>8145</v>
      </c>
      <c r="N144" s="1672"/>
      <c r="O144" s="1664"/>
      <c r="P144" s="1664"/>
      <c r="Q144" s="1664"/>
      <c r="R144" s="1664"/>
      <c r="S144" s="1664"/>
      <c r="T144" s="1664"/>
      <c r="U144" s="1664"/>
      <c r="V144" s="355"/>
      <c r="W144" s="272"/>
      <c r="X144" s="272"/>
      <c r="Y144" s="272"/>
      <c r="Z144" s="272"/>
      <c r="AA144" s="272"/>
      <c r="AB144" s="272"/>
      <c r="AC144" s="272"/>
    </row>
    <row r="145" spans="10:29" ht="12" customHeight="1">
      <c r="J145" s="272"/>
      <c r="K145" s="578">
        <v>16</v>
      </c>
      <c r="L145" s="1670"/>
      <c r="M145" s="1691" t="s">
        <v>8146</v>
      </c>
      <c r="N145" s="1672"/>
      <c r="O145" s="1664"/>
      <c r="P145" s="1664"/>
      <c r="Q145" s="1664"/>
      <c r="R145" s="1664"/>
      <c r="S145" s="1664"/>
      <c r="T145" s="1664"/>
      <c r="U145" s="1664"/>
      <c r="V145" s="355"/>
      <c r="W145" s="272"/>
      <c r="X145" s="272"/>
      <c r="Y145" s="272"/>
      <c r="Z145" s="272"/>
      <c r="AA145" s="272"/>
      <c r="AB145" s="272"/>
      <c r="AC145" s="272"/>
    </row>
    <row r="146" spans="10:29" ht="12" customHeight="1">
      <c r="J146" s="272"/>
      <c r="K146" s="578">
        <v>17</v>
      </c>
      <c r="L146" s="1670"/>
      <c r="M146" s="1673"/>
      <c r="N146" s="1672"/>
      <c r="O146" s="1664"/>
      <c r="P146" s="1664"/>
      <c r="Q146" s="1664"/>
      <c r="R146" s="1664"/>
      <c r="S146" s="1664"/>
      <c r="T146" s="1664"/>
      <c r="U146" s="1664"/>
      <c r="V146" s="355"/>
      <c r="W146" s="272"/>
      <c r="X146" s="272"/>
      <c r="Y146" s="272"/>
      <c r="Z146" s="272"/>
      <c r="AA146" s="272"/>
      <c r="AB146" s="272"/>
      <c r="AC146" s="272"/>
    </row>
    <row r="147" spans="10:29" ht="12" customHeight="1">
      <c r="J147" s="272"/>
      <c r="K147" s="578">
        <v>18</v>
      </c>
      <c r="L147" s="1670"/>
      <c r="M147" s="1673"/>
      <c r="N147" s="1672"/>
      <c r="O147" s="1664"/>
      <c r="P147" s="1664"/>
      <c r="Q147" s="1664"/>
      <c r="R147" s="1664"/>
      <c r="S147" s="1664"/>
      <c r="T147" s="1664"/>
      <c r="U147" s="1664"/>
      <c r="V147" s="355"/>
      <c r="W147" s="272"/>
      <c r="X147" s="272"/>
      <c r="Y147" s="272"/>
      <c r="Z147" s="272"/>
      <c r="AA147" s="272"/>
      <c r="AB147" s="272"/>
      <c r="AC147" s="272"/>
    </row>
    <row r="148" spans="10:29" ht="12" customHeight="1" thickBot="1">
      <c r="J148" s="272"/>
      <c r="K148" s="583">
        <v>19</v>
      </c>
      <c r="L148" s="1675"/>
      <c r="M148" s="1676"/>
      <c r="N148" s="1677"/>
      <c r="O148" s="1678"/>
      <c r="P148" s="1678"/>
      <c r="Q148" s="1678"/>
      <c r="R148" s="1678"/>
      <c r="S148" s="1678"/>
      <c r="T148" s="1678"/>
      <c r="U148" s="1678"/>
      <c r="V148" s="411"/>
      <c r="W148" s="272"/>
      <c r="X148" s="272"/>
      <c r="Y148" s="272"/>
      <c r="Z148" s="272"/>
      <c r="AA148" s="272"/>
      <c r="AB148" s="272"/>
      <c r="AC148" s="272"/>
    </row>
    <row r="149" spans="10:29" ht="12" customHeight="1">
      <c r="J149" s="272"/>
      <c r="K149" s="272"/>
      <c r="L149" s="272"/>
      <c r="M149" s="272"/>
      <c r="N149" s="272"/>
      <c r="O149" s="272"/>
      <c r="P149" s="272"/>
      <c r="Q149" s="272"/>
      <c r="R149" s="272"/>
      <c r="S149" s="272"/>
      <c r="T149" s="272"/>
      <c r="U149" s="272"/>
      <c r="V149" s="272"/>
      <c r="W149" s="272"/>
      <c r="X149" s="272"/>
      <c r="Y149" s="272"/>
      <c r="Z149" s="272"/>
      <c r="AA149" s="272"/>
      <c r="AB149" s="272"/>
      <c r="AC149" s="272"/>
    </row>
    <row r="150" spans="10:29" ht="12" customHeight="1" thickBot="1">
      <c r="J150" s="272"/>
      <c r="K150" s="272"/>
      <c r="L150" s="272"/>
      <c r="M150" s="272"/>
      <c r="N150" s="272"/>
      <c r="O150" s="272"/>
      <c r="P150" s="272"/>
      <c r="Q150" s="272"/>
      <c r="R150" s="272"/>
      <c r="S150" s="272"/>
      <c r="T150" s="272"/>
      <c r="U150" s="272"/>
      <c r="V150" s="272"/>
      <c r="W150" s="272"/>
      <c r="X150" s="272"/>
      <c r="Y150" s="272"/>
      <c r="Z150" s="272"/>
      <c r="AA150" s="272"/>
      <c r="AB150" s="272"/>
      <c r="AC150" s="272"/>
    </row>
    <row r="151" spans="10:29" ht="12" customHeight="1" thickBot="1">
      <c r="J151" s="272"/>
      <c r="K151" s="275" t="s">
        <v>8147</v>
      </c>
      <c r="L151" s="1658"/>
      <c r="M151" s="1658"/>
      <c r="N151" s="1658"/>
      <c r="O151" s="1658"/>
      <c r="P151" s="1658"/>
      <c r="Q151" s="1658"/>
      <c r="R151" s="1658"/>
      <c r="S151" s="1658"/>
      <c r="T151" s="1658"/>
      <c r="U151" s="1658"/>
      <c r="V151" s="1659"/>
      <c r="W151" s="272"/>
      <c r="X151" s="272"/>
      <c r="Y151" s="272"/>
      <c r="Z151" s="272"/>
      <c r="AA151" s="272"/>
      <c r="AB151" s="272"/>
      <c r="AC151" s="272"/>
    </row>
    <row r="152" spans="10:29" ht="12" customHeight="1">
      <c r="J152" s="272"/>
      <c r="K152" s="465"/>
      <c r="L152" s="328" t="str">
        <f t="shared" ref="L152:V152" ca="1" si="12">VLOOKUP(RANDBETWEEN(1,L155),$K156:$V174,L154)</f>
        <v xml:space="preserve">Nerull, god of death NE </v>
      </c>
      <c r="M152" s="328" t="str">
        <f t="shared" ca="1" si="12"/>
        <v>Yurtrus, god of death and disease NE</v>
      </c>
      <c r="N152" s="328" t="str">
        <f t="shared" ca="1" si="12"/>
        <v>Morgion, god of disease and secrecy NE</v>
      </c>
      <c r="O152" s="328" t="str">
        <f t="shared" ca="1" si="12"/>
        <v xml:space="preserve">The Devourer, god of nature’s wrath NE </v>
      </c>
      <c r="P152" s="328" t="str">
        <f t="shared" ca="1" si="12"/>
        <v xml:space="preserve">Blibdoolpoolp, kuo-toa goddess NE </v>
      </c>
      <c r="Q152" s="328" t="str">
        <f t="shared" ca="1" si="12"/>
        <v xml:space="preserve">Arawn, god of life and death NE </v>
      </c>
      <c r="R152" s="328" t="str">
        <f t="shared" ca="1" si="12"/>
        <v>NONE</v>
      </c>
      <c r="S152" s="328" t="str">
        <f t="shared" ca="1" si="12"/>
        <v xml:space="preserve">Apep, god of evil, fire, and serpents NE </v>
      </c>
      <c r="T152" s="328" t="str">
        <f t="shared" ca="1" si="12"/>
        <v xml:space="preserve">Aegir, god of the sea and storms NE </v>
      </c>
      <c r="U152" s="328" t="str">
        <f t="shared" ca="1" si="12"/>
        <v>Gehenna, the Bleak Eternity of NE, LE</v>
      </c>
      <c r="V152" s="898" t="str">
        <f t="shared" ca="1" si="12"/>
        <v>NONE</v>
      </c>
      <c r="W152" s="272"/>
      <c r="X152" s="272"/>
      <c r="Y152" s="272"/>
      <c r="Z152" s="272"/>
      <c r="AA152" s="272"/>
      <c r="AB152" s="272"/>
      <c r="AC152" s="272"/>
    </row>
    <row r="153" spans="10:29" ht="12" customHeight="1">
      <c r="J153" s="272"/>
      <c r="K153" s="477"/>
      <c r="L153" s="1634" t="s">
        <v>7849</v>
      </c>
      <c r="M153" s="1634" t="s">
        <v>7850</v>
      </c>
      <c r="N153" s="1634" t="s">
        <v>7851</v>
      </c>
      <c r="O153" s="1634" t="s">
        <v>7852</v>
      </c>
      <c r="P153" s="1634" t="s">
        <v>7853</v>
      </c>
      <c r="Q153" s="545" t="s">
        <v>7854</v>
      </c>
      <c r="R153" s="545" t="s">
        <v>7855</v>
      </c>
      <c r="S153" s="545" t="s">
        <v>7856</v>
      </c>
      <c r="T153" s="545" t="s">
        <v>7857</v>
      </c>
      <c r="U153" s="545" t="s">
        <v>7858</v>
      </c>
      <c r="V153" s="1660" t="e">
        <f>IF([1]MATH!#REF!&lt;&gt;"Cleric","None","As Cleric")</f>
        <v>#REF!</v>
      </c>
      <c r="W153" s="272"/>
      <c r="X153" s="272"/>
      <c r="Y153" s="272"/>
      <c r="Z153" s="272"/>
      <c r="AA153" s="272"/>
      <c r="AB153" s="272"/>
      <c r="AC153" s="272"/>
    </row>
    <row r="154" spans="10:29" ht="12" customHeight="1">
      <c r="J154" s="272"/>
      <c r="K154" s="477" t="s">
        <v>6172</v>
      </c>
      <c r="L154" s="352">
        <v>2</v>
      </c>
      <c r="M154" s="352">
        <v>3</v>
      </c>
      <c r="N154" s="352">
        <v>4</v>
      </c>
      <c r="O154" s="352">
        <v>5</v>
      </c>
      <c r="P154" s="352">
        <v>6</v>
      </c>
      <c r="Q154" s="352">
        <v>7</v>
      </c>
      <c r="R154" s="352">
        <v>8</v>
      </c>
      <c r="S154" s="352">
        <v>9</v>
      </c>
      <c r="T154" s="352">
        <v>10</v>
      </c>
      <c r="U154" s="352">
        <v>11</v>
      </c>
      <c r="V154" s="883">
        <v>12</v>
      </c>
      <c r="W154" s="272"/>
      <c r="X154" s="272"/>
      <c r="Y154" s="272"/>
      <c r="Z154" s="272"/>
      <c r="AA154" s="272"/>
      <c r="AB154" s="272"/>
      <c r="AC154" s="272"/>
    </row>
    <row r="155" spans="10:29" ht="12" customHeight="1" thickBot="1">
      <c r="J155" s="272"/>
      <c r="K155" s="492" t="s">
        <v>6070</v>
      </c>
      <c r="L155" s="419">
        <f t="shared" ref="L155:V155" si="13">COUNT($K$156:$K$174)-COUNTBLANK(L156:L174)</f>
        <v>4</v>
      </c>
      <c r="M155" s="419">
        <f t="shared" si="13"/>
        <v>8</v>
      </c>
      <c r="N155" s="419">
        <f t="shared" si="13"/>
        <v>1</v>
      </c>
      <c r="O155" s="419">
        <f t="shared" si="13"/>
        <v>5</v>
      </c>
      <c r="P155" s="419">
        <f t="shared" si="13"/>
        <v>1</v>
      </c>
      <c r="Q155" s="419">
        <f t="shared" si="13"/>
        <v>2</v>
      </c>
      <c r="R155" s="419">
        <f t="shared" si="13"/>
        <v>1</v>
      </c>
      <c r="S155" s="419">
        <f t="shared" si="13"/>
        <v>1</v>
      </c>
      <c r="T155" s="419">
        <f t="shared" si="13"/>
        <v>2</v>
      </c>
      <c r="U155" s="419">
        <f t="shared" si="13"/>
        <v>3</v>
      </c>
      <c r="V155" s="504">
        <f t="shared" si="13"/>
        <v>1</v>
      </c>
      <c r="W155" s="272"/>
      <c r="X155" s="272"/>
      <c r="Y155" s="272"/>
      <c r="Z155" s="272"/>
      <c r="AA155" s="272"/>
      <c r="AB155" s="272"/>
      <c r="AC155" s="272"/>
    </row>
    <row r="156" spans="10:29" ht="12" customHeight="1">
      <c r="J156" s="272"/>
      <c r="K156" s="572">
        <v>1</v>
      </c>
      <c r="L156" s="1664" t="s">
        <v>8148</v>
      </c>
      <c r="M156" s="1662" t="s">
        <v>8149</v>
      </c>
      <c r="N156" s="1662" t="s">
        <v>8150</v>
      </c>
      <c r="O156" s="1662" t="s">
        <v>8151</v>
      </c>
      <c r="P156" s="1662" t="s">
        <v>8152</v>
      </c>
      <c r="Q156" s="1662" t="s">
        <v>8153</v>
      </c>
      <c r="R156" s="1662" t="s">
        <v>7841</v>
      </c>
      <c r="S156" s="1662" t="s">
        <v>8154</v>
      </c>
      <c r="T156" s="1662" t="s">
        <v>8155</v>
      </c>
      <c r="U156" s="1662" t="s">
        <v>8156</v>
      </c>
      <c r="V156" s="1663" t="s">
        <v>7841</v>
      </c>
      <c r="W156" s="272"/>
      <c r="X156" s="272"/>
      <c r="Y156" s="272"/>
      <c r="Z156" s="272"/>
      <c r="AA156" s="272"/>
      <c r="AB156" s="272"/>
      <c r="AC156" s="272"/>
    </row>
    <row r="157" spans="10:29" ht="12" customHeight="1">
      <c r="J157" s="272"/>
      <c r="K157" s="578">
        <v>2</v>
      </c>
      <c r="L157" s="1664" t="s">
        <v>8157</v>
      </c>
      <c r="M157" s="1664" t="s">
        <v>8158</v>
      </c>
      <c r="N157" s="1664"/>
      <c r="O157" s="1664" t="s">
        <v>8159</v>
      </c>
      <c r="P157" s="1664"/>
      <c r="Q157" s="1664" t="s">
        <v>8160</v>
      </c>
      <c r="R157" s="1664"/>
      <c r="S157" s="1664"/>
      <c r="T157" s="1664" t="s">
        <v>8161</v>
      </c>
      <c r="U157" s="1664" t="s">
        <v>8162</v>
      </c>
      <c r="V157" s="355"/>
      <c r="W157" s="272"/>
      <c r="X157" s="272"/>
      <c r="Y157" s="272"/>
      <c r="Z157" s="272"/>
      <c r="AA157" s="272"/>
      <c r="AB157" s="272"/>
      <c r="AC157" s="272"/>
    </row>
    <row r="158" spans="10:29" ht="12" customHeight="1">
      <c r="J158" s="272"/>
      <c r="K158" s="578">
        <v>3</v>
      </c>
      <c r="L158" s="1664" t="s">
        <v>8163</v>
      </c>
      <c r="M158" s="1664" t="s">
        <v>8164</v>
      </c>
      <c r="N158" s="1664"/>
      <c r="O158" s="1664" t="s">
        <v>8165</v>
      </c>
      <c r="P158" s="1664"/>
      <c r="Q158" s="1664"/>
      <c r="R158" s="1664"/>
      <c r="S158" s="1664"/>
      <c r="T158" s="1664"/>
      <c r="U158" s="1664" t="s">
        <v>8019</v>
      </c>
      <c r="V158" s="355"/>
      <c r="W158" s="272"/>
      <c r="X158" s="272"/>
      <c r="Y158" s="272"/>
      <c r="Z158" s="272"/>
      <c r="AA158" s="272"/>
      <c r="AB158" s="272"/>
      <c r="AC158" s="272"/>
    </row>
    <row r="159" spans="10:29" ht="12" customHeight="1">
      <c r="J159" s="272"/>
      <c r="K159" s="578">
        <v>4</v>
      </c>
      <c r="L159" s="1664" t="s">
        <v>8152</v>
      </c>
      <c r="M159" s="1664" t="s">
        <v>8166</v>
      </c>
      <c r="N159" s="1664"/>
      <c r="O159" s="1664" t="s">
        <v>8167</v>
      </c>
      <c r="P159" s="1664"/>
      <c r="Q159" s="1664"/>
      <c r="R159" s="1664"/>
      <c r="S159" s="1664"/>
      <c r="T159" s="1664"/>
      <c r="U159" s="1664"/>
      <c r="V159" s="355"/>
      <c r="W159" s="272"/>
      <c r="X159" s="272"/>
      <c r="Y159" s="272"/>
      <c r="Z159" s="272"/>
      <c r="AA159" s="272"/>
      <c r="AB159" s="272"/>
      <c r="AC159" s="272"/>
    </row>
    <row r="160" spans="10:29" ht="12" customHeight="1" thickBot="1">
      <c r="J160" s="272"/>
      <c r="K160" s="578">
        <v>5</v>
      </c>
      <c r="L160" s="1664"/>
      <c r="M160" s="1669" t="s">
        <v>8152</v>
      </c>
      <c r="N160" s="1664"/>
      <c r="O160" s="1664" t="s">
        <v>8168</v>
      </c>
      <c r="P160" s="1664"/>
      <c r="Q160" s="1664"/>
      <c r="R160" s="1664"/>
      <c r="S160" s="1664"/>
      <c r="T160" s="1664"/>
      <c r="U160" s="1664"/>
      <c r="V160" s="355"/>
      <c r="W160" s="272"/>
      <c r="X160" s="272"/>
      <c r="Y160" s="272"/>
      <c r="Z160" s="272"/>
      <c r="AA160" s="272"/>
      <c r="AB160" s="272"/>
      <c r="AC160" s="272"/>
    </row>
    <row r="161" spans="10:29" ht="12" customHeight="1">
      <c r="J161" s="272"/>
      <c r="K161" s="578">
        <v>6</v>
      </c>
      <c r="L161" s="579"/>
      <c r="M161" s="1671" t="s">
        <v>8169</v>
      </c>
      <c r="N161" s="1672"/>
      <c r="O161" s="1664"/>
      <c r="P161" s="1664"/>
      <c r="Q161" s="1664"/>
      <c r="R161" s="1664"/>
      <c r="S161" s="1664"/>
      <c r="T161" s="1664"/>
      <c r="U161" s="1664"/>
      <c r="V161" s="355"/>
      <c r="W161" s="272"/>
      <c r="X161" s="272"/>
      <c r="Y161" s="272"/>
      <c r="Z161" s="272"/>
      <c r="AA161" s="272"/>
      <c r="AB161" s="272"/>
      <c r="AC161" s="272"/>
    </row>
    <row r="162" spans="10:29" ht="12" customHeight="1">
      <c r="J162" s="272"/>
      <c r="K162" s="578">
        <v>7</v>
      </c>
      <c r="L162" s="1670"/>
      <c r="M162" s="1673" t="s">
        <v>8170</v>
      </c>
      <c r="N162" s="1672"/>
      <c r="O162" s="1664"/>
      <c r="P162" s="1664"/>
      <c r="Q162" s="1664"/>
      <c r="R162" s="1664"/>
      <c r="S162" s="1664"/>
      <c r="T162" s="1664"/>
      <c r="U162" s="1664"/>
      <c r="V162" s="355"/>
      <c r="W162" s="272"/>
      <c r="X162" s="272"/>
      <c r="Y162" s="272"/>
      <c r="Z162" s="272"/>
      <c r="AA162" s="272"/>
      <c r="AB162" s="272"/>
      <c r="AC162" s="272"/>
    </row>
    <row r="163" spans="10:29" ht="12" customHeight="1">
      <c r="J163" s="272"/>
      <c r="K163" s="578">
        <v>8</v>
      </c>
      <c r="L163" s="1670"/>
      <c r="M163" s="1673" t="s">
        <v>8171</v>
      </c>
      <c r="N163" s="1672"/>
      <c r="O163" s="1664"/>
      <c r="P163" s="1664"/>
      <c r="Q163" s="1664"/>
      <c r="R163" s="1664"/>
      <c r="S163" s="1664"/>
      <c r="T163" s="1664"/>
      <c r="U163" s="1664"/>
      <c r="V163" s="355"/>
      <c r="W163" s="272"/>
      <c r="X163" s="272"/>
      <c r="Y163" s="272"/>
      <c r="Z163" s="272"/>
      <c r="AA163" s="272"/>
      <c r="AB163" s="272"/>
      <c r="AC163" s="272"/>
    </row>
    <row r="164" spans="10:29" ht="12" customHeight="1">
      <c r="J164" s="272"/>
      <c r="K164" s="578">
        <v>9</v>
      </c>
      <c r="L164" s="1670"/>
      <c r="M164" s="1673"/>
      <c r="N164" s="1672"/>
      <c r="O164" s="1664"/>
      <c r="P164" s="1664"/>
      <c r="Q164" s="1664"/>
      <c r="R164" s="1664"/>
      <c r="S164" s="1664"/>
      <c r="T164" s="1664"/>
      <c r="U164" s="1664"/>
      <c r="V164" s="355"/>
      <c r="W164" s="272"/>
      <c r="X164" s="272"/>
      <c r="Y164" s="272"/>
      <c r="Z164" s="272"/>
      <c r="AA164" s="272"/>
      <c r="AB164" s="272"/>
      <c r="AC164" s="272"/>
    </row>
    <row r="165" spans="10:29" ht="12" customHeight="1">
      <c r="J165" s="272"/>
      <c r="K165" s="578">
        <v>10</v>
      </c>
      <c r="L165" s="1670"/>
      <c r="M165" s="1673"/>
      <c r="N165" s="1672"/>
      <c r="O165" s="1664"/>
      <c r="P165" s="1664"/>
      <c r="Q165" s="1664"/>
      <c r="R165" s="1664"/>
      <c r="S165" s="1664"/>
      <c r="T165" s="1664"/>
      <c r="U165" s="1664"/>
      <c r="V165" s="355"/>
      <c r="W165" s="272"/>
      <c r="X165" s="272"/>
      <c r="Y165" s="272"/>
      <c r="Z165" s="272"/>
      <c r="AA165" s="272"/>
      <c r="AB165" s="272"/>
      <c r="AC165" s="272"/>
    </row>
    <row r="166" spans="10:29" ht="12" customHeight="1">
      <c r="J166" s="272"/>
      <c r="K166" s="578">
        <v>11</v>
      </c>
      <c r="L166" s="1670"/>
      <c r="M166" s="1673"/>
      <c r="N166" s="1672"/>
      <c r="O166" s="1664"/>
      <c r="P166" s="1664"/>
      <c r="Q166" s="1664"/>
      <c r="R166" s="1664"/>
      <c r="S166" s="1664"/>
      <c r="T166" s="1664"/>
      <c r="U166" s="1664"/>
      <c r="V166" s="355"/>
      <c r="W166" s="272"/>
      <c r="X166" s="272"/>
      <c r="Y166" s="272"/>
      <c r="Z166" s="272"/>
      <c r="AA166" s="272"/>
      <c r="AB166" s="272"/>
      <c r="AC166" s="272"/>
    </row>
    <row r="167" spans="10:29" ht="12" customHeight="1">
      <c r="J167" s="272"/>
      <c r="K167" s="578">
        <v>12</v>
      </c>
      <c r="L167" s="1670"/>
      <c r="M167" s="1673"/>
      <c r="N167" s="1672"/>
      <c r="O167" s="1664"/>
      <c r="P167" s="1664"/>
      <c r="Q167" s="1664"/>
      <c r="R167" s="1664"/>
      <c r="S167" s="1664"/>
      <c r="T167" s="1664"/>
      <c r="U167" s="1664"/>
      <c r="V167" s="355"/>
      <c r="W167" s="272"/>
      <c r="X167" s="272"/>
      <c r="Y167" s="272"/>
      <c r="Z167" s="272"/>
      <c r="AA167" s="272"/>
      <c r="AB167" s="272"/>
      <c r="AC167" s="272"/>
    </row>
    <row r="168" spans="10:29" ht="12" customHeight="1">
      <c r="J168" s="272"/>
      <c r="K168" s="578">
        <v>13</v>
      </c>
      <c r="L168" s="1670"/>
      <c r="M168" s="1673"/>
      <c r="N168" s="1672"/>
      <c r="O168" s="1664"/>
      <c r="P168" s="1664"/>
      <c r="Q168" s="1664"/>
      <c r="R168" s="1664"/>
      <c r="S168" s="1664"/>
      <c r="T168" s="1664"/>
      <c r="U168" s="1664"/>
      <c r="V168" s="355"/>
      <c r="W168" s="272"/>
      <c r="X168" s="272"/>
      <c r="Y168" s="272"/>
      <c r="Z168" s="272"/>
      <c r="AA168" s="272"/>
      <c r="AB168" s="272"/>
      <c r="AC168" s="272"/>
    </row>
    <row r="169" spans="10:29" ht="12" customHeight="1">
      <c r="J169" s="272"/>
      <c r="K169" s="578">
        <v>14</v>
      </c>
      <c r="L169" s="1670"/>
      <c r="M169" s="1673"/>
      <c r="N169" s="1672"/>
      <c r="O169" s="1664"/>
      <c r="P169" s="1664"/>
      <c r="Q169" s="1664"/>
      <c r="R169" s="1664"/>
      <c r="S169" s="1664"/>
      <c r="T169" s="1664"/>
      <c r="U169" s="1664"/>
      <c r="V169" s="355"/>
      <c r="W169" s="272"/>
      <c r="X169" s="272"/>
      <c r="Y169" s="272"/>
      <c r="Z169" s="272"/>
      <c r="AA169" s="272"/>
      <c r="AB169" s="272"/>
      <c r="AC169" s="272"/>
    </row>
    <row r="170" spans="10:29" ht="12" customHeight="1">
      <c r="J170" s="272"/>
      <c r="K170" s="578">
        <v>15</v>
      </c>
      <c r="L170" s="1670"/>
      <c r="M170" s="1673"/>
      <c r="N170" s="1672"/>
      <c r="O170" s="1664"/>
      <c r="P170" s="1664"/>
      <c r="Q170" s="1664"/>
      <c r="R170" s="1664"/>
      <c r="S170" s="1664"/>
      <c r="T170" s="1664"/>
      <c r="U170" s="1664"/>
      <c r="V170" s="355"/>
      <c r="W170" s="272"/>
      <c r="X170" s="272"/>
      <c r="Y170" s="272"/>
      <c r="Z170" s="272"/>
      <c r="AA170" s="272"/>
      <c r="AB170" s="272"/>
      <c r="AC170" s="272"/>
    </row>
    <row r="171" spans="10:29" ht="12" customHeight="1">
      <c r="J171" s="272"/>
      <c r="K171" s="578">
        <v>16</v>
      </c>
      <c r="L171" s="1670"/>
      <c r="M171" s="1673"/>
      <c r="N171" s="1672"/>
      <c r="O171" s="1664"/>
      <c r="P171" s="1664"/>
      <c r="Q171" s="1664"/>
      <c r="R171" s="1664"/>
      <c r="S171" s="1664"/>
      <c r="T171" s="1664"/>
      <c r="U171" s="1664"/>
      <c r="V171" s="355"/>
      <c r="W171" s="272"/>
      <c r="X171" s="272"/>
      <c r="Y171" s="272"/>
      <c r="Z171" s="272"/>
      <c r="AA171" s="272"/>
      <c r="AB171" s="272"/>
      <c r="AC171" s="272"/>
    </row>
    <row r="172" spans="10:29" ht="12" customHeight="1">
      <c r="J172" s="272"/>
      <c r="K172" s="578">
        <v>17</v>
      </c>
      <c r="L172" s="1670"/>
      <c r="M172" s="1673"/>
      <c r="N172" s="1672"/>
      <c r="O172" s="1664"/>
      <c r="P172" s="1664"/>
      <c r="Q172" s="1664"/>
      <c r="R172" s="1664"/>
      <c r="S172" s="1664"/>
      <c r="T172" s="1664"/>
      <c r="U172" s="1664"/>
      <c r="V172" s="355"/>
      <c r="W172" s="272"/>
      <c r="X172" s="272"/>
      <c r="Y172" s="272"/>
      <c r="Z172" s="272"/>
      <c r="AA172" s="272"/>
      <c r="AB172" s="272"/>
      <c r="AC172" s="272"/>
    </row>
    <row r="173" spans="10:29" ht="12" customHeight="1">
      <c r="J173" s="272"/>
      <c r="K173" s="578">
        <v>18</v>
      </c>
      <c r="L173" s="1670"/>
      <c r="M173" s="1673"/>
      <c r="N173" s="1672"/>
      <c r="O173" s="1664"/>
      <c r="P173" s="1664"/>
      <c r="Q173" s="1664"/>
      <c r="R173" s="1664"/>
      <c r="S173" s="1664"/>
      <c r="T173" s="1664"/>
      <c r="U173" s="1664"/>
      <c r="V173" s="355"/>
      <c r="W173" s="272"/>
      <c r="X173" s="272"/>
      <c r="Y173" s="272"/>
      <c r="Z173" s="272"/>
      <c r="AA173" s="272"/>
      <c r="AB173" s="272"/>
      <c r="AC173" s="272"/>
    </row>
    <row r="174" spans="10:29" ht="12" customHeight="1" thickBot="1">
      <c r="J174" s="272"/>
      <c r="K174" s="583">
        <v>19</v>
      </c>
      <c r="L174" s="1675"/>
      <c r="M174" s="1676"/>
      <c r="N174" s="1677"/>
      <c r="O174" s="1678"/>
      <c r="P174" s="1678"/>
      <c r="Q174" s="1678"/>
      <c r="R174" s="1678"/>
      <c r="S174" s="1678"/>
      <c r="T174" s="1678"/>
      <c r="U174" s="1678"/>
      <c r="V174" s="411"/>
      <c r="W174" s="272"/>
      <c r="X174" s="272"/>
      <c r="Y174" s="272"/>
      <c r="Z174" s="272"/>
      <c r="AA174" s="272"/>
      <c r="AB174" s="272"/>
      <c r="AC174" s="272"/>
    </row>
    <row r="175" spans="10:29" ht="12" customHeight="1">
      <c r="J175" s="272"/>
      <c r="K175" s="272"/>
      <c r="L175" s="272"/>
      <c r="M175" s="272"/>
      <c r="N175" s="272"/>
      <c r="O175" s="272"/>
      <c r="P175" s="272"/>
      <c r="Q175" s="272"/>
      <c r="R175" s="272"/>
      <c r="S175" s="272"/>
      <c r="T175" s="272"/>
      <c r="U175" s="272"/>
      <c r="V175" s="272"/>
      <c r="W175" s="272"/>
      <c r="X175" s="272"/>
      <c r="Y175" s="272"/>
      <c r="Z175" s="272"/>
      <c r="AA175" s="272"/>
      <c r="AB175" s="272"/>
      <c r="AC175" s="272"/>
    </row>
    <row r="176" spans="10:29" ht="12" customHeight="1" thickBot="1">
      <c r="J176" s="272"/>
      <c r="K176" s="272"/>
      <c r="L176" s="272"/>
      <c r="M176" s="272"/>
      <c r="N176" s="272"/>
      <c r="O176" s="272"/>
      <c r="P176" s="272"/>
      <c r="Q176" s="272"/>
      <c r="R176" s="272"/>
      <c r="S176" s="272"/>
      <c r="T176" s="272"/>
      <c r="U176" s="272"/>
      <c r="V176" s="272"/>
      <c r="W176" s="272"/>
      <c r="X176" s="272"/>
      <c r="Y176" s="272"/>
      <c r="Z176" s="272"/>
      <c r="AA176" s="272"/>
      <c r="AB176" s="272"/>
      <c r="AC176" s="272"/>
    </row>
    <row r="177" spans="10:29" ht="12" customHeight="1" thickBot="1">
      <c r="J177" s="272"/>
      <c r="K177" s="275" t="s">
        <v>8172</v>
      </c>
      <c r="L177" s="1658"/>
      <c r="M177" s="1658"/>
      <c r="N177" s="1658"/>
      <c r="O177" s="1658"/>
      <c r="P177" s="1658"/>
      <c r="Q177" s="1658"/>
      <c r="R177" s="1658"/>
      <c r="S177" s="1658"/>
      <c r="T177" s="1658"/>
      <c r="U177" s="1658"/>
      <c r="V177" s="1659"/>
      <c r="W177" s="272"/>
      <c r="X177" s="272"/>
      <c r="Y177" s="272"/>
      <c r="Z177" s="272"/>
      <c r="AA177" s="272"/>
      <c r="AB177" s="272"/>
      <c r="AC177" s="272"/>
    </row>
    <row r="178" spans="10:29" ht="12" customHeight="1">
      <c r="J178" s="272"/>
      <c r="K178" s="465"/>
      <c r="L178" s="328" t="str">
        <f t="shared" ref="L178:V178" ca="1" si="14">VLOOKUP(RANDBETWEEN(1,L181),$K182:$V200,L180)</f>
        <v xml:space="preserve">Kord, god of athletics and sport CG </v>
      </c>
      <c r="M178" s="328" t="str">
        <f t="shared" ca="1" si="14"/>
        <v xml:space="preserve">Tymora, goddess of good fortune CG </v>
      </c>
      <c r="N178" s="328" t="str">
        <f t="shared" ca="1" si="14"/>
        <v>NONE</v>
      </c>
      <c r="O178" s="328" t="str">
        <f t="shared" ca="1" si="14"/>
        <v xml:space="preserve">The Spirits of the Past, elven ancestors CG </v>
      </c>
      <c r="P178" s="328" t="str">
        <f t="shared" ca="1" si="14"/>
        <v xml:space="preserve">Rillifane Rallathil, wood elf god of nature CG </v>
      </c>
      <c r="Q178" s="328" t="str">
        <f t="shared" ca="1" si="14"/>
        <v>The Daghdha, god of weather and crops CG</v>
      </c>
      <c r="R178" s="328" t="str">
        <f t="shared" ca="1" si="14"/>
        <v xml:space="preserve">Hercules, god of strength and adventure CG </v>
      </c>
      <c r="S178" s="328" t="str">
        <f t="shared" ca="1" si="14"/>
        <v xml:space="preserve">Nephthys, goddess of death and grief CG </v>
      </c>
      <c r="T178" s="328" t="str">
        <f t="shared" ca="1" si="14"/>
        <v xml:space="preserve">Odur, god of light and the sun CG </v>
      </c>
      <c r="U178" s="328" t="str">
        <f t="shared" ca="1" si="14"/>
        <v>The Beastlands, the Wilderness of NG, CG</v>
      </c>
      <c r="V178" s="898" t="str">
        <f t="shared" ca="1" si="14"/>
        <v>NONE</v>
      </c>
      <c r="W178" s="272"/>
      <c r="X178" s="272"/>
      <c r="Y178" s="272"/>
      <c r="Z178" s="272"/>
      <c r="AA178" s="272"/>
      <c r="AB178" s="272"/>
      <c r="AC178" s="272"/>
    </row>
    <row r="179" spans="10:29" ht="12" customHeight="1">
      <c r="J179" s="272"/>
      <c r="K179" s="477"/>
      <c r="L179" s="1634" t="s">
        <v>7849</v>
      </c>
      <c r="M179" s="1634" t="s">
        <v>7850</v>
      </c>
      <c r="N179" s="1634" t="s">
        <v>7851</v>
      </c>
      <c r="O179" s="1634" t="s">
        <v>7852</v>
      </c>
      <c r="P179" s="1634" t="s">
        <v>7853</v>
      </c>
      <c r="Q179" s="545" t="s">
        <v>7854</v>
      </c>
      <c r="R179" s="545" t="s">
        <v>7855</v>
      </c>
      <c r="S179" s="545" t="s">
        <v>7856</v>
      </c>
      <c r="T179" s="545" t="s">
        <v>7857</v>
      </c>
      <c r="U179" s="545" t="s">
        <v>7858</v>
      </c>
      <c r="V179" s="1660" t="e">
        <f>IF([1]MATH!#REF!&lt;&gt;"Cleric","None","As Cleric")</f>
        <v>#REF!</v>
      </c>
      <c r="W179" s="272"/>
      <c r="X179" s="272"/>
      <c r="Y179" s="272"/>
      <c r="Z179" s="272"/>
      <c r="AA179" s="272"/>
      <c r="AB179" s="272"/>
      <c r="AC179" s="272"/>
    </row>
    <row r="180" spans="10:29" ht="12" customHeight="1">
      <c r="J180" s="272"/>
      <c r="K180" s="477" t="s">
        <v>6172</v>
      </c>
      <c r="L180" s="352">
        <v>2</v>
      </c>
      <c r="M180" s="352">
        <v>3</v>
      </c>
      <c r="N180" s="352">
        <v>4</v>
      </c>
      <c r="O180" s="352">
        <v>5</v>
      </c>
      <c r="P180" s="352">
        <v>6</v>
      </c>
      <c r="Q180" s="352">
        <v>7</v>
      </c>
      <c r="R180" s="352">
        <v>8</v>
      </c>
      <c r="S180" s="352">
        <v>9</v>
      </c>
      <c r="T180" s="352">
        <v>10</v>
      </c>
      <c r="U180" s="352">
        <v>11</v>
      </c>
      <c r="V180" s="883">
        <v>12</v>
      </c>
      <c r="W180" s="272"/>
      <c r="X180" s="272"/>
      <c r="Y180" s="272"/>
      <c r="Z180" s="272"/>
      <c r="AA180" s="272"/>
      <c r="AB180" s="272"/>
      <c r="AC180" s="272"/>
    </row>
    <row r="181" spans="10:29" ht="12" customHeight="1" thickBot="1">
      <c r="J181" s="272"/>
      <c r="K181" s="492" t="s">
        <v>6070</v>
      </c>
      <c r="L181" s="419">
        <f t="shared" ref="L181:V181" si="15">COUNT($K$182:$K$200)-COUNTBLANK(L182:L200)</f>
        <v>6</v>
      </c>
      <c r="M181" s="419">
        <f t="shared" si="15"/>
        <v>19</v>
      </c>
      <c r="N181" s="419">
        <f t="shared" si="15"/>
        <v>1</v>
      </c>
      <c r="O181" s="419">
        <f t="shared" si="15"/>
        <v>2</v>
      </c>
      <c r="P181" s="419">
        <f t="shared" si="15"/>
        <v>4</v>
      </c>
      <c r="Q181" s="419">
        <f t="shared" si="15"/>
        <v>1</v>
      </c>
      <c r="R181" s="419">
        <f t="shared" si="15"/>
        <v>4</v>
      </c>
      <c r="S181" s="419">
        <f t="shared" si="15"/>
        <v>2</v>
      </c>
      <c r="T181" s="419">
        <f t="shared" si="15"/>
        <v>3</v>
      </c>
      <c r="U181" s="419">
        <f t="shared" si="15"/>
        <v>3</v>
      </c>
      <c r="V181" s="504">
        <f t="shared" si="15"/>
        <v>1</v>
      </c>
      <c r="W181" s="272"/>
      <c r="X181" s="272"/>
      <c r="Y181" s="272"/>
      <c r="Z181" s="272"/>
      <c r="AA181" s="272"/>
      <c r="AB181" s="272"/>
      <c r="AC181" s="272"/>
    </row>
    <row r="182" spans="10:29" ht="12" customHeight="1">
      <c r="J182" s="272"/>
      <c r="K182" s="572">
        <v>1</v>
      </c>
      <c r="L182" s="1664" t="s">
        <v>8173</v>
      </c>
      <c r="M182" s="1662" t="s">
        <v>8174</v>
      </c>
      <c r="N182" s="1662" t="s">
        <v>7841</v>
      </c>
      <c r="O182" s="1662" t="s">
        <v>8175</v>
      </c>
      <c r="P182" s="1662" t="s">
        <v>8176</v>
      </c>
      <c r="Q182" s="1662" t="s">
        <v>8177</v>
      </c>
      <c r="R182" s="1662" t="s">
        <v>8178</v>
      </c>
      <c r="S182" s="1662" t="s">
        <v>8179</v>
      </c>
      <c r="T182" s="1662" t="s">
        <v>8180</v>
      </c>
      <c r="U182" s="1662" t="s">
        <v>8092</v>
      </c>
      <c r="V182" s="1663" t="s">
        <v>7841</v>
      </c>
      <c r="W182" s="272"/>
      <c r="X182" s="272"/>
      <c r="Y182" s="272"/>
      <c r="Z182" s="272"/>
      <c r="AA182" s="272"/>
      <c r="AB182" s="272"/>
      <c r="AC182" s="272"/>
    </row>
    <row r="183" spans="10:29" ht="12" customHeight="1">
      <c r="J183" s="272"/>
      <c r="K183" s="578">
        <v>2</v>
      </c>
      <c r="L183" s="1664" t="s">
        <v>8181</v>
      </c>
      <c r="M183" s="1664" t="s">
        <v>8182</v>
      </c>
      <c r="N183" s="1664"/>
      <c r="O183" s="1664" t="s">
        <v>8183</v>
      </c>
      <c r="P183" s="1664" t="s">
        <v>8184</v>
      </c>
      <c r="Q183" s="1664"/>
      <c r="R183" s="1664" t="s">
        <v>8185</v>
      </c>
      <c r="S183" s="1664" t="s">
        <v>8186</v>
      </c>
      <c r="T183" s="1664" t="s">
        <v>8187</v>
      </c>
      <c r="U183" s="1664" t="s">
        <v>8188</v>
      </c>
      <c r="V183" s="355"/>
      <c r="W183" s="272"/>
      <c r="X183" s="272"/>
      <c r="Y183" s="272"/>
      <c r="Z183" s="272"/>
      <c r="AA183" s="272"/>
      <c r="AB183" s="272"/>
      <c r="AC183" s="272"/>
    </row>
    <row r="184" spans="10:29" ht="12" customHeight="1">
      <c r="J184" s="272"/>
      <c r="K184" s="578">
        <v>3</v>
      </c>
      <c r="L184" s="1664" t="s">
        <v>8176</v>
      </c>
      <c r="M184" s="1664" t="s">
        <v>8189</v>
      </c>
      <c r="N184" s="1664"/>
      <c r="O184" s="1664"/>
      <c r="P184" s="1664" t="s">
        <v>8190</v>
      </c>
      <c r="Q184" s="1664"/>
      <c r="R184" s="1664" t="s">
        <v>8191</v>
      </c>
      <c r="S184" s="1664"/>
      <c r="T184" s="1664" t="s">
        <v>8192</v>
      </c>
      <c r="U184" s="1664" t="s">
        <v>8193</v>
      </c>
      <c r="V184" s="355"/>
      <c r="W184" s="272"/>
      <c r="X184" s="272"/>
      <c r="Y184" s="272"/>
      <c r="Z184" s="272"/>
      <c r="AA184" s="272"/>
      <c r="AB184" s="272"/>
      <c r="AC184" s="272"/>
    </row>
    <row r="185" spans="10:29" ht="12" customHeight="1">
      <c r="J185" s="272"/>
      <c r="K185" s="578">
        <v>4</v>
      </c>
      <c r="L185" s="1664" t="s">
        <v>8184</v>
      </c>
      <c r="M185" s="1664" t="s">
        <v>8194</v>
      </c>
      <c r="N185" s="1664"/>
      <c r="O185" s="1664"/>
      <c r="P185" s="1664" t="s">
        <v>8195</v>
      </c>
      <c r="Q185" s="1664"/>
      <c r="R185" s="1664" t="s">
        <v>8196</v>
      </c>
      <c r="S185" s="1664"/>
      <c r="T185" s="1664"/>
      <c r="U185" s="1664"/>
      <c r="V185" s="355"/>
      <c r="W185" s="272"/>
      <c r="X185" s="272"/>
      <c r="Y185" s="272"/>
      <c r="Z185" s="272"/>
      <c r="AA185" s="272"/>
      <c r="AB185" s="272"/>
      <c r="AC185" s="272"/>
    </row>
    <row r="186" spans="10:29" ht="12" customHeight="1">
      <c r="J186" s="272"/>
      <c r="K186" s="578">
        <v>5</v>
      </c>
      <c r="L186" s="1664" t="s">
        <v>8190</v>
      </c>
      <c r="M186" s="1664" t="s">
        <v>8176</v>
      </c>
      <c r="N186" s="1664"/>
      <c r="O186" s="1664"/>
      <c r="P186" s="1664"/>
      <c r="Q186" s="1664"/>
      <c r="R186" s="1664"/>
      <c r="S186" s="1664"/>
      <c r="T186" s="1664"/>
      <c r="U186" s="1664"/>
      <c r="V186" s="355"/>
      <c r="W186" s="272"/>
      <c r="X186" s="272"/>
      <c r="Y186" s="272"/>
      <c r="Z186" s="272"/>
      <c r="AA186" s="272"/>
      <c r="AB186" s="272"/>
      <c r="AC186" s="272"/>
    </row>
    <row r="187" spans="10:29" ht="12" customHeight="1">
      <c r="J187" s="272"/>
      <c r="K187" s="578">
        <v>6</v>
      </c>
      <c r="L187" s="354" t="s">
        <v>8195</v>
      </c>
      <c r="M187" s="1664" t="s">
        <v>8184</v>
      </c>
      <c r="N187" s="1664"/>
      <c r="O187" s="1664"/>
      <c r="P187" s="1664"/>
      <c r="Q187" s="1664"/>
      <c r="R187" s="1664"/>
      <c r="S187" s="1664"/>
      <c r="T187" s="1664"/>
      <c r="U187" s="1664"/>
      <c r="V187" s="355"/>
      <c r="W187" s="272"/>
      <c r="X187" s="272"/>
      <c r="Y187" s="272"/>
      <c r="Z187" s="272"/>
      <c r="AA187" s="272"/>
      <c r="AB187" s="272"/>
      <c r="AC187" s="272"/>
    </row>
    <row r="188" spans="10:29" ht="12" customHeight="1">
      <c r="J188" s="272"/>
      <c r="K188" s="578">
        <v>7</v>
      </c>
      <c r="L188" s="1664"/>
      <c r="M188" s="1664" t="s">
        <v>8190</v>
      </c>
      <c r="N188" s="1664"/>
      <c r="O188" s="1664"/>
      <c r="P188" s="1664"/>
      <c r="Q188" s="1664"/>
      <c r="R188" s="1664"/>
      <c r="S188" s="1664"/>
      <c r="T188" s="1664"/>
      <c r="U188" s="1664"/>
      <c r="V188" s="355"/>
      <c r="W188" s="272"/>
      <c r="X188" s="272"/>
      <c r="Y188" s="272"/>
      <c r="Z188" s="272"/>
      <c r="AA188" s="272"/>
      <c r="AB188" s="272"/>
      <c r="AC188" s="272"/>
    </row>
    <row r="189" spans="10:29" ht="12" customHeight="1" thickBot="1">
      <c r="J189" s="272"/>
      <c r="K189" s="578">
        <v>8</v>
      </c>
      <c r="L189" s="1664"/>
      <c r="M189" s="1669" t="s">
        <v>8195</v>
      </c>
      <c r="N189" s="1664"/>
      <c r="O189" s="1664"/>
      <c r="P189" s="1664"/>
      <c r="Q189" s="1664"/>
      <c r="R189" s="1664"/>
      <c r="S189" s="1664"/>
      <c r="T189" s="1664"/>
      <c r="U189" s="1664"/>
      <c r="V189" s="355"/>
      <c r="W189" s="272"/>
      <c r="X189" s="272"/>
      <c r="Y189" s="272"/>
      <c r="Z189" s="272"/>
      <c r="AA189" s="272"/>
      <c r="AB189" s="272"/>
      <c r="AC189" s="272"/>
    </row>
    <row r="190" spans="10:29" ht="12" customHeight="1">
      <c r="J190" s="272"/>
      <c r="K190" s="578">
        <v>9</v>
      </c>
      <c r="L190" s="1670"/>
      <c r="M190" s="1671" t="s">
        <v>8197</v>
      </c>
      <c r="N190" s="1672"/>
      <c r="O190" s="1664"/>
      <c r="P190" s="1664"/>
      <c r="Q190" s="1664"/>
      <c r="R190" s="1664"/>
      <c r="S190" s="1664"/>
      <c r="T190" s="1664"/>
      <c r="U190" s="1664"/>
      <c r="V190" s="355"/>
      <c r="W190" s="272"/>
      <c r="X190" s="272"/>
      <c r="Y190" s="272"/>
      <c r="Z190" s="272"/>
      <c r="AA190" s="272"/>
      <c r="AB190" s="272"/>
      <c r="AC190" s="272"/>
    </row>
    <row r="191" spans="10:29" ht="12" customHeight="1">
      <c r="J191" s="272"/>
      <c r="K191" s="578">
        <v>10</v>
      </c>
      <c r="L191" s="1670"/>
      <c r="M191" s="1673" t="s">
        <v>8198</v>
      </c>
      <c r="N191" s="1672"/>
      <c r="O191" s="1664"/>
      <c r="P191" s="1664"/>
      <c r="Q191" s="1664"/>
      <c r="R191" s="1664"/>
      <c r="S191" s="1664"/>
      <c r="T191" s="1664"/>
      <c r="U191" s="1664"/>
      <c r="V191" s="355"/>
      <c r="W191" s="272"/>
      <c r="X191" s="272"/>
      <c r="Y191" s="272"/>
      <c r="Z191" s="272"/>
      <c r="AA191" s="272"/>
      <c r="AB191" s="272"/>
      <c r="AC191" s="272"/>
    </row>
    <row r="192" spans="10:29" ht="12" customHeight="1">
      <c r="J192" s="272"/>
      <c r="K192" s="578">
        <v>11</v>
      </c>
      <c r="L192" s="1670"/>
      <c r="M192" s="1673" t="s">
        <v>8199</v>
      </c>
      <c r="N192" s="1672"/>
      <c r="O192" s="1664"/>
      <c r="P192" s="1664"/>
      <c r="Q192" s="1664"/>
      <c r="R192" s="1664"/>
      <c r="S192" s="1664"/>
      <c r="T192" s="1664"/>
      <c r="U192" s="1664"/>
      <c r="V192" s="355"/>
      <c r="W192" s="272"/>
      <c r="X192" s="272"/>
      <c r="Y192" s="272"/>
      <c r="Z192" s="272"/>
      <c r="AA192" s="272"/>
      <c r="AB192" s="272"/>
      <c r="AC192" s="272"/>
    </row>
    <row r="193" spans="10:29" ht="12" customHeight="1">
      <c r="J193" s="272"/>
      <c r="K193" s="578">
        <v>12</v>
      </c>
      <c r="L193" s="1670"/>
      <c r="M193" s="1673" t="s">
        <v>8200</v>
      </c>
      <c r="N193" s="1672"/>
      <c r="O193" s="1664"/>
      <c r="P193" s="1664"/>
      <c r="Q193" s="1664"/>
      <c r="R193" s="1664"/>
      <c r="S193" s="1664"/>
      <c r="T193" s="1664"/>
      <c r="U193" s="1664"/>
      <c r="V193" s="355"/>
      <c r="W193" s="272"/>
      <c r="X193" s="272"/>
      <c r="Y193" s="272"/>
      <c r="Z193" s="272"/>
      <c r="AA193" s="272"/>
      <c r="AB193" s="272"/>
      <c r="AC193" s="272"/>
    </row>
    <row r="194" spans="10:29" ht="12" customHeight="1">
      <c r="J194" s="272"/>
      <c r="K194" s="578">
        <v>13</v>
      </c>
      <c r="L194" s="1670"/>
      <c r="M194" s="1673" t="s">
        <v>8201</v>
      </c>
      <c r="N194" s="1672"/>
      <c r="O194" s="1664"/>
      <c r="P194" s="1664"/>
      <c r="Q194" s="1664"/>
      <c r="R194" s="1664"/>
      <c r="S194" s="1664"/>
      <c r="T194" s="1664"/>
      <c r="U194" s="1664"/>
      <c r="V194" s="355"/>
      <c r="W194" s="272"/>
      <c r="X194" s="272"/>
      <c r="Y194" s="272"/>
      <c r="Z194" s="272"/>
      <c r="AA194" s="272"/>
      <c r="AB194" s="272"/>
      <c r="AC194" s="272"/>
    </row>
    <row r="195" spans="10:29" ht="12" customHeight="1">
      <c r="J195" s="272"/>
      <c r="K195" s="578">
        <v>14</v>
      </c>
      <c r="L195" s="1670"/>
      <c r="M195" s="1673" t="s">
        <v>8202</v>
      </c>
      <c r="N195" s="1672"/>
      <c r="O195" s="1664"/>
      <c r="P195" s="1664"/>
      <c r="Q195" s="1664"/>
      <c r="R195" s="1664"/>
      <c r="S195" s="1664"/>
      <c r="T195" s="1664"/>
      <c r="U195" s="1664"/>
      <c r="V195" s="355"/>
      <c r="W195" s="272"/>
      <c r="X195" s="272"/>
      <c r="Y195" s="272"/>
      <c r="Z195" s="272"/>
      <c r="AA195" s="272"/>
      <c r="AB195" s="272"/>
      <c r="AC195" s="272"/>
    </row>
    <row r="196" spans="10:29" ht="12" customHeight="1">
      <c r="J196" s="272"/>
      <c r="K196" s="578">
        <v>15</v>
      </c>
      <c r="L196" s="1670"/>
      <c r="M196" s="1673" t="s">
        <v>8203</v>
      </c>
      <c r="N196" s="1672"/>
      <c r="O196" s="1664"/>
      <c r="P196" s="1664"/>
      <c r="Q196" s="1664"/>
      <c r="R196" s="1664"/>
      <c r="S196" s="1664"/>
      <c r="T196" s="1664"/>
      <c r="U196" s="1664"/>
      <c r="V196" s="355"/>
      <c r="W196" s="272"/>
      <c r="X196" s="272"/>
      <c r="Y196" s="272"/>
      <c r="Z196" s="272"/>
      <c r="AA196" s="272"/>
      <c r="AB196" s="272"/>
      <c r="AC196" s="272"/>
    </row>
    <row r="197" spans="10:29" ht="12" customHeight="1">
      <c r="J197" s="272"/>
      <c r="K197" s="578">
        <v>16</v>
      </c>
      <c r="L197" s="1670"/>
      <c r="M197" s="1673" t="s">
        <v>8204</v>
      </c>
      <c r="N197" s="1672"/>
      <c r="O197" s="1664"/>
      <c r="P197" s="1664"/>
      <c r="Q197" s="1664"/>
      <c r="R197" s="1664"/>
      <c r="S197" s="1664"/>
      <c r="T197" s="1664"/>
      <c r="U197" s="1664"/>
      <c r="V197" s="355"/>
      <c r="W197" s="272"/>
      <c r="X197" s="272"/>
      <c r="Y197" s="272"/>
      <c r="Z197" s="272"/>
      <c r="AA197" s="272"/>
      <c r="AB197" s="272"/>
      <c r="AC197" s="272"/>
    </row>
    <row r="198" spans="10:29" ht="12" customHeight="1">
      <c r="J198" s="272"/>
      <c r="K198" s="578">
        <v>17</v>
      </c>
      <c r="L198" s="1670"/>
      <c r="M198" s="1673" t="s">
        <v>8205</v>
      </c>
      <c r="N198" s="1672"/>
      <c r="O198" s="1664"/>
      <c r="P198" s="1664"/>
      <c r="Q198" s="1664"/>
      <c r="R198" s="1664"/>
      <c r="S198" s="1664"/>
      <c r="T198" s="1664"/>
      <c r="U198" s="1664"/>
      <c r="V198" s="355"/>
      <c r="W198" s="272"/>
      <c r="X198" s="272"/>
      <c r="Y198" s="272"/>
      <c r="Z198" s="272"/>
      <c r="AA198" s="272"/>
      <c r="AB198" s="272"/>
      <c r="AC198" s="272"/>
    </row>
    <row r="199" spans="10:29" ht="12" customHeight="1">
      <c r="J199" s="272"/>
      <c r="K199" s="578">
        <v>18</v>
      </c>
      <c r="L199" s="1670"/>
      <c r="M199" s="1673" t="s">
        <v>8206</v>
      </c>
      <c r="N199" s="1672"/>
      <c r="O199" s="1664"/>
      <c r="P199" s="1664"/>
      <c r="Q199" s="1664"/>
      <c r="R199" s="1664"/>
      <c r="S199" s="1664"/>
      <c r="T199" s="1664"/>
      <c r="U199" s="1664"/>
      <c r="V199" s="355"/>
      <c r="W199" s="272"/>
      <c r="X199" s="272"/>
      <c r="Y199" s="272"/>
      <c r="Z199" s="272"/>
      <c r="AA199" s="272"/>
      <c r="AB199" s="272"/>
      <c r="AC199" s="272"/>
    </row>
    <row r="200" spans="10:29" ht="12" customHeight="1" thickBot="1">
      <c r="J200" s="272"/>
      <c r="K200" s="583">
        <v>19</v>
      </c>
      <c r="L200" s="1675"/>
      <c r="M200" s="1676" t="s">
        <v>8207</v>
      </c>
      <c r="N200" s="1677"/>
      <c r="O200" s="1678"/>
      <c r="P200" s="1678"/>
      <c r="Q200" s="1678"/>
      <c r="R200" s="1678"/>
      <c r="S200" s="1678"/>
      <c r="T200" s="1678"/>
      <c r="U200" s="1678"/>
      <c r="V200" s="411"/>
      <c r="W200" s="272"/>
      <c r="X200" s="272"/>
      <c r="Y200" s="272"/>
      <c r="Z200" s="272"/>
      <c r="AA200" s="272"/>
      <c r="AB200" s="272"/>
      <c r="AC200" s="272"/>
    </row>
    <row r="201" spans="10:29" ht="12" customHeight="1">
      <c r="J201" s="272"/>
      <c r="K201" s="272"/>
      <c r="L201" s="272"/>
      <c r="M201" s="272"/>
      <c r="N201" s="272"/>
      <c r="O201" s="272"/>
      <c r="P201" s="272"/>
      <c r="Q201" s="272"/>
      <c r="R201" s="272"/>
      <c r="S201" s="272"/>
      <c r="T201" s="272"/>
      <c r="U201" s="272"/>
      <c r="V201" s="272"/>
      <c r="W201" s="272"/>
      <c r="X201" s="272"/>
      <c r="Y201" s="272"/>
      <c r="Z201" s="272"/>
      <c r="AA201" s="272"/>
      <c r="AB201" s="272"/>
      <c r="AC201" s="272"/>
    </row>
    <row r="202" spans="10:29" ht="12" customHeight="1" thickBot="1">
      <c r="J202" s="272"/>
      <c r="K202" s="272"/>
      <c r="L202" s="272"/>
      <c r="M202" s="272"/>
      <c r="N202" s="272"/>
      <c r="O202" s="272"/>
      <c r="P202" s="272"/>
      <c r="Q202" s="272"/>
      <c r="R202" s="272"/>
      <c r="S202" s="272"/>
      <c r="T202" s="272"/>
      <c r="U202" s="272"/>
      <c r="V202" s="272"/>
      <c r="W202" s="272"/>
      <c r="X202" s="272"/>
      <c r="Y202" s="272"/>
      <c r="Z202" s="272"/>
      <c r="AA202" s="272"/>
      <c r="AB202" s="272"/>
      <c r="AC202" s="272"/>
    </row>
    <row r="203" spans="10:29" ht="12" customHeight="1" thickBot="1">
      <c r="J203" s="272"/>
      <c r="K203" s="275" t="s">
        <v>8208</v>
      </c>
      <c r="L203" s="1658"/>
      <c r="M203" s="1658"/>
      <c r="N203" s="1658"/>
      <c r="O203" s="1658"/>
      <c r="P203" s="1658"/>
      <c r="Q203" s="1658"/>
      <c r="R203" s="1658"/>
      <c r="S203" s="1658"/>
      <c r="T203" s="1658"/>
      <c r="U203" s="1658"/>
      <c r="V203" s="1659"/>
      <c r="W203" s="272"/>
      <c r="X203" s="272"/>
      <c r="Y203" s="272"/>
      <c r="Z203" s="272"/>
      <c r="AA203" s="272"/>
      <c r="AB203" s="272"/>
      <c r="AC203" s="272"/>
    </row>
    <row r="204" spans="10:29" ht="12" customHeight="1">
      <c r="J204" s="272"/>
      <c r="K204" s="465"/>
      <c r="L204" s="328" t="str">
        <f t="shared" ref="L204:V204" ca="1" si="16">VLOOKUP(RANDBETWEEN(1,L207),$K208:$V226,L206)</f>
        <v xml:space="preserve">Ralishaz, god of ill luck and insanity CN </v>
      </c>
      <c r="M204" s="328" t="str">
        <f t="shared" ca="1" si="16"/>
        <v>Fenmarel Mestarine, god of outcasts CN</v>
      </c>
      <c r="N204" s="328" t="str">
        <f t="shared" ca="1" si="16"/>
        <v>NONE</v>
      </c>
      <c r="O204" s="328" t="str">
        <f t="shared" ca="1" si="16"/>
        <v xml:space="preserve">The Traveler, deity of chaos and change CN </v>
      </c>
      <c r="P204" s="328" t="str">
        <f t="shared" ca="1" si="16"/>
        <v>NONE</v>
      </c>
      <c r="Q204" s="328" t="str">
        <f t="shared" ca="1" si="16"/>
        <v xml:space="preserve">Lugh, god of arts, travel, and commerce CN </v>
      </c>
      <c r="R204" s="328" t="str">
        <f t="shared" ca="1" si="16"/>
        <v xml:space="preserve">Dionysus, god of mirth and wine CN </v>
      </c>
      <c r="S204" s="328" t="str">
        <f t="shared" ca="1" si="16"/>
        <v xml:space="preserve">Bes, god of luck and music CN </v>
      </c>
      <c r="T204" s="328" t="str">
        <f t="shared" ca="1" si="16"/>
        <v xml:space="preserve">Uller, god of hunting and winter CN </v>
      </c>
      <c r="U204" s="328" t="str">
        <f t="shared" ca="1" si="16"/>
        <v>Pandemonium, the Windswept Depths of CN, CE</v>
      </c>
      <c r="V204" s="898" t="str">
        <f t="shared" ca="1" si="16"/>
        <v>NONE</v>
      </c>
      <c r="W204" s="272"/>
      <c r="X204" s="272"/>
      <c r="Y204" s="272"/>
      <c r="Z204" s="272"/>
      <c r="AA204" s="272"/>
      <c r="AB204" s="272"/>
      <c r="AC204" s="272"/>
    </row>
    <row r="205" spans="10:29" ht="12" customHeight="1">
      <c r="J205" s="272"/>
      <c r="K205" s="477"/>
      <c r="L205" s="1634" t="s">
        <v>7849</v>
      </c>
      <c r="M205" s="1634" t="s">
        <v>7850</v>
      </c>
      <c r="N205" s="1634" t="s">
        <v>7851</v>
      </c>
      <c r="O205" s="1634" t="s">
        <v>7852</v>
      </c>
      <c r="P205" s="1634" t="s">
        <v>7853</v>
      </c>
      <c r="Q205" s="545" t="s">
        <v>7854</v>
      </c>
      <c r="R205" s="545" t="s">
        <v>7855</v>
      </c>
      <c r="S205" s="545" t="s">
        <v>7856</v>
      </c>
      <c r="T205" s="545" t="s">
        <v>7857</v>
      </c>
      <c r="U205" s="545" t="s">
        <v>7858</v>
      </c>
      <c r="V205" s="1660" t="str">
        <f>IF([1]MATH!D190&lt;&gt;"Cleric","None","As Cleric")</f>
        <v>None</v>
      </c>
      <c r="W205" s="272"/>
      <c r="X205" s="272"/>
      <c r="Y205" s="272"/>
      <c r="Z205" s="272"/>
      <c r="AA205" s="272"/>
      <c r="AB205" s="272"/>
      <c r="AC205" s="272"/>
    </row>
    <row r="206" spans="10:29" ht="12" customHeight="1">
      <c r="J206" s="272"/>
      <c r="K206" s="477" t="s">
        <v>6172</v>
      </c>
      <c r="L206" s="352">
        <v>2</v>
      </c>
      <c r="M206" s="352">
        <v>3</v>
      </c>
      <c r="N206" s="352">
        <v>4</v>
      </c>
      <c r="O206" s="352">
        <v>5</v>
      </c>
      <c r="P206" s="352">
        <v>6</v>
      </c>
      <c r="Q206" s="352">
        <v>7</v>
      </c>
      <c r="R206" s="352">
        <v>8</v>
      </c>
      <c r="S206" s="352">
        <v>9</v>
      </c>
      <c r="T206" s="352">
        <v>10</v>
      </c>
      <c r="U206" s="352">
        <v>11</v>
      </c>
      <c r="V206" s="883">
        <v>12</v>
      </c>
      <c r="W206" s="272"/>
      <c r="X206" s="272"/>
      <c r="Y206" s="272"/>
      <c r="Z206" s="272"/>
      <c r="AA206" s="272"/>
      <c r="AB206" s="272"/>
      <c r="AC206" s="272"/>
    </row>
    <row r="207" spans="10:29" ht="12" customHeight="1" thickBot="1">
      <c r="J207" s="272"/>
      <c r="K207" s="492" t="s">
        <v>6070</v>
      </c>
      <c r="L207" s="419">
        <f t="shared" ref="L207:V207" si="17">COUNT($K$208:$K$226)-COUNTBLANK(L208:L226)</f>
        <v>2</v>
      </c>
      <c r="M207" s="419">
        <f t="shared" si="17"/>
        <v>5</v>
      </c>
      <c r="N207" s="419">
        <f t="shared" si="17"/>
        <v>1</v>
      </c>
      <c r="O207" s="419">
        <f t="shared" si="17"/>
        <v>1</v>
      </c>
      <c r="P207" s="419">
        <f t="shared" si="17"/>
        <v>1</v>
      </c>
      <c r="Q207" s="419">
        <f t="shared" si="17"/>
        <v>1</v>
      </c>
      <c r="R207" s="419">
        <f t="shared" si="17"/>
        <v>4</v>
      </c>
      <c r="S207" s="419">
        <f t="shared" si="17"/>
        <v>1</v>
      </c>
      <c r="T207" s="419">
        <f t="shared" si="17"/>
        <v>2</v>
      </c>
      <c r="U207" s="419">
        <f t="shared" si="17"/>
        <v>3</v>
      </c>
      <c r="V207" s="504">
        <f t="shared" si="17"/>
        <v>1</v>
      </c>
      <c r="W207" s="272"/>
      <c r="X207" s="272"/>
      <c r="Y207" s="272"/>
      <c r="Z207" s="272"/>
      <c r="AA207" s="272"/>
      <c r="AB207" s="272"/>
      <c r="AC207" s="272"/>
    </row>
    <row r="208" spans="10:29" ht="12" customHeight="1">
      <c r="J208" s="272"/>
      <c r="K208" s="572">
        <v>1</v>
      </c>
      <c r="L208" s="1664" t="s">
        <v>8209</v>
      </c>
      <c r="M208" s="1662" t="s">
        <v>8210</v>
      </c>
      <c r="N208" s="1662" t="s">
        <v>7841</v>
      </c>
      <c r="O208" s="1662" t="s">
        <v>8211</v>
      </c>
      <c r="P208" s="1662" t="s">
        <v>7841</v>
      </c>
      <c r="Q208" s="1662" t="s">
        <v>8212</v>
      </c>
      <c r="R208" s="1662" t="s">
        <v>8213</v>
      </c>
      <c r="S208" s="1662" t="s">
        <v>8214</v>
      </c>
      <c r="T208" s="1662" t="s">
        <v>8215</v>
      </c>
      <c r="U208" s="1662" t="s">
        <v>8193</v>
      </c>
      <c r="V208" s="1663" t="s">
        <v>7841</v>
      </c>
      <c r="W208" s="272"/>
      <c r="X208" s="272"/>
      <c r="Y208" s="272"/>
      <c r="Z208" s="272"/>
      <c r="AA208" s="272"/>
      <c r="AB208" s="272"/>
      <c r="AC208" s="272"/>
    </row>
    <row r="209" spans="10:29" ht="12" customHeight="1" thickBot="1">
      <c r="J209" s="272"/>
      <c r="K209" s="578">
        <v>2</v>
      </c>
      <c r="L209" s="1664" t="s">
        <v>8216</v>
      </c>
      <c r="M209" s="1669" t="s">
        <v>8217</v>
      </c>
      <c r="N209" s="1664"/>
      <c r="O209" s="1664"/>
      <c r="P209" s="1664"/>
      <c r="Q209" s="1664"/>
      <c r="R209" s="1664" t="s">
        <v>8218</v>
      </c>
      <c r="S209" s="1664"/>
      <c r="T209" s="1664" t="s">
        <v>8219</v>
      </c>
      <c r="U209" s="1664" t="s">
        <v>8220</v>
      </c>
      <c r="V209" s="355"/>
      <c r="W209" s="272"/>
      <c r="X209" s="272"/>
      <c r="Y209" s="272"/>
      <c r="Z209" s="272"/>
      <c r="AA209" s="272"/>
      <c r="AB209" s="272"/>
      <c r="AC209" s="272"/>
    </row>
    <row r="210" spans="10:29" ht="12" customHeight="1">
      <c r="J210" s="272"/>
      <c r="K210" s="578">
        <v>3</v>
      </c>
      <c r="L210" s="1670"/>
      <c r="M210" s="1671" t="s">
        <v>8221</v>
      </c>
      <c r="N210" s="1672"/>
      <c r="O210" s="1664"/>
      <c r="P210" s="1664"/>
      <c r="Q210" s="1664"/>
      <c r="R210" s="1664" t="s">
        <v>8222</v>
      </c>
      <c r="S210" s="1664"/>
      <c r="T210" s="1664"/>
      <c r="U210" s="1664" t="s">
        <v>8223</v>
      </c>
      <c r="V210" s="355"/>
      <c r="W210" s="272"/>
      <c r="X210" s="272"/>
      <c r="Y210" s="272"/>
      <c r="Z210" s="272"/>
      <c r="AA210" s="272"/>
      <c r="AB210" s="272"/>
      <c r="AC210" s="272"/>
    </row>
    <row r="211" spans="10:29" ht="12" customHeight="1">
      <c r="J211" s="272"/>
      <c r="K211" s="578">
        <v>4</v>
      </c>
      <c r="L211" s="1670"/>
      <c r="M211" s="1673" t="s">
        <v>8224</v>
      </c>
      <c r="N211" s="1672"/>
      <c r="O211" s="1664"/>
      <c r="P211" s="1664"/>
      <c r="Q211" s="1664"/>
      <c r="R211" s="1664" t="s">
        <v>8225</v>
      </c>
      <c r="S211" s="1664"/>
      <c r="T211" s="1664"/>
      <c r="U211" s="1664"/>
      <c r="V211" s="355"/>
      <c r="W211" s="272"/>
      <c r="X211" s="272"/>
      <c r="Y211" s="272"/>
      <c r="Z211" s="272"/>
      <c r="AA211" s="272"/>
      <c r="AB211" s="272"/>
      <c r="AC211" s="272"/>
    </row>
    <row r="212" spans="10:29" ht="12" customHeight="1">
      <c r="J212" s="272"/>
      <c r="K212" s="578">
        <v>5</v>
      </c>
      <c r="L212" s="1670"/>
      <c r="M212" s="1673" t="s">
        <v>8226</v>
      </c>
      <c r="N212" s="1672"/>
      <c r="O212" s="1664"/>
      <c r="P212" s="1664"/>
      <c r="Q212" s="1664"/>
      <c r="R212" s="1664"/>
      <c r="S212" s="1664"/>
      <c r="T212" s="1664"/>
      <c r="U212" s="1664"/>
      <c r="V212" s="355"/>
      <c r="W212" s="272"/>
      <c r="X212" s="272"/>
      <c r="Y212" s="272"/>
      <c r="Z212" s="272"/>
      <c r="AA212" s="272"/>
      <c r="AB212" s="272"/>
      <c r="AC212" s="272"/>
    </row>
    <row r="213" spans="10:29" ht="12" customHeight="1">
      <c r="J213" s="272"/>
      <c r="K213" s="578">
        <v>6</v>
      </c>
      <c r="L213" s="579"/>
      <c r="M213" s="1673"/>
      <c r="N213" s="1672"/>
      <c r="O213" s="1664"/>
      <c r="P213" s="1664"/>
      <c r="Q213" s="1664"/>
      <c r="R213" s="1664"/>
      <c r="S213" s="1664"/>
      <c r="T213" s="1664"/>
      <c r="U213" s="1664"/>
      <c r="V213" s="355"/>
      <c r="W213" s="272"/>
      <c r="X213" s="272"/>
      <c r="Y213" s="272"/>
      <c r="Z213" s="272"/>
      <c r="AA213" s="272"/>
      <c r="AB213" s="272"/>
      <c r="AC213" s="272"/>
    </row>
    <row r="214" spans="10:29" ht="12" customHeight="1">
      <c r="J214" s="272"/>
      <c r="K214" s="578">
        <v>7</v>
      </c>
      <c r="L214" s="1670"/>
      <c r="M214" s="1673"/>
      <c r="N214" s="1672"/>
      <c r="O214" s="1664"/>
      <c r="P214" s="1664"/>
      <c r="Q214" s="1664"/>
      <c r="R214" s="1664"/>
      <c r="S214" s="1664"/>
      <c r="T214" s="1664"/>
      <c r="U214" s="1664"/>
      <c r="V214" s="355"/>
      <c r="W214" s="272"/>
      <c r="X214" s="272"/>
      <c r="Y214" s="272"/>
      <c r="Z214" s="272"/>
      <c r="AA214" s="272"/>
      <c r="AB214" s="272"/>
      <c r="AC214" s="272"/>
    </row>
    <row r="215" spans="10:29" ht="12" customHeight="1">
      <c r="J215" s="272"/>
      <c r="K215" s="578">
        <v>8</v>
      </c>
      <c r="L215" s="1670"/>
      <c r="M215" s="1673"/>
      <c r="N215" s="1672"/>
      <c r="O215" s="1664"/>
      <c r="P215" s="1664"/>
      <c r="Q215" s="1664"/>
      <c r="R215" s="1664"/>
      <c r="S215" s="1664"/>
      <c r="T215" s="1664"/>
      <c r="U215" s="1664"/>
      <c r="V215" s="355"/>
      <c r="W215" s="272"/>
      <c r="X215" s="272"/>
      <c r="Y215" s="272"/>
      <c r="Z215" s="272"/>
      <c r="AA215" s="272"/>
      <c r="AB215" s="272"/>
      <c r="AC215" s="272"/>
    </row>
    <row r="216" spans="10:29" ht="12" customHeight="1">
      <c r="J216" s="272"/>
      <c r="K216" s="578">
        <v>9</v>
      </c>
      <c r="L216" s="1670"/>
      <c r="M216" s="1673"/>
      <c r="N216" s="1672"/>
      <c r="O216" s="1664"/>
      <c r="P216" s="1664"/>
      <c r="Q216" s="1664"/>
      <c r="R216" s="1664"/>
      <c r="S216" s="1664"/>
      <c r="T216" s="1664"/>
      <c r="U216" s="1664"/>
      <c r="V216" s="355"/>
      <c r="W216" s="272"/>
      <c r="X216" s="272"/>
      <c r="Y216" s="272"/>
      <c r="Z216" s="272"/>
      <c r="AA216" s="272"/>
      <c r="AB216" s="272"/>
      <c r="AC216" s="272"/>
    </row>
    <row r="217" spans="10:29" ht="12" customHeight="1">
      <c r="J217" s="272"/>
      <c r="K217" s="578">
        <v>10</v>
      </c>
      <c r="L217" s="1670"/>
      <c r="M217" s="1673"/>
      <c r="N217" s="1672"/>
      <c r="O217" s="1664"/>
      <c r="P217" s="1664"/>
      <c r="Q217" s="1664"/>
      <c r="R217" s="1664"/>
      <c r="S217" s="1664"/>
      <c r="T217" s="1664"/>
      <c r="U217" s="1664"/>
      <c r="V217" s="355"/>
      <c r="W217" s="272"/>
      <c r="X217" s="272"/>
      <c r="Y217" s="272"/>
      <c r="Z217" s="272"/>
      <c r="AA217" s="272"/>
      <c r="AB217" s="272"/>
      <c r="AC217" s="272"/>
    </row>
    <row r="218" spans="10:29" ht="12" customHeight="1">
      <c r="J218" s="272"/>
      <c r="K218" s="578">
        <v>11</v>
      </c>
      <c r="L218" s="1670"/>
      <c r="M218" s="1673"/>
      <c r="N218" s="1672"/>
      <c r="O218" s="1664"/>
      <c r="P218" s="1664"/>
      <c r="Q218" s="1664"/>
      <c r="R218" s="1664"/>
      <c r="S218" s="1664"/>
      <c r="T218" s="1664"/>
      <c r="U218" s="1664"/>
      <c r="V218" s="355"/>
      <c r="W218" s="272"/>
      <c r="X218" s="272"/>
      <c r="Y218" s="272"/>
      <c r="Z218" s="272"/>
      <c r="AA218" s="272"/>
      <c r="AB218" s="272"/>
      <c r="AC218" s="272"/>
    </row>
    <row r="219" spans="10:29" ht="12" customHeight="1">
      <c r="J219" s="272"/>
      <c r="K219" s="578">
        <v>12</v>
      </c>
      <c r="L219" s="1670"/>
      <c r="M219" s="1673"/>
      <c r="N219" s="1672"/>
      <c r="O219" s="1664"/>
      <c r="P219" s="1664"/>
      <c r="Q219" s="1664"/>
      <c r="R219" s="1664"/>
      <c r="S219" s="1664"/>
      <c r="T219" s="1664"/>
      <c r="U219" s="1664"/>
      <c r="V219" s="355"/>
      <c r="W219" s="272"/>
      <c r="X219" s="272"/>
      <c r="Y219" s="272"/>
      <c r="Z219" s="272"/>
      <c r="AA219" s="272"/>
      <c r="AB219" s="272"/>
      <c r="AC219" s="272"/>
    </row>
    <row r="220" spans="10:29" ht="12" customHeight="1">
      <c r="J220" s="272"/>
      <c r="K220" s="578">
        <v>13</v>
      </c>
      <c r="L220" s="1670"/>
      <c r="M220" s="1673"/>
      <c r="N220" s="1672"/>
      <c r="O220" s="1664"/>
      <c r="P220" s="1664"/>
      <c r="Q220" s="1664"/>
      <c r="R220" s="1664"/>
      <c r="S220" s="1664"/>
      <c r="T220" s="1664"/>
      <c r="U220" s="1664"/>
      <c r="V220" s="355"/>
      <c r="W220" s="272"/>
      <c r="X220" s="272"/>
      <c r="Y220" s="272"/>
      <c r="Z220" s="272"/>
      <c r="AA220" s="272"/>
      <c r="AB220" s="272"/>
      <c r="AC220" s="272"/>
    </row>
    <row r="221" spans="10:29" ht="12" customHeight="1">
      <c r="J221" s="272"/>
      <c r="K221" s="578">
        <v>14</v>
      </c>
      <c r="L221" s="1670"/>
      <c r="M221" s="1673"/>
      <c r="N221" s="1672"/>
      <c r="O221" s="1664"/>
      <c r="P221" s="1664"/>
      <c r="Q221" s="1664"/>
      <c r="R221" s="1664"/>
      <c r="S221" s="1664"/>
      <c r="T221" s="1664"/>
      <c r="U221" s="1664"/>
      <c r="V221" s="355"/>
      <c r="W221" s="272"/>
      <c r="X221" s="272"/>
      <c r="Y221" s="272"/>
      <c r="Z221" s="272"/>
      <c r="AA221" s="272"/>
      <c r="AB221" s="272"/>
      <c r="AC221" s="272"/>
    </row>
    <row r="222" spans="10:29" ht="12" customHeight="1">
      <c r="J222" s="272"/>
      <c r="K222" s="578">
        <v>15</v>
      </c>
      <c r="L222" s="1670"/>
      <c r="M222" s="1673"/>
      <c r="N222" s="1672"/>
      <c r="O222" s="1664"/>
      <c r="P222" s="1664"/>
      <c r="Q222" s="1664"/>
      <c r="R222" s="1664"/>
      <c r="S222" s="1664"/>
      <c r="T222" s="1664"/>
      <c r="U222" s="1664"/>
      <c r="V222" s="355"/>
      <c r="W222" s="272"/>
      <c r="X222" s="272"/>
      <c r="Y222" s="272"/>
      <c r="Z222" s="272"/>
      <c r="AA222" s="272"/>
      <c r="AB222" s="272"/>
      <c r="AC222" s="272"/>
    </row>
    <row r="223" spans="10:29" ht="12" customHeight="1">
      <c r="J223" s="272"/>
      <c r="K223" s="578">
        <v>16</v>
      </c>
      <c r="L223" s="1670"/>
      <c r="M223" s="1673"/>
      <c r="N223" s="1672"/>
      <c r="O223" s="1664"/>
      <c r="P223" s="1664"/>
      <c r="Q223" s="1664"/>
      <c r="R223" s="1664"/>
      <c r="S223" s="1664"/>
      <c r="T223" s="1664"/>
      <c r="U223" s="1664"/>
      <c r="V223" s="355"/>
      <c r="W223" s="272"/>
      <c r="X223" s="272"/>
      <c r="Y223" s="272"/>
      <c r="Z223" s="272"/>
      <c r="AA223" s="272"/>
      <c r="AB223" s="272"/>
      <c r="AC223" s="272"/>
    </row>
    <row r="224" spans="10:29" ht="12" customHeight="1">
      <c r="J224" s="272"/>
      <c r="K224" s="578">
        <v>17</v>
      </c>
      <c r="L224" s="1670"/>
      <c r="M224" s="1673"/>
      <c r="N224" s="1672"/>
      <c r="O224" s="1664"/>
      <c r="P224" s="1664"/>
      <c r="Q224" s="1664"/>
      <c r="R224" s="1664"/>
      <c r="S224" s="1664"/>
      <c r="T224" s="1664"/>
      <c r="U224" s="1664"/>
      <c r="V224" s="355"/>
      <c r="W224" s="272"/>
      <c r="X224" s="272"/>
      <c r="Y224" s="272"/>
      <c r="Z224" s="272"/>
      <c r="AA224" s="272"/>
      <c r="AB224" s="272"/>
      <c r="AC224" s="272"/>
    </row>
    <row r="225" spans="10:29" ht="12" customHeight="1">
      <c r="J225" s="272"/>
      <c r="K225" s="578">
        <v>18</v>
      </c>
      <c r="L225" s="1670"/>
      <c r="M225" s="1673"/>
      <c r="N225" s="1672"/>
      <c r="O225" s="1664"/>
      <c r="P225" s="1664"/>
      <c r="Q225" s="1664"/>
      <c r="R225" s="1664"/>
      <c r="S225" s="1664"/>
      <c r="T225" s="1664"/>
      <c r="U225" s="1664"/>
      <c r="V225" s="355"/>
      <c r="W225" s="272"/>
      <c r="X225" s="272"/>
      <c r="Y225" s="272"/>
      <c r="Z225" s="272"/>
      <c r="AA225" s="272"/>
      <c r="AB225" s="272"/>
      <c r="AC225" s="272"/>
    </row>
    <row r="226" spans="10:29" ht="12" customHeight="1" thickBot="1">
      <c r="J226" s="272"/>
      <c r="K226" s="583">
        <v>19</v>
      </c>
      <c r="L226" s="1675"/>
      <c r="M226" s="1676"/>
      <c r="N226" s="1677"/>
      <c r="O226" s="1678"/>
      <c r="P226" s="1678"/>
      <c r="Q226" s="1678"/>
      <c r="R226" s="1678"/>
      <c r="S226" s="1678"/>
      <c r="T226" s="1678"/>
      <c r="U226" s="1678"/>
      <c r="V226" s="411"/>
      <c r="W226" s="272"/>
      <c r="X226" s="272"/>
      <c r="Y226" s="272"/>
      <c r="Z226" s="272"/>
      <c r="AA226" s="272"/>
      <c r="AB226" s="272"/>
      <c r="AC226" s="272"/>
    </row>
    <row r="227" spans="10:29" ht="12" customHeight="1">
      <c r="J227" s="272"/>
      <c r="K227" s="272"/>
      <c r="L227" s="272"/>
      <c r="M227" s="272"/>
      <c r="N227" s="272"/>
      <c r="O227" s="272"/>
      <c r="P227" s="272"/>
      <c r="Q227" s="272"/>
      <c r="R227" s="272"/>
      <c r="S227" s="272"/>
      <c r="T227" s="272"/>
      <c r="U227" s="272"/>
      <c r="V227" s="272"/>
      <c r="W227" s="272"/>
      <c r="X227" s="272"/>
      <c r="Y227" s="272"/>
      <c r="Z227" s="272"/>
      <c r="AA227" s="272"/>
      <c r="AB227" s="272"/>
      <c r="AC227" s="272"/>
    </row>
    <row r="228" spans="10:29" ht="12" customHeight="1" thickBot="1">
      <c r="J228" s="272"/>
      <c r="K228" s="272"/>
      <c r="L228" s="272"/>
      <c r="M228" s="272"/>
      <c r="N228" s="272"/>
      <c r="O228" s="272"/>
      <c r="P228" s="272"/>
      <c r="Q228" s="272"/>
      <c r="R228" s="272"/>
      <c r="S228" s="272"/>
      <c r="T228" s="272"/>
      <c r="U228" s="272"/>
      <c r="V228" s="272"/>
      <c r="W228" s="272"/>
      <c r="X228" s="272"/>
      <c r="Y228" s="272"/>
      <c r="Z228" s="272"/>
      <c r="AA228" s="272"/>
      <c r="AB228" s="272"/>
      <c r="AC228" s="272"/>
    </row>
    <row r="229" spans="10:29" ht="12" customHeight="1" thickBot="1">
      <c r="J229" s="272"/>
      <c r="K229" s="275" t="s">
        <v>8227</v>
      </c>
      <c r="L229" s="1658"/>
      <c r="M229" s="1658"/>
      <c r="N229" s="1658"/>
      <c r="O229" s="1658"/>
      <c r="P229" s="1658"/>
      <c r="Q229" s="1658"/>
      <c r="R229" s="1658"/>
      <c r="S229" s="1658"/>
      <c r="T229" s="1658"/>
      <c r="U229" s="1658"/>
      <c r="V229" s="1659"/>
      <c r="W229" s="272"/>
      <c r="X229" s="272"/>
      <c r="Y229" s="272"/>
      <c r="Z229" s="272"/>
      <c r="AA229" s="272"/>
      <c r="AB229" s="272"/>
      <c r="AC229" s="272"/>
    </row>
    <row r="230" spans="10:29" ht="12" customHeight="1">
      <c r="J230" s="272"/>
      <c r="K230" s="465"/>
      <c r="L230" s="328" t="str">
        <f t="shared" ref="L230:V230" ca="1" si="18">VLOOKUP(RANDBETWEEN(1,L233),$K234:$V252,L232)</f>
        <v xml:space="preserve">Laogzed, troglodyte god of hunger CE </v>
      </c>
      <c r="M230" s="328" t="str">
        <f t="shared" ca="1" si="18"/>
        <v>Urdlen, god of greed and murder CE</v>
      </c>
      <c r="N230" s="328" t="str">
        <f t="shared" ca="1" si="18"/>
        <v>Hiddukel, god of lies and greed CE</v>
      </c>
      <c r="O230" s="328" t="str">
        <f t="shared" ca="1" si="18"/>
        <v xml:space="preserve">The Shadow, god of dark magic CE </v>
      </c>
      <c r="P230" s="328" t="str">
        <f t="shared" ca="1" si="18"/>
        <v xml:space="preserve">Laogzed, troglodyte god of hunger CE </v>
      </c>
      <c r="Q230" s="328" t="str">
        <f t="shared" ca="1" si="18"/>
        <v xml:space="preserve">Morrigan, goddess of battle CE </v>
      </c>
      <c r="R230" s="328" t="str">
        <f t="shared" ca="1" si="18"/>
        <v xml:space="preserve">Ares, god of war and strife CE </v>
      </c>
      <c r="S230" s="328" t="str">
        <f t="shared" ca="1" si="18"/>
        <v xml:space="preserve">Set, god of darkness and desert storms CE </v>
      </c>
      <c r="T230" s="328" t="str">
        <f t="shared" ca="1" si="18"/>
        <v xml:space="preserve">Loki, god of thieves and trickery CE </v>
      </c>
      <c r="U230" s="328" t="str">
        <f t="shared" ca="1" si="18"/>
        <v>Carceri, the Tarterian Depths of NE, CE</v>
      </c>
      <c r="V230" s="898" t="str">
        <f t="shared" ca="1" si="18"/>
        <v>NONE</v>
      </c>
      <c r="W230" s="272"/>
      <c r="X230" s="272"/>
      <c r="Y230" s="272"/>
      <c r="Z230" s="272"/>
      <c r="AA230" s="272"/>
      <c r="AB230" s="272"/>
      <c r="AC230" s="272"/>
    </row>
    <row r="231" spans="10:29" ht="12" customHeight="1">
      <c r="J231" s="272"/>
      <c r="K231" s="477"/>
      <c r="L231" s="1634" t="s">
        <v>7849</v>
      </c>
      <c r="M231" s="1634" t="s">
        <v>7850</v>
      </c>
      <c r="N231" s="1634" t="s">
        <v>7851</v>
      </c>
      <c r="O231" s="1634" t="s">
        <v>7852</v>
      </c>
      <c r="P231" s="1634" t="s">
        <v>7853</v>
      </c>
      <c r="Q231" s="545" t="s">
        <v>7854</v>
      </c>
      <c r="R231" s="545" t="s">
        <v>7855</v>
      </c>
      <c r="S231" s="545" t="s">
        <v>7856</v>
      </c>
      <c r="T231" s="545" t="s">
        <v>7857</v>
      </c>
      <c r="U231" s="545" t="s">
        <v>7858</v>
      </c>
      <c r="V231" s="1660" t="str">
        <f>IF([1]MATH!D216&lt;&gt;"Cleric","None","As Cleric")</f>
        <v>None</v>
      </c>
      <c r="W231" s="272"/>
      <c r="X231" s="272"/>
      <c r="Y231" s="272"/>
      <c r="Z231" s="272"/>
      <c r="AA231" s="272"/>
      <c r="AB231" s="272"/>
      <c r="AC231" s="272"/>
    </row>
    <row r="232" spans="10:29" ht="12" customHeight="1">
      <c r="J232" s="272"/>
      <c r="K232" s="477" t="s">
        <v>6172</v>
      </c>
      <c r="L232" s="352">
        <v>2</v>
      </c>
      <c r="M232" s="352">
        <v>3</v>
      </c>
      <c r="N232" s="352">
        <v>4</v>
      </c>
      <c r="O232" s="352">
        <v>5</v>
      </c>
      <c r="P232" s="352">
        <v>6</v>
      </c>
      <c r="Q232" s="352">
        <v>7</v>
      </c>
      <c r="R232" s="352">
        <v>8</v>
      </c>
      <c r="S232" s="352">
        <v>9</v>
      </c>
      <c r="T232" s="352">
        <v>10</v>
      </c>
      <c r="U232" s="352">
        <v>11</v>
      </c>
      <c r="V232" s="883">
        <v>12</v>
      </c>
      <c r="W232" s="272"/>
      <c r="X232" s="272"/>
      <c r="Y232" s="272"/>
      <c r="Z232" s="272"/>
      <c r="AA232" s="272"/>
      <c r="AB232" s="272"/>
      <c r="AC232" s="272"/>
    </row>
    <row r="233" spans="10:29" ht="12" customHeight="1" thickBot="1">
      <c r="J233" s="272"/>
      <c r="K233" s="492" t="s">
        <v>6070</v>
      </c>
      <c r="L233" s="419">
        <f t="shared" ref="L233:V233" si="19">COUNT($K$234:$K$252)-COUNTBLANK(L234:L252)</f>
        <v>9</v>
      </c>
      <c r="M233" s="419">
        <f t="shared" si="19"/>
        <v>16</v>
      </c>
      <c r="N233" s="419">
        <f t="shared" si="19"/>
        <v>2</v>
      </c>
      <c r="O233" s="419">
        <f t="shared" si="19"/>
        <v>1</v>
      </c>
      <c r="P233" s="419">
        <f t="shared" si="19"/>
        <v>6</v>
      </c>
      <c r="Q233" s="419">
        <f t="shared" si="19"/>
        <v>1</v>
      </c>
      <c r="R233" s="419">
        <f t="shared" si="19"/>
        <v>2</v>
      </c>
      <c r="S233" s="419">
        <f t="shared" si="19"/>
        <v>1</v>
      </c>
      <c r="T233" s="419">
        <f t="shared" si="19"/>
        <v>2</v>
      </c>
      <c r="U233" s="419">
        <f t="shared" si="19"/>
        <v>3</v>
      </c>
      <c r="V233" s="504">
        <f t="shared" si="19"/>
        <v>1</v>
      </c>
      <c r="W233" s="272"/>
      <c r="X233" s="272"/>
      <c r="Y233" s="272"/>
      <c r="Z233" s="272"/>
      <c r="AA233" s="272"/>
      <c r="AB233" s="272"/>
      <c r="AC233" s="272"/>
    </row>
    <row r="234" spans="10:29" ht="12" customHeight="1">
      <c r="J234" s="272"/>
      <c r="K234" s="572">
        <v>1</v>
      </c>
      <c r="L234" s="1664" t="s">
        <v>8228</v>
      </c>
      <c r="M234" s="1662" t="s">
        <v>8229</v>
      </c>
      <c r="N234" s="1662" t="s">
        <v>8230</v>
      </c>
      <c r="O234" s="1662" t="s">
        <v>8231</v>
      </c>
      <c r="P234" s="1662" t="s">
        <v>8232</v>
      </c>
      <c r="Q234" s="1662" t="s">
        <v>8233</v>
      </c>
      <c r="R234" s="1662" t="s">
        <v>8234</v>
      </c>
      <c r="S234" s="1662" t="s">
        <v>8235</v>
      </c>
      <c r="T234" s="1662" t="s">
        <v>8236</v>
      </c>
      <c r="U234" s="1662" t="s">
        <v>8223</v>
      </c>
      <c r="V234" s="1663" t="s">
        <v>7841</v>
      </c>
      <c r="W234" s="272"/>
      <c r="X234" s="272"/>
      <c r="Y234" s="272"/>
      <c r="Z234" s="272"/>
      <c r="AA234" s="272"/>
      <c r="AB234" s="272"/>
      <c r="AC234" s="272"/>
    </row>
    <row r="235" spans="10:29" ht="12" customHeight="1">
      <c r="J235" s="272"/>
      <c r="K235" s="578">
        <v>2</v>
      </c>
      <c r="L235" s="1664" t="s">
        <v>8237</v>
      </c>
      <c r="M235" s="1664" t="s">
        <v>8238</v>
      </c>
      <c r="N235" s="1664" t="s">
        <v>8239</v>
      </c>
      <c r="O235" s="1664"/>
      <c r="P235" s="1664" t="s">
        <v>8240</v>
      </c>
      <c r="Q235" s="1664"/>
      <c r="R235" s="1664" t="s">
        <v>8241</v>
      </c>
      <c r="S235" s="1664"/>
      <c r="T235" s="1664" t="s">
        <v>8242</v>
      </c>
      <c r="U235" s="1664" t="s">
        <v>8243</v>
      </c>
      <c r="V235" s="355"/>
      <c r="W235" s="272"/>
      <c r="X235" s="272"/>
      <c r="Y235" s="272"/>
      <c r="Z235" s="272"/>
      <c r="AA235" s="272"/>
      <c r="AB235" s="272"/>
      <c r="AC235" s="272"/>
    </row>
    <row r="236" spans="10:29" ht="12" customHeight="1">
      <c r="J236" s="272"/>
      <c r="K236" s="578">
        <v>3</v>
      </c>
      <c r="L236" s="1664" t="s">
        <v>8244</v>
      </c>
      <c r="M236" s="1664" t="s">
        <v>8245</v>
      </c>
      <c r="N236" s="1664"/>
      <c r="O236" s="1664"/>
      <c r="P236" s="1664" t="s">
        <v>8246</v>
      </c>
      <c r="Q236" s="1664"/>
      <c r="R236" s="1664"/>
      <c r="S236" s="1664"/>
      <c r="T236" s="1664"/>
      <c r="U236" s="1664" t="s">
        <v>8156</v>
      </c>
      <c r="V236" s="355"/>
      <c r="W236" s="272"/>
      <c r="X236" s="272"/>
      <c r="Y236" s="272"/>
      <c r="Z236" s="272"/>
      <c r="AA236" s="272"/>
      <c r="AB236" s="272"/>
      <c r="AC236" s="272"/>
    </row>
    <row r="237" spans="10:29" ht="12" customHeight="1">
      <c r="J237" s="272"/>
      <c r="K237" s="578">
        <v>4</v>
      </c>
      <c r="L237" s="1664" t="s">
        <v>8232</v>
      </c>
      <c r="M237" s="1664" t="s">
        <v>8247</v>
      </c>
      <c r="N237" s="1664"/>
      <c r="O237" s="1664"/>
      <c r="P237" s="1664" t="s">
        <v>8248</v>
      </c>
      <c r="Q237" s="1664"/>
      <c r="R237" s="1664"/>
      <c r="S237" s="1664"/>
      <c r="T237" s="1664"/>
      <c r="U237" s="1664"/>
      <c r="V237" s="355"/>
      <c r="W237" s="272"/>
      <c r="X237" s="272"/>
      <c r="Y237" s="272"/>
      <c r="Z237" s="272"/>
      <c r="AA237" s="272"/>
      <c r="AB237" s="272"/>
      <c r="AC237" s="272"/>
    </row>
    <row r="238" spans="10:29" ht="12" customHeight="1">
      <c r="J238" s="272"/>
      <c r="K238" s="578">
        <v>5</v>
      </c>
      <c r="L238" s="1664" t="s">
        <v>8240</v>
      </c>
      <c r="M238" s="1664" t="s">
        <v>8249</v>
      </c>
      <c r="N238" s="1664"/>
      <c r="O238" s="1664"/>
      <c r="P238" s="1664" t="s">
        <v>8250</v>
      </c>
      <c r="Q238" s="1664"/>
      <c r="R238" s="1664"/>
      <c r="S238" s="1664"/>
      <c r="T238" s="1664"/>
      <c r="U238" s="1664"/>
      <c r="V238" s="355"/>
      <c r="W238" s="272"/>
      <c r="X238" s="272"/>
      <c r="Y238" s="272"/>
      <c r="Z238" s="272"/>
      <c r="AA238" s="272"/>
      <c r="AB238" s="272"/>
      <c r="AC238" s="272"/>
    </row>
    <row r="239" spans="10:29" ht="12" customHeight="1">
      <c r="J239" s="272"/>
      <c r="K239" s="578">
        <v>6</v>
      </c>
      <c r="L239" s="354" t="s">
        <v>8246</v>
      </c>
      <c r="M239" s="1664" t="s">
        <v>8251</v>
      </c>
      <c r="N239" s="1664"/>
      <c r="O239" s="1664"/>
      <c r="P239" s="1664" t="s">
        <v>8252</v>
      </c>
      <c r="Q239" s="1664"/>
      <c r="R239" s="1664"/>
      <c r="S239" s="1664"/>
      <c r="T239" s="1664"/>
      <c r="U239" s="1664"/>
      <c r="V239" s="355"/>
      <c r="W239" s="272"/>
      <c r="X239" s="272"/>
      <c r="Y239" s="272"/>
      <c r="Z239" s="272"/>
      <c r="AA239" s="272"/>
      <c r="AB239" s="272"/>
      <c r="AC239" s="272"/>
    </row>
    <row r="240" spans="10:29" ht="12" customHeight="1">
      <c r="J240" s="272"/>
      <c r="K240" s="578">
        <v>7</v>
      </c>
      <c r="L240" s="1664" t="s">
        <v>8248</v>
      </c>
      <c r="M240" s="1664" t="s">
        <v>8232</v>
      </c>
      <c r="N240" s="1664"/>
      <c r="O240" s="1664"/>
      <c r="P240" s="1664"/>
      <c r="Q240" s="1664"/>
      <c r="R240" s="1664"/>
      <c r="S240" s="1664"/>
      <c r="T240" s="1664"/>
      <c r="U240" s="1664"/>
      <c r="V240" s="355"/>
      <c r="W240" s="272"/>
      <c r="X240" s="272"/>
      <c r="Y240" s="272"/>
      <c r="Z240" s="272"/>
      <c r="AA240" s="272"/>
      <c r="AB240" s="272"/>
      <c r="AC240" s="272"/>
    </row>
    <row r="241" spans="10:29" ht="12" customHeight="1">
      <c r="J241" s="272"/>
      <c r="K241" s="578">
        <v>8</v>
      </c>
      <c r="L241" s="1664" t="s">
        <v>8250</v>
      </c>
      <c r="M241" s="1664" t="s">
        <v>8240</v>
      </c>
      <c r="N241" s="1664"/>
      <c r="O241" s="1664"/>
      <c r="P241" s="1664"/>
      <c r="Q241" s="1664"/>
      <c r="R241" s="1664"/>
      <c r="S241" s="1664"/>
      <c r="T241" s="1664"/>
      <c r="U241" s="1664"/>
      <c r="V241" s="355"/>
      <c r="W241" s="272"/>
      <c r="X241" s="272"/>
      <c r="Y241" s="272"/>
      <c r="Z241" s="272"/>
      <c r="AA241" s="272"/>
      <c r="AB241" s="272"/>
      <c r="AC241" s="272"/>
    </row>
    <row r="242" spans="10:29" ht="12" customHeight="1">
      <c r="J242" s="272"/>
      <c r="K242" s="578">
        <v>9</v>
      </c>
      <c r="L242" s="1664" t="s">
        <v>8252</v>
      </c>
      <c r="M242" s="1664" t="s">
        <v>8246</v>
      </c>
      <c r="N242" s="1664"/>
      <c r="O242" s="1664"/>
      <c r="P242" s="1664"/>
      <c r="Q242" s="1664"/>
      <c r="R242" s="1664"/>
      <c r="S242" s="1664"/>
      <c r="T242" s="1664"/>
      <c r="U242" s="1664"/>
      <c r="V242" s="355"/>
      <c r="W242" s="272"/>
      <c r="X242" s="272"/>
      <c r="Y242" s="272"/>
      <c r="Z242" s="272"/>
      <c r="AA242" s="272"/>
      <c r="AB242" s="272"/>
      <c r="AC242" s="272"/>
    </row>
    <row r="243" spans="10:29" ht="12" customHeight="1">
      <c r="J243" s="272"/>
      <c r="K243" s="578">
        <v>10</v>
      </c>
      <c r="L243" s="1664"/>
      <c r="M243" s="1664" t="s">
        <v>8248</v>
      </c>
      <c r="N243" s="1664"/>
      <c r="O243" s="1664"/>
      <c r="P243" s="1664"/>
      <c r="Q243" s="1664"/>
      <c r="R243" s="1664"/>
      <c r="S243" s="1664"/>
      <c r="T243" s="1664"/>
      <c r="U243" s="1664"/>
      <c r="V243" s="355"/>
      <c r="W243" s="272"/>
      <c r="X243" s="272"/>
      <c r="Y243" s="272"/>
      <c r="Z243" s="272"/>
      <c r="AA243" s="272"/>
      <c r="AB243" s="272"/>
      <c r="AC243" s="272"/>
    </row>
    <row r="244" spans="10:29" ht="12" customHeight="1">
      <c r="J244" s="272"/>
      <c r="K244" s="578">
        <v>11</v>
      </c>
      <c r="L244" s="1664"/>
      <c r="M244" s="1664" t="s">
        <v>8250</v>
      </c>
      <c r="N244" s="1664"/>
      <c r="O244" s="1664"/>
      <c r="P244" s="1664"/>
      <c r="Q244" s="1664"/>
      <c r="R244" s="1664"/>
      <c r="S244" s="1664"/>
      <c r="T244" s="1664"/>
      <c r="U244" s="1664"/>
      <c r="V244" s="355"/>
      <c r="W244" s="272"/>
      <c r="X244" s="272"/>
      <c r="Y244" s="272"/>
      <c r="Z244" s="272"/>
      <c r="AA244" s="272"/>
      <c r="AB244" s="272"/>
      <c r="AC244" s="272"/>
    </row>
    <row r="245" spans="10:29" ht="12" customHeight="1" thickBot="1">
      <c r="J245" s="272"/>
      <c r="K245" s="578">
        <v>12</v>
      </c>
      <c r="L245" s="1664"/>
      <c r="M245" s="1669" t="s">
        <v>8252</v>
      </c>
      <c r="N245" s="1664"/>
      <c r="O245" s="1664"/>
      <c r="P245" s="1664"/>
      <c r="Q245" s="1664"/>
      <c r="R245" s="1664"/>
      <c r="S245" s="1664"/>
      <c r="T245" s="1664"/>
      <c r="U245" s="1664"/>
      <c r="V245" s="355"/>
      <c r="W245" s="272"/>
      <c r="X245" s="272"/>
      <c r="Y245" s="272"/>
      <c r="Z245" s="272"/>
      <c r="AA245" s="272"/>
      <c r="AB245" s="272"/>
      <c r="AC245" s="272"/>
    </row>
    <row r="246" spans="10:29" ht="12" customHeight="1">
      <c r="J246" s="272"/>
      <c r="K246" s="578">
        <v>13</v>
      </c>
      <c r="L246" s="1670"/>
      <c r="M246" s="1671" t="s">
        <v>8253</v>
      </c>
      <c r="N246" s="1672"/>
      <c r="O246" s="1664"/>
      <c r="P246" s="1664"/>
      <c r="Q246" s="1664"/>
      <c r="R246" s="1664"/>
      <c r="S246" s="1664"/>
      <c r="T246" s="1664"/>
      <c r="U246" s="1664"/>
      <c r="V246" s="355"/>
      <c r="W246" s="272"/>
      <c r="X246" s="272"/>
      <c r="Y246" s="272"/>
      <c r="Z246" s="272"/>
      <c r="AA246" s="272"/>
      <c r="AB246" s="272"/>
      <c r="AC246" s="272"/>
    </row>
    <row r="247" spans="10:29" ht="12" customHeight="1">
      <c r="J247" s="272"/>
      <c r="K247" s="578">
        <v>14</v>
      </c>
      <c r="L247" s="1670"/>
      <c r="M247" s="1673" t="s">
        <v>8254</v>
      </c>
      <c r="N247" s="1672"/>
      <c r="O247" s="1664"/>
      <c r="P247" s="1664"/>
      <c r="Q247" s="1664"/>
      <c r="R247" s="1664"/>
      <c r="S247" s="1664"/>
      <c r="T247" s="1664"/>
      <c r="U247" s="1664"/>
      <c r="V247" s="355"/>
      <c r="W247" s="272"/>
      <c r="X247" s="272"/>
      <c r="Y247" s="272"/>
      <c r="Z247" s="272"/>
      <c r="AA247" s="272"/>
      <c r="AB247" s="272"/>
      <c r="AC247" s="272"/>
    </row>
    <row r="248" spans="10:29" ht="12" customHeight="1">
      <c r="J248" s="272"/>
      <c r="K248" s="578">
        <v>15</v>
      </c>
      <c r="L248" s="1670"/>
      <c r="M248" s="1673" t="s">
        <v>8255</v>
      </c>
      <c r="N248" s="1672"/>
      <c r="O248" s="1664"/>
      <c r="P248" s="1664"/>
      <c r="Q248" s="1664"/>
      <c r="R248" s="1664"/>
      <c r="S248" s="1664"/>
      <c r="T248" s="1664"/>
      <c r="U248" s="1664"/>
      <c r="V248" s="355"/>
      <c r="W248" s="272"/>
      <c r="X248" s="272"/>
      <c r="Y248" s="272"/>
      <c r="Z248" s="272"/>
      <c r="AA248" s="272"/>
      <c r="AB248" s="272"/>
      <c r="AC248" s="272"/>
    </row>
    <row r="249" spans="10:29" ht="12" customHeight="1">
      <c r="J249" s="272"/>
      <c r="K249" s="578">
        <v>16</v>
      </c>
      <c r="L249" s="1670"/>
      <c r="M249" s="1673" t="s">
        <v>8256</v>
      </c>
      <c r="N249" s="1672"/>
      <c r="O249" s="1664"/>
      <c r="P249" s="1664"/>
      <c r="Q249" s="1664"/>
      <c r="R249" s="1664"/>
      <c r="S249" s="1664"/>
      <c r="T249" s="1664"/>
      <c r="U249" s="1664"/>
      <c r="V249" s="355"/>
      <c r="W249" s="272"/>
      <c r="X249" s="272"/>
      <c r="Y249" s="272"/>
      <c r="Z249" s="272"/>
      <c r="AA249" s="272"/>
      <c r="AB249" s="272"/>
      <c r="AC249" s="272"/>
    </row>
    <row r="250" spans="10:29" ht="12" customHeight="1">
      <c r="J250" s="272"/>
      <c r="K250" s="578">
        <v>17</v>
      </c>
      <c r="L250" s="1670"/>
      <c r="M250" s="1673"/>
      <c r="N250" s="1672"/>
      <c r="O250" s="1664"/>
      <c r="P250" s="1664"/>
      <c r="Q250" s="1664"/>
      <c r="R250" s="1664"/>
      <c r="S250" s="1664"/>
      <c r="T250" s="1664"/>
      <c r="U250" s="1664"/>
      <c r="V250" s="355"/>
      <c r="W250" s="272"/>
      <c r="X250" s="272"/>
      <c r="Y250" s="272"/>
      <c r="Z250" s="272"/>
      <c r="AA250" s="272"/>
      <c r="AB250" s="272"/>
      <c r="AC250" s="272"/>
    </row>
    <row r="251" spans="10:29" ht="12" customHeight="1">
      <c r="J251" s="272"/>
      <c r="K251" s="578">
        <v>18</v>
      </c>
      <c r="L251" s="1670"/>
      <c r="M251" s="1673"/>
      <c r="N251" s="1672"/>
      <c r="O251" s="1664"/>
      <c r="P251" s="1664"/>
      <c r="Q251" s="1664"/>
      <c r="R251" s="1664"/>
      <c r="S251" s="1664"/>
      <c r="T251" s="1664"/>
      <c r="U251" s="1664"/>
      <c r="V251" s="355"/>
      <c r="W251" s="272"/>
      <c r="X251" s="272"/>
      <c r="Y251" s="272"/>
      <c r="Z251" s="272"/>
      <c r="AA251" s="272"/>
      <c r="AB251" s="272"/>
      <c r="AC251" s="272"/>
    </row>
    <row r="252" spans="10:29" ht="12" customHeight="1" thickBot="1">
      <c r="J252" s="272"/>
      <c r="K252" s="583">
        <v>19</v>
      </c>
      <c r="L252" s="1675"/>
      <c r="M252" s="1676"/>
      <c r="N252" s="1677"/>
      <c r="O252" s="1678"/>
      <c r="P252" s="1678"/>
      <c r="Q252" s="1678"/>
      <c r="R252" s="1678"/>
      <c r="S252" s="1678"/>
      <c r="T252" s="1678"/>
      <c r="U252" s="1678"/>
      <c r="V252" s="411"/>
      <c r="W252" s="272"/>
      <c r="X252" s="272"/>
      <c r="Y252" s="272"/>
      <c r="Z252" s="272"/>
      <c r="AA252" s="272"/>
      <c r="AB252" s="272"/>
      <c r="AC252" s="272"/>
    </row>
    <row r="253" spans="10:29" ht="12" customHeight="1" thickBot="1">
      <c r="J253" s="272"/>
      <c r="K253" s="272"/>
      <c r="L253" s="272"/>
      <c r="M253" s="272"/>
      <c r="N253" s="272"/>
      <c r="O253" s="272"/>
      <c r="P253" s="272"/>
      <c r="Q253" s="272"/>
      <c r="R253" s="272"/>
      <c r="S253" s="272"/>
      <c r="T253" s="272"/>
      <c r="U253" s="272"/>
      <c r="V253" s="272"/>
      <c r="W253" s="272"/>
      <c r="X253" s="272"/>
      <c r="Y253" s="272"/>
      <c r="Z253" s="272"/>
      <c r="AA253" s="272"/>
      <c r="AB253" s="272"/>
      <c r="AC253" s="272"/>
    </row>
    <row r="254" spans="10:29" ht="12" customHeight="1" thickBot="1">
      <c r="J254" s="272"/>
      <c r="K254" s="271"/>
      <c r="L254" s="272"/>
      <c r="M254" s="272"/>
      <c r="N254" s="272"/>
      <c r="O254" s="272"/>
      <c r="P254" s="272"/>
      <c r="Q254" s="272"/>
      <c r="R254" s="272"/>
      <c r="S254" s="272"/>
      <c r="T254" s="1621" t="s">
        <v>7802</v>
      </c>
      <c r="U254" s="1692">
        <f ca="1">RANDBETWEEN(1,5)</f>
        <v>4</v>
      </c>
      <c r="V254" s="272"/>
      <c r="W254" s="272"/>
      <c r="X254" s="272"/>
      <c r="Y254" s="272"/>
      <c r="Z254" s="272"/>
      <c r="AA254" s="272"/>
      <c r="AB254" s="272"/>
      <c r="AC254" s="272"/>
    </row>
    <row r="255" spans="10:29" ht="12" customHeight="1">
      <c r="J255" s="272"/>
      <c r="K255" s="271"/>
      <c r="L255" s="272"/>
      <c r="M255" s="272"/>
      <c r="N255" s="272"/>
      <c r="O255" s="272"/>
      <c r="P255" s="272"/>
      <c r="Q255" s="272"/>
      <c r="R255" s="272"/>
      <c r="S255" s="272"/>
      <c r="T255" s="272"/>
      <c r="U255" s="272"/>
      <c r="V255" s="272"/>
      <c r="W255" s="272"/>
      <c r="X255" s="272"/>
      <c r="Y255" s="272"/>
      <c r="Z255" s="272"/>
      <c r="AA255" s="272"/>
      <c r="AB255" s="272"/>
      <c r="AC255" s="272"/>
    </row>
    <row r="256" spans="10:29" ht="12" customHeight="1">
      <c r="J256" s="272"/>
      <c r="K256" s="271"/>
      <c r="L256" s="272"/>
      <c r="M256" s="272"/>
      <c r="N256" s="272"/>
      <c r="O256" s="272"/>
      <c r="P256" s="272"/>
      <c r="Q256" s="272"/>
      <c r="R256" s="272"/>
      <c r="S256" s="272"/>
      <c r="T256" s="272"/>
      <c r="U256" s="272"/>
      <c r="V256" s="272"/>
      <c r="W256" s="272"/>
      <c r="X256" s="272"/>
      <c r="Y256" s="272"/>
      <c r="Z256" s="272"/>
      <c r="AA256" s="272"/>
      <c r="AB256" s="272"/>
      <c r="AC256" s="272"/>
    </row>
    <row r="257" spans="10:29" ht="12" customHeight="1">
      <c r="J257" s="272"/>
      <c r="K257" s="271"/>
      <c r="L257" s="272"/>
      <c r="M257" s="272"/>
      <c r="N257" s="272"/>
      <c r="O257" s="272"/>
      <c r="P257" s="272"/>
      <c r="Q257" s="272"/>
      <c r="R257" s="272"/>
      <c r="S257" s="272"/>
      <c r="T257" s="272"/>
      <c r="U257" s="272"/>
      <c r="V257" s="272"/>
      <c r="W257" s="272"/>
      <c r="X257" s="272"/>
      <c r="Y257" s="272"/>
      <c r="Z257" s="272"/>
      <c r="AA257" s="272"/>
      <c r="AB257" s="272"/>
      <c r="AC257" s="272"/>
    </row>
    <row r="258" spans="10:29" ht="12" customHeight="1">
      <c r="J258" s="272"/>
      <c r="K258" s="271"/>
      <c r="L258" s="272"/>
      <c r="M258" s="272"/>
      <c r="N258" s="272"/>
      <c r="O258" s="272"/>
      <c r="P258" s="272"/>
      <c r="Q258" s="272"/>
      <c r="R258" s="272"/>
      <c r="S258" s="272"/>
      <c r="T258" s="272"/>
      <c r="U258" s="272"/>
      <c r="V258" s="272"/>
      <c r="W258" s="272"/>
      <c r="X258" s="272"/>
      <c r="Y258" s="272"/>
      <c r="Z258" s="272"/>
      <c r="AA258" s="272"/>
      <c r="AB258" s="272"/>
      <c r="AC258" s="272"/>
    </row>
    <row r="259" spans="10:29" ht="12" customHeight="1">
      <c r="J259" s="272"/>
      <c r="K259" s="271"/>
      <c r="L259" s="272"/>
      <c r="M259" s="272"/>
      <c r="N259" s="272"/>
      <c r="O259" s="272"/>
      <c r="P259" s="272"/>
      <c r="Q259" s="272"/>
      <c r="R259" s="272"/>
      <c r="S259" s="272"/>
      <c r="T259" s="272"/>
      <c r="U259" s="272"/>
      <c r="V259" s="272"/>
      <c r="W259" s="272"/>
      <c r="X259" s="272"/>
      <c r="Y259" s="272"/>
      <c r="Z259" s="272"/>
      <c r="AA259" s="272"/>
      <c r="AB259" s="272"/>
      <c r="AC259" s="272"/>
    </row>
    <row r="260" spans="10:29" ht="12" customHeight="1">
      <c r="J260" s="272"/>
      <c r="K260" s="271"/>
      <c r="L260" s="272"/>
      <c r="M260" s="272"/>
      <c r="N260" s="272"/>
      <c r="O260" s="272"/>
      <c r="P260" s="272"/>
      <c r="Q260" s="272"/>
      <c r="R260" s="272"/>
      <c r="S260" s="272"/>
      <c r="T260" s="272"/>
      <c r="U260" s="272"/>
      <c r="V260" s="272"/>
      <c r="W260" s="272"/>
      <c r="X260" s="272"/>
      <c r="Y260" s="272"/>
      <c r="Z260" s="272"/>
      <c r="AA260" s="272"/>
      <c r="AB260" s="272"/>
      <c r="AC260" s="272"/>
    </row>
    <row r="261" spans="10:29" ht="12" customHeight="1">
      <c r="J261" s="272"/>
      <c r="K261" s="271"/>
      <c r="L261" s="272"/>
      <c r="M261" s="272"/>
      <c r="N261" s="272"/>
      <c r="O261" s="272"/>
      <c r="P261" s="272"/>
      <c r="Q261" s="272"/>
      <c r="R261" s="272"/>
      <c r="S261" s="272"/>
      <c r="T261" s="272"/>
      <c r="U261" s="272"/>
      <c r="V261" s="272"/>
      <c r="W261" s="272"/>
      <c r="X261" s="272"/>
      <c r="Y261" s="272"/>
      <c r="Z261" s="272"/>
      <c r="AA261" s="272"/>
      <c r="AB261" s="272"/>
      <c r="AC261" s="272"/>
    </row>
    <row r="262" spans="10:29" ht="12" customHeight="1">
      <c r="J262" s="272"/>
      <c r="K262" s="271"/>
      <c r="L262" s="272"/>
      <c r="M262" s="272"/>
      <c r="N262" s="272"/>
      <c r="O262" s="272"/>
      <c r="P262" s="272"/>
      <c r="Q262" s="272"/>
      <c r="R262" s="272"/>
      <c r="S262" s="272"/>
      <c r="T262" s="272"/>
      <c r="U262" s="272"/>
      <c r="V262" s="272"/>
      <c r="W262" s="272"/>
      <c r="X262" s="272"/>
      <c r="Y262" s="272"/>
      <c r="Z262" s="272"/>
      <c r="AA262" s="272"/>
      <c r="AB262" s="272"/>
      <c r="AC262" s="272"/>
    </row>
    <row r="263" spans="10:29" ht="12" customHeight="1">
      <c r="J263" s="272"/>
      <c r="K263" s="271"/>
      <c r="L263" s="272"/>
      <c r="M263" s="272"/>
      <c r="N263" s="272"/>
      <c r="O263" s="272"/>
      <c r="P263" s="272"/>
      <c r="Q263" s="272"/>
      <c r="R263" s="272"/>
      <c r="S263" s="272"/>
      <c r="T263" s="272"/>
      <c r="U263" s="272"/>
      <c r="V263" s="272"/>
      <c r="W263" s="272"/>
      <c r="X263" s="272"/>
      <c r="Y263" s="272"/>
      <c r="Z263" s="272"/>
      <c r="AA263" s="272"/>
      <c r="AB263" s="272"/>
      <c r="AC263" s="272"/>
    </row>
    <row r="264" spans="10:29" ht="12" customHeight="1">
      <c r="J264" s="272"/>
      <c r="K264" s="271"/>
      <c r="L264" s="272"/>
      <c r="M264" s="272"/>
      <c r="N264" s="272"/>
      <c r="O264" s="272"/>
      <c r="P264" s="272"/>
      <c r="Q264" s="272"/>
      <c r="R264" s="272"/>
      <c r="S264" s="272"/>
      <c r="T264" s="272"/>
      <c r="U264" s="272"/>
      <c r="V264" s="272"/>
      <c r="W264" s="272"/>
      <c r="X264" s="272"/>
      <c r="Y264" s="272"/>
      <c r="Z264" s="272"/>
      <c r="AA264" s="272"/>
      <c r="AB264" s="272"/>
      <c r="AC264" s="272"/>
    </row>
    <row r="265" spans="10:29" ht="12" customHeight="1">
      <c r="J265" s="272"/>
      <c r="K265" s="271"/>
      <c r="L265" s="272"/>
      <c r="M265" s="272"/>
      <c r="N265" s="272"/>
      <c r="O265" s="272"/>
      <c r="P265" s="272"/>
      <c r="Q265" s="272"/>
      <c r="R265" s="272"/>
      <c r="S265" s="272"/>
      <c r="T265" s="272"/>
      <c r="U265" s="272"/>
      <c r="V265" s="272"/>
      <c r="W265" s="272"/>
      <c r="X265" s="272"/>
      <c r="Y265" s="272"/>
      <c r="Z265" s="272"/>
      <c r="AA265" s="272"/>
      <c r="AB265" s="272"/>
      <c r="AC265" s="272"/>
    </row>
    <row r="266" spans="10:29" ht="12" customHeight="1">
      <c r="J266" s="272"/>
      <c r="K266" s="271"/>
      <c r="L266" s="272"/>
      <c r="M266" s="272"/>
      <c r="N266" s="272"/>
      <c r="O266" s="272"/>
      <c r="P266" s="272"/>
      <c r="Q266" s="272"/>
      <c r="R266" s="272"/>
      <c r="S266" s="272"/>
      <c r="T266" s="272"/>
      <c r="U266" s="272"/>
      <c r="V266" s="272"/>
      <c r="W266" s="272"/>
      <c r="X266" s="272"/>
      <c r="Y266" s="272"/>
      <c r="Z266" s="272"/>
      <c r="AA266" s="272"/>
      <c r="AB266" s="272"/>
      <c r="AC266" s="272"/>
    </row>
    <row r="267" spans="10:29" ht="12" customHeight="1">
      <c r="J267" s="272"/>
      <c r="K267" s="271"/>
      <c r="L267" s="272"/>
      <c r="M267" s="272"/>
      <c r="N267" s="272"/>
      <c r="O267" s="272"/>
      <c r="P267" s="272"/>
      <c r="Q267" s="272"/>
      <c r="R267" s="272"/>
      <c r="S267" s="272"/>
      <c r="T267" s="272"/>
      <c r="U267" s="272"/>
      <c r="V267" s="272"/>
      <c r="W267" s="272"/>
      <c r="X267" s="272"/>
      <c r="Y267" s="272"/>
      <c r="Z267" s="272"/>
      <c r="AA267" s="272"/>
      <c r="AB267" s="272"/>
      <c r="AC267" s="272"/>
    </row>
    <row r="268" spans="10:29" ht="12" customHeight="1">
      <c r="J268" s="272"/>
      <c r="K268" s="271"/>
      <c r="L268" s="272"/>
      <c r="M268" s="272"/>
      <c r="N268" s="272"/>
      <c r="O268" s="272"/>
      <c r="P268" s="272"/>
      <c r="Q268" s="272"/>
      <c r="R268" s="272"/>
      <c r="S268" s="272"/>
      <c r="T268" s="272"/>
      <c r="U268" s="272"/>
      <c r="V268" s="272"/>
      <c r="W268" s="272"/>
      <c r="X268" s="272"/>
      <c r="Y268" s="272"/>
      <c r="Z268" s="272"/>
      <c r="AA268" s="272"/>
      <c r="AB268" s="272"/>
      <c r="AC268" s="272"/>
    </row>
    <row r="269" spans="10:29" ht="12" customHeight="1">
      <c r="J269" s="272"/>
      <c r="K269" s="271"/>
      <c r="L269" s="272"/>
      <c r="M269" s="272"/>
      <c r="N269" s="272"/>
      <c r="O269" s="272"/>
      <c r="P269" s="272"/>
      <c r="Q269" s="272"/>
      <c r="R269" s="272"/>
      <c r="S269" s="272"/>
      <c r="T269" s="272"/>
      <c r="U269" s="272"/>
      <c r="V269" s="272"/>
      <c r="W269" s="272"/>
      <c r="X269" s="272"/>
      <c r="Y269" s="272"/>
      <c r="Z269" s="272"/>
      <c r="AA269" s="272"/>
      <c r="AB269" s="272"/>
      <c r="AC269" s="272"/>
    </row>
    <row r="270" spans="10:29" ht="12" customHeight="1">
      <c r="J270" s="272"/>
      <c r="K270" s="271"/>
      <c r="L270" s="272"/>
      <c r="M270" s="272"/>
      <c r="N270" s="272"/>
      <c r="O270" s="272"/>
      <c r="P270" s="272"/>
      <c r="Q270" s="272"/>
      <c r="R270" s="272"/>
      <c r="S270" s="272"/>
      <c r="T270" s="272"/>
      <c r="U270" s="272"/>
      <c r="V270" s="272"/>
      <c r="W270" s="272"/>
      <c r="X270" s="272"/>
      <c r="Y270" s="272"/>
      <c r="Z270" s="272"/>
      <c r="AA270" s="272"/>
      <c r="AB270" s="272"/>
      <c r="AC270" s="272"/>
    </row>
    <row r="271" spans="10:29" ht="12" customHeight="1">
      <c r="J271" s="272"/>
      <c r="K271" s="271"/>
      <c r="L271" s="272"/>
      <c r="M271" s="272"/>
      <c r="N271" s="272"/>
      <c r="O271" s="272"/>
      <c r="P271" s="272"/>
      <c r="Q271" s="272"/>
      <c r="R271" s="272"/>
      <c r="S271" s="272"/>
      <c r="T271" s="272"/>
      <c r="U271" s="272"/>
      <c r="V271" s="272"/>
      <c r="W271" s="272"/>
      <c r="X271" s="272"/>
      <c r="Y271" s="272"/>
      <c r="Z271" s="272"/>
      <c r="AA271" s="272"/>
      <c r="AB271" s="272"/>
      <c r="AC271" s="272"/>
    </row>
    <row r="272" spans="10:29" ht="12" customHeight="1">
      <c r="J272" s="272"/>
      <c r="K272" s="271"/>
      <c r="L272" s="272"/>
      <c r="M272" s="272"/>
      <c r="N272" s="272"/>
      <c r="O272" s="272"/>
      <c r="P272" s="272"/>
      <c r="Q272" s="272"/>
      <c r="R272" s="272"/>
      <c r="S272" s="272"/>
      <c r="T272" s="272"/>
      <c r="U272" s="272"/>
      <c r="V272" s="272"/>
      <c r="W272" s="272"/>
      <c r="X272" s="272"/>
      <c r="Y272" s="272"/>
      <c r="Z272" s="272"/>
      <c r="AA272" s="272"/>
      <c r="AB272" s="272"/>
      <c r="AC272" s="272"/>
    </row>
    <row r="273" spans="10:29" ht="12" customHeight="1">
      <c r="J273" s="272"/>
      <c r="K273" s="271"/>
      <c r="L273" s="272"/>
      <c r="M273" s="272"/>
      <c r="N273" s="272"/>
      <c r="O273" s="272"/>
      <c r="P273" s="272"/>
      <c r="Q273" s="272"/>
      <c r="R273" s="272"/>
      <c r="S273" s="272"/>
      <c r="T273" s="272"/>
      <c r="U273" s="272"/>
      <c r="V273" s="272"/>
      <c r="W273" s="272"/>
      <c r="X273" s="272"/>
      <c r="Y273" s="272"/>
      <c r="Z273" s="272"/>
      <c r="AA273" s="272"/>
      <c r="AB273" s="272"/>
      <c r="AC273" s="272"/>
    </row>
    <row r="274" spans="10:29" ht="12" customHeight="1">
      <c r="J274" s="272"/>
      <c r="K274" s="271"/>
      <c r="L274" s="272"/>
      <c r="M274" s="272"/>
      <c r="N274" s="272"/>
      <c r="O274" s="272"/>
      <c r="P274" s="272"/>
      <c r="Q274" s="272"/>
      <c r="R274" s="272"/>
      <c r="S274" s="272"/>
      <c r="T274" s="272"/>
      <c r="U274" s="272"/>
      <c r="V274" s="272"/>
      <c r="W274" s="272"/>
      <c r="X274" s="272"/>
      <c r="Y274" s="272"/>
      <c r="Z274" s="272"/>
      <c r="AA274" s="272"/>
      <c r="AB274" s="272"/>
      <c r="AC274" s="272"/>
    </row>
    <row r="275" spans="10:29" ht="12" customHeight="1">
      <c r="J275" s="272"/>
      <c r="K275" s="271"/>
      <c r="L275" s="272"/>
      <c r="M275" s="272"/>
      <c r="N275" s="272"/>
      <c r="O275" s="272"/>
      <c r="P275" s="272"/>
      <c r="Q275" s="272"/>
      <c r="R275" s="272"/>
      <c r="S275" s="272"/>
      <c r="T275" s="272"/>
      <c r="U275" s="272"/>
      <c r="V275" s="272"/>
      <c r="W275" s="272"/>
      <c r="X275" s="272"/>
      <c r="Y275" s="272"/>
      <c r="Z275" s="272"/>
      <c r="AA275" s="272"/>
      <c r="AB275" s="272"/>
      <c r="AC275" s="272"/>
    </row>
    <row r="276" spans="10:29" ht="12" customHeight="1">
      <c r="J276" s="272"/>
      <c r="K276" s="271"/>
      <c r="L276" s="272"/>
      <c r="M276" s="272"/>
      <c r="N276" s="272"/>
      <c r="O276" s="272"/>
      <c r="P276" s="272"/>
      <c r="Q276" s="272"/>
      <c r="R276" s="272"/>
      <c r="S276" s="272"/>
      <c r="T276" s="272"/>
      <c r="U276" s="272"/>
      <c r="V276" s="272"/>
      <c r="W276" s="272"/>
      <c r="X276" s="272"/>
      <c r="Y276" s="272"/>
      <c r="Z276" s="272"/>
      <c r="AA276" s="272"/>
      <c r="AB276" s="272"/>
      <c r="AC276" s="272"/>
    </row>
  </sheetData>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6E6FC-D634-482E-9EEC-C376802DC924}">
  <sheetPr codeName="Аркуш16">
    <tabColor rgb="FF92D050"/>
  </sheetPr>
  <dimension ref="B1:U104"/>
  <sheetViews>
    <sheetView showGridLines="0" workbookViewId="0">
      <selection activeCell="C159" sqref="B159:C159"/>
    </sheetView>
  </sheetViews>
  <sheetFormatPr defaultColWidth="6.88671875" defaultRowHeight="10.5"/>
  <cols>
    <col min="1" max="1" width="2.33203125" style="272" customWidth="1"/>
    <col min="2" max="2" width="6.88671875" style="272"/>
    <col min="3" max="3" width="17.44140625" style="272" customWidth="1"/>
    <col min="4" max="5" width="6.88671875" style="272"/>
    <col min="6" max="6" width="11.5546875" style="272" customWidth="1"/>
    <col min="7" max="11" width="6.88671875" style="272"/>
    <col min="12" max="12" width="9.21875" style="272" bestFit="1" customWidth="1"/>
    <col min="13" max="15" width="6.88671875" style="272"/>
    <col min="16" max="18" width="6" style="272" customWidth="1"/>
    <col min="19" max="19" width="11.44140625" style="272" bestFit="1" customWidth="1"/>
    <col min="20" max="16384" width="6.88671875" style="272"/>
  </cols>
  <sheetData>
    <row r="1" spans="2:21" ht="11.25" thickBot="1"/>
    <row r="2" spans="2:21" ht="15" thickBot="1">
      <c r="E2" s="3298" t="s">
        <v>7709</v>
      </c>
      <c r="F2" s="3299"/>
      <c r="G2" s="3299"/>
      <c r="H2" s="3299"/>
      <c r="I2" s="3299"/>
      <c r="J2" s="3299"/>
      <c r="K2" s="3299"/>
      <c r="L2" s="3299"/>
      <c r="M2" s="3299"/>
      <c r="N2" s="3299"/>
      <c r="O2" s="3300"/>
      <c r="P2" s="3242" t="s">
        <v>7710</v>
      </c>
      <c r="Q2" s="3270"/>
      <c r="R2" s="3271"/>
      <c r="S2" s="1581">
        <f>[1]MATH!$C$46</f>
        <v>3</v>
      </c>
      <c r="T2" s="3301" t="s">
        <v>6598</v>
      </c>
      <c r="U2" s="3271"/>
    </row>
    <row r="3" spans="2:21" s="933" customFormat="1" ht="15" thickBot="1">
      <c r="B3" s="1582" t="s">
        <v>7711</v>
      </c>
      <c r="C3" s="1583"/>
      <c r="E3" s="3242" t="s">
        <v>7712</v>
      </c>
      <c r="F3" s="3271"/>
      <c r="G3" s="1581" t="s">
        <v>5796</v>
      </c>
      <c r="H3" s="3302" t="s">
        <v>7713</v>
      </c>
      <c r="I3" s="3303"/>
      <c r="J3" s="3304"/>
      <c r="K3" s="1581" t="s">
        <v>7714</v>
      </c>
      <c r="L3" s="1581" t="s">
        <v>7715</v>
      </c>
      <c r="M3" s="1581" t="s">
        <v>5789</v>
      </c>
      <c r="N3" s="1581" t="s">
        <v>5788</v>
      </c>
      <c r="O3" s="1581" t="s">
        <v>7716</v>
      </c>
      <c r="P3" s="1581" t="s">
        <v>5789</v>
      </c>
      <c r="Q3" s="1581" t="s">
        <v>5788</v>
      </c>
      <c r="R3" s="1581" t="s">
        <v>7714</v>
      </c>
      <c r="S3" s="1581" t="s">
        <v>7715</v>
      </c>
      <c r="T3" s="1584">
        <f ca="1">IF([1]USER!AL14=0,RANDBETWEEN(1,17),[1]USER!AL14)</f>
        <v>6</v>
      </c>
      <c r="U3" s="1585" t="s">
        <v>6031</v>
      </c>
    </row>
    <row r="4" spans="2:21" ht="11.25" thickBot="1">
      <c r="B4" s="1586">
        <f>COUNT($B$5:$B$104)-COUNTBLANK($C$5:$C$104)</f>
        <v>42</v>
      </c>
      <c r="C4" s="1587" t="str">
        <f ca="1">VLOOKUP(RANDBETWEEN(1,B4),B5:C104,2)</f>
        <v>Resilient</v>
      </c>
      <c r="E4" s="1588" t="str">
        <f>IF(AND([1]MATH!C8=10,[1]MATH!D5&gt;=3),T3,IF(AND([1]MATH!C8=12,[1]MATH!D5&gt;3),T4,""))</f>
        <v/>
      </c>
      <c r="F4" s="1589" t="str">
        <f>IF(AND([1]MATH!$C$8=12,[1]MATH!$C$10=1,[1]MATH!$C$5&gt;=3),VLOOKUP($E$4,$E$5:$S$25,2,0),IF(AND([1]MATH!$C$5&gt;=3,[1]MATH!$C$8=10,[1]MATH!$C$9=2),VLOOKUP($E$4,$E$5:$S$21,2,0),""))</f>
        <v/>
      </c>
      <c r="G4" s="1590" t="str">
        <f>IF(AND([1]MATH!$C$8=12,[1]MATH!$C$10=1,[1]MATH!$C$5&gt;=3),VLOOKUP($E$4,$E$5:$S$25,3,0),IF(AND([1]MATH!$C$5&gt;=3,[1]MATH!$C$8=10,[1]MATH!$C$9=2),VLOOKUP($E$4,$E$5:$S$21,3,0),""))</f>
        <v/>
      </c>
      <c r="H4" s="3295" t="str">
        <f>IF(AND([1]MATH!$C$8=12,[1]MATH!$C$10=1,[1]MATH!$C$5&gt;=3),VLOOKUP($E$4,$E$5:$S$25,4,0),IF(AND([1]MATH!$C$5&gt;=3,[1]MATH!$C$8=10,[1]MATH!$C$9=2),VLOOKUP($E$4,$E$5:$S$21,4,0),""))</f>
        <v/>
      </c>
      <c r="I4" s="3296"/>
      <c r="J4" s="3297"/>
      <c r="K4" s="1244" t="str">
        <f>IF(AND([1]MATH!$C$8=12,[1]MATH!$C$10=1,[1]MATH!$C$5&gt;=3),VLOOKUP($E$4,$E$5:$S$25,7,0),IF(AND([1]MATH!$C$5&gt;=3,[1]MATH!$C$8=10,[1]MATH!$C$9=2),VLOOKUP($E$4,$E$5:$S$21,7,0),""))</f>
        <v/>
      </c>
      <c r="L4" s="1244" t="str">
        <f>IF(AND([1]MATH!$C$8=12,[1]MATH!$C$10=1,[1]MATH!$C$5&gt;=3),VLOOKUP($E$4,$E$5:$S$25,8,0),IF(AND([1]MATH!$C$5&gt;=3,[1]MATH!$C$8=10,[1]MATH!$C$9=2),VLOOKUP($E$4,$E$5:$S$21,8,0),""))</f>
        <v/>
      </c>
      <c r="M4" s="1244" t="str">
        <f>IF(AND([1]MATH!$C$8=12,[1]MATH!$C$10=1,[1]MATH!$C$5&gt;=3),VLOOKUP($E$4,$E$5:$S$25,9,0),IF(AND([1]MATH!$C$5&gt;=3,[1]MATH!$C$8=10,[1]MATH!$C$9=2),VLOOKUP($E$4,$E$5:$S$21,9,0),""))</f>
        <v/>
      </c>
      <c r="N4" s="1244" t="str">
        <f>IF(AND([1]MATH!$C$8=12,[1]MATH!$C$10=1,[1]MATH!$C$5&gt;=3),VLOOKUP($E$4,$E$5:$S$25,10,0),IF(AND([1]MATH!$C$5&gt;=3,[1]MATH!$C$8=10,[1]MATH!$C$9=2),VLOOKUP($E$4,$E$5:$S$21,10,0),""))</f>
        <v/>
      </c>
      <c r="O4" s="1591" t="str">
        <f>IF(AND([1]MATH!$C$8=12,[1]MATH!$C$10=1,[1]MATH!$C$5&gt;=3),VLOOKUP($E$4,$E$5:$S$25,11,0),IF(AND([1]MATH!$C$5&gt;=3,[1]MATH!$C$8=10,[1]MATH!$C$9=2),VLOOKUP($E$4,$E$5:$S$21,11,0),""))</f>
        <v/>
      </c>
      <c r="P4" s="1591" t="str">
        <f>IF(AND([1]MATH!$C$8=12,[1]MATH!$C$10=1,[1]MATH!$C$5&gt;=3),VLOOKUP($E$4,$E$5:$S$25,12,0),IF(AND([1]MATH!$C$5&gt;=3,[1]MATH!$C$8=10,[1]MATH!$C$9=2),VLOOKUP($E$4,$E$5:$S$21,12,0),""))</f>
        <v/>
      </c>
      <c r="Q4" s="1591" t="str">
        <f>IF(AND([1]MATH!$C$8=12,[1]MATH!$C$10=1,[1]MATH!$C$5&gt;=3),VLOOKUP($E$4,$E$5:$S$25,13,0),IF(AND([1]MATH!$C$5&gt;=3,[1]MATH!$C$8=10,[1]MATH!$C$9=2),VLOOKUP($E$4,$E$5:$S$21,13,0),""))</f>
        <v/>
      </c>
      <c r="R4" s="1591" t="str">
        <f>IF(AND([1]MATH!$C$8=12,[1]MATH!$C$10=1,[1]MATH!$C$5&gt;=3),VLOOKUP($E$4,$E$5:$S$25,14,0),IF(AND([1]MATH!$C$5&gt;=3,[1]MATH!$C$8=10,[1]MATH!$C$9=2),VLOOKUP($E$4,$E$5:$S$21,14,0),""))</f>
        <v/>
      </c>
      <c r="S4" s="1591" t="str">
        <f>IF(AND([1]MATH!$C$8=12,[1]MATH!$C$10=1,[1]MATH!$C$5&gt;=3),VLOOKUP($E$4,$E$5:$S$25,15,0),IF(AND([1]MATH!$C$5&gt;=3,[1]MATH!$C$8=10,[1]MATH!$C$9=2),VLOOKUP($E$4,$E$5:$S$21,15,0),""))</f>
        <v/>
      </c>
      <c r="T4" s="1592">
        <f ca="1">IF([1]USER!AL13=0,RANDBETWEEN(18,21),[1]USER!AL13)</f>
        <v>20</v>
      </c>
      <c r="U4" s="1020" t="s">
        <v>6034</v>
      </c>
    </row>
    <row r="5" spans="2:21" ht="14.25">
      <c r="B5" s="572">
        <v>1</v>
      </c>
      <c r="C5" s="576" t="s">
        <v>7717</v>
      </c>
      <c r="E5" s="587">
        <v>1</v>
      </c>
      <c r="F5" s="330" t="s">
        <v>5344</v>
      </c>
      <c r="G5" s="1593" t="s">
        <v>6009</v>
      </c>
      <c r="H5" s="3293" t="s">
        <v>7718</v>
      </c>
      <c r="I5" s="3294"/>
      <c r="J5" s="3294"/>
      <c r="K5" s="1132">
        <v>0</v>
      </c>
      <c r="L5" s="1132">
        <v>1</v>
      </c>
      <c r="M5" s="1132">
        <v>12</v>
      </c>
      <c r="N5" s="1132">
        <f ca="1">RANDBETWEEN(2,4)-1</f>
        <v>1</v>
      </c>
      <c r="O5" s="1132" t="s">
        <v>7719</v>
      </c>
      <c r="P5" s="1594">
        <f>M5+$S$2</f>
        <v>15</v>
      </c>
      <c r="Q5" s="1132">
        <f ca="1">N5+$S$2</f>
        <v>4</v>
      </c>
      <c r="R5" s="1132" t="str">
        <f>CONCATENATE(K5," (+",$S$2,")")</f>
        <v>0 (+3)</v>
      </c>
      <c r="S5" s="1595">
        <f>L5+$S$2</f>
        <v>4</v>
      </c>
    </row>
    <row r="6" spans="2:21" ht="14.25">
      <c r="B6" s="578">
        <v>2</v>
      </c>
      <c r="C6" s="355" t="s">
        <v>7720</v>
      </c>
      <c r="E6" s="578">
        <v>2</v>
      </c>
      <c r="F6" s="354" t="s">
        <v>5261</v>
      </c>
      <c r="G6" s="1596">
        <v>0.25</v>
      </c>
      <c r="H6" s="3289" t="s">
        <v>7721</v>
      </c>
      <c r="I6" s="3290"/>
      <c r="J6" s="3290"/>
      <c r="K6" s="1137">
        <v>3</v>
      </c>
      <c r="L6" s="1137" t="s">
        <v>7722</v>
      </c>
      <c r="M6" s="1137">
        <v>11</v>
      </c>
      <c r="N6" s="1137">
        <f ca="1">RANDBETWEEN(2,16)+2</f>
        <v>15</v>
      </c>
      <c r="O6" s="1137" t="s">
        <v>7723</v>
      </c>
      <c r="P6" s="1137">
        <f>M6+$S$2</f>
        <v>14</v>
      </c>
      <c r="Q6" s="1137">
        <f ca="1">N6+$S$2</f>
        <v>18</v>
      </c>
      <c r="R6" s="1137" t="str">
        <f t="shared" ref="R6:S21" si="0">CONCATENATE(K6," (+",$S$2,")")</f>
        <v>3 (+3)</v>
      </c>
      <c r="S6" s="1286" t="str">
        <f>CONCATENATE("1d6+1"," (+",$S$2,")")</f>
        <v>1d6+1 (+3)</v>
      </c>
    </row>
    <row r="7" spans="2:21" ht="14.25">
      <c r="B7" s="578">
        <v>3</v>
      </c>
      <c r="C7" s="355" t="s">
        <v>7724</v>
      </c>
      <c r="E7" s="578">
        <v>3</v>
      </c>
      <c r="F7" s="354" t="s">
        <v>5204</v>
      </c>
      <c r="G7" s="1597" t="s">
        <v>6009</v>
      </c>
      <c r="H7" s="3289" t="s">
        <v>7725</v>
      </c>
      <c r="I7" s="3290"/>
      <c r="J7" s="3290"/>
      <c r="K7" s="1137">
        <v>0</v>
      </c>
      <c r="L7" s="1137">
        <v>1</v>
      </c>
      <c r="M7" s="1598">
        <v>12</v>
      </c>
      <c r="N7" s="1598">
        <f ca="1">RANDBETWEEN(1,4)</f>
        <v>2</v>
      </c>
      <c r="O7" s="1598" t="s">
        <v>7723</v>
      </c>
      <c r="P7" s="1137">
        <f t="shared" ref="P7:Q22" si="1">M7+$S$2</f>
        <v>15</v>
      </c>
      <c r="Q7" s="1137">
        <f ca="1">N7+$S$2</f>
        <v>5</v>
      </c>
      <c r="R7" s="1137" t="str">
        <f t="shared" si="0"/>
        <v>0 (+3)</v>
      </c>
      <c r="S7" s="1286">
        <f t="shared" ref="S7:S20" si="2">L7+$S$2</f>
        <v>4</v>
      </c>
    </row>
    <row r="8" spans="2:21" ht="14.25">
      <c r="B8" s="578">
        <v>4</v>
      </c>
      <c r="C8" s="355" t="s">
        <v>2971</v>
      </c>
      <c r="E8" s="578">
        <v>4</v>
      </c>
      <c r="F8" s="354" t="s">
        <v>5105</v>
      </c>
      <c r="G8" s="1599">
        <v>0.25</v>
      </c>
      <c r="H8" s="3289" t="s">
        <v>7726</v>
      </c>
      <c r="I8" s="3290"/>
      <c r="J8" s="3290"/>
      <c r="K8" s="1137">
        <v>4</v>
      </c>
      <c r="L8" s="1137" t="s">
        <v>7727</v>
      </c>
      <c r="M8" s="1600">
        <v>12</v>
      </c>
      <c r="N8" s="1600">
        <f ca="1">RANDBETWEEN(2,20)+2</f>
        <v>4</v>
      </c>
      <c r="O8" s="1600" t="s">
        <v>7728</v>
      </c>
      <c r="P8" s="1137">
        <f t="shared" si="1"/>
        <v>15</v>
      </c>
      <c r="Q8" s="1137">
        <f ca="1">N8+$S$2</f>
        <v>7</v>
      </c>
      <c r="R8" s="1137" t="str">
        <f t="shared" si="0"/>
        <v>4 (+3)</v>
      </c>
      <c r="S8" s="1286" t="str">
        <f>CONCATENATE(L8," (+",$S$2,")")</f>
        <v>1d6+2 (+3)</v>
      </c>
    </row>
    <row r="9" spans="2:21" ht="14.25">
      <c r="B9" s="578">
        <v>5</v>
      </c>
      <c r="C9" s="355" t="s">
        <v>7729</v>
      </c>
      <c r="E9" s="578">
        <v>5</v>
      </c>
      <c r="F9" s="354" t="s">
        <v>4730</v>
      </c>
      <c r="G9" s="1596" t="s">
        <v>6009</v>
      </c>
      <c r="H9" s="3289" t="s">
        <v>7730</v>
      </c>
      <c r="I9" s="3290"/>
      <c r="J9" s="3290"/>
      <c r="K9" s="1137">
        <v>0</v>
      </c>
      <c r="L9" s="1137">
        <v>0</v>
      </c>
      <c r="M9" s="1137">
        <v>11</v>
      </c>
      <c r="N9" s="1137">
        <f ca="1">RANDBETWEEN(2,4)-1</f>
        <v>3</v>
      </c>
      <c r="O9" s="1137" t="s">
        <v>7731</v>
      </c>
      <c r="P9" s="1137">
        <f t="shared" si="1"/>
        <v>14</v>
      </c>
      <c r="Q9" s="1137">
        <f ca="1">N9+$S$2</f>
        <v>6</v>
      </c>
      <c r="R9" s="1137" t="str">
        <f t="shared" si="0"/>
        <v>0 (+3)</v>
      </c>
      <c r="S9" s="1286">
        <f t="shared" si="2"/>
        <v>3</v>
      </c>
    </row>
    <row r="10" spans="2:21" ht="14.25">
      <c r="B10" s="578">
        <v>6</v>
      </c>
      <c r="C10" s="355" t="s">
        <v>7732</v>
      </c>
      <c r="E10" s="578">
        <v>6</v>
      </c>
      <c r="F10" s="354" t="s">
        <v>4296</v>
      </c>
      <c r="G10" s="1597" t="s">
        <v>6009</v>
      </c>
      <c r="H10" s="3289" t="s">
        <v>7733</v>
      </c>
      <c r="I10" s="3290"/>
      <c r="J10" s="3290"/>
      <c r="K10" s="1137">
        <v>5</v>
      </c>
      <c r="L10" s="1137">
        <v>1</v>
      </c>
      <c r="M10" s="1598">
        <v>13</v>
      </c>
      <c r="N10" s="1137">
        <f ca="1">RANDBETWEEN(2,4)-1</f>
        <v>2</v>
      </c>
      <c r="O10" s="1137" t="s">
        <v>7734</v>
      </c>
      <c r="P10" s="1137">
        <f t="shared" si="1"/>
        <v>16</v>
      </c>
      <c r="Q10" s="1137">
        <f t="shared" ca="1" si="1"/>
        <v>5</v>
      </c>
      <c r="R10" s="1137" t="str">
        <f t="shared" si="0"/>
        <v>5 (+3)</v>
      </c>
      <c r="S10" s="1286">
        <f t="shared" si="2"/>
        <v>4</v>
      </c>
    </row>
    <row r="11" spans="2:21" ht="14.25">
      <c r="B11" s="578">
        <v>7</v>
      </c>
      <c r="C11" s="355" t="s">
        <v>7735</v>
      </c>
      <c r="E11" s="578">
        <v>7</v>
      </c>
      <c r="F11" s="354" t="s">
        <v>7736</v>
      </c>
      <c r="G11" s="1596">
        <v>0.125</v>
      </c>
      <c r="H11" s="3289" t="s">
        <v>7737</v>
      </c>
      <c r="I11" s="3290"/>
      <c r="J11" s="3290"/>
      <c r="K11" s="1137">
        <v>3</v>
      </c>
      <c r="L11" s="1137" t="s">
        <v>7722</v>
      </c>
      <c r="M11" s="1137">
        <v>12</v>
      </c>
      <c r="N11" s="1137">
        <f ca="1">RANDBETWEEN(1,8)+1</f>
        <v>3</v>
      </c>
      <c r="O11" s="1137" t="s">
        <v>7723</v>
      </c>
      <c r="P11" s="1137">
        <f t="shared" si="1"/>
        <v>15</v>
      </c>
      <c r="Q11" s="1137">
        <f t="shared" ca="1" si="1"/>
        <v>6</v>
      </c>
      <c r="R11" s="1137" t="str">
        <f t="shared" si="0"/>
        <v>3 (+3)</v>
      </c>
      <c r="S11" s="1286" t="str">
        <f>CONCATENATE(L11," (+",$S$2,")")</f>
        <v>1d6+1 (+3)</v>
      </c>
    </row>
    <row r="12" spans="2:21" ht="14.25">
      <c r="B12" s="578">
        <v>8</v>
      </c>
      <c r="C12" s="355" t="s">
        <v>7738</v>
      </c>
      <c r="E12" s="578">
        <v>8</v>
      </c>
      <c r="F12" s="354" t="s">
        <v>3862</v>
      </c>
      <c r="G12" s="1596">
        <v>0.125</v>
      </c>
      <c r="H12" s="3289" t="s">
        <v>7739</v>
      </c>
      <c r="I12" s="3290"/>
      <c r="J12" s="3290"/>
      <c r="K12" s="1137">
        <v>2</v>
      </c>
      <c r="L12" s="1137" t="s">
        <v>7740</v>
      </c>
      <c r="M12" s="1137">
        <v>10</v>
      </c>
      <c r="N12" s="1137">
        <f ca="1">RANDBETWEEN(2,16)+2</f>
        <v>13</v>
      </c>
      <c r="O12" s="1137" t="s">
        <v>7723</v>
      </c>
      <c r="P12" s="1137">
        <f t="shared" si="1"/>
        <v>13</v>
      </c>
      <c r="Q12" s="1137">
        <f t="shared" ca="1" si="1"/>
        <v>16</v>
      </c>
      <c r="R12" s="1137" t="str">
        <f t="shared" si="0"/>
        <v>2 (+3)</v>
      </c>
      <c r="S12" s="1286" t="str">
        <f>CONCATENATE(L12," (+",$S$2,")")</f>
        <v>1d4+2 (+3)</v>
      </c>
    </row>
    <row r="13" spans="2:21" ht="14.25">
      <c r="B13" s="578">
        <v>9</v>
      </c>
      <c r="C13" s="355" t="s">
        <v>7741</v>
      </c>
      <c r="E13" s="578">
        <v>9</v>
      </c>
      <c r="F13" s="354" t="s">
        <v>3702</v>
      </c>
      <c r="G13" s="352" t="s">
        <v>6009</v>
      </c>
      <c r="H13" s="3289" t="s">
        <v>7742</v>
      </c>
      <c r="I13" s="3290"/>
      <c r="J13" s="3290"/>
      <c r="K13" s="1137">
        <v>3</v>
      </c>
      <c r="L13" s="1137">
        <v>1</v>
      </c>
      <c r="M13" s="909">
        <v>11</v>
      </c>
      <c r="N13" s="909">
        <f ca="1">RANDBETWEEN(2,4)-1</f>
        <v>2</v>
      </c>
      <c r="O13" s="909" t="s">
        <v>7734</v>
      </c>
      <c r="P13" s="1137">
        <f t="shared" si="1"/>
        <v>14</v>
      </c>
      <c r="Q13" s="1137">
        <f t="shared" ca="1" si="1"/>
        <v>5</v>
      </c>
      <c r="R13" s="1137" t="str">
        <f t="shared" si="0"/>
        <v>3 (+3)</v>
      </c>
      <c r="S13" s="1286">
        <f t="shared" si="2"/>
        <v>4</v>
      </c>
    </row>
    <row r="14" spans="2:21" ht="14.25">
      <c r="B14" s="578">
        <v>10</v>
      </c>
      <c r="C14" s="355" t="s">
        <v>7743</v>
      </c>
      <c r="E14" s="578">
        <v>10</v>
      </c>
      <c r="F14" s="354" t="s">
        <v>3687</v>
      </c>
      <c r="G14" s="1596">
        <v>0.25</v>
      </c>
      <c r="H14" s="3289" t="s">
        <v>7744</v>
      </c>
      <c r="I14" s="3290"/>
      <c r="J14" s="3290"/>
      <c r="K14" s="1601" t="s">
        <v>7745</v>
      </c>
      <c r="L14" s="1137" t="s">
        <v>7746</v>
      </c>
      <c r="M14" s="1137">
        <v>12</v>
      </c>
      <c r="N14" s="1137">
        <f ca="1">RANDBETWEEN(3,24)</f>
        <v>22</v>
      </c>
      <c r="O14" s="1137" t="s">
        <v>7747</v>
      </c>
      <c r="P14" s="1137">
        <f t="shared" si="1"/>
        <v>15</v>
      </c>
      <c r="Q14" s="1137">
        <f t="shared" ca="1" si="1"/>
        <v>25</v>
      </c>
      <c r="R14" s="1137" t="str">
        <f t="shared" si="0"/>
        <v>4/4 (+3)</v>
      </c>
      <c r="S14" s="1286" t="str">
        <f>CONCATENATE(L14," (+",$S$2,")")</f>
        <v>1d6+2/1d4+2 (+3)</v>
      </c>
    </row>
    <row r="15" spans="2:21" ht="14.25">
      <c r="B15" s="578">
        <v>11</v>
      </c>
      <c r="C15" s="355" t="s">
        <v>3897</v>
      </c>
      <c r="E15" s="578">
        <v>11</v>
      </c>
      <c r="F15" s="354" t="s">
        <v>3631</v>
      </c>
      <c r="G15" s="1596">
        <v>0.125</v>
      </c>
      <c r="H15" s="3289" t="s">
        <v>7748</v>
      </c>
      <c r="I15" s="3290"/>
      <c r="J15" s="3290"/>
      <c r="K15" s="1137">
        <v>5</v>
      </c>
      <c r="L15" s="1137" t="s">
        <v>7749</v>
      </c>
      <c r="M15" s="1137">
        <v>13</v>
      </c>
      <c r="N15" s="1137">
        <f ca="1">RANDBETWEEN(1,4)</f>
        <v>4</v>
      </c>
      <c r="O15" s="1137" t="s">
        <v>7728</v>
      </c>
      <c r="P15" s="1137">
        <f t="shared" si="1"/>
        <v>16</v>
      </c>
      <c r="Q15" s="1137">
        <f t="shared" ca="1" si="1"/>
        <v>7</v>
      </c>
      <c r="R15" s="1137" t="str">
        <f t="shared" si="0"/>
        <v>5 (+3)</v>
      </c>
      <c r="S15" s="1286" t="str">
        <f t="shared" si="0"/>
        <v>1 &amp; 2d4 Poison (+3)</v>
      </c>
    </row>
    <row r="16" spans="2:21" ht="14.25">
      <c r="B16" s="578">
        <v>12</v>
      </c>
      <c r="C16" s="355" t="s">
        <v>7750</v>
      </c>
      <c r="E16" s="578">
        <v>12</v>
      </c>
      <c r="F16" s="354" t="s">
        <v>3603</v>
      </c>
      <c r="G16" s="1596">
        <v>0.25</v>
      </c>
      <c r="H16" s="3289" t="s">
        <v>7751</v>
      </c>
      <c r="I16" s="3290"/>
      <c r="J16" s="3290"/>
      <c r="K16" s="1601" t="s">
        <v>7745</v>
      </c>
      <c r="L16" s="1137" t="s">
        <v>7752</v>
      </c>
      <c r="M16" s="1137">
        <v>13</v>
      </c>
      <c r="N16" s="1137">
        <f ca="1">RANDBETWEEN(2,8)+2</f>
        <v>5</v>
      </c>
      <c r="O16" s="1137" t="s">
        <v>7734</v>
      </c>
      <c r="P16" s="1137">
        <f t="shared" si="1"/>
        <v>16</v>
      </c>
      <c r="Q16" s="1137">
        <f t="shared" ca="1" si="1"/>
        <v>8</v>
      </c>
      <c r="R16" s="1137" t="str">
        <f t="shared" si="0"/>
        <v>4/4 (+3)</v>
      </c>
      <c r="S16" s="1286" t="str">
        <f t="shared" si="0"/>
        <v>1d4+2/1d4+2 (P) (+3)</v>
      </c>
    </row>
    <row r="17" spans="2:20" ht="14.25">
      <c r="B17" s="578">
        <v>13</v>
      </c>
      <c r="C17" s="355" t="s">
        <v>7753</v>
      </c>
      <c r="E17" s="578">
        <v>13</v>
      </c>
      <c r="F17" s="354" t="s">
        <v>3535</v>
      </c>
      <c r="G17" s="1596" t="s">
        <v>6009</v>
      </c>
      <c r="H17" s="3289" t="s">
        <v>7754</v>
      </c>
      <c r="I17" s="3290"/>
      <c r="J17" s="3290"/>
      <c r="K17" s="1137">
        <v>0</v>
      </c>
      <c r="L17" s="1137">
        <v>1</v>
      </c>
      <c r="M17" s="1137">
        <v>10</v>
      </c>
      <c r="N17" s="1137">
        <f ca="1">RANDBETWEEN(2,4)-1</f>
        <v>1</v>
      </c>
      <c r="O17" s="1137" t="s">
        <v>7755</v>
      </c>
      <c r="P17" s="1137">
        <f t="shared" si="1"/>
        <v>13</v>
      </c>
      <c r="Q17" s="1137">
        <f t="shared" ca="1" si="1"/>
        <v>4</v>
      </c>
      <c r="R17" s="1137" t="str">
        <f t="shared" si="0"/>
        <v>0 (+3)</v>
      </c>
      <c r="S17" s="1286">
        <f t="shared" si="2"/>
        <v>4</v>
      </c>
    </row>
    <row r="18" spans="2:20" ht="14.25">
      <c r="B18" s="578">
        <v>14</v>
      </c>
      <c r="C18" s="355" t="s">
        <v>7756</v>
      </c>
      <c r="E18" s="578">
        <v>14</v>
      </c>
      <c r="F18" s="354" t="s">
        <v>3530</v>
      </c>
      <c r="G18" s="1596" t="s">
        <v>6009</v>
      </c>
      <c r="H18" s="3289" t="s">
        <v>3527</v>
      </c>
      <c r="I18" s="3290"/>
      <c r="J18" s="3290"/>
      <c r="K18" s="1137">
        <v>4</v>
      </c>
      <c r="L18" s="1137">
        <v>1</v>
      </c>
      <c r="M18" s="1137">
        <v>12</v>
      </c>
      <c r="N18" s="1137">
        <f ca="1">RANDBETWEEN(2,4)-1</f>
        <v>1</v>
      </c>
      <c r="O18" s="1137" t="s">
        <v>7747</v>
      </c>
      <c r="P18" s="1137">
        <f t="shared" si="1"/>
        <v>15</v>
      </c>
      <c r="Q18" s="1137">
        <f t="shared" ca="1" si="1"/>
        <v>4</v>
      </c>
      <c r="R18" s="1137" t="str">
        <f t="shared" si="0"/>
        <v>4 (+3)</v>
      </c>
      <c r="S18" s="1286">
        <f t="shared" si="2"/>
        <v>4</v>
      </c>
    </row>
    <row r="19" spans="2:20" ht="14.25">
      <c r="B19" s="578">
        <v>15</v>
      </c>
      <c r="C19" s="355" t="s">
        <v>7757</v>
      </c>
      <c r="E19" s="578">
        <v>15</v>
      </c>
      <c r="F19" s="354" t="s">
        <v>3496</v>
      </c>
      <c r="G19" s="1596">
        <v>0.25</v>
      </c>
      <c r="H19" s="3289" t="s">
        <v>2462</v>
      </c>
      <c r="I19" s="3290"/>
      <c r="J19" s="3290"/>
      <c r="K19" s="1137">
        <v>2</v>
      </c>
      <c r="L19" s="1137" t="s">
        <v>7758</v>
      </c>
      <c r="M19" s="1137">
        <v>10</v>
      </c>
      <c r="N19" s="1137">
        <f ca="1">RANDBETWEEN(2,20)+2</f>
        <v>9</v>
      </c>
      <c r="O19" s="1137" t="s">
        <v>7759</v>
      </c>
      <c r="P19" s="1137">
        <f t="shared" si="1"/>
        <v>13</v>
      </c>
      <c r="Q19" s="1137">
        <f t="shared" ca="1" si="1"/>
        <v>12</v>
      </c>
      <c r="R19" s="1137" t="str">
        <f t="shared" si="0"/>
        <v>2 (+3)</v>
      </c>
      <c r="S19" s="1286" t="str">
        <f>CONCATENATE(L19," (+",$S$2,")")</f>
        <v>2d4+3 (+3)</v>
      </c>
    </row>
    <row r="20" spans="2:20" ht="14.25">
      <c r="B20" s="578">
        <v>16</v>
      </c>
      <c r="C20" s="355" t="s">
        <v>7760</v>
      </c>
      <c r="E20" s="578">
        <v>16</v>
      </c>
      <c r="F20" s="354" t="s">
        <v>3233</v>
      </c>
      <c r="G20" s="1596">
        <v>0.25</v>
      </c>
      <c r="H20" s="3289" t="s">
        <v>7761</v>
      </c>
      <c r="I20" s="3290"/>
      <c r="J20" s="3290"/>
      <c r="K20" s="1137">
        <v>2</v>
      </c>
      <c r="L20" s="1137">
        <v>1</v>
      </c>
      <c r="M20" s="1137">
        <v>15</v>
      </c>
      <c r="N20" s="1137">
        <f ca="1">RANDBETWEEN(1,4)</f>
        <v>1</v>
      </c>
      <c r="O20" s="1137" t="s">
        <v>7762</v>
      </c>
      <c r="P20" s="1137">
        <f t="shared" si="1"/>
        <v>18</v>
      </c>
      <c r="Q20" s="1137">
        <f t="shared" ca="1" si="1"/>
        <v>4</v>
      </c>
      <c r="R20" s="1137" t="str">
        <f t="shared" si="0"/>
        <v>2 (+3)</v>
      </c>
      <c r="S20" s="1286">
        <f t="shared" si="2"/>
        <v>4</v>
      </c>
    </row>
    <row r="21" spans="2:20" ht="15.75" customHeight="1" thickBot="1">
      <c r="B21" s="578">
        <v>17</v>
      </c>
      <c r="C21" s="355" t="s">
        <v>7763</v>
      </c>
      <c r="E21" s="1602">
        <v>17</v>
      </c>
      <c r="F21" s="389" t="s">
        <v>2692</v>
      </c>
      <c r="G21" s="1599">
        <v>0.25</v>
      </c>
      <c r="H21" s="3291" t="s">
        <v>7764</v>
      </c>
      <c r="I21" s="3292"/>
      <c r="J21" s="3292"/>
      <c r="K21" s="1600">
        <v>4</v>
      </c>
      <c r="L21" s="1600" t="s">
        <v>7765</v>
      </c>
      <c r="M21" s="1600">
        <v>13</v>
      </c>
      <c r="N21" s="1600">
        <f ca="1">RANDBETWEEN(2,16)+2</f>
        <v>16</v>
      </c>
      <c r="O21" s="1600" t="s">
        <v>7723</v>
      </c>
      <c r="P21" s="1600">
        <f t="shared" si="1"/>
        <v>16</v>
      </c>
      <c r="Q21" s="1600">
        <f t="shared" ca="1" si="1"/>
        <v>19</v>
      </c>
      <c r="R21" s="1600" t="str">
        <f t="shared" si="0"/>
        <v>4 (+3)</v>
      </c>
      <c r="S21" s="1603" t="str">
        <f>CONCATENATE(L21," (+",$S$2,")")</f>
        <v>2d4+2 (+3)</v>
      </c>
    </row>
    <row r="22" spans="2:20" ht="15.75" customHeight="1">
      <c r="B22" s="578">
        <v>18</v>
      </c>
      <c r="C22" s="355" t="s">
        <v>7766</v>
      </c>
      <c r="E22" s="1604">
        <v>18</v>
      </c>
      <c r="F22" s="1605" t="s">
        <v>4170</v>
      </c>
      <c r="G22" s="1606">
        <v>1</v>
      </c>
      <c r="H22" s="3287" t="s">
        <v>7767</v>
      </c>
      <c r="I22" s="3288"/>
      <c r="J22" s="3288"/>
      <c r="K22" s="1607">
        <v>5</v>
      </c>
      <c r="L22" s="1607" t="s">
        <v>7768</v>
      </c>
      <c r="M22" s="1607">
        <v>13</v>
      </c>
      <c r="N22" s="1607">
        <f ca="1">RANDBETWEEN(3,12)+3</f>
        <v>15</v>
      </c>
      <c r="O22" s="1607" t="s">
        <v>7769</v>
      </c>
      <c r="P22" s="1607">
        <f t="shared" si="1"/>
        <v>16</v>
      </c>
      <c r="Q22" s="1607">
        <f t="shared" ca="1" si="1"/>
        <v>18</v>
      </c>
      <c r="R22" s="1607" t="str">
        <f t="shared" ref="R22:S25" si="3">CONCATENATE(K22," (+",$S$2,")")</f>
        <v>5 (+3)</v>
      </c>
      <c r="S22" s="1608" t="str">
        <f t="shared" si="3"/>
        <v>1d4+3 (+3)</v>
      </c>
      <c r="T22" s="3278" t="s">
        <v>7770</v>
      </c>
    </row>
    <row r="23" spans="2:20" ht="15.75" customHeight="1">
      <c r="B23" s="578">
        <v>19</v>
      </c>
      <c r="C23" s="355" t="s">
        <v>7771</v>
      </c>
      <c r="E23" s="1609">
        <v>19</v>
      </c>
      <c r="F23" s="1610" t="s">
        <v>3573</v>
      </c>
      <c r="G23" s="1611">
        <v>1</v>
      </c>
      <c r="H23" s="3282" t="s">
        <v>7772</v>
      </c>
      <c r="I23" s="3283"/>
      <c r="J23" s="3283"/>
      <c r="K23" s="1256">
        <v>4</v>
      </c>
      <c r="L23" s="1256" t="s">
        <v>7768</v>
      </c>
      <c r="M23" s="1256">
        <v>13</v>
      </c>
      <c r="N23" s="1256">
        <f ca="1">RANDBETWEEN(3,12)</f>
        <v>12</v>
      </c>
      <c r="O23" s="1256" t="s">
        <v>7723</v>
      </c>
      <c r="P23" s="1256">
        <f t="shared" ref="P23:Q25" si="4">M23+$S$2</f>
        <v>16</v>
      </c>
      <c r="Q23" s="1256">
        <f t="shared" ca="1" si="4"/>
        <v>15</v>
      </c>
      <c r="R23" s="1256" t="str">
        <f t="shared" si="3"/>
        <v>4 (+3)</v>
      </c>
      <c r="S23" s="1259" t="str">
        <f t="shared" si="3"/>
        <v>1d4+3 (+3)</v>
      </c>
      <c r="T23" s="3279"/>
    </row>
    <row r="24" spans="2:20" ht="15.75" customHeight="1">
      <c r="B24" s="578">
        <v>20</v>
      </c>
      <c r="C24" s="355" t="s">
        <v>7773</v>
      </c>
      <c r="E24" s="1609">
        <v>20</v>
      </c>
      <c r="F24" s="1610" t="s">
        <v>3603</v>
      </c>
      <c r="G24" s="1611">
        <v>0.25</v>
      </c>
      <c r="H24" s="3282" t="s">
        <v>7751</v>
      </c>
      <c r="I24" s="3283"/>
      <c r="J24" s="3283"/>
      <c r="K24" s="1612" t="s">
        <v>7745</v>
      </c>
      <c r="L24" s="1256" t="s">
        <v>7752</v>
      </c>
      <c r="M24" s="1256">
        <v>13</v>
      </c>
      <c r="N24" s="1256">
        <f ca="1">RANDBETWEEN(2,8)+2</f>
        <v>5</v>
      </c>
      <c r="O24" s="1256" t="s">
        <v>7734</v>
      </c>
      <c r="P24" s="1256">
        <f t="shared" si="4"/>
        <v>16</v>
      </c>
      <c r="Q24" s="1256">
        <f t="shared" ca="1" si="4"/>
        <v>8</v>
      </c>
      <c r="R24" s="1256" t="str">
        <f t="shared" si="3"/>
        <v>4/4 (+3)</v>
      </c>
      <c r="S24" s="1259" t="str">
        <f t="shared" si="3"/>
        <v>1d4+2/1d4+2 (P) (+3)</v>
      </c>
      <c r="T24" s="3280"/>
    </row>
    <row r="25" spans="2:20" ht="15.75" customHeight="1" thickBot="1">
      <c r="B25" s="578">
        <v>21</v>
      </c>
      <c r="C25" s="355" t="s">
        <v>7774</v>
      </c>
      <c r="E25" s="1613">
        <v>21</v>
      </c>
      <c r="F25" s="1614" t="s">
        <v>3233</v>
      </c>
      <c r="G25" s="1615">
        <v>0.25</v>
      </c>
      <c r="H25" s="3284" t="s">
        <v>7761</v>
      </c>
      <c r="I25" s="3285"/>
      <c r="J25" s="3285"/>
      <c r="K25" s="1291">
        <v>2</v>
      </c>
      <c r="L25" s="1291">
        <v>1</v>
      </c>
      <c r="M25" s="1291">
        <v>15</v>
      </c>
      <c r="N25" s="1291">
        <f ca="1">RANDBETWEEN(1,4)</f>
        <v>3</v>
      </c>
      <c r="O25" s="1291" t="s">
        <v>7762</v>
      </c>
      <c r="P25" s="1291">
        <f t="shared" si="4"/>
        <v>18</v>
      </c>
      <c r="Q25" s="1291">
        <f t="shared" ca="1" si="4"/>
        <v>6</v>
      </c>
      <c r="R25" s="1291" t="str">
        <f t="shared" si="3"/>
        <v>2 (+3)</v>
      </c>
      <c r="S25" s="1294">
        <f>L25+$S$2</f>
        <v>4</v>
      </c>
      <c r="T25" s="3281"/>
    </row>
    <row r="26" spans="2:20" ht="15.75" customHeight="1">
      <c r="B26" s="578">
        <v>22</v>
      </c>
      <c r="C26" s="355" t="s">
        <v>7775</v>
      </c>
    </row>
    <row r="27" spans="2:20" ht="15.75" customHeight="1" thickBot="1">
      <c r="B27" s="578">
        <v>23</v>
      </c>
      <c r="C27" s="355" t="s">
        <v>7776</v>
      </c>
    </row>
    <row r="28" spans="2:20" ht="15.75" customHeight="1">
      <c r="B28" s="578">
        <v>24</v>
      </c>
      <c r="C28" s="355" t="s">
        <v>7777</v>
      </c>
      <c r="E28" s="3286" t="s">
        <v>7711</v>
      </c>
      <c r="F28" s="2862"/>
      <c r="G28" s="2862"/>
      <c r="H28" s="2862"/>
      <c r="I28" s="2862"/>
      <c r="J28" s="2862"/>
      <c r="K28" s="2862"/>
      <c r="L28" s="2862"/>
      <c r="M28" s="2862"/>
      <c r="N28" s="2862"/>
      <c r="O28" s="2862"/>
      <c r="P28" s="2863"/>
    </row>
    <row r="29" spans="2:20" ht="15.75" customHeight="1" thickBot="1">
      <c r="B29" s="578">
        <v>25</v>
      </c>
      <c r="C29" s="355" t="s">
        <v>7778</v>
      </c>
      <c r="E29" s="2931"/>
      <c r="F29" s="2932"/>
      <c r="G29" s="2932"/>
      <c r="H29" s="2932"/>
      <c r="I29" s="2932"/>
      <c r="J29" s="2932"/>
      <c r="K29" s="2932"/>
      <c r="L29" s="2932"/>
      <c r="M29" s="2932"/>
      <c r="N29" s="2932"/>
      <c r="O29" s="2932"/>
      <c r="P29" s="2933"/>
    </row>
    <row r="30" spans="2:20" ht="15.75" customHeight="1">
      <c r="B30" s="578">
        <v>26</v>
      </c>
      <c r="C30" s="355" t="s">
        <v>7779</v>
      </c>
      <c r="E30" s="1616">
        <v>1</v>
      </c>
      <c r="F30" s="1616">
        <v>2</v>
      </c>
      <c r="G30" s="1616">
        <v>3</v>
      </c>
      <c r="H30" s="1616">
        <v>4</v>
      </c>
      <c r="I30" s="1616">
        <v>5</v>
      </c>
      <c r="J30" s="1616">
        <v>6</v>
      </c>
      <c r="K30" s="1616">
        <v>7</v>
      </c>
      <c r="L30" s="1616">
        <v>8</v>
      </c>
      <c r="M30" s="1616">
        <v>9</v>
      </c>
      <c r="N30" s="1616">
        <v>10</v>
      </c>
      <c r="O30" s="1616">
        <v>11</v>
      </c>
      <c r="P30" s="1616">
        <v>12</v>
      </c>
    </row>
    <row r="31" spans="2:20" ht="15.75" customHeight="1" thickBot="1">
      <c r="B31" s="578">
        <v>27</v>
      </c>
      <c r="C31" s="355" t="s">
        <v>7780</v>
      </c>
      <c r="E31" s="1126" t="s">
        <v>6007</v>
      </c>
      <c r="F31" s="1617" t="s">
        <v>6010</v>
      </c>
      <c r="G31" s="1126" t="s">
        <v>6013</v>
      </c>
      <c r="H31" s="1126" t="s">
        <v>1002</v>
      </c>
      <c r="I31" s="1126" t="s">
        <v>6018</v>
      </c>
      <c r="J31" s="1126" t="s">
        <v>6020</v>
      </c>
      <c r="K31" s="1126" t="s">
        <v>4928</v>
      </c>
      <c r="L31" s="1126" t="s">
        <v>6025</v>
      </c>
      <c r="M31" s="1126" t="s">
        <v>6028</v>
      </c>
      <c r="N31" s="1126" t="s">
        <v>6031</v>
      </c>
      <c r="O31" s="1126" t="s">
        <v>6033</v>
      </c>
      <c r="P31" s="1126" t="s">
        <v>6034</v>
      </c>
    </row>
    <row r="32" spans="2:20" ht="15.75" customHeight="1">
      <c r="B32" s="578">
        <v>28</v>
      </c>
      <c r="C32" s="355" t="s">
        <v>7781</v>
      </c>
    </row>
    <row r="33" spans="2:3" ht="15.75" customHeight="1">
      <c r="B33" s="578">
        <v>29</v>
      </c>
      <c r="C33" s="355" t="s">
        <v>7782</v>
      </c>
    </row>
    <row r="34" spans="2:3" ht="15.75" customHeight="1">
      <c r="B34" s="578">
        <v>30</v>
      </c>
      <c r="C34" s="355" t="s">
        <v>7783</v>
      </c>
    </row>
    <row r="35" spans="2:3" ht="15.75" customHeight="1">
      <c r="B35" s="578">
        <v>31</v>
      </c>
      <c r="C35" s="355" t="s">
        <v>7784</v>
      </c>
    </row>
    <row r="36" spans="2:3" ht="15.75" customHeight="1">
      <c r="B36" s="578">
        <v>32</v>
      </c>
      <c r="C36" s="355" t="s">
        <v>7785</v>
      </c>
    </row>
    <row r="37" spans="2:3" ht="15.75" customHeight="1">
      <c r="B37" s="578">
        <v>33</v>
      </c>
      <c r="C37" s="355" t="s">
        <v>7786</v>
      </c>
    </row>
    <row r="38" spans="2:3" ht="15.75" customHeight="1">
      <c r="B38" s="578">
        <v>34</v>
      </c>
      <c r="C38" s="355" t="s">
        <v>7787</v>
      </c>
    </row>
    <row r="39" spans="2:3" ht="15.75" customHeight="1">
      <c r="B39" s="578">
        <v>35</v>
      </c>
      <c r="C39" s="355" t="s">
        <v>7788</v>
      </c>
    </row>
    <row r="40" spans="2:3" ht="15.75" customHeight="1">
      <c r="B40" s="578">
        <v>36</v>
      </c>
      <c r="C40" s="355" t="s">
        <v>7789</v>
      </c>
    </row>
    <row r="41" spans="2:3" ht="15.75" customHeight="1">
      <c r="B41" s="578">
        <v>37</v>
      </c>
      <c r="C41" s="355" t="s">
        <v>7790</v>
      </c>
    </row>
    <row r="42" spans="2:3" ht="15.75" customHeight="1">
      <c r="B42" s="578">
        <v>38</v>
      </c>
      <c r="C42" s="355" t="s">
        <v>7791</v>
      </c>
    </row>
    <row r="43" spans="2:3" ht="15.75" customHeight="1">
      <c r="B43" s="578">
        <v>39</v>
      </c>
      <c r="C43" s="355" t="s">
        <v>7792</v>
      </c>
    </row>
    <row r="44" spans="2:3" ht="15.75" customHeight="1">
      <c r="B44" s="578">
        <v>40</v>
      </c>
      <c r="C44" s="355" t="s">
        <v>7793</v>
      </c>
    </row>
    <row r="45" spans="2:3" ht="15.75" customHeight="1">
      <c r="B45" s="578">
        <v>41</v>
      </c>
      <c r="C45" s="355" t="s">
        <v>7794</v>
      </c>
    </row>
    <row r="46" spans="2:3" ht="15.75" customHeight="1">
      <c r="B46" s="578">
        <v>42</v>
      </c>
      <c r="C46" s="355" t="s">
        <v>7795</v>
      </c>
    </row>
    <row r="47" spans="2:3" ht="15.75" customHeight="1">
      <c r="B47" s="578">
        <v>43</v>
      </c>
      <c r="C47" s="355"/>
    </row>
    <row r="48" spans="2:3" ht="15.75" customHeight="1">
      <c r="B48" s="578">
        <v>44</v>
      </c>
      <c r="C48" s="355"/>
    </row>
    <row r="49" spans="2:3" ht="15.75" customHeight="1">
      <c r="B49" s="578">
        <v>45</v>
      </c>
      <c r="C49" s="355"/>
    </row>
    <row r="50" spans="2:3" ht="15.75" customHeight="1">
      <c r="B50" s="578">
        <v>46</v>
      </c>
      <c r="C50" s="355"/>
    </row>
    <row r="51" spans="2:3" ht="15.75" customHeight="1">
      <c r="B51" s="578">
        <v>47</v>
      </c>
      <c r="C51" s="355"/>
    </row>
    <row r="52" spans="2:3" ht="15.75" customHeight="1">
      <c r="B52" s="578">
        <v>48</v>
      </c>
      <c r="C52" s="355"/>
    </row>
    <row r="53" spans="2:3" ht="15.75" customHeight="1">
      <c r="B53" s="578">
        <v>49</v>
      </c>
      <c r="C53" s="355"/>
    </row>
    <row r="54" spans="2:3" ht="15.75" customHeight="1">
      <c r="B54" s="578">
        <v>50</v>
      </c>
      <c r="C54" s="355"/>
    </row>
    <row r="55" spans="2:3" ht="15.75" customHeight="1">
      <c r="B55" s="578">
        <v>51</v>
      </c>
      <c r="C55" s="355"/>
    </row>
    <row r="56" spans="2:3" ht="15.75" customHeight="1">
      <c r="B56" s="578">
        <v>52</v>
      </c>
      <c r="C56" s="355"/>
    </row>
    <row r="57" spans="2:3" ht="15.75" customHeight="1">
      <c r="B57" s="578">
        <v>53</v>
      </c>
      <c r="C57" s="355"/>
    </row>
    <row r="58" spans="2:3" ht="15.75" customHeight="1">
      <c r="B58" s="578">
        <v>54</v>
      </c>
      <c r="C58" s="355"/>
    </row>
    <row r="59" spans="2:3" ht="15.75" customHeight="1">
      <c r="B59" s="578">
        <v>55</v>
      </c>
      <c r="C59" s="355"/>
    </row>
    <row r="60" spans="2:3" ht="15.75" customHeight="1">
      <c r="B60" s="578">
        <v>56</v>
      </c>
      <c r="C60" s="355"/>
    </row>
    <row r="61" spans="2:3" ht="15.75" customHeight="1">
      <c r="B61" s="578">
        <v>57</v>
      </c>
      <c r="C61" s="355"/>
    </row>
    <row r="62" spans="2:3" ht="15.75" customHeight="1">
      <c r="B62" s="578">
        <v>58</v>
      </c>
      <c r="C62" s="355"/>
    </row>
    <row r="63" spans="2:3" ht="15.75" customHeight="1">
      <c r="B63" s="578">
        <v>59</v>
      </c>
      <c r="C63" s="355"/>
    </row>
    <row r="64" spans="2:3" ht="15.75" customHeight="1">
      <c r="B64" s="578">
        <v>60</v>
      </c>
      <c r="C64" s="355"/>
    </row>
    <row r="65" spans="2:3" ht="15.75" customHeight="1">
      <c r="B65" s="578">
        <v>61</v>
      </c>
      <c r="C65" s="355"/>
    </row>
    <row r="66" spans="2:3" ht="15.75" customHeight="1">
      <c r="B66" s="578">
        <v>62</v>
      </c>
      <c r="C66" s="355"/>
    </row>
    <row r="67" spans="2:3" ht="15.75" customHeight="1">
      <c r="B67" s="578">
        <v>63</v>
      </c>
      <c r="C67" s="355"/>
    </row>
    <row r="68" spans="2:3" ht="15.75" customHeight="1">
      <c r="B68" s="578">
        <v>64</v>
      </c>
      <c r="C68" s="355"/>
    </row>
    <row r="69" spans="2:3" ht="15.75" customHeight="1">
      <c r="B69" s="578">
        <v>65</v>
      </c>
      <c r="C69" s="355"/>
    </row>
    <row r="70" spans="2:3" ht="15.75" customHeight="1">
      <c r="B70" s="578">
        <v>66</v>
      </c>
      <c r="C70" s="355"/>
    </row>
    <row r="71" spans="2:3" ht="15.75" customHeight="1">
      <c r="B71" s="578">
        <v>67</v>
      </c>
      <c r="C71" s="355"/>
    </row>
    <row r="72" spans="2:3" ht="15.75" customHeight="1">
      <c r="B72" s="578">
        <v>68</v>
      </c>
      <c r="C72" s="355"/>
    </row>
    <row r="73" spans="2:3" ht="15.75" customHeight="1">
      <c r="B73" s="578">
        <v>69</v>
      </c>
      <c r="C73" s="355"/>
    </row>
    <row r="74" spans="2:3" ht="15.75" customHeight="1">
      <c r="B74" s="578">
        <v>70</v>
      </c>
      <c r="C74" s="355"/>
    </row>
    <row r="75" spans="2:3" ht="15.75" customHeight="1">
      <c r="B75" s="578">
        <v>71</v>
      </c>
      <c r="C75" s="355"/>
    </row>
    <row r="76" spans="2:3" ht="15.75" customHeight="1">
      <c r="B76" s="578">
        <v>72</v>
      </c>
      <c r="C76" s="355"/>
    </row>
    <row r="77" spans="2:3" ht="15.75" customHeight="1">
      <c r="B77" s="578">
        <v>73</v>
      </c>
      <c r="C77" s="355"/>
    </row>
    <row r="78" spans="2:3" ht="15.75" customHeight="1">
      <c r="B78" s="578">
        <v>74</v>
      </c>
      <c r="C78" s="355"/>
    </row>
    <row r="79" spans="2:3" ht="15.75" customHeight="1">
      <c r="B79" s="578">
        <v>75</v>
      </c>
      <c r="C79" s="355"/>
    </row>
    <row r="80" spans="2:3" ht="15.75" customHeight="1">
      <c r="B80" s="578">
        <v>76</v>
      </c>
      <c r="C80" s="355"/>
    </row>
    <row r="81" spans="2:3" ht="15.75" customHeight="1">
      <c r="B81" s="578">
        <v>77</v>
      </c>
      <c r="C81" s="355"/>
    </row>
    <row r="82" spans="2:3" ht="15.75" customHeight="1">
      <c r="B82" s="578">
        <v>78</v>
      </c>
      <c r="C82" s="355"/>
    </row>
    <row r="83" spans="2:3" ht="15.75" customHeight="1">
      <c r="B83" s="578">
        <v>79</v>
      </c>
      <c r="C83" s="355"/>
    </row>
    <row r="84" spans="2:3" ht="15.75" customHeight="1">
      <c r="B84" s="578">
        <v>80</v>
      </c>
      <c r="C84" s="355"/>
    </row>
    <row r="85" spans="2:3" ht="15.75" customHeight="1">
      <c r="B85" s="578">
        <v>81</v>
      </c>
      <c r="C85" s="355"/>
    </row>
    <row r="86" spans="2:3" ht="15.75" customHeight="1">
      <c r="B86" s="578">
        <v>82</v>
      </c>
      <c r="C86" s="355"/>
    </row>
    <row r="87" spans="2:3" ht="15.75" customHeight="1">
      <c r="B87" s="578">
        <v>83</v>
      </c>
      <c r="C87" s="355"/>
    </row>
    <row r="88" spans="2:3" ht="15.75" customHeight="1">
      <c r="B88" s="578">
        <v>84</v>
      </c>
      <c r="C88" s="355"/>
    </row>
    <row r="89" spans="2:3" ht="15.75" customHeight="1">
      <c r="B89" s="578">
        <v>85</v>
      </c>
      <c r="C89" s="355"/>
    </row>
    <row r="90" spans="2:3" ht="15.75" customHeight="1">
      <c r="B90" s="578">
        <v>86</v>
      </c>
      <c r="C90" s="355"/>
    </row>
    <row r="91" spans="2:3" ht="15.75" customHeight="1">
      <c r="B91" s="578">
        <v>87</v>
      </c>
      <c r="C91" s="355"/>
    </row>
    <row r="92" spans="2:3" ht="15.75" customHeight="1">
      <c r="B92" s="578">
        <v>88</v>
      </c>
      <c r="C92" s="355"/>
    </row>
    <row r="93" spans="2:3" ht="15.75" customHeight="1">
      <c r="B93" s="578">
        <v>89</v>
      </c>
      <c r="C93" s="355"/>
    </row>
    <row r="94" spans="2:3" ht="15.75" customHeight="1">
      <c r="B94" s="578">
        <v>90</v>
      </c>
      <c r="C94" s="355"/>
    </row>
    <row r="95" spans="2:3" ht="15.75" customHeight="1">
      <c r="B95" s="578">
        <v>91</v>
      </c>
      <c r="C95" s="355"/>
    </row>
    <row r="96" spans="2:3" ht="15.75" customHeight="1">
      <c r="B96" s="578">
        <v>92</v>
      </c>
      <c r="C96" s="355"/>
    </row>
    <row r="97" spans="2:3" ht="15.75" customHeight="1">
      <c r="B97" s="578">
        <v>93</v>
      </c>
      <c r="C97" s="355"/>
    </row>
    <row r="98" spans="2:3" ht="15.75" customHeight="1">
      <c r="B98" s="578">
        <v>94</v>
      </c>
      <c r="C98" s="355"/>
    </row>
    <row r="99" spans="2:3" ht="15.75" customHeight="1">
      <c r="B99" s="578">
        <v>95</v>
      </c>
      <c r="C99" s="355"/>
    </row>
    <row r="100" spans="2:3" ht="15.75" customHeight="1">
      <c r="B100" s="578">
        <v>96</v>
      </c>
      <c r="C100" s="355"/>
    </row>
    <row r="101" spans="2:3" ht="15.75" customHeight="1">
      <c r="B101" s="578">
        <v>97</v>
      </c>
      <c r="C101" s="355"/>
    </row>
    <row r="102" spans="2:3" ht="15.75" customHeight="1">
      <c r="B102" s="578">
        <v>98</v>
      </c>
      <c r="C102" s="355"/>
    </row>
    <row r="103" spans="2:3" ht="15.75" customHeight="1">
      <c r="B103" s="578">
        <v>99</v>
      </c>
      <c r="C103" s="355"/>
    </row>
    <row r="104" spans="2:3" ht="15.75" customHeight="1" thickBot="1">
      <c r="B104" s="583">
        <v>100</v>
      </c>
      <c r="C104" s="411"/>
    </row>
  </sheetData>
  <mergeCells count="29">
    <mergeCell ref="H4:J4"/>
    <mergeCell ref="E2:O2"/>
    <mergeCell ref="P2:R2"/>
    <mergeCell ref="T2:U2"/>
    <mergeCell ref="E3:F3"/>
    <mergeCell ref="H3:J3"/>
    <mergeCell ref="H16:J16"/>
    <mergeCell ref="H5:J5"/>
    <mergeCell ref="H6:J6"/>
    <mergeCell ref="H7:J7"/>
    <mergeCell ref="H8:J8"/>
    <mergeCell ref="H9:J9"/>
    <mergeCell ref="H10:J10"/>
    <mergeCell ref="H11:J11"/>
    <mergeCell ref="H12:J12"/>
    <mergeCell ref="H13:J13"/>
    <mergeCell ref="H14:J14"/>
    <mergeCell ref="H15:J15"/>
    <mergeCell ref="H17:J17"/>
    <mergeCell ref="H18:J18"/>
    <mergeCell ref="H19:J19"/>
    <mergeCell ref="H20:J20"/>
    <mergeCell ref="H21:J21"/>
    <mergeCell ref="T22:T25"/>
    <mergeCell ref="H23:J23"/>
    <mergeCell ref="H24:J24"/>
    <mergeCell ref="H25:J25"/>
    <mergeCell ref="E28:P29"/>
    <mergeCell ref="H22:J22"/>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A7A20-DE02-489A-91F9-977012065AA3}">
  <sheetPr codeName="Аркуш17">
    <tabColor rgb="FF92D050"/>
  </sheetPr>
  <dimension ref="B1:DH331"/>
  <sheetViews>
    <sheetView showGridLines="0" topLeftCell="A43" zoomScaleNormal="100" workbookViewId="0">
      <selection activeCell="C159" sqref="B159:C159"/>
    </sheetView>
  </sheetViews>
  <sheetFormatPr defaultColWidth="6.88671875" defaultRowHeight="12" customHeight="1"/>
  <cols>
    <col min="1" max="1" width="2.77734375" style="272" customWidth="1"/>
    <col min="2" max="2" width="4.44140625" style="271" customWidth="1"/>
    <col min="3" max="3" width="9.5546875" style="271" customWidth="1"/>
    <col min="4" max="4" width="19" style="271" bestFit="1" customWidth="1"/>
    <col min="5" max="5" width="9" style="271" bestFit="1" customWidth="1"/>
    <col min="6" max="6" width="16.44140625" style="271" bestFit="1" customWidth="1"/>
    <col min="7" max="7" width="13.44140625" style="271" bestFit="1" customWidth="1"/>
    <col min="8" max="8" width="4.44140625" style="271" customWidth="1"/>
    <col min="9" max="9" width="19" style="271" bestFit="1" customWidth="1"/>
    <col min="10" max="10" width="17.6640625" style="271" customWidth="1"/>
    <col min="11" max="11" width="15.33203125" style="271" bestFit="1" customWidth="1"/>
    <col min="12" max="12" width="16.77734375" style="271" bestFit="1" customWidth="1"/>
    <col min="13" max="13" width="8.5546875" style="271" bestFit="1" customWidth="1"/>
    <col min="14" max="14" width="15.33203125" style="271" bestFit="1" customWidth="1"/>
    <col min="15" max="15" width="13.6640625" style="271" customWidth="1"/>
    <col min="16" max="16" width="13" style="271" customWidth="1"/>
    <col min="17" max="18" width="16.77734375" style="271" bestFit="1" customWidth="1"/>
    <col min="19" max="19" width="13.88671875" style="271" bestFit="1" customWidth="1"/>
    <col min="20" max="20" width="16.88671875" style="271" bestFit="1" customWidth="1"/>
    <col min="21" max="22" width="14.21875" style="271" bestFit="1" customWidth="1"/>
    <col min="23" max="23" width="8.5546875" style="271" bestFit="1" customWidth="1"/>
    <col min="24" max="24" width="9.6640625" style="271" bestFit="1" customWidth="1"/>
    <col min="25" max="25" width="15" style="271" bestFit="1" customWidth="1"/>
    <col min="26" max="26" width="15.77734375" style="271" bestFit="1" customWidth="1"/>
    <col min="27" max="27" width="13.21875" style="271" bestFit="1" customWidth="1"/>
    <col min="28" max="28" width="15.77734375" style="271" bestFit="1" customWidth="1"/>
    <col min="29" max="30" width="12" style="271" bestFit="1" customWidth="1"/>
    <col min="31" max="31" width="12.77734375" style="1306" customWidth="1"/>
    <col min="32" max="32" width="11.77734375" style="271" bestFit="1" customWidth="1"/>
    <col min="33" max="33" width="15.109375" style="271" bestFit="1" customWidth="1"/>
    <col min="34" max="34" width="16.21875" style="271" bestFit="1" customWidth="1"/>
    <col min="35" max="35" width="16.109375" style="271" customWidth="1"/>
    <col min="36" max="36" width="19.109375" style="271" bestFit="1" customWidth="1"/>
    <col min="37" max="37" width="15.6640625" style="271" bestFit="1" customWidth="1"/>
    <col min="38" max="39" width="16.21875" style="271" bestFit="1" customWidth="1"/>
    <col min="40" max="40" width="8.6640625" style="271" bestFit="1" customWidth="1"/>
    <col min="41" max="41" width="17.6640625" style="271" bestFit="1" customWidth="1"/>
    <col min="42" max="42" width="21.44140625" style="271" bestFit="1" customWidth="1"/>
    <col min="43" max="43" width="17.33203125" style="271" bestFit="1" customWidth="1"/>
    <col min="44" max="44" width="14.77734375" style="271" bestFit="1" customWidth="1"/>
    <col min="45" max="45" width="10.77734375" style="271" bestFit="1" customWidth="1"/>
    <col min="46" max="47" width="13.44140625" style="271" bestFit="1" customWidth="1"/>
    <col min="48" max="49" width="15" style="271" bestFit="1" customWidth="1"/>
    <col min="50" max="50" width="14.77734375" style="271" bestFit="1" customWidth="1"/>
    <col min="51" max="51" width="10.6640625" style="271" bestFit="1" customWidth="1"/>
    <col min="52" max="52" width="12.21875" style="271" customWidth="1"/>
    <col min="53" max="53" width="21.44140625" style="271" bestFit="1" customWidth="1"/>
    <col min="54" max="54" width="20.21875" style="271" bestFit="1" customWidth="1"/>
    <col min="55" max="55" width="16.44140625" style="271" bestFit="1" customWidth="1"/>
    <col min="56" max="56" width="13.109375" style="271" bestFit="1" customWidth="1"/>
    <col min="57" max="57" width="10.77734375" style="271" customWidth="1"/>
    <col min="58" max="60" width="12.21875" style="271" customWidth="1"/>
    <col min="61" max="61" width="11.109375" style="271" bestFit="1" customWidth="1"/>
    <col min="62" max="62" width="15.33203125" style="271" bestFit="1" customWidth="1"/>
    <col min="63" max="63" width="4.44140625" style="271" customWidth="1"/>
    <col min="64" max="64" width="12.44140625" style="271" bestFit="1" customWidth="1"/>
    <col min="65" max="65" width="14.6640625" style="271" bestFit="1" customWidth="1"/>
    <col min="66" max="66" width="9.44140625" style="271" bestFit="1" customWidth="1"/>
    <col min="67" max="67" width="10.77734375" style="271" customWidth="1"/>
    <col min="68" max="68" width="4.44140625" style="271" customWidth="1"/>
    <col min="69" max="69" width="12.88671875" style="271" bestFit="1" customWidth="1"/>
    <col min="70" max="70" width="14.6640625" style="271" bestFit="1" customWidth="1"/>
    <col min="71" max="71" width="16.44140625" style="271" bestFit="1" customWidth="1"/>
    <col min="72" max="72" width="4.44140625" style="271" customWidth="1"/>
    <col min="73" max="73" width="13.21875" style="271" customWidth="1"/>
    <col min="74" max="74" width="13.109375" style="271" customWidth="1"/>
    <col min="75" max="75" width="12.6640625" style="272" customWidth="1"/>
    <col min="76" max="76" width="13.21875" style="272" customWidth="1"/>
    <col min="77" max="77" width="12.109375" style="272" customWidth="1"/>
    <col min="78" max="78" width="11.88671875" style="272" customWidth="1"/>
    <col min="79" max="79" width="15.5546875" style="272" bestFit="1" customWidth="1"/>
    <col min="80" max="80" width="11.5546875" style="272" customWidth="1"/>
    <col min="81" max="81" width="6.88671875" style="272"/>
    <col min="82" max="83" width="16.77734375" style="272" bestFit="1" customWidth="1"/>
    <col min="84" max="16384" width="6.88671875" style="272"/>
  </cols>
  <sheetData>
    <row r="1" spans="2:74" ht="12" customHeight="1" thickBot="1"/>
    <row r="2" spans="2:74" ht="20.25" customHeight="1" thickBot="1">
      <c r="B2" s="3425" t="s">
        <v>7145</v>
      </c>
      <c r="C2" s="3426"/>
      <c r="D2" s="3426"/>
      <c r="E2" s="3427"/>
      <c r="I2" s="1307"/>
      <c r="J2" s="1307"/>
      <c r="P2" s="1307"/>
      <c r="Q2" s="1307"/>
      <c r="R2" s="1307"/>
      <c r="S2" s="1307"/>
      <c r="T2" s="1307"/>
      <c r="U2" s="1307"/>
      <c r="BC2" s="1308" t="s">
        <v>7146</v>
      </c>
    </row>
    <row r="3" spans="2:74" s="1314" customFormat="1" ht="15.75">
      <c r="B3" s="3428" t="s">
        <v>7147</v>
      </c>
      <c r="C3" s="3429"/>
      <c r="D3" s="3429"/>
      <c r="E3" s="3430"/>
      <c r="F3" s="1309"/>
      <c r="G3" s="1309"/>
      <c r="H3" s="1309"/>
      <c r="I3" s="1310"/>
      <c r="J3" s="1309"/>
      <c r="K3" s="1309"/>
      <c r="L3" s="1309"/>
      <c r="M3" s="1309"/>
      <c r="N3" s="1309"/>
      <c r="O3" s="1309"/>
      <c r="P3" s="1309"/>
      <c r="Q3" s="1309"/>
      <c r="R3" s="1309"/>
      <c r="S3" s="1309"/>
      <c r="T3" s="1309"/>
      <c r="U3" s="1309"/>
      <c r="V3" s="1309"/>
      <c r="W3" s="1309"/>
      <c r="X3" s="1309"/>
      <c r="Y3" s="1309"/>
      <c r="Z3" s="1309"/>
      <c r="AA3" s="1309"/>
      <c r="AB3" s="1309"/>
      <c r="AC3" s="1309"/>
      <c r="AD3" s="1309"/>
      <c r="AE3" s="1311"/>
      <c r="AF3" s="1309"/>
      <c r="AG3" s="1309"/>
      <c r="AH3" s="1309"/>
      <c r="AI3" s="1309"/>
      <c r="AJ3" s="1309"/>
      <c r="AK3" s="1309"/>
      <c r="AL3" s="1309"/>
      <c r="AM3" s="1309"/>
      <c r="AN3" s="1309"/>
      <c r="AO3" s="1309"/>
      <c r="AP3" s="1309"/>
      <c r="AQ3" s="1309"/>
      <c r="AR3" s="1309"/>
      <c r="AS3" s="1309"/>
      <c r="AT3" s="1309"/>
      <c r="AU3" s="1309"/>
      <c r="AV3" s="1309"/>
      <c r="AW3" s="1309"/>
      <c r="AX3" s="1309"/>
      <c r="AY3" s="1309"/>
      <c r="AZ3" s="1309"/>
      <c r="BA3" s="1309"/>
      <c r="BB3" s="1312">
        <v>1</v>
      </c>
      <c r="BC3" s="1313" t="s">
        <v>6007</v>
      </c>
      <c r="BD3" s="1309"/>
      <c r="BE3" s="1309"/>
      <c r="BF3" s="1309"/>
      <c r="BG3" s="1309"/>
      <c r="BH3" s="1309"/>
      <c r="BI3" s="1309"/>
      <c r="BJ3" s="1309"/>
      <c r="BK3" s="1309"/>
      <c r="BL3" s="1309"/>
      <c r="BM3" s="1309"/>
      <c r="BS3" s="1309"/>
      <c r="BT3" s="1309"/>
      <c r="BU3" s="1309"/>
      <c r="BV3" s="1309"/>
    </row>
    <row r="4" spans="2:74" s="1314" customFormat="1" ht="15.75">
      <c r="B4" s="3420" t="s">
        <v>7148</v>
      </c>
      <c r="C4" s="3385"/>
      <c r="D4" s="3385"/>
      <c r="E4" s="3421"/>
      <c r="F4" s="1309"/>
      <c r="G4" s="1309"/>
      <c r="H4" s="1309"/>
      <c r="I4" s="1310"/>
      <c r="J4" s="1309"/>
      <c r="K4" s="1309"/>
      <c r="L4" s="1309"/>
      <c r="M4" s="1309"/>
      <c r="N4" s="1309"/>
      <c r="O4" s="1309"/>
      <c r="P4" s="1309"/>
      <c r="Q4" s="1309"/>
      <c r="R4" s="1309"/>
      <c r="S4" s="1309"/>
      <c r="T4" s="1309"/>
      <c r="U4" s="1309"/>
      <c r="V4" s="1309"/>
      <c r="W4" s="1309"/>
      <c r="X4" s="1309"/>
      <c r="Y4" s="1309"/>
      <c r="Z4" s="1309"/>
      <c r="AA4" s="1309"/>
      <c r="AB4" s="1309"/>
      <c r="AC4" s="1309"/>
      <c r="AD4" s="1309"/>
      <c r="AE4" s="1311"/>
      <c r="AF4" s="1309"/>
      <c r="AG4" s="1309"/>
      <c r="AH4" s="1309"/>
      <c r="AI4" s="1309"/>
      <c r="AJ4" s="1309"/>
      <c r="AK4" s="1309"/>
      <c r="AL4" s="1309"/>
      <c r="AM4" s="1309"/>
      <c r="AN4" s="1309"/>
      <c r="AO4" s="1309"/>
      <c r="AP4" s="1309"/>
      <c r="AQ4" s="1309"/>
      <c r="AR4" s="1309"/>
      <c r="AS4" s="1309"/>
      <c r="AT4" s="1309"/>
      <c r="AU4" s="1309"/>
      <c r="AV4" s="1309"/>
      <c r="AW4" s="1309"/>
      <c r="AX4" s="1309"/>
      <c r="AY4" s="1309"/>
      <c r="AZ4" s="1309"/>
      <c r="BA4" s="1309"/>
      <c r="BB4" s="1315">
        <v>2</v>
      </c>
      <c r="BC4" s="1316" t="s">
        <v>6010</v>
      </c>
      <c r="BD4" s="1309"/>
      <c r="BE4" s="1309"/>
      <c r="BF4" s="1309"/>
      <c r="BG4" s="1309"/>
      <c r="BH4" s="1309"/>
      <c r="BI4" s="1309"/>
      <c r="BJ4" s="1309"/>
      <c r="BK4" s="1309"/>
      <c r="BL4" s="1309"/>
      <c r="BM4" s="1309"/>
      <c r="BS4" s="1309"/>
      <c r="BT4" s="1309"/>
      <c r="BU4" s="1309"/>
      <c r="BV4" s="1309"/>
    </row>
    <row r="5" spans="2:74" s="1314" customFormat="1" ht="16.5" thickBot="1">
      <c r="B5" s="3420" t="s">
        <v>7149</v>
      </c>
      <c r="C5" s="3385"/>
      <c r="D5" s="3385"/>
      <c r="E5" s="3421"/>
      <c r="F5" s="1309"/>
      <c r="G5" s="1309"/>
      <c r="H5" s="1309"/>
      <c r="I5" s="1310"/>
      <c r="J5" s="1309"/>
      <c r="K5" s="1309"/>
      <c r="L5" s="1309"/>
      <c r="M5" s="1309"/>
      <c r="N5" s="1309"/>
      <c r="O5" s="1309"/>
      <c r="P5" s="1309"/>
      <c r="Q5" s="1309"/>
      <c r="R5" s="1309"/>
      <c r="S5" s="1309"/>
      <c r="T5" s="1309"/>
      <c r="U5" s="1309"/>
      <c r="V5" s="1309"/>
      <c r="W5" s="1309"/>
      <c r="X5" s="1309"/>
      <c r="Y5" s="1309"/>
      <c r="Z5" s="1309"/>
      <c r="AA5" s="1309"/>
      <c r="AB5" s="1309"/>
      <c r="AC5" s="1309"/>
      <c r="AD5" s="1309"/>
      <c r="AE5" s="1311"/>
      <c r="AF5" s="1309"/>
      <c r="AG5" s="1309"/>
      <c r="AH5" s="1309"/>
      <c r="AI5" s="1309"/>
      <c r="AJ5" s="1309"/>
      <c r="AK5" s="1309"/>
      <c r="AL5" s="1309"/>
      <c r="AM5" s="1309"/>
      <c r="AN5" s="1309"/>
      <c r="AO5" s="1309"/>
      <c r="AP5" s="1309"/>
      <c r="AQ5" s="1309"/>
      <c r="AR5" s="1309"/>
      <c r="AS5" s="1309"/>
      <c r="AT5" s="1309"/>
      <c r="AU5" s="1309"/>
      <c r="AV5" s="1309"/>
      <c r="AW5" s="1309"/>
      <c r="AX5" s="1309"/>
      <c r="AY5" s="1309"/>
      <c r="AZ5" s="1309"/>
      <c r="BA5" s="1309"/>
      <c r="BB5" s="1315">
        <v>3</v>
      </c>
      <c r="BC5" s="1316" t="s">
        <v>6013</v>
      </c>
      <c r="BD5" s="1309"/>
      <c r="BE5" s="1309"/>
      <c r="BF5" s="1309"/>
      <c r="BG5" s="1309"/>
      <c r="BH5" s="1309"/>
      <c r="BI5" s="1309"/>
      <c r="BJ5" s="1309"/>
      <c r="BK5" s="1309"/>
      <c r="BL5" s="1309"/>
      <c r="BM5" s="1309"/>
      <c r="BS5" s="1309"/>
      <c r="BT5" s="1309"/>
      <c r="BU5" s="1309"/>
      <c r="BV5" s="1309"/>
    </row>
    <row r="6" spans="2:74" s="1314" customFormat="1" ht="15">
      <c r="B6" s="3420" t="s">
        <v>7150</v>
      </c>
      <c r="C6" s="3385"/>
      <c r="D6" s="3385"/>
      <c r="E6" s="3421"/>
      <c r="F6" s="1309"/>
      <c r="G6" s="3431" t="s">
        <v>7151</v>
      </c>
      <c r="H6" s="3432"/>
      <c r="I6" s="3433"/>
      <c r="J6" s="1309"/>
      <c r="K6" s="1309"/>
      <c r="L6" s="1309"/>
      <c r="M6" s="1309"/>
      <c r="N6" s="1309"/>
      <c r="O6" s="1309"/>
      <c r="P6" s="1309"/>
      <c r="Q6" s="1309"/>
      <c r="R6" s="1309"/>
      <c r="S6" s="1309"/>
      <c r="T6" s="1309"/>
      <c r="U6" s="1309"/>
      <c r="V6" s="1309"/>
      <c r="W6" s="1309"/>
      <c r="X6" s="1309"/>
      <c r="Y6" s="1309"/>
      <c r="Z6" s="1309"/>
      <c r="AA6" s="1309"/>
      <c r="AB6" s="1309"/>
      <c r="AC6" s="1309"/>
      <c r="AD6" s="1309"/>
      <c r="AE6" s="1311"/>
      <c r="AF6" s="1309"/>
      <c r="AG6" s="1309"/>
      <c r="AH6" s="1309"/>
      <c r="AI6" s="1309"/>
      <c r="AJ6" s="1309"/>
      <c r="AK6" s="1309"/>
      <c r="AL6" s="1309"/>
      <c r="AM6" s="1309"/>
      <c r="AN6" s="1309"/>
      <c r="AO6" s="1309"/>
      <c r="AP6" s="1309"/>
      <c r="AQ6" s="1309"/>
      <c r="AR6" s="1309"/>
      <c r="AS6" s="1309"/>
      <c r="AT6" s="1309"/>
      <c r="AU6" s="1309"/>
      <c r="AV6" s="1309"/>
      <c r="AW6" s="1309"/>
      <c r="AX6" s="1309"/>
      <c r="AY6" s="1309"/>
      <c r="AZ6" s="1309"/>
      <c r="BA6" s="1309"/>
      <c r="BB6" s="1315">
        <v>4</v>
      </c>
      <c r="BC6" s="1316" t="s">
        <v>1002</v>
      </c>
      <c r="BD6" s="1309"/>
      <c r="BE6" s="1309"/>
      <c r="BF6" s="1309"/>
      <c r="BG6" s="1309"/>
      <c r="BH6" s="1309"/>
      <c r="BI6" s="1309"/>
      <c r="BJ6" s="1309"/>
      <c r="BK6" s="1309"/>
      <c r="BL6" s="1309"/>
      <c r="BM6" s="1309"/>
      <c r="BS6" s="1309"/>
      <c r="BT6" s="1309"/>
      <c r="BU6" s="1309"/>
      <c r="BV6" s="1309"/>
    </row>
    <row r="7" spans="2:74" s="1314" customFormat="1" ht="15.75" thickBot="1">
      <c r="B7" s="3420" t="s">
        <v>7152</v>
      </c>
      <c r="C7" s="3385"/>
      <c r="D7" s="3385"/>
      <c r="E7" s="3421"/>
      <c r="F7" s="1309"/>
      <c r="G7" s="3434"/>
      <c r="H7" s="3435"/>
      <c r="I7" s="3436"/>
      <c r="J7" s="1309"/>
      <c r="K7" s="1309"/>
      <c r="L7" s="1309"/>
      <c r="M7" s="1309"/>
      <c r="N7" s="1309"/>
      <c r="O7" s="1309"/>
      <c r="P7" s="1309"/>
      <c r="Q7" s="1309"/>
      <c r="R7" s="1309"/>
      <c r="S7" s="1309"/>
      <c r="T7" s="1309"/>
      <c r="U7" s="1309"/>
      <c r="V7" s="1309"/>
      <c r="W7" s="1309"/>
      <c r="X7" s="1309"/>
      <c r="Y7" s="1309"/>
      <c r="Z7" s="1309"/>
      <c r="AA7" s="1309"/>
      <c r="AB7" s="1309"/>
      <c r="AC7" s="1309"/>
      <c r="AD7" s="1309"/>
      <c r="AE7" s="1311"/>
      <c r="AF7" s="1309"/>
      <c r="AG7" s="1309"/>
      <c r="AH7" s="1309"/>
      <c r="AI7" s="1309"/>
      <c r="AJ7" s="1309"/>
      <c r="AK7" s="1309"/>
      <c r="AL7" s="1309"/>
      <c r="AM7" s="1309"/>
      <c r="AN7" s="1309"/>
      <c r="AO7" s="1309"/>
      <c r="AP7" s="1309"/>
      <c r="AQ7" s="1309"/>
      <c r="AR7" s="1309"/>
      <c r="AS7" s="1309"/>
      <c r="AT7" s="1309"/>
      <c r="AU7" s="1309"/>
      <c r="AV7" s="1309"/>
      <c r="AW7" s="1309"/>
      <c r="AX7" s="1309"/>
      <c r="AY7" s="1309"/>
      <c r="AZ7" s="1309"/>
      <c r="BA7" s="1309"/>
      <c r="BB7" s="1315">
        <v>5</v>
      </c>
      <c r="BC7" s="1316" t="s">
        <v>6018</v>
      </c>
      <c r="BD7" s="1309"/>
      <c r="BE7" s="1309"/>
      <c r="BF7" s="1309"/>
      <c r="BG7" s="1309"/>
      <c r="BH7" s="1309"/>
      <c r="BI7" s="1309"/>
      <c r="BJ7" s="1309"/>
      <c r="BK7" s="1309"/>
      <c r="BL7" s="1309"/>
      <c r="BM7" s="1309"/>
      <c r="BS7" s="1309"/>
      <c r="BT7" s="1309"/>
      <c r="BU7" s="1309"/>
      <c r="BV7" s="1309"/>
    </row>
    <row r="8" spans="2:74" s="1314" customFormat="1" ht="15.75">
      <c r="B8" s="3420" t="s">
        <v>7153</v>
      </c>
      <c r="C8" s="3385"/>
      <c r="D8" s="3385"/>
      <c r="E8" s="3421"/>
      <c r="F8" s="1309"/>
      <c r="G8" s="1309"/>
      <c r="H8" s="1309"/>
      <c r="I8" s="1310"/>
      <c r="J8" s="1309"/>
      <c r="K8" s="1309"/>
      <c r="L8" s="1309"/>
      <c r="M8" s="1309"/>
      <c r="N8" s="1309"/>
      <c r="O8" s="1309"/>
      <c r="P8" s="1309"/>
      <c r="Q8" s="1309"/>
      <c r="R8" s="1309"/>
      <c r="S8" s="1309"/>
      <c r="T8" s="1309"/>
      <c r="U8" s="1309"/>
      <c r="V8" s="1309"/>
      <c r="W8" s="1309"/>
      <c r="X8" s="1309"/>
      <c r="Y8" s="1309"/>
      <c r="Z8" s="1309"/>
      <c r="AA8" s="1309"/>
      <c r="AB8" s="1309"/>
      <c r="AC8" s="1309"/>
      <c r="AD8" s="1309"/>
      <c r="AE8" s="1311"/>
      <c r="AF8" s="1309"/>
      <c r="AG8" s="1309"/>
      <c r="AH8" s="1309"/>
      <c r="AI8" s="1309"/>
      <c r="AJ8" s="1309"/>
      <c r="AK8" s="1309"/>
      <c r="AL8" s="1309"/>
      <c r="AM8" s="1309"/>
      <c r="AN8" s="1309"/>
      <c r="AO8" s="1309"/>
      <c r="AP8" s="1309"/>
      <c r="AQ8" s="1309"/>
      <c r="AR8" s="1309"/>
      <c r="AS8" s="1309"/>
      <c r="AT8" s="1309"/>
      <c r="AU8" s="1309"/>
      <c r="AV8" s="1309"/>
      <c r="AW8" s="1309"/>
      <c r="AX8" s="1309"/>
      <c r="AY8" s="1309"/>
      <c r="AZ8" s="1309"/>
      <c r="BA8" s="1309"/>
      <c r="BB8" s="1315">
        <v>6</v>
      </c>
      <c r="BC8" s="1316" t="s">
        <v>6020</v>
      </c>
      <c r="BD8" s="1309"/>
      <c r="BE8" s="1309"/>
      <c r="BF8" s="1309"/>
      <c r="BG8" s="1309"/>
      <c r="BH8" s="1309"/>
      <c r="BI8" s="1309"/>
      <c r="BJ8" s="1309"/>
      <c r="BK8" s="1309"/>
      <c r="BL8" s="1309"/>
      <c r="BM8" s="1309"/>
      <c r="BS8" s="1309"/>
      <c r="BT8" s="1309"/>
      <c r="BU8" s="1309"/>
      <c r="BV8" s="1309"/>
    </row>
    <row r="9" spans="2:74" s="1314" customFormat="1" ht="15.75">
      <c r="B9" s="3420" t="s">
        <v>7154</v>
      </c>
      <c r="C9" s="3385"/>
      <c r="D9" s="3385"/>
      <c r="E9" s="3421"/>
      <c r="F9" s="1309"/>
      <c r="G9" s="1309"/>
      <c r="H9" s="1309"/>
      <c r="I9" s="1310"/>
      <c r="J9" s="1309"/>
      <c r="K9" s="1309"/>
      <c r="L9" s="1309"/>
      <c r="M9" s="1309"/>
      <c r="N9" s="1309"/>
      <c r="O9" s="1309"/>
      <c r="P9" s="1309"/>
      <c r="Q9" s="1309"/>
      <c r="R9" s="1309"/>
      <c r="S9" s="1309"/>
      <c r="T9" s="1309"/>
      <c r="U9" s="1309"/>
      <c r="V9" s="1309"/>
      <c r="W9" s="1309"/>
      <c r="X9" s="1309"/>
      <c r="Y9" s="1309"/>
      <c r="Z9" s="1309"/>
      <c r="AA9" s="1309"/>
      <c r="AB9" s="1309"/>
      <c r="AC9" s="1309"/>
      <c r="AD9" s="1309"/>
      <c r="AE9" s="1311"/>
      <c r="AF9" s="1309"/>
      <c r="AG9" s="1309"/>
      <c r="AH9" s="1309"/>
      <c r="AI9" s="1309"/>
      <c r="AJ9" s="1309"/>
      <c r="AK9" s="1309"/>
      <c r="AL9" s="1309"/>
      <c r="AM9" s="1309"/>
      <c r="AN9" s="1309"/>
      <c r="AO9" s="1309"/>
      <c r="AP9" s="1309"/>
      <c r="AQ9" s="1309"/>
      <c r="AR9" s="1309"/>
      <c r="AS9" s="1309"/>
      <c r="AT9" s="1309"/>
      <c r="AU9" s="1309"/>
      <c r="AV9" s="1309"/>
      <c r="AW9" s="1309"/>
      <c r="AX9" s="1309"/>
      <c r="AY9" s="1309"/>
      <c r="AZ9" s="1309"/>
      <c r="BA9" s="1309"/>
      <c r="BB9" s="1315">
        <v>7</v>
      </c>
      <c r="BC9" s="1316" t="s">
        <v>4928</v>
      </c>
      <c r="BD9" s="1309"/>
      <c r="BE9" s="1309"/>
      <c r="BF9" s="1309"/>
      <c r="BG9" s="1309"/>
      <c r="BH9" s="1309"/>
      <c r="BI9" s="1309"/>
      <c r="BJ9" s="1309"/>
      <c r="BK9" s="1309"/>
      <c r="BL9" s="1309"/>
      <c r="BM9" s="1309"/>
      <c r="BS9" s="1309"/>
      <c r="BT9" s="1309"/>
      <c r="BU9" s="1309"/>
      <c r="BV9" s="1309"/>
    </row>
    <row r="10" spans="2:74" s="1314" customFormat="1" ht="15.75">
      <c r="B10" s="3420" t="s">
        <v>7155</v>
      </c>
      <c r="C10" s="3385"/>
      <c r="D10" s="3385"/>
      <c r="E10" s="3421"/>
      <c r="F10" s="1309"/>
      <c r="G10" s="1309"/>
      <c r="H10" s="1309"/>
      <c r="I10" s="1310"/>
      <c r="J10" s="1309"/>
      <c r="K10" s="1309"/>
      <c r="L10" s="1309"/>
      <c r="M10" s="1309"/>
      <c r="N10" s="1309"/>
      <c r="O10" s="1309"/>
      <c r="P10" s="1309"/>
      <c r="Q10" s="1309"/>
      <c r="R10" s="1309"/>
      <c r="S10" s="1309"/>
      <c r="T10" s="1309"/>
      <c r="U10" s="1309"/>
      <c r="V10" s="1309"/>
      <c r="W10" s="1309"/>
      <c r="X10" s="1309"/>
      <c r="Y10" s="1309"/>
      <c r="Z10" s="1309"/>
      <c r="AA10" s="1309"/>
      <c r="AB10" s="1309"/>
      <c r="AC10" s="1309"/>
      <c r="AD10" s="1309"/>
      <c r="AE10" s="1311"/>
      <c r="AF10" s="1309"/>
      <c r="AG10" s="1309"/>
      <c r="AH10" s="1309"/>
      <c r="AI10" s="1309"/>
      <c r="AJ10" s="1309"/>
      <c r="AK10" s="1309"/>
      <c r="AL10" s="1309"/>
      <c r="AM10" s="1309"/>
      <c r="AN10" s="1309"/>
      <c r="AO10" s="1309"/>
      <c r="AP10" s="1309"/>
      <c r="AQ10" s="1309"/>
      <c r="AR10" s="1309"/>
      <c r="AS10" s="1309"/>
      <c r="AT10" s="1309"/>
      <c r="AU10" s="1309"/>
      <c r="AV10" s="1309"/>
      <c r="AW10" s="1309"/>
      <c r="AX10" s="1309"/>
      <c r="AY10" s="1309"/>
      <c r="AZ10" s="1309"/>
      <c r="BA10" s="1309"/>
      <c r="BB10" s="1315">
        <v>8</v>
      </c>
      <c r="BC10" s="1316" t="s">
        <v>6025</v>
      </c>
      <c r="BD10" s="1309"/>
      <c r="BE10" s="1309"/>
      <c r="BF10" s="1309"/>
      <c r="BG10" s="1309"/>
      <c r="BH10" s="1309"/>
      <c r="BI10" s="1309"/>
      <c r="BJ10" s="1309"/>
      <c r="BK10" s="1309"/>
      <c r="BL10" s="1309"/>
      <c r="BM10" s="1309"/>
      <c r="BS10" s="1309"/>
      <c r="BT10" s="1309"/>
      <c r="BU10" s="1309"/>
      <c r="BV10" s="1309"/>
    </row>
    <row r="11" spans="2:74" s="1314" customFormat="1" ht="15.75">
      <c r="B11" s="3420" t="s">
        <v>7156</v>
      </c>
      <c r="C11" s="3385"/>
      <c r="D11" s="3385"/>
      <c r="E11" s="3421"/>
      <c r="F11" s="1309"/>
      <c r="G11" s="1309"/>
      <c r="H11" s="1309"/>
      <c r="I11" s="1310"/>
      <c r="J11" s="1309"/>
      <c r="K11" s="1309"/>
      <c r="L11" s="1309"/>
      <c r="M11" s="1309"/>
      <c r="N11" s="1309"/>
      <c r="O11" s="1309"/>
      <c r="P11" s="1309"/>
      <c r="Q11" s="1309"/>
      <c r="R11" s="1309"/>
      <c r="S11" s="1309"/>
      <c r="T11" s="1309"/>
      <c r="U11" s="1309"/>
      <c r="V11" s="1309"/>
      <c r="W11" s="1309"/>
      <c r="X11" s="1309"/>
      <c r="Y11" s="1309"/>
      <c r="Z11" s="1309"/>
      <c r="AA11" s="1309"/>
      <c r="AB11" s="1309"/>
      <c r="AC11" s="1309"/>
      <c r="AD11" s="1309"/>
      <c r="AE11" s="1311"/>
      <c r="AF11" s="1309"/>
      <c r="AG11" s="1309"/>
      <c r="AH11" s="1309"/>
      <c r="AI11" s="1309"/>
      <c r="AJ11" s="1309"/>
      <c r="AK11" s="1309"/>
      <c r="AL11" s="1309"/>
      <c r="AM11" s="1309"/>
      <c r="AN11" s="1309"/>
      <c r="AO11" s="1309"/>
      <c r="AP11" s="1309"/>
      <c r="AQ11" s="1309"/>
      <c r="AR11" s="1309"/>
      <c r="AS11" s="1309"/>
      <c r="AT11" s="1309"/>
      <c r="AU11" s="1309"/>
      <c r="AV11" s="1309"/>
      <c r="AW11" s="1309"/>
      <c r="AX11" s="1309"/>
      <c r="AY11" s="1309"/>
      <c r="AZ11" s="1309"/>
      <c r="BA11" s="1309"/>
      <c r="BB11" s="1315">
        <v>9</v>
      </c>
      <c r="BC11" s="1316" t="s">
        <v>6028</v>
      </c>
      <c r="BD11" s="1309"/>
      <c r="BE11" s="1309"/>
      <c r="BF11" s="1309"/>
      <c r="BG11" s="1309"/>
      <c r="BH11" s="1309"/>
      <c r="BI11" s="1309"/>
      <c r="BJ11" s="1309"/>
      <c r="BK11" s="1309"/>
      <c r="BL11" s="1309"/>
      <c r="BM11" s="1309"/>
      <c r="BS11" s="1309"/>
      <c r="BT11" s="1309"/>
      <c r="BU11" s="1309"/>
      <c r="BV11" s="1309"/>
    </row>
    <row r="12" spans="2:74" s="1314" customFormat="1" ht="16.5" thickBot="1">
      <c r="B12" s="3422" t="s">
        <v>7157</v>
      </c>
      <c r="C12" s="3423"/>
      <c r="D12" s="3423"/>
      <c r="E12" s="3424"/>
      <c r="F12" s="1309"/>
      <c r="G12" s="1309"/>
      <c r="H12" s="1309"/>
      <c r="I12" s="1310"/>
      <c r="J12" s="1309"/>
      <c r="K12" s="1309"/>
      <c r="L12" s="1309"/>
      <c r="M12" s="1309"/>
      <c r="N12" s="1309"/>
      <c r="O12" s="1309"/>
      <c r="P12" s="1309"/>
      <c r="Q12" s="1309"/>
      <c r="R12" s="1309"/>
      <c r="S12" s="1309"/>
      <c r="T12" s="1309"/>
      <c r="U12" s="1309"/>
      <c r="V12" s="1309"/>
      <c r="W12" s="1309"/>
      <c r="X12" s="1309"/>
      <c r="Y12" s="1309"/>
      <c r="Z12" s="1309"/>
      <c r="AA12" s="1309"/>
      <c r="AB12" s="1309"/>
      <c r="AC12" s="1309"/>
      <c r="AD12" s="1309"/>
      <c r="AE12" s="1311"/>
      <c r="AF12" s="1309"/>
      <c r="AG12" s="1309"/>
      <c r="AH12" s="1309"/>
      <c r="AI12" s="1309"/>
      <c r="AJ12" s="1309"/>
      <c r="AK12" s="1309"/>
      <c r="AL12" s="1309"/>
      <c r="AM12" s="1309"/>
      <c r="AN12" s="1309"/>
      <c r="AO12" s="1309"/>
      <c r="AP12" s="1309"/>
      <c r="AQ12" s="1309"/>
      <c r="AR12" s="1309"/>
      <c r="AS12" s="1309"/>
      <c r="AT12" s="1309"/>
      <c r="AU12" s="1309"/>
      <c r="AV12" s="1309"/>
      <c r="AW12" s="1309"/>
      <c r="AX12" s="1309"/>
      <c r="AY12" s="1309"/>
      <c r="AZ12" s="1309"/>
      <c r="BA12" s="1309"/>
      <c r="BB12" s="1315">
        <v>10</v>
      </c>
      <c r="BC12" s="1316" t="s">
        <v>6031</v>
      </c>
      <c r="BD12" s="1309"/>
      <c r="BE12" s="1309"/>
      <c r="BF12" s="1309"/>
      <c r="BG12" s="1309"/>
      <c r="BH12" s="1309"/>
      <c r="BI12" s="1309"/>
      <c r="BJ12" s="1309"/>
      <c r="BK12" s="1309"/>
      <c r="BL12" s="1309"/>
      <c r="BM12" s="1309"/>
      <c r="BS12" s="1309"/>
      <c r="BT12" s="1309"/>
      <c r="BU12" s="1309"/>
      <c r="BV12" s="1309"/>
    </row>
    <row r="13" spans="2:74" ht="12" customHeight="1">
      <c r="BB13" s="1315">
        <v>11</v>
      </c>
      <c r="BC13" s="1316" t="s">
        <v>6033</v>
      </c>
    </row>
    <row r="14" spans="2:74" ht="12" customHeight="1" thickBot="1">
      <c r="BB14" s="1315">
        <v>12</v>
      </c>
      <c r="BC14" s="1316" t="s">
        <v>6034</v>
      </c>
    </row>
    <row r="15" spans="2:74" ht="12" customHeight="1" thickTop="1" thickBot="1">
      <c r="B15" s="3330" t="s">
        <v>7158</v>
      </c>
      <c r="C15" s="3331"/>
      <c r="D15" s="3331"/>
      <c r="E15" s="3331"/>
      <c r="F15" s="3331"/>
      <c r="G15" s="3332"/>
      <c r="H15" s="3330" t="s">
        <v>7159</v>
      </c>
      <c r="I15" s="3331"/>
      <c r="J15" s="3331"/>
      <c r="K15" s="3331"/>
      <c r="L15" s="3331"/>
      <c r="M15" s="3330" t="s">
        <v>7160</v>
      </c>
      <c r="N15" s="3331"/>
      <c r="O15" s="3331"/>
      <c r="P15" s="3331"/>
      <c r="Q15" s="3331"/>
      <c r="R15" s="3407" t="s">
        <v>7161</v>
      </c>
      <c r="S15" s="3408"/>
      <c r="T15" s="3408"/>
      <c r="U15" s="3408"/>
      <c r="V15" s="3413"/>
      <c r="W15" s="3407" t="s">
        <v>7162</v>
      </c>
      <c r="X15" s="3408"/>
      <c r="Y15" s="3408"/>
      <c r="Z15" s="3408"/>
      <c r="AA15" s="3413"/>
      <c r="AB15" s="3407" t="s">
        <v>7163</v>
      </c>
      <c r="AC15" s="3408"/>
      <c r="AD15" s="3408"/>
      <c r="AE15" s="3408"/>
      <c r="AF15" s="3413"/>
      <c r="AG15" s="3407" t="s">
        <v>7164</v>
      </c>
      <c r="AH15" s="3408"/>
      <c r="AI15" s="3408"/>
      <c r="AJ15" s="3408"/>
      <c r="AK15" s="3409"/>
      <c r="AL15" s="3407" t="s">
        <v>7165</v>
      </c>
      <c r="AM15" s="3408"/>
      <c r="AN15" s="3408"/>
      <c r="AO15" s="3408"/>
      <c r="AP15" s="3409"/>
      <c r="AQ15" s="3407" t="s">
        <v>7166</v>
      </c>
      <c r="AR15" s="3408"/>
      <c r="AS15" s="3408"/>
      <c r="AT15" s="3408"/>
      <c r="AU15" s="3409"/>
      <c r="AV15" s="3407" t="s">
        <v>7167</v>
      </c>
      <c r="AW15" s="3408"/>
      <c r="AX15" s="3408"/>
      <c r="AY15" s="3408"/>
      <c r="AZ15" s="3409"/>
      <c r="BB15" s="1317">
        <v>13</v>
      </c>
      <c r="BC15" s="1318" t="s">
        <v>6035</v>
      </c>
    </row>
    <row r="16" spans="2:74" ht="12" customHeight="1" thickBot="1">
      <c r="B16" s="3333"/>
      <c r="C16" s="2932"/>
      <c r="D16" s="2932"/>
      <c r="E16" s="2932"/>
      <c r="F16" s="2932"/>
      <c r="G16" s="3334"/>
      <c r="H16" s="3333" t="s">
        <v>6061</v>
      </c>
      <c r="I16" s="2932"/>
      <c r="J16" s="2932"/>
      <c r="K16" s="2932"/>
      <c r="L16" s="2932"/>
      <c r="M16" s="3333"/>
      <c r="N16" s="2932"/>
      <c r="O16" s="2932"/>
      <c r="P16" s="2932"/>
      <c r="Q16" s="2932"/>
      <c r="R16" s="3410"/>
      <c r="S16" s="3411"/>
      <c r="T16" s="3411"/>
      <c r="U16" s="3411"/>
      <c r="V16" s="3414"/>
      <c r="W16" s="3410" t="s">
        <v>6061</v>
      </c>
      <c r="X16" s="3411"/>
      <c r="Y16" s="3411"/>
      <c r="Z16" s="3411"/>
      <c r="AA16" s="3414"/>
      <c r="AB16" s="3410" t="s">
        <v>6061</v>
      </c>
      <c r="AC16" s="3411"/>
      <c r="AD16" s="3411"/>
      <c r="AE16" s="3411"/>
      <c r="AF16" s="3414"/>
      <c r="AG16" s="3410" t="s">
        <v>6061</v>
      </c>
      <c r="AH16" s="3411"/>
      <c r="AI16" s="3411"/>
      <c r="AJ16" s="3411"/>
      <c r="AK16" s="3412"/>
      <c r="AL16" s="3410" t="s">
        <v>6061</v>
      </c>
      <c r="AM16" s="3411"/>
      <c r="AN16" s="3411"/>
      <c r="AO16" s="3411"/>
      <c r="AP16" s="3412"/>
      <c r="AQ16" s="3410" t="s">
        <v>6061</v>
      </c>
      <c r="AR16" s="3411"/>
      <c r="AS16" s="3411"/>
      <c r="AT16" s="3411"/>
      <c r="AU16" s="3412"/>
      <c r="AV16" s="3410" t="s">
        <v>6061</v>
      </c>
      <c r="AW16" s="3411"/>
      <c r="AX16" s="3411"/>
      <c r="AY16" s="3411"/>
      <c r="AZ16" s="3412"/>
      <c r="BA16" s="594"/>
      <c r="BB16" s="1319"/>
      <c r="BC16" s="594"/>
      <c r="BD16" s="594"/>
      <c r="BE16" s="594"/>
      <c r="BF16" s="594"/>
      <c r="BG16" s="594"/>
      <c r="BH16" s="594"/>
      <c r="BI16" s="594"/>
      <c r="BJ16" s="594"/>
      <c r="BK16" s="594"/>
      <c r="BL16" s="594"/>
    </row>
    <row r="17" spans="2:71" ht="12" customHeight="1">
      <c r="B17" s="1320" t="s">
        <v>7168</v>
      </c>
      <c r="C17" s="3358" t="s">
        <v>7169</v>
      </c>
      <c r="D17" s="3358" t="s">
        <v>6598</v>
      </c>
      <c r="E17" s="3358" t="s">
        <v>6592</v>
      </c>
      <c r="F17" s="1298" t="s">
        <v>7170</v>
      </c>
      <c r="G17" s="3415" t="s">
        <v>7171</v>
      </c>
      <c r="H17" s="1320" t="s">
        <v>7168</v>
      </c>
      <c r="I17" s="3358" t="s">
        <v>6548</v>
      </c>
      <c r="J17" s="3358" t="s">
        <v>6549</v>
      </c>
      <c r="K17" s="3358" t="s">
        <v>7172</v>
      </c>
      <c r="L17" s="3417" t="s">
        <v>7173</v>
      </c>
      <c r="M17" s="1320" t="s">
        <v>7168</v>
      </c>
      <c r="N17" s="3358" t="s">
        <v>6548</v>
      </c>
      <c r="O17" s="3358" t="s">
        <v>6549</v>
      </c>
      <c r="P17" s="3358" t="s">
        <v>7174</v>
      </c>
      <c r="Q17" s="3417" t="s">
        <v>7173</v>
      </c>
      <c r="R17" s="1321" t="s">
        <v>7168</v>
      </c>
      <c r="S17" s="3403" t="s">
        <v>6548</v>
      </c>
      <c r="T17" s="3403" t="s">
        <v>6549</v>
      </c>
      <c r="U17" s="3403" t="s">
        <v>7175</v>
      </c>
      <c r="V17" s="3405" t="s">
        <v>7173</v>
      </c>
      <c r="W17" s="1320" t="s">
        <v>7168</v>
      </c>
      <c r="X17" s="3403" t="s">
        <v>6548</v>
      </c>
      <c r="Y17" s="3403" t="s">
        <v>6549</v>
      </c>
      <c r="Z17" s="3403" t="s">
        <v>7176</v>
      </c>
      <c r="AA17" s="3405" t="s">
        <v>7173</v>
      </c>
      <c r="AB17" s="1320" t="s">
        <v>7168</v>
      </c>
      <c r="AC17" s="3403" t="s">
        <v>6548</v>
      </c>
      <c r="AD17" s="3403" t="s">
        <v>6549</v>
      </c>
      <c r="AE17" s="3403" t="s">
        <v>7177</v>
      </c>
      <c r="AF17" s="3405" t="s">
        <v>7173</v>
      </c>
      <c r="AG17" s="1320" t="s">
        <v>7168</v>
      </c>
      <c r="AH17" s="3403" t="s">
        <v>6548</v>
      </c>
      <c r="AI17" s="3403" t="s">
        <v>6549</v>
      </c>
      <c r="AJ17" s="3403" t="s">
        <v>7178</v>
      </c>
      <c r="AK17" s="3401" t="s">
        <v>7173</v>
      </c>
      <c r="AL17" s="1320" t="s">
        <v>7168</v>
      </c>
      <c r="AM17" s="3403" t="s">
        <v>6548</v>
      </c>
      <c r="AN17" s="3403" t="s">
        <v>6549</v>
      </c>
      <c r="AO17" s="3403" t="s">
        <v>7179</v>
      </c>
      <c r="AP17" s="3401" t="s">
        <v>7173</v>
      </c>
      <c r="AQ17" s="1320" t="s">
        <v>7168</v>
      </c>
      <c r="AR17" s="3403" t="s">
        <v>6548</v>
      </c>
      <c r="AS17" s="3403" t="s">
        <v>6549</v>
      </c>
      <c r="AT17" s="3403" t="s">
        <v>7180</v>
      </c>
      <c r="AU17" s="3401" t="s">
        <v>7173</v>
      </c>
      <c r="AV17" s="1320" t="s">
        <v>7168</v>
      </c>
      <c r="AW17" s="3403" t="s">
        <v>6548</v>
      </c>
      <c r="AX17" s="3403" t="s">
        <v>6549</v>
      </c>
      <c r="AY17" s="3403" t="s">
        <v>7181</v>
      </c>
      <c r="AZ17" s="3401" t="s">
        <v>7173</v>
      </c>
      <c r="BD17" s="1035"/>
      <c r="BI17" s="1035"/>
    </row>
    <row r="18" spans="2:71" ht="12" customHeight="1" thickBot="1">
      <c r="B18" s="1322">
        <f>COUNT(B19:B43)</f>
        <v>25</v>
      </c>
      <c r="C18" s="3359"/>
      <c r="D18" s="3359"/>
      <c r="E18" s="3359"/>
      <c r="F18" s="1323"/>
      <c r="G18" s="3416"/>
      <c r="H18" s="1324">
        <f>COUNT($B19:$B43)-COUNTBLANK(H19:H43)</f>
        <v>22</v>
      </c>
      <c r="I18" s="3359"/>
      <c r="J18" s="3359"/>
      <c r="K18" s="3359"/>
      <c r="L18" s="3418" t="s">
        <v>7182</v>
      </c>
      <c r="M18" s="1324">
        <f>COUNT($B19:$B43)-COUNTBLANK(M19:M43)</f>
        <v>25</v>
      </c>
      <c r="N18" s="3359"/>
      <c r="O18" s="3359"/>
      <c r="P18" s="3359"/>
      <c r="Q18" s="3419"/>
      <c r="R18" s="1325">
        <f>COUNT($B19:$B43)-COUNTBLANK(R19:R43)</f>
        <v>16</v>
      </c>
      <c r="S18" s="3404"/>
      <c r="T18" s="3404"/>
      <c r="U18" s="3404"/>
      <c r="V18" s="3406" t="s">
        <v>7182</v>
      </c>
      <c r="W18" s="1324">
        <f>COUNT($B19:$B43)-COUNTBLANK(W19:W43)</f>
        <v>8</v>
      </c>
      <c r="X18" s="3404"/>
      <c r="Y18" s="3404"/>
      <c r="Z18" s="3404"/>
      <c r="AA18" s="3406" t="s">
        <v>7182</v>
      </c>
      <c r="AB18" s="1324">
        <f>COUNT($B19:$B43)-COUNTBLANK(AB19:AB43)</f>
        <v>16</v>
      </c>
      <c r="AC18" s="3404"/>
      <c r="AD18" s="3404"/>
      <c r="AE18" s="3404"/>
      <c r="AF18" s="3406" t="s">
        <v>7182</v>
      </c>
      <c r="AG18" s="1324">
        <f>COUNT($B19:$B43)-COUNTBLANK(AG19:AG43)</f>
        <v>7</v>
      </c>
      <c r="AH18" s="3404"/>
      <c r="AI18" s="3404"/>
      <c r="AJ18" s="3404"/>
      <c r="AK18" s="3402" t="s">
        <v>7182</v>
      </c>
      <c r="AL18" s="1324">
        <f>COUNT($B19:$B43)-COUNTBLANK(AL19:AL43)</f>
        <v>10</v>
      </c>
      <c r="AM18" s="3404"/>
      <c r="AN18" s="3404"/>
      <c r="AO18" s="3404"/>
      <c r="AP18" s="3402" t="s">
        <v>7182</v>
      </c>
      <c r="AQ18" s="1324">
        <f>COUNT($B19:$B43)-COUNTBLANK(AQ19:AQ43)</f>
        <v>5</v>
      </c>
      <c r="AR18" s="3404"/>
      <c r="AS18" s="3404"/>
      <c r="AT18" s="3404"/>
      <c r="AU18" s="3402" t="s">
        <v>7182</v>
      </c>
      <c r="AV18" s="1324">
        <f>COUNT($B19:$B43)-COUNTBLANK(AV19:AV43)</f>
        <v>4</v>
      </c>
      <c r="AW18" s="3404"/>
      <c r="AX18" s="3404"/>
      <c r="AY18" s="3404"/>
      <c r="AZ18" s="3402" t="s">
        <v>7182</v>
      </c>
    </row>
    <row r="19" spans="2:71" ht="12" customHeight="1">
      <c r="B19" s="1326">
        <v>1</v>
      </c>
      <c r="C19" s="329">
        <v>1</v>
      </c>
      <c r="D19" s="1327">
        <f t="shared" ref="D19:D30" ca="1" si="0">IF(C19=$B$17,$B$17,RAND())</f>
        <v>0.88006285215169711</v>
      </c>
      <c r="E19" s="467">
        <f ca="1">IF(C19=ROWS(E$19:E19),RANK(D19,$D$19:$D$43),"")</f>
        <v>3</v>
      </c>
      <c r="F19" s="1328" t="s">
        <v>7183</v>
      </c>
      <c r="G19" s="1329" t="str">
        <f ca="1">VLOOKUP(C19,$E$19:$F$43,2,FALSE)</f>
        <v>Friends</v>
      </c>
      <c r="H19" s="1330">
        <v>1</v>
      </c>
      <c r="I19" s="1327">
        <f t="shared" ref="I19:I40" ca="1" si="1">IF(H19=$B$17,$B$17,RAND())</f>
        <v>0.33577618401957443</v>
      </c>
      <c r="J19" s="467">
        <f t="shared" ref="J19:J40" ca="1" si="2">RANK(I19,I$19:I$43)</f>
        <v>15</v>
      </c>
      <c r="K19" s="1328" t="s">
        <v>7184</v>
      </c>
      <c r="L19" s="595" t="str">
        <f t="shared" ref="L19:L40" ca="1" si="3">IF(H19=$B$17," ",VLOOKUP($B19,J$19:K$43,2,FALSE))</f>
        <v>Sleep</v>
      </c>
      <c r="M19" s="1330">
        <v>1</v>
      </c>
      <c r="N19" s="1327">
        <f t="shared" ref="N19:N43" ca="1" si="4">IF(M19=$B$17,$B$17,RAND())</f>
        <v>0.98193545851602293</v>
      </c>
      <c r="O19" s="467">
        <f t="shared" ref="O19:O43" ca="1" si="5">RANK(N19,N$19:N$43)</f>
        <v>1</v>
      </c>
      <c r="P19" s="1328" t="s">
        <v>7185</v>
      </c>
      <c r="Q19" s="595" t="str">
        <f t="shared" ref="Q19:Q43" ca="1" si="6">IF(M19=$B$17," ",VLOOKUP($B19,O$19:P$43,2,FALSE))</f>
        <v>Animal Messenger</v>
      </c>
      <c r="R19" s="1331">
        <v>1</v>
      </c>
      <c r="S19" s="1332">
        <f t="shared" ref="S19:S34" ca="1" si="7">IF(R19=$B$17,$B$17,RAND())</f>
        <v>0.26472452564788973</v>
      </c>
      <c r="T19" s="488">
        <f t="shared" ref="T19:T34" ca="1" si="8">RANK(S19,S$19:S$43)</f>
        <v>12</v>
      </c>
      <c r="U19" s="1333" t="s">
        <v>7186</v>
      </c>
      <c r="V19" s="1334" t="str">
        <f t="shared" ref="V19:V34" ca="1" si="9">IF(R19=$B$17," ",VLOOKUP($B19,T$19:U$43,2,FALSE))</f>
        <v>Plant Growth</v>
      </c>
      <c r="W19" s="1330">
        <v>1</v>
      </c>
      <c r="X19" s="1327">
        <f t="shared" ref="X19:X26" ca="1" si="10">IF(W19=$B$17,$B$17,RAND())</f>
        <v>0.93505767244394589</v>
      </c>
      <c r="Y19" s="467">
        <f t="shared" ref="Y19:Y26" ca="1" si="11">RANK(X19,X$19:X$43)</f>
        <v>1</v>
      </c>
      <c r="Z19" s="1328" t="s">
        <v>7187</v>
      </c>
      <c r="AA19" s="595" t="str">
        <f t="shared" ref="AA19:AA26" ca="1" si="12">IF(W19=$B$17," ",VLOOKUP($B19,Y$19:Z$43,2,FALSE))</f>
        <v>Compulsion</v>
      </c>
      <c r="AB19" s="1330">
        <v>1</v>
      </c>
      <c r="AC19" s="1327">
        <f t="shared" ref="AC19:AC34" ca="1" si="13">IF(AB19=$B$17,$B$17,RAND())</f>
        <v>0.95001401384464335</v>
      </c>
      <c r="AD19" s="467">
        <f t="shared" ref="AD19:AD34" ca="1" si="14">RANK(AC19,AC$19:AC$43)</f>
        <v>1</v>
      </c>
      <c r="AE19" s="1328" t="s">
        <v>7188</v>
      </c>
      <c r="AF19" s="595" t="str">
        <f t="shared" ref="AF19:AF34" ca="1" si="15">IF(AB19=$B$17," ",VLOOKUP($B19,AD$19:AE$43,2,FALSE))</f>
        <v>Animate Object</v>
      </c>
      <c r="AG19" s="1330">
        <v>1</v>
      </c>
      <c r="AH19" s="1327">
        <f t="shared" ref="AH19:AH25" ca="1" si="16">IF(AG19=$B$17,$B$17,RAND())</f>
        <v>0.85196172023267636</v>
      </c>
      <c r="AI19" s="467">
        <f t="shared" ref="AI19:AI25" ca="1" si="17">RANK(AH19,AH$19:AH$43)</f>
        <v>2</v>
      </c>
      <c r="AJ19" s="1328" t="s">
        <v>7189</v>
      </c>
      <c r="AK19" s="1329" t="str">
        <f t="shared" ref="AK19:AK25" ca="1" si="18">IF(AG19=$B$17," ",VLOOKUP($B19,AI$19:AJ$43,2,FALSE))</f>
        <v>Find the Path</v>
      </c>
      <c r="AL19" s="1330">
        <v>1</v>
      </c>
      <c r="AM19" s="1327">
        <f t="shared" ref="AM19:AM28" ca="1" si="19">IF(AL19=$B$17,$B$17,RAND())</f>
        <v>0.49206029654673922</v>
      </c>
      <c r="AN19" s="467">
        <f t="shared" ref="AN19:AN28" ca="1" si="20">RANK(AM19,AM$19:AM$43)</f>
        <v>7</v>
      </c>
      <c r="AO19" s="1328" t="s">
        <v>3801</v>
      </c>
      <c r="AP19" s="1329" t="str">
        <f t="shared" ref="AP19:AP28" ca="1" si="21">IF(AL19=$B$17," ",VLOOKUP($B19,AN$19:AO$43,2,FALSE))</f>
        <v>Teleport</v>
      </c>
      <c r="AQ19" s="1330">
        <v>1</v>
      </c>
      <c r="AR19" s="1327">
        <f ca="1">IF(AQ19=$B$17,$B$17,RAND())</f>
        <v>5.747630675688431E-2</v>
      </c>
      <c r="AS19" s="467">
        <f ca="1">RANK(AR19,AR$19:AR$43)</f>
        <v>4</v>
      </c>
      <c r="AT19" s="1328" t="s">
        <v>7190</v>
      </c>
      <c r="AU19" s="1329" t="str">
        <f ca="1">IF(AQ19=$B$17," ",VLOOKUP($B19,AS$19:AT$43,2,FALSE))</f>
        <v>Glibness</v>
      </c>
      <c r="AV19" s="1330">
        <v>1</v>
      </c>
      <c r="AW19" s="1327">
        <f ca="1">IF(AV19=$B$17,$B$17,RAND())</f>
        <v>0.56576685356355882</v>
      </c>
      <c r="AX19" s="467">
        <f ca="1">RANK(AW19,AW$19:AW$43)</f>
        <v>2</v>
      </c>
      <c r="AY19" s="1328" t="s">
        <v>7191</v>
      </c>
      <c r="AZ19" s="1329" t="str">
        <f ca="1">IF(AV19=$B$17," ",VLOOKUP($B19,AX$19:AY$43,2,FALSE))</f>
        <v>Power Word Heal</v>
      </c>
      <c r="BA19" s="273"/>
      <c r="BB19" s="273"/>
      <c r="BD19" s="1335"/>
      <c r="BF19" s="273"/>
      <c r="BG19" s="273"/>
      <c r="BI19" s="1335"/>
      <c r="BK19" s="273"/>
      <c r="BL19" s="273"/>
      <c r="BS19" s="271" t="s">
        <v>1287</v>
      </c>
    </row>
    <row r="20" spans="2:71" ht="12" customHeight="1">
      <c r="B20" s="1336">
        <v>2</v>
      </c>
      <c r="C20" s="352">
        <v>2</v>
      </c>
      <c r="D20" s="1337">
        <f t="shared" ca="1" si="0"/>
        <v>0.91459482781544876</v>
      </c>
      <c r="E20" s="382">
        <f ca="1">IF(C20=ROWS(E$19:E20),RANK(D20,$D$19:$D$43),"")</f>
        <v>2</v>
      </c>
      <c r="F20" s="1338" t="s">
        <v>7192</v>
      </c>
      <c r="G20" s="1339" t="str">
        <f t="shared" ref="G20:G30" ca="1" si="22">VLOOKUP(C20,$E$19:$F$43,2,FALSE)</f>
        <v>Dancing Lights</v>
      </c>
      <c r="H20" s="1340">
        <v>2</v>
      </c>
      <c r="I20" s="1337">
        <f t="shared" ca="1" si="1"/>
        <v>0.31236629185956255</v>
      </c>
      <c r="J20" s="382">
        <f t="shared" ca="1" si="2"/>
        <v>16</v>
      </c>
      <c r="K20" s="1338" t="s">
        <v>7193</v>
      </c>
      <c r="L20" s="701" t="str">
        <f t="shared" ca="1" si="3"/>
        <v>Unseen Servant</v>
      </c>
      <c r="M20" s="1340">
        <v>2</v>
      </c>
      <c r="N20" s="1337">
        <f t="shared" ca="1" si="4"/>
        <v>0.85225768050924233</v>
      </c>
      <c r="O20" s="382">
        <f t="shared" ca="1" si="5"/>
        <v>3</v>
      </c>
      <c r="P20" s="1338" t="s">
        <v>7194</v>
      </c>
      <c r="Q20" s="701" t="str">
        <f t="shared" ca="1" si="6"/>
        <v>Suggestion</v>
      </c>
      <c r="R20" s="1340">
        <v>2</v>
      </c>
      <c r="S20" s="1337">
        <f t="shared" ca="1" si="7"/>
        <v>0.8805510647980348</v>
      </c>
      <c r="T20" s="382">
        <f t="shared" ca="1" si="8"/>
        <v>2</v>
      </c>
      <c r="U20" s="1338" t="s">
        <v>7195</v>
      </c>
      <c r="V20" s="701" t="str">
        <f t="shared" ca="1" si="9"/>
        <v>Clairvoyance</v>
      </c>
      <c r="W20" s="1340">
        <v>2</v>
      </c>
      <c r="X20" s="1337">
        <f t="shared" ca="1" si="10"/>
        <v>0.85839703972048298</v>
      </c>
      <c r="Y20" s="382">
        <f t="shared" ca="1" si="11"/>
        <v>2</v>
      </c>
      <c r="Z20" s="1338" t="s">
        <v>7196</v>
      </c>
      <c r="AA20" s="701" t="str">
        <f t="shared" ca="1" si="12"/>
        <v>Confusion</v>
      </c>
      <c r="AB20" s="1340">
        <v>2</v>
      </c>
      <c r="AC20" s="1337">
        <f t="shared" ca="1" si="13"/>
        <v>0.86606822276121465</v>
      </c>
      <c r="AD20" s="382">
        <f t="shared" ca="1" si="14"/>
        <v>2</v>
      </c>
      <c r="AE20" s="1338" t="s">
        <v>7197</v>
      </c>
      <c r="AF20" s="701" t="str">
        <f t="shared" ca="1" si="15"/>
        <v>Awaken</v>
      </c>
      <c r="AG20" s="1340">
        <v>2</v>
      </c>
      <c r="AH20" s="1337">
        <f t="shared" ca="1" si="16"/>
        <v>0.9050477467555319</v>
      </c>
      <c r="AI20" s="382">
        <f t="shared" ca="1" si="17"/>
        <v>1</v>
      </c>
      <c r="AJ20" s="1338" t="s">
        <v>7198</v>
      </c>
      <c r="AK20" s="1339" t="str">
        <f t="shared" ca="1" si="18"/>
        <v>Eyebite</v>
      </c>
      <c r="AL20" s="1340">
        <v>2</v>
      </c>
      <c r="AM20" s="1337">
        <f t="shared" ca="1" si="19"/>
        <v>0.34711924292010632</v>
      </c>
      <c r="AN20" s="382">
        <f t="shared" ca="1" si="20"/>
        <v>8</v>
      </c>
      <c r="AO20" s="1338" t="s">
        <v>7199</v>
      </c>
      <c r="AP20" s="1339" t="str">
        <f t="shared" ca="1" si="21"/>
        <v>Mordekainen's Sword</v>
      </c>
      <c r="AQ20" s="1340">
        <v>2</v>
      </c>
      <c r="AR20" s="1337">
        <f ca="1">IF(AQ20=$B$17,$B$17,RAND())</f>
        <v>3.8777691236845602E-2</v>
      </c>
      <c r="AS20" s="382">
        <f ca="1">RANK(AR20,AR$19:AR$43)</f>
        <v>5</v>
      </c>
      <c r="AT20" s="1338" t="s">
        <v>7200</v>
      </c>
      <c r="AU20" s="1339" t="str">
        <f ca="1">IF(AQ20=$B$17," ",VLOOKUP($B20,AS$19:AT$43,2,FALSE))</f>
        <v>Power Word Stun</v>
      </c>
      <c r="AV20" s="1340">
        <v>2</v>
      </c>
      <c r="AW20" s="1337">
        <f ca="1">IF(AV20=$B$17,$B$17,RAND())</f>
        <v>0.64968339549046772</v>
      </c>
      <c r="AX20" s="382">
        <f ca="1">RANK(AW20,AW$19:AW$43)</f>
        <v>1</v>
      </c>
      <c r="AY20" s="1338" t="s">
        <v>7201</v>
      </c>
      <c r="AZ20" s="1339" t="str">
        <f ca="1">IF(AV20=$B$17," ",VLOOKUP($B20,AX$19:AY$43,2,FALSE))</f>
        <v>Foresight</v>
      </c>
      <c r="BA20" s="273"/>
      <c r="BB20" s="273"/>
      <c r="BD20" s="1335"/>
      <c r="BF20" s="273"/>
      <c r="BG20" s="273"/>
      <c r="BI20" s="1335"/>
      <c r="BK20" s="273"/>
      <c r="BL20" s="273"/>
      <c r="BS20" s="271" t="s">
        <v>1287</v>
      </c>
    </row>
    <row r="21" spans="2:71" ht="12" customHeight="1">
      <c r="B21" s="1336">
        <v>3</v>
      </c>
      <c r="C21" s="352">
        <v>3</v>
      </c>
      <c r="D21" s="1337">
        <f t="shared" ca="1" si="0"/>
        <v>0.96273419735586752</v>
      </c>
      <c r="E21" s="382">
        <f ca="1">IF(C21=ROWS(E$19:E21),RANK(D21,$D$19:$D$43),"")</f>
        <v>1</v>
      </c>
      <c r="F21" s="1338" t="s">
        <v>7202</v>
      </c>
      <c r="G21" s="1339" t="str">
        <f t="shared" ca="1" si="22"/>
        <v>Blade Ward</v>
      </c>
      <c r="H21" s="1340">
        <v>3</v>
      </c>
      <c r="I21" s="1337">
        <f t="shared" ca="1" si="1"/>
        <v>9.814216694934863E-2</v>
      </c>
      <c r="J21" s="382">
        <f t="shared" ca="1" si="2"/>
        <v>22</v>
      </c>
      <c r="K21" s="1338" t="s">
        <v>7203</v>
      </c>
      <c r="L21" s="701" t="str">
        <f t="shared" ca="1" si="3"/>
        <v>Dissonant Whispers</v>
      </c>
      <c r="M21" s="1340">
        <v>3</v>
      </c>
      <c r="N21" s="1337">
        <f t="shared" ca="1" si="4"/>
        <v>0.66104564540126809</v>
      </c>
      <c r="O21" s="382">
        <f t="shared" ca="1" si="5"/>
        <v>5</v>
      </c>
      <c r="P21" s="1338" t="s">
        <v>7204</v>
      </c>
      <c r="Q21" s="701" t="str">
        <f t="shared" ca="1" si="6"/>
        <v>Blindness/Deafness</v>
      </c>
      <c r="R21" s="1340">
        <v>3</v>
      </c>
      <c r="S21" s="1337">
        <f t="shared" ca="1" si="7"/>
        <v>0.79747320766839125</v>
      </c>
      <c r="T21" s="382">
        <f t="shared" ca="1" si="8"/>
        <v>3</v>
      </c>
      <c r="U21" s="1338" t="s">
        <v>7205</v>
      </c>
      <c r="V21" s="701" t="str">
        <f t="shared" ca="1" si="9"/>
        <v>Dispel Magic</v>
      </c>
      <c r="W21" s="1340">
        <v>3</v>
      </c>
      <c r="X21" s="1337">
        <f t="shared" ca="1" si="10"/>
        <v>0.35670054218163627</v>
      </c>
      <c r="Y21" s="382">
        <f t="shared" ca="1" si="11"/>
        <v>6</v>
      </c>
      <c r="Z21" s="1338" t="s">
        <v>7206</v>
      </c>
      <c r="AA21" s="701" t="str">
        <f t="shared" ca="1" si="12"/>
        <v>Greater Invisibility</v>
      </c>
      <c r="AB21" s="1340">
        <v>3</v>
      </c>
      <c r="AC21" s="1337">
        <f t="shared" ca="1" si="13"/>
        <v>0.29164634911892617</v>
      </c>
      <c r="AD21" s="382">
        <f t="shared" ca="1" si="14"/>
        <v>14</v>
      </c>
      <c r="AE21" s="1338" t="s">
        <v>7207</v>
      </c>
      <c r="AF21" s="701" t="str">
        <f t="shared" ca="1" si="15"/>
        <v>Teleportation Circle</v>
      </c>
      <c r="AG21" s="1340">
        <v>3</v>
      </c>
      <c r="AH21" s="1337">
        <f t="shared" ca="1" si="16"/>
        <v>0.80539802949563166</v>
      </c>
      <c r="AI21" s="382">
        <f t="shared" ca="1" si="17"/>
        <v>3</v>
      </c>
      <c r="AJ21" s="1338" t="s">
        <v>7208</v>
      </c>
      <c r="AK21" s="1339" t="str">
        <f t="shared" ca="1" si="18"/>
        <v>Guards and Wards</v>
      </c>
      <c r="AL21" s="1340">
        <v>3</v>
      </c>
      <c r="AM21" s="1337">
        <f t="shared" ca="1" si="19"/>
        <v>0.7392165015601242</v>
      </c>
      <c r="AN21" s="382">
        <f t="shared" ca="1" si="20"/>
        <v>4</v>
      </c>
      <c r="AO21" s="1338" t="s">
        <v>7209</v>
      </c>
      <c r="AP21" s="1339" t="str">
        <f t="shared" ca="1" si="21"/>
        <v>Regenerate</v>
      </c>
      <c r="AQ21" s="1340">
        <v>3</v>
      </c>
      <c r="AR21" s="1337">
        <f ca="1">IF(AQ21=$B$17,$B$17,RAND())</f>
        <v>0.72932236765398017</v>
      </c>
      <c r="AS21" s="382">
        <f ca="1">RANK(AR21,AR$19:AR$43)</f>
        <v>1</v>
      </c>
      <c r="AT21" s="1338" t="s">
        <v>7210</v>
      </c>
      <c r="AU21" s="1339" t="str">
        <f ca="1">IF(AQ21=$B$17," ",VLOOKUP($B21,AS$19:AT$43,2,FALSE))</f>
        <v>Mind Blank</v>
      </c>
      <c r="AV21" s="1340">
        <v>3</v>
      </c>
      <c r="AW21" s="1337">
        <f ca="1">IF(AV21=$B$17,$B$17,RAND())</f>
        <v>1.9539820195426438E-2</v>
      </c>
      <c r="AX21" s="382">
        <f ca="1">RANK(AW21,AW$19:AW$43)</f>
        <v>4</v>
      </c>
      <c r="AY21" s="1338" t="s">
        <v>7211</v>
      </c>
      <c r="AZ21" s="1339" t="str">
        <f ca="1">IF(AV21=$B$17," ",VLOOKUP($B21,AX$19:AY$43,2,FALSE))</f>
        <v>True Polymorph</v>
      </c>
      <c r="BA21" s="273"/>
      <c r="BB21" s="273"/>
      <c r="BD21" s="1335"/>
      <c r="BF21" s="273"/>
      <c r="BG21" s="273"/>
      <c r="BI21" s="1335"/>
      <c r="BK21" s="273"/>
      <c r="BL21" s="273"/>
      <c r="BS21" s="271" t="s">
        <v>1287</v>
      </c>
    </row>
    <row r="22" spans="2:71" ht="12" customHeight="1">
      <c r="B22" s="1336">
        <v>4</v>
      </c>
      <c r="C22" s="352">
        <v>4</v>
      </c>
      <c r="D22" s="1337">
        <f t="shared" ca="1" si="0"/>
        <v>2.6825167528326421E-2</v>
      </c>
      <c r="E22" s="382">
        <f ca="1">IF(C22=ROWS(E$19:E22),RANK(D22,$D$19:$D$43),"")</f>
        <v>12</v>
      </c>
      <c r="F22" s="1338" t="s">
        <v>6305</v>
      </c>
      <c r="G22" s="1339" t="str">
        <f t="shared" ca="1" si="22"/>
        <v>Mending</v>
      </c>
      <c r="H22" s="1340">
        <v>4</v>
      </c>
      <c r="I22" s="1337">
        <f t="shared" ca="1" si="1"/>
        <v>0.30359929283486609</v>
      </c>
      <c r="J22" s="382">
        <f t="shared" ca="1" si="2"/>
        <v>17</v>
      </c>
      <c r="K22" s="1338" t="s">
        <v>7212</v>
      </c>
      <c r="L22" s="701" t="str">
        <f t="shared" ca="1" si="3"/>
        <v>Silent Image</v>
      </c>
      <c r="M22" s="1340">
        <v>4</v>
      </c>
      <c r="N22" s="1337">
        <f t="shared" ca="1" si="4"/>
        <v>0.55868129129161492</v>
      </c>
      <c r="O22" s="382">
        <f t="shared" ca="1" si="5"/>
        <v>9</v>
      </c>
      <c r="P22" s="1338" t="s">
        <v>7213</v>
      </c>
      <c r="Q22" s="701" t="str">
        <f t="shared" ca="1" si="6"/>
        <v>Silence</v>
      </c>
      <c r="R22" s="1340">
        <v>4</v>
      </c>
      <c r="S22" s="1337">
        <f t="shared" ca="1" si="7"/>
        <v>0.4081659679729156</v>
      </c>
      <c r="T22" s="382">
        <f t="shared" ca="1" si="8"/>
        <v>10</v>
      </c>
      <c r="U22" s="1338" t="s">
        <v>7214</v>
      </c>
      <c r="V22" s="701" t="str">
        <f t="shared" ca="1" si="9"/>
        <v>Sending</v>
      </c>
      <c r="W22" s="1340">
        <v>4</v>
      </c>
      <c r="X22" s="1337">
        <f t="shared" ca="1" si="10"/>
        <v>0.48364586265625631</v>
      </c>
      <c r="Y22" s="382">
        <f t="shared" ca="1" si="11"/>
        <v>5</v>
      </c>
      <c r="Z22" s="1338" t="s">
        <v>4090</v>
      </c>
      <c r="AA22" s="701" t="str">
        <f t="shared" ca="1" si="12"/>
        <v>Hallucinatory Terrain</v>
      </c>
      <c r="AB22" s="1340">
        <v>4</v>
      </c>
      <c r="AC22" s="1337">
        <f t="shared" ca="1" si="13"/>
        <v>0.6675786317844824</v>
      </c>
      <c r="AD22" s="382">
        <f t="shared" ca="1" si="14"/>
        <v>8</v>
      </c>
      <c r="AE22" s="1338" t="s">
        <v>7215</v>
      </c>
      <c r="AF22" s="701" t="str">
        <f t="shared" ca="1" si="15"/>
        <v>Legend Lore</v>
      </c>
      <c r="AG22" s="1340">
        <v>4</v>
      </c>
      <c r="AH22" s="1337">
        <f t="shared" ca="1" si="16"/>
        <v>0.5962870386866499</v>
      </c>
      <c r="AI22" s="382">
        <f t="shared" ca="1" si="17"/>
        <v>4</v>
      </c>
      <c r="AJ22" s="1338" t="s">
        <v>7216</v>
      </c>
      <c r="AK22" s="1339" t="str">
        <f t="shared" ca="1" si="18"/>
        <v>Mass Suggestion</v>
      </c>
      <c r="AL22" s="1340">
        <v>4</v>
      </c>
      <c r="AM22" s="1337">
        <f t="shared" ca="1" si="19"/>
        <v>0.6798487613623414</v>
      </c>
      <c r="AN22" s="382">
        <f t="shared" ca="1" si="20"/>
        <v>6</v>
      </c>
      <c r="AO22" s="1338" t="s">
        <v>7217</v>
      </c>
      <c r="AP22" s="1339" t="str">
        <f t="shared" ca="1" si="21"/>
        <v>Mirage Arcane</v>
      </c>
      <c r="AQ22" s="1340">
        <v>4</v>
      </c>
      <c r="AR22" s="1337">
        <f ca="1">IF(AQ22=$B$17,$B$17,RAND())</f>
        <v>0.11094782611337461</v>
      </c>
      <c r="AS22" s="382">
        <f ca="1">RANK(AR22,AR$19:AR$43)</f>
        <v>3</v>
      </c>
      <c r="AT22" s="1338" t="s">
        <v>7218</v>
      </c>
      <c r="AU22" s="1339" t="str">
        <f ca="1">IF(AQ22=$B$17," ",VLOOKUP($B22,AS$19:AT$43,2,FALSE))</f>
        <v>Dominate Monster</v>
      </c>
      <c r="AV22" s="1340">
        <v>4</v>
      </c>
      <c r="AW22" s="1337">
        <f ca="1">IF(AV22=$B$17,$B$17,RAND())</f>
        <v>4.1570791926661355E-2</v>
      </c>
      <c r="AX22" s="382">
        <f ca="1">RANK(AW22,AW$19:AW$43)</f>
        <v>3</v>
      </c>
      <c r="AY22" s="1338" t="s">
        <v>7219</v>
      </c>
      <c r="AZ22" s="1339" t="str">
        <f ca="1">IF(AV22=$B$17," ",VLOOKUP($B22,AX$19:AY$43,2,FALSE))</f>
        <v>Power Word Kill</v>
      </c>
      <c r="BA22" s="273"/>
      <c r="BB22" s="273"/>
      <c r="BD22" s="1335"/>
      <c r="BF22" s="273"/>
      <c r="BG22" s="273"/>
      <c r="BI22" s="1335"/>
      <c r="BK22" s="273"/>
      <c r="BL22" s="273"/>
      <c r="BS22" s="271" t="s">
        <v>1287</v>
      </c>
    </row>
    <row r="23" spans="2:71" ht="12" customHeight="1">
      <c r="B23" s="1336">
        <v>5</v>
      </c>
      <c r="C23" s="352">
        <v>5</v>
      </c>
      <c r="D23" s="1337">
        <f t="shared" ca="1" si="0"/>
        <v>0.32405974179580388</v>
      </c>
      <c r="E23" s="382">
        <f ca="1">IF(C23=ROWS(E$19:E23),RANK(D23,$D$19:$D$43),"")</f>
        <v>9</v>
      </c>
      <c r="F23" s="1338" t="s">
        <v>7220</v>
      </c>
      <c r="G23" s="1339" t="str">
        <f t="shared" ca="1" si="22"/>
        <v>Thunder Clap</v>
      </c>
      <c r="H23" s="1340">
        <v>5</v>
      </c>
      <c r="I23" s="1337">
        <f t="shared" ca="1" si="1"/>
        <v>0.79572107999523622</v>
      </c>
      <c r="J23" s="382">
        <f t="shared" ca="1" si="2"/>
        <v>5</v>
      </c>
      <c r="K23" s="1338" t="s">
        <v>7221</v>
      </c>
      <c r="L23" s="701" t="str">
        <f t="shared" ca="1" si="3"/>
        <v>Cure Wounds</v>
      </c>
      <c r="M23" s="1340">
        <v>5</v>
      </c>
      <c r="N23" s="1337">
        <f t="shared" ca="1" si="4"/>
        <v>0.63929329390548495</v>
      </c>
      <c r="O23" s="382">
        <f t="shared" ca="1" si="5"/>
        <v>6</v>
      </c>
      <c r="P23" s="1338" t="s">
        <v>7222</v>
      </c>
      <c r="Q23" s="701" t="str">
        <f t="shared" ca="1" si="6"/>
        <v>Calm Emotions</v>
      </c>
      <c r="R23" s="1340">
        <v>5</v>
      </c>
      <c r="S23" s="1337">
        <f t="shared" ca="1" si="7"/>
        <v>2.1945754987475752E-3</v>
      </c>
      <c r="T23" s="382">
        <f t="shared" ca="1" si="8"/>
        <v>16</v>
      </c>
      <c r="U23" s="1338" t="s">
        <v>7223</v>
      </c>
      <c r="V23" s="701" t="str">
        <f t="shared" ca="1" si="9"/>
        <v>Major Image</v>
      </c>
      <c r="W23" s="1340">
        <v>5</v>
      </c>
      <c r="X23" s="1337">
        <f t="shared" ca="1" si="10"/>
        <v>0.69797982473564857</v>
      </c>
      <c r="Y23" s="382">
        <f t="shared" ca="1" si="11"/>
        <v>3</v>
      </c>
      <c r="Z23" s="1338" t="s">
        <v>7224</v>
      </c>
      <c r="AA23" s="701" t="str">
        <f t="shared" ca="1" si="12"/>
        <v>Freedom of Movement</v>
      </c>
      <c r="AB23" s="1340">
        <v>5</v>
      </c>
      <c r="AC23" s="1337">
        <f t="shared" ca="1" si="13"/>
        <v>4.3830470927529452E-2</v>
      </c>
      <c r="AD23" s="382">
        <f t="shared" ca="1" si="14"/>
        <v>16</v>
      </c>
      <c r="AE23" s="1338" t="s">
        <v>7225</v>
      </c>
      <c r="AF23" s="701" t="str">
        <f t="shared" ca="1" si="15"/>
        <v>Scrying</v>
      </c>
      <c r="AG23" s="1340">
        <v>5</v>
      </c>
      <c r="AH23" s="1337">
        <f t="shared" ca="1" si="16"/>
        <v>0.5022458267543386</v>
      </c>
      <c r="AI23" s="382">
        <f t="shared" ca="1" si="17"/>
        <v>6</v>
      </c>
      <c r="AJ23" s="1338" t="s">
        <v>7226</v>
      </c>
      <c r="AK23" s="1339" t="str">
        <f t="shared" ca="1" si="18"/>
        <v>True Seeing</v>
      </c>
      <c r="AL23" s="1340">
        <v>5</v>
      </c>
      <c r="AM23" s="1337">
        <f t="shared" ca="1" si="19"/>
        <v>0.834539057887285</v>
      </c>
      <c r="AN23" s="382">
        <f t="shared" ca="1" si="20"/>
        <v>2</v>
      </c>
      <c r="AO23" s="1338" t="s">
        <v>7227</v>
      </c>
      <c r="AP23" s="1339" t="str">
        <f t="shared" ca="1" si="21"/>
        <v>Project Image</v>
      </c>
      <c r="AQ23" s="1340">
        <v>5</v>
      </c>
      <c r="AR23" s="1337">
        <f ca="1">IF(AQ23=$B$17,$B$17,RAND())</f>
        <v>0.12952636964587338</v>
      </c>
      <c r="AS23" s="382">
        <f ca="1">RANK(AR23,AR$19:AR$43)</f>
        <v>2</v>
      </c>
      <c r="AT23" s="1338" t="s">
        <v>7228</v>
      </c>
      <c r="AU23" s="1339" t="str">
        <f ca="1">IF(AQ23=$B$17," ",VLOOKUP($B23,AS$19:AT$43,2,FALSE))</f>
        <v>Feeblemind</v>
      </c>
      <c r="AV23" s="1340"/>
      <c r="AW23" s="1337"/>
      <c r="AX23" s="382"/>
      <c r="AY23" s="1338"/>
      <c r="AZ23" s="1339"/>
      <c r="BA23" s="273"/>
      <c r="BB23" s="273"/>
      <c r="BD23" s="1335"/>
      <c r="BF23" s="273"/>
      <c r="BG23" s="273"/>
      <c r="BI23" s="1335"/>
      <c r="BK23" s="273"/>
      <c r="BL23" s="273"/>
      <c r="BS23" s="271" t="s">
        <v>1287</v>
      </c>
    </row>
    <row r="24" spans="2:71" ht="12" customHeight="1">
      <c r="B24" s="1336">
        <v>6</v>
      </c>
      <c r="C24" s="352">
        <v>6</v>
      </c>
      <c r="D24" s="1337">
        <f t="shared" ca="1" si="0"/>
        <v>0.64600913403343774</v>
      </c>
      <c r="E24" s="382">
        <f ca="1">IF(C24=ROWS(E$19:E24),RANK(D24,$D$19:$D$43),"")</f>
        <v>4</v>
      </c>
      <c r="F24" s="1338" t="s">
        <v>7229</v>
      </c>
      <c r="G24" s="1339" t="str">
        <f t="shared" ca="1" si="22"/>
        <v>Prestidgitation</v>
      </c>
      <c r="H24" s="1340">
        <v>6</v>
      </c>
      <c r="I24" s="1337">
        <f t="shared" ca="1" si="1"/>
        <v>0.48674793403377503</v>
      </c>
      <c r="J24" s="382">
        <f t="shared" ca="1" si="2"/>
        <v>11</v>
      </c>
      <c r="K24" s="1338" t="s">
        <v>7230</v>
      </c>
      <c r="L24" s="701" t="str">
        <f t="shared" ca="1" si="3"/>
        <v>Longstrider</v>
      </c>
      <c r="M24" s="1340">
        <v>6</v>
      </c>
      <c r="N24" s="1337">
        <f t="shared" ca="1" si="4"/>
        <v>0.47160423736634738</v>
      </c>
      <c r="O24" s="382">
        <f t="shared" ca="1" si="5"/>
        <v>17</v>
      </c>
      <c r="P24" s="1338" t="s">
        <v>7231</v>
      </c>
      <c r="Q24" s="701" t="str">
        <f t="shared" ca="1" si="6"/>
        <v>Crown of Madness</v>
      </c>
      <c r="R24" s="1340">
        <v>6</v>
      </c>
      <c r="S24" s="1337">
        <f t="shared" ca="1" si="7"/>
        <v>0.27177643919194527</v>
      </c>
      <c r="T24" s="382">
        <f t="shared" ca="1" si="8"/>
        <v>11</v>
      </c>
      <c r="U24" s="1338" t="s">
        <v>7232</v>
      </c>
      <c r="V24" s="701" t="str">
        <f t="shared" ca="1" si="9"/>
        <v>Tongues</v>
      </c>
      <c r="W24" s="1340">
        <v>6</v>
      </c>
      <c r="X24" s="1337">
        <f t="shared" ca="1" si="10"/>
        <v>0.6238054539383755</v>
      </c>
      <c r="Y24" s="382">
        <f t="shared" ca="1" si="11"/>
        <v>4</v>
      </c>
      <c r="Z24" s="1338" t="s">
        <v>7233</v>
      </c>
      <c r="AA24" s="701" t="str">
        <f t="shared" ca="1" si="12"/>
        <v>Dimension Door</v>
      </c>
      <c r="AB24" s="1340">
        <v>6</v>
      </c>
      <c r="AC24" s="1337">
        <f t="shared" ca="1" si="13"/>
        <v>0.454759360157869</v>
      </c>
      <c r="AD24" s="382">
        <f t="shared" ca="1" si="14"/>
        <v>12</v>
      </c>
      <c r="AE24" s="1338" t="s">
        <v>7234</v>
      </c>
      <c r="AF24" s="701" t="str">
        <f t="shared" ca="1" si="15"/>
        <v>Raise Dead</v>
      </c>
      <c r="AG24" s="1340">
        <v>6</v>
      </c>
      <c r="AH24" s="1337">
        <f t="shared" ca="1" si="16"/>
        <v>0.39866202326391997</v>
      </c>
      <c r="AI24" s="382">
        <f t="shared" ca="1" si="17"/>
        <v>7</v>
      </c>
      <c r="AJ24" s="1338" t="s">
        <v>7235</v>
      </c>
      <c r="AK24" s="1339" t="str">
        <f t="shared" ca="1" si="18"/>
        <v>Otto's Irresistible Dance</v>
      </c>
      <c r="AL24" s="1340">
        <v>6</v>
      </c>
      <c r="AM24" s="1337">
        <f t="shared" ca="1" si="19"/>
        <v>0.68514444473788894</v>
      </c>
      <c r="AN24" s="382">
        <f t="shared" ca="1" si="20"/>
        <v>5</v>
      </c>
      <c r="AO24" s="1338" t="s">
        <v>7236</v>
      </c>
      <c r="AP24" s="1339" t="str">
        <f t="shared" ca="1" si="21"/>
        <v>Mordekainen's Magnificent Mansion</v>
      </c>
      <c r="AQ24" s="1340"/>
      <c r="AR24" s="1337"/>
      <c r="AS24" s="382"/>
      <c r="AT24" s="1338"/>
      <c r="AU24" s="1339"/>
      <c r="AV24" s="1340"/>
      <c r="AW24" s="1337"/>
      <c r="AX24" s="382"/>
      <c r="AY24" s="1338"/>
      <c r="AZ24" s="1339"/>
      <c r="BA24" s="273"/>
      <c r="BB24" s="273"/>
      <c r="BD24" s="1335"/>
      <c r="BF24" s="273"/>
      <c r="BG24" s="273"/>
      <c r="BI24" s="1335"/>
      <c r="BK24" s="273"/>
      <c r="BL24" s="273"/>
      <c r="BS24" s="271" t="s">
        <v>1287</v>
      </c>
    </row>
    <row r="25" spans="2:71" ht="12" customHeight="1">
      <c r="B25" s="1336">
        <v>7</v>
      </c>
      <c r="C25" s="352">
        <v>7</v>
      </c>
      <c r="D25" s="1337">
        <f t="shared" ca="1" si="0"/>
        <v>0.51319320882023722</v>
      </c>
      <c r="E25" s="382">
        <f ca="1">IF(C25=ROWS(E$19:E25),RANK(D25,$D$19:$D$43),"")</f>
        <v>7</v>
      </c>
      <c r="F25" s="1338" t="s">
        <v>7237</v>
      </c>
      <c r="G25" s="1339" t="str">
        <f t="shared" ca="1" si="22"/>
        <v>Message</v>
      </c>
      <c r="H25" s="1340">
        <v>7</v>
      </c>
      <c r="I25" s="1337">
        <f t="shared" ca="1" si="1"/>
        <v>0.14181858948514992</v>
      </c>
      <c r="J25" s="382">
        <f t="shared" ca="1" si="2"/>
        <v>20</v>
      </c>
      <c r="K25" s="1338" t="s">
        <v>7238</v>
      </c>
      <c r="L25" s="701" t="str">
        <f t="shared" ca="1" si="3"/>
        <v>Identify</v>
      </c>
      <c r="M25" s="1340">
        <v>7</v>
      </c>
      <c r="N25" s="1337">
        <f t="shared" ca="1" si="4"/>
        <v>0.50690281732352827</v>
      </c>
      <c r="O25" s="382">
        <f t="shared" ca="1" si="5"/>
        <v>13</v>
      </c>
      <c r="P25" s="1338" t="s">
        <v>7239</v>
      </c>
      <c r="Q25" s="701" t="str">
        <f t="shared" ca="1" si="6"/>
        <v>Skywrite</v>
      </c>
      <c r="R25" s="1340">
        <v>7</v>
      </c>
      <c r="S25" s="1337">
        <f t="shared" ca="1" si="7"/>
        <v>0.48487959385698298</v>
      </c>
      <c r="T25" s="382">
        <f t="shared" ca="1" si="8"/>
        <v>8</v>
      </c>
      <c r="U25" s="1338" t="s">
        <v>7240</v>
      </c>
      <c r="V25" s="701" t="str">
        <f t="shared" ca="1" si="9"/>
        <v>Speak with Dead</v>
      </c>
      <c r="W25" s="1340">
        <v>7</v>
      </c>
      <c r="X25" s="1337">
        <f t="shared" ca="1" si="10"/>
        <v>0.19986182628279059</v>
      </c>
      <c r="Y25" s="382">
        <f t="shared" ca="1" si="11"/>
        <v>8</v>
      </c>
      <c r="Z25" s="1338" t="s">
        <v>7241</v>
      </c>
      <c r="AA25" s="701" t="str">
        <f t="shared" ca="1" si="12"/>
        <v>Polymorph</v>
      </c>
      <c r="AB25" s="1340">
        <v>7</v>
      </c>
      <c r="AC25" s="1337">
        <f t="shared" ca="1" si="13"/>
        <v>0.52221561726926391</v>
      </c>
      <c r="AD25" s="382">
        <f t="shared" ca="1" si="14"/>
        <v>10</v>
      </c>
      <c r="AE25" s="1338" t="s">
        <v>7242</v>
      </c>
      <c r="AF25" s="701" t="str">
        <f t="shared" ca="1" si="15"/>
        <v>Mass Cure Wounds</v>
      </c>
      <c r="AG25" s="1340">
        <v>7</v>
      </c>
      <c r="AH25" s="1337">
        <f t="shared" ca="1" si="16"/>
        <v>0.5622336508708371</v>
      </c>
      <c r="AI25" s="382">
        <f t="shared" ca="1" si="17"/>
        <v>5</v>
      </c>
      <c r="AJ25" s="1338" t="s">
        <v>7243</v>
      </c>
      <c r="AK25" s="1339" t="str">
        <f t="shared" ca="1" si="18"/>
        <v>Programmed Illusion</v>
      </c>
      <c r="AL25" s="1340">
        <v>7</v>
      </c>
      <c r="AM25" s="1337">
        <f t="shared" ca="1" si="19"/>
        <v>0.82128231570187704</v>
      </c>
      <c r="AN25" s="382">
        <f t="shared" ca="1" si="20"/>
        <v>3</v>
      </c>
      <c r="AO25" s="1338" t="s">
        <v>7244</v>
      </c>
      <c r="AP25" s="1339" t="str">
        <f t="shared" ca="1" si="21"/>
        <v>Etherealness</v>
      </c>
      <c r="AQ25" s="1340"/>
      <c r="AR25" s="1337"/>
      <c r="AS25" s="382"/>
      <c r="AT25" s="1338"/>
      <c r="AU25" s="1339"/>
      <c r="AV25" s="1340"/>
      <c r="AW25" s="1337"/>
      <c r="AX25" s="382"/>
      <c r="AY25" s="1338"/>
      <c r="AZ25" s="1339"/>
      <c r="BA25" s="273"/>
      <c r="BB25" s="273"/>
      <c r="BD25" s="1335"/>
      <c r="BF25" s="273"/>
      <c r="BG25" s="273"/>
      <c r="BI25" s="1335"/>
      <c r="BK25" s="273"/>
      <c r="BL25" s="273"/>
      <c r="BS25" s="271" t="s">
        <v>1287</v>
      </c>
    </row>
    <row r="26" spans="2:71" ht="12" customHeight="1">
      <c r="B26" s="1336">
        <v>8</v>
      </c>
      <c r="C26" s="352">
        <v>8</v>
      </c>
      <c r="D26" s="1337">
        <f t="shared" ca="1" si="0"/>
        <v>0.24532012384760027</v>
      </c>
      <c r="E26" s="382">
        <f ca="1">IF(C26=ROWS(E$19:E26),RANK(D26,$D$19:$D$43),"")</f>
        <v>11</v>
      </c>
      <c r="F26" s="1338" t="s">
        <v>7245</v>
      </c>
      <c r="G26" s="1339" t="str">
        <f t="shared" ca="1" si="22"/>
        <v>True Strike</v>
      </c>
      <c r="H26" s="1340">
        <v>8</v>
      </c>
      <c r="I26" s="1337">
        <f t="shared" ca="1" si="1"/>
        <v>0.95289242996109946</v>
      </c>
      <c r="J26" s="382">
        <f t="shared" ca="1" si="2"/>
        <v>3</v>
      </c>
      <c r="K26" s="1338" t="s">
        <v>7246</v>
      </c>
      <c r="L26" s="701" t="str">
        <f t="shared" ca="1" si="3"/>
        <v>Healing Word</v>
      </c>
      <c r="M26" s="1340">
        <v>8</v>
      </c>
      <c r="N26" s="1337">
        <f t="shared" ca="1" si="4"/>
        <v>0.59838505752944526</v>
      </c>
      <c r="O26" s="382">
        <f t="shared" ca="1" si="5"/>
        <v>8</v>
      </c>
      <c r="P26" s="1338" t="s">
        <v>7247</v>
      </c>
      <c r="Q26" s="701" t="str">
        <f t="shared" ca="1" si="6"/>
        <v>Enthrall</v>
      </c>
      <c r="R26" s="1340">
        <v>8</v>
      </c>
      <c r="S26" s="1337">
        <f t="shared" ca="1" si="7"/>
        <v>9.781309578576769E-2</v>
      </c>
      <c r="T26" s="382">
        <f t="shared" ca="1" si="8"/>
        <v>14</v>
      </c>
      <c r="U26" s="1338" t="s">
        <v>7248</v>
      </c>
      <c r="V26" s="701" t="str">
        <f t="shared" ca="1" si="9"/>
        <v>Hypnotic Pattern</v>
      </c>
      <c r="W26" s="1340">
        <v>8</v>
      </c>
      <c r="X26" s="1337">
        <f t="shared" ca="1" si="10"/>
        <v>0.3456974832202766</v>
      </c>
      <c r="Y26" s="382">
        <f t="shared" ca="1" si="11"/>
        <v>7</v>
      </c>
      <c r="Z26" s="1338" t="s">
        <v>7249</v>
      </c>
      <c r="AA26" s="701" t="str">
        <f t="shared" ca="1" si="12"/>
        <v>Locate Creature</v>
      </c>
      <c r="AB26" s="1340">
        <v>8</v>
      </c>
      <c r="AC26" s="1337">
        <f t="shared" ca="1" si="13"/>
        <v>0.77512991660901664</v>
      </c>
      <c r="AD26" s="382">
        <f t="shared" ca="1" si="14"/>
        <v>4</v>
      </c>
      <c r="AE26" s="1338" t="s">
        <v>7250</v>
      </c>
      <c r="AF26" s="701" t="str">
        <f t="shared" ca="1" si="15"/>
        <v>Dream</v>
      </c>
      <c r="AG26" s="1340"/>
      <c r="AH26" s="1337"/>
      <c r="AI26" s="382"/>
      <c r="AJ26" s="1338"/>
      <c r="AK26" s="1339"/>
      <c r="AL26" s="1340">
        <v>8</v>
      </c>
      <c r="AM26" s="1337">
        <f t="shared" ca="1" si="19"/>
        <v>0.15686286728044374</v>
      </c>
      <c r="AN26" s="382">
        <f t="shared" ca="1" si="20"/>
        <v>9</v>
      </c>
      <c r="AO26" s="1338" t="s">
        <v>7251</v>
      </c>
      <c r="AP26" s="1339" t="str">
        <f t="shared" ca="1" si="21"/>
        <v>Forcecage</v>
      </c>
      <c r="AQ26" s="1340"/>
      <c r="AR26" s="1337"/>
      <c r="AS26" s="382"/>
      <c r="AT26" s="1338"/>
      <c r="AU26" s="1339"/>
      <c r="AV26" s="1340"/>
      <c r="AW26" s="1337"/>
      <c r="AX26" s="382"/>
      <c r="AY26" s="1338"/>
      <c r="AZ26" s="1339"/>
      <c r="BA26" s="273"/>
      <c r="BB26" s="273"/>
      <c r="BD26" s="1335"/>
      <c r="BF26" s="273"/>
      <c r="BG26" s="273"/>
      <c r="BI26" s="1335"/>
      <c r="BK26" s="273"/>
      <c r="BL26" s="273"/>
      <c r="BS26" s="271" t="s">
        <v>1287</v>
      </c>
    </row>
    <row r="27" spans="2:71" ht="12" customHeight="1">
      <c r="B27" s="1336">
        <v>9</v>
      </c>
      <c r="C27" s="352">
        <v>9</v>
      </c>
      <c r="D27" s="1337">
        <f t="shared" ca="1" si="0"/>
        <v>0.52043991946594781</v>
      </c>
      <c r="E27" s="382">
        <f ca="1">IF(C27=ROWS(E$19:E27),RANK(D27,$D$19:$D$43),"")</f>
        <v>6</v>
      </c>
      <c r="F27" s="1338" t="s">
        <v>7252</v>
      </c>
      <c r="G27" s="1339" t="str">
        <f t="shared" ca="1" si="22"/>
        <v>Mage hand</v>
      </c>
      <c r="H27" s="1340">
        <v>9</v>
      </c>
      <c r="I27" s="1337">
        <f t="shared" ca="1" si="1"/>
        <v>0.40864968419621084</v>
      </c>
      <c r="J27" s="382">
        <f t="shared" ca="1" si="2"/>
        <v>14</v>
      </c>
      <c r="K27" s="1341" t="s">
        <v>7253</v>
      </c>
      <c r="L27" s="701" t="str">
        <f t="shared" ca="1" si="3"/>
        <v>Feather Fall</v>
      </c>
      <c r="M27" s="1340">
        <v>9</v>
      </c>
      <c r="N27" s="1337">
        <f t="shared" ca="1" si="4"/>
        <v>0.5561925719110995</v>
      </c>
      <c r="O27" s="382">
        <f t="shared" ca="1" si="5"/>
        <v>10</v>
      </c>
      <c r="P27" s="1338" t="s">
        <v>7254</v>
      </c>
      <c r="Q27" s="701" t="str">
        <f t="shared" ca="1" si="6"/>
        <v>Cloud of Daggers</v>
      </c>
      <c r="R27" s="1340">
        <v>9</v>
      </c>
      <c r="S27" s="1337">
        <f t="shared" ca="1" si="7"/>
        <v>0.72028897630995736</v>
      </c>
      <c r="T27" s="382">
        <f t="shared" ca="1" si="8"/>
        <v>5</v>
      </c>
      <c r="U27" s="1338" t="s">
        <v>7255</v>
      </c>
      <c r="V27" s="701" t="str">
        <f t="shared" ca="1" si="9"/>
        <v>Speak with Plants</v>
      </c>
      <c r="W27" s="1340"/>
      <c r="X27" s="1337"/>
      <c r="Y27" s="382"/>
      <c r="Z27" s="1338"/>
      <c r="AA27" s="701"/>
      <c r="AB27" s="1340">
        <v>9</v>
      </c>
      <c r="AC27" s="1337">
        <f t="shared" ca="1" si="13"/>
        <v>0.68694860045711426</v>
      </c>
      <c r="AD27" s="382">
        <f t="shared" ca="1" si="14"/>
        <v>7</v>
      </c>
      <c r="AE27" s="1338" t="s">
        <v>7256</v>
      </c>
      <c r="AF27" s="701" t="str">
        <f t="shared" ca="1" si="15"/>
        <v>Planar Binding</v>
      </c>
      <c r="AG27" s="1340"/>
      <c r="AH27" s="1337"/>
      <c r="AI27" s="382"/>
      <c r="AJ27" s="1338"/>
      <c r="AK27" s="1339"/>
      <c r="AL27" s="1340">
        <v>9</v>
      </c>
      <c r="AM27" s="1337">
        <f t="shared" ca="1" si="19"/>
        <v>0.10563583816061795</v>
      </c>
      <c r="AN27" s="382">
        <f t="shared" ca="1" si="20"/>
        <v>10</v>
      </c>
      <c r="AO27" s="1338" t="s">
        <v>7257</v>
      </c>
      <c r="AP27" s="1339" t="str">
        <f t="shared" ca="1" si="21"/>
        <v>Resurrection</v>
      </c>
      <c r="AQ27" s="1340"/>
      <c r="AR27" s="1337"/>
      <c r="AS27" s="382"/>
      <c r="AT27" s="1338"/>
      <c r="AU27" s="1339"/>
      <c r="AV27" s="1340"/>
      <c r="AW27" s="1337"/>
      <c r="AX27" s="382"/>
      <c r="AY27" s="1338"/>
      <c r="AZ27" s="1339"/>
      <c r="BA27" s="273"/>
      <c r="BB27" s="273"/>
      <c r="BD27" s="1335"/>
      <c r="BF27" s="273"/>
      <c r="BG27" s="273"/>
      <c r="BI27" s="1335"/>
      <c r="BK27" s="273"/>
      <c r="BL27" s="273"/>
      <c r="BS27" s="271" t="s">
        <v>1287</v>
      </c>
    </row>
    <row r="28" spans="2:71" ht="12" customHeight="1">
      <c r="B28" s="1336">
        <v>10</v>
      </c>
      <c r="C28" s="352">
        <v>10</v>
      </c>
      <c r="D28" s="1337">
        <f t="shared" ca="1" si="0"/>
        <v>0.56502804161679898</v>
      </c>
      <c r="E28" s="382">
        <f ca="1">IF(C28=ROWS(E$19:E28),RANK(D28,$D$19:$D$43),"")</f>
        <v>5</v>
      </c>
      <c r="F28" s="1341" t="s">
        <v>7258</v>
      </c>
      <c r="G28" s="1339" t="str">
        <f t="shared" ca="1" si="22"/>
        <v>Vicious Mockery</v>
      </c>
      <c r="H28" s="1340">
        <v>10</v>
      </c>
      <c r="I28" s="1337">
        <f t="shared" ca="1" si="1"/>
        <v>0.47251445446748208</v>
      </c>
      <c r="J28" s="382">
        <f t="shared" ca="1" si="2"/>
        <v>13</v>
      </c>
      <c r="K28" s="1338" t="s">
        <v>7259</v>
      </c>
      <c r="L28" s="701" t="str">
        <f t="shared" ca="1" si="3"/>
        <v>Illusory Script</v>
      </c>
      <c r="M28" s="1340">
        <v>10</v>
      </c>
      <c r="N28" s="1337">
        <f t="shared" ca="1" si="4"/>
        <v>0.40478804469313701</v>
      </c>
      <c r="O28" s="382">
        <f t="shared" ca="1" si="5"/>
        <v>19</v>
      </c>
      <c r="P28" s="1338" t="s">
        <v>7260</v>
      </c>
      <c r="Q28" s="701" t="str">
        <f t="shared" ca="1" si="6"/>
        <v>Heat Metal</v>
      </c>
      <c r="R28" s="1340">
        <v>10</v>
      </c>
      <c r="S28" s="1337">
        <f t="shared" ca="1" si="7"/>
        <v>5.7817320662894134E-2</v>
      </c>
      <c r="T28" s="382">
        <f t="shared" ca="1" si="8"/>
        <v>15</v>
      </c>
      <c r="U28" s="1338" t="s">
        <v>7261</v>
      </c>
      <c r="V28" s="701" t="str">
        <f t="shared" ca="1" si="9"/>
        <v>Fear</v>
      </c>
      <c r="W28" s="1340"/>
      <c r="X28" s="1337"/>
      <c r="Y28" s="382"/>
      <c r="Z28" s="1338"/>
      <c r="AA28" s="701"/>
      <c r="AB28" s="1340">
        <v>10</v>
      </c>
      <c r="AC28" s="1337">
        <f t="shared" ca="1" si="13"/>
        <v>0.44526093199117234</v>
      </c>
      <c r="AD28" s="382">
        <f t="shared" ca="1" si="14"/>
        <v>13</v>
      </c>
      <c r="AE28" s="1338" t="s">
        <v>7262</v>
      </c>
      <c r="AF28" s="701" t="str">
        <f t="shared" ca="1" si="15"/>
        <v>Hold Monster</v>
      </c>
      <c r="AG28" s="1340"/>
      <c r="AH28" s="1337"/>
      <c r="AI28" s="382"/>
      <c r="AJ28" s="1338"/>
      <c r="AK28" s="1339"/>
      <c r="AL28" s="1340">
        <v>10</v>
      </c>
      <c r="AM28" s="1337">
        <f t="shared" ca="1" si="19"/>
        <v>0.92770896912952938</v>
      </c>
      <c r="AN28" s="382">
        <f t="shared" ca="1" si="20"/>
        <v>1</v>
      </c>
      <c r="AO28" s="1338" t="s">
        <v>3267</v>
      </c>
      <c r="AP28" s="1339" t="str">
        <f t="shared" ca="1" si="21"/>
        <v>Symbol</v>
      </c>
      <c r="AQ28" s="1340"/>
      <c r="AR28" s="1337"/>
      <c r="AS28" s="382"/>
      <c r="AT28" s="1338"/>
      <c r="AU28" s="1339"/>
      <c r="AV28" s="1340"/>
      <c r="AW28" s="1337"/>
      <c r="AX28" s="382"/>
      <c r="AY28" s="1338"/>
      <c r="AZ28" s="1339"/>
      <c r="BA28" s="273"/>
      <c r="BB28" s="273"/>
      <c r="BD28" s="1335"/>
      <c r="BF28" s="273"/>
      <c r="BG28" s="273"/>
      <c r="BI28" s="1335"/>
      <c r="BK28" s="273"/>
      <c r="BL28" s="273"/>
      <c r="BS28" s="271" t="s">
        <v>1287</v>
      </c>
    </row>
    <row r="29" spans="2:71" ht="12" customHeight="1">
      <c r="B29" s="1336">
        <v>11</v>
      </c>
      <c r="C29" s="352">
        <v>11</v>
      </c>
      <c r="D29" s="1337">
        <f t="shared" ca="1" si="0"/>
        <v>0.39305912608362414</v>
      </c>
      <c r="E29" s="382">
        <f ca="1">IF(C29=ROWS(E$19:E29),RANK(D29,$D$19:$D$43),"")</f>
        <v>8</v>
      </c>
      <c r="F29" s="1338" t="s">
        <v>7263</v>
      </c>
      <c r="G29" s="1339" t="str">
        <f t="shared" ca="1" si="22"/>
        <v>Minor Illusion</v>
      </c>
      <c r="H29" s="1340">
        <v>11</v>
      </c>
      <c r="I29" s="1337">
        <f t="shared" ca="1" si="1"/>
        <v>0.5222747112848567</v>
      </c>
      <c r="J29" s="382">
        <f t="shared" ca="1" si="2"/>
        <v>9</v>
      </c>
      <c r="K29" s="1338" t="s">
        <v>7264</v>
      </c>
      <c r="L29" s="701" t="str">
        <f t="shared" ca="1" si="3"/>
        <v>Detect Magic</v>
      </c>
      <c r="M29" s="1340">
        <v>11</v>
      </c>
      <c r="N29" s="1337">
        <f t="shared" ca="1" si="4"/>
        <v>0.54478568980564146</v>
      </c>
      <c r="O29" s="382">
        <f t="shared" ca="1" si="5"/>
        <v>11</v>
      </c>
      <c r="P29" s="1338" t="s">
        <v>2703</v>
      </c>
      <c r="Q29" s="701" t="str">
        <f t="shared" ca="1" si="6"/>
        <v>Invisibility</v>
      </c>
      <c r="R29" s="1340">
        <v>11</v>
      </c>
      <c r="S29" s="1337">
        <f t="shared" ca="1" si="7"/>
        <v>0.95949765646785323</v>
      </c>
      <c r="T29" s="382">
        <f t="shared" ca="1" si="8"/>
        <v>1</v>
      </c>
      <c r="U29" s="1338" t="s">
        <v>7265</v>
      </c>
      <c r="V29" s="701" t="str">
        <f t="shared" ca="1" si="9"/>
        <v>Glyph of Warding</v>
      </c>
      <c r="W29" s="1340"/>
      <c r="X29" s="1337"/>
      <c r="Y29" s="382"/>
      <c r="Z29" s="1338"/>
      <c r="AA29" s="701"/>
      <c r="AB29" s="1340">
        <v>11</v>
      </c>
      <c r="AC29" s="1337">
        <f t="shared" ca="1" si="13"/>
        <v>0.11069748443554395</v>
      </c>
      <c r="AD29" s="382">
        <f t="shared" ca="1" si="14"/>
        <v>15</v>
      </c>
      <c r="AE29" s="1338" t="s">
        <v>7266</v>
      </c>
      <c r="AF29" s="701" t="str">
        <f t="shared" ca="1" si="15"/>
        <v>Seeming</v>
      </c>
      <c r="AG29" s="1340"/>
      <c r="AH29" s="1337"/>
      <c r="AI29" s="382"/>
      <c r="AJ29" s="1338"/>
      <c r="AK29" s="1339"/>
      <c r="AL29" s="1340"/>
      <c r="AM29" s="1337"/>
      <c r="AN29" s="382"/>
      <c r="AO29" s="1338"/>
      <c r="AP29" s="1339"/>
      <c r="AQ29" s="1340"/>
      <c r="AR29" s="1337"/>
      <c r="AS29" s="382"/>
      <c r="AT29" s="1338"/>
      <c r="AU29" s="1339"/>
      <c r="AV29" s="1340"/>
      <c r="AW29" s="1337"/>
      <c r="AX29" s="382"/>
      <c r="AY29" s="1338"/>
      <c r="AZ29" s="1339"/>
      <c r="BA29" s="273"/>
      <c r="BB29" s="273"/>
      <c r="BD29" s="1335"/>
      <c r="BF29" s="273"/>
      <c r="BG29" s="273"/>
      <c r="BI29" s="1335"/>
      <c r="BK29" s="273"/>
      <c r="BL29" s="273"/>
      <c r="BS29" s="271" t="s">
        <v>1287</v>
      </c>
    </row>
    <row r="30" spans="2:71" ht="12" customHeight="1">
      <c r="B30" s="1336">
        <v>12</v>
      </c>
      <c r="C30" s="352">
        <v>12</v>
      </c>
      <c r="D30" s="1337">
        <f t="shared" ca="1" si="0"/>
        <v>0.30094911363258281</v>
      </c>
      <c r="E30" s="382">
        <f ca="1">IF(C30=ROWS(E$19:E30),RANK(D30,$D$19:$D$43),"")</f>
        <v>10</v>
      </c>
      <c r="F30" s="1342" t="s">
        <v>7267</v>
      </c>
      <c r="G30" s="1339" t="str">
        <f t="shared" ca="1" si="22"/>
        <v>Light</v>
      </c>
      <c r="H30" s="1340">
        <v>12</v>
      </c>
      <c r="I30" s="1337">
        <f t="shared" ca="1" si="1"/>
        <v>0.55682843315830188</v>
      </c>
      <c r="J30" s="382">
        <f t="shared" ca="1" si="2"/>
        <v>8</v>
      </c>
      <c r="K30" s="1338" t="s">
        <v>7268</v>
      </c>
      <c r="L30" s="701" t="str">
        <f t="shared" ca="1" si="3"/>
        <v>Tasha's Hideous Laughter</v>
      </c>
      <c r="M30" s="1340">
        <v>12</v>
      </c>
      <c r="N30" s="1337">
        <f t="shared" ca="1" si="4"/>
        <v>0.51147388333430077</v>
      </c>
      <c r="O30" s="382">
        <f t="shared" ca="1" si="5"/>
        <v>12</v>
      </c>
      <c r="P30" s="1338" t="s">
        <v>7269</v>
      </c>
      <c r="Q30" s="701" t="str">
        <f t="shared" ca="1" si="6"/>
        <v>Knock</v>
      </c>
      <c r="R30" s="1340">
        <v>12</v>
      </c>
      <c r="S30" s="1337">
        <f t="shared" ca="1" si="7"/>
        <v>0.74771334068857198</v>
      </c>
      <c r="T30" s="382">
        <f t="shared" ca="1" si="8"/>
        <v>4</v>
      </c>
      <c r="U30" s="1338" t="s">
        <v>7270</v>
      </c>
      <c r="V30" s="701" t="str">
        <f t="shared" ca="1" si="9"/>
        <v>Bestow Curse</v>
      </c>
      <c r="W30" s="1340"/>
      <c r="X30" s="1337"/>
      <c r="Y30" s="382"/>
      <c r="Z30" s="1338"/>
      <c r="AA30" s="701"/>
      <c r="AB30" s="1340">
        <v>12</v>
      </c>
      <c r="AC30" s="1337">
        <f t="shared" ca="1" si="13"/>
        <v>0.55229858512828911</v>
      </c>
      <c r="AD30" s="382">
        <f t="shared" ca="1" si="14"/>
        <v>9</v>
      </c>
      <c r="AE30" s="1338" t="s">
        <v>7271</v>
      </c>
      <c r="AF30" s="701" t="str">
        <f t="shared" ca="1" si="15"/>
        <v>Greater Restoration</v>
      </c>
      <c r="AG30" s="1340"/>
      <c r="AH30" s="1337"/>
      <c r="AI30" s="382"/>
      <c r="AJ30" s="1338"/>
      <c r="AK30" s="1339"/>
      <c r="AL30" s="1340"/>
      <c r="AM30" s="1337"/>
      <c r="AN30" s="382"/>
      <c r="AO30" s="1338"/>
      <c r="AP30" s="1339"/>
      <c r="AQ30" s="1340"/>
      <c r="AR30" s="1337"/>
      <c r="AS30" s="382"/>
      <c r="AT30" s="1338"/>
      <c r="AU30" s="1339"/>
      <c r="AV30" s="1340"/>
      <c r="AW30" s="1337"/>
      <c r="AX30" s="382"/>
      <c r="AY30" s="1338"/>
      <c r="AZ30" s="1339"/>
      <c r="BA30" s="273"/>
      <c r="BB30" s="273"/>
      <c r="BD30" s="1335"/>
      <c r="BF30" s="273"/>
      <c r="BG30" s="273"/>
      <c r="BI30" s="1335"/>
      <c r="BK30" s="273"/>
      <c r="BL30" s="273"/>
    </row>
    <row r="31" spans="2:71" ht="12" customHeight="1">
      <c r="B31" s="1336">
        <v>13</v>
      </c>
      <c r="C31" s="352"/>
      <c r="D31" s="1337"/>
      <c r="E31" s="382" t="str">
        <f>IF(C31=ROWS(E$19:E31),RANK(D31,$D$19:$D$43),"")</f>
        <v/>
      </c>
      <c r="F31" s="352"/>
      <c r="G31" s="1339"/>
      <c r="H31" s="1340">
        <v>13</v>
      </c>
      <c r="I31" s="1337">
        <f t="shared" ca="1" si="1"/>
        <v>0.17355228476944584</v>
      </c>
      <c r="J31" s="382">
        <f t="shared" ca="1" si="2"/>
        <v>19</v>
      </c>
      <c r="K31" s="1338" t="s">
        <v>7272</v>
      </c>
      <c r="L31" s="701" t="str">
        <f t="shared" ca="1" si="3"/>
        <v>Faerie Fire</v>
      </c>
      <c r="M31" s="1340">
        <v>13</v>
      </c>
      <c r="N31" s="1337">
        <f t="shared" ca="1" si="4"/>
        <v>0.47215242081783093</v>
      </c>
      <c r="O31" s="382">
        <f t="shared" ca="1" si="5"/>
        <v>16</v>
      </c>
      <c r="P31" s="1338" t="s">
        <v>7273</v>
      </c>
      <c r="Q31" s="701" t="str">
        <f t="shared" ca="1" si="6"/>
        <v>Enhance Ability</v>
      </c>
      <c r="R31" s="1340">
        <v>13</v>
      </c>
      <c r="S31" s="1337">
        <f t="shared" ca="1" si="7"/>
        <v>0.59388990637658623</v>
      </c>
      <c r="T31" s="382">
        <f t="shared" ca="1" si="8"/>
        <v>7</v>
      </c>
      <c r="U31" s="1338" t="s">
        <v>7274</v>
      </c>
      <c r="V31" s="701" t="str">
        <f t="shared" ca="1" si="9"/>
        <v>Stinking Cloud</v>
      </c>
      <c r="W31" s="1340"/>
      <c r="X31" s="1337"/>
      <c r="Y31" s="382"/>
      <c r="Z31" s="1338"/>
      <c r="AA31" s="701"/>
      <c r="AB31" s="1340">
        <v>13</v>
      </c>
      <c r="AC31" s="1337">
        <f t="shared" ca="1" si="13"/>
        <v>0.72691832803345635</v>
      </c>
      <c r="AD31" s="382">
        <f t="shared" ca="1" si="14"/>
        <v>6</v>
      </c>
      <c r="AE31" s="1338" t="s">
        <v>7275</v>
      </c>
      <c r="AF31" s="701" t="str">
        <f t="shared" ca="1" si="15"/>
        <v>Mislead</v>
      </c>
      <c r="AG31" s="1340"/>
      <c r="AH31" s="1337"/>
      <c r="AI31" s="382"/>
      <c r="AJ31" s="1338"/>
      <c r="AK31" s="1339"/>
      <c r="AL31" s="1340"/>
      <c r="AM31" s="1337"/>
      <c r="AN31" s="382"/>
      <c r="AO31" s="1338"/>
      <c r="AP31" s="1339"/>
      <c r="AQ31" s="1340"/>
      <c r="AR31" s="1337"/>
      <c r="AS31" s="382"/>
      <c r="AT31" s="1338"/>
      <c r="AU31" s="1339"/>
      <c r="AV31" s="1340"/>
      <c r="AW31" s="1337"/>
      <c r="AX31" s="382"/>
      <c r="AY31" s="1338"/>
      <c r="AZ31" s="1339"/>
      <c r="BA31" s="273"/>
      <c r="BB31" s="273"/>
      <c r="BD31" s="1335"/>
      <c r="BF31" s="273"/>
      <c r="BG31" s="273"/>
      <c r="BI31" s="1335"/>
      <c r="BK31" s="273"/>
      <c r="BL31" s="273"/>
    </row>
    <row r="32" spans="2:71" ht="12" customHeight="1">
      <c r="B32" s="1336">
        <v>14</v>
      </c>
      <c r="C32" s="352"/>
      <c r="D32" s="1337"/>
      <c r="E32" s="382" t="str">
        <f>IF(C32=ROWS(E$19:E32),RANK(D32,$D$19:$D$43),"")</f>
        <v/>
      </c>
      <c r="F32" s="352"/>
      <c r="G32" s="1339"/>
      <c r="H32" s="1340">
        <v>14</v>
      </c>
      <c r="I32" s="1337">
        <f t="shared" ca="1" si="1"/>
        <v>0.59854551707302195</v>
      </c>
      <c r="J32" s="382">
        <f t="shared" ca="1" si="2"/>
        <v>7</v>
      </c>
      <c r="K32" s="1338" t="s">
        <v>7276</v>
      </c>
      <c r="L32" s="701" t="str">
        <f t="shared" ca="1" si="3"/>
        <v>Earth Tremors</v>
      </c>
      <c r="M32" s="1340">
        <v>14</v>
      </c>
      <c r="N32" s="1337">
        <f t="shared" ca="1" si="4"/>
        <v>0.50358569613418835</v>
      </c>
      <c r="O32" s="382">
        <f t="shared" ca="1" si="5"/>
        <v>14</v>
      </c>
      <c r="P32" s="1338" t="s">
        <v>7277</v>
      </c>
      <c r="Q32" s="701" t="str">
        <f t="shared" ca="1" si="6"/>
        <v>Locate Animals or Plants</v>
      </c>
      <c r="R32" s="1340">
        <v>14</v>
      </c>
      <c r="S32" s="1337">
        <f t="shared" ca="1" si="7"/>
        <v>0.44944072129224677</v>
      </c>
      <c r="T32" s="382">
        <f t="shared" ca="1" si="8"/>
        <v>9</v>
      </c>
      <c r="U32" s="1338" t="s">
        <v>7278</v>
      </c>
      <c r="V32" s="701" t="str">
        <f t="shared" ca="1" si="9"/>
        <v>Leomund's Tiny Hut</v>
      </c>
      <c r="W32" s="1340"/>
      <c r="X32" s="1337"/>
      <c r="Y32" s="382"/>
      <c r="Z32" s="1338"/>
      <c r="AA32" s="701"/>
      <c r="AB32" s="1340">
        <v>14</v>
      </c>
      <c r="AC32" s="1337">
        <f t="shared" ca="1" si="13"/>
        <v>0.74037681267217881</v>
      </c>
      <c r="AD32" s="382">
        <f t="shared" ca="1" si="14"/>
        <v>5</v>
      </c>
      <c r="AE32" s="1338" t="s">
        <v>7279</v>
      </c>
      <c r="AF32" s="701" t="str">
        <f t="shared" ca="1" si="15"/>
        <v>Dominate Person</v>
      </c>
      <c r="AG32" s="1340"/>
      <c r="AH32" s="1337"/>
      <c r="AI32" s="382"/>
      <c r="AJ32" s="1338"/>
      <c r="AK32" s="1339"/>
      <c r="AL32" s="1340"/>
      <c r="AM32" s="1337"/>
      <c r="AN32" s="382"/>
      <c r="AO32" s="1338"/>
      <c r="AP32" s="1339"/>
      <c r="AQ32" s="1340"/>
      <c r="AR32" s="1337"/>
      <c r="AS32" s="382"/>
      <c r="AT32" s="1338"/>
      <c r="AU32" s="1339"/>
      <c r="AV32" s="1340"/>
      <c r="AW32" s="1337"/>
      <c r="AX32" s="382"/>
      <c r="AY32" s="1338"/>
      <c r="AZ32" s="1339"/>
      <c r="BA32" s="273"/>
      <c r="BB32" s="273"/>
      <c r="BD32" s="1335"/>
      <c r="BF32" s="273"/>
      <c r="BG32" s="273"/>
      <c r="BI32" s="1335"/>
      <c r="BK32" s="273"/>
      <c r="BL32" s="273"/>
    </row>
    <row r="33" spans="2:110" ht="12" customHeight="1">
      <c r="B33" s="1336">
        <v>15</v>
      </c>
      <c r="C33" s="352"/>
      <c r="D33" s="1337"/>
      <c r="E33" s="382" t="str">
        <f>IF(C33=ROWS(E$19:E33),RANK(D33,$D$19:$D$43),"")</f>
        <v/>
      </c>
      <c r="F33" s="352"/>
      <c r="G33" s="1339"/>
      <c r="H33" s="1340">
        <v>15</v>
      </c>
      <c r="I33" s="1337">
        <f t="shared" ca="1" si="1"/>
        <v>0.51238238914891132</v>
      </c>
      <c r="J33" s="382">
        <f t="shared" ca="1" si="2"/>
        <v>10</v>
      </c>
      <c r="K33" s="1338" t="s">
        <v>7280</v>
      </c>
      <c r="L33" s="701" t="str">
        <f t="shared" ca="1" si="3"/>
        <v>Animal Friendship</v>
      </c>
      <c r="M33" s="1340">
        <v>15</v>
      </c>
      <c r="N33" s="1337">
        <f t="shared" ca="1" si="4"/>
        <v>0.28448866183033128</v>
      </c>
      <c r="O33" s="382">
        <f t="shared" ca="1" si="5"/>
        <v>21</v>
      </c>
      <c r="P33" s="1338" t="s">
        <v>7281</v>
      </c>
      <c r="Q33" s="701" t="str">
        <f t="shared" ca="1" si="6"/>
        <v>Phantasmal Force</v>
      </c>
      <c r="R33" s="1340">
        <v>15</v>
      </c>
      <c r="S33" s="1337">
        <f t="shared" ca="1" si="7"/>
        <v>0.16663264086175666</v>
      </c>
      <c r="T33" s="382">
        <f t="shared" ca="1" si="8"/>
        <v>13</v>
      </c>
      <c r="U33" s="1338" t="s">
        <v>7282</v>
      </c>
      <c r="V33" s="701" t="str">
        <f t="shared" ca="1" si="9"/>
        <v>Nondetection</v>
      </c>
      <c r="W33" s="1340"/>
      <c r="X33" s="1337"/>
      <c r="Y33" s="382"/>
      <c r="Z33" s="1338"/>
      <c r="AA33" s="701"/>
      <c r="AB33" s="1340">
        <v>15</v>
      </c>
      <c r="AC33" s="1337">
        <f t="shared" ca="1" si="13"/>
        <v>0.48641146891607867</v>
      </c>
      <c r="AD33" s="382">
        <f t="shared" ca="1" si="14"/>
        <v>11</v>
      </c>
      <c r="AE33" s="1338" t="s">
        <v>7283</v>
      </c>
      <c r="AF33" s="701" t="str">
        <f t="shared" ca="1" si="15"/>
        <v>Modify Memory</v>
      </c>
      <c r="AG33" s="1340"/>
      <c r="AH33" s="1337"/>
      <c r="AI33" s="382"/>
      <c r="AJ33" s="1338"/>
      <c r="AK33" s="1339"/>
      <c r="AL33" s="1340"/>
      <c r="AM33" s="1337"/>
      <c r="AN33" s="382"/>
      <c r="AO33" s="1338"/>
      <c r="AP33" s="1339"/>
      <c r="AQ33" s="1340"/>
      <c r="AR33" s="1337"/>
      <c r="AS33" s="382"/>
      <c r="AT33" s="1338"/>
      <c r="AU33" s="1339"/>
      <c r="AV33" s="1340"/>
      <c r="AW33" s="1337"/>
      <c r="AX33" s="382"/>
      <c r="AY33" s="1338"/>
      <c r="AZ33" s="1339"/>
      <c r="BA33" s="273"/>
      <c r="BB33" s="273"/>
      <c r="BD33" s="1335"/>
      <c r="BF33" s="273"/>
      <c r="BG33" s="273"/>
      <c r="BI33" s="1335"/>
      <c r="BK33" s="273"/>
      <c r="BL33" s="273"/>
    </row>
    <row r="34" spans="2:110" ht="12" customHeight="1">
      <c r="B34" s="1336">
        <v>16</v>
      </c>
      <c r="C34" s="352"/>
      <c r="D34" s="1337"/>
      <c r="E34" s="382" t="str">
        <f>IF(C34=ROWS(E$19:E34),RANK(D34,$D$19:$D$43),"")</f>
        <v/>
      </c>
      <c r="F34" s="352"/>
      <c r="G34" s="1339"/>
      <c r="H34" s="1340">
        <v>16</v>
      </c>
      <c r="I34" s="1337">
        <f t="shared" ca="1" si="1"/>
        <v>0.66051927404548605</v>
      </c>
      <c r="J34" s="382">
        <f t="shared" ca="1" si="2"/>
        <v>6</v>
      </c>
      <c r="K34" s="1338" t="s">
        <v>7284</v>
      </c>
      <c r="L34" s="701" t="str">
        <f t="shared" ca="1" si="3"/>
        <v>Bane</v>
      </c>
      <c r="M34" s="1340">
        <v>16</v>
      </c>
      <c r="N34" s="1337">
        <f t="shared" ca="1" si="4"/>
        <v>0.25100296797400434</v>
      </c>
      <c r="O34" s="382">
        <f t="shared" ca="1" si="5"/>
        <v>22</v>
      </c>
      <c r="P34" s="1338" t="s">
        <v>7285</v>
      </c>
      <c r="Q34" s="701" t="str">
        <f t="shared" ca="1" si="6"/>
        <v>Lesser Restoration</v>
      </c>
      <c r="R34" s="1340">
        <v>16</v>
      </c>
      <c r="S34" s="1337">
        <f t="shared" ca="1" si="7"/>
        <v>0.69351367988424828</v>
      </c>
      <c r="T34" s="382">
        <f t="shared" ca="1" si="8"/>
        <v>6</v>
      </c>
      <c r="U34" s="1338" t="s">
        <v>7286</v>
      </c>
      <c r="V34" s="701" t="str">
        <f t="shared" ca="1" si="9"/>
        <v>Feign Death</v>
      </c>
      <c r="W34" s="1340"/>
      <c r="X34" s="1337"/>
      <c r="Y34" s="382"/>
      <c r="Z34" s="1338"/>
      <c r="AA34" s="701"/>
      <c r="AB34" s="1340">
        <v>16</v>
      </c>
      <c r="AC34" s="1337">
        <f t="shared" ca="1" si="13"/>
        <v>0.83388597079001991</v>
      </c>
      <c r="AD34" s="382">
        <f t="shared" ca="1" si="14"/>
        <v>3</v>
      </c>
      <c r="AE34" s="1338" t="s">
        <v>7287</v>
      </c>
      <c r="AF34" s="701" t="str">
        <f t="shared" ca="1" si="15"/>
        <v>Geas</v>
      </c>
      <c r="AG34" s="1340"/>
      <c r="AH34" s="1337"/>
      <c r="AI34" s="382"/>
      <c r="AJ34" s="1338"/>
      <c r="AK34" s="1339"/>
      <c r="AL34" s="1340"/>
      <c r="AM34" s="1337"/>
      <c r="AN34" s="382"/>
      <c r="AO34" s="1338"/>
      <c r="AP34" s="1339"/>
      <c r="AQ34" s="1340"/>
      <c r="AR34" s="1337"/>
      <c r="AS34" s="382"/>
      <c r="AT34" s="1338"/>
      <c r="AU34" s="1339"/>
      <c r="AV34" s="1340"/>
      <c r="AW34" s="1337"/>
      <c r="AX34" s="382"/>
      <c r="AY34" s="1338"/>
      <c r="AZ34" s="1339"/>
      <c r="BA34" s="273"/>
      <c r="BB34" s="273"/>
      <c r="BD34" s="1335"/>
      <c r="BF34" s="273"/>
      <c r="BG34" s="273"/>
      <c r="BI34" s="1335"/>
      <c r="BK34" s="273"/>
      <c r="BL34" s="273"/>
    </row>
    <row r="35" spans="2:110" ht="12" customHeight="1">
      <c r="B35" s="1336">
        <v>17</v>
      </c>
      <c r="C35" s="352"/>
      <c r="D35" s="1337"/>
      <c r="E35" s="382" t="str">
        <f>IF(C35=ROWS(E$19:E35),RANK(D35,$D$19:$D$43),"")</f>
        <v/>
      </c>
      <c r="F35" s="352"/>
      <c r="G35" s="1339"/>
      <c r="H35" s="1340">
        <v>17</v>
      </c>
      <c r="I35" s="1337">
        <f t="shared" ca="1" si="1"/>
        <v>0.80021827245337762</v>
      </c>
      <c r="J35" s="382">
        <f t="shared" ca="1" si="2"/>
        <v>4</v>
      </c>
      <c r="K35" s="1338" t="s">
        <v>7288</v>
      </c>
      <c r="L35" s="701" t="str">
        <f t="shared" ca="1" si="3"/>
        <v>Comprehend Languages</v>
      </c>
      <c r="M35" s="1340">
        <v>17</v>
      </c>
      <c r="N35" s="1337">
        <f t="shared" ca="1" si="4"/>
        <v>0.47965996033813918</v>
      </c>
      <c r="O35" s="382">
        <f t="shared" ca="1" si="5"/>
        <v>15</v>
      </c>
      <c r="P35" s="1338" t="s">
        <v>7289</v>
      </c>
      <c r="Q35" s="701" t="str">
        <f t="shared" ca="1" si="6"/>
        <v>Detect Thoughts</v>
      </c>
      <c r="R35" s="1340"/>
      <c r="S35" s="1337"/>
      <c r="T35" s="382"/>
      <c r="U35" s="1338"/>
      <c r="V35" s="701"/>
      <c r="W35" s="1340"/>
      <c r="X35" s="1337"/>
      <c r="Y35" s="382"/>
      <c r="Z35" s="1338"/>
      <c r="AA35" s="701"/>
      <c r="AB35" s="1340"/>
      <c r="AC35" s="1337"/>
      <c r="AD35" s="382"/>
      <c r="AE35" s="1338"/>
      <c r="AF35" s="701"/>
      <c r="AG35" s="1340"/>
      <c r="AH35" s="1337"/>
      <c r="AI35" s="382"/>
      <c r="AJ35" s="1338"/>
      <c r="AK35" s="1339"/>
      <c r="AL35" s="1340"/>
      <c r="AM35" s="1337"/>
      <c r="AN35" s="382"/>
      <c r="AO35" s="1338"/>
      <c r="AP35" s="1339"/>
      <c r="AQ35" s="1340"/>
      <c r="AR35" s="1337"/>
      <c r="AS35" s="382"/>
      <c r="AT35" s="1338"/>
      <c r="AU35" s="1339"/>
      <c r="AV35" s="1340"/>
      <c r="AW35" s="1337"/>
      <c r="AX35" s="382"/>
      <c r="AY35" s="1338"/>
      <c r="AZ35" s="1339"/>
      <c r="BA35" s="273"/>
      <c r="BB35" s="273"/>
      <c r="BD35" s="1335"/>
      <c r="BF35" s="273"/>
      <c r="BG35" s="273"/>
      <c r="BI35" s="1335"/>
      <c r="BK35" s="273"/>
      <c r="BL35" s="273"/>
    </row>
    <row r="36" spans="2:110" ht="12" customHeight="1">
      <c r="B36" s="1336">
        <v>18</v>
      </c>
      <c r="C36" s="352"/>
      <c r="D36" s="1337"/>
      <c r="E36" s="382" t="str">
        <f>IF(C36=ROWS(E$19:E36),RANK(D36,$D$19:$D$43),"")</f>
        <v/>
      </c>
      <c r="F36" s="352"/>
      <c r="G36" s="1339"/>
      <c r="H36" s="1340">
        <v>18</v>
      </c>
      <c r="I36" s="1337">
        <f t="shared" ca="1" si="1"/>
        <v>0.96440942776391159</v>
      </c>
      <c r="J36" s="382">
        <f t="shared" ca="1" si="2"/>
        <v>1</v>
      </c>
      <c r="K36" s="1338" t="s">
        <v>7290</v>
      </c>
      <c r="L36" s="701" t="str">
        <f t="shared" ca="1" si="3"/>
        <v>Thunderwave</v>
      </c>
      <c r="M36" s="1340">
        <v>18</v>
      </c>
      <c r="N36" s="1337">
        <f t="shared" ca="1" si="4"/>
        <v>0.42945041306143761</v>
      </c>
      <c r="O36" s="382">
        <f t="shared" ca="1" si="5"/>
        <v>18</v>
      </c>
      <c r="P36" s="1341" t="s">
        <v>7291</v>
      </c>
      <c r="Q36" s="701" t="str">
        <f t="shared" ca="1" si="6"/>
        <v>Pyrotechnics</v>
      </c>
      <c r="R36" s="1340"/>
      <c r="S36" s="1337"/>
      <c r="T36" s="382"/>
      <c r="U36" s="1338"/>
      <c r="V36" s="701"/>
      <c r="W36" s="1340"/>
      <c r="X36" s="1337"/>
      <c r="Y36" s="382"/>
      <c r="Z36" s="1338"/>
      <c r="AA36" s="701"/>
      <c r="AB36" s="1340"/>
      <c r="AC36" s="1337"/>
      <c r="AD36" s="382"/>
      <c r="AE36" s="1338"/>
      <c r="AF36" s="701"/>
      <c r="AG36" s="1340"/>
      <c r="AH36" s="1337"/>
      <c r="AI36" s="382"/>
      <c r="AJ36" s="1338"/>
      <c r="AK36" s="1339"/>
      <c r="AL36" s="1340"/>
      <c r="AM36" s="1337"/>
      <c r="AN36" s="382"/>
      <c r="AO36" s="1338"/>
      <c r="AP36" s="1339"/>
      <c r="AQ36" s="1340"/>
      <c r="AR36" s="1337"/>
      <c r="AS36" s="382"/>
      <c r="AT36" s="1338"/>
      <c r="AU36" s="1339"/>
      <c r="AV36" s="1340"/>
      <c r="AW36" s="1337"/>
      <c r="AX36" s="382"/>
      <c r="AY36" s="1338"/>
      <c r="AZ36" s="1339"/>
      <c r="BA36" s="273"/>
      <c r="BB36" s="273"/>
      <c r="BD36" s="1335"/>
      <c r="BF36" s="273"/>
      <c r="BG36" s="273"/>
      <c r="BI36" s="1335"/>
      <c r="BK36" s="273"/>
      <c r="BL36" s="273"/>
    </row>
    <row r="37" spans="2:110" ht="12" customHeight="1">
      <c r="B37" s="1336">
        <v>19</v>
      </c>
      <c r="C37" s="352"/>
      <c r="D37" s="1337"/>
      <c r="E37" s="382" t="str">
        <f>IF(C37=ROWS(E$19:E37),RANK(D37,$D$19:$D$43),"")</f>
        <v/>
      </c>
      <c r="F37" s="352"/>
      <c r="G37" s="1339"/>
      <c r="H37" s="1340">
        <v>19</v>
      </c>
      <c r="I37" s="1337">
        <f t="shared" ca="1" si="1"/>
        <v>0.11637760458697</v>
      </c>
      <c r="J37" s="382">
        <f t="shared" ca="1" si="2"/>
        <v>21</v>
      </c>
      <c r="K37" s="1338" t="s">
        <v>7292</v>
      </c>
      <c r="L37" s="701" t="str">
        <f t="shared" ca="1" si="3"/>
        <v>Heroism</v>
      </c>
      <c r="M37" s="1340">
        <v>19</v>
      </c>
      <c r="N37" s="1337">
        <f t="shared" ca="1" si="4"/>
        <v>0.35624609387473349</v>
      </c>
      <c r="O37" s="382">
        <f t="shared" ca="1" si="5"/>
        <v>20</v>
      </c>
      <c r="P37" s="1338" t="s">
        <v>7293</v>
      </c>
      <c r="Q37" s="701" t="str">
        <f t="shared" ca="1" si="6"/>
        <v>Hold Person</v>
      </c>
      <c r="R37" s="1340"/>
      <c r="S37" s="1337"/>
      <c r="T37" s="382"/>
      <c r="U37" s="1338"/>
      <c r="V37" s="701"/>
      <c r="W37" s="1340"/>
      <c r="X37" s="1337"/>
      <c r="Y37" s="382"/>
      <c r="Z37" s="1338"/>
      <c r="AA37" s="701"/>
      <c r="AB37" s="1340"/>
      <c r="AC37" s="1337"/>
      <c r="AD37" s="382"/>
      <c r="AE37" s="1338"/>
      <c r="AF37" s="701"/>
      <c r="AG37" s="1340"/>
      <c r="AH37" s="1337"/>
      <c r="AI37" s="382"/>
      <c r="AJ37" s="1338"/>
      <c r="AK37" s="1339"/>
      <c r="AL37" s="1340"/>
      <c r="AM37" s="1337"/>
      <c r="AN37" s="382"/>
      <c r="AO37" s="1338"/>
      <c r="AP37" s="1339"/>
      <c r="AQ37" s="1340"/>
      <c r="AR37" s="1337"/>
      <c r="AS37" s="382"/>
      <c r="AT37" s="1338"/>
      <c r="AU37" s="1339"/>
      <c r="AV37" s="1340"/>
      <c r="AW37" s="1337"/>
      <c r="AX37" s="382"/>
      <c r="AY37" s="1338"/>
      <c r="AZ37" s="1339"/>
      <c r="BA37" s="273"/>
      <c r="BB37" s="273"/>
      <c r="BD37" s="1335"/>
      <c r="BF37" s="273"/>
      <c r="BG37" s="273"/>
      <c r="BI37" s="1335"/>
      <c r="BK37" s="273"/>
      <c r="BL37" s="273"/>
    </row>
    <row r="38" spans="2:110" ht="12" customHeight="1">
      <c r="B38" s="1336">
        <v>20</v>
      </c>
      <c r="C38" s="352"/>
      <c r="D38" s="1337"/>
      <c r="E38" s="382" t="str">
        <f>IF(C38=ROWS(E$19:E38),RANK(D38,$D$19:$D$43),"")</f>
        <v/>
      </c>
      <c r="F38" s="352"/>
      <c r="G38" s="1339"/>
      <c r="H38" s="1340">
        <v>20</v>
      </c>
      <c r="I38" s="1337">
        <f t="shared" ca="1" si="1"/>
        <v>0.47424742505499062</v>
      </c>
      <c r="J38" s="382">
        <f t="shared" ca="1" si="2"/>
        <v>12</v>
      </c>
      <c r="K38" s="1338" t="s">
        <v>7294</v>
      </c>
      <c r="L38" s="701" t="str">
        <f t="shared" ca="1" si="3"/>
        <v>Disguise Self</v>
      </c>
      <c r="M38" s="1340">
        <v>20</v>
      </c>
      <c r="N38" s="1337">
        <f t="shared" ca="1" si="4"/>
        <v>4.9255656181285135E-2</v>
      </c>
      <c r="O38" s="382">
        <f t="shared" ca="1" si="5"/>
        <v>25</v>
      </c>
      <c r="P38" s="1338" t="s">
        <v>7295</v>
      </c>
      <c r="Q38" s="701" t="str">
        <f t="shared" ca="1" si="6"/>
        <v>See Invisibility</v>
      </c>
      <c r="R38" s="1340"/>
      <c r="S38" s="1337"/>
      <c r="T38" s="382"/>
      <c r="U38" s="1338"/>
      <c r="V38" s="701"/>
      <c r="W38" s="1340"/>
      <c r="X38" s="1337"/>
      <c r="Y38" s="382"/>
      <c r="Z38" s="1338"/>
      <c r="AA38" s="701"/>
      <c r="AB38" s="1340"/>
      <c r="AC38" s="1337"/>
      <c r="AD38" s="382"/>
      <c r="AE38" s="1338"/>
      <c r="AF38" s="701"/>
      <c r="AG38" s="1340"/>
      <c r="AH38" s="1337"/>
      <c r="AI38" s="382"/>
      <c r="AJ38" s="1338"/>
      <c r="AK38" s="1339"/>
      <c r="AL38" s="1340"/>
      <c r="AM38" s="1337"/>
      <c r="AN38" s="382"/>
      <c r="AO38" s="1338"/>
      <c r="AP38" s="1339"/>
      <c r="AQ38" s="1340"/>
      <c r="AR38" s="1337"/>
      <c r="AS38" s="382"/>
      <c r="AT38" s="1338"/>
      <c r="AU38" s="1339"/>
      <c r="AV38" s="1340"/>
      <c r="AW38" s="1337"/>
      <c r="AX38" s="382"/>
      <c r="AY38" s="1338"/>
      <c r="AZ38" s="1339"/>
      <c r="BA38" s="273"/>
      <c r="BB38" s="273"/>
      <c r="BD38" s="1335"/>
      <c r="BF38" s="273"/>
      <c r="BG38" s="273"/>
      <c r="BI38" s="1335"/>
      <c r="BK38" s="273"/>
      <c r="BL38" s="273"/>
    </row>
    <row r="39" spans="2:110" ht="12" customHeight="1">
      <c r="B39" s="1336">
        <v>21</v>
      </c>
      <c r="C39" s="352"/>
      <c r="D39" s="1337"/>
      <c r="E39" s="382" t="str">
        <f>IF(C39=ROWS(E$19:E39),RANK(D39,$D$19:$D$43),"")</f>
        <v/>
      </c>
      <c r="F39" s="352"/>
      <c r="G39" s="1339"/>
      <c r="H39" s="1340">
        <v>21</v>
      </c>
      <c r="I39" s="1337">
        <f t="shared" ca="1" si="1"/>
        <v>0.29000574216113373</v>
      </c>
      <c r="J39" s="382">
        <f t="shared" ca="1" si="2"/>
        <v>18</v>
      </c>
      <c r="K39" s="1338" t="s">
        <v>7296</v>
      </c>
      <c r="L39" s="701" t="str">
        <f t="shared" ca="1" si="3"/>
        <v>Speak with Animals</v>
      </c>
      <c r="M39" s="1340">
        <v>21</v>
      </c>
      <c r="N39" s="1337">
        <f t="shared" ca="1" si="4"/>
        <v>0.83188259247626317</v>
      </c>
      <c r="O39" s="382">
        <f t="shared" ca="1" si="5"/>
        <v>4</v>
      </c>
      <c r="P39" s="1338" t="s">
        <v>7297</v>
      </c>
      <c r="Q39" s="701" t="str">
        <f t="shared" ca="1" si="6"/>
        <v>Locate Object</v>
      </c>
      <c r="R39" s="1340"/>
      <c r="S39" s="1337"/>
      <c r="T39" s="382"/>
      <c r="U39" s="1338"/>
      <c r="V39" s="701"/>
      <c r="W39" s="1340"/>
      <c r="X39" s="1337"/>
      <c r="Y39" s="382"/>
      <c r="Z39" s="1338"/>
      <c r="AA39" s="701"/>
      <c r="AB39" s="1340"/>
      <c r="AC39" s="1337"/>
      <c r="AD39" s="382"/>
      <c r="AE39" s="1338"/>
      <c r="AF39" s="701"/>
      <c r="AG39" s="1340"/>
      <c r="AH39" s="1337"/>
      <c r="AI39" s="382"/>
      <c r="AJ39" s="1338"/>
      <c r="AK39" s="1339"/>
      <c r="AL39" s="1340"/>
      <c r="AM39" s="1337"/>
      <c r="AN39" s="382"/>
      <c r="AO39" s="1338"/>
      <c r="AP39" s="1339"/>
      <c r="AQ39" s="1340"/>
      <c r="AR39" s="1337"/>
      <c r="AS39" s="382"/>
      <c r="AT39" s="1338"/>
      <c r="AU39" s="1339"/>
      <c r="AV39" s="1340"/>
      <c r="AW39" s="1337"/>
      <c r="AX39" s="382"/>
      <c r="AY39" s="1338"/>
      <c r="AZ39" s="1339"/>
      <c r="BA39" s="273"/>
      <c r="BB39" s="273"/>
      <c r="BD39" s="1335"/>
      <c r="BF39" s="273"/>
      <c r="BG39" s="273"/>
      <c r="BI39" s="1335"/>
      <c r="BK39" s="273"/>
      <c r="BL39" s="273"/>
    </row>
    <row r="40" spans="2:110" ht="12" customHeight="1">
      <c r="B40" s="1336">
        <v>22</v>
      </c>
      <c r="C40" s="352"/>
      <c r="D40" s="1337"/>
      <c r="E40" s="382" t="str">
        <f>IF(C40=ROWS(E$19:E40),RANK(D40,$D$19:$D$43),"")</f>
        <v/>
      </c>
      <c r="F40" s="352"/>
      <c r="G40" s="1339"/>
      <c r="H40" s="1340">
        <v>22</v>
      </c>
      <c r="I40" s="1337">
        <f t="shared" ca="1" si="1"/>
        <v>0.95635233566263056</v>
      </c>
      <c r="J40" s="382">
        <f t="shared" ca="1" si="2"/>
        <v>2</v>
      </c>
      <c r="K40" s="1338" t="s">
        <v>7298</v>
      </c>
      <c r="L40" s="701" t="str">
        <f t="shared" ca="1" si="3"/>
        <v>Charm Person</v>
      </c>
      <c r="M40" s="1340">
        <v>22</v>
      </c>
      <c r="N40" s="1337">
        <f t="shared" ca="1" si="4"/>
        <v>0.63155872678046598</v>
      </c>
      <c r="O40" s="382">
        <f t="shared" ca="1" si="5"/>
        <v>7</v>
      </c>
      <c r="P40" s="1341" t="s">
        <v>7299</v>
      </c>
      <c r="Q40" s="701" t="str">
        <f t="shared" ca="1" si="6"/>
        <v>Magic Mouth</v>
      </c>
      <c r="R40" s="1340"/>
      <c r="S40" s="1337"/>
      <c r="T40" s="382"/>
      <c r="U40" s="1338"/>
      <c r="V40" s="701"/>
      <c r="W40" s="1340"/>
      <c r="X40" s="1337"/>
      <c r="Y40" s="382"/>
      <c r="Z40" s="1338"/>
      <c r="AA40" s="701"/>
      <c r="AB40" s="1340"/>
      <c r="AC40" s="1337"/>
      <c r="AD40" s="382"/>
      <c r="AE40" s="1338"/>
      <c r="AF40" s="701"/>
      <c r="AG40" s="1340"/>
      <c r="AH40" s="1337"/>
      <c r="AI40" s="382"/>
      <c r="AJ40" s="1338"/>
      <c r="AK40" s="1339"/>
      <c r="AL40" s="1340"/>
      <c r="AM40" s="1337"/>
      <c r="AN40" s="382"/>
      <c r="AO40" s="1338"/>
      <c r="AP40" s="1339"/>
      <c r="AQ40" s="1340"/>
      <c r="AR40" s="1337"/>
      <c r="AS40" s="382"/>
      <c r="AT40" s="1338"/>
      <c r="AU40" s="1339"/>
      <c r="AV40" s="1340"/>
      <c r="AW40" s="1337"/>
      <c r="AX40" s="382"/>
      <c r="AY40" s="1338"/>
      <c r="AZ40" s="1339"/>
      <c r="BA40" s="273"/>
      <c r="BB40" s="273"/>
      <c r="BD40" s="1335"/>
      <c r="BF40" s="273"/>
      <c r="BG40" s="273"/>
      <c r="BI40" s="1335"/>
      <c r="BK40" s="273"/>
      <c r="BL40" s="273"/>
    </row>
    <row r="41" spans="2:110" ht="12" customHeight="1">
      <c r="B41" s="1336">
        <v>23</v>
      </c>
      <c r="C41" s="388"/>
      <c r="D41" s="1343"/>
      <c r="E41" s="398"/>
      <c r="F41" s="388"/>
      <c r="G41" s="1344"/>
      <c r="H41" s="1345"/>
      <c r="I41" s="1343"/>
      <c r="J41" s="398"/>
      <c r="K41" s="1342"/>
      <c r="L41" s="1346"/>
      <c r="M41" s="1345">
        <v>23</v>
      </c>
      <c r="N41" s="1343">
        <f t="shared" ca="1" si="4"/>
        <v>0.88919660644168841</v>
      </c>
      <c r="O41" s="398">
        <f t="shared" ca="1" si="5"/>
        <v>2</v>
      </c>
      <c r="P41" s="1338" t="s">
        <v>7300</v>
      </c>
      <c r="Q41" s="1346" t="str">
        <f t="shared" ca="1" si="6"/>
        <v>Zone of Truth</v>
      </c>
      <c r="R41" s="1345"/>
      <c r="S41" s="1343"/>
      <c r="T41" s="398"/>
      <c r="U41" s="1342"/>
      <c r="V41" s="1346"/>
      <c r="W41" s="1345"/>
      <c r="X41" s="1343"/>
      <c r="Y41" s="398"/>
      <c r="Z41" s="1342"/>
      <c r="AA41" s="1346"/>
      <c r="AB41" s="1345"/>
      <c r="AC41" s="1343"/>
      <c r="AD41" s="398"/>
      <c r="AE41" s="1342"/>
      <c r="AF41" s="1346"/>
      <c r="AG41" s="1345"/>
      <c r="AH41" s="1343"/>
      <c r="AI41" s="398"/>
      <c r="AJ41" s="1342"/>
      <c r="AK41" s="1344"/>
      <c r="AL41" s="1345"/>
      <c r="AM41" s="1343"/>
      <c r="AN41" s="398"/>
      <c r="AO41" s="1342"/>
      <c r="AP41" s="1344"/>
      <c r="AQ41" s="1345"/>
      <c r="AR41" s="1343"/>
      <c r="AS41" s="398"/>
      <c r="AT41" s="1342"/>
      <c r="AU41" s="1344"/>
      <c r="AV41" s="1345"/>
      <c r="AW41" s="1343"/>
      <c r="AX41" s="398"/>
      <c r="AY41" s="1342"/>
      <c r="AZ41" s="1344"/>
      <c r="BA41" s="273"/>
      <c r="BB41" s="273"/>
      <c r="BD41" s="1335"/>
      <c r="BF41" s="273"/>
      <c r="BG41" s="273"/>
      <c r="BI41" s="1335"/>
      <c r="BK41" s="273"/>
      <c r="BL41" s="273"/>
    </row>
    <row r="42" spans="2:110" ht="12" customHeight="1">
      <c r="B42" s="1336">
        <v>24</v>
      </c>
      <c r="C42" s="388"/>
      <c r="D42" s="1343"/>
      <c r="E42" s="398"/>
      <c r="F42" s="388"/>
      <c r="G42" s="1344"/>
      <c r="H42" s="1345"/>
      <c r="I42" s="1343"/>
      <c r="J42" s="398"/>
      <c r="K42" s="1342"/>
      <c r="L42" s="1346"/>
      <c r="M42" s="1345">
        <v>24</v>
      </c>
      <c r="N42" s="1343">
        <f t="shared" ca="1" si="4"/>
        <v>9.2268518298938007E-2</v>
      </c>
      <c r="O42" s="398">
        <f t="shared" ca="1" si="5"/>
        <v>24</v>
      </c>
      <c r="P42" s="1341" t="s">
        <v>7301</v>
      </c>
      <c r="Q42" s="1346" t="str">
        <f t="shared" ca="1" si="6"/>
        <v>Warding Wind</v>
      </c>
      <c r="R42" s="1345"/>
      <c r="S42" s="1343"/>
      <c r="T42" s="398"/>
      <c r="U42" s="1342"/>
      <c r="V42" s="1346"/>
      <c r="W42" s="1345"/>
      <c r="X42" s="1343"/>
      <c r="Y42" s="398"/>
      <c r="Z42" s="1342"/>
      <c r="AA42" s="1346"/>
      <c r="AB42" s="1345"/>
      <c r="AC42" s="1343"/>
      <c r="AD42" s="398"/>
      <c r="AE42" s="1342"/>
      <c r="AF42" s="1346"/>
      <c r="AG42" s="1345"/>
      <c r="AH42" s="1343"/>
      <c r="AI42" s="398"/>
      <c r="AJ42" s="1342"/>
      <c r="AK42" s="1344"/>
      <c r="AL42" s="1345"/>
      <c r="AM42" s="1343"/>
      <c r="AN42" s="398"/>
      <c r="AO42" s="1342"/>
      <c r="AP42" s="1344"/>
      <c r="AQ42" s="1345"/>
      <c r="AR42" s="1343"/>
      <c r="AS42" s="398"/>
      <c r="AT42" s="1342"/>
      <c r="AU42" s="1344"/>
      <c r="AV42" s="1345"/>
      <c r="AW42" s="1343"/>
      <c r="AX42" s="398"/>
      <c r="AY42" s="1342"/>
      <c r="AZ42" s="1344"/>
      <c r="BA42" s="273"/>
      <c r="BB42" s="273"/>
      <c r="BD42" s="1335"/>
      <c r="BF42" s="273"/>
      <c r="BG42" s="273"/>
      <c r="BI42" s="1335"/>
      <c r="BK42" s="273"/>
      <c r="BL42" s="273"/>
    </row>
    <row r="43" spans="2:110" ht="12" customHeight="1" thickBot="1">
      <c r="B43" s="1336">
        <v>25</v>
      </c>
      <c r="C43" s="1347"/>
      <c r="D43" s="1348"/>
      <c r="E43" s="1348" t="str">
        <f>IF(C43=ROWS(E$19:E43),RANK(D43,$D$19:$D$43),"")</f>
        <v/>
      </c>
      <c r="F43" s="1347"/>
      <c r="G43" s="1349"/>
      <c r="H43" s="1350"/>
      <c r="I43" s="1351"/>
      <c r="J43" s="1348"/>
      <c r="K43" s="1352"/>
      <c r="L43" s="1353"/>
      <c r="M43" s="1350">
        <v>25</v>
      </c>
      <c r="N43" s="1351">
        <f t="shared" ca="1" si="4"/>
        <v>0.21136812868489352</v>
      </c>
      <c r="O43" s="1348">
        <f t="shared" ca="1" si="5"/>
        <v>23</v>
      </c>
      <c r="P43" s="1352" t="s">
        <v>7302</v>
      </c>
      <c r="Q43" s="1353" t="str">
        <f t="shared" ca="1" si="6"/>
        <v>Shatter</v>
      </c>
      <c r="R43" s="1350"/>
      <c r="S43" s="1351"/>
      <c r="T43" s="1348"/>
      <c r="U43" s="1352"/>
      <c r="V43" s="1353"/>
      <c r="W43" s="1350"/>
      <c r="X43" s="1351"/>
      <c r="Y43" s="1348"/>
      <c r="Z43" s="1352"/>
      <c r="AA43" s="1353"/>
      <c r="AB43" s="1350"/>
      <c r="AC43" s="1351"/>
      <c r="AD43" s="1348"/>
      <c r="AE43" s="1352"/>
      <c r="AF43" s="1353"/>
      <c r="AG43" s="1350"/>
      <c r="AH43" s="1351"/>
      <c r="AI43" s="1348"/>
      <c r="AJ43" s="1352"/>
      <c r="AK43" s="1354"/>
      <c r="AL43" s="1350"/>
      <c r="AM43" s="1351"/>
      <c r="AN43" s="1348"/>
      <c r="AO43" s="1352"/>
      <c r="AP43" s="1354"/>
      <c r="AQ43" s="1350"/>
      <c r="AR43" s="1351"/>
      <c r="AS43" s="1348"/>
      <c r="AT43" s="1352"/>
      <c r="AU43" s="1354"/>
      <c r="AV43" s="1350"/>
      <c r="AW43" s="1351"/>
      <c r="AX43" s="1348"/>
      <c r="AY43" s="1352"/>
      <c r="AZ43" s="1354"/>
      <c r="BA43" s="273"/>
      <c r="BB43" s="273"/>
      <c r="BD43" s="1335"/>
      <c r="BF43" s="273"/>
      <c r="BG43" s="273"/>
      <c r="BI43" s="1335"/>
      <c r="BK43" s="273"/>
      <c r="BL43" s="273"/>
      <c r="BS43" s="271" t="s">
        <v>1287</v>
      </c>
    </row>
    <row r="44" spans="2:110" ht="12" customHeight="1" thickTop="1">
      <c r="B44" s="3399" t="s">
        <v>7303</v>
      </c>
      <c r="C44" s="3400"/>
      <c r="D44" s="1355"/>
      <c r="E44" s="1355"/>
      <c r="F44" s="1355"/>
      <c r="G44" s="1355"/>
      <c r="I44" s="1356"/>
      <c r="R44" s="273"/>
      <c r="S44" s="273"/>
    </row>
    <row r="45" spans="2:110" ht="12" customHeight="1" thickBot="1">
      <c r="R45" s="273"/>
      <c r="S45" s="273"/>
      <c r="CK45" s="271"/>
    </row>
    <row r="46" spans="2:110" s="271" customFormat="1" ht="12" customHeight="1" thickTop="1">
      <c r="B46" s="3330" t="s">
        <v>7304</v>
      </c>
      <c r="C46" s="3331"/>
      <c r="D46" s="3331"/>
      <c r="E46" s="3331"/>
      <c r="F46" s="3331"/>
      <c r="G46" s="3331"/>
      <c r="H46" s="3331"/>
      <c r="I46" s="3331"/>
      <c r="J46" s="3332"/>
      <c r="K46" s="3330" t="s">
        <v>7305</v>
      </c>
      <c r="L46" s="3331"/>
      <c r="M46" s="3331"/>
      <c r="N46" s="3331"/>
      <c r="O46" s="3331"/>
      <c r="P46" s="3331"/>
      <c r="Q46" s="3331"/>
      <c r="R46" s="3332"/>
      <c r="S46" s="3330" t="s">
        <v>7306</v>
      </c>
      <c r="T46" s="3331"/>
      <c r="U46" s="3331"/>
      <c r="V46" s="3331"/>
      <c r="W46" s="3331"/>
      <c r="X46" s="3331"/>
      <c r="Y46" s="3331"/>
      <c r="Z46" s="3332"/>
      <c r="AA46" s="3330" t="s">
        <v>7307</v>
      </c>
      <c r="AB46" s="3331"/>
      <c r="AC46" s="3331"/>
      <c r="AD46" s="3331"/>
      <c r="AE46" s="3331"/>
      <c r="AF46" s="3331"/>
      <c r="AG46" s="3331"/>
      <c r="AH46" s="3332"/>
      <c r="AI46" s="3330" t="s">
        <v>7308</v>
      </c>
      <c r="AJ46" s="3331"/>
      <c r="AK46" s="3331"/>
      <c r="AL46" s="3331"/>
      <c r="AM46" s="3331"/>
      <c r="AN46" s="3331"/>
      <c r="AO46" s="3331"/>
      <c r="AP46" s="3332"/>
      <c r="AQ46" s="3330" t="s">
        <v>7309</v>
      </c>
      <c r="AR46" s="3331"/>
      <c r="AS46" s="3331"/>
      <c r="AT46" s="3331"/>
      <c r="AU46" s="3331"/>
      <c r="AV46" s="3331"/>
      <c r="AW46" s="3331"/>
      <c r="AX46" s="3332"/>
      <c r="AY46" s="3330" t="s">
        <v>7310</v>
      </c>
      <c r="AZ46" s="3331"/>
      <c r="BA46" s="3331"/>
      <c r="BB46" s="3331"/>
      <c r="BC46" s="3331"/>
      <c r="BD46" s="3330" t="s">
        <v>7311</v>
      </c>
      <c r="BE46" s="3331"/>
      <c r="BF46" s="3331"/>
      <c r="BG46" s="3331"/>
      <c r="BH46" s="3332"/>
      <c r="BI46" s="3395" t="s">
        <v>7312</v>
      </c>
      <c r="BJ46" s="3331"/>
      <c r="BK46" s="3331"/>
      <c r="BL46" s="3331"/>
      <c r="BM46" s="3332"/>
      <c r="BN46" s="3330" t="s">
        <v>7313</v>
      </c>
      <c r="BO46" s="3331"/>
      <c r="BP46" s="3331"/>
      <c r="BQ46" s="3331"/>
      <c r="BR46" s="3332"/>
      <c r="BT46" s="3341" t="s">
        <v>6300</v>
      </c>
      <c r="BU46" s="2862"/>
      <c r="BV46" s="2862"/>
      <c r="BW46" s="2862"/>
      <c r="BX46" s="2862"/>
      <c r="BY46" s="2862"/>
      <c r="BZ46" s="2862"/>
      <c r="CA46" s="2863"/>
      <c r="CC46" s="272"/>
      <c r="CD46" s="272"/>
      <c r="CL46" s="272"/>
      <c r="CM46" s="272"/>
      <c r="CN46" s="272"/>
      <c r="CO46" s="272"/>
      <c r="CP46" s="272"/>
      <c r="CQ46" s="272"/>
      <c r="CR46" s="272"/>
      <c r="CS46" s="272"/>
      <c r="CT46" s="272"/>
      <c r="CU46" s="272"/>
      <c r="CV46" s="272"/>
      <c r="CW46" s="272"/>
      <c r="CX46" s="272"/>
      <c r="CY46" s="272"/>
      <c r="CZ46" s="272"/>
      <c r="DA46" s="272"/>
      <c r="DB46" s="272"/>
      <c r="DC46" s="272"/>
      <c r="DD46" s="272"/>
      <c r="DE46" s="272"/>
      <c r="DF46" s="272"/>
    </row>
    <row r="47" spans="2:110" s="271" customFormat="1" ht="12" customHeight="1" thickBot="1">
      <c r="B47" s="3333"/>
      <c r="C47" s="2932"/>
      <c r="D47" s="2932"/>
      <c r="E47" s="2932"/>
      <c r="F47" s="2932"/>
      <c r="G47" s="2932"/>
      <c r="H47" s="2932"/>
      <c r="I47" s="2932"/>
      <c r="J47" s="3334"/>
      <c r="K47" s="3333"/>
      <c r="L47" s="2932"/>
      <c r="M47" s="2932"/>
      <c r="N47" s="2932"/>
      <c r="O47" s="2932"/>
      <c r="P47" s="2932"/>
      <c r="Q47" s="2932"/>
      <c r="R47" s="3334"/>
      <c r="S47" s="3333"/>
      <c r="T47" s="2932"/>
      <c r="U47" s="2932"/>
      <c r="V47" s="2932"/>
      <c r="W47" s="2932"/>
      <c r="X47" s="2932"/>
      <c r="Y47" s="2932"/>
      <c r="Z47" s="3334"/>
      <c r="AA47" s="3333"/>
      <c r="AB47" s="2932"/>
      <c r="AC47" s="2932"/>
      <c r="AD47" s="2932"/>
      <c r="AE47" s="2932"/>
      <c r="AF47" s="2932"/>
      <c r="AG47" s="2932"/>
      <c r="AH47" s="3334"/>
      <c r="AI47" s="3333"/>
      <c r="AJ47" s="2932"/>
      <c r="AK47" s="2932"/>
      <c r="AL47" s="2932"/>
      <c r="AM47" s="2932"/>
      <c r="AN47" s="2932"/>
      <c r="AO47" s="2932"/>
      <c r="AP47" s="3334"/>
      <c r="AQ47" s="3333"/>
      <c r="AR47" s="2932"/>
      <c r="AS47" s="2932"/>
      <c r="AT47" s="2932"/>
      <c r="AU47" s="2932"/>
      <c r="AV47" s="2932"/>
      <c r="AW47" s="2932"/>
      <c r="AX47" s="3334"/>
      <c r="AY47" s="3333"/>
      <c r="AZ47" s="2932"/>
      <c r="BA47" s="2932"/>
      <c r="BB47" s="2932"/>
      <c r="BC47" s="2932"/>
      <c r="BD47" s="3333"/>
      <c r="BE47" s="2932"/>
      <c r="BF47" s="2932"/>
      <c r="BG47" s="2932"/>
      <c r="BH47" s="3334"/>
      <c r="BI47" s="2932"/>
      <c r="BJ47" s="2932"/>
      <c r="BK47" s="2932"/>
      <c r="BL47" s="2932"/>
      <c r="BM47" s="3334"/>
      <c r="BN47" s="3333"/>
      <c r="BO47" s="2932"/>
      <c r="BP47" s="2932"/>
      <c r="BQ47" s="2932"/>
      <c r="BR47" s="3334"/>
      <c r="BT47" s="2931"/>
      <c r="BU47" s="2932"/>
      <c r="BV47" s="2932"/>
      <c r="BW47" s="2932"/>
      <c r="BX47" s="2932"/>
      <c r="BY47" s="2932"/>
      <c r="BZ47" s="2932"/>
      <c r="CA47" s="2933"/>
      <c r="CC47" s="272"/>
      <c r="CD47" s="272"/>
      <c r="CL47" s="272"/>
      <c r="CM47" s="272"/>
      <c r="CN47" s="272"/>
      <c r="CO47" s="272"/>
      <c r="CP47" s="272"/>
      <c r="CQ47" s="272"/>
      <c r="CR47" s="272"/>
      <c r="CS47" s="272"/>
      <c r="CT47" s="272"/>
      <c r="CU47" s="272"/>
      <c r="CV47" s="272"/>
      <c r="CW47" s="272"/>
      <c r="CX47" s="272"/>
      <c r="CY47" s="272"/>
      <c r="CZ47" s="272"/>
      <c r="DA47" s="272"/>
      <c r="DB47" s="272"/>
      <c r="DC47" s="272"/>
      <c r="DD47" s="272"/>
      <c r="DE47" s="272"/>
      <c r="DF47" s="272"/>
    </row>
    <row r="48" spans="2:110" s="271" customFormat="1" ht="12" customHeight="1" thickBot="1">
      <c r="B48" s="1357"/>
      <c r="C48" s="3372" t="str">
        <f>IF([1]MATH!C9=3,"Light Domain",IF([1]MATH!C9=4,"Nature Domain",""))</f>
        <v/>
      </c>
      <c r="D48" s="3356" t="s">
        <v>7314</v>
      </c>
      <c r="E48" s="3357" t="s">
        <v>7315</v>
      </c>
      <c r="F48" s="3357" t="s">
        <v>7169</v>
      </c>
      <c r="G48" s="3374" t="s">
        <v>6598</v>
      </c>
      <c r="H48" s="3357" t="s">
        <v>6592</v>
      </c>
      <c r="I48" s="3335" t="s">
        <v>7170</v>
      </c>
      <c r="J48" s="3397" t="s">
        <v>7170</v>
      </c>
      <c r="K48" s="3392" t="str">
        <f>IF([1]MATH!C8=1,CONCATENATE([1]MATH!D9," Domain"),"")</f>
        <v/>
      </c>
      <c r="L48" s="3398" t="s">
        <v>7316</v>
      </c>
      <c r="M48" s="3373" t="s">
        <v>7315</v>
      </c>
      <c r="N48" s="3358" t="s">
        <v>7169</v>
      </c>
      <c r="O48" s="3373" t="s">
        <v>6598</v>
      </c>
      <c r="P48" s="3358" t="s">
        <v>6592</v>
      </c>
      <c r="Q48" s="3358" t="s">
        <v>7317</v>
      </c>
      <c r="R48" s="3396" t="s">
        <v>7318</v>
      </c>
      <c r="S48" s="3310" t="str">
        <f>IF([1]MATH!C8=1,CONCATENATE([1]MATH!D9," Domain"),"")</f>
        <v/>
      </c>
      <c r="T48" s="3358" t="s">
        <v>7174</v>
      </c>
      <c r="U48" s="3373" t="s">
        <v>7315</v>
      </c>
      <c r="V48" s="3358" t="s">
        <v>7169</v>
      </c>
      <c r="W48" s="3364" t="s">
        <v>6548</v>
      </c>
      <c r="X48" s="3364" t="s">
        <v>6549</v>
      </c>
      <c r="Y48" s="3362" t="s">
        <v>7174</v>
      </c>
      <c r="Z48" s="3376" t="s">
        <v>7318</v>
      </c>
      <c r="AA48" s="3389" t="str">
        <f>IF([1]MATH!C8=1,CONCATENATE([1]MATH!D9," Domain"),"")</f>
        <v/>
      </c>
      <c r="AB48" s="3387" t="s">
        <v>7319</v>
      </c>
      <c r="AC48" s="3374" t="s">
        <v>7315</v>
      </c>
      <c r="AD48" s="3357" t="s">
        <v>7169</v>
      </c>
      <c r="AE48" s="3374" t="s">
        <v>6598</v>
      </c>
      <c r="AF48" s="3357" t="s">
        <v>6592</v>
      </c>
      <c r="AG48" s="3366" t="s">
        <v>7175</v>
      </c>
      <c r="AH48" s="3376" t="s">
        <v>7318</v>
      </c>
      <c r="AI48" s="3392" t="str">
        <f>IF([1]MATH!C8=1,CONCATENATE([1]MATH!D9," Domain"),"")</f>
        <v/>
      </c>
      <c r="AJ48" s="3387" t="s">
        <v>7320</v>
      </c>
      <c r="AK48" s="3374" t="s">
        <v>7315</v>
      </c>
      <c r="AL48" s="3357" t="s">
        <v>7169</v>
      </c>
      <c r="AM48" s="3374" t="s">
        <v>6598</v>
      </c>
      <c r="AN48" s="3357" t="s">
        <v>6592</v>
      </c>
      <c r="AO48" s="3366" t="s">
        <v>7176</v>
      </c>
      <c r="AP48" s="3386" t="s">
        <v>7321</v>
      </c>
      <c r="AQ48" s="3389" t="str">
        <f>IF([1]MATH!C8=1,CONCATENATE([1]MATH!D9," Domain"),"")</f>
        <v/>
      </c>
      <c r="AR48" s="3387" t="s">
        <v>7322</v>
      </c>
      <c r="AS48" s="3374" t="s">
        <v>7315</v>
      </c>
      <c r="AT48" s="3357" t="s">
        <v>7169</v>
      </c>
      <c r="AU48" s="3356" t="s">
        <v>6598</v>
      </c>
      <c r="AV48" s="3364" t="s">
        <v>6592</v>
      </c>
      <c r="AW48" s="3387" t="s">
        <v>7177</v>
      </c>
      <c r="AX48" s="3386" t="s">
        <v>7323</v>
      </c>
      <c r="AY48" s="1358" t="s">
        <v>7168</v>
      </c>
      <c r="AZ48" s="3356" t="s">
        <v>6598</v>
      </c>
      <c r="BA48" s="3364" t="s">
        <v>6592</v>
      </c>
      <c r="BB48" s="3387" t="s">
        <v>7178</v>
      </c>
      <c r="BC48" s="3356" t="s">
        <v>7324</v>
      </c>
      <c r="BD48" s="1358" t="s">
        <v>7168</v>
      </c>
      <c r="BE48" s="3356" t="s">
        <v>6598</v>
      </c>
      <c r="BF48" s="3364" t="s">
        <v>6592</v>
      </c>
      <c r="BG48" s="3387" t="s">
        <v>7179</v>
      </c>
      <c r="BH48" s="3386" t="s">
        <v>7325</v>
      </c>
      <c r="BI48" s="1359" t="s">
        <v>7168</v>
      </c>
      <c r="BJ48" s="3356" t="s">
        <v>6598</v>
      </c>
      <c r="BK48" s="3364" t="s">
        <v>6592</v>
      </c>
      <c r="BL48" s="3387" t="s">
        <v>7180</v>
      </c>
      <c r="BM48" s="3386" t="s">
        <v>7326</v>
      </c>
      <c r="BN48" s="1358" t="s">
        <v>7168</v>
      </c>
      <c r="BO48" s="3356" t="s">
        <v>6598</v>
      </c>
      <c r="BP48" s="3364" t="s">
        <v>6592</v>
      </c>
      <c r="BQ48" s="3387" t="s">
        <v>7327</v>
      </c>
      <c r="BR48" s="3354" t="s">
        <v>7328</v>
      </c>
      <c r="BT48" s="3378" t="s">
        <v>6042</v>
      </c>
      <c r="BU48" s="624">
        <v>1</v>
      </c>
      <c r="BV48" s="624">
        <v>2</v>
      </c>
      <c r="BW48" s="624">
        <v>3</v>
      </c>
      <c r="BX48" s="624">
        <v>4</v>
      </c>
      <c r="BY48" s="624">
        <v>5</v>
      </c>
      <c r="BZ48" s="624">
        <v>6</v>
      </c>
      <c r="CA48" s="624">
        <v>7</v>
      </c>
      <c r="CC48" s="272"/>
      <c r="CD48" s="272"/>
      <c r="CL48" s="272"/>
      <c r="CM48" s="272"/>
      <c r="CN48" s="272"/>
      <c r="CO48" s="272"/>
      <c r="CP48" s="272"/>
      <c r="CQ48" s="272"/>
      <c r="CR48" s="272"/>
      <c r="CS48" s="272"/>
      <c r="CT48" s="272"/>
      <c r="CU48" s="272"/>
      <c r="CV48" s="272"/>
      <c r="CW48" s="272"/>
      <c r="CX48" s="272"/>
      <c r="CY48" s="272"/>
      <c r="CZ48" s="272"/>
      <c r="DA48" s="272"/>
      <c r="DB48" s="272"/>
      <c r="DC48" s="272"/>
      <c r="DD48" s="272"/>
      <c r="DE48" s="272"/>
      <c r="DF48" s="272"/>
    </row>
    <row r="49" spans="2:89" ht="12" customHeight="1" thickBot="1">
      <c r="B49" s="1322">
        <f>COUNT(B50:B69)</f>
        <v>20</v>
      </c>
      <c r="C49" s="3281"/>
      <c r="D49" s="2932"/>
      <c r="E49" s="3319"/>
      <c r="F49" s="3319"/>
      <c r="G49" s="2933"/>
      <c r="H49" s="3319"/>
      <c r="I49" s="3361"/>
      <c r="J49" s="3355"/>
      <c r="K49" s="3390"/>
      <c r="L49" s="3388"/>
      <c r="M49" s="2933"/>
      <c r="N49" s="3319"/>
      <c r="O49" s="2933"/>
      <c r="P49" s="3319"/>
      <c r="Q49" s="3319"/>
      <c r="R49" s="3334"/>
      <c r="S49" s="3311"/>
      <c r="T49" s="3319"/>
      <c r="U49" s="2933"/>
      <c r="V49" s="3319"/>
      <c r="W49" s="3367"/>
      <c r="X49" s="3367"/>
      <c r="Y49" s="3394"/>
      <c r="Z49" s="3377"/>
      <c r="AA49" s="3390"/>
      <c r="AB49" s="3388"/>
      <c r="AC49" s="2933"/>
      <c r="AD49" s="3319"/>
      <c r="AE49" s="2933"/>
      <c r="AF49" s="3319"/>
      <c r="AG49" s="3367"/>
      <c r="AH49" s="3391"/>
      <c r="AI49" s="3393"/>
      <c r="AJ49" s="3388"/>
      <c r="AK49" s="2933"/>
      <c r="AL49" s="3319"/>
      <c r="AM49" s="2933"/>
      <c r="AN49" s="3319"/>
      <c r="AO49" s="3367"/>
      <c r="AP49" s="3334"/>
      <c r="AQ49" s="3390"/>
      <c r="AR49" s="3388"/>
      <c r="AS49" s="2933"/>
      <c r="AT49" s="3319"/>
      <c r="AU49" s="2932"/>
      <c r="AV49" s="3367"/>
      <c r="AW49" s="3388"/>
      <c r="AX49" s="3334"/>
      <c r="AY49" s="1324">
        <f>COUNT($B50:$B99)-COUNTBLANK(AY50:AY99)</f>
        <v>23</v>
      </c>
      <c r="AZ49" s="2932"/>
      <c r="BA49" s="3367"/>
      <c r="BB49" s="3388"/>
      <c r="BC49" s="2932"/>
      <c r="BD49" s="1324">
        <f>COUNT($B50:$B99)-COUNTBLANK(BD50:BD99)</f>
        <v>12</v>
      </c>
      <c r="BE49" s="2932"/>
      <c r="BF49" s="3367"/>
      <c r="BG49" s="3388"/>
      <c r="BH49" s="3334"/>
      <c r="BI49" s="1360">
        <f>COUNT($B50:$B99)-COUNTBLANK(BI50:BI99)</f>
        <v>9</v>
      </c>
      <c r="BJ49" s="2932"/>
      <c r="BK49" s="3367"/>
      <c r="BL49" s="3388"/>
      <c r="BM49" s="3334"/>
      <c r="BN49" s="1324">
        <f>COUNT($B50:$B99)-COUNTBLANK(BN50:BN99)</f>
        <v>6</v>
      </c>
      <c r="BO49" s="2932"/>
      <c r="BP49" s="3367"/>
      <c r="BQ49" s="3388"/>
      <c r="BR49" s="3355"/>
      <c r="BT49" s="3361"/>
      <c r="BU49" s="624" t="s">
        <v>6303</v>
      </c>
      <c r="BV49" s="624" t="s">
        <v>6304</v>
      </c>
      <c r="BW49" s="624" t="s">
        <v>6305</v>
      </c>
      <c r="BX49" s="624" t="s">
        <v>6306</v>
      </c>
      <c r="BY49" s="624" t="s">
        <v>6307</v>
      </c>
      <c r="BZ49" s="624" t="s">
        <v>6308</v>
      </c>
      <c r="CA49" s="625" t="s">
        <v>6309</v>
      </c>
      <c r="CC49" s="594"/>
      <c r="CD49" s="594"/>
      <c r="CE49" s="594"/>
    </row>
    <row r="50" spans="2:89" ht="12" customHeight="1" thickBot="1">
      <c r="B50" s="1326">
        <v>1</v>
      </c>
      <c r="C50" s="1328" t="str">
        <f>IF([1]MATH!C9=3,"Light",IF([1]MATH!C9=4,J78,""))</f>
        <v/>
      </c>
      <c r="D50" s="1328" t="s">
        <v>7329</v>
      </c>
      <c r="E50" s="1361">
        <f>SUMPRODUCT(--ISNA(MATCH(D50:D56,C50,0)))</f>
        <v>7</v>
      </c>
      <c r="F50" s="467">
        <f>IF(ROWS(F$50:F50)&lt;=$E$50,ROWS(F$50:F50),"")</f>
        <v>1</v>
      </c>
      <c r="G50" s="1362">
        <f ca="1">IF(ROWS(G$50:G50)&lt;=$E$50,RAND(),"")</f>
        <v>9.7434292266722067E-2</v>
      </c>
      <c r="H50" s="467">
        <f ca="1">IF(F50=ROWS(H$50:H50),RANK(G50,$G$50:$G$71),"")</f>
        <v>7</v>
      </c>
      <c r="I50" s="1328" t="str">
        <f>IF(ROWS(I$50:I50)&gt;E$50,"",INDEX($D$50:$D$69,_xlfn.AGGREGATE(15,6,(ROW($D$50:$D$69)-ROW($L$50)+1)/ISNA(MATCH($D$50:$D$69,$C$50:$C$69,0)),ROWS(I$50:I50))))</f>
        <v>Guidance</v>
      </c>
      <c r="J50" s="1363" t="str">
        <f ca="1">IF($E$50&lt;$F$56,C50,VLOOKUP(F50,H50:I69,2,FALSE))</f>
        <v>Light</v>
      </c>
      <c r="K50" s="1364" t="str">
        <f>IF([1]MATH!$C$5&gt;2,HLOOKUP([1]MATH!$C$9,$BT$48:$CA$59,3,TRUE),"")</f>
        <v>Divine Favor</v>
      </c>
      <c r="L50" s="1365" t="s">
        <v>7193</v>
      </c>
      <c r="M50" s="1366">
        <f>SUMPRODUCT(--ISNA(MATCH($L$50:$L$64,K50:K64,0)))</f>
        <v>14</v>
      </c>
      <c r="N50" s="1367"/>
      <c r="Q50" s="1270"/>
      <c r="R50" s="1368" t="str">
        <f>IF($M$50&lt;$N$69,K50,VLOOKUP(N52,$P$52:$Q$69,2,FALSE))</f>
        <v>Divine Favor</v>
      </c>
      <c r="S50" s="1369" t="str">
        <f>IF([1]MATH!$C$5&gt;2,HLOOKUP([1]MATH!$C$9,$BT$48:$CA$59,5,TRUE),"")</f>
        <v>Magic Weapon</v>
      </c>
      <c r="T50" s="595" t="s">
        <v>7330</v>
      </c>
      <c r="U50" s="1361">
        <f>SUMPRODUCT(--ISNA(MATCH(T50:T66,S50:S51,0)))</f>
        <v>16</v>
      </c>
      <c r="Y50" s="1270"/>
      <c r="Z50" s="1368" t="str">
        <f>IF($U$50&lt;$V$69,S50,VLOOKUP(V52,$X$52:$Y$69,2,FALSE))</f>
        <v>Magic Weapon</v>
      </c>
      <c r="AA50" s="1369" t="str">
        <f>IF([1]MATH!$C$5&gt;2,HLOOKUP([1]MATH!$C$9,$BT$48:$CA$59,7,TRUE),"")</f>
        <v>Crusader's Mantle</v>
      </c>
      <c r="AB50" s="344" t="s">
        <v>7331</v>
      </c>
      <c r="AC50" s="1366">
        <f>SUMPRODUCT(--ISNA(MATCH($AB$50:$AB$69,AA50:AA51,0)))</f>
        <v>19</v>
      </c>
      <c r="AD50" s="1370"/>
      <c r="AH50" s="1371" t="str">
        <f>IF($AC$50&lt;=$AD$71,AA50,VLOOKUP(AD52,$AF$52:$AG$71,2,FALSE))</f>
        <v>Crusader's Mantle</v>
      </c>
      <c r="AI50" s="1372" t="str">
        <f>IF([1]MATH!$C$5&gt;2,HLOOKUP([1]MATH!$C$9,$BT$48:$CA$59,9,TRUE),"")</f>
        <v>Freedom of Movement</v>
      </c>
      <c r="AJ50" s="344" t="s">
        <v>7332</v>
      </c>
      <c r="AK50" s="1366">
        <f>SUMPRODUCT(--ISNA(MATCH(AJ50:AJ57,AI50:AI51,0)))</f>
        <v>7</v>
      </c>
      <c r="AL50" s="1367"/>
      <c r="AM50" s="705"/>
      <c r="AN50" s="705"/>
      <c r="AO50" s="1270"/>
      <c r="AP50" s="1368" t="str">
        <f>IF($AK$50&lt;=$AL$71,AI50,VLOOKUP(AL52,$AN$52:$AO$71,2,FALSE))</f>
        <v>Freedom of Movement</v>
      </c>
      <c r="AQ50" s="1373" t="str">
        <f>IF([1]MATH!$C$5&gt;2,HLOOKUP([1]MATH!$C$9,$BT$48:$CA$59,11,TRUE),"")</f>
        <v>Flame Strike</v>
      </c>
      <c r="AR50" s="344" t="s">
        <v>7333</v>
      </c>
      <c r="AS50" s="1366">
        <f>SUMPRODUCT(--ISNA(MATCH(AR50:AR62,AQ50:AQ51,0)))</f>
        <v>12</v>
      </c>
      <c r="AT50" s="1367"/>
      <c r="AU50" s="705"/>
      <c r="AV50" s="705"/>
      <c r="AW50" s="1270"/>
      <c r="AX50" s="1374" t="str">
        <f>AQ50</f>
        <v>Flame Strike</v>
      </c>
      <c r="AY50" s="1375">
        <v>1</v>
      </c>
      <c r="AZ50" s="382">
        <f ca="1">IF(AY50=1,RAND(),"")</f>
        <v>0.35707758439350967</v>
      </c>
      <c r="BA50" s="896">
        <f ca="1">IF(AY50=1,RANK(AZ50,AZ50:AZ69),"")</f>
        <v>7</v>
      </c>
      <c r="BB50" s="344" t="s">
        <v>7334</v>
      </c>
      <c r="BC50" s="1376" t="str">
        <f t="shared" ref="BC50:BC71" ca="1" si="23">IF(AY50=$B$48," ",VLOOKUP($B50,BA$50:BB$69,2,FALSE))</f>
        <v>Heal</v>
      </c>
      <c r="BD50" s="1375">
        <v>1</v>
      </c>
      <c r="BE50" s="1377">
        <f ca="1">IF(BD50=1,RAND(),"")</f>
        <v>0.32732008605949503</v>
      </c>
      <c r="BF50" s="896">
        <f ca="1">IF(BD50=1,RANK(BE50,BE50:BE69),"")</f>
        <v>5</v>
      </c>
      <c r="BG50" s="344" t="s">
        <v>7335</v>
      </c>
      <c r="BH50" s="1363" t="str">
        <f t="shared" ref="BH50:BH57" ca="1" si="24">IF(BD50=$B$48," ",VLOOKUP($B50,BF$50:BG$69,2,FALSE))</f>
        <v>Plane Shift</v>
      </c>
      <c r="BI50" s="1378">
        <v>1</v>
      </c>
      <c r="BJ50" s="1377">
        <f ca="1">IF(BI50=1,RAND(),"")</f>
        <v>0.47394847423178432</v>
      </c>
      <c r="BK50" s="896">
        <f ca="1">IF(BI50=1,RANK(BJ50,BJ50:BJ69),"")</f>
        <v>2</v>
      </c>
      <c r="BL50" s="344" t="s">
        <v>7336</v>
      </c>
      <c r="BM50" s="1379" t="str">
        <f t="shared" ref="BM50:BM71" ca="1" si="25">IF(BI50=$B$48," ",VLOOKUP($B50,BK$50:BL$69,2,FALSE))</f>
        <v>Holy Aura</v>
      </c>
      <c r="BN50" s="1375">
        <v>1</v>
      </c>
      <c r="BO50" s="1380">
        <f ca="1">IF(BN50=1,RAND(),"")</f>
        <v>0.9045582640325357</v>
      </c>
      <c r="BP50" s="896">
        <f ca="1">IF(BN50=1,RANK(BO50,BO50:BO69),"")</f>
        <v>1</v>
      </c>
      <c r="BQ50" s="344" t="s">
        <v>7337</v>
      </c>
      <c r="BR50" s="1363" t="str">
        <f ca="1">IF(BN50=$B$48," ",VLOOKUP($B50,BP$50:BQ$69,2,FALSE))</f>
        <v>Astral Projection</v>
      </c>
      <c r="BS50" s="271" t="s">
        <v>1287</v>
      </c>
      <c r="BT50" s="1143">
        <v>1</v>
      </c>
      <c r="BU50" s="1333" t="s">
        <v>7338</v>
      </c>
      <c r="BV50" s="1333" t="s">
        <v>7339</v>
      </c>
      <c r="BW50" s="1333" t="s">
        <v>7340</v>
      </c>
      <c r="BX50" s="1333" t="s">
        <v>7184</v>
      </c>
      <c r="BY50" s="1333" t="s">
        <v>7341</v>
      </c>
      <c r="BZ50" s="1333" t="s">
        <v>7203</v>
      </c>
      <c r="CA50" s="1381" t="s">
        <v>7342</v>
      </c>
      <c r="CC50" s="271"/>
      <c r="CD50" s="271"/>
      <c r="CE50" s="271"/>
      <c r="CK50" s="271"/>
    </row>
    <row r="51" spans="2:89" ht="12" customHeight="1" thickBot="1">
      <c r="B51" s="1336">
        <v>2</v>
      </c>
      <c r="C51" s="368"/>
      <c r="D51" s="1338" t="s">
        <v>6305</v>
      </c>
      <c r="E51" s="1382"/>
      <c r="F51" s="382">
        <f>IF(ROWS(F$50:F51)&lt;=$E$50,ROWS(F$50:F51),"")</f>
        <v>2</v>
      </c>
      <c r="G51" s="1377">
        <f ca="1">IF(ROWS(G$50:G51)&lt;=$E$50,RAND(),"")</f>
        <v>0.9753335716488678</v>
      </c>
      <c r="H51" s="382">
        <f ca="1">IF(F51=ROWS(H$50:H51),RANK(G51,$G$50:$G$71),"")</f>
        <v>1</v>
      </c>
      <c r="I51" s="1338" t="str">
        <f>IF(ROWS(I$50:I51)&gt;E$50,"",INDEX($D$50:$D$69,_xlfn.AGGREGATE(15,6,(ROW($D$50:$D$69)-ROW($L$50)+1)/ISNA(MATCH($D$50:$D$69,$C$50:$C$69,0)),ROWS(I$50:I51))))</f>
        <v>Light</v>
      </c>
      <c r="J51" s="1363" t="str">
        <f ca="1">VLOOKUP(F51,H$50:I$69,2,FALSE)</f>
        <v>Mending</v>
      </c>
      <c r="K51" s="1383" t="str">
        <f>IF([1]MATH!$C$5&gt;2,HLOOKUP([1]MATH!$C$9,$BT$48:$CA$59,4,TRUE),"")</f>
        <v>Shield of Faith</v>
      </c>
      <c r="L51" s="1384" t="s">
        <v>7339</v>
      </c>
      <c r="M51" s="1385"/>
      <c r="N51" s="609"/>
      <c r="Q51" s="1296"/>
      <c r="R51" s="1386" t="str">
        <f>IF($M$50&lt;$N$69,K51,VLOOKUP(N53,$P$52:$Q$69,2,FALSE))</f>
        <v>Shield of Faith</v>
      </c>
      <c r="S51" s="1387" t="str">
        <f>IF([1]MATH!$C$5&gt;2,HLOOKUP([1]MATH!$C$9,$BT$48:$CA$59,6,TRUE),"")</f>
        <v>SpirItual Weapon</v>
      </c>
      <c r="T51" s="701" t="s">
        <v>7343</v>
      </c>
      <c r="U51" s="1382"/>
      <c r="Y51" s="1296"/>
      <c r="Z51" s="1388" t="str">
        <f>IF($U$50&lt;$V$69,S51,VLOOKUP(V53,$X$52:$Y$69,2,FALSE))</f>
        <v>SpirItual Weapon</v>
      </c>
      <c r="AA51" s="1387" t="str">
        <f>IF([1]MATH!$C$5&gt;2,HLOOKUP([1]MATH!$C$9,$BT$48:$CA$59,8,TRUE),"")</f>
        <v>Spirit Guardian</v>
      </c>
      <c r="AB51" s="368" t="s">
        <v>7344</v>
      </c>
      <c r="AC51" s="1385"/>
      <c r="AD51" s="1389"/>
      <c r="AH51" s="1390" t="str">
        <f>IF($AC$50&lt;=$AD$71,AA51,VLOOKUP(AD53,$AF$52:$AG$71,2,FALSE))</f>
        <v>Spirit Guardian</v>
      </c>
      <c r="AI51" s="1387" t="str">
        <f>IF([1]MATH!$C$5&gt;2,HLOOKUP([1]MATH!$C$9,$BT$48:$CA$59,10,TRUE),"")</f>
        <v>Stoneskin</v>
      </c>
      <c r="AJ51" s="368" t="s">
        <v>7345</v>
      </c>
      <c r="AK51" s="1391"/>
      <c r="AL51" s="609"/>
      <c r="AM51" s="1188"/>
      <c r="AN51" s="1188"/>
      <c r="AO51" s="1296"/>
      <c r="AP51" s="1388" t="str">
        <f>IF($AK$50&lt;=$AL$71,AI51,VLOOKUP(AL53,$AN$52:$AO$71,2,FALSE))</f>
        <v>Stoneskin</v>
      </c>
      <c r="AQ51" s="1392" t="str">
        <f>IF([1]MATH!$C$5&gt;2,HLOOKUP([1]MATH!$C$9,$BT$48:$CA$59,12,TRUE),"")</f>
        <v>Hold Monster</v>
      </c>
      <c r="AR51" s="368" t="s">
        <v>7346</v>
      </c>
      <c r="AS51" s="1391"/>
      <c r="AT51" s="609"/>
      <c r="AU51" s="1188"/>
      <c r="AV51" s="1188"/>
      <c r="AW51" s="1296"/>
      <c r="AX51" s="1393" t="str">
        <f>AQ51</f>
        <v>Hold Monster</v>
      </c>
      <c r="AY51" s="1394">
        <v>2</v>
      </c>
      <c r="AZ51" s="382">
        <f ca="1">IF(AY51=2,RAND(),"")</f>
        <v>0.18526287858618751</v>
      </c>
      <c r="BA51" s="901">
        <f ca="1">IF(AY51=2,RANK(AZ51,AZ50:AZ69),"")</f>
        <v>8</v>
      </c>
      <c r="BB51" s="368" t="s">
        <v>7347</v>
      </c>
      <c r="BC51" s="1395" t="str">
        <f t="shared" ca="1" si="23"/>
        <v>Harm</v>
      </c>
      <c r="BD51" s="1394">
        <v>2</v>
      </c>
      <c r="BE51" s="1377">
        <f ca="1">IF(BD51=2,RAND(),"")</f>
        <v>2.6007083448210899E-2</v>
      </c>
      <c r="BF51" s="901">
        <f ca="1">IF(BD51=2,RANK(BE51,BE50:BE69),"")</f>
        <v>8</v>
      </c>
      <c r="BG51" s="368" t="s">
        <v>7348</v>
      </c>
      <c r="BH51" s="1363" t="str">
        <f t="shared" ca="1" si="24"/>
        <v>Etherealness</v>
      </c>
      <c r="BI51" s="1396">
        <v>2</v>
      </c>
      <c r="BJ51" s="1377">
        <f ca="1">IF(BI51=2,RAND(),"")</f>
        <v>0.31126368228856127</v>
      </c>
      <c r="BK51" s="901">
        <f ca="1">IF(BI51=2,RANK(BJ51,BJ50:BJ69),"")</f>
        <v>3</v>
      </c>
      <c r="BL51" s="368" t="s">
        <v>7349</v>
      </c>
      <c r="BM51" s="1363" t="str">
        <f t="shared" ca="1" si="25"/>
        <v>Antimagic Field</v>
      </c>
      <c r="BN51" s="1394">
        <v>2</v>
      </c>
      <c r="BO51" s="1380">
        <f ca="1">IF(BN51=2,RAND(),"")</f>
        <v>0.53429520740998304</v>
      </c>
      <c r="BP51" s="901">
        <f ca="1">IF(BN51=2,RANK(BO51,BO50:BO69),"")</f>
        <v>2</v>
      </c>
      <c r="BQ51" s="368" t="s">
        <v>7350</v>
      </c>
      <c r="BR51" s="1363" t="str">
        <f ca="1">IF(BN51=$B$48," ",VLOOKUP($B51,BP$50:BQ$69,2,FALSE))</f>
        <v>Gate</v>
      </c>
      <c r="BS51" s="271" t="s">
        <v>1287</v>
      </c>
      <c r="BT51" s="1128">
        <v>1</v>
      </c>
      <c r="BU51" s="1338" t="s">
        <v>7276</v>
      </c>
      <c r="BV51" s="1338" t="s">
        <v>7221</v>
      </c>
      <c r="BW51" s="1338" t="s">
        <v>7259</v>
      </c>
      <c r="BX51" s="1338" t="s">
        <v>7292</v>
      </c>
      <c r="BY51" s="1338" t="s">
        <v>7296</v>
      </c>
      <c r="BZ51" s="1338" t="s">
        <v>7238</v>
      </c>
      <c r="CA51" s="1397" t="s">
        <v>7351</v>
      </c>
      <c r="CC51" s="271"/>
      <c r="CD51" s="271"/>
      <c r="CE51" s="271"/>
    </row>
    <row r="52" spans="2:89" ht="12" customHeight="1">
      <c r="B52" s="1336">
        <v>3</v>
      </c>
      <c r="C52" s="368"/>
      <c r="D52" s="1338" t="s">
        <v>7229</v>
      </c>
      <c r="E52" s="1398"/>
      <c r="F52" s="382">
        <f>IF(ROWS(F$50:F52)&lt;=$E$50,ROWS(F$50:F52),"")</f>
        <v>3</v>
      </c>
      <c r="G52" s="1377">
        <f ca="1">IF(ROWS(G$50:G52)&lt;=$E$50,RAND(),"")</f>
        <v>0.94607363196038707</v>
      </c>
      <c r="H52" s="382">
        <f ca="1">IF(F52=ROWS(H$50:H52),RANK(G52,$G$50:$G$71),"")</f>
        <v>2</v>
      </c>
      <c r="I52" s="1338" t="str">
        <f>IF(ROWS(I$50:I52)&gt;E$50,"",INDEX($D$50:$D$69,_xlfn.AGGREGATE(15,6,(ROW($D$50:$D$69)-ROW($L$50)+1)/ISNA(MATCH($D$50:$D$69,$C$50:$C$69,0)),ROWS(I$50:I52))))</f>
        <v>Mending</v>
      </c>
      <c r="J52" s="1363" t="str">
        <f t="shared" ref="J52:J71" ca="1" si="26">VLOOKUP(F52,H$50:I$69,2,FALSE)</f>
        <v>Sacred Flame</v>
      </c>
      <c r="K52" s="1399"/>
      <c r="L52" s="1384" t="s">
        <v>7338</v>
      </c>
      <c r="M52" s="1385"/>
      <c r="N52" s="467">
        <f>IF($M$50&gt;=1,1,"")</f>
        <v>1</v>
      </c>
      <c r="O52" s="1362">
        <f ca="1">IF(ROWS(O$52:O52)&lt;=$M$50,RAND(),"")</f>
        <v>0.14477479999065712</v>
      </c>
      <c r="P52" s="467">
        <f ca="1">IF(N52=ROWS(P$52:P52),RANK(O52,$O$52:$O$69),"")</f>
        <v>11</v>
      </c>
      <c r="Q52" s="344" t="str">
        <f>IF(ROWS(Q$52:Q52)&gt;M$50,"",INDEX($L$50:$L$69,_xlfn.AGGREGATE(15,6,(ROW($L$50:$L$69)-ROW($L$50)+1)/ISNA(MATCH($L$50:$L$69,$K$50:$K$69,0)),ROWS(Q$52:Q52))))</f>
        <v>Bane</v>
      </c>
      <c r="R52" s="1388" t="str">
        <f ca="1">VLOOKUP(N52,$P$52:$Q$69,2,FALSE)</f>
        <v>Bless</v>
      </c>
      <c r="S52" s="1400"/>
      <c r="T52" s="701" t="s">
        <v>7194</v>
      </c>
      <c r="U52" s="1398"/>
      <c r="V52" s="1378">
        <f>IF(U50&gt;=1,1,"")</f>
        <v>1</v>
      </c>
      <c r="W52" s="1401">
        <f ca="1">IF(ROWS(W$52:W52)&lt;=$U$50,RAND(),"")</f>
        <v>0.73064841370013356</v>
      </c>
      <c r="X52" s="467">
        <f ca="1">IF(V52=ROWS(X$52:X52),RANK(W52,$W$52:$W$69),"")</f>
        <v>3</v>
      </c>
      <c r="Y52" s="344" t="str">
        <f>IF(ROWS(Y$52:Y52)&gt;$U$50,"",INDEX($T$50:$T$69,_xlfn.AGGREGATE(15,6,(ROW($T$50:$T$69)-ROW($T$50)+1)/ISNA(MATCH($T$50:$T$69,$S$50:$S$69,0)),ROWS(Y$52:Y52))))</f>
        <v>Aid</v>
      </c>
      <c r="Z52" s="1363" t="str">
        <f ca="1">VLOOKUP(V52,$X$52:$Y$70,2,FALSE)</f>
        <v>Warding Bond</v>
      </c>
      <c r="AA52" s="1400"/>
      <c r="AB52" s="368" t="s">
        <v>7186</v>
      </c>
      <c r="AC52" s="1385"/>
      <c r="AD52" s="896">
        <f>IF(ROWS(AD$52:AD52)&lt;=$AC$50,ROWS(AD$52:AD52),"")</f>
        <v>1</v>
      </c>
      <c r="AE52" s="1362">
        <f ca="1">IF(ROWS(AE$52:AE52)&lt;=$AC$50,RAND(),"")</f>
        <v>0.23392623685193592</v>
      </c>
      <c r="AF52" s="896">
        <f ca="1">IF(ROWS(AE$52:AE52)&lt;=$AC$50,RANK(AE52,$AE$52:$AE$71),"")</f>
        <v>13</v>
      </c>
      <c r="AG52" s="344" t="str">
        <f>IF(ROWS(AG$52:AG52)&gt;AC50,"",INDEX(AB50:AB69,_xlfn.AGGREGATE(15,6,(ROW(AB50:AB69)-ROW(AA50)+1)/ISNA(MATCH(AB50:AB69,AA50:AA69,0)),ROWS(AG$52:AG52))))</f>
        <v>Animate Dead</v>
      </c>
      <c r="AH52" s="1363" t="str">
        <f ca="1">VLOOKUP(AD52,$AF$52:$AG$71,2,FALSE)</f>
        <v>Dispel Magic</v>
      </c>
      <c r="AI52" s="1400"/>
      <c r="AJ52" s="368" t="s">
        <v>7352</v>
      </c>
      <c r="AK52" s="1402"/>
      <c r="AL52" s="1403">
        <f>IF(ROWS(AL$52:AL52)&lt;=$AK$50,ROWS(AL$52:AL52),"")</f>
        <v>1</v>
      </c>
      <c r="AM52" s="1404">
        <f ca="1">IF(ROWS(AM$52:AM52)&lt;=$AK$50,RAND(),"")</f>
        <v>0.56701256291920321</v>
      </c>
      <c r="AN52" s="1403">
        <f ca="1">IF(ROWS(AM$52:AM52)&lt;=$AK$50,RANK(AM52,$AM$52:$AM$71),"")</f>
        <v>5</v>
      </c>
      <c r="AO52" s="530" t="str">
        <f>IF(ROWS(AO$52:AO52)&gt;AK50,"",INDEX(AJ50:AJ57,_xlfn.AGGREGATE(15,6,(ROW(AJ50:AJ57)-ROW(AI50)+1)/ISNA(MATCH(AJ50:AJ57,AI50:AI69,0)),ROWS(AO$52:AO52))))</f>
        <v>Banishment</v>
      </c>
      <c r="AP52" s="1363" t="str">
        <f ca="1">VLOOKUP(AL52,$AN$52:$AO$71,2,FALSE)</f>
        <v>Control Water</v>
      </c>
      <c r="AQ52" s="1400"/>
      <c r="AR52" s="368" t="s">
        <v>7353</v>
      </c>
      <c r="AS52" s="1398"/>
      <c r="AT52" s="896">
        <f>IF(ROWS(AT$52:AT52)&lt;=$AS$50,ROWS(AT$52:AT52),"")</f>
        <v>1</v>
      </c>
      <c r="AU52" s="1404">
        <f ca="1">IF(ROWS(AU$52:AU52)&lt;=$AS$50,RAND(),"")</f>
        <v>8.2743882315978512E-2</v>
      </c>
      <c r="AV52" s="1403">
        <f ca="1">IF(ROWS(AU$52:AU52)&lt;=$AS$50,RANK(AU52,$AU$52:$AU$71),"")</f>
        <v>11</v>
      </c>
      <c r="AW52" s="530" t="str">
        <f>IF(ROWS(AW$52:AW52)&gt;$AS$50,"",INDEX($AR$50:$AR$62,_xlfn.AGGREGATE(15,6,(ROW($AR$50:$AR$62)-ROW($AQ$50)+1)/ISNA(MATCH($AR$50:$AR$62,$AQ$50:$AQ$69,0)),ROWS(AW$52:AW52))))</f>
        <v>Commune</v>
      </c>
      <c r="AX52" s="1363" t="str">
        <f ca="1">VLOOKUP(AT52,$AV$52:$AW$71,2,FALSE)</f>
        <v>Dispel Evil and Good</v>
      </c>
      <c r="AY52" s="1394">
        <v>3</v>
      </c>
      <c r="AZ52" s="382">
        <f ca="1">IF(AY52=3,RAND(),"")</f>
        <v>0.4095513394653274</v>
      </c>
      <c r="BA52" s="901">
        <f ca="1">IF(AY52=3,RANK(AZ52,AZ50:AZ69),"")</f>
        <v>6</v>
      </c>
      <c r="BB52" s="368" t="s">
        <v>7198</v>
      </c>
      <c r="BC52" s="1395" t="str">
        <f t="shared" ca="1" si="23"/>
        <v>Forbiddance</v>
      </c>
      <c r="BD52" s="1394">
        <v>3</v>
      </c>
      <c r="BE52" s="1377">
        <f ca="1">IF(BD52=3,RAND(),"")</f>
        <v>0.65188484973896677</v>
      </c>
      <c r="BF52" s="901">
        <f ca="1">IF(BD52=3,RANK(BE52,BE50:BE69),"")</f>
        <v>2</v>
      </c>
      <c r="BG52" s="368" t="s">
        <v>3801</v>
      </c>
      <c r="BH52" s="1363" t="str">
        <f t="shared" ca="1" si="24"/>
        <v>Fire Storm</v>
      </c>
      <c r="BI52" s="1396">
        <v>3</v>
      </c>
      <c r="BJ52" s="1377">
        <f ca="1">IF(BI52=3,RAND(),"")</f>
        <v>0.18322709109147006</v>
      </c>
      <c r="BK52" s="901">
        <f ca="1">IF(BI52=3,RANK(BJ52,BJ50:BJ69),"")</f>
        <v>4</v>
      </c>
      <c r="BL52" s="368" t="s">
        <v>7354</v>
      </c>
      <c r="BM52" s="1363" t="str">
        <f t="shared" ca="1" si="25"/>
        <v>Control Weather</v>
      </c>
      <c r="BN52" s="1394">
        <v>3</v>
      </c>
      <c r="BO52" s="1380">
        <f ca="1">IF(BN52=3,RAND(),"")</f>
        <v>0.29706498915755231</v>
      </c>
      <c r="BP52" s="901">
        <f ca="1">IF(BN52=3,RANK(BO52,BO50:BO69),"")</f>
        <v>3</v>
      </c>
      <c r="BQ52" s="368" t="s">
        <v>7355</v>
      </c>
      <c r="BR52" s="1363" t="str">
        <f ca="1">IF(BN52=$B$48," ",VLOOKUP($B52,BP$50:BQ$69,2,FALSE))</f>
        <v>Mass Heal</v>
      </c>
      <c r="BS52" s="271" t="s">
        <v>1287</v>
      </c>
      <c r="BT52" s="1128">
        <v>3</v>
      </c>
      <c r="BU52" s="1338" t="s">
        <v>7343</v>
      </c>
      <c r="BV52" s="1338" t="s">
        <v>7273</v>
      </c>
      <c r="BW52" s="1338" t="s">
        <v>7356</v>
      </c>
      <c r="BX52" s="1338" t="s">
        <v>7357</v>
      </c>
      <c r="BY52" s="1338" t="s">
        <v>7358</v>
      </c>
      <c r="BZ52" s="1338" t="s">
        <v>7359</v>
      </c>
      <c r="CA52" s="1397" t="s">
        <v>7360</v>
      </c>
      <c r="CC52" s="271"/>
      <c r="CD52" s="273"/>
      <c r="CE52" s="271"/>
    </row>
    <row r="53" spans="2:89" ht="12" customHeight="1">
      <c r="B53" s="1336">
        <v>4</v>
      </c>
      <c r="C53" s="368"/>
      <c r="D53" s="1338" t="s">
        <v>7361</v>
      </c>
      <c r="E53" s="1398"/>
      <c r="F53" s="382">
        <f>IF(ROWS(F$50:F53)&lt;=$E$50,ROWS(F$50:F53),"")</f>
        <v>4</v>
      </c>
      <c r="G53" s="1377">
        <f ca="1">IF(ROWS(G$50:G53)&lt;=$E$50,RAND(),"")</f>
        <v>0.54428403738957287</v>
      </c>
      <c r="H53" s="382">
        <f ca="1">IF(F53=ROWS(H$50:H53),RANK(G53,$G$50:$G$71),"")</f>
        <v>6</v>
      </c>
      <c r="I53" s="1338" t="str">
        <f>IF(ROWS(I$50:I53)&gt;E$50,"",INDEX($D$50:$D$69,_xlfn.AGGREGATE(15,6,(ROW($D$50:$D$69)-ROW($L$50)+1)/ISNA(MATCH($D$50:$D$69,$C$50:$C$69,0)),ROWS(I$50:I53))))</f>
        <v>Resistance</v>
      </c>
      <c r="J53" s="1363" t="str">
        <f t="shared" ca="1" si="26"/>
        <v>Thaumaturgy</v>
      </c>
      <c r="K53" s="1405"/>
      <c r="L53" s="1384" t="s">
        <v>7362</v>
      </c>
      <c r="M53" s="1385"/>
      <c r="N53" s="382">
        <f>IF($M$50&gt;=2,2,"")</f>
        <v>2</v>
      </c>
      <c r="O53" s="1377">
        <f ca="1">IF(ROWS(O$52:O53)&lt;=$M$50,RAND(),"")</f>
        <v>0.95847915812698914</v>
      </c>
      <c r="P53" s="382">
        <f ca="1">IF(N53=ROWS(P$52:P53),RANK(O53,$O$52:$O$69),"")</f>
        <v>1</v>
      </c>
      <c r="Q53" s="368" t="str">
        <f>IF(ROWS(Q$52:Q53)&gt;M$50,"",INDEX($L$50:$L$69,_xlfn.AGGREGATE(15,6,(ROW($L$50:$L$69)-ROW($L$50)+1)/ISNA(MATCH($L$50:$L$69,$K$50:$K$69,0)),ROWS(Q$52:Q53))))</f>
        <v>Bless</v>
      </c>
      <c r="R53" s="1388" t="str">
        <f t="shared" ref="R53:R68" ca="1" si="27">VLOOKUP(N53,$P$52:$Q$69,2,FALSE)</f>
        <v>Guiding Bolt</v>
      </c>
      <c r="S53" s="1400"/>
      <c r="T53" s="701" t="s">
        <v>7204</v>
      </c>
      <c r="U53" s="1398"/>
      <c r="V53" s="1396">
        <f>IF(U50&gt;=2,2,"")</f>
        <v>2</v>
      </c>
      <c r="W53" s="1406">
        <f ca="1">IF(ROWS(W$52:W53)&lt;=$U$50,RAND(),"")</f>
        <v>0.19983886006476514</v>
      </c>
      <c r="X53" s="382">
        <f ca="1">IF(V53=ROWS(X$52:X53),RANK(W53,$W$52:$W$69),"")</f>
        <v>12</v>
      </c>
      <c r="Y53" s="368" t="str">
        <f>IF(ROWS(Y$52:Y53)&gt;$U$50,"",INDEX($T$50:$T$69,_xlfn.AGGREGATE(15,6,(ROW($T$50:$T$69)-ROW($T$50)+1)/ISNA(MATCH($T$50:$T$69,$S$50:$S$69,0)),ROWS(Y$52:Y53))))</f>
        <v>Augury</v>
      </c>
      <c r="Z53" s="1363" t="str">
        <f t="shared" ref="Z53:Z71" ca="1" si="28">VLOOKUP(V53,$X$52:$Y$70,2,FALSE)</f>
        <v>Lesser Restoration</v>
      </c>
      <c r="AA53" s="1400"/>
      <c r="AB53" s="368" t="s">
        <v>7195</v>
      </c>
      <c r="AC53" s="1385"/>
      <c r="AD53" s="901">
        <f>IF(ROWS(AD$52:AD53)&lt;=$AC$50,ROWS(AD$52:AD53),"")</f>
        <v>2</v>
      </c>
      <c r="AE53" s="1377">
        <f ca="1">IF(ROWS(AE$52:AE53)&lt;=$AC$50,RAND(),"")</f>
        <v>0.21286236970419392</v>
      </c>
      <c r="AF53" s="901">
        <f ca="1">IF(ROWS(AE$52:AE53)&lt;=$AC$50,RANK(AE53,$AE$52:$AE$71),"")</f>
        <v>14</v>
      </c>
      <c r="AG53" s="368" t="str">
        <f>IF(ROWS(AG$52:AG53)&gt;AC$50,"",INDEX($AB$50:$AB$69,_xlfn.AGGREGATE(15,6,(ROW($AB$50:$AB$69)-ROW($AA$50)+1)/ISNA(MATCH($AB$50:$AB$69,$AA$50:$AA$69,0)),ROWS(AG$52:AG53))))</f>
        <v>Beacon of Hope</v>
      </c>
      <c r="AH53" s="1363" t="str">
        <f t="shared" ref="AH53:AH71" ca="1" si="29">VLOOKUP(AD53,$AF$52:$AG$71,2,FALSE)</f>
        <v>Daylight</v>
      </c>
      <c r="AI53" s="1400"/>
      <c r="AJ53" s="368" t="s">
        <v>6744</v>
      </c>
      <c r="AK53" s="1402"/>
      <c r="AL53" s="1403">
        <f>IF(ROWS(AL$52:AL53)&lt;=$AK$50,ROWS(AL$52:AL53),"")</f>
        <v>2</v>
      </c>
      <c r="AM53" s="1404">
        <f ca="1">IF(ROWS(AM$52:AM53)&lt;=$AK$50,RAND(),"")</f>
        <v>0.74138270177434329</v>
      </c>
      <c r="AN53" s="1403">
        <f ca="1">IF(ROWS(AM$52:AM53)&lt;=$AK$50,RANK(AM53,$AM$52:$AM$71),"")</f>
        <v>1</v>
      </c>
      <c r="AO53" s="530" t="str">
        <f>IF(ROWS(AO$52:AO53)&gt;AK50,"",INDEX(AJ50:AJ57,_xlfn.AGGREGATE(15,6,(ROW(AJ50:AJ57)-ROW(AI50)+1)/ISNA(MATCH(AJ50:AJ57,AI50:AI69,0)),ROWS(AO$52:AO53))))</f>
        <v>Control Water</v>
      </c>
      <c r="AP53" s="1363" t="str">
        <f t="shared" ref="AP53:AP71" ca="1" si="30">VLOOKUP(AL53,$AN$52:$AO$71,2,FALSE)</f>
        <v>Locate Creature</v>
      </c>
      <c r="AQ53" s="1400"/>
      <c r="AR53" s="368" t="s">
        <v>7363</v>
      </c>
      <c r="AS53" s="1398"/>
      <c r="AT53" s="901">
        <f>IF(ROWS(AT$52:AT53)&lt;=$AS$50,ROWS(AT$52:AT53),"")</f>
        <v>2</v>
      </c>
      <c r="AU53" s="1377">
        <f ca="1">IF(ROWS(AU$52:AU53)&lt;=$AS$50,RAND(),"")</f>
        <v>0.78182218296612227</v>
      </c>
      <c r="AV53" s="1403">
        <f ca="1">IF(ROWS(AU$52:AU53)&lt;=$AS$50,RANK(AU53,$AU$52:$AU$71),"")</f>
        <v>3</v>
      </c>
      <c r="AW53" s="368" t="str">
        <f>IF(ROWS(AW$52:AW53)&gt;$AS$50,"",INDEX($AR$50:$AR$62,_xlfn.AGGREGATE(15,6,(ROW($AR$50:$AR$62)-ROW($AQ$50)+1)/ISNA(MATCH($AR$50:$AR$62,$AQ$50:$AQ$69,0)),ROWS(AW$52:AW53))))</f>
        <v>Contagion</v>
      </c>
      <c r="AX53" s="1363" t="str">
        <f t="shared" ref="AX53:AX71" ca="1" si="31">VLOOKUP(AT53,$AV$52:$AW$71,2,FALSE)</f>
        <v>Mass Cure Wounds</v>
      </c>
      <c r="AY53" s="1394">
        <v>4</v>
      </c>
      <c r="AZ53" s="382">
        <f ca="1">IF(AY53=4,RAND(),"")</f>
        <v>0.84003060044688938</v>
      </c>
      <c r="BA53" s="901">
        <f ca="1">IF(AY53=4,RANK(AZ53,AZ50:AZ69),"")</f>
        <v>3</v>
      </c>
      <c r="BB53" s="368" t="s">
        <v>7364</v>
      </c>
      <c r="BC53" s="1395" t="str">
        <f t="shared" ca="1" si="23"/>
        <v>True Seeing</v>
      </c>
      <c r="BD53" s="1394">
        <v>4</v>
      </c>
      <c r="BE53" s="1377">
        <f ca="1">IF(BD53=4,RAND(),"")</f>
        <v>0.53639531401426621</v>
      </c>
      <c r="BF53" s="901">
        <f ca="1">IF(BD53=4,RANK(BE53,BE50:BE69),"")</f>
        <v>3</v>
      </c>
      <c r="BG53" s="368" t="s">
        <v>7365</v>
      </c>
      <c r="BH53" s="1363" t="str">
        <f t="shared" ca="1" si="24"/>
        <v>Regenerate</v>
      </c>
      <c r="BI53" s="1396">
        <v>4</v>
      </c>
      <c r="BJ53" s="1377">
        <f ca="1">IF(BI53=4,RAND(),"")</f>
        <v>0.95530630946752548</v>
      </c>
      <c r="BK53" s="901">
        <f ca="1">IF(BI53=4,RANK(BJ53,BJ50:BJ69),"")</f>
        <v>1</v>
      </c>
      <c r="BL53" s="368" t="s">
        <v>7366</v>
      </c>
      <c r="BM53" s="1363" t="str">
        <f t="shared" ca="1" si="25"/>
        <v>Earthquake</v>
      </c>
      <c r="BN53" s="1394">
        <v>4</v>
      </c>
      <c r="BO53" s="1380">
        <f ca="1">IF(BN53=4,RAND(),"")</f>
        <v>0.14703334414567726</v>
      </c>
      <c r="BP53" s="901">
        <f ca="1">IF(BN53=4,RANK(BO53,BO50:BO69),"")</f>
        <v>4</v>
      </c>
      <c r="BQ53" s="368" t="s">
        <v>7367</v>
      </c>
      <c r="BR53" s="1363" t="str">
        <f ca="1">IF(BN53=$B$48," ",VLOOKUP($B53,BP$50:BQ$69,2,FALSE))</f>
        <v>Prismatic Wall</v>
      </c>
      <c r="BS53" s="271" t="s">
        <v>1287</v>
      </c>
      <c r="BT53" s="1128">
        <v>3</v>
      </c>
      <c r="BU53" s="1338" t="s">
        <v>7300</v>
      </c>
      <c r="BV53" s="1338" t="s">
        <v>7368</v>
      </c>
      <c r="BW53" s="1338" t="s">
        <v>7369</v>
      </c>
      <c r="BX53" s="1338" t="s">
        <v>7370</v>
      </c>
      <c r="BY53" s="1338" t="s">
        <v>7295</v>
      </c>
      <c r="BZ53" s="1338" t="s">
        <v>7371</v>
      </c>
      <c r="CA53" s="1397" t="s">
        <v>7372</v>
      </c>
      <c r="CC53" s="271"/>
      <c r="CD53" s="273"/>
      <c r="CE53" s="271"/>
    </row>
    <row r="54" spans="2:89" ht="12" customHeight="1">
      <c r="B54" s="1336">
        <v>5</v>
      </c>
      <c r="C54" s="368"/>
      <c r="D54" s="1338" t="s">
        <v>7373</v>
      </c>
      <c r="E54" s="1398"/>
      <c r="F54" s="382">
        <f>IF(ROWS(F$50:F54)&lt;=$E$50,ROWS(F$50:F54),"")</f>
        <v>5</v>
      </c>
      <c r="G54" s="1377">
        <f ca="1">IF(ROWS(G$50:G54)&lt;=$E$50,RAND(),"")</f>
        <v>0.86127481985046861</v>
      </c>
      <c r="H54" s="382">
        <f ca="1">IF(F54=ROWS(H$50:H54),RANK(G54,$G$50:$G$71),"")</f>
        <v>3</v>
      </c>
      <c r="I54" s="1338" t="str">
        <f>IF(ROWS(I$50:I54)&gt;E$50,"",INDEX($D$50:$D$69,_xlfn.AGGREGATE(15,6,(ROW($D$50:$D$69)-ROW($L$50)+1)/ISNA(MATCH($D$50:$D$69,$C$50:$C$69,0)),ROWS(I$50:I54))))</f>
        <v>Sacred Flame</v>
      </c>
      <c r="J54" s="1363" t="str">
        <f t="shared" ca="1" si="26"/>
        <v>Spare the Dying</v>
      </c>
      <c r="K54" s="1405"/>
      <c r="L54" s="1384" t="s">
        <v>7221</v>
      </c>
      <c r="M54" s="1385"/>
      <c r="N54" s="382">
        <f>IF($M$50&gt;=3,3,"")</f>
        <v>3</v>
      </c>
      <c r="O54" s="1377">
        <f ca="1">IF(ROWS(O$52:O54)&lt;=$M$50,RAND(),"")</f>
        <v>0.15118742864071244</v>
      </c>
      <c r="P54" s="382">
        <f ca="1">IF(N54=ROWS(P$52:P54),RANK(O54,$O$52:$O$69),"")</f>
        <v>10</v>
      </c>
      <c r="Q54" s="368" t="str">
        <f>IF(ROWS(Q$52:Q54)&gt;M$50,"",INDEX($L$50:$L$69,_xlfn.AGGREGATE(15,6,(ROW($L$50:$L$69)-ROW($L$50)+1)/ISNA(MATCH($L$50:$L$69,$K$50:$K$69,0)),ROWS(Q$52:Q54))))</f>
        <v>Command</v>
      </c>
      <c r="R54" s="1388" t="str">
        <f t="shared" ca="1" si="27"/>
        <v>Create or Destroy Water</v>
      </c>
      <c r="S54" s="1400"/>
      <c r="T54" s="701" t="s">
        <v>7374</v>
      </c>
      <c r="U54" s="1398"/>
      <c r="V54" s="1396">
        <f>IF(U50&gt;=3,3,"")</f>
        <v>3</v>
      </c>
      <c r="W54" s="1406">
        <f ca="1">IF(ROWS(W$52:W54)&lt;=$U$50,RAND(),"")</f>
        <v>0.12606064542192164</v>
      </c>
      <c r="X54" s="382">
        <f ca="1">IF(V54=ROWS(X$52:X54),RANK(W54,$W$52:$W$69),"")</f>
        <v>13</v>
      </c>
      <c r="Y54" s="368" t="str">
        <f>IF(ROWS(Y$52:Y54)&gt;$U$50,"",INDEX($T$50:$T$69,_xlfn.AGGREGATE(15,6,(ROW($T$50:$T$69)-ROW($T$50)+1)/ISNA(MATCH($T$50:$T$69,$S$50:$S$69,0)),ROWS(Y$52:Y54))))</f>
        <v>Blindness/Deafness</v>
      </c>
      <c r="Z54" s="1363" t="str">
        <f t="shared" ca="1" si="28"/>
        <v>Aid</v>
      </c>
      <c r="AA54" s="1400"/>
      <c r="AB54" s="368" t="s">
        <v>7375</v>
      </c>
      <c r="AC54" s="1385"/>
      <c r="AD54" s="901">
        <f>IF(ROWS(AD$52:AD54)&lt;=$AC$50,ROWS(AD$52:AD54),"")</f>
        <v>3</v>
      </c>
      <c r="AE54" s="1377">
        <f ca="1">IF(ROWS(AE$52:AE54)&lt;=$AC$50,RAND(),"")</f>
        <v>5.362207893164872E-2</v>
      </c>
      <c r="AF54" s="901">
        <f ca="1">IF(ROWS(AE$52:AE54)&lt;=$AC$50,RANK(AE54,$AE$52:$AE$71),"")</f>
        <v>18</v>
      </c>
      <c r="AG54" s="368" t="str">
        <f>IF(ROWS(AG$52:AG54)&gt;AC$50,"",INDEX($AB$50:$AB$69,_xlfn.AGGREGATE(15,6,(ROW($AB$50:$AB$69)-ROW($AA$50)+1)/ISNA(MATCH($AB$50:$AB$69,$AA$50:$AA$69,0)),ROWS(AG$52:AG54))))</f>
        <v>Bestow Curse</v>
      </c>
      <c r="AH54" s="1363" t="str">
        <f t="shared" ca="1" si="29"/>
        <v>Revivify</v>
      </c>
      <c r="AI54" s="1400"/>
      <c r="AJ54" s="368" t="s">
        <v>4090</v>
      </c>
      <c r="AK54" s="1402"/>
      <c r="AL54" s="1403">
        <f>IF(ROWS(AL$52:AL54)&lt;=$AK$50,ROWS(AL$52:AL54),"")</f>
        <v>3</v>
      </c>
      <c r="AM54" s="1404">
        <f ca="1">IF(ROWS(AM$52:AM54)&lt;=$AK$50,RAND(),"")</f>
        <v>0.42462264386970217</v>
      </c>
      <c r="AN54" s="1403">
        <f ca="1">IF(ROWS(AM$52:AM54)&lt;=$AK$50,RANK(AM54,$AM$52:$AM$71),"")</f>
        <v>7</v>
      </c>
      <c r="AO54" s="530" t="str">
        <f>IF(ROWS(AO$52:AO54)&gt;AK50,"",INDEX(AJ50:AJ57,_xlfn.AGGREGATE(15,6,(ROW(AJ50:AJ57)-ROW(AI50)+1)/ISNA(MATCH(AJ50:AJ57,AI50:AI69,0)),ROWS(AO$52:AO54))))</f>
        <v>Death Ward</v>
      </c>
      <c r="AP54" s="1363" t="str">
        <f t="shared" ca="1" si="30"/>
        <v>Divination</v>
      </c>
      <c r="AQ54" s="1400"/>
      <c r="AR54" s="368" t="s">
        <v>7225</v>
      </c>
      <c r="AS54" s="1398"/>
      <c r="AT54" s="901">
        <f>IF(ROWS(AT$52:AT54)&lt;=$AS$50,ROWS(AT$52:AT54),"")</f>
        <v>3</v>
      </c>
      <c r="AU54" s="1377">
        <f ca="1">IF(ROWS(AU$52:AU54)&lt;=$AS$50,RAND(),"")</f>
        <v>0.87704013126000535</v>
      </c>
      <c r="AV54" s="1403">
        <f ca="1">IF(ROWS(AU$52:AU54)&lt;=$AS$50,RANK(AU54,$AU$52:$AU$71),"")</f>
        <v>1</v>
      </c>
      <c r="AW54" s="368" t="str">
        <f>IF(ROWS(AW$52:AW54)&gt;$AS$50,"",INDEX($AR$50:$AR$62,_xlfn.AGGREGATE(15,6,(ROW($AR$50:$AR$62)-ROW($AQ$50)+1)/ISNA(MATCH($AR$50:$AR$62,$AQ$50:$AQ$69,0)),ROWS(AW$52:AW54))))</f>
        <v>Dispel Evil and Good</v>
      </c>
      <c r="AX54" s="1363" t="str">
        <f t="shared" ca="1" si="31"/>
        <v>Contagion</v>
      </c>
      <c r="AY54" s="1394">
        <v>5</v>
      </c>
      <c r="AZ54" s="382">
        <f ca="1">IF(AY54=5,RAND(),"")</f>
        <v>0.85730844971875397</v>
      </c>
      <c r="BA54" s="901">
        <f ca="1">IF(AY54=5,RANK(AZ54,AZ50:AZ69),"")</f>
        <v>2</v>
      </c>
      <c r="BB54" s="368" t="s">
        <v>7376</v>
      </c>
      <c r="BC54" s="1395" t="str">
        <f t="shared" ca="1" si="23"/>
        <v>Word of Recall</v>
      </c>
      <c r="BD54" s="1394">
        <v>5</v>
      </c>
      <c r="BE54" s="1377">
        <f ca="1">IF(BD54=5,RAND(),"")</f>
        <v>0.94402909237605925</v>
      </c>
      <c r="BF54" s="901">
        <f ca="1">IF(BD54=5,RANK(BE54,BE50:BE69),"")</f>
        <v>1</v>
      </c>
      <c r="BG54" s="368" t="s">
        <v>7377</v>
      </c>
      <c r="BH54" s="1363" t="str">
        <f t="shared" ca="1" si="24"/>
        <v>Conjure Celestial</v>
      </c>
      <c r="BI54" s="1396"/>
      <c r="BJ54" s="1377" t="str">
        <f ca="1">IF(BI54=5,RAND(),"")</f>
        <v/>
      </c>
      <c r="BK54" s="901" t="str">
        <f>IF(BI54=5,RANK(BJ54,BJ50:BJ69),"")</f>
        <v/>
      </c>
      <c r="BL54" s="368"/>
      <c r="BM54" s="1363" t="str">
        <f t="shared" si="25"/>
        <v xml:space="preserve"> </v>
      </c>
      <c r="BN54" s="1394"/>
      <c r="BO54" s="1380" t="str">
        <f ca="1">IF(BN54=5,RAND(),"")</f>
        <v/>
      </c>
      <c r="BP54" s="901" t="str">
        <f>IF(BN54=5,RANK(BO54,BO50:BO69),"")</f>
        <v/>
      </c>
      <c r="BQ54" s="368"/>
      <c r="BR54" s="1363"/>
      <c r="BS54" s="271" t="s">
        <v>1287</v>
      </c>
      <c r="BT54" s="1128">
        <v>5</v>
      </c>
      <c r="BU54" s="1338" t="s">
        <v>7261</v>
      </c>
      <c r="BV54" s="1338" t="s">
        <v>7344</v>
      </c>
      <c r="BW54" s="1338" t="s">
        <v>7378</v>
      </c>
      <c r="BX54" s="1338" t="s">
        <v>7265</v>
      </c>
      <c r="BY54" s="1338" t="s">
        <v>7379</v>
      </c>
      <c r="BZ54" s="1338" t="s">
        <v>7380</v>
      </c>
      <c r="CA54" s="1397" t="s">
        <v>7381</v>
      </c>
      <c r="CC54" s="271"/>
      <c r="CD54" s="273"/>
      <c r="CE54" s="273"/>
    </row>
    <row r="55" spans="2:89" ht="12" customHeight="1">
      <c r="B55" s="1336">
        <v>6</v>
      </c>
      <c r="C55" s="368"/>
      <c r="D55" s="1338" t="s">
        <v>7382</v>
      </c>
      <c r="E55" s="1398"/>
      <c r="F55" s="382">
        <f>IF(ROWS(F$50:F55)&lt;=$E$50,ROWS(F$50:F55),"")</f>
        <v>6</v>
      </c>
      <c r="G55" s="1377">
        <f ca="1">IF(ROWS(G$50:G55)&lt;=$E$50,RAND(),"")</f>
        <v>0.61522967054901212</v>
      </c>
      <c r="H55" s="382">
        <f ca="1">IF(F55=ROWS(H$50:H55),RANK(G55,$G$50:$G$71),"")</f>
        <v>5</v>
      </c>
      <c r="I55" s="1338" t="str">
        <f>IF(ROWS(I$50:I55)&gt;E$50,"",INDEX($D$50:$D$69,_xlfn.AGGREGATE(15,6,(ROW($D$50:$D$69)-ROW($L$50)+1)/ISNA(MATCH($D$50:$D$69,$C$50:$C$69,0)),ROWS(I$50:I55))))</f>
        <v>Spare the Dying</v>
      </c>
      <c r="J55" s="1363" t="str">
        <f t="shared" ca="1" si="26"/>
        <v>Resistance</v>
      </c>
      <c r="K55" s="1405"/>
      <c r="L55" s="1384" t="s">
        <v>7383</v>
      </c>
      <c r="M55" s="1385"/>
      <c r="N55" s="382">
        <f>IF($M$50&gt;=4,4,"")</f>
        <v>4</v>
      </c>
      <c r="O55" s="1377">
        <f ca="1">IF(ROWS(O$52:O55)&lt;=$M$50,RAND(),"")</f>
        <v>0.90514526450915955</v>
      </c>
      <c r="P55" s="382">
        <f ca="1">IF(N55=ROWS(P$52:P55),RANK(O55,$O$52:$O$69),"")</f>
        <v>3</v>
      </c>
      <c r="Q55" s="368" t="str">
        <f>IF(ROWS(Q$52:Q55)&gt;M$50,"",INDEX($L$50:$L$69,_xlfn.AGGREGATE(15,6,(ROW($L$50:$L$69)-ROW($L$50)+1)/ISNA(MATCH($L$50:$L$69,$K$50:$K$69,0)),ROWS(Q$52:Q55))))</f>
        <v>Create or Destroy Water</v>
      </c>
      <c r="R55" s="1388" t="str">
        <f t="shared" ca="1" si="27"/>
        <v>Inflict Wounds</v>
      </c>
      <c r="S55" s="1400"/>
      <c r="T55" s="701" t="s">
        <v>7239</v>
      </c>
      <c r="U55" s="1398"/>
      <c r="V55" s="1396">
        <f>IF(U50&gt;=4,4,"")</f>
        <v>4</v>
      </c>
      <c r="W55" s="1406">
        <f ca="1">IF(ROWS(W$52:W55)&lt;=$U$50,RAND(),"")</f>
        <v>3.7569475970223198E-2</v>
      </c>
      <c r="X55" s="382">
        <f ca="1">IF(V55=ROWS(X$52:X55),RANK(W55,$W$52:$W$69),"")</f>
        <v>16</v>
      </c>
      <c r="Y55" s="368" t="str">
        <f>IF(ROWS(Y$52:Y55)&gt;$U$50,"",INDEX($T$50:$T$69,_xlfn.AGGREGATE(15,6,(ROW($T$50:$T$69)-ROW($T$50)+1)/ISNA(MATCH($T$50:$T$69,$S$50:$S$69,0)),ROWS(Y$52:Y55))))</f>
        <v>Calm Emotions</v>
      </c>
      <c r="Z55" s="1363" t="str">
        <f t="shared" ca="1" si="28"/>
        <v>Hold Person</v>
      </c>
      <c r="AA55" s="1400"/>
      <c r="AB55" s="368" t="s">
        <v>7378</v>
      </c>
      <c r="AC55" s="1385"/>
      <c r="AD55" s="901">
        <f>IF(ROWS(AD$52:AD55)&lt;=$AC$50,ROWS(AD$52:AD55),"")</f>
        <v>4</v>
      </c>
      <c r="AE55" s="1377">
        <f ca="1">IF(ROWS(AE$52:AE55)&lt;=$AC$50,RAND(),"")</f>
        <v>3.3924403541089054E-3</v>
      </c>
      <c r="AF55" s="901">
        <f ca="1">IF(ROWS(AE$52:AE55)&lt;=$AC$50,RANK(AE55,$AE$52:$AE$71),"")</f>
        <v>19</v>
      </c>
      <c r="AG55" s="368" t="str">
        <f>IF(ROWS(AG$52:AG55)&gt;AC$50,"",INDEX($AB$50:$AB$69,_xlfn.AGGREGATE(15,6,(ROW($AB$50:$AB$69)-ROW($AA$50)+1)/ISNA(MATCH($AB$50:$AB$69,$AA$50:$AA$69,0)),ROWS(AG$52:AG55))))</f>
        <v>Clairvoyance</v>
      </c>
      <c r="AH55" s="1363" t="str">
        <f t="shared" ca="1" si="29"/>
        <v>Tongues</v>
      </c>
      <c r="AI55" s="1400"/>
      <c r="AJ55" s="368" t="s">
        <v>7384</v>
      </c>
      <c r="AK55" s="1402"/>
      <c r="AL55" s="1403">
        <f>IF(ROWS(AL$52:AL55)&lt;=$AK$50,ROWS(AL$52:AL55),"")</f>
        <v>4</v>
      </c>
      <c r="AM55" s="1404">
        <f ca="1">IF(ROWS(AM$52:AM55)&lt;=$AK$50,RAND(),"")</f>
        <v>0.69327218598147244</v>
      </c>
      <c r="AN55" s="1403">
        <f ca="1">IF(ROWS(AM$52:AM55)&lt;=$AK$50,RANK(AM55,$AM$52:$AM$71),"")</f>
        <v>3</v>
      </c>
      <c r="AO55" s="530" t="str">
        <f>IF(ROWS(AO$52:AO55)&gt;AK50,"",INDEX(AJ50:AJ57,_xlfn.AGGREGATE(15,6,(ROW(AJ50:AJ57)-ROW(AI50)+1)/ISNA(MATCH(AJ50:AJ57,AI50:AI69,0)),ROWS(AO$52:AO55))))</f>
        <v>Divination</v>
      </c>
      <c r="AP55" s="1363" t="str">
        <f t="shared" ca="1" si="30"/>
        <v>Stone Shape</v>
      </c>
      <c r="AQ55" s="1400"/>
      <c r="AR55" s="368" t="s">
        <v>7234</v>
      </c>
      <c r="AS55" s="1398"/>
      <c r="AT55" s="901">
        <f>IF(ROWS(AT$52:AT55)&lt;=$AS$50,ROWS(AT$52:AT55),"")</f>
        <v>4</v>
      </c>
      <c r="AU55" s="1377">
        <f ca="1">IF(ROWS(AU$52:AU55)&lt;=$AS$50,RAND(),"")</f>
        <v>0.55544816482322523</v>
      </c>
      <c r="AV55" s="1403">
        <f ca="1">IF(ROWS(AU$52:AU55)&lt;=$AS$50,RANK(AU55,$AU$52:$AU$71),"")</f>
        <v>6</v>
      </c>
      <c r="AW55" s="368" t="str">
        <f>IF(ROWS(AW$52:AW55)&gt;$AS$50,"",INDEX($AR$50:$AR$62,_xlfn.AGGREGATE(15,6,(ROW($AR$50:$AR$62)-ROW($AQ$50)+1)/ISNA(MATCH($AR$50:$AR$62,$AQ$50:$AQ$69,0)),ROWS(AW$52:AW55))))</f>
        <v>Geas</v>
      </c>
      <c r="AX55" s="1363" t="str">
        <f t="shared" ca="1" si="31"/>
        <v>Scrying</v>
      </c>
      <c r="AY55" s="1394">
        <v>6</v>
      </c>
      <c r="AZ55" s="382">
        <f ca="1">IF(AY55=6,RAND(),"")</f>
        <v>0.88689337883999542</v>
      </c>
      <c r="BA55" s="901">
        <f ca="1">IF(AY55=6,RANK(AZ55,AZ50:AZ69),"")</f>
        <v>1</v>
      </c>
      <c r="BB55" s="368" t="s">
        <v>7385</v>
      </c>
      <c r="BC55" s="1395" t="str">
        <f t="shared" ca="1" si="23"/>
        <v>Find the Path</v>
      </c>
      <c r="BD55" s="1394">
        <v>6</v>
      </c>
      <c r="BE55" s="1377">
        <f ca="1">IF(BD55=6,RAND(),"")</f>
        <v>0.50543242491730878</v>
      </c>
      <c r="BF55" s="901">
        <f ca="1">IF(BD55=6,RANK(BE55,BE50:BE69),"")</f>
        <v>4</v>
      </c>
      <c r="BG55" s="368" t="s">
        <v>7244</v>
      </c>
      <c r="BH55" s="1363" t="str">
        <f t="shared" ca="1" si="24"/>
        <v>Symbol</v>
      </c>
      <c r="BI55" s="1396"/>
      <c r="BJ55" s="1377" t="str">
        <f ca="1">IF(BI55=6,RAND(),"")</f>
        <v/>
      </c>
      <c r="BK55" s="901" t="str">
        <f>IF(BI55=6,RANK(BJ55,BJ50:BJ69),"")</f>
        <v/>
      </c>
      <c r="BL55" s="368"/>
      <c r="BM55" s="1363" t="str">
        <f t="shared" si="25"/>
        <v xml:space="preserve"> </v>
      </c>
      <c r="BN55" s="1394"/>
      <c r="BO55" s="1380" t="str">
        <f ca="1">IF(BN55=6,RAND(),"")</f>
        <v/>
      </c>
      <c r="BP55" s="901" t="str">
        <f>IF(BN55=6,RANK(BO55,BO50:BO69),"")</f>
        <v/>
      </c>
      <c r="BQ55" s="368"/>
      <c r="BR55" s="1363"/>
      <c r="BS55" s="271" t="s">
        <v>1287</v>
      </c>
      <c r="BT55" s="1128">
        <v>5</v>
      </c>
      <c r="BU55" s="1338" t="s">
        <v>7274</v>
      </c>
      <c r="BV55" s="1338" t="s">
        <v>7386</v>
      </c>
      <c r="BW55" s="1338" t="s">
        <v>7387</v>
      </c>
      <c r="BX55" s="1338" t="s">
        <v>7388</v>
      </c>
      <c r="BY55" s="1338" t="s">
        <v>7389</v>
      </c>
      <c r="BZ55" s="1338" t="s">
        <v>7205</v>
      </c>
      <c r="CA55" s="1397" t="s">
        <v>7390</v>
      </c>
      <c r="CC55" s="271"/>
      <c r="CD55" s="273"/>
      <c r="CE55" s="273"/>
    </row>
    <row r="56" spans="2:89" ht="12" customHeight="1">
      <c r="B56" s="1336">
        <v>7</v>
      </c>
      <c r="C56" s="368"/>
      <c r="D56" s="1338" t="s">
        <v>7391</v>
      </c>
      <c r="E56" s="1398"/>
      <c r="F56" s="382">
        <f>IF(ROWS(F$50:F56)&lt;=$E$50,ROWS(F$50:F56),"")</f>
        <v>7</v>
      </c>
      <c r="G56" s="1377">
        <f ca="1">IF(ROWS(G$50:G56)&lt;=$E$50,RAND(),"")</f>
        <v>0.67474304421519604</v>
      </c>
      <c r="H56" s="382">
        <f ca="1">IF(F56=ROWS(H$50:H56),RANK(G56,$G$50:$G$71),"")</f>
        <v>4</v>
      </c>
      <c r="I56" s="1338" t="str">
        <f>IF(ROWS(I$50:I56)&gt;E$50,"",INDEX($D$50:$D$69,_xlfn.AGGREGATE(15,6,(ROW($D$50:$D$69)-ROW($L$50)+1)/ISNA(MATCH($D$50:$D$69,$C$50:$C$69,0)),ROWS(I$50:I56))))</f>
        <v>Thaumaturgy</v>
      </c>
      <c r="J56" s="1363" t="str">
        <f t="shared" ca="1" si="26"/>
        <v>Guidance</v>
      </c>
      <c r="K56" s="1405"/>
      <c r="L56" s="1384" t="s">
        <v>7230</v>
      </c>
      <c r="M56" s="1385"/>
      <c r="N56" s="382">
        <f>IF($M$50&gt;=5,5,"")</f>
        <v>5</v>
      </c>
      <c r="O56" s="1377">
        <f ca="1">IF(ROWS(O$52:O56)&lt;=$M$50,RAND(),"")</f>
        <v>0.28090713358558295</v>
      </c>
      <c r="P56" s="382">
        <f ca="1">IF(N56=ROWS(P$52:P56),RANK(O56,$O$52:$O$69),"")</f>
        <v>9</v>
      </c>
      <c r="Q56" s="368" t="str">
        <f>IF(ROWS(Q$52:Q56)&gt;M$50,"",INDEX($L$50:$L$69,_xlfn.AGGREGATE(15,6,(ROW($L$50:$L$69)-ROW($L$50)+1)/ISNA(MATCH($L$50:$L$69,$K$50:$K$69,0)),ROWS(Q$52:Q56))))</f>
        <v>Cure Wounds</v>
      </c>
      <c r="R56" s="1388" t="str">
        <f t="shared" ca="1" si="27"/>
        <v>Protection From Evil and Good</v>
      </c>
      <c r="S56" s="1400"/>
      <c r="T56" s="701" t="s">
        <v>7392</v>
      </c>
      <c r="U56" s="1398"/>
      <c r="V56" s="1396">
        <f>IF(U50&gt;=5,5,"")</f>
        <v>5</v>
      </c>
      <c r="W56" s="1406">
        <f ca="1">IF(ROWS(W$52:W56)&lt;=$U$50,RAND(),"")</f>
        <v>0.54801520758506961</v>
      </c>
      <c r="X56" s="382">
        <f ca="1">IF(V56=ROWS(X$52:X56),RANK(W56,$W$52:$W$69),"")</f>
        <v>7</v>
      </c>
      <c r="Y56" s="368" t="str">
        <f>IF(ROWS(Y$52:Y56)&gt;$U$50,"",INDEX($T$50:$T$69,_xlfn.AGGREGATE(15,6,(ROW($T$50:$T$69)-ROW($T$50)+1)/ISNA(MATCH($T$50:$T$69,$S$50:$S$69,0)),ROWS(Y$52:Y56))))</f>
        <v>Continual Flame</v>
      </c>
      <c r="Z56" s="1363" t="str">
        <f t="shared" ca="1" si="28"/>
        <v>Prayer of Healing</v>
      </c>
      <c r="AA56" s="1400"/>
      <c r="AB56" s="368" t="s">
        <v>7205</v>
      </c>
      <c r="AC56" s="1385"/>
      <c r="AD56" s="901">
        <f>IF(ROWS(AD$52:AD56)&lt;=$AC$50,ROWS(AD$52:AD56),"")</f>
        <v>5</v>
      </c>
      <c r="AE56" s="1377">
        <f ca="1">IF(ROWS(AE$52:AE56)&lt;=$AC$50,RAND(),"")</f>
        <v>0.73102096698075658</v>
      </c>
      <c r="AF56" s="901">
        <f ca="1">IF(ROWS(AE$52:AE56)&lt;=$AC$50,RANK(AE56,$AE$52:$AE$71),"")</f>
        <v>7</v>
      </c>
      <c r="AG56" s="368" t="str">
        <f>IF(ROWS(AG$52:AG56)&gt;AC$50,"",INDEX($AB$50:$AB$69,_xlfn.AGGREGATE(15,6,(ROW($AB$50:$AB$69)-ROW($AA$50)+1)/ISNA(MATCH($AB$50:$AB$69,$AA$50:$AA$69,0)),ROWS(AG$52:AG56))))</f>
        <v>Create Food and Water</v>
      </c>
      <c r="AH56" s="1363" t="str">
        <f t="shared" ca="1" si="29"/>
        <v>Mass Healing Word</v>
      </c>
      <c r="AI56" s="1400"/>
      <c r="AJ56" s="368" t="s">
        <v>7241</v>
      </c>
      <c r="AK56" s="1402"/>
      <c r="AL56" s="1403">
        <f>IF(ROWS(AL$52:AL56)&lt;=$AK$50,ROWS(AL$52:AL56),"")</f>
        <v>5</v>
      </c>
      <c r="AM56" s="1404">
        <f ca="1">IF(ROWS(AM$52:AM56)&lt;=$AK$50,RAND(),"")</f>
        <v>0.46442194833629014</v>
      </c>
      <c r="AN56" s="1403">
        <f ca="1">IF(ROWS(AM$52:AM56)&lt;=$AK$50,RANK(AM56,$AM$52:$AM$71),"")</f>
        <v>6</v>
      </c>
      <c r="AO56" s="530" t="str">
        <f>IF(ROWS(AO$52:AO56)&gt;AK50,"",INDEX(AJ50:AJ57,_xlfn.AGGREGATE(15,6,(ROW(AJ50:AJ57)-ROW(AI50)+1)/ISNA(MATCH(AJ50:AJ57,AI50:AI69,0)),ROWS(AO$52:AO56))))</f>
        <v>Guardian of Faith</v>
      </c>
      <c r="AP56" s="1363" t="str">
        <f t="shared" ca="1" si="30"/>
        <v>Banishment</v>
      </c>
      <c r="AQ56" s="1400"/>
      <c r="AR56" s="368" t="s">
        <v>7393</v>
      </c>
      <c r="AS56" s="1398"/>
      <c r="AT56" s="901">
        <f>IF(ROWS(AT$52:AT56)&lt;=$AS$50,ROWS(AT$52:AT56),"")</f>
        <v>5</v>
      </c>
      <c r="AU56" s="1377">
        <f ca="1">IF(ROWS(AU$52:AU56)&lt;=$AS$50,RAND(),"")</f>
        <v>9.8500000454809999E-2</v>
      </c>
      <c r="AV56" s="1403">
        <f ca="1">IF(ROWS(AU$52:AU56)&lt;=$AS$50,RANK(AU56,$AU$52:$AU$71),"")</f>
        <v>10</v>
      </c>
      <c r="AW56" s="368" t="str">
        <f>IF(ROWS(AW$52:AW56)&gt;$AS$50,"",INDEX($AR$50:$AR$62,_xlfn.AGGREGATE(15,6,(ROW($AR$50:$AR$62)-ROW($AQ$50)+1)/ISNA(MATCH($AR$50:$AR$62,$AQ$50:$AQ$69,0)),ROWS(AW$52:AW56))))</f>
        <v>Greater Restoration</v>
      </c>
      <c r="AX56" s="1363" t="str">
        <f t="shared" ca="1" si="31"/>
        <v>Raise Dead</v>
      </c>
      <c r="AY56" s="1394">
        <v>7</v>
      </c>
      <c r="AZ56" s="382">
        <f ca="1">IF(AY56=7,RAND(),"")</f>
        <v>9.3656520012558975E-2</v>
      </c>
      <c r="BA56" s="901">
        <f ca="1">IF(AY56=7,RANK(AZ56,AZ50:AZ69),"")</f>
        <v>10</v>
      </c>
      <c r="BB56" s="368" t="s">
        <v>7394</v>
      </c>
      <c r="BC56" s="1395" t="str">
        <f t="shared" ca="1" si="23"/>
        <v>Blade Barrier</v>
      </c>
      <c r="BD56" s="1394">
        <v>7</v>
      </c>
      <c r="BE56" s="1377">
        <f ca="1">IF(BD56=7,RAND(),"")</f>
        <v>0.28611517446804458</v>
      </c>
      <c r="BF56" s="901">
        <f ca="1">IF(BD56=7,RANK(BE56,BE50:BE69),"")</f>
        <v>7</v>
      </c>
      <c r="BG56" s="368" t="s">
        <v>7251</v>
      </c>
      <c r="BH56" s="1363" t="str">
        <f t="shared" ca="1" si="24"/>
        <v>Resurrection</v>
      </c>
      <c r="BI56" s="1396"/>
      <c r="BJ56" s="1377" t="str">
        <f ca="1">IF(BI56=7,RAND(),"")</f>
        <v/>
      </c>
      <c r="BK56" s="901" t="str">
        <f>IF(BI56=7,RANK(BJ56,BJ50:BJ69),"")</f>
        <v/>
      </c>
      <c r="BL56" s="368"/>
      <c r="BM56" s="1363" t="str">
        <f t="shared" si="25"/>
        <v xml:space="preserve"> </v>
      </c>
      <c r="BN56" s="1394"/>
      <c r="BO56" s="1380" t="str">
        <f ca="1">IF(BN56=7,RAND(),"")</f>
        <v/>
      </c>
      <c r="BP56" s="901" t="str">
        <f>IF(BN56=7,RANK(BO56,BO50:BO69),"")</f>
        <v/>
      </c>
      <c r="BQ56" s="368"/>
      <c r="BR56" s="1363"/>
      <c r="BS56" s="271" t="s">
        <v>1287</v>
      </c>
      <c r="BT56" s="1128">
        <v>7</v>
      </c>
      <c r="BU56" s="1338" t="s">
        <v>7395</v>
      </c>
      <c r="BV56" s="1338" t="s">
        <v>7352</v>
      </c>
      <c r="BW56" s="1338" t="s">
        <v>7384</v>
      </c>
      <c r="BX56" s="1338" t="s">
        <v>7396</v>
      </c>
      <c r="BY56" s="1338" t="s">
        <v>7345</v>
      </c>
      <c r="BZ56" s="1338" t="s">
        <v>7397</v>
      </c>
      <c r="CA56" s="1397" t="s">
        <v>4090</v>
      </c>
      <c r="CC56" s="271"/>
      <c r="CD56" s="273"/>
      <c r="CE56" s="273"/>
    </row>
    <row r="57" spans="2:89" ht="12" customHeight="1">
      <c r="B57" s="1336">
        <v>8</v>
      </c>
      <c r="C57" s="368"/>
      <c r="D57" s="382"/>
      <c r="E57" s="1398"/>
      <c r="F57" s="382" t="str">
        <f>IF(ROWS(F$50:F57)&lt;=$E$50,ROWS(F$50:F57),"")</f>
        <v/>
      </c>
      <c r="G57" s="1377" t="str">
        <f ca="1">IF(ROWS(G$50:G57)&lt;=$E$50,RAND(),"")</f>
        <v/>
      </c>
      <c r="H57" s="382" t="str">
        <f>IF(F57=ROWS(H$50:H57),RANK(G57,$G$50:$G$71),"")</f>
        <v/>
      </c>
      <c r="I57" s="368" t="str">
        <f>IF(ROWS(I$50:I57)&gt;E$50,"",INDEX($D$50:$D$69,_xlfn.AGGREGATE(15,6,(ROW($D$50:$D$69)-ROW($L$50)+1)/ISNA(MATCH($D$50:$D$69,$C$50:$C$69,0)),ROWS(I$50:I57))))</f>
        <v/>
      </c>
      <c r="J57" s="1363" t="str">
        <f ca="1">VLOOKUP(F57,H$50:I$69,2,FALSE)</f>
        <v/>
      </c>
      <c r="K57" s="1405"/>
      <c r="L57" s="1384" t="s">
        <v>7398</v>
      </c>
      <c r="M57" s="1385"/>
      <c r="N57" s="382">
        <f>IF($M$50&gt;=6,6,"")</f>
        <v>6</v>
      </c>
      <c r="O57" s="1377">
        <f ca="1">IF(ROWS(O$52:O57)&lt;=$M$50,RAND(),"")</f>
        <v>0.53144369822107529</v>
      </c>
      <c r="P57" s="382">
        <f ca="1">IF(N57=ROWS(P$52:P57),RANK(O57,$O$52:$O$69),"")</f>
        <v>6</v>
      </c>
      <c r="Q57" s="368" t="str">
        <f>IF(ROWS(Q$52:Q57)&gt;M$50,"",INDEX($L$50:$L$69,_xlfn.AGGREGATE(15,6,(ROW($L$50:$L$69)-ROW($L$50)+1)/ISNA(MATCH($L$50:$L$69,$K$50:$K$69,0)),ROWS(Q$52:Q57))))</f>
        <v>Detect Evil and Good</v>
      </c>
      <c r="R57" s="1388" t="str">
        <f t="shared" ca="1" si="27"/>
        <v>Detect Evil and Good</v>
      </c>
      <c r="S57" s="1400"/>
      <c r="T57" s="701" t="s">
        <v>7399</v>
      </c>
      <c r="U57" s="1398"/>
      <c r="V57" s="1396">
        <f>IF(U50&gt;=6,6,"")</f>
        <v>6</v>
      </c>
      <c r="W57" s="1406">
        <f ca="1">IF(ROWS(W$52:W57)&lt;=$U$50,RAND(),"")</f>
        <v>0.49178413182323311</v>
      </c>
      <c r="X57" s="382">
        <f ca="1">IF(V57=ROWS(X$52:X57),RANK(W57,$W$52:$W$69),"")</f>
        <v>8</v>
      </c>
      <c r="Y57" s="368" t="str">
        <f>IF(ROWS(Y$52:Y57)&gt;$U$50,"",INDEX($T$50:$T$69,_xlfn.AGGREGATE(15,6,(ROW($T$50:$T$69)-ROW($T$50)+1)/ISNA(MATCH($T$50:$T$69,$S$50:$S$69,0)),ROWS(Y$52:Y57))))</f>
        <v>Enhance Ability</v>
      </c>
      <c r="Z57" s="1363" t="str">
        <f t="shared" ca="1" si="28"/>
        <v>Gentle Repose</v>
      </c>
      <c r="AA57" s="1400"/>
      <c r="AB57" s="368" t="s">
        <v>7223</v>
      </c>
      <c r="AC57" s="1385"/>
      <c r="AD57" s="901">
        <f>IF(ROWS(AD$52:AD57)&lt;=$AC$50,ROWS(AD$52:AD57),"")</f>
        <v>6</v>
      </c>
      <c r="AE57" s="1377">
        <f ca="1">IF(ROWS(AE$52:AE57)&lt;=$AC$50,RAND(),"")</f>
        <v>0.93537448568023585</v>
      </c>
      <c r="AF57" s="901">
        <f ca="1">IF(ROWS(AE$52:AE57)&lt;=$AC$50,RANK(AE57,$AE$52:$AE$71),"")</f>
        <v>2</v>
      </c>
      <c r="AG57" s="368" t="str">
        <f>IF(ROWS(AG$52:AG57)&gt;AC$50,"",INDEX($AB$50:$AB$69,_xlfn.AGGREGATE(15,6,(ROW($AB$50:$AB$69)-ROW($AA$50)+1)/ISNA(MATCH($AB$50:$AB$69,$AA$50:$AA$69,0)),ROWS(AG$52:AG57))))</f>
        <v>Daylight</v>
      </c>
      <c r="AH57" s="1363" t="str">
        <f t="shared" ca="1" si="29"/>
        <v>Sending</v>
      </c>
      <c r="AI57" s="1400"/>
      <c r="AJ57" s="368" t="s">
        <v>7400</v>
      </c>
      <c r="AK57" s="1402"/>
      <c r="AL57" s="1403">
        <f>IF(ROWS(AL$52:AL57)&lt;=$AK$50,ROWS(AL$52:AL57),"")</f>
        <v>6</v>
      </c>
      <c r="AM57" s="1404">
        <f ca="1">IF(ROWS(AM$52:AM57)&lt;=$AK$50,RAND(),"")</f>
        <v>0.72159605406335925</v>
      </c>
      <c r="AN57" s="1403">
        <f ca="1">IF(ROWS(AM$52:AM57)&lt;=$AK$50,RANK(AM57,$AM$52:$AM$71),"")</f>
        <v>2</v>
      </c>
      <c r="AO57" s="530" t="str">
        <f>IF(ROWS(AO$52:AO57)&gt;AK50,"",INDEX(AJ50:AJ57,_xlfn.AGGREGATE(15,6,(ROW(AJ50:AJ57)-ROW(AI50)+1)/ISNA(MATCH(AJ50:AJ57,AI50:AI69,0)),ROWS(AO$52:AO57))))</f>
        <v>Locate Creature</v>
      </c>
      <c r="AP57" s="1363" t="str">
        <f t="shared" ca="1" si="30"/>
        <v>Guardian of Faith</v>
      </c>
      <c r="AQ57" s="1400"/>
      <c r="AR57" s="368" t="s">
        <v>7401</v>
      </c>
      <c r="AS57" s="1398"/>
      <c r="AT57" s="901">
        <f>IF(ROWS(AT$52:AT57)&lt;=$AS$50,ROWS(AT$52:AT57),"")</f>
        <v>6</v>
      </c>
      <c r="AU57" s="1377">
        <f ca="1">IF(ROWS(AU$52:AU57)&lt;=$AS$50,RAND(),"")</f>
        <v>0.11024258092148898</v>
      </c>
      <c r="AV57" s="1403">
        <f ca="1">IF(ROWS(AU$52:AU57)&lt;=$AS$50,RANK(AU57,$AU$52:$AU$71),"")</f>
        <v>9</v>
      </c>
      <c r="AW57" s="368" t="str">
        <f>IF(ROWS(AW$52:AW57)&gt;$AS$50,"",INDEX($AR$50:$AR$62,_xlfn.AGGREGATE(15,6,(ROW($AR$50:$AR$62)-ROW($AQ$50)+1)/ISNA(MATCH($AR$50:$AR$62,$AQ$50:$AQ$69,0)),ROWS(AW$52:AW57))))</f>
        <v>Hallow</v>
      </c>
      <c r="AX57" s="1363" t="str">
        <f t="shared" ca="1" si="31"/>
        <v>Geas</v>
      </c>
      <c r="AY57" s="1394">
        <v>8</v>
      </c>
      <c r="AZ57" s="382">
        <f ca="1">IF(AY57=8,RAND(),"")</f>
        <v>0.10105874723754993</v>
      </c>
      <c r="BA57" s="901">
        <f ca="1">IF(AY57=8,RANK(AZ57,AZ50:AZ69),"")</f>
        <v>9</v>
      </c>
      <c r="BB57" s="368" t="s">
        <v>7402</v>
      </c>
      <c r="BC57" s="1395" t="str">
        <f t="shared" ca="1" si="23"/>
        <v>Create Undead</v>
      </c>
      <c r="BD57" s="1394">
        <v>8</v>
      </c>
      <c r="BE57" s="1377">
        <f ca="1">IF(BD57=8,RAND(),"")</f>
        <v>0.2909395108363857</v>
      </c>
      <c r="BF57" s="901">
        <f ca="1">IF(BD57=8,RANK(BE57,BE50:BE69),"")</f>
        <v>6</v>
      </c>
      <c r="BG57" s="368" t="s">
        <v>7257</v>
      </c>
      <c r="BH57" s="1363" t="str">
        <f t="shared" ca="1" si="24"/>
        <v>Divine Word</v>
      </c>
      <c r="BI57" s="1396"/>
      <c r="BJ57" s="1377" t="str">
        <f ca="1">IF(BI57=8,RAND(),"")</f>
        <v/>
      </c>
      <c r="BK57" s="901" t="str">
        <f>IF(BI57=8,RANK(BJ57,BJ50:BJ69),"")</f>
        <v/>
      </c>
      <c r="BL57" s="368"/>
      <c r="BM57" s="1363" t="str">
        <f t="shared" si="25"/>
        <v xml:space="preserve"> </v>
      </c>
      <c r="BN57" s="1394"/>
      <c r="BO57" s="1380" t="str">
        <f ca="1">IF(BN57=8,RAND(),"")</f>
        <v/>
      </c>
      <c r="BP57" s="901" t="str">
        <f>IF(BN57=8,RANK(BO57,BO50:BO69),"")</f>
        <v/>
      </c>
      <c r="BQ57" s="368"/>
      <c r="BR57" s="1363"/>
      <c r="BS57" s="271" t="s">
        <v>1287</v>
      </c>
      <c r="BT57" s="1128">
        <v>7</v>
      </c>
      <c r="BU57" s="1338" t="s">
        <v>7196</v>
      </c>
      <c r="BV57" s="1338" t="s">
        <v>7384</v>
      </c>
      <c r="BW57" s="1338" t="s">
        <v>7403</v>
      </c>
      <c r="BX57" s="1338" t="s">
        <v>7404</v>
      </c>
      <c r="BY57" s="1338" t="s">
        <v>7405</v>
      </c>
      <c r="BZ57" s="1338" t="s">
        <v>7249</v>
      </c>
      <c r="CA57" s="1397" t="s">
        <v>7406</v>
      </c>
      <c r="CC57" s="271"/>
      <c r="CD57" s="273"/>
      <c r="CE57" s="273"/>
    </row>
    <row r="58" spans="2:89" ht="12" customHeight="1">
      <c r="B58" s="1336">
        <v>9</v>
      </c>
      <c r="C58" s="368"/>
      <c r="D58" s="382"/>
      <c r="E58" s="1398"/>
      <c r="F58" s="382" t="str">
        <f>IF(ROWS(F$50:F58)&lt;=$E$50,ROWS(F$50:F58),"")</f>
        <v/>
      </c>
      <c r="G58" s="1377" t="str">
        <f ca="1">IF(ROWS(G$50:G58)&lt;=$E$50,RAND(),"")</f>
        <v/>
      </c>
      <c r="H58" s="382" t="str">
        <f>IF(F58=ROWS(H$50:H58),RANK(G58,$G$50:$G$71),"")</f>
        <v/>
      </c>
      <c r="I58" s="368" t="str">
        <f>IF(ROWS(I$50:I58)&gt;E$50,"",INDEX($D$50:$D$69,_xlfn.AGGREGATE(15,6,(ROW($D$50:$D$69)-ROW($L$50)+1)/ISNA(MATCH($D$50:$D$69,$C$50:$C$69,0)),ROWS(I$50:I58))))</f>
        <v/>
      </c>
      <c r="J58" s="1363" t="str">
        <f t="shared" ca="1" si="26"/>
        <v/>
      </c>
      <c r="K58" s="1405"/>
      <c r="L58" s="1384" t="s">
        <v>7407</v>
      </c>
      <c r="M58" s="1385"/>
      <c r="N58" s="382">
        <f>IF($M$50&gt;=7,7,"")</f>
        <v>7</v>
      </c>
      <c r="O58" s="1377">
        <f ca="1">IF(ROWS(O$52:O58)&lt;=$M$50,RAND(),"")</f>
        <v>0.10395710353278187</v>
      </c>
      <c r="P58" s="382">
        <f ca="1">IF(N58=ROWS(P$52:P58),RANK(O58,$O$52:$O$69),"")</f>
        <v>13</v>
      </c>
      <c r="Q58" s="368" t="str">
        <f>IF(ROWS(Q$52:Q58)&gt;M$50,"",INDEX($L$50:$L$69,_xlfn.AGGREGATE(15,6,(ROW($L$50:$L$69)-ROW($L$50)+1)/ISNA(MATCH($L$50:$L$69,$K$50:$K$69,0)),ROWS(Q$52:Q58))))</f>
        <v>Detect Magic</v>
      </c>
      <c r="R58" s="1388" t="str">
        <f t="shared" ca="1" si="27"/>
        <v>Purify Food and Drink</v>
      </c>
      <c r="S58" s="1400"/>
      <c r="T58" s="701" t="s">
        <v>7260</v>
      </c>
      <c r="U58" s="1398"/>
      <c r="V58" s="1396">
        <f>IF(U50&gt;=7,7,"")</f>
        <v>7</v>
      </c>
      <c r="W58" s="1406">
        <f ca="1">IF(ROWS(W$52:W58)&lt;=$U$50,RAND(),"")</f>
        <v>3.9237559345542627E-2</v>
      </c>
      <c r="X58" s="382">
        <f ca="1">IF(V58=ROWS(X$52:X58),RANK(W58,$W$52:$W$69),"")</f>
        <v>14</v>
      </c>
      <c r="Y58" s="368" t="str">
        <f>IF(ROWS(Y$52:Y58)&gt;$U$50,"",INDEX($T$50:$T$69,_xlfn.AGGREGATE(15,6,(ROW($T$50:$T$69)-ROW($T$50)+1)/ISNA(MATCH($T$50:$T$69,$S$50:$S$69,0)),ROWS(Y$52:Y58))))</f>
        <v>Find Traps</v>
      </c>
      <c r="Z58" s="1363" t="str">
        <f t="shared" ca="1" si="28"/>
        <v>Continual Flame</v>
      </c>
      <c r="AA58" s="1400"/>
      <c r="AB58" s="368" t="s">
        <v>7232</v>
      </c>
      <c r="AC58" s="1385"/>
      <c r="AD58" s="901">
        <f>IF(ROWS(AD$52:AD58)&lt;=$AC$50,ROWS(AD$52:AD58),"")</f>
        <v>7</v>
      </c>
      <c r="AE58" s="1377">
        <f ca="1">IF(ROWS(AE$52:AE58)&lt;=$AC$50,RAND(),"")</f>
        <v>0.95642053707172314</v>
      </c>
      <c r="AF58" s="901">
        <f ca="1">IF(ROWS(AE$52:AE58)&lt;=$AC$50,RANK(AE58,$AE$52:$AE$71),"")</f>
        <v>1</v>
      </c>
      <c r="AG58" s="368" t="str">
        <f>IF(ROWS(AG$52:AG58)&gt;AC$50,"",INDEX($AB$50:$AB$69,_xlfn.AGGREGATE(15,6,(ROW($AB$50:$AB$69)-ROW($AA$50)+1)/ISNA(MATCH($AB$50:$AB$69,$AA$50:$AA$69,0)),ROWS(AG$52:AG58))))</f>
        <v>Dispel Magic</v>
      </c>
      <c r="AH58" s="1363" t="str">
        <f t="shared" ca="1" si="29"/>
        <v>Create Food and Water</v>
      </c>
      <c r="AI58" s="1400"/>
      <c r="AJ58" s="368"/>
      <c r="AK58" s="1402"/>
      <c r="AL58" s="1403">
        <f>IF(ROWS(AL$52:AL58)&lt;=$AK$50,ROWS(AL$52:AL58),"")</f>
        <v>7</v>
      </c>
      <c r="AM58" s="1404">
        <f ca="1">IF(ROWS(AM$52:AM58)&lt;=$AK$50,RAND(),"")</f>
        <v>0.64964171888844113</v>
      </c>
      <c r="AN58" s="1403">
        <f ca="1">IF(ROWS(AM$52:AM58)&lt;=$AK$50,RANK(AM58,$AM$52:$AM$71),"")</f>
        <v>4</v>
      </c>
      <c r="AO58" s="530" t="str">
        <f>IF(ROWS(AO$52:AO58)&gt;AK50,"",INDEX(AJ50:AJ57,_xlfn.AGGREGATE(15,6,(ROW(AJ50:AJ57)-ROW(AI50)+1)/ISNA(MATCH(AJ50:AJ57,AI50:AI69,0)),ROWS(AO$52:AO58))))</f>
        <v>Stone Shape</v>
      </c>
      <c r="AP58" s="1363" t="str">
        <f t="shared" ca="1" si="30"/>
        <v>Death Ward</v>
      </c>
      <c r="AQ58" s="1400"/>
      <c r="AR58" s="368" t="s">
        <v>7250</v>
      </c>
      <c r="AS58" s="1398"/>
      <c r="AT58" s="901">
        <f>IF(ROWS(AT$52:AT58)&lt;=$AS$50,ROWS(AT$52:AT58),"")</f>
        <v>7</v>
      </c>
      <c r="AU58" s="1377">
        <f ca="1">IF(ROWS(AU$52:AU58)&lt;=$AS$50,RAND(),"")</f>
        <v>6.8234871303082145E-2</v>
      </c>
      <c r="AV58" s="1403">
        <f ca="1">IF(ROWS(AU$52:AU58)&lt;=$AS$50,RANK(AU58,$AU$52:$AU$71),"")</f>
        <v>12</v>
      </c>
      <c r="AW58" s="368" t="str">
        <f>IF(ROWS(AW$52:AW58)&gt;$AS$50,"",INDEX($AR$50:$AR$62,_xlfn.AGGREGATE(15,6,(ROW($AR$50:$AR$62)-ROW($AQ$50)+1)/ISNA(MATCH($AR$50:$AR$62,$AQ$50:$AQ$69,0)),ROWS(AW$52:AW58))))</f>
        <v>Insect Plague</v>
      </c>
      <c r="AX58" s="1363" t="str">
        <f t="shared" ca="1" si="31"/>
        <v>Legend Lore</v>
      </c>
      <c r="AY58" s="1394">
        <v>9</v>
      </c>
      <c r="AZ58" s="382">
        <f ca="1">IF(AY58=9,RAND(),"")</f>
        <v>0.54221878481058527</v>
      </c>
      <c r="BA58" s="901">
        <f ca="1">IF(AY58=9,RANK(AZ58,AZ50:AZ69),"")</f>
        <v>4</v>
      </c>
      <c r="BB58" s="368" t="s">
        <v>7243</v>
      </c>
      <c r="BC58" s="1395" t="str">
        <f t="shared" ca="1" si="23"/>
        <v>Planar Ally</v>
      </c>
      <c r="BD58" s="1394"/>
      <c r="BE58" s="1377" t="str">
        <f ca="1">IF(BD58=9,RAND(),"")</f>
        <v/>
      </c>
      <c r="BF58" s="901" t="str">
        <f>IF(BD58=9,RANK(BE58,BE50:BE69),"")</f>
        <v/>
      </c>
      <c r="BG58" s="368"/>
      <c r="BH58" s="1363"/>
      <c r="BI58" s="1396"/>
      <c r="BJ58" s="1377" t="str">
        <f ca="1">IF(BI58=9,RAND(),"")</f>
        <v/>
      </c>
      <c r="BK58" s="901" t="str">
        <f>IF(BI58=9,RANK(BJ58,BJ50:BJ69),"")</f>
        <v/>
      </c>
      <c r="BL58" s="368"/>
      <c r="BM58" s="1363" t="str">
        <f t="shared" si="25"/>
        <v xml:space="preserve"> </v>
      </c>
      <c r="BN58" s="1394"/>
      <c r="BO58" s="1380" t="str">
        <f ca="1">IF(BN58=9,RAND(),"")</f>
        <v/>
      </c>
      <c r="BP58" s="901" t="str">
        <f>IF(BN58=9,RANK(BO58,BO50:BO69),"")</f>
        <v/>
      </c>
      <c r="BQ58" s="368"/>
      <c r="BR58" s="1363"/>
      <c r="BS58" s="271" t="s">
        <v>1287</v>
      </c>
      <c r="BT58" s="1128">
        <v>9</v>
      </c>
      <c r="BU58" s="1338" t="s">
        <v>7250</v>
      </c>
      <c r="BV58" s="1338" t="s">
        <v>7256</v>
      </c>
      <c r="BW58" s="1338" t="s">
        <v>7363</v>
      </c>
      <c r="BX58" s="1338" t="s">
        <v>7401</v>
      </c>
      <c r="BY58" s="1338" t="s">
        <v>7408</v>
      </c>
      <c r="BZ58" s="1338" t="s">
        <v>7207</v>
      </c>
      <c r="CA58" s="1397" t="s">
        <v>7363</v>
      </c>
      <c r="CC58" s="271"/>
      <c r="CD58" s="273"/>
      <c r="CE58" s="273"/>
    </row>
    <row r="59" spans="2:89" ht="12" customHeight="1" thickBot="1">
      <c r="B59" s="1336">
        <v>10</v>
      </c>
      <c r="C59" s="368"/>
      <c r="D59" s="382"/>
      <c r="E59" s="1398"/>
      <c r="F59" s="382" t="str">
        <f>IF(ROWS(F$50:F59)&lt;=$E$50,ROWS(F$50:F59),"")</f>
        <v/>
      </c>
      <c r="G59" s="1377" t="str">
        <f ca="1">IF(ROWS(G$50:G59)&lt;=$E$50,RAND(),"")</f>
        <v/>
      </c>
      <c r="H59" s="382" t="str">
        <f>IF(F59=ROWS(H$50:H59),RANK(G59,$G$50:$G$71),"")</f>
        <v/>
      </c>
      <c r="I59" s="368" t="str">
        <f>IF(ROWS(I$50:I59)&gt;E$50,"",INDEX($D$50:$D$69,_xlfn.AGGREGATE(15,6,(ROW($D$50:$D$69)-ROW($L$50)+1)/ISNA(MATCH($D$50:$D$69,$C$50:$C$69,0)),ROWS(I$50:I59))))</f>
        <v/>
      </c>
      <c r="J59" s="1363" t="str">
        <f t="shared" ca="1" si="26"/>
        <v/>
      </c>
      <c r="K59" s="1405"/>
      <c r="L59" s="1384" t="s">
        <v>7268</v>
      </c>
      <c r="M59" s="1385"/>
      <c r="N59" s="382">
        <f>IF($M$50&gt;=8,8,"")</f>
        <v>8</v>
      </c>
      <c r="O59" s="1377">
        <f ca="1">IF(ROWS(O$52:O59)&lt;=$M$50,RAND(),"")</f>
        <v>0.33615153147516563</v>
      </c>
      <c r="P59" s="382">
        <f ca="1">IF(N59=ROWS(P$52:P59),RANK(O59,$O$52:$O$69),"")</f>
        <v>8</v>
      </c>
      <c r="Q59" s="368" t="str">
        <f>IF(ROWS(Q$52:Q59)&gt;M$50,"",INDEX($L$50:$L$69,_xlfn.AGGREGATE(15,6,(ROW($L$50:$L$69)-ROW($L$50)+1)/ISNA(MATCH($L$50:$L$69,$K$50:$K$69,0)),ROWS(Q$52:Q59))))</f>
        <v>Detect Poison and Disease</v>
      </c>
      <c r="R59" s="1388" t="str">
        <f t="shared" ca="1" si="27"/>
        <v>Detect Poison and Disease</v>
      </c>
      <c r="S59" s="1400"/>
      <c r="T59" s="701" t="s">
        <v>7273</v>
      </c>
      <c r="U59" s="1398"/>
      <c r="V59" s="1396">
        <f>IF(U50&gt;=8,8,"")</f>
        <v>8</v>
      </c>
      <c r="W59" s="1406">
        <f ca="1">IF(ROWS(W$52:W59)&lt;=$U$50,RAND(),"")</f>
        <v>0.58038020630846121</v>
      </c>
      <c r="X59" s="382">
        <f ca="1">IF(V59=ROWS(X$52:X59),RANK(W59,$W$52:$W$69),"")</f>
        <v>6</v>
      </c>
      <c r="Y59" s="368" t="str">
        <f>IF(ROWS(Y$52:Y59)&gt;$U$50,"",INDEX($T$50:$T$69,_xlfn.AGGREGATE(15,6,(ROW($T$50:$T$69)-ROW($T$50)+1)/ISNA(MATCH($T$50:$T$69,$S$50:$S$69,0)),ROWS(Y$52:Y59))))</f>
        <v>Gentle Repose</v>
      </c>
      <c r="Z59" s="1363" t="str">
        <f t="shared" ca="1" si="28"/>
        <v>Enhance Ability</v>
      </c>
      <c r="AA59" s="1400"/>
      <c r="AB59" s="368" t="s">
        <v>7409</v>
      </c>
      <c r="AC59" s="1385"/>
      <c r="AD59" s="901">
        <f>IF(ROWS(AD$52:AD59)&lt;=$AC$50,ROWS(AD$52:AD59),"")</f>
        <v>8</v>
      </c>
      <c r="AE59" s="1377">
        <f ca="1">IF(ROWS(AE$52:AE59)&lt;=$AC$50,RAND(),"")</f>
        <v>0.60525627069058308</v>
      </c>
      <c r="AF59" s="901">
        <f ca="1">IF(ROWS(AE$52:AE59)&lt;=$AC$50,RANK(AE59,$AE$52:$AE$71),"")</f>
        <v>10</v>
      </c>
      <c r="AG59" s="368" t="str">
        <f>IF(ROWS(AG$52:AG59)&gt;AC$50,"",INDEX($AB$50:$AB$69,_xlfn.AGGREGATE(15,6,(ROW($AB$50:$AB$69)-ROW($AA$50)+1)/ISNA(MATCH($AB$50:$AB$69,$AA$50:$AA$69,0)),ROWS(AG$52:AG59))))</f>
        <v>Feign Death</v>
      </c>
      <c r="AH59" s="1363" t="str">
        <f t="shared" ca="1" si="29"/>
        <v>Remove Curse</v>
      </c>
      <c r="AI59" s="1400"/>
      <c r="AJ59" s="368"/>
      <c r="AK59" s="1402"/>
      <c r="AL59" s="1403" t="str">
        <f>IF(ROWS(AL$52:AL59)&lt;=$AK$50,ROWS(AL$52:AL59),"")</f>
        <v/>
      </c>
      <c r="AM59" s="1404" t="str">
        <f ca="1">IF(ROWS(AM$52:AM59)&lt;=$AK$50,RAND(),"")</f>
        <v/>
      </c>
      <c r="AN59" s="1403" t="str">
        <f>IF(ROWS(AM$52:AM59)&lt;=$AK$50,RANK(AM59,$AM$52:$AM$71),"")</f>
        <v/>
      </c>
      <c r="AO59" s="530" t="str">
        <f>IF(ROWS(AO$52:AO59)&gt;AK50,"",INDEX(AJ50:AJ57,_xlfn.AGGREGATE(15,6,(ROW(AJ50:AJ57)-ROW(AI50)+1)/ISNA(MATCH(AJ50:AJ57,AI50:AI69,0)),ROWS(AO$52:AO59))))</f>
        <v/>
      </c>
      <c r="AP59" s="1363" t="str">
        <f t="shared" ca="1" si="30"/>
        <v/>
      </c>
      <c r="AQ59" s="1400"/>
      <c r="AR59" s="368" t="s">
        <v>7256</v>
      </c>
      <c r="AS59" s="1398"/>
      <c r="AT59" s="901">
        <f>IF(ROWS(AT$52:AT59)&lt;=$AS$50,ROWS(AT$52:AT59),"")</f>
        <v>8</v>
      </c>
      <c r="AU59" s="1377">
        <f ca="1">IF(ROWS(AU$52:AU59)&lt;=$AS$50,RAND(),"")</f>
        <v>0.31164169324738644</v>
      </c>
      <c r="AV59" s="1403">
        <f ca="1">IF(ROWS(AU$52:AU59)&lt;=$AS$50,RANK(AU59,$AU$52:$AU$71),"")</f>
        <v>7</v>
      </c>
      <c r="AW59" s="368" t="str">
        <f>IF(ROWS(AW$52:AW59)&gt;$AS$50,"",INDEX($AR$50:$AR$62,_xlfn.AGGREGATE(15,6,(ROW($AR$50:$AR$62)-ROW($AQ$50)+1)/ISNA(MATCH($AR$50:$AR$62,$AQ$50:$AQ$69,0)),ROWS(AW$52:AW59))))</f>
        <v>Legend Lore</v>
      </c>
      <c r="AX59" s="1363" t="str">
        <f t="shared" ca="1" si="31"/>
        <v>Planar Binding</v>
      </c>
      <c r="AY59" s="1394">
        <v>10</v>
      </c>
      <c r="AZ59" s="382">
        <f ca="1">IF(AY59=10,RAND(),"")</f>
        <v>0.49149939110363161</v>
      </c>
      <c r="BA59" s="901">
        <f ca="1">IF(AY59=10,RANK(AZ59,AZ50:AZ69),"")</f>
        <v>5</v>
      </c>
      <c r="BB59" s="368" t="s">
        <v>7410</v>
      </c>
      <c r="BC59" s="1395" t="str">
        <f t="shared" ca="1" si="23"/>
        <v>Heroes's Feast</v>
      </c>
      <c r="BD59" s="1394"/>
      <c r="BE59" s="1377" t="str">
        <f ca="1">IF(BD59=10,RAND(),"")</f>
        <v/>
      </c>
      <c r="BF59" s="901" t="str">
        <f>IF(BD59=10,RANK(BE59,BE50:BE69),"")</f>
        <v/>
      </c>
      <c r="BG59" s="368"/>
      <c r="BH59" s="1363"/>
      <c r="BI59" s="1396"/>
      <c r="BJ59" s="1377" t="str">
        <f ca="1">IF(BI59=10,RAND(),"")</f>
        <v/>
      </c>
      <c r="BK59" s="901" t="str">
        <f>IF(BI59=10,RANK(BJ59,BJ50:BJ69),"")</f>
        <v/>
      </c>
      <c r="BL59" s="368"/>
      <c r="BM59" s="1363" t="str">
        <f t="shared" si="25"/>
        <v xml:space="preserve"> </v>
      </c>
      <c r="BN59" s="1394"/>
      <c r="BO59" s="1380" t="str">
        <f ca="1">IF(BN59=10,RAND(),"")</f>
        <v/>
      </c>
      <c r="BP59" s="901" t="str">
        <f>IF(BN59=10,RANK(BO59,BO50:BO69),"")</f>
        <v/>
      </c>
      <c r="BQ59" s="368"/>
      <c r="BR59" s="1363"/>
      <c r="BS59" s="271" t="s">
        <v>1287</v>
      </c>
      <c r="BT59" s="1204">
        <v>9</v>
      </c>
      <c r="BU59" s="1407" t="s">
        <v>7279</v>
      </c>
      <c r="BV59" s="1407" t="s">
        <v>7275</v>
      </c>
      <c r="BW59" s="1407" t="s">
        <v>7279</v>
      </c>
      <c r="BX59" s="1407" t="s">
        <v>4913</v>
      </c>
      <c r="BY59" s="1407" t="s">
        <v>7401</v>
      </c>
      <c r="BZ59" s="1407" t="s">
        <v>7266</v>
      </c>
      <c r="CA59" s="1408" t="s">
        <v>7242</v>
      </c>
      <c r="CC59" s="271"/>
      <c r="CD59" s="273"/>
      <c r="CE59" s="273"/>
    </row>
    <row r="60" spans="2:89" ht="12" customHeight="1">
      <c r="B60" s="1336">
        <v>11</v>
      </c>
      <c r="C60" s="368"/>
      <c r="D60" s="382"/>
      <c r="E60" s="1398"/>
      <c r="F60" s="382" t="str">
        <f>IF(ROWS(F$50:F60)&lt;=$E$50,ROWS(F$50:F60),"")</f>
        <v/>
      </c>
      <c r="G60" s="1377" t="str">
        <f ca="1">IF(ROWS(G$50:G60)&lt;=$E$50,RAND(),"")</f>
        <v/>
      </c>
      <c r="H60" s="382" t="str">
        <f>IF(F60=ROWS(H$50:H60),RANK(G60,$G$50:$G$71),"")</f>
        <v/>
      </c>
      <c r="I60" s="368" t="str">
        <f>IF(ROWS(I$50:I60)&gt;E$50,"",INDEX($D$50:$D$69,_xlfn.AGGREGATE(15,6,(ROW($D$50:$D$69)-ROW($L$50)+1)/ISNA(MATCH($D$50:$D$69,$C$50:$C$69,0)),ROWS(I$50:I60))))</f>
        <v/>
      </c>
      <c r="J60" s="1363" t="str">
        <f t="shared" ca="1" si="26"/>
        <v/>
      </c>
      <c r="K60" s="1405"/>
      <c r="L60" s="1384" t="s">
        <v>7411</v>
      </c>
      <c r="M60" s="1385"/>
      <c r="N60" s="382">
        <f>IF($M$50&gt;=9,9,"")</f>
        <v>9</v>
      </c>
      <c r="O60" s="1377">
        <f ca="1">IF(ROWS(O$52:O60)&lt;=$M$50,RAND(),"")</f>
        <v>0.94695178728133345</v>
      </c>
      <c r="P60" s="382">
        <f ca="1">IF(N60=ROWS(P$52:P60),RANK(O60,$O$52:$O$69),"")</f>
        <v>2</v>
      </c>
      <c r="Q60" s="368" t="str">
        <f>IF(ROWS(Q$52:Q60)&gt;M$50,"",INDEX($L$50:$L$69,_xlfn.AGGREGATE(15,6,(ROW($L$50:$L$69)-ROW($L$50)+1)/ISNA(MATCH($L$50:$L$69,$K$50:$K$69,0)),ROWS(Q$52:Q60))))</f>
        <v>Guiding Bolt</v>
      </c>
      <c r="R60" s="1388" t="str">
        <f t="shared" ca="1" si="27"/>
        <v>Cure Wounds</v>
      </c>
      <c r="S60" s="1400"/>
      <c r="T60" s="701" t="s">
        <v>7281</v>
      </c>
      <c r="U60" s="1398"/>
      <c r="V60" s="1396">
        <f>IF(U50&gt;=9,9,"")</f>
        <v>9</v>
      </c>
      <c r="W60" s="1406">
        <f ca="1">IF(ROWS(W$52:W60)&lt;=$U$50,RAND(),"")</f>
        <v>0.66860194636237102</v>
      </c>
      <c r="X60" s="382">
        <f ca="1">IF(V60=ROWS(X$52:X60),RANK(W60,$W$52:$W$69),"")</f>
        <v>4</v>
      </c>
      <c r="Y60" s="368" t="str">
        <f>IF(ROWS(Y$52:Y60)&gt;$U$50,"",INDEX($T$50:$T$69,_xlfn.AGGREGATE(15,6,(ROW($T$50:$T$69)-ROW($T$50)+1)/ISNA(MATCH($T$50:$T$69,$S$50:$S$69,0)),ROWS(Y$52:Y60))))</f>
        <v>Hold Person</v>
      </c>
      <c r="Z60" s="1363" t="str">
        <f t="shared" ca="1" si="28"/>
        <v>Silence</v>
      </c>
      <c r="AA60" s="1400"/>
      <c r="AB60" s="368" t="s">
        <v>7412</v>
      </c>
      <c r="AC60" s="1385"/>
      <c r="AD60" s="901">
        <f>IF(ROWS(AD$52:AD60)&lt;=$AC$50,ROWS(AD$52:AD60),"")</f>
        <v>9</v>
      </c>
      <c r="AE60" s="1377">
        <f ca="1">IF(ROWS(AE$52:AE60)&lt;=$AC$50,RAND(),"")</f>
        <v>0.1768933803140561</v>
      </c>
      <c r="AF60" s="901">
        <f ca="1">IF(ROWS(AE$52:AE60)&lt;=$AC$50,RANK(AE60,$AE$52:$AE$71),"")</f>
        <v>15</v>
      </c>
      <c r="AG60" s="368" t="str">
        <f>IF(ROWS(AG$52:AG60)&gt;AC$50,"",INDEX($AB$50:$AB$69,_xlfn.AGGREGATE(15,6,(ROW($AB$50:$AB$69)-ROW($AA$50)+1)/ISNA(MATCH($AB$50:$AB$69,$AA$50:$AA$69,0)),ROWS(AG$52:AG60))))</f>
        <v>Glyph of Warding</v>
      </c>
      <c r="AH60" s="1363" t="str">
        <f t="shared" ca="1" si="29"/>
        <v>Magic Circle</v>
      </c>
      <c r="AI60" s="1400"/>
      <c r="AJ60" s="368"/>
      <c r="AK60" s="1402"/>
      <c r="AL60" s="1403" t="str">
        <f>IF(ROWS(AL$52:AL60)&lt;=$AK$50,ROWS(AL$52:AL60),"")</f>
        <v/>
      </c>
      <c r="AM60" s="1404" t="str">
        <f ca="1">IF(ROWS(AM$52:AM60)&lt;=$AK$50,RAND(),"")</f>
        <v/>
      </c>
      <c r="AN60" s="1403" t="str">
        <f>IF(ROWS(AM$52:AM60)&lt;=$AK$50,RANK(AM60,$AM$52:$AM$71),"")</f>
        <v/>
      </c>
      <c r="AO60" s="530" t="str">
        <f>IF(ROWS(AO$52:AO60)&gt;AK50,"",INDEX(AJ50:AJ57,_xlfn.AGGREGATE(15,6,(ROW(AJ50:AJ57)-ROW(AI50)+1)/ISNA(MATCH(AJ50:AJ57,AI50:AI69,0)),ROWS(AO$52:AO60))))</f>
        <v/>
      </c>
      <c r="AP60" s="1363" t="str">
        <f t="shared" ca="1" si="30"/>
        <v/>
      </c>
      <c r="AQ60" s="1400"/>
      <c r="AR60" s="368" t="s">
        <v>7271</v>
      </c>
      <c r="AS60" s="1398"/>
      <c r="AT60" s="901">
        <f>IF(ROWS(AT$52:AT60)&lt;=$AS$50,ROWS(AT$52:AT60),"")</f>
        <v>9</v>
      </c>
      <c r="AU60" s="1377">
        <f ca="1">IF(ROWS(AU$52:AU60)&lt;=$AS$50,RAND(),"")</f>
        <v>0.85404645618010033</v>
      </c>
      <c r="AV60" s="1403">
        <f ca="1">IF(ROWS(AU$52:AU60)&lt;=$AS$50,RANK(AU60,$AU$52:$AU$71),"")</f>
        <v>2</v>
      </c>
      <c r="AW60" s="368" t="str">
        <f>IF(ROWS(AW$52:AW60)&gt;$AS$50,"",INDEX($AR$50:$AR$62,_xlfn.AGGREGATE(15,6,(ROW($AR$50:$AR$62)-ROW($AQ$50)+1)/ISNA(MATCH($AR$50:$AR$62,$AQ$50:$AQ$69,0)),ROWS(AW$52:AW60))))</f>
        <v>Mass Cure Wounds</v>
      </c>
      <c r="AX60" s="1363" t="str">
        <f t="shared" ca="1" si="31"/>
        <v>Hallow</v>
      </c>
      <c r="AY60" s="1394"/>
      <c r="AZ60" s="382" t="str">
        <f ca="1">IF(AY60=11,RAND(),"")</f>
        <v/>
      </c>
      <c r="BA60" s="901" t="str">
        <f>IF(AY60=11,RANK(AZ60,AZ50:AZ69),"")</f>
        <v/>
      </c>
      <c r="BB60" s="368"/>
      <c r="BC60" s="1395" t="str">
        <f t="shared" si="23"/>
        <v xml:space="preserve"> </v>
      </c>
      <c r="BD60" s="1394"/>
      <c r="BE60" s="1377" t="str">
        <f ca="1">IF(BD60=11,RAND(),"")</f>
        <v/>
      </c>
      <c r="BF60" s="901" t="str">
        <f>IF(BD60=11,RANK(BE60,BE50:BE69),"")</f>
        <v/>
      </c>
      <c r="BG60" s="368"/>
      <c r="BH60" s="1363"/>
      <c r="BI60" s="1396"/>
      <c r="BJ60" s="1377" t="str">
        <f ca="1">IF(BI60=11,RAND(),"")</f>
        <v/>
      </c>
      <c r="BK60" s="901" t="str">
        <f>IF(BI60=11,RANK(BJ60,BJ50:BJ69),"")</f>
        <v/>
      </c>
      <c r="BL60" s="368"/>
      <c r="BM60" s="1363" t="str">
        <f t="shared" si="25"/>
        <v xml:space="preserve"> </v>
      </c>
      <c r="BN60" s="1394"/>
      <c r="BO60" s="1380" t="str">
        <f ca="1">IF(BN60=11,RAND(),"")</f>
        <v/>
      </c>
      <c r="BP60" s="901" t="str">
        <f>IF(BN60=11,RANK(BO60,BO50:BO69),"")</f>
        <v/>
      </c>
      <c r="BQ60" s="368"/>
      <c r="BR60" s="1363"/>
      <c r="BS60" s="271" t="s">
        <v>1287</v>
      </c>
      <c r="BT60" s="1409"/>
      <c r="BU60" s="498"/>
      <c r="BV60" s="591"/>
      <c r="BW60" s="1410"/>
      <c r="CC60" s="271"/>
      <c r="CD60" s="273"/>
      <c r="CE60" s="273"/>
    </row>
    <row r="61" spans="2:89" ht="12" customHeight="1">
      <c r="B61" s="1336">
        <v>12</v>
      </c>
      <c r="C61" s="368"/>
      <c r="D61" s="382"/>
      <c r="E61" s="1398"/>
      <c r="F61" s="382" t="str">
        <f>IF(ROWS(F$50:F61)&lt;=$E$50,ROWS(F$50:F61),"")</f>
        <v/>
      </c>
      <c r="G61" s="1377" t="str">
        <f ca="1">IF(ROWS(G$50:G61)&lt;=$E$50,RAND(),"")</f>
        <v/>
      </c>
      <c r="H61" s="382" t="str">
        <f>IF(F61=ROWS(H$50:H61),RANK(G61,$G$50:$G$71),"")</f>
        <v/>
      </c>
      <c r="I61" s="368" t="str">
        <f>IF(ROWS(I$50:I61)&gt;E$50,"",INDEX($D$50:$D$69,_xlfn.AGGREGATE(15,6,(ROW($D$50:$D$69)-ROW($L$50)+1)/ISNA(MATCH($D$50:$D$69,$C$50:$C$69,0)),ROWS(I$50:I61))))</f>
        <v/>
      </c>
      <c r="J61" s="1363" t="str">
        <f t="shared" ca="1" si="26"/>
        <v/>
      </c>
      <c r="K61" s="1405"/>
      <c r="L61" s="1384" t="s">
        <v>7413</v>
      </c>
      <c r="M61" s="1385"/>
      <c r="N61" s="382">
        <f>IF($M$50&gt;=10,10,"")</f>
        <v>10</v>
      </c>
      <c r="O61" s="1377">
        <f ca="1">IF(ROWS(O$52:O61)&lt;=$M$50,RAND(),"")</f>
        <v>9.7217424473876379E-2</v>
      </c>
      <c r="P61" s="382">
        <f ca="1">IF(N61=ROWS(P$52:P61),RANK(O61,$O$52:$O$69),"")</f>
        <v>14</v>
      </c>
      <c r="Q61" s="368" t="str">
        <f>IF(ROWS(Q$52:Q61)&gt;M$50,"",INDEX($L$50:$L$69,_xlfn.AGGREGATE(15,6,(ROW($L$50:$L$69)-ROW($L$50)+1)/ISNA(MATCH($L$50:$L$69,$K$50:$K$69,0)),ROWS(Q$52:Q61))))</f>
        <v>Healing Word</v>
      </c>
      <c r="R61" s="1388" t="str">
        <f t="shared" ca="1" si="27"/>
        <v>Command</v>
      </c>
      <c r="S61" s="1400"/>
      <c r="T61" s="701" t="s">
        <v>7414</v>
      </c>
      <c r="U61" s="1398"/>
      <c r="V61" s="1396">
        <f>IF(U50&gt;=10,10,"")</f>
        <v>10</v>
      </c>
      <c r="W61" s="1406">
        <f ca="1">IF(ROWS(W$52:W61)&lt;=$U$50,RAND(),"")</f>
        <v>0.84519332035688766</v>
      </c>
      <c r="X61" s="382">
        <f ca="1">IF(V61=ROWS(X$52:X61),RANK(W61,$W$52:$W$69),"")</f>
        <v>2</v>
      </c>
      <c r="Y61" s="368" t="str">
        <f>IF(ROWS(Y$52:Y61)&gt;$U$50,"",INDEX($T$50:$T$69,_xlfn.AGGREGATE(15,6,(ROW($T$50:$T$69)-ROW($T$50)+1)/ISNA(MATCH($T$50:$T$69,$S$50:$S$69,0)),ROWS(Y$52:Y61))))</f>
        <v>Lesser Restoration</v>
      </c>
      <c r="Z61" s="1363" t="str">
        <f t="shared" ca="1" si="28"/>
        <v>Protection From Poison</v>
      </c>
      <c r="AA61" s="1400"/>
      <c r="AB61" s="368" t="s">
        <v>7415</v>
      </c>
      <c r="AC61" s="1385"/>
      <c r="AD61" s="901">
        <f>IF(ROWS(AD$52:AD61)&lt;=$AC$50,ROWS(AD$52:AD61),"")</f>
        <v>10</v>
      </c>
      <c r="AE61" s="1377">
        <f ca="1">IF(ROWS(AE$52:AE61)&lt;=$AC$50,RAND(),"")</f>
        <v>0.64188960148845853</v>
      </c>
      <c r="AF61" s="901">
        <f ca="1">IF(ROWS(AE$52:AE61)&lt;=$AC$50,RANK(AE61,$AE$52:$AE$71),"")</f>
        <v>9</v>
      </c>
      <c r="AG61" s="368" t="str">
        <f>IF(ROWS(AG$52:AG61)&gt;AC$50,"",INDEX($AB$50:$AB$69,_xlfn.AGGREGATE(15,6,(ROW($AB$50:$AB$69)-ROW($AA$50)+1)/ISNA(MATCH($AB$50:$AB$69,$AA$50:$AA$69,0)),ROWS(AG$52:AG61))))</f>
        <v>Magic Circle</v>
      </c>
      <c r="AH61" s="1363" t="str">
        <f t="shared" ca="1" si="29"/>
        <v>Feign Death</v>
      </c>
      <c r="AI61" s="1400"/>
      <c r="AJ61" s="368"/>
      <c r="AK61" s="1402"/>
      <c r="AL61" s="1403" t="str">
        <f>IF(ROWS(AL$52:AL61)&lt;=$AK$50,ROWS(AL$52:AL61),"")</f>
        <v/>
      </c>
      <c r="AM61" s="1404" t="str">
        <f ca="1">IF(ROWS(AM$52:AM61)&lt;=$AK$50,RAND(),"")</f>
        <v/>
      </c>
      <c r="AN61" s="1403" t="str">
        <f>IF(ROWS(AM$52:AM61)&lt;=$AK$50,RANK(AM61,$AM$52:$AM$71),"")</f>
        <v/>
      </c>
      <c r="AO61" s="530" t="str">
        <f>IF(ROWS(AO$52:AO61)&gt;AK50,"",INDEX(AJ50:AJ57,_xlfn.AGGREGATE(15,6,(ROW(AJ50:AJ57)-ROW(AI50)+1)/ISNA(MATCH(AJ50:AJ57,AI50:AI69,0)),ROWS(AO$52:AO61))))</f>
        <v/>
      </c>
      <c r="AP61" s="1363" t="str">
        <f t="shared" ca="1" si="30"/>
        <v/>
      </c>
      <c r="AQ61" s="1400"/>
      <c r="AR61" s="368" t="s">
        <v>7275</v>
      </c>
      <c r="AS61" s="1398"/>
      <c r="AT61" s="901">
        <f>IF(ROWS(AT$52:AT61)&lt;=$AS$50,ROWS(AT$52:AT61),"")</f>
        <v>10</v>
      </c>
      <c r="AU61" s="1377">
        <f ca="1">IF(ROWS(AU$52:AU61)&lt;=$AS$50,RAND(),"")</f>
        <v>0.21855355547562483</v>
      </c>
      <c r="AV61" s="1403">
        <f ca="1">IF(ROWS(AU$52:AU61)&lt;=$AS$50,RANK(AU61,$AU$52:$AU$71),"")</f>
        <v>8</v>
      </c>
      <c r="AW61" s="368" t="str">
        <f>IF(ROWS(AW$52:AW61)&gt;$AS$50,"",INDEX($AR$50:$AR$62,_xlfn.AGGREGATE(15,6,(ROW($AR$50:$AR$62)-ROW($AQ$50)+1)/ISNA(MATCH($AR$50:$AR$62,$AQ$50:$AQ$69,0)),ROWS(AW$52:AW61))))</f>
        <v>Planar Binding</v>
      </c>
      <c r="AX61" s="1363" t="str">
        <f t="shared" ca="1" si="31"/>
        <v>Greater Restoration</v>
      </c>
      <c r="AY61" s="1394"/>
      <c r="AZ61" s="382" t="str">
        <f ca="1">IF(AY61=12,RAND(),"")</f>
        <v/>
      </c>
      <c r="BA61" s="901" t="str">
        <f>IF(AY61=12,RANK(AZ61,AZ50:AZ69),"")</f>
        <v/>
      </c>
      <c r="BB61" s="368"/>
      <c r="BC61" s="1395" t="str">
        <f t="shared" si="23"/>
        <v xml:space="preserve"> </v>
      </c>
      <c r="BD61" s="1394"/>
      <c r="BE61" s="1377" t="str">
        <f ca="1">IF(BD61=12,RAND(),"")</f>
        <v/>
      </c>
      <c r="BF61" s="901" t="str">
        <f>IF(BD61=12,RANK(BE61,BE50:BE69),"")</f>
        <v/>
      </c>
      <c r="BG61" s="368"/>
      <c r="BH61" s="1363"/>
      <c r="BI61" s="1396"/>
      <c r="BJ61" s="1377" t="str">
        <f ca="1">IF(BI61=12,RAND(),"")</f>
        <v/>
      </c>
      <c r="BK61" s="901" t="str">
        <f>IF(BI61=12,RANK(BJ61,BJ50:BJ69),"")</f>
        <v/>
      </c>
      <c r="BL61" s="368"/>
      <c r="BM61" s="1363" t="str">
        <f t="shared" si="25"/>
        <v xml:space="preserve"> </v>
      </c>
      <c r="BN61" s="1394"/>
      <c r="BO61" s="1380" t="str">
        <f ca="1">IF(BN61=12,RAND(),"")</f>
        <v/>
      </c>
      <c r="BP61" s="901" t="str">
        <f>IF(BN61=12,RANK(BO61,BO50:BO69),"")</f>
        <v/>
      </c>
      <c r="BQ61" s="368"/>
      <c r="BR61" s="1363"/>
      <c r="BS61" s="271" t="s">
        <v>1287</v>
      </c>
      <c r="BT61" s="1409"/>
      <c r="BU61" s="498"/>
      <c r="BV61" s="591"/>
      <c r="BW61" s="1410"/>
      <c r="CC61" s="271"/>
      <c r="CD61" s="273"/>
      <c r="CE61" s="273"/>
    </row>
    <row r="62" spans="2:89" ht="12" customHeight="1">
      <c r="B62" s="1336">
        <v>13</v>
      </c>
      <c r="C62" s="368"/>
      <c r="D62" s="382"/>
      <c r="E62" s="1398"/>
      <c r="F62" s="382" t="str">
        <f>IF(ROWS(F$50:F62)&lt;=$E$50,ROWS(F$50:F62),"")</f>
        <v/>
      </c>
      <c r="G62" s="1377" t="str">
        <f ca="1">IF(ROWS(G$50:G62)&lt;=$E$50,RAND(),"")</f>
        <v/>
      </c>
      <c r="H62" s="382" t="str">
        <f>IF(F62=ROWS(H$50:H62),RANK(G62,$G$50:$G$71),"")</f>
        <v/>
      </c>
      <c r="I62" s="368" t="str">
        <f>IF(ROWS(I$50:I62)&gt;E$50,"",INDEX($D$50:$D$69,_xlfn.AGGREGATE(15,6,(ROW($D$50:$D$69)-ROW($L$50)+1)/ISNA(MATCH($D$50:$D$69,$C$50:$C$69,0)),ROWS(I$50:I62))))</f>
        <v/>
      </c>
      <c r="J62" s="1363" t="str">
        <f t="shared" ca="1" si="26"/>
        <v/>
      </c>
      <c r="K62" s="1405"/>
      <c r="L62" s="1384" t="s">
        <v>7416</v>
      </c>
      <c r="M62" s="1385"/>
      <c r="N62" s="382">
        <f>IF($M$50&gt;=11,11,"")</f>
        <v>11</v>
      </c>
      <c r="O62" s="1377">
        <f ca="1">IF(ROWS(O$52:O62)&lt;=$M$50,RAND(),"")</f>
        <v>0.81276603226297417</v>
      </c>
      <c r="P62" s="382">
        <f ca="1">IF(N62=ROWS(P$52:P62),RANK(O62,$O$52:$O$69),"")</f>
        <v>4</v>
      </c>
      <c r="Q62" s="368" t="str">
        <f>IF(ROWS(Q$52:Q62)&gt;M$50,"",INDEX($L$50:$L$69,_xlfn.AGGREGATE(15,6,(ROW($L$50:$L$69)-ROW($L$50)+1)/ISNA(MATCH($L$50:$L$69,$K$50:$K$69,0)),ROWS(Q$52:Q62))))</f>
        <v>Inflict Wounds</v>
      </c>
      <c r="R62" s="1388" t="str">
        <f t="shared" ca="1" si="27"/>
        <v>Bane</v>
      </c>
      <c r="S62" s="1400"/>
      <c r="T62" s="701" t="s">
        <v>7417</v>
      </c>
      <c r="U62" s="1398"/>
      <c r="V62" s="1396">
        <f>IF(U50&gt;=11,11,"")</f>
        <v>11</v>
      </c>
      <c r="W62" s="1406">
        <f ca="1">IF(ROWS(W$52:W62)&lt;=$U$50,RAND(),"")</f>
        <v>3.776429710617657E-2</v>
      </c>
      <c r="X62" s="382">
        <f ca="1">IF(V62=ROWS(X$52:X62),RANK(W62,$W$52:$W$69),"")</f>
        <v>15</v>
      </c>
      <c r="Y62" s="368" t="str">
        <f>IF(ROWS(Y$52:Y62)&gt;$U$50,"",INDEX($T$50:$T$69,_xlfn.AGGREGATE(15,6,(ROW($T$50:$T$69)-ROW($T$50)+1)/ISNA(MATCH($T$50:$T$69,$S$50:$S$69,0)),ROWS(Y$52:Y62))))</f>
        <v>Locate Object</v>
      </c>
      <c r="Z62" s="1363" t="str">
        <f t="shared" ca="1" si="28"/>
        <v>Zone of Truth</v>
      </c>
      <c r="AA62" s="1400"/>
      <c r="AB62" s="368" t="s">
        <v>7418</v>
      </c>
      <c r="AC62" s="1385"/>
      <c r="AD62" s="901">
        <f>IF(ROWS(AD$52:AD62)&lt;=$AC$50,ROWS(AD$52:AD62),"")</f>
        <v>11</v>
      </c>
      <c r="AE62" s="1377">
        <f ca="1">IF(ROWS(AE$52:AE62)&lt;=$AC$50,RAND(),"")</f>
        <v>0.79746584113362229</v>
      </c>
      <c r="AF62" s="901">
        <f ca="1">IF(ROWS(AE$52:AE62)&lt;=$AC$50,RANK(AE62,$AE$52:$AE$71),"")</f>
        <v>5</v>
      </c>
      <c r="AG62" s="368" t="str">
        <f>IF(ROWS(AG$52:AG62)&gt;AC$50,"",INDEX($AB$50:$AB$69,_xlfn.AGGREGATE(15,6,(ROW($AB$50:$AB$69)-ROW($AA$50)+1)/ISNA(MATCH($AB$50:$AB$69,$AA$50:$AA$69,0)),ROWS(AG$52:AG62))))</f>
        <v>Mass Healing Word</v>
      </c>
      <c r="AH62" s="1363" t="str">
        <f t="shared" ca="1" si="29"/>
        <v>Meld Into Stone</v>
      </c>
      <c r="AI62" s="1400"/>
      <c r="AJ62" s="368"/>
      <c r="AK62" s="1402"/>
      <c r="AL62" s="1403" t="str">
        <f>IF(ROWS(AL$52:AL62)&lt;=$AK$50,ROWS(AL$52:AL62),"")</f>
        <v/>
      </c>
      <c r="AM62" s="1404" t="str">
        <f ca="1">IF(ROWS(AM$52:AM62)&lt;=$AK$50,RAND(),"")</f>
        <v/>
      </c>
      <c r="AN62" s="1403" t="str">
        <f>IF(ROWS(AM$52:AM62)&lt;=$AK$50,RANK(AM62,$AM$52:$AM$71),"")</f>
        <v/>
      </c>
      <c r="AO62" s="530" t="str">
        <f>IF(ROWS(AO$52:AO62)&gt;AK50,"",INDEX(AJ50:AJ57,_xlfn.AGGREGATE(15,6,(ROW(AJ50:AJ57)-ROW(AI50)+1)/ISNA(MATCH(AJ50:AJ57,AI50:AI69,0)),ROWS(AO$52:AO62))))</f>
        <v/>
      </c>
      <c r="AP62" s="1363" t="str">
        <f t="shared" ca="1" si="30"/>
        <v/>
      </c>
      <c r="AQ62" s="1400"/>
      <c r="AR62" s="368" t="s">
        <v>7279</v>
      </c>
      <c r="AS62" s="1398"/>
      <c r="AT62" s="901">
        <f>IF(ROWS(AT$52:AT62)&lt;=$AS$50,ROWS(AT$52:AT62),"")</f>
        <v>11</v>
      </c>
      <c r="AU62" s="1377">
        <f ca="1">IF(ROWS(AU$52:AU62)&lt;=$AS$50,RAND(),"")</f>
        <v>0.55881720976767879</v>
      </c>
      <c r="AV62" s="1403">
        <f ca="1">IF(ROWS(AU$52:AU62)&lt;=$AS$50,RANK(AU62,$AU$52:$AU$71),"")</f>
        <v>5</v>
      </c>
      <c r="AW62" s="368" t="str">
        <f>IF(ROWS(AW$52:AW62)&gt;$AS$50,"",INDEX($AR$50:$AR$62,_xlfn.AGGREGATE(15,6,(ROW($AR$50:$AR$62)-ROW($AQ$50)+1)/ISNA(MATCH($AR$50:$AR$62,$AQ$50:$AQ$69,0)),ROWS(AW$52:AW62))))</f>
        <v>Raise Dead</v>
      </c>
      <c r="AX62" s="1363" t="str">
        <f t="shared" ca="1" si="31"/>
        <v>Commune</v>
      </c>
      <c r="AY62" s="1394"/>
      <c r="AZ62" s="382" t="str">
        <f ca="1">IF(AY62=13,RAND(),"")</f>
        <v/>
      </c>
      <c r="BA62" s="901" t="str">
        <f>IF(AY62=13,RANK(AZ62,AZ50:AZ69),"")</f>
        <v/>
      </c>
      <c r="BB62" s="368"/>
      <c r="BC62" s="1395" t="str">
        <f t="shared" si="23"/>
        <v xml:space="preserve"> </v>
      </c>
      <c r="BD62" s="1394"/>
      <c r="BE62" s="1377" t="str">
        <f ca="1">IF(BD62=13,RAND(),"")</f>
        <v/>
      </c>
      <c r="BF62" s="901" t="str">
        <f>IF(BD62=13,RANK(BE62,BE50:BE69),"")</f>
        <v/>
      </c>
      <c r="BG62" s="368"/>
      <c r="BH62" s="1363"/>
      <c r="BI62" s="1396"/>
      <c r="BJ62" s="1377" t="str">
        <f ca="1">IF(BI62=13,RAND(),"")</f>
        <v/>
      </c>
      <c r="BK62" s="901" t="str">
        <f>IF(BI62=13,RANK(BJ62,BJ50:BJ69),"")</f>
        <v/>
      </c>
      <c r="BL62" s="368"/>
      <c r="BM62" s="1363" t="str">
        <f t="shared" si="25"/>
        <v xml:space="preserve"> </v>
      </c>
      <c r="BN62" s="1394"/>
      <c r="BO62" s="1380" t="str">
        <f ca="1">IF(BN62=13,RAND(),"")</f>
        <v/>
      </c>
      <c r="BP62" s="901" t="str">
        <f>IF(BN62=13,RANK(BO62,BO50:BO69),"")</f>
        <v/>
      </c>
      <c r="BQ62" s="368"/>
      <c r="BR62" s="1363"/>
      <c r="BS62" s="271" t="s">
        <v>1287</v>
      </c>
      <c r="BT62" s="1409"/>
      <c r="BU62" s="498"/>
      <c r="BV62" s="591"/>
      <c r="BW62" s="1410"/>
      <c r="CC62" s="271"/>
      <c r="CD62" s="273"/>
      <c r="CE62" s="273"/>
    </row>
    <row r="63" spans="2:89" ht="12" customHeight="1">
      <c r="B63" s="1336">
        <v>14</v>
      </c>
      <c r="C63" s="368"/>
      <c r="D63" s="382"/>
      <c r="E63" s="1398"/>
      <c r="F63" s="382" t="str">
        <f>IF(ROWS(F$50:F63)&lt;=$E$50,ROWS(F$50:F63),"")</f>
        <v/>
      </c>
      <c r="G63" s="1377" t="str">
        <f ca="1">IF(ROWS(G$50:G63)&lt;=$E$50,RAND(),"")</f>
        <v/>
      </c>
      <c r="H63" s="382" t="str">
        <f>IF(F63=ROWS(H$50:H63),RANK(G63,$G$50:$G$71),"")</f>
        <v/>
      </c>
      <c r="I63" s="368" t="str">
        <f>IF(ROWS(I$50:I63)&gt;E$50,"",INDEX($D$50:$D$69,_xlfn.AGGREGATE(15,6,(ROW($D$50:$D$69)-ROW($L$50)+1)/ISNA(MATCH($D$50:$D$69,$C$50:$C$69,0)),ROWS(I$50:I63))))</f>
        <v/>
      </c>
      <c r="J63" s="1363" t="str">
        <f t="shared" ca="1" si="26"/>
        <v/>
      </c>
      <c r="K63" s="1405"/>
      <c r="L63" s="1384" t="s">
        <v>7419</v>
      </c>
      <c r="M63" s="1385"/>
      <c r="N63" s="382">
        <f>IF($M$50&gt;=12,12,"")</f>
        <v>12</v>
      </c>
      <c r="O63" s="1377">
        <f ca="1">IF(ROWS(O$52:O63)&lt;=$M$50,RAND(),"")</f>
        <v>0.58394397645691909</v>
      </c>
      <c r="P63" s="382">
        <f ca="1">IF(N63=ROWS(P$52:P63),RANK(O63,$O$52:$O$69),"")</f>
        <v>5</v>
      </c>
      <c r="Q63" s="368" t="str">
        <f>IF(ROWS(Q$52:Q63)&gt;M$50,"",INDEX($L$50:$L$69,_xlfn.AGGREGATE(15,6,(ROW($L$50:$L$69)-ROW($L$50)+1)/ISNA(MATCH($L$50:$L$69,$K$50:$K$69,0)),ROWS(Q$52:Q63))))</f>
        <v>Protection From Evil and Good</v>
      </c>
      <c r="R63" s="1388" t="str">
        <f t="shared" ca="1" si="27"/>
        <v>Sanctuary</v>
      </c>
      <c r="S63" s="1400"/>
      <c r="T63" s="701" t="s">
        <v>7297</v>
      </c>
      <c r="U63" s="1398"/>
      <c r="V63" s="1396">
        <f>IF(U50&gt;=12,12,"")</f>
        <v>12</v>
      </c>
      <c r="W63" s="1406">
        <f ca="1">IF(ROWS(W$52:W63)&lt;=$U$50,RAND(),"")</f>
        <v>0.65238602609872243</v>
      </c>
      <c r="X63" s="382">
        <f ca="1">IF(V63=ROWS(X$52:X63),RANK(W63,$W$52:$W$69),"")</f>
        <v>5</v>
      </c>
      <c r="Y63" s="368" t="str">
        <f>IF(ROWS(Y$52:Y63)&gt;$U$50,"",INDEX($T$50:$T$69,_xlfn.AGGREGATE(15,6,(ROW($T$50:$T$69)-ROW($T$50)+1)/ISNA(MATCH($T$50:$T$69,$S$50:$S$69,0)),ROWS(Y$52:Y63))))</f>
        <v>Prayer of Healing</v>
      </c>
      <c r="Z63" s="1363" t="str">
        <f t="shared" ca="1" si="28"/>
        <v>Augury</v>
      </c>
      <c r="AA63" s="1400"/>
      <c r="AB63" s="368" t="s">
        <v>7420</v>
      </c>
      <c r="AC63" s="1385"/>
      <c r="AD63" s="901">
        <f>IF(ROWS(AD$52:AD63)&lt;=$AC$50,ROWS(AD$52:AD63),"")</f>
        <v>12</v>
      </c>
      <c r="AE63" s="1377">
        <f ca="1">IF(ROWS(AE$52:AE63)&lt;=$AC$50,RAND(),"")</f>
        <v>0.52777898780374</v>
      </c>
      <c r="AF63" s="901">
        <f ca="1">IF(ROWS(AE$52:AE63)&lt;=$AC$50,RANK(AE63,$AE$52:$AE$71),"")</f>
        <v>11</v>
      </c>
      <c r="AG63" s="368" t="str">
        <f>IF(ROWS(AG$52:AG63)&gt;AC$50,"",INDEX($AB$50:$AB$69,_xlfn.AGGREGATE(15,6,(ROW($AB$50:$AB$69)-ROW($AA$50)+1)/ISNA(MATCH($AB$50:$AB$69,$AA$50:$AA$69,0)),ROWS(AG$52:AG63))))</f>
        <v>Meld Into Stone</v>
      </c>
      <c r="AH63" s="1363" t="str">
        <f t="shared" ca="1" si="29"/>
        <v>Speak with Dead</v>
      </c>
      <c r="AI63" s="1400"/>
      <c r="AJ63" s="368"/>
      <c r="AK63" s="1402"/>
      <c r="AL63" s="1403" t="str">
        <f>IF(ROWS(AL$52:AL63)&lt;=$AK$50,ROWS(AL$52:AL63),"")</f>
        <v/>
      </c>
      <c r="AM63" s="1404" t="str">
        <f ca="1">IF(ROWS(AM$52:AM63)&lt;=$AK$50,RAND(),"")</f>
        <v/>
      </c>
      <c r="AN63" s="1403" t="str">
        <f>IF(ROWS(AM$52:AM63)&lt;=$AK$50,RANK(AM63,$AM$52:$AM$71),"")</f>
        <v/>
      </c>
      <c r="AO63" s="530" t="str">
        <f>IF(ROWS(AO$52:AO63)&gt;AK50,"",INDEX(AJ50:AJ57,_xlfn.AGGREGATE(15,6,(ROW(AJ50:AJ57)-ROW(AI50)+1)/ISNA(MATCH(AJ50:AJ57,AI50:AI69,0)),ROWS(AO$52:AO63))))</f>
        <v/>
      </c>
      <c r="AP63" s="1363" t="str">
        <f t="shared" ca="1" si="30"/>
        <v/>
      </c>
      <c r="AQ63" s="1400"/>
      <c r="AR63" s="368"/>
      <c r="AS63" s="1398"/>
      <c r="AT63" s="901">
        <f>IF(ROWS(AT$52:AT63)&lt;=$AS$50,ROWS(AT$52:AT63),"")</f>
        <v>12</v>
      </c>
      <c r="AU63" s="1377">
        <f ca="1">IF(ROWS(AU$52:AU63)&lt;=$AS$50,RAND(),"")</f>
        <v>0.63190438976086594</v>
      </c>
      <c r="AV63" s="1403">
        <f ca="1">IF(ROWS(AU$52:AU63)&lt;=$AS$50,RANK(AU63,$AU$52:$AU$71),"")</f>
        <v>4</v>
      </c>
      <c r="AW63" s="368" t="str">
        <f>IF(ROWS(AW$52:AW63)&gt;$AS$50,"",INDEX($AR$50:$AR$62,_xlfn.AGGREGATE(15,6,(ROW($AR$50:$AR$62)-ROW($AQ$50)+1)/ISNA(MATCH($AR$50:$AR$62,$AQ$50:$AQ$69,0)),ROWS(AW$52:AW63))))</f>
        <v>Scrying</v>
      </c>
      <c r="AX63" s="1363" t="str">
        <f t="shared" ca="1" si="31"/>
        <v>Insect Plague</v>
      </c>
      <c r="AY63" s="1394"/>
      <c r="AZ63" s="382" t="str">
        <f ca="1">IF(AY63=14,RAND(),"")</f>
        <v/>
      </c>
      <c r="BA63" s="901" t="str">
        <f>IF(AY63=14,RANK(AZ63,AZ50:AZ69),"")</f>
        <v/>
      </c>
      <c r="BB63" s="368"/>
      <c r="BC63" s="1395" t="str">
        <f t="shared" si="23"/>
        <v xml:space="preserve"> </v>
      </c>
      <c r="BD63" s="1394"/>
      <c r="BE63" s="1377" t="str">
        <f ca="1">IF(BD63=14,RAND(),"")</f>
        <v/>
      </c>
      <c r="BF63" s="901" t="str">
        <f>IF(BD63=14,RANK(BE63,BE50:BE69),"")</f>
        <v/>
      </c>
      <c r="BG63" s="368"/>
      <c r="BH63" s="1363"/>
      <c r="BI63" s="1396"/>
      <c r="BJ63" s="1377" t="str">
        <f ca="1">IF(BI63=14,RAND(),"")</f>
        <v/>
      </c>
      <c r="BK63" s="901" t="str">
        <f>IF(BI63=14,RANK(BJ63,BJ50:BJ69),"")</f>
        <v/>
      </c>
      <c r="BL63" s="368"/>
      <c r="BM63" s="1363" t="str">
        <f t="shared" si="25"/>
        <v xml:space="preserve"> </v>
      </c>
      <c r="BN63" s="1394"/>
      <c r="BO63" s="1380" t="str">
        <f ca="1">IF(BN63=14,RAND(),"")</f>
        <v/>
      </c>
      <c r="BP63" s="901" t="str">
        <f>IF(BN63=14,RANK(BO63,BO50:BO69),"")</f>
        <v/>
      </c>
      <c r="BQ63" s="368"/>
      <c r="BR63" s="1363"/>
      <c r="BS63" s="271" t="s">
        <v>1287</v>
      </c>
      <c r="BT63" s="1409"/>
      <c r="BU63" s="498"/>
      <c r="BV63" s="591"/>
      <c r="BW63" s="1410"/>
      <c r="CC63" s="271"/>
      <c r="CD63" s="273"/>
      <c r="CE63" s="273"/>
    </row>
    <row r="64" spans="2:89" ht="12" customHeight="1">
      <c r="B64" s="1336">
        <v>15</v>
      </c>
      <c r="C64" s="368"/>
      <c r="D64" s="382"/>
      <c r="E64" s="1398"/>
      <c r="F64" s="382" t="str">
        <f>IF(ROWS(F$50:F64)&lt;=$E$50,ROWS(F$50:F64),"")</f>
        <v/>
      </c>
      <c r="G64" s="1377" t="str">
        <f ca="1">IF(ROWS(G$50:G64)&lt;=$E$50,RAND(),"")</f>
        <v/>
      </c>
      <c r="H64" s="382" t="str">
        <f>IF(F64=ROWS(H$50:H64),RANK(G64,$G$50:$G$71),"")</f>
        <v/>
      </c>
      <c r="I64" s="368" t="str">
        <f>IF(ROWS(I$50:I64)&gt;E$50,"",INDEX($D$50:$D$69,_xlfn.AGGREGATE(15,6,(ROW($D$50:$D$69)-ROW($L$50)+1)/ISNA(MATCH($D$50:$D$69,$C$50:$C$69,0)),ROWS(I$50:I64))))</f>
        <v/>
      </c>
      <c r="J64" s="1363" t="str">
        <f t="shared" ca="1" si="26"/>
        <v/>
      </c>
      <c r="K64" s="1405"/>
      <c r="L64" s="1411" t="s">
        <v>7351</v>
      </c>
      <c r="M64" s="1385"/>
      <c r="N64" s="382">
        <f>IF($M$50&gt;=13,13,"")</f>
        <v>13</v>
      </c>
      <c r="O64" s="1377">
        <f ca="1">IF(ROWS(O$52:O64)&lt;=$M$50,RAND(),"")</f>
        <v>0.40838020777551187</v>
      </c>
      <c r="P64" s="382">
        <f ca="1">IF(N64=ROWS(P$52:P64),RANK(O64,$O$52:$O$69),"")</f>
        <v>7</v>
      </c>
      <c r="Q64" s="368" t="str">
        <f>IF(ROWS(Q$52:Q64)&gt;M$50,"",INDEX($L$50:$L$69,_xlfn.AGGREGATE(15,6,(ROW($L$50:$L$69)-ROW($L$50)+1)/ISNA(MATCH($L$50:$L$69,$K$50:$K$69,0)),ROWS(Q$52:Q64))))</f>
        <v>Purify Food and Drink</v>
      </c>
      <c r="R64" s="1388" t="str">
        <f t="shared" ca="1" si="27"/>
        <v>Detect Magic</v>
      </c>
      <c r="S64" s="1400"/>
      <c r="T64" s="701" t="s">
        <v>7368</v>
      </c>
      <c r="U64" s="1398"/>
      <c r="V64" s="1396">
        <f>IF(U50&gt;=13,13,"")</f>
        <v>13</v>
      </c>
      <c r="W64" s="1406">
        <f ca="1">IF(ROWS(W$52:W64)&lt;=$U$50,RAND(),"")</f>
        <v>0.29006518138411719</v>
      </c>
      <c r="X64" s="382">
        <f ca="1">IF(V64=ROWS(X$52:X64),RANK(W64,$W$52:$W$69),"")</f>
        <v>10</v>
      </c>
      <c r="Y64" s="368" t="str">
        <f>IF(ROWS(Y$52:Y64)&gt;$U$50,"",INDEX($T$50:$T$69,_xlfn.AGGREGATE(15,6,(ROW($T$50:$T$69)-ROW($T$50)+1)/ISNA(MATCH($T$50:$T$69,$S$50:$S$69,0)),ROWS(Y$52:Y64))))</f>
        <v>Protection From Poison</v>
      </c>
      <c r="Z64" s="1363" t="str">
        <f t="shared" ca="1" si="28"/>
        <v>Blindness/Deafness</v>
      </c>
      <c r="AA64" s="1400"/>
      <c r="AB64" s="368" t="s">
        <v>7386</v>
      </c>
      <c r="AC64" s="1385"/>
      <c r="AD64" s="901">
        <f>IF(ROWS(AD$52:AD64)&lt;=$AC$50,ROWS(AD$52:AD64),"")</f>
        <v>13</v>
      </c>
      <c r="AE64" s="1377">
        <f ca="1">IF(ROWS(AE$52:AE64)&lt;=$AC$50,RAND(),"")</f>
        <v>5.8319529021607752E-2</v>
      </c>
      <c r="AF64" s="901">
        <f ca="1">IF(ROWS(AE$52:AE64)&lt;=$AC$50,RANK(AE64,$AE$52:$AE$71),"")</f>
        <v>16</v>
      </c>
      <c r="AG64" s="368" t="str">
        <f>IF(ROWS(AG$52:AG64)&gt;AC$50,"",INDEX($AB$50:$AB$69,_xlfn.AGGREGATE(15,6,(ROW($AB$50:$AB$69)-ROW($AA$50)+1)/ISNA(MATCH($AB$50:$AB$69,$AA$50:$AA$69,0)),ROWS(AG$52:AG64))))</f>
        <v>Protection From Energy</v>
      </c>
      <c r="AH64" s="1363" t="str">
        <f t="shared" ca="1" si="29"/>
        <v>Animate Dead</v>
      </c>
      <c r="AI64" s="1400"/>
      <c r="AJ64" s="368"/>
      <c r="AK64" s="1402"/>
      <c r="AL64" s="1403" t="str">
        <f>IF(ROWS(AL$52:AL64)&lt;=$AK$50,ROWS(AL$52:AL64),"")</f>
        <v/>
      </c>
      <c r="AM64" s="1404" t="str">
        <f ca="1">IF(ROWS(AM$52:AM64)&lt;=$AK$50,RAND(),"")</f>
        <v/>
      </c>
      <c r="AN64" s="1403" t="str">
        <f>IF(ROWS(AM$52:AM64)&lt;=$AK$50,RANK(AM64,$AM$52:$AM$71),"")</f>
        <v/>
      </c>
      <c r="AO64" s="530" t="str">
        <f>IF(ROWS(AO$52:AO64)&gt;AK50,"",INDEX(AJ50:AJ57,_xlfn.AGGREGATE(15,6,(ROW(AJ50:AJ57)-ROW(AI50)+1)/ISNA(MATCH(AJ50:AJ57,AI50:AI69,0)),ROWS(AO$52:AO64))))</f>
        <v/>
      </c>
      <c r="AP64" s="1363" t="str">
        <f t="shared" ca="1" si="30"/>
        <v/>
      </c>
      <c r="AQ64" s="1400"/>
      <c r="AR64" s="368"/>
      <c r="AS64" s="1398"/>
      <c r="AT64" s="901" t="str">
        <f>IF(ROWS(AT$52:AT64)&lt;=$AS$50,ROWS(AT$52:AT64),"")</f>
        <v/>
      </c>
      <c r="AU64" s="1377" t="str">
        <f ca="1">IF(ROWS(AU$52:AU64)&lt;=$AS$50,RAND(),"")</f>
        <v/>
      </c>
      <c r="AV64" s="1403" t="str">
        <f>IF(ROWS(AU$52:AU64)&lt;=$AS$50,RANK(AU64,$AU$52:$AU$71),"")</f>
        <v/>
      </c>
      <c r="AW64" s="368" t="str">
        <f>IF(ROWS(AW$52:AW64)&gt;$AS$50,"",INDEX($AR$50:$AR$62,_xlfn.AGGREGATE(15,6,(ROW($AR$50:$AR$62)-ROW($AQ$50)+1)/ISNA(MATCH($AR$50:$AR$62,$AQ$50:$AQ$69,0)),ROWS(AW$52:AW64))))</f>
        <v/>
      </c>
      <c r="AX64" s="1363" t="str">
        <f t="shared" ca="1" si="31"/>
        <v/>
      </c>
      <c r="AY64" s="1394"/>
      <c r="AZ64" s="382" t="str">
        <f ca="1">IF(AY64=15,RAND(),"")</f>
        <v/>
      </c>
      <c r="BA64" s="901" t="str">
        <f>IF(AY64=15,RANK(AZ64,AZ50:AZ69),"")</f>
        <v/>
      </c>
      <c r="BB64" s="368"/>
      <c r="BC64" s="1395" t="str">
        <f t="shared" si="23"/>
        <v xml:space="preserve"> </v>
      </c>
      <c r="BD64" s="1394"/>
      <c r="BE64" s="1377" t="str">
        <f ca="1">IF(BD64=15,RAND(),"")</f>
        <v/>
      </c>
      <c r="BF64" s="901" t="str">
        <f>IF(BD64=15,RANK(BE64,BE50:BE69),"")</f>
        <v/>
      </c>
      <c r="BG64" s="368"/>
      <c r="BH64" s="1363"/>
      <c r="BI64" s="1396"/>
      <c r="BJ64" s="1377" t="str">
        <f ca="1">IF(BI64=15,RAND(),"")</f>
        <v/>
      </c>
      <c r="BK64" s="901" t="str">
        <f>IF(BI64=15,RANK(BJ64,BJ50:BJ69),"")</f>
        <v/>
      </c>
      <c r="BL64" s="368"/>
      <c r="BM64" s="1363" t="str">
        <f t="shared" si="25"/>
        <v xml:space="preserve"> </v>
      </c>
      <c r="BN64" s="1394"/>
      <c r="BO64" s="1380" t="str">
        <f ca="1">IF(BN64=15,RAND(),"")</f>
        <v/>
      </c>
      <c r="BP64" s="901" t="str">
        <f>IF(BN64=15,RANK(BO64,BO50:BO69),"")</f>
        <v/>
      </c>
      <c r="BQ64" s="368"/>
      <c r="BR64" s="1363"/>
      <c r="BS64" s="271" t="s">
        <v>1287</v>
      </c>
      <c r="BT64" s="1409"/>
      <c r="BU64" s="498"/>
      <c r="BV64" s="591"/>
      <c r="BW64" s="1410"/>
      <c r="CC64" s="271"/>
      <c r="CD64" s="273"/>
      <c r="CE64" s="273"/>
    </row>
    <row r="65" spans="2:83" ht="12" customHeight="1">
      <c r="B65" s="1336">
        <v>16</v>
      </c>
      <c r="C65" s="382"/>
      <c r="D65" s="382"/>
      <c r="E65" s="1398"/>
      <c r="F65" s="382" t="str">
        <f>IF(ROWS(F$50:F65)&lt;=$E$50,ROWS(F$50:F65),"")</f>
        <v/>
      </c>
      <c r="G65" s="1377" t="str">
        <f ca="1">IF(ROWS(G$50:G65)&lt;=$E$50,RAND(),"")</f>
        <v/>
      </c>
      <c r="H65" s="382" t="str">
        <f>IF(F65=ROWS(H$50:H65),RANK(G65,$G$50:$G$71),"")</f>
        <v/>
      </c>
      <c r="I65" s="368" t="str">
        <f>IF(ROWS(I$50:I65)&gt;E$50,"",INDEX($D$50:$D$69,_xlfn.AGGREGATE(15,6,(ROW($D$50:$D$69)-ROW($L$50)+1)/ISNA(MATCH($D$50:$D$69,$C$50:$C$69,0)),ROWS(I$50:I65))))</f>
        <v/>
      </c>
      <c r="J65" s="1363" t="str">
        <f t="shared" ca="1" si="26"/>
        <v/>
      </c>
      <c r="K65" s="1394"/>
      <c r="L65" s="368"/>
      <c r="M65" s="1412"/>
      <c r="N65" s="382">
        <f>IF($M$50&gt;=14,14,"")</f>
        <v>14</v>
      </c>
      <c r="O65" s="1377">
        <f ca="1">IF(ROWS(O$52:O65)&lt;=$M$50,RAND(),"")</f>
        <v>0.12081605619030467</v>
      </c>
      <c r="P65" s="382">
        <f ca="1">IF(N65=ROWS(P$52:P65),RANK(O65,$O$52:$O$69),"")</f>
        <v>12</v>
      </c>
      <c r="Q65" s="368" t="str">
        <f>IF(ROWS(Q$52:Q65)&gt;M$50,"",INDEX($L$50:$L$69,_xlfn.AGGREGATE(15,6,(ROW($L$50:$L$69)-ROW($L$50)+1)/ISNA(MATCH($L$50:$L$69,$K$50:$K$69,0)),ROWS(Q$52:Q65))))</f>
        <v>Sanctuary</v>
      </c>
      <c r="R65" s="1388" t="str">
        <f t="shared" ca="1" si="27"/>
        <v>Healing Word</v>
      </c>
      <c r="S65" s="1413"/>
      <c r="T65" s="701" t="s">
        <v>7421</v>
      </c>
      <c r="U65" s="1398"/>
      <c r="V65" s="1396">
        <f>IF(U50&gt;=14,14,"")</f>
        <v>14</v>
      </c>
      <c r="W65" s="1406">
        <f ca="1">IF(ROWS(W$52:W65)&lt;=$U$50,RAND(),"")</f>
        <v>0.37005848503269023</v>
      </c>
      <c r="X65" s="382">
        <f ca="1">IF(V65=ROWS(X$52:X65),RANK(W65,$W$52:$W$69),"")</f>
        <v>9</v>
      </c>
      <c r="Y65" s="368" t="str">
        <f>IF(ROWS(Y$52:Y65)&gt;$U$50,"",INDEX($T$50:$T$69,_xlfn.AGGREGATE(15,6,(ROW($T$50:$T$69)-ROW($T$50)+1)/ISNA(MATCH($T$50:$T$69,$S$50:$S$69,0)),ROWS(Y$52:Y65))))</f>
        <v>Silence</v>
      </c>
      <c r="Z65" s="1363" t="str">
        <f t="shared" ca="1" si="28"/>
        <v>Find Traps</v>
      </c>
      <c r="AA65" s="1413"/>
      <c r="AB65" s="368" t="s">
        <v>7270</v>
      </c>
      <c r="AC65" s="1412"/>
      <c r="AD65" s="901">
        <f>IF(ROWS(AD$52:AD65)&lt;=$AC$50,ROWS(AD$52:AD65),"")</f>
        <v>14</v>
      </c>
      <c r="AE65" s="1377">
        <f ca="1">IF(ROWS(AE$52:AE65)&lt;=$AC$50,RAND(),"")</f>
        <v>0.68904202342808996</v>
      </c>
      <c r="AF65" s="901">
        <f ca="1">IF(ROWS(AE$52:AE65)&lt;=$AC$50,RANK(AE65,$AE$52:$AE$71),"")</f>
        <v>8</v>
      </c>
      <c r="AG65" s="368" t="str">
        <f>IF(ROWS(AG$52:AG65)&gt;AC$50,"",INDEX($AB$50:$AB$69,_xlfn.AGGREGATE(15,6,(ROW($AB$50:$AB$69)-ROW($AA$50)+1)/ISNA(MATCH($AB$50:$AB$69,$AA$50:$AA$69,0)),ROWS(AG$52:AG65))))</f>
        <v>Remove Curse</v>
      </c>
      <c r="AH65" s="1363" t="str">
        <f t="shared" ca="1" si="29"/>
        <v>Beacon of Hope</v>
      </c>
      <c r="AI65" s="1413"/>
      <c r="AJ65" s="368"/>
      <c r="AK65" s="1402"/>
      <c r="AL65" s="1403" t="str">
        <f>IF(ROWS(AL$52:AL65)&lt;=$AK$50,ROWS(AL$52:AL65),"")</f>
        <v/>
      </c>
      <c r="AM65" s="1404" t="str">
        <f ca="1">IF(ROWS(AM$52:AM65)&lt;=$AK$50,RAND(),"")</f>
        <v/>
      </c>
      <c r="AN65" s="1403" t="str">
        <f>IF(ROWS(AM$52:AM65)&lt;=$AK$50,RANK(AM65,$AM$52:$AM$71),"")</f>
        <v/>
      </c>
      <c r="AO65" s="530" t="str">
        <f>IF(ROWS(AO$52:AO65)&gt;AK50,"",INDEX(AJ50:AJ57,_xlfn.AGGREGATE(15,6,(ROW(AJ50:AJ57)-ROW(AI50)+1)/ISNA(MATCH(AJ50:AJ57,AI50:AI69,0)),ROWS(AO$52:AO65))))</f>
        <v/>
      </c>
      <c r="AP65" s="1363" t="str">
        <f t="shared" ca="1" si="30"/>
        <v/>
      </c>
      <c r="AQ65" s="1413"/>
      <c r="AR65" s="368"/>
      <c r="AS65" s="1398"/>
      <c r="AT65" s="901" t="str">
        <f>IF(ROWS(AT$52:AT65)&lt;=$AS$50,ROWS(AT$52:AT65),"")</f>
        <v/>
      </c>
      <c r="AU65" s="1377" t="str">
        <f ca="1">IF(ROWS(AU$52:AU65)&lt;=$AS$50,RAND(),"")</f>
        <v/>
      </c>
      <c r="AV65" s="1403" t="str">
        <f>IF(ROWS(AU$52:AU65)&lt;=$AS$50,RANK(AU65,$AU$52:$AU$71),"")</f>
        <v/>
      </c>
      <c r="AW65" s="368" t="str">
        <f>IF(ROWS(AW$52:AW65)&gt;$AS$50,"",INDEX($AR$50:$AR$62,_xlfn.AGGREGATE(15,6,(ROW($AR$50:$AR$62)-ROW($AQ$50)+1)/ISNA(MATCH($AR$50:$AR$62,$AQ$50:$AQ$69,0)),ROWS(AW$52:AW65))))</f>
        <v/>
      </c>
      <c r="AX65" s="1363" t="str">
        <f t="shared" ca="1" si="31"/>
        <v/>
      </c>
      <c r="AY65" s="1394"/>
      <c r="AZ65" s="382" t="str">
        <f ca="1">IF(AY65=16,RAND(),"")</f>
        <v/>
      </c>
      <c r="BA65" s="901" t="str">
        <f>IF(AY65=16,RANK(AZ65,AZ50:AZ69),"")</f>
        <v/>
      </c>
      <c r="BB65" s="368"/>
      <c r="BC65" s="1395" t="str">
        <f t="shared" si="23"/>
        <v xml:space="preserve"> </v>
      </c>
      <c r="BD65" s="1394"/>
      <c r="BE65" s="1377" t="str">
        <f ca="1">IF(BD65=16,RAND(),"")</f>
        <v/>
      </c>
      <c r="BF65" s="901" t="str">
        <f>IF(BD65=16,RANK(BE65,BE50:BE69),"")</f>
        <v/>
      </c>
      <c r="BG65" s="368"/>
      <c r="BH65" s="1363"/>
      <c r="BI65" s="1396"/>
      <c r="BJ65" s="1377" t="str">
        <f ca="1">IF(BI65=16,RAND(),"")</f>
        <v/>
      </c>
      <c r="BK65" s="901" t="str">
        <f>IF(BI65=16,RANK(BJ65,BJ50:BJ69),"")</f>
        <v/>
      </c>
      <c r="BL65" s="368"/>
      <c r="BM65" s="1363" t="str">
        <f t="shared" si="25"/>
        <v xml:space="preserve"> </v>
      </c>
      <c r="BN65" s="1394"/>
      <c r="BO65" s="1380" t="str">
        <f ca="1">IF(BN65=16,RAND(),"")</f>
        <v/>
      </c>
      <c r="BP65" s="901" t="str">
        <f>IF(BN65=16,RANK(BO65,BO50:BO69),"")</f>
        <v/>
      </c>
      <c r="BQ65" s="368"/>
      <c r="BR65" s="1363"/>
      <c r="BS65" s="271" t="s">
        <v>1287</v>
      </c>
      <c r="BT65" s="1409"/>
      <c r="BU65" s="498"/>
      <c r="BV65" s="591"/>
      <c r="BW65" s="1410"/>
      <c r="CC65" s="271"/>
      <c r="CD65" s="273"/>
      <c r="CE65" s="273"/>
    </row>
    <row r="66" spans="2:83" ht="12" customHeight="1">
      <c r="B66" s="1336">
        <v>17</v>
      </c>
      <c r="C66" s="382"/>
      <c r="D66" s="382"/>
      <c r="E66" s="1398"/>
      <c r="F66" s="382" t="str">
        <f>IF(ROWS(F$50:F66)&lt;=$E$50,ROWS(F$50:F66),"")</f>
        <v/>
      </c>
      <c r="G66" s="1377" t="str">
        <f ca="1">IF(ROWS(G$50:G66)&lt;=$E$50,RAND(),"")</f>
        <v/>
      </c>
      <c r="H66" s="382" t="str">
        <f>IF(F66=ROWS(H$50:H66),RANK(G66,$G$50:$G$71),"")</f>
        <v/>
      </c>
      <c r="I66" s="368" t="str">
        <f>IF(ROWS(I$50:I66)&gt;E$50,"",INDEX($D$50:$D$69,_xlfn.AGGREGATE(15,6,(ROW($D$50:$D$69)-ROW($L$50)+1)/ISNA(MATCH($D$50:$D$69,$C$50:$C$69,0)),ROWS(I$50:I66))))</f>
        <v/>
      </c>
      <c r="J66" s="1363" t="str">
        <f t="shared" ca="1" si="26"/>
        <v/>
      </c>
      <c r="K66" s="1394"/>
      <c r="L66" s="368"/>
      <c r="M66" s="1412"/>
      <c r="N66" s="382" t="str">
        <f>IF($M$50&gt;=15,15,"")</f>
        <v/>
      </c>
      <c r="O66" s="1377" t="str">
        <f ca="1">IF(ROWS(O$52:O66)&lt;=$M$50,RAND(),"")</f>
        <v/>
      </c>
      <c r="P66" s="382" t="str">
        <f>IF(N66=ROWS(P$52:P66),RANK(O66,$O$52:$O$69),"")</f>
        <v/>
      </c>
      <c r="Q66" s="368" t="str">
        <f>IF(ROWS(Q$52:Q66)&gt;M$50,"",INDEX($L$50:$L$69,_xlfn.AGGREGATE(15,6,(ROW($L$50:$L$69)-ROW($L$50)+1)/ISNA(MATCH($L$50:$L$69,$K$50:$K$69,0)),ROWS(Q$52:Q66))))</f>
        <v/>
      </c>
      <c r="R66" s="1388" t="str">
        <f t="shared" ca="1" si="27"/>
        <v/>
      </c>
      <c r="S66" s="1413"/>
      <c r="T66" s="701" t="s">
        <v>7302</v>
      </c>
      <c r="U66" s="1398"/>
      <c r="V66" s="1396">
        <f>IF(U50&gt;=15,15,"")</f>
        <v>15</v>
      </c>
      <c r="W66" s="1406">
        <f ca="1">IF(ROWS(W$52:W66)&lt;=$U$50,RAND(),"")</f>
        <v>0.89657873825325485</v>
      </c>
      <c r="X66" s="382">
        <f ca="1">IF(V66=ROWS(X$52:X66),RANK(W66,$W$52:$W$69),"")</f>
        <v>1</v>
      </c>
      <c r="Y66" s="368" t="str">
        <f>IF(ROWS(Y$52:Y66)&gt;$U$50,"",INDEX($T$50:$T$69,_xlfn.AGGREGATE(15,6,(ROW($T$50:$T$69)-ROW($T$50)+1)/ISNA(MATCH($T$50:$T$69,$S$50:$S$69,0)),ROWS(Y$52:Y66))))</f>
        <v>Warding Bond</v>
      </c>
      <c r="Z66" s="1363" t="str">
        <f t="shared" ca="1" si="28"/>
        <v>Locate Object</v>
      </c>
      <c r="AA66" s="1413"/>
      <c r="AB66" s="368" t="s">
        <v>7274</v>
      </c>
      <c r="AC66" s="1412"/>
      <c r="AD66" s="901">
        <f>IF(ROWS(AD$52:AD66)&lt;=$AC$50,ROWS(AD$52:AD66),"")</f>
        <v>15</v>
      </c>
      <c r="AE66" s="1377">
        <f ca="1">IF(ROWS(AE$52:AE66)&lt;=$AC$50,RAND(),"")</f>
        <v>0.8851877018718608</v>
      </c>
      <c r="AF66" s="901">
        <f ca="1">IF(ROWS(AE$52:AE66)&lt;=$AC$50,RANK(AE66,$AE$52:$AE$71),"")</f>
        <v>3</v>
      </c>
      <c r="AG66" s="368" t="str">
        <f>IF(ROWS(AG$52:AG66)&gt;AC$50,"",INDEX($AB$50:$AB$69,_xlfn.AGGREGATE(15,6,(ROW($AB$50:$AB$69)-ROW($AA$50)+1)/ISNA(MATCH($AB$50:$AB$69,$AA$50:$AA$69,0)),ROWS(AG$52:AG66))))</f>
        <v>Revivify</v>
      </c>
      <c r="AH66" s="1363" t="str">
        <f t="shared" ca="1" si="29"/>
        <v>Glyph of Warding</v>
      </c>
      <c r="AI66" s="1413"/>
      <c r="AJ66" s="368"/>
      <c r="AK66" s="1402"/>
      <c r="AL66" s="1403" t="str">
        <f>IF(ROWS(AL$52:AL66)&lt;=$AK$50,ROWS(AL$52:AL66),"")</f>
        <v/>
      </c>
      <c r="AM66" s="1404" t="str">
        <f ca="1">IF(ROWS(AM$52:AM66)&lt;=$AK$50,RAND(),"")</f>
        <v/>
      </c>
      <c r="AN66" s="1403" t="str">
        <f>IF(ROWS(AM$52:AM66)&lt;=$AK$50,RANK(AM66,$AM$52:$AM$71),"")</f>
        <v/>
      </c>
      <c r="AO66" s="530" t="str">
        <f>IF(ROWS(AO$52:AO66)&gt;AK50,"",INDEX(AJ50:AJ57,_xlfn.AGGREGATE(15,6,(ROW(AJ50:AJ57)-ROW(AI50)+1)/ISNA(MATCH(AJ50:AJ57,AI50:AI69,0)),ROWS(AO$52:AO66))))</f>
        <v/>
      </c>
      <c r="AP66" s="1363" t="str">
        <f t="shared" ca="1" si="30"/>
        <v/>
      </c>
      <c r="AQ66" s="1413"/>
      <c r="AR66" s="368"/>
      <c r="AS66" s="1398"/>
      <c r="AT66" s="901" t="str">
        <f>IF(ROWS(AT$52:AT66)&lt;=$AS$50,ROWS(AT$52:AT66),"")</f>
        <v/>
      </c>
      <c r="AU66" s="1377" t="str">
        <f ca="1">IF(ROWS(AU$52:AU66)&lt;=$AS$50,RAND(),"")</f>
        <v/>
      </c>
      <c r="AV66" s="1403" t="str">
        <f>IF(ROWS(AU$52:AU66)&lt;=$AS$50,RANK(AU66,$AU$52:$AU$71),"")</f>
        <v/>
      </c>
      <c r="AW66" s="368" t="str">
        <f>IF(ROWS(AW$52:AW66)&gt;$AS$50,"",INDEX($AR$50:$AR$62,_xlfn.AGGREGATE(15,6,(ROW($AR$50:$AR$62)-ROW($AQ$50)+1)/ISNA(MATCH($AR$50:$AR$62,$AQ$50:$AQ$69,0)),ROWS(AW$52:AW66))))</f>
        <v/>
      </c>
      <c r="AX66" s="1363" t="str">
        <f t="shared" ca="1" si="31"/>
        <v/>
      </c>
      <c r="AY66" s="1394"/>
      <c r="AZ66" s="382" t="str">
        <f ca="1">IF(AY66=17,RAND(),"")</f>
        <v/>
      </c>
      <c r="BA66" s="901" t="str">
        <f>IF(AY66=17,RANK(AZ66,AZ50:AZ69),"")</f>
        <v/>
      </c>
      <c r="BB66" s="368"/>
      <c r="BC66" s="1395" t="str">
        <f t="shared" si="23"/>
        <v xml:space="preserve"> </v>
      </c>
      <c r="BD66" s="1394"/>
      <c r="BE66" s="1377" t="str">
        <f ca="1">IF(BD66=17,RAND(),"")</f>
        <v/>
      </c>
      <c r="BF66" s="901" t="str">
        <f>IF(BD66=17,RANK(BE66,BE50:BE69),"")</f>
        <v/>
      </c>
      <c r="BG66" s="368"/>
      <c r="BH66" s="1363"/>
      <c r="BI66" s="1396"/>
      <c r="BJ66" s="1377" t="str">
        <f ca="1">IF(BI66=17,RAND(),"")</f>
        <v/>
      </c>
      <c r="BK66" s="901" t="str">
        <f>IF(BI66=17,RANK(BJ66,BJ50:BJ69),"")</f>
        <v/>
      </c>
      <c r="BL66" s="368"/>
      <c r="BM66" s="1363" t="str">
        <f t="shared" si="25"/>
        <v xml:space="preserve"> </v>
      </c>
      <c r="BN66" s="1394"/>
      <c r="BO66" s="1380" t="str">
        <f ca="1">IF(BN66=17,RAND(),"")</f>
        <v/>
      </c>
      <c r="BP66" s="901" t="str">
        <f>IF(BN66=17,RANK(BO66,BO50:BO69),"")</f>
        <v/>
      </c>
      <c r="BQ66" s="368"/>
      <c r="BR66" s="1363"/>
      <c r="BS66" s="271" t="s">
        <v>1287</v>
      </c>
      <c r="BT66" s="1409"/>
      <c r="BU66" s="498"/>
      <c r="BV66" s="591"/>
      <c r="BW66" s="1410"/>
      <c r="CC66" s="271"/>
      <c r="CD66" s="273"/>
      <c r="CE66" s="273"/>
    </row>
    <row r="67" spans="2:83" ht="12" customHeight="1">
      <c r="B67" s="1336">
        <v>18</v>
      </c>
      <c r="C67" s="382"/>
      <c r="D67" s="382"/>
      <c r="E67" s="1398"/>
      <c r="F67" s="382" t="str">
        <f>IF(ROWS(F$50:F67)&lt;=$E$50,ROWS(F$50:F67),"")</f>
        <v/>
      </c>
      <c r="G67" s="1377" t="str">
        <f ca="1">IF(ROWS(G$50:G67)&lt;=$E$50,RAND(),"")</f>
        <v/>
      </c>
      <c r="H67" s="382" t="str">
        <f>IF(F67=ROWS(H$50:H67),RANK(G67,$G$50:$G$71),"")</f>
        <v/>
      </c>
      <c r="I67" s="368" t="str">
        <f>IF(ROWS(I$50:I67)&gt;E$50,"",INDEX($D$50:$D$69,_xlfn.AGGREGATE(15,6,(ROW($D$50:$D$69)-ROW($L$50)+1)/ISNA(MATCH($D$50:$D$69,$C$50:$C$69,0)),ROWS(I$50:I67))))</f>
        <v/>
      </c>
      <c r="J67" s="1363" t="str">
        <f t="shared" ca="1" si="26"/>
        <v/>
      </c>
      <c r="K67" s="1394"/>
      <c r="L67" s="368"/>
      <c r="M67" s="1412"/>
      <c r="N67" s="382" t="str">
        <f>IF($M$50&gt;=16,16,"")</f>
        <v/>
      </c>
      <c r="O67" s="1377" t="str">
        <f ca="1">IF(ROWS(O$52:O67)&lt;=$M$50,RAND(),"")</f>
        <v/>
      </c>
      <c r="P67" s="382" t="str">
        <f>IF(N67=ROWS(P$52:P67),RANK(O67,$O$52:$O$69),"")</f>
        <v/>
      </c>
      <c r="Q67" s="368" t="str">
        <f>IF(ROWS(Q$52:Q67)&gt;M$50,"",INDEX($L$50:$L$69,_xlfn.AGGREGATE(15,6,(ROW($L$50:$L$69)-ROW($L$50)+1)/ISNA(MATCH($L$50:$L$69,$K$50:$K$69,0)),ROWS(Q$52:Q67))))</f>
        <v/>
      </c>
      <c r="R67" s="1388" t="str">
        <f t="shared" ca="1" si="27"/>
        <v/>
      </c>
      <c r="S67" s="1413"/>
      <c r="T67" s="701"/>
      <c r="U67" s="1398"/>
      <c r="V67" s="1396">
        <f>IF(U50&gt;=16,16,"")</f>
        <v>16</v>
      </c>
      <c r="W67" s="1406">
        <f ca="1">IF(ROWS(W$52:W67)&lt;=$U$50,RAND(),"")</f>
        <v>0.24234096473968048</v>
      </c>
      <c r="X67" s="382">
        <f ca="1">IF(V67=ROWS(X$52:X67),RANK(W67,$W$52:$W$69),"")</f>
        <v>11</v>
      </c>
      <c r="Y67" s="368" t="str">
        <f>IF(ROWS(Y$52:Y67)&gt;$U$50,"",INDEX($T$50:$T$69,_xlfn.AGGREGATE(15,6,(ROW($T$50:$T$69)-ROW($T$50)+1)/ISNA(MATCH($T$50:$T$69,$S$50:$S$69,0)),ROWS(Y$52:Y67))))</f>
        <v>Zone of Truth</v>
      </c>
      <c r="Z67" s="1363" t="str">
        <f t="shared" ca="1" si="28"/>
        <v>Calm Emotions</v>
      </c>
      <c r="AA67" s="1413"/>
      <c r="AB67" s="368" t="s">
        <v>7390</v>
      </c>
      <c r="AC67" s="1412"/>
      <c r="AD67" s="901">
        <f>IF(ROWS(AD$52:AD67)&lt;=$AC$50,ROWS(AD$52:AD67),"")</f>
        <v>16</v>
      </c>
      <c r="AE67" s="1377">
        <f ca="1">IF(ROWS(AE$52:AE67)&lt;=$AC$50,RAND(),"")</f>
        <v>0.78676331548756717</v>
      </c>
      <c r="AF67" s="901">
        <f ca="1">IF(ROWS(AE$52:AE67)&lt;=$AC$50,RANK(AE67,$AE$52:$AE$71),"")</f>
        <v>6</v>
      </c>
      <c r="AG67" s="368" t="str">
        <f>IF(ROWS(AG$52:AG67)&gt;AC$50,"",INDEX($AB$50:$AB$69,_xlfn.AGGREGATE(15,6,(ROW($AB$50:$AB$69)-ROW($AA$50)+1)/ISNA(MATCH($AB$50:$AB$69,$AA$50:$AA$69,0)),ROWS(AG$52:AG67))))</f>
        <v>Sending</v>
      </c>
      <c r="AH67" s="1363" t="str">
        <f t="shared" ca="1" si="29"/>
        <v>Protection From Energy</v>
      </c>
      <c r="AI67" s="1413"/>
      <c r="AJ67" s="368"/>
      <c r="AK67" s="1402"/>
      <c r="AL67" s="1403" t="str">
        <f>IF(ROWS(AL$52:AL67)&lt;=$AK$50,ROWS(AL$52:AL67),"")</f>
        <v/>
      </c>
      <c r="AM67" s="1404" t="str">
        <f ca="1">IF(ROWS(AM$52:AM67)&lt;=$AK$50,RAND(),"")</f>
        <v/>
      </c>
      <c r="AN67" s="1403" t="str">
        <f>IF(ROWS(AM$52:AM67)&lt;=$AK$50,RANK(AM67,$AM$52:$AM$71),"")</f>
        <v/>
      </c>
      <c r="AO67" s="530" t="str">
        <f>IF(ROWS(AO$52:AO67)&gt;AK50,"",INDEX(AJ50:AJ57,_xlfn.AGGREGATE(15,6,(ROW(AJ50:AJ57)-ROW(AI50)+1)/ISNA(MATCH(AJ50:AJ57,AI50:AI69,0)),ROWS(AO$52:AO67))))</f>
        <v/>
      </c>
      <c r="AP67" s="1363" t="str">
        <f t="shared" ca="1" si="30"/>
        <v/>
      </c>
      <c r="AQ67" s="1413"/>
      <c r="AR67" s="368"/>
      <c r="AS67" s="1398"/>
      <c r="AT67" s="901" t="str">
        <f>IF(ROWS(AT$52:AT67)&lt;=$AS$50,ROWS(AT$52:AT67),"")</f>
        <v/>
      </c>
      <c r="AU67" s="1377" t="str">
        <f ca="1">IF(ROWS(AU$52:AU67)&lt;=$AS$50,RAND(),"")</f>
        <v/>
      </c>
      <c r="AV67" s="1403" t="str">
        <f>IF(ROWS(AU$52:AU67)&lt;=$AS$50,RANK(AU67,$AU$52:$AU$71),"")</f>
        <v/>
      </c>
      <c r="AW67" s="368" t="str">
        <f>IF(ROWS(AW$52:AW67)&gt;$AS$50,"",INDEX($AR$50:$AR$62,_xlfn.AGGREGATE(15,6,(ROW($AR$50:$AR$62)-ROW($AQ$50)+1)/ISNA(MATCH($AR$50:$AR$62,$AQ$50:$AQ$69,0)),ROWS(AW$52:AW67))))</f>
        <v/>
      </c>
      <c r="AX67" s="1363" t="str">
        <f t="shared" ca="1" si="31"/>
        <v/>
      </c>
      <c r="AY67" s="1394"/>
      <c r="AZ67" s="382" t="str">
        <f ca="1">IF(AY67=18,RAND(),"")</f>
        <v/>
      </c>
      <c r="BA67" s="901" t="str">
        <f>IF(AY67=18,RANK(AZ67,AZ50:AZ69),"")</f>
        <v/>
      </c>
      <c r="BB67" s="368"/>
      <c r="BC67" s="1395" t="str">
        <f t="shared" si="23"/>
        <v xml:space="preserve"> </v>
      </c>
      <c r="BD67" s="1394"/>
      <c r="BE67" s="1377" t="str">
        <f ca="1">IF(BD67=18,RAND(),"")</f>
        <v/>
      </c>
      <c r="BF67" s="901" t="str">
        <f>IF(BD67=18,RANK(BE67,BE50:BE69),"")</f>
        <v/>
      </c>
      <c r="BG67" s="368"/>
      <c r="BH67" s="1363"/>
      <c r="BI67" s="1396"/>
      <c r="BJ67" s="1377" t="str">
        <f ca="1">IF(BI67=18,RAND(),"")</f>
        <v/>
      </c>
      <c r="BK67" s="901" t="str">
        <f>IF(BI67=18,RANK(BJ67,BJ50:BJ69),"")</f>
        <v/>
      </c>
      <c r="BL67" s="368"/>
      <c r="BM67" s="1363" t="str">
        <f t="shared" si="25"/>
        <v xml:space="preserve"> </v>
      </c>
      <c r="BN67" s="1394"/>
      <c r="BO67" s="1380" t="str">
        <f ca="1">IF(BN67=18,RAND(),"")</f>
        <v/>
      </c>
      <c r="BP67" s="901" t="str">
        <f>IF(BN67=18,RANK(BO67,BO50:BO69),"")</f>
        <v/>
      </c>
      <c r="BQ67" s="368"/>
      <c r="BR67" s="1363"/>
      <c r="BS67" s="271" t="s">
        <v>1287</v>
      </c>
      <c r="BT67" s="1409"/>
      <c r="BU67" s="498"/>
      <c r="BV67" s="591"/>
      <c r="BW67" s="1410"/>
      <c r="CC67" s="271"/>
      <c r="CD67" s="273"/>
      <c r="CE67" s="273"/>
    </row>
    <row r="68" spans="2:83" ht="12" customHeight="1">
      <c r="B68" s="1414">
        <v>19</v>
      </c>
      <c r="C68" s="398"/>
      <c r="D68" s="398"/>
      <c r="E68" s="1398"/>
      <c r="F68" s="382" t="str">
        <f>IF(ROWS(F$50:F68)&lt;=$E$50,ROWS(F$50:F68),"")</f>
        <v/>
      </c>
      <c r="G68" s="1377" t="str">
        <f ca="1">IF(ROWS(G$50:G68)&lt;=$E$50,RAND(),"")</f>
        <v/>
      </c>
      <c r="H68" s="382" t="str">
        <f>IF(F68=ROWS(H$50:H68),RANK(G68,$G$50:$G$71),"")</f>
        <v/>
      </c>
      <c r="I68" s="402" t="str">
        <f>IF(ROWS(I$50:I68)&gt;E$50,"",INDEX($D$50:$D$69,_xlfn.AGGREGATE(15,6,(ROW($D$50:$D$69)-ROW($L$50)+1)/ISNA(MATCH($D$50:$D$69,$C$50:$C$69,0)),ROWS(I$50:I68))))</f>
        <v/>
      </c>
      <c r="J68" s="1390" t="str">
        <f t="shared" ca="1" si="26"/>
        <v/>
      </c>
      <c r="K68" s="1415"/>
      <c r="L68" s="402"/>
      <c r="M68" s="1398"/>
      <c r="N68" s="398" t="str">
        <f>IF($M$50&gt;=17,17,"")</f>
        <v/>
      </c>
      <c r="O68" s="1416" t="str">
        <f ca="1">IF(ROWS(O$52:O68)&lt;=$M$50,RAND(),"")</f>
        <v/>
      </c>
      <c r="P68" s="398" t="str">
        <f>IF(N68=ROWS(P$52:P68),RANK(O68,$O$52:$O$69),"")</f>
        <v/>
      </c>
      <c r="Q68" s="402" t="str">
        <f>IF(ROWS(Q$52:Q68)&gt;M$50,"",INDEX($L$50:$L$69,_xlfn.AGGREGATE(15,6,(ROW($L$50:$L$69)-ROW($L$50)+1)/ISNA(MATCH($L$50:$L$69,$K$50:$K$69,0)),ROWS(Q$52:Q68))))</f>
        <v/>
      </c>
      <c r="R68" s="1417" t="str">
        <f t="shared" ca="1" si="27"/>
        <v/>
      </c>
      <c r="S68" s="1418"/>
      <c r="T68" s="1346"/>
      <c r="U68" s="1398"/>
      <c r="V68" s="1419" t="str">
        <f>IF(U50&gt;=17,17,"")</f>
        <v/>
      </c>
      <c r="W68" s="1420" t="str">
        <f ca="1">IF(ROWS(W$52:W68)&lt;=$U$50,RAND(),"")</f>
        <v/>
      </c>
      <c r="X68" s="398" t="str">
        <f>IF(V68=ROWS(X$52:X68),RANK(W68,$W$52:$W$69),"")</f>
        <v/>
      </c>
      <c r="Y68" s="402" t="str">
        <f>IF(ROWS(Y$52:Y68)&gt;$U$50,"",INDEX($T$50:$T$69,_xlfn.AGGREGATE(15,6,(ROW($T$50:$T$69)-ROW($T$50)+1)/ISNA(MATCH($T$50:$T$69,$S$50:$S$69,0)),ROWS(Y$52:Y68))))</f>
        <v/>
      </c>
      <c r="Z68" s="1363" t="str">
        <f t="shared" ca="1" si="28"/>
        <v/>
      </c>
      <c r="AA68" s="1418"/>
      <c r="AB68" s="402" t="s">
        <v>7286</v>
      </c>
      <c r="AC68" s="1412"/>
      <c r="AD68" s="901">
        <f>IF(ROWS(AD$52:AD68)&lt;=$AC$50,ROWS(AD$52:AD68),"")</f>
        <v>17</v>
      </c>
      <c r="AE68" s="1377">
        <f ca="1">IF(ROWS(AE$52:AE68)&lt;=$AC$50,RAND(),"")</f>
        <v>0.49088086983603485</v>
      </c>
      <c r="AF68" s="901">
        <f ca="1">IF(ROWS(AE$52:AE68)&lt;=$AC$50,RANK(AE68,$AE$52:$AE$71),"")</f>
        <v>12</v>
      </c>
      <c r="AG68" s="368" t="str">
        <f>IF(ROWS(AG$52:AG68)&gt;AC$50,"",INDEX($AB$50:$AB$69,_xlfn.AGGREGATE(15,6,(ROW($AB$50:$AB$69)-ROW($AA$50)+1)/ISNA(MATCH($AB$50:$AB$69,$AA$50:$AA$69,0)),ROWS(AG$52:AG68))))</f>
        <v>Speak with Dead</v>
      </c>
      <c r="AH68" s="1363" t="str">
        <f t="shared" ca="1" si="29"/>
        <v>Water Walk</v>
      </c>
      <c r="AI68" s="1418"/>
      <c r="AJ68" s="402"/>
      <c r="AK68" s="1398"/>
      <c r="AL68" s="1403" t="str">
        <f>IF(ROWS(AL$52:AL68)&lt;=$AK$50,ROWS(AL$52:AL68),"")</f>
        <v/>
      </c>
      <c r="AM68" s="1404" t="str">
        <f ca="1">IF(ROWS(AM$52:AM68)&lt;=$AK$50,RAND(),"")</f>
        <v/>
      </c>
      <c r="AN68" s="1403" t="str">
        <f>IF(ROWS(AM$52:AM68)&lt;=$AK$50,RANK(AM68,$AM$52:$AM$71),"")</f>
        <v/>
      </c>
      <c r="AO68" s="1398" t="str">
        <f>IF(ROWS(AO$52:AO68)&gt;AK50,"",INDEX(AJ50:AJ57,_xlfn.AGGREGATE(15,6,(ROW(AJ50:AJ57)-ROW(AI50)+1)/ISNA(MATCH(AJ50:AJ57,AI50:AI69,0)),ROWS(AO$52:AO68))))</f>
        <v/>
      </c>
      <c r="AP68" s="1363" t="str">
        <f t="shared" ca="1" si="30"/>
        <v/>
      </c>
      <c r="AQ68" s="1418"/>
      <c r="AR68" s="402"/>
      <c r="AS68" s="1398"/>
      <c r="AT68" s="1421" t="str">
        <f>IF(ROWS(AT$52:AT68)&lt;=$AS$50,ROWS(AT$52:AT68),"")</f>
        <v/>
      </c>
      <c r="AU68" s="1416" t="str">
        <f ca="1">IF(ROWS(AU$52:AU68)&lt;=$AS$50,RAND(),"")</f>
        <v/>
      </c>
      <c r="AV68" s="1403" t="str">
        <f>IF(ROWS(AU$52:AU68)&lt;=$AS$50,RANK(AU68,$AU$52:$AU$71),"")</f>
        <v/>
      </c>
      <c r="AW68" s="402" t="str">
        <f>IF(ROWS(AW$52:AW68)&gt;$AS$50,"",INDEX($AR$50:$AR$62,_xlfn.AGGREGATE(15,6,(ROW($AR$50:$AR$62)-ROW($AQ$50)+1)/ISNA(MATCH($AR$50:$AR$62,$AQ$50:$AQ$69,0)),ROWS(AW$52:AW68))))</f>
        <v/>
      </c>
      <c r="AX68" s="1390" t="str">
        <f t="shared" ca="1" si="31"/>
        <v/>
      </c>
      <c r="AY68" s="1394"/>
      <c r="AZ68" s="382" t="str">
        <f ca="1">IF(AY68=19,RAND(),"")</f>
        <v/>
      </c>
      <c r="BA68" s="382" t="str">
        <f>IF(AY68=19,RANK(AZ68,AZ50:AZ69),"")</f>
        <v/>
      </c>
      <c r="BB68" s="368"/>
      <c r="BC68" s="1395" t="str">
        <f t="shared" si="23"/>
        <v xml:space="preserve"> </v>
      </c>
      <c r="BD68" s="1394"/>
      <c r="BE68" s="1377" t="str">
        <f ca="1">IF(BD68=19,RAND(),"")</f>
        <v/>
      </c>
      <c r="BF68" s="382" t="str">
        <f>IF(BD68=19,RANK(BE68,BE50:BE69),"")</f>
        <v/>
      </c>
      <c r="BG68" s="368"/>
      <c r="BH68" s="1363"/>
      <c r="BI68" s="1396"/>
      <c r="BJ68" s="1377" t="str">
        <f ca="1">IF(BI68=19,RAND(),"")</f>
        <v/>
      </c>
      <c r="BK68" s="382" t="str">
        <f>IF(BI68=19,RANK(BJ68,BJ50:BJ69),"")</f>
        <v/>
      </c>
      <c r="BL68" s="368"/>
      <c r="BM68" s="1363" t="str">
        <f t="shared" si="25"/>
        <v xml:space="preserve"> </v>
      </c>
      <c r="BN68" s="1394"/>
      <c r="BO68" s="1380" t="str">
        <f ca="1">IF(BN68=19,RAND(),"")</f>
        <v/>
      </c>
      <c r="BP68" s="382" t="str">
        <f>IF(BN68=19,RANK(BO68,BO50:BO69),"")</f>
        <v/>
      </c>
      <c r="BQ68" s="368"/>
      <c r="BR68" s="1363"/>
      <c r="BS68" s="271" t="s">
        <v>1287</v>
      </c>
      <c r="BT68" s="1409"/>
      <c r="BU68" s="498"/>
      <c r="BV68" s="591"/>
      <c r="BW68" s="1410"/>
      <c r="CC68" s="271"/>
      <c r="CD68" s="273"/>
      <c r="CE68" s="273"/>
    </row>
    <row r="69" spans="2:83" ht="12" customHeight="1">
      <c r="B69" s="1414">
        <v>20</v>
      </c>
      <c r="C69" s="398"/>
      <c r="D69" s="398"/>
      <c r="E69" s="1398"/>
      <c r="F69" s="382" t="str">
        <f>IF(ROWS(F$50:F69)&lt;=$E$50,ROWS(F$50:F69),"")</f>
        <v/>
      </c>
      <c r="G69" s="1377" t="str">
        <f ca="1">IF(ROWS(G$50:G69)&lt;=$E$50,RAND(),"")</f>
        <v/>
      </c>
      <c r="H69" s="382" t="str">
        <f>IF(F69=ROWS(H$50:H69),RANK(G69,$G$50:$G$71),"")</f>
        <v/>
      </c>
      <c r="I69" s="402" t="str">
        <f>IF(ROWS(I$50:I69)&gt;E$50,"",INDEX($D$50:$D$69,_xlfn.AGGREGATE(15,6,(ROW($D$50:$D$69)-ROW($L$50)+1)/ISNA(MATCH($D$50:$D$69,$C$50:$C$69,0)),ROWS(I$50:I69))))</f>
        <v/>
      </c>
      <c r="J69" s="1390" t="str">
        <f t="shared" ca="1" si="26"/>
        <v/>
      </c>
      <c r="K69" s="1415"/>
      <c r="L69" s="402"/>
      <c r="M69" s="1398"/>
      <c r="N69" s="398" t="str">
        <f>IF($M$50&gt;=18,18,"")</f>
        <v/>
      </c>
      <c r="O69" s="1416" t="str">
        <f ca="1">IF(ROWS(O$52:O69)&lt;=$M$50,RAND(),"")</f>
        <v/>
      </c>
      <c r="P69" s="398" t="str">
        <f>IF(N69=ROWS(P$52:P69),RANK(O69,$O$52:$O$69),"")</f>
        <v/>
      </c>
      <c r="Q69" s="402" t="str">
        <f>IF(ROWS(Q$52:Q69)&gt;M$50,"",INDEX($L$50:$L$69,_xlfn.AGGREGATE(15,6,(ROW($L$50:$L$69)-ROW($L$50)+1)/ISNA(MATCH($L$50:$L$69,$K$50:$K$69,0)),ROWS(Q$52:Q69))))</f>
        <v/>
      </c>
      <c r="R69" s="1417" t="str">
        <f ca="1">VLOOKUP(N69,$P$52:$Q$69,2,FALSE)</f>
        <v/>
      </c>
      <c r="S69" s="1418"/>
      <c r="T69" s="1346"/>
      <c r="U69" s="1398"/>
      <c r="V69" s="398" t="str">
        <f>IF(U50&gt;=18,18,"")</f>
        <v/>
      </c>
      <c r="W69" s="1420" t="str">
        <f ca="1">IF(ROWS(W$52:W69)&lt;=$U$50,RAND(),"")</f>
        <v/>
      </c>
      <c r="X69" s="398" t="str">
        <f>IF(V69=ROWS(X$52:X69),RANK(W69,$W$52:$W$69),"")</f>
        <v/>
      </c>
      <c r="Y69" s="402" t="str">
        <f>IF(ROWS(Y$52:Y69)&gt;$U$50,"",INDEX($T$50:$T$69,_xlfn.AGGREGATE(15,6,(ROW($T$50:$T$69)-ROW($T$50)+1)/ISNA(MATCH($T$50:$T$69,$S$50:$S$69,0)),ROWS(Y$52:Y69))))</f>
        <v/>
      </c>
      <c r="Z69" s="1390" t="str">
        <f t="shared" ca="1" si="28"/>
        <v/>
      </c>
      <c r="AA69" s="1413"/>
      <c r="AB69" s="368" t="s">
        <v>7422</v>
      </c>
      <c r="AC69" s="1402"/>
      <c r="AD69" s="901">
        <f>IF(ROWS(AD$52:AD69)&lt;=$AC$50,ROWS(AD$52:AD69),"")</f>
        <v>18</v>
      </c>
      <c r="AE69" s="1377">
        <f ca="1">IF(ROWS(AE$52:AE69)&lt;=$AC$50,RAND(),"")</f>
        <v>0.80945857206107807</v>
      </c>
      <c r="AF69" s="901">
        <f ca="1">IF(ROWS(AE$52:AE69)&lt;=$AC$50,RANK(AE69,$AE$52:$AE$71),"")</f>
        <v>4</v>
      </c>
      <c r="AG69" s="368" t="str">
        <f>IF(ROWS(AG$52:AG69)&gt;AC$50,"",INDEX($AB$50:$AB$69,_xlfn.AGGREGATE(15,6,(ROW($AB$50:$AB$69)-ROW($AA$50)+1)/ISNA(MATCH($AB$50:$AB$69,$AA$50:$AA$69,0)),ROWS(AG$52:AG69))))</f>
        <v>Tongues</v>
      </c>
      <c r="AH69" s="1363" t="str">
        <f t="shared" ca="1" si="29"/>
        <v>Bestow Curse</v>
      </c>
      <c r="AI69" s="1413"/>
      <c r="AJ69" s="368"/>
      <c r="AK69" s="1398"/>
      <c r="AL69" s="1403" t="str">
        <f>IF(ROWS(AL$52:AL69)&lt;=$AK$50,ROWS(AL$52:AL69),"")</f>
        <v/>
      </c>
      <c r="AM69" s="1404" t="str">
        <f ca="1">IF(ROWS(AM$52:AM69)&lt;=$AK$50,RAND(),"")</f>
        <v/>
      </c>
      <c r="AN69" s="1403" t="str">
        <f>IF(ROWS(AM$52:AM69)&lt;=$AK$50,RANK(AM69,$AM$52:$AM$71),"")</f>
        <v/>
      </c>
      <c r="AO69" s="368" t="str">
        <f>IF(ROWS(AO$52:AO69)&gt;AK50,"",INDEX(AJ50:AJ57,_xlfn.AGGREGATE(15,6,(ROW(AJ50:AJ57)-ROW(AI50)+1)/ISNA(MATCH(AJ50:AJ57,AI50:AI69,0)),ROWS(AO$52:AO69))))</f>
        <v/>
      </c>
      <c r="AP69" s="1363" t="str">
        <f t="shared" ca="1" si="30"/>
        <v/>
      </c>
      <c r="AQ69" s="1413"/>
      <c r="AR69" s="368"/>
      <c r="AS69" s="1398"/>
      <c r="AT69" s="901" t="str">
        <f>IF(ROWS(AT$52:AT69)&lt;=$AS$50,ROWS(AT$52:AT69),"")</f>
        <v/>
      </c>
      <c r="AU69" s="1377" t="str">
        <f ca="1">IF(ROWS(AU$52:AU69)&lt;=$AS$50,RAND(),"")</f>
        <v/>
      </c>
      <c r="AV69" s="1403" t="str">
        <f>IF(ROWS(AU$52:AU69)&lt;=$AS$50,RANK(AU69,$AU$52:$AU$71),"")</f>
        <v/>
      </c>
      <c r="AW69" s="368" t="str">
        <f>IF(ROWS(AW$52:AW69)&gt;$AS$50,"",INDEX($AR$50:$AR$62,_xlfn.AGGREGATE(15,6,(ROW($AR$50:$AR$62)-ROW($AQ$50)+1)/ISNA(MATCH($AR$50:$AR$62,$AQ$50:$AQ$69,0)),ROWS(AW$52:AW69))))</f>
        <v/>
      </c>
      <c r="AX69" s="1363" t="str">
        <f t="shared" ca="1" si="31"/>
        <v/>
      </c>
      <c r="AY69" s="1394"/>
      <c r="AZ69" s="382" t="str">
        <f ca="1">IF(AY69=20,RAND(),"")</f>
        <v/>
      </c>
      <c r="BA69" s="382" t="str">
        <f>IF(AY69=20,RANK(AZ69,AZ50:AZ69),"")</f>
        <v/>
      </c>
      <c r="BB69" s="368"/>
      <c r="BC69" s="1395" t="str">
        <f t="shared" si="23"/>
        <v xml:space="preserve"> </v>
      </c>
      <c r="BD69" s="1394"/>
      <c r="BE69" s="1377" t="str">
        <f ca="1">IF(BD69=20,RAND(),"")</f>
        <v/>
      </c>
      <c r="BF69" s="382" t="str">
        <f>IF(BD69=20,RANK(BE69,BE50:BE69),"")</f>
        <v/>
      </c>
      <c r="BG69" s="368"/>
      <c r="BH69" s="1363"/>
      <c r="BI69" s="1396"/>
      <c r="BJ69" s="1377" t="str">
        <f ca="1">IF(BI69=20,RAND(),"")</f>
        <v/>
      </c>
      <c r="BK69" s="382" t="str">
        <f>IF(BI69=20,RANK(BJ69,BJ50:BJ69),"")</f>
        <v/>
      </c>
      <c r="BL69" s="368"/>
      <c r="BM69" s="1363" t="str">
        <f t="shared" si="25"/>
        <v xml:space="preserve"> </v>
      </c>
      <c r="BN69" s="1394"/>
      <c r="BO69" s="1380" t="str">
        <f ca="1">IF(BN69=20,RAND(),"")</f>
        <v/>
      </c>
      <c r="BP69" s="382" t="str">
        <f>IF(BN69=20,RANK(BO69,BO50:BO69),"")</f>
        <v/>
      </c>
      <c r="BQ69" s="368"/>
      <c r="BR69" s="1363"/>
      <c r="BS69" s="271" t="s">
        <v>1287</v>
      </c>
      <c r="BT69" s="1410"/>
      <c r="BU69" s="498"/>
      <c r="BV69" s="591"/>
      <c r="BW69" s="1410"/>
      <c r="CC69" s="271"/>
      <c r="CD69" s="273"/>
      <c r="CE69" s="273"/>
    </row>
    <row r="70" spans="2:83" ht="12" customHeight="1">
      <c r="B70" s="1340">
        <v>21</v>
      </c>
      <c r="C70" s="382"/>
      <c r="D70" s="382"/>
      <c r="E70" s="1398"/>
      <c r="F70" s="382" t="str">
        <f>IF(ROWS(F$50:F70)&lt;=$E$50,ROWS(F$50:F70),"")</f>
        <v/>
      </c>
      <c r="G70" s="1377" t="str">
        <f ca="1">IF(ROWS(G$50:G70)&lt;=$E$50,RAND(),"")</f>
        <v/>
      </c>
      <c r="H70" s="382" t="str">
        <f>IF(F70=ROWS(H$50:H70),RANK(G70,$G$50:$G$71),"")</f>
        <v/>
      </c>
      <c r="I70" s="368" t="str">
        <f>IF(ROWS(I$50:I70)&gt;E$50,"",INDEX($D$50:$D$69,_xlfn.AGGREGATE(15,6,(ROW($D$50:$D$69)-ROW($L$50)+1)/ISNA(MATCH($D$50:$D$69,$C$50:$C$69,0)),ROWS(I$50:I70))))</f>
        <v/>
      </c>
      <c r="J70" s="1395" t="str">
        <f t="shared" ca="1" si="26"/>
        <v/>
      </c>
      <c r="K70" s="1394"/>
      <c r="L70" s="368"/>
      <c r="M70" s="1398"/>
      <c r="N70" s="382" t="str">
        <f>IF($M$50&gt;=18,18,"")</f>
        <v/>
      </c>
      <c r="O70" s="1377" t="str">
        <f ca="1">IF(ROWS(O$52:O70)&lt;=$M$50,RAND(),"")</f>
        <v/>
      </c>
      <c r="P70" s="382" t="str">
        <f>IF(N70=ROWS(P$52:P70),RANK(O70,$O$52:$O$69),"")</f>
        <v/>
      </c>
      <c r="Q70" s="368" t="str">
        <f>IF(ROWS(Q$52:Q70)&gt;M$50,"",INDEX($L$50:$L$69,_xlfn.AGGREGATE(15,6,(ROW($L$50:$L$69)-ROW($L$50)+1)/ISNA(MATCH($L$50:$L$69,$K$50:$K$69,0)),ROWS(Q$52:Q70))))</f>
        <v/>
      </c>
      <c r="R70" s="1395" t="str">
        <f ca="1">VLOOKUP(N70,$P$52:$Q$69,2,FALSE)</f>
        <v/>
      </c>
      <c r="S70" s="1413"/>
      <c r="T70" s="368"/>
      <c r="U70" s="1398"/>
      <c r="V70" s="382" t="str">
        <f>IF(U51&gt;=18,18,"")</f>
        <v/>
      </c>
      <c r="W70" s="1406" t="str">
        <f ca="1">IF(ROWS(W$52:W70)&lt;=$U$50,RAND(),"")</f>
        <v/>
      </c>
      <c r="X70" s="382" t="str">
        <f>IF(V70=ROWS(X$52:X70),RANK(W70,$W$52:$W$69),"")</f>
        <v/>
      </c>
      <c r="Y70" s="368" t="str">
        <f>IF(ROWS(Y$52:Y70)&gt;$U$50,"",INDEX($T$50:$T$69,_xlfn.AGGREGATE(15,6,(ROW($T$50:$T$69)-ROW($T$50)+1)/ISNA(MATCH($T$50:$T$69,$S$50:$S$69,0)),ROWS(Y$52:Y70))))</f>
        <v/>
      </c>
      <c r="Z70" s="1363" t="str">
        <f t="shared" ca="1" si="28"/>
        <v/>
      </c>
      <c r="AA70" s="1413"/>
      <c r="AB70" s="368"/>
      <c r="AC70" s="1398"/>
      <c r="AD70" s="901">
        <f>IF(ROWS(AD$52:AD70)&lt;=$AC$50,ROWS(AD$52:AD70),"")</f>
        <v>19</v>
      </c>
      <c r="AE70" s="1377">
        <f ca="1">IF(ROWS(AE$52:AE70)&lt;=$AC$50,RAND(),"")</f>
        <v>5.7428307233945097E-2</v>
      </c>
      <c r="AF70" s="901">
        <f ca="1">IF(ROWS(AE$52:AE70)&lt;=$AC$50,RANK(AE70,$AE$52:$AE$71),"")</f>
        <v>17</v>
      </c>
      <c r="AG70" s="368" t="str">
        <f>IF(ROWS(AG$52:AG70)&gt;AC$50,"",INDEX($AB$50:$AB$69,_xlfn.AGGREGATE(15,6,(ROW($AB$50:$AB$69)-ROW($AA$50)+1)/ISNA(MATCH($AB$50:$AB$69,$AA$50:$AA$69,0)),ROWS(AG$52:AG70))))</f>
        <v>Water Walk</v>
      </c>
      <c r="AH70" s="1363" t="str">
        <f t="shared" ca="1" si="29"/>
        <v>Clairvoyance</v>
      </c>
      <c r="AI70" s="1405"/>
      <c r="AJ70" s="368"/>
      <c r="AK70" s="1398"/>
      <c r="AL70" s="901" t="str">
        <f>IF(ROWS(AL$52:AL70)&lt;=$AK$50,ROWS(AL$52:AL70),"")</f>
        <v/>
      </c>
      <c r="AM70" s="1377" t="str">
        <f ca="1">IF(ROWS(AM$52:AM70)&lt;=$AK$50,RAND(),"")</f>
        <v/>
      </c>
      <c r="AN70" s="901" t="str">
        <f>IF(ROWS(AM$52:AM70)&lt;=$AK$50,RANK(AM70,$AM$52:$AM$71),"")</f>
        <v/>
      </c>
      <c r="AO70" s="368"/>
      <c r="AP70" s="1363" t="str">
        <f t="shared" ca="1" si="30"/>
        <v/>
      </c>
      <c r="AQ70" s="1413"/>
      <c r="AR70" s="368"/>
      <c r="AS70" s="1398"/>
      <c r="AT70" s="901" t="str">
        <f>IF(ROWS(AT$52:AT70)&lt;=$AS$50,ROWS(AT$52:AT70),"")</f>
        <v/>
      </c>
      <c r="AU70" s="1377" t="str">
        <f ca="1">IF(ROWS(AU$52:AU70)&lt;=$AS$50,RAND(),"")</f>
        <v/>
      </c>
      <c r="AV70" s="1403" t="str">
        <f>IF(ROWS(AU$52:AU70)&lt;=$AS$50,RANK(AU70,$AU$52:$AU$71),"")</f>
        <v/>
      </c>
      <c r="AW70" s="368" t="str">
        <f>IF(ROWS(AW$52:AW70)&gt;$AS$50,"",INDEX($AR$50:$AR$62,_xlfn.AGGREGATE(15,6,(ROW($AR$50:$AR$62)-ROW($AQ$50)+1)/ISNA(MATCH($AR$50:$AR$62,$AQ$50:$AQ$69,0)),ROWS(AW$52:AW70))))</f>
        <v/>
      </c>
      <c r="AX70" s="1363" t="str">
        <f t="shared" ca="1" si="31"/>
        <v/>
      </c>
      <c r="AY70" s="1394"/>
      <c r="AZ70" s="382" t="str">
        <f ca="1">IF(AY70=20,RAND(),"")</f>
        <v/>
      </c>
      <c r="BA70" s="382" t="str">
        <f>IF(AY70=20,RANK(AZ70,AZ51:AZ70),"")</f>
        <v/>
      </c>
      <c r="BB70" s="368"/>
      <c r="BC70" s="1395" t="str">
        <f t="shared" si="23"/>
        <v xml:space="preserve"> </v>
      </c>
      <c r="BD70" s="1394"/>
      <c r="BE70" s="1377" t="str">
        <f ca="1">IF(BD70=20,RAND(),"")</f>
        <v/>
      </c>
      <c r="BF70" s="382" t="str">
        <f>IF(BD70=20,RANK(BE70,BE51:BE70),"")</f>
        <v/>
      </c>
      <c r="BG70" s="368"/>
      <c r="BH70" s="1363"/>
      <c r="BI70" s="1396"/>
      <c r="BJ70" s="1377" t="str">
        <f ca="1">IF(BI70=20,RAND(),"")</f>
        <v/>
      </c>
      <c r="BK70" s="382" t="str">
        <f>IF(BI70=20,RANK(BJ70,BJ51:BJ70),"")</f>
        <v/>
      </c>
      <c r="BL70" s="368"/>
      <c r="BM70" s="1363" t="str">
        <f t="shared" si="25"/>
        <v xml:space="preserve"> </v>
      </c>
      <c r="BN70" s="1394"/>
      <c r="BO70" s="1380" t="str">
        <f ca="1">IF(BN70=20,RAND(),"")</f>
        <v/>
      </c>
      <c r="BP70" s="382" t="str">
        <f>IF(BN70=20,RANK(BO70,BO51:BO70),"")</f>
        <v/>
      </c>
      <c r="BQ70" s="368"/>
      <c r="BR70" s="1363"/>
      <c r="BS70" s="271" t="s">
        <v>1287</v>
      </c>
      <c r="BT70" s="1409"/>
      <c r="BU70" s="498"/>
      <c r="BV70" s="591"/>
      <c r="BW70" s="1410"/>
    </row>
    <row r="71" spans="2:83" ht="12" customHeight="1" thickBot="1">
      <c r="B71" s="1350">
        <v>22</v>
      </c>
      <c r="C71" s="1348"/>
      <c r="D71" s="1348"/>
      <c r="E71" s="1422"/>
      <c r="F71" s="1348" t="str">
        <f>IF(ROWS(F$50:F71)&lt;=$E$50,ROWS(F$50:F71),"")</f>
        <v/>
      </c>
      <c r="G71" s="1423" t="str">
        <f ca="1">IF(ROWS(G$50:G71)&lt;=$E$50,RAND(),"")</f>
        <v/>
      </c>
      <c r="H71" s="1348" t="str">
        <f>IF(F71=ROWS(H$50:H71),RANK(G71,$G$50:$G$71),"")</f>
        <v/>
      </c>
      <c r="I71" s="1424" t="str">
        <f>IF(ROWS(I$50:I71)&gt;E$50,"",INDEX($D$50:$D$69,_xlfn.AGGREGATE(15,6,(ROW($D$50:$D$69)-ROW($L$50)+1)/ISNA(MATCH($D$50:$D$69,$C$50:$C$69,0)),ROWS(I$50:I71))))</f>
        <v/>
      </c>
      <c r="J71" s="1425" t="str">
        <f t="shared" ca="1" si="26"/>
        <v/>
      </c>
      <c r="K71" s="1426"/>
      <c r="L71" s="1424"/>
      <c r="M71" s="1422"/>
      <c r="N71" s="1348" t="str">
        <f>IF($M$50&gt;=18,18,"")</f>
        <v/>
      </c>
      <c r="O71" s="1423" t="str">
        <f ca="1">IF(ROWS(O$52:O71)&lt;=$M$50,RAND(),"")</f>
        <v/>
      </c>
      <c r="P71" s="1348" t="str">
        <f>IF(N71=ROWS(P$52:P71),RANK(O71,$O$52:$O$69),"")</f>
        <v/>
      </c>
      <c r="Q71" s="1424" t="str">
        <f>IF(ROWS(Q$52:Q71)&gt;M$50,"",INDEX($L$50:$L$69,_xlfn.AGGREGATE(15,6,(ROW($L$50:$L$69)-ROW($L$50)+1)/ISNA(MATCH($L$50:$L$69,$K$50:$K$69,0)),ROWS(Q$52:Q71))))</f>
        <v/>
      </c>
      <c r="R71" s="1425" t="str">
        <f ca="1">VLOOKUP(N71,$P$52:$Q$69,2,FALSE)</f>
        <v/>
      </c>
      <c r="S71" s="1427"/>
      <c r="T71" s="1424"/>
      <c r="U71" s="1422"/>
      <c r="V71" s="1348" t="str">
        <f>IF(U52&gt;=18,18,"")</f>
        <v/>
      </c>
      <c r="W71" s="1428" t="str">
        <f ca="1">IF(ROWS(W$52:W71)&lt;=$U$50,RAND(),"")</f>
        <v/>
      </c>
      <c r="X71" s="1348" t="str">
        <f>IF(V71=ROWS(X$52:X71),RANK(W71,$W$52:$W$69),"")</f>
        <v/>
      </c>
      <c r="Y71" s="1424" t="str">
        <f>IF(ROWS(Y$52:Y71)&gt;$U$50,"",INDEX($T$50:$T$69,_xlfn.AGGREGATE(15,6,(ROW($T$50:$T$69)-ROW($T$50)+1)/ISNA(MATCH($T$50:$T$69,$S$50:$S$69,0)),ROWS(Y$52:Y71))))</f>
        <v/>
      </c>
      <c r="Z71" s="1429" t="str">
        <f t="shared" ca="1" si="28"/>
        <v/>
      </c>
      <c r="AA71" s="1427"/>
      <c r="AB71" s="1424"/>
      <c r="AC71" s="1422"/>
      <c r="AD71" s="1430" t="str">
        <f>IF(ROWS(AD$52:AD71)&lt;=$AC$50,ROWS(AD$52:AD71),"")</f>
        <v/>
      </c>
      <c r="AE71" s="1423" t="str">
        <f ca="1">IF(ROWS(AE$52:AE71)&lt;=$AC$50,RAND(),"")</f>
        <v/>
      </c>
      <c r="AF71" s="1430" t="str">
        <f>IF(ROWS(AE$52:AE71)&lt;=$AC$50,RANK(AE71,$AE$52:$AE$71),"")</f>
        <v/>
      </c>
      <c r="AG71" s="1424" t="str">
        <f>IF(ROWS(AG$52:AG71)&gt;AC$50,"",INDEX($AB$50:$AB$69,_xlfn.AGGREGATE(15,6,(ROW($AB$50:$AB$69)-ROW($AA$50)+1)/ISNA(MATCH($AB$50:$AB$69,$AA$50:$AA$69,0)),ROWS(AG$52:AG71))))</f>
        <v/>
      </c>
      <c r="AH71" s="1429" t="str">
        <f t="shared" ca="1" si="29"/>
        <v/>
      </c>
      <c r="AI71" s="1431"/>
      <c r="AJ71" s="1424"/>
      <c r="AK71" s="1422"/>
      <c r="AL71" s="1432" t="str">
        <f>IF(ROWS(AL$52:AL71)&lt;=$AK$50,ROWS(AL$52:AL71),"")</f>
        <v/>
      </c>
      <c r="AM71" s="1433" t="str">
        <f ca="1">IF(ROWS(AM$52:AM71)&lt;=$AK$50,RAND(),"")</f>
        <v/>
      </c>
      <c r="AN71" s="1432" t="str">
        <f>IF(ROWS(AM$52:AM71)&lt;=$AK$50,RANK(AM71,$AM$52:$AM$71),"")</f>
        <v/>
      </c>
      <c r="AO71" s="1424"/>
      <c r="AP71" s="1429" t="str">
        <f t="shared" ca="1" si="30"/>
        <v/>
      </c>
      <c r="AQ71" s="1427"/>
      <c r="AR71" s="1424"/>
      <c r="AS71" s="1422"/>
      <c r="AT71" s="1430" t="str">
        <f>IF(ROWS(AT$52:AT71)&lt;=$AS$50,ROWS(AT$52:AT71),"")</f>
        <v/>
      </c>
      <c r="AU71" s="1423" t="str">
        <f ca="1">IF(ROWS(AU$52:AU71)&lt;=$AS$50,RAND(),"")</f>
        <v/>
      </c>
      <c r="AV71" s="1430" t="str">
        <f>IF(ROWS(AU$52:AU71)&lt;=$AS$50,RANK(AU71,$AU$52:$AU$71),"")</f>
        <v/>
      </c>
      <c r="AW71" s="1424" t="str">
        <f>IF(ROWS(AW$52:AW71)&gt;$AS$50,"",INDEX($AR$50:$AR$62,_xlfn.AGGREGATE(15,6,(ROW($AR$50:$AR$62)-ROW($AQ$50)+1)/ISNA(MATCH($AR$50:$AR$62,$AQ$50:$AQ$69,0)),ROWS(AW$52:AW71))))</f>
        <v/>
      </c>
      <c r="AX71" s="1429" t="str">
        <f t="shared" ca="1" si="31"/>
        <v/>
      </c>
      <c r="AY71" s="1426"/>
      <c r="AZ71" s="1348" t="str">
        <f ca="1">IF(AY71=20,RAND(),"")</f>
        <v/>
      </c>
      <c r="BA71" s="1348" t="str">
        <f>IF(AY71=20,RANK(AZ71,AZ52:AZ71),"")</f>
        <v/>
      </c>
      <c r="BB71" s="1424"/>
      <c r="BC71" s="1425" t="str">
        <f t="shared" si="23"/>
        <v xml:space="preserve"> </v>
      </c>
      <c r="BD71" s="1426"/>
      <c r="BE71" s="1423" t="str">
        <f ca="1">IF(BD71=20,RAND(),"")</f>
        <v/>
      </c>
      <c r="BF71" s="1348" t="str">
        <f>IF(BD71=20,RANK(BE71,BE52:BE71),"")</f>
        <v/>
      </c>
      <c r="BG71" s="1424"/>
      <c r="BH71" s="1429"/>
      <c r="BI71" s="1434"/>
      <c r="BJ71" s="1423" t="str">
        <f ca="1">IF(BI71=20,RAND(),"")</f>
        <v/>
      </c>
      <c r="BK71" s="1348" t="str">
        <f>IF(BI71=20,RANK(BJ71,BJ52:BJ71),"")</f>
        <v/>
      </c>
      <c r="BL71" s="1424"/>
      <c r="BM71" s="1429" t="str">
        <f t="shared" si="25"/>
        <v xml:space="preserve"> </v>
      </c>
      <c r="BN71" s="1426"/>
      <c r="BO71" s="1435" t="str">
        <f ca="1">IF(BN71=20,RAND(),"")</f>
        <v/>
      </c>
      <c r="BP71" s="1348" t="str">
        <f>IF(BN71=20,RANK(BO71,BO52:BO71),"")</f>
        <v/>
      </c>
      <c r="BQ71" s="1424"/>
      <c r="BR71" s="1429"/>
      <c r="BT71" s="1409"/>
      <c r="BU71" s="498"/>
      <c r="BV71" s="591"/>
      <c r="BW71" s="1410"/>
    </row>
    <row r="72" spans="2:83" ht="12" customHeight="1" thickTop="1">
      <c r="B72" s="3384" t="s">
        <v>7303</v>
      </c>
      <c r="C72" s="3385"/>
      <c r="G72" s="1335"/>
      <c r="I72" s="273"/>
      <c r="J72" s="273"/>
      <c r="L72" s="1335"/>
      <c r="N72" s="273"/>
      <c r="O72" s="273"/>
      <c r="P72" s="273"/>
      <c r="Q72" s="273"/>
      <c r="R72" s="273"/>
      <c r="S72" s="273"/>
      <c r="T72" s="273"/>
      <c r="U72" s="273"/>
      <c r="W72" s="1335"/>
      <c r="Y72" s="273"/>
      <c r="Z72" s="273"/>
      <c r="AA72" s="273"/>
      <c r="AB72" s="273"/>
      <c r="AC72" s="273"/>
      <c r="AD72" s="543"/>
      <c r="AE72" s="271"/>
      <c r="AG72" s="273"/>
      <c r="AH72" s="273"/>
      <c r="AI72" s="273"/>
      <c r="AJ72" s="273"/>
      <c r="AK72" s="273"/>
      <c r="AM72" s="1335"/>
      <c r="AO72" s="273"/>
      <c r="AP72" s="273"/>
      <c r="AQ72" s="273"/>
      <c r="AR72" s="273"/>
      <c r="AS72" s="273"/>
      <c r="AU72" s="1335"/>
      <c r="AW72" s="273"/>
      <c r="AX72" s="273"/>
      <c r="AZ72" s="1335"/>
      <c r="BB72" s="273"/>
      <c r="BC72" s="273"/>
      <c r="BE72" s="1335"/>
      <c r="BG72" s="273"/>
      <c r="BH72" s="273"/>
      <c r="BJ72" s="1335"/>
      <c r="BL72" s="273"/>
      <c r="BM72" s="273"/>
      <c r="BO72" s="1335"/>
      <c r="BQ72" s="273"/>
      <c r="BR72" s="273"/>
      <c r="BT72" s="1409"/>
      <c r="BU72" s="498"/>
      <c r="BV72" s="591"/>
      <c r="BW72" s="1410"/>
    </row>
    <row r="73" spans="2:83" ht="12" customHeight="1" thickBot="1">
      <c r="G73" s="1335"/>
      <c r="I73" s="273"/>
      <c r="J73" s="273"/>
      <c r="L73" s="1335"/>
      <c r="N73" s="273"/>
      <c r="O73" s="273"/>
      <c r="P73" s="273"/>
      <c r="Q73" s="273"/>
      <c r="R73" s="273"/>
      <c r="S73" s="273"/>
      <c r="T73" s="273"/>
      <c r="U73" s="273"/>
      <c r="W73" s="1335"/>
      <c r="Y73" s="273"/>
      <c r="Z73" s="273"/>
      <c r="AA73" s="273"/>
      <c r="AB73" s="273"/>
      <c r="AC73" s="273"/>
      <c r="AE73" s="1335"/>
      <c r="AG73" s="273"/>
      <c r="AH73" s="273"/>
      <c r="AI73" s="273"/>
      <c r="AJ73" s="273"/>
      <c r="AK73" s="273"/>
      <c r="AM73" s="1335"/>
      <c r="AO73" s="273"/>
      <c r="AP73" s="273"/>
      <c r="AQ73" s="273"/>
      <c r="AR73" s="273"/>
      <c r="AS73" s="273"/>
      <c r="AU73" s="1335"/>
      <c r="AW73" s="273"/>
      <c r="AX73" s="273"/>
      <c r="AZ73" s="1335"/>
      <c r="BB73" s="273"/>
      <c r="BC73" s="273"/>
      <c r="BE73" s="1335"/>
      <c r="BG73" s="273"/>
      <c r="BH73" s="273"/>
      <c r="BJ73" s="1335"/>
      <c r="BL73" s="273"/>
      <c r="BM73" s="273"/>
      <c r="BO73" s="1335"/>
      <c r="BQ73" s="273"/>
      <c r="BR73" s="273"/>
      <c r="BS73" s="271" t="s">
        <v>1287</v>
      </c>
      <c r="BT73" s="1409"/>
      <c r="BU73" s="498"/>
      <c r="BV73" s="591"/>
      <c r="BW73" s="1410"/>
    </row>
    <row r="74" spans="2:83" ht="12" customHeight="1" thickTop="1">
      <c r="B74" s="3330" t="s">
        <v>7423</v>
      </c>
      <c r="C74" s="3331"/>
      <c r="D74" s="3331"/>
      <c r="E74" s="3331"/>
      <c r="F74" s="3331"/>
      <c r="G74" s="3331"/>
      <c r="H74" s="3331"/>
      <c r="I74" s="3331"/>
      <c r="J74" s="3332"/>
      <c r="K74" s="3330" t="s">
        <v>7424</v>
      </c>
      <c r="L74" s="3331"/>
      <c r="M74" s="3331"/>
      <c r="N74" s="3331"/>
      <c r="O74" s="3331"/>
      <c r="P74" s="3331"/>
      <c r="Q74" s="3331"/>
      <c r="R74" s="3332"/>
      <c r="S74" s="3330" t="s">
        <v>7425</v>
      </c>
      <c r="T74" s="3331"/>
      <c r="U74" s="3331"/>
      <c r="V74" s="3331"/>
      <c r="W74" s="3331"/>
      <c r="X74" s="3331"/>
      <c r="Y74" s="3331"/>
      <c r="Z74" s="3332"/>
      <c r="AA74" s="3330" t="s">
        <v>7426</v>
      </c>
      <c r="AB74" s="3331"/>
      <c r="AC74" s="3331"/>
      <c r="AD74" s="3331"/>
      <c r="AE74" s="3331"/>
      <c r="AF74" s="3331"/>
      <c r="AG74" s="3331"/>
      <c r="AH74" s="3332"/>
      <c r="AI74" s="3330" t="s">
        <v>7427</v>
      </c>
      <c r="AJ74" s="3331"/>
      <c r="AK74" s="3331"/>
      <c r="AL74" s="3331"/>
      <c r="AM74" s="3331"/>
      <c r="AN74" s="3331"/>
      <c r="AO74" s="3331"/>
      <c r="AP74" s="3332"/>
      <c r="AQ74" s="3330" t="s">
        <v>7428</v>
      </c>
      <c r="AR74" s="3331"/>
      <c r="AS74" s="3331"/>
      <c r="AT74" s="3331"/>
      <c r="AU74" s="3331"/>
      <c r="AV74" s="3331"/>
      <c r="AW74" s="3331"/>
      <c r="AX74" s="3332"/>
      <c r="AY74" s="3330" t="s">
        <v>7429</v>
      </c>
      <c r="AZ74" s="3331"/>
      <c r="BA74" s="3331"/>
      <c r="BB74" s="3331"/>
      <c r="BC74" s="3332"/>
      <c r="BD74" s="3330" t="s">
        <v>7430</v>
      </c>
      <c r="BE74" s="3331"/>
      <c r="BF74" s="3331"/>
      <c r="BG74" s="3331"/>
      <c r="BH74" s="3332"/>
      <c r="BI74" s="3330" t="s">
        <v>7431</v>
      </c>
      <c r="BJ74" s="3331"/>
      <c r="BK74" s="3331"/>
      <c r="BL74" s="3331"/>
      <c r="BM74" s="3332"/>
      <c r="BN74" s="3330" t="s">
        <v>7432</v>
      </c>
      <c r="BO74" s="3331"/>
      <c r="BP74" s="3331"/>
      <c r="BQ74" s="3331"/>
      <c r="BR74" s="3332"/>
      <c r="BS74" s="271" t="s">
        <v>1287</v>
      </c>
      <c r="BT74" s="3341" t="s">
        <v>7433</v>
      </c>
      <c r="BU74" s="2862"/>
      <c r="BV74" s="2862"/>
      <c r="BW74" s="2862"/>
      <c r="BX74" s="2862"/>
      <c r="BY74" s="2862"/>
      <c r="BZ74" s="2862"/>
      <c r="CA74" s="2862"/>
      <c r="CB74" s="2863"/>
    </row>
    <row r="75" spans="2:83" ht="12" customHeight="1" thickBot="1">
      <c r="B75" s="3333"/>
      <c r="C75" s="2932"/>
      <c r="D75" s="2932"/>
      <c r="E75" s="2932"/>
      <c r="F75" s="2932"/>
      <c r="G75" s="2932"/>
      <c r="H75" s="2932"/>
      <c r="I75" s="2932"/>
      <c r="J75" s="3334"/>
      <c r="K75" s="3333"/>
      <c r="L75" s="2932"/>
      <c r="M75" s="2932"/>
      <c r="N75" s="2932"/>
      <c r="O75" s="2932"/>
      <c r="P75" s="2932"/>
      <c r="Q75" s="2932"/>
      <c r="R75" s="3334"/>
      <c r="S75" s="3333"/>
      <c r="T75" s="2932"/>
      <c r="U75" s="2932"/>
      <c r="V75" s="2932"/>
      <c r="W75" s="2932"/>
      <c r="X75" s="2932"/>
      <c r="Y75" s="2932"/>
      <c r="Z75" s="3334"/>
      <c r="AA75" s="3333"/>
      <c r="AB75" s="2932"/>
      <c r="AC75" s="2932"/>
      <c r="AD75" s="2932"/>
      <c r="AE75" s="2932"/>
      <c r="AF75" s="2932"/>
      <c r="AG75" s="2932"/>
      <c r="AH75" s="3334"/>
      <c r="AI75" s="3333"/>
      <c r="AJ75" s="2932"/>
      <c r="AK75" s="2932"/>
      <c r="AL75" s="2932"/>
      <c r="AM75" s="2932"/>
      <c r="AN75" s="2932"/>
      <c r="AO75" s="2932"/>
      <c r="AP75" s="3334"/>
      <c r="AQ75" s="3333"/>
      <c r="AR75" s="2932"/>
      <c r="AS75" s="2932"/>
      <c r="AT75" s="2932"/>
      <c r="AU75" s="2932"/>
      <c r="AV75" s="2932"/>
      <c r="AW75" s="2932"/>
      <c r="AX75" s="3334"/>
      <c r="AY75" s="3333"/>
      <c r="AZ75" s="2932"/>
      <c r="BA75" s="2932"/>
      <c r="BB75" s="2932"/>
      <c r="BC75" s="3334"/>
      <c r="BD75" s="3333"/>
      <c r="BE75" s="2932"/>
      <c r="BF75" s="2932"/>
      <c r="BG75" s="2932"/>
      <c r="BH75" s="3334"/>
      <c r="BI75" s="3333"/>
      <c r="BJ75" s="2932"/>
      <c r="BK75" s="2932"/>
      <c r="BL75" s="2932"/>
      <c r="BM75" s="3334"/>
      <c r="BN75" s="3333"/>
      <c r="BO75" s="2932"/>
      <c r="BP75" s="2932"/>
      <c r="BQ75" s="2932"/>
      <c r="BR75" s="3334"/>
      <c r="BS75" s="271" t="s">
        <v>1287</v>
      </c>
      <c r="BT75" s="2931"/>
      <c r="BU75" s="2932"/>
      <c r="BV75" s="2932"/>
      <c r="BW75" s="2932"/>
      <c r="BX75" s="2932"/>
      <c r="BY75" s="2932"/>
      <c r="BZ75" s="2932"/>
      <c r="CA75" s="2932"/>
      <c r="CB75" s="2933"/>
    </row>
    <row r="76" spans="2:83" ht="12" customHeight="1" thickBot="1">
      <c r="B76" s="1357" t="s">
        <v>7124</v>
      </c>
      <c r="C76" s="3372" t="str">
        <f>IF([1]MATH!$C$8=7,[1]MATH!$D$9,"")</f>
        <v/>
      </c>
      <c r="D76" s="3356" t="s">
        <v>7314</v>
      </c>
      <c r="E76" s="3357" t="s">
        <v>7315</v>
      </c>
      <c r="F76" s="3358" t="s">
        <v>7169</v>
      </c>
      <c r="G76" s="3358" t="s">
        <v>6598</v>
      </c>
      <c r="H76" s="3358" t="s">
        <v>6592</v>
      </c>
      <c r="I76" s="3335" t="s">
        <v>7170</v>
      </c>
      <c r="J76" s="3354" t="s">
        <v>7170</v>
      </c>
      <c r="K76" s="3310" t="str">
        <f>IF([1]MATH!$C$9=1,CONCATENATE([1]MATH!$D$9,": ",[1]CLASS!#REF!),$C$76)</f>
        <v/>
      </c>
      <c r="L76" s="3358" t="s">
        <v>7316</v>
      </c>
      <c r="M76" s="3373" t="s">
        <v>7315</v>
      </c>
      <c r="N76" s="3358" t="s">
        <v>7169</v>
      </c>
      <c r="O76" s="3373" t="s">
        <v>6598</v>
      </c>
      <c r="P76" s="3358" t="s">
        <v>6592</v>
      </c>
      <c r="Q76" s="3358" t="s">
        <v>7317</v>
      </c>
      <c r="R76" s="3381" t="s">
        <v>7318</v>
      </c>
      <c r="S76" s="3310" t="str">
        <f>IF([1]MATH!$C$9=1,CONCATENATE([1]MATH!$D$9,": ",[1]CLASS!#REF!),$C$76)</f>
        <v/>
      </c>
      <c r="T76" s="3358" t="s">
        <v>7174</v>
      </c>
      <c r="U76" s="3373" t="s">
        <v>7315</v>
      </c>
      <c r="V76" s="3358" t="s">
        <v>7169</v>
      </c>
      <c r="W76" s="3364" t="s">
        <v>6548</v>
      </c>
      <c r="X76" s="3362" t="s">
        <v>6549</v>
      </c>
      <c r="Y76" s="3373" t="s">
        <v>7174</v>
      </c>
      <c r="Z76" s="3358" t="s">
        <v>7318</v>
      </c>
      <c r="AA76" s="3310" t="str">
        <f>IF([1]MATH!$C$9=1,CONCATENATE([1]MATH!$D$9,": ",[1]CLASS!#REF!),$C$76)</f>
        <v/>
      </c>
      <c r="AB76" s="3358" t="s">
        <v>7175</v>
      </c>
      <c r="AC76" s="3373" t="s">
        <v>7315</v>
      </c>
      <c r="AD76" s="3358" t="s">
        <v>7169</v>
      </c>
      <c r="AE76" s="3364" t="s">
        <v>6548</v>
      </c>
      <c r="AF76" s="3362" t="s">
        <v>6549</v>
      </c>
      <c r="AG76" s="3373" t="s">
        <v>7175</v>
      </c>
      <c r="AH76" s="3358" t="s">
        <v>7318</v>
      </c>
      <c r="AI76" s="3310" t="str">
        <f>IF([1]MATH!$C$9=1,CONCATENATE([1]MATH!$D$9,": ",[1]CLASS!#REF!),$C$76)</f>
        <v/>
      </c>
      <c r="AJ76" s="3358" t="s">
        <v>7176</v>
      </c>
      <c r="AK76" s="3373" t="s">
        <v>7315</v>
      </c>
      <c r="AL76" s="3358" t="s">
        <v>7169</v>
      </c>
      <c r="AM76" s="3364" t="s">
        <v>6548</v>
      </c>
      <c r="AN76" s="3362" t="s">
        <v>6549</v>
      </c>
      <c r="AO76" s="3373" t="s">
        <v>7176</v>
      </c>
      <c r="AP76" s="3358" t="s">
        <v>7318</v>
      </c>
      <c r="AQ76" s="3310" t="str">
        <f>IF([1]MATH!$C$9=1,CONCATENATE([1]MATH!$D$9,": ",[1]CLASS!#REF!),$C$76)</f>
        <v/>
      </c>
      <c r="AR76" s="3358" t="s">
        <v>7177</v>
      </c>
      <c r="AS76" s="3373" t="s">
        <v>7315</v>
      </c>
      <c r="AT76" s="3358" t="s">
        <v>7169</v>
      </c>
      <c r="AU76" s="3356" t="s">
        <v>6598</v>
      </c>
      <c r="AV76" s="3362" t="s">
        <v>6549</v>
      </c>
      <c r="AW76" s="3373" t="s">
        <v>7177</v>
      </c>
      <c r="AX76" s="3358" t="s">
        <v>7318</v>
      </c>
      <c r="AY76" s="1436" t="s">
        <v>7168</v>
      </c>
      <c r="AZ76" s="3358" t="s">
        <v>6598</v>
      </c>
      <c r="BA76" s="3358" t="s">
        <v>6549</v>
      </c>
      <c r="BB76" s="3358" t="s">
        <v>7178</v>
      </c>
      <c r="BC76" s="3376" t="s">
        <v>7318</v>
      </c>
      <c r="BD76" s="1320" t="s">
        <v>7168</v>
      </c>
      <c r="BE76" s="3358" t="s">
        <v>6598</v>
      </c>
      <c r="BF76" s="3358" t="s">
        <v>6549</v>
      </c>
      <c r="BG76" s="3358" t="s">
        <v>7179</v>
      </c>
      <c r="BH76" s="3376" t="s">
        <v>7318</v>
      </c>
      <c r="BI76" s="1320" t="s">
        <v>7168</v>
      </c>
      <c r="BJ76" s="3358" t="s">
        <v>6598</v>
      </c>
      <c r="BK76" s="3358" t="s">
        <v>6549</v>
      </c>
      <c r="BL76" s="3358" t="s">
        <v>7180</v>
      </c>
      <c r="BM76" s="3376" t="s">
        <v>7318</v>
      </c>
      <c r="BN76" s="1320" t="s">
        <v>7168</v>
      </c>
      <c r="BO76" s="3358" t="s">
        <v>6598</v>
      </c>
      <c r="BP76" s="3358" t="s">
        <v>6549</v>
      </c>
      <c r="BQ76" s="3358" t="s">
        <v>7327</v>
      </c>
      <c r="BR76" s="3376" t="s">
        <v>7318</v>
      </c>
      <c r="BS76" s="271" t="s">
        <v>1287</v>
      </c>
      <c r="BT76" s="3378" t="s">
        <v>6042</v>
      </c>
      <c r="BU76" s="624">
        <v>1</v>
      </c>
      <c r="BV76" s="624">
        <v>2</v>
      </c>
      <c r="BW76" s="624">
        <v>3</v>
      </c>
      <c r="BX76" s="624">
        <v>4</v>
      </c>
      <c r="BY76" s="624">
        <v>5</v>
      </c>
      <c r="BZ76" s="624">
        <v>6</v>
      </c>
      <c r="CA76" s="624">
        <v>7</v>
      </c>
      <c r="CB76" s="624">
        <v>8</v>
      </c>
    </row>
    <row r="77" spans="2:83" ht="12" customHeight="1" thickBot="1">
      <c r="B77" s="1322">
        <f>COUNT(B78:B99)</f>
        <v>22</v>
      </c>
      <c r="C77" s="3281"/>
      <c r="D77" s="2932"/>
      <c r="E77" s="3319"/>
      <c r="F77" s="3359"/>
      <c r="G77" s="3359"/>
      <c r="H77" s="3359"/>
      <c r="I77" s="3336"/>
      <c r="J77" s="3382"/>
      <c r="K77" s="3383"/>
      <c r="L77" s="3359"/>
      <c r="M77" s="2933"/>
      <c r="N77" s="3319"/>
      <c r="O77" s="2933"/>
      <c r="P77" s="3319"/>
      <c r="Q77" s="3319"/>
      <c r="R77" s="2932"/>
      <c r="S77" s="3311"/>
      <c r="T77" s="3319"/>
      <c r="U77" s="2933"/>
      <c r="V77" s="3319"/>
      <c r="W77" s="3367"/>
      <c r="X77" s="3363"/>
      <c r="Y77" s="3374"/>
      <c r="Z77" s="3375"/>
      <c r="AA77" s="3311"/>
      <c r="AB77" s="3319"/>
      <c r="AC77" s="2933"/>
      <c r="AD77" s="3319"/>
      <c r="AE77" s="3367"/>
      <c r="AF77" s="3363"/>
      <c r="AG77" s="3374"/>
      <c r="AH77" s="3375"/>
      <c r="AI77" s="3311"/>
      <c r="AJ77" s="3319"/>
      <c r="AK77" s="2933"/>
      <c r="AL77" s="3319"/>
      <c r="AM77" s="3367"/>
      <c r="AN77" s="3380"/>
      <c r="AO77" s="3374"/>
      <c r="AP77" s="3375"/>
      <c r="AQ77" s="3311"/>
      <c r="AR77" s="3319"/>
      <c r="AS77" s="2933"/>
      <c r="AT77" s="3319"/>
      <c r="AU77" s="2932"/>
      <c r="AV77" s="3380"/>
      <c r="AW77" s="3374"/>
      <c r="AX77" s="3375"/>
      <c r="AY77" s="1437">
        <f>COUNT($B78:$B99)-COUNTBLANK(AY78:AY99)</f>
        <v>15</v>
      </c>
      <c r="AZ77" s="3319"/>
      <c r="BA77" s="3319"/>
      <c r="BB77" s="3319"/>
      <c r="BC77" s="3377"/>
      <c r="BD77" s="1324">
        <f>COUNT($B78:$B99)-COUNTBLANK(BD78:BD99)</f>
        <v>6</v>
      </c>
      <c r="BE77" s="3319"/>
      <c r="BF77" s="3319"/>
      <c r="BG77" s="3319"/>
      <c r="BH77" s="3377"/>
      <c r="BI77" s="1324">
        <f>COUNT($B78:$B99)-COUNTBLANK(BI78:BI99)</f>
        <v>7</v>
      </c>
      <c r="BJ77" s="3319"/>
      <c r="BK77" s="3319"/>
      <c r="BL77" s="3319"/>
      <c r="BM77" s="3377"/>
      <c r="BN77" s="1324">
        <f>COUNT($B78:$B99)-COUNTBLANK(BN78:BN99)</f>
        <v>4</v>
      </c>
      <c r="BO77" s="3319"/>
      <c r="BP77" s="3319"/>
      <c r="BQ77" s="3319"/>
      <c r="BR77" s="3377"/>
      <c r="BS77" s="271" t="s">
        <v>1287</v>
      </c>
      <c r="BT77" s="3361"/>
      <c r="BU77" s="624" t="s">
        <v>6271</v>
      </c>
      <c r="BV77" s="624" t="s">
        <v>6275</v>
      </c>
      <c r="BW77" s="624" t="s">
        <v>5929</v>
      </c>
      <c r="BX77" s="624" t="s">
        <v>6281</v>
      </c>
      <c r="BY77" s="624" t="s">
        <v>6285</v>
      </c>
      <c r="BZ77" s="624" t="s">
        <v>6288</v>
      </c>
      <c r="CA77" s="625" t="s">
        <v>5920</v>
      </c>
      <c r="CB77" s="625" t="s">
        <v>6291</v>
      </c>
    </row>
    <row r="78" spans="2:83" ht="12" customHeight="1" thickBot="1">
      <c r="B78" s="1326">
        <v>1</v>
      </c>
      <c r="C78" s="466"/>
      <c r="D78" s="1438" t="s">
        <v>7434</v>
      </c>
      <c r="E78" s="1439">
        <f>SUMPRODUCT(--ISNA(MATCH(D78:D93,C78,0)))</f>
        <v>16</v>
      </c>
      <c r="F78" s="467">
        <f>IF(ROWS(F$78:F78)&lt;=$E$78,ROWS(F$78:F78),"")</f>
        <v>1</v>
      </c>
      <c r="G78" s="1440">
        <f ca="1">IF(ROWS(G$78:G78)&lt;=$E$78,RAND(),"")</f>
        <v>0.94460145109315852</v>
      </c>
      <c r="H78" s="467">
        <f ca="1">IF(F78=ROWS(H$78:H78),RANK(G78,$G$78:$G$99))</f>
        <v>1</v>
      </c>
      <c r="I78" s="1438" t="s">
        <v>7434</v>
      </c>
      <c r="J78" s="1363" t="str">
        <f t="shared" ref="J78:J93" ca="1" si="32">IF(F78&gt;0,VLOOKUP($F78,$H$78:$I$99,2,FALSE),"")</f>
        <v>Control Flames</v>
      </c>
      <c r="K78" s="1441"/>
      <c r="L78" s="1438" t="s">
        <v>7435</v>
      </c>
      <c r="M78" s="1366">
        <f>SUMPRODUCT(--ISNA(MATCH($L$78:$L$97,K78,0)))</f>
        <v>20</v>
      </c>
      <c r="N78" s="467">
        <f>IF(ROWS(N$78:N78)&lt;=$M$78,ROWS(N$78:N78),"")</f>
        <v>1</v>
      </c>
      <c r="O78" s="1440">
        <f ca="1">IF(ROWS(O$78:O78)&lt;=$M$78,RAND(),"")</f>
        <v>0.85545154203911122</v>
      </c>
      <c r="P78" s="467">
        <f ca="1">IF(N78=ROWS(P$78:P78),RANK(O78,$O$78:$O$99),"")</f>
        <v>4</v>
      </c>
      <c r="Q78" s="1438" t="s">
        <v>7435</v>
      </c>
      <c r="R78" s="1379" t="str">
        <f ca="1">VLOOKUP(N78,$P$78:$Q$99,2,FALSE)</f>
        <v>Speak with Animals</v>
      </c>
      <c r="S78" s="1442" t="str">
        <f>IF(AND([1]MATH!$C$5&gt;2,[1]MATH!$C$9=1),HLOOKUP([1]MATH!$C$10,$BT$76:$CB$85,3,TRUE),"")</f>
        <v/>
      </c>
      <c r="T78" s="1328" t="s">
        <v>7185</v>
      </c>
      <c r="U78" s="1361">
        <f>SUMPRODUCT(--ISNA(MATCH($T$78:$T$99,S78:S79,0)))</f>
        <v>22</v>
      </c>
      <c r="V78" s="467">
        <f>IF(ROWS(V$78:V78)&lt;=$U$78,ROWS(V$78:V78),"")</f>
        <v>1</v>
      </c>
      <c r="W78" s="1401">
        <f ca="1">IF(ROWS(W$78:W78)&lt;=$U$78,RAND(),"")</f>
        <v>0.43782017999880118</v>
      </c>
      <c r="X78" s="467">
        <f ca="1">IF(V78=ROWS(X$78:X78),RANK(W78,$W$78:$W$99),"")</f>
        <v>15</v>
      </c>
      <c r="Y78" s="1443" t="str">
        <f>IF(ROWS(Y$78:Y78)&gt;$U$78,"",INDEX($T$78:$T$99,_xlfn.AGGREGATE(15,6,(ROW($T$78:$T$99)-ROW($T$78)+1)/ISNA(MATCH($T$78:$T$99,$S$78:$S$99,0)),ROWS(Y$78:Y78))))</f>
        <v>Animal Messenger</v>
      </c>
      <c r="Z78" s="1444" t="str">
        <f ca="1">IF($S$78="",VLOOKUP(V78,$X$78:$Y$99,2,FALSE),S78)</f>
        <v>Flaming Sphere</v>
      </c>
      <c r="AA78" s="1442" t="str">
        <f>IF(AND([1]MATH!$C$5&gt;2,[1]MATH!$C$9=1),HLOOKUP([1]MATH!$C$10,$BT$76:$CB$85,5,TRUE),"")</f>
        <v/>
      </c>
      <c r="AB78" s="1445" t="s">
        <v>7379</v>
      </c>
      <c r="AC78" s="1439">
        <f>SUMPRODUCT(--ISNA(MATCH($AB$78:$AB$94,AA78:AA79,0)))</f>
        <v>17</v>
      </c>
      <c r="AD78" s="896">
        <f>IF(ROWS(AD$78:AD78)&lt;=$AC$78,ROWS(AD$78:AD78),"")</f>
        <v>1</v>
      </c>
      <c r="AE78" s="1446">
        <f ca="1">IF(ROWS(AE$78:AE78)&lt;=$AC$78,RAND(),"")</f>
        <v>0.57954535593772294</v>
      </c>
      <c r="AF78" s="467">
        <f ca="1">IF(ROWS(AE$78:AE78)&lt;=$AC$78,RANK(AE78,$AE$78:$AE$99),"")</f>
        <v>6</v>
      </c>
      <c r="AG78" s="1443" t="str">
        <f>IF(ROWS(AG$78:AG78)&gt;$AC$78,"",INDEX($AB$78:$AB$99,_xlfn.AGGREGATE(15,6,(ROW($AB$78:$AB$99)-ROW($AB$78)+1)/ISNA(MATCH($AB$78:$AB$99,$AA$78:$AA$99,0)),ROWS(AG$78:AG78))))</f>
        <v>Call Lightning</v>
      </c>
      <c r="AH78" s="1447" t="str">
        <f ca="1">IF($AA$78="",VLOOKUP(AD78,$AF$78:$AG$99,2,FALSE),AA78)</f>
        <v>Sleet Storm</v>
      </c>
      <c r="AI78" s="1442" t="str">
        <f>IF(AND([1]MATH!$C$5&gt;2,[1]MATH!$C$9=1),HLOOKUP([1]MATH!$C$10,$BT$76:$CB$85,7,TRUE),"")</f>
        <v/>
      </c>
      <c r="AJ78" s="1328" t="s">
        <v>7436</v>
      </c>
      <c r="AK78" s="1366">
        <f>SUMPRODUCT(--ISNA(MATCH($AJ$78:$AJ$95,AI78:AI79,0)))</f>
        <v>18</v>
      </c>
      <c r="AL78" s="896">
        <f>IF(ROWS(AL$78:AL78)&lt;=$AK$78,ROWS(AL$78:AL78),"")</f>
        <v>1</v>
      </c>
      <c r="AM78" s="1446">
        <f ca="1">IF(ROWS(AM$78:AM78)&lt;=$AK$78,RAND(),"")</f>
        <v>0.74263790453773038</v>
      </c>
      <c r="AN78" s="467">
        <f ca="1">IF(ROWS(AM$78:AM78)&lt;=$AK$78,RANK(AM78,$AM$78:$AM$99),"")</f>
        <v>5</v>
      </c>
      <c r="AO78" s="344" t="str">
        <f>IF(ROWS(AG$78:AG78)&gt;$AK$78,"",INDEX($AJ$78:$AJ$99,_xlfn.AGGREGATE(15,6,(ROW($AJ$78:$AJ$99)-ROW($AJ$78)+1)/ISNA(MATCH($AJ$78:$AJ$99,$AI$78:$AI$99,0)),ROWS(AG$78:AG78))))</f>
        <v>Blight</v>
      </c>
      <c r="AP78" s="1371" t="str">
        <f ca="1">IF($AI$78="",VLOOKUP(AL78,$AN$78:$AO$99,2,FALSE),AI78)</f>
        <v>Grasping Wine</v>
      </c>
      <c r="AQ78" s="1442" t="str">
        <f>IF(AND([1]MATH!$C$5&gt;2,[1]MATH!$C$9=1),HLOOKUP([1]MATH!$C$10,$BT$76:$CB$85,9,TRUE),"")</f>
        <v/>
      </c>
      <c r="AR78" s="1328" t="s">
        <v>7437</v>
      </c>
      <c r="AS78" s="1366">
        <f>SUMPRODUCT(--ISNA(MATCH($AR$78:$AR$94,AQ78:AQ79,0)))</f>
        <v>17</v>
      </c>
      <c r="AT78" s="896">
        <f>IF(ROWS(AT$78:AT78)&lt;=$AS$78,ROWS(AT$78:AT78),"")</f>
        <v>1</v>
      </c>
      <c r="AU78" s="1448">
        <f ca="1">IF(ROWS(AU$78:AU78)&lt;=$AS$78,RAND(),"")</f>
        <v>0.82747730218167792</v>
      </c>
      <c r="AV78" s="467">
        <f ca="1">IF(ROWS(AU$78:AU78)&lt;=$AS$78,RANK(AU78,$AU$78:$AU$99),"")</f>
        <v>5</v>
      </c>
      <c r="AW78" s="1449" t="str">
        <f>IF(ROWS(AG$78:AG78)&gt;$AS$78,"",INDEX($AR$78:$AR$99,_xlfn.AGGREGATE(15,6,(ROW($AR$78:$AR$99)-ROW($AR$78)+1)/ISNA(MATCH($AR$78:$AR$99,$AQ$78:$AQ$99,0)),ROWS(AG$78:AG78))))</f>
        <v>Antilife Shell</v>
      </c>
      <c r="AX78" s="1450" t="str">
        <f ca="1">IF($AQ$78="",VLOOKUP(AT78,$AV$78:$AW$99,2,FALSE),AQ78)</f>
        <v>Greater Restoration</v>
      </c>
      <c r="AY78" s="1451">
        <v>1</v>
      </c>
      <c r="AZ78" s="1332">
        <f t="shared" ref="AZ78:AZ92" ca="1" si="33">IF(AY78=$B$104,$B$104,RAND())</f>
        <v>0.88494977332148372</v>
      </c>
      <c r="BA78" s="488">
        <f ca="1">RANK(AZ78,AZ$78:AZ$92)</f>
        <v>1</v>
      </c>
      <c r="BB78" s="1452" t="s">
        <v>7438</v>
      </c>
      <c r="BC78" s="1453" t="str">
        <f ca="1">IF(AY78&gt;0,VLOOKUP($AY78,$BA$78:$BB$92,2,FALSE),"")</f>
        <v>Bones of the Earth</v>
      </c>
      <c r="BD78" s="1375">
        <v>1</v>
      </c>
      <c r="BE78" s="1406">
        <f t="shared" ref="BE78:BE83" ca="1" si="34">IF(BD78=$B$104,$B$104,RAND())</f>
        <v>0.17753728270011981</v>
      </c>
      <c r="BF78" s="382">
        <f t="shared" ref="BF78:BF83" ca="1" si="35">RANK(BE78,BE$78:BE$83)</f>
        <v>5</v>
      </c>
      <c r="BG78" s="1328" t="s">
        <v>7365</v>
      </c>
      <c r="BH78" s="1379" t="str">
        <f t="shared" ref="BH78:BH83" ca="1" si="36">IF(BD78&gt;0,VLOOKUP($BD78,$BF$78:$BG$83,2,FALSE),"")</f>
        <v>Mirage Arcane</v>
      </c>
      <c r="BI78" s="1375">
        <v>1</v>
      </c>
      <c r="BJ78" s="1406">
        <f t="shared" ref="BJ78:BJ84" ca="1" si="37">IF(BI78=$B$104,$B$104,RAND())</f>
        <v>0.30393617267429573</v>
      </c>
      <c r="BK78" s="382">
        <f t="shared" ref="BK78:BK84" ca="1" si="38">RANK(BJ78,BJ$78:BJ$84)</f>
        <v>5</v>
      </c>
      <c r="BL78" s="344" t="s">
        <v>7439</v>
      </c>
      <c r="BM78" s="1379" t="str">
        <f t="shared" ref="BM78:BM84" ca="1" si="39">IF(BI78&gt;0,VLOOKUP($BI78,$BK$78:$BL$84,2,FALSE),"")</f>
        <v>Sunburst</v>
      </c>
      <c r="BN78" s="1375">
        <v>1</v>
      </c>
      <c r="BO78" s="1406">
        <f ca="1">IF(BN78=$B$104,$B$104,RAND())</f>
        <v>0.35402107919139503</v>
      </c>
      <c r="BP78" s="382">
        <f ca="1">RANK(BO78,BO$78:BO$81)</f>
        <v>4</v>
      </c>
      <c r="BQ78" s="344" t="s">
        <v>7191</v>
      </c>
      <c r="BR78" s="1379" t="str">
        <f ca="1">IF(BN78&gt;0,VLOOKUP($BN77,$BP$78:$BQ$81,2,FALSE),"")</f>
        <v>Foresight</v>
      </c>
      <c r="BS78" s="271" t="s">
        <v>1287</v>
      </c>
      <c r="BT78" s="1249">
        <v>3</v>
      </c>
      <c r="BU78" s="1247" t="s">
        <v>7260</v>
      </c>
      <c r="BV78" s="1247" t="s">
        <v>7359</v>
      </c>
      <c r="BW78" s="1247" t="s">
        <v>7440</v>
      </c>
      <c r="BX78" s="1247" t="s">
        <v>7357</v>
      </c>
      <c r="BY78" s="1247" t="s">
        <v>2703</v>
      </c>
      <c r="BZ78" s="1247" t="s">
        <v>2915</v>
      </c>
      <c r="CA78" s="1247" t="s">
        <v>7441</v>
      </c>
      <c r="CB78" s="1247" t="s">
        <v>2915</v>
      </c>
    </row>
    <row r="79" spans="2:83" ht="12" customHeight="1">
      <c r="B79" s="1336">
        <v>2</v>
      </c>
      <c r="C79" s="1454"/>
      <c r="D79" s="1452" t="s">
        <v>7442</v>
      </c>
      <c r="E79" s="1391"/>
      <c r="F79" s="382">
        <f>IF(ROWS(F$78:F79)&lt;=$E$78,ROWS(F$78:F79),"")</f>
        <v>2</v>
      </c>
      <c r="G79" s="1455">
        <f ca="1">IF(ROWS(G$78:G79)&lt;=$E$78,RAND(),"")</f>
        <v>0.7634179151951962</v>
      </c>
      <c r="H79" s="382">
        <f ca="1">IF(F79=ROWS(H$78:H79),RANK(G79,$G$78:$G$99))</f>
        <v>3</v>
      </c>
      <c r="I79" s="1452" t="s">
        <v>7442</v>
      </c>
      <c r="J79" s="1363" t="str">
        <f t="shared" ca="1" si="32"/>
        <v>Mold Earth</v>
      </c>
      <c r="K79" s="1394"/>
      <c r="L79" s="1338" t="s">
        <v>7184</v>
      </c>
      <c r="M79" s="1385"/>
      <c r="N79" s="382">
        <f>IF(ROWS(N$78:N79)&lt;=$M$78,ROWS(N$78:N79),"")</f>
        <v>2</v>
      </c>
      <c r="O79" s="1455">
        <f ca="1">IF(ROWS(O$78:O79)&lt;=$M$78,RAND(),"")</f>
        <v>0.47201053873096732</v>
      </c>
      <c r="P79" s="382">
        <f ca="1">IF(N79=ROWS(P$78:P79),RANK(O79,$O$78:$O$99),"")</f>
        <v>11</v>
      </c>
      <c r="Q79" s="1338" t="s">
        <v>7184</v>
      </c>
      <c r="R79" s="1363" t="str">
        <f t="shared" ref="R79:R97" ca="1" si="40">VLOOKUP(N79,$P$78:$Q$99,2,FALSE)</f>
        <v>Charm Person</v>
      </c>
      <c r="S79" s="1340" t="str">
        <f>IF(AND([1]MATH!$C$5&gt;2,[1]MATH!$C$9=1),HLOOKUP([1]MATH!$C$10,$BT$76:$CB$85,4,TRUE),"")</f>
        <v/>
      </c>
      <c r="T79" s="1338" t="s">
        <v>7357</v>
      </c>
      <c r="U79" s="1456"/>
      <c r="V79" s="382">
        <f>IF(ROWS(V$78:V79)&lt;=$U$78,ROWS(V$78:V79),"")</f>
        <v>2</v>
      </c>
      <c r="W79" s="1406">
        <f ca="1">IF(ROWS(W$78:W79)&lt;=$U$78,RAND(),"")</f>
        <v>0.37888278071457981</v>
      </c>
      <c r="X79" s="382">
        <f ca="1">IF(V79=ROWS(X$78:X79),RANK(W79,$W$78:$W$99),"")</f>
        <v>16</v>
      </c>
      <c r="Y79" s="1457" t="str">
        <f>IF(ROWS(Y$78:Y79)&gt;$U$78,"",INDEX($T$78:$T$99,_xlfn.AGGREGATE(15,6,(ROW($T$78:$T$99)-ROW($T$78)+1)/ISNA(MATCH($T$78:$T$99,$S$78:$S$99,0)),ROWS(Y$78:Y79))))</f>
        <v>Barkskin</v>
      </c>
      <c r="Z79" s="1458" t="str">
        <f ca="1">IF($S$78="",VLOOKUP(V79,$X$78:$Y$99,2,FALSE),S79)</f>
        <v>Locate Animals or Plants</v>
      </c>
      <c r="AA79" s="1340" t="str">
        <f>IF(AND([1]MATH!$C$5&gt;2,[1]MATH!$C$9=1),HLOOKUP([1]MATH!$C$10,$BT$76:$CB$85,6,TRUE),"")</f>
        <v/>
      </c>
      <c r="AB79" s="838" t="s">
        <v>7443</v>
      </c>
      <c r="AC79" s="1385"/>
      <c r="AD79" s="901">
        <f>IF(ROWS(AD$78:AD79)&lt;=$AC$78,ROWS(AD$78:AD79),"")</f>
        <v>2</v>
      </c>
      <c r="AE79" s="1459">
        <f ca="1">IF(ROWS(AE$78:AE79)&lt;=$AC$78,RAND(),"")</f>
        <v>0.19753302283548935</v>
      </c>
      <c r="AF79" s="382">
        <f ca="1">IF(ROWS(AE$78:AE79)&lt;=$AC$78,RANK(AE79,$AE$78:$AE$99),"")</f>
        <v>13</v>
      </c>
      <c r="AG79" s="1457" t="str">
        <f>IF(ROWS(AG$78:AG79)&gt;$AC$78,"",INDEX($AB$78:$AB$99,_xlfn.AGGREGATE(15,6,(ROW($AB$78:$AB$99)-ROW($AB$78)+1)/ISNA(MATCH($AB$78:$AB$99,$AA$78:$AA$99,0)),ROWS(AG$78:AG79))))</f>
        <v>Conjure Animals</v>
      </c>
      <c r="AH79" s="1363" t="str">
        <f ca="1">IF($AA$78="",VLOOKUP(AD79,$AF$78:$AG$99,2,FALSE),AA79)</f>
        <v>Wind Wall</v>
      </c>
      <c r="AI79" s="1340" t="str">
        <f>IF(AND([1]MATH!$C$5&gt;2,[1]MATH!$C$9=1),HLOOKUP([1]MATH!$C$10,$BT$76:$CB$85,8,TRUE),"")</f>
        <v/>
      </c>
      <c r="AJ79" s="1338" t="s">
        <v>7196</v>
      </c>
      <c r="AK79" s="1385"/>
      <c r="AL79" s="901">
        <f>IF(ROWS(AL$78:AL79)&lt;=$AK$78,ROWS(AL$78:AL79),"")</f>
        <v>2</v>
      </c>
      <c r="AM79" s="1459">
        <f ca="1">IF(ROWS(AM$78:AM79)&lt;=$AK$78,RAND(),"")</f>
        <v>0.37164178653607383</v>
      </c>
      <c r="AN79" s="382">
        <f ca="1">IF(ROWS(AM$78:AM79)&lt;=$AK$78,RANK(AM79,$AM$78:$AM$99),"")</f>
        <v>14</v>
      </c>
      <c r="AO79" s="368" t="str">
        <f>IF(ROWS(AG$78:AG79)&gt;$AK$78,"",INDEX($AJ$78:$AJ$99,_xlfn.AGGREGATE(15,6,(ROW($AJ$78:$AJ$99)-ROW($AJ$78)+1)/ISNA(MATCH($AJ$78:$AJ$99,$AI$78:$AI$99,0)),ROWS(AG$78:AG79))))</f>
        <v>Confusion</v>
      </c>
      <c r="AP79" s="1363" t="str">
        <f ca="1">IF($AI$78="",VLOOKUP(AL79,$AN$78:$AO$99,2,FALSE),AI79)</f>
        <v>Dominate Beast</v>
      </c>
      <c r="AQ79" s="1340" t="str">
        <f>IF(AND([1]MATH!$C$5&gt;2,[1]MATH!$C$9=1),HLOOKUP([1]MATH!$C$10,$BT$76:$CB$85,10,TRUE),"")</f>
        <v/>
      </c>
      <c r="AR79" s="1338" t="s">
        <v>7197</v>
      </c>
      <c r="AS79" s="1385"/>
      <c r="AT79" s="901">
        <f>IF(ROWS(AT$78:AT79)&lt;=$AS$78,ROWS(AT$78:AT79),"")</f>
        <v>2</v>
      </c>
      <c r="AU79" s="1460">
        <f ca="1">IF(ROWS(AU$78:AU79)&lt;=$AS$78,RAND(),"")</f>
        <v>0.16101395673175867</v>
      </c>
      <c r="AV79" s="382">
        <f ca="1">IF(ROWS(AU$78:AU79)&lt;=$AS$78,RANK(AU79,$AU$78:$AU$99),"")</f>
        <v>14</v>
      </c>
      <c r="AW79" s="998" t="str">
        <f>IF(ROWS(AG$78:AG79)&gt;$AS$78,"",INDEX($AR$78:$AR$99,_xlfn.AGGREGATE(15,6,(ROW($AR$78:$AR$99)-ROW($AR$78)+1)/ISNA(MATCH($AR$78:$AR$99,$AQ$78:$AQ$99,0)),ROWS(AG$78:AG79))))</f>
        <v>Awaken</v>
      </c>
      <c r="AX79" s="1461" t="str">
        <f ca="1">IF($AQ$78="",VLOOKUP(AT79,$AV$78:$AW$99,2,FALSE),AQ79)</f>
        <v>Transmute Rock</v>
      </c>
      <c r="AY79" s="1394">
        <v>2</v>
      </c>
      <c r="AZ79" s="1337">
        <f t="shared" ca="1" si="33"/>
        <v>0.27533117759347636</v>
      </c>
      <c r="BA79" s="488">
        <f t="shared" ref="BA79:BA92" ca="1" si="41">RANK(AZ79,AZ$78:AZ$92)</f>
        <v>12</v>
      </c>
      <c r="BB79" s="1333" t="s">
        <v>7444</v>
      </c>
      <c r="BC79" s="1453" t="str">
        <f t="shared" ref="BC79:BC92" ca="1" si="42">IF(AY79&gt;0,VLOOKUP($AY79,$BA$78:$BB$92,2,FALSE),"")</f>
        <v>Heroes's Feast</v>
      </c>
      <c r="BD79" s="1394">
        <v>2</v>
      </c>
      <c r="BE79" s="1406">
        <f t="shared" ca="1" si="34"/>
        <v>0.87339954569700973</v>
      </c>
      <c r="BF79" s="382">
        <f t="shared" ca="1" si="35"/>
        <v>1</v>
      </c>
      <c r="BG79" s="1338" t="s">
        <v>7209</v>
      </c>
      <c r="BH79" s="1363" t="str">
        <f t="shared" ca="1" si="36"/>
        <v>Plane Shift</v>
      </c>
      <c r="BI79" s="1394">
        <v>2</v>
      </c>
      <c r="BJ79" s="1406">
        <f t="shared" ca="1" si="37"/>
        <v>0.63230447264318801</v>
      </c>
      <c r="BK79" s="382">
        <f t="shared" ca="1" si="38"/>
        <v>4</v>
      </c>
      <c r="BL79" s="368" t="s">
        <v>7445</v>
      </c>
      <c r="BM79" s="1363" t="str">
        <f t="shared" ca="1" si="39"/>
        <v>Feeblemind</v>
      </c>
      <c r="BN79" s="1394">
        <v>2</v>
      </c>
      <c r="BO79" s="1406">
        <f ca="1">IF(BN79=$B$104,$B$104,RAND())</f>
        <v>0.80667803911002434</v>
      </c>
      <c r="BP79" s="382">
        <f ca="1">RANK(BO79,BO$78:BO$81)</f>
        <v>3</v>
      </c>
      <c r="BQ79" s="368" t="s">
        <v>7446</v>
      </c>
      <c r="BR79" s="1363" t="str">
        <f ca="1">IF(BN79&gt;0,VLOOKUP($BN78,$BP$78:$BQ$81,2,FALSE),"")</f>
        <v>Storm of Vengeance</v>
      </c>
      <c r="BS79" s="271" t="s">
        <v>1287</v>
      </c>
      <c r="BT79" s="1130">
        <v>3</v>
      </c>
      <c r="BU79" s="909" t="s">
        <v>7370</v>
      </c>
      <c r="BV79" s="909" t="s">
        <v>7447</v>
      </c>
      <c r="BW79" s="909" t="s">
        <v>7297</v>
      </c>
      <c r="BX79" s="909" t="s">
        <v>2915</v>
      </c>
      <c r="BY79" s="909" t="s">
        <v>7371</v>
      </c>
      <c r="BZ79" s="909" t="s">
        <v>7370</v>
      </c>
      <c r="CA79" s="909" t="s">
        <v>7448</v>
      </c>
      <c r="CB79" s="909" t="s">
        <v>7449</v>
      </c>
    </row>
    <row r="80" spans="2:83" ht="12" customHeight="1">
      <c r="B80" s="1336">
        <v>3</v>
      </c>
      <c r="C80" s="1454"/>
      <c r="D80" s="1338" t="s">
        <v>7450</v>
      </c>
      <c r="E80" s="1402"/>
      <c r="F80" s="382">
        <f>IF(ROWS(F$78:F80)&lt;=$E$78,ROWS(F$78:F80),"")</f>
        <v>3</v>
      </c>
      <c r="G80" s="1455">
        <f ca="1">IF(ROWS(G$78:G80)&lt;=$E$78,RAND(),"")</f>
        <v>8.336539323343406E-2</v>
      </c>
      <c r="H80" s="382">
        <f ca="1">IF(F80=ROWS(H$78:H80),RANK(G80,$G$78:$G$99))</f>
        <v>13</v>
      </c>
      <c r="I80" s="1338" t="s">
        <v>7450</v>
      </c>
      <c r="J80" s="1363" t="str">
        <f t="shared" ca="1" si="32"/>
        <v>Create Bonfire</v>
      </c>
      <c r="K80" s="1394"/>
      <c r="L80" s="1452" t="s">
        <v>7451</v>
      </c>
      <c r="M80" s="1385"/>
      <c r="N80" s="382">
        <f>IF(ROWS(N$78:N80)&lt;=$M$78,ROWS(N$78:N80),"")</f>
        <v>3</v>
      </c>
      <c r="O80" s="1455">
        <f ca="1">IF(ROWS(O$78:O80)&lt;=$M$78,RAND(),"")</f>
        <v>0.48687961014106584</v>
      </c>
      <c r="P80" s="382">
        <f ca="1">IF(N80=ROWS(P$78:P80),RANK(O80,$O$78:$O$99),"")</f>
        <v>9</v>
      </c>
      <c r="Q80" s="1452" t="s">
        <v>7451</v>
      </c>
      <c r="R80" s="1363" t="str">
        <f t="shared" ca="1" si="40"/>
        <v>Thunderwave</v>
      </c>
      <c r="S80" s="1394"/>
      <c r="T80" s="1338" t="s">
        <v>7452</v>
      </c>
      <c r="U80" s="1456"/>
      <c r="V80" s="382">
        <f>IF(ROWS(V$78:V80)&lt;=$U$78,ROWS(V$78:V80),"")</f>
        <v>3</v>
      </c>
      <c r="W80" s="1406">
        <f ca="1">IF(ROWS(W$78:W80)&lt;=$U$78,RAND(),"")</f>
        <v>9.7164758835533771E-2</v>
      </c>
      <c r="X80" s="382">
        <f ca="1">IF(V80=ROWS(X$78:X80),RANK(W80,$W$78:$W$99),"")</f>
        <v>20</v>
      </c>
      <c r="Y80" s="1457" t="str">
        <f>IF(ROWS(Y$78:Y80)&gt;$U$78,"",INDEX($T$78:$T$99,_xlfn.AGGREGATE(15,6,(ROW($T$78:$T$99)-ROW($T$78)+1)/ISNA(MATCH($T$78:$T$99,$S$78:$S$99,0)),ROWS(Y$78:Y80))))</f>
        <v>Beast Sense</v>
      </c>
      <c r="Z80" s="1458" t="str">
        <f ca="1">IF(V80=$B$48," ",VLOOKUP($B52,X$78:Y$99,2,FALSE))</f>
        <v>Gust of Wind</v>
      </c>
      <c r="AA80" s="1394"/>
      <c r="AB80" s="838" t="s">
        <v>7378</v>
      </c>
      <c r="AC80" s="1385"/>
      <c r="AD80" s="901">
        <f>IF(ROWS(AD$78:AD80)&lt;=$AC$78,ROWS(AD$78:AD80),"")</f>
        <v>3</v>
      </c>
      <c r="AE80" s="1459">
        <f ca="1">IF(ROWS(AE$78:AE80)&lt;=$AC$78,RAND(),"")</f>
        <v>0.52713631273187578</v>
      </c>
      <c r="AF80" s="382">
        <f ca="1">IF(ROWS(AE$78:AE80)&lt;=$AC$78,RANK(AE80,$AE$78:$AE$99),"")</f>
        <v>7</v>
      </c>
      <c r="AG80" s="1457" t="str">
        <f>IF(ROWS(AG$78:AG80)&gt;$AC$78,"",INDEX($AB$78:$AB$99,_xlfn.AGGREGATE(15,6,(ROW($AB$78:$AB$99)-ROW($AB$78)+1)/ISNA(MATCH($AB$78:$AB$99,$AA$78:$AA$99,0)),ROWS(AG$78:AG80))))</f>
        <v>Daylight</v>
      </c>
      <c r="AH80" s="1458" t="str">
        <f t="shared" ref="AH80:AH88" ca="1" si="43">IF(AD80=$B$48," ",VLOOKUP($B52,AF$78:AG$95,2,FALSE))</f>
        <v>Dispel Magic</v>
      </c>
      <c r="AI80" s="1394"/>
      <c r="AJ80" s="1338" t="s">
        <v>7453</v>
      </c>
      <c r="AK80" s="1385"/>
      <c r="AL80" s="901">
        <f>IF(ROWS(AL$78:AL80)&lt;=$AK$78,ROWS(AL$78:AL80),"")</f>
        <v>3</v>
      </c>
      <c r="AM80" s="1459">
        <f ca="1">IF(ROWS(AM$78:AM80)&lt;=$AK$78,RAND(),"")</f>
        <v>7.9332633194257873E-2</v>
      </c>
      <c r="AN80" s="382">
        <f ca="1">IF(ROWS(AM$78:AM80)&lt;=$AK$78,RANK(AM80,$AM$78:$AM$99),"")</f>
        <v>18</v>
      </c>
      <c r="AO80" s="368" t="str">
        <f>IF(ROWS(AG$78:AG80)&gt;$AK$78,"",INDEX($AJ$78:$AJ$99,_xlfn.AGGREGATE(15,6,(ROW($AJ$78:$AJ$99)-ROW($AJ$78)+1)/ISNA(MATCH($AJ$78:$AJ$99,$AI$78:$AI$99,0)),ROWS(AG$78:AG80))))</f>
        <v>Conjure Minor Elementals</v>
      </c>
      <c r="AP80" s="1363" t="str">
        <f t="shared" ref="AP80:AP95" ca="1" si="44">IF(AL80=$B$48," ",VLOOKUP($B52,AN$78:AO$99,2,FALSE))</f>
        <v>Wall of Fire</v>
      </c>
      <c r="AQ80" s="1394"/>
      <c r="AR80" s="1338" t="s">
        <v>7454</v>
      </c>
      <c r="AS80" s="1385"/>
      <c r="AT80" s="901">
        <f>IF(ROWS(AT$78:AT80)&lt;=$AS$78,ROWS(AT$78:AT80),"")</f>
        <v>3</v>
      </c>
      <c r="AU80" s="1460">
        <f ca="1">IF(ROWS(AU$78:AU80)&lt;=$AS$78,RAND(),"")</f>
        <v>0.75411908581911835</v>
      </c>
      <c r="AV80" s="382">
        <f ca="1">IF(ROWS(AU$78:AU80)&lt;=$AS$78,RANK(AU80,$AU$78:$AU$99),"")</f>
        <v>7</v>
      </c>
      <c r="AW80" s="998" t="str">
        <f>IF(ROWS(AG$78:AG80)&gt;$AS$78,"",INDEX($AR$78:$AR$99,_xlfn.AGGREGATE(15,6,(ROW($AR$78:$AR$99)-ROW($AR$78)+1)/ISNA(MATCH($AR$78:$AR$99,$AQ$78:$AQ$99,0)),ROWS(AG$78:AG80))))</f>
        <v>Commune with Nature</v>
      </c>
      <c r="AX80" s="1461" t="str">
        <f t="shared" ref="AX80:AX95" ca="1" si="45">IF(AT80=$B$48," ",VLOOKUP($B52,AV$78:AW$99,2,FALSE))</f>
        <v>Scrying</v>
      </c>
      <c r="AY80" s="1394">
        <v>3</v>
      </c>
      <c r="AZ80" s="1337">
        <f t="shared" ca="1" si="33"/>
        <v>0.41366947707977086</v>
      </c>
      <c r="BA80" s="488">
        <f t="shared" ca="1" si="41"/>
        <v>9</v>
      </c>
      <c r="BB80" s="1338" t="s">
        <v>7198</v>
      </c>
      <c r="BC80" s="1453" t="str">
        <f t="shared" ca="1" si="42"/>
        <v>Investiture of Wind</v>
      </c>
      <c r="BD80" s="1394">
        <v>3</v>
      </c>
      <c r="BE80" s="1406">
        <f t="shared" ca="1" si="34"/>
        <v>0.84426698156671787</v>
      </c>
      <c r="BF80" s="382">
        <f t="shared" ca="1" si="35"/>
        <v>2</v>
      </c>
      <c r="BG80" s="1338" t="s">
        <v>7377</v>
      </c>
      <c r="BH80" s="1363" t="str">
        <f t="shared" ca="1" si="36"/>
        <v>Reverse Gravity</v>
      </c>
      <c r="BI80" s="1394">
        <v>3</v>
      </c>
      <c r="BJ80" s="1406">
        <f t="shared" ca="1" si="37"/>
        <v>0.10454166609848226</v>
      </c>
      <c r="BK80" s="382">
        <f t="shared" ca="1" si="38"/>
        <v>6</v>
      </c>
      <c r="BL80" s="368" t="s">
        <v>7349</v>
      </c>
      <c r="BM80" s="1363" t="str">
        <f t="shared" ca="1" si="39"/>
        <v>Earthquake</v>
      </c>
      <c r="BN80" s="1394">
        <v>3</v>
      </c>
      <c r="BO80" s="1406">
        <f ca="1">IF(BN80=$B$104,$B$104,RAND())</f>
        <v>0.98447563158648299</v>
      </c>
      <c r="BP80" s="382">
        <f ca="1">RANK(BO80,BO$78:BO$81)</f>
        <v>1</v>
      </c>
      <c r="BQ80" s="368" t="s">
        <v>7455</v>
      </c>
      <c r="BR80" s="1363" t="str">
        <f ca="1">IF(BN80&gt;0,VLOOKUP($BN79,$BP$78:$BQ$81,2,FALSE),"")</f>
        <v>True Resurrection</v>
      </c>
      <c r="BS80" s="271" t="s">
        <v>1287</v>
      </c>
      <c r="BT80" s="1130">
        <v>5</v>
      </c>
      <c r="BU80" s="909" t="s">
        <v>7389</v>
      </c>
      <c r="BV80" s="909" t="s">
        <v>3102</v>
      </c>
      <c r="BW80" s="909" t="s">
        <v>7456</v>
      </c>
      <c r="BX80" s="909" t="s">
        <v>7379</v>
      </c>
      <c r="BY80" s="909" t="s">
        <v>7378</v>
      </c>
      <c r="BZ80" s="909" t="s">
        <v>7457</v>
      </c>
      <c r="CA80" s="909" t="s">
        <v>7458</v>
      </c>
      <c r="CB80" s="909" t="s">
        <v>7459</v>
      </c>
    </row>
    <row r="81" spans="2:112" ht="12" customHeight="1">
      <c r="B81" s="1336">
        <v>4</v>
      </c>
      <c r="C81" s="1454"/>
      <c r="D81" s="1452" t="s">
        <v>7460</v>
      </c>
      <c r="E81" s="1402"/>
      <c r="F81" s="382">
        <f>IF(ROWS(F$78:F81)&lt;=$E$78,ROWS(F$78:F81),"")</f>
        <v>4</v>
      </c>
      <c r="G81" s="1455">
        <f ca="1">IF(ROWS(G$78:G81)&lt;=$E$78,RAND(),"")</f>
        <v>7.2756199439051761E-2</v>
      </c>
      <c r="H81" s="382">
        <f ca="1">IF(F81=ROWS(H$78:H81),RANK(G81,$G$78:$G$99))</f>
        <v>14</v>
      </c>
      <c r="I81" s="1452" t="s">
        <v>7460</v>
      </c>
      <c r="J81" s="1363" t="str">
        <f t="shared" ca="1" si="32"/>
        <v>Resistance</v>
      </c>
      <c r="K81" s="1394"/>
      <c r="L81" s="1338" t="s">
        <v>7203</v>
      </c>
      <c r="M81" s="1385"/>
      <c r="N81" s="382">
        <f>IF(ROWS(N$78:N81)&lt;=$M$78,ROWS(N$78:N81),"")</f>
        <v>4</v>
      </c>
      <c r="O81" s="1455">
        <f ca="1">IF(ROWS(O$78:O81)&lt;=$M$78,RAND(),"")</f>
        <v>0.91796298686264211</v>
      </c>
      <c r="P81" s="382">
        <f ca="1">IF(N81=ROWS(P$78:P81),RANK(O81,$O$78:$O$99),"")</f>
        <v>2</v>
      </c>
      <c r="Q81" s="1338" t="s">
        <v>7203</v>
      </c>
      <c r="R81" s="1363" t="str">
        <f t="shared" ca="1" si="40"/>
        <v>Absorb Elements</v>
      </c>
      <c r="S81" s="1394"/>
      <c r="T81" s="1338" t="s">
        <v>7461</v>
      </c>
      <c r="U81" s="1456"/>
      <c r="V81" s="382">
        <f>IF(ROWS(V$78:V81)&lt;=$U$78,ROWS(V$78:V81),"")</f>
        <v>4</v>
      </c>
      <c r="W81" s="1406">
        <f ca="1">IF(ROWS(W$78:W81)&lt;=$U$78,RAND(),"")</f>
        <v>0.74489042874241129</v>
      </c>
      <c r="X81" s="382">
        <f ca="1">IF(V81=ROWS(X$78:X81),RANK(W81,$W$78:$W$99),"")</f>
        <v>9</v>
      </c>
      <c r="Y81" s="1457" t="str">
        <f>IF(ROWS(Y$78:Y81)&gt;$U$78,"",INDEX($T$78:$T$99,_xlfn.AGGREGATE(15,6,(ROW($T$78:$T$99)-ROW($T$78)+1)/ISNA(MATCH($T$78:$T$99,$S$78:$S$99,0)),ROWS(Y$78:Y81))))</f>
        <v>Darkvision</v>
      </c>
      <c r="Z81" s="1458" t="str">
        <f t="shared" ref="Z81:Z99" ca="1" si="46">IF(V81=$B$48," ",VLOOKUP($B53,X$78:Y$99,2,FALSE))</f>
        <v>Hold Person</v>
      </c>
      <c r="AA81" s="1394"/>
      <c r="AB81" s="838" t="s">
        <v>7205</v>
      </c>
      <c r="AC81" s="1385"/>
      <c r="AD81" s="901">
        <f>IF(ROWS(AD$78:AD81)&lt;=$AC$78,ROWS(AD$78:AD81),"")</f>
        <v>4</v>
      </c>
      <c r="AE81" s="1459">
        <f ca="1">IF(ROWS(AE$78:AE81)&lt;=$AC$78,RAND(),"")</f>
        <v>0.767169177528914</v>
      </c>
      <c r="AF81" s="382">
        <f ca="1">IF(ROWS(AE$78:AE81)&lt;=$AC$78,RANK(AE81,$AE$78:$AE$99),"")</f>
        <v>3</v>
      </c>
      <c r="AG81" s="1457" t="str">
        <f>IF(ROWS(AG$78:AG81)&gt;$AC$78,"",INDEX($AB$78:$AB$99,_xlfn.AGGREGATE(15,6,(ROW($AB$78:$AB$99)-ROW($AB$78)+1)/ISNA(MATCH($AB$78:$AB$99,$AA$78:$AA$99,0)),ROWS(AG$78:AG81))))</f>
        <v>Dispel Magic</v>
      </c>
      <c r="AH81" s="1458" t="str">
        <f t="shared" ca="1" si="43"/>
        <v>Plant Growth</v>
      </c>
      <c r="AI81" s="1394"/>
      <c r="AJ81" s="1338" t="s">
        <v>7462</v>
      </c>
      <c r="AK81" s="1385"/>
      <c r="AL81" s="901">
        <f>IF(ROWS(AL$78:AL81)&lt;=$AK$78,ROWS(AL$78:AL81),"")</f>
        <v>4</v>
      </c>
      <c r="AM81" s="1459">
        <f ca="1">IF(ROWS(AM$78:AM81)&lt;=$AK$78,RAND(),"")</f>
        <v>0.66157763412390125</v>
      </c>
      <c r="AN81" s="382">
        <f ca="1">IF(ROWS(AM$78:AM81)&lt;=$AK$78,RANK(AM81,$AM$78:$AM$99),"")</f>
        <v>9</v>
      </c>
      <c r="AO81" s="368" t="str">
        <f>IF(ROWS(AG$78:AG81)&gt;$AK$78,"",INDEX($AJ$78:$AJ$99,_xlfn.AGGREGATE(15,6,(ROW($AJ$78:$AJ$99)-ROW($AJ$78)+1)/ISNA(MATCH($AJ$78:$AJ$99,$AI$78:$AI$99,0)),ROWS(AG$78:AG81))))</f>
        <v>Conjure Woodland Beings</v>
      </c>
      <c r="AP81" s="1363" t="str">
        <f t="shared" ca="1" si="44"/>
        <v>Watery Sphere</v>
      </c>
      <c r="AQ81" s="1394"/>
      <c r="AR81" s="1338" t="s">
        <v>7463</v>
      </c>
      <c r="AS81" s="1385"/>
      <c r="AT81" s="901">
        <f>IF(ROWS(AT$78:AT81)&lt;=$AS$78,ROWS(AT$78:AT81),"")</f>
        <v>4</v>
      </c>
      <c r="AU81" s="1460">
        <f ca="1">IF(ROWS(AU$78:AU81)&lt;=$AS$78,RAND(),"")</f>
        <v>0.59095978031645535</v>
      </c>
      <c r="AV81" s="382">
        <f ca="1">IF(ROWS(AU$78:AU81)&lt;=$AS$78,RANK(AU81,$AU$78:$AU$99),"")</f>
        <v>9</v>
      </c>
      <c r="AW81" s="998" t="str">
        <f>IF(ROWS(AG$78:AG81)&gt;$AS$78,"",INDEX($AR$78:$AR$99,_xlfn.AGGREGATE(15,6,(ROW($AR$78:$AR$99)-ROW($AR$78)+1)/ISNA(MATCH($AR$78:$AR$99,$AQ$78:$AQ$99,0)),ROWS(AG$78:AG81))))</f>
        <v>Conjure Elemental</v>
      </c>
      <c r="AX81" s="1461" t="str">
        <f t="shared" ca="1" si="45"/>
        <v>Tree Stride</v>
      </c>
      <c r="AY81" s="1394">
        <v>4</v>
      </c>
      <c r="AZ81" s="1337">
        <f t="shared" ca="1" si="33"/>
        <v>0.56356118863771687</v>
      </c>
      <c r="BA81" s="488">
        <f t="shared" ca="1" si="41"/>
        <v>5</v>
      </c>
      <c r="BB81" s="1338" t="s">
        <v>7385</v>
      </c>
      <c r="BC81" s="1453" t="str">
        <f t="shared" ca="1" si="42"/>
        <v>Primordial Ward</v>
      </c>
      <c r="BD81" s="1394">
        <v>4</v>
      </c>
      <c r="BE81" s="1406">
        <f t="shared" ca="1" si="34"/>
        <v>7.4152483515287471E-2</v>
      </c>
      <c r="BF81" s="382">
        <f t="shared" ca="1" si="35"/>
        <v>6</v>
      </c>
      <c r="BG81" s="1338" t="s">
        <v>7244</v>
      </c>
      <c r="BH81" s="1363" t="str">
        <f t="shared" ca="1" si="36"/>
        <v>Whirlwind</v>
      </c>
      <c r="BI81" s="1394">
        <v>4</v>
      </c>
      <c r="BJ81" s="1406">
        <f t="shared" ca="1" si="37"/>
        <v>0.77861629842607871</v>
      </c>
      <c r="BK81" s="382">
        <f t="shared" ca="1" si="38"/>
        <v>3</v>
      </c>
      <c r="BL81" s="368" t="s">
        <v>7354</v>
      </c>
      <c r="BM81" s="1363" t="str">
        <f t="shared" ca="1" si="39"/>
        <v>Antipathy/Sympathy</v>
      </c>
      <c r="BN81" s="1394">
        <v>4</v>
      </c>
      <c r="BO81" s="1406">
        <f ca="1">IF(BN81=$B$104,$B$104,RAND())</f>
        <v>0.92499082293467427</v>
      </c>
      <c r="BP81" s="382">
        <f ca="1">RANK(BO81,BO$78:BO$81)</f>
        <v>2</v>
      </c>
      <c r="BQ81" s="368" t="s">
        <v>7464</v>
      </c>
      <c r="BR81" s="1363" t="str">
        <f ca="1">IF(BN81&gt;0,VLOOKUP($BN80,$BP$78:$BQ$81,2,FALSE),"")</f>
        <v>Shapechange</v>
      </c>
      <c r="BS81" s="271" t="s">
        <v>1287</v>
      </c>
      <c r="BT81" s="1130">
        <v>5</v>
      </c>
      <c r="BU81" s="1462" t="s">
        <v>7465</v>
      </c>
      <c r="BV81" s="1462" t="s">
        <v>7458</v>
      </c>
      <c r="BW81" s="1462" t="s">
        <v>7466</v>
      </c>
      <c r="BX81" s="1462" t="s">
        <v>7265</v>
      </c>
      <c r="BY81" s="1462" t="s">
        <v>7467</v>
      </c>
      <c r="BZ81" s="1462" t="s">
        <v>7468</v>
      </c>
      <c r="CA81" s="1462" t="s">
        <v>7282</v>
      </c>
      <c r="CB81" s="909" t="s">
        <v>7282</v>
      </c>
    </row>
    <row r="82" spans="2:112" ht="12" customHeight="1">
      <c r="B82" s="1336">
        <v>5</v>
      </c>
      <c r="C82" s="1454"/>
      <c r="D82" s="1338" t="s">
        <v>7329</v>
      </c>
      <c r="E82" s="1402"/>
      <c r="F82" s="382">
        <f>IF(ROWS(F$78:F82)&lt;=$E$78,ROWS(F$78:F82),"")</f>
        <v>5</v>
      </c>
      <c r="G82" s="1455">
        <f ca="1">IF(ROWS(G$78:G82)&lt;=$E$78,RAND(),"")</f>
        <v>0.23530914151467464</v>
      </c>
      <c r="H82" s="382">
        <f ca="1">IF(F82=ROWS(H$78:H82),RANK(G82,$G$78:$G$99))</f>
        <v>10</v>
      </c>
      <c r="I82" s="1338" t="s">
        <v>7329</v>
      </c>
      <c r="J82" s="1363" t="str">
        <f t="shared" ca="1" si="32"/>
        <v>Poison Spray</v>
      </c>
      <c r="K82" s="1394"/>
      <c r="L82" s="1338" t="s">
        <v>7362</v>
      </c>
      <c r="M82" s="1385"/>
      <c r="N82" s="382">
        <f>IF(ROWS(N$78:N82)&lt;=$M$78,ROWS(N$78:N82),"")</f>
        <v>5</v>
      </c>
      <c r="O82" s="1455">
        <f ca="1">IF(ROWS(O$78:O82)&lt;=$M$78,RAND(),"")</f>
        <v>0.80982594003664277</v>
      </c>
      <c r="P82" s="382">
        <f ca="1">IF(N82=ROWS(P$78:P82),RANK(O82,$O$78:$O$99),"")</f>
        <v>6</v>
      </c>
      <c r="Q82" s="1338" t="s">
        <v>7362</v>
      </c>
      <c r="R82" s="1363" t="str">
        <f t="shared" ca="1" si="40"/>
        <v>Entangle</v>
      </c>
      <c r="S82" s="1394"/>
      <c r="T82" s="1452" t="s">
        <v>7469</v>
      </c>
      <c r="U82" s="1456"/>
      <c r="V82" s="382">
        <f>IF(ROWS(V$78:V82)&lt;=$U$78,ROWS(V$78:V82),"")</f>
        <v>5</v>
      </c>
      <c r="W82" s="1406">
        <f ca="1">IF(ROWS(W$78:W82)&lt;=$U$78,RAND(),"")</f>
        <v>0.90441979353479796</v>
      </c>
      <c r="X82" s="382">
        <f ca="1">IF(V82=ROWS(X$78:X82),RANK(W82,$W$78:$W$99),"")</f>
        <v>5</v>
      </c>
      <c r="Y82" s="1457" t="str">
        <f>IF(ROWS(Y$78:Y82)&gt;$U$78,"",INDEX($T$78:$T$99,_xlfn.AGGREGATE(15,6,(ROW($T$78:$T$99)-ROW($T$78)+1)/ISNA(MATCH($T$78:$T$99,$S$78:$S$99,0)),ROWS(Y$78:Y82))))</f>
        <v>Dust Devil</v>
      </c>
      <c r="Z82" s="1458" t="str">
        <f t="shared" ca="1" si="46"/>
        <v>Dust Devil</v>
      </c>
      <c r="AA82" s="1394"/>
      <c r="AB82" s="1452" t="s">
        <v>7470</v>
      </c>
      <c r="AC82" s="1385"/>
      <c r="AD82" s="901">
        <f>IF(ROWS(AD$78:AD82)&lt;=$AC$78,ROWS(AD$78:AD82),"")</f>
        <v>5</v>
      </c>
      <c r="AE82" s="1459">
        <f ca="1">IF(ROWS(AE$78:AE82)&lt;=$AC$78,RAND(),"")</f>
        <v>0.33961180720192274</v>
      </c>
      <c r="AF82" s="382">
        <f ca="1">IF(ROWS(AE$78:AE82)&lt;=$AC$78,RANK(AE82,$AE$78:$AE$99),"")</f>
        <v>11</v>
      </c>
      <c r="AG82" s="1457" t="str">
        <f>IF(ROWS(AG$78:AG82)&gt;$AC$78,"",INDEX($AB$78:$AB$99,_xlfn.AGGREGATE(15,6,(ROW($AB$78:$AB$99)-ROW($AB$78)+1)/ISNA(MATCH($AB$78:$AB$99,$AA$78:$AA$99,0)),ROWS(AG$78:AG82))))</f>
        <v>Erupting Earth</v>
      </c>
      <c r="AH82" s="1458" t="str">
        <f t="shared" ca="1" si="43"/>
        <v>Wall of Water</v>
      </c>
      <c r="AI82" s="1394"/>
      <c r="AJ82" s="1338" t="s">
        <v>7345</v>
      </c>
      <c r="AK82" s="1385"/>
      <c r="AL82" s="901">
        <f>IF(ROWS(AL$78:AL82)&lt;=$AK$78,ROWS(AL$78:AL82),"")</f>
        <v>5</v>
      </c>
      <c r="AM82" s="1459">
        <f ca="1">IF(ROWS(AM$78:AM82)&lt;=$AK$78,RAND(),"")</f>
        <v>0.3928332846463739</v>
      </c>
      <c r="AN82" s="382">
        <f ca="1">IF(ROWS(AM$78:AM82)&lt;=$AK$78,RANK(AM82,$AM$78:$AM$99),"")</f>
        <v>12</v>
      </c>
      <c r="AO82" s="368" t="str">
        <f>IF(ROWS(AG$78:AG82)&gt;$AK$78,"",INDEX($AJ$78:$AJ$99,_xlfn.AGGREGATE(15,6,(ROW($AJ$78:$AJ$99)-ROW($AJ$78)+1)/ISNA(MATCH($AJ$78:$AJ$99,$AI$78:$AI$99,0)),ROWS(AG$78:AG82))))</f>
        <v>Control Water</v>
      </c>
      <c r="AP82" s="1363" t="str">
        <f t="shared" ca="1" si="44"/>
        <v>Blight</v>
      </c>
      <c r="AQ82" s="1394"/>
      <c r="AR82" s="1338" t="s">
        <v>7346</v>
      </c>
      <c r="AS82" s="1385"/>
      <c r="AT82" s="901">
        <f>IF(ROWS(AT$78:AT82)&lt;=$AS$78,ROWS(AT$78:AT82),"")</f>
        <v>5</v>
      </c>
      <c r="AU82" s="1460">
        <f ca="1">IF(ROWS(AU$78:AU82)&lt;=$AS$78,RAND(),"")</f>
        <v>0.58371924941397113</v>
      </c>
      <c r="AV82" s="382">
        <f ca="1">IF(ROWS(AU$78:AU82)&lt;=$AS$78,RANK(AU82,$AU$78:$AU$99),"")</f>
        <v>10</v>
      </c>
      <c r="AW82" s="998" t="str">
        <f>IF(ROWS(AG$78:AG82)&gt;$AS$78,"",INDEX($AR$78:$AR$99,_xlfn.AGGREGATE(15,6,(ROW($AR$78:$AR$99)-ROW($AR$78)+1)/ISNA(MATCH($AR$78:$AR$99,$AQ$78:$AQ$99,0)),ROWS(AG$78:AG82))))</f>
        <v>Contagion</v>
      </c>
      <c r="AX82" s="1461" t="str">
        <f t="shared" ca="1" si="45"/>
        <v>Antilife Shell</v>
      </c>
      <c r="AY82" s="1394">
        <v>5</v>
      </c>
      <c r="AZ82" s="1337">
        <f t="shared" ca="1" si="33"/>
        <v>0.85424143904263128</v>
      </c>
      <c r="BA82" s="488">
        <f t="shared" ca="1" si="41"/>
        <v>2</v>
      </c>
      <c r="BB82" s="1338" t="s">
        <v>7394</v>
      </c>
      <c r="BC82" s="1453" t="str">
        <f t="shared" ca="1" si="42"/>
        <v>Heal</v>
      </c>
      <c r="BD82" s="1394">
        <v>5</v>
      </c>
      <c r="BE82" s="1406">
        <f t="shared" ca="1" si="34"/>
        <v>0.39688105419359654</v>
      </c>
      <c r="BF82" s="382">
        <f t="shared" ca="1" si="35"/>
        <v>3</v>
      </c>
      <c r="BG82" s="1338" t="s">
        <v>7471</v>
      </c>
      <c r="BH82" s="1363" t="str">
        <f t="shared" ca="1" si="36"/>
        <v>Fire Storm</v>
      </c>
      <c r="BI82" s="1394">
        <v>5</v>
      </c>
      <c r="BJ82" s="1406">
        <f t="shared" ca="1" si="37"/>
        <v>0.84893961669492668</v>
      </c>
      <c r="BK82" s="382">
        <f t="shared" ca="1" si="38"/>
        <v>2</v>
      </c>
      <c r="BL82" s="368" t="s">
        <v>7200</v>
      </c>
      <c r="BM82" s="1363" t="str">
        <f t="shared" ca="1" si="39"/>
        <v>Animal Shapes</v>
      </c>
      <c r="BN82" s="1394"/>
      <c r="BO82" s="1406"/>
      <c r="BP82" s="382"/>
      <c r="BQ82" s="368"/>
      <c r="BR82" s="1363"/>
      <c r="BS82" s="271" t="s">
        <v>1287</v>
      </c>
      <c r="BT82" s="1130">
        <v>7</v>
      </c>
      <c r="BU82" s="1462" t="s">
        <v>4090</v>
      </c>
      <c r="BV82" s="1462" t="s">
        <v>7349</v>
      </c>
      <c r="BW82" s="1462" t="s">
        <v>7436</v>
      </c>
      <c r="BX82" s="1462" t="s">
        <v>6744</v>
      </c>
      <c r="BY82" s="1462" t="s">
        <v>6744</v>
      </c>
      <c r="BZ82" s="1462" t="s">
        <v>7400</v>
      </c>
      <c r="CA82" s="1462" t="s">
        <v>4090</v>
      </c>
      <c r="CB82" s="909" t="s">
        <v>7224</v>
      </c>
    </row>
    <row r="83" spans="2:112" ht="12" customHeight="1">
      <c r="B83" s="1336">
        <v>6</v>
      </c>
      <c r="C83" s="1454"/>
      <c r="D83" s="1452" t="s">
        <v>7472</v>
      </c>
      <c r="E83" s="1402"/>
      <c r="F83" s="382">
        <f>IF(ROWS(F$78:F83)&lt;=$E$78,ROWS(F$78:F83),"")</f>
        <v>6</v>
      </c>
      <c r="G83" s="1455">
        <f ca="1">IF(ROWS(G$78:G83)&lt;=$E$78,RAND(),"")</f>
        <v>0.52343479877268551</v>
      </c>
      <c r="H83" s="382">
        <f ca="1">IF(F83=ROWS(H$78:H83),RANK(G83,$G$78:$G$99))</f>
        <v>8</v>
      </c>
      <c r="I83" s="1452" t="s">
        <v>7472</v>
      </c>
      <c r="J83" s="1363" t="str">
        <f t="shared" ca="1" si="32"/>
        <v>Magic Stone</v>
      </c>
      <c r="K83" s="1394"/>
      <c r="L83" s="1338" t="s">
        <v>7221</v>
      </c>
      <c r="M83" s="1385"/>
      <c r="N83" s="382">
        <f>IF(ROWS(N$78:N83)&lt;=$M$78,ROWS(N$78:N83),"")</f>
        <v>6</v>
      </c>
      <c r="O83" s="1455">
        <f ca="1">IF(ROWS(O$78:O83)&lt;=$M$78,RAND(),"")</f>
        <v>0.61668335387735063</v>
      </c>
      <c r="P83" s="382">
        <f ca="1">IF(N83=ROWS(P$78:P83),RANK(O83,$O$78:$O$99),"")</f>
        <v>8</v>
      </c>
      <c r="Q83" s="1338" t="s">
        <v>7221</v>
      </c>
      <c r="R83" s="1363" t="str">
        <f t="shared" ca="1" si="40"/>
        <v>Create or Destroy Water</v>
      </c>
      <c r="S83" s="1394"/>
      <c r="T83" s="1452" t="s">
        <v>7473</v>
      </c>
      <c r="U83" s="1456"/>
      <c r="V83" s="382">
        <f>IF(ROWS(V$78:V83)&lt;=$U$78,ROWS(V$78:V83),"")</f>
        <v>6</v>
      </c>
      <c r="W83" s="1406">
        <f ca="1">IF(ROWS(W$78:W83)&lt;=$U$78,RAND(),"")</f>
        <v>0.67898590307143858</v>
      </c>
      <c r="X83" s="382">
        <f ca="1">IF(V83=ROWS(X$78:X83),RANK(W83,$W$78:$W$99),"")</f>
        <v>11</v>
      </c>
      <c r="Y83" s="1457" t="str">
        <f>IF(ROWS(Y$78:Y83)&gt;$U$78,"",INDEX($T$78:$T$99,_xlfn.AGGREGATE(15,6,(ROW($T$78:$T$99)-ROW($T$78)+1)/ISNA(MATCH($T$78:$T$99,$S$78:$S$99,0)),ROWS(Y$78:Y83))))</f>
        <v>Earthbind</v>
      </c>
      <c r="Z83" s="1458" t="str">
        <f t="shared" ca="1" si="46"/>
        <v>Flame Blade</v>
      </c>
      <c r="AA83" s="1394"/>
      <c r="AB83" s="838" t="s">
        <v>7223</v>
      </c>
      <c r="AC83" s="1385"/>
      <c r="AD83" s="901">
        <f>IF(ROWS(AD$78:AD83)&lt;=$AC$78,ROWS(AD$78:AD83),"")</f>
        <v>6</v>
      </c>
      <c r="AE83" s="1459">
        <f ca="1">IF(ROWS(AE$78:AE83)&lt;=$AC$78,RAND(),"")</f>
        <v>0.51825142566410143</v>
      </c>
      <c r="AF83" s="382">
        <f ca="1">IF(ROWS(AE$78:AE83)&lt;=$AC$78,RANK(AE83,$AE$78:$AE$99),"")</f>
        <v>8</v>
      </c>
      <c r="AG83" s="1457" t="str">
        <f>IF(ROWS(AG$78:AG83)&gt;$AC$78,"",INDEX($AB$78:$AB$99,_xlfn.AGGREGATE(15,6,(ROW($AB$78:$AB$99)-ROW($AB$78)+1)/ISNA(MATCH($AB$78:$AB$99,$AA$78:$AA$99,0)),ROWS(AG$78:AG83))))</f>
        <v>Feign Death</v>
      </c>
      <c r="AH83" s="1458" t="str">
        <f t="shared" ca="1" si="43"/>
        <v>Call Lightning</v>
      </c>
      <c r="AI83" s="1394"/>
      <c r="AJ83" s="1338" t="s">
        <v>7396</v>
      </c>
      <c r="AK83" s="1385"/>
      <c r="AL83" s="901">
        <f>IF(ROWS(AL$78:AL83)&lt;=$AK$78,ROWS(AL$78:AL83),"")</f>
        <v>6</v>
      </c>
      <c r="AM83" s="1459">
        <f ca="1">IF(ROWS(AM$78:AM83)&lt;=$AK$78,RAND(),"")</f>
        <v>0.87139793866759441</v>
      </c>
      <c r="AN83" s="382">
        <f ca="1">IF(ROWS(AM$78:AM83)&lt;=$AK$78,RANK(AM83,$AM$78:$AM$99),"")</f>
        <v>2</v>
      </c>
      <c r="AO83" s="368" t="str">
        <f>IF(ROWS(AG$78:AG83)&gt;$AK$78,"",INDEX($AJ$78:$AJ$99,_xlfn.AGGREGATE(15,6,(ROW($AJ$78:$AJ$99)-ROW($AJ$78)+1)/ISNA(MATCH($AJ$78:$AJ$99,$AI$78:$AI$99,0)),ROWS(AG$78:AG83))))</f>
        <v>Dominate Beast</v>
      </c>
      <c r="AP83" s="1363" t="str">
        <f t="shared" ca="1" si="44"/>
        <v>Hallucinatory Terrain</v>
      </c>
      <c r="AQ83" s="1394"/>
      <c r="AR83" s="1452" t="s">
        <v>7474</v>
      </c>
      <c r="AS83" s="1385"/>
      <c r="AT83" s="901">
        <f>IF(ROWS(AT$78:AT83)&lt;=$AS$78,ROWS(AT$78:AT83),"")</f>
        <v>6</v>
      </c>
      <c r="AU83" s="1460">
        <f ca="1">IF(ROWS(AU$78:AU83)&lt;=$AS$78,RAND(),"")</f>
        <v>0.61810235085473753</v>
      </c>
      <c r="AV83" s="382">
        <f ca="1">IF(ROWS(AU$78:AU83)&lt;=$AS$78,RANK(AU83,$AU$78:$AU$99),"")</f>
        <v>8</v>
      </c>
      <c r="AW83" s="998" t="str">
        <f>IF(ROWS(AG$78:AG83)&gt;$AS$78,"",INDEX($AR$78:$AR$99,_xlfn.AGGREGATE(15,6,(ROW($AR$78:$AR$99)-ROW($AR$78)+1)/ISNA(MATCH($AR$78:$AR$99,$AQ$78:$AQ$99,0)),ROWS(AG$78:AG83))))</f>
        <v>Control Winds</v>
      </c>
      <c r="AX83" s="1461" t="str">
        <f t="shared" ca="1" si="45"/>
        <v>Planar Binding</v>
      </c>
      <c r="AY83" s="1394">
        <v>6</v>
      </c>
      <c r="AZ83" s="1337">
        <f t="shared" ca="1" si="33"/>
        <v>0.47969377805020275</v>
      </c>
      <c r="BA83" s="488">
        <f t="shared" ca="1" si="41"/>
        <v>8</v>
      </c>
      <c r="BB83" s="1452" t="s">
        <v>7475</v>
      </c>
      <c r="BC83" s="1453" t="str">
        <f t="shared" ca="1" si="42"/>
        <v>Wind Walk</v>
      </c>
      <c r="BD83" s="1394">
        <v>6</v>
      </c>
      <c r="BE83" s="1406">
        <f t="shared" ca="1" si="34"/>
        <v>0.32080273022820527</v>
      </c>
      <c r="BF83" s="382">
        <f t="shared" ca="1" si="35"/>
        <v>4</v>
      </c>
      <c r="BG83" s="1452" t="s">
        <v>7476</v>
      </c>
      <c r="BH83" s="1363" t="str">
        <f t="shared" ca="1" si="36"/>
        <v>Regenerate</v>
      </c>
      <c r="BI83" s="1394">
        <v>6</v>
      </c>
      <c r="BJ83" s="1406">
        <f t="shared" ca="1" si="37"/>
        <v>0.9130004425246645</v>
      </c>
      <c r="BK83" s="382">
        <f t="shared" ca="1" si="38"/>
        <v>1</v>
      </c>
      <c r="BL83" s="368" t="s">
        <v>7477</v>
      </c>
      <c r="BM83" s="1363" t="str">
        <f t="shared" ca="1" si="39"/>
        <v>Control Weather</v>
      </c>
      <c r="BN83" s="1394"/>
      <c r="BO83" s="1406"/>
      <c r="BP83" s="382"/>
      <c r="BQ83" s="368"/>
      <c r="BR83" s="1363"/>
      <c r="BS83" s="271" t="s">
        <v>1287</v>
      </c>
      <c r="BT83" s="1130">
        <v>7</v>
      </c>
      <c r="BU83" s="1462" t="s">
        <v>7405</v>
      </c>
      <c r="BV83" s="1462" t="s">
        <v>4090</v>
      </c>
      <c r="BW83" s="1462" t="s">
        <v>7233</v>
      </c>
      <c r="BX83" s="1462" t="s">
        <v>4090</v>
      </c>
      <c r="BY83" s="1462" t="s">
        <v>4090</v>
      </c>
      <c r="BZ83" s="1462" t="s">
        <v>7406</v>
      </c>
      <c r="CA83" s="1462" t="s">
        <v>7241</v>
      </c>
      <c r="CB83" s="909" t="s">
        <v>7400</v>
      </c>
    </row>
    <row r="84" spans="2:112" ht="12" customHeight="1">
      <c r="B84" s="1336">
        <v>7</v>
      </c>
      <c r="C84" s="1454"/>
      <c r="D84" s="1452" t="s">
        <v>7478</v>
      </c>
      <c r="E84" s="1402"/>
      <c r="F84" s="382">
        <f>IF(ROWS(F$78:F84)&lt;=$E$78,ROWS(F$78:F84),"")</f>
        <v>7</v>
      </c>
      <c r="G84" s="1455">
        <f ca="1">IF(ROWS(G$78:G84)&lt;=$E$78,RAND(),"")</f>
        <v>0.60535269391583613</v>
      </c>
      <c r="H84" s="382">
        <f ca="1">IF(F84=ROWS(H$78:H84),RANK(G84,$G$78:$G$99))</f>
        <v>6</v>
      </c>
      <c r="I84" s="1452" t="s">
        <v>7478</v>
      </c>
      <c r="J84" s="1363" t="str">
        <f t="shared" ca="1" si="32"/>
        <v>Shillelagh</v>
      </c>
      <c r="K84" s="1394"/>
      <c r="L84" s="1338" t="s">
        <v>7230</v>
      </c>
      <c r="M84" s="1385"/>
      <c r="N84" s="382">
        <f>IF(ROWS(N$78:N84)&lt;=$M$78,ROWS(N$78:N84),"")</f>
        <v>7</v>
      </c>
      <c r="O84" s="1455">
        <f ca="1">IF(ROWS(O$78:O84)&lt;=$M$78,RAND(),"")</f>
        <v>0.25129686557385311</v>
      </c>
      <c r="P84" s="382">
        <f ca="1">IF(N84=ROWS(P$78:P84),RANK(O84,$O$78:$O$99),"")</f>
        <v>15</v>
      </c>
      <c r="Q84" s="1338" t="s">
        <v>7230</v>
      </c>
      <c r="R84" s="1363" t="str">
        <f t="shared" ca="1" si="40"/>
        <v>Longstrider</v>
      </c>
      <c r="S84" s="1394"/>
      <c r="T84" s="1338" t="s">
        <v>7239</v>
      </c>
      <c r="U84" s="1456"/>
      <c r="V84" s="382">
        <f>IF(ROWS(V$78:V84)&lt;=$U$78,ROWS(V$78:V84),"")</f>
        <v>7</v>
      </c>
      <c r="W84" s="1406">
        <f ca="1">IF(ROWS(W$78:W84)&lt;=$U$78,RAND(),"")</f>
        <v>6.5851989598582961E-2</v>
      </c>
      <c r="X84" s="382">
        <f ca="1">IF(V84=ROWS(X$78:X84),RANK(W84,$W$78:$W$99),"")</f>
        <v>22</v>
      </c>
      <c r="Y84" s="1457" t="str">
        <f>IF(ROWS(Y$78:Y84)&gt;$U$78,"",INDEX($T$78:$T$99,_xlfn.AGGREGATE(15,6,(ROW($T$78:$T$99)-ROW($T$78)+1)/ISNA(MATCH($T$78:$T$99,$S$78:$S$99,0)),ROWS(Y$78:Y84))))</f>
        <v>Enhance Ability</v>
      </c>
      <c r="Z84" s="1458" t="str">
        <f t="shared" ca="1" si="46"/>
        <v>Pass without Trace</v>
      </c>
      <c r="AA84" s="1394"/>
      <c r="AB84" s="1452" t="s">
        <v>7479</v>
      </c>
      <c r="AC84" s="1385"/>
      <c r="AD84" s="901">
        <f>IF(ROWS(AD$78:AD84)&lt;=$AC$78,ROWS(AD$78:AD84),"")</f>
        <v>7</v>
      </c>
      <c r="AE84" s="1459">
        <f ca="1">IF(ROWS(AE$78:AE84)&lt;=$AC$78,RAND(),"")</f>
        <v>4.4963127222204191E-2</v>
      </c>
      <c r="AF84" s="382">
        <f ca="1">IF(ROWS(AE$78:AE84)&lt;=$AC$78,RANK(AE84,$AE$78:$AE$99),"")</f>
        <v>16</v>
      </c>
      <c r="AG84" s="1457" t="str">
        <f>IF(ROWS(AG$78:AG84)&gt;$AC$78,"",INDEX($AB$78:$AB$99,_xlfn.AGGREGATE(15,6,(ROW($AB$78:$AB$99)-ROW($AB$78)+1)/ISNA(MATCH($AB$78:$AB$99,$AA$78:$AA$99,0)),ROWS(AG$78:AG84))))</f>
        <v>Flame Arrows</v>
      </c>
      <c r="AH84" s="1458" t="str">
        <f t="shared" ca="1" si="43"/>
        <v>Daylight</v>
      </c>
      <c r="AI84" s="1394"/>
      <c r="AJ84" s="1452" t="s">
        <v>7480</v>
      </c>
      <c r="AK84" s="1385"/>
      <c r="AL84" s="901">
        <f>IF(ROWS(AL$78:AL84)&lt;=$AK$78,ROWS(AL$78:AL84),"")</f>
        <v>7</v>
      </c>
      <c r="AM84" s="1459">
        <f ca="1">IF(ROWS(AM$78:AM84)&lt;=$AK$78,RAND(),"")</f>
        <v>0.15652662508407345</v>
      </c>
      <c r="AN84" s="382">
        <f ca="1">IF(ROWS(AM$78:AM84)&lt;=$AK$78,RANK(AM84,$AM$78:$AM$99),"")</f>
        <v>17</v>
      </c>
      <c r="AO84" s="368" t="str">
        <f>IF(ROWS(AG$78:AG84)&gt;$AK$78,"",INDEX($AJ$78:$AJ$99,_xlfn.AGGREGATE(15,6,(ROW($AJ$78:$AJ$99)-ROW($AJ$78)+1)/ISNA(MATCH($AJ$78:$AJ$99,$AI$78:$AI$99,0)),ROWS(AG$78:AG84))))</f>
        <v>Elemental Bane</v>
      </c>
      <c r="AP84" s="1363" t="str">
        <f t="shared" ca="1" si="44"/>
        <v>Stone Shape</v>
      </c>
      <c r="AQ84" s="1394"/>
      <c r="AR84" s="1338" t="s">
        <v>7225</v>
      </c>
      <c r="AS84" s="1385"/>
      <c r="AT84" s="901">
        <f>IF(ROWS(AT$78:AT84)&lt;=$AS$78,ROWS(AT$78:AT84),"")</f>
        <v>7</v>
      </c>
      <c r="AU84" s="1460">
        <f ca="1">IF(ROWS(AU$78:AU84)&lt;=$AS$78,RAND(),"")</f>
        <v>0.5500838225214395</v>
      </c>
      <c r="AV84" s="382">
        <f ca="1">IF(ROWS(AU$78:AU84)&lt;=$AS$78,RANK(AU84,$AU$78:$AU$99),"")</f>
        <v>11</v>
      </c>
      <c r="AW84" s="998" t="str">
        <f>IF(ROWS(AG$78:AG84)&gt;$AS$78,"",INDEX($AR$78:$AR$99,_xlfn.AGGREGATE(15,6,(ROW($AR$78:$AR$99)-ROW($AR$78)+1)/ISNA(MATCH($AR$78:$AR$99,$AQ$78:$AQ$99,0)),ROWS(AG$78:AG84))))</f>
        <v>Geas</v>
      </c>
      <c r="AX84" s="1461" t="str">
        <f t="shared" ca="1" si="45"/>
        <v>Commune with Nature</v>
      </c>
      <c r="AY84" s="1394">
        <v>7</v>
      </c>
      <c r="AZ84" s="1337">
        <f t="shared" ca="1" si="33"/>
        <v>0.37738369198200117</v>
      </c>
      <c r="BA84" s="488">
        <f t="shared" ca="1" si="41"/>
        <v>10</v>
      </c>
      <c r="BB84" s="1452" t="s">
        <v>7481</v>
      </c>
      <c r="BC84" s="1453" t="str">
        <f t="shared" ca="1" si="42"/>
        <v>Sunbeam</v>
      </c>
      <c r="BD84" s="1394"/>
      <c r="BE84" s="1406"/>
      <c r="BF84" s="382"/>
      <c r="BG84" s="368"/>
      <c r="BH84" s="1395"/>
      <c r="BI84" s="1394">
        <v>7</v>
      </c>
      <c r="BJ84" s="1406">
        <f t="shared" ca="1" si="37"/>
        <v>9.34448837022821E-2</v>
      </c>
      <c r="BK84" s="382">
        <f t="shared" ca="1" si="38"/>
        <v>7</v>
      </c>
      <c r="BL84" s="368" t="s">
        <v>7482</v>
      </c>
      <c r="BM84" s="1363" t="str">
        <f t="shared" ca="1" si="39"/>
        <v>Tsunami</v>
      </c>
      <c r="BN84" s="1394"/>
      <c r="BO84" s="1406"/>
      <c r="BP84" s="382"/>
      <c r="BQ84" s="368"/>
      <c r="BR84" s="1363"/>
      <c r="BS84" s="271" t="s">
        <v>1287</v>
      </c>
      <c r="BT84" s="1130">
        <v>9</v>
      </c>
      <c r="BU84" s="1462" t="s">
        <v>7454</v>
      </c>
      <c r="BV84" s="1462" t="s">
        <v>7463</v>
      </c>
      <c r="BW84" s="1462" t="s">
        <v>7401</v>
      </c>
      <c r="BX84" s="1462" t="s">
        <v>7454</v>
      </c>
      <c r="BY84" s="1462" t="s">
        <v>7215</v>
      </c>
      <c r="BZ84" s="1462" t="s">
        <v>7483</v>
      </c>
      <c r="CA84" s="1462" t="s">
        <v>7401</v>
      </c>
      <c r="CB84" s="909" t="s">
        <v>7484</v>
      </c>
    </row>
    <row r="85" spans="2:112" ht="12" customHeight="1" thickBot="1">
      <c r="B85" s="1336">
        <v>8</v>
      </c>
      <c r="C85" s="1454"/>
      <c r="D85" s="1338" t="s">
        <v>7229</v>
      </c>
      <c r="E85" s="1402"/>
      <c r="F85" s="382">
        <f>IF(ROWS(F$78:F85)&lt;=$E$78,ROWS(F$78:F85),"")</f>
        <v>8</v>
      </c>
      <c r="G85" s="1455">
        <f ca="1">IF(ROWS(G$78:G85)&lt;=$E$78,RAND(),"")</f>
        <v>0.15549543243795239</v>
      </c>
      <c r="H85" s="382">
        <f ca="1">IF(F85=ROWS(H$78:H85),RANK(G85,$G$78:$G$99))</f>
        <v>12</v>
      </c>
      <c r="I85" s="1338" t="s">
        <v>7229</v>
      </c>
      <c r="J85" s="1363" t="str">
        <f t="shared" ca="1" si="32"/>
        <v>Gust</v>
      </c>
      <c r="K85" s="1394"/>
      <c r="L85" s="1338" t="s">
        <v>7398</v>
      </c>
      <c r="M85" s="1385"/>
      <c r="N85" s="382">
        <f>IF(ROWS(N$78:N85)&lt;=$M$78,ROWS(N$78:N85),"")</f>
        <v>8</v>
      </c>
      <c r="O85" s="1455">
        <f ca="1">IF(ROWS(O$78:O85)&lt;=$M$78,RAND(),"")</f>
        <v>4.2526672340199911E-2</v>
      </c>
      <c r="P85" s="382">
        <f ca="1">IF(N85=ROWS(P$78:P85),RANK(O85,$O$78:$O$99),"")</f>
        <v>19</v>
      </c>
      <c r="Q85" s="1338" t="s">
        <v>7398</v>
      </c>
      <c r="R85" s="1363" t="str">
        <f t="shared" ca="1" si="40"/>
        <v>Cure Wounds</v>
      </c>
      <c r="S85" s="1394"/>
      <c r="T85" s="1338" t="s">
        <v>7392</v>
      </c>
      <c r="U85" s="1456"/>
      <c r="V85" s="382">
        <f>IF(ROWS(V$78:V85)&lt;=$U$78,ROWS(V$78:V85),"")</f>
        <v>8</v>
      </c>
      <c r="W85" s="1406">
        <f ca="1">IF(ROWS(W$78:W85)&lt;=$U$78,RAND(),"")</f>
        <v>0.4664475789949829</v>
      </c>
      <c r="X85" s="382">
        <f ca="1">IF(V85=ROWS(X$78:X85),RANK(W85,$W$78:$W$99),"")</f>
        <v>14</v>
      </c>
      <c r="Y85" s="1457" t="str">
        <f>IF(ROWS(Y$78:Y85)&gt;$U$78,"",INDEX($T$78:$T$99,_xlfn.AGGREGATE(15,6,(ROW($T$78:$T$99)-ROW($T$78)+1)/ISNA(MATCH($T$78:$T$99,$S$78:$S$99,0)),ROWS(Y$78:Y85))))</f>
        <v>Find Traps</v>
      </c>
      <c r="Z85" s="1458" t="str">
        <f t="shared" ca="1" si="46"/>
        <v>Locate Object</v>
      </c>
      <c r="AA85" s="1394"/>
      <c r="AB85" s="838" t="s">
        <v>7468</v>
      </c>
      <c r="AC85" s="1385"/>
      <c r="AD85" s="901">
        <f>IF(ROWS(AD$78:AD85)&lt;=$AC$78,ROWS(AD$78:AD85),"")</f>
        <v>8</v>
      </c>
      <c r="AE85" s="1459">
        <f ca="1">IF(ROWS(AE$78:AE85)&lt;=$AC$78,RAND(),"")</f>
        <v>0.35258142426906758</v>
      </c>
      <c r="AF85" s="382">
        <f ca="1">IF(ROWS(AE$78:AE85)&lt;=$AC$78,RANK(AE85,$AE$78:$AE$99),"")</f>
        <v>10</v>
      </c>
      <c r="AG85" s="1457" t="str">
        <f>IF(ROWS(AG$78:AG85)&gt;$AC$78,"",INDEX($AB$78:$AB$99,_xlfn.AGGREGATE(15,6,(ROW($AB$78:$AB$99)-ROW($AB$78)+1)/ISNA(MATCH($AB$78:$AB$99,$AA$78:$AA$99,0)),ROWS(AG$78:AG85))))</f>
        <v>Meld into Stone</v>
      </c>
      <c r="AH85" s="1458" t="str">
        <f t="shared" ca="1" si="43"/>
        <v>Feign Death</v>
      </c>
      <c r="AI85" s="1394"/>
      <c r="AJ85" s="1338" t="s">
        <v>4090</v>
      </c>
      <c r="AK85" s="1385"/>
      <c r="AL85" s="901">
        <f>IF(ROWS(AL$78:AL85)&lt;=$AK$78,ROWS(AL$78:AL85),"")</f>
        <v>8</v>
      </c>
      <c r="AM85" s="1459">
        <f ca="1">IF(ROWS(AM$78:AM85)&lt;=$AK$78,RAND(),"")</f>
        <v>0.17687052453892926</v>
      </c>
      <c r="AN85" s="382">
        <f ca="1">IF(ROWS(AM$78:AM85)&lt;=$AK$78,RANK(AM85,$AM$78:$AM$99),"")</f>
        <v>16</v>
      </c>
      <c r="AO85" s="368" t="str">
        <f>IF(ROWS(AG$78:AG85)&gt;$AK$78,"",INDEX($AJ$78:$AJ$99,_xlfn.AGGREGATE(15,6,(ROW($AJ$78:$AJ$99)-ROW($AJ$78)+1)/ISNA(MATCH($AJ$78:$AJ$99,$AI$78:$AI$99,0)),ROWS(AG$78:AG85))))</f>
        <v>Freedom of Movement</v>
      </c>
      <c r="AP85" s="1363" t="str">
        <f t="shared" ca="1" si="44"/>
        <v>Polymorph</v>
      </c>
      <c r="AQ85" s="1394"/>
      <c r="AR85" s="1338" t="s">
        <v>7234</v>
      </c>
      <c r="AS85" s="1385"/>
      <c r="AT85" s="901">
        <f>IF(ROWS(AT$78:AT85)&lt;=$AS$78,ROWS(AT$78:AT85),"")</f>
        <v>8</v>
      </c>
      <c r="AU85" s="1460">
        <f ca="1">IF(ROWS(AU$78:AU85)&lt;=$AS$78,RAND(),"")</f>
        <v>0.92914013057071709</v>
      </c>
      <c r="AV85" s="382">
        <f ca="1">IF(ROWS(AU$78:AU85)&lt;=$AS$78,RANK(AU85,$AU$78:$AU$99),"")</f>
        <v>1</v>
      </c>
      <c r="AW85" s="998" t="str">
        <f>IF(ROWS(AG$78:AG85)&gt;$AS$78,"",INDEX($AR$78:$AR$99,_xlfn.AGGREGATE(15,6,(ROW($AR$78:$AR$99)-ROW($AR$78)+1)/ISNA(MATCH($AR$78:$AR$99,$AQ$78:$AQ$99,0)),ROWS(AG$78:AG85))))</f>
        <v>Greater Restoration</v>
      </c>
      <c r="AX85" s="1461" t="str">
        <f t="shared" ca="1" si="45"/>
        <v>Control Winds</v>
      </c>
      <c r="AY85" s="1394">
        <v>8</v>
      </c>
      <c r="AZ85" s="1337">
        <f t="shared" ca="1" si="33"/>
        <v>0.3303012845115173</v>
      </c>
      <c r="BA85" s="488">
        <f t="shared" ca="1" si="41"/>
        <v>11</v>
      </c>
      <c r="BB85" s="1452" t="s">
        <v>7485</v>
      </c>
      <c r="BC85" s="1453" t="str">
        <f t="shared" ca="1" si="42"/>
        <v>Investiture of Flame</v>
      </c>
      <c r="BD85" s="1394"/>
      <c r="BE85" s="1406"/>
      <c r="BF85" s="382"/>
      <c r="BG85" s="368"/>
      <c r="BH85" s="1395"/>
      <c r="BI85" s="1394"/>
      <c r="BJ85" s="1406"/>
      <c r="BK85" s="382"/>
      <c r="BL85" s="368"/>
      <c r="BM85" s="1363"/>
      <c r="BN85" s="1394"/>
      <c r="BO85" s="1406"/>
      <c r="BP85" s="382"/>
      <c r="BQ85" s="368"/>
      <c r="BR85" s="1363"/>
      <c r="BS85" s="271" t="s">
        <v>1287</v>
      </c>
      <c r="BT85" s="1206">
        <v>9</v>
      </c>
      <c r="BU85" s="1463" t="s">
        <v>7486</v>
      </c>
      <c r="BV85" s="1463" t="s">
        <v>7279</v>
      </c>
      <c r="BW85" s="1463" t="s">
        <v>7487</v>
      </c>
      <c r="BX85" s="1463" t="s">
        <v>4913</v>
      </c>
      <c r="BY85" s="1463" t="s">
        <v>7401</v>
      </c>
      <c r="BZ85" s="1463" t="s">
        <v>7487</v>
      </c>
      <c r="CA85" s="1463" t="s">
        <v>7279</v>
      </c>
      <c r="CB85" s="908" t="s">
        <v>7401</v>
      </c>
    </row>
    <row r="86" spans="2:112" ht="12" customHeight="1">
      <c r="B86" s="1336">
        <v>9</v>
      </c>
      <c r="C86" s="1454"/>
      <c r="D86" s="1452" t="s">
        <v>7488</v>
      </c>
      <c r="E86" s="1402"/>
      <c r="F86" s="382">
        <f>IF(ROWS(F$78:F86)&lt;=$E$78,ROWS(F$78:F86),"")</f>
        <v>9</v>
      </c>
      <c r="G86" s="1455">
        <f ca="1">IF(ROWS(G$78:G86)&lt;=$E$78,RAND(),"")</f>
        <v>0.88993724977582689</v>
      </c>
      <c r="H86" s="382">
        <f ca="1">IF(F86=ROWS(H$78:H86),RANK(G86,$G$78:$G$99))</f>
        <v>2</v>
      </c>
      <c r="I86" s="1452" t="s">
        <v>7488</v>
      </c>
      <c r="J86" s="1363" t="str">
        <f t="shared" ca="1" si="32"/>
        <v>Thorn Whip</v>
      </c>
      <c r="K86" s="1394"/>
      <c r="L86" s="1452" t="s">
        <v>7489</v>
      </c>
      <c r="M86" s="1385"/>
      <c r="N86" s="382">
        <f>IF(ROWS(N$78:N86)&lt;=$M$78,ROWS(N$78:N86),"")</f>
        <v>9</v>
      </c>
      <c r="O86" s="1455">
        <f ca="1">IF(ROWS(O$78:O86)&lt;=$M$78,RAND(),"")</f>
        <v>0.47792757272647246</v>
      </c>
      <c r="P86" s="382">
        <f ca="1">IF(N86=ROWS(P$78:P86),RANK(O86,$O$78:$O$99),"")</f>
        <v>10</v>
      </c>
      <c r="Q86" s="1452" t="s">
        <v>7489</v>
      </c>
      <c r="R86" s="1363" t="str">
        <f t="shared" ca="1" si="40"/>
        <v>Beast Bond</v>
      </c>
      <c r="S86" s="1394"/>
      <c r="T86" s="1338" t="s">
        <v>7490</v>
      </c>
      <c r="U86" s="1456"/>
      <c r="V86" s="382">
        <f>IF(ROWS(V$78:V86)&lt;=$U$78,ROWS(V$78:V86),"")</f>
        <v>9</v>
      </c>
      <c r="W86" s="1406">
        <f ca="1">IF(ROWS(W$78:W86)&lt;=$U$78,RAND(),"")</f>
        <v>0.89080410330583304</v>
      </c>
      <c r="X86" s="382">
        <f ca="1">IF(V86=ROWS(X$78:X86),RANK(W86,$W$78:$W$99),"")</f>
        <v>6</v>
      </c>
      <c r="Y86" s="1457" t="str">
        <f>IF(ROWS(Y$78:Y86)&gt;$U$78,"",INDEX($T$78:$T$99,_xlfn.AGGREGATE(15,6,(ROW($T$78:$T$99)-ROW($T$78)+1)/ISNA(MATCH($T$78:$T$99,$S$78:$S$99,0)),ROWS(Y$78:Y86))))</f>
        <v>Flame Blade</v>
      </c>
      <c r="Z86" s="1458" t="str">
        <f t="shared" ca="1" si="46"/>
        <v>Darkvision</v>
      </c>
      <c r="AA86" s="1394"/>
      <c r="AB86" s="838" t="s">
        <v>7265</v>
      </c>
      <c r="AC86" s="1385"/>
      <c r="AD86" s="901">
        <f>IF(ROWS(AD$78:AD86)&lt;=$AC$78,ROWS(AD$78:AD86),"")</f>
        <v>9</v>
      </c>
      <c r="AE86" s="1459">
        <f ca="1">IF(ROWS(AE$78:AE86)&lt;=$AC$78,RAND(),"")</f>
        <v>0.67917976314495077</v>
      </c>
      <c r="AF86" s="382">
        <f ca="1">IF(ROWS(AE$78:AE86)&lt;=$AC$78,RANK(AE86,$AE$78:$AE$99),"")</f>
        <v>4</v>
      </c>
      <c r="AG86" s="1457" t="str">
        <f>IF(ROWS(AG$78:AG86)&gt;$AC$78,"",INDEX($AB$78:$AB$99,_xlfn.AGGREGATE(15,6,(ROW($AB$78:$AB$99)-ROW($AB$78)+1)/ISNA(MATCH($AB$78:$AB$99,$AA$78:$AA$99,0)),ROWS(AG$78:AG86))))</f>
        <v>Plant Growth</v>
      </c>
      <c r="AH86" s="1458" t="str">
        <f t="shared" ca="1" si="43"/>
        <v>Speak with Plants</v>
      </c>
      <c r="AI86" s="1394"/>
      <c r="AJ86" s="1338" t="s">
        <v>7491</v>
      </c>
      <c r="AK86" s="1385"/>
      <c r="AL86" s="901">
        <f>IF(ROWS(AL$78:AL86)&lt;=$AK$78,ROWS(AL$78:AL86),"")</f>
        <v>9</v>
      </c>
      <c r="AM86" s="1459">
        <f ca="1">IF(ROWS(AM$78:AM86)&lt;=$AK$78,RAND(),"")</f>
        <v>0.54059366597176317</v>
      </c>
      <c r="AN86" s="382">
        <f ca="1">IF(ROWS(AM$78:AM86)&lt;=$AK$78,RANK(AM86,$AM$78:$AM$99),"")</f>
        <v>11</v>
      </c>
      <c r="AO86" s="368" t="str">
        <f>IF(ROWS(AG$78:AG86)&gt;$AK$78,"",INDEX($AJ$78:$AJ$99,_xlfn.AGGREGATE(15,6,(ROW($AJ$78:$AJ$99)-ROW($AJ$78)+1)/ISNA(MATCH($AJ$78:$AJ$99,$AI$78:$AI$99,0)),ROWS(AG$78:AG86))))</f>
        <v>Giant Insect</v>
      </c>
      <c r="AP86" s="1363" t="str">
        <f t="shared" ca="1" si="44"/>
        <v>Conjure Woodland Beings</v>
      </c>
      <c r="AQ86" s="1394"/>
      <c r="AR86" s="1338" t="s">
        <v>7401</v>
      </c>
      <c r="AS86" s="1385"/>
      <c r="AT86" s="901">
        <f>IF(ROWS(AT$78:AT86)&lt;=$AS$78,ROWS(AT$78:AT86),"")</f>
        <v>9</v>
      </c>
      <c r="AU86" s="1460">
        <f ca="1">IF(ROWS(AU$78:AU86)&lt;=$AS$78,RAND(),"")</f>
        <v>9.8406923289854675E-2</v>
      </c>
      <c r="AV86" s="382">
        <f ca="1">IF(ROWS(AU$78:AU86)&lt;=$AS$78,RANK(AU86,$AU$78:$AU$99),"")</f>
        <v>16</v>
      </c>
      <c r="AW86" s="998" t="str">
        <f>IF(ROWS(AG$78:AG86)&gt;$AS$78,"",INDEX($AR$78:$AR$99,_xlfn.AGGREGATE(15,6,(ROW($AR$78:$AR$99)-ROW($AR$78)+1)/ISNA(MATCH($AR$78:$AR$99,$AQ$78:$AQ$99,0)),ROWS(AG$78:AG86))))</f>
        <v>Insect Plague</v>
      </c>
      <c r="AX86" s="1461" t="str">
        <f t="shared" ca="1" si="45"/>
        <v>Conjure Elemental</v>
      </c>
      <c r="AY86" s="1394">
        <v>9</v>
      </c>
      <c r="AZ86" s="1337">
        <f t="shared" ca="1" si="33"/>
        <v>0.83819628366217258</v>
      </c>
      <c r="BA86" s="488">
        <f t="shared" ca="1" si="41"/>
        <v>3</v>
      </c>
      <c r="BB86" s="1452" t="s">
        <v>7492</v>
      </c>
      <c r="BC86" s="1453" t="str">
        <f t="shared" ca="1" si="42"/>
        <v>Find the Path</v>
      </c>
      <c r="BD86" s="1394"/>
      <c r="BE86" s="1406"/>
      <c r="BF86" s="382"/>
      <c r="BG86" s="368"/>
      <c r="BH86" s="1395"/>
      <c r="BI86" s="1394"/>
      <c r="BJ86" s="1406"/>
      <c r="BK86" s="382"/>
      <c r="BL86" s="368"/>
      <c r="BM86" s="1363"/>
      <c r="BN86" s="1394"/>
      <c r="BO86" s="1406"/>
      <c r="BP86" s="382"/>
      <c r="BQ86" s="368"/>
      <c r="BR86" s="1363"/>
      <c r="BS86" s="271" t="s">
        <v>1287</v>
      </c>
      <c r="BT86" s="1409"/>
      <c r="BU86" s="498"/>
      <c r="BV86" s="591"/>
      <c r="BW86" s="1410"/>
    </row>
    <row r="87" spans="2:112" ht="12" customHeight="1">
      <c r="B87" s="1336">
        <v>10</v>
      </c>
      <c r="C87" s="1454"/>
      <c r="D87" s="1338" t="s">
        <v>7493</v>
      </c>
      <c r="E87" s="1402"/>
      <c r="F87" s="382">
        <f>IF(ROWS(F$78:F87)&lt;=$E$78,ROWS(F$78:F87),"")</f>
        <v>10</v>
      </c>
      <c r="G87" s="1455">
        <f ca="1">IF(ROWS(G$78:G87)&lt;=$E$78,RAND(),"")</f>
        <v>0.68625762611194263</v>
      </c>
      <c r="H87" s="382">
        <f ca="1">IF(F87=ROWS(H$78:H87),RANK(G87,$G$78:$G$99))</f>
        <v>5</v>
      </c>
      <c r="I87" s="1338" t="s">
        <v>7493</v>
      </c>
      <c r="J87" s="1363" t="str">
        <f t="shared" ca="1" si="32"/>
        <v>Guidance</v>
      </c>
      <c r="K87" s="1394"/>
      <c r="L87" s="1338" t="s">
        <v>7494</v>
      </c>
      <c r="M87" s="1385"/>
      <c r="N87" s="382">
        <f>IF(ROWS(N$78:N87)&lt;=$M$78,ROWS(N$78:N87),"")</f>
        <v>10</v>
      </c>
      <c r="O87" s="1455">
        <f ca="1">IF(ROWS(O$78:O87)&lt;=$M$78,RAND(),"")</f>
        <v>0.83957264105680962</v>
      </c>
      <c r="P87" s="382">
        <f ca="1">IF(N87=ROWS(P$78:P87),RANK(O87,$O$78:$O$99),"")</f>
        <v>5</v>
      </c>
      <c r="Q87" s="1338" t="s">
        <v>7494</v>
      </c>
      <c r="R87" s="1363" t="str">
        <f t="shared" ca="1" si="40"/>
        <v>Earth Tremor</v>
      </c>
      <c r="S87" s="1394"/>
      <c r="T87" s="1338" t="s">
        <v>7356</v>
      </c>
      <c r="U87" s="1456"/>
      <c r="V87" s="382">
        <f>IF(ROWS(V$78:V87)&lt;=$U$78,ROWS(V$78:V87),"")</f>
        <v>10</v>
      </c>
      <c r="W87" s="1406">
        <f ca="1">IF(ROWS(W$78:W87)&lt;=$U$78,RAND(),"")</f>
        <v>0.99915465523921154</v>
      </c>
      <c r="X87" s="382">
        <f ca="1">IF(V87=ROWS(X$78:X87),RANK(W87,$W$78:$W$99),"")</f>
        <v>1</v>
      </c>
      <c r="Y87" s="1457" t="str">
        <f>IF(ROWS(Y$78:Y87)&gt;$U$78,"",INDEX($T$78:$T$99,_xlfn.AGGREGATE(15,6,(ROW($T$78:$T$99)-ROW($T$78)+1)/ISNA(MATCH($T$78:$T$99,$S$78:$S$99,0)),ROWS(Y$78:Y87))))</f>
        <v>Flaming Sphere</v>
      </c>
      <c r="Z87" s="1458" t="str">
        <f t="shared" ca="1" si="46"/>
        <v>Heat Metal</v>
      </c>
      <c r="AA87" s="1394"/>
      <c r="AB87" s="838" t="s">
        <v>7466</v>
      </c>
      <c r="AC87" s="1385"/>
      <c r="AD87" s="901">
        <f>IF(ROWS(AD$78:AD87)&lt;=$AC$78,ROWS(AD$78:AD87),"")</f>
        <v>10</v>
      </c>
      <c r="AE87" s="1459">
        <f ca="1">IF(ROWS(AE$78:AE87)&lt;=$AC$78,RAND(),"")</f>
        <v>0.18749634555662276</v>
      </c>
      <c r="AF87" s="382">
        <f ca="1">IF(ROWS(AE$78:AE87)&lt;=$AC$78,RANK(AE87,$AE$78:$AE$99),"")</f>
        <v>14</v>
      </c>
      <c r="AG87" s="1457" t="str">
        <f>IF(ROWS(AG$78:AG87)&gt;$AC$78,"",INDEX($AB$78:$AB$99,_xlfn.AGGREGATE(15,6,(ROW($AB$78:$AB$99)-ROW($AB$78)+1)/ISNA(MATCH($AB$78:$AB$99,$AA$78:$AA$99,0)),ROWS(AG$78:AG87))))</f>
        <v>Protection from Energy</v>
      </c>
      <c r="AH87" s="1458" t="str">
        <f t="shared" ca="1" si="43"/>
        <v>Meld into Stone</v>
      </c>
      <c r="AI87" s="1394"/>
      <c r="AJ87" s="1338" t="s">
        <v>7495</v>
      </c>
      <c r="AK87" s="1385"/>
      <c r="AL87" s="901">
        <f>IF(ROWS(AL$78:AL87)&lt;=$AK$78,ROWS(AL$78:AL87),"")</f>
        <v>10</v>
      </c>
      <c r="AM87" s="1459">
        <f ca="1">IF(ROWS(AM$78:AM87)&lt;=$AK$78,RAND(),"")</f>
        <v>0.92188480486857205</v>
      </c>
      <c r="AN87" s="382">
        <f ca="1">IF(ROWS(AM$78:AM87)&lt;=$AK$78,RANK(AM87,$AM$78:$AM$99),"")</f>
        <v>1</v>
      </c>
      <c r="AO87" s="368" t="str">
        <f>IF(ROWS(AG$78:AG87)&gt;$AK$78,"",INDEX($AJ$78:$AJ$99,_xlfn.AGGREGATE(15,6,(ROW($AJ$78:$AJ$99)-ROW($AJ$78)+1)/ISNA(MATCH($AJ$78:$AJ$99,$AI$78:$AI$99,0)),ROWS(AG$78:AG87))))</f>
        <v>Grasping Wine</v>
      </c>
      <c r="AP87" s="1363" t="str">
        <f t="shared" ca="1" si="44"/>
        <v>Stoneskin</v>
      </c>
      <c r="AQ87" s="1394"/>
      <c r="AR87" s="1452" t="s">
        <v>7496</v>
      </c>
      <c r="AS87" s="1385"/>
      <c r="AT87" s="901">
        <f>IF(ROWS(AT$78:AT87)&lt;=$AS$78,ROWS(AT$78:AT87),"")</f>
        <v>10</v>
      </c>
      <c r="AU87" s="1460">
        <f ca="1">IF(ROWS(AU$78:AU87)&lt;=$AS$78,RAND(),"")</f>
        <v>6.7541026962069317E-2</v>
      </c>
      <c r="AV87" s="382">
        <f ca="1">IF(ROWS(AU$78:AU87)&lt;=$AS$78,RANK(AU87,$AU$78:$AU$99),"")</f>
        <v>17</v>
      </c>
      <c r="AW87" s="998" t="str">
        <f>IF(ROWS(AG$78:AG87)&gt;$AS$78,"",INDEX($AR$78:$AR$99,_xlfn.AGGREGATE(15,6,(ROW($AR$78:$AR$99)-ROW($AR$78)+1)/ISNA(MATCH($AR$78:$AR$99,$AQ$78:$AQ$99,0)),ROWS(AG$78:AG87))))</f>
        <v>Maelstrom</v>
      </c>
      <c r="AX87" s="1461" t="str">
        <f t="shared" ca="1" si="45"/>
        <v>Contagion</v>
      </c>
      <c r="AY87" s="1394">
        <v>10</v>
      </c>
      <c r="AZ87" s="1337">
        <f t="shared" ca="1" si="33"/>
        <v>0.2626064220726616</v>
      </c>
      <c r="BA87" s="488">
        <f t="shared" ca="1" si="41"/>
        <v>14</v>
      </c>
      <c r="BB87" s="1338" t="s">
        <v>7497</v>
      </c>
      <c r="BC87" s="1453" t="str">
        <f t="shared" ca="1" si="42"/>
        <v>Investiture of Ice</v>
      </c>
      <c r="BD87" s="1394"/>
      <c r="BE87" s="1406"/>
      <c r="BF87" s="382"/>
      <c r="BG87" s="368"/>
      <c r="BH87" s="1395"/>
      <c r="BI87" s="1394"/>
      <c r="BJ87" s="1406"/>
      <c r="BK87" s="382"/>
      <c r="BL87" s="368"/>
      <c r="BM87" s="1363"/>
      <c r="BN87" s="1394"/>
      <c r="BO87" s="1406"/>
      <c r="BP87" s="382"/>
      <c r="BQ87" s="368"/>
      <c r="BR87" s="1363"/>
      <c r="BS87" s="271" t="s">
        <v>1287</v>
      </c>
      <c r="BT87" s="1409"/>
      <c r="BU87" s="498"/>
      <c r="BV87" s="591"/>
      <c r="BW87" s="1410"/>
    </row>
    <row r="88" spans="2:112" ht="12" customHeight="1">
      <c r="B88" s="1336">
        <v>11</v>
      </c>
      <c r="C88" s="1454"/>
      <c r="D88" s="1338" t="s">
        <v>7498</v>
      </c>
      <c r="E88" s="1402"/>
      <c r="F88" s="382">
        <f>IF(ROWS(F$78:F88)&lt;=$E$78,ROWS(F$78:F88),"")</f>
        <v>11</v>
      </c>
      <c r="G88" s="1455">
        <f ca="1">IF(ROWS(G$78:G88)&lt;=$E$78,RAND(),"")</f>
        <v>0.19406735829027522</v>
      </c>
      <c r="H88" s="382">
        <f ca="1">IF(F88=ROWS(H$78:H88),RANK(G88,$G$78:$G$99))</f>
        <v>11</v>
      </c>
      <c r="I88" s="1338" t="s">
        <v>7498</v>
      </c>
      <c r="J88" s="1363" t="str">
        <f t="shared" ca="1" si="32"/>
        <v>Produce Flame</v>
      </c>
      <c r="K88" s="1394"/>
      <c r="L88" s="1338" t="s">
        <v>7259</v>
      </c>
      <c r="M88" s="1385"/>
      <c r="N88" s="382">
        <f>IF(ROWS(N$78:N88)&lt;=$M$78,ROWS(N$78:N88),"")</f>
        <v>11</v>
      </c>
      <c r="O88" s="1455">
        <f ca="1">IF(ROWS(O$78:O88)&lt;=$M$78,RAND(),"")</f>
        <v>0.33722576190949849</v>
      </c>
      <c r="P88" s="382">
        <f ca="1">IF(N88=ROWS(P$78:P88),RANK(O88,$O$78:$O$99),"")</f>
        <v>13</v>
      </c>
      <c r="Q88" s="1338" t="s">
        <v>7259</v>
      </c>
      <c r="R88" s="1363" t="str">
        <f t="shared" ca="1" si="40"/>
        <v>Animal Friendship</v>
      </c>
      <c r="S88" s="1394"/>
      <c r="T88" s="1338" t="s">
        <v>7358</v>
      </c>
      <c r="U88" s="1456"/>
      <c r="V88" s="382">
        <f>IF(ROWS(V$78:V88)&lt;=$U$78,ROWS(V$78:V88),"")</f>
        <v>11</v>
      </c>
      <c r="W88" s="1406">
        <f ca="1">IF(ROWS(W$78:W88)&lt;=$U$78,RAND(),"")</f>
        <v>0.91099545199906895</v>
      </c>
      <c r="X88" s="382">
        <f ca="1">IF(V88=ROWS(X$78:X88),RANK(W88,$W$78:$W$99),"")</f>
        <v>3</v>
      </c>
      <c r="Y88" s="1457" t="str">
        <f>IF(ROWS(Y$78:Y88)&gt;$U$78,"",INDEX($T$78:$T$99,_xlfn.AGGREGATE(15,6,(ROW($T$78:$T$99)-ROW($T$78)+1)/ISNA(MATCH($T$78:$T$99,$S$78:$S$99,0)),ROWS(Y$78:Y88))))</f>
        <v>Gust of Wind</v>
      </c>
      <c r="Z88" s="1458" t="str">
        <f t="shared" ca="1" si="46"/>
        <v>Earthbind</v>
      </c>
      <c r="AA88" s="1394"/>
      <c r="AB88" s="838" t="s">
        <v>7389</v>
      </c>
      <c r="AC88" s="1385"/>
      <c r="AD88" s="901">
        <f>IF(ROWS(AD$78:AD88)&lt;=$AC$78,ROWS(AD$78:AD88),"")</f>
        <v>11</v>
      </c>
      <c r="AE88" s="1459">
        <f ca="1">IF(ROWS(AE$78:AE88)&lt;=$AC$78,RAND(),"")</f>
        <v>0.8290816551818323</v>
      </c>
      <c r="AF88" s="382">
        <f ca="1">IF(ROWS(AE$78:AE88)&lt;=$AC$78,RANK(AE88,$AE$78:$AE$99),"")</f>
        <v>1</v>
      </c>
      <c r="AG88" s="1457" t="str">
        <f>IF(ROWS(AG$78:AG88)&gt;$AC$78,"",INDEX($AB$78:$AB$99,_xlfn.AGGREGATE(15,6,(ROW($AB$78:$AB$99)-ROW($AB$78)+1)/ISNA(MATCH($AB$78:$AB$99,$AA$78:$AA$99,0)),ROWS(AG$78:AG88))))</f>
        <v>Sleet Storm</v>
      </c>
      <c r="AH88" s="1458" t="str">
        <f t="shared" ca="1" si="43"/>
        <v>Erupting Earth</v>
      </c>
      <c r="AI88" s="1394"/>
      <c r="AJ88" s="1338" t="s">
        <v>7233</v>
      </c>
      <c r="AK88" s="1385"/>
      <c r="AL88" s="901">
        <f>IF(ROWS(AL$78:AL88)&lt;=$AK$78,ROWS(AL$78:AL88),"")</f>
        <v>11</v>
      </c>
      <c r="AM88" s="1459">
        <f ca="1">IF(ROWS(AM$78:AM88)&lt;=$AK$78,RAND(),"")</f>
        <v>0.69995532634095237</v>
      </c>
      <c r="AN88" s="382">
        <f ca="1">IF(ROWS(AM$78:AM88)&lt;=$AK$78,RANK(AM88,$AM$78:$AM$99),"")</f>
        <v>6</v>
      </c>
      <c r="AO88" s="368" t="str">
        <f>IF(ROWS(AG$78:AG88)&gt;$AK$78,"",INDEX($AJ$78:$AJ$99,_xlfn.AGGREGATE(15,6,(ROW($AJ$78:$AJ$99)-ROW($AJ$78)+1)/ISNA(MATCH($AJ$78:$AJ$99,$AI$78:$AI$99,0)),ROWS(AG$78:AG88))))</f>
        <v>Hallucinatory Terrain</v>
      </c>
      <c r="AP88" s="1363" t="str">
        <f t="shared" ca="1" si="44"/>
        <v>Giant Insect</v>
      </c>
      <c r="AQ88" s="1394"/>
      <c r="AR88" s="1338" t="s">
        <v>7256</v>
      </c>
      <c r="AS88" s="1385"/>
      <c r="AT88" s="901">
        <f>IF(ROWS(AT$78:AT88)&lt;=$AS$78,ROWS(AT$78:AT88),"")</f>
        <v>11</v>
      </c>
      <c r="AU88" s="1460">
        <f ca="1">IF(ROWS(AU$78:AU88)&lt;=$AS$78,RAND(),"")</f>
        <v>0.32414274590067327</v>
      </c>
      <c r="AV88" s="382">
        <f ca="1">IF(ROWS(AU$78:AU88)&lt;=$AS$78,RANK(AU88,$AU$78:$AU$99),"")</f>
        <v>13</v>
      </c>
      <c r="AW88" s="998" t="str">
        <f>IF(ROWS(AG$78:AG88)&gt;$AS$78,"",INDEX($AR$78:$AR$99,_xlfn.AGGREGATE(15,6,(ROW($AR$78:$AR$99)-ROW($AR$78)+1)/ISNA(MATCH($AR$78:$AR$99,$AQ$78:$AQ$99,0)),ROWS(AG$78:AG88))))</f>
        <v>Mass Cure Wounds</v>
      </c>
      <c r="AX88" s="1461" t="str">
        <f t="shared" ca="1" si="45"/>
        <v>Geas</v>
      </c>
      <c r="AY88" s="1394">
        <v>11</v>
      </c>
      <c r="AZ88" s="1337">
        <f t="shared" ca="1" si="33"/>
        <v>0.56642222152121502</v>
      </c>
      <c r="BA88" s="488">
        <f t="shared" ca="1" si="41"/>
        <v>4</v>
      </c>
      <c r="BB88" s="1452" t="s">
        <v>7499</v>
      </c>
      <c r="BC88" s="1453" t="str">
        <f t="shared" ca="1" si="42"/>
        <v>Investiture of Stone</v>
      </c>
      <c r="BD88" s="1394"/>
      <c r="BE88" s="1406"/>
      <c r="BF88" s="382"/>
      <c r="BG88" s="368"/>
      <c r="BH88" s="1395"/>
      <c r="BI88" s="1394"/>
      <c r="BJ88" s="1406"/>
      <c r="BK88" s="382"/>
      <c r="BL88" s="368"/>
      <c r="BM88" s="1363"/>
      <c r="BN88" s="1394"/>
      <c r="BO88" s="1406"/>
      <c r="BP88" s="382"/>
      <c r="BQ88" s="368"/>
      <c r="BR88" s="1363"/>
      <c r="BS88" s="271" t="s">
        <v>1287</v>
      </c>
      <c r="BT88" s="1409"/>
      <c r="BU88" s="498"/>
      <c r="BV88" s="591"/>
      <c r="BW88" s="1410"/>
    </row>
    <row r="89" spans="2:112" ht="12" customHeight="1">
      <c r="B89" s="1336">
        <v>12</v>
      </c>
      <c r="C89" s="1454"/>
      <c r="D89" s="1338" t="s">
        <v>7361</v>
      </c>
      <c r="E89" s="1402"/>
      <c r="F89" s="382">
        <f>IF(ROWS(F$78:F89)&lt;=$E$78,ROWS(F$78:F89),"")</f>
        <v>12</v>
      </c>
      <c r="G89" s="1455">
        <f ca="1">IF(ROWS(G$78:G89)&lt;=$E$78,RAND(),"")</f>
        <v>0.72959861273516224</v>
      </c>
      <c r="H89" s="382">
        <f ca="1">IF(F89=ROWS(H$78:H89),RANK(G89,$G$78:$G$99))</f>
        <v>4</v>
      </c>
      <c r="I89" s="1338" t="s">
        <v>7361</v>
      </c>
      <c r="J89" s="1363" t="str">
        <f t="shared" ca="1" si="32"/>
        <v>Mending</v>
      </c>
      <c r="K89" s="1394"/>
      <c r="L89" s="1338" t="s">
        <v>7341</v>
      </c>
      <c r="M89" s="1385"/>
      <c r="N89" s="382">
        <f>IF(ROWS(N$78:N89)&lt;=$M$78,ROWS(N$78:N89),"")</f>
        <v>12</v>
      </c>
      <c r="O89" s="1455">
        <f ca="1">IF(ROWS(O$78:O89)&lt;=$M$78,RAND(),"")</f>
        <v>0.26383990034261207</v>
      </c>
      <c r="P89" s="382">
        <f ca="1">IF(N89=ROWS(P$78:P89),RANK(O89,$O$78:$O$99),"")</f>
        <v>14</v>
      </c>
      <c r="Q89" s="1338" t="s">
        <v>7341</v>
      </c>
      <c r="R89" s="1363" t="str">
        <f t="shared" ca="1" si="40"/>
        <v>Goodberry</v>
      </c>
      <c r="S89" s="1394"/>
      <c r="T89" s="1338" t="s">
        <v>7254</v>
      </c>
      <c r="U89" s="1456"/>
      <c r="V89" s="382">
        <f>IF(ROWS(V$78:V89)&lt;=$U$78,ROWS(V$78:V89),"")</f>
        <v>12</v>
      </c>
      <c r="W89" s="1406">
        <f ca="1">IF(ROWS(W$78:W89)&lt;=$U$78,RAND(),"")</f>
        <v>0.71547238856713058</v>
      </c>
      <c r="X89" s="382">
        <f ca="1">IF(V89=ROWS(X$78:X89),RANK(W89,$W$78:$W$99),"")</f>
        <v>10</v>
      </c>
      <c r="Y89" s="1457" t="str">
        <f>IF(ROWS(Y$78:Y89)&gt;$U$78,"",INDEX($T$78:$T$99,_xlfn.AGGREGATE(15,6,(ROW($T$78:$T$99)-ROW($T$78)+1)/ISNA(MATCH($T$78:$T$99,$S$78:$S$99,0)),ROWS(Y$78:Y89))))</f>
        <v>Heat Metal</v>
      </c>
      <c r="Z89" s="1458" t="str">
        <f t="shared" ca="1" si="46"/>
        <v>Protection from Poison</v>
      </c>
      <c r="AA89" s="1394"/>
      <c r="AB89" s="838" t="s">
        <v>7278</v>
      </c>
      <c r="AC89" s="1385"/>
      <c r="AD89" s="901">
        <f>IF(ROWS(AD$78:AD89)&lt;=$AC$78,ROWS(AD$78:AD89),"")</f>
        <v>12</v>
      </c>
      <c r="AE89" s="1459">
        <f ca="1">IF(ROWS(AE$78:AE89)&lt;=$AC$78,RAND(),"")</f>
        <v>0.43224948099885596</v>
      </c>
      <c r="AF89" s="382">
        <f ca="1">IF(ROWS(AE$78:AE89)&lt;=$AC$78,RANK(AE89,$AE$78:$AE$99),"")</f>
        <v>9</v>
      </c>
      <c r="AG89" s="1457" t="str">
        <f>IF(ROWS(AG$78:AG89)&gt;$AC$78,"",INDEX($AB$78:$AB$99,_xlfn.AGGREGATE(15,6,(ROW($AB$78:$AB$99)-ROW($AB$78)+1)/ISNA(MATCH($AB$78:$AB$99,$AA$78:$AA$99,0)),ROWS(AG$78:AG89))))</f>
        <v>Speak with Plants</v>
      </c>
      <c r="AH89" s="1458" t="str">
        <f ca="1">IF(AD89=$B$48," ",VLOOKUP($B61,AF$78:AG$99,2,FALSE))</f>
        <v>Water Breathing</v>
      </c>
      <c r="AI89" s="1394"/>
      <c r="AJ89" s="1338" t="s">
        <v>7405</v>
      </c>
      <c r="AK89" s="1385"/>
      <c r="AL89" s="901">
        <f>IF(ROWS(AL$78:AL89)&lt;=$AK$78,ROWS(AL$78:AL89),"")</f>
        <v>12</v>
      </c>
      <c r="AM89" s="1459">
        <f ca="1">IF(ROWS(AM$78:AM89)&lt;=$AK$78,RAND(),"")</f>
        <v>0.39238415594896248</v>
      </c>
      <c r="AN89" s="382">
        <f ca="1">IF(ROWS(AM$78:AM89)&lt;=$AK$78,RANK(AM89,$AM$78:$AM$99),"")</f>
        <v>13</v>
      </c>
      <c r="AO89" s="368" t="str">
        <f>IF(ROWS(AG$78:AG89)&gt;$AK$78,"",INDEX($AJ$78:$AJ$99,_xlfn.AGGREGATE(15,6,(ROW($AJ$78:$AJ$99)-ROW($AJ$78)+1)/ISNA(MATCH($AJ$78:$AJ$99,$AI$78:$AI$99,0)),ROWS(AG$78:AG89))))</f>
        <v>Ice Storm</v>
      </c>
      <c r="AP89" s="1363" t="str">
        <f t="shared" ca="1" si="44"/>
        <v>Control Water</v>
      </c>
      <c r="AQ89" s="1394"/>
      <c r="AR89" s="1338" t="s">
        <v>7271</v>
      </c>
      <c r="AS89" s="1385"/>
      <c r="AT89" s="901">
        <f>IF(ROWS(AT$78:AT89)&lt;=$AS$78,ROWS(AT$78:AT89),"")</f>
        <v>12</v>
      </c>
      <c r="AU89" s="1460">
        <f ca="1">IF(ROWS(AU$78:AU89)&lt;=$AS$78,RAND(),"")</f>
        <v>0.76213593804202073</v>
      </c>
      <c r="AV89" s="382">
        <f ca="1">IF(ROWS(AU$78:AU89)&lt;=$AS$78,RANK(AU89,$AU$78:$AU$99),"")</f>
        <v>6</v>
      </c>
      <c r="AW89" s="998" t="str">
        <f>IF(ROWS(AG$78:AG89)&gt;$AS$78,"",INDEX($AR$78:$AR$99,_xlfn.AGGREGATE(15,6,(ROW($AR$78:$AR$99)-ROW($AR$78)+1)/ISNA(MATCH($AR$78:$AR$99,$AQ$78:$AQ$99,0)),ROWS(AG$78:AG89))))</f>
        <v>Planar Binding</v>
      </c>
      <c r="AX89" s="1461" t="str">
        <f t="shared" ca="1" si="45"/>
        <v>Reincarnate</v>
      </c>
      <c r="AY89" s="1394">
        <v>12</v>
      </c>
      <c r="AZ89" s="1337">
        <f t="shared" ca="1" si="33"/>
        <v>0.52506887205323627</v>
      </c>
      <c r="BA89" s="488">
        <f t="shared" ca="1" si="41"/>
        <v>7</v>
      </c>
      <c r="BB89" s="1338" t="s">
        <v>7500</v>
      </c>
      <c r="BC89" s="1453" t="str">
        <f t="shared" ca="1" si="42"/>
        <v>Conjure Fey</v>
      </c>
      <c r="BD89" s="1394"/>
      <c r="BE89" s="1406"/>
      <c r="BF89" s="382"/>
      <c r="BG89" s="368"/>
      <c r="BH89" s="1395"/>
      <c r="BI89" s="1394"/>
      <c r="BJ89" s="1406"/>
      <c r="BK89" s="382"/>
      <c r="BL89" s="368"/>
      <c r="BM89" s="1363"/>
      <c r="BN89" s="1394"/>
      <c r="BO89" s="1406"/>
      <c r="BP89" s="382"/>
      <c r="BQ89" s="368"/>
      <c r="BR89" s="1363"/>
      <c r="BS89" s="271" t="s">
        <v>1287</v>
      </c>
      <c r="BT89" s="1410"/>
      <c r="BU89" s="498"/>
      <c r="BV89" s="591"/>
      <c r="BW89" s="1410"/>
    </row>
    <row r="90" spans="2:112" ht="12" customHeight="1">
      <c r="B90" s="1336">
        <v>13</v>
      </c>
      <c r="C90" s="1454"/>
      <c r="D90" s="1452" t="s">
        <v>7501</v>
      </c>
      <c r="E90" s="1402"/>
      <c r="F90" s="382">
        <f>IF(ROWS(F$78:F90)&lt;=$E$78,ROWS(F$78:F90),"")</f>
        <v>13</v>
      </c>
      <c r="G90" s="1455">
        <f ca="1">IF(ROWS(G$78:G90)&lt;=$E$78,RAND(),"")</f>
        <v>6.6450207449323395E-3</v>
      </c>
      <c r="H90" s="382">
        <f ca="1">IF(F90=ROWS(H$78:H90),RANK(G90,$G$78:$G$99))</f>
        <v>16</v>
      </c>
      <c r="I90" s="1452" t="s">
        <v>7501</v>
      </c>
      <c r="J90" s="1363" t="str">
        <f t="shared" ca="1" si="32"/>
        <v>Druidcraft</v>
      </c>
      <c r="K90" s="1394"/>
      <c r="L90" s="1338" t="s">
        <v>7502</v>
      </c>
      <c r="M90" s="1385"/>
      <c r="N90" s="382">
        <f>IF(ROWS(N$78:N90)&lt;=$M$78,ROWS(N$78:N90),"")</f>
        <v>13</v>
      </c>
      <c r="O90" s="1455">
        <f ca="1">IF(ROWS(O$78:O90)&lt;=$M$78,RAND(),"")</f>
        <v>0.37750356400054963</v>
      </c>
      <c r="P90" s="382">
        <f ca="1">IF(N90=ROWS(P$78:P90),RANK(O90,$O$78:$O$99),"")</f>
        <v>12</v>
      </c>
      <c r="Q90" s="1338" t="s">
        <v>7502</v>
      </c>
      <c r="R90" s="1363" t="str">
        <f t="shared" ca="1" si="40"/>
        <v>Faerie Fire</v>
      </c>
      <c r="S90" s="1394"/>
      <c r="T90" s="1338" t="s">
        <v>7260</v>
      </c>
      <c r="U90" s="1456"/>
      <c r="V90" s="382">
        <f>IF(ROWS(V$78:V90)&lt;=$U$78,ROWS(V$78:V90),"")</f>
        <v>13</v>
      </c>
      <c r="W90" s="1406">
        <f ca="1">IF(ROWS(W$78:W90)&lt;=$U$78,RAND(),"")</f>
        <v>0.90782103283803783</v>
      </c>
      <c r="X90" s="382">
        <f ca="1">IF(V90=ROWS(X$78:X90),RANK(W90,$W$78:$W$99),"")</f>
        <v>4</v>
      </c>
      <c r="Y90" s="1457" t="str">
        <f>IF(ROWS(Y$78:Y90)&gt;$U$78,"",INDEX($T$78:$T$99,_xlfn.AGGREGATE(15,6,(ROW($T$78:$T$99)-ROW($T$78)+1)/ISNA(MATCH($T$78:$T$99,$S$78:$S$99,0)),ROWS(Y$78:Y90))))</f>
        <v>Hold Person</v>
      </c>
      <c r="Z90" s="1458" t="str">
        <f t="shared" ca="1" si="46"/>
        <v>Skywrite</v>
      </c>
      <c r="AA90" s="1394"/>
      <c r="AB90" s="1452" t="s">
        <v>7503</v>
      </c>
      <c r="AC90" s="1385"/>
      <c r="AD90" s="901">
        <f>IF(ROWS(AD$78:AD90)&lt;=$AC$78,ROWS(AD$78:AD90),"")</f>
        <v>13</v>
      </c>
      <c r="AE90" s="1459">
        <f ca="1">IF(ROWS(AE$78:AE90)&lt;=$AC$78,RAND(),"")</f>
        <v>0.1832738896889442</v>
      </c>
      <c r="AF90" s="382">
        <f ca="1">IF(ROWS(AE$78:AE90)&lt;=$AC$78,RANK(AE90,$AE$78:$AE$99),"")</f>
        <v>15</v>
      </c>
      <c r="AG90" s="1457" t="str">
        <f>IF(ROWS(AG$78:AG90)&gt;$AC$78,"",INDEX($AB$78:$AB$99,_xlfn.AGGREGATE(15,6,(ROW($AB$78:$AB$99)-ROW($AB$78)+1)/ISNA(MATCH($AB$78:$AB$99,$AA$78:$AA$99,0)),ROWS(AG$78:AG90))))</f>
        <v>Tidal Wave</v>
      </c>
      <c r="AH90" s="1458" t="str">
        <f t="shared" ref="AH90:AH95" ca="1" si="47">IF(AD90=$B$48," ",VLOOKUP($B62,AF$78:AG$95,2,FALSE))</f>
        <v>Conjure Animals</v>
      </c>
      <c r="AI90" s="1394"/>
      <c r="AJ90" s="1338" t="s">
        <v>7241</v>
      </c>
      <c r="AK90" s="1385"/>
      <c r="AL90" s="901">
        <f>IF(ROWS(AL$78:AL90)&lt;=$AK$78,ROWS(AL$78:AL90),"")</f>
        <v>13</v>
      </c>
      <c r="AM90" s="1459">
        <f ca="1">IF(ROWS(AM$78:AM90)&lt;=$AK$78,RAND(),"")</f>
        <v>0.1780062064820952</v>
      </c>
      <c r="AN90" s="382">
        <f ca="1">IF(ROWS(AM$78:AM90)&lt;=$AK$78,RANK(AM90,$AM$78:$AM$99),"")</f>
        <v>15</v>
      </c>
      <c r="AO90" s="368" t="str">
        <f>IF(ROWS(AG$78:AG90)&gt;$AK$78,"",INDEX($AJ$78:$AJ$99,_xlfn.AGGREGATE(15,6,(ROW($AJ$78:$AJ$99)-ROW($AJ$78)+1)/ISNA(MATCH($AJ$78:$AJ$99,$AI$78:$AI$99,0)),ROWS(AG$78:AG90))))</f>
        <v>Locate Creature</v>
      </c>
      <c r="AP90" s="1363" t="str">
        <f t="shared" ca="1" si="44"/>
        <v>Ice Storm</v>
      </c>
      <c r="AQ90" s="1394"/>
      <c r="AR90" s="1338" t="s">
        <v>7504</v>
      </c>
      <c r="AS90" s="1385"/>
      <c r="AT90" s="901">
        <f>IF(ROWS(AT$78:AT90)&lt;=$AS$78,ROWS(AT$78:AT90),"")</f>
        <v>13</v>
      </c>
      <c r="AU90" s="1460">
        <f ca="1">IF(ROWS(AU$78:AU90)&lt;=$AS$78,RAND(),"")</f>
        <v>0.54136713338997688</v>
      </c>
      <c r="AV90" s="382">
        <f ca="1">IF(ROWS(AU$78:AU90)&lt;=$AS$78,RANK(AU90,$AU$78:$AU$99),"")</f>
        <v>12</v>
      </c>
      <c r="AW90" s="998" t="str">
        <f>IF(ROWS(AG$78:AG90)&gt;$AS$78,"",INDEX($AR$78:$AR$99,_xlfn.AGGREGATE(15,6,(ROW($AR$78:$AR$99)-ROW($AR$78)+1)/ISNA(MATCH($AR$78:$AR$99,$AQ$78:$AQ$99,0)),ROWS(AG$78:AG90))))</f>
        <v>Reincarnate</v>
      </c>
      <c r="AX90" s="1461" t="str">
        <f t="shared" ca="1" si="45"/>
        <v>Mass Cure Wounds</v>
      </c>
      <c r="AY90" s="1394">
        <v>13</v>
      </c>
      <c r="AZ90" s="1337">
        <f t="shared" ca="1" si="33"/>
        <v>0.15744891264844596</v>
      </c>
      <c r="BA90" s="488">
        <f t="shared" ca="1" si="41"/>
        <v>15</v>
      </c>
      <c r="BB90" s="1338" t="s">
        <v>7505</v>
      </c>
      <c r="BC90" s="1453" t="str">
        <f t="shared" ca="1" si="42"/>
        <v>Wall of Thorns</v>
      </c>
      <c r="BD90" s="1394"/>
      <c r="BE90" s="1406"/>
      <c r="BF90" s="382"/>
      <c r="BG90" s="368"/>
      <c r="BH90" s="1395"/>
      <c r="BI90" s="1394"/>
      <c r="BJ90" s="1406"/>
      <c r="BK90" s="382"/>
      <c r="BL90" s="368"/>
      <c r="BM90" s="1363"/>
      <c r="BN90" s="1394"/>
      <c r="BO90" s="1406"/>
      <c r="BP90" s="382"/>
      <c r="BQ90" s="368"/>
      <c r="BR90" s="1363"/>
      <c r="BS90" s="271" t="s">
        <v>1287</v>
      </c>
      <c r="BT90" s="1409"/>
      <c r="BU90" s="498"/>
      <c r="BV90" s="591"/>
      <c r="BW90" s="1410"/>
    </row>
    <row r="91" spans="2:112" s="1465" customFormat="1" ht="12" customHeight="1">
      <c r="B91" s="1336">
        <v>14</v>
      </c>
      <c r="C91" s="1464"/>
      <c r="D91" s="1338" t="s">
        <v>7506</v>
      </c>
      <c r="E91" s="1402"/>
      <c r="F91" s="382">
        <f>IF(ROWS(F$78:F91)&lt;=$E$78,ROWS(F$78:F91),"")</f>
        <v>14</v>
      </c>
      <c r="G91" s="1455">
        <f ca="1">IF(ROWS(G$78:G91)&lt;=$E$78,RAND(),"")</f>
        <v>0.55674391880781049</v>
      </c>
      <c r="H91" s="382">
        <f ca="1">IF(F91=ROWS(H$78:H91),RANK(G91,$G$78:$G$99))</f>
        <v>7</v>
      </c>
      <c r="I91" s="1338" t="s">
        <v>7506</v>
      </c>
      <c r="J91" s="1363" t="str">
        <f t="shared" ca="1" si="32"/>
        <v>Frostbite</v>
      </c>
      <c r="K91" s="1394"/>
      <c r="L91" s="1338" t="s">
        <v>7268</v>
      </c>
      <c r="M91" s="1385"/>
      <c r="N91" s="382">
        <f>IF(ROWS(N$78:N91)&lt;=$M$78,ROWS(N$78:N91),"")</f>
        <v>14</v>
      </c>
      <c r="O91" s="1455">
        <f ca="1">IF(ROWS(O$78:O91)&lt;=$M$78,RAND(),"")</f>
        <v>0.12799181989068853</v>
      </c>
      <c r="P91" s="382">
        <f ca="1">IF(N91=ROWS(P$78:P91),RANK(O91,$O$78:$O$99),"")</f>
        <v>17</v>
      </c>
      <c r="Q91" s="1338" t="s">
        <v>7268</v>
      </c>
      <c r="R91" s="1363" t="str">
        <f t="shared" ca="1" si="40"/>
        <v>Fog Cloud</v>
      </c>
      <c r="S91" s="1394"/>
      <c r="T91" s="1338" t="s">
        <v>7273</v>
      </c>
      <c r="U91" s="1456"/>
      <c r="V91" s="382">
        <f>IF(ROWS(V$78:V91)&lt;=$U$78,ROWS(V$78:V91),"")</f>
        <v>14</v>
      </c>
      <c r="W91" s="1406">
        <f ca="1">IF(ROWS(W$78:W91)&lt;=$U$78,RAND(),"")</f>
        <v>0.28938645982837452</v>
      </c>
      <c r="X91" s="382">
        <f ca="1">IF(V91=ROWS(X$78:X91),RANK(W91,$W$78:$W$99),"")</f>
        <v>18</v>
      </c>
      <c r="Y91" s="1457" t="str">
        <f>IF(ROWS(Y$78:Y91)&gt;$U$78,"",INDEX($T$78:$T$99,_xlfn.AGGREGATE(15,6,(ROW($T$78:$T$99)-ROW($T$78)+1)/ISNA(MATCH($T$78:$T$99,$S$78:$S$99,0)),ROWS(Y$78:Y91))))</f>
        <v>Lesser Restoration</v>
      </c>
      <c r="Z91" s="1458" t="str">
        <f t="shared" ca="1" si="46"/>
        <v>Find Traps</v>
      </c>
      <c r="AA91" s="1394"/>
      <c r="AB91" s="1452" t="s">
        <v>7507</v>
      </c>
      <c r="AC91" s="1385"/>
      <c r="AD91" s="901">
        <f>IF(ROWS(AD$78:AD91)&lt;=$AC$78,ROWS(AD$78:AD91),"")</f>
        <v>14</v>
      </c>
      <c r="AE91" s="1459">
        <f ca="1">IF(ROWS(AE$78:AE91)&lt;=$AC$78,RAND(),"")</f>
        <v>0.65210893526735259</v>
      </c>
      <c r="AF91" s="382">
        <f ca="1">IF(ROWS(AE$78:AE91)&lt;=$AC$78,RANK(AE91,$AE$78:$AE$99),"")</f>
        <v>5</v>
      </c>
      <c r="AG91" s="1457" t="str">
        <f>IF(ROWS(AG$78:AG91)&gt;$AC$78,"",INDEX($AB$78:$AB$99,_xlfn.AGGREGATE(15,6,(ROW($AB$78:$AB$99)-ROW($AB$78)+1)/ISNA(MATCH($AB$78:$AB$99,$AA$78:$AA$99,0)),ROWS(AG$78:AG91))))</f>
        <v>Wall of Water</v>
      </c>
      <c r="AH91" s="1458" t="str">
        <f t="shared" ca="1" si="47"/>
        <v>Protection from Energy</v>
      </c>
      <c r="AI91" s="1394"/>
      <c r="AJ91" s="1338" t="s">
        <v>7249</v>
      </c>
      <c r="AK91" s="1385"/>
      <c r="AL91" s="901">
        <f>IF(ROWS(AL$78:AL91)&lt;=$AK$78,ROWS(AL$78:AL91),"")</f>
        <v>14</v>
      </c>
      <c r="AM91" s="1459">
        <f ca="1">IF(ROWS(AM$78:AM91)&lt;=$AK$78,RAND(),"")</f>
        <v>0.66877105580743668</v>
      </c>
      <c r="AN91" s="382">
        <f ca="1">IF(ROWS(AM$78:AM91)&lt;=$AK$78,RANK(AM91,$AM$78:$AM$99),"")</f>
        <v>8</v>
      </c>
      <c r="AO91" s="368" t="str">
        <f>IF(ROWS(AG$78:AG91)&gt;$AK$78,"",INDEX($AJ$78:$AJ$99,_xlfn.AGGREGATE(15,6,(ROW($AJ$78:$AJ$99)-ROW($AJ$78)+1)/ISNA(MATCH($AJ$78:$AJ$99,$AI$78:$AI$99,0)),ROWS(AG$78:AG91))))</f>
        <v>Polymorph</v>
      </c>
      <c r="AP91" s="1363" t="str">
        <f t="shared" ca="1" si="44"/>
        <v>Confusion</v>
      </c>
      <c r="AQ91" s="1394"/>
      <c r="AR91" s="1338" t="s">
        <v>7279</v>
      </c>
      <c r="AS91" s="1385"/>
      <c r="AT91" s="901">
        <f>IF(ROWS(AT$78:AT91)&lt;=$AS$78,ROWS(AT$78:AT91),"")</f>
        <v>14</v>
      </c>
      <c r="AU91" s="1460">
        <f ca="1">IF(ROWS(AU$78:AU91)&lt;=$AS$78,RAND(),"")</f>
        <v>0.88846329624653764</v>
      </c>
      <c r="AV91" s="382">
        <f ca="1">IF(ROWS(AU$78:AU91)&lt;=$AS$78,RANK(AU91,$AU$78:$AU$99),"")</f>
        <v>3</v>
      </c>
      <c r="AW91" s="998" t="str">
        <f>IF(ROWS(AG$78:AG91)&gt;$AS$78,"",INDEX($AR$78:$AR$99,_xlfn.AGGREGATE(15,6,(ROW($AR$78:$AR$99)-ROW($AR$78)+1)/ISNA(MATCH($AR$78:$AR$99,$AQ$78:$AQ$99,0)),ROWS(AG$78:AG91))))</f>
        <v>Scrying</v>
      </c>
      <c r="AX91" s="1461" t="str">
        <f t="shared" ca="1" si="45"/>
        <v>Awaken</v>
      </c>
      <c r="AY91" s="1394">
        <v>14</v>
      </c>
      <c r="AZ91" s="1337">
        <f t="shared" ca="1" si="33"/>
        <v>0.27182344959711346</v>
      </c>
      <c r="BA91" s="488">
        <f t="shared" ca="1" si="41"/>
        <v>13</v>
      </c>
      <c r="BB91" s="1338" t="s">
        <v>7508</v>
      </c>
      <c r="BC91" s="1453" t="str">
        <f t="shared" ca="1" si="42"/>
        <v>Move Earth</v>
      </c>
      <c r="BD91" s="1394"/>
      <c r="BE91" s="1406"/>
      <c r="BF91" s="382"/>
      <c r="BG91" s="368"/>
      <c r="BH91" s="1395"/>
      <c r="BI91" s="1394"/>
      <c r="BJ91" s="1406"/>
      <c r="BK91" s="382"/>
      <c r="BL91" s="368"/>
      <c r="BM91" s="1363"/>
      <c r="BN91" s="1394"/>
      <c r="BO91" s="1406"/>
      <c r="BP91" s="382"/>
      <c r="BQ91" s="368"/>
      <c r="BR91" s="1363"/>
      <c r="BS91" s="271" t="s">
        <v>1287</v>
      </c>
      <c r="BT91" s="1409"/>
      <c r="BU91" s="498"/>
      <c r="BV91" s="498"/>
      <c r="BW91" s="1410"/>
      <c r="BX91" s="272"/>
      <c r="CC91" s="272"/>
      <c r="CD91" s="272"/>
      <c r="CJ91" s="272"/>
      <c r="CK91" s="272"/>
      <c r="CL91" s="272"/>
      <c r="CM91" s="272"/>
      <c r="CN91" s="272"/>
      <c r="CO91" s="272"/>
      <c r="CP91" s="272"/>
      <c r="CQ91" s="272"/>
      <c r="CR91" s="272"/>
      <c r="CS91" s="272"/>
      <c r="CT91" s="272"/>
      <c r="CU91" s="272"/>
      <c r="CV91" s="272"/>
      <c r="CW91" s="272"/>
      <c r="CX91" s="272"/>
      <c r="CY91" s="272"/>
      <c r="CZ91" s="272"/>
      <c r="DA91" s="272"/>
      <c r="DB91" s="272"/>
      <c r="DC91" s="272"/>
      <c r="DD91" s="272"/>
      <c r="DE91" s="272"/>
      <c r="DF91" s="272"/>
      <c r="DG91" s="272"/>
      <c r="DH91" s="272"/>
    </row>
    <row r="92" spans="2:112" ht="12" customHeight="1">
      <c r="B92" s="1336">
        <v>15</v>
      </c>
      <c r="C92" s="1454"/>
      <c r="D92" s="1338" t="s">
        <v>7509</v>
      </c>
      <c r="E92" s="1402"/>
      <c r="F92" s="382">
        <f>IF(ROWS(F$78:F92)&lt;=$E$78,ROWS(F$78:F92),"")</f>
        <v>15</v>
      </c>
      <c r="G92" s="1455">
        <f ca="1">IF(ROWS(G$78:G92)&lt;=$E$78,RAND(),"")</f>
        <v>0.48807603441748226</v>
      </c>
      <c r="H92" s="382">
        <f ca="1">IF(F92=ROWS(H$78:H92),RANK(G92,$G$78:$G$99))</f>
        <v>9</v>
      </c>
      <c r="I92" s="1338" t="s">
        <v>7509</v>
      </c>
      <c r="J92" s="1363" t="str">
        <f t="shared" ca="1" si="32"/>
        <v>Thunderclap</v>
      </c>
      <c r="K92" s="1394"/>
      <c r="L92" s="1452" t="s">
        <v>7510</v>
      </c>
      <c r="M92" s="1385"/>
      <c r="N92" s="382">
        <f>IF(ROWS(N$78:N92)&lt;=$M$78,ROWS(N$78:N92),"")</f>
        <v>15</v>
      </c>
      <c r="O92" s="1455">
        <f ca="1">IF(ROWS(O$78:O92)&lt;=$M$78,RAND(),"")</f>
        <v>0.18144456700877332</v>
      </c>
      <c r="P92" s="382">
        <f ca="1">IF(N92=ROWS(P$78:P92),RANK(O92,$O$78:$O$99),"")</f>
        <v>16</v>
      </c>
      <c r="Q92" s="1452" t="s">
        <v>7510</v>
      </c>
      <c r="R92" s="1363" t="str">
        <f t="shared" ca="1" si="40"/>
        <v>Detect Magic</v>
      </c>
      <c r="S92" s="1394"/>
      <c r="T92" s="1338" t="s">
        <v>7277</v>
      </c>
      <c r="U92" s="1456"/>
      <c r="V92" s="382">
        <f>IF(ROWS(V$78:V92)&lt;=$U$78,ROWS(V$78:V92),"")</f>
        <v>15</v>
      </c>
      <c r="W92" s="1406">
        <f ca="1">IF(ROWS(W$78:W92)&lt;=$U$78,RAND(),"")</f>
        <v>0.91810039032539448</v>
      </c>
      <c r="X92" s="382">
        <f ca="1">IF(V92=ROWS(X$78:X92),RANK(W92,$W$78:$W$99),"")</f>
        <v>2</v>
      </c>
      <c r="Y92" s="1457" t="str">
        <f>IF(ROWS(Y$78:Y92)&gt;$U$78,"",INDEX($T$78:$T$99,_xlfn.AGGREGATE(15,6,(ROW($T$78:$T$99)-ROW($T$78)+1)/ISNA(MATCH($T$78:$T$99,$S$78:$S$99,0)),ROWS(Y$78:Y92))))</f>
        <v>Locate Animals or Plants</v>
      </c>
      <c r="Z92" s="1458" t="str">
        <f t="shared" ca="1" si="46"/>
        <v>Animal Messenger</v>
      </c>
      <c r="AA92" s="1394"/>
      <c r="AB92" s="838" t="s">
        <v>3102</v>
      </c>
      <c r="AC92" s="1385"/>
      <c r="AD92" s="901">
        <f>IF(ROWS(AD$78:AD92)&lt;=$AC$78,ROWS(AD$78:AD92),"")</f>
        <v>15</v>
      </c>
      <c r="AE92" s="1459">
        <f ca="1">IF(ROWS(AE$78:AE92)&lt;=$AC$78,RAND(),"")</f>
        <v>0.23550111150605879</v>
      </c>
      <c r="AF92" s="382">
        <f ca="1">IF(ROWS(AE$78:AE92)&lt;=$AC$78,RANK(AE92,$AE$78:$AE$99),"")</f>
        <v>12</v>
      </c>
      <c r="AG92" s="1457" t="str">
        <f>IF(ROWS(AG$78:AG92)&gt;$AC$78,"",INDEX($AB$78:$AB$99,_xlfn.AGGREGATE(15,6,(ROW($AB$78:$AB$99)-ROW($AB$78)+1)/ISNA(MATCH($AB$78:$AB$99,$AA$78:$AA$99,0)),ROWS(AG$78:AG92))))</f>
        <v>Water Breathing</v>
      </c>
      <c r="AH92" s="1458" t="str">
        <f t="shared" ca="1" si="47"/>
        <v>Tidal Wave</v>
      </c>
      <c r="AI92" s="1394"/>
      <c r="AJ92" s="1338" t="s">
        <v>7400</v>
      </c>
      <c r="AK92" s="1385"/>
      <c r="AL92" s="901">
        <f>IF(ROWS(AL$78:AL92)&lt;=$AK$78,ROWS(AL$78:AL92),"")</f>
        <v>15</v>
      </c>
      <c r="AM92" s="1459">
        <f ca="1">IF(ROWS(AM$78:AM92)&lt;=$AK$78,RAND(),"")</f>
        <v>0.68858808133868954</v>
      </c>
      <c r="AN92" s="382">
        <f ca="1">IF(ROWS(AM$78:AM92)&lt;=$AK$78,RANK(AM92,$AM$78:$AM$99),"")</f>
        <v>7</v>
      </c>
      <c r="AO92" s="368" t="str">
        <f>IF(ROWS(AG$78:AG92)&gt;$AK$78,"",INDEX($AJ$78:$AJ$99,_xlfn.AGGREGATE(15,6,(ROW($AJ$78:$AJ$99)-ROW($AJ$78)+1)/ISNA(MATCH($AJ$78:$AJ$99,$AI$78:$AI$99,0)),ROWS(AG$78:AG92))))</f>
        <v>Stone Shape</v>
      </c>
      <c r="AP92" s="1363" t="str">
        <f t="shared" ca="1" si="44"/>
        <v>Locate Creature</v>
      </c>
      <c r="AQ92" s="1394"/>
      <c r="AR92" s="1452" t="s">
        <v>7511</v>
      </c>
      <c r="AS92" s="1385"/>
      <c r="AT92" s="901">
        <f>IF(ROWS(AT$78:AT92)&lt;=$AS$78,ROWS(AT$78:AT92),"")</f>
        <v>15</v>
      </c>
      <c r="AU92" s="1460">
        <f ca="1">IF(ROWS(AU$78:AU92)&lt;=$AS$78,RAND(),"")</f>
        <v>0.90284486679064302</v>
      </c>
      <c r="AV92" s="382">
        <f ca="1">IF(ROWS(AU$78:AU92)&lt;=$AS$78,RANK(AU92,$AU$78:$AU$99),"")</f>
        <v>2</v>
      </c>
      <c r="AW92" s="998" t="str">
        <f>IF(ROWS(AG$78:AG92)&gt;$AS$78,"",INDEX($AR$78:$AR$99,_xlfn.AGGREGATE(15,6,(ROW($AR$78:$AR$99)-ROW($AR$78)+1)/ISNA(MATCH($AR$78:$AR$99,$AQ$78:$AQ$99,0)),ROWS(AG$78:AG92))))</f>
        <v>Transmute Rock</v>
      </c>
      <c r="AX92" s="1461" t="str">
        <f t="shared" ca="1" si="45"/>
        <v>Wall of Stone</v>
      </c>
      <c r="AY92" s="1394">
        <v>15</v>
      </c>
      <c r="AZ92" s="1337">
        <f t="shared" ca="1" si="33"/>
        <v>0.52929388919040588</v>
      </c>
      <c r="BA92" s="488">
        <f t="shared" ca="1" si="41"/>
        <v>6</v>
      </c>
      <c r="BB92" s="1338" t="s">
        <v>7512</v>
      </c>
      <c r="BC92" s="1453" t="str">
        <f t="shared" ca="1" si="42"/>
        <v>Transport Via Plants</v>
      </c>
      <c r="BD92" s="1394"/>
      <c r="BE92" s="1406"/>
      <c r="BF92" s="382"/>
      <c r="BG92" s="368"/>
      <c r="BH92" s="1395"/>
      <c r="BI92" s="1394"/>
      <c r="BJ92" s="1406"/>
      <c r="BK92" s="382"/>
      <c r="BL92" s="368"/>
      <c r="BM92" s="1363"/>
      <c r="BN92" s="1394"/>
      <c r="BO92" s="1406"/>
      <c r="BP92" s="382"/>
      <c r="BQ92" s="368"/>
      <c r="BR92" s="1363"/>
      <c r="BS92" s="271" t="s">
        <v>1287</v>
      </c>
      <c r="BT92" s="1409"/>
      <c r="BU92" s="498"/>
      <c r="BV92" s="591"/>
      <c r="BW92" s="1410"/>
    </row>
    <row r="93" spans="2:112" ht="12" customHeight="1">
      <c r="B93" s="1336">
        <v>16</v>
      </c>
      <c r="C93" s="1454"/>
      <c r="D93" s="1452" t="s">
        <v>7513</v>
      </c>
      <c r="E93" s="1402"/>
      <c r="F93" s="382">
        <f>IF(ROWS(F$78:F93)&lt;=$E$78,ROWS(F$78:F93),"")</f>
        <v>16</v>
      </c>
      <c r="G93" s="1455">
        <f ca="1">IF(ROWS(G$78:G93)&lt;=$E$78,RAND(),"")</f>
        <v>6.4871754040956686E-2</v>
      </c>
      <c r="H93" s="382">
        <f ca="1">IF(F93=ROWS(H$78:H93),RANK(G93,$G$78:$G$99))</f>
        <v>15</v>
      </c>
      <c r="I93" s="1452" t="s">
        <v>7513</v>
      </c>
      <c r="J93" s="1363" t="str">
        <f t="shared" ca="1" si="32"/>
        <v>Shape Water</v>
      </c>
      <c r="K93" s="1394"/>
      <c r="L93" s="1338" t="s">
        <v>7514</v>
      </c>
      <c r="M93" s="1412"/>
      <c r="N93" s="382">
        <f>IF(ROWS(N$78:N93)&lt;=$M$78,ROWS(N$78:N93),"")</f>
        <v>16</v>
      </c>
      <c r="O93" s="1455">
        <f ca="1">IF(ROWS(O$78:O93)&lt;=$M$78,RAND(),"")</f>
        <v>7.5316844991744514E-2</v>
      </c>
      <c r="P93" s="382">
        <f ca="1">IF(N93=ROWS(P$78:P93),RANK(O93,$O$78:$O$99),"")</f>
        <v>18</v>
      </c>
      <c r="Q93" s="1338" t="s">
        <v>7514</v>
      </c>
      <c r="R93" s="1363" t="str">
        <f t="shared" ca="1" si="40"/>
        <v>Ice Knife</v>
      </c>
      <c r="S93" s="1394"/>
      <c r="T93" s="1338" t="s">
        <v>7281</v>
      </c>
      <c r="U93" s="1398"/>
      <c r="V93" s="382">
        <f>IF(ROWS(V$78:V93)&lt;=$U$78,ROWS(V$78:V93),"")</f>
        <v>16</v>
      </c>
      <c r="W93" s="1406">
        <f ca="1">IF(ROWS(W$78:W93)&lt;=$U$78,RAND(),"")</f>
        <v>0.826455853028642</v>
      </c>
      <c r="X93" s="382">
        <f ca="1">IF(V93=ROWS(X$78:X93),RANK(W93,$W$78:$W$99),"")</f>
        <v>8</v>
      </c>
      <c r="Y93" s="1457" t="str">
        <f>IF(ROWS(Y$78:Y93)&gt;$U$78,"",INDEX($T$78:$T$99,_xlfn.AGGREGATE(15,6,(ROW($T$78:$T$99)-ROW($T$78)+1)/ISNA(MATCH($T$78:$T$99,$S$78:$S$99,0)),ROWS(Y$78:Y93))))</f>
        <v>Locate Object</v>
      </c>
      <c r="Z93" s="1458" t="str">
        <f t="shared" ca="1" si="46"/>
        <v>Barkskin</v>
      </c>
      <c r="AA93" s="1394"/>
      <c r="AB93" s="838" t="s">
        <v>7422</v>
      </c>
      <c r="AC93" s="1412"/>
      <c r="AD93" s="901">
        <f>IF(ROWS(AD$78:AD93)&lt;=$AC$78,ROWS(AD$78:AD93),"")</f>
        <v>16</v>
      </c>
      <c r="AE93" s="1459">
        <f ca="1">IF(ROWS(AE$78:AE93)&lt;=$AC$78,RAND(),"")</f>
        <v>1.2672463486005814E-2</v>
      </c>
      <c r="AF93" s="382">
        <f ca="1">IF(ROWS(AE$78:AE93)&lt;=$AC$78,RANK(AE93,$AE$78:$AE$99),"")</f>
        <v>17</v>
      </c>
      <c r="AG93" s="1457" t="str">
        <f>IF(ROWS(AG$78:AG93)&gt;$AC$78,"",INDEX($AB$78:$AB$99,_xlfn.AGGREGATE(15,6,(ROW($AB$78:$AB$99)-ROW($AB$78)+1)/ISNA(MATCH($AB$78:$AB$99,$AA$78:$AA$99,0)),ROWS(AG$78:AG93))))</f>
        <v>Water Walk</v>
      </c>
      <c r="AH93" s="1458" t="str">
        <f t="shared" ca="1" si="47"/>
        <v>Flame Arrows</v>
      </c>
      <c r="AI93" s="1394"/>
      <c r="AJ93" s="1338" t="s">
        <v>7406</v>
      </c>
      <c r="AK93" s="1412"/>
      <c r="AL93" s="901">
        <f>IF(ROWS(AL$78:AL93)&lt;=$AK$78,ROWS(AL$78:AL93),"")</f>
        <v>16</v>
      </c>
      <c r="AM93" s="1459">
        <f ca="1">IF(ROWS(AM$78:AM93)&lt;=$AK$78,RAND(),"")</f>
        <v>0.55780109965845093</v>
      </c>
      <c r="AN93" s="382">
        <f ca="1">IF(ROWS(AM$78:AM93)&lt;=$AK$78,RANK(AM93,$AM$78:$AM$99),"")</f>
        <v>10</v>
      </c>
      <c r="AO93" s="368" t="str">
        <f>IF(ROWS(AG$78:AG93)&gt;$AK$78,"",INDEX($AJ$78:$AJ$99,_xlfn.AGGREGATE(15,6,(ROW($AJ$78:$AJ$99)-ROW($AJ$78)+1)/ISNA(MATCH($AJ$78:$AJ$99,$AI$78:$AI$99,0)),ROWS(AG$78:AG93))))</f>
        <v>Stoneskin</v>
      </c>
      <c r="AP93" s="1363" t="str">
        <f t="shared" ca="1" si="44"/>
        <v>Freedom of Movement</v>
      </c>
      <c r="AQ93" s="1394"/>
      <c r="AR93" s="1338" t="s">
        <v>4913</v>
      </c>
      <c r="AS93" s="1412"/>
      <c r="AT93" s="901">
        <f>IF(ROWS(AT$78:AT93)&lt;=$AS$78,ROWS(AT$78:AT93),"")</f>
        <v>16</v>
      </c>
      <c r="AU93" s="1460">
        <f ca="1">IF(ROWS(AU$78:AU93)&lt;=$AS$78,RAND(),"")</f>
        <v>0.84282424232241782</v>
      </c>
      <c r="AV93" s="382">
        <f ca="1">IF(ROWS(AU$78:AU93)&lt;=$AS$78,RANK(AU93,$AU$78:$AU$99),"")</f>
        <v>4</v>
      </c>
      <c r="AW93" s="998" t="str">
        <f>IF(ROWS(AG$78:AG93)&gt;$AS$78,"",INDEX($AR$78:$AR$99,_xlfn.AGGREGATE(15,6,(ROW($AR$78:$AR$99)-ROW($AR$78)+1)/ISNA(MATCH($AR$78:$AR$99,$AQ$78:$AQ$99,0)),ROWS(AG$78:AG93))))</f>
        <v>Tree Stride</v>
      </c>
      <c r="AX93" s="1461" t="str">
        <f t="shared" ca="1" si="45"/>
        <v>Insect Plague</v>
      </c>
      <c r="AY93" s="1394"/>
      <c r="AZ93" s="1337"/>
      <c r="BA93" s="382"/>
      <c r="BB93" s="368"/>
      <c r="BC93" s="1395"/>
      <c r="BD93" s="1394"/>
      <c r="BE93" s="1406"/>
      <c r="BF93" s="382"/>
      <c r="BG93" s="368"/>
      <c r="BH93" s="1395"/>
      <c r="BI93" s="1394"/>
      <c r="BJ93" s="1406"/>
      <c r="BK93" s="382"/>
      <c r="BL93" s="368"/>
      <c r="BM93" s="1363"/>
      <c r="BN93" s="1394"/>
      <c r="BO93" s="1406"/>
      <c r="BP93" s="382"/>
      <c r="BQ93" s="368"/>
      <c r="BR93" s="1363"/>
      <c r="BS93" s="271" t="s">
        <v>1287</v>
      </c>
      <c r="BT93" s="1409"/>
      <c r="BU93" s="498"/>
      <c r="BV93" s="591"/>
      <c r="BW93" s="1410"/>
    </row>
    <row r="94" spans="2:112" ht="12" customHeight="1">
      <c r="B94" s="1336">
        <v>17</v>
      </c>
      <c r="C94" s="1454"/>
      <c r="D94" s="382"/>
      <c r="E94" s="1402"/>
      <c r="F94" s="382" t="str">
        <f>IF(ROWS(F$78:F94)&lt;=$E$78,ROWS(F$78:F94),"")</f>
        <v/>
      </c>
      <c r="G94" s="1455" t="str">
        <f ca="1">IF(ROWS(G$78:G94)&lt;=$E$78,RAND(),"")</f>
        <v/>
      </c>
      <c r="H94" s="382"/>
      <c r="I94" s="1338"/>
      <c r="J94" s="1363"/>
      <c r="K94" s="1394"/>
      <c r="L94" s="1338" t="s">
        <v>7284</v>
      </c>
      <c r="M94" s="1412"/>
      <c r="N94" s="382">
        <f>IF(ROWS(N$78:N94)&lt;=$M$78,ROWS(N$78:N94),"")</f>
        <v>17</v>
      </c>
      <c r="O94" s="1455">
        <f ca="1">IF(ROWS(O$78:O94)&lt;=$M$78,RAND(),"")</f>
        <v>0.62525374281309165</v>
      </c>
      <c r="P94" s="382">
        <f ca="1">IF(N94=ROWS(P$78:P94),RANK(O94,$O$78:$O$99),"")</f>
        <v>7</v>
      </c>
      <c r="Q94" s="1338" t="s">
        <v>7284</v>
      </c>
      <c r="R94" s="1363" t="str">
        <f t="shared" ca="1" si="40"/>
        <v>Healing Word</v>
      </c>
      <c r="S94" s="1394"/>
      <c r="T94" s="1338" t="s">
        <v>7515</v>
      </c>
      <c r="U94" s="1398"/>
      <c r="V94" s="382">
        <f>IF(ROWS(V$78:V94)&lt;=$U$78,ROWS(V$78:V94),"")</f>
        <v>17</v>
      </c>
      <c r="W94" s="1406">
        <f ca="1">IF(ROWS(W$78:W94)&lt;=$U$78,RAND(),"")</f>
        <v>0.30977706002051708</v>
      </c>
      <c r="X94" s="382">
        <f ca="1">IF(V94=ROWS(X$78:X94),RANK(W94,$W$78:$W$99),"")</f>
        <v>17</v>
      </c>
      <c r="Y94" s="1457" t="str">
        <f>IF(ROWS(Y$78:Y94)&gt;$U$78,"",INDEX($T$78:$T$99,_xlfn.AGGREGATE(15,6,(ROW($T$78:$T$99)-ROW($T$78)+1)/ISNA(MATCH($T$78:$T$99,$S$78:$S$99,0)),ROWS(Y$78:Y94))))</f>
        <v>Moonbeam</v>
      </c>
      <c r="Z94" s="1458" t="str">
        <f t="shared" ca="1" si="46"/>
        <v>Moonbeam</v>
      </c>
      <c r="AA94" s="1394"/>
      <c r="AB94" s="838" t="s">
        <v>7388</v>
      </c>
      <c r="AC94" s="1412"/>
      <c r="AD94" s="901">
        <f>IF(ROWS(AD$78:AD94)&lt;=$AC$78,ROWS(AD$78:AD94),"")</f>
        <v>17</v>
      </c>
      <c r="AE94" s="1459">
        <f ca="1">IF(ROWS(AE$78:AE94)&lt;=$AC$78,RAND(),"")</f>
        <v>0.79189200311515973</v>
      </c>
      <c r="AF94" s="382">
        <f ca="1">IF(ROWS(AE$78:AE94)&lt;=$AC$78,RANK(AE94,$AE$78:$AE$99),"")</f>
        <v>2</v>
      </c>
      <c r="AG94" s="1457" t="str">
        <f>IF(ROWS(AG$78:AG94)&gt;$AC$78,"",INDEX($AB$78:$AB$99,_xlfn.AGGREGATE(15,6,(ROW($AB$78:$AB$99)-ROW($AB$78)+1)/ISNA(MATCH($AB$78:$AB$99,$AA$78:$AA$99,0)),ROWS(AG$78:AG94))))</f>
        <v>Wind Wall</v>
      </c>
      <c r="AH94" s="1458" t="str">
        <f t="shared" ca="1" si="47"/>
        <v>Water Walk</v>
      </c>
      <c r="AI94" s="1394"/>
      <c r="AJ94" s="1338" t="s">
        <v>7403</v>
      </c>
      <c r="AK94" s="1412"/>
      <c r="AL94" s="901">
        <f>IF(ROWS(AL$78:AL94)&lt;=$AK$78,ROWS(AL$78:AL94),"")</f>
        <v>17</v>
      </c>
      <c r="AM94" s="1459">
        <f ca="1">IF(ROWS(AM$78:AM94)&lt;=$AK$78,RAND(),"")</f>
        <v>0.82639426031104513</v>
      </c>
      <c r="AN94" s="382">
        <f ca="1">IF(ROWS(AM$78:AM94)&lt;=$AK$78,RANK(AM94,$AM$78:$AM$99),"")</f>
        <v>3</v>
      </c>
      <c r="AO94" s="368" t="str">
        <f>IF(ROWS(AG$78:AG94)&gt;$AK$78,"",INDEX($AJ$78:$AJ$99,_xlfn.AGGREGATE(15,6,(ROW($AJ$78:$AJ$99)-ROW($AJ$78)+1)/ISNA(MATCH($AJ$78:$AJ$99,$AI$78:$AI$99,0)),ROWS(AG$78:AG94))))</f>
        <v>Wall of Fire</v>
      </c>
      <c r="AP94" s="1363" t="str">
        <f t="shared" ca="1" si="44"/>
        <v>Elemental Bane</v>
      </c>
      <c r="AQ94" s="1394"/>
      <c r="AR94" s="1338" t="s">
        <v>7487</v>
      </c>
      <c r="AS94" s="1412"/>
      <c r="AT94" s="901">
        <f>IF(ROWS(AT$78:AT94)&lt;=$AS$78,ROWS(AT$78:AT94),"")</f>
        <v>17</v>
      </c>
      <c r="AU94" s="1460">
        <f ca="1">IF(ROWS(AU$78:AU94)&lt;=$AS$78,RAND(),"")</f>
        <v>0.10107213101102008</v>
      </c>
      <c r="AV94" s="382">
        <f ca="1">IF(ROWS(AU$78:AU94)&lt;=$AS$78,RANK(AU94,$AU$78:$AU$99),"")</f>
        <v>15</v>
      </c>
      <c r="AW94" s="998" t="str">
        <f>IF(ROWS(AG$78:AG94)&gt;$AS$78,"",INDEX($AR$78:$AR$99,_xlfn.AGGREGATE(15,6,(ROW($AR$78:$AR$99)-ROW($AR$78)+1)/ISNA(MATCH($AR$78:$AR$99,$AQ$78:$AQ$99,0)),ROWS(AG$78:AG94))))</f>
        <v>Wall of Stone</v>
      </c>
      <c r="AX94" s="1461" t="str">
        <f t="shared" ca="1" si="45"/>
        <v>Maelstrom</v>
      </c>
      <c r="AY94" s="1394"/>
      <c r="AZ94" s="1337"/>
      <c r="BA94" s="382"/>
      <c r="BB94" s="368"/>
      <c r="BC94" s="1395"/>
      <c r="BD94" s="1394"/>
      <c r="BE94" s="1406"/>
      <c r="BF94" s="382"/>
      <c r="BG94" s="368"/>
      <c r="BH94" s="1395"/>
      <c r="BI94" s="1394"/>
      <c r="BJ94" s="1406"/>
      <c r="BK94" s="382"/>
      <c r="BL94" s="368"/>
      <c r="BM94" s="1363"/>
      <c r="BN94" s="1394"/>
      <c r="BO94" s="1406"/>
      <c r="BP94" s="382"/>
      <c r="BQ94" s="368"/>
      <c r="BR94" s="1363"/>
      <c r="BS94" s="271" t="s">
        <v>1287</v>
      </c>
      <c r="BT94" s="1409"/>
      <c r="BU94" s="498"/>
      <c r="BV94" s="591"/>
      <c r="BW94" s="1410"/>
    </row>
    <row r="95" spans="2:112" ht="12" customHeight="1">
      <c r="B95" s="1336">
        <v>18</v>
      </c>
      <c r="C95" s="1454"/>
      <c r="D95" s="382"/>
      <c r="E95" s="1402"/>
      <c r="F95" s="382" t="str">
        <f>IF(ROWS(F$78:F95)&lt;=$E$78,ROWS(F$78:F95),"")</f>
        <v/>
      </c>
      <c r="G95" s="1455" t="str">
        <f ca="1">IF(ROWS(G$78:G95)&lt;=$E$78,RAND(),"")</f>
        <v/>
      </c>
      <c r="H95" s="382"/>
      <c r="I95" s="1338"/>
      <c r="J95" s="1363" t="str">
        <f ca="1">IF(F95&gt;0,VLOOKUP($F95,$F$78:$I$99,2,FALSE),"")</f>
        <v/>
      </c>
      <c r="K95" s="1394"/>
      <c r="L95" s="1338" t="s">
        <v>7416</v>
      </c>
      <c r="M95" s="1412"/>
      <c r="N95" s="382">
        <f>IF(ROWS(N$78:N95)&lt;=$M$78,ROWS(N$78:N95),"")</f>
        <v>18</v>
      </c>
      <c r="O95" s="1455">
        <f ca="1">IF(ROWS(O$78:O95)&lt;=$M$78,RAND(),"")</f>
        <v>2.1852027939056384E-2</v>
      </c>
      <c r="P95" s="382">
        <f ca="1">IF(N95=ROWS(P$78:P95),RANK(O95,$O$78:$O$99),"")</f>
        <v>20</v>
      </c>
      <c r="Q95" s="1338" t="s">
        <v>7416</v>
      </c>
      <c r="R95" s="1363" t="str">
        <f t="shared" ca="1" si="40"/>
        <v>Jump</v>
      </c>
      <c r="S95" s="1394"/>
      <c r="T95" s="1338" t="s">
        <v>7371</v>
      </c>
      <c r="U95" s="1398"/>
      <c r="V95" s="382">
        <f>IF(ROWS(V$78:V95)&lt;=$U$78,ROWS(V$78:V95),"")</f>
        <v>18</v>
      </c>
      <c r="W95" s="1406">
        <f ca="1">IF(ROWS(W$78:W95)&lt;=$U$78,RAND(),"")</f>
        <v>0.87518354878732496</v>
      </c>
      <c r="X95" s="382">
        <f ca="1">IF(V95=ROWS(X$78:X95),RANK(W95,$W$78:$W$99),"")</f>
        <v>7</v>
      </c>
      <c r="Y95" s="1457" t="str">
        <f>IF(ROWS(Y$78:Y95)&gt;$U$78,"",INDEX($T$78:$T$99,_xlfn.AGGREGATE(15,6,(ROW($T$78:$T$99)-ROW($T$78)+1)/ISNA(MATCH($T$78:$T$99,$S$78:$S$99,0)),ROWS(Y$78:Y95))))</f>
        <v>Pass without Trace</v>
      </c>
      <c r="Z95" s="1458" t="str">
        <f t="shared" ca="1" si="46"/>
        <v>Lesser Restoration</v>
      </c>
      <c r="AA95" s="1394"/>
      <c r="AB95" s="1337"/>
      <c r="AC95" s="1412"/>
      <c r="AD95" s="901" t="str">
        <f>IF(ROWS(AD$78:AD95)&lt;=$AC$78,ROWS(AD$78:AD95),"")</f>
        <v/>
      </c>
      <c r="AE95" s="1459" t="str">
        <f ca="1">IF(ROWS(AE$78:AE95)&lt;=$AC$78,RAND(),"")</f>
        <v/>
      </c>
      <c r="AF95" s="382" t="str">
        <f>IF(ROWS(AE$78:AE95)&lt;=$AC$78,RANK(AE95,$AE$78:$AE$99),"")</f>
        <v/>
      </c>
      <c r="AG95" s="1457" t="str">
        <f>IF(ROWS(AG$78:AG95)&gt;$AC$78,"",INDEX($AB$78:$AB$99,_xlfn.AGGREGATE(15,6,(ROW($AB$78:$AB$99)-ROW($AB$78)+1)/ISNA(MATCH($AB$78:$AB$99,$AA$78:$AA$99,0)),ROWS(AG$78:AG95))))</f>
        <v/>
      </c>
      <c r="AH95" s="1458" t="str">
        <f t="shared" si="47"/>
        <v xml:space="preserve"> </v>
      </c>
      <c r="AI95" s="1394"/>
      <c r="AJ95" s="1452" t="s">
        <v>7516</v>
      </c>
      <c r="AK95" s="1412"/>
      <c r="AL95" s="901">
        <f>IF(ROWS(AL$78:AL95)&lt;=$AK$78,ROWS(AL$78:AL95),"")</f>
        <v>18</v>
      </c>
      <c r="AM95" s="1459">
        <f ca="1">IF(ROWS(AM$78:AM95)&lt;=$AK$78,RAND(),"")</f>
        <v>0.77840862108387954</v>
      </c>
      <c r="AN95" s="382">
        <f ca="1">IF(ROWS(AM$78:AM95)&lt;=$AK$78,RANK(AM95,$AM$78:$AM$99),"")</f>
        <v>4</v>
      </c>
      <c r="AO95" s="368" t="str">
        <f>IF(ROWS(AG$78:AG95)&gt;$AK$78,"",INDEX($AJ$78:$AJ$99,_xlfn.AGGREGATE(15,6,(ROW($AJ$78:$AJ$99)-ROW($AJ$78)+1)/ISNA(MATCH($AJ$78:$AJ$99,$AI$78:$AI$99,0)),ROWS(AG$78:AG95))))</f>
        <v>Watery Sphere</v>
      </c>
      <c r="AP95" s="1363" t="str">
        <f t="shared" ca="1" si="44"/>
        <v>Conjure Minor Elementals</v>
      </c>
      <c r="AQ95" s="1394"/>
      <c r="AR95" s="1337"/>
      <c r="AS95" s="1412"/>
      <c r="AT95" s="901" t="str">
        <f>IF(ROWS(AT$78:AT95)&lt;=$AS$78,ROWS(AT$78:AT95),"")</f>
        <v/>
      </c>
      <c r="AU95" s="1460" t="str">
        <f ca="1">IF(ROWS(AU$78:AU95)&lt;=$AS$78,RAND(),"")</f>
        <v/>
      </c>
      <c r="AV95" s="382" t="str">
        <f>IF(ROWS(AU$78:AU95)&lt;=$AS$78,RANK(AU95,$AU$78:$AU$99),"")</f>
        <v/>
      </c>
      <c r="AW95" s="998" t="str">
        <f>IF(ROWS(AG$78:AG95)&gt;$AS$78,"",INDEX($AR$78:$AR$99,_xlfn.AGGREGATE(15,6,(ROW($AR$78:$AR$99)-ROW($AR$78)+1)/ISNA(MATCH($AR$78:$AR$99,$AQ$78:$AQ$99,0)),ROWS(AG$78:AG95))))</f>
        <v/>
      </c>
      <c r="AX95" s="1461" t="str">
        <f t="shared" si="45"/>
        <v xml:space="preserve"> </v>
      </c>
      <c r="AY95" s="1394"/>
      <c r="AZ95" s="1337"/>
      <c r="BA95" s="382"/>
      <c r="BB95" s="368"/>
      <c r="BC95" s="1395"/>
      <c r="BD95" s="1394"/>
      <c r="BE95" s="1406"/>
      <c r="BF95" s="382"/>
      <c r="BG95" s="368"/>
      <c r="BH95" s="1395"/>
      <c r="BI95" s="1394"/>
      <c r="BJ95" s="1406"/>
      <c r="BK95" s="382"/>
      <c r="BL95" s="368"/>
      <c r="BM95" s="1363"/>
      <c r="BN95" s="1394"/>
      <c r="BO95" s="1406"/>
      <c r="BP95" s="382"/>
      <c r="BQ95" s="368"/>
      <c r="BR95" s="1363"/>
      <c r="BS95" s="271" t="s">
        <v>1287</v>
      </c>
      <c r="BT95" s="1409"/>
      <c r="BU95" s="498"/>
      <c r="BV95" s="591"/>
      <c r="BW95" s="1410"/>
    </row>
    <row r="96" spans="2:112" ht="12" customHeight="1">
      <c r="B96" s="1414">
        <v>19</v>
      </c>
      <c r="C96" s="1454"/>
      <c r="D96" s="398"/>
      <c r="E96" s="1402"/>
      <c r="F96" s="398"/>
      <c r="G96" s="1466"/>
      <c r="H96" s="398"/>
      <c r="I96" s="1342"/>
      <c r="J96" s="1390"/>
      <c r="K96" s="1415"/>
      <c r="L96" s="1338" t="s">
        <v>7292</v>
      </c>
      <c r="M96" s="1412"/>
      <c r="N96" s="382">
        <f>IF(ROWS(N$78:N96)&lt;=$M$78,ROWS(N$78:N96),"")</f>
        <v>19</v>
      </c>
      <c r="O96" s="1455">
        <f ca="1">IF(ROWS(O$78:O96)&lt;=$M$78,RAND(),"")</f>
        <v>0.91877987146006268</v>
      </c>
      <c r="P96" s="382">
        <f ca="1">IF(N96=ROWS(P$78:P96),RANK(O96,$O$78:$O$99),"")</f>
        <v>1</v>
      </c>
      <c r="Q96" s="1338" t="s">
        <v>7292</v>
      </c>
      <c r="R96" s="1363" t="str">
        <f t="shared" ca="1" si="40"/>
        <v>Detect Poison and Disease</v>
      </c>
      <c r="S96" s="1415"/>
      <c r="T96" s="1338" t="s">
        <v>7517</v>
      </c>
      <c r="U96" s="1398"/>
      <c r="V96" s="382">
        <f>IF(ROWS(V$78:V96)&lt;=$U$78,ROWS(V$78:V96),"")</f>
        <v>19</v>
      </c>
      <c r="W96" s="1406">
        <f ca="1">IF(ROWS(W$78:W96)&lt;=$U$78,RAND(),"")</f>
        <v>0.60471756903799112</v>
      </c>
      <c r="X96" s="382">
        <f ca="1">IF(V96=ROWS(X$78:X96),RANK(W96,$W$78:$W$99),"")</f>
        <v>12</v>
      </c>
      <c r="Y96" s="1457" t="str">
        <f>IF(ROWS(Y$78:Y96)&gt;$U$78,"",INDEX($T$78:$T$99,_xlfn.AGGREGATE(15,6,(ROW($T$78:$T$99)-ROW($T$78)+1)/ISNA(MATCH($T$78:$T$99,$S$78:$S$99,0)),ROWS(Y$78:Y96))))</f>
        <v>Protection from Poison</v>
      </c>
      <c r="Z96" s="1458" t="str">
        <f t="shared" ca="1" si="46"/>
        <v>Warding Wind</v>
      </c>
      <c r="AA96" s="1415"/>
      <c r="AB96" s="1343"/>
      <c r="AC96" s="1412"/>
      <c r="AD96" s="1421"/>
      <c r="AE96" s="1467"/>
      <c r="AF96" s="398"/>
      <c r="AG96" s="1468"/>
      <c r="AH96" s="1469"/>
      <c r="AI96" s="1415"/>
      <c r="AJ96" s="1343"/>
      <c r="AK96" s="1412"/>
      <c r="AL96" s="1421"/>
      <c r="AM96" s="1467"/>
      <c r="AN96" s="398"/>
      <c r="AO96" s="402"/>
      <c r="AP96" s="1390"/>
      <c r="AQ96" s="1415"/>
      <c r="AR96" s="1343"/>
      <c r="AS96" s="1412"/>
      <c r="AT96" s="1421"/>
      <c r="AU96" s="1470"/>
      <c r="AV96" s="398"/>
      <c r="AW96" s="1471"/>
      <c r="AX96" s="1472"/>
      <c r="AY96" s="1415"/>
      <c r="AZ96" s="1343"/>
      <c r="BA96" s="398"/>
      <c r="BB96" s="402"/>
      <c r="BC96" s="1473"/>
      <c r="BD96" s="1415"/>
      <c r="BE96" s="1420"/>
      <c r="BF96" s="398"/>
      <c r="BG96" s="402"/>
      <c r="BH96" s="1473"/>
      <c r="BI96" s="1415"/>
      <c r="BJ96" s="1420"/>
      <c r="BK96" s="398"/>
      <c r="BL96" s="402"/>
      <c r="BM96" s="1390"/>
      <c r="BN96" s="1415"/>
      <c r="BO96" s="1420"/>
      <c r="BP96" s="398"/>
      <c r="BQ96" s="402"/>
      <c r="BR96" s="1390"/>
      <c r="BT96" s="1409"/>
      <c r="BU96" s="498"/>
      <c r="BV96" s="591"/>
      <c r="BW96" s="1410"/>
    </row>
    <row r="97" spans="2:82" ht="12" customHeight="1">
      <c r="B97" s="1414">
        <v>20</v>
      </c>
      <c r="C97" s="1454"/>
      <c r="D97" s="398"/>
      <c r="E97" s="1402"/>
      <c r="F97" s="398"/>
      <c r="G97" s="1466"/>
      <c r="H97" s="398"/>
      <c r="I97" s="1342"/>
      <c r="J97" s="1390"/>
      <c r="K97" s="1415"/>
      <c r="L97" s="1338" t="s">
        <v>7296</v>
      </c>
      <c r="M97" s="1412"/>
      <c r="N97" s="382">
        <f>IF(ROWS(N$78:N97)&lt;=$M$78,ROWS(N$78:N97),"")</f>
        <v>20</v>
      </c>
      <c r="O97" s="1455">
        <f ca="1">IF(ROWS(O$78:O97)&lt;=$M$78,RAND(),"")</f>
        <v>0.86798524234310914</v>
      </c>
      <c r="P97" s="382">
        <f ca="1">IF(N97=ROWS(P$78:P97),RANK(O97,$O$78:$O$99),"")</f>
        <v>3</v>
      </c>
      <c r="Q97" s="1338" t="s">
        <v>7296</v>
      </c>
      <c r="R97" s="1363" t="str">
        <f t="shared" ca="1" si="40"/>
        <v>Purify Food and Drink</v>
      </c>
      <c r="S97" s="1415"/>
      <c r="T97" s="1452" t="s">
        <v>7299</v>
      </c>
      <c r="U97" s="1398"/>
      <c r="V97" s="382">
        <f>IF(ROWS(V$78:V97)&lt;=$U$78,ROWS(V$78:V97),"")</f>
        <v>20</v>
      </c>
      <c r="W97" s="1406">
        <f ca="1">IF(ROWS(W$78:W97)&lt;=$U$78,RAND(),"")</f>
        <v>0.58099560616394563</v>
      </c>
      <c r="X97" s="382">
        <f ca="1">IF(V97=ROWS(X$78:X97),RANK(W97,$W$78:$W$99),"")</f>
        <v>13</v>
      </c>
      <c r="Y97" s="1457" t="str">
        <f>IF(ROWS(Y$78:Y97)&gt;$U$78,"",INDEX($T$78:$T$99,_xlfn.AGGREGATE(15,6,(ROW($T$78:$T$99)-ROW($T$78)+1)/ISNA(MATCH($T$78:$T$99,$S$78:$S$99,0)),ROWS(Y$78:Y97))))</f>
        <v>Skywrite</v>
      </c>
      <c r="Z97" s="1458" t="str">
        <f t="shared" ca="1" si="46"/>
        <v>Beast Sense</v>
      </c>
      <c r="AA97" s="1415"/>
      <c r="AB97" s="1343"/>
      <c r="AC97" s="1412"/>
      <c r="AD97" s="1421"/>
      <c r="AE97" s="1467"/>
      <c r="AF97" s="398"/>
      <c r="AG97" s="1468"/>
      <c r="AH97" s="1469"/>
      <c r="AI97" s="1415"/>
      <c r="AJ97" s="1343"/>
      <c r="AK97" s="1412"/>
      <c r="AL97" s="1421"/>
      <c r="AM97" s="1467"/>
      <c r="AN97" s="398"/>
      <c r="AO97" s="402"/>
      <c r="AP97" s="1390"/>
      <c r="AQ97" s="1415"/>
      <c r="AR97" s="1343"/>
      <c r="AS97" s="1412"/>
      <c r="AT97" s="1421"/>
      <c r="AU97" s="1470"/>
      <c r="AV97" s="398"/>
      <c r="AW97" s="1471"/>
      <c r="AX97" s="1472"/>
      <c r="AY97" s="1415"/>
      <c r="AZ97" s="1343"/>
      <c r="BA97" s="398"/>
      <c r="BB97" s="402"/>
      <c r="BC97" s="1473"/>
      <c r="BD97" s="1415"/>
      <c r="BE97" s="1420"/>
      <c r="BF97" s="398"/>
      <c r="BG97" s="402"/>
      <c r="BH97" s="1473"/>
      <c r="BI97" s="1415"/>
      <c r="BJ97" s="1420"/>
      <c r="BK97" s="398"/>
      <c r="BL97" s="402"/>
      <c r="BM97" s="1390"/>
      <c r="BN97" s="1415"/>
      <c r="BO97" s="1420"/>
      <c r="BP97" s="398"/>
      <c r="BQ97" s="402"/>
      <c r="BR97" s="1390"/>
      <c r="BT97" s="1409"/>
      <c r="BU97" s="498"/>
      <c r="BV97" s="591"/>
      <c r="BW97" s="1410"/>
    </row>
    <row r="98" spans="2:82" ht="12" customHeight="1">
      <c r="B98" s="1414">
        <v>21</v>
      </c>
      <c r="C98" s="1454"/>
      <c r="D98" s="398"/>
      <c r="E98" s="1402"/>
      <c r="F98" s="398"/>
      <c r="G98" s="1466"/>
      <c r="H98" s="398"/>
      <c r="I98" s="1342"/>
      <c r="J98" s="1390"/>
      <c r="K98" s="1415"/>
      <c r="L98" s="488" t="str">
        <f>IF(ROWS(L$78:L98)&lt;=$M$78,ROWS(L$78:L98),"")</f>
        <v/>
      </c>
      <c r="M98" s="1412"/>
      <c r="N98" s="382" t="str">
        <f>IF(ROWS(N$78:N98)&lt;=$M$78,ROWS(N$78:N98),"")</f>
        <v/>
      </c>
      <c r="O98" s="1455" t="str">
        <f ca="1">IF(ROWS(O$78:O98)&lt;=$M$78,RAND(),"")</f>
        <v/>
      </c>
      <c r="P98" s="382" t="str">
        <f>IF(N98=ROWS(P$78:P98),RANK(O98,$O$78:$O$99),"")</f>
        <v/>
      </c>
      <c r="Q98" s="1333"/>
      <c r="R98" s="1363"/>
      <c r="S98" s="1415"/>
      <c r="T98" s="1338" t="s">
        <v>7370</v>
      </c>
      <c r="U98" s="1398"/>
      <c r="V98" s="382">
        <f>IF(ROWS(V$78:V98)&lt;=$U$78,ROWS(V$78:V98),"")</f>
        <v>21</v>
      </c>
      <c r="W98" s="1406">
        <f ca="1">IF(ROWS(W$78:W98)&lt;=$U$78,RAND(),"")</f>
        <v>6.6253924426995403E-2</v>
      </c>
      <c r="X98" s="382">
        <f ca="1">IF(V98=ROWS(X$78:X98),RANK(W98,$W$78:$W$99),"")</f>
        <v>21</v>
      </c>
      <c r="Y98" s="1457" t="str">
        <f>IF(ROWS(Y$78:Y98)&gt;$U$78,"",INDEX($T$78:$T$99,_xlfn.AGGREGATE(15,6,(ROW($T$78:$T$99)-ROW($T$78)+1)/ISNA(MATCH($T$78:$T$99,$S$78:$S$99,0)),ROWS(Y$78:Y98))))</f>
        <v>Spike Growth</v>
      </c>
      <c r="Z98" s="1458" t="str">
        <f t="shared" ca="1" si="46"/>
        <v>Spike Growth</v>
      </c>
      <c r="AA98" s="1415"/>
      <c r="AB98" s="1343"/>
      <c r="AC98" s="1412"/>
      <c r="AD98" s="1421"/>
      <c r="AE98" s="1467"/>
      <c r="AF98" s="398"/>
      <c r="AG98" s="1468"/>
      <c r="AH98" s="1469"/>
      <c r="AI98" s="1415"/>
      <c r="AJ98" s="1343"/>
      <c r="AK98" s="1412"/>
      <c r="AL98" s="1421"/>
      <c r="AM98" s="1467"/>
      <c r="AN98" s="398"/>
      <c r="AO98" s="402"/>
      <c r="AP98" s="1390"/>
      <c r="AQ98" s="1415"/>
      <c r="AR98" s="1343"/>
      <c r="AS98" s="1412"/>
      <c r="AT98" s="1421"/>
      <c r="AU98" s="1470"/>
      <c r="AV98" s="398"/>
      <c r="AW98" s="1471"/>
      <c r="AX98" s="1472"/>
      <c r="AY98" s="1415"/>
      <c r="AZ98" s="1343"/>
      <c r="BA98" s="398"/>
      <c r="BB98" s="402"/>
      <c r="BC98" s="1473"/>
      <c r="BD98" s="1415"/>
      <c r="BE98" s="1420"/>
      <c r="BF98" s="398"/>
      <c r="BG98" s="402"/>
      <c r="BH98" s="1473"/>
      <c r="BI98" s="1415"/>
      <c r="BJ98" s="1420"/>
      <c r="BK98" s="398"/>
      <c r="BL98" s="402"/>
      <c r="BM98" s="1390"/>
      <c r="BN98" s="1415"/>
      <c r="BO98" s="1420"/>
      <c r="BP98" s="398"/>
      <c r="BQ98" s="402"/>
      <c r="BR98" s="1390"/>
      <c r="BT98" s="1409"/>
      <c r="BU98" s="498"/>
      <c r="BV98" s="591"/>
      <c r="BW98" s="1410"/>
    </row>
    <row r="99" spans="2:82" ht="12" customHeight="1" thickBot="1">
      <c r="B99" s="1474">
        <v>22</v>
      </c>
      <c r="C99" s="1475"/>
      <c r="D99" s="1348"/>
      <c r="E99" s="1476"/>
      <c r="F99" s="1348"/>
      <c r="G99" s="1351"/>
      <c r="H99" s="1348"/>
      <c r="I99" s="1352"/>
      <c r="J99" s="1429" t="str">
        <f>IF(F99&gt;0,VLOOKUP($F99,$F$78:$I$99,2,FALSE),"")</f>
        <v/>
      </c>
      <c r="K99" s="1426"/>
      <c r="L99" s="1348" t="str">
        <f>IF(ROWS(L$78:L99)&lt;=$M$78,ROWS(L$78:L99),"")</f>
        <v/>
      </c>
      <c r="M99" s="1476"/>
      <c r="N99" s="1348" t="str">
        <f>IF(ROWS(N$78:N99)&lt;=$M$78,ROWS(N$78:N99),"")</f>
        <v/>
      </c>
      <c r="O99" s="1477" t="str">
        <f ca="1">IF(ROWS(O$78:O99)&lt;=$M$78,RAND(),"")</f>
        <v/>
      </c>
      <c r="P99" s="1348" t="str">
        <f>IF(N99=ROWS(P$78:P99),RANK(O99,$O$78:$O$99),"")</f>
        <v/>
      </c>
      <c r="Q99" s="1352"/>
      <c r="R99" s="1429"/>
      <c r="S99" s="1426"/>
      <c r="T99" s="1478" t="s">
        <v>7301</v>
      </c>
      <c r="U99" s="1422"/>
      <c r="V99" s="1348">
        <f>IF(ROWS(V$78:V99)&lt;=$U$78,ROWS(V$78:V99),"")</f>
        <v>22</v>
      </c>
      <c r="W99" s="1428">
        <f ca="1">IF(ROWS(W$78:W99)&lt;=$U$78,RAND(),"")</f>
        <v>0.2379390799160036</v>
      </c>
      <c r="X99" s="1348">
        <f ca="1">IF(V99=ROWS(X$78:X99),RANK(W99,$W$78:$W$99),"")</f>
        <v>19</v>
      </c>
      <c r="Y99" s="1479" t="str">
        <f>IF(ROWS(Y$78:Y99)&gt;$U$78,"",INDEX($T$78:$T$99,_xlfn.AGGREGATE(15,6,(ROW($T$78:$T$99)-ROW($T$78)+1)/ISNA(MATCH($T$78:$T$99,$S$78:$S$99,0)),ROWS(Y$78:Y99))))</f>
        <v>Warding Wind</v>
      </c>
      <c r="Z99" s="1480" t="str">
        <f t="shared" ca="1" si="46"/>
        <v>Enhance Ability</v>
      </c>
      <c r="AA99" s="1426"/>
      <c r="AB99" s="1351"/>
      <c r="AC99" s="1422"/>
      <c r="AD99" s="1430" t="str">
        <f>IF(ROWS(AD$78:AD99)&lt;=$AC$78,ROWS(AD$78:AD99),"")</f>
        <v/>
      </c>
      <c r="AE99" s="1481" t="str">
        <f ca="1">IF(ROWS(AE$78:AE99)&lt;=$AC$78,RAND(),"")</f>
        <v/>
      </c>
      <c r="AF99" s="1348" t="str">
        <f>IF(ROWS(AE$78:AE99)&lt;=$AC$78,RANK(AE99,$AE$78:$AE$99),"")</f>
        <v/>
      </c>
      <c r="AG99" s="1479" t="str">
        <f>IF(ROWS(AG$78:AG99)&gt;$AC$78,"",INDEX($AB$78:$AB$99,_xlfn.AGGREGATE(15,6,(ROW($AB$78:$AB$99)-ROW($AB$78)+1)/ISNA(MATCH($AB$78:$AB$99,$AA$78:$AA$99,0)),ROWS(AG$78:AG99))))</f>
        <v/>
      </c>
      <c r="AH99" s="1480"/>
      <c r="AI99" s="1426"/>
      <c r="AJ99" s="1351"/>
      <c r="AK99" s="1422"/>
      <c r="AL99" s="1430" t="str">
        <f>IF(ROWS(AL$78:AL99)&lt;=$AK$78,ROWS(AL$78:AL99),"")</f>
        <v/>
      </c>
      <c r="AM99" s="1481" t="str">
        <f ca="1">IF(ROWS(AM$78:AM99)&lt;=$AK$78,RAND(),"")</f>
        <v/>
      </c>
      <c r="AN99" s="1348" t="str">
        <f>IF(ROWS(AM$78:AM99)&lt;=$AK$78,RANK(AM99,$AM$78:$AM$99),"")</f>
        <v/>
      </c>
      <c r="AO99" s="1424" t="str">
        <f>IF(ROWS(AG$78:AG99)&gt;$AK$78,"",INDEX($AJ$78:$AJ$99,_xlfn.AGGREGATE(15,6,(ROW($AJ$78:$AJ$99)-ROW($AJ$78)+1)/ISNA(MATCH($AJ$78:$AJ$99,$AI$78:$AI$99,0)),ROWS(AG$78:AG99))))</f>
        <v/>
      </c>
      <c r="AP99" s="1429" t="str">
        <f>IF(AL99=$B$48," ",VLOOKUP($B68,AN$78:AO$99,2,FALSE))</f>
        <v xml:space="preserve"> </v>
      </c>
      <c r="AQ99" s="1426"/>
      <c r="AR99" s="1351"/>
      <c r="AS99" s="1422"/>
      <c r="AT99" s="1430" t="str">
        <f>IF(ROWS(AT$78:AT99)&lt;=$AS$78,ROWS(AT$78:AT99),"")</f>
        <v/>
      </c>
      <c r="AU99" s="1482" t="str">
        <f ca="1">IF(ROWS(AU$78:AU99)&lt;=$AS$78,RAND(),"")</f>
        <v/>
      </c>
      <c r="AV99" s="1348" t="str">
        <f>IF(ROWS(AU$78:AU99)&lt;=$AS$78,RANK(AU99,$AU$78:$AU$99),"")</f>
        <v/>
      </c>
      <c r="AW99" s="1483" t="str">
        <f>IF(ROWS(AG$78:AG99)&gt;$AS$78,"",INDEX($AR$78:$AR$99,_xlfn.AGGREGATE(15,6,(ROW($AR$78:$AR$99)-ROW($AR$78)+1)/ISNA(MATCH($AR$78:$AR$99,$AQ$78:$AQ$99,0)),ROWS(AG$78:AG99))))</f>
        <v/>
      </c>
      <c r="AX99" s="1484" t="str">
        <f>IF(AT99=$B$48," ",VLOOKUP($B68,AV$78:AW$99,2,FALSE))</f>
        <v xml:space="preserve"> </v>
      </c>
      <c r="AY99" s="1426"/>
      <c r="AZ99" s="1351"/>
      <c r="BA99" s="1348"/>
      <c r="BB99" s="1424"/>
      <c r="BC99" s="1425"/>
      <c r="BD99" s="1426"/>
      <c r="BE99" s="1428"/>
      <c r="BF99" s="1348"/>
      <c r="BG99" s="1424"/>
      <c r="BH99" s="1425"/>
      <c r="BI99" s="1426"/>
      <c r="BJ99" s="1428"/>
      <c r="BK99" s="1348"/>
      <c r="BL99" s="1424"/>
      <c r="BM99" s="1429"/>
      <c r="BN99" s="1426"/>
      <c r="BO99" s="1428"/>
      <c r="BP99" s="1348"/>
      <c r="BQ99" s="1424"/>
      <c r="BR99" s="1429"/>
      <c r="BS99" s="271" t="s">
        <v>1287</v>
      </c>
      <c r="BT99" s="1410"/>
      <c r="BU99" s="498"/>
      <c r="BV99" s="591"/>
      <c r="BW99" s="1410"/>
    </row>
    <row r="100" spans="2:82" ht="12" customHeight="1" thickTop="1">
      <c r="B100" s="3379" t="s">
        <v>7303</v>
      </c>
      <c r="C100" s="3309"/>
      <c r="E100" s="273"/>
      <c r="I100" s="32"/>
      <c r="BT100" s="1409"/>
      <c r="BU100" s="498"/>
      <c r="BV100" s="591"/>
      <c r="BW100" s="1410"/>
    </row>
    <row r="101" spans="2:82" ht="12" customHeight="1" thickBot="1">
      <c r="BT101" s="1409"/>
      <c r="BU101" s="498"/>
      <c r="BV101" s="591"/>
      <c r="BW101" s="1410"/>
    </row>
    <row r="102" spans="2:82" ht="12" customHeight="1" thickTop="1">
      <c r="B102" s="3330" t="s">
        <v>7518</v>
      </c>
      <c r="C102" s="3331"/>
      <c r="D102" s="3331"/>
      <c r="E102" s="3331"/>
      <c r="F102" s="3331"/>
      <c r="G102" s="3331"/>
      <c r="H102" s="3331"/>
      <c r="I102" s="3331"/>
      <c r="J102" s="3332"/>
      <c r="K102" s="3368" t="s">
        <v>7519</v>
      </c>
      <c r="L102" s="3369"/>
      <c r="M102" s="3369"/>
      <c r="N102" s="3369"/>
      <c r="O102" s="3369"/>
      <c r="P102" s="3369"/>
      <c r="Q102" s="3369"/>
      <c r="R102" s="3370"/>
      <c r="S102" s="3368" t="s">
        <v>7520</v>
      </c>
      <c r="T102" s="3369"/>
      <c r="U102" s="3369"/>
      <c r="V102" s="3369"/>
      <c r="W102" s="3369"/>
      <c r="X102" s="3369"/>
      <c r="Y102" s="3369"/>
      <c r="Z102" s="3370"/>
      <c r="AA102" s="3368" t="s">
        <v>7521</v>
      </c>
      <c r="AB102" s="3369"/>
      <c r="AC102" s="3369"/>
      <c r="AD102" s="3369"/>
      <c r="AE102" s="3369"/>
      <c r="AF102" s="3369"/>
      <c r="AG102" s="3369"/>
      <c r="AH102" s="3370"/>
      <c r="AI102" s="3368" t="s">
        <v>7522</v>
      </c>
      <c r="AJ102" s="3369"/>
      <c r="AK102" s="3369"/>
      <c r="AL102" s="3369"/>
      <c r="AM102" s="3369"/>
      <c r="AN102" s="3369"/>
      <c r="AO102" s="3369"/>
      <c r="AP102" s="3370"/>
      <c r="BT102" s="1409"/>
      <c r="BU102" s="498"/>
      <c r="BV102" s="591"/>
      <c r="BW102" s="1410"/>
      <c r="CD102" s="271"/>
    </row>
    <row r="103" spans="2:82" ht="12" customHeight="1" thickBot="1">
      <c r="B103" s="3333"/>
      <c r="C103" s="2932"/>
      <c r="D103" s="2932"/>
      <c r="E103" s="2932"/>
      <c r="F103" s="2932"/>
      <c r="G103" s="2932"/>
      <c r="H103" s="2932"/>
      <c r="I103" s="2932"/>
      <c r="J103" s="3334"/>
      <c r="K103" s="3371"/>
      <c r="L103" s="3367"/>
      <c r="M103" s="3367"/>
      <c r="N103" s="3367"/>
      <c r="O103" s="3367"/>
      <c r="P103" s="3367"/>
      <c r="Q103" s="3367"/>
      <c r="R103" s="3355"/>
      <c r="S103" s="3371"/>
      <c r="T103" s="3367"/>
      <c r="U103" s="3367"/>
      <c r="V103" s="3367"/>
      <c r="W103" s="3367"/>
      <c r="X103" s="3367"/>
      <c r="Y103" s="3367"/>
      <c r="Z103" s="3355"/>
      <c r="AA103" s="3371"/>
      <c r="AB103" s="3367"/>
      <c r="AC103" s="3367"/>
      <c r="AD103" s="3367"/>
      <c r="AE103" s="3367"/>
      <c r="AF103" s="3367"/>
      <c r="AG103" s="3367"/>
      <c r="AH103" s="3355"/>
      <c r="AI103" s="3371"/>
      <c r="AJ103" s="3367"/>
      <c r="AK103" s="3367"/>
      <c r="AL103" s="3367"/>
      <c r="AM103" s="3367"/>
      <c r="AN103" s="3367"/>
      <c r="AO103" s="3367"/>
      <c r="AP103" s="3355"/>
      <c r="AQ103" s="594"/>
      <c r="AR103" s="594"/>
      <c r="AS103" s="594"/>
      <c r="AT103" s="594"/>
      <c r="AU103" s="594"/>
      <c r="AV103" s="594"/>
      <c r="AW103" s="594"/>
      <c r="AX103" s="594"/>
      <c r="AY103" s="594"/>
      <c r="AZ103" s="594"/>
      <c r="BA103" s="594"/>
      <c r="BB103" s="594"/>
      <c r="BC103" s="594"/>
      <c r="BD103" s="594"/>
      <c r="BE103" s="594"/>
      <c r="BF103" s="594"/>
      <c r="BG103" s="594"/>
      <c r="BH103" s="594"/>
      <c r="BI103" s="594"/>
      <c r="BJ103" s="594"/>
      <c r="BK103" s="594"/>
      <c r="BL103" s="594"/>
      <c r="BM103" s="594"/>
      <c r="BN103" s="594"/>
      <c r="BO103" s="594"/>
      <c r="BP103" s="594"/>
      <c r="BQ103" s="594"/>
      <c r="BR103" s="594"/>
      <c r="BT103" s="1409"/>
      <c r="BU103" s="498"/>
      <c r="BV103" s="591"/>
      <c r="BW103" s="1410"/>
      <c r="CD103" s="271"/>
    </row>
    <row r="104" spans="2:82" ht="12" customHeight="1">
      <c r="B104" s="1357" t="s">
        <v>7124</v>
      </c>
      <c r="C104" s="3372"/>
      <c r="D104" s="3356" t="s">
        <v>7314</v>
      </c>
      <c r="E104" s="3357" t="s">
        <v>7315</v>
      </c>
      <c r="F104" s="3358" t="s">
        <v>7169</v>
      </c>
      <c r="G104" s="3358" t="s">
        <v>6598</v>
      </c>
      <c r="H104" s="3358" t="s">
        <v>6592</v>
      </c>
      <c r="I104" s="3335" t="s">
        <v>7170</v>
      </c>
      <c r="J104" s="3354" t="s">
        <v>7318</v>
      </c>
      <c r="K104" s="1358" t="s">
        <v>7124</v>
      </c>
      <c r="L104" s="3364" t="s">
        <v>7172</v>
      </c>
      <c r="M104" s="3366" t="s">
        <v>7315</v>
      </c>
      <c r="N104" s="3364" t="s">
        <v>7169</v>
      </c>
      <c r="O104" s="3364" t="s">
        <v>6598</v>
      </c>
      <c r="P104" s="3364" t="s">
        <v>6592</v>
      </c>
      <c r="Q104" s="3364" t="s">
        <v>7317</v>
      </c>
      <c r="R104" s="3354" t="s">
        <v>7318</v>
      </c>
      <c r="S104" s="1358" t="s">
        <v>7124</v>
      </c>
      <c r="T104" s="3364" t="s">
        <v>7174</v>
      </c>
      <c r="U104" s="3366" t="s">
        <v>7315</v>
      </c>
      <c r="V104" s="3364" t="s">
        <v>7169</v>
      </c>
      <c r="W104" s="3364" t="s">
        <v>6598</v>
      </c>
      <c r="X104" s="3364" t="s">
        <v>6592</v>
      </c>
      <c r="Y104" s="3364" t="s">
        <v>7174</v>
      </c>
      <c r="Z104" s="3354" t="s">
        <v>7318</v>
      </c>
      <c r="AA104" s="1358" t="s">
        <v>7124</v>
      </c>
      <c r="AB104" s="3364" t="s">
        <v>7175</v>
      </c>
      <c r="AC104" s="3366" t="s">
        <v>7315</v>
      </c>
      <c r="AD104" s="3364" t="s">
        <v>7169</v>
      </c>
      <c r="AE104" s="3364" t="s">
        <v>6598</v>
      </c>
      <c r="AF104" s="3364" t="s">
        <v>6592</v>
      </c>
      <c r="AG104" s="3364" t="s">
        <v>7175</v>
      </c>
      <c r="AH104" s="3354" t="s">
        <v>7318</v>
      </c>
      <c r="AI104" s="1358" t="s">
        <v>7124</v>
      </c>
      <c r="AJ104" s="3364" t="s">
        <v>7176</v>
      </c>
      <c r="AK104" s="3366" t="s">
        <v>7315</v>
      </c>
      <c r="AL104" s="3364" t="s">
        <v>7169</v>
      </c>
      <c r="AM104" s="3364" t="s">
        <v>6598</v>
      </c>
      <c r="AN104" s="3364" t="s">
        <v>6592</v>
      </c>
      <c r="AO104" s="3364" t="s">
        <v>7176</v>
      </c>
      <c r="AP104" s="3354" t="s">
        <v>7318</v>
      </c>
      <c r="AU104" s="1035"/>
      <c r="AZ104" s="1035"/>
      <c r="BE104" s="1035"/>
      <c r="BJ104" s="1035"/>
      <c r="BO104" s="1035"/>
      <c r="BT104" s="1409"/>
      <c r="BU104" s="498"/>
      <c r="BV104" s="591"/>
      <c r="BW104" s="1410"/>
      <c r="CD104" s="271"/>
    </row>
    <row r="105" spans="2:82" ht="12" customHeight="1" thickBot="1">
      <c r="B105" s="1322">
        <f>COUNT(B106:B123)</f>
        <v>18</v>
      </c>
      <c r="C105" s="3281"/>
      <c r="D105" s="2932"/>
      <c r="E105" s="3319"/>
      <c r="F105" s="3359"/>
      <c r="G105" s="3359"/>
      <c r="H105" s="3359"/>
      <c r="I105" s="3336"/>
      <c r="J105" s="3355"/>
      <c r="K105" s="1324">
        <f>COUNT(K106:K123)</f>
        <v>11</v>
      </c>
      <c r="L105" s="3365"/>
      <c r="M105" s="3367"/>
      <c r="N105" s="3365"/>
      <c r="O105" s="3365"/>
      <c r="P105" s="3365"/>
      <c r="Q105" s="3365"/>
      <c r="R105" s="3355"/>
      <c r="S105" s="1324">
        <f>COUNT(S106:S123)</f>
        <v>18</v>
      </c>
      <c r="T105" s="3365"/>
      <c r="U105" s="3367"/>
      <c r="V105" s="3365"/>
      <c r="W105" s="3365"/>
      <c r="X105" s="3365"/>
      <c r="Y105" s="3365"/>
      <c r="Z105" s="3355"/>
      <c r="AA105" s="1324">
        <f>COUNT(AA106:AA123)</f>
        <v>14</v>
      </c>
      <c r="AB105" s="3365"/>
      <c r="AC105" s="3367"/>
      <c r="AD105" s="3365"/>
      <c r="AE105" s="3365"/>
      <c r="AF105" s="3365"/>
      <c r="AG105" s="3365"/>
      <c r="AH105" s="3355"/>
      <c r="AI105" s="1324">
        <f>COUNT(AI106:AI123)</f>
        <v>9</v>
      </c>
      <c r="AJ105" s="3365"/>
      <c r="AK105" s="3367"/>
      <c r="AL105" s="3365"/>
      <c r="AM105" s="3365"/>
      <c r="AN105" s="3365"/>
      <c r="AO105" s="3365"/>
      <c r="AP105" s="3355"/>
      <c r="BT105" s="1409"/>
      <c r="BU105" s="498"/>
      <c r="BV105" s="591"/>
      <c r="BW105" s="1410"/>
      <c r="CD105" s="271"/>
    </row>
    <row r="106" spans="2:82" ht="12" customHeight="1" thickBot="1">
      <c r="B106" s="1326">
        <v>1</v>
      </c>
      <c r="C106" s="466"/>
      <c r="D106" s="1338" t="s">
        <v>7183</v>
      </c>
      <c r="E106" s="1439">
        <f>SUMPRODUCT(--ISNA(MATCH(D106:D113,C106,0)))</f>
        <v>8</v>
      </c>
      <c r="F106" s="467">
        <f>IF(ROWS(F$106:F106)&lt;=$E$106,ROWS(F$106:F106),"")</f>
        <v>1</v>
      </c>
      <c r="G106" s="1485">
        <f ca="1">IF(ROWS(G$106:G106)&lt;=$E$106,RAND(),"")</f>
        <v>0.60174733577691575</v>
      </c>
      <c r="H106" s="382">
        <f ca="1">IF(F106=ROWS(H$106:H106),RANK(G106,$G$106:$G$121),"")</f>
        <v>3</v>
      </c>
      <c r="I106" s="1338" t="s">
        <v>7183</v>
      </c>
      <c r="J106" s="1363" t="str">
        <f ca="1">VLOOKUP(F106,$H$106:$I$121,2,FALSE)</f>
        <v>Thunderclap</v>
      </c>
      <c r="K106" s="1375">
        <v>1</v>
      </c>
      <c r="L106" s="1338" t="s">
        <v>7435</v>
      </c>
      <c r="M106" s="1361">
        <f>SUMPRODUCT(--ISNA(MATCH(L106:L116,K106,0)))</f>
        <v>11</v>
      </c>
      <c r="N106" s="467">
        <f>IF(ROWS(N$106:N106)&lt;=$M$106,ROWS(N$106:N106),"")</f>
        <v>1</v>
      </c>
      <c r="O106" s="1486">
        <f ca="1">IF(ROWS(O$106:O106)&lt;=$M$106,RAND(),"")</f>
        <v>0.32979631534887432</v>
      </c>
      <c r="P106" s="1487">
        <f ca="1">IF(N106=ROWS(P$106:P106),RANK(O106,$O$106:$O$123),"")</f>
        <v>8</v>
      </c>
      <c r="Q106" s="1338" t="s">
        <v>7435</v>
      </c>
      <c r="R106" s="1363" t="str">
        <f t="shared" ref="R106:R116" ca="1" si="48">VLOOKUP(N106,$P$106:$Q$123,2,FALSE)</f>
        <v>Chromatic Orb</v>
      </c>
      <c r="S106" s="1375">
        <v>1</v>
      </c>
      <c r="T106" s="1338" t="s">
        <v>7523</v>
      </c>
      <c r="U106" s="1361">
        <f>SUMPRODUCT(--ISNA(MATCH(T106:T114,S106,0)))</f>
        <v>9</v>
      </c>
      <c r="V106" s="467">
        <f>IF(ROWS(V$106:V106)&lt;=$U$106,ROWS(V$106:V106),"")</f>
        <v>1</v>
      </c>
      <c r="W106" s="1486">
        <f ca="1">IF(ROWS(W$106:W106)&lt;=$U$106,RAND(),"")</f>
        <v>0.85781969047627549</v>
      </c>
      <c r="X106" s="1487">
        <f ca="1">IF(V106=ROWS(X$106:X106),RANK(W106,$W$106:$W$123),"")</f>
        <v>2</v>
      </c>
      <c r="Y106" s="1338" t="s">
        <v>7523</v>
      </c>
      <c r="Z106" s="1363" t="str">
        <f t="shared" ref="Z106:Z114" ca="1" si="49">VLOOKUP(V106,$X$106:$Y$123,2,FALSE)</f>
        <v>Scorching Ray</v>
      </c>
      <c r="AA106" s="1375">
        <v>1</v>
      </c>
      <c r="AB106" s="1338" t="s">
        <v>7524</v>
      </c>
      <c r="AC106" s="1361">
        <f>SUMPRODUCT(--ISNA(MATCH(AB106:AB119,AA106,0)))</f>
        <v>14</v>
      </c>
      <c r="AD106" s="467">
        <f>IF(ROWS(AD$106:AD106)&lt;=$AC$106,ROWS(AD$106:AD106),"")</f>
        <v>1</v>
      </c>
      <c r="AE106" s="1486">
        <f ca="1">IF(ROWS(AE$106:AE106)&lt;=$AC$106,RAND(),"")</f>
        <v>0.88093897464920889</v>
      </c>
      <c r="AF106" s="1487">
        <f ca="1">IF(AD106=ROWS(AF$106:AF106),RANK(AE106,$AE$106:$AE$123),"")</f>
        <v>1</v>
      </c>
      <c r="AG106" s="1338" t="s">
        <v>7524</v>
      </c>
      <c r="AH106" s="1363" t="str">
        <f t="shared" ref="AH106:AH119" ca="1" si="50">VLOOKUP(AD106,$AF$106:$AG$123,2,FALSE)</f>
        <v>Counterspell</v>
      </c>
      <c r="AI106" s="1375">
        <v>1</v>
      </c>
      <c r="AJ106" s="1338" t="s">
        <v>7332</v>
      </c>
      <c r="AK106" s="1361">
        <f>SUMPRODUCT(--ISNA(MATCH(AJ106:AJ114,AI106,0)))</f>
        <v>9</v>
      </c>
      <c r="AL106" s="467">
        <f>IF(ROWS(AL$106:AL106)&lt;=$AK$106,ROWS(AL$106:AL106),"")</f>
        <v>1</v>
      </c>
      <c r="AM106" s="1486">
        <f ca="1">IF(ROWS(AM$106:AM106)&lt;=$AK$106,RAND(),"")</f>
        <v>0.68012130126678638</v>
      </c>
      <c r="AN106" s="1487">
        <f ca="1">IF(AL106=ROWS(AN$106:AN106),RANK(AM106,$AM$106:$AM$123),"")</f>
        <v>3</v>
      </c>
      <c r="AO106" s="1338" t="s">
        <v>7332</v>
      </c>
      <c r="AP106" s="1363" t="str">
        <f t="shared" ref="AP106:AP114" ca="1" si="51">VLOOKUP(AL106,$AN$106:$AO$123,2,FALSE)</f>
        <v>Fire Shield</v>
      </c>
      <c r="AQ106" s="273"/>
      <c r="AR106" s="273"/>
      <c r="AS106" s="273"/>
      <c r="AU106" s="1335"/>
      <c r="AW106" s="273"/>
      <c r="AX106" s="273"/>
      <c r="AZ106" s="1335"/>
      <c r="BB106" s="273"/>
      <c r="BC106" s="273"/>
      <c r="BE106" s="1335"/>
      <c r="BG106" s="273"/>
      <c r="BH106" s="273"/>
      <c r="BJ106" s="1335"/>
      <c r="BL106" s="273"/>
      <c r="BM106" s="273"/>
      <c r="BO106" s="1335"/>
      <c r="BQ106" s="273"/>
      <c r="BR106" s="273"/>
      <c r="BS106" s="271" t="s">
        <v>1287</v>
      </c>
      <c r="BT106" s="1409"/>
      <c r="BU106" s="498"/>
      <c r="BV106" s="591"/>
      <c r="BW106" s="1410"/>
    </row>
    <row r="107" spans="2:82" ht="12" customHeight="1">
      <c r="B107" s="1336">
        <v>2</v>
      </c>
      <c r="C107" s="1454"/>
      <c r="D107" s="1338" t="s">
        <v>7192</v>
      </c>
      <c r="E107" s="1391"/>
      <c r="F107" s="382">
        <f>IF(ROWS(F$106:F107)&lt;=$E$106,ROWS(F$106:F107),"")</f>
        <v>2</v>
      </c>
      <c r="G107" s="1485">
        <f ca="1">IF(ROWS(G$106:G107)&lt;=$E$106,RAND(),"")</f>
        <v>0.18834072640955135</v>
      </c>
      <c r="H107" s="382">
        <f ca="1">IF(F107=ROWS(H$106:H107),RANK(G107,$G$106:$G$121),"")</f>
        <v>7</v>
      </c>
      <c r="I107" s="1338" t="s">
        <v>7192</v>
      </c>
      <c r="J107" s="1363" t="str">
        <f t="shared" ref="J107:J113" ca="1" si="52">VLOOKUP(F107,$H$106:$I$121,2,FALSE)</f>
        <v>Frostbite</v>
      </c>
      <c r="K107" s="1394">
        <v>2</v>
      </c>
      <c r="L107" s="1338" t="s">
        <v>7525</v>
      </c>
      <c r="M107" s="1382"/>
      <c r="N107" s="382">
        <f>IF(ROWS(N$106:N107)&lt;=$M$106,ROWS(N$106:N107),"")</f>
        <v>2</v>
      </c>
      <c r="O107" s="1485">
        <f ca="1">IF(ROWS(O$106:O107)&lt;=$M$106,RAND(),"")</f>
        <v>0.33623166503435653</v>
      </c>
      <c r="P107" s="1487">
        <f ca="1">IF(N107=ROWS(P$106:P107),RANK(O107,$O$106:$O$123),"")</f>
        <v>7</v>
      </c>
      <c r="Q107" s="1338" t="s">
        <v>7525</v>
      </c>
      <c r="R107" s="1363" t="str">
        <f t="shared" ca="1" si="48"/>
        <v>Mage Armor</v>
      </c>
      <c r="S107" s="1394">
        <v>2</v>
      </c>
      <c r="T107" s="1338" t="s">
        <v>7526</v>
      </c>
      <c r="U107" s="1382"/>
      <c r="V107" s="382">
        <f>IF(ROWS(V$106:V107)&lt;=$U$106,ROWS(V$106:V107),"")</f>
        <v>2</v>
      </c>
      <c r="W107" s="1485">
        <f ca="1">IF(ROWS(W$106:W107)&lt;=$U$106,RAND(),"")</f>
        <v>0.78159997293444816</v>
      </c>
      <c r="X107" s="1487">
        <f ca="1">IF(V107=ROWS(X$106:X107),RANK(W107,$W$106:$W$123),"")</f>
        <v>3</v>
      </c>
      <c r="Y107" s="1338" t="s">
        <v>7526</v>
      </c>
      <c r="Z107" s="1363" t="str">
        <f t="shared" ca="1" si="49"/>
        <v>Aganazzar's Scorcher</v>
      </c>
      <c r="AA107" s="1394">
        <v>2</v>
      </c>
      <c r="AB107" s="1338" t="s">
        <v>7205</v>
      </c>
      <c r="AC107" s="1382"/>
      <c r="AD107" s="382">
        <f>IF(ROWS(AD$106:AD107)&lt;=$AC$106,ROWS(AD$106:AD107),"")</f>
        <v>2</v>
      </c>
      <c r="AE107" s="1485">
        <f ca="1">IF(ROWS(AE$106:AE107)&lt;=$AC$106,RAND(),"")</f>
        <v>0.28522456369153126</v>
      </c>
      <c r="AF107" s="1487">
        <f ca="1">IF(AD107=ROWS(AF$106:AF107),RANK(AE107,$AE$106:$AE$123),"")</f>
        <v>11</v>
      </c>
      <c r="AG107" s="1338" t="s">
        <v>7205</v>
      </c>
      <c r="AH107" s="1363" t="str">
        <f t="shared" ca="1" si="50"/>
        <v>Wall of Water</v>
      </c>
      <c r="AI107" s="1394">
        <v>2</v>
      </c>
      <c r="AJ107" s="1338" t="s">
        <v>7527</v>
      </c>
      <c r="AK107" s="1382"/>
      <c r="AL107" s="382">
        <f>IF(ROWS(AL$106:AL107)&lt;=$AK$106,ROWS(AL$106:AL107),"")</f>
        <v>2</v>
      </c>
      <c r="AM107" s="1485">
        <f ca="1">IF(ROWS(AM$106:AM107)&lt;=$AK$106,RAND(),"")</f>
        <v>0.95424107970493677</v>
      </c>
      <c r="AN107" s="1487">
        <f ca="1">IF(AL107=ROWS(AN$106:AN107),RANK(AM107,$AM$106:$AM$123),"")</f>
        <v>1</v>
      </c>
      <c r="AO107" s="1338" t="s">
        <v>7527</v>
      </c>
      <c r="AP107" s="1363" t="str">
        <f t="shared" ca="1" si="51"/>
        <v>Otiluke's Resilient Sphere</v>
      </c>
      <c r="AQ107" s="273"/>
      <c r="AR107" s="273"/>
      <c r="AS107" s="273"/>
      <c r="AU107" s="1335"/>
      <c r="AW107" s="273"/>
      <c r="AX107" s="273"/>
      <c r="AZ107" s="1335"/>
      <c r="BB107" s="273"/>
      <c r="BC107" s="273"/>
      <c r="BE107" s="1335"/>
      <c r="BG107" s="273"/>
      <c r="BH107" s="273"/>
      <c r="BJ107" s="1335"/>
      <c r="BL107" s="273"/>
      <c r="BM107" s="273"/>
      <c r="BO107" s="1335"/>
      <c r="BQ107" s="273"/>
      <c r="BR107" s="273"/>
      <c r="BS107" s="271" t="s">
        <v>1287</v>
      </c>
      <c r="BT107" s="1409"/>
      <c r="BU107" s="498"/>
      <c r="BV107" s="591"/>
      <c r="BW107" s="1410"/>
    </row>
    <row r="108" spans="2:82" ht="12" customHeight="1">
      <c r="B108" s="1336">
        <v>3</v>
      </c>
      <c r="C108" s="1454"/>
      <c r="D108" s="1338" t="s">
        <v>7528</v>
      </c>
      <c r="E108" s="1402"/>
      <c r="F108" s="382">
        <f>IF(ROWS(F$106:F108)&lt;=$E$106,ROWS(F$106:F108),"")</f>
        <v>3</v>
      </c>
      <c r="G108" s="1485">
        <f ca="1">IF(ROWS(G$106:G108)&lt;=$E$106,RAND(),"")</f>
        <v>0.48848466356030462</v>
      </c>
      <c r="H108" s="382">
        <f ca="1">IF(F108=ROWS(H$106:H108),RANK(G108,$G$106:$G$121),"")</f>
        <v>4</v>
      </c>
      <c r="I108" s="1338" t="s">
        <v>7528</v>
      </c>
      <c r="J108" s="1363" t="str">
        <f t="shared" ca="1" si="52"/>
        <v>Blade Ward</v>
      </c>
      <c r="K108" s="1394">
        <v>3</v>
      </c>
      <c r="L108" s="1338" t="s">
        <v>7340</v>
      </c>
      <c r="M108" s="1398"/>
      <c r="N108" s="382">
        <f>IF(ROWS(N$106:N108)&lt;=$M$106,ROWS(N$106:N108),"")</f>
        <v>3</v>
      </c>
      <c r="O108" s="1485">
        <f ca="1">IF(ROWS(O$106:O108)&lt;=$M$106,RAND(),"")</f>
        <v>5.1513121576044818E-2</v>
      </c>
      <c r="P108" s="1487">
        <f ca="1">IF(N108=ROWS(P$106:P108),RANK(O108,$O$106:$O$123),"")</f>
        <v>10</v>
      </c>
      <c r="Q108" s="1338" t="s">
        <v>7340</v>
      </c>
      <c r="R108" s="1363" t="str">
        <f t="shared" ca="1" si="48"/>
        <v>Witch Bolt</v>
      </c>
      <c r="S108" s="1394">
        <v>3</v>
      </c>
      <c r="T108" s="1338" t="s">
        <v>7374</v>
      </c>
      <c r="U108" s="1398"/>
      <c r="V108" s="382">
        <f>IF(ROWS(V$106:V108)&lt;=$U$106,ROWS(V$106:V108),"")</f>
        <v>3</v>
      </c>
      <c r="W108" s="1485">
        <f ca="1">IF(ROWS(W$106:W108)&lt;=$U$106,RAND(),"")</f>
        <v>0.22545774359604942</v>
      </c>
      <c r="X108" s="1487">
        <f ca="1">IF(V108=ROWS(X$106:X108),RANK(W108,$W$106:$W$123),"")</f>
        <v>8</v>
      </c>
      <c r="Y108" s="1338" t="s">
        <v>7374</v>
      </c>
      <c r="Z108" s="1363" t="str">
        <f t="shared" ca="1" si="49"/>
        <v>Arcane Lock</v>
      </c>
      <c r="AA108" s="1394">
        <v>3</v>
      </c>
      <c r="AB108" s="1338" t="s">
        <v>7387</v>
      </c>
      <c r="AC108" s="1398"/>
      <c r="AD108" s="382">
        <f>IF(ROWS(AD$106:AD108)&lt;=$AC$106,ROWS(AD$106:AD108),"")</f>
        <v>3</v>
      </c>
      <c r="AE108" s="1485">
        <f ca="1">IF(ROWS(AE$106:AE108)&lt;=$AC$106,RAND(),"")</f>
        <v>0.65372539759864512</v>
      </c>
      <c r="AF108" s="1487">
        <f ca="1">IF(AD108=ROWS(AF$106:AF108),RANK(AE108,$AE$106:$AE$123),"")</f>
        <v>4</v>
      </c>
      <c r="AG108" s="1338" t="s">
        <v>7387</v>
      </c>
      <c r="AH108" s="1363" t="str">
        <f t="shared" ca="1" si="50"/>
        <v>Remove Curse</v>
      </c>
      <c r="AI108" s="1394">
        <v>3</v>
      </c>
      <c r="AJ108" s="1338" t="s">
        <v>7405</v>
      </c>
      <c r="AK108" s="1398"/>
      <c r="AL108" s="382">
        <f>IF(ROWS(AL$106:AL108)&lt;=$AK$106,ROWS(AL$106:AL108),"")</f>
        <v>3</v>
      </c>
      <c r="AM108" s="1485">
        <f ca="1">IF(ROWS(AM$106:AM108)&lt;=$AK$106,RAND(),"")</f>
        <v>0.43541581854137379</v>
      </c>
      <c r="AN108" s="1487">
        <f ca="1">IF(AL108=ROWS(AN$106:AN108),RANK(AM108,$AM$106:$AM$123),"")</f>
        <v>6</v>
      </c>
      <c r="AO108" s="1338" t="s">
        <v>7405</v>
      </c>
      <c r="AP108" s="1363" t="str">
        <f t="shared" ca="1" si="51"/>
        <v>Banishment</v>
      </c>
      <c r="AQ108" s="273"/>
      <c r="AR108" s="273"/>
      <c r="AS108" s="273"/>
      <c r="AU108" s="1335"/>
      <c r="AW108" s="273"/>
      <c r="AX108" s="273"/>
      <c r="AZ108" s="1335"/>
      <c r="BB108" s="273"/>
      <c r="BC108" s="273"/>
      <c r="BE108" s="1335"/>
      <c r="BG108" s="273"/>
      <c r="BH108" s="273"/>
      <c r="BJ108" s="1335"/>
      <c r="BL108" s="273"/>
      <c r="BM108" s="273"/>
      <c r="BO108" s="1335"/>
      <c r="BQ108" s="273"/>
      <c r="BR108" s="273"/>
      <c r="BS108" s="271" t="s">
        <v>1287</v>
      </c>
      <c r="BT108" s="1409"/>
      <c r="BU108" s="498"/>
      <c r="BV108" s="591"/>
      <c r="BW108" s="1410"/>
    </row>
    <row r="109" spans="2:82" ht="12" customHeight="1">
      <c r="B109" s="1336">
        <v>4</v>
      </c>
      <c r="C109" s="1454"/>
      <c r="D109" s="1338" t="s">
        <v>7460</v>
      </c>
      <c r="E109" s="1402"/>
      <c r="F109" s="382">
        <f>IF(ROWS(F$106:F109)&lt;=$E$106,ROWS(F$106:F109),"")</f>
        <v>4</v>
      </c>
      <c r="G109" s="1485">
        <f ca="1">IF(ROWS(G$106:G109)&lt;=$E$106,RAND(),"")</f>
        <v>0.66627906956982486</v>
      </c>
      <c r="H109" s="382">
        <f ca="1">IF(F109=ROWS(H$106:H109),RANK(G109,$G$106:$G$121),"")</f>
        <v>2</v>
      </c>
      <c r="I109" s="1338" t="s">
        <v>7460</v>
      </c>
      <c r="J109" s="1363" t="str">
        <f t="shared" ca="1" si="52"/>
        <v>Fire Bolt</v>
      </c>
      <c r="K109" s="1394">
        <v>4</v>
      </c>
      <c r="L109" s="1338" t="s">
        <v>7529</v>
      </c>
      <c r="M109" s="1398"/>
      <c r="N109" s="382">
        <f>IF(ROWS(N$106:N109)&lt;=$M$106,ROWS(N$106:N109),"")</f>
        <v>4</v>
      </c>
      <c r="O109" s="1485">
        <f ca="1">IF(ROWS(O$106:O109)&lt;=$M$106,RAND(),"")</f>
        <v>0.76253294539231131</v>
      </c>
      <c r="P109" s="1487">
        <f ca="1">IF(N109=ROWS(P$106:P109),RANK(O109,$O$106:$O$123),"")</f>
        <v>1</v>
      </c>
      <c r="Q109" s="1338" t="s">
        <v>7529</v>
      </c>
      <c r="R109" s="1363" t="str">
        <f t="shared" ca="1" si="48"/>
        <v>Thunderwave</v>
      </c>
      <c r="S109" s="1394">
        <v>4</v>
      </c>
      <c r="T109" s="1338" t="s">
        <v>7448</v>
      </c>
      <c r="U109" s="1398"/>
      <c r="V109" s="382">
        <f>IF(ROWS(V$106:V109)&lt;=$U$106,ROWS(V$106:V109),"")</f>
        <v>4</v>
      </c>
      <c r="W109" s="1485">
        <f ca="1">IF(ROWS(W$106:W109)&lt;=$U$106,RAND(),"")</f>
        <v>0.38524549634503957</v>
      </c>
      <c r="X109" s="1487">
        <f ca="1">IF(V109=ROWS(X$106:X109),RANK(W109,$W$106:$W$123),"")</f>
        <v>5</v>
      </c>
      <c r="Y109" s="1338" t="s">
        <v>7448</v>
      </c>
      <c r="Z109" s="1363" t="str">
        <f t="shared" ca="1" si="49"/>
        <v>Gust of Wind</v>
      </c>
      <c r="AA109" s="1394">
        <v>4</v>
      </c>
      <c r="AB109" s="1338" t="s">
        <v>7232</v>
      </c>
      <c r="AC109" s="1398"/>
      <c r="AD109" s="382">
        <f>IF(ROWS(AD$106:AD109)&lt;=$AC$106,ROWS(AD$106:AD109),"")</f>
        <v>4</v>
      </c>
      <c r="AE109" s="1485">
        <f ca="1">IF(ROWS(AE$106:AE109)&lt;=$AC$106,RAND(),"")</f>
        <v>0.52795006604616035</v>
      </c>
      <c r="AF109" s="1487">
        <f ca="1">IF(AD109=ROWS(AF$106:AF109),RANK(AE109,$AE$106:$AE$123),"")</f>
        <v>5</v>
      </c>
      <c r="AG109" s="1338" t="s">
        <v>7232</v>
      </c>
      <c r="AH109" s="1363" t="str">
        <f t="shared" ca="1" si="50"/>
        <v>Fireball</v>
      </c>
      <c r="AI109" s="1394">
        <v>4</v>
      </c>
      <c r="AJ109" s="1338" t="s">
        <v>7530</v>
      </c>
      <c r="AK109" s="1398"/>
      <c r="AL109" s="382">
        <f>IF(ROWS(AL$106:AL109)&lt;=$AK$106,ROWS(AL$106:AL109),"")</f>
        <v>4</v>
      </c>
      <c r="AM109" s="1485">
        <f ca="1">IF(ROWS(AM$106:AM109)&lt;=$AK$106,RAND(),"")</f>
        <v>0.19922547470817087</v>
      </c>
      <c r="AN109" s="1487">
        <f ca="1">IF(AL109=ROWS(AN$106:AN109),RANK(AM109,$AM$106:$AM$123),"")</f>
        <v>9</v>
      </c>
      <c r="AO109" s="1338" t="s">
        <v>7530</v>
      </c>
      <c r="AP109" s="1363" t="str">
        <f t="shared" ca="1" si="51"/>
        <v>Storm Sphere</v>
      </c>
      <c r="AQ109" s="273"/>
      <c r="AR109" s="273"/>
      <c r="AS109" s="273"/>
      <c r="AU109" s="1335"/>
      <c r="AW109" s="273"/>
      <c r="AX109" s="273"/>
      <c r="AZ109" s="1335"/>
      <c r="BB109" s="273"/>
      <c r="BC109" s="273"/>
      <c r="BE109" s="1335"/>
      <c r="BG109" s="273"/>
      <c r="BH109" s="273"/>
      <c r="BJ109" s="1335"/>
      <c r="BL109" s="273"/>
      <c r="BM109" s="273"/>
      <c r="BO109" s="1335"/>
      <c r="BQ109" s="273"/>
      <c r="BR109" s="273"/>
      <c r="BS109" s="271" t="s">
        <v>1287</v>
      </c>
      <c r="BT109" s="1410"/>
      <c r="BU109" s="498"/>
      <c r="BV109" s="591"/>
      <c r="BW109" s="1410"/>
    </row>
    <row r="110" spans="2:82" ht="12" customHeight="1">
      <c r="B110" s="1336">
        <v>5</v>
      </c>
      <c r="C110" s="1454"/>
      <c r="D110" s="1338" t="s">
        <v>6305</v>
      </c>
      <c r="E110" s="1402"/>
      <c r="F110" s="382">
        <f>IF(ROWS(F$106:F110)&lt;=$E$106,ROWS(F$106:F110),"")</f>
        <v>5</v>
      </c>
      <c r="G110" s="1485">
        <f ca="1">IF(ROWS(G$106:G110)&lt;=$E$106,RAND(),"")</f>
        <v>0.41550823397923564</v>
      </c>
      <c r="H110" s="382">
        <f ca="1">IF(F110=ROWS(H$106:H110),RANK(G110,$G$106:$G$121),"")</f>
        <v>5</v>
      </c>
      <c r="I110" s="1338" t="s">
        <v>6305</v>
      </c>
      <c r="J110" s="1363" t="str">
        <f t="shared" ca="1" si="52"/>
        <v>Light</v>
      </c>
      <c r="K110" s="1394">
        <v>5</v>
      </c>
      <c r="L110" s="1338" t="s">
        <v>7489</v>
      </c>
      <c r="M110" s="1398"/>
      <c r="N110" s="382">
        <f>IF(ROWS(N$106:N110)&lt;=$M$106,ROWS(N$106:N110),"")</f>
        <v>5</v>
      </c>
      <c r="O110" s="1485">
        <f ca="1">IF(ROWS(O$106:O110)&lt;=$M$106,RAND(),"")</f>
        <v>0.44422510893465517</v>
      </c>
      <c r="P110" s="1487">
        <f ca="1">IF(N110=ROWS(P$106:P110),RANK(O110,$O$106:$O$123),"")</f>
        <v>5</v>
      </c>
      <c r="Q110" s="1338" t="s">
        <v>7489</v>
      </c>
      <c r="R110" s="1363" t="str">
        <f t="shared" ca="1" si="48"/>
        <v>Earth Tremor</v>
      </c>
      <c r="S110" s="1394">
        <v>5</v>
      </c>
      <c r="T110" s="1338" t="s">
        <v>7358</v>
      </c>
      <c r="U110" s="1398"/>
      <c r="V110" s="382">
        <f>IF(ROWS(V$106:V110)&lt;=$U$106,ROWS(V$106:V110),"")</f>
        <v>5</v>
      </c>
      <c r="W110" s="1485">
        <f ca="1">IF(ROWS(W$106:W110)&lt;=$U$106,RAND(),"")</f>
        <v>0.50612496473253188</v>
      </c>
      <c r="X110" s="1487">
        <f ca="1">IF(V110=ROWS(X$106:X110),RANK(W110,$W$106:$W$123),"")</f>
        <v>4</v>
      </c>
      <c r="Y110" s="1338" t="s">
        <v>7358</v>
      </c>
      <c r="Z110" s="1363" t="str">
        <f t="shared" ca="1" si="49"/>
        <v>Darkness</v>
      </c>
      <c r="AA110" s="1394">
        <v>5</v>
      </c>
      <c r="AB110" s="1338" t="s">
        <v>7248</v>
      </c>
      <c r="AC110" s="1398"/>
      <c r="AD110" s="382">
        <f>IF(ROWS(AD$106:AD110)&lt;=$AC$106,ROWS(AD$106:AD110),"")</f>
        <v>5</v>
      </c>
      <c r="AE110" s="1485">
        <f ca="1">IF(ROWS(AE$106:AE110)&lt;=$AC$106,RAND(),"")</f>
        <v>0.25154125756709078</v>
      </c>
      <c r="AF110" s="1487">
        <f ca="1">IF(AD110=ROWS(AF$106:AF110),RANK(AE110,$AE$106:$AE$123),"")</f>
        <v>12</v>
      </c>
      <c r="AG110" s="1338" t="s">
        <v>7248</v>
      </c>
      <c r="AH110" s="1363" t="str">
        <f t="shared" ca="1" si="50"/>
        <v>Glyph of Warding</v>
      </c>
      <c r="AI110" s="1394">
        <v>5</v>
      </c>
      <c r="AJ110" s="1338" t="s">
        <v>7531</v>
      </c>
      <c r="AK110" s="1398"/>
      <c r="AL110" s="382">
        <f>IF(ROWS(AL$106:AL110)&lt;=$AK$106,ROWS(AL$106:AL110),"")</f>
        <v>5</v>
      </c>
      <c r="AM110" s="1485">
        <f ca="1">IF(ROWS(AM$106:AM110)&lt;=$AK$106,RAND(),"")</f>
        <v>0.94805696193201061</v>
      </c>
      <c r="AN110" s="1487">
        <f ca="1">IF(AL110=ROWS(AN$106:AN110),RANK(AM110,$AM$106:$AM$123),"")</f>
        <v>2</v>
      </c>
      <c r="AO110" s="1338" t="s">
        <v>7531</v>
      </c>
      <c r="AP110" s="1363" t="str">
        <f t="shared" ca="1" si="51"/>
        <v>Vitriolic Sphere</v>
      </c>
      <c r="AQ110" s="273"/>
      <c r="AR110" s="273"/>
      <c r="AS110" s="273"/>
      <c r="AU110" s="1335"/>
      <c r="AW110" s="273"/>
      <c r="AX110" s="273"/>
      <c r="AZ110" s="1335"/>
      <c r="BB110" s="273"/>
      <c r="BC110" s="273"/>
      <c r="BE110" s="1335"/>
      <c r="BG110" s="273"/>
      <c r="BH110" s="273"/>
      <c r="BJ110" s="1335"/>
      <c r="BL110" s="273"/>
      <c r="BM110" s="273"/>
      <c r="BO110" s="1335"/>
      <c r="BQ110" s="273"/>
      <c r="BR110" s="273"/>
      <c r="BS110" s="271" t="s">
        <v>1287</v>
      </c>
      <c r="BT110" s="1409"/>
      <c r="BU110" s="498"/>
      <c r="BV110" s="591"/>
      <c r="BW110" s="1410"/>
    </row>
    <row r="111" spans="2:82" ht="12" customHeight="1">
      <c r="B111" s="1336">
        <v>6</v>
      </c>
      <c r="C111" s="1454"/>
      <c r="D111" s="1338" t="s">
        <v>7532</v>
      </c>
      <c r="E111" s="1402"/>
      <c r="F111" s="382">
        <f>IF(ROWS(F$106:F111)&lt;=$E$106,ROWS(F$106:F111),"")</f>
        <v>6</v>
      </c>
      <c r="G111" s="1485">
        <f ca="1">IF(ROWS(G$106:G111)&lt;=$E$106,RAND(),"")</f>
        <v>4.8765626617766067E-3</v>
      </c>
      <c r="H111" s="382">
        <f ca="1">IF(F111=ROWS(H$106:H111),RANK(G111,$G$106:$G$121),"")</f>
        <v>8</v>
      </c>
      <c r="I111" s="1338" t="s">
        <v>7532</v>
      </c>
      <c r="J111" s="1363" t="str">
        <f t="shared" ca="1" si="52"/>
        <v>Shocking Grasp</v>
      </c>
      <c r="K111" s="1394">
        <v>6</v>
      </c>
      <c r="L111" s="1338" t="s">
        <v>7533</v>
      </c>
      <c r="M111" s="1398"/>
      <c r="N111" s="382">
        <f>IF(ROWS(N$106:N111)&lt;=$M$106,ROWS(N$106:N111),"")</f>
        <v>6</v>
      </c>
      <c r="O111" s="1485">
        <f ca="1">IF(ROWS(O$106:O111)&lt;=$M$106,RAND(),"")</f>
        <v>0.71736984597944553</v>
      </c>
      <c r="P111" s="1487">
        <f ca="1">IF(N111=ROWS(P$106:P111),RANK(O111,$O$106:$O$123),"")</f>
        <v>2</v>
      </c>
      <c r="Q111" s="1338" t="s">
        <v>7533</v>
      </c>
      <c r="R111" s="1363" t="str">
        <f t="shared" ca="1" si="48"/>
        <v>Shield</v>
      </c>
      <c r="S111" s="1394">
        <v>6</v>
      </c>
      <c r="T111" s="1338" t="s">
        <v>7441</v>
      </c>
      <c r="U111" s="1398"/>
      <c r="V111" s="382">
        <f>IF(ROWS(V$106:V111)&lt;=$U$106,ROWS(V$106:V111),"")</f>
        <v>6</v>
      </c>
      <c r="W111" s="1485">
        <f ca="1">IF(ROWS(W$106:W111)&lt;=$U$106,RAND(),"")</f>
        <v>0.24254363609010132</v>
      </c>
      <c r="X111" s="1487">
        <f ca="1">IF(V111=ROWS(X$106:X111),RANK(W111,$W$106:$W$123),"")</f>
        <v>7</v>
      </c>
      <c r="Y111" s="1338" t="s">
        <v>7441</v>
      </c>
      <c r="Z111" s="1363" t="str">
        <f t="shared" ca="1" si="49"/>
        <v>Shatter</v>
      </c>
      <c r="AA111" s="1394">
        <v>6</v>
      </c>
      <c r="AB111" s="1338" t="s">
        <v>7457</v>
      </c>
      <c r="AC111" s="1398"/>
      <c r="AD111" s="382">
        <f>IF(ROWS(AD$106:AD111)&lt;=$AC$106,ROWS(AD$106:AD111),"")</f>
        <v>6</v>
      </c>
      <c r="AE111" s="1485">
        <f ca="1">IF(ROWS(AE$106:AE111)&lt;=$AC$106,RAND(),"")</f>
        <v>0.37554772588991803</v>
      </c>
      <c r="AF111" s="1487">
        <f ca="1">IF(AD111=ROWS(AF$106:AF111),RANK(AE111,$AE$106:$AE$123),"")</f>
        <v>9</v>
      </c>
      <c r="AG111" s="1338" t="s">
        <v>7457</v>
      </c>
      <c r="AH111" s="1363" t="str">
        <f t="shared" ca="1" si="50"/>
        <v>Magic Circle</v>
      </c>
      <c r="AI111" s="1394">
        <v>6</v>
      </c>
      <c r="AJ111" s="1338" t="s">
        <v>7406</v>
      </c>
      <c r="AK111" s="1398"/>
      <c r="AL111" s="382">
        <f>IF(ROWS(AL$106:AL111)&lt;=$AK$106,ROWS(AL$106:AL111),"")</f>
        <v>6</v>
      </c>
      <c r="AM111" s="1485">
        <f ca="1">IF(ROWS(AM$106:AM111)&lt;=$AK$106,RAND(),"")</f>
        <v>0.24000110437957312</v>
      </c>
      <c r="AN111" s="1487">
        <f ca="1">IF(AL111=ROWS(AN$106:AN111),RANK(AM111,$AM$106:$AM$123),"")</f>
        <v>8</v>
      </c>
      <c r="AO111" s="1338" t="s">
        <v>7406</v>
      </c>
      <c r="AP111" s="1363" t="str">
        <f t="shared" ca="1" si="51"/>
        <v>Ice Storm</v>
      </c>
      <c r="AQ111" s="273"/>
      <c r="AR111" s="273"/>
      <c r="AS111" s="273"/>
      <c r="AU111" s="1335"/>
      <c r="AW111" s="273"/>
      <c r="AX111" s="273"/>
      <c r="AZ111" s="1335"/>
      <c r="BB111" s="273"/>
      <c r="BC111" s="273"/>
      <c r="BE111" s="1335"/>
      <c r="BG111" s="273"/>
      <c r="BH111" s="273"/>
      <c r="BJ111" s="1335"/>
      <c r="BL111" s="273"/>
      <c r="BM111" s="273"/>
      <c r="BO111" s="1335"/>
      <c r="BQ111" s="273"/>
      <c r="BR111" s="273"/>
      <c r="BS111" s="271" t="s">
        <v>1287</v>
      </c>
      <c r="BT111" s="1409"/>
      <c r="BU111" s="498"/>
      <c r="BV111" s="591"/>
      <c r="BW111" s="1410"/>
    </row>
    <row r="112" spans="2:82" ht="12" customHeight="1">
      <c r="B112" s="1336">
        <v>7</v>
      </c>
      <c r="C112" s="1454"/>
      <c r="D112" s="1338" t="s">
        <v>7534</v>
      </c>
      <c r="E112" s="1402"/>
      <c r="F112" s="382">
        <f>IF(ROWS(F$106:F112)&lt;=$E$106,ROWS(F$106:F112),"")</f>
        <v>7</v>
      </c>
      <c r="G112" s="1485">
        <f ca="1">IF(ROWS(G$106:G112)&lt;=$E$106,RAND(),"")</f>
        <v>0.19746434609030439</v>
      </c>
      <c r="H112" s="382">
        <f ca="1">IF(F112=ROWS(H$106:H112),RANK(G112,$G$106:$G$121),"")</f>
        <v>6</v>
      </c>
      <c r="I112" s="1338" t="s">
        <v>7534</v>
      </c>
      <c r="J112" s="1363" t="str">
        <f t="shared" ca="1" si="52"/>
        <v>Dancing Lights</v>
      </c>
      <c r="K112" s="1394">
        <v>7</v>
      </c>
      <c r="L112" s="1338" t="s">
        <v>7535</v>
      </c>
      <c r="M112" s="1398"/>
      <c r="N112" s="382">
        <f>IF(ROWS(N$106:N112)&lt;=$M$106,ROWS(N$106:N112),"")</f>
        <v>7</v>
      </c>
      <c r="O112" s="1485">
        <f ca="1">IF(ROWS(O$106:O112)&lt;=$M$106,RAND(),"")</f>
        <v>2.6028375351652366E-2</v>
      </c>
      <c r="P112" s="1487">
        <f ca="1">IF(N112=ROWS(P$106:P112),RANK(O112,$O$106:$O$123),"")</f>
        <v>11</v>
      </c>
      <c r="Q112" s="1338" t="s">
        <v>7535</v>
      </c>
      <c r="R112" s="1363" t="str">
        <f t="shared" ca="1" si="48"/>
        <v>Alarm</v>
      </c>
      <c r="S112" s="1394">
        <v>7</v>
      </c>
      <c r="T112" s="1338" t="s">
        <v>7369</v>
      </c>
      <c r="U112" s="1398"/>
      <c r="V112" s="382">
        <f>IF(ROWS(V$106:V112)&lt;=$U$106,ROWS(V$106:V112),"")</f>
        <v>7</v>
      </c>
      <c r="W112" s="1485">
        <f ca="1">IF(ROWS(W$106:W112)&lt;=$U$106,RAND(),"")</f>
        <v>0.88890318367286947</v>
      </c>
      <c r="X112" s="1487">
        <f ca="1">IF(V112=ROWS(X$106:X112),RANK(W112,$W$106:$W$123),"")</f>
        <v>1</v>
      </c>
      <c r="Y112" s="1338" t="s">
        <v>7369</v>
      </c>
      <c r="Z112" s="1363" t="str">
        <f t="shared" ca="1" si="49"/>
        <v>Melf's Acid Arrow</v>
      </c>
      <c r="AA112" s="1394">
        <v>7</v>
      </c>
      <c r="AB112" s="1338" t="s">
        <v>7409</v>
      </c>
      <c r="AC112" s="1398"/>
      <c r="AD112" s="382">
        <f>IF(ROWS(AD$106:AD112)&lt;=$AC$106,ROWS(AD$106:AD112),"")</f>
        <v>7</v>
      </c>
      <c r="AE112" s="1485">
        <f ca="1">IF(ROWS(AE$106:AE112)&lt;=$AC$106,RAND(),"")</f>
        <v>0.42173308366227269</v>
      </c>
      <c r="AF112" s="1487">
        <f ca="1">IF(AD112=ROWS(AF$106:AF112),RANK(AE112,$AE$106:$AE$123),"")</f>
        <v>6</v>
      </c>
      <c r="AG112" s="1338" t="s">
        <v>7409</v>
      </c>
      <c r="AH112" s="1363" t="str">
        <f t="shared" ca="1" si="50"/>
        <v>Melf's Minute Meteors</v>
      </c>
      <c r="AI112" s="1394">
        <v>7</v>
      </c>
      <c r="AJ112" s="1338" t="s">
        <v>7536</v>
      </c>
      <c r="AK112" s="1398"/>
      <c r="AL112" s="382">
        <f>IF(ROWS(AL$106:AL112)&lt;=$AK$106,ROWS(AL$106:AL112),"")</f>
        <v>7</v>
      </c>
      <c r="AM112" s="1485">
        <f ca="1">IF(ROWS(AM$106:AM112)&lt;=$AK$106,RAND(),"")</f>
        <v>0.62968587544422006</v>
      </c>
      <c r="AN112" s="1487">
        <f ca="1">IF(AL112=ROWS(AN$106:AN112),RANK(AM112,$AM$106:$AM$123),"")</f>
        <v>4</v>
      </c>
      <c r="AO112" s="1338" t="s">
        <v>7536</v>
      </c>
      <c r="AP112" s="1363" t="str">
        <f t="shared" ca="1" si="51"/>
        <v>Wall of Fire</v>
      </c>
      <c r="AQ112" s="273"/>
      <c r="AR112" s="273"/>
      <c r="AS112" s="273"/>
      <c r="AU112" s="1335"/>
      <c r="AW112" s="273"/>
      <c r="AX112" s="273"/>
      <c r="AZ112" s="1335"/>
      <c r="BB112" s="273"/>
      <c r="BC112" s="273"/>
      <c r="BE112" s="1335"/>
      <c r="BG112" s="273"/>
      <c r="BH112" s="273"/>
      <c r="BJ112" s="1335"/>
      <c r="BL112" s="273"/>
      <c r="BM112" s="273"/>
      <c r="BO112" s="1335"/>
      <c r="BQ112" s="273"/>
      <c r="BR112" s="273"/>
      <c r="BS112" s="271" t="s">
        <v>1287</v>
      </c>
      <c r="BT112" s="1409"/>
      <c r="BU112" s="498"/>
      <c r="BV112" s="591"/>
      <c r="BW112" s="1410"/>
    </row>
    <row r="113" spans="2:80" ht="12" customHeight="1">
      <c r="B113" s="1336">
        <v>8</v>
      </c>
      <c r="C113" s="1454"/>
      <c r="D113" s="1338" t="s">
        <v>7513</v>
      </c>
      <c r="E113" s="1402"/>
      <c r="F113" s="382">
        <f>IF(ROWS(F$106:F113)&lt;=$E$106,ROWS(F$106:F113),"")</f>
        <v>8</v>
      </c>
      <c r="G113" s="1485">
        <f ca="1">IF(ROWS(G$106:G113)&lt;=$E$106,RAND(),"")</f>
        <v>0.79204614689648334</v>
      </c>
      <c r="H113" s="382">
        <f ca="1">IF(F113=ROWS(H$106:H113),RANK(G113,$G$106:$G$121),"")</f>
        <v>1</v>
      </c>
      <c r="I113" s="1338" t="s">
        <v>7513</v>
      </c>
      <c r="J113" s="1363" t="str">
        <f t="shared" ca="1" si="52"/>
        <v>Ray of Frost</v>
      </c>
      <c r="K113" s="1394">
        <v>8</v>
      </c>
      <c r="L113" s="1338" t="s">
        <v>7537</v>
      </c>
      <c r="M113" s="1398"/>
      <c r="N113" s="382">
        <f>IF(ROWS(N$106:N113)&lt;=$M$106,ROWS(N$106:N113),"")</f>
        <v>8</v>
      </c>
      <c r="O113" s="1485">
        <f ca="1">IF(ROWS(O$106:O113)&lt;=$M$106,RAND(),"")</f>
        <v>0.14874989583358544</v>
      </c>
      <c r="P113" s="1487">
        <f ca="1">IF(N113=ROWS(P$106:P113),RANK(O113,$O$106:$O$123),"")</f>
        <v>9</v>
      </c>
      <c r="Q113" s="1338" t="s">
        <v>7537</v>
      </c>
      <c r="R113" s="1363" t="str">
        <f t="shared" ca="1" si="48"/>
        <v>Absorb Elements</v>
      </c>
      <c r="S113" s="1394">
        <v>8</v>
      </c>
      <c r="T113" s="1338" t="s">
        <v>7295</v>
      </c>
      <c r="U113" s="1398"/>
      <c r="V113" s="382">
        <f>IF(ROWS(V$106:V113)&lt;=$U$106,ROWS(V$106:V113),"")</f>
        <v>8</v>
      </c>
      <c r="W113" s="1485">
        <f ca="1">IF(ROWS(W$106:W113)&lt;=$U$106,RAND(),"")</f>
        <v>0.26717968785935964</v>
      </c>
      <c r="X113" s="1487">
        <f ca="1">IF(V113=ROWS(X$106:X113),RANK(W113,$W$106:$W$123),"")</f>
        <v>6</v>
      </c>
      <c r="Y113" s="1338" t="s">
        <v>7295</v>
      </c>
      <c r="Z113" s="1363" t="str">
        <f t="shared" ca="1" si="49"/>
        <v>Continual Flame</v>
      </c>
      <c r="AA113" s="1394">
        <v>8</v>
      </c>
      <c r="AB113" s="1338" t="s">
        <v>7538</v>
      </c>
      <c r="AC113" s="1398"/>
      <c r="AD113" s="382">
        <f>IF(ROWS(AD$106:AD113)&lt;=$AC$106,ROWS(AD$106:AD113),"")</f>
        <v>8</v>
      </c>
      <c r="AE113" s="1485">
        <f ca="1">IF(ROWS(AE$106:AE113)&lt;=$AC$106,RAND(),"")</f>
        <v>0.39619237259844886</v>
      </c>
      <c r="AF113" s="1487">
        <f ca="1">IF(AD113=ROWS(AF$106:AF113),RANK(AE113,$AE$106:$AE$123),"")</f>
        <v>7</v>
      </c>
      <c r="AG113" s="1338" t="s">
        <v>7538</v>
      </c>
      <c r="AH113" s="1363" t="str">
        <f t="shared" ca="1" si="50"/>
        <v>Sending</v>
      </c>
      <c r="AI113" s="1394">
        <v>8</v>
      </c>
      <c r="AJ113" s="1338" t="s">
        <v>7539</v>
      </c>
      <c r="AK113" s="1398"/>
      <c r="AL113" s="382">
        <f>IF(ROWS(AL$106:AL113)&lt;=$AK$106,ROWS(AL$106:AL113),"")</f>
        <v>8</v>
      </c>
      <c r="AM113" s="1485">
        <f ca="1">IF(ROWS(AM$106:AM113)&lt;=$AK$106,RAND(),"")</f>
        <v>0.62689558511405719</v>
      </c>
      <c r="AN113" s="1487">
        <f ca="1">IF(AL113=ROWS(AN$106:AN113),RANK(AM113,$AM$106:$AM$123),"")</f>
        <v>5</v>
      </c>
      <c r="AO113" s="1338" t="s">
        <v>7539</v>
      </c>
      <c r="AP113" s="1363" t="str">
        <f t="shared" ca="1" si="51"/>
        <v>Stoneskin</v>
      </c>
      <c r="AQ113" s="273"/>
      <c r="AR113" s="273"/>
      <c r="AS113" s="273"/>
      <c r="AU113" s="1335"/>
      <c r="AW113" s="273"/>
      <c r="AX113" s="273"/>
      <c r="AZ113" s="1335"/>
      <c r="BB113" s="273"/>
      <c r="BC113" s="273"/>
      <c r="BE113" s="1335"/>
      <c r="BG113" s="273"/>
      <c r="BH113" s="273"/>
      <c r="BJ113" s="1335"/>
      <c r="BL113" s="273"/>
      <c r="BM113" s="273"/>
      <c r="BO113" s="1335"/>
      <c r="BQ113" s="273"/>
      <c r="BR113" s="273"/>
      <c r="BS113" s="271" t="s">
        <v>1287</v>
      </c>
      <c r="BT113" s="1409"/>
      <c r="BU113" s="498"/>
      <c r="BV113" s="591"/>
      <c r="BW113" s="1410"/>
    </row>
    <row r="114" spans="2:80" ht="12" customHeight="1">
      <c r="B114" s="1336">
        <v>9</v>
      </c>
      <c r="C114" s="1454"/>
      <c r="D114" s="368"/>
      <c r="E114" s="1402"/>
      <c r="F114" s="382" t="str">
        <f>IF(ROWS(F$106:F114)&lt;=$E$106,ROWS(F$106:F114),"")</f>
        <v/>
      </c>
      <c r="G114" s="1485" t="str">
        <f ca="1">IF(ROWS(G$106:G114)&lt;=$E$106,RAND(),"")</f>
        <v/>
      </c>
      <c r="H114" s="382" t="str">
        <f>IF(F114=ROWS(H$106:H114),RANK(G114,$G$106:$G$121),"")</f>
        <v/>
      </c>
      <c r="I114" s="368"/>
      <c r="J114" s="1363"/>
      <c r="K114" s="1394">
        <v>9</v>
      </c>
      <c r="L114" s="1338" t="s">
        <v>3318</v>
      </c>
      <c r="M114" s="1398"/>
      <c r="N114" s="382">
        <f>IF(ROWS(N$106:N114)&lt;=$M$106,ROWS(N$106:N114),"")</f>
        <v>9</v>
      </c>
      <c r="O114" s="1485">
        <f ca="1">IF(ROWS(O$106:O114)&lt;=$M$106,RAND(),"")</f>
        <v>0.43671623994180808</v>
      </c>
      <c r="P114" s="1487">
        <f ca="1">IF(N114=ROWS(P$106:P114),RANK(O114,$O$106:$O$123),"")</f>
        <v>6</v>
      </c>
      <c r="Q114" s="1338" t="s">
        <v>3318</v>
      </c>
      <c r="R114" s="1363" t="str">
        <f t="shared" ca="1" si="48"/>
        <v>Protection from Evil and Good</v>
      </c>
      <c r="S114" s="1394">
        <v>9</v>
      </c>
      <c r="T114" s="1338" t="s">
        <v>7540</v>
      </c>
      <c r="U114" s="1398"/>
      <c r="V114" s="382">
        <f>IF(ROWS(V$106:V114)&lt;=$U$106,ROWS(V$106:V114),"")</f>
        <v>9</v>
      </c>
      <c r="W114" s="1485">
        <f ca="1">IF(ROWS(W$106:W114)&lt;=$U$106,RAND(),"")</f>
        <v>4.8166647417341113E-2</v>
      </c>
      <c r="X114" s="1487">
        <f ca="1">IF(V114=ROWS(X$106:X114),RANK(W114,$W$106:$W$123),"")</f>
        <v>9</v>
      </c>
      <c r="Y114" s="1338" t="s">
        <v>7540</v>
      </c>
      <c r="Z114" s="1363" t="str">
        <f t="shared" ca="1" si="49"/>
        <v>Snilloc's Snowball Swarm</v>
      </c>
      <c r="AA114" s="1394">
        <v>9</v>
      </c>
      <c r="AB114" s="1338" t="s">
        <v>7261</v>
      </c>
      <c r="AC114" s="1398"/>
      <c r="AD114" s="382">
        <f>IF(ROWS(AD$106:AD114)&lt;=$AC$106,ROWS(AD$106:AD114),"")</f>
        <v>9</v>
      </c>
      <c r="AE114" s="1485">
        <f ca="1">IF(ROWS(AE$106:AE114)&lt;=$AC$106,RAND(),"")</f>
        <v>0.18061098256567787</v>
      </c>
      <c r="AF114" s="1487">
        <f ca="1">IF(AD114=ROWS(AF$106:AF114),RANK(AE114,$AE$106:$AE$123),"")</f>
        <v>14</v>
      </c>
      <c r="AG114" s="1338" t="s">
        <v>7261</v>
      </c>
      <c r="AH114" s="1363" t="str">
        <f t="shared" ca="1" si="50"/>
        <v>Lightning Bolt</v>
      </c>
      <c r="AI114" s="1394">
        <v>9</v>
      </c>
      <c r="AJ114" s="1338" t="s">
        <v>7403</v>
      </c>
      <c r="AK114" s="1398"/>
      <c r="AL114" s="382">
        <f>IF(ROWS(AL$106:AL114)&lt;=$AK$106,ROWS(AL$106:AL114),"")</f>
        <v>9</v>
      </c>
      <c r="AM114" s="1485">
        <f ca="1">IF(ROWS(AM$106:AM114)&lt;=$AK$106,RAND(),"")</f>
        <v>0.33914244823696571</v>
      </c>
      <c r="AN114" s="1487">
        <f ca="1">IF(AL114=ROWS(AN$106:AN114),RANK(AM114,$AM$106:$AM$123),"")</f>
        <v>7</v>
      </c>
      <c r="AO114" s="1338" t="s">
        <v>7403</v>
      </c>
      <c r="AP114" s="1363" t="str">
        <f t="shared" ca="1" si="51"/>
        <v>Mordenkainen's Private Sanctum</v>
      </c>
      <c r="AQ114" s="273"/>
      <c r="AR114" s="273"/>
      <c r="AS114" s="273"/>
      <c r="AU114" s="1335"/>
      <c r="AW114" s="273"/>
      <c r="AX114" s="273"/>
      <c r="AZ114" s="1335"/>
      <c r="BB114" s="273"/>
      <c r="BC114" s="273"/>
      <c r="BE114" s="1335"/>
      <c r="BG114" s="273"/>
      <c r="BH114" s="273"/>
      <c r="BJ114" s="1335"/>
      <c r="BL114" s="273"/>
      <c r="BM114" s="273"/>
      <c r="BO114" s="1335"/>
      <c r="BQ114" s="273"/>
      <c r="BR114" s="273"/>
      <c r="BS114" s="271" t="s">
        <v>1287</v>
      </c>
      <c r="BT114" s="1409"/>
      <c r="BU114" s="498"/>
      <c r="BV114" s="591"/>
      <c r="BW114" s="1410"/>
    </row>
    <row r="115" spans="2:80" ht="12" customHeight="1">
      <c r="B115" s="1336">
        <v>10</v>
      </c>
      <c r="C115" s="1454"/>
      <c r="D115" s="368"/>
      <c r="E115" s="1402"/>
      <c r="F115" s="382" t="str">
        <f>IF(ROWS(F$106:F115)&lt;=$E$106,ROWS(F$106:F115),"")</f>
        <v/>
      </c>
      <c r="G115" s="1485" t="str">
        <f ca="1">IF(ROWS(G$106:G115)&lt;=$E$106,RAND(),"")</f>
        <v/>
      </c>
      <c r="H115" s="382" t="str">
        <f>IF(F115=ROWS(H$106:H115),RANK(G115,$G$106:$G$121),"")</f>
        <v/>
      </c>
      <c r="I115" s="368"/>
      <c r="J115" s="1363"/>
      <c r="K115" s="1394">
        <v>10</v>
      </c>
      <c r="L115" s="1338" t="s">
        <v>7296</v>
      </c>
      <c r="M115" s="1398"/>
      <c r="N115" s="382">
        <f>IF(ROWS(N$106:N115)&lt;=$M$106,ROWS(N$106:N115),"")</f>
        <v>10</v>
      </c>
      <c r="O115" s="1485">
        <f ca="1">IF(ROWS(O$106:O115)&lt;=$M$106,RAND(),"")</f>
        <v>0.64826060645294059</v>
      </c>
      <c r="P115" s="1487">
        <f ca="1">IF(N115=ROWS(P$106:P115),RANK(O115,$O$106:$O$123),"")</f>
        <v>4</v>
      </c>
      <c r="Q115" s="1338" t="s">
        <v>7296</v>
      </c>
      <c r="R115" s="1363" t="str">
        <f t="shared" ca="1" si="48"/>
        <v>Burning Hands</v>
      </c>
      <c r="S115" s="1394">
        <v>10</v>
      </c>
      <c r="T115" s="368"/>
      <c r="U115" s="1398"/>
      <c r="V115" s="382" t="str">
        <f>IF(ROWS(V$106:V115)&lt;=$U$106,ROWS(V$106:V115),"")</f>
        <v/>
      </c>
      <c r="W115" s="1485" t="str">
        <f ca="1">IF(ROWS(W$106:W115)&lt;=$U$106,RAND(),"")</f>
        <v/>
      </c>
      <c r="X115" s="1487" t="str">
        <f>IF(V115=ROWS(X$106:X115),RANK(W115,$W$106:$W$123),"")</f>
        <v/>
      </c>
      <c r="Y115" s="1338"/>
      <c r="Z115" s="1363"/>
      <c r="AA115" s="1394">
        <v>10</v>
      </c>
      <c r="AB115" s="1338" t="s">
        <v>7466</v>
      </c>
      <c r="AC115" s="1398"/>
      <c r="AD115" s="382">
        <f>IF(ROWS(AD$106:AD115)&lt;=$AC$106,ROWS(AD$106:AD115),"")</f>
        <v>10</v>
      </c>
      <c r="AE115" s="1485">
        <f ca="1">IF(ROWS(AE$106:AE115)&lt;=$AC$106,RAND(),"")</f>
        <v>0.23819743265223547</v>
      </c>
      <c r="AF115" s="1487">
        <f ca="1">IF(AD115=ROWS(AF$106:AF115),RANK(AE115,$AE$106:$AE$123),"")</f>
        <v>13</v>
      </c>
      <c r="AG115" s="1338" t="s">
        <v>7466</v>
      </c>
      <c r="AH115" s="1363" t="str">
        <f t="shared" ca="1" si="50"/>
        <v>Wall of Sand</v>
      </c>
      <c r="AI115" s="1394"/>
      <c r="AJ115" s="368"/>
      <c r="AK115" s="1398"/>
      <c r="AL115" s="382" t="str">
        <f>IF(ROWS(AL$106:AL115)&lt;=$AK$106,ROWS(AL$106:AL115),"")</f>
        <v/>
      </c>
      <c r="AM115" s="1485" t="str">
        <f ca="1">IF(ROWS(AM$106:AM115)&lt;=$AK$106,RAND(),"")</f>
        <v/>
      </c>
      <c r="AN115" s="1487" t="str">
        <f>IF(AL115=ROWS(AN$106:AN115),RANK(AM115,$AM$106:$AM$123),"")</f>
        <v/>
      </c>
      <c r="AO115" s="1338"/>
      <c r="AP115" s="1363"/>
      <c r="AQ115" s="273"/>
      <c r="AR115" s="273"/>
      <c r="AS115" s="273"/>
      <c r="AU115" s="1335"/>
      <c r="AW115" s="273"/>
      <c r="AX115" s="273"/>
      <c r="AZ115" s="1335"/>
      <c r="BB115" s="273"/>
      <c r="BC115" s="273"/>
      <c r="BE115" s="1335"/>
      <c r="BG115" s="273"/>
      <c r="BH115" s="273"/>
      <c r="BJ115" s="1335"/>
      <c r="BL115" s="273"/>
      <c r="BM115" s="273"/>
      <c r="BO115" s="1335"/>
      <c r="BQ115" s="273"/>
      <c r="BR115" s="273"/>
      <c r="BS115" s="271" t="s">
        <v>1287</v>
      </c>
      <c r="BT115" s="1409"/>
      <c r="BU115" s="498"/>
      <c r="BV115" s="591"/>
      <c r="BW115" s="1410"/>
      <c r="BY115" s="2797"/>
      <c r="BZ115" s="2797"/>
      <c r="CA115" s="2797"/>
    </row>
    <row r="116" spans="2:80" ht="12" customHeight="1">
      <c r="B116" s="1336">
        <v>11</v>
      </c>
      <c r="C116" s="1454"/>
      <c r="D116" s="368"/>
      <c r="E116" s="1402"/>
      <c r="F116" s="382" t="str">
        <f>IF(ROWS(F$106:F116)&lt;=$E$106,ROWS(F$106:F116),"")</f>
        <v/>
      </c>
      <c r="G116" s="1485" t="str">
        <f ca="1">IF(ROWS(G$106:G116)&lt;=$E$106,RAND(),"")</f>
        <v/>
      </c>
      <c r="H116" s="382" t="str">
        <f>IF(F116=ROWS(H$106:H116),RANK(G116,$G$106:$G$121),"")</f>
        <v/>
      </c>
      <c r="I116" s="368"/>
      <c r="J116" s="1363"/>
      <c r="K116" s="1394">
        <v>11</v>
      </c>
      <c r="L116" s="1338" t="s">
        <v>7541</v>
      </c>
      <c r="M116" s="1398"/>
      <c r="N116" s="382">
        <f>IF(ROWS(N$106:N116)&lt;=$M$106,ROWS(N$106:N116),"")</f>
        <v>11</v>
      </c>
      <c r="O116" s="1485">
        <f ca="1">IF(ROWS(O$106:O116)&lt;=$M$106,RAND(),"")</f>
        <v>0.70854637822240818</v>
      </c>
      <c r="P116" s="1487">
        <f ca="1">IF(N116=ROWS(P$106:P116),RANK(O116,$O$106:$O$123),"")</f>
        <v>3</v>
      </c>
      <c r="Q116" s="1338" t="s">
        <v>7541</v>
      </c>
      <c r="R116" s="1363" t="str">
        <f t="shared" ca="1" si="48"/>
        <v>Magic Missile</v>
      </c>
      <c r="S116" s="1394">
        <v>11</v>
      </c>
      <c r="T116" s="368"/>
      <c r="U116" s="1398"/>
      <c r="V116" s="382" t="str">
        <f>IF(ROWS(V$106:V116)&lt;=$U$106,ROWS(V$106:V116),"")</f>
        <v/>
      </c>
      <c r="W116" s="1485" t="str">
        <f ca="1">IF(ROWS(W$106:W116)&lt;=$U$106,RAND(),"")</f>
        <v/>
      </c>
      <c r="X116" s="1487" t="str">
        <f>IF(V116=ROWS(X$106:X116),RANK(W116,$W$106:$W$123),"")</f>
        <v/>
      </c>
      <c r="Y116" s="1338"/>
      <c r="Z116" s="1363"/>
      <c r="AA116" s="1394">
        <v>11</v>
      </c>
      <c r="AB116" s="1338" t="s">
        <v>7420</v>
      </c>
      <c r="AC116" s="1398"/>
      <c r="AD116" s="382">
        <f>IF(ROWS(AD$106:AD116)&lt;=$AC$106,ROWS(AD$106:AD116),"")</f>
        <v>11</v>
      </c>
      <c r="AE116" s="1485">
        <f ca="1">IF(ROWS(AE$106:AE116)&lt;=$AC$106,RAND(),"")</f>
        <v>0.73924203167788516</v>
      </c>
      <c r="AF116" s="1487">
        <f ca="1">IF(AD116=ROWS(AF$106:AF116),RANK(AE116,$AE$106:$AE$123),"")</f>
        <v>3</v>
      </c>
      <c r="AG116" s="1338" t="s">
        <v>7420</v>
      </c>
      <c r="AH116" s="1363" t="str">
        <f t="shared" ca="1" si="50"/>
        <v>Dispel Magic</v>
      </c>
      <c r="AI116" s="1394"/>
      <c r="AJ116" s="368"/>
      <c r="AK116" s="1398"/>
      <c r="AL116" s="382" t="str">
        <f>IF(ROWS(AL$106:AL116)&lt;=$AK$106,ROWS(AL$106:AL116),"")</f>
        <v/>
      </c>
      <c r="AM116" s="1485" t="str">
        <f ca="1">IF(ROWS(AM$106:AM116)&lt;=$AK$106,RAND(),"")</f>
        <v/>
      </c>
      <c r="AN116" s="1487" t="str">
        <f>IF(AL116=ROWS(AN$106:AN116),RANK(AM116,$AM$106:$AM$123),"")</f>
        <v/>
      </c>
      <c r="AO116" s="1338"/>
      <c r="AP116" s="1363"/>
      <c r="AQ116" s="273"/>
      <c r="AR116" s="273"/>
      <c r="AS116" s="273"/>
      <c r="AU116" s="1335"/>
      <c r="AW116" s="273"/>
      <c r="AX116" s="273"/>
      <c r="AZ116" s="1335"/>
      <c r="BB116" s="273"/>
      <c r="BC116" s="273"/>
      <c r="BE116" s="1335"/>
      <c r="BG116" s="273"/>
      <c r="BH116" s="273"/>
      <c r="BJ116" s="1335"/>
      <c r="BL116" s="273"/>
      <c r="BM116" s="273"/>
      <c r="BO116" s="1335"/>
      <c r="BQ116" s="273"/>
      <c r="BR116" s="273"/>
      <c r="BS116" s="271" t="s">
        <v>1287</v>
      </c>
      <c r="BT116" s="1409"/>
      <c r="BU116" s="498"/>
      <c r="BV116" s="591"/>
      <c r="BW116" s="1410"/>
      <c r="BY116" s="2797"/>
      <c r="BZ116" s="2797"/>
      <c r="CA116" s="2797"/>
    </row>
    <row r="117" spans="2:80" ht="12" customHeight="1">
      <c r="B117" s="1336">
        <v>12</v>
      </c>
      <c r="C117" s="1454"/>
      <c r="D117" s="368"/>
      <c r="E117" s="1402"/>
      <c r="F117" s="382" t="str">
        <f>IF(ROWS(F$106:F117)&lt;=$E$106,ROWS(F$106:F117),"")</f>
        <v/>
      </c>
      <c r="G117" s="1485" t="str">
        <f ca="1">IF(ROWS(G$106:G117)&lt;=$E$106,RAND(),"")</f>
        <v/>
      </c>
      <c r="H117" s="382" t="str">
        <f>IF(F117=ROWS(H$106:H117),RANK(G117,$G$106:$G$121),"")</f>
        <v/>
      </c>
      <c r="I117" s="368"/>
      <c r="J117" s="1363"/>
      <c r="K117" s="1394"/>
      <c r="L117" s="368"/>
      <c r="M117" s="1398"/>
      <c r="N117" s="382" t="str">
        <f>IF(ROWS(N$106:N117)&lt;=$M$106,ROWS(N$106:N117),"")</f>
        <v/>
      </c>
      <c r="O117" s="1485" t="str">
        <f ca="1">IF(ROWS(O$106:O117)&lt;=$M$106,RAND(),"")</f>
        <v/>
      </c>
      <c r="P117" s="1487" t="str">
        <f>IF(N117=ROWS(P$106:P117),RANK(O117,$O$106:$O$123),"")</f>
        <v/>
      </c>
      <c r="Q117" s="368"/>
      <c r="R117" s="1363"/>
      <c r="S117" s="1394">
        <v>12</v>
      </c>
      <c r="T117" s="368"/>
      <c r="U117" s="1398"/>
      <c r="V117" s="382" t="str">
        <f>IF(ROWS(V$106:V117)&lt;=$U$106,ROWS(V$106:V117),"")</f>
        <v/>
      </c>
      <c r="W117" s="1485" t="str">
        <f ca="1">IF(ROWS(W$106:W117)&lt;=$U$106,RAND(),"")</f>
        <v/>
      </c>
      <c r="X117" s="1487" t="str">
        <f>IF(V117=ROWS(X$106:X117),RANK(W117,$W$106:$W$123),"")</f>
        <v/>
      </c>
      <c r="Y117" s="1338"/>
      <c r="Z117" s="1363"/>
      <c r="AA117" s="1394">
        <v>12</v>
      </c>
      <c r="AB117" s="1338" t="s">
        <v>7270</v>
      </c>
      <c r="AC117" s="1398"/>
      <c r="AD117" s="382">
        <f>IF(ROWS(AD$106:AD117)&lt;=$AC$106,ROWS(AD$106:AD117),"")</f>
        <v>12</v>
      </c>
      <c r="AE117" s="1485">
        <f ca="1">IF(ROWS(AE$106:AE117)&lt;=$AC$106,RAND(),"")</f>
        <v>0.37670286999889036</v>
      </c>
      <c r="AF117" s="1487">
        <f ca="1">IF(AD117=ROWS(AF$106:AF117),RANK(AE117,$AE$106:$AE$123),"")</f>
        <v>8</v>
      </c>
      <c r="AG117" s="1338" t="s">
        <v>7270</v>
      </c>
      <c r="AH117" s="1363" t="str">
        <f t="shared" ca="1" si="50"/>
        <v>Leomund's Tiny Hut</v>
      </c>
      <c r="AI117" s="1394"/>
      <c r="AJ117" s="368"/>
      <c r="AK117" s="1398"/>
      <c r="AL117" s="382" t="str">
        <f>IF(ROWS(AL$106:AL117)&lt;=$AK$106,ROWS(AL$106:AL117),"")</f>
        <v/>
      </c>
      <c r="AM117" s="1485" t="str">
        <f ca="1">IF(ROWS(AM$106:AM117)&lt;=$AK$106,RAND(),"")</f>
        <v/>
      </c>
      <c r="AN117" s="1487" t="str">
        <f>IF(AL117=ROWS(AN$106:AN117),RANK(AM117,$AM$106:$AM$123),"")</f>
        <v/>
      </c>
      <c r="AO117" s="1338"/>
      <c r="AP117" s="1363"/>
      <c r="AQ117" s="273"/>
      <c r="AR117" s="273"/>
      <c r="AS117" s="273"/>
      <c r="AU117" s="1335"/>
      <c r="AW117" s="273"/>
      <c r="AX117" s="273"/>
      <c r="AZ117" s="1335"/>
      <c r="BB117" s="273"/>
      <c r="BC117" s="273"/>
      <c r="BE117" s="1335"/>
      <c r="BG117" s="273"/>
      <c r="BH117" s="273"/>
      <c r="BJ117" s="1335"/>
      <c r="BL117" s="273"/>
      <c r="BM117" s="273"/>
      <c r="BO117" s="1335"/>
      <c r="BQ117" s="273"/>
      <c r="BR117" s="273"/>
      <c r="BS117" s="271" t="s">
        <v>1287</v>
      </c>
      <c r="BT117" s="1409"/>
      <c r="BU117" s="498"/>
      <c r="BV117" s="591"/>
      <c r="BW117" s="1410"/>
      <c r="BY117" s="543"/>
      <c r="BZ117" s="543"/>
      <c r="CA117" s="543"/>
      <c r="CB117" s="543"/>
    </row>
    <row r="118" spans="2:80" ht="12" customHeight="1">
      <c r="B118" s="1336">
        <v>13</v>
      </c>
      <c r="C118" s="1454"/>
      <c r="D118" s="368"/>
      <c r="E118" s="1402"/>
      <c r="F118" s="382" t="str">
        <f>IF(ROWS(F$106:F118)&lt;=$E$106,ROWS(F$106:F118),"")</f>
        <v/>
      </c>
      <c r="G118" s="1485" t="str">
        <f ca="1">IF(ROWS(G$106:G118)&lt;=$E$106,RAND(),"")</f>
        <v/>
      </c>
      <c r="H118" s="382" t="str">
        <f>IF(F118=ROWS(H$106:H118),RANK(G118,$G$106:$G$121),"")</f>
        <v/>
      </c>
      <c r="I118" s="368"/>
      <c r="J118" s="1363"/>
      <c r="K118" s="1394"/>
      <c r="L118" s="368"/>
      <c r="M118" s="1398"/>
      <c r="N118" s="382" t="str">
        <f>IF(ROWS(N$106:N118)&lt;=$M$106,ROWS(N$106:N118),"")</f>
        <v/>
      </c>
      <c r="O118" s="1485" t="str">
        <f ca="1">IF(ROWS(O$106:O118)&lt;=$M$106,RAND(),"")</f>
        <v/>
      </c>
      <c r="P118" s="1487" t="str">
        <f>IF(N118=ROWS(P$106:P118),RANK(O118,$O$106:$O$123),"")</f>
        <v/>
      </c>
      <c r="Q118" s="368"/>
      <c r="R118" s="1363"/>
      <c r="S118" s="1394">
        <v>13</v>
      </c>
      <c r="T118" s="368"/>
      <c r="U118" s="1398"/>
      <c r="V118" s="382" t="str">
        <f>IF(ROWS(V$106:V118)&lt;=$U$106,ROWS(V$106:V118),"")</f>
        <v/>
      </c>
      <c r="W118" s="1485" t="str">
        <f ca="1">IF(ROWS(W$106:W118)&lt;=$U$106,RAND(),"")</f>
        <v/>
      </c>
      <c r="X118" s="1487" t="str">
        <f>IF(V118=ROWS(X$106:X118),RANK(W118,$W$106:$W$123),"")</f>
        <v/>
      </c>
      <c r="Y118" s="1338"/>
      <c r="Z118" s="1363"/>
      <c r="AA118" s="1394">
        <v>13</v>
      </c>
      <c r="AB118" s="1338" t="s">
        <v>7542</v>
      </c>
      <c r="AC118" s="1398"/>
      <c r="AD118" s="382">
        <f>IF(ROWS(AD$106:AD118)&lt;=$AC$106,ROWS(AD$106:AD118),"")</f>
        <v>13</v>
      </c>
      <c r="AE118" s="1485">
        <f ca="1">IF(ROWS(AE$106:AE118)&lt;=$AC$106,RAND(),"")</f>
        <v>0.3436720446017657</v>
      </c>
      <c r="AF118" s="1487">
        <f ca="1">IF(AD118=ROWS(AF$106:AF118),RANK(AE118,$AE$106:$AE$123),"")</f>
        <v>10</v>
      </c>
      <c r="AG118" s="1338" t="s">
        <v>7542</v>
      </c>
      <c r="AH118" s="1363" t="str">
        <f t="shared" ca="1" si="50"/>
        <v>Protection from Energy</v>
      </c>
      <c r="AI118" s="1394"/>
      <c r="AJ118" s="368"/>
      <c r="AK118" s="1398"/>
      <c r="AL118" s="382" t="str">
        <f>IF(ROWS(AL$106:AL118)&lt;=$AK$106,ROWS(AL$106:AL118),"")</f>
        <v/>
      </c>
      <c r="AM118" s="1485" t="str">
        <f ca="1">IF(ROWS(AM$106:AM118)&lt;=$AK$106,RAND(),"")</f>
        <v/>
      </c>
      <c r="AN118" s="1487" t="str">
        <f>IF(AL118=ROWS(AN$106:AN118),RANK(AM118,$AM$106:$AM$123),"")</f>
        <v/>
      </c>
      <c r="AO118" s="1338"/>
      <c r="AP118" s="1363"/>
      <c r="AQ118" s="273"/>
      <c r="AR118" s="273"/>
      <c r="AS118" s="273"/>
      <c r="AU118" s="1335"/>
      <c r="AW118" s="273"/>
      <c r="AX118" s="273"/>
      <c r="AZ118" s="1335"/>
      <c r="BB118" s="273"/>
      <c r="BC118" s="273"/>
      <c r="BE118" s="1335"/>
      <c r="BG118" s="273"/>
      <c r="BH118" s="273"/>
      <c r="BJ118" s="1335"/>
      <c r="BL118" s="273"/>
      <c r="BM118" s="273"/>
      <c r="BO118" s="1335"/>
      <c r="BQ118" s="273"/>
      <c r="BR118" s="273"/>
      <c r="BS118" s="271" t="s">
        <v>1287</v>
      </c>
      <c r="BT118" s="1409"/>
      <c r="BU118" s="498"/>
      <c r="BV118" s="591"/>
      <c r="BW118" s="1410"/>
      <c r="BY118" s="273"/>
      <c r="BZ118" s="543"/>
      <c r="CA118" s="543"/>
      <c r="CB118" s="543"/>
    </row>
    <row r="119" spans="2:80" ht="12" customHeight="1">
      <c r="B119" s="1336">
        <v>14</v>
      </c>
      <c r="C119" s="1464"/>
      <c r="D119" s="368"/>
      <c r="E119" s="1402"/>
      <c r="F119" s="382" t="str">
        <f>IF(ROWS(F$106:F119)&lt;=$E$106,ROWS(F$106:F119),"")</f>
        <v/>
      </c>
      <c r="G119" s="1485" t="str">
        <f ca="1">IF(ROWS(G$106:G119)&lt;=$E$106,RAND(),"")</f>
        <v/>
      </c>
      <c r="H119" s="382" t="str">
        <f>IF(F119=ROWS(H$106:H119),RANK(G119,$G$106:$G$121),"")</f>
        <v/>
      </c>
      <c r="I119" s="368"/>
      <c r="J119" s="1363"/>
      <c r="K119" s="1394"/>
      <c r="L119" s="368"/>
      <c r="M119" s="1398"/>
      <c r="N119" s="382" t="str">
        <f>IF(ROWS(N$106:N119)&lt;=$M$106,ROWS(N$106:N119),"")</f>
        <v/>
      </c>
      <c r="O119" s="1485" t="str">
        <f ca="1">IF(ROWS(O$106:O119)&lt;=$M$106,RAND(),"")</f>
        <v/>
      </c>
      <c r="P119" s="1487" t="str">
        <f>IF(N119=ROWS(P$106:P119),RANK(O119,$O$106:$O$123),"")</f>
        <v/>
      </c>
      <c r="Q119" s="368"/>
      <c r="R119" s="1363"/>
      <c r="S119" s="1394">
        <v>14</v>
      </c>
      <c r="T119" s="368"/>
      <c r="U119" s="1398"/>
      <c r="V119" s="382" t="str">
        <f>IF(ROWS(V$106:V119)&lt;=$U$106,ROWS(V$106:V119),"")</f>
        <v/>
      </c>
      <c r="W119" s="1485" t="str">
        <f ca="1">IF(ROWS(W$106:W119)&lt;=$U$106,RAND(),"")</f>
        <v/>
      </c>
      <c r="X119" s="1487" t="str">
        <f>IF(V119=ROWS(X$106:X119),RANK(W119,$W$106:$W$123),"")</f>
        <v/>
      </c>
      <c r="Y119" s="1338"/>
      <c r="Z119" s="1363"/>
      <c r="AA119" s="1394">
        <v>14</v>
      </c>
      <c r="AB119" s="1338" t="s">
        <v>7507</v>
      </c>
      <c r="AC119" s="1398"/>
      <c r="AD119" s="382">
        <f>IF(ROWS(AD$106:AD119)&lt;=$AC$106,ROWS(AD$106:AD119),"")</f>
        <v>14</v>
      </c>
      <c r="AE119" s="1485">
        <f ca="1">IF(ROWS(AE$106:AE119)&lt;=$AC$106,RAND(),"")</f>
        <v>0.83779237654170469</v>
      </c>
      <c r="AF119" s="1487">
        <f ca="1">IF(AD119=ROWS(AF$106:AF119),RANK(AE119,$AE$106:$AE$123),"")</f>
        <v>2</v>
      </c>
      <c r="AG119" s="1338" t="s">
        <v>7507</v>
      </c>
      <c r="AH119" s="1363" t="str">
        <f t="shared" ca="1" si="50"/>
        <v>Nondetection</v>
      </c>
      <c r="AI119" s="1394"/>
      <c r="AJ119" s="368"/>
      <c r="AK119" s="1398"/>
      <c r="AL119" s="382" t="str">
        <f>IF(ROWS(AL$106:AL119)&lt;=$AK$106,ROWS(AL$106:AL119),"")</f>
        <v/>
      </c>
      <c r="AM119" s="1485" t="str">
        <f ca="1">IF(ROWS(AM$106:AM119)&lt;=$AK$106,RAND(),"")</f>
        <v/>
      </c>
      <c r="AN119" s="1487" t="str">
        <f>IF(AL119=ROWS(AN$106:AN119),RANK(AM119,$AM$106:$AM$123),"")</f>
        <v/>
      </c>
      <c r="AO119" s="1338"/>
      <c r="AP119" s="1363"/>
      <c r="AQ119" s="273"/>
      <c r="AR119" s="273"/>
      <c r="AS119" s="273"/>
      <c r="AU119" s="1335"/>
      <c r="AW119" s="273"/>
      <c r="AX119" s="273"/>
      <c r="AZ119" s="1335"/>
      <c r="BB119" s="273"/>
      <c r="BC119" s="273"/>
      <c r="BE119" s="1335"/>
      <c r="BG119" s="273"/>
      <c r="BH119" s="273"/>
      <c r="BJ119" s="1335"/>
      <c r="BL119" s="273"/>
      <c r="BM119" s="273"/>
      <c r="BO119" s="1335"/>
      <c r="BQ119" s="273"/>
      <c r="BR119" s="273"/>
      <c r="BS119" s="271" t="s">
        <v>1287</v>
      </c>
      <c r="BT119" s="918"/>
      <c r="BY119" s="273"/>
      <c r="BZ119" s="543"/>
      <c r="CA119" s="543"/>
      <c r="CB119" s="543"/>
    </row>
    <row r="120" spans="2:80" ht="12" customHeight="1">
      <c r="B120" s="1336">
        <v>15</v>
      </c>
      <c r="C120" s="1454"/>
      <c r="D120" s="368"/>
      <c r="E120" s="1402"/>
      <c r="F120" s="382" t="str">
        <f>IF(ROWS(F$106:F120)&lt;=$E$106,ROWS(F$106:F120),"")</f>
        <v/>
      </c>
      <c r="G120" s="1485" t="str">
        <f ca="1">IF(ROWS(G$106:G120)&lt;=$E$106,RAND(),"")</f>
        <v/>
      </c>
      <c r="H120" s="382" t="str">
        <f>IF(F120=ROWS(H$106:H120),RANK(G120,$G$106:$G$121),"")</f>
        <v/>
      </c>
      <c r="I120" s="368"/>
      <c r="J120" s="1363"/>
      <c r="K120" s="1394"/>
      <c r="L120" s="368"/>
      <c r="M120" s="1398"/>
      <c r="N120" s="382" t="str">
        <f>IF(ROWS(N$106:N120)&lt;=$M$106,ROWS(N$106:N120),"")</f>
        <v/>
      </c>
      <c r="O120" s="1485" t="str">
        <f ca="1">IF(ROWS(O$106:O120)&lt;=$M$106,RAND(),"")</f>
        <v/>
      </c>
      <c r="P120" s="1487" t="str">
        <f>IF(N120=ROWS(P$106:P120),RANK(O120,$O$106:$O$123),"")</f>
        <v/>
      </c>
      <c r="Q120" s="368"/>
      <c r="R120" s="1363"/>
      <c r="S120" s="1394">
        <v>15</v>
      </c>
      <c r="T120" s="368"/>
      <c r="U120" s="1398"/>
      <c r="V120" s="382" t="str">
        <f>IF(ROWS(V$106:V120)&lt;=$U$106,ROWS(V$106:V120),"")</f>
        <v/>
      </c>
      <c r="W120" s="1485" t="str">
        <f ca="1">IF(ROWS(W$106:W120)&lt;=$U$106,RAND(),"")</f>
        <v/>
      </c>
      <c r="X120" s="1487" t="str">
        <f>IF(V120=ROWS(X$106:X120),RANK(W120,$W$106:$W$123),"")</f>
        <v/>
      </c>
      <c r="Y120" s="1338"/>
      <c r="Z120" s="1363"/>
      <c r="AA120" s="1394"/>
      <c r="AB120" s="368"/>
      <c r="AC120" s="1398"/>
      <c r="AD120" s="382" t="str">
        <f>IF(ROWS(AD$106:AD120)&lt;=$AC$106,ROWS(AD$106:AD120),"")</f>
        <v/>
      </c>
      <c r="AE120" s="1485" t="str">
        <f ca="1">IF(ROWS(AE$106:AE120)&lt;=$AC$106,RAND(),"")</f>
        <v/>
      </c>
      <c r="AF120" s="1487" t="str">
        <f>IF(AD120=ROWS(AF$106:AF120),RANK(AE120,$AE$106:$AE$123),"")</f>
        <v/>
      </c>
      <c r="AG120" s="1338"/>
      <c r="AH120" s="1363"/>
      <c r="AI120" s="1394"/>
      <c r="AJ120" s="368"/>
      <c r="AK120" s="1398"/>
      <c r="AL120" s="382" t="str">
        <f>IF(ROWS(AL$106:AL120)&lt;=$AK$106,ROWS(AL$106:AL120),"")</f>
        <v/>
      </c>
      <c r="AM120" s="1485" t="str">
        <f ca="1">IF(ROWS(AM$106:AM120)&lt;=$AK$106,RAND(),"")</f>
        <v/>
      </c>
      <c r="AN120" s="1487" t="str">
        <f>IF(AL120=ROWS(AN$106:AN120),RANK(AM120,$AM$106:$AM$123),"")</f>
        <v/>
      </c>
      <c r="AO120" s="1338"/>
      <c r="AP120" s="1363"/>
      <c r="AQ120" s="273"/>
      <c r="AR120" s="273"/>
      <c r="AS120" s="273"/>
      <c r="AU120" s="1335"/>
      <c r="AW120" s="273"/>
      <c r="AX120" s="273"/>
      <c r="AZ120" s="1335"/>
      <c r="BB120" s="273"/>
      <c r="BC120" s="273"/>
      <c r="BE120" s="1335"/>
      <c r="BG120" s="273"/>
      <c r="BH120" s="273"/>
      <c r="BJ120" s="1335"/>
      <c r="BL120" s="273"/>
      <c r="BM120" s="273"/>
      <c r="BO120" s="1335"/>
      <c r="BQ120" s="273"/>
      <c r="BR120" s="273"/>
      <c r="BS120" s="271" t="s">
        <v>1287</v>
      </c>
      <c r="BU120" s="2797"/>
      <c r="BV120" s="2797"/>
      <c r="BW120" s="2797"/>
      <c r="BY120" s="273"/>
      <c r="BZ120" s="543"/>
      <c r="CA120" s="543"/>
      <c r="CB120" s="543"/>
    </row>
    <row r="121" spans="2:80" ht="12" customHeight="1">
      <c r="B121" s="1336">
        <v>16</v>
      </c>
      <c r="C121" s="1454"/>
      <c r="D121" s="368"/>
      <c r="E121" s="1402"/>
      <c r="F121" s="382" t="str">
        <f>IF(ROWS(F$106:F121)&lt;=$E$106,ROWS(F$106:F121),"")</f>
        <v/>
      </c>
      <c r="G121" s="1485" t="str">
        <f ca="1">IF(ROWS(G$106:G121)&lt;=$E$106,RAND(),"")</f>
        <v/>
      </c>
      <c r="H121" s="382" t="str">
        <f>IF(F121=ROWS(H$106:H121),RANK(G121,$G$106:$G$121),"")</f>
        <v/>
      </c>
      <c r="I121" s="368"/>
      <c r="J121" s="1363"/>
      <c r="K121" s="1394"/>
      <c r="L121" s="368"/>
      <c r="M121" s="1398"/>
      <c r="N121" s="382" t="str">
        <f>IF(ROWS(N$106:N121)&lt;=$M$106,ROWS(N$106:N121),"")</f>
        <v/>
      </c>
      <c r="O121" s="1485" t="str">
        <f ca="1">IF(ROWS(O$106:O121)&lt;=$M$106,RAND(),"")</f>
        <v/>
      </c>
      <c r="P121" s="1487" t="str">
        <f>IF(N121=ROWS(P$106:P121),RANK(O121,$O$106:$O$123),"")</f>
        <v/>
      </c>
      <c r="Q121" s="368"/>
      <c r="R121" s="1363"/>
      <c r="S121" s="1394">
        <v>16</v>
      </c>
      <c r="T121" s="368"/>
      <c r="U121" s="1398"/>
      <c r="V121" s="382" t="str">
        <f>IF(ROWS(V$106:V121)&lt;=$U$106,ROWS(V$106:V121),"")</f>
        <v/>
      </c>
      <c r="W121" s="1485" t="str">
        <f ca="1">IF(ROWS(W$106:W121)&lt;=$U$106,RAND(),"")</f>
        <v/>
      </c>
      <c r="X121" s="1487" t="str">
        <f>IF(V121=ROWS(X$106:X121),RANK(W121,$W$106:$W$123),"")</f>
        <v/>
      </c>
      <c r="Y121" s="1338"/>
      <c r="Z121" s="1363"/>
      <c r="AA121" s="1394"/>
      <c r="AB121" s="368"/>
      <c r="AC121" s="1398"/>
      <c r="AD121" s="382" t="str">
        <f>IF(ROWS(AD$106:AD121)&lt;=$AC$106,ROWS(AD$106:AD121),"")</f>
        <v/>
      </c>
      <c r="AE121" s="1485" t="str">
        <f ca="1">IF(ROWS(AE$106:AE121)&lt;=$AC$106,RAND(),"")</f>
        <v/>
      </c>
      <c r="AF121" s="1487" t="str">
        <f>IF(AD121=ROWS(AF$106:AF121),RANK(AE121,$AE$106:$AE$123),"")</f>
        <v/>
      </c>
      <c r="AG121" s="1338"/>
      <c r="AH121" s="1363"/>
      <c r="AI121" s="1394"/>
      <c r="AJ121" s="368"/>
      <c r="AK121" s="1398"/>
      <c r="AL121" s="382" t="str">
        <f>IF(ROWS(AL$106:AL121)&lt;=$AK$106,ROWS(AL$106:AL121),"")</f>
        <v/>
      </c>
      <c r="AM121" s="1485" t="str">
        <f ca="1">IF(ROWS(AM$106:AM121)&lt;=$AK$106,RAND(),"")</f>
        <v/>
      </c>
      <c r="AN121" s="1487" t="str">
        <f>IF(AL121=ROWS(AN$106:AN121),RANK(AM121,$AM$106:$AM$123),"")</f>
        <v/>
      </c>
      <c r="AO121" s="1338"/>
      <c r="AP121" s="1363"/>
      <c r="AQ121" s="273"/>
      <c r="AR121" s="273"/>
      <c r="AS121" s="273"/>
      <c r="AU121" s="1335"/>
      <c r="AW121" s="273"/>
      <c r="AX121" s="273"/>
      <c r="AZ121" s="1335"/>
      <c r="BB121" s="273"/>
      <c r="BC121" s="273"/>
      <c r="BE121" s="1335"/>
      <c r="BG121" s="273"/>
      <c r="BH121" s="273"/>
      <c r="BJ121" s="1335"/>
      <c r="BL121" s="273"/>
      <c r="BM121" s="273"/>
      <c r="BO121" s="1335"/>
      <c r="BQ121" s="273"/>
      <c r="BR121" s="273"/>
      <c r="BS121" s="271" t="s">
        <v>1287</v>
      </c>
      <c r="BU121" s="2797"/>
      <c r="BV121" s="2797"/>
      <c r="BW121" s="2797"/>
      <c r="BY121" s="273"/>
      <c r="BZ121" s="543"/>
      <c r="CA121" s="1488"/>
      <c r="CB121" s="543"/>
    </row>
    <row r="122" spans="2:80" ht="12" customHeight="1">
      <c r="B122" s="1336">
        <v>17</v>
      </c>
      <c r="C122" s="1454"/>
      <c r="D122" s="382"/>
      <c r="E122" s="1402"/>
      <c r="F122" s="382" t="str">
        <f>IF(ROWS(F$106:F122)&lt;=$E$106,ROWS(F$106:F122),"")</f>
        <v/>
      </c>
      <c r="G122" s="1485" t="str">
        <f ca="1">IF(ROWS(G$106:G122)&lt;=$E$106,RAND(),"")</f>
        <v/>
      </c>
      <c r="H122" s="382" t="str">
        <f>IF(F122=ROWS(H$106:H122),RANK(G122,$G$106:$G$121),"")</f>
        <v/>
      </c>
      <c r="I122" s="382"/>
      <c r="J122" s="1363"/>
      <c r="K122" s="1394"/>
      <c r="L122" s="368"/>
      <c r="M122" s="1398"/>
      <c r="N122" s="382" t="str">
        <f>IF(ROWS(N$106:N122)&lt;=$M$106,ROWS(N$106:N122),"")</f>
        <v/>
      </c>
      <c r="O122" s="1485" t="str">
        <f ca="1">IF(ROWS(O$106:O122)&lt;=$M$106,RAND(),"")</f>
        <v/>
      </c>
      <c r="P122" s="1487" t="str">
        <f>IF(N122=ROWS(P$106:P122),RANK(O122,$O$106:$O$123),"")</f>
        <v/>
      </c>
      <c r="Q122" s="368"/>
      <c r="R122" s="1363"/>
      <c r="S122" s="1394">
        <v>17</v>
      </c>
      <c r="T122" s="368"/>
      <c r="U122" s="1398"/>
      <c r="V122" s="382" t="str">
        <f>IF(ROWS(V$106:V122)&lt;=$U$106,ROWS(V$106:V122),"")</f>
        <v/>
      </c>
      <c r="W122" s="1485" t="str">
        <f ca="1">IF(ROWS(W$106:W122)&lt;=$U$106,RAND(),"")</f>
        <v/>
      </c>
      <c r="X122" s="1487" t="str">
        <f>IF(V122=ROWS(X$106:X122),RANK(W122,$W$106:$W$123),"")</f>
        <v/>
      </c>
      <c r="Y122" s="1338"/>
      <c r="Z122" s="1363"/>
      <c r="AA122" s="1394"/>
      <c r="AB122" s="368"/>
      <c r="AC122" s="1398"/>
      <c r="AD122" s="382" t="str">
        <f>IF(ROWS(AD$106:AD122)&lt;=$AC$106,ROWS(AD$106:AD122),"")</f>
        <v/>
      </c>
      <c r="AE122" s="1485" t="str">
        <f ca="1">IF(ROWS(AE$106:AE122)&lt;=$AC$106,RAND(),"")</f>
        <v/>
      </c>
      <c r="AF122" s="1487" t="str">
        <f>IF(AD122=ROWS(AF$106:AF122),RANK(AE122,$AE$106:$AE$123),"")</f>
        <v/>
      </c>
      <c r="AG122" s="1338"/>
      <c r="AH122" s="1363"/>
      <c r="AI122" s="1394"/>
      <c r="AJ122" s="368"/>
      <c r="AK122" s="1398"/>
      <c r="AL122" s="382" t="str">
        <f>IF(ROWS(AL$106:AL122)&lt;=$AK$106,ROWS(AL$106:AL122),"")</f>
        <v/>
      </c>
      <c r="AM122" s="1485" t="str">
        <f ca="1">IF(ROWS(AM$106:AM122)&lt;=$AK$106,RAND(),"")</f>
        <v/>
      </c>
      <c r="AN122" s="1487" t="str">
        <f>IF(AL122=ROWS(AN$106:AN122),RANK(AM122,$AM$106:$AM$123),"")</f>
        <v/>
      </c>
      <c r="AO122" s="1338"/>
      <c r="AP122" s="1363"/>
      <c r="AQ122" s="273"/>
      <c r="AR122" s="273"/>
      <c r="AS122" s="273"/>
      <c r="AU122" s="1335"/>
      <c r="AW122" s="273"/>
      <c r="AX122" s="273"/>
      <c r="AZ122" s="1335"/>
      <c r="BB122" s="273"/>
      <c r="BC122" s="273"/>
      <c r="BE122" s="1335"/>
      <c r="BG122" s="273"/>
      <c r="BH122" s="273"/>
      <c r="BJ122" s="1335"/>
      <c r="BL122" s="273"/>
      <c r="BM122" s="273"/>
      <c r="BO122" s="1335"/>
      <c r="BQ122" s="273"/>
      <c r="BR122" s="273"/>
      <c r="BS122" s="271" t="s">
        <v>1287</v>
      </c>
      <c r="BU122" s="543"/>
      <c r="BV122" s="543"/>
      <c r="BW122" s="543"/>
      <c r="BY122" s="273"/>
      <c r="BZ122" s="543"/>
      <c r="CA122" s="1488"/>
      <c r="CB122" s="543"/>
    </row>
    <row r="123" spans="2:80" ht="12" customHeight="1" thickBot="1">
      <c r="B123" s="1474">
        <v>18</v>
      </c>
      <c r="C123" s="1475"/>
      <c r="D123" s="1348"/>
      <c r="E123" s="1422"/>
      <c r="F123" s="1348" t="str">
        <f>IF(ROWS(F$106:F123)&lt;=$E$106,ROWS(F$106:F123),"")</f>
        <v/>
      </c>
      <c r="G123" s="1489" t="str">
        <f ca="1">IF(ROWS(G$106:G123)&lt;=$E$106,RAND(),"")</f>
        <v/>
      </c>
      <c r="H123" s="1348" t="str">
        <f>IF(F123=ROWS(H$106:H123),RANK(G123,$G$106:$G$121),"")</f>
        <v/>
      </c>
      <c r="I123" s="1348"/>
      <c r="J123" s="1429"/>
      <c r="K123" s="1426"/>
      <c r="L123" s="1424"/>
      <c r="M123" s="1422"/>
      <c r="N123" s="1348" t="str">
        <f>IF(ROWS(N$106:N123)&lt;=$M$106,ROWS(N$106:N123),"")</f>
        <v/>
      </c>
      <c r="O123" s="1489" t="str">
        <f ca="1">IF(ROWS(O$106:O123)&lt;=$M$106,RAND(),"")</f>
        <v/>
      </c>
      <c r="P123" s="1490" t="str">
        <f>IF(N123=ROWS(P$106:P123),RANK(O123,$O$106:$O$123),"")</f>
        <v/>
      </c>
      <c r="Q123" s="1424"/>
      <c r="R123" s="1429"/>
      <c r="S123" s="1426">
        <v>18</v>
      </c>
      <c r="T123" s="1424"/>
      <c r="U123" s="1422"/>
      <c r="V123" s="1348" t="str">
        <f>IF(ROWS(V$106:V123)&lt;=$U$106,ROWS(V$106:V123),"")</f>
        <v/>
      </c>
      <c r="W123" s="1489" t="str">
        <f ca="1">IF(ROWS(W$106:W123)&lt;=$U$106,RAND(),"")</f>
        <v/>
      </c>
      <c r="X123" s="1490" t="str">
        <f>IF(V123=ROWS(X$106:X123),RANK(W123,$W$106:$W$123),"")</f>
        <v/>
      </c>
      <c r="Y123" s="1352"/>
      <c r="Z123" s="1429"/>
      <c r="AA123" s="1426"/>
      <c r="AB123" s="1424"/>
      <c r="AC123" s="1422"/>
      <c r="AD123" s="1348" t="str">
        <f>IF(ROWS(AD$106:AD123)&lt;=$AC$106,ROWS(AD$106:AD123),"")</f>
        <v/>
      </c>
      <c r="AE123" s="1489" t="str">
        <f ca="1">IF(ROWS(AE$106:AE123)&lt;=$AC$106,RAND(),"")</f>
        <v/>
      </c>
      <c r="AF123" s="1490" t="str">
        <f>IF(AD123=ROWS(AF$106:AF123),RANK(AE123,$AE$106:$AE$123),"")</f>
        <v/>
      </c>
      <c r="AG123" s="1352"/>
      <c r="AH123" s="1429"/>
      <c r="AI123" s="1426"/>
      <c r="AJ123" s="1424"/>
      <c r="AK123" s="1422"/>
      <c r="AL123" s="1348" t="str">
        <f>IF(ROWS(AL$106:AL123)&lt;=$AK$106,ROWS(AL$106:AL123),"")</f>
        <v/>
      </c>
      <c r="AM123" s="1489" t="str">
        <f ca="1">IF(ROWS(AM$106:AM123)&lt;=$AK$106,RAND(),"")</f>
        <v/>
      </c>
      <c r="AN123" s="1490" t="str">
        <f>IF(AL123=ROWS(AN$106:AN123),RANK(AM123,$AM$106:$AM$123),"")</f>
        <v/>
      </c>
      <c r="AO123" s="1352"/>
      <c r="AP123" s="1429"/>
      <c r="AQ123" s="273"/>
      <c r="AR123" s="273"/>
      <c r="AS123" s="273"/>
      <c r="AU123" s="1335"/>
      <c r="AW123" s="273"/>
      <c r="AX123" s="273"/>
      <c r="AZ123" s="1335"/>
      <c r="BB123" s="273"/>
      <c r="BC123" s="273"/>
      <c r="BE123" s="1335"/>
      <c r="BG123" s="273"/>
      <c r="BH123" s="273"/>
      <c r="BJ123" s="1335"/>
      <c r="BL123" s="273"/>
      <c r="BM123" s="273"/>
      <c r="BO123" s="1335"/>
      <c r="BQ123" s="273"/>
      <c r="BR123" s="273"/>
      <c r="BS123" s="271" t="s">
        <v>1287</v>
      </c>
      <c r="BT123" s="3060"/>
      <c r="BU123" s="273"/>
      <c r="BV123" s="273"/>
      <c r="BW123" s="543"/>
      <c r="BY123" s="273"/>
      <c r="BZ123" s="543"/>
      <c r="CA123" s="1488"/>
      <c r="CB123" s="543"/>
    </row>
    <row r="124" spans="2:80" ht="12" customHeight="1" thickTop="1">
      <c r="B124" s="3308" t="s">
        <v>7303</v>
      </c>
      <c r="C124" s="3309"/>
      <c r="G124" s="1335"/>
      <c r="I124" s="273"/>
      <c r="J124" s="273"/>
      <c r="L124" s="1335"/>
      <c r="N124" s="273"/>
      <c r="O124" s="273"/>
      <c r="P124" s="273"/>
      <c r="Q124" s="273"/>
      <c r="R124" s="273"/>
      <c r="S124" s="273"/>
      <c r="T124" s="273"/>
      <c r="U124" s="273"/>
      <c r="W124" s="1335"/>
      <c r="Y124" s="273"/>
      <c r="Z124" s="273"/>
      <c r="AA124" s="273"/>
      <c r="AB124" s="273"/>
      <c r="AC124" s="273"/>
      <c r="AE124" s="1335"/>
      <c r="AG124" s="273"/>
      <c r="AH124" s="273"/>
      <c r="AI124" s="273"/>
      <c r="AJ124" s="273"/>
      <c r="AK124" s="273"/>
      <c r="AM124" s="1335"/>
      <c r="AO124" s="273"/>
      <c r="AP124" s="273"/>
      <c r="AQ124" s="273"/>
      <c r="AR124" s="273"/>
      <c r="AS124" s="273"/>
      <c r="AU124" s="1335"/>
      <c r="AW124" s="273"/>
      <c r="AX124" s="273"/>
      <c r="AZ124" s="1335"/>
      <c r="BB124" s="273"/>
      <c r="BC124" s="273"/>
      <c r="BE124" s="1335"/>
      <c r="BG124" s="273"/>
      <c r="BH124" s="273"/>
      <c r="BJ124" s="1335"/>
      <c r="BL124" s="273"/>
      <c r="BM124" s="273"/>
      <c r="BO124" s="1335"/>
      <c r="BQ124" s="273"/>
      <c r="BR124" s="273"/>
      <c r="BS124" s="271" t="s">
        <v>1287</v>
      </c>
      <c r="BT124" s="2797"/>
      <c r="BU124" s="273"/>
      <c r="BV124" s="273"/>
      <c r="BW124" s="543"/>
      <c r="BY124" s="273"/>
      <c r="BZ124" s="543"/>
      <c r="CA124" s="1488"/>
      <c r="CB124" s="543"/>
    </row>
    <row r="125" spans="2:80" ht="12" customHeight="1" thickBot="1">
      <c r="G125" s="1335"/>
      <c r="I125" s="273"/>
      <c r="J125" s="273"/>
      <c r="L125" s="1335"/>
      <c r="N125" s="273"/>
      <c r="O125" s="273"/>
      <c r="P125" s="273"/>
      <c r="Q125" s="273"/>
      <c r="R125" s="273"/>
      <c r="S125" s="273"/>
      <c r="T125" s="273"/>
      <c r="U125" s="273"/>
      <c r="W125" s="1335"/>
      <c r="Y125" s="273"/>
      <c r="Z125" s="273"/>
      <c r="AA125" s="273"/>
      <c r="AB125" s="273"/>
      <c r="AC125" s="273"/>
      <c r="AE125" s="1335"/>
      <c r="AG125" s="273"/>
      <c r="AH125" s="273"/>
      <c r="AI125" s="273"/>
      <c r="AJ125" s="273"/>
      <c r="AK125" s="273"/>
      <c r="AM125" s="1335"/>
      <c r="AO125" s="273"/>
      <c r="AP125" s="273"/>
      <c r="AQ125" s="273"/>
      <c r="AR125" s="273"/>
      <c r="AS125" s="273"/>
      <c r="AU125" s="1335"/>
      <c r="AW125" s="273"/>
      <c r="AX125" s="273"/>
      <c r="AZ125" s="1335"/>
      <c r="BB125" s="273"/>
      <c r="BC125" s="273"/>
      <c r="BE125" s="1335"/>
      <c r="BG125" s="273"/>
      <c r="BH125" s="273"/>
      <c r="BJ125" s="1335"/>
      <c r="BL125" s="273"/>
      <c r="BM125" s="273"/>
      <c r="BO125" s="1335"/>
      <c r="BQ125" s="273"/>
      <c r="BR125" s="273"/>
      <c r="BS125" s="271" t="s">
        <v>1287</v>
      </c>
      <c r="BT125" s="2797"/>
      <c r="BU125" s="273"/>
      <c r="BV125" s="273"/>
      <c r="BW125" s="543"/>
      <c r="BY125" s="273"/>
      <c r="BZ125" s="1491"/>
      <c r="CA125" s="1488"/>
      <c r="CB125" s="543"/>
    </row>
    <row r="126" spans="2:80" ht="12" customHeight="1" thickTop="1">
      <c r="B126" s="3330" t="s">
        <v>7543</v>
      </c>
      <c r="C126" s="3331"/>
      <c r="D126" s="3331"/>
      <c r="E126" s="3331"/>
      <c r="F126" s="3331"/>
      <c r="G126" s="3331"/>
      <c r="H126" s="3331"/>
      <c r="I126" s="3331"/>
      <c r="J126" s="3332"/>
      <c r="K126" s="3330" t="s">
        <v>7544</v>
      </c>
      <c r="L126" s="3331"/>
      <c r="M126" s="3331"/>
      <c r="N126" s="3331"/>
      <c r="O126" s="3331"/>
      <c r="P126" s="3331"/>
      <c r="Q126" s="3331"/>
      <c r="R126" s="3332"/>
      <c r="S126" s="3330" t="s">
        <v>7545</v>
      </c>
      <c r="T126" s="3331"/>
      <c r="U126" s="3331"/>
      <c r="V126" s="3331"/>
      <c r="W126" s="3331"/>
      <c r="X126" s="3331"/>
      <c r="Y126" s="3331"/>
      <c r="Z126" s="3332"/>
      <c r="AA126" s="3330" t="s">
        <v>7546</v>
      </c>
      <c r="AB126" s="3331"/>
      <c r="AC126" s="3331"/>
      <c r="AD126" s="3331"/>
      <c r="AE126" s="3331"/>
      <c r="AF126" s="3331"/>
      <c r="AG126" s="3331"/>
      <c r="AH126" s="3332"/>
      <c r="AI126" s="3330" t="s">
        <v>7547</v>
      </c>
      <c r="AJ126" s="3331"/>
      <c r="AK126" s="3331"/>
      <c r="AL126" s="3331"/>
      <c r="AM126" s="3331"/>
      <c r="AN126" s="3331"/>
      <c r="AO126" s="3331"/>
      <c r="AP126" s="3332"/>
      <c r="AQ126" s="273"/>
      <c r="AR126" s="3341" t="str">
        <f>IF([1]MATH!C78="Paladin",[1]MATH!C79,"NOT A PALADIN")</f>
        <v>NOT A PALADIN</v>
      </c>
      <c r="AS126" s="2862"/>
      <c r="AT126" s="2863"/>
      <c r="AU126" s="1335"/>
      <c r="AW126" s="273"/>
      <c r="AX126" s="273"/>
      <c r="AZ126" s="1335"/>
      <c r="BB126" s="273"/>
      <c r="BG126" s="273"/>
      <c r="BH126" s="273"/>
      <c r="BJ126" s="1335"/>
      <c r="BL126" s="273"/>
      <c r="BM126" s="273"/>
      <c r="BO126" s="1335"/>
      <c r="BQ126" s="273"/>
      <c r="BR126" s="273"/>
      <c r="BS126" s="271" t="s">
        <v>1287</v>
      </c>
      <c r="BT126" s="2797"/>
      <c r="BU126" s="273"/>
      <c r="BV126" s="273"/>
      <c r="BW126" s="543"/>
      <c r="BY126" s="273"/>
      <c r="BZ126" s="543"/>
      <c r="CA126" s="543"/>
      <c r="CB126" s="543"/>
    </row>
    <row r="127" spans="2:80" ht="12" customHeight="1" thickBot="1">
      <c r="B127" s="3333"/>
      <c r="C127" s="2932"/>
      <c r="D127" s="2932"/>
      <c r="E127" s="2932"/>
      <c r="F127" s="2932"/>
      <c r="G127" s="2932"/>
      <c r="H127" s="2932"/>
      <c r="I127" s="2932"/>
      <c r="J127" s="3334"/>
      <c r="K127" s="3333"/>
      <c r="L127" s="2932"/>
      <c r="M127" s="2932"/>
      <c r="N127" s="2932"/>
      <c r="O127" s="2932"/>
      <c r="P127" s="2932"/>
      <c r="Q127" s="2932"/>
      <c r="R127" s="3334"/>
      <c r="S127" s="3333"/>
      <c r="T127" s="2932"/>
      <c r="U127" s="2932"/>
      <c r="V127" s="2932"/>
      <c r="W127" s="2932"/>
      <c r="X127" s="2932"/>
      <c r="Y127" s="2932"/>
      <c r="Z127" s="3334"/>
      <c r="AA127" s="3333"/>
      <c r="AB127" s="2932"/>
      <c r="AC127" s="2932"/>
      <c r="AD127" s="2932"/>
      <c r="AE127" s="2932"/>
      <c r="AF127" s="2932"/>
      <c r="AG127" s="2932"/>
      <c r="AH127" s="3334"/>
      <c r="AI127" s="3333"/>
      <c r="AJ127" s="2932"/>
      <c r="AK127" s="2932"/>
      <c r="AL127" s="2932"/>
      <c r="AM127" s="2932"/>
      <c r="AN127" s="2932"/>
      <c r="AO127" s="2932"/>
      <c r="AP127" s="3334"/>
      <c r="AQ127" s="273"/>
      <c r="AR127" s="2931"/>
      <c r="AS127" s="2932"/>
      <c r="AT127" s="2933"/>
      <c r="AU127" s="1335"/>
      <c r="AW127" s="273"/>
      <c r="AX127" s="273"/>
      <c r="AZ127" s="1335"/>
      <c r="BB127" s="273"/>
      <c r="BG127" s="273"/>
      <c r="BH127" s="273"/>
      <c r="BJ127" s="1335"/>
      <c r="BL127" s="273"/>
      <c r="BM127" s="273"/>
      <c r="BO127" s="1335"/>
      <c r="BQ127" s="273"/>
      <c r="BR127" s="273"/>
      <c r="BS127" s="271" t="s">
        <v>1287</v>
      </c>
      <c r="BT127" s="2797"/>
      <c r="BU127" s="273"/>
      <c r="BV127" s="273"/>
      <c r="BW127" s="543"/>
      <c r="BY127" s="273"/>
      <c r="BZ127" s="543"/>
      <c r="CA127" s="543"/>
      <c r="CB127" s="543"/>
    </row>
    <row r="128" spans="2:80" ht="12" customHeight="1" thickBot="1">
      <c r="B128" s="1357" t="s">
        <v>7124</v>
      </c>
      <c r="C128" s="3310" t="str">
        <f>IF([1]MATH!D8="Paladin",[1]MATH!$D$9,"")</f>
        <v/>
      </c>
      <c r="D128" s="3360" t="s">
        <v>7172</v>
      </c>
      <c r="E128" s="3360" t="s">
        <v>7315</v>
      </c>
      <c r="F128" s="3360" t="s">
        <v>7169</v>
      </c>
      <c r="G128" s="3360" t="s">
        <v>6598</v>
      </c>
      <c r="H128" s="3360" t="s">
        <v>6592</v>
      </c>
      <c r="I128" s="3360" t="s">
        <v>7317</v>
      </c>
      <c r="J128" s="3354" t="s">
        <v>7318</v>
      </c>
      <c r="K128" s="3310" t="str">
        <f>$C$128</f>
        <v/>
      </c>
      <c r="L128" s="3335" t="s">
        <v>7174</v>
      </c>
      <c r="M128" s="3335" t="s">
        <v>7315</v>
      </c>
      <c r="N128" s="3335" t="s">
        <v>7169</v>
      </c>
      <c r="O128" s="3335" t="s">
        <v>6598</v>
      </c>
      <c r="P128" s="3335" t="s">
        <v>6592</v>
      </c>
      <c r="Q128" s="3335" t="s">
        <v>7548</v>
      </c>
      <c r="R128" s="3354" t="s">
        <v>7318</v>
      </c>
      <c r="S128" s="3310" t="str">
        <f>$C$128</f>
        <v/>
      </c>
      <c r="T128" s="3335" t="s">
        <v>7175</v>
      </c>
      <c r="U128" s="3335" t="s">
        <v>7315</v>
      </c>
      <c r="V128" s="3335" t="s">
        <v>7169</v>
      </c>
      <c r="W128" s="3335" t="s">
        <v>6598</v>
      </c>
      <c r="X128" s="3335" t="s">
        <v>6592</v>
      </c>
      <c r="Y128" s="3335" t="s">
        <v>7549</v>
      </c>
      <c r="Z128" s="3354" t="s">
        <v>7318</v>
      </c>
      <c r="AA128" s="3310" t="str">
        <f>$C$128</f>
        <v/>
      </c>
      <c r="AB128" s="3335" t="s">
        <v>7176</v>
      </c>
      <c r="AC128" s="3335" t="s">
        <v>7315</v>
      </c>
      <c r="AD128" s="3335" t="s">
        <v>7169</v>
      </c>
      <c r="AE128" s="3335" t="s">
        <v>6598</v>
      </c>
      <c r="AF128" s="3335" t="s">
        <v>6592</v>
      </c>
      <c r="AG128" s="3335" t="s">
        <v>7550</v>
      </c>
      <c r="AH128" s="3354" t="s">
        <v>7318</v>
      </c>
      <c r="AI128" s="3310" t="str">
        <f>$C$128</f>
        <v/>
      </c>
      <c r="AJ128" s="3335" t="s">
        <v>7177</v>
      </c>
      <c r="AK128" s="3362" t="s">
        <v>7315</v>
      </c>
      <c r="AL128" s="3358" t="s">
        <v>7169</v>
      </c>
      <c r="AM128" s="3358" t="s">
        <v>6598</v>
      </c>
      <c r="AN128" s="3358" t="s">
        <v>6592</v>
      </c>
      <c r="AO128" s="3358" t="s">
        <v>7551</v>
      </c>
      <c r="AP128" s="3354" t="s">
        <v>7318</v>
      </c>
      <c r="AQ128" s="273"/>
      <c r="AR128" s="1492" t="s">
        <v>7552</v>
      </c>
      <c r="AS128" s="624" t="s">
        <v>7553</v>
      </c>
      <c r="AT128" s="625" t="s">
        <v>6042</v>
      </c>
      <c r="AU128" s="1335"/>
      <c r="AW128" s="273"/>
      <c r="AX128" s="273"/>
      <c r="AZ128" s="1335"/>
      <c r="BB128" s="273"/>
      <c r="BG128" s="273"/>
      <c r="BH128" s="273"/>
      <c r="BJ128" s="1335"/>
      <c r="BL128" s="273"/>
      <c r="BM128" s="273"/>
      <c r="BO128" s="1335"/>
      <c r="BQ128" s="273"/>
      <c r="BR128" s="273"/>
      <c r="BS128" s="271" t="s">
        <v>1287</v>
      </c>
      <c r="BT128" s="2797"/>
      <c r="BU128" s="273"/>
      <c r="BV128" s="273"/>
      <c r="BW128" s="543"/>
      <c r="BY128" s="273"/>
      <c r="BZ128" s="543"/>
      <c r="CA128" s="543"/>
      <c r="CB128" s="543"/>
    </row>
    <row r="129" spans="2:80" ht="12" customHeight="1" thickBot="1">
      <c r="B129" s="1322">
        <f>COUNT(B130:B145)</f>
        <v>16</v>
      </c>
      <c r="C129" s="3311"/>
      <c r="D129" s="3361"/>
      <c r="E129" s="3361"/>
      <c r="F129" s="3361"/>
      <c r="G129" s="3361"/>
      <c r="H129" s="3361"/>
      <c r="I129" s="3361"/>
      <c r="J129" s="3355"/>
      <c r="K129" s="3311"/>
      <c r="L129" s="3361"/>
      <c r="M129" s="3361"/>
      <c r="N129" s="3361"/>
      <c r="O129" s="3361"/>
      <c r="P129" s="3361"/>
      <c r="Q129" s="3361"/>
      <c r="R129" s="3355"/>
      <c r="S129" s="3311"/>
      <c r="T129" s="3361"/>
      <c r="U129" s="3361"/>
      <c r="V129" s="3361"/>
      <c r="W129" s="3361"/>
      <c r="X129" s="3361"/>
      <c r="Y129" s="3361"/>
      <c r="Z129" s="3355"/>
      <c r="AA129" s="3311"/>
      <c r="AB129" s="3361"/>
      <c r="AC129" s="3361"/>
      <c r="AD129" s="3361"/>
      <c r="AE129" s="3361"/>
      <c r="AF129" s="3361"/>
      <c r="AG129" s="3361"/>
      <c r="AH129" s="3355"/>
      <c r="AI129" s="3311"/>
      <c r="AJ129" s="3361"/>
      <c r="AK129" s="3363"/>
      <c r="AL129" s="3319"/>
      <c r="AM129" s="3319"/>
      <c r="AN129" s="3319"/>
      <c r="AO129" s="3319"/>
      <c r="AP129" s="3355"/>
      <c r="AQ129" s="273"/>
      <c r="AR129" s="1493" t="s">
        <v>6180</v>
      </c>
      <c r="AS129" s="595" t="s">
        <v>7537</v>
      </c>
      <c r="AT129" s="900">
        <v>3</v>
      </c>
      <c r="AU129" s="1335"/>
      <c r="AW129" s="273"/>
      <c r="AX129" s="273"/>
      <c r="AZ129" s="1335"/>
      <c r="BB129" s="273"/>
      <c r="BG129" s="273"/>
      <c r="BH129" s="273"/>
      <c r="BJ129" s="1335"/>
      <c r="BL129" s="273"/>
      <c r="BM129" s="273"/>
      <c r="BO129" s="1335"/>
      <c r="BQ129" s="273"/>
      <c r="BR129" s="273"/>
      <c r="BS129" s="271" t="s">
        <v>1287</v>
      </c>
      <c r="BT129" s="2797"/>
      <c r="BU129" s="273"/>
      <c r="BV129" s="273"/>
      <c r="BW129" s="543"/>
      <c r="BY129" s="273"/>
      <c r="BZ129" s="543"/>
      <c r="CA129" s="1488"/>
      <c r="CB129" s="543"/>
    </row>
    <row r="130" spans="2:80" ht="12" customHeight="1" thickBot="1">
      <c r="B130" s="1326">
        <v>1</v>
      </c>
      <c r="C130" s="1328" t="str">
        <f>IF($C$128="Oath of Devotion",AS129,IF($C$128="Oath of the Ancients",AS139,IF($C$128="Oath of Vengeance",AS149,"")))</f>
        <v/>
      </c>
      <c r="D130" s="368" t="s">
        <v>7339</v>
      </c>
      <c r="E130" s="1494">
        <f>SUMPRODUCT(--ISNA(MATCH(D130:D144,C130:C144,0)))</f>
        <v>15</v>
      </c>
      <c r="F130" s="901">
        <f>IF($E$130&gt;=ROWS(F$130:F130),ROWS(F$130:F130),"")</f>
        <v>1</v>
      </c>
      <c r="G130" s="1495">
        <f ca="1">IF(F130=ROWS(G$130:G130),RAND(),"")</f>
        <v>0.84311685928976998</v>
      </c>
      <c r="H130" s="896">
        <f ca="1">IF(F130=ROWS(H$130:H130),RANK(G130,$G$130:$G$145),"")</f>
        <v>2</v>
      </c>
      <c r="I130" s="368" t="str">
        <f>IF(ROWS(I$130:I130)&gt;E$130,"",INDEX($D$130:$D$145,_xlfn.AGGREGATE(15,6,(ROW($D$130:$D$145)-ROW($D$130)+1)/ISNA(MATCH($D$130:$D$145,$C$130:$C$145,0)),ROWS(I$130:I130))))</f>
        <v>Bless</v>
      </c>
      <c r="J130" s="1371" t="str">
        <f>IF($E$130&lt;$F$145,C130,VLOOKUP(F130,$H$130:$I$145,2,FALSE))</f>
        <v/>
      </c>
      <c r="K130" s="1496" t="str">
        <f>IF($C$128="Oath of Devotion",AS131,IF($C$128="Oath of the Ancients",AS141,IF($C$128="Oath of Vengeance",AS151,"")))</f>
        <v/>
      </c>
      <c r="L130" s="368" t="s">
        <v>7330</v>
      </c>
      <c r="M130" s="1494">
        <f>SUMPRODUCT(--ISNA(MATCH(L130:L137,K130:K137,0)))</f>
        <v>8</v>
      </c>
      <c r="N130" s="901">
        <f>IF($M$130&gt;=ROWS(N$130:N130),ROWS(N$130:N130),"")</f>
        <v>1</v>
      </c>
      <c r="O130" s="1495">
        <f ca="1">IF(N130=ROWS(O$130:O130),RAND(),"")</f>
        <v>0.55865558628621637</v>
      </c>
      <c r="P130" s="896">
        <f ca="1">IF(N130=ROWS(P$130:P130),RANK(O130,$O$130:$O$145),"")</f>
        <v>5</v>
      </c>
      <c r="Q130" s="368" t="str">
        <f>IF(ROWS(Q$130:Q130)&gt;M$130,"",INDEX($L$130:$L$145,_xlfn.AGGREGATE(15,6,(ROW($L$130:$L$145)-ROW($L$130)+1)/ISNA(MATCH($L$130:$L$145,$K$130:$K$145,0)),ROWS(Q$130:Q130))))</f>
        <v>Aid</v>
      </c>
      <c r="R130" s="1371" t="str">
        <f>IF($M$130&lt;$N$145,K130,VLOOKUP(N130,$P$130:$Q$145,2,FALSE))</f>
        <v/>
      </c>
      <c r="S130" s="1496" t="str">
        <f>IF($C$128="Oath of Devotion",AS133,IF($C$128="Oath of the Ancients",AS143,IF($C$128="Oath of Vengeance",AS153,"")))</f>
        <v/>
      </c>
      <c r="T130" s="368" t="s">
        <v>7554</v>
      </c>
      <c r="U130" s="1494">
        <f>SUMPRODUCT(--ISNA(MATCH(T130:T139,S130:S139,0)))</f>
        <v>10</v>
      </c>
      <c r="V130" s="901">
        <f>IF($U$130&gt;=ROWS(V$130:V130),ROWS(V$130:V130),"")</f>
        <v>1</v>
      </c>
      <c r="W130" s="1495">
        <f ca="1">IF(V130=ROWS(W$130:W130),RAND(),"")</f>
        <v>0.47494435304447646</v>
      </c>
      <c r="X130" s="896">
        <f ca="1">IF(V130=ROWS(X$130:X130),RANK(W130,$W$130:$W$145),"")</f>
        <v>5</v>
      </c>
      <c r="Y130" s="368" t="str">
        <f>IF(ROWS(Y$130:Y130)&gt;U$130,"",INDEX($T$130:$T$145,_xlfn.AGGREGATE(15,6,(ROW($T$130:$T$145)-ROW($T$130)+1)/ISNA(MATCH($T$130:$T$145,$S$130:$S$145,0)),ROWS(Y$130:Y130))))</f>
        <v>Aura of Vitality</v>
      </c>
      <c r="Z130" s="1363" t="str">
        <f>IF($U$130&lt;$V$146,S130,VLOOKUP(V130,$X$130:$Y$146,2,FALSE))</f>
        <v/>
      </c>
      <c r="AA130" s="1496" t="str">
        <f>IF($C$128="Oath of Devotion",AS135,IF($C$128="Oath of the Ancients",AS145,IF($C$128="Oath of Vengeance",AS155,"")))</f>
        <v/>
      </c>
      <c r="AB130" s="368" t="s">
        <v>7555</v>
      </c>
      <c r="AC130" s="1494">
        <f>SUMPRODUCT(--ISNA(MATCH(AB130:AB135,AA130:AA135,0)))</f>
        <v>6</v>
      </c>
      <c r="AD130" s="901">
        <f>IF($AC$130&gt;=ROWS(AD$130:AD130),ROWS(AD$130:AD130),"")</f>
        <v>1</v>
      </c>
      <c r="AE130" s="1495">
        <f ca="1">IF(AD130=ROWS(AE$130:AE130),RAND(),"")</f>
        <v>0.72995163546895792</v>
      </c>
      <c r="AF130" s="896">
        <f ca="1">IF(AD130=ROWS(AF$130:AF130),RANK(AE130,$AE$130:$AE$145),"")</f>
        <v>2</v>
      </c>
      <c r="AG130" s="368" t="str">
        <f>IF(ROWS(AG$130:AG130)&gt;AC$130,"",INDEX($AB$130:$AB$146,_xlfn.AGGREGATE(15,6,(ROW($AB$130:$AB$146)-ROW($AB$130)+1)/ISNA(MATCH($AB$130:$AB$146,$AA$130:$AA$146,0)),ROWS(AG$130:AG130))))</f>
        <v>Aura of Life</v>
      </c>
      <c r="AH130" s="1379" t="str">
        <f>IF($AC$130&lt;$AD$146,AA130,VLOOKUP(AD130,$AF$130:$AG$146,2,FALSE))</f>
        <v/>
      </c>
      <c r="AI130" s="1496" t="str">
        <f>IF($C$128="Oath of Devotion",AS137,IF($C$128="Oath of the Ancients",AS147,IF($C$128="Oath of Vengeance",AS157,"")))</f>
        <v/>
      </c>
      <c r="AJ130" s="368" t="s">
        <v>7556</v>
      </c>
      <c r="AK130" s="1494">
        <f>SUMPRODUCT(--ISNA(MATCH(AJ130:AJ135,AI130:AI135,0)))</f>
        <v>6</v>
      </c>
      <c r="AL130" s="901">
        <f>IF(AK130&gt;=ROWS(AL130:AL130),ROWS(AL130:AL130),"")</f>
        <v>1</v>
      </c>
      <c r="AM130" s="1495">
        <f ca="1">IF(AL130=ROWS(AM130:AM130),RAND(),"")</f>
        <v>0.54089352822670844</v>
      </c>
      <c r="AN130" s="896">
        <f ca="1">IF(AL130=ROWS(AN130:AN130),RANK(AM130,AM130:AM145),"")</f>
        <v>5</v>
      </c>
      <c r="AO130" s="368" t="str">
        <f>IF(ROWS(AO$130:AO130)&gt;AK$130,"",INDEX($AJ$130:$AJ$146,_xlfn.AGGREGATE(15,6,(ROW($AJ$130:$AJ$146)-ROW($AJ$130)+1)/ISNA(MATCH($AJ$130:$AJ$146,$AI$130:$AI$146,0)),ROWS(AO$130:AO130))))</f>
        <v>Banishing Smite</v>
      </c>
      <c r="AP130" s="1371" t="str">
        <f>IF($AK$130&lt;$AL$146,AI130,VLOOKUP(AL130,$AN$130:$AO$146,2,FALSE))</f>
        <v/>
      </c>
      <c r="AQ130" s="273"/>
      <c r="AR130" s="1497" t="s">
        <v>6180</v>
      </c>
      <c r="AS130" s="701" t="s">
        <v>7419</v>
      </c>
      <c r="AT130" s="904">
        <v>3</v>
      </c>
      <c r="AU130" s="1335"/>
      <c r="AW130" s="273"/>
      <c r="AX130" s="273"/>
      <c r="AZ130" s="1335"/>
      <c r="BB130" s="273"/>
      <c r="BG130" s="273"/>
      <c r="BH130" s="273"/>
      <c r="BJ130" s="1335"/>
      <c r="BL130" s="273"/>
      <c r="BM130" s="273"/>
      <c r="BO130" s="1335"/>
      <c r="BQ130" s="273"/>
      <c r="BR130" s="273"/>
      <c r="BS130" s="271" t="s">
        <v>1287</v>
      </c>
      <c r="BT130" s="2797"/>
      <c r="BU130" s="273"/>
      <c r="BV130" s="273"/>
      <c r="BW130" s="543"/>
      <c r="BY130" s="273"/>
      <c r="BZ130" s="543"/>
      <c r="CA130" s="1488"/>
      <c r="CB130" s="543"/>
    </row>
    <row r="131" spans="2:80" ht="12" customHeight="1">
      <c r="B131" s="1336">
        <v>2</v>
      </c>
      <c r="C131" s="1333" t="str">
        <f>IF($C$128="Oath of Devotion",AS130,IF($C$128="Oath of the Ancients",AS140,IF($C$128="Oath of Vengeance",AS150,"")))</f>
        <v/>
      </c>
      <c r="D131" s="368" t="s">
        <v>7338</v>
      </c>
      <c r="E131" s="466"/>
      <c r="F131" s="901">
        <f>IF($E$130&gt;=ROWS(F$130:F131),ROWS(F$130:F131),"")</f>
        <v>2</v>
      </c>
      <c r="G131" s="1495">
        <f ca="1">IF(F131=ROWS(G$130:G131),RAND(),"")</f>
        <v>1.2637209611790046E-2</v>
      </c>
      <c r="H131" s="901">
        <f ca="1">IF(F131=ROWS(H$130:H131),RANK(G131,$G$130:$G$145),"")</f>
        <v>14</v>
      </c>
      <c r="I131" s="368" t="str">
        <f>IF(ROWS(I$130:I131)&gt;E$130,"",INDEX($D$130:$D$145,_xlfn.AGGREGATE(15,6,(ROW($D$130:$D$145)-ROW($D$130)+1)/ISNA(MATCH($D$130:$D$145,$C$130:$C$145,0)),ROWS(I$130:I131))))</f>
        <v>Command</v>
      </c>
      <c r="J131" s="1363" t="str">
        <f>IF($E$130&lt;$F$145,C131,VLOOKUP(F131,$H$130:$I$145,2,FALSE))</f>
        <v/>
      </c>
      <c r="K131" s="1498" t="str">
        <f>IF($C$128="Oath of Devotion",AS132,IF($C$128="Oath of the Ancients",AS142,IF($C$128="Oath of Vengeance",AS152,"")))</f>
        <v/>
      </c>
      <c r="L131" s="368" t="s">
        <v>7557</v>
      </c>
      <c r="M131" s="466"/>
      <c r="N131" s="901">
        <f>IF($M$130&gt;=ROWS(N$130:N131),ROWS(N$130:N131),"")</f>
        <v>2</v>
      </c>
      <c r="O131" s="1495">
        <f ca="1">IF(N131=ROWS(O$130:O131),RAND(),"")</f>
        <v>0.80935514617379933</v>
      </c>
      <c r="P131" s="901">
        <f ca="1">IF(N131=ROWS(P$130:P131),RANK(O131,$O$130:$O$145),"")</f>
        <v>3</v>
      </c>
      <c r="Q131" s="368" t="str">
        <f>IF(ROWS(Q$130:Q131)&gt;M$130,"",INDEX($L$130:$L$145,_xlfn.AGGREGATE(15,6,(ROW($L$130:$L$145)-ROW($L$130)+1)/ISNA(MATCH($L$130:$L$145,$K$130:$K$145,0)),ROWS(Q$130:Q131))))</f>
        <v>Branding Smite</v>
      </c>
      <c r="R131" s="1363" t="str">
        <f>IF($M$130&lt;$N$145,K131,VLOOKUP(N131,$P$130:$Q$145,2,FALSE))</f>
        <v/>
      </c>
      <c r="S131" s="1338" t="str">
        <f>IF($C$128="Oath of Devotion",AS134,IF($C$128="Oath of the Ancients",AS144,IF($C$128="Oath of Vengeance",AS154,"")))</f>
        <v/>
      </c>
      <c r="T131" s="368" t="s">
        <v>7558</v>
      </c>
      <c r="U131" s="466"/>
      <c r="V131" s="901">
        <f>IF($U$130&gt;=ROWS(V$130:V131),ROWS(V$130:V131),"")</f>
        <v>2</v>
      </c>
      <c r="W131" s="1495">
        <f ca="1">IF(V131=ROWS(W$130:W131),RAND(),"")</f>
        <v>0.37179757471934893</v>
      </c>
      <c r="X131" s="901">
        <f ca="1">IF(V131=ROWS(X$130:X131),RANK(W131,$W$130:$W$145),"")</f>
        <v>7</v>
      </c>
      <c r="Y131" s="368" t="str">
        <f>IF(ROWS(Y$130:Y131)&gt;U$130,"",INDEX($T$130:$T$146,_xlfn.AGGREGATE(15,6,(ROW($T$130:$T$146)-ROW($T$130)+1)/ISNA(MATCH($T$130:$T$146,$S$130:$S$146,0)),ROWS(Y$130:Y131))))</f>
        <v>Blinding Smite</v>
      </c>
      <c r="Z131" s="1363" t="str">
        <f>IF($U$130&lt;$V$145,S131,VLOOKUP(V131,$X$130:$Y$145,2,FALSE))</f>
        <v/>
      </c>
      <c r="AA131" s="1338" t="str">
        <f>IF($C$128="Oath of Devotion",AS136,IF($C$128="Oath of the Ancients",AS146,IF($C$128="Oath of Vengeance",AS156,"")))</f>
        <v/>
      </c>
      <c r="AB131" s="368" t="s">
        <v>7559</v>
      </c>
      <c r="AC131" s="466"/>
      <c r="AD131" s="901">
        <f>IF($AC$130&gt;=ROWS(AD$130:AD131),ROWS(AD$130:AD131),"")</f>
        <v>2</v>
      </c>
      <c r="AE131" s="1495">
        <f ca="1">IF(AD131=ROWS(AE$130:AE131),RAND(),"")</f>
        <v>0.57445060900215938</v>
      </c>
      <c r="AF131" s="901">
        <f ca="1">IF(AD131=ROWS(AF$130:AF131),RANK(AE131,$AE$130:$AE$145),"")</f>
        <v>4</v>
      </c>
      <c r="AG131" s="368" t="str">
        <f>IF(ROWS(AG$130:AG131)&gt;AC$130,"",INDEX($AB$130:$AB$145,_xlfn.AGGREGATE(15,6,(ROW($AB$130:$AB$145)-ROW($AB$130)+1)/ISNA(MATCH($AB$130:$AB$145,$AA$130:$AA$145,0)),ROWS(AG$130:AG131))))</f>
        <v>Aura of Purity</v>
      </c>
      <c r="AH131" s="1363" t="str">
        <f>IF($AC$130&lt;$AD$146,AA131,VLOOKUP(AD131,$AF$130:$AG$146,2,FALSE))</f>
        <v/>
      </c>
      <c r="AI131" s="1338" t="str">
        <f>IF($C$128="Oath of Devotion",AS138,IF($C$128="Oath of the Ancients",AS148,IF($C$128="Oath of Vengeance",AS158,"")))</f>
        <v/>
      </c>
      <c r="AJ131" s="368" t="s">
        <v>7560</v>
      </c>
      <c r="AK131" s="466"/>
      <c r="AL131" s="901">
        <f>IF($AK$130&gt;=ROWS(AL$130:AL131),ROWS(AL$130:AL131),"")</f>
        <v>2</v>
      </c>
      <c r="AM131" s="1495">
        <f ca="1">IF(AL131=ROWS(AM$130:AM131),RAND(),"")</f>
        <v>0.66645886843811131</v>
      </c>
      <c r="AN131" s="901">
        <f ca="1">IF(AL131=ROWS(AN$130:AN131),RANK(AM131,$AM$130:$AM$145),"")</f>
        <v>3</v>
      </c>
      <c r="AO131" s="368" t="str">
        <f>IF(ROWS(AO$130:AO131)&gt;AK$130,"",INDEX($AJ$130:$AJ$146,_xlfn.AGGREGATE(15,6,(ROW($AJ$130:$AJ$146)-ROW($AJ$130)+1)/ISNA(MATCH($AJ$130:$AJ$146,$AI$130:$AI$146,0)),ROWS(AO$130:AO131))))</f>
        <v>Circle of Power</v>
      </c>
      <c r="AP131" s="1363" t="str">
        <f>IF($AK$130&lt;$AL$146,AI131,VLOOKUP(AL131,$AN$130:$AO$146,2,FALSE))</f>
        <v/>
      </c>
      <c r="AQ131" s="273"/>
      <c r="AR131" s="1497" t="s">
        <v>6180</v>
      </c>
      <c r="AS131" s="701" t="s">
        <v>7273</v>
      </c>
      <c r="AT131" s="904">
        <v>5</v>
      </c>
      <c r="AU131" s="1335"/>
      <c r="AW131" s="273"/>
      <c r="AX131" s="273"/>
      <c r="AZ131" s="1335"/>
      <c r="BB131" s="273"/>
      <c r="BG131" s="273"/>
      <c r="BH131" s="273"/>
      <c r="BJ131" s="1335"/>
      <c r="BL131" s="273"/>
      <c r="BM131" s="273"/>
      <c r="BO131" s="1335"/>
      <c r="BQ131" s="273"/>
      <c r="BR131" s="273"/>
      <c r="BS131" s="271" t="s">
        <v>1287</v>
      </c>
      <c r="BT131" s="2797"/>
      <c r="BU131" s="273"/>
      <c r="BV131" s="273"/>
      <c r="BW131" s="543"/>
      <c r="BY131" s="273"/>
      <c r="BZ131" s="543"/>
      <c r="CA131" s="1488"/>
      <c r="CB131" s="543"/>
    </row>
    <row r="132" spans="2:80" ht="12" customHeight="1">
      <c r="B132" s="1336">
        <v>3</v>
      </c>
      <c r="C132" s="382"/>
      <c r="D132" s="368" t="s">
        <v>7561</v>
      </c>
      <c r="E132" s="1454"/>
      <c r="F132" s="901">
        <f>IF($E$130&gt;=ROWS(F$130:F132),ROWS(F$130:F132),"")</f>
        <v>3</v>
      </c>
      <c r="G132" s="1495">
        <f ca="1">IF(F132=ROWS(G$130:G132),RAND(),"")</f>
        <v>0.71730079810526082</v>
      </c>
      <c r="H132" s="901">
        <f ca="1">IF(F132=ROWS(H$130:H132),RANK(G132,$G$130:$G$145),"")</f>
        <v>4</v>
      </c>
      <c r="I132" s="368" t="str">
        <f>IF(ROWS(I$130:I132)&gt;E$130,"",INDEX($D$130:$D$145,_xlfn.AGGREGATE(15,6,(ROW($D$130:$D$145)-ROW($D$130)+1)/ISNA(MATCH($D$130:$D$145,$C$130:$C$145,0)),ROWS(I$130:I132))))</f>
        <v>Compelled Duel</v>
      </c>
      <c r="J132" s="1363" t="str">
        <f ca="1">VLOOKUP(F130,$H$130:$I$146,2,FALSE)</f>
        <v>Shield of Faith</v>
      </c>
      <c r="K132" s="1394"/>
      <c r="L132" s="368" t="s">
        <v>7562</v>
      </c>
      <c r="M132" s="1454"/>
      <c r="N132" s="901">
        <f>IF($M$130&gt;=ROWS(N$130:N132),ROWS(N$130:N132),"")</f>
        <v>3</v>
      </c>
      <c r="O132" s="1495">
        <f ca="1">IF(N132=ROWS(O$130:O132),RAND(),"")</f>
        <v>0.3925619104899678</v>
      </c>
      <c r="P132" s="901">
        <f ca="1">IF(N132=ROWS(P$130:P132),RANK(O132,$O$130:$O$145),"")</f>
        <v>7</v>
      </c>
      <c r="Q132" s="368" t="str">
        <f>IF(ROWS(Q$130:Q132)&gt;M$130,"",INDEX($L$130:$L$145,_xlfn.AGGREGATE(15,6,(ROW($L$130:$L$145)-ROW($L$130)+1)/ISNA(MATCH($L$130:$L$145,$K$130:$K$145,0)),ROWS(Q$130:Q132))))</f>
        <v>Find Steed</v>
      </c>
      <c r="R132" s="1363" t="str">
        <f ca="1">VLOOKUP(N130,$P$130:$Q$146,2,FALSE)</f>
        <v>Locate Object</v>
      </c>
      <c r="S132" s="1394"/>
      <c r="T132" s="368" t="s">
        <v>7375</v>
      </c>
      <c r="U132" s="1454"/>
      <c r="V132" s="901">
        <f>IF($U$130&gt;=ROWS(V$130:V132),ROWS(V$130:V132),"")</f>
        <v>3</v>
      </c>
      <c r="W132" s="1495">
        <f ca="1">IF(V132=ROWS(W$130:W132),RAND(),"")</f>
        <v>3.079121662185702E-2</v>
      </c>
      <c r="X132" s="901">
        <f ca="1">IF(V132=ROWS(X$130:X132),RANK(W132,$W$130:$W$145),"")</f>
        <v>10</v>
      </c>
      <c r="Y132" s="368" t="str">
        <f>IF(ROWS(Y$130:Y132)&gt;U$130,"",INDEX($T$130:$T$145,_xlfn.AGGREGATE(15,6,(ROW($T$130:$T$145)-ROW($T$130)+1)/ISNA(MATCH($T$130:$T$145,$S$130:$S$145,0)),ROWS(Y$130:Y132))))</f>
        <v>Create Food and Water</v>
      </c>
      <c r="Z132" s="1363" t="str">
        <f ca="1">VLOOKUP(V132,$X$130:$Y$146,2,FALSE)</f>
        <v>Revivify</v>
      </c>
      <c r="AA132" s="1394"/>
      <c r="AB132" s="368" t="s">
        <v>7332</v>
      </c>
      <c r="AC132" s="1454"/>
      <c r="AD132" s="901">
        <f>IF($AC$130&gt;=ROWS(AD$130:AD132),ROWS(AD$130:AD132),"")</f>
        <v>3</v>
      </c>
      <c r="AE132" s="1495">
        <f ca="1">IF(AD132=ROWS(AE$130:AE132),RAND(),"")</f>
        <v>0.61460005347665936</v>
      </c>
      <c r="AF132" s="901">
        <f ca="1">IF(AD132=ROWS(AF$130:AF132),RANK(AE132,$AE$130:$AE$145),"")</f>
        <v>3</v>
      </c>
      <c r="AG132" s="368" t="str">
        <f>IF(ROWS(AG$130:AG132)&gt;AC$130,"",INDEX($AB$130:$AB$145,_xlfn.AGGREGATE(15,6,(ROW($AB$130:$AB$145)-ROW($AB$130)+1)/ISNA(MATCH($AB$130:$AB$145,$AA$130:$AA$145,0)),ROWS(AG$130:AG132))))</f>
        <v>Banishment</v>
      </c>
      <c r="AH132" s="1363" t="str">
        <f ca="1">VLOOKUP(AD132,$AF$130:$AG$146,2,FALSE)</f>
        <v>Banishment</v>
      </c>
      <c r="AI132" s="1394"/>
      <c r="AJ132" s="368" t="s">
        <v>7563</v>
      </c>
      <c r="AK132" s="1454"/>
      <c r="AL132" s="901">
        <f>IF($AK$130&gt;=ROWS(AL$130:AL132),ROWS(AL$130:AL132),"")</f>
        <v>3</v>
      </c>
      <c r="AM132" s="1495">
        <f ca="1">IF(AL132=ROWS(AM$130:AM132),RAND(),"")</f>
        <v>0.50857394988144689</v>
      </c>
      <c r="AN132" s="901">
        <f ca="1">IF(AL132=ROWS(AN$130:AN132),RANK(AM132,$AM$130:$AM$145),"")</f>
        <v>6</v>
      </c>
      <c r="AO132" s="368" t="str">
        <f>IF(ROWS(AO$130:AO132)&gt;AK$130,"",INDEX($AJ$130:$AJ$146,_xlfn.AGGREGATE(15,6,(ROW($AJ$130:$AJ$146)-ROW($AJ$130)+1)/ISNA(MATCH($AJ$130:$AJ$146,$AI$130:$AI$146,0)),ROWS(AO$130:AO132))))</f>
        <v>Destructive Wave (Smite?)</v>
      </c>
      <c r="AP132" s="1363" t="str">
        <f ca="1">VLOOKUP(AL130,$AN$130:$AO$146,2,FALSE)</f>
        <v>Geas</v>
      </c>
      <c r="AQ132" s="273"/>
      <c r="AR132" s="1497" t="s">
        <v>6180</v>
      </c>
      <c r="AS132" s="701" t="s">
        <v>7302</v>
      </c>
      <c r="AT132" s="904">
        <v>5</v>
      </c>
      <c r="AU132" s="1335"/>
      <c r="AW132" s="273"/>
      <c r="AX132" s="273"/>
      <c r="AZ132" s="1335"/>
      <c r="BB132" s="273"/>
      <c r="BG132" s="273"/>
      <c r="BH132" s="273"/>
      <c r="BJ132" s="1335"/>
      <c r="BL132" s="273"/>
      <c r="BM132" s="273"/>
      <c r="BO132" s="1335"/>
      <c r="BQ132" s="273"/>
      <c r="BR132" s="273"/>
      <c r="BS132" s="271" t="s">
        <v>1287</v>
      </c>
      <c r="BT132" s="2797"/>
      <c r="BU132" s="273"/>
      <c r="BV132" s="273"/>
      <c r="BW132" s="543"/>
      <c r="BY132" s="273"/>
      <c r="BZ132" s="543"/>
      <c r="CA132" s="1488"/>
      <c r="CB132" s="543"/>
    </row>
    <row r="133" spans="2:80" ht="12" customHeight="1">
      <c r="B133" s="1336">
        <v>4</v>
      </c>
      <c r="C133" s="382"/>
      <c r="D133" s="368" t="s">
        <v>7221</v>
      </c>
      <c r="E133" s="1454"/>
      <c r="F133" s="901">
        <f>IF($E$130&gt;=ROWS(F$130:F133),ROWS(F$130:F133),"")</f>
        <v>4</v>
      </c>
      <c r="G133" s="1495">
        <f ca="1">IF(F133=ROWS(G$130:G133),RAND(),"")</f>
        <v>0.58684548830394567</v>
      </c>
      <c r="H133" s="901">
        <f ca="1">IF(F133=ROWS(H$130:H133),RANK(G133,$G$130:$G$145),"")</f>
        <v>5</v>
      </c>
      <c r="I133" s="368" t="str">
        <f>IF(ROWS(I$130:I133)&gt;E$130,"",INDEX($D$130:$D$145,_xlfn.AGGREGATE(15,6,(ROW($D$130:$D$145)-ROW($D$130)+1)/ISNA(MATCH($D$130:$D$145,$C$130:$C$145,0)),ROWS(I$130:I133))))</f>
        <v>Cure Wounds</v>
      </c>
      <c r="J133" s="1363" t="str">
        <f t="shared" ref="J133:J146" ca="1" si="53">VLOOKUP(F131,$H$130:$I$145,2,FALSE)</f>
        <v>Bless</v>
      </c>
      <c r="K133" s="1394"/>
      <c r="L133" s="368" t="s">
        <v>7273</v>
      </c>
      <c r="M133" s="1454"/>
      <c r="N133" s="901">
        <f>IF($M$130&gt;=ROWS(N$130:N133),ROWS(N$130:N133),"")</f>
        <v>4</v>
      </c>
      <c r="O133" s="1495">
        <f ca="1">IF(N133=ROWS(O$130:O133),RAND(),"")</f>
        <v>0.6862955997784902</v>
      </c>
      <c r="P133" s="901">
        <f ca="1">IF(N133=ROWS(P$130:P133),RANK(O133,$O$130:$O$145),"")</f>
        <v>4</v>
      </c>
      <c r="Q133" s="368" t="str">
        <f>IF(ROWS(Q$130:Q133)&gt;M$130,"",INDEX($L$130:$L$145,_xlfn.AGGREGATE(15,6,(ROW($L$130:$L$145)-ROW($L$130)+1)/ISNA(MATCH($L$130:$L$145,$K$130:$K$145,0)),ROWS(Q$130:Q133))))</f>
        <v>Lesser Restoration</v>
      </c>
      <c r="R133" s="1363" t="str">
        <f t="shared" ref="R133:R139" ca="1" si="54">VLOOKUP(N131,$P$130:$Q$145,2,FALSE)</f>
        <v>Protection from Poison</v>
      </c>
      <c r="S133" s="1394"/>
      <c r="T133" s="368" t="s">
        <v>7381</v>
      </c>
      <c r="U133" s="1454"/>
      <c r="V133" s="901">
        <f>IF($U$130&gt;=ROWS(V$130:V133),ROWS(V$130:V133),"")</f>
        <v>4</v>
      </c>
      <c r="W133" s="1495">
        <f ca="1">IF(V133=ROWS(W$130:W133),RAND(),"")</f>
        <v>0.93869923003655731</v>
      </c>
      <c r="X133" s="901">
        <f ca="1">IF(V133=ROWS(X$130:X133),RANK(W133,$W$130:$W$145),"")</f>
        <v>2</v>
      </c>
      <c r="Y133" s="368" t="str">
        <f>IF(ROWS(Y$130:Y133)&gt;U$130,"",INDEX($T$130:$T$145,_xlfn.AGGREGATE(15,6,(ROW($T$130:$T$145)-ROW($T$130)+1)/ISNA(MATCH($T$130:$T$145,$S$130:$S$145,0)),ROWS(Y$130:Y133))))</f>
        <v>Crusader's Mantle</v>
      </c>
      <c r="Z133" s="1363" t="str">
        <f t="shared" ref="Z133:Z146" ca="1" si="55">VLOOKUP(V133,$X$130:$Y$145,2,FALSE)</f>
        <v>Elemental Weapon</v>
      </c>
      <c r="AA133" s="1394"/>
      <c r="AB133" s="368" t="s">
        <v>7352</v>
      </c>
      <c r="AC133" s="1454"/>
      <c r="AD133" s="901">
        <f>IF($AC$130&gt;=ROWS(AD$130:AD133),ROWS(AD$130:AD133),"")</f>
        <v>4</v>
      </c>
      <c r="AE133" s="1495">
        <f ca="1">IF(AD133=ROWS(AE$130:AE133),RAND(),"")</f>
        <v>0.41485178952639101</v>
      </c>
      <c r="AF133" s="901">
        <f ca="1">IF(AD133=ROWS(AF$130:AF133),RANK(AE133,$AE$130:$AE$145),"")</f>
        <v>5</v>
      </c>
      <c r="AG133" s="368" t="str">
        <f>IF(ROWS(AG$130:AG133)&gt;AC$130,"",INDEX($AB$130:$AB$145,_xlfn.AGGREGATE(15,6,(ROW($AB$130:$AB$145)-ROW($AB$130)+1)/ISNA(MATCH($AB$130:$AB$145,$AA$130:$AA$145,0)),ROWS(AG$130:AG133))))</f>
        <v>Death Ward</v>
      </c>
      <c r="AH133" s="1363" t="str">
        <f t="shared" ref="AH133:AH144" ca="1" si="56">VLOOKUP(AD133,$AF$130:$AG$146,2,FALSE)</f>
        <v>Aura of Purity</v>
      </c>
      <c r="AI133" s="1394"/>
      <c r="AJ133" s="368" t="s">
        <v>7353</v>
      </c>
      <c r="AK133" s="1454"/>
      <c r="AL133" s="901">
        <f>IF($AK$130&gt;=ROWS(AL$130:AL133),ROWS(AL$130:AL133),"")</f>
        <v>4</v>
      </c>
      <c r="AM133" s="1495">
        <f ca="1">IF(AL133=ROWS(AM$130:AM133),RAND(),"")</f>
        <v>0.67922518871042603</v>
      </c>
      <c r="AN133" s="901">
        <f ca="1">IF(AL133=ROWS(AN$130:AN133),RANK(AM133,$AM$130:$AM$145),"")</f>
        <v>2</v>
      </c>
      <c r="AO133" s="368" t="str">
        <f>IF(ROWS(AO$130:AO133)&gt;AK$130,"",INDEX($AJ$130:$AJ$146,_xlfn.AGGREGATE(15,6,(ROW($AJ$130:$AJ$146)-ROW($AJ$130)+1)/ISNA(MATCH($AJ$130:$AJ$146,$AI$130:$AI$146,0)),ROWS(AO$130:AO133))))</f>
        <v>Dispel Evil and Good</v>
      </c>
      <c r="AP133" s="1363" t="str">
        <f t="shared" ref="AP133:AP138" ca="1" si="57">VLOOKUP(AL131,$AN$130:$AO$146,2,FALSE)</f>
        <v>Dispel Evil and Good</v>
      </c>
      <c r="AQ133" s="273"/>
      <c r="AR133" s="1497" t="s">
        <v>6180</v>
      </c>
      <c r="AS133" s="701" t="s">
        <v>7344</v>
      </c>
      <c r="AT133" s="904">
        <v>9</v>
      </c>
      <c r="AU133" s="1335"/>
      <c r="AW133" s="273"/>
      <c r="AX133" s="273"/>
      <c r="AZ133" s="1335"/>
      <c r="BB133" s="273"/>
      <c r="BG133" s="273"/>
      <c r="BH133" s="273"/>
      <c r="BJ133" s="1335"/>
      <c r="BL133" s="273"/>
      <c r="BM133" s="273"/>
      <c r="BO133" s="1335"/>
      <c r="BQ133" s="273"/>
      <c r="BR133" s="273"/>
      <c r="BS133" s="271" t="s">
        <v>1287</v>
      </c>
      <c r="BT133" s="3060"/>
      <c r="BU133" s="273"/>
      <c r="BV133" s="273"/>
      <c r="BW133" s="543"/>
      <c r="BY133" s="273"/>
      <c r="BZ133" s="1491"/>
      <c r="CA133" s="1488"/>
      <c r="CB133" s="543"/>
    </row>
    <row r="134" spans="2:80" ht="12" customHeight="1">
      <c r="B134" s="1336">
        <v>5</v>
      </c>
      <c r="C134" s="382"/>
      <c r="D134" s="368" t="s">
        <v>7383</v>
      </c>
      <c r="E134" s="1454"/>
      <c r="F134" s="901">
        <f>IF($E$130&gt;=ROWS(F$130:F134),ROWS(F$130:F134),"")</f>
        <v>5</v>
      </c>
      <c r="G134" s="1495">
        <f ca="1">IF(F134=ROWS(G$130:G134),RAND(),"")</f>
        <v>0.54696353371028272</v>
      </c>
      <c r="H134" s="901">
        <f ca="1">IF(F134=ROWS(H$130:H134),RANK(G134,$G$130:$G$145),"")</f>
        <v>6</v>
      </c>
      <c r="I134" s="368" t="str">
        <f>IF(ROWS(I$130:I134)&gt;E$130,"",INDEX($D$130:$D$145,_xlfn.AGGREGATE(15,6,(ROW($D$130:$D$145)-ROW($D$130)+1)/ISNA(MATCH($D$130:$D$145,$C$130:$C$145,0)),ROWS(I$130:I134))))</f>
        <v>Detect Evil and Good</v>
      </c>
      <c r="J134" s="1363" t="str">
        <f t="shared" ca="1" si="53"/>
        <v>Searing Smite</v>
      </c>
      <c r="K134" s="1394"/>
      <c r="L134" s="368" t="s">
        <v>7281</v>
      </c>
      <c r="M134" s="1454"/>
      <c r="N134" s="901">
        <f>IF($M$130&gt;=ROWS(N$130:N134),ROWS(N$130:N134),"")</f>
        <v>5</v>
      </c>
      <c r="O134" s="1495">
        <f ca="1">IF(N134=ROWS(O$130:O134),RAND(),"")</f>
        <v>0.98798273952565774</v>
      </c>
      <c r="P134" s="901">
        <f ca="1">IF(N134=ROWS(P$130:P134),RANK(O134,$O$130:$O$145),"")</f>
        <v>1</v>
      </c>
      <c r="Q134" s="368" t="str">
        <f>IF(ROWS(Q$130:Q134)&gt;M$130,"",INDEX($L$130:$L$145,_xlfn.AGGREGATE(15,6,(ROW($L$130:$L$145)-ROW($L$130)+1)/ISNA(MATCH($L$130:$L$145,$K$130:$K$145,0)),ROWS(Q$130:Q134))))</f>
        <v>Locate Object</v>
      </c>
      <c r="R134" s="1363" t="str">
        <f t="shared" ca="1" si="54"/>
        <v>Branding Smite</v>
      </c>
      <c r="S134" s="1394"/>
      <c r="T134" s="368" t="s">
        <v>7378</v>
      </c>
      <c r="U134" s="1454"/>
      <c r="V134" s="901">
        <f>IF($U$130&gt;=ROWS(V$130:V134),ROWS(V$130:V134),"")</f>
        <v>5</v>
      </c>
      <c r="W134" s="1495">
        <f ca="1">IF(V134=ROWS(W$130:W134),RAND(),"")</f>
        <v>0.97680519684761968</v>
      </c>
      <c r="X134" s="901">
        <f ca="1">IF(V134=ROWS(X$130:X134),RANK(W134,$W$130:$W$145),"")</f>
        <v>1</v>
      </c>
      <c r="Y134" s="368" t="str">
        <f>IF(ROWS(Y$130:Y134)&gt;U$130,"",INDEX($T$130:$T$145,_xlfn.AGGREGATE(15,6,(ROW($T$130:$T$145)-ROW($T$130)+1)/ISNA(MATCH($T$130:$T$145,$S$130:$S$145,0)),ROWS(Y$130:Y134))))</f>
        <v>Daylight</v>
      </c>
      <c r="Z134" s="1363" t="str">
        <f t="shared" ca="1" si="55"/>
        <v>Aura of Vitality</v>
      </c>
      <c r="AA134" s="1394"/>
      <c r="AB134" s="368" t="s">
        <v>7241</v>
      </c>
      <c r="AC134" s="1454"/>
      <c r="AD134" s="901">
        <f>IF($AC$130&gt;=ROWS(AD$130:AD134),ROWS(AD$130:AD134),"")</f>
        <v>5</v>
      </c>
      <c r="AE134" s="1495">
        <f ca="1">IF(AD134=ROWS(AE$130:AE134),RAND(),"")</f>
        <v>0.39623553278451462</v>
      </c>
      <c r="AF134" s="901">
        <f ca="1">IF(AD134=ROWS(AF$130:AF134),RANK(AE134,$AE$130:$AE$145),"")</f>
        <v>6</v>
      </c>
      <c r="AG134" s="368" t="str">
        <f>IF(ROWS(AG$130:AG134)&gt;AC$130,"",INDEX($AB$130:$AB$145,_xlfn.AGGREGATE(15,6,(ROW($AB$130:$AB$145)-ROW($AB$130)+1)/ISNA(MATCH($AB$130:$AB$145,$AA$130:$AA$145,0)),ROWS(AG$130:AG134))))</f>
        <v>Locate Creature</v>
      </c>
      <c r="AH134" s="1363" t="str">
        <f t="shared" ca="1" si="56"/>
        <v>Death Ward</v>
      </c>
      <c r="AI134" s="1394"/>
      <c r="AJ134" s="368" t="s">
        <v>7225</v>
      </c>
      <c r="AK134" s="1454"/>
      <c r="AL134" s="901">
        <f>IF($AK$130&gt;=ROWS(AL$130:AL134),ROWS(AL$130:AL134),"")</f>
        <v>5</v>
      </c>
      <c r="AM134" s="1495">
        <f ca="1">IF(AL134=ROWS(AM$130:AM134),RAND(),"")</f>
        <v>0.96449724552371663</v>
      </c>
      <c r="AN134" s="901">
        <f ca="1">IF(AL134=ROWS(AN$130:AN134),RANK(AM134,$AM$130:$AM$145),"")</f>
        <v>1</v>
      </c>
      <c r="AO134" s="368" t="str">
        <f>IF(ROWS(AO$130:AO134)&gt;AK$130,"",INDEX($AJ$130:$AJ$146,_xlfn.AGGREGATE(15,6,(ROW($AJ$130:$AJ$146)-ROW($AJ$130)+1)/ISNA(MATCH($AJ$130:$AJ$146,$AI$130:$AI$146,0)),ROWS(AO$130:AO134))))</f>
        <v>Geas</v>
      </c>
      <c r="AP134" s="1363" t="str">
        <f t="shared" ca="1" si="57"/>
        <v>Circle of Power</v>
      </c>
      <c r="AQ134" s="273"/>
      <c r="AR134" s="1497" t="s">
        <v>6180</v>
      </c>
      <c r="AS134" s="701" t="s">
        <v>7205</v>
      </c>
      <c r="AT134" s="904">
        <v>9</v>
      </c>
      <c r="AU134" s="1335"/>
      <c r="AW134" s="273"/>
      <c r="AX134" s="273"/>
      <c r="AZ134" s="1335"/>
      <c r="BB134" s="273"/>
      <c r="BG134" s="273"/>
      <c r="BH134" s="273"/>
      <c r="BJ134" s="1335"/>
      <c r="BL134" s="273"/>
      <c r="BM134" s="273"/>
      <c r="BO134" s="1335"/>
      <c r="BQ134" s="273"/>
      <c r="BR134" s="273"/>
      <c r="BS134" s="271" t="s">
        <v>1287</v>
      </c>
      <c r="BT134" s="2797"/>
      <c r="BU134" s="273"/>
      <c r="BV134" s="273"/>
      <c r="BW134" s="543"/>
      <c r="BY134" s="273"/>
      <c r="BZ134" s="543"/>
      <c r="CA134" s="543"/>
      <c r="CB134" s="543"/>
    </row>
    <row r="135" spans="2:80" ht="12" customHeight="1">
      <c r="B135" s="1336">
        <v>6</v>
      </c>
      <c r="C135" s="382"/>
      <c r="D135" s="368" t="s">
        <v>7230</v>
      </c>
      <c r="E135" s="1454"/>
      <c r="F135" s="901">
        <f>IF($E$130&gt;=ROWS(F$130:F135),ROWS(F$130:F135),"")</f>
        <v>6</v>
      </c>
      <c r="G135" s="1495">
        <f ca="1">IF(F135=ROWS(G$130:G135),RAND(),"")</f>
        <v>6.6520986381424341E-2</v>
      </c>
      <c r="H135" s="901">
        <f ca="1">IF(F135=ROWS(H$130:H135),RANK(G135,$G$130:$G$145),"")</f>
        <v>13</v>
      </c>
      <c r="I135" s="368" t="str">
        <f>IF(ROWS(I$130:I135)&gt;E$130,"",INDEX($D$130:$D$145,_xlfn.AGGREGATE(15,6,(ROW($D$130:$D$145)-ROW($D$130)+1)/ISNA(MATCH($D$130:$D$145,$C$130:$C$145,0)),ROWS(I$130:I135))))</f>
        <v>Detect Magic</v>
      </c>
      <c r="J135" s="1363" t="str">
        <f t="shared" ca="1" si="53"/>
        <v>Compelled Duel</v>
      </c>
      <c r="K135" s="1394"/>
      <c r="L135" s="368" t="s">
        <v>7360</v>
      </c>
      <c r="M135" s="1454"/>
      <c r="N135" s="901">
        <f>IF($M$130&gt;=ROWS(N$130:N135),ROWS(N$130:N135),"")</f>
        <v>6</v>
      </c>
      <c r="O135" s="1495">
        <f ca="1">IF(N135=ROWS(O$130:O135),RAND(),"")</f>
        <v>0.44114696446342727</v>
      </c>
      <c r="P135" s="901">
        <f ca="1">IF(N135=ROWS(P$130:P135),RANK(O135,$O$130:$O$145),"")</f>
        <v>6</v>
      </c>
      <c r="Q135" s="368" t="str">
        <f>IF(ROWS(Q$130:Q135)&gt;M$130,"",INDEX($L$130:$L$145,_xlfn.AGGREGATE(15,6,(ROW($L$130:$L$145)-ROW($L$130)+1)/ISNA(MATCH($L$130:$L$145,$K$130:$K$145,0)),ROWS(Q$130:Q135))))</f>
        <v>Magic Weapon</v>
      </c>
      <c r="R135" s="1363" t="str">
        <f t="shared" ca="1" si="54"/>
        <v>Lesser Restoration</v>
      </c>
      <c r="S135" s="1394"/>
      <c r="T135" s="368" t="s">
        <v>7205</v>
      </c>
      <c r="U135" s="1454"/>
      <c r="V135" s="901">
        <f>IF($U$130&gt;=ROWS(V$130:V135),ROWS(V$130:V135),"")</f>
        <v>6</v>
      </c>
      <c r="W135" s="1495">
        <f ca="1">IF(V135=ROWS(W$130:W135),RAND(),"")</f>
        <v>0.15895357869894655</v>
      </c>
      <c r="X135" s="901">
        <f ca="1">IF(V135=ROWS(X$130:X135),RANK(W135,$W$130:$W$145),"")</f>
        <v>8</v>
      </c>
      <c r="Y135" s="368" t="str">
        <f>IF(ROWS(Y$130:Y135)&gt;U$130,"",INDEX($T$130:$T$145,_xlfn.AGGREGATE(15,6,(ROW($T$130:$T$145)-ROW($T$130)+1)/ISNA(MATCH($T$130:$T$145,$S$130:$S$145,0)),ROWS(Y$130:Y135))))</f>
        <v>Dispel Magic</v>
      </c>
      <c r="Z135" s="1363" t="str">
        <f t="shared" ca="1" si="55"/>
        <v>Magic Circle</v>
      </c>
      <c r="AA135" s="1394"/>
      <c r="AB135" s="368" t="s">
        <v>7564</v>
      </c>
      <c r="AC135" s="1454"/>
      <c r="AD135" s="901">
        <f>IF($AC$130&gt;=ROWS(AD$130:AD135),ROWS(AD$130:AD135),"")</f>
        <v>6</v>
      </c>
      <c r="AE135" s="1495">
        <f ca="1">IF(AD135=ROWS(AE$130:AE135),RAND(),"")</f>
        <v>0.79456594769153477</v>
      </c>
      <c r="AF135" s="901">
        <f ca="1">IF(AD135=ROWS(AF$130:AF135),RANK(AE135,$AE$130:$AE$145),"")</f>
        <v>1</v>
      </c>
      <c r="AG135" s="368" t="str">
        <f>IF(ROWS(AG$130:AG135)&gt;AC$130,"",INDEX($AB$130:$AB$145,_xlfn.AGGREGATE(15,6,(ROW($AB$130:$AB$145)-ROW($AB$130)+1)/ISNA(MATCH($AB$130:$AB$145,$AA$130:$AA$145,0)),ROWS(AG$130:AG135))))</f>
        <v>Staggering Smite</v>
      </c>
      <c r="AH135" s="1363" t="str">
        <f t="shared" ca="1" si="56"/>
        <v>Locate Creature</v>
      </c>
      <c r="AI135" s="1394"/>
      <c r="AJ135" s="368" t="s">
        <v>7275</v>
      </c>
      <c r="AK135" s="1454"/>
      <c r="AL135" s="901">
        <f>IF($AK$130&gt;=ROWS(AL$130:AL135),ROWS(AL$130:AL135),"")</f>
        <v>6</v>
      </c>
      <c r="AM135" s="1495">
        <f ca="1">IF(AL135=ROWS(AM$130:AM135),RAND(),"")</f>
        <v>0.62583691084696425</v>
      </c>
      <c r="AN135" s="901">
        <f ca="1">IF(AL135=ROWS(AN$130:AN135),RANK(AM135,$AM$130:$AM$145),"")</f>
        <v>4</v>
      </c>
      <c r="AO135" s="368" t="str">
        <f>IF(ROWS(AO$130:AO135)&gt;AK$130,"",INDEX($AJ$130:$AJ$146,_xlfn.AGGREGATE(15,6,(ROW($AJ$130:$AJ$146)-ROW($AJ$130)+1)/ISNA(MATCH($AJ$130:$AJ$146,$AI$130:$AI$146,0)),ROWS(AO$130:AO135))))</f>
        <v>Raise Dead</v>
      </c>
      <c r="AP135" s="1363" t="str">
        <f t="shared" ca="1" si="57"/>
        <v>Raise Dead</v>
      </c>
      <c r="AR135" s="1497" t="s">
        <v>6180</v>
      </c>
      <c r="AS135" s="701" t="s">
        <v>4090</v>
      </c>
      <c r="AT135" s="904">
        <v>13</v>
      </c>
      <c r="BT135" s="2797"/>
      <c r="BU135" s="273"/>
      <c r="BV135" s="273"/>
      <c r="BW135" s="543"/>
      <c r="BY135" s="273"/>
      <c r="BZ135" s="543"/>
      <c r="CA135" s="543"/>
      <c r="CB135" s="543"/>
    </row>
    <row r="136" spans="2:80" ht="12" customHeight="1">
      <c r="B136" s="1336">
        <v>7</v>
      </c>
      <c r="C136" s="382"/>
      <c r="D136" s="368" t="s">
        <v>7398</v>
      </c>
      <c r="E136" s="1454"/>
      <c r="F136" s="901">
        <f>IF($E$130&gt;=ROWS(F$130:F136),ROWS(F$130:F136),"")</f>
        <v>7</v>
      </c>
      <c r="G136" s="1495">
        <f ca="1">IF(F136=ROWS(G$130:G136),RAND(),"")</f>
        <v>0.3342703231589389</v>
      </c>
      <c r="H136" s="901">
        <f ca="1">IF(F136=ROWS(H$130:H136),RANK(G136,$G$130:$G$145),"")</f>
        <v>9</v>
      </c>
      <c r="I136" s="368" t="str">
        <f>IF(ROWS(I$130:I136)&gt;E$130,"",INDEX($D$130:$D$145,_xlfn.AGGREGATE(15,6,(ROW($D$130:$D$145)-ROW($D$130)+1)/ISNA(MATCH($D$130:$D$145,$C$130:$C$145,0)),ROWS(I$130:I136))))</f>
        <v>Detect Poison and Disease</v>
      </c>
      <c r="J136" s="1363" t="str">
        <f t="shared" ca="1" si="53"/>
        <v>Cure Wounds</v>
      </c>
      <c r="K136" s="1394"/>
      <c r="L136" s="368" t="s">
        <v>7517</v>
      </c>
      <c r="M136" s="1454"/>
      <c r="N136" s="901">
        <f>IF($M$130&gt;=ROWS(N$130:N136),ROWS(N$130:N136),"")</f>
        <v>7</v>
      </c>
      <c r="O136" s="1495">
        <f ca="1">IF(N136=ROWS(O$130:O136),RAND(),"")</f>
        <v>0.96721192355734431</v>
      </c>
      <c r="P136" s="901">
        <f ca="1">IF(N136=ROWS(P$130:P136),RANK(O136,$O$130:$O$145),"")</f>
        <v>2</v>
      </c>
      <c r="Q136" s="368" t="str">
        <f>IF(ROWS(Q$130:Q136)&gt;M$130,"",INDEX($L$130:$L$145,_xlfn.AGGREGATE(15,6,(ROW($L$130:$L$145)-ROW($L$130)+1)/ISNA(MATCH($L$130:$L$145,$K$130:$K$145,0)),ROWS(Q$130:Q136))))</f>
        <v>Protection from Poison</v>
      </c>
      <c r="R136" s="1363" t="str">
        <f t="shared" ca="1" si="54"/>
        <v>Aid</v>
      </c>
      <c r="S136" s="1394"/>
      <c r="T136" s="368" t="s">
        <v>7565</v>
      </c>
      <c r="U136" s="1454"/>
      <c r="V136" s="901">
        <f>IF($U$130&gt;=ROWS(V$130:V136),ROWS(V$130:V136),"")</f>
        <v>7</v>
      </c>
      <c r="W136" s="1495">
        <f ca="1">IF(V136=ROWS(W$130:W136),RAND(),"")</f>
        <v>0.77178854730773516</v>
      </c>
      <c r="X136" s="901">
        <f ca="1">IF(V136=ROWS(X$130:X136),RANK(W136,$W$130:$W$145),"")</f>
        <v>4</v>
      </c>
      <c r="Y136" s="368" t="str">
        <f>IF(ROWS(Y$130:Y136)&gt;U$130,"",INDEX($T$130:$T$145,_xlfn.AGGREGATE(15,6,(ROW($T$130:$T$145)-ROW($T$130)+1)/ISNA(MATCH($T$130:$T$145,$S$130:$S$145,0)),ROWS(Y$130:Y136))))</f>
        <v>Elemental Weapon</v>
      </c>
      <c r="Z136" s="1363" t="str">
        <f t="shared" ca="1" si="55"/>
        <v>Blinding Smite</v>
      </c>
      <c r="AA136" s="1394"/>
      <c r="AB136" s="368"/>
      <c r="AC136" s="1454"/>
      <c r="AD136" s="901" t="str">
        <f>IF($AC$130&gt;=ROWS(AD$130:AD136),ROWS(AD$130:AD136),"")</f>
        <v/>
      </c>
      <c r="AE136" s="1495" t="str">
        <f ca="1">IF(AD136=ROWS(AE$130:AE136),RAND(),"")</f>
        <v/>
      </c>
      <c r="AF136" s="901" t="str">
        <f>IF(AD136=ROWS(AF$130:AF136),RANK(AE136,$AE$130:$AE$145),"")</f>
        <v/>
      </c>
      <c r="AG136" s="368" t="str">
        <f>IF(ROWS(AG$130:AG136)&gt;AC$130,"",INDEX($AB$130:$AB$145,_xlfn.AGGREGATE(15,6,(ROW($AB$130:$AB$145)-ROW($AB$130)+1)/ISNA(MATCH($AB$130:$AB$145,$AA$130:$AA$145,0)),ROWS(AG$130:AG136))))</f>
        <v/>
      </c>
      <c r="AH136" s="1363" t="str">
        <f t="shared" ca="1" si="56"/>
        <v/>
      </c>
      <c r="AI136" s="1394"/>
      <c r="AJ136" s="368"/>
      <c r="AK136" s="1454"/>
      <c r="AL136" s="901" t="str">
        <f>IF($AK$130&gt;=ROWS(AL$130:AL136),ROWS(AL$130:AL136),"")</f>
        <v/>
      </c>
      <c r="AM136" s="1495" t="str">
        <f ca="1">IF(AL136=ROWS(AM$130:AM136),RAND(),"")</f>
        <v/>
      </c>
      <c r="AN136" s="901" t="str">
        <f>IF(AL136=ROWS(AN$130:AN136),RANK(AM136,$AM$130:$AM$145),"")</f>
        <v/>
      </c>
      <c r="AO136" s="368" t="str">
        <f>IF(ROWS(AO$130:AO136)&gt;AK$130,"",INDEX($AJ$130:$AJ$146,_xlfn.AGGREGATE(15,6,(ROW($AJ$130:$AJ$146)-ROW($AJ$130)+1)/ISNA(MATCH($AJ$130:$AJ$146,$AI$130:$AI$146,0)),ROWS(AO$130:AO136))))</f>
        <v/>
      </c>
      <c r="AP136" s="1363" t="str">
        <f t="shared" ca="1" si="57"/>
        <v>Banishing Smite</v>
      </c>
      <c r="AR136" s="1497" t="s">
        <v>6180</v>
      </c>
      <c r="AS136" s="701" t="s">
        <v>7384</v>
      </c>
      <c r="AT136" s="904">
        <v>13</v>
      </c>
      <c r="BT136" s="2797"/>
      <c r="BU136" s="273"/>
      <c r="BV136" s="273"/>
      <c r="BW136" s="543"/>
      <c r="BY136" s="273"/>
      <c r="BZ136" s="543"/>
      <c r="CA136" s="543"/>
      <c r="CB136" s="543"/>
    </row>
    <row r="137" spans="2:80" ht="12" customHeight="1">
      <c r="B137" s="1336">
        <v>8</v>
      </c>
      <c r="C137" s="382"/>
      <c r="D137" s="368" t="s">
        <v>7342</v>
      </c>
      <c r="E137" s="1454"/>
      <c r="F137" s="901">
        <f>IF($E$130&gt;=ROWS(F$130:F137),ROWS(F$130:F137),"")</f>
        <v>8</v>
      </c>
      <c r="G137" s="1495">
        <f ca="1">IF(F137=ROWS(G$130:G137),RAND(),"")</f>
        <v>0.25315050276888174</v>
      </c>
      <c r="H137" s="901">
        <f ca="1">IF(F137=ROWS(H$130:H137),RANK(G137,$G$130:$G$145),"")</f>
        <v>11</v>
      </c>
      <c r="I137" s="368" t="str">
        <f>IF(ROWS(I$130:I137)&gt;E$130,"",INDEX($D$130:$D$145,_xlfn.AGGREGATE(15,6,(ROW($D$130:$D$145)-ROW($D$130)+1)/ISNA(MATCH($D$130:$D$145,$C$130:$C$145,0)),ROWS(I$130:I137))))</f>
        <v>Divine Favor</v>
      </c>
      <c r="J137" s="1363" t="str">
        <f t="shared" ca="1" si="53"/>
        <v>Detect Evil and Good</v>
      </c>
      <c r="K137" s="1394"/>
      <c r="L137" s="368" t="s">
        <v>7302</v>
      </c>
      <c r="M137" s="1454"/>
      <c r="N137" s="901">
        <f>IF($M$130&gt;=ROWS(N$130:N137),ROWS(N$130:N137),"")</f>
        <v>8</v>
      </c>
      <c r="O137" s="1495">
        <f ca="1">IF(N137=ROWS(O$130:O137),RAND(),"")</f>
        <v>0.205913767302775</v>
      </c>
      <c r="P137" s="901">
        <f ca="1">IF(N137=ROWS(P$130:P137),RANK(O137,$O$130:$O$145),"")</f>
        <v>8</v>
      </c>
      <c r="Q137" s="368" t="str">
        <f>IF(ROWS(Q$130:Q137)&gt;M$130,"",INDEX($L$130:$L$145,_xlfn.AGGREGATE(15,6,(ROW($L$130:$L$145)-ROW($L$130)+1)/ISNA(MATCH($L$130:$L$145,$K$130:$K$145,0)),ROWS(Q$130:Q137))))</f>
        <v>Zone of Truth</v>
      </c>
      <c r="R137" s="1363" t="str">
        <f t="shared" ca="1" si="54"/>
        <v>Magic Weapon</v>
      </c>
      <c r="S137" s="1394"/>
      <c r="T137" s="368" t="s">
        <v>7409</v>
      </c>
      <c r="U137" s="1454"/>
      <c r="V137" s="901">
        <f>IF($U$130&gt;=ROWS(V$130:V137),ROWS(V$130:V137),"")</f>
        <v>8</v>
      </c>
      <c r="W137" s="1495">
        <f ca="1">IF(V137=ROWS(W$130:W137),RAND(),"")</f>
        <v>0.38393292329942541</v>
      </c>
      <c r="X137" s="901">
        <f ca="1">IF(V137=ROWS(X$130:X137),RANK(W137,$W$130:$W$145),"")</f>
        <v>6</v>
      </c>
      <c r="Y137" s="368" t="str">
        <f>IF(ROWS(Y$130:Y137)&gt;U$130,"",INDEX($T$130:$T$145,_xlfn.AGGREGATE(15,6,(ROW($T$130:$T$145)-ROW($T$130)+1)/ISNA(MATCH($T$130:$T$145,$S$130:$S$145,0)),ROWS(Y$130:Y137))))</f>
        <v>Magic Circle</v>
      </c>
      <c r="Z137" s="1363" t="str">
        <f t="shared" ca="1" si="55"/>
        <v>Dispel Magic</v>
      </c>
      <c r="AA137" s="1394"/>
      <c r="AB137" s="368"/>
      <c r="AC137" s="1454"/>
      <c r="AD137" s="901" t="str">
        <f>IF($AC$130&gt;=ROWS(AD$130:AD137),ROWS(AD$130:AD137),"")</f>
        <v/>
      </c>
      <c r="AE137" s="1495" t="str">
        <f ca="1">IF(AD137=ROWS(AE$130:AE137),RAND(),"")</f>
        <v/>
      </c>
      <c r="AF137" s="901" t="str">
        <f>IF(AD137=ROWS(AF$130:AF137),RANK(AE137,$AE$130:$AE$145),"")</f>
        <v/>
      </c>
      <c r="AG137" s="368" t="str">
        <f>IF(ROWS(AG$130:AG137)&gt;AC$130,"",INDEX($AB$130:$AB$145,_xlfn.AGGREGATE(15,6,(ROW($AB$130:$AB$145)-ROW($AB$130)+1)/ISNA(MATCH($AB$130:$AB$145,$AA$130:$AA$145,0)),ROWS(AG$130:AG137))))</f>
        <v/>
      </c>
      <c r="AH137" s="1363" t="str">
        <f t="shared" ca="1" si="56"/>
        <v/>
      </c>
      <c r="AI137" s="1394"/>
      <c r="AJ137" s="368"/>
      <c r="AK137" s="1454"/>
      <c r="AL137" s="901" t="str">
        <f>IF($AK$130&gt;=ROWS(AL$130:AL137),ROWS(AL$130:AL137),"")</f>
        <v/>
      </c>
      <c r="AM137" s="1495" t="str">
        <f ca="1">IF(AL137=ROWS(AM$130:AM137),RAND(),"")</f>
        <v/>
      </c>
      <c r="AN137" s="901" t="str">
        <f>IF(AL137=ROWS(AN$130:AN137),RANK(AM137,$AM$130:$AM$145),"")</f>
        <v/>
      </c>
      <c r="AO137" s="368" t="str">
        <f>IF(ROWS(AO$130:AO137)&gt;AK$130,"",INDEX($AJ$130:$AJ$146,_xlfn.AGGREGATE(15,6,(ROW($AJ$130:$AJ$146)-ROW($AJ$130)+1)/ISNA(MATCH($AJ$130:$AJ$146,$AI$130:$AI$146,0)),ROWS(AO$130:AO137))))</f>
        <v/>
      </c>
      <c r="AP137" s="1363" t="str">
        <f t="shared" ca="1" si="57"/>
        <v>Destructive Wave (Smite?)</v>
      </c>
      <c r="AR137" s="1497" t="s">
        <v>6180</v>
      </c>
      <c r="AS137" s="701" t="s">
        <v>7333</v>
      </c>
      <c r="AT137" s="904">
        <v>17</v>
      </c>
      <c r="BT137" s="2797"/>
      <c r="BU137" s="273"/>
      <c r="BV137" s="273"/>
      <c r="BW137" s="543"/>
      <c r="BY137" s="273"/>
      <c r="BZ137" s="543"/>
      <c r="CA137" s="1488"/>
      <c r="CB137" s="543"/>
    </row>
    <row r="138" spans="2:80" ht="12" customHeight="1" thickBot="1">
      <c r="B138" s="1336">
        <v>9</v>
      </c>
      <c r="C138" s="382"/>
      <c r="D138" s="368" t="s">
        <v>7272</v>
      </c>
      <c r="E138" s="1454"/>
      <c r="F138" s="901">
        <f>IF($E$130&gt;=ROWS(F$130:F138),ROWS(F$130:F138),"")</f>
        <v>9</v>
      </c>
      <c r="G138" s="1495">
        <f ca="1">IF(F138=ROWS(G$130:G138),RAND(),"")</f>
        <v>0.38674692088941576</v>
      </c>
      <c r="H138" s="901">
        <f ca="1">IF(F138=ROWS(H$130:H138),RANK(G138,$G$130:$G$145),"")</f>
        <v>8</v>
      </c>
      <c r="I138" s="368" t="str">
        <f>IF(ROWS(I$130:I138)&gt;E$130,"",INDEX($D$130:$D$145,_xlfn.AGGREGATE(15,6,(ROW($D$130:$D$145)-ROW($D$130)+1)/ISNA(MATCH($D$130:$D$145,$C$130:$C$145,0)),ROWS(I$130:I138))))</f>
        <v>Heroism</v>
      </c>
      <c r="J138" s="1363" t="str">
        <f t="shared" ca="1" si="53"/>
        <v>Protection from Evil and Good</v>
      </c>
      <c r="K138" s="1394"/>
      <c r="L138" s="368"/>
      <c r="M138" s="1454"/>
      <c r="N138" s="901" t="str">
        <f>IF($M$130&gt;=ROWS(N$130:N138),ROWS(N$130:N138),"")</f>
        <v/>
      </c>
      <c r="O138" s="701" t="str">
        <f ca="1">IF(N138=ROWS(O$130:O138),RAND(),"")</f>
        <v/>
      </c>
      <c r="P138" s="901" t="str">
        <f>IF(N138=ROWS(P$130:P138),RANK(O138,$O$130:$O$145),"")</f>
        <v/>
      </c>
      <c r="Q138" s="368" t="str">
        <f>IF(ROWS(Q$130:Q138)&gt;M$130,"",INDEX($L$130:$L$145,_xlfn.AGGREGATE(15,6,(ROW($L$130:$L$145)-ROW($L$130)+1)/ISNA(MATCH($L$130:$L$145,$K$130:$K$145,0)),ROWS(Q$130:Q138))))</f>
        <v/>
      </c>
      <c r="R138" s="1363" t="str">
        <f t="shared" ca="1" si="54"/>
        <v>Find Steed</v>
      </c>
      <c r="S138" s="1394"/>
      <c r="T138" s="368" t="s">
        <v>7420</v>
      </c>
      <c r="U138" s="1454"/>
      <c r="V138" s="901">
        <f>IF($U$130&gt;=ROWS(V$130:V138),ROWS(V$130:V138),"")</f>
        <v>9</v>
      </c>
      <c r="W138" s="1495">
        <f ca="1">IF(V138=ROWS(W$130:W138),RAND(),"")</f>
        <v>0.15462979486640571</v>
      </c>
      <c r="X138" s="901">
        <f ca="1">IF(V138=ROWS(X$130:X138),RANK(W138,$W$130:$W$145),"")</f>
        <v>9</v>
      </c>
      <c r="Y138" s="368" t="str">
        <f>IF(ROWS(Y$130:Y138)&gt;U$130,"",INDEX($T$130:$T$145,_xlfn.AGGREGATE(15,6,(ROW($T$130:$T$145)-ROW($T$130)+1)/ISNA(MATCH($T$130:$T$145,$S$130:$S$145,0)),ROWS(Y$130:Y138))))</f>
        <v>Remove Curse</v>
      </c>
      <c r="Z138" s="1363" t="str">
        <f t="shared" ca="1" si="55"/>
        <v>Remove Curse</v>
      </c>
      <c r="AA138" s="1394"/>
      <c r="AB138" s="368"/>
      <c r="AC138" s="1454"/>
      <c r="AD138" s="901" t="str">
        <f>IF($AC$130&gt;=ROWS(AD$130:AD138),ROWS(AD$130:AD138),"")</f>
        <v/>
      </c>
      <c r="AE138" s="1495" t="str">
        <f ca="1">IF(AD138=ROWS(AE$130:AE138),RAND(),"")</f>
        <v/>
      </c>
      <c r="AF138" s="901" t="str">
        <f>IF(AD138=ROWS(AF$130:AF138),RANK(AE138,$AE$130:$AE$145),"")</f>
        <v/>
      </c>
      <c r="AG138" s="368" t="str">
        <f>IF(ROWS(AG$130:AG138)&gt;AC$130,"",INDEX($AB$130:$AB$145,_xlfn.AGGREGATE(15,6,(ROW($AB$130:$AB$145)-ROW($AB$130)+1)/ISNA(MATCH($AB$130:$AB$145,$AA$130:$AA$145,0)),ROWS(AG$130:AG138))))</f>
        <v/>
      </c>
      <c r="AH138" s="1363" t="str">
        <f t="shared" ca="1" si="56"/>
        <v/>
      </c>
      <c r="AI138" s="1394"/>
      <c r="AJ138" s="368"/>
      <c r="AK138" s="1454"/>
      <c r="AL138" s="901" t="str">
        <f>IF($AK$130&gt;=ROWS(AL$130:AL138),ROWS(AL$130:AL138),"")</f>
        <v/>
      </c>
      <c r="AM138" s="1495" t="str">
        <f ca="1">IF(AL138=ROWS(AM$130:AM138),RAND(),"")</f>
        <v/>
      </c>
      <c r="AN138" s="901" t="str">
        <f>IF(AL138=ROWS(AN$130:AN138),RANK(AM138,$AM$130:$AM$145),"")</f>
        <v/>
      </c>
      <c r="AO138" s="368" t="str">
        <f>IF(ROWS(AO$130:AO138)&gt;AK$130,"",INDEX($AJ$130:$AJ$146,_xlfn.AGGREGATE(15,6,(ROW($AJ$130:$AJ$146)-ROW($AJ$130)+1)/ISNA(MATCH($AJ$130:$AJ$146,$AI$130:$AI$146,0)),ROWS(AO$130:AO138))))</f>
        <v/>
      </c>
      <c r="AP138" s="1363" t="str">
        <f t="shared" ca="1" si="57"/>
        <v/>
      </c>
      <c r="AQ138" s="594"/>
      <c r="AR138" s="1497" t="s">
        <v>6180</v>
      </c>
      <c r="AS138" s="1346" t="s">
        <v>7363</v>
      </c>
      <c r="AT138" s="904">
        <v>17</v>
      </c>
      <c r="BT138" s="2797"/>
      <c r="BU138" s="273"/>
      <c r="BV138" s="273"/>
      <c r="BW138" s="543"/>
      <c r="BY138" s="273"/>
      <c r="BZ138" s="543"/>
      <c r="CA138" s="1488"/>
      <c r="CB138" s="543"/>
    </row>
    <row r="139" spans="2:80" ht="12" customHeight="1">
      <c r="B139" s="1336">
        <v>10</v>
      </c>
      <c r="C139" s="382"/>
      <c r="D139" s="368" t="s">
        <v>7537</v>
      </c>
      <c r="E139" s="1454"/>
      <c r="F139" s="901">
        <f>IF($E$130&gt;=ROWS(F$130:F139),ROWS(F$130:F139),"")</f>
        <v>10</v>
      </c>
      <c r="G139" s="1495">
        <f ca="1">IF(F139=ROWS(G$130:G139),RAND(),"")</f>
        <v>0.40143822792545003</v>
      </c>
      <c r="H139" s="901">
        <f ca="1">IF(F139=ROWS(H$130:H139),RANK(G139,$G$130:$G$145),"")</f>
        <v>7</v>
      </c>
      <c r="I139" s="368" t="str">
        <f>IF(ROWS(I$130:I139)&gt;E$130,"",INDEX($D$130:$D$145,_xlfn.AGGREGATE(15,6,(ROW($D$130:$D$145)-ROW($D$130)+1)/ISNA(MATCH($D$130:$D$145,$C$130:$C$145,0)),ROWS(I$130:I139))))</f>
        <v>Protection from Evil and Good</v>
      </c>
      <c r="J139" s="1363" t="str">
        <f t="shared" ca="1" si="53"/>
        <v>Heroism</v>
      </c>
      <c r="K139" s="1394"/>
      <c r="L139" s="368"/>
      <c r="M139" s="1454"/>
      <c r="N139" s="901" t="str">
        <f>IF($M$130&gt;=ROWS(N$130:N139),ROWS(N$130:N139),"")</f>
        <v/>
      </c>
      <c r="O139" s="701" t="str">
        <f ca="1">IF(N139=ROWS(O$130:O139),RAND(),"")</f>
        <v/>
      </c>
      <c r="P139" s="901" t="str">
        <f>IF(N139=ROWS(P$130:P139),RANK(O139,$O$130:$O$145),"")</f>
        <v/>
      </c>
      <c r="Q139" s="368" t="str">
        <f>IF(ROWS(Q$130:Q139)&gt;M$130,"",INDEX($L$130:$L$145,_xlfn.AGGREGATE(15,6,(ROW($L$130:$L$145)-ROW($L$130)+1)/ISNA(MATCH($L$130:$L$145,$K$130:$K$145,0)),ROWS(Q$130:Q139))))</f>
        <v/>
      </c>
      <c r="R139" s="1363" t="str">
        <f t="shared" ca="1" si="54"/>
        <v>Zone of Truth</v>
      </c>
      <c r="S139" s="1394"/>
      <c r="T139" s="368" t="s">
        <v>7386</v>
      </c>
      <c r="U139" s="1454"/>
      <c r="V139" s="901">
        <f>IF($U$130&gt;=ROWS(V$130:V139),ROWS(V$130:V139),"")</f>
        <v>10</v>
      </c>
      <c r="W139" s="1495">
        <f ca="1">IF(V139=ROWS(W$130:W139),RAND(),"")</f>
        <v>0.82189729413259027</v>
      </c>
      <c r="X139" s="901">
        <f ca="1">IF(V139=ROWS(X$130:X139),RANK(W139,$W$130:$W$145),"")</f>
        <v>3</v>
      </c>
      <c r="Y139" s="368" t="str">
        <f>IF(ROWS(Y$130:Y139)&gt;U$130,"",INDEX($T$130:$T$145,_xlfn.AGGREGATE(15,6,(ROW($T$130:$T$145)-ROW($T$130)+1)/ISNA(MATCH($T$130:$T$145,$S$130:$S$145,0)),ROWS(Y$130:Y139))))</f>
        <v>Revivify</v>
      </c>
      <c r="Z139" s="1363" t="str">
        <f ca="1">VLOOKUP(V139,$X$130:$Y$146,2,FALSE)</f>
        <v>Create Food and Water</v>
      </c>
      <c r="AA139" s="1394"/>
      <c r="AB139" s="368"/>
      <c r="AC139" s="1454"/>
      <c r="AD139" s="901" t="str">
        <f>IF($AC$130&gt;=ROWS(AD$130:AD139),ROWS(AD$130:AD139),"")</f>
        <v/>
      </c>
      <c r="AE139" s="1495" t="str">
        <f ca="1">IF(AD139=ROWS(AE$130:AE139),RAND(),"")</f>
        <v/>
      </c>
      <c r="AF139" s="901" t="str">
        <f>IF(AD139=ROWS(AF$130:AF139),RANK(AE139,$AE$130:$AE$145),"")</f>
        <v/>
      </c>
      <c r="AG139" s="368" t="str">
        <f>IF(ROWS(AG$130:AG139)&gt;AC$130,"",INDEX($AB$130:$AB$145,_xlfn.AGGREGATE(15,6,(ROW($AB$130:$AB$145)-ROW($AB$130)+1)/ISNA(MATCH($AB$130:$AB$145,$AA$130:$AA$145,0)),ROWS(AG$130:AG139))))</f>
        <v/>
      </c>
      <c r="AH139" s="1363" t="str">
        <f t="shared" ca="1" si="56"/>
        <v/>
      </c>
      <c r="AI139" s="1394"/>
      <c r="AJ139" s="368"/>
      <c r="AK139" s="1454"/>
      <c r="AL139" s="901" t="str">
        <f>IF($AK$130&gt;=ROWS(AL$130:AL139),ROWS(AL$130:AL139),"")</f>
        <v/>
      </c>
      <c r="AM139" s="1495" t="str">
        <f ca="1">IF(AL139=ROWS(AM$130:AM139),RAND(),"")</f>
        <v/>
      </c>
      <c r="AN139" s="901" t="str">
        <f>IF(AL139=ROWS(AN$130:AN139),RANK(AM139,$AM$130:$AM$145),"")</f>
        <v/>
      </c>
      <c r="AO139" s="368" t="str">
        <f>IF(ROWS(AO$130:AO139)&gt;AK$130,"",INDEX($AJ$130:$AJ$146,_xlfn.AGGREGATE(15,6,(ROW($AJ$130:$AJ$146)-ROW($AJ$130)+1)/ISNA(MATCH($AJ$130:$AJ$146,$AI$130:$AI$146,0)),ROWS(AO$130:AO139))))</f>
        <v/>
      </c>
      <c r="AP139" s="1363" t="str">
        <f t="shared" ref="AP139:AP146" ca="1" si="58">VLOOKUP(AL139,$AN$130:$AO$145,2,FALSE)</f>
        <v/>
      </c>
      <c r="AR139" s="1493" t="s">
        <v>6191</v>
      </c>
      <c r="AS139" s="595" t="s">
        <v>7566</v>
      </c>
      <c r="AT139" s="900">
        <v>3</v>
      </c>
      <c r="BT139" s="2797"/>
      <c r="BU139" s="273"/>
      <c r="BV139" s="273"/>
      <c r="BW139" s="543"/>
      <c r="BY139" s="273"/>
      <c r="BZ139" s="543"/>
      <c r="CA139" s="1488"/>
      <c r="CB139" s="543"/>
    </row>
    <row r="140" spans="2:80" ht="12" customHeight="1">
      <c r="B140" s="1336">
        <v>11</v>
      </c>
      <c r="C140" s="382"/>
      <c r="D140" s="368" t="s">
        <v>7416</v>
      </c>
      <c r="E140" s="1454"/>
      <c r="F140" s="901">
        <f>IF($E$130&gt;=ROWS(F$130:F140),ROWS(F$130:F140),"")</f>
        <v>11</v>
      </c>
      <c r="G140" s="1495">
        <f ca="1">IF(F140=ROWS(G$130:G140),RAND(),"")</f>
        <v>6.7820555984486885E-3</v>
      </c>
      <c r="H140" s="901">
        <f ca="1">IF(F140=ROWS(H$130:H140),RANK(G140,$G$130:$G$145),"")</f>
        <v>15</v>
      </c>
      <c r="I140" s="368" t="str">
        <f>IF(ROWS(I$130:I140)&gt;E$130,"",INDEX($D$130:$D$145,_xlfn.AGGREGATE(15,6,(ROW($D$130:$D$145)-ROW($D$130)+1)/ISNA(MATCH($D$130:$D$145,$C$130:$C$145,0)),ROWS(I$130:I140))))</f>
        <v>Purify Food and Drink</v>
      </c>
      <c r="J140" s="1363" t="str">
        <f t="shared" ca="1" si="53"/>
        <v>Detect Poison and Disease</v>
      </c>
      <c r="K140" s="1394"/>
      <c r="L140" s="368"/>
      <c r="M140" s="1454"/>
      <c r="N140" s="901" t="str">
        <f>IF($M$130&gt;=ROWS(N$130:N140),ROWS(N$130:N140),"")</f>
        <v/>
      </c>
      <c r="O140" s="701" t="str">
        <f ca="1">IF(N140=ROWS(O$130:O140),RAND(),"")</f>
        <v/>
      </c>
      <c r="P140" s="901" t="str">
        <f>IF(N140=ROWS(P$130:P140),RANK(O140,$O$130:$O$145),"")</f>
        <v/>
      </c>
      <c r="Q140" s="368" t="str">
        <f>IF(ROWS(Q$130:Q140)&gt;M$130,"",INDEX($L$130:$L$145,_xlfn.AGGREGATE(15,6,(ROW($L$130:$L$145)-ROW($L$130)+1)/ISNA(MATCH($L$130:$L$145,$K$130:$K$145,0)),ROWS(Q$130:Q140))))</f>
        <v/>
      </c>
      <c r="R140" s="1363" t="str">
        <f t="shared" ref="R140:R145" ca="1" si="59">VLOOKUP(N140,$P$130:$Q$145,2,FALSE)</f>
        <v/>
      </c>
      <c r="S140" s="1394"/>
      <c r="T140" s="368"/>
      <c r="U140" s="1454"/>
      <c r="V140" s="901" t="str">
        <f>IF($U$130&gt;=ROWS(V$130:V140),ROWS(V$130:V140),"")</f>
        <v/>
      </c>
      <c r="W140" s="1495" t="str">
        <f ca="1">IF(V140=ROWS(W$130:W140),RAND(),"")</f>
        <v/>
      </c>
      <c r="X140" s="901" t="str">
        <f>IF(V140=ROWS(X$130:X140),RANK(W140,$W$130:$W$145),"")</f>
        <v/>
      </c>
      <c r="Y140" s="368" t="str">
        <f>IF(ROWS(Y$130:Y140)&gt;U$130,"",INDEX($T$130:$T$145,_xlfn.AGGREGATE(15,6,(ROW($T$130:$T$145)-ROW($T$130)+1)/ISNA(MATCH($T$130:$T$145,$S$130:$S$145,0)),ROWS(Y$130:Y140))))</f>
        <v/>
      </c>
      <c r="Z140" s="1363" t="str">
        <f t="shared" ca="1" si="55"/>
        <v/>
      </c>
      <c r="AA140" s="1394"/>
      <c r="AB140" s="368"/>
      <c r="AC140" s="1454"/>
      <c r="AD140" s="901" t="str">
        <f>IF($AC$130&gt;=ROWS(AD$130:AD140),ROWS(AD$130:AD140),"")</f>
        <v/>
      </c>
      <c r="AE140" s="1495" t="str">
        <f ca="1">IF(AD140=ROWS(AE$130:AE140),RAND(),"")</f>
        <v/>
      </c>
      <c r="AF140" s="901" t="str">
        <f>IF(AD140=ROWS(AF$130:AF140),RANK(AE140,$AE$130:$AE$145),"")</f>
        <v/>
      </c>
      <c r="AG140" s="368" t="str">
        <f>IF(ROWS(AG$130:AG140)&gt;AC$130,"",INDEX($AB$130:$AB$145,_xlfn.AGGREGATE(15,6,(ROW($AB$130:$AB$145)-ROW($AB$130)+1)/ISNA(MATCH($AB$130:$AB$145,$AA$130:$AA$145,0)),ROWS(AG$130:AG140))))</f>
        <v/>
      </c>
      <c r="AH140" s="1363" t="str">
        <f t="shared" ca="1" si="56"/>
        <v/>
      </c>
      <c r="AI140" s="1394"/>
      <c r="AJ140" s="368"/>
      <c r="AK140" s="1454"/>
      <c r="AL140" s="901" t="str">
        <f>IF($AK$130&gt;=ROWS(AL$130:AL140),ROWS(AL$130:AL140),"")</f>
        <v/>
      </c>
      <c r="AM140" s="1495" t="str">
        <f ca="1">IF(AL140=ROWS(AM$130:AM140),RAND(),"")</f>
        <v/>
      </c>
      <c r="AN140" s="901" t="str">
        <f>IF(AL140=ROWS(AN$130:AN140),RANK(AM140,$AM$130:$AM$145),"")</f>
        <v/>
      </c>
      <c r="AO140" s="368" t="str">
        <f>IF(ROWS(AO$130:AO140)&gt;AK$130,"",INDEX($AJ$130:$AJ$146,_xlfn.AGGREGATE(15,6,(ROW($AJ$130:$AJ$146)-ROW($AJ$130)+1)/ISNA(MATCH($AJ$130:$AJ$146,$AI$130:$AI$146,0)),ROWS(AO$130:AO140))))</f>
        <v/>
      </c>
      <c r="AP140" s="1363" t="str">
        <f t="shared" ca="1" si="58"/>
        <v/>
      </c>
      <c r="AR140" s="1497" t="s">
        <v>6191</v>
      </c>
      <c r="AS140" s="701" t="s">
        <v>7292</v>
      </c>
      <c r="AT140" s="904">
        <v>3</v>
      </c>
      <c r="BT140" s="2797"/>
      <c r="BU140" s="273"/>
      <c r="BV140" s="273"/>
      <c r="BW140" s="543"/>
      <c r="BY140" s="273"/>
      <c r="BZ140" s="543"/>
      <c r="CA140" s="1488"/>
      <c r="CB140" s="543"/>
    </row>
    <row r="141" spans="2:80" ht="12" customHeight="1">
      <c r="B141" s="1336">
        <v>12</v>
      </c>
      <c r="C141" s="382"/>
      <c r="D141" s="368" t="s">
        <v>7567</v>
      </c>
      <c r="E141" s="1454"/>
      <c r="F141" s="901">
        <f>IF($E$130&gt;=ROWS(F$130:F141),ROWS(F$130:F141),"")</f>
        <v>12</v>
      </c>
      <c r="G141" s="1495">
        <f ca="1">IF(F141=ROWS(G$130:G141),RAND(),"")</f>
        <v>0.79218333570465471</v>
      </c>
      <c r="H141" s="901">
        <f ca="1">IF(F141=ROWS(H$130:H141),RANK(G141,$G$130:$G$145),"")</f>
        <v>3</v>
      </c>
      <c r="I141" s="368" t="str">
        <f>IF(ROWS(I$130:I141)&gt;E$130,"",INDEX($D$130:$D$145,_xlfn.AGGREGATE(15,6,(ROW($D$130:$D$145)-ROW($D$130)+1)/ISNA(MATCH($D$130:$D$145,$C$130:$C$145,0)),ROWS(I$130:I141))))</f>
        <v>Searing Smite</v>
      </c>
      <c r="J141" s="1363" t="str">
        <f t="shared" ca="1" si="53"/>
        <v>Thunderous Smite</v>
      </c>
      <c r="K141" s="1394"/>
      <c r="L141" s="368"/>
      <c r="M141" s="1454"/>
      <c r="N141" s="901" t="str">
        <f>IF($M$130&gt;=ROWS(N$130:N141),ROWS(N$130:N141),"")</f>
        <v/>
      </c>
      <c r="O141" s="701" t="str">
        <f ca="1">IF(N141=ROWS(O$130:O141),RAND(),"")</f>
        <v/>
      </c>
      <c r="P141" s="901" t="str">
        <f>IF(N141=ROWS(P$130:P141),RANK(O141,$O$130:$O$145),"")</f>
        <v/>
      </c>
      <c r="Q141" s="368" t="str">
        <f>IF(ROWS(Q$130:Q141)&gt;M$130,"",INDEX($L$130:$L$145,_xlfn.AGGREGATE(15,6,(ROW($L$130:$L$145)-ROW($L$130)+1)/ISNA(MATCH($L$130:$L$145,$K$130:$K$145,0)),ROWS(Q$130:Q141))))</f>
        <v/>
      </c>
      <c r="R141" s="1363" t="str">
        <f t="shared" ca="1" si="59"/>
        <v/>
      </c>
      <c r="S141" s="1394"/>
      <c r="T141" s="368"/>
      <c r="U141" s="1454"/>
      <c r="V141" s="901" t="str">
        <f>IF($U$130&gt;=ROWS(V$130:V141),ROWS(V$130:V141),"")</f>
        <v/>
      </c>
      <c r="W141" s="1495" t="str">
        <f ca="1">IF(V141=ROWS(W$130:W141),RAND(),"")</f>
        <v/>
      </c>
      <c r="X141" s="901" t="str">
        <f>IF(V141=ROWS(X$130:X141),RANK(W141,$W$130:$W$145),"")</f>
        <v/>
      </c>
      <c r="Y141" s="368" t="str">
        <f>IF(ROWS(Y$130:Y141)&gt;U$130,"",INDEX($T$130:$T$145,_xlfn.AGGREGATE(15,6,(ROW($T$130:$T$145)-ROW($T$130)+1)/ISNA(MATCH($T$130:$T$145,$S$130:$S$145,0)),ROWS(Y$130:Y141))))</f>
        <v/>
      </c>
      <c r="Z141" s="1363" t="str">
        <f t="shared" ca="1" si="55"/>
        <v/>
      </c>
      <c r="AA141" s="1394"/>
      <c r="AB141" s="368"/>
      <c r="AC141" s="1454"/>
      <c r="AD141" s="901" t="str">
        <f>IF($AC$130&gt;=ROWS(AD$130:AD141),ROWS(AD$130:AD141),"")</f>
        <v/>
      </c>
      <c r="AE141" s="1495" t="str">
        <f ca="1">IF(AD141=ROWS(AE$130:AE141),RAND(),"")</f>
        <v/>
      </c>
      <c r="AF141" s="901" t="str">
        <f>IF(AD141=ROWS(AF$130:AF141),RANK(AE141,$AE$130:$AE$145),"")</f>
        <v/>
      </c>
      <c r="AG141" s="368" t="str">
        <f>IF(ROWS(AG$130:AG141)&gt;AC$130,"",INDEX($AB$130:$AB$145,_xlfn.AGGREGATE(15,6,(ROW($AB$130:$AB$145)-ROW($AB$130)+1)/ISNA(MATCH($AB$130:$AB$145,$AA$130:$AA$145,0)),ROWS(AG$130:AG141))))</f>
        <v/>
      </c>
      <c r="AH141" s="1363" t="str">
        <f t="shared" ca="1" si="56"/>
        <v/>
      </c>
      <c r="AI141" s="1394"/>
      <c r="AJ141" s="368"/>
      <c r="AK141" s="1454"/>
      <c r="AL141" s="901" t="str">
        <f>IF($AK$130&gt;=ROWS(AL$130:AL141),ROWS(AL$130:AL141),"")</f>
        <v/>
      </c>
      <c r="AM141" s="1495" t="str">
        <f ca="1">IF(AL141=ROWS(AM$130:AM141),RAND(),"")</f>
        <v/>
      </c>
      <c r="AN141" s="901" t="str">
        <f>IF(AL141=ROWS(AN$130:AN141),RANK(AM141,$AM$130:$AM$145),"")</f>
        <v/>
      </c>
      <c r="AO141" s="368" t="str">
        <f>IF(ROWS(AO$130:AO141)&gt;AK$130,"",INDEX($AJ$130:$AJ$145,_xlfn.AGGREGATE(15,6,(ROW($AJ$130:$AJ$145)-ROW($AJ$130)+1)/ISNA(MATCH($AJ$130:$AJ$145,$AI$130:$AI$145,0)),ROWS(AO$130:AO141))))</f>
        <v/>
      </c>
      <c r="AP141" s="1363" t="str">
        <f t="shared" ca="1" si="58"/>
        <v/>
      </c>
      <c r="AQ141" s="273"/>
      <c r="AR141" s="1497" t="s">
        <v>6191</v>
      </c>
      <c r="AS141" s="701" t="s">
        <v>7515</v>
      </c>
      <c r="AT141" s="904">
        <v>5</v>
      </c>
      <c r="BT141" s="2797"/>
      <c r="BU141" s="273"/>
      <c r="BV141" s="273"/>
      <c r="BW141" s="543"/>
      <c r="BY141" s="273"/>
      <c r="BZ141" s="1491"/>
      <c r="CA141" s="1488"/>
      <c r="CB141" s="543"/>
    </row>
    <row r="142" spans="2:80" ht="12" customHeight="1">
      <c r="B142" s="1336">
        <v>13</v>
      </c>
      <c r="C142" s="382"/>
      <c r="D142" s="368" t="s">
        <v>7351</v>
      </c>
      <c r="E142" s="1454"/>
      <c r="F142" s="901">
        <f>IF($E$130&gt;=ROWS(F$130:F142),ROWS(F$130:F142),"")</f>
        <v>13</v>
      </c>
      <c r="G142" s="1495">
        <f ca="1">IF(F142=ROWS(G$130:G142),RAND(),"")</f>
        <v>0.84526236543274325</v>
      </c>
      <c r="H142" s="901">
        <f ca="1">IF(F142=ROWS(H$130:H142),RANK(G142,$G$130:$G$145),"")</f>
        <v>1</v>
      </c>
      <c r="I142" s="368" t="str">
        <f>IF(ROWS(I$130:I142)&gt;E$130,"",INDEX($D$130:$D$145,_xlfn.AGGREGATE(15,6,(ROW($D$130:$D$145)-ROW($D$130)+1)/ISNA(MATCH($D$130:$D$145,$C$130:$C$145,0)),ROWS(I$130:I142))))</f>
        <v>Shield of Faith</v>
      </c>
      <c r="J142" s="1363" t="str">
        <f t="shared" ca="1" si="53"/>
        <v>Divine Favor</v>
      </c>
      <c r="K142" s="1394"/>
      <c r="L142" s="368"/>
      <c r="M142" s="1454"/>
      <c r="N142" s="901" t="str">
        <f>IF($M$130&gt;=ROWS(N$130:N142),ROWS(N$130:N142),"")</f>
        <v/>
      </c>
      <c r="O142" s="701" t="str">
        <f ca="1">IF(N142=ROWS(O$130:O142),RAND(),"")</f>
        <v/>
      </c>
      <c r="P142" s="901" t="str">
        <f>IF(N142=ROWS(P$130:P142),RANK(O142,$O$130:$O$145),"")</f>
        <v/>
      </c>
      <c r="Q142" s="368" t="str">
        <f>IF(ROWS(Q$130:Q142)&gt;M$130,"",INDEX($L$130:$L$145,_xlfn.AGGREGATE(15,6,(ROW($L$130:$L$145)-ROW($L$130)+1)/ISNA(MATCH($L$130:$L$145,$K$130:$K$145,0)),ROWS(Q$130:Q142))))</f>
        <v/>
      </c>
      <c r="R142" s="1363" t="str">
        <f t="shared" ca="1" si="59"/>
        <v/>
      </c>
      <c r="S142" s="1394"/>
      <c r="T142" s="368"/>
      <c r="U142" s="1454"/>
      <c r="V142" s="901" t="str">
        <f>IF($U$130&gt;=ROWS(V$130:V142),ROWS(V$130:V142),"")</f>
        <v/>
      </c>
      <c r="W142" s="1495" t="str">
        <f ca="1">IF(V142=ROWS(W$130:W142),RAND(),"")</f>
        <v/>
      </c>
      <c r="X142" s="901" t="str">
        <f>IF(V142=ROWS(X$130:X142),RANK(W142,$W$130:$W$145),"")</f>
        <v/>
      </c>
      <c r="Y142" s="368" t="str">
        <f>IF(ROWS(Y$130:Y142)&gt;U$130,"",INDEX($T$130:$T$145,_xlfn.AGGREGATE(15,6,(ROW($T$130:$T$145)-ROW($T$130)+1)/ISNA(MATCH($T$130:$T$145,$S$130:$S$145,0)),ROWS(Y$130:Y142))))</f>
        <v/>
      </c>
      <c r="Z142" s="1363" t="str">
        <f t="shared" ca="1" si="55"/>
        <v/>
      </c>
      <c r="AA142" s="1394"/>
      <c r="AB142" s="368"/>
      <c r="AC142" s="1454"/>
      <c r="AD142" s="901" t="str">
        <f>IF($AC$130&gt;=ROWS(AD$130:AD142),ROWS(AD$130:AD142),"")</f>
        <v/>
      </c>
      <c r="AE142" s="701" t="str">
        <f ca="1">IF(AD142=ROWS(AE$130:AE142),RAND(),"")</f>
        <v/>
      </c>
      <c r="AF142" s="901" t="str">
        <f>IF(AD142=ROWS(AF$130:AF142),RANK(AE142,$AE$130:$AE$145),"")</f>
        <v/>
      </c>
      <c r="AG142" s="368" t="str">
        <f>IF(ROWS(AG$130:AG142)&gt;AC$130,"",INDEX($AB$130:$AB$145,_xlfn.AGGREGATE(15,6,(ROW($AB$130:$AB$145)-ROW($AB$130)+1)/ISNA(MATCH($AB$130:$AB$145,$AA$130:$AA$145,0)),ROWS(AG$130:AG142))))</f>
        <v/>
      </c>
      <c r="AH142" s="1363" t="str">
        <f t="shared" ca="1" si="56"/>
        <v/>
      </c>
      <c r="AI142" s="1394"/>
      <c r="AJ142" s="368"/>
      <c r="AK142" s="1454"/>
      <c r="AL142" s="901" t="str">
        <f>IF($AK$130&gt;=ROWS(AL$130:AL142),ROWS(AL$130:AL142),"")</f>
        <v/>
      </c>
      <c r="AM142" s="1495" t="str">
        <f ca="1">IF(AL142=ROWS(AM$130:AM142),RAND(),"")</f>
        <v/>
      </c>
      <c r="AN142" s="901" t="str">
        <f>IF(AL142=ROWS(AN$130:AN142),RANK(AM142,$AM$130:$AM$145),"")</f>
        <v/>
      </c>
      <c r="AO142" s="368" t="str">
        <f>IF(ROWS(AO$130:AO142)&gt;AK$130,"",INDEX($AJ$130:$AJ$145,_xlfn.AGGREGATE(15,6,(ROW($AJ$130:$AJ$145)-ROW($AJ$130)+1)/ISNA(MATCH($AJ$130:$AJ$145,$AI$130:$AI$145,0)),ROWS(AO$130:AO142))))</f>
        <v/>
      </c>
      <c r="AP142" s="1363" t="str">
        <f t="shared" ca="1" si="58"/>
        <v/>
      </c>
      <c r="AQ142" s="273"/>
      <c r="AR142" s="1497" t="s">
        <v>6191</v>
      </c>
      <c r="AS142" s="701" t="s">
        <v>7447</v>
      </c>
      <c r="AT142" s="904">
        <v>5</v>
      </c>
      <c r="BT142" s="2797"/>
      <c r="BU142" s="273"/>
      <c r="BV142" s="273"/>
      <c r="BW142" s="543"/>
      <c r="BY142" s="273"/>
      <c r="BZ142" s="543"/>
      <c r="CA142" s="543"/>
      <c r="CB142" s="543"/>
    </row>
    <row r="143" spans="2:80" ht="12" customHeight="1">
      <c r="B143" s="1336">
        <v>14</v>
      </c>
      <c r="C143" s="382"/>
      <c r="D143" s="368" t="s">
        <v>7568</v>
      </c>
      <c r="E143" s="1454"/>
      <c r="F143" s="901">
        <f>IF($E$130&gt;=ROWS(F$130:F143),ROWS(F$130:F143),"")</f>
        <v>14</v>
      </c>
      <c r="G143" s="1495">
        <f ca="1">IF(F143=ROWS(G$130:G143),RAND(),"")</f>
        <v>0.26698916364289926</v>
      </c>
      <c r="H143" s="901">
        <f ca="1">IF(F143=ROWS(H$130:H143),RANK(G143,$G$130:$G$145),"")</f>
        <v>10</v>
      </c>
      <c r="I143" s="368" t="str">
        <f>IF(ROWS(I$130:I143)&gt;E$130,"",INDEX($D$130:$D$145,_xlfn.AGGREGATE(15,6,(ROW($D$130:$D$145)-ROW($D$130)+1)/ISNA(MATCH($D$130:$D$145,$C$130:$C$145,0)),ROWS(I$130:I143))))</f>
        <v>Thunderous Smite</v>
      </c>
      <c r="J143" s="1363" t="str">
        <f t="shared" ca="1" si="53"/>
        <v>Wrathful Smite</v>
      </c>
      <c r="K143" s="1394"/>
      <c r="L143" s="368"/>
      <c r="M143" s="1454"/>
      <c r="N143" s="901" t="str">
        <f>IF($M$130&gt;=ROWS(N$130:N143),ROWS(N$130:N143),"")</f>
        <v/>
      </c>
      <c r="O143" s="701" t="str">
        <f ca="1">IF(N143=ROWS(O$130:O143),RAND(),"")</f>
        <v/>
      </c>
      <c r="P143" s="901" t="str">
        <f>IF(N143=ROWS(P$130:P143),RANK(O143,$O$130:$O$145),"")</f>
        <v/>
      </c>
      <c r="Q143" s="368" t="str">
        <f>IF(ROWS(Q$130:Q143)&gt;M$130,"",INDEX($L$130:$L$145,_xlfn.AGGREGATE(15,6,(ROW($L$130:$L$145)-ROW($L$130)+1)/ISNA(MATCH($L$130:$L$145,$K$130:$K$145,0)),ROWS(Q$130:Q143))))</f>
        <v/>
      </c>
      <c r="R143" s="1363" t="str">
        <f t="shared" ca="1" si="59"/>
        <v/>
      </c>
      <c r="S143" s="1394"/>
      <c r="T143" s="368"/>
      <c r="U143" s="1454"/>
      <c r="V143" s="901" t="str">
        <f>IF($U$130&gt;=ROWS(V$130:V143),ROWS(V$130:V143),"")</f>
        <v/>
      </c>
      <c r="W143" s="1495" t="str">
        <f ca="1">IF(V143=ROWS(W$130:W143),RAND(),"")</f>
        <v/>
      </c>
      <c r="X143" s="901" t="str">
        <f>IF(V143=ROWS(X$130:X143),RANK(W143,$W$130:$W$145),"")</f>
        <v/>
      </c>
      <c r="Y143" s="368" t="str">
        <f>IF(ROWS(Y$130:Y143)&gt;U$130,"",INDEX($T$130:$T$145,_xlfn.AGGREGATE(15,6,(ROW($T$130:$T$145)-ROW($T$130)+1)/ISNA(MATCH($T$130:$T$145,$S$130:$S$145,0)),ROWS(Y$130:Y143))))</f>
        <v/>
      </c>
      <c r="Z143" s="1363" t="str">
        <f t="shared" ca="1" si="55"/>
        <v/>
      </c>
      <c r="AA143" s="1394"/>
      <c r="AB143" s="368"/>
      <c r="AC143" s="1454"/>
      <c r="AD143" s="901" t="str">
        <f>IF($AC$130&gt;=ROWS(AD$130:AD143),ROWS(AD$130:AD143),"")</f>
        <v/>
      </c>
      <c r="AE143" s="701" t="str">
        <f ca="1">IF(AD143=ROWS(AE$130:AE143),RAND(),"")</f>
        <v/>
      </c>
      <c r="AF143" s="901" t="str">
        <f>IF(AD143=ROWS(AF$130:AF143),RANK(AE143,$AE$130:$AE$145),"")</f>
        <v/>
      </c>
      <c r="AG143" s="368" t="str">
        <f>IF(ROWS(AG$130:AG143)&gt;AC$130,"",INDEX($AB$130:$AB$145,_xlfn.AGGREGATE(15,6,(ROW($AB$130:$AB$145)-ROW($AB$130)+1)/ISNA(MATCH($AB$130:$AB$145,$AA$130:$AA$145,0)),ROWS(AG$130:AG143))))</f>
        <v/>
      </c>
      <c r="AH143" s="1363" t="str">
        <f t="shared" ca="1" si="56"/>
        <v/>
      </c>
      <c r="AI143" s="1394"/>
      <c r="AJ143" s="368"/>
      <c r="AK143" s="1454"/>
      <c r="AL143" s="901" t="str">
        <f>IF($AK$130&gt;=ROWS(AL$130:AL143),ROWS(AL$130:AL143),"")</f>
        <v/>
      </c>
      <c r="AM143" s="1495" t="str">
        <f ca="1">IF(AL143=ROWS(AM$130:AM143),RAND(),"")</f>
        <v/>
      </c>
      <c r="AN143" s="901" t="str">
        <f>IF(AL143=ROWS(AN$130:AN143),RANK(AM143,$AM$130:$AM$145),"")</f>
        <v/>
      </c>
      <c r="AO143" s="368" t="str">
        <f>IF(ROWS(AO$130:AO143)&gt;AK$130,"",INDEX($AJ$130:$AJ$145,_xlfn.AGGREGATE(15,6,(ROW($AJ$130:$AJ$145)-ROW($AJ$130)+1)/ISNA(MATCH($AJ$130:$AJ$145,$AI$130:$AI$145,0)),ROWS(AO$130:AO143))))</f>
        <v/>
      </c>
      <c r="AP143" s="1363" t="str">
        <f t="shared" ca="1" si="58"/>
        <v/>
      </c>
      <c r="AQ143" s="273"/>
      <c r="AR143" s="1497" t="s">
        <v>6191</v>
      </c>
      <c r="AS143" s="701" t="s">
        <v>7265</v>
      </c>
      <c r="AT143" s="904">
        <v>9</v>
      </c>
      <c r="BT143" s="3060"/>
      <c r="BU143" s="273"/>
      <c r="BV143" s="273"/>
      <c r="BW143" s="543"/>
      <c r="BY143" s="273"/>
      <c r="BZ143" s="543"/>
      <c r="CA143" s="543"/>
      <c r="CB143" s="543"/>
    </row>
    <row r="144" spans="2:80" ht="12" customHeight="1">
      <c r="B144" s="1336">
        <v>15</v>
      </c>
      <c r="C144" s="382"/>
      <c r="D144" s="368" t="s">
        <v>7569</v>
      </c>
      <c r="E144" s="1454"/>
      <c r="F144" s="901">
        <f>IF($E$130&gt;=ROWS(F$130:F144),ROWS(F$130:F144),"")</f>
        <v>15</v>
      </c>
      <c r="G144" s="1495">
        <f ca="1">IF(F144=ROWS(G$130:G144),RAND(),"")</f>
        <v>0.17242378851199469</v>
      </c>
      <c r="H144" s="901">
        <f ca="1">IF(F144=ROWS(H$130:H144),RANK(G144,$G$130:$G$145),"")</f>
        <v>12</v>
      </c>
      <c r="I144" s="368" t="str">
        <f>IF(ROWS(I$130:I144)&gt;E$130,"",INDEX($D$130:$D$145,_xlfn.AGGREGATE(15,6,(ROW($D$130:$D$145)-ROW($D$130)+1)/ISNA(MATCH($D$130:$D$145,$C$130:$C$145,0)),ROWS(I$130:I144))))</f>
        <v>Wrathful Smite</v>
      </c>
      <c r="J144" s="1363" t="str">
        <f t="shared" ca="1" si="53"/>
        <v>Detect Magic</v>
      </c>
      <c r="K144" s="1415"/>
      <c r="L144" s="402"/>
      <c r="M144" s="1454"/>
      <c r="N144" s="1421" t="str">
        <f>IF($M$130&gt;=ROWS(N$130:N144),ROWS(N$130:N144),"")</f>
        <v/>
      </c>
      <c r="O144" s="1346" t="str">
        <f ca="1">IF(N144=ROWS(O$130:O144),RAND(),"")</f>
        <v/>
      </c>
      <c r="P144" s="1421" t="str">
        <f>IF(N144=ROWS(P$130:P144),RANK(O144,$O$130:$O$145),"")</f>
        <v/>
      </c>
      <c r="Q144" s="402" t="str">
        <f>IF(ROWS(Q$130:Q144)&gt;M$130,"",INDEX($L$130:$L$145,_xlfn.AGGREGATE(15,6,(ROW($L$130:$L$145)-ROW($L$130)+1)/ISNA(MATCH($L$130:$L$145,$K$130:$K$145,0)),ROWS(Q$130:Q144))))</f>
        <v/>
      </c>
      <c r="R144" s="1363" t="str">
        <f t="shared" ca="1" si="59"/>
        <v/>
      </c>
      <c r="S144" s="1394"/>
      <c r="T144" s="368"/>
      <c r="U144" s="1454"/>
      <c r="V144" s="901" t="str">
        <f>IF($U$130&gt;=ROWS(V$130:V144),ROWS(V$130:V144),"")</f>
        <v/>
      </c>
      <c r="W144" s="1495" t="str">
        <f ca="1">IF(V144=ROWS(W$130:W144),RAND(),"")</f>
        <v/>
      </c>
      <c r="X144" s="901" t="str">
        <f>IF(V144=ROWS(X$130:X144),RANK(W144,$W$130:$W$145),"")</f>
        <v/>
      </c>
      <c r="Y144" s="368" t="str">
        <f>IF(ROWS(Y$130:Y144)&gt;U$130,"",INDEX($T$130:$T$145,_xlfn.AGGREGATE(15,6,(ROW($T$130:$T$145)-ROW($T$130)+1)/ISNA(MATCH($T$130:$T$145,$S$130:$S$145,0)),ROWS(Y$130:Y144))))</f>
        <v/>
      </c>
      <c r="Z144" s="1363" t="str">
        <f t="shared" ca="1" si="55"/>
        <v/>
      </c>
      <c r="AA144" s="1394"/>
      <c r="AB144" s="368"/>
      <c r="AC144" s="1454"/>
      <c r="AD144" s="901" t="str">
        <f>IF($AC$130&gt;=ROWS(AD$130:AD144),ROWS(AD$130:AD144),"")</f>
        <v/>
      </c>
      <c r="AE144" s="701" t="str">
        <f ca="1">IF(AD144=ROWS(AE$130:AE144),RAND(),"")</f>
        <v/>
      </c>
      <c r="AF144" s="901" t="str">
        <f>IF(AD144=ROWS(AF$130:AF144),RANK(AE144,$AE$130:$AE$145),"")</f>
        <v/>
      </c>
      <c r="AG144" s="368" t="str">
        <f>IF(ROWS(AG$130:AG144)&gt;AC$130,"",INDEX($AB$130:$AB$145,_xlfn.AGGREGATE(15,6,(ROW($AB$130:$AB$145)-ROW($AB$130)+1)/ISNA(MATCH($AB$130:$AB$145,$AA$130:$AA$145,0)),ROWS(AG$130:AG144))))</f>
        <v/>
      </c>
      <c r="AH144" s="1363" t="str">
        <f t="shared" ca="1" si="56"/>
        <v/>
      </c>
      <c r="AI144" s="1415"/>
      <c r="AJ144" s="402"/>
      <c r="AK144" s="1454"/>
      <c r="AL144" s="1421" t="str">
        <f>IF($AK$130&gt;=ROWS(AL$130:AL144),ROWS(AL$130:AL144),"")</f>
        <v/>
      </c>
      <c r="AM144" s="1499" t="str">
        <f ca="1">IF(AL144=ROWS(AM$130:AM144),RAND(),"")</f>
        <v/>
      </c>
      <c r="AN144" s="1421" t="str">
        <f>IF(AL144=ROWS(AN$130:AN144),RANK(AM144,$AM$130:$AM$145),"")</f>
        <v/>
      </c>
      <c r="AO144" s="402" t="str">
        <f>IF(ROWS(AO$130:AO144)&gt;AK$130,"",INDEX($AJ$130:$AJ$145,_xlfn.AGGREGATE(15,6,(ROW($AJ$130:$AJ$145)-ROW($AJ$130)+1)/ISNA(MATCH($AJ$130:$AJ$145,$AI$130:$AI$145,0)),ROWS(AO$130:AO144))))</f>
        <v/>
      </c>
      <c r="AP144" s="1390" t="str">
        <f t="shared" ca="1" si="58"/>
        <v/>
      </c>
      <c r="AQ144" s="273"/>
      <c r="AR144" s="1497" t="s">
        <v>6191</v>
      </c>
      <c r="AS144" s="701" t="s">
        <v>7570</v>
      </c>
      <c r="AT144" s="904">
        <v>9</v>
      </c>
      <c r="BT144" s="2797"/>
      <c r="BU144" s="273"/>
      <c r="BV144" s="273"/>
      <c r="BW144" s="543"/>
      <c r="BY144" s="273"/>
      <c r="BZ144" s="543"/>
      <c r="CA144" s="543"/>
      <c r="CB144" s="543"/>
    </row>
    <row r="145" spans="2:80" ht="12" customHeight="1">
      <c r="B145" s="1414">
        <v>16</v>
      </c>
      <c r="C145" s="398"/>
      <c r="D145" s="1343"/>
      <c r="E145" s="1454"/>
      <c r="F145" s="1421" t="str">
        <f>IF($E$130&gt;=ROWS(F$130:F145),ROWS(F$130:F145),"")</f>
        <v/>
      </c>
      <c r="G145" s="1346" t="str">
        <f ca="1">IF(F145=ROWS(G$130:G145),RAND(),"")</f>
        <v/>
      </c>
      <c r="H145" s="1421" t="str">
        <f>IF(F145=ROWS(H$130:H145),RANK(G145,$G$130:$G$145),"")</f>
        <v/>
      </c>
      <c r="I145" s="402" t="str">
        <f>IF(ROWS(I$130:I145)&gt;E$130,"",INDEX($D$130:$D$145,_xlfn.AGGREGATE(15,6,(ROW($D$130:$D$145)-ROW($D$130)+1)/ISNA(MATCH($D$130:$D$145,$C$130:$C$145,0)),ROWS(I$130:I145))))</f>
        <v/>
      </c>
      <c r="J145" s="1363" t="str">
        <f t="shared" ca="1" si="53"/>
        <v>Command</v>
      </c>
      <c r="K145" s="1415"/>
      <c r="L145" s="1343"/>
      <c r="M145" s="1454"/>
      <c r="N145" s="1421" t="str">
        <f>IF($M$130&gt;=ROWS(N$130:N145),ROWS(N$130:N145),"")</f>
        <v/>
      </c>
      <c r="O145" s="1346" t="str">
        <f ca="1">IF(N145=ROWS(O$130:O145),RAND(),"")</f>
        <v/>
      </c>
      <c r="P145" s="1421" t="str">
        <f>IF(N145=ROWS(P$130:P145),RANK(O145,$O$130:$O$145),"")</f>
        <v/>
      </c>
      <c r="Q145" s="402" t="str">
        <f>IF(ROWS(Q$130:Q145)&gt;M$130,"",INDEX($L$130:$L$145,_xlfn.AGGREGATE(15,6,(ROW($L$130:$L$145)-ROW($L$130)+1)/ISNA(MATCH($L$130:$L$145,$K$130:$K$145,0)),ROWS(Q$130:Q145))))</f>
        <v/>
      </c>
      <c r="R145" s="1390" t="str">
        <f t="shared" ca="1" si="59"/>
        <v/>
      </c>
      <c r="S145" s="1415"/>
      <c r="T145" s="1343"/>
      <c r="U145" s="1454"/>
      <c r="V145" s="1421" t="str">
        <f>IF($U$130&gt;=ROWS(V$130:V145),ROWS(V$130:V145),"")</f>
        <v/>
      </c>
      <c r="W145" s="1499" t="str">
        <f ca="1">IF(V145=ROWS(W$130:W145),RAND(),"")</f>
        <v/>
      </c>
      <c r="X145" s="1500" t="str">
        <f>IF(V145=ROWS(X$130:X145),RANK(W145,$O$130:$O$145),"")</f>
        <v/>
      </c>
      <c r="Y145" s="402" t="str">
        <f>IF(ROWS(Y$130:Y145)&gt;U$130,"",INDEX($T$130:$T$145,_xlfn.AGGREGATE(15,6,(ROW($T$130:$T$145)-ROW($T$130)+1)/ISNA(MATCH($T$130:$T$145,$S$130:$S$145,0)),ROWS(Y$130:Y145))))</f>
        <v/>
      </c>
      <c r="Z145" s="1390" t="str">
        <f t="shared" ca="1" si="55"/>
        <v/>
      </c>
      <c r="AA145" s="1415"/>
      <c r="AB145" s="1343"/>
      <c r="AC145" s="1454"/>
      <c r="AD145" s="1421" t="str">
        <f>IF($AC$130&gt;=ROWS(AD$130:AD145),ROWS(AD$130:AD145),"")</f>
        <v/>
      </c>
      <c r="AE145" s="1346" t="str">
        <f ca="1">IF(AD145=ROWS(AE$130:AE145),RAND(),"")</f>
        <v/>
      </c>
      <c r="AF145" s="1421" t="str">
        <f>IF(AD145=ROWS(AF$130:AF145),RANK(AE145,$AE$130:$AE$145),"")</f>
        <v/>
      </c>
      <c r="AG145" s="402" t="str">
        <f>IF(ROWS(AG$130:AG145)&gt;AC$130,"",INDEX($AB$130:$AB$145,_xlfn.AGGREGATE(15,6,(ROW($AB$130:$AB$145)-ROW($AB$130)+1)/ISNA(MATCH($AB$130:$AB$145,$AA$130:$AA$145,0)),ROWS(AG$130:AG145))))</f>
        <v/>
      </c>
      <c r="AH145" s="1390" t="str">
        <f ca="1">VLOOKUP(AD145,$AF$130:$AG$145,2,FALSE)</f>
        <v/>
      </c>
      <c r="AI145" s="1394"/>
      <c r="AJ145" s="1337"/>
      <c r="AK145" s="1454"/>
      <c r="AL145" s="901" t="str">
        <f>IF($AK$130&gt;=ROWS(AL$130:AL145),ROWS(AL$130:AL145),"")</f>
        <v/>
      </c>
      <c r="AM145" s="1459" t="str">
        <f ca="1">IF(AL145=ROWS(AM$130:AM145),RAND(),"")</f>
        <v/>
      </c>
      <c r="AN145" s="901" t="str">
        <f>IF(AL145=ROWS(AN$130:AN145),RANK(AM145,$AM$130:$AM$145),"")</f>
        <v/>
      </c>
      <c r="AO145" s="368" t="str">
        <f>IF(ROWS(AO$130:AO145)&gt;AK$130,"",INDEX($AJ$130:$AJ$145,_xlfn.AGGREGATE(15,6,(ROW($AJ$130:$AJ$145)-ROW($AJ$130)+1)/ISNA(MATCH($AJ$130:$AJ$145,$AI$130:$AI$145,0)),ROWS(AO$130:AO145))))</f>
        <v/>
      </c>
      <c r="AP145" s="1363" t="str">
        <f t="shared" ca="1" si="58"/>
        <v/>
      </c>
      <c r="AQ145" s="273"/>
      <c r="AR145" s="1497" t="s">
        <v>6191</v>
      </c>
      <c r="AS145" s="701" t="s">
        <v>7405</v>
      </c>
      <c r="AT145" s="904">
        <v>13</v>
      </c>
      <c r="BT145" s="2797"/>
      <c r="BU145" s="273"/>
      <c r="BV145" s="273"/>
      <c r="BW145" s="543"/>
      <c r="BY145" s="273"/>
      <c r="BZ145" s="543"/>
      <c r="CA145" s="1488"/>
      <c r="CB145" s="543"/>
    </row>
    <row r="146" spans="2:80" ht="12" customHeight="1" thickBot="1">
      <c r="B146" s="1474">
        <v>17</v>
      </c>
      <c r="C146" s="1348"/>
      <c r="D146" s="1351"/>
      <c r="E146" s="1501"/>
      <c r="F146" s="1502" t="str">
        <f>IF($E$130&gt;=ROWS(F$130:F146),ROWS(F$130:F146),"")</f>
        <v/>
      </c>
      <c r="G146" s="1353" t="str">
        <f ca="1">IF(F146=ROWS(G$130:G146),RAND(),"")</f>
        <v/>
      </c>
      <c r="H146" s="1430" t="str">
        <f>IF(F146=ROWS(H$130:H146),RANK(G146,$G$130:$G$145),"")</f>
        <v/>
      </c>
      <c r="I146" s="1424" t="str">
        <f>IF(ROWS(I$130:I146)&gt;E$130,"",INDEX($D$130:$D$145,_xlfn.AGGREGATE(15,6,(ROW($D$130:$D$145)-ROW($D$130)+1)/ISNA(MATCH($D$130:$D$145,$C$130:$C$145,0)),ROWS(I$130:I146))))</f>
        <v/>
      </c>
      <c r="J146" s="1390" t="str">
        <f t="shared" ca="1" si="53"/>
        <v>Purify Food and Drink</v>
      </c>
      <c r="K146" s="1426"/>
      <c r="L146" s="1503"/>
      <c r="M146" s="1475"/>
      <c r="N146" s="1430" t="str">
        <f>IF($M$130&gt;=ROWS(N$130:N146),ROWS(N$130:N146),"")</f>
        <v/>
      </c>
      <c r="O146" s="1424"/>
      <c r="P146" s="1424"/>
      <c r="Q146" s="1424"/>
      <c r="R146" s="1429" t="str">
        <f ca="1">VLOOKUP(N146,$P$130:$Q$146,2,FALSE)</f>
        <v/>
      </c>
      <c r="S146" s="1426"/>
      <c r="T146" s="1351"/>
      <c r="U146" s="1475"/>
      <c r="V146" s="1430" t="str">
        <f>IF($U$130&gt;=ROWS(V$130:V146),ROWS(V$130:V146),"")</f>
        <v/>
      </c>
      <c r="W146" s="1481" t="str">
        <f ca="1">IF(V146=ROWS(W$130:W146),RAND(),"")</f>
        <v/>
      </c>
      <c r="X146" s="1430" t="str">
        <f>IF(V146=ROWS(X$130:X146),RANK(W146,$O$130:$O$145),"")</f>
        <v/>
      </c>
      <c r="Y146" s="1424" t="str">
        <f>IF(ROWS(Y$130:Y146)&gt;U$130,"",INDEX($T$130:$T$145,_xlfn.AGGREGATE(15,6,(ROW($T$130:$T$145)-ROW($T$130)+1)/ISNA(MATCH($T$130:$T$145,$S$130:$S$145,0)),ROWS(Y$130:Y146))))</f>
        <v/>
      </c>
      <c r="Z146" s="1429" t="str">
        <f t="shared" ca="1" si="55"/>
        <v/>
      </c>
      <c r="AA146" s="1426"/>
      <c r="AB146" s="1351"/>
      <c r="AC146" s="1475"/>
      <c r="AD146" s="1430" t="str">
        <f>IF($AC$130&gt;=ROWS(AD$130:AD146),ROWS(AD$130:AD146),"")</f>
        <v/>
      </c>
      <c r="AE146" s="1424" t="str">
        <f ca="1">IF(AD146=ROWS(AE$130:AE146),RAND(),"")</f>
        <v/>
      </c>
      <c r="AF146" s="1430" t="str">
        <f>IF(AD146=ROWS(AF$130:AF146),RANK(AE146,$AE$130:$AE$145),"")</f>
        <v/>
      </c>
      <c r="AG146" s="1424" t="str">
        <f>IF(ROWS(AG$130:AG146)&gt;AC$130,"",INDEX($AB$130:$AB$145,_xlfn.AGGREGATE(15,6,(ROW($AB$130:$AB$145)-ROW($AB$130)+1)/ISNA(MATCH($AB$130:$AB$145,$AA$130:$AA$145,0)),ROWS(AG$130:AG146))))</f>
        <v/>
      </c>
      <c r="AH146" s="1429" t="str">
        <f ca="1">VLOOKUP(AD146,$AF$130:$AG$145,2,FALSE)</f>
        <v/>
      </c>
      <c r="AI146" s="1426"/>
      <c r="AJ146" s="1351"/>
      <c r="AK146" s="1475"/>
      <c r="AL146" s="1430" t="str">
        <f>IF($AK$130&gt;=ROWS(AL$130:AL146),ROWS(AL$130:AL146),"")</f>
        <v/>
      </c>
      <c r="AM146" s="1481" t="str">
        <f ca="1">IF(AL146=ROWS(AM$130:AM146),RAND(),"")</f>
        <v/>
      </c>
      <c r="AN146" s="1430" t="str">
        <f>IF(AL146=ROWS(AN$130:AN146),RANK(AM146,$AM$130:$AM$145),"")</f>
        <v/>
      </c>
      <c r="AO146" s="1424" t="str">
        <f>IF(ROWS(AO$130:AO146)&gt;AK$130,"",INDEX($AJ$130:$AJ$145,_xlfn.AGGREGATE(15,6,(ROW($AJ$130:$AJ$145)-ROW($AJ$130)+1)/ISNA(MATCH($AJ$130:$AJ$145,$AI$130:$AI$145,0)),ROWS(AO$130:AO146))))</f>
        <v/>
      </c>
      <c r="AP146" s="1429" t="str">
        <f t="shared" ca="1" si="58"/>
        <v/>
      </c>
      <c r="AQ146" s="273"/>
      <c r="AR146" s="1497" t="s">
        <v>6191</v>
      </c>
      <c r="AS146" s="701" t="s">
        <v>7406</v>
      </c>
      <c r="AT146" s="904">
        <v>13</v>
      </c>
      <c r="BT146" s="2797"/>
      <c r="BU146" s="273"/>
      <c r="BV146" s="273"/>
      <c r="BW146" s="543"/>
      <c r="BY146" s="273"/>
      <c r="BZ146" s="543"/>
      <c r="CA146" s="1488"/>
      <c r="CB146" s="543"/>
    </row>
    <row r="147" spans="2:80" ht="12" customHeight="1" thickTop="1">
      <c r="B147" s="3308" t="s">
        <v>7303</v>
      </c>
      <c r="C147" s="3309"/>
      <c r="G147" s="1335"/>
      <c r="I147" s="273"/>
      <c r="J147" s="1504"/>
      <c r="L147" s="1335"/>
      <c r="N147" s="273"/>
      <c r="O147" s="273"/>
      <c r="P147" s="273"/>
      <c r="Q147" s="273"/>
      <c r="R147" s="273"/>
      <c r="S147" s="273"/>
      <c r="T147" s="273"/>
      <c r="U147" s="273"/>
      <c r="W147" s="1335"/>
      <c r="Y147" s="273"/>
      <c r="Z147" s="273"/>
      <c r="AA147" s="273"/>
      <c r="AB147" s="273"/>
      <c r="AC147" s="273"/>
      <c r="AE147" s="1335"/>
      <c r="AG147" s="273"/>
      <c r="AH147" s="273"/>
      <c r="AJ147" s="273"/>
      <c r="AK147" s="273"/>
      <c r="AM147" s="1335"/>
      <c r="AO147" s="273"/>
      <c r="AP147" s="273"/>
      <c r="AQ147" s="273"/>
      <c r="AR147" s="1497" t="s">
        <v>6191</v>
      </c>
      <c r="AS147" s="701" t="s">
        <v>7571</v>
      </c>
      <c r="AT147" s="904">
        <v>17</v>
      </c>
      <c r="BT147" s="2797"/>
      <c r="BU147" s="273"/>
      <c r="BV147" s="273"/>
      <c r="BW147" s="543"/>
      <c r="BY147" s="273"/>
      <c r="BZ147" s="543"/>
      <c r="CA147" s="1488"/>
      <c r="CB147" s="543"/>
    </row>
    <row r="148" spans="2:80" ht="12" customHeight="1" thickBot="1">
      <c r="G148" s="1335"/>
      <c r="I148" s="273"/>
      <c r="J148" s="273"/>
      <c r="L148" s="1335"/>
      <c r="N148" s="273"/>
      <c r="O148" s="273"/>
      <c r="P148" s="273"/>
      <c r="Q148" s="273"/>
      <c r="R148" s="273"/>
      <c r="S148" s="273"/>
      <c r="T148" s="273"/>
      <c r="U148" s="273"/>
      <c r="W148" s="1335"/>
      <c r="Y148" s="273"/>
      <c r="Z148" s="273"/>
      <c r="AA148" s="273"/>
      <c r="AB148" s="273"/>
      <c r="AC148" s="273"/>
      <c r="AE148" s="1335"/>
      <c r="AG148" s="273"/>
      <c r="AH148" s="273"/>
      <c r="AJ148" s="273"/>
      <c r="AK148" s="273"/>
      <c r="AM148" s="1335"/>
      <c r="AO148" s="273"/>
      <c r="AP148" s="273"/>
      <c r="AQ148" s="273"/>
      <c r="AR148" s="1505" t="s">
        <v>6191</v>
      </c>
      <c r="AS148" s="704" t="s">
        <v>4913</v>
      </c>
      <c r="AT148" s="904">
        <v>17</v>
      </c>
      <c r="BT148" s="2797"/>
      <c r="BU148" s="273"/>
      <c r="BV148" s="273"/>
      <c r="BW148" s="543"/>
      <c r="BY148" s="273"/>
      <c r="BZ148" s="543"/>
      <c r="CA148" s="1488"/>
      <c r="CB148" s="543"/>
    </row>
    <row r="149" spans="2:80" ht="12" customHeight="1" thickTop="1">
      <c r="B149" s="3330" t="s">
        <v>7572</v>
      </c>
      <c r="C149" s="3331"/>
      <c r="D149" s="3331"/>
      <c r="E149" s="3331"/>
      <c r="F149" s="3331"/>
      <c r="G149" s="3331"/>
      <c r="H149" s="3331"/>
      <c r="I149" s="3331"/>
      <c r="J149" s="3332"/>
      <c r="K149" s="3330" t="s">
        <v>7573</v>
      </c>
      <c r="L149" s="3331"/>
      <c r="M149" s="3331"/>
      <c r="N149" s="3331"/>
      <c r="O149" s="3331"/>
      <c r="P149" s="3331"/>
      <c r="Q149" s="3331"/>
      <c r="R149" s="3332"/>
      <c r="S149" s="3330" t="s">
        <v>7574</v>
      </c>
      <c r="T149" s="3331"/>
      <c r="U149" s="3331"/>
      <c r="V149" s="3331"/>
      <c r="W149" s="3331"/>
      <c r="X149" s="3331"/>
      <c r="Y149" s="3331"/>
      <c r="Z149" s="3332"/>
      <c r="AA149" s="3330" t="s">
        <v>7575</v>
      </c>
      <c r="AB149" s="3331"/>
      <c r="AC149" s="3331"/>
      <c r="AD149" s="3331"/>
      <c r="AE149" s="3331"/>
      <c r="AF149" s="3331"/>
      <c r="AG149" s="3331"/>
      <c r="AH149" s="3332"/>
      <c r="AI149" s="3330" t="s">
        <v>7576</v>
      </c>
      <c r="AJ149" s="3331"/>
      <c r="AK149" s="3331"/>
      <c r="AL149" s="3331"/>
      <c r="AM149" s="3331"/>
      <c r="AN149" s="3331"/>
      <c r="AO149" s="3331"/>
      <c r="AP149" s="3332"/>
      <c r="AQ149" s="273"/>
      <c r="AR149" s="1506" t="s">
        <v>6205</v>
      </c>
      <c r="AS149" s="701" t="s">
        <v>7193</v>
      </c>
      <c r="AT149" s="900">
        <v>3</v>
      </c>
      <c r="BT149" s="2797"/>
      <c r="BU149" s="273"/>
      <c r="BV149" s="273"/>
      <c r="BW149" s="543"/>
      <c r="BY149" s="273"/>
      <c r="BZ149" s="1491"/>
      <c r="CA149" s="1488"/>
      <c r="CB149" s="543"/>
    </row>
    <row r="150" spans="2:80" ht="12" customHeight="1" thickBot="1">
      <c r="B150" s="3333"/>
      <c r="C150" s="2932"/>
      <c r="D150" s="2932"/>
      <c r="E150" s="2932"/>
      <c r="F150" s="2932"/>
      <c r="G150" s="2932"/>
      <c r="H150" s="2932"/>
      <c r="I150" s="2932"/>
      <c r="J150" s="3334"/>
      <c r="K150" s="3333"/>
      <c r="L150" s="2932"/>
      <c r="M150" s="2932"/>
      <c r="N150" s="2932"/>
      <c r="O150" s="2932"/>
      <c r="P150" s="2932"/>
      <c r="Q150" s="2932"/>
      <c r="R150" s="3334"/>
      <c r="S150" s="3333"/>
      <c r="T150" s="2932"/>
      <c r="U150" s="2932"/>
      <c r="V150" s="2932"/>
      <c r="W150" s="2932"/>
      <c r="X150" s="2932"/>
      <c r="Y150" s="2932"/>
      <c r="Z150" s="3334"/>
      <c r="AA150" s="3333"/>
      <c r="AB150" s="2932"/>
      <c r="AC150" s="2932"/>
      <c r="AD150" s="2932"/>
      <c r="AE150" s="2932"/>
      <c r="AF150" s="2932"/>
      <c r="AG150" s="2932"/>
      <c r="AH150" s="3334"/>
      <c r="AI150" s="3333"/>
      <c r="AJ150" s="2932"/>
      <c r="AK150" s="2932"/>
      <c r="AL150" s="2932"/>
      <c r="AM150" s="2932"/>
      <c r="AN150" s="2932"/>
      <c r="AO150" s="2932"/>
      <c r="AP150" s="3334"/>
      <c r="AQ150" s="273"/>
      <c r="AR150" s="1497" t="s">
        <v>6205</v>
      </c>
      <c r="AS150" s="701" t="s">
        <v>7577</v>
      </c>
      <c r="AT150" s="904">
        <v>3</v>
      </c>
      <c r="BT150" s="2797"/>
      <c r="BU150" s="273"/>
      <c r="BV150" s="273"/>
      <c r="BW150" s="543"/>
      <c r="BY150" s="273"/>
      <c r="BZ150" s="543"/>
      <c r="CA150" s="543"/>
      <c r="CB150" s="543"/>
    </row>
    <row r="151" spans="2:80" ht="12" customHeight="1">
      <c r="B151" s="1357" t="s">
        <v>7124</v>
      </c>
      <c r="C151" s="1358" t="s">
        <v>7124</v>
      </c>
      <c r="D151" s="3360" t="s">
        <v>7172</v>
      </c>
      <c r="E151" s="3360" t="s">
        <v>7315</v>
      </c>
      <c r="F151" s="3360" t="s">
        <v>7169</v>
      </c>
      <c r="G151" s="3360" t="s">
        <v>6598</v>
      </c>
      <c r="H151" s="3360" t="s">
        <v>6592</v>
      </c>
      <c r="I151" s="3360" t="s">
        <v>7317</v>
      </c>
      <c r="J151" s="3354" t="s">
        <v>7318</v>
      </c>
      <c r="K151" s="1358" t="s">
        <v>7124</v>
      </c>
      <c r="L151" s="3360" t="s">
        <v>7174</v>
      </c>
      <c r="M151" s="3360" t="s">
        <v>7315</v>
      </c>
      <c r="N151" s="3360" t="s">
        <v>7169</v>
      </c>
      <c r="O151" s="3360" t="s">
        <v>6598</v>
      </c>
      <c r="P151" s="3360" t="s">
        <v>6592</v>
      </c>
      <c r="Q151" s="3360" t="s">
        <v>7548</v>
      </c>
      <c r="R151" s="3354" t="s">
        <v>7318</v>
      </c>
      <c r="S151" s="1358" t="s">
        <v>7124</v>
      </c>
      <c r="T151" s="3360" t="s">
        <v>7175</v>
      </c>
      <c r="U151" s="3360" t="s">
        <v>7315</v>
      </c>
      <c r="V151" s="3360" t="s">
        <v>7169</v>
      </c>
      <c r="W151" s="3360" t="s">
        <v>6598</v>
      </c>
      <c r="X151" s="3360" t="s">
        <v>6592</v>
      </c>
      <c r="Y151" s="3360" t="s">
        <v>7549</v>
      </c>
      <c r="Z151" s="3354" t="s">
        <v>7318</v>
      </c>
      <c r="AA151" s="1358" t="s">
        <v>7124</v>
      </c>
      <c r="AB151" s="3360" t="s">
        <v>7176</v>
      </c>
      <c r="AC151" s="3360" t="s">
        <v>7315</v>
      </c>
      <c r="AD151" s="3360" t="s">
        <v>7169</v>
      </c>
      <c r="AE151" s="3360" t="s">
        <v>6598</v>
      </c>
      <c r="AF151" s="3360" t="s">
        <v>6592</v>
      </c>
      <c r="AG151" s="3360" t="s">
        <v>7578</v>
      </c>
      <c r="AH151" s="3354" t="s">
        <v>7318</v>
      </c>
      <c r="AI151" s="1358" t="s">
        <v>7124</v>
      </c>
      <c r="AJ151" s="3360" t="s">
        <v>7177</v>
      </c>
      <c r="AK151" s="3360" t="s">
        <v>7315</v>
      </c>
      <c r="AL151" s="3360" t="s">
        <v>7169</v>
      </c>
      <c r="AM151" s="3360" t="s">
        <v>6598</v>
      </c>
      <c r="AN151" s="3360" t="s">
        <v>6592</v>
      </c>
      <c r="AO151" s="3360" t="s">
        <v>7579</v>
      </c>
      <c r="AP151" s="3354" t="s">
        <v>7318</v>
      </c>
      <c r="AQ151" s="273"/>
      <c r="AR151" s="1497" t="s">
        <v>6205</v>
      </c>
      <c r="AS151" s="701" t="s">
        <v>7260</v>
      </c>
      <c r="AT151" s="904">
        <v>5</v>
      </c>
      <c r="BT151" s="2797"/>
      <c r="BU151" s="273"/>
      <c r="BV151" s="273"/>
      <c r="BW151" s="543"/>
      <c r="BY151" s="273"/>
      <c r="BZ151" s="543"/>
      <c r="CA151" s="543"/>
      <c r="CB151" s="543"/>
    </row>
    <row r="152" spans="2:80" ht="12" customHeight="1" thickBot="1">
      <c r="B152" s="1322">
        <f>COUNT(B153:B169)</f>
        <v>15</v>
      </c>
      <c r="C152" s="1324">
        <f>COUNT(C153:C167)</f>
        <v>15</v>
      </c>
      <c r="D152" s="3361"/>
      <c r="E152" s="3361"/>
      <c r="F152" s="3361"/>
      <c r="G152" s="3361"/>
      <c r="H152" s="3361"/>
      <c r="I152" s="3361"/>
      <c r="J152" s="3355"/>
      <c r="K152" s="1324">
        <f>COUNT(K153:K167)</f>
        <v>13</v>
      </c>
      <c r="L152" s="3361"/>
      <c r="M152" s="3361"/>
      <c r="N152" s="3361"/>
      <c r="O152" s="3361"/>
      <c r="P152" s="3361"/>
      <c r="Q152" s="3361"/>
      <c r="R152" s="3355"/>
      <c r="S152" s="1324">
        <f>COUNT(S153:S167)</f>
        <v>12</v>
      </c>
      <c r="T152" s="3361"/>
      <c r="U152" s="3361"/>
      <c r="V152" s="3361"/>
      <c r="W152" s="3361"/>
      <c r="X152" s="3361"/>
      <c r="Y152" s="3361"/>
      <c r="Z152" s="3355"/>
      <c r="AA152" s="1324">
        <f>COUNT(AA153:AA167)</f>
        <v>5</v>
      </c>
      <c r="AB152" s="3361"/>
      <c r="AC152" s="3361"/>
      <c r="AD152" s="3361"/>
      <c r="AE152" s="3361"/>
      <c r="AF152" s="3361"/>
      <c r="AG152" s="3361"/>
      <c r="AH152" s="3355"/>
      <c r="AI152" s="1324">
        <f>COUNT(AI153:AI167)</f>
        <v>4</v>
      </c>
      <c r="AJ152" s="3361"/>
      <c r="AK152" s="3361"/>
      <c r="AL152" s="3361"/>
      <c r="AM152" s="3361"/>
      <c r="AN152" s="3361"/>
      <c r="AO152" s="3361"/>
      <c r="AP152" s="3355"/>
      <c r="AQ152" s="273"/>
      <c r="AR152" s="1497" t="s">
        <v>6205</v>
      </c>
      <c r="AS152" s="701" t="s">
        <v>7447</v>
      </c>
      <c r="AT152" s="904">
        <v>5</v>
      </c>
      <c r="BT152" s="2797"/>
      <c r="BU152" s="273"/>
      <c r="BV152" s="273"/>
      <c r="BW152" s="543"/>
      <c r="BY152" s="273"/>
      <c r="BZ152" s="543"/>
      <c r="CA152" s="543"/>
      <c r="CB152" s="543"/>
    </row>
    <row r="153" spans="2:80" ht="12" customHeight="1" thickBot="1">
      <c r="B153" s="1326">
        <v>1</v>
      </c>
      <c r="C153" s="467">
        <v>1</v>
      </c>
      <c r="D153" s="1438" t="s">
        <v>7435</v>
      </c>
      <c r="E153" s="1494">
        <f>SUMPRODUCT(--ISNA(MATCH(D153:D167,C153:C167,0)))</f>
        <v>15</v>
      </c>
      <c r="F153" s="901">
        <f>IF($E$153&gt;=ROWS(F$153:F153),ROWS(F$153:F153),"")</f>
        <v>1</v>
      </c>
      <c r="G153" s="1446">
        <f ca="1">IF(F153=ROWS(G$153:G153),RAND(),"")</f>
        <v>9.0748737153083625E-2</v>
      </c>
      <c r="H153" s="467">
        <f ca="1">IF(F153=ROWS(H$153:H153),RANK(G153,$G$153:$G$167),"")</f>
        <v>13</v>
      </c>
      <c r="I153" s="1438" t="s">
        <v>7435</v>
      </c>
      <c r="J153" s="1379" t="str">
        <f t="shared" ref="J153:J167" ca="1" si="60">VLOOKUP(F153,$H$153:$I$167,2,FALSE)</f>
        <v>Jump</v>
      </c>
      <c r="K153" s="467">
        <v>1</v>
      </c>
      <c r="L153" s="368" t="s">
        <v>7185</v>
      </c>
      <c r="M153" s="1494">
        <f>SUMPRODUCT(--ISNA(MATCH(L153:L165,K153:K165,0)))</f>
        <v>13</v>
      </c>
      <c r="N153" s="901">
        <f>IF($M$153&gt;=ROWS(N$153:N153),ROWS(N$153:N153),"")</f>
        <v>1</v>
      </c>
      <c r="O153" s="1446">
        <f ca="1">IF(N153=ROWS(O$153:O153),RAND(),"")</f>
        <v>0.21006009349225585</v>
      </c>
      <c r="P153" s="467">
        <f ca="1">IF(N153=ROWS(P$153:P153),RANK(O153,$O$153:$O$167),"")</f>
        <v>8</v>
      </c>
      <c r="Q153" s="344" t="s">
        <v>7185</v>
      </c>
      <c r="R153" s="1379" t="str">
        <f t="shared" ref="R153:R165" ca="1" si="61">VLOOKUP(N153,$P$153:$Q$167,2,FALSE)</f>
        <v>Pass Without Trace</v>
      </c>
      <c r="S153" s="467">
        <v>1</v>
      </c>
      <c r="T153" s="368" t="s">
        <v>7443</v>
      </c>
      <c r="U153" s="1494">
        <f>SUMPRODUCT(--ISNA(MATCH(T153:T164,S153:S167,0)))</f>
        <v>12</v>
      </c>
      <c r="V153" s="901">
        <f>IF($U$153&gt;=ROWS(V$153:V153),ROWS(V$153:V153),"")</f>
        <v>1</v>
      </c>
      <c r="W153" s="1446">
        <f ca="1">IF(V153=ROWS(W$153:W153),RAND(),"")</f>
        <v>0.11331187850675395</v>
      </c>
      <c r="X153" s="467">
        <f ca="1">IF(V153=ROWS(X$153:X153),RANK(W153,$W$153:$W$167),"")</f>
        <v>9</v>
      </c>
      <c r="Y153" s="368" t="s">
        <v>7443</v>
      </c>
      <c r="Z153" s="1379" t="str">
        <f t="shared" ref="Z153:Z164" ca="1" si="62">VLOOKUP(V153,$X$153:$Y$167,2,FALSE)</f>
        <v>Nondetection</v>
      </c>
      <c r="AA153" s="467">
        <v>1</v>
      </c>
      <c r="AB153" s="368" t="s">
        <v>7462</v>
      </c>
      <c r="AC153" s="1494">
        <f>SUMPRODUCT(--ISNA(MATCH(AB153:AB157,AA153:AA157,0)))</f>
        <v>5</v>
      </c>
      <c r="AD153" s="901">
        <f>IF($AC$153&gt;=ROWS(AD$153:AD153),ROWS(AD$153:AD153),"")</f>
        <v>1</v>
      </c>
      <c r="AE153" s="1446">
        <f ca="1">IF(AD153=ROWS(AE$153:AE153),RAND(),"")</f>
        <v>0.7332788047908505</v>
      </c>
      <c r="AF153" s="467">
        <f ca="1">IF(AD153=ROWS(AF$153:AF153),RANK(AE153,$AE$153:$AE$167),"")</f>
        <v>1</v>
      </c>
      <c r="AG153" s="344" t="s">
        <v>7462</v>
      </c>
      <c r="AH153" s="1379" t="str">
        <f ca="1">VLOOKUP(AD153,$AF$153:$AG$157,2,FALSE)</f>
        <v>Conjure Woodland Beings</v>
      </c>
      <c r="AI153" s="467">
        <v>1</v>
      </c>
      <c r="AJ153" s="368" t="s">
        <v>7454</v>
      </c>
      <c r="AK153" s="1494">
        <f>SUMPRODUCT(--ISNA(MATCH(AJ153:AJ156,AI153:AI156,0)))</f>
        <v>4</v>
      </c>
      <c r="AL153" s="901">
        <f>IF($AK$153&gt;=ROWS(AL$153:AL153),ROWS(AL$153:AL153),"")</f>
        <v>1</v>
      </c>
      <c r="AM153" s="1446">
        <f ca="1">IF(AL153=ROWS(AM$153:AM153),RAND(),"")</f>
        <v>0.20435314493376433</v>
      </c>
      <c r="AN153" s="467">
        <f ca="1">IF(AL153=ROWS(AN$153:AN153),RANK(AM153,$AM$153:$AM$167),"")</f>
        <v>4</v>
      </c>
      <c r="AO153" s="1338" t="s">
        <v>7454</v>
      </c>
      <c r="AP153" s="1379" t="str">
        <f ca="1">VLOOKUP(AL153,$AN$153:$AO$157,2,FALSE)</f>
        <v>Swift Quiver</v>
      </c>
      <c r="AQ153" s="273"/>
      <c r="AR153" s="1497" t="s">
        <v>6205</v>
      </c>
      <c r="AS153" s="701" t="s">
        <v>7467</v>
      </c>
      <c r="AT153" s="904">
        <v>9</v>
      </c>
      <c r="BT153" s="3060"/>
      <c r="BU153" s="273"/>
      <c r="BV153" s="273"/>
      <c r="BW153" s="543"/>
      <c r="BY153" s="273"/>
      <c r="BZ153" s="543"/>
      <c r="CA153" s="1488"/>
      <c r="CB153" s="543"/>
    </row>
    <row r="154" spans="2:80" ht="12" customHeight="1">
      <c r="B154" s="1336">
        <v>2</v>
      </c>
      <c r="C154" s="382">
        <v>2</v>
      </c>
      <c r="D154" s="368" t="s">
        <v>7525</v>
      </c>
      <c r="E154" s="466"/>
      <c r="F154" s="901">
        <f>IF($E$153&gt;=ROWS(F$153:F154),ROWS(F$153:F154),"")</f>
        <v>2</v>
      </c>
      <c r="G154" s="1459">
        <f ca="1">IF(F154=ROWS(G$153:G154),RAND(),"")</f>
        <v>0.70123736917956092</v>
      </c>
      <c r="H154" s="382">
        <f ca="1">IF(F154=ROWS(H$153:H154),RANK(G154,$G$153:$G$167),"")</f>
        <v>6</v>
      </c>
      <c r="I154" s="368" t="s">
        <v>7525</v>
      </c>
      <c r="J154" s="1363" t="str">
        <f t="shared" ca="1" si="60"/>
        <v>Animal Friendship</v>
      </c>
      <c r="K154" s="382">
        <v>2</v>
      </c>
      <c r="L154" s="368" t="s">
        <v>7357</v>
      </c>
      <c r="M154" s="466"/>
      <c r="N154" s="901">
        <f>IF($M$153&gt;=ROWS(N$153:N154),ROWS(N$153:N154),"")</f>
        <v>2</v>
      </c>
      <c r="O154" s="1459">
        <f ca="1">IF(N154=ROWS(O$153:O154),RAND(),"")</f>
        <v>8.1893533347401681E-2</v>
      </c>
      <c r="P154" s="382">
        <f ca="1">IF(N154=ROWS(P$153:P154),RANK(O154,$O$153:$O$167),"")</f>
        <v>12</v>
      </c>
      <c r="Q154" s="368" t="s">
        <v>7357</v>
      </c>
      <c r="R154" s="1363" t="str">
        <f t="shared" ca="1" si="61"/>
        <v>Locate Animals or Plants</v>
      </c>
      <c r="S154" s="382">
        <v>2</v>
      </c>
      <c r="T154" s="368" t="s">
        <v>7580</v>
      </c>
      <c r="U154" s="466"/>
      <c r="V154" s="901">
        <f>IF($U$153&gt;=ROWS(V$153:V154),ROWS(V$153:V154),"")</f>
        <v>2</v>
      </c>
      <c r="W154" s="1459">
        <f ca="1">IF(V154=ROWS(W$153:W154),RAND(),"")</f>
        <v>6.2943149831462541E-3</v>
      </c>
      <c r="X154" s="382">
        <f ca="1">IF(V154=ROWS(X$153:X154),RANK(W154,$W$153:$W$167),"")</f>
        <v>12</v>
      </c>
      <c r="Y154" s="368" t="s">
        <v>7580</v>
      </c>
      <c r="Z154" s="1363" t="str">
        <f t="shared" ca="1" si="62"/>
        <v>Water Breathing</v>
      </c>
      <c r="AA154" s="382">
        <v>2</v>
      </c>
      <c r="AB154" s="368" t="s">
        <v>4090</v>
      </c>
      <c r="AC154" s="466"/>
      <c r="AD154" s="901">
        <f>IF($AC$153&gt;=ROWS(AD$153:AD154),ROWS(AD$153:AD154),"")</f>
        <v>2</v>
      </c>
      <c r="AE154" s="1459">
        <f ca="1">IF(AD154=ROWS(AE$153:AE154),RAND(),"")</f>
        <v>9.668039775874937E-2</v>
      </c>
      <c r="AF154" s="382">
        <f ca="1">IF(AD154=ROWS(AF$153:AF154),RANK(AE154,$AE$153:$AE$167),"")</f>
        <v>5</v>
      </c>
      <c r="AG154" s="368" t="s">
        <v>4090</v>
      </c>
      <c r="AH154" s="1363" t="str">
        <f ca="1">VLOOKUP(AD154,$AF$153:$AG$157,2,FALSE)</f>
        <v>Stoneskin</v>
      </c>
      <c r="AI154" s="382">
        <v>2</v>
      </c>
      <c r="AJ154" s="368" t="s">
        <v>7581</v>
      </c>
      <c r="AK154" s="466"/>
      <c r="AL154" s="901">
        <f>IF($AK$153&gt;=ROWS(AL$153:AL154),ROWS(AL$153:AL154),"")</f>
        <v>2</v>
      </c>
      <c r="AM154" s="1459">
        <f ca="1">IF(AL154=ROWS(AM$153:AM154),RAND(),"")</f>
        <v>0.22895179119955145</v>
      </c>
      <c r="AN154" s="382">
        <f ca="1">IF(AL154=ROWS(AN$153:AN154),RANK(AM154,$AM$153:$AM$167),"")</f>
        <v>3</v>
      </c>
      <c r="AO154" s="1338" t="s">
        <v>7581</v>
      </c>
      <c r="AP154" s="1363" t="str">
        <f ca="1">VLOOKUP(AL154,$AF$153:$AG$157,2,FALSE)</f>
        <v>Stoneskin</v>
      </c>
      <c r="AQ154" s="273"/>
      <c r="AR154" s="1497" t="s">
        <v>6205</v>
      </c>
      <c r="AS154" s="701" t="s">
        <v>7570</v>
      </c>
      <c r="AT154" s="904">
        <v>9</v>
      </c>
      <c r="BT154" s="2797"/>
      <c r="BU154" s="273"/>
      <c r="BV154" s="273"/>
      <c r="BW154" s="543"/>
      <c r="BY154" s="273"/>
      <c r="BZ154" s="543"/>
      <c r="CA154" s="1488"/>
      <c r="CB154" s="543"/>
    </row>
    <row r="155" spans="2:80" ht="12" customHeight="1">
      <c r="B155" s="1336">
        <v>3</v>
      </c>
      <c r="C155" s="382">
        <v>3</v>
      </c>
      <c r="D155" s="402" t="s">
        <v>7184</v>
      </c>
      <c r="E155" s="1454"/>
      <c r="F155" s="901">
        <f>IF($E$153&gt;=ROWS(F$153:F155),ROWS(F$153:F155),"")</f>
        <v>3</v>
      </c>
      <c r="G155" s="1459">
        <f ca="1">IF(F155=ROWS(G$153:G155),RAND(),"")</f>
        <v>0.931788597879046</v>
      </c>
      <c r="H155" s="382">
        <f ca="1">IF(F155=ROWS(H$153:H155),RANK(G155,$G$153:$G$167),"")</f>
        <v>2</v>
      </c>
      <c r="I155" s="402" t="s">
        <v>7184</v>
      </c>
      <c r="J155" s="1363" t="str">
        <f t="shared" ca="1" si="60"/>
        <v>Detect Magic</v>
      </c>
      <c r="K155" s="382">
        <v>3</v>
      </c>
      <c r="L155" s="368" t="s">
        <v>7452</v>
      </c>
      <c r="M155" s="1454"/>
      <c r="N155" s="901">
        <f>IF($M$153&gt;=ROWS(N$153:N155),ROWS(N$153:N155),"")</f>
        <v>3</v>
      </c>
      <c r="O155" s="1459">
        <f ca="1">IF(N155=ROWS(O$153:O155),RAND(),"")</f>
        <v>0.16892867013252477</v>
      </c>
      <c r="P155" s="382">
        <f ca="1">IF(N155=ROWS(P$153:P155),RANK(O155,$O$153:$O$167),"")</f>
        <v>10</v>
      </c>
      <c r="Q155" s="368" t="s">
        <v>7452</v>
      </c>
      <c r="R155" s="1363" t="str">
        <f t="shared" ca="1" si="61"/>
        <v>Locate Object</v>
      </c>
      <c r="S155" s="382">
        <v>3</v>
      </c>
      <c r="T155" s="368" t="s">
        <v>7378</v>
      </c>
      <c r="U155" s="1454"/>
      <c r="V155" s="901">
        <f>IF($U$153&gt;=ROWS(V$153:V155),ROWS(V$153:V155),"")</f>
        <v>3</v>
      </c>
      <c r="W155" s="1459">
        <f ca="1">IF(V155=ROWS(W$153:W155),RAND(),"")</f>
        <v>0.17373346899559439</v>
      </c>
      <c r="X155" s="382">
        <f ca="1">IF(V155=ROWS(X$153:X155),RANK(W155,$W$153:$W$167),"")</f>
        <v>8</v>
      </c>
      <c r="Y155" s="368" t="s">
        <v>7378</v>
      </c>
      <c r="Z155" s="1363" t="str">
        <f t="shared" ca="1" si="62"/>
        <v>Wind Wall</v>
      </c>
      <c r="AA155" s="382">
        <v>3</v>
      </c>
      <c r="AB155" s="368" t="s">
        <v>7495</v>
      </c>
      <c r="AC155" s="1454"/>
      <c r="AD155" s="901">
        <f>IF($AC$153&gt;=ROWS(AD$153:AD155),ROWS(AD$153:AD155),"")</f>
        <v>3</v>
      </c>
      <c r="AE155" s="1459">
        <f ca="1">IF(AD155=ROWS(AE$153:AE155),RAND(),"")</f>
        <v>0.33203479864428909</v>
      </c>
      <c r="AF155" s="382">
        <f ca="1">IF(AD155=ROWS(AF$153:AF155),RANK(AE155,$AE$153:$AE$167),"")</f>
        <v>4</v>
      </c>
      <c r="AG155" s="368" t="s">
        <v>7495</v>
      </c>
      <c r="AH155" s="1363" t="str">
        <f ca="1">VLOOKUP(AD155,$AF$153:$AG$157,2,FALSE)</f>
        <v>Locate Creature</v>
      </c>
      <c r="AI155" s="382">
        <v>3</v>
      </c>
      <c r="AJ155" s="368" t="s">
        <v>7582</v>
      </c>
      <c r="AK155" s="1454"/>
      <c r="AL155" s="901">
        <f>IF($AK$153&gt;=ROWS(AL$153:AL155),ROWS(AL$153:AL155),"")</f>
        <v>3</v>
      </c>
      <c r="AM155" s="1459">
        <f ca="1">IF(AL155=ROWS(AM$153:AM155),RAND(),"")</f>
        <v>0.69656003084787421</v>
      </c>
      <c r="AN155" s="382">
        <f ca="1">IF(AL155=ROWS(AN$153:AN155),RANK(AM155,$AM$153:$AM$167),"")</f>
        <v>1</v>
      </c>
      <c r="AO155" s="1338" t="s">
        <v>7582</v>
      </c>
      <c r="AP155" s="1363" t="str">
        <f ca="1">VLOOKUP(AL155,$AF$153:$AG$157,2,FALSE)</f>
        <v>Locate Creature</v>
      </c>
      <c r="AQ155" s="273"/>
      <c r="AR155" s="1497" t="s">
        <v>6205</v>
      </c>
      <c r="AS155" s="701" t="s">
        <v>7332</v>
      </c>
      <c r="AT155" s="904">
        <v>13</v>
      </c>
      <c r="BT155" s="2797"/>
      <c r="BU155" s="273"/>
      <c r="BV155" s="273"/>
      <c r="BW155" s="543"/>
      <c r="BY155" s="273"/>
      <c r="BZ155" s="543"/>
      <c r="CA155" s="1488"/>
      <c r="CB155" s="543"/>
    </row>
    <row r="156" spans="2:80" ht="12" customHeight="1">
      <c r="B156" s="1336">
        <v>4</v>
      </c>
      <c r="C156" s="382">
        <v>4</v>
      </c>
      <c r="D156" s="1452" t="s">
        <v>7451</v>
      </c>
      <c r="E156" s="1454"/>
      <c r="F156" s="901">
        <f>IF($E$153&gt;=ROWS(F$153:F156),ROWS(F$153:F156),"")</f>
        <v>4</v>
      </c>
      <c r="G156" s="1459">
        <f ca="1">IF(F156=ROWS(G$153:G156),RAND(),"")</f>
        <v>0.10804325915208868</v>
      </c>
      <c r="H156" s="382">
        <f ca="1">IF(F156=ROWS(H$153:H156),RANK(G156,$G$153:$G$167),"")</f>
        <v>12</v>
      </c>
      <c r="I156" s="1452" t="s">
        <v>7451</v>
      </c>
      <c r="J156" s="1363" t="str">
        <f t="shared" ca="1" si="60"/>
        <v>Speak with Animals</v>
      </c>
      <c r="K156" s="382">
        <v>4</v>
      </c>
      <c r="L156" s="368" t="s">
        <v>7583</v>
      </c>
      <c r="M156" s="1454"/>
      <c r="N156" s="901">
        <f>IF($M$153&gt;=ROWS(N$153:N156),ROWS(N$153:N156),"")</f>
        <v>4</v>
      </c>
      <c r="O156" s="1459">
        <f ca="1">IF(N156=ROWS(O$153:O156),RAND(),"")</f>
        <v>0.22501572563323236</v>
      </c>
      <c r="P156" s="382">
        <f ca="1">IF(N156=ROWS(P$153:P156),RANK(O156,$O$153:$O$167),"")</f>
        <v>7</v>
      </c>
      <c r="Q156" s="368" t="s">
        <v>7583</v>
      </c>
      <c r="R156" s="1363" t="str">
        <f t="shared" ca="1" si="61"/>
        <v>Lesser Restoration</v>
      </c>
      <c r="S156" s="382">
        <v>4</v>
      </c>
      <c r="T156" s="1452" t="s">
        <v>7479</v>
      </c>
      <c r="U156" s="1454"/>
      <c r="V156" s="901">
        <f>IF($U$153&gt;=ROWS(V$153:V156),ROWS(V$153:V156),"")</f>
        <v>4</v>
      </c>
      <c r="W156" s="1459">
        <f ca="1">IF(V156=ROWS(W$153:W156),RAND(),"")</f>
        <v>3.7742195734488337E-2</v>
      </c>
      <c r="X156" s="382">
        <f ca="1">IF(V156=ROWS(X$153:X156),RANK(W156,$W$153:$W$167),"")</f>
        <v>11</v>
      </c>
      <c r="Y156" s="1452" t="s">
        <v>7479</v>
      </c>
      <c r="Z156" s="1363" t="str">
        <f t="shared" ca="1" si="62"/>
        <v>Protection From Energy</v>
      </c>
      <c r="AA156" s="382">
        <v>4</v>
      </c>
      <c r="AB156" s="368" t="s">
        <v>7241</v>
      </c>
      <c r="AC156" s="1454"/>
      <c r="AD156" s="901">
        <f>IF($AC$153&gt;=ROWS(AD$153:AD156),ROWS(AD$153:AD156),"")</f>
        <v>4</v>
      </c>
      <c r="AE156" s="1459">
        <f ca="1">IF(AD156=ROWS(AE$153:AE156),RAND(),"")</f>
        <v>0.3841118619803382</v>
      </c>
      <c r="AF156" s="382">
        <f ca="1">IF(AD156=ROWS(AF$153:AF156),RANK(AE156,$AE$153:$AE$167),"")</f>
        <v>3</v>
      </c>
      <c r="AG156" s="368" t="s">
        <v>7241</v>
      </c>
      <c r="AH156" s="1363" t="str">
        <f ca="1">VLOOKUP(AD156,$AF$153:$AG$157,2,FALSE)</f>
        <v>Grasping Wine</v>
      </c>
      <c r="AI156" s="382">
        <v>4</v>
      </c>
      <c r="AJ156" s="368" t="s">
        <v>4913</v>
      </c>
      <c r="AK156" s="1454"/>
      <c r="AL156" s="901">
        <f>IF($AK$153&gt;=ROWS(AL$153:AL156),ROWS(AL$153:AL156),"")</f>
        <v>4</v>
      </c>
      <c r="AM156" s="1459">
        <f ca="1">IF(AL156=ROWS(AM$153:AM156),RAND(),"")</f>
        <v>0.35858197396550029</v>
      </c>
      <c r="AN156" s="382">
        <f ca="1">IF(AL156=ROWS(AN$153:AN156),RANK(AM156,$AM$153:$AM$167),"")</f>
        <v>2</v>
      </c>
      <c r="AO156" s="1338" t="s">
        <v>4913</v>
      </c>
      <c r="AP156" s="1363" t="str">
        <f ca="1">VLOOKUP(AL156,$AF$153:$AG$157,2,FALSE)</f>
        <v>Grasping Wine</v>
      </c>
      <c r="AQ156" s="273"/>
      <c r="AR156" s="1497" t="s">
        <v>6205</v>
      </c>
      <c r="AS156" s="701" t="s">
        <v>7206</v>
      </c>
      <c r="AT156" s="904">
        <v>13</v>
      </c>
      <c r="BT156" s="2797"/>
      <c r="BU156" s="273"/>
      <c r="BV156" s="273"/>
      <c r="BW156" s="543"/>
      <c r="BY156" s="273"/>
      <c r="BZ156" s="543"/>
      <c r="CA156" s="1488"/>
      <c r="CB156" s="543"/>
    </row>
    <row r="157" spans="2:80" ht="12" customHeight="1">
      <c r="B157" s="1336">
        <v>5</v>
      </c>
      <c r="C157" s="382">
        <v>5</v>
      </c>
      <c r="D157" s="368" t="s">
        <v>7221</v>
      </c>
      <c r="E157" s="1454"/>
      <c r="F157" s="901">
        <f>IF($E$153&gt;=ROWS(F$153:F157),ROWS(F$153:F157),"")</f>
        <v>5</v>
      </c>
      <c r="G157" s="1459">
        <f ca="1">IF(F157=ROWS(G$153:G157),RAND(),"")</f>
        <v>5.6698470393410139E-2</v>
      </c>
      <c r="H157" s="382">
        <f ca="1">IF(F157=ROWS(H$153:H157),RANK(G157,$G$153:$G$167),"")</f>
        <v>15</v>
      </c>
      <c r="I157" s="368" t="s">
        <v>7221</v>
      </c>
      <c r="J157" s="1363" t="str">
        <f t="shared" ca="1" si="60"/>
        <v>Goodberry</v>
      </c>
      <c r="K157" s="382">
        <v>5</v>
      </c>
      <c r="L157" s="368" t="s">
        <v>7461</v>
      </c>
      <c r="M157" s="1454"/>
      <c r="N157" s="901">
        <f>IF($M$153&gt;=ROWS(N$153:N157),ROWS(N$153:N157),"")</f>
        <v>5</v>
      </c>
      <c r="O157" s="1459">
        <f ca="1">IF(N157=ROWS(O$153:O157),RAND(),"")</f>
        <v>4.4748253429084617E-2</v>
      </c>
      <c r="P157" s="382">
        <f ca="1">IF(N157=ROWS(P$153:P157),RANK(O157,$O$153:$O$167),"")</f>
        <v>13</v>
      </c>
      <c r="Q157" s="368" t="s">
        <v>7461</v>
      </c>
      <c r="R157" s="1363" t="str">
        <f t="shared" ca="1" si="61"/>
        <v>Spike Growth</v>
      </c>
      <c r="S157" s="382">
        <v>5</v>
      </c>
      <c r="T157" s="368" t="s">
        <v>7584</v>
      </c>
      <c r="U157" s="1454"/>
      <c r="V157" s="901">
        <f>IF($U$153&gt;=ROWS(V$153:V157),ROWS(V$153:V157),"")</f>
        <v>5</v>
      </c>
      <c r="W157" s="1459">
        <f ca="1">IF(V157=ROWS(W$153:W157),RAND(),"")</f>
        <v>0.30573929572237635</v>
      </c>
      <c r="X157" s="382">
        <f ca="1">IF(V157=ROWS(X$153:X157),RANK(W157,$W$153:$W$167),"")</f>
        <v>5</v>
      </c>
      <c r="Y157" s="368" t="s">
        <v>7584</v>
      </c>
      <c r="Z157" s="1363" t="str">
        <f t="shared" ca="1" si="62"/>
        <v>Lightning Arrow</v>
      </c>
      <c r="AA157" s="382">
        <v>5</v>
      </c>
      <c r="AB157" s="368" t="s">
        <v>7406</v>
      </c>
      <c r="AC157" s="1454"/>
      <c r="AD157" s="901">
        <f>IF($AC$153&gt;=ROWS(AD$153:AD157),ROWS(AD$153:AD157),"")</f>
        <v>5</v>
      </c>
      <c r="AE157" s="1459">
        <f ca="1">IF(AD157=ROWS(AE$153:AE157),RAND(),"")</f>
        <v>0.65335111968024817</v>
      </c>
      <c r="AF157" s="382">
        <f ca="1">IF(AD157=ROWS(AF$153:AF157),RANK(AE157,$AE$153:$AE$167),"")</f>
        <v>2</v>
      </c>
      <c r="AG157" s="368" t="s">
        <v>7406</v>
      </c>
      <c r="AH157" s="1363" t="str">
        <f ca="1">VLOOKUP(AD157,$AF$153:$AG$157,2,FALSE)</f>
        <v>Freedom of Movement</v>
      </c>
      <c r="AI157" s="382"/>
      <c r="AJ157" s="368"/>
      <c r="AK157" s="1454"/>
      <c r="AL157" s="901" t="str">
        <f>IF($AK$153&gt;=ROWS(AL$153:AL157),ROWS(AL$153:AL157),"")</f>
        <v/>
      </c>
      <c r="AM157" s="1459" t="str">
        <f ca="1">IF(AL157=ROWS(AM$153:AM157),RAND(),"")</f>
        <v/>
      </c>
      <c r="AN157" s="382" t="str">
        <f>IF(AL157=ROWS(AN$153:AN157),RANK(AM157,$AM$153:$AM$167),"")</f>
        <v/>
      </c>
      <c r="AO157" s="368"/>
      <c r="AP157" s="1363"/>
      <c r="AQ157" s="273"/>
      <c r="AR157" s="1497" t="s">
        <v>6205</v>
      </c>
      <c r="AS157" s="701" t="s">
        <v>7585</v>
      </c>
      <c r="AT157" s="904">
        <v>17</v>
      </c>
      <c r="BT157" s="2797"/>
      <c r="BU157" s="273"/>
      <c r="BV157" s="273"/>
      <c r="BW157" s="543"/>
      <c r="BY157" s="273"/>
      <c r="BZ157" s="1491"/>
      <c r="CA157" s="1488"/>
      <c r="CB157" s="543"/>
    </row>
    <row r="158" spans="2:80" ht="12" customHeight="1" thickBot="1">
      <c r="B158" s="1336">
        <v>6</v>
      </c>
      <c r="C158" s="382">
        <v>6</v>
      </c>
      <c r="D158" s="368" t="s">
        <v>7230</v>
      </c>
      <c r="E158" s="1454"/>
      <c r="F158" s="901">
        <f>IF($E$153&gt;=ROWS(F$153:F158),ROWS(F$153:F158),"")</f>
        <v>6</v>
      </c>
      <c r="G158" s="1459">
        <f ca="1">IF(F158=ROWS(G$153:G158),RAND(),"")</f>
        <v>0.92720193387499328</v>
      </c>
      <c r="H158" s="382">
        <f ca="1">IF(F158=ROWS(H$153:H158),RANK(G158,$G$153:$G$167),"")</f>
        <v>3</v>
      </c>
      <c r="I158" s="368" t="s">
        <v>7230</v>
      </c>
      <c r="J158" s="1363" t="str">
        <f t="shared" ca="1" si="60"/>
        <v>Alarm</v>
      </c>
      <c r="K158" s="382">
        <v>6</v>
      </c>
      <c r="L158" s="368" t="s">
        <v>7392</v>
      </c>
      <c r="M158" s="1454"/>
      <c r="N158" s="901">
        <f>IF($M$153&gt;=ROWS(N$153:N158),ROWS(N$153:N158),"")</f>
        <v>6</v>
      </c>
      <c r="O158" s="1459">
        <f ca="1">IF(N158=ROWS(O$153:O158),RAND(),"")</f>
        <v>0.10342001356897912</v>
      </c>
      <c r="P158" s="382">
        <f ca="1">IF(N158=ROWS(P$153:P158),RANK(O158,$O$153:$O$167),"")</f>
        <v>11</v>
      </c>
      <c r="Q158" s="368" t="s">
        <v>7392</v>
      </c>
      <c r="R158" s="1363" t="str">
        <f t="shared" ca="1" si="61"/>
        <v>Silence</v>
      </c>
      <c r="S158" s="382">
        <v>6</v>
      </c>
      <c r="T158" s="368" t="s">
        <v>7261</v>
      </c>
      <c r="U158" s="1454"/>
      <c r="V158" s="901">
        <f>IF($U$153&gt;=ROWS(V$153:V158),ROWS(V$153:V158),"")</f>
        <v>6</v>
      </c>
      <c r="W158" s="1459">
        <f ca="1">IF(V158=ROWS(W$153:W158),RAND(),"")</f>
        <v>0.9990157508023968</v>
      </c>
      <c r="X158" s="382">
        <f ca="1">IF(V158=ROWS(X$153:X158),RANK(W158,$W$153:$W$167),"")</f>
        <v>1</v>
      </c>
      <c r="Y158" s="368" t="s">
        <v>7261</v>
      </c>
      <c r="Z158" s="1363" t="str">
        <f t="shared" ca="1" si="62"/>
        <v>Speak with Plants</v>
      </c>
      <c r="AA158" s="382"/>
      <c r="AB158" s="368"/>
      <c r="AC158" s="1454"/>
      <c r="AD158" s="901" t="str">
        <f>IF($AC$153&gt;=ROWS(AD$153:AD158),ROWS(AD$153:AD158),"")</f>
        <v/>
      </c>
      <c r="AE158" s="1459" t="str">
        <f ca="1">IF(AD158=ROWS(AE$153:AE158),RAND(),"")</f>
        <v/>
      </c>
      <c r="AF158" s="382" t="str">
        <f>IF(AD158=ROWS(AF$153:AF158),RANK(AE158,$AE$153:$AE$167),"")</f>
        <v/>
      </c>
      <c r="AG158" s="368"/>
      <c r="AH158" s="1363"/>
      <c r="AI158" s="382"/>
      <c r="AJ158" s="368"/>
      <c r="AK158" s="1454"/>
      <c r="AL158" s="901" t="str">
        <f>IF($AK$153&gt;=ROWS(AL$153:AL158),ROWS(AL$153:AL158),"")</f>
        <v/>
      </c>
      <c r="AM158" s="1459" t="str">
        <f ca="1">IF(AL158=ROWS(AM$153:AM158),RAND(),"")</f>
        <v/>
      </c>
      <c r="AN158" s="382" t="str">
        <f>IF(AL158=ROWS(AN$153:AN158),RANK(AM158,$AM$153:$AM$167),"")</f>
        <v/>
      </c>
      <c r="AO158" s="368"/>
      <c r="AP158" s="1363"/>
      <c r="AQ158" s="273"/>
      <c r="AR158" s="1505" t="s">
        <v>6205</v>
      </c>
      <c r="AS158" s="704" t="s">
        <v>7279</v>
      </c>
      <c r="AT158" s="907">
        <v>17</v>
      </c>
      <c r="BT158" s="2797"/>
      <c r="BU158" s="273"/>
      <c r="BV158" s="273"/>
      <c r="BW158" s="543"/>
      <c r="BY158" s="273"/>
      <c r="BZ158" s="543"/>
      <c r="CA158" s="543"/>
      <c r="CB158" s="543"/>
    </row>
    <row r="159" spans="2:80" s="271" customFormat="1" ht="12" customHeight="1">
      <c r="B159" s="1336">
        <v>7</v>
      </c>
      <c r="C159" s="382">
        <v>7</v>
      </c>
      <c r="D159" s="368" t="s">
        <v>7398</v>
      </c>
      <c r="E159" s="1454"/>
      <c r="F159" s="901">
        <f>IF($E$153&gt;=ROWS(F$153:F159),ROWS(F$153:F159),"")</f>
        <v>7</v>
      </c>
      <c r="G159" s="1459">
        <f ca="1">IF(F159=ROWS(G$153:G159),RAND(),"")</f>
        <v>0.27430392239768564</v>
      </c>
      <c r="H159" s="382">
        <f ca="1">IF(F159=ROWS(H$153:H159),RANK(G159,$G$153:$G$167),"")</f>
        <v>8</v>
      </c>
      <c r="I159" s="368" t="s">
        <v>7398</v>
      </c>
      <c r="J159" s="1363" t="str">
        <f t="shared" ca="1" si="60"/>
        <v>Longstrider</v>
      </c>
      <c r="K159" s="382">
        <v>7</v>
      </c>
      <c r="L159" s="368" t="s">
        <v>7273</v>
      </c>
      <c r="M159" s="1454"/>
      <c r="N159" s="901">
        <f>IF($M$153&gt;=ROWS(N$153:N159),ROWS(N$153:N159),"")</f>
        <v>7</v>
      </c>
      <c r="O159" s="1459">
        <f ca="1">IF(N159=ROWS(O$153:O159),RAND(),"")</f>
        <v>0.87832849217323361</v>
      </c>
      <c r="P159" s="382">
        <f ca="1">IF(N159=ROWS(P$153:P159),RANK(O159,$O$153:$O$167),"")</f>
        <v>4</v>
      </c>
      <c r="Q159" s="368" t="s">
        <v>7273</v>
      </c>
      <c r="R159" s="1363" t="str">
        <f t="shared" ca="1" si="61"/>
        <v>Cordon of Arrows</v>
      </c>
      <c r="S159" s="382">
        <v>7</v>
      </c>
      <c r="T159" s="368" t="s">
        <v>7265</v>
      </c>
      <c r="U159" s="1454"/>
      <c r="V159" s="901">
        <f>IF($U$153&gt;=ROWS(V$153:V159),ROWS(V$153:V159),"")</f>
        <v>7</v>
      </c>
      <c r="W159" s="1459">
        <f ca="1">IF(V159=ROWS(W$153:W159),RAND(),"")</f>
        <v>5.46701353464768E-2</v>
      </c>
      <c r="X159" s="382">
        <f ca="1">IF(V159=ROWS(X$153:X159),RANK(W159,$W$153:$W$167),"")</f>
        <v>10</v>
      </c>
      <c r="Y159" s="368" t="s">
        <v>7265</v>
      </c>
      <c r="Z159" s="1363" t="str">
        <f t="shared" ca="1" si="62"/>
        <v>Water Walk</v>
      </c>
      <c r="AA159" s="382"/>
      <c r="AB159" s="368"/>
      <c r="AC159" s="1454"/>
      <c r="AD159" s="901" t="str">
        <f>IF($AC$153&gt;=ROWS(AD$153:AD159),ROWS(AD$153:AD159),"")</f>
        <v/>
      </c>
      <c r="AE159" s="1459" t="str">
        <f ca="1">IF(AD159=ROWS(AE$153:AE159),RAND(),"")</f>
        <v/>
      </c>
      <c r="AF159" s="382" t="str">
        <f>IF(AD159=ROWS(AF$153:AF159),RANK(AE159,$AE$153:$AE$167),"")</f>
        <v/>
      </c>
      <c r="AG159" s="368"/>
      <c r="AH159" s="1363"/>
      <c r="AI159" s="382"/>
      <c r="AJ159" s="368"/>
      <c r="AK159" s="1454"/>
      <c r="AL159" s="901" t="str">
        <f>IF($AK$153&gt;=ROWS(AL$153:AL159),ROWS(AL$153:AL159),"")</f>
        <v/>
      </c>
      <c r="AM159" s="1459" t="str">
        <f ca="1">IF(AL159=ROWS(AM$153:AM159),RAND(),"")</f>
        <v/>
      </c>
      <c r="AN159" s="382" t="str">
        <f>IF(AL159=ROWS(AN$153:AN159),RANK(AM159,$AM$153:$AM$167),"")</f>
        <v/>
      </c>
      <c r="AO159" s="368"/>
      <c r="AP159" s="1363"/>
      <c r="AQ159" s="273"/>
      <c r="BT159" s="2797"/>
      <c r="BU159" s="273"/>
      <c r="BV159" s="273"/>
      <c r="BW159" s="543"/>
      <c r="BY159" s="273"/>
      <c r="BZ159" s="543"/>
      <c r="CA159" s="543"/>
      <c r="CB159" s="543"/>
    </row>
    <row r="160" spans="2:80" ht="12" customHeight="1">
      <c r="B160" s="1336">
        <v>8</v>
      </c>
      <c r="C160" s="382">
        <v>8</v>
      </c>
      <c r="D160" s="368" t="s">
        <v>7566</v>
      </c>
      <c r="E160" s="1454"/>
      <c r="F160" s="901">
        <f>IF($E$153&gt;=ROWS(F$153:F160),ROWS(F$153:F160),"")</f>
        <v>8</v>
      </c>
      <c r="G160" s="1459">
        <f ca="1">IF(F160=ROWS(G$153:G160),RAND(),"")</f>
        <v>0.26911207238386936</v>
      </c>
      <c r="H160" s="382">
        <f ca="1">IF(F160=ROWS(H$153:H160),RANK(G160,$G$153:$G$167),"")</f>
        <v>10</v>
      </c>
      <c r="I160" s="368" t="s">
        <v>7566</v>
      </c>
      <c r="J160" s="1363" t="str">
        <f t="shared" ca="1" si="60"/>
        <v>Detect Poison and Disease</v>
      </c>
      <c r="K160" s="382">
        <v>8</v>
      </c>
      <c r="L160" s="368" t="s">
        <v>7277</v>
      </c>
      <c r="M160" s="1454"/>
      <c r="N160" s="901">
        <f>IF($M$153&gt;=ROWS(N$153:N160),ROWS(N$153:N160),"")</f>
        <v>8</v>
      </c>
      <c r="O160" s="1459">
        <f ca="1">IF(N160=ROWS(O$153:O160),RAND(),"")</f>
        <v>0.88940427988816229</v>
      </c>
      <c r="P160" s="382">
        <f ca="1">IF(N160=ROWS(P$153:P160),RANK(O160,$O$153:$O$167),"")</f>
        <v>2</v>
      </c>
      <c r="Q160" s="368" t="s">
        <v>7277</v>
      </c>
      <c r="R160" s="1363" t="str">
        <f t="shared" ca="1" si="61"/>
        <v>Animal Messenger</v>
      </c>
      <c r="S160" s="382">
        <v>8</v>
      </c>
      <c r="T160" s="368" t="s">
        <v>7418</v>
      </c>
      <c r="U160" s="1454"/>
      <c r="V160" s="901">
        <f>IF($U$153&gt;=ROWS(V$153:V160),ROWS(V$153:V160),"")</f>
        <v>8</v>
      </c>
      <c r="W160" s="1459">
        <f ca="1">IF(V160=ROWS(W$153:W160),RAND(),"")</f>
        <v>0.3743910414054602</v>
      </c>
      <c r="X160" s="382">
        <f ca="1">IF(V160=ROWS(X$153:X160),RANK(W160,$W$153:$W$167),"")</f>
        <v>4</v>
      </c>
      <c r="Y160" s="368" t="s">
        <v>7418</v>
      </c>
      <c r="Z160" s="1363" t="str">
        <f t="shared" ca="1" si="62"/>
        <v>Daylight</v>
      </c>
      <c r="AA160" s="382"/>
      <c r="AB160" s="368"/>
      <c r="AC160" s="1454"/>
      <c r="AD160" s="901" t="str">
        <f>IF($AC$153&gt;=ROWS(AD$153:AD160),ROWS(AD$153:AD160),"")</f>
        <v/>
      </c>
      <c r="AE160" s="1459" t="str">
        <f ca="1">IF(AD160=ROWS(AE$153:AE160),RAND(),"")</f>
        <v/>
      </c>
      <c r="AF160" s="382" t="str">
        <f>IF(AD160=ROWS(AF$153:AF160),RANK(AE160,$AE$153:$AE$167),"")</f>
        <v/>
      </c>
      <c r="AG160" s="368"/>
      <c r="AH160" s="1363"/>
      <c r="AI160" s="382"/>
      <c r="AJ160" s="368"/>
      <c r="AK160" s="1454"/>
      <c r="AL160" s="901" t="str">
        <f>IF($AK$153&gt;=ROWS(AL$153:AL160),ROWS(AL$153:AL160),"")</f>
        <v/>
      </c>
      <c r="AM160" s="1459" t="str">
        <f ca="1">IF(AL160=ROWS(AM$153:AM160),RAND(),"")</f>
        <v/>
      </c>
      <c r="AN160" s="382" t="str">
        <f>IF(AL160=ROWS(AN$153:AN160),RANK(AM160,$AM$153:$AM$167),"")</f>
        <v/>
      </c>
      <c r="AO160" s="368"/>
      <c r="AP160" s="1363"/>
      <c r="AQ160" s="273"/>
      <c r="BT160" s="2797"/>
      <c r="BU160" s="273"/>
      <c r="BV160" s="273"/>
      <c r="BW160" s="543"/>
      <c r="BY160" s="273"/>
      <c r="BZ160" s="543"/>
      <c r="CA160" s="543"/>
      <c r="CB160" s="543"/>
    </row>
    <row r="161" spans="2:80" ht="12" customHeight="1">
      <c r="B161" s="1336">
        <v>9</v>
      </c>
      <c r="C161" s="382">
        <v>9</v>
      </c>
      <c r="D161" s="368" t="s">
        <v>7341</v>
      </c>
      <c r="E161" s="1454"/>
      <c r="F161" s="901">
        <f>IF($E$153&gt;=ROWS(F$153:F161),ROWS(F$153:F161),"")</f>
        <v>9</v>
      </c>
      <c r="G161" s="1459">
        <f ca="1">IF(F161=ROWS(G$153:G161),RAND(),"")</f>
        <v>0.18798043127343755</v>
      </c>
      <c r="H161" s="382">
        <f ca="1">IF(F161=ROWS(H$153:H161),RANK(G161,$G$153:$G$167),"")</f>
        <v>11</v>
      </c>
      <c r="I161" s="368" t="s">
        <v>7341</v>
      </c>
      <c r="J161" s="1363" t="str">
        <f t="shared" ca="1" si="60"/>
        <v>Hail of Thorns</v>
      </c>
      <c r="K161" s="382">
        <v>9</v>
      </c>
      <c r="L161" s="368" t="s">
        <v>7281</v>
      </c>
      <c r="M161" s="1454"/>
      <c r="N161" s="901">
        <f>IF($M$153&gt;=ROWS(N$153:N161),ROWS(N$153:N161),"")</f>
        <v>9</v>
      </c>
      <c r="O161" s="1459">
        <f ca="1">IF(N161=ROWS(O$153:O161),RAND(),"")</f>
        <v>0.88087459028574489</v>
      </c>
      <c r="P161" s="382">
        <f ca="1">IF(N161=ROWS(P$153:P161),RANK(O161,$O$153:$O$167),"")</f>
        <v>3</v>
      </c>
      <c r="Q161" s="368" t="s">
        <v>7281</v>
      </c>
      <c r="R161" s="1363" t="str">
        <f t="shared" ca="1" si="61"/>
        <v>Protection From Poison</v>
      </c>
      <c r="S161" s="382">
        <v>9</v>
      </c>
      <c r="T161" s="368" t="s">
        <v>7278</v>
      </c>
      <c r="U161" s="1454"/>
      <c r="V161" s="901">
        <f>IF($U$153&gt;=ROWS(V$153:V161),ROWS(V$153:V161),"")</f>
        <v>9</v>
      </c>
      <c r="W161" s="1459">
        <f ca="1">IF(V161=ROWS(W$153:W161),RAND(),"")</f>
        <v>0.28831948963889231</v>
      </c>
      <c r="X161" s="382">
        <f ca="1">IF(V161=ROWS(X$153:X161),RANK(W161,$W$153:$W$167),"")</f>
        <v>6</v>
      </c>
      <c r="Y161" s="368" t="s">
        <v>7278</v>
      </c>
      <c r="Z161" s="1363" t="str">
        <f t="shared" ca="1" si="62"/>
        <v>Conjure Animals</v>
      </c>
      <c r="AA161" s="382"/>
      <c r="AB161" s="368"/>
      <c r="AC161" s="1454"/>
      <c r="AD161" s="901" t="str">
        <f>IF($AC$153&gt;=ROWS(AD$153:AD161),ROWS(AD$153:AD161),"")</f>
        <v/>
      </c>
      <c r="AE161" s="1459" t="str">
        <f ca="1">IF(AD161=ROWS(AE$153:AE161),RAND(),"")</f>
        <v/>
      </c>
      <c r="AF161" s="382" t="str">
        <f>IF(AD161=ROWS(AF$153:AF161),RANK(AE161,$AE$153:$AE$167),"")</f>
        <v/>
      </c>
      <c r="AG161" s="368"/>
      <c r="AH161" s="1363"/>
      <c r="AI161" s="382"/>
      <c r="AJ161" s="368"/>
      <c r="AK161" s="1454"/>
      <c r="AL161" s="901" t="str">
        <f>IF($AK$153&gt;=ROWS(AL$153:AL161),ROWS(AL$153:AL161),"")</f>
        <v/>
      </c>
      <c r="AM161" s="1459" t="str">
        <f ca="1">IF(AL161=ROWS(AM$153:AM161),RAND(),"")</f>
        <v/>
      </c>
      <c r="AN161" s="382" t="str">
        <f>IF(AL161=ROWS(AN$153:AN161),RANK(AM161,$AM$153:$AM$167),"")</f>
        <v/>
      </c>
      <c r="AO161" s="368"/>
      <c r="AP161" s="1363"/>
      <c r="AQ161" s="273"/>
      <c r="BT161" s="2797"/>
      <c r="BU161" s="273"/>
      <c r="BV161" s="273"/>
      <c r="BW161" s="543"/>
      <c r="BY161" s="273"/>
      <c r="BZ161" s="543"/>
      <c r="CA161" s="1488"/>
      <c r="CB161" s="543"/>
    </row>
    <row r="162" spans="2:80" ht="12" customHeight="1">
      <c r="B162" s="1336">
        <v>10</v>
      </c>
      <c r="C162" s="382">
        <v>10</v>
      </c>
      <c r="D162" s="368" t="s">
        <v>7502</v>
      </c>
      <c r="E162" s="1454"/>
      <c r="F162" s="901">
        <f>IF($E$153&gt;=ROWS(F$153:F162),ROWS(F$153:F162),"")</f>
        <v>10</v>
      </c>
      <c r="G162" s="1459">
        <f ca="1">IF(F162=ROWS(G$153:G162),RAND(),"")</f>
        <v>0.79795216781905631</v>
      </c>
      <c r="H162" s="382">
        <f ca="1">IF(F162=ROWS(H$153:H162),RANK(G162,$G$153:$G$167),"")</f>
        <v>5</v>
      </c>
      <c r="I162" s="368" t="s">
        <v>7502</v>
      </c>
      <c r="J162" s="1363" t="str">
        <f t="shared" ca="1" si="60"/>
        <v>Ensnaring Strike</v>
      </c>
      <c r="K162" s="382">
        <v>10</v>
      </c>
      <c r="L162" s="368" t="s">
        <v>7586</v>
      </c>
      <c r="M162" s="1454"/>
      <c r="N162" s="901">
        <f>IF($M$153&gt;=ROWS(N$153:N162),ROWS(N$153:N162),"")</f>
        <v>10</v>
      </c>
      <c r="O162" s="1459">
        <f ca="1">IF(N162=ROWS(O$153:O162),RAND(),"")</f>
        <v>0.91503591654507466</v>
      </c>
      <c r="P162" s="382">
        <f ca="1">IF(N162=ROWS(P$153:P162),RANK(O162,$O$153:$O$167),"")</f>
        <v>1</v>
      </c>
      <c r="Q162" s="368" t="s">
        <v>7586</v>
      </c>
      <c r="R162" s="1363" t="str">
        <f t="shared" ca="1" si="61"/>
        <v>Beast Sense</v>
      </c>
      <c r="S162" s="382">
        <v>10</v>
      </c>
      <c r="T162" s="368" t="s">
        <v>3102</v>
      </c>
      <c r="U162" s="1454"/>
      <c r="V162" s="901">
        <f>IF($U$153&gt;=ROWS(V$153:V162),ROWS(V$153:V162),"")</f>
        <v>10</v>
      </c>
      <c r="W162" s="1459">
        <f ca="1">IF(V162=ROWS(W$153:W162),RAND(),"")</f>
        <v>0.63854712315901585</v>
      </c>
      <c r="X162" s="382">
        <f ca="1">IF(V162=ROWS(X$153:X162),RANK(W162,$W$153:$W$167),"")</f>
        <v>2</v>
      </c>
      <c r="Y162" s="368" t="s">
        <v>3102</v>
      </c>
      <c r="Z162" s="1363" t="str">
        <f t="shared" ca="1" si="62"/>
        <v>Plant Growth</v>
      </c>
      <c r="AA162" s="382"/>
      <c r="AB162" s="368"/>
      <c r="AC162" s="1454"/>
      <c r="AD162" s="901" t="str">
        <f>IF($AC$153&gt;=ROWS(AD$153:AD162),ROWS(AD$153:AD162),"")</f>
        <v/>
      </c>
      <c r="AE162" s="1459" t="str">
        <f ca="1">IF(AD162=ROWS(AE$153:AE162),RAND(),"")</f>
        <v/>
      </c>
      <c r="AF162" s="382" t="str">
        <f>IF(AD162=ROWS(AF$153:AF162),RANK(AE162,$AE$153:$AE$167),"")</f>
        <v/>
      </c>
      <c r="AG162" s="368"/>
      <c r="AH162" s="1363"/>
      <c r="AI162" s="382"/>
      <c r="AJ162" s="368"/>
      <c r="AK162" s="1454"/>
      <c r="AL162" s="901" t="str">
        <f>IF($AK$153&gt;=ROWS(AL$153:AL162),ROWS(AL$153:AL162),"")</f>
        <v/>
      </c>
      <c r="AM162" s="1459" t="str">
        <f ca="1">IF(AL162=ROWS(AM$153:AM162),RAND(),"")</f>
        <v/>
      </c>
      <c r="AN162" s="382" t="str">
        <f>IF(AL162=ROWS(AN$153:AN162),RANK(AM162,$AM$153:$AM$167),"")</f>
        <v/>
      </c>
      <c r="AO162" s="368"/>
      <c r="AP162" s="1363"/>
      <c r="AQ162" s="273"/>
      <c r="BT162" s="2797"/>
      <c r="BU162" s="273"/>
      <c r="BV162" s="273"/>
      <c r="BW162" s="543"/>
      <c r="BY162" s="273"/>
      <c r="BZ162" s="543"/>
      <c r="CA162" s="1488"/>
      <c r="CB162" s="543"/>
    </row>
    <row r="163" spans="2:80" ht="12" customHeight="1">
      <c r="B163" s="1336">
        <v>11</v>
      </c>
      <c r="C163" s="382">
        <v>11</v>
      </c>
      <c r="D163" s="368" t="s">
        <v>7587</v>
      </c>
      <c r="E163" s="1454"/>
      <c r="F163" s="901">
        <f>IF($E$153&gt;=ROWS(F$153:F163),ROWS(F$153:F163),"")</f>
        <v>11</v>
      </c>
      <c r="G163" s="1459">
        <f ca="1">IF(F163=ROWS(G$153:G163),RAND(),"")</f>
        <v>0.27009719164880863</v>
      </c>
      <c r="H163" s="382">
        <f ca="1">IF(F163=ROWS(H$153:H163),RANK(G163,$G$153:$G$167),"")</f>
        <v>9</v>
      </c>
      <c r="I163" s="368" t="s">
        <v>7587</v>
      </c>
      <c r="J163" s="1363" t="str">
        <f t="shared" ca="1" si="60"/>
        <v>Fog Cloud</v>
      </c>
      <c r="K163" s="382">
        <v>11</v>
      </c>
      <c r="L163" s="368" t="s">
        <v>7417</v>
      </c>
      <c r="M163" s="1454"/>
      <c r="N163" s="901">
        <f>IF($M$153&gt;=ROWS(N$153:N163),ROWS(N$153:N163),"")</f>
        <v>11</v>
      </c>
      <c r="O163" s="1459">
        <f ca="1">IF(N163=ROWS(O$153:O163),RAND(),"")</f>
        <v>0.1885996644638932</v>
      </c>
      <c r="P163" s="382">
        <f ca="1">IF(N163=ROWS(P$153:P163),RANK(O163,$O$153:$O$167),"")</f>
        <v>9</v>
      </c>
      <c r="Q163" s="368" t="s">
        <v>7417</v>
      </c>
      <c r="R163" s="1363" t="str">
        <f t="shared" ca="1" si="61"/>
        <v>Find Traps</v>
      </c>
      <c r="S163" s="382">
        <v>11</v>
      </c>
      <c r="T163" s="368" t="s">
        <v>7422</v>
      </c>
      <c r="U163" s="1454"/>
      <c r="V163" s="901">
        <f>IF($U$153&gt;=ROWS(V$153:V163),ROWS(V$153:V163),"")</f>
        <v>11</v>
      </c>
      <c r="W163" s="1459">
        <f ca="1">IF(V163=ROWS(W$153:W163),RAND(),"")</f>
        <v>0.24943088335769403</v>
      </c>
      <c r="X163" s="382">
        <f ca="1">IF(V163=ROWS(X$153:X163),RANK(W163,$W$153:$W$167),"")</f>
        <v>7</v>
      </c>
      <c r="Y163" s="368" t="s">
        <v>7422</v>
      </c>
      <c r="Z163" s="1363" t="str">
        <f t="shared" ca="1" si="62"/>
        <v>Flame Arrows</v>
      </c>
      <c r="AA163" s="382"/>
      <c r="AB163" s="368"/>
      <c r="AC163" s="1454"/>
      <c r="AD163" s="901" t="str">
        <f>IF($AC$153&gt;=ROWS(AD$153:AD163),ROWS(AD$153:AD163),"")</f>
        <v/>
      </c>
      <c r="AE163" s="1459" t="str">
        <f ca="1">IF(AD163=ROWS(AE$153:AE163),RAND(),"")</f>
        <v/>
      </c>
      <c r="AF163" s="382" t="str">
        <f>IF(AD163=ROWS(AF$153:AF163),RANK(AE163,$AE$153:$AE$167),"")</f>
        <v/>
      </c>
      <c r="AG163" s="368"/>
      <c r="AH163" s="1363"/>
      <c r="AI163" s="382"/>
      <c r="AJ163" s="368"/>
      <c r="AK163" s="1454"/>
      <c r="AL163" s="901" t="str">
        <f>IF($AK$153&gt;=ROWS(AL$153:AL163),ROWS(AL$153:AL163),"")</f>
        <v/>
      </c>
      <c r="AM163" s="1459" t="str">
        <f ca="1">IF(AL163=ROWS(AM$153:AM163),RAND(),"")</f>
        <v/>
      </c>
      <c r="AN163" s="382" t="str">
        <f>IF(AL163=ROWS(AN$153:AN163),RANK(AM163,$AM$153:$AM$167),"")</f>
        <v/>
      </c>
      <c r="AO163" s="368"/>
      <c r="AP163" s="1363"/>
      <c r="AQ163" s="273"/>
      <c r="BT163" s="3060"/>
      <c r="BU163" s="273"/>
      <c r="BV163" s="273"/>
      <c r="BW163" s="543"/>
      <c r="BY163" s="273"/>
      <c r="BZ163" s="543"/>
      <c r="CA163" s="1488"/>
      <c r="CB163" s="543"/>
    </row>
    <row r="164" spans="2:80" ht="12" customHeight="1">
      <c r="B164" s="1336">
        <v>12</v>
      </c>
      <c r="C164" s="382">
        <v>12</v>
      </c>
      <c r="D164" s="368" t="s">
        <v>7577</v>
      </c>
      <c r="E164" s="1454"/>
      <c r="F164" s="901">
        <f>IF($E$153&gt;=ROWS(F$153:F164),ROWS(F$153:F164),"")</f>
        <v>12</v>
      </c>
      <c r="G164" s="1459">
        <f ca="1">IF(F164=ROWS(G$153:G164),RAND(),"")</f>
        <v>6.644234759455192E-2</v>
      </c>
      <c r="H164" s="382">
        <f ca="1">IF(F164=ROWS(H$153:H164),RANK(G164,$G$153:$G$167),"")</f>
        <v>14</v>
      </c>
      <c r="I164" s="368" t="s">
        <v>7577</v>
      </c>
      <c r="J164" s="1363" t="str">
        <f t="shared" ca="1" si="60"/>
        <v>Beast Bond</v>
      </c>
      <c r="K164" s="382">
        <v>12</v>
      </c>
      <c r="L164" s="368" t="s">
        <v>7297</v>
      </c>
      <c r="M164" s="1454"/>
      <c r="N164" s="901">
        <f>IF($M$153&gt;=ROWS(N$153:N164),ROWS(N$153:N164),"")</f>
        <v>12</v>
      </c>
      <c r="O164" s="1459">
        <f ca="1">IF(N164=ROWS(O$153:O164),RAND(),"")</f>
        <v>0.30157694593740703</v>
      </c>
      <c r="P164" s="382">
        <f ca="1">IF(N164=ROWS(P$153:P164),RANK(O164,$O$153:$O$167),"")</f>
        <v>6</v>
      </c>
      <c r="Q164" s="368" t="s">
        <v>7297</v>
      </c>
      <c r="R164" s="1363" t="str">
        <f t="shared" ca="1" si="61"/>
        <v>Barkskin</v>
      </c>
      <c r="S164" s="382">
        <v>12</v>
      </c>
      <c r="T164" s="368" t="s">
        <v>7388</v>
      </c>
      <c r="U164" s="1454"/>
      <c r="V164" s="901">
        <f>IF($U$153&gt;=ROWS(V$153:V164),ROWS(V$153:V164),"")</f>
        <v>12</v>
      </c>
      <c r="W164" s="1507">
        <f ca="1">IF(V164=ROWS(W$153:W164),RAND(),"")</f>
        <v>0.45771097661668203</v>
      </c>
      <c r="X164" s="382">
        <f ca="1">IF(V164=ROWS(X$153:X164),RANK(W164,$W$153:$W$167),"")</f>
        <v>3</v>
      </c>
      <c r="Y164" s="368" t="s">
        <v>7388</v>
      </c>
      <c r="Z164" s="1363" t="str">
        <f t="shared" ca="1" si="62"/>
        <v>Conjure Barrage</v>
      </c>
      <c r="AA164" s="382"/>
      <c r="AB164" s="368"/>
      <c r="AC164" s="1454"/>
      <c r="AD164" s="901" t="str">
        <f>IF($AC$153&gt;=ROWS(AD$153:AD164),ROWS(AD$153:AD164),"")</f>
        <v/>
      </c>
      <c r="AE164" s="1507" t="str">
        <f ca="1">IF(AD164=ROWS(AE$153:AE164),RAND(),"")</f>
        <v/>
      </c>
      <c r="AF164" s="382" t="str">
        <f>IF(AD164=ROWS(AF$153:AF164),RANK(AE164,$AE$153:$AE$167),"")</f>
        <v/>
      </c>
      <c r="AG164" s="368"/>
      <c r="AH164" s="1363"/>
      <c r="AI164" s="382"/>
      <c r="AJ164" s="368"/>
      <c r="AK164" s="1454"/>
      <c r="AL164" s="901" t="str">
        <f>IF($AK$153&gt;=ROWS(AL$153:AL164),ROWS(AL$153:AL164),"")</f>
        <v/>
      </c>
      <c r="AM164" s="1507" t="str">
        <f ca="1">IF(AL164=ROWS(AM$153:AM164),RAND(),"")</f>
        <v/>
      </c>
      <c r="AN164" s="382" t="str">
        <f>IF(AL164=ROWS(AN$153:AN164),RANK(AM164,$AM$153:$AM$167),"")</f>
        <v/>
      </c>
      <c r="AO164" s="368"/>
      <c r="AP164" s="1363"/>
      <c r="AQ164" s="273"/>
      <c r="BT164" s="2797"/>
      <c r="BU164" s="273"/>
      <c r="BV164" s="273"/>
      <c r="BW164" s="543"/>
      <c r="BY164" s="273"/>
      <c r="BZ164" s="543"/>
      <c r="CA164" s="1488"/>
      <c r="CB164" s="543"/>
    </row>
    <row r="165" spans="2:80" ht="12" customHeight="1">
      <c r="B165" s="1336">
        <v>13</v>
      </c>
      <c r="C165" s="382">
        <v>13</v>
      </c>
      <c r="D165" s="368" t="s">
        <v>7514</v>
      </c>
      <c r="E165" s="1454"/>
      <c r="F165" s="901">
        <f>IF($E$153&gt;=ROWS(F$153:F165),ROWS(F$153:F165),"")</f>
        <v>13</v>
      </c>
      <c r="G165" s="1459">
        <f ca="1">IF(F165=ROWS(G$153:G165),RAND(),"")</f>
        <v>0.97824150352853634</v>
      </c>
      <c r="H165" s="382">
        <f ca="1">IF(F165=ROWS(H$153:H165),RANK(G165,$G$153:$G$167),"")</f>
        <v>1</v>
      </c>
      <c r="I165" s="368" t="s">
        <v>7514</v>
      </c>
      <c r="J165" s="1363" t="str">
        <f t="shared" ca="1" si="60"/>
        <v>Absorb Elements</v>
      </c>
      <c r="K165" s="382">
        <v>13</v>
      </c>
      <c r="L165" s="368" t="s">
        <v>7370</v>
      </c>
      <c r="M165" s="1454"/>
      <c r="N165" s="901">
        <f>IF($M$153&gt;=ROWS(N$153:N165),ROWS(N$153:N165),"")</f>
        <v>13</v>
      </c>
      <c r="O165" s="1459">
        <f ca="1">IF(N165=ROWS(O$153:O165),RAND(),"")</f>
        <v>0.37311452057743932</v>
      </c>
      <c r="P165" s="382">
        <f ca="1">IF(N165=ROWS(P$153:P165),RANK(O165,$O$153:$O$167),"")</f>
        <v>5</v>
      </c>
      <c r="Q165" s="368" t="s">
        <v>7370</v>
      </c>
      <c r="R165" s="1363" t="str">
        <f t="shared" ca="1" si="61"/>
        <v>Darkvision</v>
      </c>
      <c r="S165" s="382"/>
      <c r="T165" s="368"/>
      <c r="U165" s="1454"/>
      <c r="V165" s="901" t="str">
        <f>IF($U$153&gt;=ROWS(V$153:V165),ROWS(V$153:V165),"")</f>
        <v/>
      </c>
      <c r="W165" s="1459" t="str">
        <f ca="1">IF(V165=ROWS(W$153:W165),RAND(),"")</f>
        <v/>
      </c>
      <c r="X165" s="382" t="str">
        <f>IF(V165=ROWS(X$153:X165),RANK(W165,$O$153:$O$167),"")</f>
        <v/>
      </c>
      <c r="Y165" s="368"/>
      <c r="Z165" s="1363"/>
      <c r="AA165" s="382"/>
      <c r="AB165" s="368"/>
      <c r="AC165" s="1454"/>
      <c r="AD165" s="901" t="str">
        <f>IF($AC$153&gt;=ROWS(AD$153:AD165),ROWS(AD$153:AD165),"")</f>
        <v/>
      </c>
      <c r="AE165" s="1459" t="str">
        <f ca="1">IF(AD165=ROWS(AE$153:AE165),RAND(),"")</f>
        <v/>
      </c>
      <c r="AF165" s="382" t="str">
        <f>IF(AD165=ROWS(AF$153:AF165),RANK(AE165,$AE$153:$AE$167),"")</f>
        <v/>
      </c>
      <c r="AG165" s="368"/>
      <c r="AH165" s="1363"/>
      <c r="AI165" s="382"/>
      <c r="AJ165" s="368"/>
      <c r="AK165" s="1454"/>
      <c r="AL165" s="901" t="str">
        <f>IF($AK$153&gt;=ROWS(AL$153:AL165),ROWS(AL$153:AL165),"")</f>
        <v/>
      </c>
      <c r="AM165" s="1459" t="str">
        <f ca="1">IF(AL165=ROWS(AM$153:AM165),RAND(),"")</f>
        <v/>
      </c>
      <c r="AN165" s="382" t="str">
        <f>IF(AL165=ROWS(AN$153:AN165),RANK(AM165,$AM$153:$AM$167),"")</f>
        <v/>
      </c>
      <c r="AO165" s="368"/>
      <c r="AP165" s="1363"/>
      <c r="AQ165" s="273"/>
      <c r="BT165" s="2797"/>
      <c r="BU165" s="273"/>
      <c r="BV165" s="273"/>
      <c r="BW165" s="543"/>
      <c r="BY165" s="273"/>
      <c r="BZ165" s="1491"/>
      <c r="CA165" s="1488"/>
      <c r="CB165" s="543"/>
    </row>
    <row r="166" spans="2:80" ht="12" customHeight="1">
      <c r="B166" s="1414">
        <v>14</v>
      </c>
      <c r="C166" s="398">
        <v>14</v>
      </c>
      <c r="D166" s="368" t="s">
        <v>7284</v>
      </c>
      <c r="E166" s="1454"/>
      <c r="F166" s="901">
        <f>IF($E$153&gt;=ROWS(F$153:F166),ROWS(F$153:F166),"")</f>
        <v>14</v>
      </c>
      <c r="G166" s="1459">
        <f ca="1">IF(F166=ROWS(G$153:G166),RAND(),"")</f>
        <v>0.29821315173986673</v>
      </c>
      <c r="H166" s="382">
        <f ca="1">IF(F166=ROWS(H$153:H166),RANK(G166,$G$153:$G$167),"")</f>
        <v>7</v>
      </c>
      <c r="I166" s="368" t="s">
        <v>7284</v>
      </c>
      <c r="J166" s="1363" t="str">
        <f t="shared" ca="1" si="60"/>
        <v>Hunter's Mark</v>
      </c>
      <c r="K166" s="398"/>
      <c r="L166" s="402"/>
      <c r="M166" s="1454"/>
      <c r="N166" s="901" t="str">
        <f>IF($M$153&gt;=ROWS(N$153:N166),ROWS(N$153:N166),"")</f>
        <v/>
      </c>
      <c r="O166" s="1467"/>
      <c r="P166" s="398"/>
      <c r="Q166" s="402"/>
      <c r="R166" s="1390"/>
      <c r="S166" s="398"/>
      <c r="T166" s="402"/>
      <c r="U166" s="1454"/>
      <c r="V166" s="901" t="str">
        <f>IF($U$153&gt;=ROWS(V$153:V166),ROWS(V$153:V166),"")</f>
        <v/>
      </c>
      <c r="W166" s="1467"/>
      <c r="X166" s="398"/>
      <c r="Y166" s="402"/>
      <c r="Z166" s="1390"/>
      <c r="AA166" s="398"/>
      <c r="AB166" s="402"/>
      <c r="AC166" s="1454"/>
      <c r="AD166" s="1421"/>
      <c r="AE166" s="1467"/>
      <c r="AF166" s="398"/>
      <c r="AG166" s="402"/>
      <c r="AH166" s="1390"/>
      <c r="AI166" s="398"/>
      <c r="AJ166" s="402"/>
      <c r="AK166" s="1454"/>
      <c r="AL166" s="1421"/>
      <c r="AM166" s="1467"/>
      <c r="AN166" s="382" t="str">
        <f>IF(AL166=ROWS(AN$153:AN166),RANK(AM166,$AM$153:$AM$167),"")</f>
        <v/>
      </c>
      <c r="AO166" s="402"/>
      <c r="AP166" s="1390"/>
      <c r="AQ166" s="273"/>
      <c r="BT166" s="2797"/>
      <c r="BU166" s="273"/>
      <c r="BV166" s="273"/>
      <c r="BW166" s="543"/>
      <c r="BY166" s="273"/>
      <c r="BZ166" s="543"/>
      <c r="CA166" s="543"/>
      <c r="CB166" s="543"/>
    </row>
    <row r="167" spans="2:80" ht="12" customHeight="1" thickBot="1">
      <c r="B167" s="1474">
        <v>15</v>
      </c>
      <c r="C167" s="1348">
        <v>15</v>
      </c>
      <c r="D167" s="1424" t="s">
        <v>7292</v>
      </c>
      <c r="E167" s="1475"/>
      <c r="F167" s="1430">
        <f>IF($E$153&gt;=ROWS(F$153:F167),ROWS(F$153:F167),"")</f>
        <v>15</v>
      </c>
      <c r="G167" s="1481">
        <f ca="1">IF(F167=ROWS(G$153:G167),RAND(),"")</f>
        <v>0.91910863741849691</v>
      </c>
      <c r="H167" s="1348">
        <f ca="1">IF(F167=ROWS(H$153:H167),RANK(G167,$G$153:$G$167),"")</f>
        <v>4</v>
      </c>
      <c r="I167" s="1424" t="s">
        <v>7292</v>
      </c>
      <c r="J167" s="1429" t="str">
        <f t="shared" ca="1" si="60"/>
        <v>Cure Wounds</v>
      </c>
      <c r="K167" s="1348"/>
      <c r="L167" s="1424"/>
      <c r="M167" s="1475"/>
      <c r="N167" s="1430" t="str">
        <f>IF($M$153&gt;=ROWS(N$153:N167),ROWS(N$153:N167),"")</f>
        <v/>
      </c>
      <c r="O167" s="1481" t="str">
        <f ca="1">IF(N167=ROWS(O$153:O167),RAND(),"")</f>
        <v/>
      </c>
      <c r="P167" s="1348" t="str">
        <f>IF(N167=ROWS(P$153:P167),RANK(O167,$G$153:$G$167),"")</f>
        <v/>
      </c>
      <c r="Q167" s="1424"/>
      <c r="R167" s="1429">
        <f ca="1">VLOOKUP(N167,$P$153:$Q$167,2,FALSE)</f>
        <v>0</v>
      </c>
      <c r="S167" s="1348"/>
      <c r="T167" s="1424"/>
      <c r="U167" s="1475"/>
      <c r="V167" s="1430" t="str">
        <f>IF($U$153&gt;=ROWS(V$153:V167),ROWS(V$153:V167),"")</f>
        <v/>
      </c>
      <c r="W167" s="1481" t="str">
        <f ca="1">IF(V167=ROWS(W$153:W167),RAND(),"")</f>
        <v/>
      </c>
      <c r="X167" s="1348" t="str">
        <f>IF(V167=ROWS(X$153:X167),RANK(W167,$G$153:$G$167),"")</f>
        <v/>
      </c>
      <c r="Y167" s="1424"/>
      <c r="Z167" s="1429"/>
      <c r="AA167" s="1348"/>
      <c r="AB167" s="1424"/>
      <c r="AC167" s="1475"/>
      <c r="AD167" s="1430"/>
      <c r="AE167" s="1481"/>
      <c r="AF167" s="1348"/>
      <c r="AG167" s="1424"/>
      <c r="AH167" s="1429"/>
      <c r="AI167" s="1348"/>
      <c r="AJ167" s="1424"/>
      <c r="AK167" s="1475"/>
      <c r="AL167" s="1430"/>
      <c r="AM167" s="1481"/>
      <c r="AN167" s="1348"/>
      <c r="AO167" s="1424"/>
      <c r="AP167" s="1429"/>
      <c r="AQ167" s="273"/>
      <c r="BT167" s="2797"/>
      <c r="BU167" s="273"/>
      <c r="BV167" s="273"/>
      <c r="BW167" s="543"/>
      <c r="BY167" s="273"/>
      <c r="BZ167" s="543"/>
      <c r="CA167" s="543"/>
      <c r="CB167" s="543"/>
    </row>
    <row r="168" spans="2:80" ht="12" customHeight="1" thickTop="1">
      <c r="B168" s="3308" t="s">
        <v>7303</v>
      </c>
      <c r="C168" s="3309"/>
      <c r="G168" s="1335"/>
      <c r="I168" s="273"/>
      <c r="J168" s="273"/>
      <c r="L168" s="1335"/>
      <c r="N168" s="273"/>
      <c r="O168" s="273"/>
      <c r="P168" s="273"/>
      <c r="Q168" s="273"/>
      <c r="R168" s="273"/>
      <c r="S168" s="273"/>
      <c r="T168" s="273"/>
      <c r="U168" s="273"/>
      <c r="W168" s="1335"/>
      <c r="Y168" s="273"/>
      <c r="Z168" s="273"/>
      <c r="AA168" s="273"/>
      <c r="AB168" s="273"/>
      <c r="AC168" s="273"/>
      <c r="AE168" s="1335"/>
      <c r="AG168" s="273"/>
      <c r="AH168" s="273"/>
      <c r="AI168" s="273"/>
      <c r="AJ168" s="273"/>
      <c r="AK168" s="273"/>
      <c r="AM168" s="1335"/>
      <c r="AO168" s="273"/>
      <c r="AP168" s="273"/>
      <c r="AQ168" s="273"/>
      <c r="BT168" s="2797"/>
      <c r="BU168" s="273"/>
      <c r="BV168" s="273"/>
      <c r="BW168" s="543"/>
      <c r="BY168" s="273"/>
      <c r="BZ168" s="543"/>
      <c r="CA168" s="543"/>
      <c r="CB168" s="543"/>
    </row>
    <row r="169" spans="2:80" ht="12" customHeight="1" thickBot="1">
      <c r="G169" s="1335"/>
      <c r="I169" s="273"/>
      <c r="J169" s="273"/>
      <c r="L169" s="1335"/>
      <c r="N169" s="273"/>
      <c r="O169" s="273"/>
      <c r="P169" s="273"/>
      <c r="Q169" s="273"/>
      <c r="R169" s="273"/>
      <c r="S169" s="273"/>
      <c r="T169" s="273"/>
      <c r="U169" s="273"/>
      <c r="W169" s="1335"/>
      <c r="Y169" s="273"/>
      <c r="Z169" s="273"/>
      <c r="AA169" s="273"/>
      <c r="AB169" s="273"/>
      <c r="AC169" s="273"/>
      <c r="AE169" s="1335"/>
      <c r="AG169" s="273"/>
      <c r="AH169" s="273"/>
      <c r="AI169" s="273"/>
      <c r="AJ169" s="273"/>
      <c r="AK169" s="273"/>
      <c r="AM169" s="1335"/>
      <c r="AO169" s="273"/>
      <c r="AP169" s="273"/>
      <c r="AQ169" s="273"/>
      <c r="BT169" s="2797"/>
      <c r="BU169" s="273"/>
      <c r="BV169" s="273"/>
      <c r="BW169" s="543"/>
      <c r="BY169" s="273"/>
      <c r="BZ169" s="543"/>
      <c r="CA169" s="1488"/>
      <c r="CB169" s="543"/>
    </row>
    <row r="170" spans="2:80" ht="12" customHeight="1" thickTop="1">
      <c r="B170" s="3330" t="s">
        <v>7588</v>
      </c>
      <c r="C170" s="3331"/>
      <c r="D170" s="3331"/>
      <c r="E170" s="3331"/>
      <c r="F170" s="3331"/>
      <c r="G170" s="3331"/>
      <c r="H170" s="3331"/>
      <c r="I170" s="3331"/>
      <c r="J170" s="3332"/>
      <c r="K170" s="3330" t="s">
        <v>7589</v>
      </c>
      <c r="L170" s="3331"/>
      <c r="M170" s="3331"/>
      <c r="N170" s="3331"/>
      <c r="O170" s="3331"/>
      <c r="P170" s="3331"/>
      <c r="Q170" s="3331"/>
      <c r="R170" s="3332"/>
      <c r="S170" s="3330" t="s">
        <v>7590</v>
      </c>
      <c r="T170" s="3331"/>
      <c r="U170" s="3331"/>
      <c r="V170" s="3331"/>
      <c r="W170" s="3331"/>
      <c r="X170" s="3331"/>
      <c r="Y170" s="3331"/>
      <c r="Z170" s="3332"/>
      <c r="AA170" s="3330" t="s">
        <v>7591</v>
      </c>
      <c r="AB170" s="3331"/>
      <c r="AC170" s="3331"/>
      <c r="AD170" s="3331"/>
      <c r="AE170" s="3331"/>
      <c r="AF170" s="3331"/>
      <c r="AG170" s="3331"/>
      <c r="AH170" s="3332"/>
      <c r="AI170" s="3330" t="s">
        <v>7592</v>
      </c>
      <c r="AJ170" s="3331"/>
      <c r="AK170" s="3331"/>
      <c r="AL170" s="3331"/>
      <c r="AM170" s="3331"/>
      <c r="AN170" s="3331"/>
      <c r="AO170" s="3331"/>
      <c r="AP170" s="3332"/>
      <c r="AQ170" s="273"/>
      <c r="BT170" s="2797"/>
      <c r="BU170" s="273"/>
      <c r="BV170" s="273"/>
      <c r="BW170" s="543"/>
      <c r="BY170" s="273"/>
      <c r="BZ170" s="543"/>
      <c r="CA170" s="1488"/>
      <c r="CB170" s="543"/>
    </row>
    <row r="171" spans="2:80" ht="12" customHeight="1" thickBot="1">
      <c r="B171" s="3333"/>
      <c r="C171" s="2932"/>
      <c r="D171" s="2932"/>
      <c r="E171" s="2932"/>
      <c r="F171" s="2932"/>
      <c r="G171" s="2932"/>
      <c r="H171" s="2932"/>
      <c r="I171" s="2932"/>
      <c r="J171" s="3334"/>
      <c r="K171" s="3333"/>
      <c r="L171" s="2932"/>
      <c r="M171" s="2932"/>
      <c r="N171" s="2932"/>
      <c r="O171" s="2932"/>
      <c r="P171" s="2932"/>
      <c r="Q171" s="2932"/>
      <c r="R171" s="3334"/>
      <c r="S171" s="3333"/>
      <c r="T171" s="2932"/>
      <c r="U171" s="2932"/>
      <c r="V171" s="2932"/>
      <c r="W171" s="2932"/>
      <c r="X171" s="2932"/>
      <c r="Y171" s="2932"/>
      <c r="Z171" s="3334"/>
      <c r="AA171" s="3333"/>
      <c r="AB171" s="2932"/>
      <c r="AC171" s="2932"/>
      <c r="AD171" s="2932"/>
      <c r="AE171" s="2932"/>
      <c r="AF171" s="2932"/>
      <c r="AG171" s="2932"/>
      <c r="AH171" s="3334"/>
      <c r="AI171" s="3333"/>
      <c r="AJ171" s="2932"/>
      <c r="AK171" s="2932"/>
      <c r="AL171" s="2932"/>
      <c r="AM171" s="2932"/>
      <c r="AN171" s="2932"/>
      <c r="AO171" s="2932"/>
      <c r="AP171" s="3334"/>
      <c r="AQ171" s="273"/>
      <c r="BT171" s="2797"/>
      <c r="BU171" s="273"/>
      <c r="BV171" s="273"/>
      <c r="BW171" s="543"/>
      <c r="BY171" s="273"/>
      <c r="BZ171" s="543"/>
      <c r="CA171" s="1488"/>
      <c r="CB171" s="543"/>
    </row>
    <row r="172" spans="2:80" ht="12" customHeight="1">
      <c r="B172" s="1357" t="s">
        <v>7124</v>
      </c>
      <c r="C172" s="3310" t="str">
        <f>[1]MATH!$D$9</f>
        <v>(War Magic)</v>
      </c>
      <c r="D172" s="3356" t="s">
        <v>7314</v>
      </c>
      <c r="E172" s="3357" t="s">
        <v>7315</v>
      </c>
      <c r="F172" s="3358" t="s">
        <v>7169</v>
      </c>
      <c r="G172" s="3358" t="s">
        <v>6598</v>
      </c>
      <c r="H172" s="3358" t="s">
        <v>6592</v>
      </c>
      <c r="I172" s="3335" t="s">
        <v>7170</v>
      </c>
      <c r="J172" s="3354" t="s">
        <v>7318</v>
      </c>
      <c r="K172" s="3310" t="str">
        <f>[1]MATH!$D$9</f>
        <v>(War Magic)</v>
      </c>
      <c r="L172" s="3356" t="s">
        <v>7172</v>
      </c>
      <c r="M172" s="3357" t="s">
        <v>7315</v>
      </c>
      <c r="N172" s="3358" t="s">
        <v>7169</v>
      </c>
      <c r="O172" s="3358" t="s">
        <v>6598</v>
      </c>
      <c r="P172" s="3358" t="s">
        <v>6592</v>
      </c>
      <c r="Q172" s="3335" t="s">
        <v>7172</v>
      </c>
      <c r="R172" s="3354" t="s">
        <v>7318</v>
      </c>
      <c r="S172" s="3310" t="str">
        <f>[1]MATH!$D$9</f>
        <v>(War Magic)</v>
      </c>
      <c r="T172" s="3356" t="s">
        <v>7174</v>
      </c>
      <c r="U172" s="3357" t="s">
        <v>7315</v>
      </c>
      <c r="V172" s="3358" t="s">
        <v>7169</v>
      </c>
      <c r="W172" s="3358" t="s">
        <v>6598</v>
      </c>
      <c r="X172" s="3358" t="s">
        <v>6592</v>
      </c>
      <c r="Y172" s="3335" t="s">
        <v>7174</v>
      </c>
      <c r="Z172" s="3354" t="s">
        <v>7318</v>
      </c>
      <c r="AA172" s="3310" t="str">
        <f>[1]MATH!$D$9</f>
        <v>(War Magic)</v>
      </c>
      <c r="AB172" s="3356" t="s">
        <v>7175</v>
      </c>
      <c r="AC172" s="3357" t="s">
        <v>7315</v>
      </c>
      <c r="AD172" s="3358" t="s">
        <v>7169</v>
      </c>
      <c r="AE172" s="3358" t="s">
        <v>6598</v>
      </c>
      <c r="AF172" s="3358" t="s">
        <v>6592</v>
      </c>
      <c r="AG172" s="3335" t="s">
        <v>7175</v>
      </c>
      <c r="AH172" s="3354" t="s">
        <v>7318</v>
      </c>
      <c r="AI172" s="3310" t="str">
        <f>[1]MATH!$D$9</f>
        <v>(War Magic)</v>
      </c>
      <c r="AJ172" s="3356" t="s">
        <v>7176</v>
      </c>
      <c r="AK172" s="3357" t="s">
        <v>7315</v>
      </c>
      <c r="AL172" s="3358" t="s">
        <v>7169</v>
      </c>
      <c r="AM172" s="3358" t="s">
        <v>6598</v>
      </c>
      <c r="AN172" s="3358" t="s">
        <v>6592</v>
      </c>
      <c r="AO172" s="3335" t="s">
        <v>7176</v>
      </c>
      <c r="AP172" s="3354" t="s">
        <v>7318</v>
      </c>
      <c r="AQ172" s="273"/>
      <c r="BT172" s="2797"/>
      <c r="BU172" s="273"/>
      <c r="BV172" s="273"/>
      <c r="BW172" s="543"/>
      <c r="BY172" s="273"/>
      <c r="BZ172" s="543"/>
      <c r="CA172" s="1488"/>
      <c r="CB172" s="543"/>
    </row>
    <row r="173" spans="2:80" ht="12" customHeight="1" thickBot="1">
      <c r="B173" s="1322">
        <f>COUNT(B174:B207)</f>
        <v>34</v>
      </c>
      <c r="C173" s="3311"/>
      <c r="D173" s="2932"/>
      <c r="E173" s="3319"/>
      <c r="F173" s="3359"/>
      <c r="G173" s="3359"/>
      <c r="H173" s="3359"/>
      <c r="I173" s="3336"/>
      <c r="J173" s="3355"/>
      <c r="K173" s="3311"/>
      <c r="L173" s="2932"/>
      <c r="M173" s="3319"/>
      <c r="N173" s="3359"/>
      <c r="O173" s="3359"/>
      <c r="P173" s="3359"/>
      <c r="Q173" s="3336"/>
      <c r="R173" s="3355"/>
      <c r="S173" s="3311"/>
      <c r="T173" s="2932"/>
      <c r="U173" s="3319"/>
      <c r="V173" s="3359"/>
      <c r="W173" s="3359"/>
      <c r="X173" s="3359"/>
      <c r="Y173" s="3336"/>
      <c r="Z173" s="3355"/>
      <c r="AA173" s="3311"/>
      <c r="AB173" s="2932"/>
      <c r="AC173" s="3319"/>
      <c r="AD173" s="3359"/>
      <c r="AE173" s="3359"/>
      <c r="AF173" s="3359"/>
      <c r="AG173" s="3336"/>
      <c r="AH173" s="3355"/>
      <c r="AI173" s="3311"/>
      <c r="AJ173" s="2932"/>
      <c r="AK173" s="3319"/>
      <c r="AL173" s="3359"/>
      <c r="AM173" s="3359"/>
      <c r="AN173" s="3359"/>
      <c r="AO173" s="3336"/>
      <c r="AP173" s="3355"/>
      <c r="AQ173" s="273"/>
      <c r="BT173" s="3060"/>
      <c r="BU173" s="273"/>
      <c r="BV173" s="273"/>
      <c r="BW173" s="543"/>
      <c r="BY173" s="273"/>
      <c r="BZ173" s="1491"/>
      <c r="CA173" s="1488"/>
      <c r="CB173" s="543"/>
    </row>
    <row r="174" spans="2:80" ht="12" customHeight="1" thickBot="1">
      <c r="B174" s="1326">
        <v>1</v>
      </c>
      <c r="C174" s="1328" t="s">
        <v>7593</v>
      </c>
      <c r="D174" s="368" t="s">
        <v>7594</v>
      </c>
      <c r="E174" s="1366">
        <f>SUMPRODUCT(--ISNA(MATCH(D174:D188,C174,0)))</f>
        <v>15</v>
      </c>
      <c r="F174" s="896">
        <f>IF($E$174&gt;=ROWS(F$174:F174),ROWS(F$174:F174),"")</f>
        <v>1</v>
      </c>
      <c r="G174" s="1446">
        <f ca="1">IF(F174=ROWS(G$174:G174),RAND(),"")</f>
        <v>0.89492469022154664</v>
      </c>
      <c r="H174" s="467">
        <f ca="1">IF(F174=ROWS(H$174:H174),RANK(G174,$G$174:$G$208),"")</f>
        <v>2</v>
      </c>
      <c r="I174" s="368" t="s">
        <v>7594</v>
      </c>
      <c r="J174" s="1379" t="str">
        <f>IF($E$174&lt;$F$208,C174,VLOOKUP(F174,$H$174:$I$190,2,FALSE))</f>
        <v>Mage Hand</v>
      </c>
      <c r="K174" s="467">
        <v>1</v>
      </c>
      <c r="L174" s="368" t="s">
        <v>7525</v>
      </c>
      <c r="M174" s="1366">
        <f>SUMPRODUCT(--ISNA(MATCH(L174:L203,K174:K208,0)))</f>
        <v>30</v>
      </c>
      <c r="N174" s="896">
        <f>IF($M$174&gt;=ROWS(N$174:N174),ROWS(N$174:N174),"")</f>
        <v>1</v>
      </c>
      <c r="O174" s="1446">
        <f ca="1">IF(N174=ROWS(O$174:O174),RAND(),"")</f>
        <v>0.50862630656670205</v>
      </c>
      <c r="P174" s="467">
        <f ca="1">IF(N174=ROWS(P$174:P174),RANK(O174,$O$174:$O$208),"")</f>
        <v>11</v>
      </c>
      <c r="Q174" s="344" t="s">
        <v>7525</v>
      </c>
      <c r="R174" s="1379" t="str">
        <f ca="1">VLOOKUP(N174,$P$174:$Q$208,2,FALSE)</f>
        <v>Sleep</v>
      </c>
      <c r="S174" s="467">
        <v>1</v>
      </c>
      <c r="T174" s="368" t="s">
        <v>7595</v>
      </c>
      <c r="U174" s="1366">
        <f>SUMPRODUCT(--ISNA(MATCH(T174:T207,S174:S208,0)))</f>
        <v>34</v>
      </c>
      <c r="V174" s="896">
        <f>IF($U$174&gt;=ROWS(V$174:V174),ROWS(V$174:V174),"")</f>
        <v>1</v>
      </c>
      <c r="W174" s="1446">
        <f ca="1">IF(V174=ROWS(W$174:W174),RAND(),"")</f>
        <v>0.66933069765486586</v>
      </c>
      <c r="X174" s="467">
        <f ca="1">IF(V174=ROWS(X$174:X174),RANK(W174,$W$174:$W$208),"")</f>
        <v>7</v>
      </c>
      <c r="Y174" s="344" t="s">
        <v>7595</v>
      </c>
      <c r="Z174" s="1379" t="str">
        <f ca="1">VLOOKUP(V174,$X$174:$Y$208,2,FALSE)</f>
        <v>Locate Object</v>
      </c>
      <c r="AA174" s="467">
        <v>1</v>
      </c>
      <c r="AB174" s="368" t="s">
        <v>7331</v>
      </c>
      <c r="AC174" s="1366">
        <f>SUMPRODUCT(--ISNA(MATCH(AB174:AB202,AA174:AA208,0)))</f>
        <v>29</v>
      </c>
      <c r="AD174" s="896">
        <f>IF($AC$174&gt;=ROWS(AD$174:AD174),ROWS(AD$174:AD174),"")</f>
        <v>1</v>
      </c>
      <c r="AE174" s="1446">
        <f ca="1">IF(AD174=ROWS(AE$174:AE174),RAND(),"")</f>
        <v>0.46625677432951174</v>
      </c>
      <c r="AF174" s="467">
        <f ca="1">IF(AD174=ROWS(AF$174:AF174),RANK(AE174,$AE$174:$AE$208),"")</f>
        <v>15</v>
      </c>
      <c r="AG174" s="344" t="s">
        <v>7331</v>
      </c>
      <c r="AH174" s="1379" t="str">
        <f ca="1">VLOOKUP(AD174,$AF$174:$AG$208,2,FALSE)</f>
        <v>Fly</v>
      </c>
      <c r="AI174" s="467">
        <v>1</v>
      </c>
      <c r="AJ174" s="368" t="s">
        <v>7395</v>
      </c>
      <c r="AK174" s="1366">
        <f>SUMPRODUCT(--ISNA(MATCH(AJ174:AJ196,AI174:AI208,0)))</f>
        <v>23</v>
      </c>
      <c r="AL174" s="896">
        <f>IF($AK$174&gt;=ROWS(AL$174:AL174),ROWS(AL$174:AL174),"")</f>
        <v>1</v>
      </c>
      <c r="AM174" s="1446">
        <f ca="1">IF(AL174=ROWS(AM$174:AM174),RAND(),"")</f>
        <v>0.56746497413278063</v>
      </c>
      <c r="AN174" s="467">
        <f ca="1">IF(AL174=ROWS(AN$174:AN174),RANK(AM174,$AM$174:$AM$208),"")</f>
        <v>17</v>
      </c>
      <c r="AO174" s="344" t="s">
        <v>7395</v>
      </c>
      <c r="AP174" s="1379" t="str">
        <f ca="1">VLOOKUP(AL174,$AN$174:$AO$208,2,FALSE)</f>
        <v>Locate Creature</v>
      </c>
      <c r="AQ174" s="273"/>
      <c r="BT174" s="2797"/>
      <c r="BU174" s="273"/>
      <c r="BV174" s="273"/>
      <c r="BW174" s="543"/>
      <c r="BY174" s="273"/>
      <c r="BZ174" s="543"/>
      <c r="CA174" s="543"/>
      <c r="CB174" s="543"/>
    </row>
    <row r="175" spans="2:80" ht="12" customHeight="1">
      <c r="B175" s="1336">
        <v>2</v>
      </c>
      <c r="C175" s="382"/>
      <c r="D175" s="368" t="s">
        <v>7183</v>
      </c>
      <c r="E175" s="1508"/>
      <c r="F175" s="901">
        <f>IF($E$174&gt;=ROWS(F$174:F175),ROWS(F$174:F175),"")</f>
        <v>2</v>
      </c>
      <c r="G175" s="1459">
        <f ca="1">IF(F175=ROWS(G$174:G175),RAND(),"")</f>
        <v>0.84584333914792476</v>
      </c>
      <c r="H175" s="382">
        <f ca="1">IF(F175=ROWS(H$174:H175),RANK(G175,$G$174:$G$208),"")</f>
        <v>4</v>
      </c>
      <c r="I175" s="368" t="s">
        <v>7183</v>
      </c>
      <c r="J175" s="1363" t="str">
        <f ca="1">VLOOKUP(F174,$H$174:$I$208,2,FALSE)</f>
        <v>Poison Spray</v>
      </c>
      <c r="K175" s="382">
        <v>2</v>
      </c>
      <c r="L175" s="368" t="s">
        <v>7340</v>
      </c>
      <c r="M175" s="1508"/>
      <c r="N175" s="901">
        <f>IF($M$174&gt;=ROWS(N$174:N175),ROWS(N$174:N175),"")</f>
        <v>2</v>
      </c>
      <c r="O175" s="1459">
        <f ca="1">IF(N175=ROWS(O$174:O175),RAND(),"")</f>
        <v>0.77120394595966324</v>
      </c>
      <c r="P175" s="382">
        <f ca="1">IF(N175=ROWS(P$174:P175),RANK(O175,$O$174:$O$208),"")</f>
        <v>5</v>
      </c>
      <c r="Q175" s="368" t="s">
        <v>7340</v>
      </c>
      <c r="R175" s="1363" t="str">
        <f t="shared" ref="R175:R203" ca="1" si="63">VLOOKUP(N175,$P$174:$Q$208,2,FALSE)</f>
        <v>Thunderwave</v>
      </c>
      <c r="S175" s="382">
        <v>2</v>
      </c>
      <c r="T175" s="368" t="s">
        <v>7526</v>
      </c>
      <c r="U175" s="1508"/>
      <c r="V175" s="901">
        <f>IF($U$174&gt;=ROWS(V$174:V175),ROWS(V$174:V175),"")</f>
        <v>2</v>
      </c>
      <c r="W175" s="1459">
        <f ca="1">IF(V175=ROWS(W$174:W175),RAND(),"")</f>
        <v>5.6341047246734055E-2</v>
      </c>
      <c r="X175" s="382">
        <f ca="1">IF(V175=ROWS(X$174:X175),RANK(W175,$W$174:$W$208),"")</f>
        <v>33</v>
      </c>
      <c r="Y175" s="368" t="s">
        <v>7526</v>
      </c>
      <c r="Z175" s="1363" t="str">
        <f t="shared" ref="Z175:Z207" ca="1" si="64">VLOOKUP(V175,$X$174:$Y$208,2,FALSE)</f>
        <v>Rope Trick</v>
      </c>
      <c r="AA175" s="382">
        <v>2</v>
      </c>
      <c r="AB175" s="368" t="s">
        <v>7186</v>
      </c>
      <c r="AC175" s="1508"/>
      <c r="AD175" s="901">
        <f>IF($AC$174&gt;=ROWS(AD$174:AD175),ROWS(AD$174:AD175),"")</f>
        <v>2</v>
      </c>
      <c r="AE175" s="1459">
        <f ca="1">IF(AD175=ROWS(AE$174:AE175),RAND(),"")</f>
        <v>0.88861371617465545</v>
      </c>
      <c r="AF175" s="382">
        <f ca="1">IF(AD175=ROWS(AF$174:AF175),RANK(AE175,$AE$174:$AE$208),"")</f>
        <v>5</v>
      </c>
      <c r="AG175" s="368" t="s">
        <v>7186</v>
      </c>
      <c r="AH175" s="1363" t="str">
        <f t="shared" ref="AH175:AH202" ca="1" si="65">VLOOKUP(AD175,$AF$174:$AG$208,2,FALSE)</f>
        <v>Stinking Cloud</v>
      </c>
      <c r="AI175" s="382">
        <v>2</v>
      </c>
      <c r="AJ175" s="368" t="s">
        <v>7332</v>
      </c>
      <c r="AK175" s="1508"/>
      <c r="AL175" s="901">
        <f>IF($AK$174&gt;=ROWS(AL$174:AL175),ROWS(AL$174:AL175),"")</f>
        <v>2</v>
      </c>
      <c r="AM175" s="1459">
        <f ca="1">IF(AL175=ROWS(AM$174:AM175),RAND(),"")</f>
        <v>0.9013097405117414</v>
      </c>
      <c r="AN175" s="382">
        <f ca="1">IF(AL175=ROWS(AN$174:AN175),RANK(AM175,$AM$174:$AM$208),"")</f>
        <v>2</v>
      </c>
      <c r="AO175" s="368" t="s">
        <v>7332</v>
      </c>
      <c r="AP175" s="1363" t="str">
        <f t="shared" ref="AP175:AP196" ca="1" si="66">VLOOKUP(AL175,$AN$174:$AO$208,2,FALSE)</f>
        <v>Banishment</v>
      </c>
      <c r="AQ175" s="273"/>
      <c r="BT175" s="2797"/>
      <c r="BU175" s="273"/>
      <c r="BV175" s="273"/>
      <c r="BW175" s="543"/>
      <c r="BY175" s="273"/>
      <c r="BZ175" s="543"/>
      <c r="CA175" s="543"/>
      <c r="CB175" s="543"/>
    </row>
    <row r="176" spans="2:80" ht="12" customHeight="1">
      <c r="B176" s="1336">
        <v>3</v>
      </c>
      <c r="C176" s="382"/>
      <c r="D176" s="368" t="s">
        <v>7596</v>
      </c>
      <c r="E176" s="1509"/>
      <c r="F176" s="901">
        <f>IF($E$174&gt;=ROWS(F$174:F176),ROWS(F$174:F176),"")</f>
        <v>3</v>
      </c>
      <c r="G176" s="1459">
        <f ca="1">IF(F176=ROWS(G$174:G176),RAND(),"")</f>
        <v>0.25638627886859222</v>
      </c>
      <c r="H176" s="382">
        <f ca="1">IF(F176=ROWS(H$174:H176),RANK(G176,$G$174:$G$208),"")</f>
        <v>12</v>
      </c>
      <c r="I176" s="368" t="s">
        <v>7596</v>
      </c>
      <c r="J176" s="1363" t="str">
        <f t="shared" ref="J176:J189" ca="1" si="67">VLOOKUP(F175,$H$174:$I$208,2,FALSE)</f>
        <v>Acid Splash</v>
      </c>
      <c r="K176" s="382">
        <v>3</v>
      </c>
      <c r="L176" s="368" t="s">
        <v>7203</v>
      </c>
      <c r="M176" s="1509"/>
      <c r="N176" s="901">
        <f>IF($M$174&gt;=ROWS(N$174:N176),ROWS(N$174:N176),"")</f>
        <v>3</v>
      </c>
      <c r="O176" s="1459">
        <f ca="1">IF(N176=ROWS(O$174:O176),RAND(),"")</f>
        <v>0.68787492841726727</v>
      </c>
      <c r="P176" s="382">
        <f ca="1">IF(N176=ROWS(P$174:P176),RANK(O176,$O$174:$O$208),"")</f>
        <v>8</v>
      </c>
      <c r="Q176" s="368" t="s">
        <v>7203</v>
      </c>
      <c r="R176" s="1363" t="str">
        <f t="shared" ca="1" si="63"/>
        <v>Fog Cloud</v>
      </c>
      <c r="S176" s="382">
        <v>3</v>
      </c>
      <c r="T176" s="368" t="s">
        <v>7194</v>
      </c>
      <c r="U176" s="1509"/>
      <c r="V176" s="901">
        <f>IF($U$174&gt;=ROWS(V$174:V176),ROWS(V$174:V176),"")</f>
        <v>3</v>
      </c>
      <c r="W176" s="1459">
        <f ca="1">IF(V176=ROWS(W$174:W176),RAND(),"")</f>
        <v>0.36923479155720795</v>
      </c>
      <c r="X176" s="382">
        <f ca="1">IF(V176=ROWS(X$174:X176),RANK(W176,$W$174:$W$208),"")</f>
        <v>22</v>
      </c>
      <c r="Y176" s="368" t="s">
        <v>7194</v>
      </c>
      <c r="Z176" s="1363" t="str">
        <f t="shared" ca="1" si="64"/>
        <v>See Invisibility</v>
      </c>
      <c r="AA176" s="382">
        <v>3</v>
      </c>
      <c r="AB176" s="368" t="s">
        <v>7380</v>
      </c>
      <c r="AC176" s="1509"/>
      <c r="AD176" s="901">
        <f>IF($AC$174&gt;=ROWS(AD$174:AD176),ROWS(AD$174:AD176),"")</f>
        <v>3</v>
      </c>
      <c r="AE176" s="1459">
        <f ca="1">IF(AD176=ROWS(AE$174:AE176),RAND(),"")</f>
        <v>1.1746678515466069E-2</v>
      </c>
      <c r="AF176" s="382">
        <f ca="1">IF(AD176=ROWS(AF$174:AF176),RANK(AE176,$AE$174:$AE$208),"")</f>
        <v>29</v>
      </c>
      <c r="AG176" s="368" t="s">
        <v>7380</v>
      </c>
      <c r="AH176" s="1363" t="str">
        <f t="shared" ca="1" si="65"/>
        <v>Remove Curse</v>
      </c>
      <c r="AI176" s="382">
        <v>3</v>
      </c>
      <c r="AJ176" s="368" t="s">
        <v>7436</v>
      </c>
      <c r="AK176" s="1509"/>
      <c r="AL176" s="901">
        <f>IF($AK$174&gt;=ROWS(AL$174:AL176),ROWS(AL$174:AL176),"")</f>
        <v>3</v>
      </c>
      <c r="AM176" s="1459">
        <f ca="1">IF(AL176=ROWS(AM$174:AM176),RAND(),"")</f>
        <v>0.27591213062562359</v>
      </c>
      <c r="AN176" s="382">
        <f ca="1">IF(AL176=ROWS(AN$174:AN176),RANK(AM176,$AM$174:$AM$208),"")</f>
        <v>21</v>
      </c>
      <c r="AO176" s="368" t="s">
        <v>7436</v>
      </c>
      <c r="AP176" s="1363" t="str">
        <f t="shared" ca="1" si="66"/>
        <v>Stoneskin</v>
      </c>
      <c r="AQ176" s="273"/>
      <c r="BT176" s="2797"/>
      <c r="BU176" s="273"/>
      <c r="BV176" s="273"/>
      <c r="BW176" s="543"/>
      <c r="BY176" s="273"/>
      <c r="BZ176" s="543"/>
      <c r="CA176" s="543"/>
      <c r="CB176" s="543"/>
    </row>
    <row r="177" spans="2:80" ht="12" customHeight="1">
      <c r="B177" s="1336">
        <v>4</v>
      </c>
      <c r="C177" s="382"/>
      <c r="D177" s="368" t="s">
        <v>7192</v>
      </c>
      <c r="E177" s="1509"/>
      <c r="F177" s="901">
        <f>IF($E$174&gt;=ROWS(F$174:F177),ROWS(F$174:F177),"")</f>
        <v>4</v>
      </c>
      <c r="G177" s="1459">
        <f ca="1">IF(F177=ROWS(G$174:G177),RAND(),"")</f>
        <v>0.33062588283880912</v>
      </c>
      <c r="H177" s="382">
        <f ca="1">IF(F177=ROWS(H$174:H177),RANK(G177,$G$174:$G$208),"")</f>
        <v>11</v>
      </c>
      <c r="I177" s="368" t="s">
        <v>7192</v>
      </c>
      <c r="J177" s="1363" t="str">
        <f t="shared" ca="1" si="67"/>
        <v>Mending</v>
      </c>
      <c r="K177" s="382">
        <v>4</v>
      </c>
      <c r="L177" s="368" t="s">
        <v>7529</v>
      </c>
      <c r="M177" s="1509"/>
      <c r="N177" s="901">
        <f>IF($M$174&gt;=ROWS(N$174:N177),ROWS(N$174:N177),"")</f>
        <v>4</v>
      </c>
      <c r="O177" s="1459">
        <f ca="1">IF(N177=ROWS(O$174:O177),RAND(),"")</f>
        <v>0.51740496490547916</v>
      </c>
      <c r="P177" s="382">
        <f ca="1">IF(N177=ROWS(P$174:P177),RANK(O177,$O$174:$O$208),"")</f>
        <v>10</v>
      </c>
      <c r="Q177" s="368" t="s">
        <v>7529</v>
      </c>
      <c r="R177" s="1363" t="str">
        <f t="shared" ca="1" si="63"/>
        <v>Mage Armor</v>
      </c>
      <c r="S177" s="382">
        <v>4</v>
      </c>
      <c r="T177" s="368" t="s">
        <v>7440</v>
      </c>
      <c r="U177" s="1509"/>
      <c r="V177" s="901">
        <f>IF($U$174&gt;=ROWS(V$174:V177),ROWS(V$174:V177),"")</f>
        <v>4</v>
      </c>
      <c r="W177" s="1459">
        <f ca="1">IF(V177=ROWS(W$174:W177),RAND(),"")</f>
        <v>0.56052787026038386</v>
      </c>
      <c r="X177" s="382">
        <f ca="1">IF(V177=ROWS(X$174:X177),RANK(W177,$W$174:$W$208),"")</f>
        <v>13</v>
      </c>
      <c r="Y177" s="368" t="s">
        <v>7440</v>
      </c>
      <c r="Z177" s="1363" t="str">
        <f t="shared" ca="1" si="64"/>
        <v>Cloud of Daggers</v>
      </c>
      <c r="AA177" s="382">
        <v>4</v>
      </c>
      <c r="AB177" s="368" t="s">
        <v>7195</v>
      </c>
      <c r="AC177" s="1509"/>
      <c r="AD177" s="901">
        <f>IF($AC$174&gt;=ROWS(AD$174:AD177),ROWS(AD$174:AD177),"")</f>
        <v>4</v>
      </c>
      <c r="AE177" s="1459">
        <f ca="1">IF(AD177=ROWS(AE$174:AE177),RAND(),"")</f>
        <v>0.43634712530968323</v>
      </c>
      <c r="AF177" s="382">
        <f ca="1">IF(AD177=ROWS(AF$174:AF177),RANK(AE177,$AE$174:$AE$208),"")</f>
        <v>16</v>
      </c>
      <c r="AG177" s="368" t="s">
        <v>7195</v>
      </c>
      <c r="AH177" s="1363" t="str">
        <f t="shared" ca="1" si="65"/>
        <v>Sending</v>
      </c>
      <c r="AI177" s="382">
        <v>4</v>
      </c>
      <c r="AJ177" s="368" t="s">
        <v>7196</v>
      </c>
      <c r="AK177" s="1509"/>
      <c r="AL177" s="901">
        <f>IF($AK$174&gt;=ROWS(AL$174:AL177),ROWS(AL$174:AL177),"")</f>
        <v>4</v>
      </c>
      <c r="AM177" s="1459">
        <f ca="1">IF(AL177=ROWS(AM$174:AM177),RAND(),"")</f>
        <v>0.64628637424440483</v>
      </c>
      <c r="AN177" s="382">
        <f ca="1">IF(AL177=ROWS(AN$174:AN177),RANK(AM177,$AM$174:$AM$208),"")</f>
        <v>13</v>
      </c>
      <c r="AO177" s="368" t="s">
        <v>7196</v>
      </c>
      <c r="AP177" s="1363" t="str">
        <f t="shared" ca="1" si="66"/>
        <v>Control Water</v>
      </c>
      <c r="AQ177" s="273"/>
      <c r="BT177" s="2797"/>
      <c r="BU177" s="273"/>
      <c r="BV177" s="273"/>
      <c r="BW177" s="543"/>
      <c r="BY177" s="273"/>
      <c r="BZ177" s="543"/>
      <c r="CA177" s="543"/>
      <c r="CB177" s="543"/>
    </row>
    <row r="178" spans="2:80" ht="12" customHeight="1">
      <c r="B178" s="1336">
        <v>5</v>
      </c>
      <c r="C178" s="382"/>
      <c r="D178" s="368" t="s">
        <v>7528</v>
      </c>
      <c r="E178" s="1509"/>
      <c r="F178" s="901">
        <f>IF($E$174&gt;=ROWS(F$174:F178),ROWS(F$174:F178),"")</f>
        <v>5</v>
      </c>
      <c r="G178" s="1459">
        <f ca="1">IF(F178=ROWS(G$174:G178),RAND(),"")</f>
        <v>0.83486903593626116</v>
      </c>
      <c r="H178" s="382">
        <f ca="1">IF(F178=ROWS(H$174:H178),RANK(G178,$G$174:$G$208),"")</f>
        <v>5</v>
      </c>
      <c r="I178" s="368" t="s">
        <v>7528</v>
      </c>
      <c r="J178" s="1363" t="str">
        <f t="shared" ca="1" si="67"/>
        <v>Blade Ward</v>
      </c>
      <c r="K178" s="382">
        <v>5</v>
      </c>
      <c r="L178" s="368" t="s">
        <v>7597</v>
      </c>
      <c r="M178" s="1509"/>
      <c r="N178" s="901">
        <f>IF($M$174&gt;=ROWS(N$174:N178),ROWS(N$174:N178),"")</f>
        <v>5</v>
      </c>
      <c r="O178" s="1459">
        <f ca="1">IF(N178=ROWS(O$174:O178),RAND(),"")</f>
        <v>0.77077427644066476</v>
      </c>
      <c r="P178" s="382">
        <f ca="1">IF(N178=ROWS(P$174:P178),RANK(O178,$O$174:$O$208),"")</f>
        <v>6</v>
      </c>
      <c r="Q178" s="368" t="s">
        <v>7597</v>
      </c>
      <c r="R178" s="1363" t="str">
        <f t="shared" ca="1" si="63"/>
        <v>Burning Hands</v>
      </c>
      <c r="S178" s="382">
        <v>5</v>
      </c>
      <c r="T178" s="368" t="s">
        <v>7213</v>
      </c>
      <c r="U178" s="1509"/>
      <c r="V178" s="901">
        <f>IF($U$174&gt;=ROWS(V$174:V178),ROWS(V$174:V178),"")</f>
        <v>5</v>
      </c>
      <c r="W178" s="1459">
        <f ca="1">IF(V178=ROWS(W$174:W178),RAND(),"")</f>
        <v>0.80739891014146081</v>
      </c>
      <c r="X178" s="382">
        <f ca="1">IF(V178=ROWS(X$174:X178),RANK(W178,$W$174:$W$208),"")</f>
        <v>4</v>
      </c>
      <c r="Y178" s="368" t="s">
        <v>7213</v>
      </c>
      <c r="Z178" s="1363" t="str">
        <f t="shared" ca="1" si="64"/>
        <v>Levitate</v>
      </c>
      <c r="AA178" s="382">
        <v>5</v>
      </c>
      <c r="AB178" s="368" t="s">
        <v>7524</v>
      </c>
      <c r="AC178" s="1509"/>
      <c r="AD178" s="901">
        <f>IF($AC$174&gt;=ROWS(AD$174:AD178),ROWS(AD$174:AD178),"")</f>
        <v>5</v>
      </c>
      <c r="AE178" s="1459">
        <f ca="1">IF(AD178=ROWS(AE$174:AE178),RAND(),"")</f>
        <v>0.56686289902717057</v>
      </c>
      <c r="AF178" s="382">
        <f ca="1">IF(AD178=ROWS(AF$174:AF178),RANK(AE178,$AE$174:$AE$208),"")</f>
        <v>12</v>
      </c>
      <c r="AG178" s="368" t="s">
        <v>7524</v>
      </c>
      <c r="AH178" s="1363" t="str">
        <f t="shared" ca="1" si="65"/>
        <v>Bestow Curse</v>
      </c>
      <c r="AI178" s="382">
        <v>5</v>
      </c>
      <c r="AJ178" s="368" t="s">
        <v>7453</v>
      </c>
      <c r="AK178" s="1509"/>
      <c r="AL178" s="901">
        <f>IF($AK$174&gt;=ROWS(AL$174:AL178),ROWS(AL$174:AL178),"")</f>
        <v>5</v>
      </c>
      <c r="AM178" s="1459">
        <f ca="1">IF(AL178=ROWS(AM$174:AM178),RAND(),"")</f>
        <v>0.36482018535297578</v>
      </c>
      <c r="AN178" s="382">
        <f ca="1">IF(AL178=ROWS(AN$174:AN178),RANK(AM178,$AM$174:$AM$208),"")</f>
        <v>19</v>
      </c>
      <c r="AO178" s="368" t="s">
        <v>7453</v>
      </c>
      <c r="AP178" s="1363" t="str">
        <f t="shared" ca="1" si="66"/>
        <v>Leomund's Secret Chest</v>
      </c>
      <c r="AQ178" s="273"/>
      <c r="BT178" s="2797"/>
      <c r="BU178" s="273"/>
      <c r="BV178" s="273"/>
      <c r="BW178" s="543"/>
      <c r="BY178" s="273"/>
      <c r="BZ178" s="543"/>
      <c r="CA178" s="543"/>
      <c r="CB178" s="543"/>
    </row>
    <row r="179" spans="2:80" ht="12" customHeight="1">
      <c r="B179" s="1336">
        <v>6</v>
      </c>
      <c r="C179" s="382"/>
      <c r="D179" s="368" t="s">
        <v>7202</v>
      </c>
      <c r="E179" s="1509"/>
      <c r="F179" s="901">
        <f>IF($E$174&gt;=ROWS(F$174:F179),ROWS(F$174:F179),"")</f>
        <v>6</v>
      </c>
      <c r="G179" s="1459">
        <f ca="1">IF(F179=ROWS(G$174:G179),RAND(),"")</f>
        <v>0.51352305370075157</v>
      </c>
      <c r="H179" s="382">
        <f ca="1">IF(F179=ROWS(H$174:H179),RANK(G179,$G$174:$G$208),"")</f>
        <v>9</v>
      </c>
      <c r="I179" s="368" t="s">
        <v>7202</v>
      </c>
      <c r="J179" s="1363" t="str">
        <f t="shared" ca="1" si="67"/>
        <v>Fire Bolt</v>
      </c>
      <c r="K179" s="382">
        <v>6</v>
      </c>
      <c r="L179" s="368" t="s">
        <v>7212</v>
      </c>
      <c r="M179" s="1509"/>
      <c r="N179" s="901">
        <f>IF($M$174&gt;=ROWS(N$174:N179),ROWS(N$174:N179),"")</f>
        <v>6</v>
      </c>
      <c r="O179" s="1459">
        <f ca="1">IF(N179=ROWS(O$174:O179),RAND(),"")</f>
        <v>8.7790427503688262E-2</v>
      </c>
      <c r="P179" s="382">
        <f ca="1">IF(N179=ROWS(P$174:P179),RANK(O179,$O$174:$O$208),"")</f>
        <v>26</v>
      </c>
      <c r="Q179" s="368" t="s">
        <v>7212</v>
      </c>
      <c r="R179" s="1363" t="str">
        <f t="shared" ca="1" si="63"/>
        <v>Color Spray</v>
      </c>
      <c r="S179" s="382">
        <v>6</v>
      </c>
      <c r="T179" s="368" t="s">
        <v>7374</v>
      </c>
      <c r="U179" s="1509"/>
      <c r="V179" s="901">
        <f>IF($U$174&gt;=ROWS(V$174:V179),ROWS(V$174:V179),"")</f>
        <v>6</v>
      </c>
      <c r="W179" s="1459">
        <f ca="1">IF(V179=ROWS(W$174:W179),RAND(),"")</f>
        <v>0.79041636817245808</v>
      </c>
      <c r="X179" s="382">
        <f ca="1">IF(V179=ROWS(X$174:X179),RANK(W179,$W$174:$W$208),"")</f>
        <v>6</v>
      </c>
      <c r="Y179" s="368" t="s">
        <v>7374</v>
      </c>
      <c r="Z179" s="1363" t="str">
        <f t="shared" ca="1" si="64"/>
        <v>Continual Flame</v>
      </c>
      <c r="AA179" s="382">
        <v>6</v>
      </c>
      <c r="AB179" s="368" t="s">
        <v>7205</v>
      </c>
      <c r="AC179" s="1509"/>
      <c r="AD179" s="901">
        <f>IF($AC$174&gt;=ROWS(AD$174:AD179),ROWS(AD$174:AD179),"")</f>
        <v>6</v>
      </c>
      <c r="AE179" s="1459">
        <f ca="1">IF(AD179=ROWS(AE$174:AE179),RAND(),"")</f>
        <v>6.7251795518554092E-2</v>
      </c>
      <c r="AF179" s="382">
        <f ca="1">IF(AD179=ROWS(AF$174:AF179),RANK(AE179,$AE$174:$AE$208),"")</f>
        <v>27</v>
      </c>
      <c r="AG179" s="368" t="s">
        <v>7205</v>
      </c>
      <c r="AH179" s="1363" t="str">
        <f t="shared" ca="1" si="65"/>
        <v>Glyph of Warding</v>
      </c>
      <c r="AI179" s="382">
        <v>6</v>
      </c>
      <c r="AJ179" s="368" t="s">
        <v>7345</v>
      </c>
      <c r="AK179" s="1509"/>
      <c r="AL179" s="901">
        <f>IF($AK$174&gt;=ROWS(AL$174:AL179),ROWS(AL$174:AL179),"")</f>
        <v>6</v>
      </c>
      <c r="AM179" s="1459">
        <f ca="1">IF(AL179=ROWS(AM$174:AM179),RAND(),"")</f>
        <v>0.87584953943752608</v>
      </c>
      <c r="AN179" s="382">
        <f ca="1">IF(AL179=ROWS(AN$174:AN179),RANK(AM179,$AM$174:$AM$208),"")</f>
        <v>4</v>
      </c>
      <c r="AO179" s="368" t="s">
        <v>7345</v>
      </c>
      <c r="AP179" s="1363" t="str">
        <f t="shared" ca="1" si="66"/>
        <v>Phantasmal Killer</v>
      </c>
      <c r="AQ179" s="273"/>
      <c r="BT179" s="2797"/>
      <c r="BU179" s="273"/>
      <c r="BV179" s="273"/>
      <c r="BW179" s="543"/>
      <c r="BY179" s="273"/>
      <c r="BZ179" s="543"/>
      <c r="CA179" s="543"/>
      <c r="CB179" s="543"/>
    </row>
    <row r="180" spans="2:80" ht="12" customHeight="1">
      <c r="B180" s="1336">
        <v>7</v>
      </c>
      <c r="C180" s="382"/>
      <c r="D180" s="368" t="s">
        <v>6305</v>
      </c>
      <c r="E180" s="1509"/>
      <c r="F180" s="901">
        <f>IF($E$174&gt;=ROWS(F$174:F180),ROWS(F$174:F180),"")</f>
        <v>7</v>
      </c>
      <c r="G180" s="1459">
        <f ca="1">IF(F180=ROWS(G$174:G180),RAND(),"")</f>
        <v>0.71633678618473784</v>
      </c>
      <c r="H180" s="382">
        <f ca="1">IF(F180=ROWS(H$174:H180),RANK(G180,$G$174:$G$208),"")</f>
        <v>6</v>
      </c>
      <c r="I180" s="368" t="s">
        <v>6305</v>
      </c>
      <c r="J180" s="1363" t="str">
        <f t="shared" ca="1" si="67"/>
        <v>Light</v>
      </c>
      <c r="K180" s="382">
        <v>7</v>
      </c>
      <c r="L180" s="368" t="s">
        <v>7230</v>
      </c>
      <c r="M180" s="1509"/>
      <c r="N180" s="901">
        <f>IF($M$174&gt;=ROWS(N$174:N180),ROWS(N$174:N180),"")</f>
        <v>7</v>
      </c>
      <c r="O180" s="1459">
        <f ca="1">IF(N180=ROWS(O$174:O180),RAND(),"")</f>
        <v>9.9351974942393451E-2</v>
      </c>
      <c r="P180" s="382">
        <f ca="1">IF(N180=ROWS(P$174:P180),RANK(O180,$O$174:$O$208),"")</f>
        <v>24</v>
      </c>
      <c r="Q180" s="368" t="s">
        <v>7230</v>
      </c>
      <c r="R180" s="1363" t="str">
        <f t="shared" ca="1" si="63"/>
        <v>Feather Fall</v>
      </c>
      <c r="S180" s="382">
        <v>7</v>
      </c>
      <c r="T180" s="368" t="s">
        <v>7222</v>
      </c>
      <c r="U180" s="1509"/>
      <c r="V180" s="901">
        <f>IF($U$174&gt;=ROWS(V$174:V180),ROWS(V$174:V180),"")</f>
        <v>7</v>
      </c>
      <c r="W180" s="1459">
        <f ca="1">IF(V180=ROWS(W$174:W180),RAND(),"")</f>
        <v>0.14267296424462172</v>
      </c>
      <c r="X180" s="382">
        <f ca="1">IF(V180=ROWS(X$174:X180),RANK(W180,$W$174:$W$208),"")</f>
        <v>31</v>
      </c>
      <c r="Y180" s="368" t="s">
        <v>7222</v>
      </c>
      <c r="Z180" s="1363" t="str">
        <f t="shared" ca="1" si="64"/>
        <v>Alter Self</v>
      </c>
      <c r="AA180" s="382">
        <v>7</v>
      </c>
      <c r="AB180" s="368" t="s">
        <v>7214</v>
      </c>
      <c r="AC180" s="1509"/>
      <c r="AD180" s="901">
        <f>IF($AC$174&gt;=ROWS(AD$174:AD180),ROWS(AD$174:AD180),"")</f>
        <v>7</v>
      </c>
      <c r="AE180" s="1459">
        <f ca="1">IF(AD180=ROWS(AE$174:AE180),RAND(),"")</f>
        <v>0.54531832831911564</v>
      </c>
      <c r="AF180" s="382">
        <f ca="1">IF(AD180=ROWS(AF$174:AF180),RANK(AE180,$AE$174:$AE$208),"")</f>
        <v>14</v>
      </c>
      <c r="AG180" s="368" t="s">
        <v>7214</v>
      </c>
      <c r="AH180" s="1363" t="str">
        <f t="shared" ca="1" si="65"/>
        <v>Leomund's Tiny Hut</v>
      </c>
      <c r="AI180" s="382">
        <v>7</v>
      </c>
      <c r="AJ180" s="368" t="s">
        <v>7206</v>
      </c>
      <c r="AK180" s="1509"/>
      <c r="AL180" s="901">
        <f>IF($AK$174&gt;=ROWS(AL$174:AL180),ROWS(AL$174:AL180),"")</f>
        <v>7</v>
      </c>
      <c r="AM180" s="1459">
        <f ca="1">IF(AL180=ROWS(AM$174:AM180),RAND(),"")</f>
        <v>0.84574227177695571</v>
      </c>
      <c r="AN180" s="382">
        <f ca="1">IF(AL180=ROWS(AN$174:AN180),RANK(AM180,$AM$174:$AM$208),"")</f>
        <v>8</v>
      </c>
      <c r="AO180" s="368" t="s">
        <v>7206</v>
      </c>
      <c r="AP180" s="1363" t="str">
        <f t="shared" ca="1" si="66"/>
        <v>Ice Storm</v>
      </c>
      <c r="AQ180" s="273"/>
      <c r="BT180" s="2797"/>
      <c r="BU180" s="273"/>
      <c r="BV180" s="273"/>
      <c r="BW180" s="543"/>
      <c r="BY180" s="273"/>
      <c r="BZ180" s="543"/>
      <c r="CA180" s="543"/>
      <c r="CB180" s="543"/>
    </row>
    <row r="181" spans="2:80" ht="12" customHeight="1">
      <c r="B181" s="1336">
        <v>8</v>
      </c>
      <c r="C181" s="382"/>
      <c r="D181" s="368" t="s">
        <v>7229</v>
      </c>
      <c r="E181" s="1509"/>
      <c r="F181" s="901">
        <f>IF($E$174&gt;=ROWS(F$174:F181),ROWS(F$174:F181),"")</f>
        <v>8</v>
      </c>
      <c r="G181" s="1459">
        <f ca="1">IF(F181=ROWS(G$174:G181),RAND(),"")</f>
        <v>0.85334078469478247</v>
      </c>
      <c r="H181" s="382">
        <f ca="1">IF(F181=ROWS(H$174:H181),RANK(G181,$G$174:$G$208),"")</f>
        <v>3</v>
      </c>
      <c r="I181" s="368" t="s">
        <v>7229</v>
      </c>
      <c r="J181" s="1363" t="str">
        <f t="shared" ca="1" si="67"/>
        <v>Minor Illusion</v>
      </c>
      <c r="K181" s="382">
        <v>8</v>
      </c>
      <c r="L181" s="368" t="s">
        <v>7238</v>
      </c>
      <c r="M181" s="1509"/>
      <c r="N181" s="901">
        <f>IF($M$174&gt;=ROWS(N$174:N181),ROWS(N$174:N181),"")</f>
        <v>8</v>
      </c>
      <c r="O181" s="1459">
        <f ca="1">IF(N181=ROWS(O$174:O181),RAND(),"")</f>
        <v>0.10437283736456804</v>
      </c>
      <c r="P181" s="382">
        <f ca="1">IF(N181=ROWS(P$174:P181),RANK(O181,$O$174:$O$208),"")</f>
        <v>23</v>
      </c>
      <c r="Q181" s="368" t="s">
        <v>7238</v>
      </c>
      <c r="R181" s="1363" t="str">
        <f t="shared" ca="1" si="63"/>
        <v>Charm Person</v>
      </c>
      <c r="S181" s="382">
        <v>8</v>
      </c>
      <c r="T181" s="368" t="s">
        <v>7448</v>
      </c>
      <c r="U181" s="1509"/>
      <c r="V181" s="901">
        <f>IF($U$174&gt;=ROWS(V$174:V181),ROWS(V$174:V181),"")</f>
        <v>8</v>
      </c>
      <c r="W181" s="1459">
        <f ca="1">IF(V181=ROWS(W$174:W181),RAND(),"")</f>
        <v>0.62562922721737535</v>
      </c>
      <c r="X181" s="382">
        <f ca="1">IF(V181=ROWS(X$174:X181),RANK(W181,$W$174:$W$208),"")</f>
        <v>10</v>
      </c>
      <c r="Y181" s="368" t="s">
        <v>7448</v>
      </c>
      <c r="Z181" s="1363" t="str">
        <f t="shared" ca="1" si="64"/>
        <v>Scorching Ray</v>
      </c>
      <c r="AA181" s="382">
        <v>8</v>
      </c>
      <c r="AB181" s="368" t="s">
        <v>7223</v>
      </c>
      <c r="AC181" s="1509"/>
      <c r="AD181" s="901">
        <f>IF($AC$174&gt;=ROWS(AD$174:AD181),ROWS(AD$174:AD181),"")</f>
        <v>8</v>
      </c>
      <c r="AE181" s="1459">
        <f ca="1">IF(AD181=ROWS(AE$174:AE181),RAND(),"")</f>
        <v>0.41382266570809556</v>
      </c>
      <c r="AF181" s="382">
        <f ca="1">IF(AD181=ROWS(AF$174:AF181),RANK(AE181,$AE$174:$AE$208),"")</f>
        <v>19</v>
      </c>
      <c r="AG181" s="368" t="s">
        <v>7223</v>
      </c>
      <c r="AH181" s="1363" t="str">
        <f t="shared" ca="1" si="65"/>
        <v>Phantom Seed</v>
      </c>
      <c r="AI181" s="382">
        <v>8</v>
      </c>
      <c r="AJ181" s="368" t="s">
        <v>7598</v>
      </c>
      <c r="AK181" s="1509"/>
      <c r="AL181" s="901">
        <f>IF($AK$174&gt;=ROWS(AL$174:AL181),ROWS(AL$174:AL181),"")</f>
        <v>8</v>
      </c>
      <c r="AM181" s="1459">
        <f ca="1">IF(AL181=ROWS(AM$174:AM181),RAND(),"")</f>
        <v>0.37472661124886908</v>
      </c>
      <c r="AN181" s="382">
        <f ca="1">IF(AL181=ROWS(AN$174:AN181),RANK(AM181,$AM$174:$AM$208),"")</f>
        <v>18</v>
      </c>
      <c r="AO181" s="368" t="s">
        <v>7598</v>
      </c>
      <c r="AP181" s="1363" t="str">
        <f t="shared" ca="1" si="66"/>
        <v>Dimension Door</v>
      </c>
      <c r="AQ181" s="273"/>
      <c r="BT181" s="2797"/>
      <c r="BU181" s="273"/>
      <c r="BV181" s="273"/>
      <c r="BW181" s="543"/>
      <c r="BY181" s="273"/>
      <c r="BZ181" s="1491"/>
      <c r="CA181" s="543"/>
      <c r="CB181" s="543"/>
    </row>
    <row r="182" spans="2:80" ht="12" customHeight="1">
      <c r="B182" s="1336">
        <v>9</v>
      </c>
      <c r="C182" s="382"/>
      <c r="D182" s="368" t="s">
        <v>7237</v>
      </c>
      <c r="E182" s="1509"/>
      <c r="F182" s="901">
        <f>IF($E$174&gt;=ROWS(F$174:F182),ROWS(F$174:F182),"")</f>
        <v>9</v>
      </c>
      <c r="G182" s="1459">
        <f ca="1">IF(F182=ROWS(G$174:G182),RAND(),"")</f>
        <v>0.51892589669287492</v>
      </c>
      <c r="H182" s="382">
        <f ca="1">IF(F182=ROWS(H$174:H182),RANK(G182,$G$174:$G$208),"")</f>
        <v>8</v>
      </c>
      <c r="I182" s="368" t="s">
        <v>7237</v>
      </c>
      <c r="J182" s="1363" t="str">
        <f t="shared" ca="1" si="67"/>
        <v>Message</v>
      </c>
      <c r="K182" s="382">
        <v>9</v>
      </c>
      <c r="L182" s="368" t="s">
        <v>7599</v>
      </c>
      <c r="M182" s="1509"/>
      <c r="N182" s="901">
        <f>IF($M$174&gt;=ROWS(N$174:N182),ROWS(N$174:N182),"")</f>
        <v>9</v>
      </c>
      <c r="O182" s="1459">
        <f ca="1">IF(N182=ROWS(O$174:O182),RAND(),"")</f>
        <v>0.38143618596347462</v>
      </c>
      <c r="P182" s="382">
        <f ca="1">IF(N182=ROWS(P$174:P182),RANK(O182,$O$174:$O$208),"")</f>
        <v>14</v>
      </c>
      <c r="Q182" s="368" t="s">
        <v>7599</v>
      </c>
      <c r="R182" s="1363" t="str">
        <f t="shared" ca="1" si="63"/>
        <v>Silent Image</v>
      </c>
      <c r="S182" s="382">
        <v>9</v>
      </c>
      <c r="T182" s="368" t="s">
        <v>7461</v>
      </c>
      <c r="U182" s="1509"/>
      <c r="V182" s="901">
        <f>IF($U$174&gt;=ROWS(V$174:V182),ROWS(V$174:V182),"")</f>
        <v>9</v>
      </c>
      <c r="W182" s="1459">
        <f ca="1">IF(V182=ROWS(W$174:W182),RAND(),"")</f>
        <v>0.4184034360498774</v>
      </c>
      <c r="X182" s="382">
        <f ca="1">IF(V182=ROWS(X$174:X182),RANK(W182,$W$174:$W$208),"")</f>
        <v>21</v>
      </c>
      <c r="Y182" s="368" t="s">
        <v>7461</v>
      </c>
      <c r="Z182" s="1363" t="str">
        <f t="shared" ca="1" si="64"/>
        <v>Magic Weapon</v>
      </c>
      <c r="AA182" s="382">
        <v>9</v>
      </c>
      <c r="AB182" s="368" t="s">
        <v>7387</v>
      </c>
      <c r="AC182" s="1509"/>
      <c r="AD182" s="901">
        <f>IF($AC$174&gt;=ROWS(AD$174:AD182),ROWS(AD$174:AD182),"")</f>
        <v>9</v>
      </c>
      <c r="AE182" s="1459">
        <f ca="1">IF(AD182=ROWS(AE$174:AE182),RAND(),"")</f>
        <v>0.57757317132681874</v>
      </c>
      <c r="AF182" s="382">
        <f ca="1">IF(AD182=ROWS(AF$174:AF182),RANK(AE182,$AE$174:$AE$208),"")</f>
        <v>11</v>
      </c>
      <c r="AG182" s="368" t="s">
        <v>7387</v>
      </c>
      <c r="AH182" s="1363" t="str">
        <f t="shared" ca="1" si="65"/>
        <v>Gaseous Form</v>
      </c>
      <c r="AI182" s="382">
        <v>9</v>
      </c>
      <c r="AJ182" s="368" t="s">
        <v>7600</v>
      </c>
      <c r="AK182" s="1509"/>
      <c r="AL182" s="901">
        <f>IF($AK$174&gt;=ROWS(AL$174:AL182),ROWS(AL$174:AL182),"")</f>
        <v>9</v>
      </c>
      <c r="AM182" s="1459">
        <f ca="1">IF(AL182=ROWS(AM$174:AM182),RAND(),"")</f>
        <v>0.68913434352946401</v>
      </c>
      <c r="AN182" s="382">
        <f ca="1">IF(AL182=ROWS(AN$174:AN182),RANK(AM182,$AM$174:$AM$208),"")</f>
        <v>10</v>
      </c>
      <c r="AO182" s="368" t="s">
        <v>7600</v>
      </c>
      <c r="AP182" s="1363" t="str">
        <f t="shared" ca="1" si="66"/>
        <v>Hallucinatory Terrain</v>
      </c>
      <c r="AQ182" s="273"/>
      <c r="BT182" s="2797"/>
      <c r="BU182" s="273"/>
      <c r="BV182" s="273"/>
      <c r="BW182" s="543"/>
    </row>
    <row r="183" spans="2:80" ht="12" customHeight="1">
      <c r="B183" s="1336">
        <v>10</v>
      </c>
      <c r="C183" s="382"/>
      <c r="D183" s="368" t="s">
        <v>7245</v>
      </c>
      <c r="E183" s="1509"/>
      <c r="F183" s="901">
        <f>IF($E$174&gt;=ROWS(F$174:F183),ROWS(F$174:F183),"")</f>
        <v>10</v>
      </c>
      <c r="G183" s="1459">
        <f ca="1">IF(F183=ROWS(G$174:G183),RAND(),"")</f>
        <v>0.71563012422060901</v>
      </c>
      <c r="H183" s="382">
        <f ca="1">IF(F183=ROWS(H$174:H183),RANK(G183,$G$174:$G$208),"")</f>
        <v>7</v>
      </c>
      <c r="I183" s="368" t="s">
        <v>7245</v>
      </c>
      <c r="J183" s="1363" t="str">
        <f t="shared" ca="1" si="67"/>
        <v>Friends</v>
      </c>
      <c r="K183" s="382">
        <v>10</v>
      </c>
      <c r="L183" s="368" t="s">
        <v>7601</v>
      </c>
      <c r="M183" s="1509"/>
      <c r="N183" s="901">
        <f>IF($M$174&gt;=ROWS(N$174:N183),ROWS(N$174:N183),"")</f>
        <v>10</v>
      </c>
      <c r="O183" s="1459">
        <f ca="1">IF(N183=ROWS(O$174:O183),RAND(),"")</f>
        <v>9.9272883853810945E-2</v>
      </c>
      <c r="P183" s="382">
        <f ca="1">IF(N183=ROWS(P$174:P183),RANK(O183,$O$174:$O$208),"")</f>
        <v>25</v>
      </c>
      <c r="Q183" s="368" t="s">
        <v>7601</v>
      </c>
      <c r="R183" s="1363" t="str">
        <f t="shared" ca="1" si="63"/>
        <v>Chromatic Orb</v>
      </c>
      <c r="S183" s="382">
        <v>10</v>
      </c>
      <c r="T183" s="368" t="s">
        <v>7231</v>
      </c>
      <c r="U183" s="1509"/>
      <c r="V183" s="901">
        <f>IF($U$174&gt;=ROWS(V$174:V183),ROWS(V$174:V183),"")</f>
        <v>10</v>
      </c>
      <c r="W183" s="1459">
        <f ca="1">IF(V183=ROWS(W$174:W183),RAND(),"")</f>
        <v>0.52256229314698954</v>
      </c>
      <c r="X183" s="382">
        <f ca="1">IF(V183=ROWS(X$174:X183),RANK(W183,$W$174:$W$208),"")</f>
        <v>14</v>
      </c>
      <c r="Y183" s="368" t="s">
        <v>7231</v>
      </c>
      <c r="Z183" s="1363" t="str">
        <f t="shared" ca="1" si="64"/>
        <v>Darkness</v>
      </c>
      <c r="AA183" s="382">
        <v>10</v>
      </c>
      <c r="AB183" s="368" t="s">
        <v>7602</v>
      </c>
      <c r="AC183" s="1509"/>
      <c r="AD183" s="901">
        <f>IF($AC$174&gt;=ROWS(AD$174:AD183),ROWS(AD$174:AD183),"")</f>
        <v>10</v>
      </c>
      <c r="AE183" s="1459">
        <f ca="1">IF(AD183=ROWS(AE$174:AE183),RAND(),"")</f>
        <v>0.98691016348318861</v>
      </c>
      <c r="AF183" s="382">
        <f ca="1">IF(AD183=ROWS(AF$174:AF183),RANK(AE183,$AE$174:$AE$208),"")</f>
        <v>1</v>
      </c>
      <c r="AG183" s="368" t="s">
        <v>7602</v>
      </c>
      <c r="AH183" s="1363" t="str">
        <f t="shared" ca="1" si="65"/>
        <v>Lightning Bolt</v>
      </c>
      <c r="AI183" s="382">
        <v>10</v>
      </c>
      <c r="AJ183" s="368" t="s">
        <v>7527</v>
      </c>
      <c r="AK183" s="1509"/>
      <c r="AL183" s="901">
        <f>IF($AK$174&gt;=ROWS(AL$174:AL183),ROWS(AL$174:AL183),"")</f>
        <v>10</v>
      </c>
      <c r="AM183" s="1459">
        <f ca="1">IF(AL183=ROWS(AM$174:AM183),RAND(),"")</f>
        <v>0.58311090400795451</v>
      </c>
      <c r="AN183" s="382">
        <f ca="1">IF(AL183=ROWS(AN$174:AN183),RANK(AM183,$AM$174:$AM$208),"")</f>
        <v>15</v>
      </c>
      <c r="AO183" s="368" t="s">
        <v>7527</v>
      </c>
      <c r="AP183" s="1363" t="str">
        <f t="shared" ca="1" si="66"/>
        <v>Fabricate</v>
      </c>
      <c r="AQ183" s="273"/>
      <c r="BT183" s="3060"/>
      <c r="BU183" s="273"/>
      <c r="BV183" s="273"/>
      <c r="BW183" s="543"/>
    </row>
    <row r="184" spans="2:80" ht="12" customHeight="1">
      <c r="B184" s="1336">
        <v>11</v>
      </c>
      <c r="C184" s="382"/>
      <c r="D184" s="368" t="s">
        <v>7493</v>
      </c>
      <c r="E184" s="1509"/>
      <c r="F184" s="901">
        <f>IF($E$174&gt;=ROWS(F$174:F184),ROWS(F$174:F184),"")</f>
        <v>11</v>
      </c>
      <c r="G184" s="1459">
        <f ca="1">IF(F184=ROWS(G$174:G184),RAND(),"")</f>
        <v>0.95424528396805275</v>
      </c>
      <c r="H184" s="382">
        <f ca="1">IF(F184=ROWS(H$174:H184),RANK(G184,$G$174:$G$208),"")</f>
        <v>1</v>
      </c>
      <c r="I184" s="368" t="s">
        <v>7493</v>
      </c>
      <c r="J184" s="1363" t="str">
        <f t="shared" ca="1" si="67"/>
        <v>Prestidigitation</v>
      </c>
      <c r="K184" s="382">
        <v>11</v>
      </c>
      <c r="L184" s="368" t="s">
        <v>7264</v>
      </c>
      <c r="M184" s="1509"/>
      <c r="N184" s="901">
        <f>IF($M$174&gt;=ROWS(N$174:N184),ROWS(N$174:N184),"")</f>
        <v>11</v>
      </c>
      <c r="O184" s="1459">
        <f ca="1">IF(N184=ROWS(O$174:O184),RAND(),"")</f>
        <v>0.70052100042978138</v>
      </c>
      <c r="P184" s="382">
        <f ca="1">IF(N184=ROWS(P$174:P184),RANK(O184,$O$174:$O$208),"")</f>
        <v>7</v>
      </c>
      <c r="Q184" s="368" t="s">
        <v>7264</v>
      </c>
      <c r="R184" s="1363" t="str">
        <f t="shared" ca="1" si="63"/>
        <v>Alarm</v>
      </c>
      <c r="S184" s="382">
        <v>11</v>
      </c>
      <c r="T184" s="368" t="s">
        <v>7603</v>
      </c>
      <c r="U184" s="1509"/>
      <c r="V184" s="901">
        <f>IF($U$174&gt;=ROWS(V$174:V184),ROWS(V$174:V184),"")</f>
        <v>11</v>
      </c>
      <c r="W184" s="1459">
        <f ca="1">IF(V184=ROWS(W$174:W184),RAND(),"")</f>
        <v>0.43421754739431462</v>
      </c>
      <c r="X184" s="382">
        <f ca="1">IF(V184=ROWS(X$174:X184),RANK(W184,$W$174:$W$208),"")</f>
        <v>20</v>
      </c>
      <c r="Y184" s="368" t="s">
        <v>7603</v>
      </c>
      <c r="Z184" s="1363" t="str">
        <f t="shared" ca="1" si="64"/>
        <v>Flaming Sphere</v>
      </c>
      <c r="AA184" s="382">
        <v>11</v>
      </c>
      <c r="AB184" s="368" t="s">
        <v>7459</v>
      </c>
      <c r="AC184" s="1509"/>
      <c r="AD184" s="901">
        <f>IF($AC$174&gt;=ROWS(AD$174:AD184),ROWS(AD$174:AD184),"")</f>
        <v>11</v>
      </c>
      <c r="AE184" s="1459">
        <f ca="1">IF(AD184=ROWS(AE$174:AE184),RAND(),"")</f>
        <v>0.82959027989164025</v>
      </c>
      <c r="AF184" s="382">
        <f ca="1">IF(AD184=ROWS(AF$174:AF184),RANK(AE184,$AE$174:$AE$208),"")</f>
        <v>9</v>
      </c>
      <c r="AG184" s="368" t="s">
        <v>7459</v>
      </c>
      <c r="AH184" s="1363" t="str">
        <f t="shared" ca="1" si="65"/>
        <v>Fireball</v>
      </c>
      <c r="AI184" s="382">
        <v>11</v>
      </c>
      <c r="AJ184" s="368" t="s">
        <v>7224</v>
      </c>
      <c r="AK184" s="1509"/>
      <c r="AL184" s="901">
        <f>IF($AK$174&gt;=ROWS(AL$174:AL184),ROWS(AL$174:AL184),"")</f>
        <v>11</v>
      </c>
      <c r="AM184" s="1459">
        <f ca="1">IF(AL184=ROWS(AM$174:AM184),RAND(),"")</f>
        <v>5.9147346195603356E-2</v>
      </c>
      <c r="AN184" s="382">
        <f ca="1">IF(AL184=ROWS(AN$174:AN184),RANK(AM184,$AM$174:$AM$208),"")</f>
        <v>23</v>
      </c>
      <c r="AO184" s="368" t="s">
        <v>7224</v>
      </c>
      <c r="AP184" s="1363" t="str">
        <f t="shared" ca="1" si="66"/>
        <v>Stone Shape</v>
      </c>
      <c r="AQ184" s="273"/>
      <c r="BT184" s="2797"/>
      <c r="BU184" s="273"/>
      <c r="BV184" s="273"/>
      <c r="BW184" s="543"/>
    </row>
    <row r="185" spans="2:80" ht="12" customHeight="1">
      <c r="B185" s="1336">
        <v>12</v>
      </c>
      <c r="C185" s="382"/>
      <c r="D185" s="368" t="s">
        <v>7604</v>
      </c>
      <c r="E185" s="1509"/>
      <c r="F185" s="901">
        <f>IF($E$174&gt;=ROWS(F$174:F185),ROWS(F$174:F185),"")</f>
        <v>12</v>
      </c>
      <c r="G185" s="1459">
        <f ca="1">IF(F185=ROWS(G$174:G185),RAND(),"")</f>
        <v>0.35257131197020386</v>
      </c>
      <c r="H185" s="382">
        <f ca="1">IF(F185=ROWS(H$174:H185),RANK(G185,$G$174:$G$208),"")</f>
        <v>10</v>
      </c>
      <c r="I185" s="368" t="s">
        <v>7604</v>
      </c>
      <c r="J185" s="1363" t="str">
        <f t="shared" ca="1" si="67"/>
        <v>Dancing Lights</v>
      </c>
      <c r="K185" s="382">
        <v>12</v>
      </c>
      <c r="L185" s="368" t="s">
        <v>7605</v>
      </c>
      <c r="M185" s="1509"/>
      <c r="N185" s="901">
        <f>IF($M$174&gt;=ROWS(N$174:N185),ROWS(N$174:N185),"")</f>
        <v>12</v>
      </c>
      <c r="O185" s="1459">
        <f ca="1">IF(N185=ROWS(O$174:O185),RAND(),"")</f>
        <v>7.9274934090061699E-2</v>
      </c>
      <c r="P185" s="382">
        <f ca="1">IF(N185=ROWS(P$174:P185),RANK(O185,$O$174:$O$208),"")</f>
        <v>28</v>
      </c>
      <c r="Q185" s="368" t="s">
        <v>7605</v>
      </c>
      <c r="R185" s="1363" t="str">
        <f t="shared" ca="1" si="63"/>
        <v>Jump</v>
      </c>
      <c r="S185" s="382">
        <v>12</v>
      </c>
      <c r="T185" s="368" t="s">
        <v>7356</v>
      </c>
      <c r="U185" s="1509"/>
      <c r="V185" s="901">
        <f>IF($U$174&gt;=ROWS(V$174:V185),ROWS(V$174:V185),"")</f>
        <v>12</v>
      </c>
      <c r="W185" s="1459">
        <f ca="1">IF(V185=ROWS(W$174:W185),RAND(),"")</f>
        <v>0.61326355747829497</v>
      </c>
      <c r="X185" s="382">
        <f ca="1">IF(V185=ROWS(X$174:X185),RANK(W185,$W$174:$W$208),"")</f>
        <v>11</v>
      </c>
      <c r="Y185" s="368" t="s">
        <v>7356</v>
      </c>
      <c r="Z185" s="1363" t="str">
        <f t="shared" ca="1" si="64"/>
        <v>Phantasmal Force</v>
      </c>
      <c r="AA185" s="382">
        <v>12</v>
      </c>
      <c r="AB185" s="368" t="s">
        <v>7232</v>
      </c>
      <c r="AC185" s="1509"/>
      <c r="AD185" s="901">
        <f>IF($AC$174&gt;=ROWS(AD$174:AD185),ROWS(AD$174:AD185),"")</f>
        <v>12</v>
      </c>
      <c r="AE185" s="1459">
        <f ca="1">IF(AD185=ROWS(AE$174:AE185),RAND(),"")</f>
        <v>0.8717167899823095</v>
      </c>
      <c r="AF185" s="382">
        <f ca="1">IF(AD185=ROWS(AF$174:AF185),RANK(AE185,$AE$174:$AE$208),"")</f>
        <v>6</v>
      </c>
      <c r="AG185" s="368" t="s">
        <v>7232</v>
      </c>
      <c r="AH185" s="1363" t="str">
        <f t="shared" ca="1" si="65"/>
        <v>Counterspell</v>
      </c>
      <c r="AI185" s="382">
        <v>12</v>
      </c>
      <c r="AJ185" s="368" t="s">
        <v>7233</v>
      </c>
      <c r="AK185" s="1509"/>
      <c r="AL185" s="901">
        <f>IF($AK$174&gt;=ROWS(AL$174:AL185),ROWS(AL$174:AL185),"")</f>
        <v>12</v>
      </c>
      <c r="AM185" s="1459">
        <f ca="1">IF(AL185=ROWS(AM$174:AM185),RAND(),"")</f>
        <v>0.80457235053997866</v>
      </c>
      <c r="AN185" s="382">
        <f ca="1">IF(AL185=ROWS(AN$174:AN185),RANK(AM185,$AM$174:$AM$208),"")</f>
        <v>9</v>
      </c>
      <c r="AO185" s="368" t="s">
        <v>7233</v>
      </c>
      <c r="AP185" s="1363" t="str">
        <f t="shared" ca="1" si="66"/>
        <v>Wall of Fire</v>
      </c>
      <c r="AQ185" s="273"/>
      <c r="BT185" s="2797"/>
      <c r="BU185" s="273"/>
      <c r="BV185" s="273"/>
      <c r="BW185" s="543"/>
    </row>
    <row r="186" spans="2:80" ht="12" customHeight="1">
      <c r="B186" s="1336">
        <v>13</v>
      </c>
      <c r="C186" s="382"/>
      <c r="D186" s="368" t="s">
        <v>7532</v>
      </c>
      <c r="E186" s="1509"/>
      <c r="F186" s="901">
        <f>IF($E$174&gt;=ROWS(F$174:F186),ROWS(F$174:F186),"")</f>
        <v>13</v>
      </c>
      <c r="G186" s="1459">
        <f ca="1">IF(F186=ROWS(G$174:G186),RAND(),"")</f>
        <v>9.9494859474553721E-2</v>
      </c>
      <c r="H186" s="382">
        <f ca="1">IF(F186=ROWS(H$174:H186),RANK(G186,$G$174:$G$208),"")</f>
        <v>13</v>
      </c>
      <c r="I186" s="368" t="s">
        <v>7532</v>
      </c>
      <c r="J186" s="1363" t="str">
        <f t="shared" ca="1" si="67"/>
        <v>Chill Touch</v>
      </c>
      <c r="K186" s="382">
        <v>13</v>
      </c>
      <c r="L186" s="368" t="s">
        <v>7341</v>
      </c>
      <c r="M186" s="1509"/>
      <c r="N186" s="901">
        <f>IF($M$174&gt;=ROWS(N$174:N186),ROWS(N$174:N186),"")</f>
        <v>13</v>
      </c>
      <c r="O186" s="1459">
        <f ca="1">IF(N186=ROWS(O$174:O186),RAND(),"")</f>
        <v>0.83997353548996201</v>
      </c>
      <c r="P186" s="382">
        <f ca="1">IF(N186=ROWS(P$174:P186),RANK(O186,$O$174:$O$208),"")</f>
        <v>3</v>
      </c>
      <c r="Q186" s="368" t="s">
        <v>7341</v>
      </c>
      <c r="R186" s="1363" t="str">
        <f t="shared" ca="1" si="63"/>
        <v>Identify</v>
      </c>
      <c r="S186" s="382">
        <v>13</v>
      </c>
      <c r="T186" s="368" t="s">
        <v>7399</v>
      </c>
      <c r="U186" s="1509"/>
      <c r="V186" s="901">
        <f>IF($U$174&gt;=ROWS(V$174:V186),ROWS(V$174:V186),"")</f>
        <v>13</v>
      </c>
      <c r="W186" s="1459">
        <f ca="1">IF(V186=ROWS(W$174:W186),RAND(),"")</f>
        <v>0.20450801339786462</v>
      </c>
      <c r="X186" s="382">
        <f ca="1">IF(V186=ROWS(X$174:X186),RANK(W186,$W$174:$W$208),"")</f>
        <v>29</v>
      </c>
      <c r="Y186" s="368" t="s">
        <v>7399</v>
      </c>
      <c r="Z186" s="1363" t="str">
        <f t="shared" ca="1" si="64"/>
        <v>Blur</v>
      </c>
      <c r="AA186" s="382">
        <v>13</v>
      </c>
      <c r="AB186" s="368" t="s">
        <v>7467</v>
      </c>
      <c r="AC186" s="1509"/>
      <c r="AD186" s="901">
        <f>IF($AC$174&gt;=ROWS(AD$174:AD186),ROWS(AD$174:AD186),"")</f>
        <v>13</v>
      </c>
      <c r="AE186" s="1459">
        <f ca="1">IF(AD186=ROWS(AE$174:AE186),RAND(),"")</f>
        <v>0.33502599493617402</v>
      </c>
      <c r="AF186" s="382">
        <f ca="1">IF(AD186=ROWS(AF$174:AF186),RANK(AE186,$AE$174:$AE$208),"")</f>
        <v>20</v>
      </c>
      <c r="AG186" s="368" t="s">
        <v>7467</v>
      </c>
      <c r="AH186" s="1363" t="str">
        <f t="shared" ca="1" si="65"/>
        <v>Tongues</v>
      </c>
      <c r="AI186" s="382">
        <v>13</v>
      </c>
      <c r="AJ186" s="368" t="s">
        <v>7405</v>
      </c>
      <c r="AK186" s="1509"/>
      <c r="AL186" s="901">
        <f>IF($AK$174&gt;=ROWS(AL$174:AL186),ROWS(AL$174:AL186),"")</f>
        <v>13</v>
      </c>
      <c r="AM186" s="1459">
        <f ca="1">IF(AL186=ROWS(AM$174:AM186),RAND(),"")</f>
        <v>0.84823626478768477</v>
      </c>
      <c r="AN186" s="382">
        <f ca="1">IF(AL186=ROWS(AN$174:AN186),RANK(AM186,$AM$174:$AM$208),"")</f>
        <v>7</v>
      </c>
      <c r="AO186" s="368" t="s">
        <v>7405</v>
      </c>
      <c r="AP186" s="1363" t="str">
        <f t="shared" ca="1" si="66"/>
        <v>Confusion</v>
      </c>
      <c r="AQ186" s="273"/>
      <c r="BT186" s="2797"/>
      <c r="BU186" s="273"/>
      <c r="BV186" s="273"/>
      <c r="BW186" s="543"/>
    </row>
    <row r="187" spans="2:80" ht="12" customHeight="1">
      <c r="B187" s="1336">
        <v>14</v>
      </c>
      <c r="C187" s="382"/>
      <c r="D187" s="368" t="s">
        <v>7534</v>
      </c>
      <c r="E187" s="1509"/>
      <c r="F187" s="901">
        <f>IF($E$174&gt;=ROWS(F$174:F187),ROWS(F$174:F187),"")</f>
        <v>14</v>
      </c>
      <c r="G187" s="1459">
        <f ca="1">IF(F187=ROWS(G$174:G187),RAND(),"")</f>
        <v>3.0482970954601285E-2</v>
      </c>
      <c r="H187" s="382">
        <f ca="1">IF(F187=ROWS(H$174:H187),RANK(G187,$G$174:$G$208),"")</f>
        <v>15</v>
      </c>
      <c r="I187" s="368" t="s">
        <v>7534</v>
      </c>
      <c r="J187" s="1363" t="str">
        <f t="shared" ca="1" si="67"/>
        <v>Ray of Frost</v>
      </c>
      <c r="K187" s="382">
        <v>14</v>
      </c>
      <c r="L187" s="368" t="s">
        <v>7606</v>
      </c>
      <c r="M187" s="1509"/>
      <c r="N187" s="901">
        <f>IF($M$174&gt;=ROWS(N$174:N187),ROWS(N$174:N187),"")</f>
        <v>14</v>
      </c>
      <c r="O187" s="1459">
        <f ca="1">IF(N187=ROWS(O$174:O187),RAND(),"")</f>
        <v>2.9928304466508848E-3</v>
      </c>
      <c r="P187" s="382">
        <f ca="1">IF(N187=ROWS(P$174:P187),RANK(O187,$O$174:$O$208),"")</f>
        <v>30</v>
      </c>
      <c r="Q187" s="368" t="s">
        <v>7606</v>
      </c>
      <c r="R187" s="1363" t="str">
        <f t="shared" ca="1" si="63"/>
        <v>Expeditious Retreat</v>
      </c>
      <c r="S187" s="382">
        <v>14</v>
      </c>
      <c r="T187" s="368" t="s">
        <v>7358</v>
      </c>
      <c r="U187" s="1509"/>
      <c r="V187" s="901">
        <f>IF($U$174&gt;=ROWS(V$174:V187),ROWS(V$174:V187),"")</f>
        <v>14</v>
      </c>
      <c r="W187" s="1459">
        <f ca="1">IF(V187=ROWS(W$174:W187),RAND(),"")</f>
        <v>0.46768704870983724</v>
      </c>
      <c r="X187" s="382">
        <f ca="1">IF(V187=ROWS(X$174:X187),RANK(W187,$W$174:$W$208),"")</f>
        <v>16</v>
      </c>
      <c r="Y187" s="368" t="s">
        <v>7358</v>
      </c>
      <c r="Z187" s="1363" t="str">
        <f t="shared" ca="1" si="64"/>
        <v>Detect Thoughts</v>
      </c>
      <c r="AA187" s="382">
        <v>14</v>
      </c>
      <c r="AB187" s="368" t="s">
        <v>7240</v>
      </c>
      <c r="AC187" s="1509"/>
      <c r="AD187" s="901">
        <f>IF($AC$174&gt;=ROWS(AD$174:AD187),ROWS(AD$174:AD187),"")</f>
        <v>14</v>
      </c>
      <c r="AE187" s="1459">
        <f ca="1">IF(AD187=ROWS(AE$174:AE187),RAND(),"")</f>
        <v>0.41885967475129504</v>
      </c>
      <c r="AF187" s="382">
        <f ca="1">IF(AD187=ROWS(AF$174:AF187),RANK(AE187,$AE$174:$AE$208),"")</f>
        <v>17</v>
      </c>
      <c r="AG187" s="368" t="s">
        <v>7240</v>
      </c>
      <c r="AH187" s="1363" t="str">
        <f t="shared" ca="1" si="65"/>
        <v>Fear</v>
      </c>
      <c r="AI187" s="382">
        <v>14</v>
      </c>
      <c r="AJ187" s="368" t="s">
        <v>7607</v>
      </c>
      <c r="AK187" s="1509"/>
      <c r="AL187" s="901">
        <f>IF($AK$174&gt;=ROWS(AL$174:AL187),ROWS(AL$174:AL187),"")</f>
        <v>14</v>
      </c>
      <c r="AM187" s="1459">
        <f ca="1">IF(AL187=ROWS(AM$174:AM187),RAND(),"")</f>
        <v>0.87575767871067012</v>
      </c>
      <c r="AN187" s="382">
        <f ca="1">IF(AL187=ROWS(AN$174:AN187),RANK(AM187,$AM$174:$AM$208),"")</f>
        <v>5</v>
      </c>
      <c r="AO187" s="368" t="s">
        <v>7607</v>
      </c>
      <c r="AP187" s="1363" t="str">
        <f t="shared" ca="1" si="66"/>
        <v>Mordekainen's Faithful Hound</v>
      </c>
      <c r="AQ187" s="273"/>
      <c r="BT187" s="2797"/>
      <c r="BU187" s="273"/>
      <c r="BV187" s="273"/>
      <c r="BW187" s="543"/>
    </row>
    <row r="188" spans="2:80" ht="12" customHeight="1">
      <c r="B188" s="1336">
        <v>15</v>
      </c>
      <c r="C188" s="382"/>
      <c r="D188" s="368" t="s">
        <v>7263</v>
      </c>
      <c r="E188" s="1509"/>
      <c r="F188" s="901">
        <f>IF($E$174&gt;=ROWS(F$174:F188),ROWS(F$174:F188),"")</f>
        <v>15</v>
      </c>
      <c r="G188" s="1459">
        <f ca="1">IF(F188=ROWS(G$174:G188),RAND(),"")</f>
        <v>7.8849791225480081E-2</v>
      </c>
      <c r="H188" s="382">
        <f ca="1">IF(F188=ROWS(H$174:H188),RANK(G188,$G$174:$G$208),"")</f>
        <v>14</v>
      </c>
      <c r="I188" s="368" t="s">
        <v>7263</v>
      </c>
      <c r="J188" s="1363" t="str">
        <f t="shared" ca="1" si="67"/>
        <v>True Strike</v>
      </c>
      <c r="K188" s="382">
        <v>15</v>
      </c>
      <c r="L188" s="368" t="s">
        <v>7276</v>
      </c>
      <c r="M188" s="1509"/>
      <c r="N188" s="901">
        <f>IF($M$174&gt;=ROWS(N$174:N188),ROWS(N$174:N188),"")</f>
        <v>15</v>
      </c>
      <c r="O188" s="1459">
        <f ca="1">IF(N188=ROWS(O$174:O188),RAND(),"")</f>
        <v>0.38290975885055689</v>
      </c>
      <c r="P188" s="382">
        <f ca="1">IF(N188=ROWS(P$174:P188),RANK(O188,$O$174:$O$208),"")</f>
        <v>13</v>
      </c>
      <c r="Q188" s="368" t="s">
        <v>7276</v>
      </c>
      <c r="R188" s="1363" t="str">
        <f t="shared" ca="1" si="63"/>
        <v>Witch Bolt</v>
      </c>
      <c r="S188" s="382">
        <v>15</v>
      </c>
      <c r="T188" s="368" t="s">
        <v>7260</v>
      </c>
      <c r="U188" s="1509"/>
      <c r="V188" s="901">
        <f>IF($U$174&gt;=ROWS(V$174:V188),ROWS(V$174:V188),"")</f>
        <v>15</v>
      </c>
      <c r="W188" s="1459">
        <f ca="1">IF(V188=ROWS(W$174:W188),RAND(),"")</f>
        <v>0.31230945922996622</v>
      </c>
      <c r="X188" s="382">
        <f ca="1">IF(V188=ROWS(X$174:X188),RANK(W188,$W$174:$W$208),"")</f>
        <v>27</v>
      </c>
      <c r="Y188" s="368" t="s">
        <v>7260</v>
      </c>
      <c r="Z188" s="1363" t="str">
        <f t="shared" ca="1" si="64"/>
        <v>Web</v>
      </c>
      <c r="AA188" s="382">
        <v>15</v>
      </c>
      <c r="AB188" s="368" t="s">
        <v>7248</v>
      </c>
      <c r="AC188" s="1509"/>
      <c r="AD188" s="901">
        <f>IF($AC$174&gt;=ROWS(AD$174:AD188),ROWS(AD$174:AD188),"")</f>
        <v>15</v>
      </c>
      <c r="AE188" s="1459">
        <f ca="1">IF(AD188=ROWS(AE$174:AE188),RAND(),"")</f>
        <v>0.85658200035379328</v>
      </c>
      <c r="AF188" s="382">
        <f ca="1">IF(AD188=ROWS(AF$174:AF188),RANK(AE188,$AE$174:$AE$208),"")</f>
        <v>7</v>
      </c>
      <c r="AG188" s="368" t="s">
        <v>7248</v>
      </c>
      <c r="AH188" s="1363" t="str">
        <f t="shared" ca="1" si="65"/>
        <v>Animate Dead</v>
      </c>
      <c r="AI188" s="382">
        <v>15</v>
      </c>
      <c r="AJ188" s="368" t="s">
        <v>7241</v>
      </c>
      <c r="AK188" s="1509"/>
      <c r="AL188" s="901">
        <f>IF($AK$174&gt;=ROWS(AL$174:AL188),ROWS(AL$174:AL188),"")</f>
        <v>15</v>
      </c>
      <c r="AM188" s="1459">
        <f ca="1">IF(AL188=ROWS(AM$174:AM188),RAND(),"")</f>
        <v>0.9161826597342746</v>
      </c>
      <c r="AN188" s="382">
        <f ca="1">IF(AL188=ROWS(AN$174:AN188),RANK(AM188,$AM$174:$AM$208),"")</f>
        <v>1</v>
      </c>
      <c r="AO188" s="368" t="s">
        <v>7241</v>
      </c>
      <c r="AP188" s="1363" t="str">
        <f t="shared" ca="1" si="66"/>
        <v>Fire Shield</v>
      </c>
      <c r="BT188" s="2797"/>
      <c r="BU188" s="273"/>
      <c r="BV188" s="273"/>
      <c r="BW188" s="543"/>
    </row>
    <row r="189" spans="2:80" ht="12" customHeight="1">
      <c r="B189" s="1336">
        <v>16</v>
      </c>
      <c r="C189" s="382"/>
      <c r="D189" s="368"/>
      <c r="E189" s="1509"/>
      <c r="F189" s="901" t="str">
        <f>IF($E$174&gt;=ROWS(F$174:F189),ROWS(F$174:F189),"")</f>
        <v/>
      </c>
      <c r="G189" s="1459" t="str">
        <f ca="1">IF(F189=ROWS(G$174:G189),RAND(),"")</f>
        <v/>
      </c>
      <c r="H189" s="382" t="str">
        <f>IF(F189=ROWS(H$174:H189),RANK(G189,$G$174:$G$208),"")</f>
        <v/>
      </c>
      <c r="I189" s="368"/>
      <c r="J189" s="1363" t="str">
        <f t="shared" ca="1" si="67"/>
        <v>Shocking Grasp</v>
      </c>
      <c r="K189" s="382">
        <v>16</v>
      </c>
      <c r="L189" s="368" t="s">
        <v>7280</v>
      </c>
      <c r="M189" s="1509"/>
      <c r="N189" s="901">
        <f>IF($M$174&gt;=ROWS(N$174:N189),ROWS(N$174:N189),"")</f>
        <v>16</v>
      </c>
      <c r="O189" s="1459">
        <f ca="1">IF(N189=ROWS(O$174:O189),RAND(),"")</f>
        <v>0.14792180875952754</v>
      </c>
      <c r="P189" s="382">
        <f ca="1">IF(N189=ROWS(P$174:P189),RANK(O189,$O$174:$O$208),"")</f>
        <v>22</v>
      </c>
      <c r="Q189" s="368" t="s">
        <v>7280</v>
      </c>
      <c r="R189" s="1363" t="str">
        <f t="shared" ca="1" si="63"/>
        <v>Magic Missile</v>
      </c>
      <c r="S189" s="382">
        <v>16</v>
      </c>
      <c r="T189" s="368" t="s">
        <v>2703</v>
      </c>
      <c r="U189" s="1509"/>
      <c r="V189" s="901">
        <f>IF($U$174&gt;=ROWS(V$174:V189),ROWS(V$174:V189),"")</f>
        <v>16</v>
      </c>
      <c r="W189" s="1459">
        <f ca="1">IF(V189=ROWS(W$174:W189),RAND(),"")</f>
        <v>0.44601052201387703</v>
      </c>
      <c r="X189" s="382">
        <f ca="1">IF(V189=ROWS(X$174:X189),RANK(W189,$W$174:$W$208),"")</f>
        <v>19</v>
      </c>
      <c r="Y189" s="368" t="s">
        <v>2703</v>
      </c>
      <c r="Z189" s="1363" t="str">
        <f t="shared" ca="1" si="64"/>
        <v>Gust of Wind</v>
      </c>
      <c r="AA189" s="382">
        <v>16</v>
      </c>
      <c r="AB189" s="368" t="s">
        <v>7457</v>
      </c>
      <c r="AC189" s="1509"/>
      <c r="AD189" s="901">
        <f>IF($AC$174&gt;=ROWS(AD$174:AD189),ROWS(AD$174:AD189),"")</f>
        <v>16</v>
      </c>
      <c r="AE189" s="1459">
        <f ca="1">IF(AD189=ROWS(AE$174:AE189),RAND(),"")</f>
        <v>0.60686959502677773</v>
      </c>
      <c r="AF189" s="382">
        <f ca="1">IF(AD189=ROWS(AF$174:AF189),RANK(AE189,$AE$174:$AE$208),"")</f>
        <v>10</v>
      </c>
      <c r="AG189" s="368" t="s">
        <v>7457</v>
      </c>
      <c r="AH189" s="1363" t="str">
        <f t="shared" ca="1" si="65"/>
        <v>Clairvoyance</v>
      </c>
      <c r="AI189" s="382">
        <v>16</v>
      </c>
      <c r="AJ189" s="368" t="s">
        <v>7608</v>
      </c>
      <c r="AK189" s="1509"/>
      <c r="AL189" s="901">
        <f>IF($AK$174&gt;=ROWS(AL$174:AL189),ROWS(AL$174:AL189),"")</f>
        <v>16</v>
      </c>
      <c r="AM189" s="1459">
        <f ca="1">IF(AL189=ROWS(AM$174:AM189),RAND(),"")</f>
        <v>0.64003347362991281</v>
      </c>
      <c r="AN189" s="382">
        <f ca="1">IF(AL189=ROWS(AN$174:AN189),RANK(AM189,$AM$174:$AM$208),"")</f>
        <v>14</v>
      </c>
      <c r="AO189" s="368" t="s">
        <v>7608</v>
      </c>
      <c r="AP189" s="1363" t="str">
        <f t="shared" ca="1" si="66"/>
        <v>Mordekainen's Private Sanctum</v>
      </c>
      <c r="BT189" s="2797"/>
      <c r="BU189" s="273"/>
      <c r="BV189" s="273"/>
      <c r="BW189" s="543"/>
    </row>
    <row r="190" spans="2:80" ht="12" customHeight="1">
      <c r="B190" s="1336">
        <v>17</v>
      </c>
      <c r="C190" s="382"/>
      <c r="D190" s="368"/>
      <c r="E190" s="1509"/>
      <c r="F190" s="901" t="str">
        <f>IF($E$174&gt;=ROWS(F$174:F190),ROWS(F$174:F190),"")</f>
        <v/>
      </c>
      <c r="G190" s="1459" t="str">
        <f ca="1">IF(F190=ROWS(G$174:G190),RAND(),"")</f>
        <v/>
      </c>
      <c r="H190" s="382" t="str">
        <f>IF(F190=ROWS(H$174:H190),RANK(G190,$G$174:$G$208),"")</f>
        <v/>
      </c>
      <c r="I190" s="368"/>
      <c r="J190" s="1363"/>
      <c r="K190" s="382">
        <v>17</v>
      </c>
      <c r="L190" s="368" t="s">
        <v>7514</v>
      </c>
      <c r="M190" s="1509"/>
      <c r="N190" s="901">
        <f>IF($M$174&gt;=ROWS(N$174:N190),ROWS(N$174:N190),"")</f>
        <v>17</v>
      </c>
      <c r="O190" s="1459">
        <f ca="1">IF(N190=ROWS(O$174:O190),RAND(),"")</f>
        <v>0.45870267853665259</v>
      </c>
      <c r="P190" s="382">
        <f ca="1">IF(N190=ROWS(P$174:P190),RANK(O190,$O$174:$O$208),"")</f>
        <v>12</v>
      </c>
      <c r="Q190" s="368" t="s">
        <v>7514</v>
      </c>
      <c r="R190" s="1363" t="str">
        <f t="shared" ca="1" si="63"/>
        <v>Ray of Sickness</v>
      </c>
      <c r="S190" s="382">
        <v>17</v>
      </c>
      <c r="T190" s="368" t="s">
        <v>7269</v>
      </c>
      <c r="U190" s="1509"/>
      <c r="V190" s="901">
        <f>IF($U$174&gt;=ROWS(V$174:V190),ROWS(V$174:V190),"")</f>
        <v>17</v>
      </c>
      <c r="W190" s="1459">
        <f ca="1">IF(V190=ROWS(W$174:W190),RAND(),"")</f>
        <v>0.45640882988369469</v>
      </c>
      <c r="X190" s="382">
        <f ca="1">IF(V190=ROWS(X$174:X190),RANK(W190,$W$174:$W$208),"")</f>
        <v>18</v>
      </c>
      <c r="Y190" s="368" t="s">
        <v>7269</v>
      </c>
      <c r="Z190" s="1363" t="str">
        <f t="shared" ca="1" si="64"/>
        <v>Nystul's Magic Aura</v>
      </c>
      <c r="AA190" s="382">
        <v>17</v>
      </c>
      <c r="AB190" s="368" t="s">
        <v>7409</v>
      </c>
      <c r="AC190" s="1509"/>
      <c r="AD190" s="901">
        <f>IF($AC$174&gt;=ROWS(AD$174:AD190),ROWS(AD$174:AD190),"")</f>
        <v>17</v>
      </c>
      <c r="AE190" s="1459">
        <f ca="1">IF(AD190=ROWS(AE$174:AE190),RAND(),"")</f>
        <v>0.11085233422124496</v>
      </c>
      <c r="AF190" s="382">
        <f ca="1">IF(AD190=ROWS(AF$174:AF190),RANK(AE190,$AE$174:$AE$208),"")</f>
        <v>25</v>
      </c>
      <c r="AG190" s="368" t="s">
        <v>7409</v>
      </c>
      <c r="AH190" s="1363" t="str">
        <f t="shared" ca="1" si="65"/>
        <v>Hypnotic Pattern</v>
      </c>
      <c r="AI190" s="382">
        <v>17</v>
      </c>
      <c r="AJ190" s="368" t="s">
        <v>7609</v>
      </c>
      <c r="AK190" s="1509"/>
      <c r="AL190" s="901">
        <f>IF($AK$174&gt;=ROWS(AL$174:AL190),ROWS(AL$174:AL190),"")</f>
        <v>17</v>
      </c>
      <c r="AM190" s="1459">
        <f ca="1">IF(AL190=ROWS(AM$174:AM190),RAND(),"")</f>
        <v>0.57542058855630884</v>
      </c>
      <c r="AN190" s="382">
        <f ca="1">IF(AL190=ROWS(AN$174:AN190),RANK(AM190,$AM$174:$AM$208),"")</f>
        <v>16</v>
      </c>
      <c r="AO190" s="368" t="s">
        <v>7609</v>
      </c>
      <c r="AP190" s="1363" t="str">
        <f t="shared" ca="1" si="66"/>
        <v>Arcane Eye</v>
      </c>
      <c r="BT190" s="2797"/>
      <c r="BU190" s="273"/>
      <c r="BV190" s="273"/>
      <c r="BW190" s="543"/>
    </row>
    <row r="191" spans="2:80" ht="12" customHeight="1">
      <c r="B191" s="1336">
        <v>18</v>
      </c>
      <c r="C191" s="382"/>
      <c r="D191" s="382"/>
      <c r="E191" s="1509"/>
      <c r="F191" s="901" t="str">
        <f>IF($E$174&gt;=ROWS(F$174:F191),ROWS(F$174:F191),"")</f>
        <v/>
      </c>
      <c r="G191" s="1459" t="str">
        <f ca="1">IF(F191=ROWS(G$174:G191),RAND(),"")</f>
        <v/>
      </c>
      <c r="H191" s="382" t="str">
        <f>IF(F191=ROWS(H$174:H191),RANK(G191,$G$174:$G$208),"")</f>
        <v/>
      </c>
      <c r="I191" s="368"/>
      <c r="J191" s="1363"/>
      <c r="K191" s="382">
        <v>18</v>
      </c>
      <c r="L191" s="368" t="s">
        <v>7284</v>
      </c>
      <c r="M191" s="1509"/>
      <c r="N191" s="901">
        <f>IF($M$174&gt;=ROWS(N$174:N191),ROWS(N$174:N191),"")</f>
        <v>18</v>
      </c>
      <c r="O191" s="1459">
        <f ca="1">IF(N191=ROWS(O$174:O191),RAND(),"")</f>
        <v>6.3580161062396945E-2</v>
      </c>
      <c r="P191" s="382">
        <f ca="1">IF(N191=ROWS(P$174:P191),RANK(O191,$O$174:$O$208),"")</f>
        <v>29</v>
      </c>
      <c r="Q191" s="368" t="s">
        <v>7284</v>
      </c>
      <c r="R191" s="1363" t="str">
        <f t="shared" ca="1" si="63"/>
        <v>Shield</v>
      </c>
      <c r="S191" s="382">
        <v>18</v>
      </c>
      <c r="T191" s="368" t="s">
        <v>7610</v>
      </c>
      <c r="U191" s="1509"/>
      <c r="V191" s="901">
        <f>IF($U$174&gt;=ROWS(V$174:V191),ROWS(V$174:V191),"")</f>
        <v>18</v>
      </c>
      <c r="W191" s="1459">
        <f ca="1">IF(V191=ROWS(W$174:W191),RAND(),"")</f>
        <v>0.79102858121462583</v>
      </c>
      <c r="X191" s="382">
        <f ca="1">IF(V191=ROWS(X$174:X191),RANK(W191,$W$174:$W$208),"")</f>
        <v>5</v>
      </c>
      <c r="Y191" s="368" t="s">
        <v>7610</v>
      </c>
      <c r="Z191" s="1363" t="str">
        <f t="shared" ca="1" si="64"/>
        <v>Knock</v>
      </c>
      <c r="AA191" s="382">
        <v>18</v>
      </c>
      <c r="AB191" s="368" t="s">
        <v>7255</v>
      </c>
      <c r="AC191" s="1509"/>
      <c r="AD191" s="901">
        <f>IF($AC$174&gt;=ROWS(AD$174:AD191),ROWS(AD$174:AD191),"")</f>
        <v>18</v>
      </c>
      <c r="AE191" s="1459">
        <f ca="1">IF(AD191=ROWS(AE$174:AE191),RAND(),"")</f>
        <v>0.32550097213139495</v>
      </c>
      <c r="AF191" s="382">
        <f ca="1">IF(AD191=ROWS(AF$174:AF191),RANK(AE191,$AE$174:$AE$208),"")</f>
        <v>22</v>
      </c>
      <c r="AG191" s="368" t="s">
        <v>7255</v>
      </c>
      <c r="AH191" s="1363" t="str">
        <f t="shared" ca="1" si="65"/>
        <v>Nondetection</v>
      </c>
      <c r="AI191" s="382">
        <v>18</v>
      </c>
      <c r="AJ191" s="368" t="s">
        <v>7611</v>
      </c>
      <c r="AK191" s="1509"/>
      <c r="AL191" s="901">
        <f>IF($AK$174&gt;=ROWS(AL$174:AL191),ROWS(AL$174:AL191),"")</f>
        <v>18</v>
      </c>
      <c r="AM191" s="1459">
        <f ca="1">IF(AL191=ROWS(AM$174:AM191),RAND(),"")</f>
        <v>0.34390021917985836</v>
      </c>
      <c r="AN191" s="382">
        <f ca="1">IF(AL191=ROWS(AN$174:AN191),RANK(AM191,$AM$174:$AM$208),"")</f>
        <v>20</v>
      </c>
      <c r="AO191" s="368" t="s">
        <v>7611</v>
      </c>
      <c r="AP191" s="1363" t="str">
        <f t="shared" ca="1" si="66"/>
        <v>Evard's Black Tentacles</v>
      </c>
      <c r="BT191" s="2797"/>
      <c r="BU191" s="273"/>
      <c r="BV191" s="273"/>
      <c r="BW191" s="543"/>
    </row>
    <row r="192" spans="2:80" ht="12" customHeight="1">
      <c r="B192" s="1336">
        <v>19</v>
      </c>
      <c r="C192" s="382"/>
      <c r="D192" s="382"/>
      <c r="E192" s="1509"/>
      <c r="F192" s="901" t="str">
        <f>IF($E$174&gt;=ROWS(F$174:F192),ROWS(F$174:F192),"")</f>
        <v/>
      </c>
      <c r="G192" s="1459" t="str">
        <f ca="1">IF(F192=ROWS(G$174:G192),RAND(),"")</f>
        <v/>
      </c>
      <c r="H192" s="382" t="str">
        <f>IF(F192=ROWS(H$174:H192),RANK(G192,$G$174:$G$208),"")</f>
        <v/>
      </c>
      <c r="I192" s="368"/>
      <c r="J192" s="1363"/>
      <c r="K192" s="382">
        <v>19</v>
      </c>
      <c r="L192" s="368" t="s">
        <v>7533</v>
      </c>
      <c r="M192" s="1509"/>
      <c r="N192" s="901">
        <f>IF($M$174&gt;=ROWS(N$174:N192),ROWS(N$174:N192),"")</f>
        <v>19</v>
      </c>
      <c r="O192" s="1459">
        <f ca="1">IF(N192=ROWS(O$174:O192),RAND(),"")</f>
        <v>0.81058326228308386</v>
      </c>
      <c r="P192" s="382">
        <f ca="1">IF(N192=ROWS(P$174:P192),RANK(O192,$O$174:$O$208),"")</f>
        <v>4</v>
      </c>
      <c r="Q192" s="368" t="s">
        <v>7533</v>
      </c>
      <c r="R192" s="1363" t="str">
        <f t="shared" ca="1" si="63"/>
        <v>Protection from Evil &amp; Good</v>
      </c>
      <c r="S192" s="382">
        <v>19</v>
      </c>
      <c r="T192" s="368" t="s">
        <v>7281</v>
      </c>
      <c r="U192" s="1509"/>
      <c r="V192" s="901">
        <f>IF($U$174&gt;=ROWS(V$174:V192),ROWS(V$174:V192),"")</f>
        <v>19</v>
      </c>
      <c r="W192" s="1459">
        <f ca="1">IF(V192=ROWS(W$174:W192),RAND(),"")</f>
        <v>0.96011490659433718</v>
      </c>
      <c r="X192" s="382">
        <f ca="1">IF(V192=ROWS(X$174:X192),RANK(W192,$W$174:$W$208),"")</f>
        <v>1</v>
      </c>
      <c r="Y192" s="368" t="s">
        <v>7281</v>
      </c>
      <c r="Z192" s="1363" t="str">
        <f t="shared" ca="1" si="64"/>
        <v>Invisibility</v>
      </c>
      <c r="AA192" s="382">
        <v>19</v>
      </c>
      <c r="AB192" s="368" t="s">
        <v>7261</v>
      </c>
      <c r="AC192" s="1509"/>
      <c r="AD192" s="901">
        <f>IF($AC$174&gt;=ROWS(AD$174:AD192),ROWS(AD$174:AD192),"")</f>
        <v>19</v>
      </c>
      <c r="AE192" s="1459">
        <f ca="1">IF(AD192=ROWS(AE$174:AE192),RAND(),"")</f>
        <v>0.41451939300720819</v>
      </c>
      <c r="AF192" s="382">
        <f ca="1">IF(AD192=ROWS(AF$174:AF192),RANK(AE192,$AE$174:$AE$208),"")</f>
        <v>18</v>
      </c>
      <c r="AG192" s="368" t="s">
        <v>7261</v>
      </c>
      <c r="AH192" s="1363" t="str">
        <f t="shared" ca="1" si="65"/>
        <v>Feign Death</v>
      </c>
      <c r="AI192" s="382">
        <v>19</v>
      </c>
      <c r="AJ192" s="368" t="s">
        <v>7612</v>
      </c>
      <c r="AK192" s="1509"/>
      <c r="AL192" s="901">
        <f>IF($AK$174&gt;=ROWS(AL$174:AL192),ROWS(AL$174:AL192),"")</f>
        <v>19</v>
      </c>
      <c r="AM192" s="1459">
        <f ca="1">IF(AL192=ROWS(AM$174:AM192),RAND(),"")</f>
        <v>0.85370144315754593</v>
      </c>
      <c r="AN192" s="382">
        <f ca="1">IF(AL192=ROWS(AN$174:AN192),RANK(AM192,$AM$174:$AM$208),"")</f>
        <v>6</v>
      </c>
      <c r="AO192" s="368" t="s">
        <v>7612</v>
      </c>
      <c r="AP192" s="1363" t="str">
        <f t="shared" ca="1" si="66"/>
        <v>Conjure Minor Elementals</v>
      </c>
      <c r="BT192" s="2797"/>
      <c r="BU192" s="273"/>
      <c r="BV192" s="273"/>
      <c r="BW192" s="543"/>
    </row>
    <row r="193" spans="2:51" ht="12" customHeight="1">
      <c r="B193" s="1336">
        <v>20</v>
      </c>
      <c r="C193" s="382"/>
      <c r="D193" s="382"/>
      <c r="E193" s="1509"/>
      <c r="F193" s="901" t="str">
        <f>IF($E$174&gt;=ROWS(F$174:F193),ROWS(F$174:F193),"")</f>
        <v/>
      </c>
      <c r="G193" s="1459" t="str">
        <f ca="1">IF(F193=ROWS(G$174:G193),RAND(),"")</f>
        <v/>
      </c>
      <c r="H193" s="382" t="str">
        <f>IF(F193=ROWS(H$174:H193),RANK(G193,$G$174:$G$208),"")</f>
        <v/>
      </c>
      <c r="I193" s="368"/>
      <c r="J193" s="1363"/>
      <c r="K193" s="382">
        <v>20</v>
      </c>
      <c r="L193" s="368" t="s">
        <v>7535</v>
      </c>
      <c r="M193" s="1509"/>
      <c r="N193" s="901">
        <f>IF($M$174&gt;=ROWS(N$174:N193),ROWS(N$174:N193),"")</f>
        <v>20</v>
      </c>
      <c r="O193" s="1459">
        <f ca="1">IF(N193=ROWS(O$174:O193),RAND(),"")</f>
        <v>0.27356208402984739</v>
      </c>
      <c r="P193" s="382">
        <f ca="1">IF(N193=ROWS(P$174:P193),RANK(O193,$O$174:$O$208),"")</f>
        <v>16</v>
      </c>
      <c r="Q193" s="368" t="s">
        <v>7535</v>
      </c>
      <c r="R193" s="1363" t="str">
        <f t="shared" ca="1" si="63"/>
        <v>Unseen Servant</v>
      </c>
      <c r="S193" s="382">
        <v>20</v>
      </c>
      <c r="T193" s="368" t="s">
        <v>7285</v>
      </c>
      <c r="U193" s="1509"/>
      <c r="V193" s="901">
        <f>IF($U$174&gt;=ROWS(V$174:V193),ROWS(V$174:V193),"")</f>
        <v>20</v>
      </c>
      <c r="W193" s="1459">
        <f ca="1">IF(V193=ROWS(W$174:W193),RAND(),"")</f>
        <v>0.11355460923326555</v>
      </c>
      <c r="X193" s="382">
        <f ca="1">IF(V193=ROWS(X$174:X193),RANK(W193,$W$174:$W$208),"")</f>
        <v>32</v>
      </c>
      <c r="Y193" s="368" t="s">
        <v>7285</v>
      </c>
      <c r="Z193" s="1363" t="str">
        <f t="shared" ca="1" si="64"/>
        <v>Enlarge/Reduce</v>
      </c>
      <c r="AA193" s="382">
        <v>20</v>
      </c>
      <c r="AB193" s="368" t="s">
        <v>7613</v>
      </c>
      <c r="AC193" s="1509"/>
      <c r="AD193" s="901">
        <f>IF($AC$174&gt;=ROWS(AD$174:AD193),ROWS(AD$174:AD193),"")</f>
        <v>20</v>
      </c>
      <c r="AE193" s="1459">
        <f ca="1">IF(AD193=ROWS(AE$174:AE193),RAND(),"")</f>
        <v>0.85360161054195216</v>
      </c>
      <c r="AF193" s="382">
        <f ca="1">IF(AD193=ROWS(AF$174:AF193),RANK(AE193,$AE$174:$AE$208),"")</f>
        <v>8</v>
      </c>
      <c r="AG193" s="368" t="s">
        <v>7613</v>
      </c>
      <c r="AH193" s="1363" t="str">
        <f t="shared" ca="1" si="65"/>
        <v>Haste</v>
      </c>
      <c r="AI193" s="382">
        <v>20</v>
      </c>
      <c r="AJ193" s="368" t="s">
        <v>7249</v>
      </c>
      <c r="AK193" s="1509"/>
      <c r="AL193" s="901">
        <f>IF($AK$174&gt;=ROWS(AL$174:AL193),ROWS(AL$174:AL193),"")</f>
        <v>20</v>
      </c>
      <c r="AM193" s="1459">
        <f ca="1">IF(AL193=ROWS(AM$174:AM193),RAND(),"")</f>
        <v>0.12355540720892877</v>
      </c>
      <c r="AN193" s="382">
        <f ca="1">IF(AL193=ROWS(AN$174:AN193),RANK(AM193,$AM$174:$AM$208),"")</f>
        <v>22</v>
      </c>
      <c r="AO193" s="368" t="s">
        <v>7249</v>
      </c>
      <c r="AP193" s="1363" t="str">
        <f t="shared" ca="1" si="66"/>
        <v>Otiluke resilient Sphere</v>
      </c>
    </row>
    <row r="194" spans="2:51" ht="12" customHeight="1">
      <c r="B194" s="1336">
        <v>21</v>
      </c>
      <c r="C194" s="382"/>
      <c r="D194" s="382"/>
      <c r="E194" s="1509"/>
      <c r="F194" s="901" t="str">
        <f>IF($E$174&gt;=ROWS(F$174:F194),ROWS(F$174:F194),"")</f>
        <v/>
      </c>
      <c r="G194" s="1459" t="str">
        <f ca="1">IF(F194=ROWS(G$174:G194),RAND(),"")</f>
        <v/>
      </c>
      <c r="H194" s="382" t="str">
        <f>IF(F194=ROWS(H$174:H194),RANK(G194,$G$174:$G$208),"")</f>
        <v/>
      </c>
      <c r="I194" s="368"/>
      <c r="J194" s="1363"/>
      <c r="K194" s="382">
        <v>21</v>
      </c>
      <c r="L194" s="368" t="s">
        <v>7614</v>
      </c>
      <c r="M194" s="1509"/>
      <c r="N194" s="901">
        <f>IF($M$174&gt;=ROWS(N$174:N194),ROWS(N$174:N194),"")</f>
        <v>21</v>
      </c>
      <c r="O194" s="1459">
        <f ca="1">IF(N194=ROWS(O$174:O194),RAND(),"")</f>
        <v>0.20318951734069979</v>
      </c>
      <c r="P194" s="382">
        <f ca="1">IF(N194=ROWS(P$174:P194),RANK(O194,$O$174:$O$208),"")</f>
        <v>19</v>
      </c>
      <c r="Q194" s="368" t="s">
        <v>7614</v>
      </c>
      <c r="R194" s="1363" t="str">
        <f t="shared" ca="1" si="63"/>
        <v>Tenser's Floating Disk</v>
      </c>
      <c r="S194" s="382">
        <v>21</v>
      </c>
      <c r="T194" s="368" t="s">
        <v>7360</v>
      </c>
      <c r="U194" s="1509"/>
      <c r="V194" s="901">
        <f>IF($U$174&gt;=ROWS(V$174:V194),ROWS(V$174:V194),"")</f>
        <v>21</v>
      </c>
      <c r="W194" s="1459">
        <f ca="1">IF(V194=ROWS(W$174:W194),RAND(),"")</f>
        <v>0.63100316777966436</v>
      </c>
      <c r="X194" s="382">
        <f ca="1">IF(V194=ROWS(X$174:X194),RANK(W194,$W$174:$W$208),"")</f>
        <v>9</v>
      </c>
      <c r="Y194" s="368" t="s">
        <v>7360</v>
      </c>
      <c r="Z194" s="1363" t="str">
        <f t="shared" ca="1" si="64"/>
        <v>Darkvision</v>
      </c>
      <c r="AA194" s="382">
        <v>21</v>
      </c>
      <c r="AB194" s="368" t="s">
        <v>7418</v>
      </c>
      <c r="AC194" s="1509"/>
      <c r="AD194" s="901">
        <f>IF($AC$174&gt;=ROWS(AD$174:AD194),ROWS(AD$174:AD194),"")</f>
        <v>21</v>
      </c>
      <c r="AE194" s="1459">
        <f ca="1">IF(AD194=ROWS(AE$174:AE194),RAND(),"")</f>
        <v>0.29117264372452845</v>
      </c>
      <c r="AF194" s="382">
        <f ca="1">IF(AD194=ROWS(AF$174:AF194),RANK(AE194,$AE$174:$AE$208),"")</f>
        <v>23</v>
      </c>
      <c r="AG194" s="368" t="s">
        <v>7418</v>
      </c>
      <c r="AH194" s="1363" t="str">
        <f t="shared" ca="1" si="65"/>
        <v>Vampiric Touch</v>
      </c>
      <c r="AI194" s="382">
        <v>21</v>
      </c>
      <c r="AJ194" s="368" t="s">
        <v>7400</v>
      </c>
      <c r="AK194" s="1509"/>
      <c r="AL194" s="901">
        <f>IF($AK$174&gt;=ROWS(AL$174:AL194),ROWS(AL$174:AL194),"")</f>
        <v>21</v>
      </c>
      <c r="AM194" s="1459">
        <f ca="1">IF(AL194=ROWS(AM$174:AM194),RAND(),"")</f>
        <v>0.65637610023604476</v>
      </c>
      <c r="AN194" s="382">
        <f ca="1">IF(AL194=ROWS(AN$174:AN194),RANK(AM194,$AM$174:$AM$208),"")</f>
        <v>11</v>
      </c>
      <c r="AO194" s="368" t="s">
        <v>7400</v>
      </c>
      <c r="AP194" s="1363" t="str">
        <f t="shared" ca="1" si="66"/>
        <v>Blight</v>
      </c>
    </row>
    <row r="195" spans="2:51" ht="12" customHeight="1">
      <c r="B195" s="1336">
        <v>22</v>
      </c>
      <c r="C195" s="382"/>
      <c r="D195" s="382"/>
      <c r="E195" s="1509"/>
      <c r="F195" s="901" t="str">
        <f>IF($E$174&gt;=ROWS(F$174:F195),ROWS(F$174:F195),"")</f>
        <v/>
      </c>
      <c r="G195" s="1459" t="str">
        <f ca="1">IF(F195=ROWS(G$174:G195),RAND(),"")</f>
        <v/>
      </c>
      <c r="H195" s="382" t="str">
        <f>IF(F195=ROWS(H$174:H195),RANK(G195,$G$174:$G$208),"")</f>
        <v/>
      </c>
      <c r="I195" s="368"/>
      <c r="J195" s="1363"/>
      <c r="K195" s="382">
        <v>22</v>
      </c>
      <c r="L195" s="368" t="s">
        <v>7615</v>
      </c>
      <c r="M195" s="1509"/>
      <c r="N195" s="901">
        <f>IF($M$174&gt;=ROWS(N$174:N195),ROWS(N$174:N195),"")</f>
        <v>22</v>
      </c>
      <c r="O195" s="1459">
        <f ca="1">IF(N195=ROWS(O$174:O195),RAND(),"")</f>
        <v>0.23906809332455814</v>
      </c>
      <c r="P195" s="382">
        <f ca="1">IF(N195=ROWS(P$174:P195),RANK(O195,$O$174:$O$208),"")</f>
        <v>17</v>
      </c>
      <c r="Q195" s="368" t="s">
        <v>7615</v>
      </c>
      <c r="R195" s="1363" t="str">
        <f t="shared" ca="1" si="63"/>
        <v>Illusory Script</v>
      </c>
      <c r="S195" s="382">
        <v>22</v>
      </c>
      <c r="T195" s="368" t="s">
        <v>7441</v>
      </c>
      <c r="U195" s="1509"/>
      <c r="V195" s="901">
        <f>IF($U$174&gt;=ROWS(V$174:V195),ROWS(V$174:V195),"")</f>
        <v>22</v>
      </c>
      <c r="W195" s="1459">
        <f ca="1">IF(V195=ROWS(W$174:W195),RAND(),"")</f>
        <v>0.15311345928560161</v>
      </c>
      <c r="X195" s="382">
        <f ca="1">IF(V195=ROWS(X$174:X195),RANK(W195,$W$174:$W$208),"")</f>
        <v>30</v>
      </c>
      <c r="Y195" s="368" t="s">
        <v>7441</v>
      </c>
      <c r="Z195" s="1363" t="str">
        <f t="shared" ca="1" si="64"/>
        <v>Blindness/Deafness</v>
      </c>
      <c r="AA195" s="382">
        <v>22</v>
      </c>
      <c r="AB195" s="368" t="s">
        <v>7420</v>
      </c>
      <c r="AC195" s="1509"/>
      <c r="AD195" s="901">
        <f>IF($AC$174&gt;=ROWS(AD$174:AD195),ROWS(AD$174:AD195),"")</f>
        <v>22</v>
      </c>
      <c r="AE195" s="1459">
        <f ca="1">IF(AD195=ROWS(AE$174:AE195),RAND(),"")</f>
        <v>0.95185642599207898</v>
      </c>
      <c r="AF195" s="382">
        <f ca="1">IF(AD195=ROWS(AF$174:AF195),RANK(AE195,$AE$174:$AE$208),"")</f>
        <v>3</v>
      </c>
      <c r="AG195" s="368" t="s">
        <v>7420</v>
      </c>
      <c r="AH195" s="1363" t="str">
        <f t="shared" ca="1" si="65"/>
        <v>Major Image</v>
      </c>
      <c r="AI195" s="382">
        <v>22</v>
      </c>
      <c r="AJ195" s="368" t="s">
        <v>7406</v>
      </c>
      <c r="AK195" s="1509"/>
      <c r="AL195" s="901">
        <f>IF($AK$174&gt;=ROWS(AL$174:AL195),ROWS(AL$174:AL195),"")</f>
        <v>22</v>
      </c>
      <c r="AM195" s="1459">
        <f ca="1">IF(AL195=ROWS(AM$174:AM195),RAND(),"")</f>
        <v>0.89794600639637256</v>
      </c>
      <c r="AN195" s="382">
        <f ca="1">IF(AL195=ROWS(AN$174:AN195),RANK(AM195,$AM$174:$AM$208),"")</f>
        <v>3</v>
      </c>
      <c r="AO195" s="368" t="s">
        <v>7406</v>
      </c>
      <c r="AP195" s="1363" t="str">
        <f t="shared" ca="1" si="66"/>
        <v>Polymorph</v>
      </c>
    </row>
    <row r="196" spans="2:51" ht="12" customHeight="1">
      <c r="B196" s="1336">
        <v>23</v>
      </c>
      <c r="C196" s="382"/>
      <c r="D196" s="382"/>
      <c r="E196" s="1509"/>
      <c r="F196" s="901" t="str">
        <f>IF($E$174&gt;=ROWS(F$174:F196),ROWS(F$174:F196),"")</f>
        <v/>
      </c>
      <c r="G196" s="1459" t="str">
        <f ca="1">IF(F196=ROWS(G$174:G196),RAND(),"")</f>
        <v/>
      </c>
      <c r="H196" s="382" t="str">
        <f>IF(F196=ROWS(H$174:H196),RANK(G196,$G$174:$G$208),"")</f>
        <v/>
      </c>
      <c r="I196" s="368"/>
      <c r="J196" s="1363"/>
      <c r="K196" s="382">
        <v>23</v>
      </c>
      <c r="L196" s="368" t="s">
        <v>3318</v>
      </c>
      <c r="M196" s="1509"/>
      <c r="N196" s="901">
        <f>IF($M$174&gt;=ROWS(N$174:N196),ROWS(N$174:N196),"")</f>
        <v>23</v>
      </c>
      <c r="O196" s="1459">
        <f ca="1">IF(N196=ROWS(O$174:O196),RAND(),"")</f>
        <v>0.23035965102037259</v>
      </c>
      <c r="P196" s="382">
        <f ca="1">IF(N196=ROWS(P$174:P196),RANK(O196,$O$174:$O$208),"")</f>
        <v>18</v>
      </c>
      <c r="Q196" s="368" t="s">
        <v>3318</v>
      </c>
      <c r="R196" s="1363" t="str">
        <f t="shared" ca="1" si="63"/>
        <v>Disguise Self</v>
      </c>
      <c r="S196" s="382">
        <v>23</v>
      </c>
      <c r="T196" s="368" t="s">
        <v>7359</v>
      </c>
      <c r="U196" s="1509"/>
      <c r="V196" s="901">
        <f>IF($U$174&gt;=ROWS(V$174:V196),ROWS(V$174:V196),"")</f>
        <v>23</v>
      </c>
      <c r="W196" s="1459">
        <f ca="1">IF(V196=ROWS(W$174:W196),RAND(),"")</f>
        <v>0.35846794079004463</v>
      </c>
      <c r="X196" s="382">
        <f ca="1">IF(V196=ROWS(X$174:X196),RANK(W196,$W$174:$W$208),"")</f>
        <v>24</v>
      </c>
      <c r="Y196" s="368" t="s">
        <v>7359</v>
      </c>
      <c r="Z196" s="1363" t="str">
        <f t="shared" ca="1" si="64"/>
        <v>Misty Step</v>
      </c>
      <c r="AA196" s="382">
        <v>23</v>
      </c>
      <c r="AB196" s="368" t="s">
        <v>7270</v>
      </c>
      <c r="AC196" s="1509"/>
      <c r="AD196" s="901">
        <f>IF($AC$174&gt;=ROWS(AD$174:AD196),ROWS(AD$174:AD196),"")</f>
        <v>23</v>
      </c>
      <c r="AE196" s="1459">
        <f ca="1">IF(AD196=ROWS(AE$174:AE196),RAND(),"")</f>
        <v>0.93671715326959082</v>
      </c>
      <c r="AF196" s="382">
        <f ca="1">IF(AD196=ROWS(AF$174:AF196),RANK(AE196,$AE$174:$AE$208),"")</f>
        <v>4</v>
      </c>
      <c r="AG196" s="368" t="s">
        <v>7270</v>
      </c>
      <c r="AH196" s="1363" t="str">
        <f t="shared" ca="1" si="65"/>
        <v>Protection From Energy</v>
      </c>
      <c r="AI196" s="382">
        <v>23</v>
      </c>
      <c r="AJ196" s="368" t="s">
        <v>7403</v>
      </c>
      <c r="AK196" s="1509"/>
      <c r="AL196" s="901">
        <f>IF($AK$174&gt;=ROWS(AL$174:AL196),ROWS(AL$174:AL196),"")</f>
        <v>23</v>
      </c>
      <c r="AM196" s="1459">
        <f ca="1">IF(AL196=ROWS(AM$174:AM196),RAND(),"")</f>
        <v>0.65511154784986569</v>
      </c>
      <c r="AN196" s="382">
        <f ca="1">IF(AL196=ROWS(AN$174:AN196),RANK(AM196,$AM$174:$AM$208),"")</f>
        <v>12</v>
      </c>
      <c r="AO196" s="368" t="s">
        <v>7403</v>
      </c>
      <c r="AP196" s="1363" t="str">
        <f t="shared" ca="1" si="66"/>
        <v>Greater Invisibility</v>
      </c>
      <c r="AY196" s="271" t="s">
        <v>1287</v>
      </c>
    </row>
    <row r="197" spans="2:51" ht="12" customHeight="1">
      <c r="B197" s="1336">
        <v>24</v>
      </c>
      <c r="C197" s="382"/>
      <c r="D197" s="382"/>
      <c r="E197" s="1509"/>
      <c r="F197" s="901" t="str">
        <f>IF($E$174&gt;=ROWS(F$174:F197),ROWS(F$174:F197),"")</f>
        <v/>
      </c>
      <c r="G197" s="1459" t="str">
        <f ca="1">IF(F197=ROWS(G$174:G197),RAND(),"")</f>
        <v/>
      </c>
      <c r="H197" s="382" t="str">
        <f>IF(F197=ROWS(H$174:H197),RANK(G197,$G$174:$G$208),"")</f>
        <v/>
      </c>
      <c r="I197" s="368"/>
      <c r="J197" s="1363"/>
      <c r="K197" s="382">
        <v>24</v>
      </c>
      <c r="L197" s="368" t="s">
        <v>7288</v>
      </c>
      <c r="M197" s="1509"/>
      <c r="N197" s="901">
        <f>IF($M$174&gt;=ROWS(N$174:N197),ROWS(N$174:N197),"")</f>
        <v>24</v>
      </c>
      <c r="O197" s="1459">
        <f ca="1">IF(N197=ROWS(O$174:O197),RAND(),"")</f>
        <v>0.62205778599397332</v>
      </c>
      <c r="P197" s="382">
        <f ca="1">IF(N197=ROWS(P$174:P197),RANK(O197,$O$174:$O$208),"")</f>
        <v>9</v>
      </c>
      <c r="Q197" s="368" t="s">
        <v>7288</v>
      </c>
      <c r="R197" s="1363" t="str">
        <f t="shared" ca="1" si="63"/>
        <v>Detect Magic</v>
      </c>
      <c r="S197" s="382">
        <v>24</v>
      </c>
      <c r="T197" s="368" t="s">
        <v>7447</v>
      </c>
      <c r="U197" s="1509"/>
      <c r="V197" s="901">
        <f>IF($U$174&gt;=ROWS(V$174:V197),ROWS(V$174:V197),"")</f>
        <v>24</v>
      </c>
      <c r="W197" s="1459">
        <f ca="1">IF(V197=ROWS(W$174:W197),RAND(),"")</f>
        <v>0.36722904674169676</v>
      </c>
      <c r="X197" s="382">
        <f ca="1">IF(V197=ROWS(X$174:X197),RANK(W197,$W$174:$W$208),"")</f>
        <v>23</v>
      </c>
      <c r="Y197" s="368" t="s">
        <v>7447</v>
      </c>
      <c r="Z197" s="1363" t="str">
        <f t="shared" ca="1" si="64"/>
        <v>Mirror Image</v>
      </c>
      <c r="AA197" s="382">
        <v>24</v>
      </c>
      <c r="AB197" s="368" t="s">
        <v>7389</v>
      </c>
      <c r="AC197" s="1509"/>
      <c r="AD197" s="901">
        <f>IF($AC$174&gt;=ROWS(AD$174:AD197),ROWS(AD$174:AD197),"")</f>
        <v>24</v>
      </c>
      <c r="AE197" s="1459">
        <f ca="1">IF(AD197=ROWS(AE$174:AE197),RAND(),"")</f>
        <v>0.10344803832792815</v>
      </c>
      <c r="AF197" s="382">
        <f ca="1">IF(AD197=ROWS(AF$174:AF197),RANK(AE197,$AE$174:$AE$208),"")</f>
        <v>26</v>
      </c>
      <c r="AG197" s="368" t="s">
        <v>7389</v>
      </c>
      <c r="AH197" s="1363" t="str">
        <f t="shared" ca="1" si="65"/>
        <v>Slow</v>
      </c>
      <c r="AI197" s="382">
        <v>24</v>
      </c>
      <c r="AJ197" s="368"/>
      <c r="AK197" s="1509"/>
      <c r="AL197" s="901" t="str">
        <f>IF($AK$174&gt;=ROWS(AL$174:AL197),ROWS(AL$174:AL197),"")</f>
        <v/>
      </c>
      <c r="AM197" s="1459" t="str">
        <f ca="1">IF(AL197=ROWS(AM$174:AM197),RAND(),"")</f>
        <v/>
      </c>
      <c r="AN197" s="382" t="str">
        <f>IF(AL197=ROWS(AN$174:AN197),RANK(AM197,$AM$174:$AM$208),"")</f>
        <v/>
      </c>
      <c r="AO197" s="368"/>
      <c r="AP197" s="1363"/>
      <c r="AY197" s="271" t="s">
        <v>1287</v>
      </c>
    </row>
    <row r="198" spans="2:51" ht="12" customHeight="1">
      <c r="B198" s="1336">
        <v>25</v>
      </c>
      <c r="C198" s="382"/>
      <c r="D198" s="382"/>
      <c r="E198" s="1509"/>
      <c r="F198" s="901" t="str">
        <f>IF($E$174&gt;=ROWS(F$174:F198),ROWS(F$174:F198),"")</f>
        <v/>
      </c>
      <c r="G198" s="1459" t="str">
        <f ca="1">IF(F198=ROWS(G$174:G198),RAND(),"")</f>
        <v/>
      </c>
      <c r="H198" s="382" t="str">
        <f>IF(F198=ROWS(H$174:H198),RANK(G198,$G$174:$G$208),"")</f>
        <v/>
      </c>
      <c r="I198" s="368"/>
      <c r="J198" s="1363"/>
      <c r="K198" s="382">
        <v>25</v>
      </c>
      <c r="L198" s="368" t="s">
        <v>7290</v>
      </c>
      <c r="M198" s="1509"/>
      <c r="N198" s="901">
        <f>IF($M$174&gt;=ROWS(N$174:N198),ROWS(N$174:N198),"")</f>
        <v>25</v>
      </c>
      <c r="O198" s="1459">
        <f ca="1">IF(N198=ROWS(O$174:O198),RAND(),"")</f>
        <v>0.99465533644112558</v>
      </c>
      <c r="P198" s="382">
        <f ca="1">IF(N198=ROWS(P$174:P198),RANK(O198,$O$174:$O$208),"")</f>
        <v>1</v>
      </c>
      <c r="Q198" s="368" t="s">
        <v>7290</v>
      </c>
      <c r="R198" s="1363" t="str">
        <f t="shared" ca="1" si="63"/>
        <v>False Life</v>
      </c>
      <c r="S198" s="382">
        <v>25</v>
      </c>
      <c r="T198" s="368" t="s">
        <v>7616</v>
      </c>
      <c r="U198" s="1509"/>
      <c r="V198" s="901">
        <f>IF($U$174&gt;=ROWS(V$174:V198),ROWS(V$174:V198),"")</f>
        <v>25</v>
      </c>
      <c r="W198" s="1459">
        <f ca="1">IF(V198=ROWS(W$174:W198),RAND(),"")</f>
        <v>0.45987544328320928</v>
      </c>
      <c r="X198" s="382">
        <f ca="1">IF(V198=ROWS(X$174:X198),RANK(W198,$W$174:$W$208),"")</f>
        <v>17</v>
      </c>
      <c r="Y198" s="368" t="s">
        <v>7616</v>
      </c>
      <c r="Z198" s="1363" t="str">
        <f t="shared" ca="1" si="64"/>
        <v>Spider Climb</v>
      </c>
      <c r="AA198" s="382">
        <v>25</v>
      </c>
      <c r="AB198" s="368" t="s">
        <v>7465</v>
      </c>
      <c r="AC198" s="1509"/>
      <c r="AD198" s="901">
        <f>IF($AC$174&gt;=ROWS(AD$174:AD198),ROWS(AD$174:AD198),"")</f>
        <v>25</v>
      </c>
      <c r="AE198" s="1459">
        <f ca="1">IF(AD198=ROWS(AE$174:AE198),RAND(),"")</f>
        <v>0.19136180588824547</v>
      </c>
      <c r="AF198" s="382">
        <f ca="1">IF(AD198=ROWS(AF$174:AF198),RANK(AE198,$AE$174:$AE$208),"")</f>
        <v>24</v>
      </c>
      <c r="AG198" s="368" t="s">
        <v>7465</v>
      </c>
      <c r="AH198" s="1363" t="str">
        <f t="shared" ca="1" si="65"/>
        <v>Magic Circle</v>
      </c>
      <c r="AI198" s="382">
        <v>25</v>
      </c>
      <c r="AJ198" s="368"/>
      <c r="AK198" s="1509"/>
      <c r="AL198" s="901" t="str">
        <f>IF($AK$174&gt;=ROWS(AL$174:AL198),ROWS(AL$174:AL198),"")</f>
        <v/>
      </c>
      <c r="AM198" s="1459" t="str">
        <f ca="1">IF(AL198=ROWS(AM$174:AM198),RAND(),"")</f>
        <v/>
      </c>
      <c r="AN198" s="382" t="str">
        <f>IF(AL198=ROWS(AN$174:AN198),RANK(AM198,$AM$174:$AM$208),"")</f>
        <v/>
      </c>
      <c r="AO198" s="368"/>
      <c r="AP198" s="1363"/>
      <c r="AY198" s="271" t="s">
        <v>1287</v>
      </c>
    </row>
    <row r="199" spans="2:51" ht="12" customHeight="1">
      <c r="B199" s="1336">
        <v>26</v>
      </c>
      <c r="C199" s="382"/>
      <c r="D199" s="382"/>
      <c r="E199" s="1509"/>
      <c r="F199" s="901" t="str">
        <f>IF($E$174&gt;=ROWS(F$174:F199),ROWS(F$174:F199),"")</f>
        <v/>
      </c>
      <c r="G199" s="1459" t="str">
        <f ca="1">IF(F199=ROWS(G$174:G199),RAND(),"")</f>
        <v/>
      </c>
      <c r="H199" s="382" t="str">
        <f>IF(F199=ROWS(H$174:H199),RANK(G199,$G$174:$G$208),"")</f>
        <v/>
      </c>
      <c r="I199" s="368"/>
      <c r="J199" s="1363"/>
      <c r="K199" s="382">
        <v>26</v>
      </c>
      <c r="L199" s="368" t="s">
        <v>7294</v>
      </c>
      <c r="M199" s="1509"/>
      <c r="N199" s="901">
        <f>IF($M$174&gt;=ROWS(N$174:N199),ROWS(N$174:N199),"")</f>
        <v>26</v>
      </c>
      <c r="O199" s="1459">
        <f ca="1">IF(N199=ROWS(O$174:O199),RAND(),"")</f>
        <v>8.4635501321533968E-2</v>
      </c>
      <c r="P199" s="382">
        <f ca="1">IF(N199=ROWS(P$174:P199),RANK(O199,$O$174:$O$208),"")</f>
        <v>27</v>
      </c>
      <c r="Q199" s="368" t="s">
        <v>7294</v>
      </c>
      <c r="R199" s="1363" t="str">
        <f t="shared" ca="1" si="63"/>
        <v>Comprehend Languages</v>
      </c>
      <c r="S199" s="382">
        <v>26</v>
      </c>
      <c r="T199" s="368" t="s">
        <v>7289</v>
      </c>
      <c r="U199" s="1509"/>
      <c r="V199" s="901">
        <f>IF($U$174&gt;=ROWS(V$174:V199),ROWS(V$174:V199),"")</f>
        <v>26</v>
      </c>
      <c r="W199" s="1459">
        <f ca="1">IF(V199=ROWS(W$174:W199),RAND(),"")</f>
        <v>0.59762189273674493</v>
      </c>
      <c r="X199" s="382">
        <f ca="1">IF(V199=ROWS(X$174:X199),RANK(W199,$W$174:$W$208),"")</f>
        <v>12</v>
      </c>
      <c r="Y199" s="368" t="s">
        <v>7289</v>
      </c>
      <c r="Z199" s="1363" t="str">
        <f t="shared" ca="1" si="64"/>
        <v>Suggestion</v>
      </c>
      <c r="AA199" s="382">
        <v>26</v>
      </c>
      <c r="AB199" s="368" t="s">
        <v>7282</v>
      </c>
      <c r="AC199" s="1509"/>
      <c r="AD199" s="901">
        <f>IF($AC$174&gt;=ROWS(AD$174:AD199),ROWS(AD$174:AD199),"")</f>
        <v>26</v>
      </c>
      <c r="AE199" s="1459">
        <f ca="1">IF(AD199=ROWS(AE$174:AE199),RAND(),"")</f>
        <v>0.95768593013747072</v>
      </c>
      <c r="AF199" s="382">
        <f ca="1">IF(AD199=ROWS(AF$174:AF199),RANK(AE199,$AE$174:$AE$208),"")</f>
        <v>2</v>
      </c>
      <c r="AG199" s="368" t="s">
        <v>7282</v>
      </c>
      <c r="AH199" s="1363" t="str">
        <f t="shared" ca="1" si="65"/>
        <v>Sleet Storm</v>
      </c>
      <c r="AI199" s="382">
        <v>26</v>
      </c>
      <c r="AJ199" s="368"/>
      <c r="AK199" s="1509"/>
      <c r="AL199" s="901" t="str">
        <f>IF($AK$174&gt;=ROWS(AL$174:AL199),ROWS(AL$174:AL199),"")</f>
        <v/>
      </c>
      <c r="AM199" s="1459" t="str">
        <f ca="1">IF(AL199=ROWS(AM$174:AM199),RAND(),"")</f>
        <v/>
      </c>
      <c r="AN199" s="382" t="str">
        <f>IF(AL199=ROWS(AN$174:AN199),RANK(AM199,$AM$174:$AM$208),"")</f>
        <v/>
      </c>
      <c r="AO199" s="368"/>
      <c r="AP199" s="1363"/>
      <c r="AY199" s="271" t="s">
        <v>1287</v>
      </c>
    </row>
    <row r="200" spans="2:51" ht="12" customHeight="1">
      <c r="B200" s="1336">
        <v>27</v>
      </c>
      <c r="C200" s="382"/>
      <c r="D200" s="382"/>
      <c r="E200" s="1509"/>
      <c r="F200" s="901" t="str">
        <f>IF($E$174&gt;=ROWS(F$174:F200),ROWS(F$174:F200),"")</f>
        <v/>
      </c>
      <c r="G200" s="1459" t="str">
        <f ca="1">IF(F200=ROWS(G$174:G200),RAND(),"")</f>
        <v/>
      </c>
      <c r="H200" s="382" t="str">
        <f>IF(F200=ROWS(H$174:H200),RANK(G200,$G$174:$G$208),"")</f>
        <v/>
      </c>
      <c r="I200" s="368"/>
      <c r="J200" s="1363"/>
      <c r="K200" s="382">
        <v>27</v>
      </c>
      <c r="L200" s="368" t="s">
        <v>7617</v>
      </c>
      <c r="M200" s="1509"/>
      <c r="N200" s="901">
        <f>IF($M$174&gt;=ROWS(N$174:N200),ROWS(N$174:N200),"")</f>
        <v>27</v>
      </c>
      <c r="O200" s="1459">
        <f ca="1">IF(N200=ROWS(O$174:O200),RAND(),"")</f>
        <v>0.15602507951945344</v>
      </c>
      <c r="P200" s="382">
        <f ca="1">IF(N200=ROWS(P$174:P200),RANK(O200,$O$174:$O$208),"")</f>
        <v>21</v>
      </c>
      <c r="Q200" s="368" t="s">
        <v>7617</v>
      </c>
      <c r="R200" s="1363" t="str">
        <f t="shared" ca="1" si="63"/>
        <v>Tasha's Hideous Laughter</v>
      </c>
      <c r="S200" s="382">
        <v>27</v>
      </c>
      <c r="T200" s="368" t="s">
        <v>7618</v>
      </c>
      <c r="U200" s="1509"/>
      <c r="V200" s="901">
        <f>IF($U$174&gt;=ROWS(V$174:V200),ROWS(V$174:V200),"")</f>
        <v>27</v>
      </c>
      <c r="W200" s="1459">
        <f ca="1">IF(V200=ROWS(W$174:W200),RAND(),"")</f>
        <v>0.24577598407929835</v>
      </c>
      <c r="X200" s="382">
        <f ca="1">IF(V200=ROWS(X$174:X200),RANK(W200,$W$174:$W$208),"")</f>
        <v>28</v>
      </c>
      <c r="Y200" s="368" t="s">
        <v>7618</v>
      </c>
      <c r="Z200" s="1363" t="str">
        <f t="shared" ca="1" si="64"/>
        <v>Hold Person</v>
      </c>
      <c r="AA200" s="382">
        <v>27</v>
      </c>
      <c r="AB200" s="368" t="s">
        <v>7286</v>
      </c>
      <c r="AC200" s="1509"/>
      <c r="AD200" s="901">
        <f>IF($AC$174&gt;=ROWS(AD$174:AD200),ROWS(AD$174:AD200),"")</f>
        <v>27</v>
      </c>
      <c r="AE200" s="1459">
        <f ca="1">IF(AD200=ROWS(AE$174:AE200),RAND(),"")</f>
        <v>0.55250768574336839</v>
      </c>
      <c r="AF200" s="382">
        <f ca="1">IF(AD200=ROWS(AF$174:AF200),RANK(AE200,$AE$174:$AE$208),"")</f>
        <v>13</v>
      </c>
      <c r="AG200" s="368" t="s">
        <v>7286</v>
      </c>
      <c r="AH200" s="1363" t="str">
        <f t="shared" ca="1" si="65"/>
        <v>Dispel Magic</v>
      </c>
      <c r="AI200" s="382">
        <v>27</v>
      </c>
      <c r="AJ200" s="368"/>
      <c r="AK200" s="1509"/>
      <c r="AL200" s="901" t="str">
        <f>IF($AK$174&gt;=ROWS(AL$174:AL200),ROWS(AL$174:AL200),"")</f>
        <v/>
      </c>
      <c r="AM200" s="1459" t="str">
        <f ca="1">IF(AL200=ROWS(AM$174:AM200),RAND(),"")</f>
        <v/>
      </c>
      <c r="AN200" s="382" t="str">
        <f>IF(AL200=ROWS(AN$174:AN200),RANK(AM200,$AM$174:$AM$208),"")</f>
        <v/>
      </c>
      <c r="AO200" s="368"/>
      <c r="AP200" s="1363"/>
      <c r="AY200" s="271" t="s">
        <v>1287</v>
      </c>
    </row>
    <row r="201" spans="2:51" ht="12" customHeight="1">
      <c r="B201" s="1336">
        <v>28</v>
      </c>
      <c r="C201" s="382"/>
      <c r="D201" s="382"/>
      <c r="E201" s="1509"/>
      <c r="F201" s="901" t="str">
        <f>IF($E$174&gt;=ROWS(F$174:F201),ROWS(F$174:F201),"")</f>
        <v/>
      </c>
      <c r="G201" s="1459" t="str">
        <f ca="1">IF(F201=ROWS(G$174:G201),RAND(),"")</f>
        <v/>
      </c>
      <c r="H201" s="382" t="str">
        <f>IF(F201=ROWS(H$174:H201),RANK(G201,$G$174:$G$208),"")</f>
        <v/>
      </c>
      <c r="I201" s="368"/>
      <c r="J201" s="1363"/>
      <c r="K201" s="382">
        <v>28</v>
      </c>
      <c r="L201" s="368" t="s">
        <v>7296</v>
      </c>
      <c r="M201" s="1509"/>
      <c r="N201" s="901">
        <f>IF($M$174&gt;=ROWS(N$174:N201),ROWS(N$174:N201),"")</f>
        <v>28</v>
      </c>
      <c r="O201" s="1459">
        <f ca="1">IF(N201=ROWS(O$174:O201),RAND(),"")</f>
        <v>0.85730063756602048</v>
      </c>
      <c r="P201" s="382">
        <f ca="1">IF(N201=ROWS(P$174:P201),RANK(O201,$O$174:$O$208),"")</f>
        <v>2</v>
      </c>
      <c r="Q201" s="368" t="s">
        <v>7296</v>
      </c>
      <c r="R201" s="1363" t="str">
        <f t="shared" ca="1" si="63"/>
        <v>Find Familiar</v>
      </c>
      <c r="S201" s="382">
        <v>28</v>
      </c>
      <c r="T201" s="368" t="s">
        <v>7619</v>
      </c>
      <c r="U201" s="1509"/>
      <c r="V201" s="901">
        <f>IF($U$174&gt;=ROWS(V$174:V201),ROWS(V$174:V201),"")</f>
        <v>28</v>
      </c>
      <c r="W201" s="1459">
        <f ca="1">IF(V201=ROWS(W$174:W201),RAND(),"")</f>
        <v>0.85480776786876245</v>
      </c>
      <c r="X201" s="382">
        <f ca="1">IF(V201=ROWS(X$174:X201),RANK(W201,$W$174:$W$208),"")</f>
        <v>2</v>
      </c>
      <c r="Y201" s="368" t="s">
        <v>7619</v>
      </c>
      <c r="Z201" s="1363" t="str">
        <f t="shared" ca="1" si="64"/>
        <v>Ray of Enfeeblement</v>
      </c>
      <c r="AA201" s="382">
        <v>28</v>
      </c>
      <c r="AB201" s="368" t="s">
        <v>7620</v>
      </c>
      <c r="AC201" s="1509"/>
      <c r="AD201" s="901">
        <f>IF($AC$174&gt;=ROWS(AD$174:AD201),ROWS(AD$174:AD201),"")</f>
        <v>28</v>
      </c>
      <c r="AE201" s="1459">
        <f ca="1">IF(AD201=ROWS(AE$174:AE201),RAND(),"")</f>
        <v>0.32815015679460768</v>
      </c>
      <c r="AF201" s="382">
        <f ca="1">IF(AD201=ROWS(AF$174:AF201),RANK(AE201,$AE$174:$AE$208),"")</f>
        <v>21</v>
      </c>
      <c r="AG201" s="368" t="s">
        <v>7620</v>
      </c>
      <c r="AH201" s="1363" t="str">
        <f t="shared" ca="1" si="65"/>
        <v>Water Breathing</v>
      </c>
      <c r="AI201" s="382">
        <v>28</v>
      </c>
      <c r="AJ201" s="368"/>
      <c r="AK201" s="1509"/>
      <c r="AL201" s="901" t="str">
        <f>IF($AK$174&gt;=ROWS(AL$174:AL201),ROWS(AL$174:AL201),"")</f>
        <v/>
      </c>
      <c r="AM201" s="1459" t="str">
        <f ca="1">IF(AL201=ROWS(AM$174:AM201),RAND(),"")</f>
        <v/>
      </c>
      <c r="AN201" s="382" t="str">
        <f>IF(AL201=ROWS(AN$174:AN201),RANK(AM201,$AM$174:$AM$208),"")</f>
        <v/>
      </c>
      <c r="AO201" s="368"/>
      <c r="AP201" s="1363"/>
      <c r="AY201" s="271" t="s">
        <v>1287</v>
      </c>
    </row>
    <row r="202" spans="2:51" ht="12" customHeight="1">
      <c r="B202" s="1414">
        <v>29</v>
      </c>
      <c r="C202" s="382"/>
      <c r="D202" s="382"/>
      <c r="E202" s="1509"/>
      <c r="F202" s="901" t="str">
        <f>IF($E$174&gt;=ROWS(F$174:F202),ROWS(F$174:F202),"")</f>
        <v/>
      </c>
      <c r="G202" s="1459" t="str">
        <f ca="1">IF(F202=ROWS(G$174:G202),RAND(),"")</f>
        <v/>
      </c>
      <c r="H202" s="382" t="str">
        <f>IF(F202=ROWS(H$174:H202),RANK(G202,$G$174:$G$208),"")</f>
        <v/>
      </c>
      <c r="I202" s="368"/>
      <c r="J202" s="1363"/>
      <c r="K202" s="382">
        <v>29</v>
      </c>
      <c r="L202" s="368" t="s">
        <v>7298</v>
      </c>
      <c r="M202" s="1509"/>
      <c r="N202" s="901">
        <f>IF($M$174&gt;=ROWS(N$174:N202),ROWS(N$174:N202),"")</f>
        <v>29</v>
      </c>
      <c r="O202" s="1459">
        <f ca="1">IF(N202=ROWS(O$174:O202),RAND(),"")</f>
        <v>0.18153035052253663</v>
      </c>
      <c r="P202" s="382">
        <f ca="1">IF(N202=ROWS(P$174:P202),RANK(O202,$O$174:$O$208),"")</f>
        <v>20</v>
      </c>
      <c r="Q202" s="368" t="s">
        <v>7298</v>
      </c>
      <c r="R202" s="1363" t="str">
        <f t="shared" ca="1" si="63"/>
        <v>Longstrider</v>
      </c>
      <c r="S202" s="382">
        <v>29</v>
      </c>
      <c r="T202" s="368" t="s">
        <v>7369</v>
      </c>
      <c r="U202" s="1509"/>
      <c r="V202" s="901">
        <f>IF($U$174&gt;=ROWS(V$174:V202),ROWS(V$174:V202),"")</f>
        <v>29</v>
      </c>
      <c r="W202" s="1459">
        <f ca="1">IF(V202=ROWS(W$174:W202),RAND(),"")</f>
        <v>0.65877135486652239</v>
      </c>
      <c r="X202" s="382">
        <f ca="1">IF(V202=ROWS(X$174:X202),RANK(W202,$W$174:$W$208),"")</f>
        <v>8</v>
      </c>
      <c r="Y202" s="368" t="s">
        <v>7369</v>
      </c>
      <c r="Z202" s="1363" t="str">
        <f t="shared" ca="1" si="64"/>
        <v>Gentle Repose</v>
      </c>
      <c r="AA202" s="382">
        <v>29</v>
      </c>
      <c r="AB202" s="368" t="s">
        <v>3102</v>
      </c>
      <c r="AC202" s="1509"/>
      <c r="AD202" s="901">
        <f>IF($AC$174&gt;=ROWS(AD$174:AD202),ROWS(AD$174:AD202),"")</f>
        <v>29</v>
      </c>
      <c r="AE202" s="1459">
        <f ca="1">IF(AD202=ROWS(AE$174:AE202),RAND(),"")</f>
        <v>3.0511849371922972E-2</v>
      </c>
      <c r="AF202" s="382">
        <f ca="1">IF(AD202=ROWS(AF$174:AF202),RANK(AE202,$AE$174:$AE$208),"")</f>
        <v>28</v>
      </c>
      <c r="AG202" s="368" t="s">
        <v>3102</v>
      </c>
      <c r="AH202" s="1363" t="str">
        <f t="shared" ca="1" si="65"/>
        <v>Blink</v>
      </c>
      <c r="AI202" s="382">
        <v>29</v>
      </c>
      <c r="AJ202" s="368"/>
      <c r="AK202" s="1509"/>
      <c r="AL202" s="901" t="str">
        <f>IF($AK$174&gt;=ROWS(AL$174:AL202),ROWS(AL$174:AL202),"")</f>
        <v/>
      </c>
      <c r="AM202" s="1459" t="str">
        <f ca="1">IF(AL202=ROWS(AM$174:AM202),RAND(),"")</f>
        <v/>
      </c>
      <c r="AN202" s="382" t="str">
        <f>IF(AL202=ROWS(AN$174:AN202),RANK(AM202,$AM$174:$AM$208),"")</f>
        <v/>
      </c>
      <c r="AO202" s="368"/>
      <c r="AP202" s="1363"/>
      <c r="AY202" s="271" t="s">
        <v>1287</v>
      </c>
    </row>
    <row r="203" spans="2:51" ht="12" customHeight="1">
      <c r="B203" s="1340">
        <v>30</v>
      </c>
      <c r="C203" s="382"/>
      <c r="D203" s="382"/>
      <c r="E203" s="1509"/>
      <c r="F203" s="901" t="str">
        <f>IF($E$174&gt;=ROWS(F$174:F203),ROWS(F$174:F203),"")</f>
        <v/>
      </c>
      <c r="G203" s="1459" t="str">
        <f ca="1">IF(F203=ROWS(G$174:G203),RAND(),"")</f>
        <v/>
      </c>
      <c r="H203" s="382" t="str">
        <f>IF(F203=ROWS(H$174:H203),RANK(G203,$G$174:$G$208),"")</f>
        <v/>
      </c>
      <c r="I203" s="368"/>
      <c r="J203" s="1363"/>
      <c r="K203" s="382">
        <v>30</v>
      </c>
      <c r="L203" s="368" t="s">
        <v>7541</v>
      </c>
      <c r="M203" s="1509"/>
      <c r="N203" s="901">
        <f>IF($M$174&gt;=ROWS(N$174:N203),ROWS(N$174:N203),"")</f>
        <v>30</v>
      </c>
      <c r="O203" s="1459">
        <f ca="1">IF(N203=ROWS(O$174:O203),RAND(),"")</f>
        <v>0.3754093495058356</v>
      </c>
      <c r="P203" s="382">
        <f ca="1">IF(N203=ROWS(P$174:P203),RANK(O203,$O$174:$O$208),"")</f>
        <v>15</v>
      </c>
      <c r="Q203" s="368" t="s">
        <v>7541</v>
      </c>
      <c r="R203" s="1363" t="str">
        <f t="shared" ca="1" si="63"/>
        <v>Grease</v>
      </c>
      <c r="S203" s="382">
        <v>30</v>
      </c>
      <c r="T203" s="368" t="s">
        <v>7293</v>
      </c>
      <c r="U203" s="1509"/>
      <c r="V203" s="901">
        <f>IF($U$174&gt;=ROWS(V$174:V203),ROWS(V$174:V203),"")</f>
        <v>30</v>
      </c>
      <c r="W203" s="1459">
        <f ca="1">IF(V203=ROWS(W$174:W203),RAND(),"")</f>
        <v>0.83578735508124791</v>
      </c>
      <c r="X203" s="382">
        <f ca="1">IF(V203=ROWS(X$174:X203),RANK(W203,$W$174:$W$208),"")</f>
        <v>3</v>
      </c>
      <c r="Y203" s="368" t="s">
        <v>7293</v>
      </c>
      <c r="Z203" s="1363" t="str">
        <f t="shared" ca="1" si="64"/>
        <v>Melf's Acid Arrow</v>
      </c>
      <c r="AA203" s="382">
        <v>30</v>
      </c>
      <c r="AB203" s="368"/>
      <c r="AC203" s="1509"/>
      <c r="AD203" s="901" t="str">
        <f>IF($AC$174&gt;=ROWS(AD$174:AD203),ROWS(AD$174:AD203),"")</f>
        <v/>
      </c>
      <c r="AE203" s="1459" t="str">
        <f ca="1">IF(AD203=ROWS(AE$174:AE203),RAND(),"")</f>
        <v/>
      </c>
      <c r="AF203" s="382" t="str">
        <f>IF(AD203=ROWS(AF$174:AF203),RANK(AE203,$AE$174:$AE$208),"")</f>
        <v/>
      </c>
      <c r="AG203" s="368"/>
      <c r="AH203" s="1363"/>
      <c r="AI203" s="382">
        <v>30</v>
      </c>
      <c r="AJ203" s="368"/>
      <c r="AK203" s="1509"/>
      <c r="AL203" s="901" t="str">
        <f>IF($AK$174&gt;=ROWS(AL$174:AL203),ROWS(AL$174:AL203),"")</f>
        <v/>
      </c>
      <c r="AM203" s="1459" t="str">
        <f ca="1">IF(AL203=ROWS(AM$174:AM203),RAND(),"")</f>
        <v/>
      </c>
      <c r="AN203" s="382" t="str">
        <f>IF(AL203=ROWS(AN$174:AN203),RANK(AM203,$AM$174:$AM$208),"")</f>
        <v/>
      </c>
      <c r="AO203" s="368"/>
      <c r="AP203" s="1363"/>
      <c r="AY203" s="271" t="s">
        <v>1287</v>
      </c>
    </row>
    <row r="204" spans="2:51" ht="12" customHeight="1">
      <c r="B204" s="1340">
        <v>31</v>
      </c>
      <c r="C204" s="382"/>
      <c r="D204" s="382"/>
      <c r="E204" s="1509"/>
      <c r="F204" s="901" t="str">
        <f>IF($E$174&gt;=ROWS(F$174:F204),ROWS(F$174:F204),"")</f>
        <v/>
      </c>
      <c r="G204" s="1459" t="str">
        <f ca="1">IF(F204=ROWS(G$174:G204),RAND(),"")</f>
        <v/>
      </c>
      <c r="H204" s="382" t="str">
        <f>IF(F204=ROWS(H$174:H204),RANK(G204,$G$174:$G$208),"")</f>
        <v/>
      </c>
      <c r="I204" s="368"/>
      <c r="J204" s="1363"/>
      <c r="K204" s="382">
        <v>31</v>
      </c>
      <c r="L204" s="382"/>
      <c r="M204" s="1509"/>
      <c r="N204" s="901" t="str">
        <f>IF($M$174&gt;=ROWS(N$174:N204),ROWS(N$174:N204),"")</f>
        <v/>
      </c>
      <c r="O204" s="1459" t="str">
        <f ca="1">IF(N204=ROWS(O$174:O204),RAND(),"")</f>
        <v/>
      </c>
      <c r="P204" s="382" t="str">
        <f>IF(N204=ROWS(P$174:P204),RANK(O204,$O$174:$O$208),"")</f>
        <v/>
      </c>
      <c r="Q204" s="368"/>
      <c r="R204" s="1363"/>
      <c r="S204" s="382">
        <v>31</v>
      </c>
      <c r="T204" s="368" t="s">
        <v>7295</v>
      </c>
      <c r="U204" s="1509"/>
      <c r="V204" s="901">
        <f>IF($U$174&gt;=ROWS(V$174:V204),ROWS(V$174:V204),"")</f>
        <v>31</v>
      </c>
      <c r="W204" s="1459">
        <f ca="1">IF(V204=ROWS(W$174:W204),RAND(),"")</f>
        <v>3.2346613325311413E-3</v>
      </c>
      <c r="X204" s="382">
        <f ca="1">IF(V204=ROWS(X$174:X204),RANK(W204,$W$174:$W$208),"")</f>
        <v>34</v>
      </c>
      <c r="Y204" s="368" t="s">
        <v>7295</v>
      </c>
      <c r="Z204" s="1363" t="str">
        <f t="shared" ca="1" si="64"/>
        <v>Crown of Madness</v>
      </c>
      <c r="AA204" s="382">
        <v>31</v>
      </c>
      <c r="AB204" s="368"/>
      <c r="AC204" s="1509"/>
      <c r="AD204" s="901" t="str">
        <f>IF($AC$174&gt;=ROWS(AD$174:AD204),ROWS(AD$174:AD204),"")</f>
        <v/>
      </c>
      <c r="AE204" s="1459" t="str">
        <f ca="1">IF(AD204=ROWS(AE$174:AE204),RAND(),"")</f>
        <v/>
      </c>
      <c r="AF204" s="382" t="str">
        <f>IF(AD204=ROWS(AF$174:AF204),RANK(AE204,$AE$174:$AE$208),"")</f>
        <v/>
      </c>
      <c r="AG204" s="368"/>
      <c r="AH204" s="1363"/>
      <c r="AI204" s="382">
        <v>31</v>
      </c>
      <c r="AJ204" s="368"/>
      <c r="AK204" s="1509"/>
      <c r="AL204" s="901" t="str">
        <f>IF($AK$174&gt;=ROWS(AL$174:AL204),ROWS(AL$174:AL204),"")</f>
        <v/>
      </c>
      <c r="AM204" s="1459" t="str">
        <f ca="1">IF(AL204=ROWS(AM$174:AM204),RAND(),"")</f>
        <v/>
      </c>
      <c r="AN204" s="382" t="str">
        <f>IF(AL204=ROWS(AN$174:AN204),RANK(AM204,$AM$174:$AM$208),"")</f>
        <v/>
      </c>
      <c r="AO204" s="368"/>
      <c r="AP204" s="1363"/>
      <c r="AY204" s="271" t="s">
        <v>1287</v>
      </c>
    </row>
    <row r="205" spans="2:51" ht="12" customHeight="1">
      <c r="B205" s="1340">
        <v>32</v>
      </c>
      <c r="C205" s="382"/>
      <c r="D205" s="382"/>
      <c r="E205" s="1509"/>
      <c r="F205" s="901" t="str">
        <f>IF($E$174&gt;=ROWS(F$174:F205),ROWS(F$174:F205),"")</f>
        <v/>
      </c>
      <c r="G205" s="1459" t="str">
        <f ca="1">IF(F205=ROWS(G$174:G205),RAND(),"")</f>
        <v/>
      </c>
      <c r="H205" s="382" t="str">
        <f>IF(F205=ROWS(H$174:H205),RANK(G205,$G$174:$G$208),"")</f>
        <v/>
      </c>
      <c r="I205" s="368"/>
      <c r="J205" s="1363"/>
      <c r="K205" s="382">
        <v>32</v>
      </c>
      <c r="L205" s="382"/>
      <c r="M205" s="1509"/>
      <c r="N205" s="901" t="str">
        <f>IF($M$174&gt;=ROWS(N$174:N205),ROWS(N$174:N205),"")</f>
        <v/>
      </c>
      <c r="O205" s="1459" t="str">
        <f ca="1">IF(N205=ROWS(O$174:O205),RAND(),"")</f>
        <v/>
      </c>
      <c r="P205" s="382" t="str">
        <f>IF(N205=ROWS(P$174:P205),RANK(O205,$O$174:$O$208),"")</f>
        <v/>
      </c>
      <c r="Q205" s="368"/>
      <c r="R205" s="1363"/>
      <c r="S205" s="382">
        <v>32</v>
      </c>
      <c r="T205" s="368" t="s">
        <v>2915</v>
      </c>
      <c r="U205" s="1509"/>
      <c r="V205" s="901">
        <f>IF($U$174&gt;=ROWS(V$174:V205),ROWS(V$174:V205),"")</f>
        <v>32</v>
      </c>
      <c r="W205" s="1459">
        <f ca="1">IF(V205=ROWS(W$174:W205),RAND(),"")</f>
        <v>0.33645900154974473</v>
      </c>
      <c r="X205" s="382">
        <f ca="1">IF(V205=ROWS(X$174:X205),RANK(W205,$W$174:$W$208),"")</f>
        <v>25</v>
      </c>
      <c r="Y205" s="368" t="s">
        <v>2915</v>
      </c>
      <c r="Z205" s="1363" t="str">
        <f t="shared" ca="1" si="64"/>
        <v>Magic Mouth</v>
      </c>
      <c r="AA205" s="382">
        <v>32</v>
      </c>
      <c r="AB205" s="368"/>
      <c r="AC205" s="1509"/>
      <c r="AD205" s="901" t="str">
        <f>IF($AC$174&gt;=ROWS(AD$174:AD205),ROWS(AD$174:AD205),"")</f>
        <v/>
      </c>
      <c r="AE205" s="1459" t="str">
        <f ca="1">IF(AD205=ROWS(AE$174:AE205),RAND(),"")</f>
        <v/>
      </c>
      <c r="AF205" s="382" t="str">
        <f>IF(AD205=ROWS(AF$174:AF205),RANK(AE205,$AE$174:$AE$208),"")</f>
        <v/>
      </c>
      <c r="AG205" s="368"/>
      <c r="AH205" s="1363"/>
      <c r="AI205" s="382">
        <v>32</v>
      </c>
      <c r="AJ205" s="368"/>
      <c r="AK205" s="1509"/>
      <c r="AL205" s="901" t="str">
        <f>IF($AK$174&gt;=ROWS(AL$174:AL205),ROWS(AL$174:AL205),"")</f>
        <v/>
      </c>
      <c r="AM205" s="1459" t="str">
        <f ca="1">IF(AL205=ROWS(AM$174:AM205),RAND(),"")</f>
        <v/>
      </c>
      <c r="AN205" s="382" t="str">
        <f>IF(AL205=ROWS(AN$174:AN205),RANK(AM205,$AM$174:$AM$208),"")</f>
        <v/>
      </c>
      <c r="AO205" s="368"/>
      <c r="AP205" s="1363"/>
      <c r="AY205" s="271" t="s">
        <v>1287</v>
      </c>
    </row>
    <row r="206" spans="2:51" ht="12" customHeight="1">
      <c r="B206" s="1340">
        <v>33</v>
      </c>
      <c r="C206" s="382"/>
      <c r="D206" s="382"/>
      <c r="E206" s="1509"/>
      <c r="F206" s="901" t="str">
        <f>IF($E$174&gt;=ROWS(F$174:F206),ROWS(F$174:F206),"")</f>
        <v/>
      </c>
      <c r="G206" s="1459" t="str">
        <f ca="1">IF(F206=ROWS(G$174:G206),RAND(),"")</f>
        <v/>
      </c>
      <c r="H206" s="382" t="str">
        <f>IF(F206=ROWS(H$174:H206),RANK(G206,$G$174:$G$208),"")</f>
        <v/>
      </c>
      <c r="I206" s="368"/>
      <c r="J206" s="1363"/>
      <c r="K206" s="382">
        <v>33</v>
      </c>
      <c r="L206" s="382"/>
      <c r="M206" s="1509"/>
      <c r="N206" s="901" t="str">
        <f>IF($M$174&gt;=ROWS(N$174:N206),ROWS(N$174:N206),"")</f>
        <v/>
      </c>
      <c r="O206" s="1459" t="str">
        <f ca="1">IF(N206=ROWS(O$174:O206),RAND(),"")</f>
        <v/>
      </c>
      <c r="P206" s="382" t="str">
        <f>IF(N206=ROWS(P$174:P206),RANK(O206,$O$174:$O$208),"")</f>
        <v/>
      </c>
      <c r="Q206" s="368"/>
      <c r="R206" s="1363"/>
      <c r="S206" s="382">
        <v>33</v>
      </c>
      <c r="T206" s="368" t="s">
        <v>7300</v>
      </c>
      <c r="U206" s="1509"/>
      <c r="V206" s="901">
        <f>IF($U$174&gt;=ROWS(V$174:V206),ROWS(V$174:V206),"")</f>
        <v>33</v>
      </c>
      <c r="W206" s="1459">
        <f ca="1">IF(V206=ROWS(W$174:W206),RAND(),"")</f>
        <v>0.32974763062225354</v>
      </c>
      <c r="X206" s="382">
        <f ca="1">IF(V206=ROWS(X$174:X206),RANK(W206,$W$174:$W$208),"")</f>
        <v>26</v>
      </c>
      <c r="Y206" s="368" t="s">
        <v>7300</v>
      </c>
      <c r="Z206" s="1363" t="str">
        <f t="shared" ca="1" si="64"/>
        <v>Arcane Lock</v>
      </c>
      <c r="AA206" s="382">
        <v>33</v>
      </c>
      <c r="AB206" s="368"/>
      <c r="AC206" s="1509"/>
      <c r="AD206" s="901" t="str">
        <f>IF($AC$174&gt;=ROWS(AD$174:AD206),ROWS(AD$174:AD206),"")</f>
        <v/>
      </c>
      <c r="AE206" s="1459" t="str">
        <f ca="1">IF(AD206=ROWS(AE$174:AE206),RAND(),"")</f>
        <v/>
      </c>
      <c r="AF206" s="382" t="str">
        <f>IF(AD206=ROWS(AF$174:AF206),RANK(AE206,$AE$174:$AE$208),"")</f>
        <v/>
      </c>
      <c r="AG206" s="368"/>
      <c r="AH206" s="1363"/>
      <c r="AI206" s="382">
        <v>33</v>
      </c>
      <c r="AJ206" s="368"/>
      <c r="AK206" s="1509"/>
      <c r="AL206" s="901" t="str">
        <f>IF($AK$174&gt;=ROWS(AL$174:AL206),ROWS(AL$174:AL206),"")</f>
        <v/>
      </c>
      <c r="AM206" s="1459" t="str">
        <f ca="1">IF(AL206=ROWS(AM$174:AM206),RAND(),"")</f>
        <v/>
      </c>
      <c r="AN206" s="382" t="str">
        <f>IF(AL206=ROWS(AN$174:AN206),RANK(AM206,$AM$174:$AM$208),"")</f>
        <v/>
      </c>
      <c r="AO206" s="368"/>
      <c r="AP206" s="1363"/>
      <c r="AY206" s="271" t="s">
        <v>1287</v>
      </c>
    </row>
    <row r="207" spans="2:51" ht="12" customHeight="1">
      <c r="B207" s="1340">
        <v>34</v>
      </c>
      <c r="C207" s="382"/>
      <c r="D207" s="382"/>
      <c r="E207" s="1454"/>
      <c r="F207" s="901" t="str">
        <f>IF($E$174&gt;=ROWS(F$174:F207),ROWS(F$174:F207),"")</f>
        <v/>
      </c>
      <c r="G207" s="1459" t="str">
        <f ca="1">IF(F207=ROWS(G$174:G207),RAND(),"")</f>
        <v/>
      </c>
      <c r="H207" s="382" t="str">
        <f>IF(F207=ROWS(H$174:H207),RANK(G207,$G$174:$G$208),"")</f>
        <v/>
      </c>
      <c r="I207" s="368"/>
      <c r="J207" s="1363"/>
      <c r="K207" s="382">
        <v>34</v>
      </c>
      <c r="L207" s="382"/>
      <c r="M207" s="1454"/>
      <c r="N207" s="901" t="str">
        <f>IF($M$174&gt;=ROWS(N$174:N207),ROWS(N$174:N207),"")</f>
        <v/>
      </c>
      <c r="O207" s="1459" t="str">
        <f ca="1">IF(N207=ROWS(O$174:O207),RAND(),"")</f>
        <v/>
      </c>
      <c r="P207" s="382" t="str">
        <f>IF(N207=ROWS(P$174:P207),RANK(O207,$O$174:$O$208),"")</f>
        <v/>
      </c>
      <c r="Q207" s="368"/>
      <c r="R207" s="1363"/>
      <c r="S207" s="382">
        <v>34</v>
      </c>
      <c r="T207" s="368" t="s">
        <v>7449</v>
      </c>
      <c r="U207" s="1454"/>
      <c r="V207" s="901">
        <f>IF($U$174&gt;=ROWS(V$174:V207),ROWS(V$174:V207),"")</f>
        <v>34</v>
      </c>
      <c r="W207" s="1459">
        <f ca="1">IF(V207=ROWS(W$174:W207),RAND(),"")</f>
        <v>0.50173429581324325</v>
      </c>
      <c r="X207" s="382">
        <f ca="1">IF(V207=ROWS(X$174:X207),RANK(W207,$W$174:$W$208),"")</f>
        <v>15</v>
      </c>
      <c r="Y207" s="368" t="s">
        <v>7449</v>
      </c>
      <c r="Z207" s="1363" t="str">
        <f t="shared" ca="1" si="64"/>
        <v>Shatter</v>
      </c>
      <c r="AA207" s="382">
        <v>34</v>
      </c>
      <c r="AB207" s="368"/>
      <c r="AC207" s="1454"/>
      <c r="AD207" s="901" t="str">
        <f>IF($AC$174&gt;=ROWS(AD$174:AD207),ROWS(AD$174:AD207),"")</f>
        <v/>
      </c>
      <c r="AE207" s="1459" t="str">
        <f ca="1">IF(AD207=ROWS(AE$174:AE207),RAND(),"")</f>
        <v/>
      </c>
      <c r="AF207" s="382" t="str">
        <f>IF(AD207=ROWS(AF$174:AF207),RANK(AE207,$AE$174:$AE$208),"")</f>
        <v/>
      </c>
      <c r="AG207" s="368"/>
      <c r="AH207" s="1363"/>
      <c r="AI207" s="382">
        <v>34</v>
      </c>
      <c r="AJ207" s="368"/>
      <c r="AK207" s="1454"/>
      <c r="AL207" s="901" t="str">
        <f>IF($AK$174&gt;=ROWS(AL$174:AL207),ROWS(AL$174:AL207),"")</f>
        <v/>
      </c>
      <c r="AM207" s="1459" t="str">
        <f ca="1">IF(AL207=ROWS(AM$174:AM207),RAND(),"")</f>
        <v/>
      </c>
      <c r="AN207" s="382" t="str">
        <f>IF(AL207=ROWS(AN$174:AN207),RANK(AM207,$AM$174:$AM$208),"")</f>
        <v/>
      </c>
      <c r="AO207" s="368"/>
      <c r="AP207" s="1363"/>
      <c r="AY207" s="271" t="s">
        <v>1287</v>
      </c>
    </row>
    <row r="208" spans="2:51" ht="12" customHeight="1" thickBot="1">
      <c r="B208" s="1350">
        <v>35</v>
      </c>
      <c r="C208" s="1348"/>
      <c r="D208" s="1348"/>
      <c r="E208" s="1475"/>
      <c r="F208" s="1430" t="str">
        <f>IF($E$174&gt;=ROWS(F$174:F208),ROWS(F$174:F208),"")</f>
        <v/>
      </c>
      <c r="G208" s="1481" t="str">
        <f ca="1">IF(F208=ROWS(G$174:G208),RAND(),"")</f>
        <v/>
      </c>
      <c r="H208" s="1348" t="str">
        <f>IF(F208=ROWS(H$174:H208),RANK(G208,$G$174:$G$208),"")</f>
        <v/>
      </c>
      <c r="I208" s="1424"/>
      <c r="J208" s="1429"/>
      <c r="K208" s="1348">
        <v>35</v>
      </c>
      <c r="L208" s="1348"/>
      <c r="M208" s="1475"/>
      <c r="N208" s="1430" t="str">
        <f>IF($M$174&gt;=ROWS(N$174:N208),ROWS(N$174:N208),"")</f>
        <v/>
      </c>
      <c r="O208" s="1481" t="str">
        <f ca="1">IF(N208=ROWS(O$174:O208),RAND(),"")</f>
        <v/>
      </c>
      <c r="P208" s="1348" t="str">
        <f>IF(N208=ROWS(P$174:P208),RANK(O208,$O$174:$O$208),"")</f>
        <v/>
      </c>
      <c r="Q208" s="1424"/>
      <c r="R208" s="1429"/>
      <c r="S208" s="1348">
        <v>35</v>
      </c>
      <c r="T208" s="1348"/>
      <c r="U208" s="1475"/>
      <c r="V208" s="1430" t="str">
        <f>IF($U$174&gt;=ROWS(V$174:V208),ROWS(V$174:V208),"")</f>
        <v/>
      </c>
      <c r="W208" s="1481" t="str">
        <f ca="1">IF(V208=ROWS(W$174:W208),RAND(),"")</f>
        <v/>
      </c>
      <c r="X208" s="1348" t="str">
        <f>IF(V208=ROWS(X$174:X208),RANK(W208,$W$174:$W$208),"")</f>
        <v/>
      </c>
      <c r="Y208" s="1424"/>
      <c r="Z208" s="1429"/>
      <c r="AA208" s="1348">
        <v>35</v>
      </c>
      <c r="AB208" s="1348"/>
      <c r="AC208" s="1475"/>
      <c r="AD208" s="1430" t="str">
        <f>IF($AC$174&gt;=ROWS(AD$174:AD208),ROWS(AD$174:AD208),"")</f>
        <v/>
      </c>
      <c r="AE208" s="1481" t="str">
        <f ca="1">IF(AD208=ROWS(AE$174:AE208),RAND(),"")</f>
        <v/>
      </c>
      <c r="AF208" s="1348" t="str">
        <f>IF(AD208=ROWS(AF$174:AF208),RANK(AE208,$AE$174:$AE$208),"")</f>
        <v/>
      </c>
      <c r="AG208" s="1424"/>
      <c r="AH208" s="1429"/>
      <c r="AI208" s="1348">
        <v>35</v>
      </c>
      <c r="AJ208" s="1348"/>
      <c r="AK208" s="1475"/>
      <c r="AL208" s="1430" t="str">
        <f>IF($AK$174&gt;=ROWS(AL$174:AL208),ROWS(AL$174:AL208),"")</f>
        <v/>
      </c>
      <c r="AM208" s="1481" t="str">
        <f ca="1">IF(AL208=ROWS(AM$174:AM208),RAND(),"")</f>
        <v/>
      </c>
      <c r="AN208" s="1348" t="str">
        <f>IF(AL208=ROWS(AN$174:AN208),RANK(AM208,$AM$174:$AM$208),"")</f>
        <v/>
      </c>
      <c r="AO208" s="1424"/>
      <c r="AP208" s="1429"/>
      <c r="AY208" s="271" t="s">
        <v>1287</v>
      </c>
    </row>
    <row r="209" spans="2:74" ht="12" customHeight="1" thickTop="1">
      <c r="B209" s="3308" t="s">
        <v>7303</v>
      </c>
      <c r="C209" s="3309"/>
      <c r="G209" s="1335"/>
      <c r="I209" s="273"/>
      <c r="J209" s="273"/>
      <c r="AY209" s="271" t="s">
        <v>1287</v>
      </c>
    </row>
    <row r="210" spans="2:74" ht="12" customHeight="1" thickBot="1">
      <c r="G210" s="1335"/>
      <c r="I210" s="273"/>
      <c r="J210" s="273"/>
      <c r="L210" s="1335"/>
      <c r="N210" s="543"/>
      <c r="O210" s="273"/>
      <c r="P210" s="273"/>
      <c r="Q210" s="273"/>
      <c r="R210" s="273"/>
      <c r="S210" s="273"/>
      <c r="T210" s="273"/>
      <c r="U210" s="273"/>
      <c r="W210" s="1335"/>
      <c r="Y210" s="273"/>
      <c r="Z210" s="273"/>
      <c r="AA210" s="273"/>
      <c r="AB210" s="273"/>
      <c r="AC210" s="273"/>
      <c r="AE210" s="1335"/>
      <c r="AG210" s="273"/>
      <c r="AH210" s="273"/>
      <c r="AI210" s="273"/>
      <c r="AJ210" s="273"/>
      <c r="AK210" s="273"/>
      <c r="AM210" s="1335"/>
      <c r="AO210" s="273"/>
      <c r="AP210" s="273"/>
      <c r="AQ210" s="273"/>
      <c r="AR210" s="273"/>
      <c r="AS210" s="273"/>
      <c r="AU210" s="1335"/>
      <c r="AW210" s="273"/>
      <c r="AX210" s="273"/>
      <c r="AY210" s="271" t="s">
        <v>1287</v>
      </c>
    </row>
    <row r="211" spans="2:74" ht="12" customHeight="1" thickTop="1">
      <c r="B211" s="3330" t="s">
        <v>7621</v>
      </c>
      <c r="C211" s="3331"/>
      <c r="D211" s="3331"/>
      <c r="E211" s="3331"/>
      <c r="F211" s="3331"/>
      <c r="G211" s="3332"/>
      <c r="H211" s="3330" t="s">
        <v>7622</v>
      </c>
      <c r="I211" s="3331"/>
      <c r="J211" s="3331"/>
      <c r="K211" s="3331"/>
      <c r="L211" s="3332"/>
      <c r="M211" s="3330" t="s">
        <v>7623</v>
      </c>
      <c r="N211" s="3331"/>
      <c r="O211" s="3331"/>
      <c r="P211" s="3331"/>
      <c r="Q211" s="3332"/>
      <c r="R211" s="3330" t="s">
        <v>7624</v>
      </c>
      <c r="S211" s="3331"/>
      <c r="T211" s="3331"/>
      <c r="U211" s="3331"/>
      <c r="V211" s="3332"/>
      <c r="W211" s="3330" t="s">
        <v>7625</v>
      </c>
      <c r="X211" s="3331"/>
      <c r="Y211" s="3331"/>
      <c r="Z211" s="3331"/>
      <c r="AA211" s="3332"/>
      <c r="AB211" s="3330" t="s">
        <v>7626</v>
      </c>
      <c r="AC211" s="3331"/>
      <c r="AD211" s="3331"/>
      <c r="AE211" s="3331"/>
      <c r="AF211" s="3332"/>
      <c r="AG211" s="3330" t="s">
        <v>7627</v>
      </c>
      <c r="AH211" s="3331"/>
      <c r="AI211" s="3331"/>
      <c r="AJ211" s="3331"/>
      <c r="AK211" s="3332"/>
      <c r="AL211" s="3330" t="s">
        <v>7628</v>
      </c>
      <c r="AM211" s="3331"/>
      <c r="AN211" s="3331"/>
      <c r="AO211" s="3331"/>
      <c r="AP211" s="3332"/>
      <c r="AQ211" s="3330" t="s">
        <v>7629</v>
      </c>
      <c r="AR211" s="3331"/>
      <c r="AS211" s="3331"/>
      <c r="AT211" s="3331"/>
      <c r="AU211" s="3332"/>
      <c r="AV211" s="3330" t="s">
        <v>7630</v>
      </c>
      <c r="AW211" s="3331"/>
      <c r="AX211" s="3331"/>
      <c r="AY211" s="3331"/>
      <c r="AZ211" s="3332"/>
      <c r="BA211" s="2797"/>
      <c r="BB211" s="2797"/>
      <c r="BC211" s="2797"/>
      <c r="BD211" s="2797"/>
      <c r="BE211" s="2797"/>
      <c r="BF211" s="2797"/>
      <c r="BG211" s="2797"/>
      <c r="BH211" s="2797"/>
      <c r="BI211" s="2797"/>
      <c r="BJ211" s="2797"/>
      <c r="BK211" s="2797"/>
      <c r="BL211" s="2797"/>
      <c r="BM211" s="2797"/>
      <c r="BN211" s="2797"/>
      <c r="BO211" s="2797"/>
    </row>
    <row r="212" spans="2:74" ht="12" customHeight="1" thickBot="1">
      <c r="B212" s="3333"/>
      <c r="C212" s="2932"/>
      <c r="D212" s="2932"/>
      <c r="E212" s="2932"/>
      <c r="F212" s="2932"/>
      <c r="G212" s="3334"/>
      <c r="H212" s="3333"/>
      <c r="I212" s="2932"/>
      <c r="J212" s="2932"/>
      <c r="K212" s="2932"/>
      <c r="L212" s="3334"/>
      <c r="M212" s="3333"/>
      <c r="N212" s="2932"/>
      <c r="O212" s="2932"/>
      <c r="P212" s="2932"/>
      <c r="Q212" s="3334"/>
      <c r="R212" s="3333"/>
      <c r="S212" s="2932"/>
      <c r="T212" s="2932"/>
      <c r="U212" s="2932"/>
      <c r="V212" s="3334"/>
      <c r="W212" s="3333"/>
      <c r="X212" s="2932"/>
      <c r="Y212" s="2932"/>
      <c r="Z212" s="2932"/>
      <c r="AA212" s="3334"/>
      <c r="AB212" s="3333"/>
      <c r="AC212" s="2932"/>
      <c r="AD212" s="2932"/>
      <c r="AE212" s="2932"/>
      <c r="AF212" s="3334"/>
      <c r="AG212" s="3333"/>
      <c r="AH212" s="2932"/>
      <c r="AI212" s="2932"/>
      <c r="AJ212" s="2932"/>
      <c r="AK212" s="3334"/>
      <c r="AL212" s="3333"/>
      <c r="AM212" s="2932"/>
      <c r="AN212" s="2932"/>
      <c r="AO212" s="2932"/>
      <c r="AP212" s="3334"/>
      <c r="AQ212" s="3333"/>
      <c r="AR212" s="2932"/>
      <c r="AS212" s="2932"/>
      <c r="AT212" s="2932"/>
      <c r="AU212" s="3334"/>
      <c r="AV212" s="3333"/>
      <c r="AW212" s="2932"/>
      <c r="AX212" s="2932"/>
      <c r="AY212" s="2932"/>
      <c r="AZ212" s="3334"/>
      <c r="BA212" s="2797"/>
      <c r="BB212" s="2797"/>
      <c r="BC212" s="2797"/>
      <c r="BD212" s="2797"/>
      <c r="BE212" s="2797"/>
      <c r="BF212" s="2797"/>
      <c r="BG212" s="2797"/>
      <c r="BH212" s="2797"/>
      <c r="BI212" s="2797"/>
      <c r="BJ212" s="2797"/>
      <c r="BK212" s="2797"/>
      <c r="BL212" s="2797"/>
      <c r="BM212" s="2797"/>
      <c r="BN212" s="2797"/>
      <c r="BO212" s="2797"/>
    </row>
    <row r="213" spans="2:74" ht="12" customHeight="1">
      <c r="B213" s="1357" t="s">
        <v>7124</v>
      </c>
      <c r="C213" s="3335" t="s">
        <v>7169</v>
      </c>
      <c r="D213" s="3335" t="s">
        <v>6598</v>
      </c>
      <c r="E213" s="3335" t="s">
        <v>6592</v>
      </c>
      <c r="F213" s="3335" t="s">
        <v>7170</v>
      </c>
      <c r="G213" s="3314" t="s">
        <v>7318</v>
      </c>
      <c r="H213" s="3314" t="s">
        <v>7169</v>
      </c>
      <c r="I213" s="3314" t="s">
        <v>6598</v>
      </c>
      <c r="J213" s="3314" t="s">
        <v>6592</v>
      </c>
      <c r="K213" s="3314" t="s">
        <v>7172</v>
      </c>
      <c r="L213" s="3314" t="s">
        <v>7318</v>
      </c>
      <c r="M213" s="3314" t="s">
        <v>7169</v>
      </c>
      <c r="N213" s="3314" t="s">
        <v>6598</v>
      </c>
      <c r="O213" s="3314" t="s">
        <v>6592</v>
      </c>
      <c r="P213" s="3314" t="s">
        <v>7174</v>
      </c>
      <c r="Q213" s="3314" t="s">
        <v>7318</v>
      </c>
      <c r="R213" s="3314" t="s">
        <v>7169</v>
      </c>
      <c r="S213" s="3314" t="s">
        <v>6598</v>
      </c>
      <c r="T213" s="3314" t="s">
        <v>6592</v>
      </c>
      <c r="U213" s="3314" t="s">
        <v>7175</v>
      </c>
      <c r="V213" s="3314" t="s">
        <v>7318</v>
      </c>
      <c r="W213" s="3314" t="s">
        <v>7169</v>
      </c>
      <c r="X213" s="3314" t="s">
        <v>6598</v>
      </c>
      <c r="Y213" s="3314" t="s">
        <v>6592</v>
      </c>
      <c r="Z213" s="3314" t="s">
        <v>7176</v>
      </c>
      <c r="AA213" s="3314" t="s">
        <v>7318</v>
      </c>
      <c r="AB213" s="3314" t="s">
        <v>7169</v>
      </c>
      <c r="AC213" s="3314" t="s">
        <v>6598</v>
      </c>
      <c r="AD213" s="3314" t="s">
        <v>6592</v>
      </c>
      <c r="AE213" s="3314" t="s">
        <v>7177</v>
      </c>
      <c r="AF213" s="3314" t="s">
        <v>7318</v>
      </c>
      <c r="AG213" s="3314" t="s">
        <v>7169</v>
      </c>
      <c r="AH213" s="3314" t="s">
        <v>6598</v>
      </c>
      <c r="AI213" s="3314" t="s">
        <v>6592</v>
      </c>
      <c r="AJ213" s="3314" t="s">
        <v>7178</v>
      </c>
      <c r="AK213" s="3314" t="s">
        <v>7318</v>
      </c>
      <c r="AL213" s="3314" t="s">
        <v>7169</v>
      </c>
      <c r="AM213" s="3314" t="s">
        <v>6598</v>
      </c>
      <c r="AN213" s="3314" t="s">
        <v>6592</v>
      </c>
      <c r="AO213" s="3314" t="s">
        <v>7179</v>
      </c>
      <c r="AP213" s="3314" t="s">
        <v>7318</v>
      </c>
      <c r="AQ213" s="3314" t="s">
        <v>7169</v>
      </c>
      <c r="AR213" s="3314" t="s">
        <v>6598</v>
      </c>
      <c r="AS213" s="3314" t="s">
        <v>6592</v>
      </c>
      <c r="AT213" s="3314" t="s">
        <v>7180</v>
      </c>
      <c r="AU213" s="3314" t="s">
        <v>7318</v>
      </c>
      <c r="AV213" s="3342" t="s">
        <v>7169</v>
      </c>
      <c r="AW213" s="3314" t="s">
        <v>6598</v>
      </c>
      <c r="AX213" s="3314" t="s">
        <v>6592</v>
      </c>
      <c r="AY213" s="3314" t="s">
        <v>7327</v>
      </c>
      <c r="AZ213" s="3314" t="s">
        <v>7318</v>
      </c>
      <c r="BB213" s="3060"/>
      <c r="BC213" s="3060"/>
      <c r="BD213" s="3060"/>
      <c r="BE213" s="3353"/>
      <c r="BG213" s="3060"/>
      <c r="BH213" s="3060"/>
      <c r="BI213" s="3060"/>
      <c r="BJ213" s="3353"/>
      <c r="BL213" s="3060"/>
      <c r="BM213" s="3060"/>
      <c r="BN213" s="3060"/>
      <c r="BO213" s="3353"/>
    </row>
    <row r="214" spans="2:74" ht="12" customHeight="1" thickBot="1">
      <c r="B214" s="1322">
        <f>COUNT(B215:B230)</f>
        <v>16</v>
      </c>
      <c r="C214" s="3336"/>
      <c r="D214" s="3336"/>
      <c r="E214" s="3336"/>
      <c r="F214" s="3336"/>
      <c r="G214" s="3315"/>
      <c r="H214" s="3315"/>
      <c r="I214" s="3315"/>
      <c r="J214" s="3315"/>
      <c r="K214" s="3315"/>
      <c r="L214" s="3315"/>
      <c r="M214" s="3315"/>
      <c r="N214" s="3315"/>
      <c r="O214" s="3315"/>
      <c r="P214" s="3315"/>
      <c r="Q214" s="3315"/>
      <c r="R214" s="3315"/>
      <c r="S214" s="3315"/>
      <c r="T214" s="3315"/>
      <c r="U214" s="3315"/>
      <c r="V214" s="3315"/>
      <c r="W214" s="3315"/>
      <c r="X214" s="3315"/>
      <c r="Y214" s="3315"/>
      <c r="Z214" s="3315"/>
      <c r="AA214" s="3315"/>
      <c r="AB214" s="3315"/>
      <c r="AC214" s="3315"/>
      <c r="AD214" s="3315"/>
      <c r="AE214" s="3315"/>
      <c r="AF214" s="3315"/>
      <c r="AG214" s="3315"/>
      <c r="AH214" s="3315"/>
      <c r="AI214" s="3315"/>
      <c r="AJ214" s="3315"/>
      <c r="AK214" s="3315"/>
      <c r="AL214" s="3315"/>
      <c r="AM214" s="3315"/>
      <c r="AN214" s="3315"/>
      <c r="AO214" s="3315"/>
      <c r="AP214" s="3315"/>
      <c r="AQ214" s="3315"/>
      <c r="AR214" s="3315"/>
      <c r="AS214" s="3315"/>
      <c r="AT214" s="3315"/>
      <c r="AU214" s="3315"/>
      <c r="AV214" s="3343"/>
      <c r="AW214" s="3315"/>
      <c r="AX214" s="3315"/>
      <c r="AY214" s="3315"/>
      <c r="AZ214" s="3315"/>
      <c r="BB214" s="2797"/>
      <c r="BC214" s="2797"/>
      <c r="BD214" s="2797"/>
      <c r="BE214" s="2767"/>
      <c r="BG214" s="2797"/>
      <c r="BH214" s="2797"/>
      <c r="BI214" s="2797"/>
      <c r="BJ214" s="2767"/>
      <c r="BL214" s="2797"/>
      <c r="BM214" s="2797"/>
      <c r="BN214" s="2797"/>
      <c r="BO214" s="2767"/>
    </row>
    <row r="215" spans="2:74" ht="12" customHeight="1">
      <c r="B215" s="326">
        <v>1</v>
      </c>
      <c r="C215" s="467">
        <v>1</v>
      </c>
      <c r="D215" s="1446">
        <f ca="1">IF(C215=ROWS(D$215:D215),RAND(),"")</f>
        <v>0.50299095588658183</v>
      </c>
      <c r="E215" s="382">
        <f ca="1">IF(C215=ROWS(E$215:E215),RANK(D215,$D$215:$D$239),"")</f>
        <v>10</v>
      </c>
      <c r="F215" s="701" t="s">
        <v>7594</v>
      </c>
      <c r="G215" s="1379" t="str">
        <f ca="1">VLOOKUP(C215,$E$215:$F$230,2,FALSE)</f>
        <v>Dancing Lights</v>
      </c>
      <c r="H215" s="1375">
        <v>1</v>
      </c>
      <c r="I215" s="1446">
        <f ca="1">IF(H215=ROWS(I$215:I215),RAND(),"")</f>
        <v>0.48118224835528167</v>
      </c>
      <c r="J215" s="467">
        <f ca="1">IF(H215=ROWS(J$215:J215),RANK(I215,$I$215:$I$239),"")</f>
        <v>10</v>
      </c>
      <c r="K215" s="1328" t="s">
        <v>7340</v>
      </c>
      <c r="L215" s="1510" t="str">
        <f ca="1">VLOOKUP(H215,$J$215:$K$234,2,FALSE)</f>
        <v>Magic Missile</v>
      </c>
      <c r="M215" s="1375">
        <v>1</v>
      </c>
      <c r="N215" s="1446">
        <f ca="1">IF(M215=ROWS(N$215:N215),RAND(),"")</f>
        <v>0.98813066680836392</v>
      </c>
      <c r="O215" s="467">
        <f ca="1">IF(M215=ROWS(O$215:O215),RANK(N215,$N$215:$N$239),"")</f>
        <v>1</v>
      </c>
      <c r="P215" s="1328" t="s">
        <v>7595</v>
      </c>
      <c r="Q215" s="1379" t="str">
        <f ca="1">VLOOKUP(M215,$O$215:$P$238,2,FALSE)</f>
        <v>Alter Self</v>
      </c>
      <c r="R215" s="1375">
        <v>1</v>
      </c>
      <c r="S215" s="1446">
        <f ca="1">IF(R215=ROWS(S$215:S215),RAND(),"")</f>
        <v>0.95888875938969165</v>
      </c>
      <c r="T215" s="467">
        <f ca="1">IF(R215=ROWS(T$215:T215),RANK(S215,$S$215:$S$239),"")</f>
        <v>3</v>
      </c>
      <c r="U215" s="1511" t="s">
        <v>7380</v>
      </c>
      <c r="V215" s="1379" t="str">
        <f ca="1">VLOOKUP(R215,$T$215:$U$234,2,FALSE)</f>
        <v>Major Image</v>
      </c>
      <c r="W215" s="1375">
        <v>1</v>
      </c>
      <c r="X215" s="1446">
        <f ca="1">IF(W215=ROWS(X$215:X215),RAND(),"")</f>
        <v>0.17551469668624853</v>
      </c>
      <c r="Y215" s="467">
        <f ca="1">IF(W215=ROWS(Y$215:Y215),RANK(X215,$X$215:$X$239),"")</f>
        <v>8</v>
      </c>
      <c r="Z215" s="1511" t="s">
        <v>7332</v>
      </c>
      <c r="AA215" s="1379" t="str">
        <f ca="1">VLOOKUP(W215,$Y$215:$Z$224,2,FALSE)</f>
        <v>Polymorph</v>
      </c>
      <c r="AB215" s="1375">
        <v>1</v>
      </c>
      <c r="AC215" s="1446">
        <f ca="1">IF(AB215=ROWS(AC$215:AC215),RAND(),"")</f>
        <v>0.50334441020265031</v>
      </c>
      <c r="AD215" s="467">
        <f ca="1">IF(AB215=ROWS(AD$215:AD215),RANK(AC215,$AC$215:$AC$239),"")</f>
        <v>5</v>
      </c>
      <c r="AE215" s="1511" t="s">
        <v>7188</v>
      </c>
      <c r="AF215" s="1379" t="str">
        <f ca="1">VLOOKUP(AB215,$AD$215:$AE$225,2,FALSE)</f>
        <v>Teleportation Circle</v>
      </c>
      <c r="AG215" s="1375">
        <v>1</v>
      </c>
      <c r="AH215" s="1446">
        <f ca="1">IF(AG215=ROWS(AH$215:AH215),RAND(),"")</f>
        <v>2.6510982610758127E-2</v>
      </c>
      <c r="AI215" s="467">
        <f ca="1">IF(AG215=ROWS(AI$215:AI215),RANK(AH215,$AH$215:$AH$224),"")</f>
        <v>10</v>
      </c>
      <c r="AJ215" s="1328" t="s">
        <v>7631</v>
      </c>
      <c r="AK215" s="1379" t="str">
        <f ca="1">VLOOKUP(AG215,$AI$215:$AJ$224,2,FALSE)</f>
        <v>Disintegrate</v>
      </c>
      <c r="AL215" s="1375">
        <v>1</v>
      </c>
      <c r="AM215" s="1446">
        <f ca="1">IF(AL215=ROWS(AM$215:AM215),RAND(),"")</f>
        <v>0.80584443847478471</v>
      </c>
      <c r="AN215" s="467">
        <f ca="1">IF(AL215=ROWS(AN$215:AN215),RANK(AM215,$AM$215:$AM$222),"")</f>
        <v>4</v>
      </c>
      <c r="AO215" s="1328" t="s">
        <v>7632</v>
      </c>
      <c r="AP215" s="1379" t="str">
        <f ca="1">VLOOKUP(AL215,$AN$215:$AO$222,2,FALSE)</f>
        <v>Plane Shift</v>
      </c>
      <c r="AQ215" s="1375">
        <v>1</v>
      </c>
      <c r="AR215" s="1446">
        <f ca="1">IF(AQ215=ROWS(AR$215:AR215),RAND(),"")</f>
        <v>0.88063216531177779</v>
      </c>
      <c r="AS215" s="467">
        <f ca="1">IF(AQ215=ROWS(AS$215:AS215),RANK(AR215,$AR$215:$AR$219),"")</f>
        <v>2</v>
      </c>
      <c r="AT215" s="1328" t="s">
        <v>7190</v>
      </c>
      <c r="AU215" s="1379" t="str">
        <f ca="1">VLOOKUP(AQ215,$AS$215:$AT$219,2,FALSE)</f>
        <v>Incendiary Cloud</v>
      </c>
      <c r="AV215" s="1375">
        <v>1</v>
      </c>
      <c r="AW215" s="1446">
        <f ca="1">IF(AV215=ROWS(AW$215:AW215),RAND(),"")</f>
        <v>0.23928007202725021</v>
      </c>
      <c r="AX215" s="467">
        <f ca="1">IF(AV215=ROWS(AX$215:AX215),RANK(AW215,$AW$215:$AW$219),"")</f>
        <v>4</v>
      </c>
      <c r="AY215" s="1328" t="s">
        <v>7350</v>
      </c>
      <c r="AZ215" s="1379" t="str">
        <f ca="1">VLOOKUP(AV215,$AX$215:$AY$219,2,FALSE)</f>
        <v>Power Word Kill</v>
      </c>
    </row>
    <row r="216" spans="2:74" ht="12" customHeight="1">
      <c r="B216" s="349">
        <v>2</v>
      </c>
      <c r="C216" s="382">
        <v>2</v>
      </c>
      <c r="D216" s="1459">
        <f ca="1">IF(C215=ROWS(D$215:D215),RAND(),"")</f>
        <v>0.65351155945019046</v>
      </c>
      <c r="E216" s="382">
        <f ca="1">IF(C216=ROWS(E$215:E216),RANK(D216,$D$215:$D$239),"")</f>
        <v>8</v>
      </c>
      <c r="F216" s="701" t="s">
        <v>7183</v>
      </c>
      <c r="G216" s="1363" t="str">
        <f t="shared" ref="G216:G230" ca="1" si="68">VLOOKUP(C216,$E$215:$F$230,2,FALSE)</f>
        <v>Friends</v>
      </c>
      <c r="H216" s="1394">
        <v>2</v>
      </c>
      <c r="I216" s="1459">
        <f ca="1">IF(H216=ROWS(I$215:I216),RAND(),"")</f>
        <v>0.21177476978634102</v>
      </c>
      <c r="J216" s="382">
        <f ca="1">IF(H216=ROWS(J$215:J216),RANK(I216,$I$215:$I$239),"")</f>
        <v>14</v>
      </c>
      <c r="K216" s="1338" t="s">
        <v>7203</v>
      </c>
      <c r="L216" s="1512" t="str">
        <f t="shared" ref="L216:L234" ca="1" si="69">VLOOKUP(H216,$J$215:$K$234,2,FALSE)</f>
        <v>Comprehend Languages</v>
      </c>
      <c r="M216" s="1394">
        <v>2</v>
      </c>
      <c r="N216" s="1459">
        <f ca="1">IF(M216=ROWS(N$215:N216),RAND(),"")</f>
        <v>0.72539593746835584</v>
      </c>
      <c r="O216" s="382">
        <f ca="1">IF(M216=ROWS(O$215:O216),RANK(N216,$N$215:$N$239),"")</f>
        <v>7</v>
      </c>
      <c r="P216" s="1338" t="s">
        <v>7194</v>
      </c>
      <c r="Q216" s="1363" t="str">
        <f t="shared" ref="Q216:Q238" ca="1" si="70">VLOOKUP(M216,$O$215:$P$238,2,FALSE)</f>
        <v>Shatter</v>
      </c>
      <c r="R216" s="1394">
        <v>2</v>
      </c>
      <c r="S216" s="1459">
        <f ca="1">IF(R216=ROWS(S$215:S216),RAND(),"")</f>
        <v>0.9872332480955277</v>
      </c>
      <c r="T216" s="382">
        <f ca="1">IF(R216=ROWS(T$215:T216),RANK(S216,$S$215:$S$239),"")</f>
        <v>2</v>
      </c>
      <c r="U216" s="1511" t="s">
        <v>7195</v>
      </c>
      <c r="V216" s="1363" t="str">
        <f t="shared" ref="V216:V234" ca="1" si="71">VLOOKUP(R216,$T$215:$U$234,2,FALSE)</f>
        <v>Clairvoyance</v>
      </c>
      <c r="W216" s="1394">
        <v>2</v>
      </c>
      <c r="X216" s="1459">
        <f ca="1">IF(W216=ROWS(X$215:X216),RAND(),"")</f>
        <v>0.12139697009036665</v>
      </c>
      <c r="Y216" s="382">
        <f ca="1">IF(W216=ROWS(Y$215:Y216),RANK(X216,$X$215:$X$239),"")</f>
        <v>9</v>
      </c>
      <c r="Z216" s="1511" t="s">
        <v>7436</v>
      </c>
      <c r="AA216" s="1363" t="str">
        <f t="shared" ref="AA216:AA224" ca="1" si="72">VLOOKUP(W216,$Y$215:$Z$224,2,FALSE)</f>
        <v>Dominate Beast</v>
      </c>
      <c r="AB216" s="1394">
        <v>2</v>
      </c>
      <c r="AC216" s="1459">
        <f ca="1">IF(AB216=ROWS(AC$215:AC216),RAND(),"")</f>
        <v>0.11613235110324427</v>
      </c>
      <c r="AD216" s="382">
        <f ca="1">IF(AB216=ROWS(AD$215:AD216),RANK(AC216,$AC$215:$AC$239),"")</f>
        <v>10</v>
      </c>
      <c r="AE216" s="1511" t="s">
        <v>7484</v>
      </c>
      <c r="AF216" s="1363" t="str">
        <f t="shared" ref="AF216:AF225" ca="1" si="73">VLOOKUP(AB216,$AD$215:$AE$225,2,FALSE)</f>
        <v>Dominate Person</v>
      </c>
      <c r="AG216" s="1394">
        <v>2</v>
      </c>
      <c r="AH216" s="1459">
        <f ca="1">IF(AG216=ROWS(AH$215:AH216),RAND(),"")</f>
        <v>0.12749863193485589</v>
      </c>
      <c r="AI216" s="382">
        <f ca="1">IF(AG216=ROWS(AI$215:AI216),RANK(AH216,$AH$215:$AH$224),"")</f>
        <v>9</v>
      </c>
      <c r="AJ216" s="1338" t="s">
        <v>7633</v>
      </c>
      <c r="AK216" s="1363" t="str">
        <f t="shared" ref="AK216:AK224" ca="1" si="74">VLOOKUP(AG216,$AI$215:$AJ$224,2,FALSE)</f>
        <v>Mass Suggestion</v>
      </c>
      <c r="AL216" s="1394">
        <v>2</v>
      </c>
      <c r="AM216" s="1459">
        <f ca="1">IF(AL216=ROWS(AM$215:AM216),RAND(),"")</f>
        <v>0.83267768721562763</v>
      </c>
      <c r="AN216" s="382">
        <f ca="1">IF(AL216=ROWS(AN$215:AN216),RANK(AM216,$AM$215:$AM$222),"")</f>
        <v>2</v>
      </c>
      <c r="AO216" s="1338" t="s">
        <v>3801</v>
      </c>
      <c r="AP216" s="1363" t="str">
        <f t="shared" ref="AP216:AP222" ca="1" si="75">VLOOKUP(AL216,$AN$215:$AO$222,2,FALSE)</f>
        <v>Etherealness</v>
      </c>
      <c r="AQ216" s="1394">
        <v>2</v>
      </c>
      <c r="AR216" s="1459">
        <f ca="1">IF(AQ216=ROWS(AR$215:AR216),RAND(),"")</f>
        <v>4.8027854737803799E-2</v>
      </c>
      <c r="AS216" s="382">
        <f ca="1">IF(AQ216=ROWS(AS$215:AS216),RANK(AR216,$AR$215:$AR$219),"")</f>
        <v>5</v>
      </c>
      <c r="AT216" s="1338" t="s">
        <v>7354</v>
      </c>
      <c r="AU216" s="1363" t="str">
        <f ca="1">VLOOKUP(AQ216,$AS$215:$AT$219,2,FALSE)</f>
        <v>Dominate Monster</v>
      </c>
      <c r="AV216" s="1394">
        <v>2</v>
      </c>
      <c r="AW216" s="1459">
        <f ca="1">IF(AV216=ROWS(AW$215:AW216),RAND(),"")</f>
        <v>0.12877020382148585</v>
      </c>
      <c r="AX216" s="382">
        <f ca="1">IF(AV216=ROWS(AX$215:AX216),RANK(AW216,$AW$215:$AW$219),"")</f>
        <v>5</v>
      </c>
      <c r="AY216" s="1338" t="s">
        <v>7634</v>
      </c>
      <c r="AZ216" s="1363" t="str">
        <f ca="1">VLOOKUP(AV216,$AX$215:$AY$219,2,FALSE)</f>
        <v>Time Stop</v>
      </c>
    </row>
    <row r="217" spans="2:74" ht="12" customHeight="1">
      <c r="B217" s="349">
        <v>3</v>
      </c>
      <c r="C217" s="382">
        <v>3</v>
      </c>
      <c r="D217" s="1459">
        <f ca="1">IF(C217=ROWS(D$215:D217),RAND(),"")</f>
        <v>0.80346224225255136</v>
      </c>
      <c r="E217" s="382">
        <f ca="1">IF(C217=ROWS(E$215:E217),RANK(D217,$D$215:$D$239),"")</f>
        <v>4</v>
      </c>
      <c r="F217" s="701" t="s">
        <v>7596</v>
      </c>
      <c r="G217" s="1363" t="str">
        <f t="shared" ca="1" si="68"/>
        <v>Mendin</v>
      </c>
      <c r="H217" s="1394">
        <v>3</v>
      </c>
      <c r="I217" s="1459">
        <f ca="1">IF(H217=ROWS(I$215:I217),RAND(),"")</f>
        <v>9.2893580752523741E-2</v>
      </c>
      <c r="J217" s="382">
        <f ca="1">IF(H217=ROWS(J$215:J217),RANK(I217,$I$215:$I$239),"")</f>
        <v>19</v>
      </c>
      <c r="K217" s="1338" t="s">
        <v>7529</v>
      </c>
      <c r="L217" s="1512" t="str">
        <f t="shared" ca="1" si="69"/>
        <v>Color Spray</v>
      </c>
      <c r="M217" s="1394">
        <v>3</v>
      </c>
      <c r="N217" s="1459">
        <f ca="1">IF(M217=ROWS(N$215:N217),RAND(),"")</f>
        <v>0.8142160506132804</v>
      </c>
      <c r="O217" s="382">
        <f ca="1">IF(M217=ROWS(O$215:O217),RANK(N217,$N$215:$N$239),"")</f>
        <v>6</v>
      </c>
      <c r="P217" s="1338" t="s">
        <v>7440</v>
      </c>
      <c r="Q217" s="1363" t="str">
        <f t="shared" ca="1" si="70"/>
        <v>Spider Climb</v>
      </c>
      <c r="R217" s="1394">
        <v>3</v>
      </c>
      <c r="S217" s="1459">
        <f ca="1">IF(R217=ROWS(S$215:S217),RAND(),"")</f>
        <v>0.33742105485055696</v>
      </c>
      <c r="T217" s="382">
        <f ca="1">IF(R217=ROWS(T$215:T217),RANK(S217,$S$215:$S$239),"")</f>
        <v>11</v>
      </c>
      <c r="U217" s="1511" t="s">
        <v>7524</v>
      </c>
      <c r="V217" s="1363" t="str">
        <f t="shared" ca="1" si="71"/>
        <v>Blink</v>
      </c>
      <c r="W217" s="1394">
        <v>3</v>
      </c>
      <c r="X217" s="1459">
        <f ca="1">IF(W217=ROWS(X$215:X217),RAND(),"")</f>
        <v>0.62908493401578691</v>
      </c>
      <c r="Y217" s="382">
        <f ca="1">IF(W217=ROWS(Y$215:Y217),RANK(X217,$X$215:$X$239),"")</f>
        <v>3</v>
      </c>
      <c r="Z217" s="1511" t="s">
        <v>7196</v>
      </c>
      <c r="AA217" s="1363" t="str">
        <f t="shared" ca="1" si="72"/>
        <v>Confusion</v>
      </c>
      <c r="AB217" s="1394">
        <v>3</v>
      </c>
      <c r="AC217" s="1459">
        <f ca="1">IF(AB217=ROWS(AC$215:AC217),RAND(),"")</f>
        <v>0.16029833169131436</v>
      </c>
      <c r="AD217" s="382">
        <f ca="1">IF(AB217=ROWS(AD$215:AD217),RANK(AC217,$AC$215:$AC$239),"")</f>
        <v>9</v>
      </c>
      <c r="AE217" s="1511" t="s">
        <v>7486</v>
      </c>
      <c r="AF217" s="1363" t="str">
        <f t="shared" ca="1" si="73"/>
        <v>Wall of Stone</v>
      </c>
      <c r="AG217" s="1394">
        <v>3</v>
      </c>
      <c r="AH217" s="1459">
        <f ca="1">IF(AG217=ROWS(AH$215:AH217),RAND(),"")</f>
        <v>0.89279391148242571</v>
      </c>
      <c r="AI217" s="382">
        <f ca="1">IF(AG217=ROWS(AI$215:AI217),RANK(AH217,$AH$215:$AH$224),"")</f>
        <v>3</v>
      </c>
      <c r="AJ217" s="1338" t="s">
        <v>7635</v>
      </c>
      <c r="AK217" s="1363" t="str">
        <f t="shared" ca="1" si="74"/>
        <v>Circle of Death</v>
      </c>
      <c r="AL217" s="1394">
        <v>3</v>
      </c>
      <c r="AM217" s="1459">
        <f ca="1">IF(AL217=ROWS(AM$215:AM217),RAND(),"")</f>
        <v>0.39225511989052197</v>
      </c>
      <c r="AN217" s="382">
        <f ca="1">IF(AL217=ROWS(AN$215:AN217),RANK(AM217,$AM$215:$AM$222),"")</f>
        <v>6</v>
      </c>
      <c r="AO217" s="1338" t="s">
        <v>7636</v>
      </c>
      <c r="AP217" s="1363" t="str">
        <f t="shared" ca="1" si="75"/>
        <v>Teleport</v>
      </c>
      <c r="AQ217" s="1394">
        <v>3</v>
      </c>
      <c r="AR217" s="1459">
        <f ca="1">IF(AQ217=ROWS(AR$215:AR217),RAND(),"")</f>
        <v>0.97230268455041358</v>
      </c>
      <c r="AS217" s="382">
        <f ca="1">IF(AQ217=ROWS(AS$215:AS217),RANK(AR217,$AR$215:$AR$219),"")</f>
        <v>1</v>
      </c>
      <c r="AT217" s="1338" t="s">
        <v>7637</v>
      </c>
      <c r="AU217" s="1363" t="str">
        <f ca="1">VLOOKUP(AQ217,$AS$215:$AT$219,2,FALSE)</f>
        <v>Sunburst</v>
      </c>
      <c r="AV217" s="1394">
        <v>3</v>
      </c>
      <c r="AW217" s="1459">
        <f ca="1">IF(AV217=ROWS(AW$215:AW217),RAND(),"")</f>
        <v>0.49951099289979883</v>
      </c>
      <c r="AX217" s="382">
        <f ca="1">IF(AV217=ROWS(AX$215:AX217),RANK(AW217,$AW$215:$AW$219),"")</f>
        <v>1</v>
      </c>
      <c r="AY217" s="1338" t="s">
        <v>7211</v>
      </c>
      <c r="AZ217" s="1363" t="str">
        <f ca="1">VLOOKUP(AV217,$AX$215:$AY$219,2,FALSE)</f>
        <v>Wish</v>
      </c>
      <c r="BA217" s="1465"/>
      <c r="BB217" s="1465"/>
      <c r="BC217" s="1465"/>
      <c r="BE217" s="1513"/>
      <c r="BF217" s="1465"/>
      <c r="BG217" s="1465"/>
      <c r="BH217" s="1465"/>
      <c r="BJ217" s="1513"/>
      <c r="BK217" s="1465"/>
      <c r="BL217" s="1465"/>
      <c r="BM217" s="1465"/>
      <c r="BO217" s="1513"/>
      <c r="BP217" s="1465"/>
      <c r="BQ217" s="1465"/>
      <c r="BR217" s="1465"/>
      <c r="BS217" s="1513"/>
      <c r="BT217" s="1513"/>
      <c r="BU217" s="1465"/>
      <c r="BV217" s="1465"/>
    </row>
    <row r="218" spans="2:74" ht="12" customHeight="1">
      <c r="B218" s="349">
        <v>4</v>
      </c>
      <c r="C218" s="382">
        <v>4</v>
      </c>
      <c r="D218" s="1459">
        <f ca="1">IF(C218=ROWS(D$215:D218),RAND(),"")</f>
        <v>0.95873740187984846</v>
      </c>
      <c r="E218" s="382">
        <f ca="1">IF(C218=ROWS(E$215:E218),RANK(D218,$D$215:$D$239),"")</f>
        <v>1</v>
      </c>
      <c r="F218" s="701" t="s">
        <v>7192</v>
      </c>
      <c r="G218" s="1363" t="str">
        <f t="shared" ca="1" si="68"/>
        <v>Chill Touch</v>
      </c>
      <c r="H218" s="1394">
        <v>4</v>
      </c>
      <c r="I218" s="1459">
        <f ca="1">IF(H218=ROWS(I$215:I218),RAND(),"")</f>
        <v>0.81958808789722137</v>
      </c>
      <c r="J218" s="382">
        <f ca="1">IF(H218=ROWS(J$215:J218),RANK(I218,$I$215:$I$239),"")</f>
        <v>3</v>
      </c>
      <c r="K218" s="1338" t="s">
        <v>7597</v>
      </c>
      <c r="L218" s="1512" t="str">
        <f t="shared" ca="1" si="69"/>
        <v>Witch Bolt</v>
      </c>
      <c r="M218" s="1394">
        <v>4</v>
      </c>
      <c r="N218" s="1459">
        <f ca="1">IF(M218=ROWS(N$215:N218),RAND(),"")</f>
        <v>0.52314272823845487</v>
      </c>
      <c r="O218" s="382">
        <f ca="1">IF(M218=ROWS(O$215:O218),RANK(N218,$N$215:$N$239),"")</f>
        <v>18</v>
      </c>
      <c r="P218" s="1338" t="s">
        <v>7213</v>
      </c>
      <c r="Q218" s="1363" t="str">
        <f t="shared" ca="1" si="70"/>
        <v>Invisibility</v>
      </c>
      <c r="R218" s="1394">
        <v>4</v>
      </c>
      <c r="S218" s="1459">
        <f ca="1">IF(R218=ROWS(S$215:S218),RAND(),"")</f>
        <v>0.72811349878965903</v>
      </c>
      <c r="T218" s="382">
        <f ca="1">IF(R218=ROWS(T$215:T218),RANK(S218,$S$215:$S$239),"")</f>
        <v>6</v>
      </c>
      <c r="U218" s="1511" t="s">
        <v>7378</v>
      </c>
      <c r="V218" s="1363" t="str">
        <f t="shared" ca="1" si="71"/>
        <v>Gaseous Form</v>
      </c>
      <c r="W218" s="1394">
        <v>4</v>
      </c>
      <c r="X218" s="1459">
        <f ca="1">IF(W218=ROWS(X$215:X218),RAND(),"")</f>
        <v>0.47663164897320442</v>
      </c>
      <c r="Y218" s="382">
        <f ca="1">IF(W218=ROWS(Y$215:Y218),RANK(X218,$X$215:$X$239),"")</f>
        <v>4</v>
      </c>
      <c r="Z218" s="1511" t="s">
        <v>7206</v>
      </c>
      <c r="AA218" s="1363" t="str">
        <f t="shared" ca="1" si="72"/>
        <v>Dimension Door</v>
      </c>
      <c r="AB218" s="1394">
        <v>4</v>
      </c>
      <c r="AC218" s="1459">
        <f ca="1">IF(AB218=ROWS(AC$215:AC218),RAND(),"")</f>
        <v>0.36840005148479538</v>
      </c>
      <c r="AD218" s="382">
        <f ca="1">IF(AB218=ROWS(AD$215:AD218),RANK(AC218,$AC$215:$AC$239),"")</f>
        <v>7</v>
      </c>
      <c r="AE218" s="1511" t="s">
        <v>7638</v>
      </c>
      <c r="AF218" s="1363" t="str">
        <f t="shared" ca="1" si="73"/>
        <v>Telekinesis</v>
      </c>
      <c r="AG218" s="1394">
        <v>4</v>
      </c>
      <c r="AH218" s="1459">
        <f ca="1">IF(AG218=ROWS(AH$215:AH218),RAND(),"")</f>
        <v>0.96373345929940601</v>
      </c>
      <c r="AI218" s="382">
        <f ca="1">IF(AG218=ROWS(AI$215:AI218),RANK(AH218,$AH$215:$AH$224),"")</f>
        <v>1</v>
      </c>
      <c r="AJ218" s="1338" t="s">
        <v>7639</v>
      </c>
      <c r="AK218" s="1363" t="str">
        <f t="shared" ca="1" si="74"/>
        <v>Move Earth</v>
      </c>
      <c r="AL218" s="1394">
        <v>4</v>
      </c>
      <c r="AM218" s="1459">
        <f ca="1">IF(AL218=ROWS(AM$215:AM218),RAND(),"")</f>
        <v>0.49848933836180165</v>
      </c>
      <c r="AN218" s="382">
        <f ca="1">IF(AL218=ROWS(AN$215:AN218),RANK(AM218,$AM$215:$AM$222),"")</f>
        <v>5</v>
      </c>
      <c r="AO218" s="1338" t="s">
        <v>7365</v>
      </c>
      <c r="AP218" s="1363" t="str">
        <f t="shared" ca="1" si="75"/>
        <v>Delayed Blast Fireball</v>
      </c>
      <c r="AQ218" s="1394">
        <v>4</v>
      </c>
      <c r="AR218" s="1459">
        <f ca="1">IF(AQ218=ROWS(AR$215:AR218),RAND(),"")</f>
        <v>0.66538635529252677</v>
      </c>
      <c r="AS218" s="382">
        <f ca="1">IF(AQ218=ROWS(AS$215:AS218),RANK(AR218,$AR$215:$AR$219),"")</f>
        <v>4</v>
      </c>
      <c r="AT218" s="1338" t="s">
        <v>7228</v>
      </c>
      <c r="AU218" s="1363" t="str">
        <f ca="1">VLOOKUP(AQ218,$AS$215:$AT$219,2,FALSE)</f>
        <v>Power Word Stun</v>
      </c>
      <c r="AV218" s="1394">
        <v>4</v>
      </c>
      <c r="AW218" s="1459">
        <f ca="1">IF(AV218=ROWS(AW$215:AW218),RAND(),"")</f>
        <v>0.36643223451700702</v>
      </c>
      <c r="AX218" s="382">
        <f ca="1">IF(AV218=ROWS(AX$215:AX218),RANK(AW218,$AW$215:$AW$219),"")</f>
        <v>2</v>
      </c>
      <c r="AY218" s="1338" t="s">
        <v>7640</v>
      </c>
      <c r="AZ218" s="1363" t="str">
        <f ca="1">VLOOKUP(AV218,$AX$215:$AY$219,2,FALSE)</f>
        <v>Gate</v>
      </c>
    </row>
    <row r="219" spans="2:74" ht="12" customHeight="1">
      <c r="B219" s="349">
        <v>5</v>
      </c>
      <c r="C219" s="382">
        <v>5</v>
      </c>
      <c r="D219" s="1459">
        <f ca="1">IF(C219=ROWS(D$215:D219),RAND(),"")</f>
        <v>0.54035412010383477</v>
      </c>
      <c r="E219" s="382">
        <f ca="1">IF(C219=ROWS(E$215:E219),RANK(D219,$D$215:$D$239),"")</f>
        <v>9</v>
      </c>
      <c r="F219" s="701" t="s">
        <v>7528</v>
      </c>
      <c r="G219" s="1363" t="str">
        <f t="shared" ca="1" si="68"/>
        <v>Prestidigitation</v>
      </c>
      <c r="H219" s="1394">
        <v>5</v>
      </c>
      <c r="I219" s="1459">
        <f ca="1">IF(H219=ROWS(I$215:I219),RAND(),"")</f>
        <v>0.84196927115512499</v>
      </c>
      <c r="J219" s="382">
        <f ca="1">IF(H219=ROWS(J$215:J219),RANK(I219,$I$215:$I$239),"")</f>
        <v>2</v>
      </c>
      <c r="K219" s="1338" t="s">
        <v>7212</v>
      </c>
      <c r="L219" s="1512" t="str">
        <f t="shared" ca="1" si="69"/>
        <v>Expeditious Retreat</v>
      </c>
      <c r="M219" s="1394">
        <v>5</v>
      </c>
      <c r="N219" s="1459">
        <f ca="1">IF(M219=ROWS(N$215:N219),RAND(),"")</f>
        <v>0.42523561078276251</v>
      </c>
      <c r="O219" s="382">
        <f ca="1">IF(M219=ROWS(O$215:O219),RANK(N219,$N$215:$N$239),"")</f>
        <v>21</v>
      </c>
      <c r="P219" s="1338" t="s">
        <v>7222</v>
      </c>
      <c r="Q219" s="1363" t="str">
        <f t="shared" ca="1" si="70"/>
        <v>Mirror Image</v>
      </c>
      <c r="R219" s="1394">
        <v>5</v>
      </c>
      <c r="S219" s="1459">
        <f ca="1">IF(R219=ROWS(S$215:S219),RAND(),"")</f>
        <v>0.36067599496842118</v>
      </c>
      <c r="T219" s="382">
        <f ca="1">IF(R219=ROWS(T$215:T219),RANK(S219,$S$215:$S$239),"")</f>
        <v>10</v>
      </c>
      <c r="U219" s="1511" t="s">
        <v>7205</v>
      </c>
      <c r="V219" s="1363" t="str">
        <f t="shared" ca="1" si="71"/>
        <v>Fly</v>
      </c>
      <c r="W219" s="1394">
        <v>5</v>
      </c>
      <c r="X219" s="1459">
        <f ca="1">IF(W219=ROWS(X$215:X219),RAND(),"")</f>
        <v>0.71633209464348968</v>
      </c>
      <c r="Y219" s="382">
        <f ca="1">IF(W219=ROWS(Y$215:Y219),RANK(X219,$X$215:$X$239),"")</f>
        <v>2</v>
      </c>
      <c r="Z219" s="1511" t="s">
        <v>7396</v>
      </c>
      <c r="AA219" s="1363" t="str">
        <f t="shared" ca="1" si="72"/>
        <v>Greater Invisibility</v>
      </c>
      <c r="AB219" s="1394">
        <v>5</v>
      </c>
      <c r="AC219" s="1459">
        <f ca="1">IF(AB219=ROWS(AC$215:AC219),RAND(),"")</f>
        <v>0.6962458779477807</v>
      </c>
      <c r="AD219" s="382">
        <f ca="1">IF(AB219=ROWS(AD$215:AD219),RANK(AC219,$AC$215:$AC$239),"")</f>
        <v>2</v>
      </c>
      <c r="AE219" s="1511" t="s">
        <v>7207</v>
      </c>
      <c r="AF219" s="1363" t="str">
        <f t="shared" ca="1" si="73"/>
        <v>Animate Object</v>
      </c>
      <c r="AG219" s="1394">
        <v>5</v>
      </c>
      <c r="AH219" s="1459">
        <f ca="1">IF(AG219=ROWS(AH$215:AH219),RAND(),"")</f>
        <v>0.28944990309353069</v>
      </c>
      <c r="AI219" s="382">
        <f ca="1">IF(AG219=ROWS(AI$215:AI219),RANK(AH219,$AH$215:$AH$224),"")</f>
        <v>7</v>
      </c>
      <c r="AJ219" s="1338" t="s">
        <v>7189</v>
      </c>
      <c r="AK219" s="1363" t="str">
        <f t="shared" ca="1" si="74"/>
        <v>True Seeing</v>
      </c>
      <c r="AL219" s="1394">
        <v>5</v>
      </c>
      <c r="AM219" s="1459">
        <f ca="1">IF(AL219=ROWS(AM$215:AM219),RAND(),"")</f>
        <v>0.89354835773847796</v>
      </c>
      <c r="AN219" s="382">
        <f ca="1">IF(AL219=ROWS(AN$215:AN219),RANK(AM219,$AM$215:$AM$222),"")</f>
        <v>1</v>
      </c>
      <c r="AO219" s="1338" t="s">
        <v>7377</v>
      </c>
      <c r="AP219" s="1363" t="str">
        <f t="shared" ca="1" si="75"/>
        <v>Fire Storm</v>
      </c>
      <c r="AQ219" s="1394">
        <v>5</v>
      </c>
      <c r="AR219" s="1459">
        <f ca="1">IF(AQ219=ROWS(AR$215:AR219),RAND(),"")</f>
        <v>0.75701521107169845</v>
      </c>
      <c r="AS219" s="382">
        <f ca="1">IF(AQ219=ROWS(AS$215:AS219),RANK(AR219,$AR$215:$AR$219),"")</f>
        <v>3</v>
      </c>
      <c r="AT219" s="1338" t="s">
        <v>7477</v>
      </c>
      <c r="AU219" s="1363" t="str">
        <f ca="1">VLOOKUP(AQ219,$AS$215:$AT$219,2,FALSE)</f>
        <v>Earthquake</v>
      </c>
      <c r="AV219" s="1394">
        <v>5</v>
      </c>
      <c r="AW219" s="1459">
        <f ca="1">IF(AV219=ROWS(AW$215:AW219),RAND(),"")</f>
        <v>0.27223181139056107</v>
      </c>
      <c r="AX219" s="382">
        <f ca="1">IF(AV219=ROWS(AX$215:AX219),RANK(AW219,$AW$215:$AW$219),"")</f>
        <v>3</v>
      </c>
      <c r="AY219" s="1338" t="s">
        <v>7641</v>
      </c>
      <c r="AZ219" s="1363" t="str">
        <f ca="1">VLOOKUP(AV219,$AX$215:$AY$219,2,FALSE)</f>
        <v>Meteor Swarm</v>
      </c>
    </row>
    <row r="220" spans="2:74" ht="12" customHeight="1">
      <c r="B220" s="349">
        <v>6</v>
      </c>
      <c r="C220" s="382">
        <v>6</v>
      </c>
      <c r="D220" s="1459">
        <f ca="1">IF(C220=ROWS(D$215:D220),RAND(),"")</f>
        <v>0.82379682845558566</v>
      </c>
      <c r="E220" s="382">
        <f ca="1">IF(C220=ROWS(E$215:E220),RANK(D220,$D$215:$D$239),"")</f>
        <v>2</v>
      </c>
      <c r="F220" s="701" t="s">
        <v>7202</v>
      </c>
      <c r="G220" s="1363" t="str">
        <f t="shared" ca="1" si="68"/>
        <v>Minor Illusion</v>
      </c>
      <c r="H220" s="1394">
        <v>6</v>
      </c>
      <c r="I220" s="1459">
        <f ca="1">IF(H220=ROWS(I$215:I220),RAND(),"")</f>
        <v>0.15131268254082819</v>
      </c>
      <c r="J220" s="382">
        <f ca="1">IF(H220=ROWS(J$215:J220),RANK(I220,$I$215:$I$239),"")</f>
        <v>17</v>
      </c>
      <c r="K220" s="1338" t="s">
        <v>7230</v>
      </c>
      <c r="L220" s="1512" t="str">
        <f t="shared" ca="1" si="69"/>
        <v>Jump</v>
      </c>
      <c r="M220" s="1394">
        <v>6</v>
      </c>
      <c r="N220" s="1459">
        <f ca="1">IF(M220=ROWS(N$215:N220),RAND(),"")</f>
        <v>0.62229980043136202</v>
      </c>
      <c r="O220" s="382">
        <f ca="1">IF(M220=ROWS(O$215:O220),RANK(N220,$N$215:$N$239),"")</f>
        <v>12</v>
      </c>
      <c r="P220" s="1338" t="s">
        <v>7448</v>
      </c>
      <c r="Q220" s="1363" t="str">
        <f t="shared" ca="1" si="70"/>
        <v>Blur</v>
      </c>
      <c r="R220" s="1394">
        <v>6</v>
      </c>
      <c r="S220" s="1459">
        <f ca="1">IF(R220=ROWS(S$215:S220),RAND(),"")</f>
        <v>0.15807463365523744</v>
      </c>
      <c r="T220" s="382">
        <f ca="1">IF(R220=ROWS(T$215:T220),RANK(S220,$S$215:$S$239),"")</f>
        <v>15</v>
      </c>
      <c r="U220" s="1511" t="s">
        <v>7214</v>
      </c>
      <c r="V220" s="1363" t="str">
        <f t="shared" ca="1" si="71"/>
        <v>Daylight</v>
      </c>
      <c r="W220" s="1394">
        <v>6</v>
      </c>
      <c r="X220" s="1459">
        <f ca="1">IF(W220=ROWS(X$215:X220),RAND(),"")</f>
        <v>0.4118170634810383</v>
      </c>
      <c r="Y220" s="382">
        <f ca="1">IF(W220=ROWS(Y$215:Y220),RANK(X220,$X$215:$X$239),"")</f>
        <v>5</v>
      </c>
      <c r="Z220" s="1511" t="s">
        <v>7224</v>
      </c>
      <c r="AA220" s="1363" t="str">
        <f t="shared" ca="1" si="72"/>
        <v>Stoneskin</v>
      </c>
      <c r="AB220" s="1394">
        <v>6</v>
      </c>
      <c r="AC220" s="1459">
        <f ca="1">IF(AB220=ROWS(AC$215:AC220),RAND(),"")</f>
        <v>0.43252588917016288</v>
      </c>
      <c r="AD220" s="382">
        <f ca="1">IF(AB220=ROWS(AD$215:AD220),RANK(AC220,$AC$215:$AC$239),"")</f>
        <v>6</v>
      </c>
      <c r="AE220" s="1511" t="s">
        <v>7242</v>
      </c>
      <c r="AF220" s="1363" t="str">
        <f t="shared" ca="1" si="73"/>
        <v>Hold Monster</v>
      </c>
      <c r="AG220" s="1394">
        <v>6</v>
      </c>
      <c r="AH220" s="1459">
        <f ca="1">IF(AG220=ROWS(AH$215:AH220),RAND(),"")</f>
        <v>0.2524645937153237</v>
      </c>
      <c r="AI220" s="382">
        <f ca="1">IF(AG220=ROWS(AI$215:AI220),RANK(AH220,$AH$215:$AH$224),"")</f>
        <v>8</v>
      </c>
      <c r="AJ220" s="1338" t="s">
        <v>7642</v>
      </c>
      <c r="AK220" s="1363" t="str">
        <f t="shared" ca="1" si="74"/>
        <v>Sunbeam</v>
      </c>
      <c r="AL220" s="1394">
        <v>6</v>
      </c>
      <c r="AM220" s="1459">
        <f ca="1">IF(AL220=ROWS(AM$215:AM220),RAND(),"")</f>
        <v>5.1215867579413543E-2</v>
      </c>
      <c r="AN220" s="382">
        <f ca="1">IF(AL220=ROWS(AN$215:AN220),RANK(AM220,$AM$215:$AM$222),"")</f>
        <v>7</v>
      </c>
      <c r="AO220" s="1338" t="s">
        <v>7643</v>
      </c>
      <c r="AP220" s="1363" t="str">
        <f t="shared" ca="1" si="75"/>
        <v>Finger of Death</v>
      </c>
      <c r="AQ220" s="1394"/>
      <c r="AR220" s="1459" t="str">
        <f ca="1">IF(AQ220=ROWS(AR$215:AR220),RAND(),"")</f>
        <v/>
      </c>
      <c r="AS220" s="382" t="str">
        <f>IF(AQ220=ROWS(AS$215:AS220),RANK(AR220,$AM$215:$AM$222),"")</f>
        <v/>
      </c>
      <c r="AT220" s="368"/>
      <c r="AU220" s="1363"/>
      <c r="AV220" s="1394"/>
      <c r="AW220" s="1459" t="str">
        <f ca="1">IF(AV220=ROWS(AW$215:AW220),RAND(),"")</f>
        <v/>
      </c>
      <c r="AX220" s="382" t="str">
        <f>IF(AV220=ROWS(AX$215:AX220),RANK(AW220,$AM$215:$AM$222),"")</f>
        <v/>
      </c>
      <c r="AY220" s="368"/>
      <c r="AZ220" s="1363"/>
      <c r="BA220" s="594"/>
      <c r="BB220" s="594"/>
      <c r="BC220" s="594"/>
      <c r="BE220" s="594"/>
      <c r="BF220" s="594"/>
      <c r="BG220" s="594"/>
      <c r="BH220" s="594"/>
      <c r="BI220" s="594"/>
      <c r="BJ220" s="594"/>
      <c r="BK220" s="594"/>
      <c r="BL220" s="594"/>
    </row>
    <row r="221" spans="2:74" ht="12" customHeight="1">
      <c r="B221" s="349">
        <v>7</v>
      </c>
      <c r="C221" s="382">
        <v>7</v>
      </c>
      <c r="D221" s="1459">
        <f ca="1">IF(C221=ROWS(D$215:D221),RAND(),"")</f>
        <v>0.49197105635450888</v>
      </c>
      <c r="E221" s="382">
        <f ca="1">IF(C221=ROWS(E$215:E221),RANK(D221,$D$215:$D$239),"")</f>
        <v>11</v>
      </c>
      <c r="F221" s="701" t="s">
        <v>6305</v>
      </c>
      <c r="G221" s="1363" t="str">
        <f t="shared" ca="1" si="68"/>
        <v>Poison Spray</v>
      </c>
      <c r="H221" s="1394">
        <v>7</v>
      </c>
      <c r="I221" s="1459">
        <f ca="1">IF(H221=ROWS(I$215:I221),RAND(),"")</f>
        <v>0.11641905497597071</v>
      </c>
      <c r="J221" s="382">
        <f ca="1">IF(H221=ROWS(J$215:J221),RANK(I221,$I$215:$I$239),"")</f>
        <v>18</v>
      </c>
      <c r="K221" s="1338" t="s">
        <v>7238</v>
      </c>
      <c r="L221" s="1512" t="str">
        <f t="shared" ca="1" si="69"/>
        <v>Thunderwave</v>
      </c>
      <c r="M221" s="1394">
        <v>7</v>
      </c>
      <c r="N221" s="1459">
        <f ca="1">IF(M221=ROWS(N$215:N221),RAND(),"")</f>
        <v>0.45883109284291523</v>
      </c>
      <c r="O221" s="382">
        <f ca="1">IF(M221=ROWS(O$215:O221),RANK(N221,$N$215:$N$239),"")</f>
        <v>19</v>
      </c>
      <c r="P221" s="1338" t="s">
        <v>7461</v>
      </c>
      <c r="Q221" s="1363" t="str">
        <f t="shared" ca="1" si="70"/>
        <v>Blindness/Deafness</v>
      </c>
      <c r="R221" s="1394">
        <v>7</v>
      </c>
      <c r="S221" s="1459">
        <f ca="1">IF(R221=ROWS(S$215:S221),RAND(),"")</f>
        <v>0.27530059339765667</v>
      </c>
      <c r="T221" s="382">
        <f ca="1">IF(R221=ROWS(T$215:T221),RANK(S221,$S$215:$S$239),"")</f>
        <v>13</v>
      </c>
      <c r="U221" s="1511" t="s">
        <v>7387</v>
      </c>
      <c r="V221" s="1363" t="str">
        <f t="shared" ca="1" si="71"/>
        <v>Slow</v>
      </c>
      <c r="W221" s="1394">
        <v>7</v>
      </c>
      <c r="X221" s="1459">
        <f ca="1">IF(W221=ROWS(X$215:X221),RAND(),"")</f>
        <v>7.2145184661082107E-3</v>
      </c>
      <c r="Y221" s="382">
        <f ca="1">IF(W221=ROWS(Y$215:Y221),RANK(X221,$X$215:$X$239),"")</f>
        <v>10</v>
      </c>
      <c r="Z221" s="1511" t="s">
        <v>7405</v>
      </c>
      <c r="AA221" s="1363" t="str">
        <f t="shared" ca="1" si="72"/>
        <v>Wall of Fire</v>
      </c>
      <c r="AB221" s="1394">
        <v>7</v>
      </c>
      <c r="AC221" s="1459">
        <f ca="1">IF(AB221=ROWS(AC$215:AC221),RAND(),"")</f>
        <v>0.19606287591980498</v>
      </c>
      <c r="AD221" s="382">
        <f ca="1">IF(AB221=ROWS(AD$215:AD221),RANK(AC221,$AC$215:$AC$239),"")</f>
        <v>8</v>
      </c>
      <c r="AE221" s="1511" t="s">
        <v>7401</v>
      </c>
      <c r="AF221" s="1363" t="str">
        <f t="shared" ca="1" si="73"/>
        <v>Creation</v>
      </c>
      <c r="AG221" s="1394">
        <v>7</v>
      </c>
      <c r="AH221" s="1459">
        <f ca="1">IF(AG221=ROWS(AH$215:AH221),RAND(),"")</f>
        <v>0.94948519262254349</v>
      </c>
      <c r="AI221" s="382">
        <f ca="1">IF(AG221=ROWS(AI$215:AI221),RANK(AH221,$AH$215:$AH$224),"")</f>
        <v>2</v>
      </c>
      <c r="AJ221" s="1338" t="s">
        <v>7216</v>
      </c>
      <c r="AK221" s="1363" t="str">
        <f t="shared" ca="1" si="74"/>
        <v>Eyebite</v>
      </c>
      <c r="AL221" s="1394">
        <v>7</v>
      </c>
      <c r="AM221" s="1459">
        <f ca="1">IF(AL221=ROWS(AM$215:AM221),RAND(),"")</f>
        <v>1.7839737857115012E-2</v>
      </c>
      <c r="AN221" s="382">
        <f ca="1">IF(AL221=ROWS(AN$215:AN221),RANK(AM221,$AM$215:$AM$222),"")</f>
        <v>8</v>
      </c>
      <c r="AO221" s="1338" t="s">
        <v>7471</v>
      </c>
      <c r="AP221" s="1363" t="str">
        <f t="shared" ca="1" si="75"/>
        <v>Prismatic Spray</v>
      </c>
      <c r="AQ221" s="1394"/>
      <c r="AR221" s="1459" t="str">
        <f ca="1">IF(AQ221=ROWS(AR$215:AR221),RAND(),"")</f>
        <v/>
      </c>
      <c r="AS221" s="382" t="str">
        <f>IF(AQ221=ROWS(AS$215:AS221),RANK(AR221,$AM$215:$AM$222),"")</f>
        <v/>
      </c>
      <c r="AT221" s="368"/>
      <c r="AU221" s="1363"/>
      <c r="AV221" s="1394"/>
      <c r="AW221" s="1459" t="str">
        <f ca="1">IF(AV221=ROWS(AW$215:AW221),RAND(),"")</f>
        <v/>
      </c>
      <c r="AX221" s="382" t="str">
        <f>IF(AV221=ROWS(AX$215:AX221),RANK(AW221,$AM$215:$AM$222),"")</f>
        <v/>
      </c>
      <c r="AY221" s="368"/>
      <c r="AZ221" s="1363"/>
      <c r="BI221" s="1035"/>
    </row>
    <row r="222" spans="2:74" ht="12" customHeight="1">
      <c r="B222" s="349">
        <v>8</v>
      </c>
      <c r="C222" s="382">
        <v>8</v>
      </c>
      <c r="D222" s="1459">
        <f ca="1">IF(C222=ROWS(D$215:D222),RAND(),"")</f>
        <v>0.39328032882416575</v>
      </c>
      <c r="E222" s="382">
        <f ca="1">IF(C222=ROWS(E$215:E222),RANK(D222,$D$215:$D$239),"")</f>
        <v>13</v>
      </c>
      <c r="F222" s="701" t="s">
        <v>7593</v>
      </c>
      <c r="G222" s="1363" t="str">
        <f t="shared" ca="1" si="68"/>
        <v>Blade Ward</v>
      </c>
      <c r="H222" s="1394">
        <v>8</v>
      </c>
      <c r="I222" s="1459">
        <f ca="1">IF(H222=ROWS(I$215:I222),RAND(),"")</f>
        <v>0.57368686103202271</v>
      </c>
      <c r="J222" s="382">
        <f ca="1">IF(H222=ROWS(J$215:J222),RANK(I222,$I$215:$I$239),"")</f>
        <v>5</v>
      </c>
      <c r="K222" s="1338" t="s">
        <v>7599</v>
      </c>
      <c r="L222" s="1512" t="str">
        <f t="shared" ca="1" si="69"/>
        <v>Mage Armor</v>
      </c>
      <c r="M222" s="1394">
        <v>8</v>
      </c>
      <c r="N222" s="1459">
        <f ca="1">IF(M222=ROWS(N$215:N222),RAND(),"")</f>
        <v>0.12519933577289233</v>
      </c>
      <c r="O222" s="382">
        <f ca="1">IF(M222=ROWS(O$215:O222),RANK(N222,$N$215:$N$239),"")</f>
        <v>23</v>
      </c>
      <c r="P222" s="1338" t="s">
        <v>7231</v>
      </c>
      <c r="Q222" s="1363" t="str">
        <f t="shared" ca="1" si="70"/>
        <v>Hold Person</v>
      </c>
      <c r="R222" s="1394">
        <v>8</v>
      </c>
      <c r="S222" s="1459">
        <f ca="1">IF(R222=ROWS(S$215:S222),RAND(),"")</f>
        <v>0.74049541625773085</v>
      </c>
      <c r="T222" s="382">
        <f ca="1">IF(R222=ROWS(T$215:T222),RANK(S222,$S$215:$S$239),"")</f>
        <v>5</v>
      </c>
      <c r="U222" s="1511" t="s">
        <v>7602</v>
      </c>
      <c r="V222" s="1363" t="str">
        <f t="shared" ca="1" si="71"/>
        <v>Stinking Cloud</v>
      </c>
      <c r="W222" s="1394">
        <v>8</v>
      </c>
      <c r="X222" s="1459">
        <f ca="1">IF(W222=ROWS(X$215:X222),RAND(),"")</f>
        <v>0.82614203431876987</v>
      </c>
      <c r="Y222" s="382">
        <f ca="1">IF(W222=ROWS(Y$215:Y222),RANK(X222,$X$215:$X$239),"")</f>
        <v>1</v>
      </c>
      <c r="Z222" s="1511" t="s">
        <v>7249</v>
      </c>
      <c r="AA222" s="1363" t="str">
        <f t="shared" ca="1" si="72"/>
        <v>Banishment</v>
      </c>
      <c r="AB222" s="1394">
        <v>8</v>
      </c>
      <c r="AC222" s="1459">
        <f ca="1">IF(AB222=ROWS(AC$215:AC222),RAND(),"")</f>
        <v>9.2711459612222713E-2</v>
      </c>
      <c r="AD222" s="382">
        <f ca="1">IF(AB222=ROWS(AD$215:AD222),RANK(AC222,$AC$215:$AC$239),"")</f>
        <v>11</v>
      </c>
      <c r="AE222" s="1511" t="s">
        <v>7283</v>
      </c>
      <c r="AF222" s="1363" t="str">
        <f t="shared" ca="1" si="73"/>
        <v>Insect Plague</v>
      </c>
      <c r="AG222" s="1394">
        <v>8</v>
      </c>
      <c r="AH222" s="1459">
        <f ca="1">IF(AG222=ROWS(AH$215:AH222),RAND(),"")</f>
        <v>0.64860142297309742</v>
      </c>
      <c r="AI222" s="382">
        <f ca="1">IF(AG222=ROWS(AI$215:AI222),RANK(AH222,$AH$215:$AH$224),"")</f>
        <v>4</v>
      </c>
      <c r="AJ222" s="1338" t="s">
        <v>7497</v>
      </c>
      <c r="AK222" s="1363" t="str">
        <f t="shared" ca="1" si="74"/>
        <v>Globe of Invulnerability</v>
      </c>
      <c r="AL222" s="1394">
        <v>8</v>
      </c>
      <c r="AM222" s="1459">
        <f ca="1">IF(AL222=ROWS(AM$215:AM222),RAND(),"")</f>
        <v>0.81423613170698728</v>
      </c>
      <c r="AN222" s="382">
        <f ca="1">IF(AL222=ROWS(AN$215:AN222),RANK(AM222,$AM$215:$AM$222),"")</f>
        <v>3</v>
      </c>
      <c r="AO222" s="1338" t="s">
        <v>3267</v>
      </c>
      <c r="AP222" s="1363" t="str">
        <f t="shared" ca="1" si="75"/>
        <v>Reverse Gravity</v>
      </c>
      <c r="AQ222" s="1394"/>
      <c r="AR222" s="1459" t="str">
        <f ca="1">IF(AQ222=ROWS(AR$215:AR222),RAND(),"")</f>
        <v/>
      </c>
      <c r="AS222" s="382" t="str">
        <f>IF(AQ222=ROWS(AS$215:AS222),RANK(AR222,$AM$215:$AM$222),"")</f>
        <v/>
      </c>
      <c r="AT222" s="368"/>
      <c r="AU222" s="1363"/>
      <c r="AV222" s="1394"/>
      <c r="AW222" s="1459" t="str">
        <f ca="1">IF(AV222=ROWS(AW$215:AW222),RAND(),"")</f>
        <v/>
      </c>
      <c r="AX222" s="382" t="str">
        <f>IF(AV222=ROWS(AX$215:AX222),RANK(AW222,$AM$215:$AM$222),"")</f>
        <v/>
      </c>
      <c r="AY222" s="368"/>
      <c r="AZ222" s="1363"/>
    </row>
    <row r="223" spans="2:74" ht="12" customHeight="1">
      <c r="B223" s="349">
        <v>9</v>
      </c>
      <c r="C223" s="382">
        <v>9</v>
      </c>
      <c r="D223" s="1459">
        <f ca="1">IF(C223=ROWS(D$215:D223),RAND(),"")</f>
        <v>0.81462131036250807</v>
      </c>
      <c r="E223" s="382">
        <f ca="1">IF(C223=ROWS(E$215:E223),RANK(D223,$D$215:$D$239),"")</f>
        <v>3</v>
      </c>
      <c r="F223" s="701" t="s">
        <v>7644</v>
      </c>
      <c r="G223" s="1363" t="str">
        <f t="shared" ca="1" si="68"/>
        <v>Fire Bolt</v>
      </c>
      <c r="H223" s="1394">
        <v>9</v>
      </c>
      <c r="I223" s="1459">
        <f ca="1">IF(H223=ROWS(I$215:I223),RAND(),"")</f>
        <v>0.18887078534831037</v>
      </c>
      <c r="J223" s="382">
        <f ca="1">IF(H223=ROWS(J$215:J223),RANK(I223,$I$215:$I$239),"")</f>
        <v>16</v>
      </c>
      <c r="K223" s="1338" t="s">
        <v>7601</v>
      </c>
      <c r="L223" s="1512" t="str">
        <f t="shared" ca="1" si="69"/>
        <v>Feather Fall</v>
      </c>
      <c r="M223" s="1394">
        <v>9</v>
      </c>
      <c r="N223" s="1459">
        <f ca="1">IF(M223=ROWS(N$215:N223),RAND(),"")</f>
        <v>0.42732020209655996</v>
      </c>
      <c r="O223" s="382">
        <f ca="1">IF(M223=ROWS(O$215:O223),RANK(N223,$N$215:$N$239),"")</f>
        <v>20</v>
      </c>
      <c r="P223" s="1338" t="s">
        <v>7239</v>
      </c>
      <c r="Q223" s="1363" t="str">
        <f t="shared" ca="1" si="70"/>
        <v>Knock</v>
      </c>
      <c r="R223" s="1394">
        <v>9</v>
      </c>
      <c r="S223" s="1459">
        <f ca="1">IF(R223=ROWS(S$215:S223),RAND(),"")</f>
        <v>0.76561413986536853</v>
      </c>
      <c r="T223" s="382">
        <f ca="1">IF(R223=ROWS(T$215:T223),RANK(S223,$S$215:$S$239),"")</f>
        <v>4</v>
      </c>
      <c r="U223" s="1511" t="s">
        <v>7459</v>
      </c>
      <c r="V223" s="1363" t="str">
        <f t="shared" ca="1" si="71"/>
        <v>Water Walk</v>
      </c>
      <c r="W223" s="1394">
        <v>9</v>
      </c>
      <c r="X223" s="1459">
        <f ca="1">IF(W223=ROWS(X$215:X223),RAND(),"")</f>
        <v>0.29790535264918816</v>
      </c>
      <c r="Y223" s="382">
        <f ca="1">IF(W223=ROWS(Y$215:Y223),RANK(X223,$X$215:$X$239),"")</f>
        <v>6</v>
      </c>
      <c r="Z223" s="1511" t="s">
        <v>7406</v>
      </c>
      <c r="AA223" s="1363" t="str">
        <f t="shared" ca="1" si="72"/>
        <v>Blight</v>
      </c>
      <c r="AB223" s="1394">
        <v>9</v>
      </c>
      <c r="AC223" s="1459">
        <f ca="1">IF(AB223=ROWS(AC$215:AC223),RAND(),"")</f>
        <v>0.55438156189226862</v>
      </c>
      <c r="AD223" s="382">
        <f ca="1">IF(AB223=ROWS(AD$215:AD223),RANK(AC223,$AC$215:$AC$239),"")</f>
        <v>4</v>
      </c>
      <c r="AE223" s="1511" t="s">
        <v>7645</v>
      </c>
      <c r="AF223" s="1363" t="str">
        <f t="shared" ca="1" si="73"/>
        <v>Cone of Cold</v>
      </c>
      <c r="AG223" s="1394">
        <v>9</v>
      </c>
      <c r="AH223" s="1459">
        <f ca="1">IF(AG223=ROWS(AH$215:AH223),RAND(),"")</f>
        <v>0.53258241019254593</v>
      </c>
      <c r="AI223" s="382">
        <f ca="1">IF(AG223=ROWS(AI$215:AI223),RANK(AH223,$AH$215:$AH$224),"")</f>
        <v>6</v>
      </c>
      <c r="AJ223" s="1338" t="s">
        <v>7500</v>
      </c>
      <c r="AK223" s="1363" t="str">
        <f t="shared" ca="1" si="74"/>
        <v>Chain Lightning</v>
      </c>
      <c r="AL223" s="1394"/>
      <c r="AM223" s="1459" t="str">
        <f ca="1">IF(AL223=ROWS(AM$215:AM223),RAND(),"")</f>
        <v/>
      </c>
      <c r="AN223" s="382" t="str">
        <f>IF(AL223=ROWS(AN$215:AN223),RANK(AM223,$AH$215:$AH$224),"")</f>
        <v/>
      </c>
      <c r="AO223" s="368"/>
      <c r="AP223" s="1363"/>
      <c r="AQ223" s="1394"/>
      <c r="AR223" s="1459" t="str">
        <f ca="1">IF(AQ223=ROWS(AR$215:AR223),RAND(),"")</f>
        <v/>
      </c>
      <c r="AS223" s="382" t="str">
        <f>IF(AQ223=ROWS(AS$215:AS223),RANK(AR223,$AH$215:$AH$224),"")</f>
        <v/>
      </c>
      <c r="AT223" s="368"/>
      <c r="AU223" s="1363"/>
      <c r="AV223" s="1394"/>
      <c r="AW223" s="1459" t="str">
        <f ca="1">IF(AV223=ROWS(AW$215:AW223),RAND(),"")</f>
        <v/>
      </c>
      <c r="AX223" s="382" t="str">
        <f>IF(AV223=ROWS(AX$215:AX223),RANK(AW223,$AH$215:$AH$224),"")</f>
        <v/>
      </c>
      <c r="AY223" s="368"/>
      <c r="AZ223" s="1363"/>
      <c r="BB223" s="273"/>
      <c r="BD223" s="1335"/>
      <c r="BG223" s="273"/>
      <c r="BI223" s="1335"/>
      <c r="BL223" s="273"/>
      <c r="BS223" s="271" t="s">
        <v>1287</v>
      </c>
    </row>
    <row r="224" spans="2:74" ht="12" customHeight="1">
      <c r="B224" s="349">
        <v>10</v>
      </c>
      <c r="C224" s="382">
        <v>10</v>
      </c>
      <c r="D224" s="1459">
        <f ca="1">IF(C224=ROWS(D$215:D224),RAND(),"")</f>
        <v>1.0166920369237276E-2</v>
      </c>
      <c r="E224" s="382">
        <f ca="1">IF(C224=ROWS(E$215:E224),RANK(D224,$D$215:$D$239),"")</f>
        <v>16</v>
      </c>
      <c r="F224" s="701" t="s">
        <v>7237</v>
      </c>
      <c r="G224" s="1363" t="str">
        <f t="shared" ca="1" si="68"/>
        <v>Acid Splash</v>
      </c>
      <c r="H224" s="1394">
        <v>10</v>
      </c>
      <c r="I224" s="1459">
        <f ca="1">IF(H224=ROWS(I$215:I224),RAND(),"")</f>
        <v>0.49870240259050658</v>
      </c>
      <c r="J224" s="382">
        <f ca="1">IF(H224=ROWS(J$215:J224),RANK(I224,$I$215:$I$239),"")</f>
        <v>9</v>
      </c>
      <c r="K224" s="1338" t="s">
        <v>7264</v>
      </c>
      <c r="L224" s="1512" t="str">
        <f t="shared" ca="1" si="69"/>
        <v>Burning Hands</v>
      </c>
      <c r="M224" s="1394">
        <v>10</v>
      </c>
      <c r="N224" s="1459">
        <f ca="1">IF(M224=ROWS(N$215:N224),RAND(),"")</f>
        <v>0.68885695846080564</v>
      </c>
      <c r="O224" s="382">
        <f ca="1">IF(M224=ROWS(O$215:O224),RANK(N224,$N$215:$N$239),"")</f>
        <v>10</v>
      </c>
      <c r="P224" s="1338" t="s">
        <v>7603</v>
      </c>
      <c r="Q224" s="1363" t="str">
        <f t="shared" ca="1" si="70"/>
        <v>Enlarge/Reduce</v>
      </c>
      <c r="R224" s="1394">
        <v>10</v>
      </c>
      <c r="S224" s="1459">
        <f ca="1">IF(R224=ROWS(S$215:S224),RAND(),"")</f>
        <v>0.20891918736081783</v>
      </c>
      <c r="T224" s="382">
        <f ca="1">IF(R224=ROWS(T$215:T224),RANK(S224,$S$215:$S$239),"")</f>
        <v>14</v>
      </c>
      <c r="U224" s="1511" t="s">
        <v>7467</v>
      </c>
      <c r="V224" s="1363" t="str">
        <f t="shared" ca="1" si="71"/>
        <v>Dispel Magic</v>
      </c>
      <c r="W224" s="1394">
        <v>10</v>
      </c>
      <c r="X224" s="1459">
        <f ca="1">IF(W224=ROWS(X$215:X224),RAND(),"")</f>
        <v>0.2750695350643888</v>
      </c>
      <c r="Y224" s="382">
        <f ca="1">IF(W224=ROWS(Y$215:Y224),RANK(X224,$X$215:$X$239),"")</f>
        <v>7</v>
      </c>
      <c r="Z224" s="1511" t="s">
        <v>7403</v>
      </c>
      <c r="AA224" s="1363" t="str">
        <f t="shared" ca="1" si="72"/>
        <v>Ice Storm</v>
      </c>
      <c r="AB224" s="1394">
        <v>10</v>
      </c>
      <c r="AC224" s="1459">
        <f ca="1">IF(AB224=ROWS(AC$215:AC224),RAND(),"")</f>
        <v>0.72011325093885203</v>
      </c>
      <c r="AD224" s="382">
        <f ca="1">IF(AB224=ROWS(AD$215:AD224),RANK(AC224,$AC$215:$AC$239),"")</f>
        <v>1</v>
      </c>
      <c r="AE224" s="1511" t="s">
        <v>7287</v>
      </c>
      <c r="AF224" s="1363" t="str">
        <f t="shared" ca="1" si="73"/>
        <v>Cloudkill</v>
      </c>
      <c r="AG224" s="1394">
        <v>10</v>
      </c>
      <c r="AH224" s="1459">
        <f ca="1">IF(AG224=ROWS(AH$215:AH224),RAND(),"")</f>
        <v>0.62213137700933085</v>
      </c>
      <c r="AI224" s="382">
        <f ca="1">IF(AG224=ROWS(AI$215:AI224),RANK(AH224,$AH$215:$AH$224),"")</f>
        <v>5</v>
      </c>
      <c r="AJ224" s="1338" t="s">
        <v>7243</v>
      </c>
      <c r="AK224" s="1363" t="str">
        <f t="shared" ca="1" si="74"/>
        <v>Arcane Gate</v>
      </c>
      <c r="AL224" s="1394"/>
      <c r="AM224" s="1459" t="str">
        <f ca="1">IF(AL224=ROWS(AM$215:AM224),RAND(),"")</f>
        <v/>
      </c>
      <c r="AN224" s="382" t="str">
        <f>IF(AL224=ROWS(AN$215:AN224),RANK(AM224,$AH$215:$AH$224),"")</f>
        <v/>
      </c>
      <c r="AO224" s="368"/>
      <c r="AP224" s="1363"/>
      <c r="AQ224" s="1394"/>
      <c r="AR224" s="1459" t="str">
        <f ca="1">IF(AQ224=ROWS(AR$215:AR224),RAND(),"")</f>
        <v/>
      </c>
      <c r="AS224" s="382" t="str">
        <f>IF(AQ224=ROWS(AS$215:AS224),RANK(AR224,$AH$215:$AH$224),"")</f>
        <v/>
      </c>
      <c r="AT224" s="368"/>
      <c r="AU224" s="1363"/>
      <c r="AV224" s="1394"/>
      <c r="AW224" s="1459" t="str">
        <f ca="1">IF(AV224=ROWS(AW$215:AW224),RAND(),"")</f>
        <v/>
      </c>
      <c r="AX224" s="382" t="str">
        <f>IF(AV224=ROWS(AX$215:AX224),RANK(AW224,$AH$215:$AH$224),"")</f>
        <v/>
      </c>
      <c r="AY224" s="368"/>
      <c r="AZ224" s="1363"/>
      <c r="BB224" s="273"/>
      <c r="BD224" s="1335"/>
      <c r="BG224" s="273"/>
      <c r="BI224" s="1335"/>
      <c r="BL224" s="273"/>
      <c r="BS224" s="271" t="s">
        <v>1287</v>
      </c>
    </row>
    <row r="225" spans="2:83" ht="12" customHeight="1">
      <c r="B225" s="349">
        <v>11</v>
      </c>
      <c r="C225" s="382">
        <v>11</v>
      </c>
      <c r="D225" s="1459">
        <f ca="1">IF(C225=ROWS(D$215:D225),RAND(),"")</f>
        <v>0.71291959831494345</v>
      </c>
      <c r="E225" s="382">
        <f ca="1">IF(C225=ROWS(E$215:E225),RANK(D225,$D$215:$D$239),"")</f>
        <v>6</v>
      </c>
      <c r="F225" s="701" t="s">
        <v>7245</v>
      </c>
      <c r="G225" s="1363" t="str">
        <f t="shared" ca="1" si="68"/>
        <v>Light</v>
      </c>
      <c r="H225" s="1394">
        <v>11</v>
      </c>
      <c r="I225" s="1459">
        <f ca="1">IF(H225=ROWS(I$215:I225),RAND(),"")</f>
        <v>5.5955460766051845E-2</v>
      </c>
      <c r="J225" s="382">
        <f ca="1">IF(H225=ROWS(J$215:J225),RANK(I225,$I$215:$I$239),"")</f>
        <v>20</v>
      </c>
      <c r="K225" s="1338" t="s">
        <v>7341</v>
      </c>
      <c r="L225" s="1512" t="str">
        <f t="shared" ca="1" si="69"/>
        <v>Sleep</v>
      </c>
      <c r="M225" s="1394">
        <v>11</v>
      </c>
      <c r="N225" s="1459">
        <f ca="1">IF(M225=ROWS(N$215:N225),RAND(),"")</f>
        <v>0.64779981358504957</v>
      </c>
      <c r="O225" s="382">
        <f ca="1">IF(M225=ROWS(O$215:O225),RANK(N225,$N$215:$N$239),"")</f>
        <v>11</v>
      </c>
      <c r="P225" s="1338" t="s">
        <v>7358</v>
      </c>
      <c r="Q225" s="1363" t="str">
        <f t="shared" ca="1" si="70"/>
        <v>Gust of Wind</v>
      </c>
      <c r="R225" s="1394">
        <v>11</v>
      </c>
      <c r="S225" s="1459">
        <f ca="1">IF(R225=ROWS(S$215:S225),RAND(),"")</f>
        <v>1.3195577207503639E-2</v>
      </c>
      <c r="T225" s="382">
        <f ca="1">IF(R225=ROWS(T$215:T225),RANK(S225,$S$215:$S$239),"")</f>
        <v>20</v>
      </c>
      <c r="U225" s="1511" t="s">
        <v>7240</v>
      </c>
      <c r="V225" s="1363" t="str">
        <f t="shared" ca="1" si="71"/>
        <v>Counterspell</v>
      </c>
      <c r="W225" s="1394"/>
      <c r="X225" s="1459" t="str">
        <f ca="1">IF(W225=ROWS(X$215:X225),RAND(),"")</f>
        <v/>
      </c>
      <c r="Y225" s="382" t="str">
        <f>IF(W225=ROWS(Y$215:Y225),RANK(X225,$X$215:$X$239),"")</f>
        <v/>
      </c>
      <c r="Z225" s="1514"/>
      <c r="AA225" s="1363"/>
      <c r="AB225" s="1394">
        <v>11</v>
      </c>
      <c r="AC225" s="1459">
        <f ca="1">IF(AB225=ROWS(AC$215:AC225),RAND(),"")</f>
        <v>0.58514460721270167</v>
      </c>
      <c r="AD225" s="382">
        <f ca="1">IF(AB225=ROWS(AD$215:AD225),RANK(AC225,$AC$215:$AC$239),"")</f>
        <v>3</v>
      </c>
      <c r="AE225" s="1511" t="s">
        <v>7487</v>
      </c>
      <c r="AF225" s="1363" t="str">
        <f t="shared" ca="1" si="73"/>
        <v>Seeming</v>
      </c>
      <c r="AG225" s="1394"/>
      <c r="AH225" s="1459" t="str">
        <f ca="1">IF(AG225=ROWS(AH$215:AH225),RAND(),"")</f>
        <v/>
      </c>
      <c r="AI225" s="382" t="str">
        <f>IF(AG225=ROWS(AI$215:AI225),RANK(AH225,$AH$215:$AH$224),"")</f>
        <v/>
      </c>
      <c r="AJ225" s="368"/>
      <c r="AK225" s="1363"/>
      <c r="AL225" s="1394"/>
      <c r="AM225" s="1459" t="str">
        <f ca="1">IF(AL225=ROWS(AM$215:AM225),RAND(),"")</f>
        <v/>
      </c>
      <c r="AN225" s="382" t="str">
        <f>IF(AL225=ROWS(AN$215:AN225),RANK(AM225,$AH$215:$AH$224),"")</f>
        <v/>
      </c>
      <c r="AO225" s="368"/>
      <c r="AP225" s="1363"/>
      <c r="AQ225" s="1394"/>
      <c r="AR225" s="1459" t="str">
        <f ca="1">IF(AQ225=ROWS(AR$215:AR225),RAND(),"")</f>
        <v/>
      </c>
      <c r="AS225" s="382" t="str">
        <f>IF(AQ225=ROWS(AS$215:AS225),RANK(AR225,$AH$215:$AH$224),"")</f>
        <v/>
      </c>
      <c r="AT225" s="368"/>
      <c r="AU225" s="1363"/>
      <c r="AV225" s="1394"/>
      <c r="AW225" s="1459" t="str">
        <f ca="1">IF(AV225=ROWS(AW$215:AW225),RAND(),"")</f>
        <v/>
      </c>
      <c r="AX225" s="382" t="str">
        <f>IF(AV225=ROWS(AX$215:AX225),RANK(AW225,$AH$215:$AH$224),"")</f>
        <v/>
      </c>
      <c r="AY225" s="368"/>
      <c r="AZ225" s="1363"/>
      <c r="BB225" s="273"/>
      <c r="BD225" s="1335"/>
      <c r="BG225" s="273"/>
      <c r="BI225" s="1335"/>
      <c r="BL225" s="273"/>
      <c r="BS225" s="271" t="s">
        <v>1287</v>
      </c>
    </row>
    <row r="226" spans="2:83" ht="12" customHeight="1">
      <c r="B226" s="349">
        <v>12</v>
      </c>
      <c r="C226" s="382">
        <v>12</v>
      </c>
      <c r="D226" s="1459">
        <f ca="1">IF(C226=ROWS(D$215:D226),RAND(),"")</f>
        <v>0.69682686272853289</v>
      </c>
      <c r="E226" s="382">
        <f ca="1">IF(C226=ROWS(E$215:E226),RANK(D226,$D$215:$D$239),"")</f>
        <v>7</v>
      </c>
      <c r="F226" s="701" t="s">
        <v>7493</v>
      </c>
      <c r="G226" s="1363" t="str">
        <f t="shared" ca="1" si="68"/>
        <v>Shocking Grasp</v>
      </c>
      <c r="H226" s="1394">
        <v>12</v>
      </c>
      <c r="I226" s="1459">
        <f ca="1">IF(H226=ROWS(I$215:I226),RAND(),"")</f>
        <v>0.53954457488911634</v>
      </c>
      <c r="J226" s="382">
        <f ca="1">IF(H226=ROWS(J$215:J226),RANK(I226,$I$215:$I$239),"")</f>
        <v>6</v>
      </c>
      <c r="K226" s="1338" t="s">
        <v>7514</v>
      </c>
      <c r="L226" s="1512" t="str">
        <f t="shared" ca="1" si="69"/>
        <v>Shield</v>
      </c>
      <c r="M226" s="1394">
        <v>12</v>
      </c>
      <c r="N226" s="1459">
        <f ca="1">IF(M226=ROWS(N$215:N226),RAND(),"")</f>
        <v>0.71237340275956029</v>
      </c>
      <c r="O226" s="382">
        <f ca="1">IF(M226=ROWS(O$215:O226),RANK(N226,$N$215:$N$239),"")</f>
        <v>8</v>
      </c>
      <c r="P226" s="1338" t="s">
        <v>7260</v>
      </c>
      <c r="Q226" s="1363" t="str">
        <f t="shared" ca="1" si="70"/>
        <v>Darkness</v>
      </c>
      <c r="R226" s="1394">
        <v>12</v>
      </c>
      <c r="S226" s="1459">
        <f ca="1">IF(R226=ROWS(S$215:S226),RAND(),"")</f>
        <v>4.2778061930250022E-2</v>
      </c>
      <c r="T226" s="382">
        <f ca="1">IF(R226=ROWS(T$215:T226),RANK(S226,$S$215:$S$239),"")</f>
        <v>19</v>
      </c>
      <c r="U226" s="1511" t="s">
        <v>7457</v>
      </c>
      <c r="V226" s="1363" t="str">
        <f t="shared" ca="1" si="71"/>
        <v>Tongues</v>
      </c>
      <c r="W226" s="1394"/>
      <c r="X226" s="1459" t="str">
        <f ca="1">IF(W226=ROWS(X$215:X226),RAND(),"")</f>
        <v/>
      </c>
      <c r="Y226" s="382" t="str">
        <f>IF(W226=ROWS(Y$215:Y226),RANK(X226,$X$215:$X$239),"")</f>
        <v/>
      </c>
      <c r="Z226" s="1514"/>
      <c r="AA226" s="1363"/>
      <c r="AB226" s="1394"/>
      <c r="AC226" s="1459" t="str">
        <f ca="1">IF(AB226=ROWS(AC$215:AC226),RAND(),"")</f>
        <v/>
      </c>
      <c r="AD226" s="382" t="str">
        <f>IF(AB226=ROWS(AD$215:AD226),RANK(AC226,$AC$215:$AC$239),"")</f>
        <v/>
      </c>
      <c r="AE226" s="1514"/>
      <c r="AF226" s="1363"/>
      <c r="AG226" s="1394"/>
      <c r="AH226" s="1459" t="str">
        <f ca="1">IF(AG226=ROWS(AH$215:AH226),RAND(),"")</f>
        <v/>
      </c>
      <c r="AI226" s="382" t="str">
        <f>IF(AG226=ROWS(AI$215:AI226),RANK(AH226,$AH$215:$AH$224),"")</f>
        <v/>
      </c>
      <c r="AJ226" s="368"/>
      <c r="AK226" s="1363"/>
      <c r="AL226" s="1394"/>
      <c r="AM226" s="1459" t="str">
        <f ca="1">IF(AL226=ROWS(AM$215:AM226),RAND(),"")</f>
        <v/>
      </c>
      <c r="AN226" s="382" t="str">
        <f>IF(AL226=ROWS(AN$215:AN226),RANK(AM226,$AH$215:$AH$224),"")</f>
        <v/>
      </c>
      <c r="AO226" s="368"/>
      <c r="AP226" s="1363"/>
      <c r="AQ226" s="1394"/>
      <c r="AR226" s="1459" t="str">
        <f ca="1">IF(AQ226=ROWS(AR$215:AR226),RAND(),"")</f>
        <v/>
      </c>
      <c r="AS226" s="382" t="str">
        <f>IF(AQ226=ROWS(AS$215:AS226),RANK(AR226,$AH$215:$AH$224),"")</f>
        <v/>
      </c>
      <c r="AT226" s="368"/>
      <c r="AU226" s="1363"/>
      <c r="AV226" s="1394"/>
      <c r="AW226" s="1459" t="str">
        <f ca="1">IF(AV226=ROWS(AW$215:AW226),RAND(),"")</f>
        <v/>
      </c>
      <c r="AX226" s="382" t="str">
        <f>IF(AV226=ROWS(AX$215:AX226),RANK(AW226,$AH$215:$AH$224),"")</f>
        <v/>
      </c>
      <c r="AY226" s="368"/>
      <c r="AZ226" s="1363"/>
      <c r="BB226" s="273"/>
      <c r="BD226" s="1335"/>
      <c r="BG226" s="273"/>
      <c r="BI226" s="1335"/>
      <c r="BL226" s="273"/>
      <c r="BS226" s="271" t="s">
        <v>1287</v>
      </c>
    </row>
    <row r="227" spans="2:83" ht="12" customHeight="1">
      <c r="B227" s="349">
        <v>13</v>
      </c>
      <c r="C227" s="382">
        <v>13</v>
      </c>
      <c r="D227" s="1459">
        <f ca="1">IF(C227=ROWS(D$215:D227),RAND(),"")</f>
        <v>0.75115735313252086</v>
      </c>
      <c r="E227" s="382">
        <f ca="1">IF(C227=ROWS(E$215:E227),RANK(D227,$D$215:$D$239),"")</f>
        <v>5</v>
      </c>
      <c r="F227" s="701" t="s">
        <v>7604</v>
      </c>
      <c r="G227" s="1363" t="str">
        <f t="shared" ca="1" si="68"/>
        <v>Mage Hand</v>
      </c>
      <c r="H227" s="1394">
        <v>13</v>
      </c>
      <c r="I227" s="1459">
        <f ca="1">IF(H227=ROWS(I$215:I227),RAND(),"")</f>
        <v>0.50021244800480791</v>
      </c>
      <c r="J227" s="382">
        <f ca="1">IF(H227=ROWS(J$215:J227),RANK(I227,$I$215:$I$239),"")</f>
        <v>8</v>
      </c>
      <c r="K227" s="1338" t="s">
        <v>7533</v>
      </c>
      <c r="L227" s="1512" t="str">
        <f t="shared" ca="1" si="69"/>
        <v>Ray of Sickness</v>
      </c>
      <c r="M227" s="1394">
        <v>13</v>
      </c>
      <c r="N227" s="1459">
        <f ca="1">IF(M227=ROWS(N$215:N227),RAND(),"")</f>
        <v>0.88066143416305886</v>
      </c>
      <c r="O227" s="382">
        <f ca="1">IF(M227=ROWS(O$215:O227),RANK(N227,$N$215:$N$239),"")</f>
        <v>4</v>
      </c>
      <c r="P227" s="1338" t="s">
        <v>2703</v>
      </c>
      <c r="Q227" s="1363" t="str">
        <f t="shared" ca="1" si="70"/>
        <v>Levitate</v>
      </c>
      <c r="R227" s="1394">
        <v>13</v>
      </c>
      <c r="S227" s="1459">
        <f ca="1">IF(R227=ROWS(S$215:S227),RAND(),"")</f>
        <v>0.99928480585001767</v>
      </c>
      <c r="T227" s="382">
        <f ca="1">IF(R227=ROWS(T$215:T227),RANK(S227,$S$215:$S$239),"")</f>
        <v>1</v>
      </c>
      <c r="U227" s="1511" t="s">
        <v>7255</v>
      </c>
      <c r="V227" s="1363" t="str">
        <f t="shared" ca="1" si="71"/>
        <v>Fireball</v>
      </c>
      <c r="W227" s="1394"/>
      <c r="X227" s="1459" t="str">
        <f ca="1">IF(W227=ROWS(X$215:X227),RAND(),"")</f>
        <v/>
      </c>
      <c r="Y227" s="382" t="str">
        <f>IF(W227=ROWS(Y$215:Y227),RANK(X227,$X$215:$X$239),"")</f>
        <v/>
      </c>
      <c r="Z227" s="1514"/>
      <c r="AA227" s="1363"/>
      <c r="AB227" s="1394"/>
      <c r="AC227" s="1459" t="str">
        <f ca="1">IF(AB227=ROWS(AC$215:AC227),RAND(),"")</f>
        <v/>
      </c>
      <c r="AD227" s="382" t="str">
        <f>IF(AB227=ROWS(AD$215:AD227),RANK(AC227,$AC$215:$AC$239),"")</f>
        <v/>
      </c>
      <c r="AE227" s="1514"/>
      <c r="AF227" s="1363"/>
      <c r="AG227" s="1394"/>
      <c r="AH227" s="1459" t="str">
        <f ca="1">IF(AG227=ROWS(AH$215:AH227),RAND(),"")</f>
        <v/>
      </c>
      <c r="AI227" s="382" t="str">
        <f>IF(AG227=ROWS(AI$215:AI227),RANK(AH227,$AH$215:$AH$224),"")</f>
        <v/>
      </c>
      <c r="AJ227" s="368"/>
      <c r="AK227" s="1363"/>
      <c r="AL227" s="1394"/>
      <c r="AM227" s="1459" t="str">
        <f ca="1">IF(AL227=ROWS(AM$215:AM227),RAND(),"")</f>
        <v/>
      </c>
      <c r="AN227" s="382" t="str">
        <f>IF(AL227=ROWS(AN$215:AN227),RANK(AM227,$AH$215:$AH$224),"")</f>
        <v/>
      </c>
      <c r="AO227" s="368"/>
      <c r="AP227" s="1363"/>
      <c r="AQ227" s="1394"/>
      <c r="AR227" s="1459" t="str">
        <f ca="1">IF(AQ227=ROWS(AR$215:AR227),RAND(),"")</f>
        <v/>
      </c>
      <c r="AS227" s="382" t="str">
        <f>IF(AQ227=ROWS(AS$215:AS227),RANK(AR227,$AH$215:$AH$224),"")</f>
        <v/>
      </c>
      <c r="AT227" s="368"/>
      <c r="AU227" s="1363"/>
      <c r="AV227" s="1394"/>
      <c r="AW227" s="1459" t="str">
        <f ca="1">IF(AV227=ROWS(AW$215:AW227),RAND(),"")</f>
        <v/>
      </c>
      <c r="AX227" s="382" t="str">
        <f>IF(AV227=ROWS(AX$215:AX227),RANK(AW227,$AH$215:$AH$224),"")</f>
        <v/>
      </c>
      <c r="AY227" s="368"/>
      <c r="AZ227" s="1363"/>
      <c r="BB227" s="273"/>
      <c r="BD227" s="1335"/>
      <c r="BG227" s="273"/>
      <c r="BI227" s="1335"/>
      <c r="BL227" s="273"/>
      <c r="BS227" s="271" t="s">
        <v>1287</v>
      </c>
    </row>
    <row r="228" spans="2:83" ht="12" customHeight="1">
      <c r="B228" s="349">
        <v>14</v>
      </c>
      <c r="C228" s="382">
        <v>14</v>
      </c>
      <c r="D228" s="1459">
        <f ca="1">IF(C228=ROWS(D$215:D228),RAND(),"")</f>
        <v>4.7695086400762365E-2</v>
      </c>
      <c r="E228" s="382">
        <f ca="1">IF(C228=ROWS(E$215:E228),RANK(D228,$D$215:$D$239),"")</f>
        <v>15</v>
      </c>
      <c r="F228" s="701" t="s">
        <v>7532</v>
      </c>
      <c r="G228" s="1363" t="str">
        <f t="shared" ca="1" si="68"/>
        <v>True Strike</v>
      </c>
      <c r="H228" s="1394">
        <v>14</v>
      </c>
      <c r="I228" s="1459">
        <f ca="1">IF(H228=ROWS(I$215:I228),RAND(),"")</f>
        <v>0.84987393639204667</v>
      </c>
      <c r="J228" s="382">
        <f ca="1">IF(H228=ROWS(J$215:J228),RANK(I228,$I$215:$I$239),"")</f>
        <v>1</v>
      </c>
      <c r="K228" s="1338" t="s">
        <v>7535</v>
      </c>
      <c r="L228" s="1512" t="str">
        <f t="shared" ca="1" si="69"/>
        <v>Charm Person</v>
      </c>
      <c r="M228" s="1394">
        <v>14</v>
      </c>
      <c r="N228" s="1459">
        <f ca="1">IF(M228=ROWS(N$215:N228),RAND(),"")</f>
        <v>0.70811416744083677</v>
      </c>
      <c r="O228" s="382">
        <f ca="1">IF(M228=ROWS(O$215:O228),RANK(N228,$N$215:$N$239),"")</f>
        <v>9</v>
      </c>
      <c r="P228" s="1338" t="s">
        <v>7269</v>
      </c>
      <c r="Q228" s="1363" t="str">
        <f t="shared" ca="1" si="70"/>
        <v>See Invisibility</v>
      </c>
      <c r="R228" s="1394">
        <v>14</v>
      </c>
      <c r="S228" s="1459">
        <f ca="1">IF(R228=ROWS(S$215:S228),RAND(),"")</f>
        <v>9.7526996995294213E-2</v>
      </c>
      <c r="T228" s="382">
        <f ca="1">IF(R228=ROWS(T$215:T228),RANK(S228,$S$215:$S$239),"")</f>
        <v>17</v>
      </c>
      <c r="U228" s="1511" t="s">
        <v>7418</v>
      </c>
      <c r="V228" s="1363" t="str">
        <f t="shared" ca="1" si="71"/>
        <v>Haste</v>
      </c>
      <c r="W228" s="1394"/>
      <c r="X228" s="1459" t="str">
        <f ca="1">IF(W228=ROWS(X$215:X228),RAND(),"")</f>
        <v/>
      </c>
      <c r="Y228" s="382" t="str">
        <f>IF(W228=ROWS(Y$215:Y228),RANK(X228,$X$215:$X$239),"")</f>
        <v/>
      </c>
      <c r="Z228" s="1514"/>
      <c r="AA228" s="1363"/>
      <c r="AB228" s="1394"/>
      <c r="AC228" s="1459" t="str">
        <f ca="1">IF(AB228=ROWS(AC$215:AC228),RAND(),"")</f>
        <v/>
      </c>
      <c r="AD228" s="382" t="str">
        <f>IF(AB228=ROWS(AD$215:AD228),RANK(AC228,$AC$215:$AC$239),"")</f>
        <v/>
      </c>
      <c r="AE228" s="1514"/>
      <c r="AF228" s="1363"/>
      <c r="AG228" s="1394"/>
      <c r="AH228" s="1459" t="str">
        <f ca="1">IF(AG228=ROWS(AH$215:AH228),RAND(),"")</f>
        <v/>
      </c>
      <c r="AI228" s="382" t="str">
        <f>IF(AG228=ROWS(AI$215:AI228),RANK(AH228,$AH$215:$AH$224),"")</f>
        <v/>
      </c>
      <c r="AJ228" s="368"/>
      <c r="AK228" s="1363"/>
      <c r="AL228" s="1394"/>
      <c r="AM228" s="1459" t="str">
        <f ca="1">IF(AL228=ROWS(AM$215:AM228),RAND(),"")</f>
        <v/>
      </c>
      <c r="AN228" s="382" t="str">
        <f>IF(AL228=ROWS(AN$215:AN228),RANK(AM228,$AH$215:$AH$224),"")</f>
        <v/>
      </c>
      <c r="AO228" s="368"/>
      <c r="AP228" s="1363"/>
      <c r="AQ228" s="1394"/>
      <c r="AR228" s="1459" t="str">
        <f ca="1">IF(AQ228=ROWS(AR$215:AR228),RAND(),"")</f>
        <v/>
      </c>
      <c r="AS228" s="382" t="str">
        <f>IF(AQ228=ROWS(AS$215:AS228),RANK(AR228,$AH$215:$AH$224),"")</f>
        <v/>
      </c>
      <c r="AT228" s="368"/>
      <c r="AU228" s="1363"/>
      <c r="AV228" s="1394"/>
      <c r="AW228" s="1459" t="str">
        <f ca="1">IF(AV228=ROWS(AW$215:AW228),RAND(),"")</f>
        <v/>
      </c>
      <c r="AX228" s="382" t="str">
        <f>IF(AV228=ROWS(AX$215:AX228),RANK(AW228,$AH$215:$AH$224),"")</f>
        <v/>
      </c>
      <c r="AY228" s="368"/>
      <c r="AZ228" s="1363"/>
      <c r="BB228" s="273"/>
      <c r="BD228" s="1335"/>
      <c r="BF228" s="273"/>
      <c r="BG228" s="273"/>
      <c r="BI228" s="1335"/>
      <c r="BK228" s="273"/>
      <c r="BL228" s="273"/>
      <c r="BS228" s="271" t="s">
        <v>1287</v>
      </c>
    </row>
    <row r="229" spans="2:83" ht="12" customHeight="1">
      <c r="B229" s="349">
        <v>15</v>
      </c>
      <c r="C229" s="382">
        <v>15</v>
      </c>
      <c r="D229" s="1459">
        <f ca="1">IF(C229=ROWS(D$215:D229),RAND(),"")</f>
        <v>0.43708708526231999</v>
      </c>
      <c r="E229" s="382">
        <f ca="1">IF(C229=ROWS(E$215:E229),RANK(D229,$D$215:$D$239),"")</f>
        <v>12</v>
      </c>
      <c r="F229" s="701" t="s">
        <v>7534</v>
      </c>
      <c r="G229" s="1363" t="str">
        <f t="shared" ca="1" si="68"/>
        <v>Ray of Frost</v>
      </c>
      <c r="H229" s="1394">
        <v>15</v>
      </c>
      <c r="I229" s="1459">
        <f ca="1">IF(H229=ROWS(I$215:I229),RAND(),"")</f>
        <v>0.32835699390363493</v>
      </c>
      <c r="J229" s="382">
        <f ca="1">IF(H229=ROWS(J$215:J229),RANK(I229,$I$215:$I$239),"")</f>
        <v>13</v>
      </c>
      <c r="K229" s="1338" t="s">
        <v>7615</v>
      </c>
      <c r="L229" s="1512" t="str">
        <f t="shared" ca="1" si="69"/>
        <v>Silent Image</v>
      </c>
      <c r="M229" s="1394">
        <v>15</v>
      </c>
      <c r="N229" s="1459">
        <f ca="1">IF(M229=ROWS(N$215:N229),RAND(),"")</f>
        <v>0.59661619274986855</v>
      </c>
      <c r="O229" s="382">
        <f ca="1">IF(M229=ROWS(O$215:O229),RANK(N229,$N$215:$N$239),"")</f>
        <v>13</v>
      </c>
      <c r="P229" s="1338" t="s">
        <v>7610</v>
      </c>
      <c r="Q229" s="1363" t="str">
        <f t="shared" ca="1" si="70"/>
        <v>Web</v>
      </c>
      <c r="R229" s="1394">
        <v>15</v>
      </c>
      <c r="S229" s="1459">
        <f ca="1">IF(R229=ROWS(S$215:S229),RAND(),"")</f>
        <v>7.9245832067817323E-2</v>
      </c>
      <c r="T229" s="382">
        <f ca="1">IF(R229=ROWS(T$215:T229),RANK(S229,$S$215:$S$239),"")</f>
        <v>18</v>
      </c>
      <c r="U229" s="1511" t="s">
        <v>7389</v>
      </c>
      <c r="V229" s="1363" t="str">
        <f t="shared" ca="1" si="71"/>
        <v>Fear</v>
      </c>
      <c r="W229" s="1394"/>
      <c r="X229" s="1459" t="str">
        <f ca="1">IF(W229=ROWS(X$215:X229),RAND(),"")</f>
        <v/>
      </c>
      <c r="Y229" s="382" t="str">
        <f>IF(W229=ROWS(Y$215:Y229),RANK(X229,$X$215:$X$239),"")</f>
        <v/>
      </c>
      <c r="Z229" s="1514"/>
      <c r="AA229" s="1363"/>
      <c r="AB229" s="1394"/>
      <c r="AC229" s="1459" t="str">
        <f ca="1">IF(AB229=ROWS(AC$215:AC229),RAND(),"")</f>
        <v/>
      </c>
      <c r="AD229" s="382" t="str">
        <f>IF(AB229=ROWS(AD$215:AD229),RANK(AC229,$AC$215:$AC$239),"")</f>
        <v/>
      </c>
      <c r="AE229" s="1514"/>
      <c r="AF229" s="1363"/>
      <c r="AG229" s="1394"/>
      <c r="AH229" s="1459" t="str">
        <f ca="1">IF(AG229=ROWS(AH$215:AH229),RAND(),"")</f>
        <v/>
      </c>
      <c r="AI229" s="382" t="str">
        <f>IF(AG229=ROWS(AI$215:AI229),RANK(AH229,$AH$215:$AH$224),"")</f>
        <v/>
      </c>
      <c r="AJ229" s="368"/>
      <c r="AK229" s="1363"/>
      <c r="AL229" s="1394"/>
      <c r="AM229" s="1459" t="str">
        <f ca="1">IF(AL229=ROWS(AM$215:AM229),RAND(),"")</f>
        <v/>
      </c>
      <c r="AN229" s="382" t="str">
        <f>IF(AL229=ROWS(AN$215:AN229),RANK(AM229,$AH$215:$AH$224),"")</f>
        <v/>
      </c>
      <c r="AO229" s="368"/>
      <c r="AP229" s="1363"/>
      <c r="AQ229" s="1394"/>
      <c r="AR229" s="1459" t="str">
        <f ca="1">IF(AQ229=ROWS(AR$215:AR229),RAND(),"")</f>
        <v/>
      </c>
      <c r="AS229" s="382" t="str">
        <f>IF(AQ229=ROWS(AS$215:AS229),RANK(AR229,$AH$215:$AH$224),"")</f>
        <v/>
      </c>
      <c r="AT229" s="368"/>
      <c r="AU229" s="1363"/>
      <c r="AV229" s="1394"/>
      <c r="AW229" s="1459" t="str">
        <f ca="1">IF(AV229=ROWS(AW$215:AW229),RAND(),"")</f>
        <v/>
      </c>
      <c r="AX229" s="382" t="str">
        <f>IF(AV229=ROWS(AX$215:AX229),RANK(AW229,$AH$215:$AH$224),"")</f>
        <v/>
      </c>
      <c r="AY229" s="368"/>
      <c r="AZ229" s="1363"/>
      <c r="BB229" s="273"/>
      <c r="BD229" s="1335"/>
      <c r="BF229" s="273"/>
      <c r="BG229" s="273"/>
      <c r="BI229" s="1335"/>
      <c r="BK229" s="273"/>
      <c r="BL229" s="273"/>
      <c r="BS229" s="271" t="s">
        <v>1287</v>
      </c>
    </row>
    <row r="230" spans="2:83" ht="12" customHeight="1">
      <c r="B230" s="349">
        <v>16</v>
      </c>
      <c r="C230" s="382">
        <v>16</v>
      </c>
      <c r="D230" s="1459">
        <f ca="1">IF(C230=ROWS(D$215:D230),RAND(),"")</f>
        <v>0.25061309145004795</v>
      </c>
      <c r="E230" s="382">
        <f ca="1">IF(C230=ROWS(E$215:E230),RANK(D230,$D$215:$D$239),"")</f>
        <v>14</v>
      </c>
      <c r="F230" s="701" t="s">
        <v>7263</v>
      </c>
      <c r="G230" s="1363" t="str">
        <f t="shared" ca="1" si="68"/>
        <v>Message</v>
      </c>
      <c r="H230" s="1394">
        <v>16</v>
      </c>
      <c r="I230" s="1459">
        <f ca="1">IF(H230=ROWS(I$215:I230),RAND(),"")</f>
        <v>0.36225550006207496</v>
      </c>
      <c r="J230" s="382">
        <f ca="1">IF(H230=ROWS(J$215:J230),RANK(I230,$I$215:$I$239),"")</f>
        <v>12</v>
      </c>
      <c r="K230" s="1338" t="s">
        <v>3318</v>
      </c>
      <c r="L230" s="1512" t="str">
        <f t="shared" ca="1" si="69"/>
        <v>False Life</v>
      </c>
      <c r="M230" s="1394">
        <v>16</v>
      </c>
      <c r="N230" s="1459">
        <f ca="1">IF(M230=ROWS(N$215:N230),RAND(),"")</f>
        <v>0.86618260882863574</v>
      </c>
      <c r="O230" s="382">
        <f ca="1">IF(M230=ROWS(O$215:O230),RANK(N230,$N$215:$N$239),"")</f>
        <v>5</v>
      </c>
      <c r="P230" s="1338" t="s">
        <v>7359</v>
      </c>
      <c r="Q230" s="1363" t="str">
        <f t="shared" ca="1" si="70"/>
        <v>Misty Step</v>
      </c>
      <c r="R230" s="1394">
        <v>16</v>
      </c>
      <c r="S230" s="1459">
        <f ca="1">IF(R230=ROWS(S$215:S230),RAND(),"")</f>
        <v>0.69400368245043664</v>
      </c>
      <c r="T230" s="382">
        <f ca="1">IF(R230=ROWS(T$215:T230),RANK(S230,$S$215:$S$239),"")</f>
        <v>7</v>
      </c>
      <c r="U230" s="1511" t="s">
        <v>7465</v>
      </c>
      <c r="V230" s="1363" t="str">
        <f t="shared" ca="1" si="71"/>
        <v>Water Breathing</v>
      </c>
      <c r="W230" s="1394"/>
      <c r="X230" s="1459" t="str">
        <f ca="1">IF(W230=ROWS(X$215:X230),RAND(),"")</f>
        <v/>
      </c>
      <c r="Y230" s="382" t="str">
        <f>IF(W230=ROWS(Y$215:Y230),RANK(X230,$X$215:$X$239),"")</f>
        <v/>
      </c>
      <c r="Z230" s="1514"/>
      <c r="AA230" s="1363"/>
      <c r="AB230" s="1394"/>
      <c r="AC230" s="1459" t="str">
        <f ca="1">IF(AB230=ROWS(AC$215:AC230),RAND(),"")</f>
        <v/>
      </c>
      <c r="AD230" s="382" t="str">
        <f>IF(AB230=ROWS(AD$215:AD230),RANK(AC230,$AC$215:$AC$239),"")</f>
        <v/>
      </c>
      <c r="AE230" s="1514"/>
      <c r="AF230" s="1363"/>
      <c r="AG230" s="1394"/>
      <c r="AH230" s="1459" t="str">
        <f ca="1">IF(AG230=ROWS(AH$215:AH230),RAND(),"")</f>
        <v/>
      </c>
      <c r="AI230" s="382" t="str">
        <f>IF(AG230=ROWS(AI$215:AI230),RANK(AH230,$AH$215:$AH$224),"")</f>
        <v/>
      </c>
      <c r="AJ230" s="368"/>
      <c r="AK230" s="1363"/>
      <c r="AL230" s="1394"/>
      <c r="AM230" s="1459" t="str">
        <f ca="1">IF(AL230=ROWS(AM$215:AM230),RAND(),"")</f>
        <v/>
      </c>
      <c r="AN230" s="382" t="str">
        <f>IF(AL230=ROWS(AN$215:AN230),RANK(AM230,$AH$215:$AH$224),"")</f>
        <v/>
      </c>
      <c r="AO230" s="368"/>
      <c r="AP230" s="1363"/>
      <c r="AQ230" s="1394"/>
      <c r="AR230" s="1459" t="str">
        <f ca="1">IF(AQ230=ROWS(AR$215:AR230),RAND(),"")</f>
        <v/>
      </c>
      <c r="AS230" s="382" t="str">
        <f>IF(AQ230=ROWS(AS$215:AS230),RANK(AR230,$AH$215:$AH$224),"")</f>
        <v/>
      </c>
      <c r="AT230" s="368"/>
      <c r="AU230" s="1363"/>
      <c r="AV230" s="1394"/>
      <c r="AW230" s="1459" t="str">
        <f ca="1">IF(AV230=ROWS(AW$215:AW230),RAND(),"")</f>
        <v/>
      </c>
      <c r="AX230" s="382" t="str">
        <f>IF(AV230=ROWS(AX$215:AX230),RANK(AW230,$AH$215:$AH$224),"")</f>
        <v/>
      </c>
      <c r="AY230" s="368"/>
      <c r="AZ230" s="1363"/>
      <c r="BB230" s="273"/>
      <c r="BD230" s="1335"/>
      <c r="BF230" s="273"/>
      <c r="BG230" s="273"/>
      <c r="BI230" s="1335"/>
      <c r="BK230" s="273"/>
      <c r="BL230" s="273"/>
      <c r="BS230" s="271" t="s">
        <v>1287</v>
      </c>
    </row>
    <row r="231" spans="2:83" ht="12" customHeight="1">
      <c r="B231" s="349">
        <v>17</v>
      </c>
      <c r="C231" s="382"/>
      <c r="D231" s="1459" t="str">
        <f ca="1">IF(C231=ROWS(D$215:D231),RAND(),"")</f>
        <v/>
      </c>
      <c r="E231" s="382" t="str">
        <f>IF(C231=ROWS(E$215:E231),RANK(D231,$D$215:$D$239),"")</f>
        <v/>
      </c>
      <c r="F231" s="1515"/>
      <c r="G231" s="1363"/>
      <c r="H231" s="1394">
        <v>17</v>
      </c>
      <c r="I231" s="1459">
        <f ca="1">IF(H231=ROWS(I$215:I231),RAND(),"")</f>
        <v>0.20699122540774206</v>
      </c>
      <c r="J231" s="382">
        <f ca="1">IF(H231=ROWS(J$215:J231),RANK(I231,$I$215:$I$239),"")</f>
        <v>15</v>
      </c>
      <c r="K231" s="1338" t="s">
        <v>7288</v>
      </c>
      <c r="L231" s="1512" t="str">
        <f t="shared" ca="1" si="69"/>
        <v>Detect Magic</v>
      </c>
      <c r="M231" s="1394">
        <v>17</v>
      </c>
      <c r="N231" s="1459">
        <f ca="1">IF(M231=ROWS(N$215:N231),RAND(),"")</f>
        <v>0.54231373125149174</v>
      </c>
      <c r="O231" s="382">
        <f ca="1">IF(M231=ROWS(O$215:O231),RANK(N231,$N$215:$N$239),"")</f>
        <v>16</v>
      </c>
      <c r="P231" s="1338" t="s">
        <v>7447</v>
      </c>
      <c r="Q231" s="1363" t="str">
        <f t="shared" ca="1" si="70"/>
        <v>Phantasmal Force</v>
      </c>
      <c r="R231" s="1394">
        <v>17</v>
      </c>
      <c r="S231" s="1459">
        <f ca="1">IF(R231=ROWS(S$215:S231),RAND(),"")</f>
        <v>0.55017942840601097</v>
      </c>
      <c r="T231" s="382">
        <f ca="1">IF(R231=ROWS(T$215:T231),RANK(S231,$S$215:$S$239),"")</f>
        <v>8</v>
      </c>
      <c r="U231" s="1511" t="s">
        <v>7282</v>
      </c>
      <c r="V231" s="1363" t="str">
        <f t="shared" ca="1" si="71"/>
        <v>Protection From Energy</v>
      </c>
      <c r="W231" s="1394"/>
      <c r="X231" s="1459" t="str">
        <f ca="1">IF(W231=ROWS(X$215:X231),RAND(),"")</f>
        <v/>
      </c>
      <c r="Y231" s="382" t="str">
        <f>IF(W231=ROWS(Y$215:Y231),RANK(X231,$X$215:$X$239),"")</f>
        <v/>
      </c>
      <c r="Z231" s="1514"/>
      <c r="AA231" s="1363"/>
      <c r="AB231" s="1394"/>
      <c r="AC231" s="1459" t="str">
        <f ca="1">IF(AB231=ROWS(AC$215:AC231),RAND(),"")</f>
        <v/>
      </c>
      <c r="AD231" s="382" t="str">
        <f>IF(AB231=ROWS(AD$215:AD231),RANK(AC231,$AC$215:$AC$239),"")</f>
        <v/>
      </c>
      <c r="AE231" s="1514"/>
      <c r="AF231" s="1363"/>
      <c r="AG231" s="1394"/>
      <c r="AH231" s="1459" t="str">
        <f ca="1">IF(AG231=ROWS(AH$215:AH231),RAND(),"")</f>
        <v/>
      </c>
      <c r="AI231" s="382" t="str">
        <f>IF(AG231=ROWS(AI$215:AI231),RANK(AH231,$AH$215:$AH$224),"")</f>
        <v/>
      </c>
      <c r="AJ231" s="368"/>
      <c r="AK231" s="1363"/>
      <c r="AL231" s="1394"/>
      <c r="AM231" s="1459" t="str">
        <f ca="1">IF(AL231=ROWS(AM$215:AM231),RAND(),"")</f>
        <v/>
      </c>
      <c r="AN231" s="382" t="str">
        <f>IF(AL231=ROWS(AN$215:AN231),RANK(AM231,$AH$215:$AH$224),"")</f>
        <v/>
      </c>
      <c r="AO231" s="368"/>
      <c r="AP231" s="1363"/>
      <c r="AQ231" s="1394"/>
      <c r="AR231" s="1459" t="str">
        <f ca="1">IF(AQ231=ROWS(AR$215:AR231),RAND(),"")</f>
        <v/>
      </c>
      <c r="AS231" s="382" t="str">
        <f>IF(AQ231=ROWS(AS$215:AS231),RANK(AR231,$AH$215:$AH$224),"")</f>
        <v/>
      </c>
      <c r="AT231" s="368"/>
      <c r="AU231" s="1363"/>
      <c r="AV231" s="1394"/>
      <c r="AW231" s="1459" t="str">
        <f ca="1">IF(AV231=ROWS(AW$215:AW231),RAND(),"")</f>
        <v/>
      </c>
      <c r="AX231" s="382" t="str">
        <f>IF(AV231=ROWS(AX$215:AX231),RANK(AW231,$AH$215:$AH$224),"")</f>
        <v/>
      </c>
      <c r="AY231" s="368"/>
      <c r="AZ231" s="1363"/>
      <c r="BA231" s="273"/>
      <c r="BB231" s="273"/>
      <c r="BD231" s="1335"/>
      <c r="BF231" s="273"/>
      <c r="BG231" s="273"/>
      <c r="BI231" s="1335"/>
      <c r="BK231" s="273"/>
      <c r="BL231" s="273"/>
      <c r="BS231" s="271" t="s">
        <v>1287</v>
      </c>
    </row>
    <row r="232" spans="2:83" ht="12" customHeight="1">
      <c r="B232" s="349">
        <v>18</v>
      </c>
      <c r="C232" s="382"/>
      <c r="D232" s="1459" t="str">
        <f ca="1">IF(C232=ROWS(D$215:D232),RAND(),"")</f>
        <v/>
      </c>
      <c r="E232" s="382" t="str">
        <f>IF(C232=ROWS(E$215:E232),RANK(D232,$D$215:$D$239),"")</f>
        <v/>
      </c>
      <c r="F232" s="1515"/>
      <c r="G232" s="1363"/>
      <c r="H232" s="1394">
        <v>18</v>
      </c>
      <c r="I232" s="1459">
        <f ca="1">IF(H232=ROWS(I$215:I232),RAND(),"")</f>
        <v>0.45412341925583144</v>
      </c>
      <c r="J232" s="382">
        <f ca="1">IF(H232=ROWS(J$215:J232),RANK(I232,$I$215:$I$239),"")</f>
        <v>11</v>
      </c>
      <c r="K232" s="1338" t="s">
        <v>7290</v>
      </c>
      <c r="L232" s="1512" t="str">
        <f t="shared" ca="1" si="69"/>
        <v>Disguise Self</v>
      </c>
      <c r="M232" s="1394">
        <v>18</v>
      </c>
      <c r="N232" s="1459">
        <f ca="1">IF(M232=ROWS(N$215:N232),RAND(),"")</f>
        <v>0.533929130926867</v>
      </c>
      <c r="O232" s="382">
        <f ca="1">IF(M232=ROWS(O$215:O232),RANK(N232,$N$215:$N$239),"")</f>
        <v>17</v>
      </c>
      <c r="P232" s="1338" t="s">
        <v>7289</v>
      </c>
      <c r="Q232" s="1363" t="str">
        <f t="shared" ca="1" si="70"/>
        <v>Cloud of Daggers</v>
      </c>
      <c r="R232" s="1394">
        <v>18</v>
      </c>
      <c r="S232" s="1459">
        <f ca="1">IF(R232=ROWS(S$215:S232),RAND(),"")</f>
        <v>0.28630980378307347</v>
      </c>
      <c r="T232" s="382">
        <f ca="1">IF(R232=ROWS(T$215:T232),RANK(S232,$S$215:$S$239),"")</f>
        <v>12</v>
      </c>
      <c r="U232" s="1511" t="s">
        <v>7286</v>
      </c>
      <c r="V232" s="1363" t="str">
        <f t="shared" ca="1" si="71"/>
        <v>Sleet Storm</v>
      </c>
      <c r="W232" s="1394"/>
      <c r="X232" s="1459" t="str">
        <f ca="1">IF(W232=ROWS(X$215:X232),RAND(),"")</f>
        <v/>
      </c>
      <c r="Y232" s="382" t="str">
        <f>IF(W232=ROWS(Y$215:Y232),RANK(X232,$X$215:$X$239),"")</f>
        <v/>
      </c>
      <c r="Z232" s="1514"/>
      <c r="AA232" s="1363"/>
      <c r="AB232" s="1394"/>
      <c r="AC232" s="1459" t="str">
        <f ca="1">IF(AB232=ROWS(AC$215:AC232),RAND(),"")</f>
        <v/>
      </c>
      <c r="AD232" s="382" t="str">
        <f>IF(AB232=ROWS(AD$215:AD232),RANK(AC232,$AC$215:$AC$239),"")</f>
        <v/>
      </c>
      <c r="AE232" s="1514"/>
      <c r="AF232" s="1363"/>
      <c r="AG232" s="1394"/>
      <c r="AH232" s="1459" t="str">
        <f ca="1">IF(AG232=ROWS(AH$215:AH232),RAND(),"")</f>
        <v/>
      </c>
      <c r="AI232" s="382" t="str">
        <f>IF(AG232=ROWS(AI$215:AI232),RANK(AH232,$AH$215:$AH$224),"")</f>
        <v/>
      </c>
      <c r="AJ232" s="368"/>
      <c r="AK232" s="1363"/>
      <c r="AL232" s="1394"/>
      <c r="AM232" s="1459" t="str">
        <f ca="1">IF(AL232=ROWS(AM$215:AM232),RAND(),"")</f>
        <v/>
      </c>
      <c r="AN232" s="382" t="str">
        <f>IF(AL232=ROWS(AN$215:AN232),RANK(AM232,$AH$215:$AH$224),"")</f>
        <v/>
      </c>
      <c r="AO232" s="368"/>
      <c r="AP232" s="1363"/>
      <c r="AQ232" s="1394"/>
      <c r="AR232" s="1459" t="str">
        <f ca="1">IF(AQ232=ROWS(AR$215:AR232),RAND(),"")</f>
        <v/>
      </c>
      <c r="AS232" s="382" t="str">
        <f>IF(AQ232=ROWS(AS$215:AS232),RANK(AR232,$AH$215:$AH$224),"")</f>
        <v/>
      </c>
      <c r="AT232" s="368"/>
      <c r="AU232" s="1363"/>
      <c r="AV232" s="1394"/>
      <c r="AW232" s="1459" t="str">
        <f ca="1">IF(AV232=ROWS(AW$215:AW232),RAND(),"")</f>
        <v/>
      </c>
      <c r="AX232" s="382" t="str">
        <f>IF(AV232=ROWS(AX$215:AX232),RANK(AW232,$AH$215:$AH$224),"")</f>
        <v/>
      </c>
      <c r="AY232" s="368"/>
      <c r="AZ232" s="1363"/>
      <c r="BA232" s="273"/>
      <c r="BB232" s="273"/>
      <c r="BD232" s="1335"/>
      <c r="BF232" s="273"/>
      <c r="BG232" s="273"/>
      <c r="BI232" s="1335"/>
      <c r="BK232" s="273"/>
      <c r="BL232" s="273"/>
      <c r="BS232" s="271" t="s">
        <v>1287</v>
      </c>
    </row>
    <row r="233" spans="2:83" ht="12" customHeight="1">
      <c r="B233" s="349">
        <v>19</v>
      </c>
      <c r="C233" s="382"/>
      <c r="D233" s="1459" t="str">
        <f ca="1">IF(C233=ROWS(D$215:D233),RAND(),"")</f>
        <v/>
      </c>
      <c r="E233" s="382" t="str">
        <f>IF(C233=ROWS(E$215:E233),RANK(D233,$D$215:$D$239),"")</f>
        <v/>
      </c>
      <c r="F233" s="1515"/>
      <c r="G233" s="1363"/>
      <c r="H233" s="1394">
        <v>19</v>
      </c>
      <c r="I233" s="1459">
        <f ca="1">IF(H233=ROWS(I$215:I233),RAND(),"")</f>
        <v>0.52336469527365437</v>
      </c>
      <c r="J233" s="382">
        <f ca="1">IF(H233=ROWS(J$215:J233),RANK(I233,$I$215:$I$239),"")</f>
        <v>7</v>
      </c>
      <c r="K233" s="1338" t="s">
        <v>7296</v>
      </c>
      <c r="L233" s="1512" t="str">
        <f t="shared" ca="1" si="69"/>
        <v>Chromatic Orb</v>
      </c>
      <c r="M233" s="1394">
        <v>19</v>
      </c>
      <c r="N233" s="1459">
        <f ca="1">IF(M233=ROWS(N$215:N233),RAND(),"")</f>
        <v>0.2861769713075728</v>
      </c>
      <c r="O233" s="382">
        <f ca="1">IF(M233=ROWS(O$215:O233),RANK(N233,$N$215:$N$239),"")</f>
        <v>22</v>
      </c>
      <c r="P233" s="1338" t="s">
        <v>7369</v>
      </c>
      <c r="Q233" s="1363" t="str">
        <f t="shared" ca="1" si="70"/>
        <v>Darkvision</v>
      </c>
      <c r="R233" s="1394">
        <v>19</v>
      </c>
      <c r="S233" s="1459">
        <f ca="1">IF(R233=ROWS(S$215:S233),RAND(),"")</f>
        <v>0.14355107692982594</v>
      </c>
      <c r="T233" s="382">
        <f ca="1">IF(R233=ROWS(T$215:T233),RANK(S233,$S$215:$S$239),"")</f>
        <v>16</v>
      </c>
      <c r="U233" s="1511" t="s">
        <v>3102</v>
      </c>
      <c r="V233" s="1363" t="str">
        <f t="shared" ca="1" si="71"/>
        <v>Lightning Bolt</v>
      </c>
      <c r="W233" s="1394"/>
      <c r="X233" s="1459" t="str">
        <f ca="1">IF(W233=ROWS(X$215:X233),RAND(),"")</f>
        <v/>
      </c>
      <c r="Y233" s="382" t="str">
        <f>IF(W233=ROWS(Y$215:Y233),RANK(X233,$X$215:$X$239),"")</f>
        <v/>
      </c>
      <c r="Z233" s="1514"/>
      <c r="AA233" s="1363"/>
      <c r="AB233" s="1394"/>
      <c r="AC233" s="1459" t="str">
        <f ca="1">IF(AB233=ROWS(AC$215:AC233),RAND(),"")</f>
        <v/>
      </c>
      <c r="AD233" s="382" t="str">
        <f>IF(AB233=ROWS(AD$215:AD233),RANK(AC233,$AC$215:$AC$239),"")</f>
        <v/>
      </c>
      <c r="AE233" s="1514"/>
      <c r="AF233" s="1363"/>
      <c r="AG233" s="1394"/>
      <c r="AH233" s="1459" t="str">
        <f ca="1">IF(AG233=ROWS(AH$215:AH233),RAND(),"")</f>
        <v/>
      </c>
      <c r="AI233" s="382" t="str">
        <f>IF(AG233=ROWS(AI$215:AI233),RANK(AH233,$AH$215:$AH$224),"")</f>
        <v/>
      </c>
      <c r="AJ233" s="368"/>
      <c r="AK233" s="1363"/>
      <c r="AL233" s="1394"/>
      <c r="AM233" s="1459" t="str">
        <f ca="1">IF(AL233=ROWS(AM$215:AM233),RAND(),"")</f>
        <v/>
      </c>
      <c r="AN233" s="382" t="str">
        <f>IF(AL233=ROWS(AN$215:AN233),RANK(AM233,$AH$215:$AH$224),"")</f>
        <v/>
      </c>
      <c r="AO233" s="368"/>
      <c r="AP233" s="1363"/>
      <c r="AQ233" s="1394"/>
      <c r="AR233" s="1459" t="str">
        <f ca="1">IF(AQ233=ROWS(AR$215:AR233),RAND(),"")</f>
        <v/>
      </c>
      <c r="AS233" s="382" t="str">
        <f>IF(AQ233=ROWS(AS$215:AS233),RANK(AR233,$AH$215:$AH$224),"")</f>
        <v/>
      </c>
      <c r="AT233" s="368"/>
      <c r="AU233" s="1363"/>
      <c r="AV233" s="1394"/>
      <c r="AW233" s="1459" t="str">
        <f ca="1">IF(AV233=ROWS(AW$215:AW233),RAND(),"")</f>
        <v/>
      </c>
      <c r="AX233" s="382" t="str">
        <f>IF(AV233=ROWS(AX$215:AX233),RANK(AW233,$AH$215:$AH$224),"")</f>
        <v/>
      </c>
      <c r="AY233" s="368"/>
      <c r="AZ233" s="1363"/>
      <c r="BA233" s="273"/>
      <c r="BB233" s="273"/>
      <c r="BD233" s="1335"/>
      <c r="BF233" s="273"/>
      <c r="BG233" s="273"/>
      <c r="BI233" s="1335"/>
      <c r="BK233" s="273"/>
      <c r="BL233" s="273"/>
      <c r="BS233" s="271" t="s">
        <v>1287</v>
      </c>
    </row>
    <row r="234" spans="2:83" ht="12" customHeight="1">
      <c r="B234" s="349">
        <v>20</v>
      </c>
      <c r="C234" s="382"/>
      <c r="D234" s="1459" t="str">
        <f ca="1">IF(C234=ROWS(D$215:D234),RAND(),"")</f>
        <v/>
      </c>
      <c r="E234" s="382" t="str">
        <f>IF(C234=ROWS(E$215:E234),RANK(D234,$D$215:$D$239),"")</f>
        <v/>
      </c>
      <c r="F234" s="1515"/>
      <c r="G234" s="1363"/>
      <c r="H234" s="1394">
        <v>20</v>
      </c>
      <c r="I234" s="1459">
        <f ca="1">IF(H234=ROWS(I$215:I234),RAND(),"")</f>
        <v>0.78788071195066645</v>
      </c>
      <c r="J234" s="382">
        <f ca="1">IF(H234=ROWS(J$215:J234),RANK(I234,$I$215:$I$239),"")</f>
        <v>4</v>
      </c>
      <c r="K234" s="1338" t="s">
        <v>7541</v>
      </c>
      <c r="L234" s="1512" t="str">
        <f t="shared" ca="1" si="69"/>
        <v>Fog Cloud</v>
      </c>
      <c r="M234" s="1394">
        <v>20</v>
      </c>
      <c r="N234" s="1459">
        <f ca="1">IF(M234=ROWS(N$215:N234),RAND(),"")</f>
        <v>0.59340344749589846</v>
      </c>
      <c r="O234" s="382">
        <f ca="1">IF(M234=ROWS(O$215:O234),RANK(N234,$N$215:$N$239),"")</f>
        <v>14</v>
      </c>
      <c r="P234" s="1338" t="s">
        <v>7293</v>
      </c>
      <c r="Q234" s="1363" t="str">
        <f t="shared" ca="1" si="70"/>
        <v>Enhance Ability</v>
      </c>
      <c r="R234" s="1394">
        <v>20</v>
      </c>
      <c r="S234" s="1459">
        <f ca="1">IF(R234=ROWS(S$215:S234),RAND(),"")</f>
        <v>0.45872088202097461</v>
      </c>
      <c r="T234" s="382">
        <f ca="1">IF(R234=ROWS(T$215:T234),RANK(S234,$S$215:$S$239),"")</f>
        <v>9</v>
      </c>
      <c r="U234" s="1511" t="s">
        <v>7422</v>
      </c>
      <c r="V234" s="1363" t="str">
        <f t="shared" ca="1" si="71"/>
        <v>Hypnotic Pattern</v>
      </c>
      <c r="W234" s="1394"/>
      <c r="X234" s="1459" t="str">
        <f ca="1">IF(W234=ROWS(X$215:X234),RAND(),"")</f>
        <v/>
      </c>
      <c r="Y234" s="382" t="str">
        <f>IF(W234=ROWS(Y$215:Y234),RANK(X234,$X$215:$X$239),"")</f>
        <v/>
      </c>
      <c r="Z234" s="1514"/>
      <c r="AA234" s="1363"/>
      <c r="AB234" s="1394"/>
      <c r="AC234" s="1459" t="str">
        <f ca="1">IF(AB234=ROWS(AC$215:AC234),RAND(),"")</f>
        <v/>
      </c>
      <c r="AD234" s="382" t="str">
        <f>IF(AB234=ROWS(AD$215:AD234),RANK(AC234,$AC$215:$AC$239),"")</f>
        <v/>
      </c>
      <c r="AE234" s="1514"/>
      <c r="AF234" s="1363"/>
      <c r="AG234" s="1394"/>
      <c r="AH234" s="1459" t="str">
        <f ca="1">IF(AG234=ROWS(AH$215:AH234),RAND(),"")</f>
        <v/>
      </c>
      <c r="AI234" s="382" t="str">
        <f>IF(AG234=ROWS(AI$215:AI234),RANK(AH234,$AH$215:$AH$224),"")</f>
        <v/>
      </c>
      <c r="AJ234" s="368"/>
      <c r="AK234" s="1363"/>
      <c r="AL234" s="1394"/>
      <c r="AM234" s="1459" t="str">
        <f ca="1">IF(AL234=ROWS(AM$215:AM234),RAND(),"")</f>
        <v/>
      </c>
      <c r="AN234" s="382" t="str">
        <f>IF(AL234=ROWS(AN$215:AN234),RANK(AM234,$AH$215:$AH$224),"")</f>
        <v/>
      </c>
      <c r="AO234" s="368"/>
      <c r="AP234" s="1363"/>
      <c r="AQ234" s="1394"/>
      <c r="AR234" s="1459" t="str">
        <f ca="1">IF(AQ234=ROWS(AR$215:AR234),RAND(),"")</f>
        <v/>
      </c>
      <c r="AS234" s="382" t="str">
        <f>IF(AQ234=ROWS(AS$215:AS234),RANK(AR234,$AH$215:$AH$224),"")</f>
        <v/>
      </c>
      <c r="AT234" s="368"/>
      <c r="AU234" s="1363"/>
      <c r="AV234" s="1394"/>
      <c r="AW234" s="1459" t="str">
        <f ca="1">IF(AV234=ROWS(AW$215:AW234),RAND(),"")</f>
        <v/>
      </c>
      <c r="AX234" s="382" t="str">
        <f>IF(AV234=ROWS(AX$215:AX234),RANK(AW234,$AH$215:$AH$224),"")</f>
        <v/>
      </c>
      <c r="AY234" s="368"/>
      <c r="AZ234" s="1363"/>
      <c r="BA234" s="273"/>
      <c r="BB234" s="273"/>
      <c r="BD234" s="1335"/>
      <c r="BF234" s="273"/>
      <c r="BG234" s="273"/>
      <c r="BI234" s="1335"/>
      <c r="BK234" s="273"/>
      <c r="BL234" s="273"/>
      <c r="BS234" s="271" t="s">
        <v>1287</v>
      </c>
    </row>
    <row r="235" spans="2:83" ht="12" customHeight="1">
      <c r="B235" s="349">
        <v>21</v>
      </c>
      <c r="C235" s="382"/>
      <c r="D235" s="1459" t="str">
        <f ca="1">IF(C235=ROWS(D$215:D235),RAND(),"")</f>
        <v/>
      </c>
      <c r="E235" s="382" t="str">
        <f>IF(C235=ROWS(E$215:E235),RANK(D235,$D$215:$D$239),"")</f>
        <v/>
      </c>
      <c r="F235" s="1515"/>
      <c r="G235" s="1363"/>
      <c r="H235" s="1394" t="str">
        <f>IF(F235=ROWS(H$215:H235),RANK(G235,$G$215:$G$239),"")</f>
        <v/>
      </c>
      <c r="I235" s="1459" t="str">
        <f ca="1">IF(H235=ROWS(I$215:I235),RAND(),"")</f>
        <v/>
      </c>
      <c r="J235" s="382" t="str">
        <f>IF(H235=ROWS(J$215:J235),RANK(I235,$I$215:$I$239),"")</f>
        <v/>
      </c>
      <c r="K235" s="382"/>
      <c r="L235" s="1516"/>
      <c r="M235" s="1394">
        <v>21</v>
      </c>
      <c r="N235" s="1459">
        <f ca="1">IF(M235=ROWS(N$215:N235),RAND(),"")</f>
        <v>0.95605372593314841</v>
      </c>
      <c r="O235" s="382">
        <f ca="1">IF(M235=ROWS(O$215:O235),RANK(N235,$N$215:$N$239),"")</f>
        <v>2</v>
      </c>
      <c r="P235" s="1338" t="s">
        <v>7295</v>
      </c>
      <c r="Q235" s="1363" t="str">
        <f t="shared" ca="1" si="70"/>
        <v>Crown of Madness</v>
      </c>
      <c r="R235" s="1394"/>
      <c r="S235" s="1459" t="str">
        <f ca="1">IF(R235=ROWS(S$215:S235),RAND(),"")</f>
        <v/>
      </c>
      <c r="T235" s="382" t="str">
        <f>IF(R235=ROWS(T$215:T235),RANK(S235,$S$215:$S$239),"")</f>
        <v/>
      </c>
      <c r="U235" s="368"/>
      <c r="V235" s="1363"/>
      <c r="W235" s="1394"/>
      <c r="X235" s="1459" t="str">
        <f ca="1">IF(W235=ROWS(X$215:X235),RAND(),"")</f>
        <v/>
      </c>
      <c r="Y235" s="382" t="str">
        <f>IF(W235=ROWS(Y$215:Y235),RANK(X235,$X$215:$X$239),"")</f>
        <v/>
      </c>
      <c r="Z235" s="368"/>
      <c r="AA235" s="1363"/>
      <c r="AB235" s="1394"/>
      <c r="AC235" s="1459" t="str">
        <f ca="1">IF(AB235=ROWS(AC$215:AC235),RAND(),"")</f>
        <v/>
      </c>
      <c r="AD235" s="382" t="str">
        <f>IF(AB235=ROWS(AD$215:AD235),RANK(AC235,$AC$215:$AC$239),"")</f>
        <v/>
      </c>
      <c r="AE235" s="368"/>
      <c r="AF235" s="1363"/>
      <c r="AG235" s="1394"/>
      <c r="AH235" s="1459" t="str">
        <f ca="1">IF(AG235=ROWS(AH$215:AH235),RAND(),"")</f>
        <v/>
      </c>
      <c r="AI235" s="382" t="str">
        <f>IF(AG235=ROWS(AI$215:AI235),RANK(AH235,$AH$215:$AH$224),"")</f>
        <v/>
      </c>
      <c r="AJ235" s="368"/>
      <c r="AK235" s="1363"/>
      <c r="AL235" s="1394"/>
      <c r="AM235" s="1459" t="str">
        <f ca="1">IF(AL235=ROWS(AM$215:AM235),RAND(),"")</f>
        <v/>
      </c>
      <c r="AN235" s="382" t="str">
        <f>IF(AL235=ROWS(AN$215:AN235),RANK(AM235,$AH$215:$AH$224),"")</f>
        <v/>
      </c>
      <c r="AO235" s="368"/>
      <c r="AP235" s="1363"/>
      <c r="AQ235" s="1394"/>
      <c r="AR235" s="1459" t="str">
        <f ca="1">IF(AQ235=ROWS(AR$215:AR235),RAND(),"")</f>
        <v/>
      </c>
      <c r="AS235" s="382" t="str">
        <f>IF(AQ235=ROWS(AS$215:AS235),RANK(AR235,$AH$215:$AH$224),"")</f>
        <v/>
      </c>
      <c r="AT235" s="368"/>
      <c r="AU235" s="1363"/>
      <c r="AV235" s="1394"/>
      <c r="AW235" s="1459" t="str">
        <f ca="1">IF(AV235=ROWS(AW$215:AW235),RAND(),"")</f>
        <v/>
      </c>
      <c r="AX235" s="382" t="str">
        <f>IF(AV235=ROWS(AX$215:AX235),RANK(AW235,$AH$215:$AH$224),"")</f>
        <v/>
      </c>
      <c r="AY235" s="368"/>
      <c r="AZ235" s="1363"/>
      <c r="BA235" s="273"/>
      <c r="BB235" s="273"/>
      <c r="BD235" s="1335"/>
      <c r="BF235" s="273"/>
      <c r="BG235" s="273"/>
      <c r="BI235" s="1335"/>
      <c r="BK235" s="273"/>
      <c r="BL235" s="273"/>
      <c r="BS235" s="271" t="s">
        <v>1287</v>
      </c>
    </row>
    <row r="236" spans="2:83" ht="12" customHeight="1">
      <c r="B236" s="349">
        <v>22</v>
      </c>
      <c r="C236" s="382"/>
      <c r="D236" s="1459" t="str">
        <f ca="1">IF(C236=ROWS(D$215:D236),RAND(),"")</f>
        <v/>
      </c>
      <c r="E236" s="382" t="str">
        <f>IF(C236=ROWS(E$215:E236),RANK(D236,$D$215:$D$239),"")</f>
        <v/>
      </c>
      <c r="F236" s="1515"/>
      <c r="G236" s="1363"/>
      <c r="H236" s="1394" t="str">
        <f>IF(F236=ROWS(H$215:H236),RANK(G236,$G$215:$G$239),"")</f>
        <v/>
      </c>
      <c r="I236" s="1459" t="str">
        <f ca="1">IF(H236=ROWS(I$215:I236),RAND(),"")</f>
        <v/>
      </c>
      <c r="J236" s="382" t="str">
        <f>IF(H236=ROWS(J$215:J236),RANK(I236,$I$215:$I$239),"")</f>
        <v/>
      </c>
      <c r="K236" s="382"/>
      <c r="L236" s="1516"/>
      <c r="M236" s="1394">
        <v>22</v>
      </c>
      <c r="N236" s="1459">
        <f ca="1">IF(M236=ROWS(N$215:N236),RAND(),"")</f>
        <v>0.88407557666438563</v>
      </c>
      <c r="O236" s="382">
        <f ca="1">IF(M236=ROWS(O$215:O236),RANK(N236,$N$215:$N$239),"")</f>
        <v>3</v>
      </c>
      <c r="P236" s="1338" t="s">
        <v>2915</v>
      </c>
      <c r="Q236" s="1363" t="str">
        <f t="shared" ca="1" si="70"/>
        <v>Scorching Ray</v>
      </c>
      <c r="R236" s="1394"/>
      <c r="S236" s="1459" t="str">
        <f ca="1">IF(R236=ROWS(S$215:S236),RAND(),"")</f>
        <v/>
      </c>
      <c r="T236" s="382" t="str">
        <f>IF(R236=ROWS(T$215:T236),RANK(S236,$S$215:$S$239),"")</f>
        <v/>
      </c>
      <c r="U236" s="368"/>
      <c r="V236" s="1363"/>
      <c r="W236" s="1394"/>
      <c r="X236" s="1459" t="str">
        <f ca="1">IF(W236=ROWS(X$215:X236),RAND(),"")</f>
        <v/>
      </c>
      <c r="Y236" s="382" t="str">
        <f>IF(W236=ROWS(Y$215:Y236),RANK(X236,$X$215:$X$239),"")</f>
        <v/>
      </c>
      <c r="Z236" s="368"/>
      <c r="AA236" s="1363"/>
      <c r="AB236" s="1394"/>
      <c r="AC236" s="1459" t="str">
        <f ca="1">IF(AB236=ROWS(AC$215:AC236),RAND(),"")</f>
        <v/>
      </c>
      <c r="AD236" s="382" t="str">
        <f>IF(AB236=ROWS(AD$215:AD236),RANK(AC236,$AC$215:$AC$239),"")</f>
        <v/>
      </c>
      <c r="AE236" s="368"/>
      <c r="AF236" s="1363"/>
      <c r="AG236" s="1394"/>
      <c r="AH236" s="1459" t="str">
        <f ca="1">IF(AG236=ROWS(AH$215:AH236),RAND(),"")</f>
        <v/>
      </c>
      <c r="AI236" s="382" t="str">
        <f>IF(AG236=ROWS(AI$215:AI236),RANK(AH236,$AH$215:$AH$224),"")</f>
        <v/>
      </c>
      <c r="AJ236" s="368"/>
      <c r="AK236" s="1363"/>
      <c r="AL236" s="1394"/>
      <c r="AM236" s="1459" t="str">
        <f ca="1">IF(AL236=ROWS(AM$215:AM236),RAND(),"")</f>
        <v/>
      </c>
      <c r="AN236" s="382" t="str">
        <f>IF(AL236=ROWS(AN$215:AN236),RANK(AM236,$AH$215:$AH$224),"")</f>
        <v/>
      </c>
      <c r="AO236" s="368"/>
      <c r="AP236" s="1363"/>
      <c r="AQ236" s="1394"/>
      <c r="AR236" s="1459" t="str">
        <f ca="1">IF(AQ236=ROWS(AR$215:AR236),RAND(),"")</f>
        <v/>
      </c>
      <c r="AS236" s="382" t="str">
        <f>IF(AQ236=ROWS(AS$215:AS236),RANK(AR236,$AH$215:$AH$224),"")</f>
        <v/>
      </c>
      <c r="AT236" s="368"/>
      <c r="AU236" s="1363"/>
      <c r="AV236" s="1394"/>
      <c r="AW236" s="1459" t="str">
        <f ca="1">IF(AV236=ROWS(AW$215:AW236),RAND(),"")</f>
        <v/>
      </c>
      <c r="AX236" s="382" t="str">
        <f>IF(AV236=ROWS(AX$215:AX236),RANK(AW236,$AH$215:$AH$224),"")</f>
        <v/>
      </c>
      <c r="AY236" s="368"/>
      <c r="AZ236" s="1363"/>
      <c r="BA236" s="273"/>
      <c r="BB236" s="273"/>
      <c r="BD236" s="1335"/>
      <c r="BF236" s="273"/>
      <c r="BG236" s="273"/>
      <c r="BI236" s="1335"/>
      <c r="BK236" s="273"/>
      <c r="BL236" s="273"/>
      <c r="BS236" s="271" t="s">
        <v>1287</v>
      </c>
    </row>
    <row r="237" spans="2:83" ht="12" customHeight="1">
      <c r="B237" s="349">
        <v>23</v>
      </c>
      <c r="C237" s="382"/>
      <c r="D237" s="1459" t="str">
        <f ca="1">IF(C237=ROWS(D$215:D237),RAND(),"")</f>
        <v/>
      </c>
      <c r="E237" s="382" t="str">
        <f>IF(C237=ROWS(E$215:E237),RANK(D237,$D$215:$D$239),"")</f>
        <v/>
      </c>
      <c r="F237" s="1515"/>
      <c r="G237" s="1363"/>
      <c r="H237" s="1394" t="str">
        <f>IF(F237=ROWS(H$215:H237),RANK(G237,$G$215:$G$239),"")</f>
        <v/>
      </c>
      <c r="I237" s="1459" t="str">
        <f ca="1">IF(H237=ROWS(I$215:I237),RAND(),"")</f>
        <v/>
      </c>
      <c r="J237" s="382" t="str">
        <f>IF(H237=ROWS(J$215:J237),RANK(I237,$I$215:$I$239),"")</f>
        <v/>
      </c>
      <c r="K237" s="382"/>
      <c r="L237" s="1516"/>
      <c r="M237" s="1394">
        <v>23</v>
      </c>
      <c r="N237" s="1459">
        <f ca="1">IF(M237=ROWS(N$215:N237),RAND(),"")</f>
        <v>2.6883278627593654E-2</v>
      </c>
      <c r="O237" s="382">
        <f ca="1">IF(M237=ROWS(O$215:O237),RANK(N237,$N$215:$N$239),"")</f>
        <v>24</v>
      </c>
      <c r="P237" s="1338" t="s">
        <v>7300</v>
      </c>
      <c r="Q237" s="1363" t="str">
        <f t="shared" ca="1" si="70"/>
        <v>Detect Thoughts</v>
      </c>
      <c r="R237" s="1394"/>
      <c r="S237" s="1459" t="str">
        <f ca="1">IF(R237=ROWS(S$215:S237),RAND(),"")</f>
        <v/>
      </c>
      <c r="T237" s="382" t="str">
        <f>IF(R237=ROWS(T$215:T237),RANK(S237,$S$215:$S$239),"")</f>
        <v/>
      </c>
      <c r="U237" s="368"/>
      <c r="V237" s="1363"/>
      <c r="W237" s="1394"/>
      <c r="X237" s="1459" t="str">
        <f ca="1">IF(W237=ROWS(X$215:X237),RAND(),"")</f>
        <v/>
      </c>
      <c r="Y237" s="382" t="str">
        <f>IF(W237=ROWS(Y$215:Y237),RANK(X237,$X$215:$X$239),"")</f>
        <v/>
      </c>
      <c r="Z237" s="368"/>
      <c r="AA237" s="1363"/>
      <c r="AB237" s="1394"/>
      <c r="AC237" s="1459" t="str">
        <f ca="1">IF(AB237=ROWS(AC$215:AC237),RAND(),"")</f>
        <v/>
      </c>
      <c r="AD237" s="382" t="str">
        <f>IF(AB237=ROWS(AD$215:AD237),RANK(AC237,$AC$215:$AC$239),"")</f>
        <v/>
      </c>
      <c r="AE237" s="368"/>
      <c r="AF237" s="1363"/>
      <c r="AG237" s="1394"/>
      <c r="AH237" s="1459" t="str">
        <f ca="1">IF(AG237=ROWS(AH$215:AH237),RAND(),"")</f>
        <v/>
      </c>
      <c r="AI237" s="382" t="str">
        <f>IF(AG237=ROWS(AI$215:AI237),RANK(AH237,$AH$215:$AH$224),"")</f>
        <v/>
      </c>
      <c r="AJ237" s="368"/>
      <c r="AK237" s="1363"/>
      <c r="AL237" s="1394"/>
      <c r="AM237" s="1459" t="str">
        <f ca="1">IF(AL237=ROWS(AM$215:AM237),RAND(),"")</f>
        <v/>
      </c>
      <c r="AN237" s="382" t="str">
        <f>IF(AL237=ROWS(AN$215:AN237),RANK(AM237,$AH$215:$AH$224),"")</f>
        <v/>
      </c>
      <c r="AO237" s="368"/>
      <c r="AP237" s="1363"/>
      <c r="AQ237" s="1394"/>
      <c r="AR237" s="1459" t="str">
        <f ca="1">IF(AQ237=ROWS(AR$215:AR237),RAND(),"")</f>
        <v/>
      </c>
      <c r="AS237" s="382" t="str">
        <f>IF(AQ237=ROWS(AS$215:AS237),RANK(AR237,$AH$215:$AH$224),"")</f>
        <v/>
      </c>
      <c r="AT237" s="368"/>
      <c r="AU237" s="1363"/>
      <c r="AV237" s="1394"/>
      <c r="AW237" s="1459" t="str">
        <f ca="1">IF(AV237=ROWS(AW$215:AW237),RAND(),"")</f>
        <v/>
      </c>
      <c r="AX237" s="382" t="str">
        <f>IF(AV237=ROWS(AX$215:AX237),RANK(AW237,$AH$215:$AH$224),"")</f>
        <v/>
      </c>
      <c r="AY237" s="368"/>
      <c r="AZ237" s="1363"/>
      <c r="BA237" s="273"/>
      <c r="BB237" s="273"/>
      <c r="BD237" s="1335"/>
      <c r="BF237" s="273"/>
      <c r="BG237" s="273"/>
      <c r="BI237" s="1335"/>
      <c r="BK237" s="273"/>
      <c r="BL237" s="273"/>
      <c r="BS237" s="271" t="s">
        <v>1287</v>
      </c>
    </row>
    <row r="238" spans="2:83" ht="12" customHeight="1">
      <c r="B238" s="349">
        <v>24</v>
      </c>
      <c r="C238" s="382"/>
      <c r="D238" s="1459" t="str">
        <f ca="1">IF(C238=ROWS(D$215:D238),RAND(),"")</f>
        <v/>
      </c>
      <c r="E238" s="382" t="str">
        <f>IF(C238=ROWS(E$215:E238),RANK(D238,$D$215:$D$239),"")</f>
        <v/>
      </c>
      <c r="F238" s="1515"/>
      <c r="G238" s="1363"/>
      <c r="H238" s="1394" t="str">
        <f>IF(F238=ROWS(H$215:H238),RANK(G238,$G$215:$G$239),"")</f>
        <v/>
      </c>
      <c r="I238" s="1459" t="str">
        <f ca="1">IF(H238=ROWS(I$215:I238),RAND(),"")</f>
        <v/>
      </c>
      <c r="J238" s="382" t="str">
        <f>IF(H238=ROWS(J$215:J238),RANK(I238,$I$215:$I$239),"")</f>
        <v/>
      </c>
      <c r="K238" s="382"/>
      <c r="L238" s="1516"/>
      <c r="M238" s="1394">
        <v>24</v>
      </c>
      <c r="N238" s="1459">
        <f ca="1">IF(M238=ROWS(N$215:N238),RAND(),"")</f>
        <v>0.57299120792969915</v>
      </c>
      <c r="O238" s="382">
        <f ca="1">IF(M238=ROWS(O$215:O238),RANK(N238,$N$215:$N$239),"")</f>
        <v>15</v>
      </c>
      <c r="P238" s="1338" t="s">
        <v>7449</v>
      </c>
      <c r="Q238" s="1363" t="str">
        <f t="shared" ca="1" si="70"/>
        <v>Suggestion</v>
      </c>
      <c r="R238" s="1394"/>
      <c r="S238" s="1459" t="str">
        <f ca="1">IF(R238=ROWS(S$215:S238),RAND(),"")</f>
        <v/>
      </c>
      <c r="T238" s="382" t="str">
        <f>IF(R238=ROWS(T$215:T238),RANK(S238,$S$215:$S$239),"")</f>
        <v/>
      </c>
      <c r="U238" s="368"/>
      <c r="V238" s="1363"/>
      <c r="W238" s="1394"/>
      <c r="X238" s="1459" t="str">
        <f ca="1">IF(W238=ROWS(X$215:X238),RAND(),"")</f>
        <v/>
      </c>
      <c r="Y238" s="382" t="str">
        <f>IF(W238=ROWS(Y$215:Y238),RANK(X238,$X$215:$X$239),"")</f>
        <v/>
      </c>
      <c r="Z238" s="368"/>
      <c r="AA238" s="1363"/>
      <c r="AB238" s="1394"/>
      <c r="AC238" s="1459" t="str">
        <f ca="1">IF(AB238=ROWS(AC$215:AC238),RAND(),"")</f>
        <v/>
      </c>
      <c r="AD238" s="382" t="str">
        <f>IF(AB238=ROWS(AD$215:AD238),RANK(AC238,$AC$215:$AC$239),"")</f>
        <v/>
      </c>
      <c r="AE238" s="368"/>
      <c r="AF238" s="1363"/>
      <c r="AG238" s="1394"/>
      <c r="AH238" s="1459" t="str">
        <f ca="1">IF(AG238=ROWS(AH$215:AH238),RAND(),"")</f>
        <v/>
      </c>
      <c r="AI238" s="382" t="str">
        <f>IF(AG238=ROWS(AI$215:AI238),RANK(AH238,$AH$215:$AH$224),"")</f>
        <v/>
      </c>
      <c r="AJ238" s="368"/>
      <c r="AK238" s="1363"/>
      <c r="AL238" s="1394"/>
      <c r="AM238" s="1459" t="str">
        <f ca="1">IF(AL238=ROWS(AM$215:AM238),RAND(),"")</f>
        <v/>
      </c>
      <c r="AN238" s="382" t="str">
        <f>IF(AL238=ROWS(AN$215:AN238),RANK(AM238,$AH$215:$AH$224),"")</f>
        <v/>
      </c>
      <c r="AO238" s="368"/>
      <c r="AP238" s="1363"/>
      <c r="AQ238" s="1394"/>
      <c r="AR238" s="1459" t="str">
        <f ca="1">IF(AQ238=ROWS(AR$215:AR238),RAND(),"")</f>
        <v/>
      </c>
      <c r="AS238" s="382" t="str">
        <f>IF(AQ238=ROWS(AS$215:AS238),RANK(AR238,$AH$215:$AH$224),"")</f>
        <v/>
      </c>
      <c r="AT238" s="368"/>
      <c r="AU238" s="1363"/>
      <c r="AV238" s="1394"/>
      <c r="AW238" s="1459" t="str">
        <f ca="1">IF(AV238=ROWS(AW$215:AW238),RAND(),"")</f>
        <v/>
      </c>
      <c r="AX238" s="382" t="str">
        <f>IF(AV238=ROWS(AX$215:AX238),RANK(AW238,$AH$215:$AH$224),"")</f>
        <v/>
      </c>
      <c r="AY238" s="368"/>
      <c r="AZ238" s="1363"/>
      <c r="BA238" s="273"/>
      <c r="BB238" s="273"/>
      <c r="BD238" s="1335"/>
      <c r="BF238" s="273"/>
      <c r="BG238" s="273"/>
      <c r="BI238" s="1335"/>
      <c r="BK238" s="273"/>
      <c r="BL238" s="273"/>
      <c r="BW238" s="271"/>
      <c r="BX238" s="271"/>
      <c r="BY238" s="271"/>
      <c r="BZ238" s="271"/>
      <c r="CA238" s="271"/>
      <c r="CB238" s="271"/>
      <c r="CC238" s="271"/>
      <c r="CD238" s="271"/>
      <c r="CE238" s="271"/>
    </row>
    <row r="239" spans="2:83" ht="12" customHeight="1" thickBot="1">
      <c r="B239" s="1517">
        <v>25</v>
      </c>
      <c r="C239" s="1348"/>
      <c r="D239" s="1467" t="str">
        <f ca="1">IF(C239=ROWS(D$215:D239),RAND(),"")</f>
        <v/>
      </c>
      <c r="E239" s="382" t="str">
        <f>IF(C239=ROWS(E$215:E239),RANK(D239,$D$215:$D$239),"")</f>
        <v/>
      </c>
      <c r="F239" s="1518"/>
      <c r="G239" s="1429"/>
      <c r="H239" s="1426" t="str">
        <f>IF(F239=ROWS(H$215:H239),RANK(G239,$G$215:$G$239),"")</f>
        <v/>
      </c>
      <c r="I239" s="1481" t="str">
        <f ca="1">IF(H239=ROWS(I$215:I239),RAND(),"")</f>
        <v/>
      </c>
      <c r="J239" s="1348" t="str">
        <f>IF(H239=ROWS(J$215:J239),RANK(I239,$I$215:$I$239),"")</f>
        <v/>
      </c>
      <c r="K239" s="1348"/>
      <c r="L239" s="1519"/>
      <c r="M239" s="1426" t="str">
        <f>IF(K239=ROWS(M$215:M239),RANK(L239,$G$215:$G$239),"")</f>
        <v/>
      </c>
      <c r="N239" s="1481" t="str">
        <f ca="1">IF(M239=ROWS(N$215:N239),RAND(),"")</f>
        <v/>
      </c>
      <c r="O239" s="1348" t="str">
        <f>IF(M239=ROWS(O$215:O239),RANK(N239,$N$215:$N$239),"")</f>
        <v/>
      </c>
      <c r="P239" s="1348"/>
      <c r="Q239" s="1429"/>
      <c r="R239" s="1426" t="str">
        <f>IF(P239=ROWS(R$215:R239),RANK(Q239,$G$215:$G$239),"")</f>
        <v/>
      </c>
      <c r="S239" s="1481" t="str">
        <f ca="1">IF(R239=ROWS(S$215:S239),RAND(),"")</f>
        <v/>
      </c>
      <c r="T239" s="1348" t="str">
        <f>IF(R239=ROWS(T$215:T239),RANK(S239,$N$215:$N$239),"")</f>
        <v/>
      </c>
      <c r="U239" s="1348"/>
      <c r="V239" s="1429"/>
      <c r="W239" s="1426" t="str">
        <f>IF(U239=ROWS(W$215:W239),RANK(V239,$G$215:$G$239),"")</f>
        <v/>
      </c>
      <c r="X239" s="1481" t="str">
        <f ca="1">IF(W239=ROWS(X$215:X239),RAND(),"")</f>
        <v/>
      </c>
      <c r="Y239" s="1348" t="str">
        <f>IF(W239=ROWS(Y$215:Y239),RANK(X239,$X$215:$X$239),"")</f>
        <v/>
      </c>
      <c r="Z239" s="1348"/>
      <c r="AA239" s="1429"/>
      <c r="AB239" s="1426" t="str">
        <f>IF(Z239=ROWS(AB$215:AB239),RANK(AA239,$G$215:$G$239),"")</f>
        <v/>
      </c>
      <c r="AC239" s="1481" t="str">
        <f ca="1">IF(AB239=ROWS(AC$215:AC239),RAND(),"")</f>
        <v/>
      </c>
      <c r="AD239" s="1348" t="str">
        <f>IF(AB239=ROWS(AD$215:AD239),RANK(AC239,$AC$215:$AC$239),"")</f>
        <v/>
      </c>
      <c r="AE239" s="1348"/>
      <c r="AF239" s="1429"/>
      <c r="AG239" s="1426" t="str">
        <f>IF(AE239=ROWS(AG$215:AG239),RANK(AF239,$G$215:$G$239),"")</f>
        <v/>
      </c>
      <c r="AH239" s="1481" t="str">
        <f ca="1">IF(AG239=ROWS(AH$215:AH239),RAND(),"")</f>
        <v/>
      </c>
      <c r="AI239" s="1348" t="str">
        <f>IF(AG239=ROWS(AI$215:AI239),RANK(AH239,$AH$215:$AH$224),"")</f>
        <v/>
      </c>
      <c r="AJ239" s="1348"/>
      <c r="AK239" s="1429"/>
      <c r="AL239" s="1426" t="str">
        <f>IF(AJ239=ROWS(AL$215:AL239),RANK(AK239,$G$215:$G$239),"")</f>
        <v/>
      </c>
      <c r="AM239" s="1481" t="str">
        <f ca="1">IF(AL239=ROWS(AM$215:AM239),RAND(),"")</f>
        <v/>
      </c>
      <c r="AN239" s="1348" t="str">
        <f>IF(AL239=ROWS(AN$215:AN239),RANK(AM239,$AH$215:$AH$224),"")</f>
        <v/>
      </c>
      <c r="AO239" s="1348"/>
      <c r="AP239" s="1429"/>
      <c r="AQ239" s="1426" t="str">
        <f>IF(AO239=ROWS(AQ$215:AQ239),RANK(AP239,$G$215:$G$239),"")</f>
        <v/>
      </c>
      <c r="AR239" s="1481" t="str">
        <f ca="1">IF(AQ239=ROWS(AR$215:AR239),RAND(),"")</f>
        <v/>
      </c>
      <c r="AS239" s="1348" t="str">
        <f>IF(AQ239=ROWS(AS$215:AS239),RANK(AR239,$AH$215:$AH$224),"")</f>
        <v/>
      </c>
      <c r="AT239" s="1348"/>
      <c r="AU239" s="1429"/>
      <c r="AV239" s="1426" t="str">
        <f>IF(AT239=ROWS(AV$215:AV239),RANK(AU239,$G$215:$G$239),"")</f>
        <v/>
      </c>
      <c r="AW239" s="1481" t="str">
        <f ca="1">IF(AV239=ROWS(AW$215:AW239),RAND(),"")</f>
        <v/>
      </c>
      <c r="AX239" s="1348" t="str">
        <f>IF(AV239=ROWS(AX$215:AX239),RANK(AW239,$AH$215:$AH$224),"")</f>
        <v/>
      </c>
      <c r="AY239" s="1348"/>
      <c r="AZ239" s="1429"/>
      <c r="BA239" s="273"/>
      <c r="BB239" s="273"/>
      <c r="BD239" s="1335"/>
      <c r="BF239" s="273"/>
      <c r="BG239" s="273"/>
      <c r="BI239" s="1335"/>
      <c r="BK239" s="273"/>
      <c r="BL239" s="273"/>
      <c r="BS239" s="271" t="s">
        <v>1287</v>
      </c>
    </row>
    <row r="240" spans="2:83" s="271" customFormat="1" ht="12" customHeight="1" thickTop="1">
      <c r="B240" s="3308" t="s">
        <v>7303</v>
      </c>
      <c r="C240" s="3309"/>
      <c r="D240" s="1355"/>
      <c r="E240" s="1355"/>
      <c r="F240" s="1355"/>
      <c r="G240" s="1520"/>
      <c r="I240" s="273"/>
      <c r="J240" s="273"/>
      <c r="L240" s="1335"/>
      <c r="N240" s="273"/>
      <c r="O240" s="273"/>
      <c r="Q240" s="1335"/>
      <c r="T240" s="273"/>
      <c r="U240" s="273"/>
      <c r="V240" s="273"/>
      <c r="W240" s="273"/>
      <c r="Y240" s="1335"/>
      <c r="AB240" s="273"/>
      <c r="AC240" s="273"/>
      <c r="AD240" s="273"/>
      <c r="AE240" s="273"/>
      <c r="AG240" s="1335"/>
      <c r="AI240" s="273"/>
      <c r="AJ240" s="273"/>
      <c r="AK240" s="273"/>
      <c r="AL240" s="273"/>
      <c r="AM240" s="273"/>
      <c r="AO240" s="1335"/>
      <c r="AQ240" s="273"/>
      <c r="AR240" s="273"/>
      <c r="AT240" s="1335"/>
      <c r="AV240" s="273"/>
      <c r="AW240" s="273"/>
      <c r="AY240" s="1335"/>
      <c r="BA240" s="273"/>
      <c r="BB240" s="273"/>
      <c r="BD240" s="1335"/>
      <c r="BF240" s="273"/>
      <c r="BG240" s="273"/>
      <c r="BI240" s="1335"/>
      <c r="BK240" s="273"/>
      <c r="BL240" s="273"/>
    </row>
    <row r="241" spans="2:74" ht="12" customHeight="1" thickBot="1">
      <c r="BG241" s="271" t="s">
        <v>1287</v>
      </c>
    </row>
    <row r="242" spans="2:74" ht="12" customHeight="1" thickTop="1" thickBot="1">
      <c r="B242" s="3330" t="s">
        <v>7646</v>
      </c>
      <c r="C242" s="3331"/>
      <c r="D242" s="3331"/>
      <c r="E242" s="3331"/>
      <c r="F242" s="3331"/>
      <c r="G242" s="3332"/>
      <c r="H242" s="3330" t="s">
        <v>7647</v>
      </c>
      <c r="I242" s="3331"/>
      <c r="J242" s="3331"/>
      <c r="K242" s="3331"/>
      <c r="L242" s="3332"/>
      <c r="M242" s="3344" t="s">
        <v>7648</v>
      </c>
      <c r="N242" s="2862"/>
      <c r="O242" s="2862"/>
      <c r="P242" s="2862"/>
      <c r="Q242" s="3345"/>
      <c r="R242" s="3344" t="s">
        <v>7649</v>
      </c>
      <c r="S242" s="2862"/>
      <c r="T242" s="2862"/>
      <c r="U242" s="2862"/>
      <c r="V242" s="3345"/>
      <c r="W242" s="3344" t="s">
        <v>7650</v>
      </c>
      <c r="X242" s="2862"/>
      <c r="Y242" s="2862"/>
      <c r="Z242" s="2862"/>
      <c r="AA242" s="3345"/>
      <c r="AB242" s="3344" t="s">
        <v>7651</v>
      </c>
      <c r="AC242" s="2862"/>
      <c r="AD242" s="2862"/>
      <c r="AE242" s="2862"/>
      <c r="AF242" s="3345"/>
      <c r="AG242" s="3344" t="s">
        <v>7652</v>
      </c>
      <c r="AH242" s="2862"/>
      <c r="AI242" s="2862"/>
      <c r="AJ242" s="2862"/>
      <c r="AK242" s="3345"/>
      <c r="AL242" s="3344" t="s">
        <v>7653</v>
      </c>
      <c r="AM242" s="2862"/>
      <c r="AN242" s="2862"/>
      <c r="AO242" s="2862"/>
      <c r="AP242" s="3345"/>
      <c r="AQ242" s="3344" t="s">
        <v>7654</v>
      </c>
      <c r="AR242" s="2862"/>
      <c r="AS242" s="2862"/>
      <c r="AT242" s="2862"/>
      <c r="AU242" s="3345"/>
      <c r="AV242" s="3344" t="s">
        <v>7655</v>
      </c>
      <c r="AW242" s="3346"/>
      <c r="AX242" s="3346"/>
      <c r="AY242" s="3346"/>
      <c r="AZ242" s="3347"/>
      <c r="BA242" s="272"/>
      <c r="BK242" s="272"/>
      <c r="BL242" s="272"/>
      <c r="BM242" s="272"/>
      <c r="BN242" s="272"/>
      <c r="BO242" s="272"/>
      <c r="BP242" s="625" t="s">
        <v>6042</v>
      </c>
      <c r="BQ242" s="625" t="s">
        <v>7656</v>
      </c>
      <c r="BR242" s="272"/>
      <c r="BS242" s="272"/>
      <c r="BT242" s="272"/>
      <c r="BU242" s="272"/>
      <c r="BV242" s="272"/>
    </row>
    <row r="243" spans="2:74" ht="12" customHeight="1" thickBot="1">
      <c r="B243" s="3333"/>
      <c r="C243" s="2932"/>
      <c r="D243" s="2932"/>
      <c r="E243" s="2932"/>
      <c r="F243" s="2932"/>
      <c r="G243" s="3334"/>
      <c r="H243" s="3333"/>
      <c r="I243" s="2932"/>
      <c r="J243" s="2932"/>
      <c r="K243" s="2932"/>
      <c r="L243" s="3334"/>
      <c r="M243" s="3333"/>
      <c r="N243" s="2932"/>
      <c r="O243" s="2932"/>
      <c r="P243" s="2932"/>
      <c r="Q243" s="3334"/>
      <c r="R243" s="3333"/>
      <c r="S243" s="2932"/>
      <c r="T243" s="2932"/>
      <c r="U243" s="2932"/>
      <c r="V243" s="3334"/>
      <c r="W243" s="3333"/>
      <c r="X243" s="2932"/>
      <c r="Y243" s="2932"/>
      <c r="Z243" s="2932"/>
      <c r="AA243" s="3334"/>
      <c r="AB243" s="3333"/>
      <c r="AC243" s="2932"/>
      <c r="AD243" s="2932"/>
      <c r="AE243" s="2932"/>
      <c r="AF243" s="3334"/>
      <c r="AG243" s="3333"/>
      <c r="AH243" s="2932"/>
      <c r="AI243" s="2932"/>
      <c r="AJ243" s="2932"/>
      <c r="AK243" s="3334"/>
      <c r="AL243" s="3333"/>
      <c r="AM243" s="2932"/>
      <c r="AN243" s="2932"/>
      <c r="AO243" s="2932"/>
      <c r="AP243" s="3334"/>
      <c r="AQ243" s="3333"/>
      <c r="AR243" s="2932"/>
      <c r="AS243" s="2932"/>
      <c r="AT243" s="2932"/>
      <c r="AU243" s="3334"/>
      <c r="AV243" s="3348"/>
      <c r="AW243" s="3349"/>
      <c r="AX243" s="3349"/>
      <c r="AY243" s="3349"/>
      <c r="AZ243" s="3350"/>
      <c r="BA243" s="272"/>
      <c r="BB243" s="3316" t="s">
        <v>7657</v>
      </c>
      <c r="BC243" s="2862"/>
      <c r="BD243" s="2862"/>
      <c r="BE243" s="2862"/>
      <c r="BF243" s="2863"/>
      <c r="BI243" s="3341" t="str">
        <f>IF([1]MATH!C8=12,"WARLOCK SPELLS","NOT A WARLOCK")</f>
        <v>NOT A WARLOCK</v>
      </c>
      <c r="BJ243" s="2862"/>
      <c r="BK243" s="2863"/>
      <c r="BL243" s="1521"/>
      <c r="BM243" s="1522"/>
      <c r="BN243" s="272"/>
      <c r="BO243" s="272"/>
      <c r="BP243" s="625">
        <f>[1]MATH!D5</f>
        <v>7</v>
      </c>
      <c r="BQ243" s="625">
        <f>[1]SPELLS!AB6</f>
        <v>8</v>
      </c>
      <c r="BR243" s="272"/>
      <c r="BS243" s="272"/>
      <c r="BT243" s="272"/>
      <c r="BU243" s="272"/>
      <c r="BV243" s="272"/>
    </row>
    <row r="244" spans="2:74" ht="12" customHeight="1" thickBot="1">
      <c r="B244" s="1321" t="s">
        <v>7124</v>
      </c>
      <c r="C244" s="3351" t="s">
        <v>7169</v>
      </c>
      <c r="D244" s="3335" t="s">
        <v>6598</v>
      </c>
      <c r="E244" s="3335" t="s">
        <v>6592</v>
      </c>
      <c r="F244" s="3335" t="s">
        <v>7170</v>
      </c>
      <c r="G244" s="3314" t="s">
        <v>7318</v>
      </c>
      <c r="H244" s="3342" t="s">
        <v>7169</v>
      </c>
      <c r="I244" s="3314" t="s">
        <v>6598</v>
      </c>
      <c r="J244" s="3314" t="s">
        <v>6592</v>
      </c>
      <c r="K244" s="3314" t="s">
        <v>7172</v>
      </c>
      <c r="L244" s="3314" t="s">
        <v>7318</v>
      </c>
      <c r="M244" s="3314" t="s">
        <v>7169</v>
      </c>
      <c r="N244" s="3314" t="s">
        <v>6598</v>
      </c>
      <c r="O244" s="3314" t="s">
        <v>6592</v>
      </c>
      <c r="P244" s="3314" t="s">
        <v>7174</v>
      </c>
      <c r="Q244" s="3314" t="s">
        <v>7318</v>
      </c>
      <c r="R244" s="3314" t="s">
        <v>7169</v>
      </c>
      <c r="S244" s="3314" t="s">
        <v>6598</v>
      </c>
      <c r="T244" s="3314" t="s">
        <v>6592</v>
      </c>
      <c r="U244" s="3314" t="s">
        <v>7175</v>
      </c>
      <c r="V244" s="3314" t="s">
        <v>7318</v>
      </c>
      <c r="W244" s="3314" t="s">
        <v>7169</v>
      </c>
      <c r="X244" s="3314" t="s">
        <v>6598</v>
      </c>
      <c r="Y244" s="3314" t="s">
        <v>6592</v>
      </c>
      <c r="Z244" s="3314" t="s">
        <v>7176</v>
      </c>
      <c r="AA244" s="3314" t="s">
        <v>7318</v>
      </c>
      <c r="AB244" s="3314" t="s">
        <v>7169</v>
      </c>
      <c r="AC244" s="3314" t="s">
        <v>6598</v>
      </c>
      <c r="AD244" s="3314" t="s">
        <v>6592</v>
      </c>
      <c r="AE244" s="3314" t="s">
        <v>7177</v>
      </c>
      <c r="AF244" s="3314" t="s">
        <v>7318</v>
      </c>
      <c r="AG244" s="3314" t="s">
        <v>7169</v>
      </c>
      <c r="AH244" s="3314" t="s">
        <v>6598</v>
      </c>
      <c r="AI244" s="3314" t="s">
        <v>6592</v>
      </c>
      <c r="AJ244" s="3314" t="s">
        <v>7178</v>
      </c>
      <c r="AK244" s="3314" t="s">
        <v>7318</v>
      </c>
      <c r="AL244" s="3314" t="s">
        <v>7169</v>
      </c>
      <c r="AM244" s="3314" t="s">
        <v>6598</v>
      </c>
      <c r="AN244" s="3314" t="s">
        <v>6592</v>
      </c>
      <c r="AO244" s="3314" t="s">
        <v>7179</v>
      </c>
      <c r="AP244" s="3314" t="s">
        <v>7318</v>
      </c>
      <c r="AQ244" s="3314" t="s">
        <v>7169</v>
      </c>
      <c r="AR244" s="3314" t="s">
        <v>6598</v>
      </c>
      <c r="AS244" s="3314" t="s">
        <v>6592</v>
      </c>
      <c r="AT244" s="3314" t="s">
        <v>7180</v>
      </c>
      <c r="AU244" s="3314" t="s">
        <v>7318</v>
      </c>
      <c r="AV244" s="3342" t="s">
        <v>7169</v>
      </c>
      <c r="AW244" s="3314" t="s">
        <v>6598</v>
      </c>
      <c r="AX244" s="3314" t="s">
        <v>6592</v>
      </c>
      <c r="AY244" s="3314" t="s">
        <v>7327</v>
      </c>
      <c r="AZ244" s="3314" t="s">
        <v>7318</v>
      </c>
      <c r="BB244" s="2931"/>
      <c r="BC244" s="2932"/>
      <c r="BD244" s="2932"/>
      <c r="BE244" s="2932"/>
      <c r="BF244" s="2933"/>
      <c r="BI244" s="2931"/>
      <c r="BJ244" s="2932"/>
      <c r="BK244" s="2933"/>
      <c r="BL244" s="1523"/>
      <c r="BM244" s="1522"/>
      <c r="BN244" s="272"/>
      <c r="BO244" s="272"/>
      <c r="BP244" s="272"/>
      <c r="BQ244" s="272"/>
      <c r="BR244" s="272"/>
      <c r="BS244" s="272"/>
      <c r="BT244" s="272"/>
      <c r="BU244" s="272"/>
      <c r="BV244" s="272"/>
    </row>
    <row r="245" spans="2:74" ht="12" customHeight="1" thickBot="1">
      <c r="B245" s="1325">
        <f>COUNT(B246:B261)</f>
        <v>14</v>
      </c>
      <c r="C245" s="3352"/>
      <c r="D245" s="3336"/>
      <c r="E245" s="3336"/>
      <c r="F245" s="3336"/>
      <c r="G245" s="3315"/>
      <c r="H245" s="3343"/>
      <c r="I245" s="3315"/>
      <c r="J245" s="3315"/>
      <c r="K245" s="3315"/>
      <c r="L245" s="3315"/>
      <c r="M245" s="3315"/>
      <c r="N245" s="3315"/>
      <c r="O245" s="3315"/>
      <c r="P245" s="3315"/>
      <c r="Q245" s="3315"/>
      <c r="R245" s="3315"/>
      <c r="S245" s="3315"/>
      <c r="T245" s="3315"/>
      <c r="U245" s="3315"/>
      <c r="V245" s="3315"/>
      <c r="W245" s="3315"/>
      <c r="X245" s="3315"/>
      <c r="Y245" s="3315"/>
      <c r="Z245" s="3315"/>
      <c r="AA245" s="3315"/>
      <c r="AB245" s="3315"/>
      <c r="AC245" s="3315"/>
      <c r="AD245" s="3315"/>
      <c r="AE245" s="3315"/>
      <c r="AF245" s="3315"/>
      <c r="AG245" s="3315"/>
      <c r="AH245" s="3315"/>
      <c r="AI245" s="3315"/>
      <c r="AJ245" s="3315"/>
      <c r="AK245" s="3315"/>
      <c r="AL245" s="3315"/>
      <c r="AM245" s="3315"/>
      <c r="AN245" s="3315"/>
      <c r="AO245" s="3315"/>
      <c r="AP245" s="3315"/>
      <c r="AQ245" s="3315"/>
      <c r="AR245" s="3315"/>
      <c r="AS245" s="3315"/>
      <c r="AT245" s="3315"/>
      <c r="AU245" s="3315"/>
      <c r="AV245" s="3343"/>
      <c r="AW245" s="3315"/>
      <c r="AX245" s="3315"/>
      <c r="AY245" s="3315"/>
      <c r="AZ245" s="3315"/>
      <c r="BB245" s="1524" t="s">
        <v>7658</v>
      </c>
      <c r="BC245" s="1525" t="s">
        <v>7659</v>
      </c>
      <c r="BD245" s="1526" t="s">
        <v>6592</v>
      </c>
      <c r="BE245" s="1527" t="s">
        <v>7660</v>
      </c>
      <c r="BF245" s="1528" t="s">
        <v>7661</v>
      </c>
      <c r="BI245" s="1492" t="s">
        <v>7662</v>
      </c>
      <c r="BJ245" s="624" t="s">
        <v>7553</v>
      </c>
      <c r="BK245" s="625" t="s">
        <v>6042</v>
      </c>
      <c r="BL245" s="597"/>
      <c r="BM245" s="918"/>
      <c r="BN245" s="625" t="s">
        <v>6042</v>
      </c>
      <c r="BO245" s="625" t="s">
        <v>7663</v>
      </c>
      <c r="BP245" s="625" t="s">
        <v>6598</v>
      </c>
      <c r="BQ245" s="625" t="s">
        <v>6592</v>
      </c>
      <c r="BR245" s="625" t="s">
        <v>7553</v>
      </c>
      <c r="BS245" s="641" t="s">
        <v>7664</v>
      </c>
      <c r="BT245" s="3301" t="s">
        <v>7665</v>
      </c>
      <c r="BU245" s="3337"/>
      <c r="BV245" s="1529" t="s">
        <v>7666</v>
      </c>
    </row>
    <row r="246" spans="2:74" ht="12" customHeight="1">
      <c r="B246" s="1331">
        <v>1</v>
      </c>
      <c r="C246" s="1396">
        <v>1</v>
      </c>
      <c r="D246" s="1446">
        <f ca="1">IF(C246=ROWS(D$246:D246),RAND(),"")</f>
        <v>0.29302778013603226</v>
      </c>
      <c r="E246" s="382">
        <f ca="1">IF(C246=ROWS(E$246:E246),RANK(D246,$D$246:$D$259),"")</f>
        <v>9</v>
      </c>
      <c r="F246" s="368" t="s">
        <v>7183</v>
      </c>
      <c r="G246" s="1363" t="str">
        <f t="shared" ref="G246:G257" ca="1" si="76">VLOOKUP(C246,$E$246:$F$259,2,FALSE)</f>
        <v>Minor Illusion</v>
      </c>
      <c r="H246" s="1530">
        <f>ROWS(H$246:H246)</f>
        <v>1</v>
      </c>
      <c r="I246" s="896">
        <f ca="1">IF(H246=ROWS(I$246:I246),RAND(),"")</f>
        <v>0.37097039525738995</v>
      </c>
      <c r="J246" s="896">
        <f ca="1">IF(H246=ROWS(J$246:J246),RANK(I246,$I$246:$I$258),"")</f>
        <v>10</v>
      </c>
      <c r="K246" s="368" t="s">
        <v>7667</v>
      </c>
      <c r="L246" s="1379" t="str">
        <f ca="1">BT246</f>
        <v>Illusory Script</v>
      </c>
      <c r="M246" s="1531">
        <f>ROWS(M$246:M246)</f>
        <v>1</v>
      </c>
      <c r="N246" s="344">
        <f ca="1">IF(M246=ROWS(N$246:N246),RAND(),"")</f>
        <v>0.80202738213435087</v>
      </c>
      <c r="O246" s="1396">
        <f ca="1">IF(M246=ROWS(O$246:O246),RANK(N246,$N$246:$N$259),"")</f>
        <v>5</v>
      </c>
      <c r="P246" s="1532" t="s">
        <v>7213</v>
      </c>
      <c r="Q246" s="1461" t="str">
        <f ca="1">BT249</f>
        <v/>
      </c>
      <c r="R246" s="1531">
        <f>ROWS(A$246:A246)</f>
        <v>1</v>
      </c>
      <c r="S246" s="344">
        <f ca="1">IF(R246=ROWS(S$246:S246),RAND(),"")</f>
        <v>0.4481606631590761</v>
      </c>
      <c r="T246" s="1396">
        <f ca="1">IF(R246=ROWS(T$246:T246),RANK(S246,$S$246:$S$259),"")</f>
        <v>8</v>
      </c>
      <c r="U246" s="1532" t="s">
        <v>7524</v>
      </c>
      <c r="V246" s="1461" t="str">
        <f ca="1">BT251</f>
        <v>Major Image</v>
      </c>
      <c r="W246" s="896">
        <v>1</v>
      </c>
      <c r="X246" s="344">
        <f ca="1">IF(W246=ROWS(X$246:X246),RAND(),"")</f>
        <v>0.93884406279809085</v>
      </c>
      <c r="Y246" s="975">
        <f ca="1">IF(W246=ROWS(Y$246:Y246),RANK(X246,$X$246:$X$259),"")</f>
        <v>2</v>
      </c>
      <c r="Z246" s="368" t="s">
        <v>7332</v>
      </c>
      <c r="AA246" s="1461" t="str">
        <f ca="1">BT253</f>
        <v/>
      </c>
      <c r="AB246" s="896">
        <v>1</v>
      </c>
      <c r="AC246" s="344">
        <f ca="1">IF(AB246=ROWS(AC$246:AC246),RAND(),"")</f>
        <v>0.40017676136376368</v>
      </c>
      <c r="AD246" s="975">
        <f ca="1">IF(AB246=ROWS(AD$246:AD246),RANK(AC246,$AC$246:$AC$259),"")</f>
        <v>4</v>
      </c>
      <c r="AE246" s="368" t="s">
        <v>7668</v>
      </c>
      <c r="AF246" s="1533" t="str">
        <f>BT255</f>
        <v/>
      </c>
      <c r="AG246" s="1531">
        <v>1</v>
      </c>
      <c r="AH246" s="344">
        <f ca="1">IF(AG246=ROWS(AH$246:AH246),RAND(),"")</f>
        <v>8.6325069521521192E-3</v>
      </c>
      <c r="AI246" s="896">
        <f ca="1">IF(AG246=ROWS(AI$246:AI246),RANK(AH246,$AH$246:$AH$258),"")</f>
        <v>8</v>
      </c>
      <c r="AJ246" s="1534" t="s">
        <v>7631</v>
      </c>
      <c r="AK246" s="1379" t="str">
        <f>$BT$257</f>
        <v/>
      </c>
      <c r="AL246" s="1531">
        <v>1</v>
      </c>
      <c r="AM246" s="344">
        <f ca="1">IF(AL246=ROWS(AM$246:AM246),RAND(),"")</f>
        <v>0.28347678418164479</v>
      </c>
      <c r="AN246" s="896">
        <f ca="1">IF(AL246=ROWS(AN$246:AN246),RANK(AM246,$AM$246:$AM$258),"")</f>
        <v>4</v>
      </c>
      <c r="AO246" s="368" t="s">
        <v>3801</v>
      </c>
      <c r="AP246" s="1379" t="str">
        <f>$BT$258</f>
        <v/>
      </c>
      <c r="AQ246" s="1531">
        <v>1</v>
      </c>
      <c r="AR246" s="344">
        <f ca="1">IF(AQ246=ROWS(AR$246:AR246),RAND(),"")</f>
        <v>0.54118114229541714</v>
      </c>
      <c r="AS246" s="896">
        <f ca="1">IF(AQ246=ROWS(AS$246:AS246),RANK(AR246,$AR$246:$AR$258),"")</f>
        <v>3</v>
      </c>
      <c r="AT246" s="368" t="s">
        <v>7669</v>
      </c>
      <c r="AU246" s="1379" t="str">
        <f>BT259</f>
        <v/>
      </c>
      <c r="AV246" s="1531">
        <v>1</v>
      </c>
      <c r="AW246" s="344">
        <f ca="1">IF(AV246=ROWS(AW$246:AW246),RAND(),"")</f>
        <v>3.6691144375112894E-2</v>
      </c>
      <c r="AX246" s="896">
        <f ca="1">IF(AV246=ROWS(AX$246:AX246),RANK(AW246,$AW$246:$AW$258),"")</f>
        <v>5</v>
      </c>
      <c r="AY246" s="368" t="s">
        <v>7337</v>
      </c>
      <c r="AZ246" s="1379" t="str">
        <f>BT260</f>
        <v/>
      </c>
      <c r="BB246" s="1535">
        <v>1</v>
      </c>
      <c r="BC246" s="1536">
        <f t="shared" ref="BC246:BC271" ca="1" si="77">RAND()</f>
        <v>0.6168598267800004</v>
      </c>
      <c r="BD246" s="1537">
        <f ca="1">RANK(BC246,$BC$246:$BC$271)</f>
        <v>11</v>
      </c>
      <c r="BE246" s="1538" t="s">
        <v>7594</v>
      </c>
      <c r="BF246" s="1539" t="str">
        <f t="shared" ref="BF246:BF271" ca="1" si="78">VLOOKUP(BB246,$BD$246:$BE$271,2,FALSE)</f>
        <v>Shillelagh</v>
      </c>
      <c r="BI246" s="1493" t="s">
        <v>6711</v>
      </c>
      <c r="BJ246" s="595" t="s">
        <v>7259</v>
      </c>
      <c r="BK246" s="900">
        <v>1</v>
      </c>
      <c r="BL246" s="1164"/>
      <c r="BM246" s="918"/>
      <c r="BN246" s="3317">
        <v>1</v>
      </c>
      <c r="BO246" s="1540">
        <v>1</v>
      </c>
      <c r="BP246" s="1299">
        <f ca="1">RAND()</f>
        <v>0.40816733461651622</v>
      </c>
      <c r="BQ246" s="1540">
        <f t="shared" ref="BQ246:BQ258" ca="1" si="79">RANK(BP246,$BP$246:$BP$258)</f>
        <v>8</v>
      </c>
      <c r="BR246" s="741" t="s">
        <v>7667</v>
      </c>
      <c r="BS246" s="1541" t="str">
        <f t="shared" ref="BS246:BS258" ca="1" si="80">VLOOKUP(BO246,$BQ$246:$BR$258,2,FALSE)</f>
        <v>Illusory Script</v>
      </c>
      <c r="BT246" s="3339" t="str">
        <f ca="1">BS246</f>
        <v>Illusory Script</v>
      </c>
      <c r="BU246" s="3340"/>
      <c r="BV246" s="1542">
        <v>1</v>
      </c>
    </row>
    <row r="247" spans="2:74" ht="12" customHeight="1">
      <c r="B247" s="1340">
        <v>2</v>
      </c>
      <c r="C247" s="1396">
        <v>2</v>
      </c>
      <c r="D247" s="1459">
        <f ca="1">IF(C247=ROWS(D$246:D247),RAND(),"")</f>
        <v>0.80303507307386235</v>
      </c>
      <c r="E247" s="382">
        <f ca="1">IF(C247=ROWS(E$246:E247),RANK(D247,$D$246:$D$259),"")</f>
        <v>4</v>
      </c>
      <c r="F247" s="368" t="s">
        <v>7596</v>
      </c>
      <c r="G247" s="1363" t="str">
        <f t="shared" ca="1" si="76"/>
        <v>True Strike</v>
      </c>
      <c r="H247" s="1530">
        <f>ROWS(H$246:H247)</f>
        <v>2</v>
      </c>
      <c r="I247" s="901">
        <f ca="1">IF(H247=ROWS(I$246:I247),RAND(),"")</f>
        <v>0.80861150721194164</v>
      </c>
      <c r="J247" s="901">
        <f ca="1">IF(H247=ROWS(J$246:J247),RANK(I247,$I$246:$I$258),"")</f>
        <v>2</v>
      </c>
      <c r="K247" s="368" t="s">
        <v>7670</v>
      </c>
      <c r="L247" s="1363" t="str">
        <f ca="1">BT247</f>
        <v>Witch Bolt</v>
      </c>
      <c r="M247" s="1413">
        <f>ROWS(M$246:M247)</f>
        <v>2</v>
      </c>
      <c r="N247" s="368">
        <f ca="1">IF(M247=ROWS(N$246:N247),RAND(),"")</f>
        <v>0.45125417205291662</v>
      </c>
      <c r="O247" s="1396">
        <f ca="1">IF(M247=ROWS(O$246:O247),RANK(N247,$N$246:$N$259),"")</f>
        <v>9</v>
      </c>
      <c r="P247" s="1532" t="s">
        <v>7222</v>
      </c>
      <c r="Q247" s="1461" t="str">
        <f ca="1">BT250</f>
        <v>Darkness</v>
      </c>
      <c r="R247" s="1413">
        <f>ROWS(A$246:A247)</f>
        <v>2</v>
      </c>
      <c r="S247" s="368">
        <f ca="1">IF(R247=ROWS(S$246:S247),RAND(),"")</f>
        <v>8.6355119526203894E-2</v>
      </c>
      <c r="T247" s="1396">
        <f ca="1">IF(R247=ROWS(T$246:T247),RANK(S247,$S$246:$S$259),"")</f>
        <v>14</v>
      </c>
      <c r="U247" s="1532" t="s">
        <v>7205</v>
      </c>
      <c r="V247" s="1461" t="str">
        <f ca="1">BT252</f>
        <v>Remove Curse</v>
      </c>
      <c r="W247" s="901">
        <v>2</v>
      </c>
      <c r="X247" s="368">
        <f ca="1">IF(W247=ROWS(X$246:X247),RAND(),"")</f>
        <v>0.31763747401282327</v>
      </c>
      <c r="Y247" s="975">
        <f ca="1">IF(W247=ROWS(Y$246:Y247),RANK(X247,$X$246:$X$259),"")</f>
        <v>4</v>
      </c>
      <c r="Z247" s="368" t="s">
        <v>7436</v>
      </c>
      <c r="AA247" s="1461" t="str">
        <f ca="1">BT254</f>
        <v>Banishment</v>
      </c>
      <c r="AB247" s="901">
        <v>2</v>
      </c>
      <c r="AC247" s="368">
        <f ca="1">IF(AB247=ROWS(AC$246:AC247),RAND(),"")</f>
        <v>0.9408901360076819</v>
      </c>
      <c r="AD247" s="975">
        <f ca="1">IF(AB247=ROWS(AD$246:AD247),RANK(AC247,$AC$246:$AC$259),"")</f>
        <v>1</v>
      </c>
      <c r="AE247" s="368" t="s">
        <v>7215</v>
      </c>
      <c r="AF247" s="1533" t="str">
        <f>BT256</f>
        <v/>
      </c>
      <c r="AG247" s="1413">
        <v>2</v>
      </c>
      <c r="AH247" s="368">
        <f ca="1">IF(AG247=ROWS(AH$246:AH247),RAND(),"")</f>
        <v>0.13234596219182704</v>
      </c>
      <c r="AI247" s="901">
        <f ca="1">IF(AG247=ROWS(AI$246:AI247),RANK(AH247,$AH$246:$AH$258),"")</f>
        <v>6</v>
      </c>
      <c r="AJ247" s="1543" t="s">
        <v>7635</v>
      </c>
      <c r="AK247" s="1363"/>
      <c r="AL247" s="1413">
        <v>2</v>
      </c>
      <c r="AM247" s="368">
        <f ca="1">IF(AL247=ROWS(AM$246:AM247),RAND(),"")</f>
        <v>0.94846273269426173</v>
      </c>
      <c r="AN247" s="901">
        <f ca="1">IF(AL247=ROWS(AN$246:AN247),RANK(AM247,$AM$246:$AM$258),"")</f>
        <v>1</v>
      </c>
      <c r="AO247" s="368" t="s">
        <v>7636</v>
      </c>
      <c r="AP247" s="1363"/>
      <c r="AQ247" s="1413">
        <v>2</v>
      </c>
      <c r="AR247" s="368">
        <f ca="1">IF(AQ247=ROWS(AR$246:AR247),RAND(),"")</f>
        <v>0.67225009466809116</v>
      </c>
      <c r="AS247" s="901">
        <f ca="1">IF(AQ247=ROWS(AS$246:AS247),RANK(AR247,$AR$246:$AR$258),"")</f>
        <v>2</v>
      </c>
      <c r="AT247" s="368" t="s">
        <v>7190</v>
      </c>
      <c r="AU247" s="1363"/>
      <c r="AV247" s="1413">
        <v>2</v>
      </c>
      <c r="AW247" s="368">
        <f ca="1">IF(AV247=ROWS(AW$246:AW247),RAND(),"")</f>
        <v>0.22488142537892253</v>
      </c>
      <c r="AX247" s="901">
        <f ca="1">IF(AV247=ROWS(AX$246:AX247),RANK(AW247,$AW$246:$AW$258),"")</f>
        <v>2</v>
      </c>
      <c r="AY247" s="368" t="s">
        <v>7191</v>
      </c>
      <c r="AZ247" s="1363"/>
      <c r="BB247" s="974">
        <v>2</v>
      </c>
      <c r="BC247" s="1544">
        <f t="shared" ca="1" si="77"/>
        <v>0.17016662555820627</v>
      </c>
      <c r="BD247" s="901">
        <f t="shared" ref="BD247:BD271" ca="1" si="81">RANK(BC247,$BC$246:$BC$271)</f>
        <v>21</v>
      </c>
      <c r="BE247" s="1545" t="s">
        <v>7434</v>
      </c>
      <c r="BF247" s="1546" t="str">
        <f t="shared" ca="1" si="78"/>
        <v>Spare the Dying</v>
      </c>
      <c r="BI247" s="1497" t="s">
        <v>6711</v>
      </c>
      <c r="BJ247" s="701" t="s">
        <v>7290</v>
      </c>
      <c r="BK247" s="904">
        <v>1</v>
      </c>
      <c r="BL247" s="273"/>
      <c r="BM247" s="272"/>
      <c r="BN247" s="3318"/>
      <c r="BO247" s="1547">
        <v>2</v>
      </c>
      <c r="BP247" s="1301">
        <f t="shared" ref="BP247:BP312" ca="1" si="82">RAND()</f>
        <v>0.69431568580456127</v>
      </c>
      <c r="BQ247" s="1547">
        <f t="shared" ca="1" si="79"/>
        <v>5</v>
      </c>
      <c r="BR247" s="536" t="s">
        <v>7670</v>
      </c>
      <c r="BS247" s="1548" t="str">
        <f t="shared" ca="1" si="80"/>
        <v>Witch Bolt</v>
      </c>
      <c r="BT247" s="3320" t="str">
        <f ca="1">BS247</f>
        <v>Witch Bolt</v>
      </c>
      <c r="BU247" s="3321"/>
      <c r="BV247" s="1542">
        <v>1</v>
      </c>
    </row>
    <row r="248" spans="2:74" ht="12" customHeight="1">
      <c r="B248" s="1340">
        <v>3</v>
      </c>
      <c r="C248" s="1396">
        <v>3</v>
      </c>
      <c r="D248" s="1459">
        <f ca="1">IF(C248=ROWS(D$246:D248),RAND(),"")</f>
        <v>0.31822984814185984</v>
      </c>
      <c r="E248" s="382">
        <f ca="1">IF(C248=ROWS(E$246:E248),RANK(D248,$D$246:$D$259),"")</f>
        <v>7</v>
      </c>
      <c r="F248" s="368" t="s">
        <v>7671</v>
      </c>
      <c r="G248" s="1363" t="str">
        <f t="shared" ca="1" si="76"/>
        <v>Friends</v>
      </c>
      <c r="H248" s="1530">
        <f>ROWS(H$246:H248)</f>
        <v>3</v>
      </c>
      <c r="I248" s="901">
        <f ca="1">IF(H248=ROWS(I$246:I248),RAND(),"")</f>
        <v>0.47715454909575661</v>
      </c>
      <c r="J248" s="901">
        <f ca="1">IF(H248=ROWS(J$246:J248),RANK(I248,$I$246:$I$258),"")</f>
        <v>6</v>
      </c>
      <c r="K248" s="368" t="s">
        <v>7203</v>
      </c>
      <c r="L248" s="1363" t="str">
        <f ca="1">BT248</f>
        <v>Protection from Evil &amp; Good</v>
      </c>
      <c r="M248" s="1413">
        <f>ROWS(M$246:M248)</f>
        <v>3</v>
      </c>
      <c r="N248" s="368">
        <f ca="1">IF(M248=ROWS(N$246:N248),RAND(),"")</f>
        <v>0.87865274384103442</v>
      </c>
      <c r="O248" s="1396">
        <f ca="1">IF(M248=ROWS(O$246:O248),RANK(N248,$N$246:$N$259),"")</f>
        <v>3</v>
      </c>
      <c r="P248" s="1532" t="s">
        <v>7448</v>
      </c>
      <c r="Q248" s="1461"/>
      <c r="R248" s="1413">
        <f>ROWS(A$246:A248)</f>
        <v>3</v>
      </c>
      <c r="S248" s="368">
        <f ca="1">IF(R248=ROWS(S$246:S248),RAND(),"")</f>
        <v>0.38798522755488929</v>
      </c>
      <c r="T248" s="1396">
        <f ca="1">IF(R248=ROWS(T$246:T248),RANK(S248,$S$246:$S$259),"")</f>
        <v>9</v>
      </c>
      <c r="U248" s="1532" t="s">
        <v>7214</v>
      </c>
      <c r="V248" s="1461"/>
      <c r="W248" s="901">
        <v>3</v>
      </c>
      <c r="X248" s="368">
        <f ca="1">IF(W248=ROWS(X$246:X248),RAND(),"")</f>
        <v>0.16884036293741267</v>
      </c>
      <c r="Y248" s="975">
        <f ca="1">IF(W248=ROWS(Y$246:Y248),RANK(X248,$X$246:$X$259),"")</f>
        <v>6</v>
      </c>
      <c r="Z248" s="368" t="s">
        <v>7206</v>
      </c>
      <c r="AA248" s="1461"/>
      <c r="AB248" s="901">
        <v>3</v>
      </c>
      <c r="AC248" s="368">
        <f ca="1">IF(AB248=ROWS(AC$246:AC248),RAND(),"")</f>
        <v>0.63993592275101474</v>
      </c>
      <c r="AD248" s="975">
        <f ca="1">IF(AB248=ROWS(AD$246:AD248),RANK(AC248,$AC$246:$AC$259),"")</f>
        <v>2</v>
      </c>
      <c r="AE248" s="368" t="s">
        <v>7242</v>
      </c>
      <c r="AF248" s="1533"/>
      <c r="AG248" s="1413">
        <v>3</v>
      </c>
      <c r="AH248" s="368">
        <f ca="1">IF(AG248=ROWS(AH$246:AH248),RAND(),"")</f>
        <v>0.12292176429582025</v>
      </c>
      <c r="AI248" s="901">
        <f ca="1">IF(AG248=ROWS(AI$246:AI248),RANK(AH248,$AH$246:$AH$258),"")</f>
        <v>7</v>
      </c>
      <c r="AJ248" s="1543" t="s">
        <v>7444</v>
      </c>
      <c r="AK248" s="1363"/>
      <c r="AL248" s="1413">
        <v>3</v>
      </c>
      <c r="AM248" s="368">
        <f ca="1">IF(AL248=ROWS(AM$246:AM248),RAND(),"")</f>
        <v>0.72946528003300526</v>
      </c>
      <c r="AN248" s="901">
        <f ca="1">IF(AL248=ROWS(AN$246:AN248),RANK(AM248,$AM$246:$AM$258),"")</f>
        <v>2</v>
      </c>
      <c r="AO248" s="368" t="s">
        <v>7199</v>
      </c>
      <c r="AP248" s="1363"/>
      <c r="AQ248" s="1413">
        <v>3</v>
      </c>
      <c r="AR248" s="368">
        <f ca="1">IF(AQ248=ROWS(AR$246:AR248),RAND(),"")</f>
        <v>0.52376638085432137</v>
      </c>
      <c r="AS248" s="901">
        <f ca="1">IF(AQ248=ROWS(AS$246:AS248),RANK(AR248,$AR$246:$AR$258),"")</f>
        <v>4</v>
      </c>
      <c r="AT248" s="368" t="s">
        <v>7200</v>
      </c>
      <c r="AU248" s="1363"/>
      <c r="AV248" s="1413">
        <v>3</v>
      </c>
      <c r="AW248" s="368">
        <f ca="1">IF(AV248=ROWS(AW$246:AW248),RAND(),"")</f>
        <v>0.21110765570370105</v>
      </c>
      <c r="AX248" s="901">
        <f ca="1">IF(AV248=ROWS(AX$246:AX248),RANK(AW248,$AW$246:$AW$258),"")</f>
        <v>3</v>
      </c>
      <c r="AY248" s="368" t="s">
        <v>7672</v>
      </c>
      <c r="AZ248" s="1363"/>
      <c r="BB248" s="974">
        <v>3</v>
      </c>
      <c r="BC248" s="1544">
        <f t="shared" ca="1" si="77"/>
        <v>0.60281819123874425</v>
      </c>
      <c r="BD248" s="901">
        <f t="shared" ca="1" si="81"/>
        <v>12</v>
      </c>
      <c r="BE248" s="1545" t="s">
        <v>7442</v>
      </c>
      <c r="BF248" s="1546" t="str">
        <f t="shared" ca="1" si="78"/>
        <v>Druidcraft</v>
      </c>
      <c r="BI248" s="1497" t="s">
        <v>6711</v>
      </c>
      <c r="BJ248" s="701" t="s">
        <v>7204</v>
      </c>
      <c r="BK248" s="904">
        <v>3</v>
      </c>
      <c r="BL248" s="273"/>
      <c r="BM248" s="272"/>
      <c r="BN248" s="3318"/>
      <c r="BO248" s="1547">
        <v>3</v>
      </c>
      <c r="BP248" s="1301">
        <f t="shared" ca="1" si="82"/>
        <v>0.33008373487967335</v>
      </c>
      <c r="BQ248" s="1547">
        <f t="shared" ca="1" si="79"/>
        <v>10</v>
      </c>
      <c r="BR248" s="536" t="s">
        <v>7203</v>
      </c>
      <c r="BS248" s="1548" t="str">
        <f t="shared" ca="1" si="80"/>
        <v>Protection from Evil &amp; Good</v>
      </c>
      <c r="BT248" s="3320" t="str">
        <f ca="1">IF(BP243&gt;1,BS248,"")</f>
        <v>Protection from Evil &amp; Good</v>
      </c>
      <c r="BU248" s="3321"/>
      <c r="BV248" s="1542">
        <v>1</v>
      </c>
    </row>
    <row r="249" spans="2:74" ht="12" customHeight="1">
      <c r="B249" s="1340">
        <v>4</v>
      </c>
      <c r="C249" s="1396">
        <v>4</v>
      </c>
      <c r="D249" s="1459">
        <f ca="1">IF(C249=ROWS(D$246:D249),RAND(),"")</f>
        <v>0.94795397683969529</v>
      </c>
      <c r="E249" s="382">
        <f ca="1">IF(C249=ROWS(E$246:E249),RANK(D249,$D$246:$D$259),"")</f>
        <v>3</v>
      </c>
      <c r="F249" s="368" t="s">
        <v>7202</v>
      </c>
      <c r="G249" s="1363" t="str">
        <f t="shared" ca="1" si="76"/>
        <v>Chill Touch</v>
      </c>
      <c r="H249" s="1530">
        <f>ROWS(H$246:H249)</f>
        <v>4</v>
      </c>
      <c r="I249" s="901">
        <f ca="1">IF(H249=ROWS(I$246:I249),RAND(),"")</f>
        <v>0.39896091696272695</v>
      </c>
      <c r="J249" s="901">
        <f ca="1">IF(H249=ROWS(J$246:J249),RANK(I249,$I$246:$I$258),"")</f>
        <v>9</v>
      </c>
      <c r="K249" s="368" t="s">
        <v>7212</v>
      </c>
      <c r="L249" s="1363"/>
      <c r="M249" s="1413">
        <f>ROWS(M$246:M249)</f>
        <v>4</v>
      </c>
      <c r="N249" s="368">
        <f ca="1">IF(M249=ROWS(N$246:N249),RAND(),"")</f>
        <v>0.18964690899020031</v>
      </c>
      <c r="O249" s="1396">
        <f ca="1">IF(M249=ROWS(O$246:O249),RANK(N249,$N$246:$N$259),"")</f>
        <v>12</v>
      </c>
      <c r="P249" s="1532" t="s">
        <v>7247</v>
      </c>
      <c r="Q249" s="1461"/>
      <c r="R249" s="1413">
        <f>ROWS(A$246:A249)</f>
        <v>4</v>
      </c>
      <c r="S249" s="368">
        <f ca="1">IF(R249=ROWS(S$246:S249),RAND(),"")</f>
        <v>0.68734324651549172</v>
      </c>
      <c r="T249" s="1396">
        <f ca="1">IF(R249=ROWS(T$246:T249),RANK(S249,$S$246:$S$259),"")</f>
        <v>4</v>
      </c>
      <c r="U249" s="1532" t="s">
        <v>7602</v>
      </c>
      <c r="V249" s="1461"/>
      <c r="W249" s="901">
        <v>4</v>
      </c>
      <c r="X249" s="368">
        <f ca="1">IF(W249=ROWS(X$246:X249),RAND(),"")</f>
        <v>0.98778858390476809</v>
      </c>
      <c r="Y249" s="975">
        <f ca="1">IF(W249=ROWS(Y$246:Y249),RANK(X249,$X$246:$X$259),"")</f>
        <v>1</v>
      </c>
      <c r="Z249" s="368" t="s">
        <v>7233</v>
      </c>
      <c r="AA249" s="1461"/>
      <c r="AB249" s="901">
        <v>4</v>
      </c>
      <c r="AC249" s="368">
        <f ca="1">IF(AB249=ROWS(AC$246:AC249),RAND(),"")</f>
        <v>0.20607247177599919</v>
      </c>
      <c r="AD249" s="975">
        <f ca="1">IF(AB249=ROWS(AD$246:AD249),RANK(AC249,$AC$246:$AC$259),"")</f>
        <v>6</v>
      </c>
      <c r="AE249" s="402" t="s">
        <v>7279</v>
      </c>
      <c r="AF249" s="1533"/>
      <c r="AG249" s="1413">
        <v>4</v>
      </c>
      <c r="AH249" s="368">
        <f ca="1">IF(AG249=ROWS(AH$246:AH249),RAND(),"")</f>
        <v>0.4491146261587855</v>
      </c>
      <c r="AI249" s="901">
        <f ca="1">IF(AG249=ROWS(AI$246:AI249),RANK(AH249,$AH$246:$AH$258),"")</f>
        <v>3</v>
      </c>
      <c r="AJ249" s="1543" t="s">
        <v>7347</v>
      </c>
      <c r="AK249" s="1363"/>
      <c r="AL249" s="1413">
        <v>4</v>
      </c>
      <c r="AM249" s="368">
        <f ca="1">IF(AL249=ROWS(AM$246:AM249),RAND(),"")</f>
        <v>0.72444050408826721</v>
      </c>
      <c r="AN249" s="901">
        <f ca="1">IF(AL249=ROWS(AN$246:AN249),RANK(AM249,$AM$246:$AM$258),"")</f>
        <v>3</v>
      </c>
      <c r="AO249" s="368" t="s">
        <v>7377</v>
      </c>
      <c r="AP249" s="1363"/>
      <c r="AQ249" s="1413">
        <v>4</v>
      </c>
      <c r="AR249" s="368">
        <f ca="1">IF(AQ249=ROWS(AR$246:AR249),RAND(),"")</f>
        <v>0.98603997015995248</v>
      </c>
      <c r="AS249" s="901">
        <f ca="1">IF(AQ249=ROWS(AS$246:AS249),RANK(AR249,$AR$246:$AR$258),"")</f>
        <v>1</v>
      </c>
      <c r="AT249" s="368" t="s">
        <v>7210</v>
      </c>
      <c r="AU249" s="1363"/>
      <c r="AV249" s="1413">
        <v>4</v>
      </c>
      <c r="AW249" s="368">
        <f ca="1">IF(AV249=ROWS(AW$246:AW249),RAND(),"")</f>
        <v>0.17473828349773868</v>
      </c>
      <c r="AX249" s="901">
        <f ca="1">IF(AV249=ROWS(AX$246:AX249),RANK(AW249,$AW$246:$AW$258),"")</f>
        <v>4</v>
      </c>
      <c r="AY249" s="368" t="s">
        <v>7211</v>
      </c>
      <c r="AZ249" s="1363"/>
      <c r="BB249" s="974">
        <v>4</v>
      </c>
      <c r="BC249" s="1544">
        <f t="shared" ca="1" si="77"/>
        <v>0.28706867424799698</v>
      </c>
      <c r="BD249" s="901">
        <f t="shared" ca="1" si="81"/>
        <v>18</v>
      </c>
      <c r="BE249" s="1545" t="s">
        <v>7192</v>
      </c>
      <c r="BF249" s="1546" t="str">
        <f t="shared" ca="1" si="78"/>
        <v>Resistance</v>
      </c>
      <c r="BI249" s="1497" t="s">
        <v>6711</v>
      </c>
      <c r="BJ249" s="701" t="s">
        <v>7289</v>
      </c>
      <c r="BK249" s="904">
        <v>3</v>
      </c>
      <c r="BL249" s="273"/>
      <c r="BM249" s="272"/>
      <c r="BN249" s="3318"/>
      <c r="BO249" s="1547">
        <v>4</v>
      </c>
      <c r="BP249" s="1301">
        <f t="shared" ca="1" si="82"/>
        <v>0.50797960005261633</v>
      </c>
      <c r="BQ249" s="1547">
        <f t="shared" ca="1" si="79"/>
        <v>7</v>
      </c>
      <c r="BR249" s="536" t="s">
        <v>7212</v>
      </c>
      <c r="BS249" s="1548" t="str">
        <f t="shared" ca="1" si="80"/>
        <v>Unseen Servant</v>
      </c>
      <c r="BT249" s="3320" t="str">
        <f ca="1">IF(BP243&gt;2,BS259,"")</f>
        <v/>
      </c>
      <c r="BU249" s="3321"/>
      <c r="BV249" s="1542">
        <v>2</v>
      </c>
    </row>
    <row r="250" spans="2:74" ht="12" customHeight="1">
      <c r="B250" s="1340">
        <v>5</v>
      </c>
      <c r="C250" s="1396">
        <v>5</v>
      </c>
      <c r="D250" s="1459">
        <f ca="1">IF(C250=ROWS(D$246:D250),RAND(),"")</f>
        <v>0.71482861775716344</v>
      </c>
      <c r="E250" s="382">
        <f ca="1">IF(C250=ROWS(E$246:E250),RANK(D250,$D$246:$D$259),"")</f>
        <v>6</v>
      </c>
      <c r="F250" s="368" t="s">
        <v>7593</v>
      </c>
      <c r="G250" s="1363" t="str">
        <f t="shared" ca="1" si="76"/>
        <v>Poison Spray</v>
      </c>
      <c r="H250" s="1530">
        <f>ROWS(H$246:H250)</f>
        <v>5</v>
      </c>
      <c r="I250" s="901">
        <f ca="1">IF(H250=ROWS(I$246:I250),RAND(),"")</f>
        <v>0.94176714106636217</v>
      </c>
      <c r="J250" s="901">
        <f ca="1">IF(H250=ROWS(J$246:J250),RANK(I250,$I$246:$I$258),"")</f>
        <v>1</v>
      </c>
      <c r="K250" s="368" t="s">
        <v>7599</v>
      </c>
      <c r="L250" s="1363"/>
      <c r="M250" s="1413">
        <f>ROWS(M$246:M250)</f>
        <v>5</v>
      </c>
      <c r="N250" s="368">
        <f ca="1">IF(M250=ROWS(N$246:N250),RAND(),"")</f>
        <v>0.16274427494058619</v>
      </c>
      <c r="O250" s="1396">
        <f ca="1">IF(M250=ROWS(O$246:O250),RANK(N250,$N$246:$N$259),"")</f>
        <v>13</v>
      </c>
      <c r="P250" s="1532" t="s">
        <v>7260</v>
      </c>
      <c r="Q250" s="1461"/>
      <c r="R250" s="1413">
        <f>ROWS(A$246:A250)</f>
        <v>5</v>
      </c>
      <c r="S250" s="368">
        <f ca="1">IF(R250=ROWS(S$246:S250),RAND(),"")</f>
        <v>0.96708859035528305</v>
      </c>
      <c r="T250" s="1396">
        <f ca="1">IF(R250=ROWS(T$246:T250),RANK(S250,$S$246:$S$259),"")</f>
        <v>1</v>
      </c>
      <c r="U250" s="1532" t="s">
        <v>7459</v>
      </c>
      <c r="V250" s="1461"/>
      <c r="W250" s="901">
        <v>5</v>
      </c>
      <c r="X250" s="368">
        <f ca="1">IF(W250=ROWS(X$246:X250),RAND(),"")</f>
        <v>0.91030746062183876</v>
      </c>
      <c r="Y250" s="975">
        <f ca="1">IF(W250=ROWS(Y$246:Y250),RANK(X250,$X$246:$X$259),"")</f>
        <v>3</v>
      </c>
      <c r="Z250" s="1549" t="str">
        <f>IF([1]MATH!$C$9=1,$BJ$252,IF([1]MATH!$C$9=2,$BJ$262,IF([1]MATH!$C$9=3,$BJ$272,"")))</f>
        <v/>
      </c>
      <c r="AA250" s="1461"/>
      <c r="AB250" s="901">
        <v>5</v>
      </c>
      <c r="AC250" s="368">
        <f ca="1">IF(AB250=ROWS(AC$246:AC250),RAND(),"")</f>
        <v>0.47297266415821915</v>
      </c>
      <c r="AD250" s="975">
        <f ca="1">IF(AB250=ROWS(AD$246:AD250),RANK(AC250,$AC$246:$AC$259),"")</f>
        <v>3</v>
      </c>
      <c r="AE250" s="1411" t="str">
        <f>IF([1]MATH!$C$9=1,$BJ$254,IF([1]MATH!$C$9=2,$BJ$264,IF([1]MATH!$C$9=3,$BJ$274,"")))</f>
        <v/>
      </c>
      <c r="AF250" s="1533"/>
      <c r="AG250" s="1413">
        <v>5</v>
      </c>
      <c r="AH250" s="368">
        <f ca="1">IF(AG250=ROWS(AH$246:AH250),RAND(),"")</f>
        <v>0.23376140312507543</v>
      </c>
      <c r="AI250" s="901">
        <f ca="1">IF(AG250=ROWS(AI$246:AI250),RANK(AH250,$AH$246:$AH$258),"")</f>
        <v>5</v>
      </c>
      <c r="AJ250" s="1543" t="s">
        <v>7189</v>
      </c>
      <c r="AK250" s="1363"/>
      <c r="AL250" s="1413"/>
      <c r="AM250" s="368"/>
      <c r="AN250" s="901"/>
      <c r="AO250" s="1532"/>
      <c r="AP250" s="1363"/>
      <c r="AQ250" s="1413">
        <v>5</v>
      </c>
      <c r="AR250" s="368">
        <f ca="1">IF(AQ250=ROWS(AR$246:AR250),RAND(),"")</f>
        <v>7.4595999903071974E-2</v>
      </c>
      <c r="AS250" s="901">
        <f ca="1">IF(AQ250=ROWS(AS$246:AS250),RANK(AR250,$AR$246:$AR$258),"")</f>
        <v>5</v>
      </c>
      <c r="AT250" s="368" t="s">
        <v>7228</v>
      </c>
      <c r="AU250" s="1363"/>
      <c r="AV250" s="1413">
        <v>5</v>
      </c>
      <c r="AW250" s="368">
        <f ca="1">IF(AV250=ROWS(AW$246:AW250),RAND(),"")</f>
        <v>0.92872758809831657</v>
      </c>
      <c r="AX250" s="901">
        <f ca="1">IF(AV250=ROWS(AX$246:AX250),RANK(AW250,$AW$246:$AW$258),"")</f>
        <v>1</v>
      </c>
      <c r="AY250" s="368" t="s">
        <v>7219</v>
      </c>
      <c r="AZ250" s="1363"/>
      <c r="BB250" s="974">
        <v>5</v>
      </c>
      <c r="BC250" s="1544">
        <f t="shared" ca="1" si="77"/>
        <v>0.86532349900492644</v>
      </c>
      <c r="BD250" s="901">
        <f t="shared" ca="1" si="81"/>
        <v>3</v>
      </c>
      <c r="BE250" s="1545" t="s">
        <v>7450</v>
      </c>
      <c r="BF250" s="1546" t="str">
        <f t="shared" ca="1" si="78"/>
        <v>Produce Flame</v>
      </c>
      <c r="BI250" s="1497" t="s">
        <v>6711</v>
      </c>
      <c r="BJ250" s="701" t="s">
        <v>7380</v>
      </c>
      <c r="BK250" s="904">
        <v>5</v>
      </c>
      <c r="BL250" s="272"/>
      <c r="BM250" s="272"/>
      <c r="BN250" s="3318"/>
      <c r="BO250" s="1547">
        <v>5</v>
      </c>
      <c r="BP250" s="1301">
        <f t="shared" ca="1" si="82"/>
        <v>0.36878965041618195</v>
      </c>
      <c r="BQ250" s="1547">
        <f t="shared" ca="1" si="79"/>
        <v>9</v>
      </c>
      <c r="BR250" s="536" t="s">
        <v>7599</v>
      </c>
      <c r="BS250" s="1548" t="str">
        <f t="shared" ca="1" si="80"/>
        <v>Arms of Hadar</v>
      </c>
      <c r="BT250" s="3320" t="str">
        <f ca="1">IF(BP243&gt;3,BS260,"")</f>
        <v>Darkness</v>
      </c>
      <c r="BU250" s="3321"/>
      <c r="BV250" s="1542">
        <v>2</v>
      </c>
    </row>
    <row r="251" spans="2:74" ht="12" customHeight="1">
      <c r="B251" s="1340">
        <v>6</v>
      </c>
      <c r="C251" s="1396">
        <v>6</v>
      </c>
      <c r="D251" s="1459">
        <f ca="1">IF(C251=ROWS(D$246:D251),RAND(),"")</f>
        <v>0.98473005549541293</v>
      </c>
      <c r="E251" s="382">
        <f ca="1">IF(C251=ROWS(E$246:E251),RANK(D251,$D$246:$D$259),"")</f>
        <v>1</v>
      </c>
      <c r="F251" s="368" t="s">
        <v>7245</v>
      </c>
      <c r="G251" s="1363" t="str">
        <f t="shared" ca="1" si="76"/>
        <v>Mage Hand</v>
      </c>
      <c r="H251" s="1530">
        <f>ROWS(H$246:H251)</f>
        <v>6</v>
      </c>
      <c r="I251" s="901">
        <f ca="1">IF(H251=ROWS(I$246:I251),RAND(),"")</f>
        <v>0.29764968011103232</v>
      </c>
      <c r="J251" s="901">
        <f ca="1">IF(H251=ROWS(J$246:J251),RANK(I251,$I$246:$I$258),"")</f>
        <v>11</v>
      </c>
      <c r="K251" s="368" t="s">
        <v>7673</v>
      </c>
      <c r="L251" s="1363"/>
      <c r="M251" s="1413">
        <f>ROWS(M$246:M251)</f>
        <v>6</v>
      </c>
      <c r="N251" s="368">
        <f ca="1">IF(M251=ROWS(N$246:N251),RAND(),"")</f>
        <v>0.28677708071104746</v>
      </c>
      <c r="O251" s="1396">
        <f ca="1">IF(M251=ROWS(O$246:O251),RANK(N251,$N$246:$N$259),"")</f>
        <v>11</v>
      </c>
      <c r="P251" s="1532" t="s">
        <v>2703</v>
      </c>
      <c r="Q251" s="1461"/>
      <c r="R251" s="1413">
        <f>ROWS(A$246:A251)</f>
        <v>6</v>
      </c>
      <c r="S251" s="368">
        <f ca="1">IF(R251=ROWS(S$246:S251),RAND(),"")</f>
        <v>0.70832158940351464</v>
      </c>
      <c r="T251" s="1396">
        <f ca="1">IF(R251=ROWS(T$246:T251),RANK(S251,$S$246:$S$259),"")</f>
        <v>3</v>
      </c>
      <c r="U251" s="1532" t="s">
        <v>7674</v>
      </c>
      <c r="V251" s="1461"/>
      <c r="W251" s="901">
        <v>6</v>
      </c>
      <c r="X251" s="368">
        <f ca="1">IF(W251=ROWS(X$246:X251),RAND(),"")</f>
        <v>0.22890447467595165</v>
      </c>
      <c r="Y251" s="975">
        <f ca="1">IF(W251=ROWS(Y$246:Y251),RANK(X251,$X$246:$X$259),"")</f>
        <v>5</v>
      </c>
      <c r="Z251" s="1549" t="str">
        <f>IF([1]MATH!$C$9=1,$BJ$253,IF([1]MATH!$C$9=2,$BJ$263,IF([1]MATH!$C$9=3,$BJ$273,"")))</f>
        <v/>
      </c>
      <c r="AA251" s="1461"/>
      <c r="AB251" s="901">
        <v>6</v>
      </c>
      <c r="AC251" s="368">
        <f ca="1">IF(AB251=ROWS(AC$246:AC251),RAND(),"")</f>
        <v>0.27822907796367957</v>
      </c>
      <c r="AD251" s="975">
        <f ca="1">IF(AB251=ROWS(AD$246:AD251),RANK(AC251,$AC$246:$AC$259),"")</f>
        <v>5</v>
      </c>
      <c r="AE251" s="1411" t="str">
        <f>IF([1]MATH!$C$9=1,$BJ$255,IF([1]MATH!$C$9=2,$BJ$265,IF([1]MATH!$C$9=3,$BJ$275,"")))</f>
        <v/>
      </c>
      <c r="AF251" s="1533"/>
      <c r="AG251" s="1413">
        <v>6</v>
      </c>
      <c r="AH251" s="368">
        <f ca="1">IF(AG251=ROWS(AH$246:AH251),RAND(),"")</f>
        <v>0.26016198101268606</v>
      </c>
      <c r="AI251" s="901">
        <f ca="1">IF(AG251=ROWS(AI$246:AI251),RANK(AH251,$AH$246:$AH$258),"")</f>
        <v>4</v>
      </c>
      <c r="AJ251" s="1543" t="s">
        <v>7675</v>
      </c>
      <c r="AK251" s="1363"/>
      <c r="AL251" s="1413"/>
      <c r="AM251" s="368"/>
      <c r="AN251" s="901"/>
      <c r="AO251" s="1543"/>
      <c r="AP251" s="1363"/>
      <c r="AQ251" s="1413"/>
      <c r="AR251" s="368"/>
      <c r="AS251" s="901"/>
      <c r="AT251" s="1543"/>
      <c r="AU251" s="1363" t="str">
        <f t="shared" ref="AU251:AU259" si="83">IF(AQ251=$B$48," ",VLOOKUP($AG251,AS$246:AT$258,2,FALSE))</f>
        <v xml:space="preserve"> </v>
      </c>
      <c r="AV251" s="1413"/>
      <c r="AW251" s="368"/>
      <c r="AX251" s="901"/>
      <c r="AY251" s="1543"/>
      <c r="AZ251" s="1363"/>
      <c r="BB251" s="974">
        <v>6</v>
      </c>
      <c r="BC251" s="1544">
        <f t="shared" ca="1" si="77"/>
        <v>0.46125217876474489</v>
      </c>
      <c r="BD251" s="901">
        <f t="shared" ca="1" si="81"/>
        <v>14</v>
      </c>
      <c r="BE251" s="1545" t="s">
        <v>7528</v>
      </c>
      <c r="BF251" s="1546" t="str">
        <f t="shared" ca="1" si="78"/>
        <v>Thunderclap</v>
      </c>
      <c r="BI251" s="1497" t="s">
        <v>6711</v>
      </c>
      <c r="BJ251" s="701" t="s">
        <v>7265</v>
      </c>
      <c r="BK251" s="904">
        <v>5</v>
      </c>
      <c r="BL251" s="272"/>
      <c r="BM251" s="272"/>
      <c r="BN251" s="3318"/>
      <c r="BO251" s="1547">
        <v>6</v>
      </c>
      <c r="BP251" s="1301">
        <f t="shared" ca="1" si="82"/>
        <v>0.67026105063120556</v>
      </c>
      <c r="BQ251" s="1547">
        <f t="shared" ca="1" si="79"/>
        <v>6</v>
      </c>
      <c r="BR251" s="536" t="s">
        <v>7673</v>
      </c>
      <c r="BS251" s="1548" t="str">
        <f t="shared" ca="1" si="80"/>
        <v>Hellish Rebuke</v>
      </c>
      <c r="BT251" s="3320" t="str">
        <f ca="1">IF(BP243&gt;4,BS273,"")</f>
        <v>Major Image</v>
      </c>
      <c r="BU251" s="3321"/>
      <c r="BV251" s="1542">
        <v>3</v>
      </c>
    </row>
    <row r="252" spans="2:74" ht="12" customHeight="1">
      <c r="B252" s="1340">
        <v>7</v>
      </c>
      <c r="C252" s="1396">
        <v>7</v>
      </c>
      <c r="D252" s="1459">
        <f ca="1">IF(C252=ROWS(D$246:D252),RAND(),"")</f>
        <v>0.74400247144828824</v>
      </c>
      <c r="E252" s="382">
        <f ca="1">IF(C252=ROWS(E$246:E252),RANK(D252,$D$246:$D$259),"")</f>
        <v>5</v>
      </c>
      <c r="F252" s="368" t="s">
        <v>7493</v>
      </c>
      <c r="G252" s="1363" t="str">
        <f t="shared" ca="1" si="76"/>
        <v>Eldritch Blast</v>
      </c>
      <c r="H252" s="1530">
        <f>ROWS(H$246:H252)</f>
        <v>7</v>
      </c>
      <c r="I252" s="901">
        <f ca="1">IF(H252=ROWS(I$246:I252),RAND(),"")</f>
        <v>0.15320602269787242</v>
      </c>
      <c r="J252" s="901">
        <f ca="1">IF(H252=ROWS(J$246:J252),RANK(I252,$I$246:$I$258),"")</f>
        <v>12</v>
      </c>
      <c r="K252" s="368" t="s">
        <v>7676</v>
      </c>
      <c r="L252" s="1363"/>
      <c r="M252" s="1413">
        <f>ROWS(M$246:M252)</f>
        <v>7</v>
      </c>
      <c r="N252" s="368">
        <f ca="1">IF(M252=ROWS(N$246:N252),RAND(),"")</f>
        <v>0.9084149475910237</v>
      </c>
      <c r="O252" s="1396">
        <f ca="1">IF(M252=ROWS(O$246:O252),RANK(N252,$N$246:$N$259),"")</f>
        <v>1</v>
      </c>
      <c r="P252" s="1532" t="s">
        <v>7359</v>
      </c>
      <c r="Q252" s="1461"/>
      <c r="R252" s="1413">
        <f>ROWS(A$246:A252)</f>
        <v>7</v>
      </c>
      <c r="S252" s="368">
        <f ca="1">IF(R252=ROWS(S$246:S252),RAND(),"")</f>
        <v>0.5513320050905216</v>
      </c>
      <c r="T252" s="1396">
        <f ca="1">IF(R252=ROWS(T$246:T252),RANK(S252,$S$246:$S$259),"")</f>
        <v>6</v>
      </c>
      <c r="U252" s="1532" t="s">
        <v>7240</v>
      </c>
      <c r="V252" s="1461"/>
      <c r="W252" s="901"/>
      <c r="X252" s="368"/>
      <c r="Y252" s="975"/>
      <c r="Z252" s="1532"/>
      <c r="AA252" s="1461"/>
      <c r="AB252" s="901"/>
      <c r="AC252" s="368"/>
      <c r="AD252" s="975"/>
      <c r="AE252" s="1532"/>
      <c r="AF252" s="1533"/>
      <c r="AG252" s="1413">
        <v>7</v>
      </c>
      <c r="AH252" s="368">
        <f ca="1">IF(AG252=ROWS(AH$246:AH252),RAND(),"")</f>
        <v>0.8358872996786999</v>
      </c>
      <c r="AI252" s="901">
        <f ca="1">IF(AG252=ROWS(AI$246:AI252),RANK(AH252,$AH$246:$AH$258),"")</f>
        <v>2</v>
      </c>
      <c r="AJ252" s="1543" t="s">
        <v>7216</v>
      </c>
      <c r="AK252" s="1363"/>
      <c r="AL252" s="1413"/>
      <c r="AM252" s="368"/>
      <c r="AN252" s="901"/>
      <c r="AO252" s="1543"/>
      <c r="AP252" s="1363"/>
      <c r="AQ252" s="1413"/>
      <c r="AR252" s="368"/>
      <c r="AS252" s="901"/>
      <c r="AT252" s="1543"/>
      <c r="AU252" s="1363" t="str">
        <f t="shared" si="83"/>
        <v xml:space="preserve"> </v>
      </c>
      <c r="AV252" s="1413"/>
      <c r="AW252" s="368"/>
      <c r="AX252" s="901"/>
      <c r="AY252" s="1543"/>
      <c r="AZ252" s="1363"/>
      <c r="BB252" s="974">
        <v>7</v>
      </c>
      <c r="BC252" s="1544">
        <f t="shared" ca="1" si="77"/>
        <v>0.63143382091606959</v>
      </c>
      <c r="BD252" s="901">
        <f t="shared" ca="1" si="81"/>
        <v>10</v>
      </c>
      <c r="BE252" s="1545" t="s">
        <v>7460</v>
      </c>
      <c r="BF252" s="1546" t="str">
        <f t="shared" ca="1" si="78"/>
        <v>Thaumaturgy</v>
      </c>
      <c r="BI252" s="1497" t="s">
        <v>6711</v>
      </c>
      <c r="BJ252" s="701" t="s">
        <v>7396</v>
      </c>
      <c r="BK252" s="904">
        <v>7</v>
      </c>
      <c r="BL252" s="272"/>
      <c r="BM252" s="272"/>
      <c r="BN252" s="3318"/>
      <c r="BO252" s="1547">
        <v>7</v>
      </c>
      <c r="BP252" s="1301">
        <f t="shared" ca="1" si="82"/>
        <v>0.11689943496214772</v>
      </c>
      <c r="BQ252" s="1547">
        <f t="shared" ca="1" si="79"/>
        <v>13</v>
      </c>
      <c r="BR252" s="536" t="s">
        <v>7676</v>
      </c>
      <c r="BS252" s="1548" t="str">
        <f t="shared" ca="1" si="80"/>
        <v>Comprehend Languages</v>
      </c>
      <c r="BT252" s="3320" t="str">
        <f ca="1">IF(BP243&gt;5,BS274,"")</f>
        <v>Remove Curse</v>
      </c>
      <c r="BU252" s="3321"/>
      <c r="BV252" s="1542">
        <v>3</v>
      </c>
    </row>
    <row r="253" spans="2:74" ht="12" customHeight="1">
      <c r="B253" s="1340">
        <v>8</v>
      </c>
      <c r="C253" s="1396">
        <v>8</v>
      </c>
      <c r="D253" s="1459">
        <f ca="1">IF(C253=ROWS(D$246:D253),RAND(),"")</f>
        <v>0.31460142970928384</v>
      </c>
      <c r="E253" s="382">
        <f ca="1">IF(C253=ROWS(E$246:E253),RANK(D253,$D$246:$D$259),"")</f>
        <v>8</v>
      </c>
      <c r="F253" s="368" t="s">
        <v>7604</v>
      </c>
      <c r="G253" s="1363" t="str">
        <f t="shared" ca="1" si="76"/>
        <v>Prestidigitation</v>
      </c>
      <c r="H253" s="1530">
        <f>ROWS(H$246:H253)</f>
        <v>8</v>
      </c>
      <c r="I253" s="901">
        <f ca="1">IF(H253=ROWS(I$246:I253),RAND(),"")</f>
        <v>0.42908338270275181</v>
      </c>
      <c r="J253" s="901">
        <f ca="1">IF(H253=ROWS(J$246:J253),RANK(I253,$I$246:$I$258),"")</f>
        <v>8</v>
      </c>
      <c r="K253" s="368" t="s">
        <v>7280</v>
      </c>
      <c r="L253" s="1363"/>
      <c r="M253" s="1413">
        <f>ROWS(M$246:M253)</f>
        <v>8</v>
      </c>
      <c r="N253" s="368">
        <f ca="1">IF(M253=ROWS(N$246:N253),RAND(),"")</f>
        <v>0.58153923541702979</v>
      </c>
      <c r="O253" s="1396">
        <f ca="1">IF(M253=ROWS(O$246:O253),RANK(N253,$N$246:$N$259),"")</f>
        <v>7</v>
      </c>
      <c r="P253" s="1532" t="s">
        <v>7447</v>
      </c>
      <c r="Q253" s="1461"/>
      <c r="R253" s="1413">
        <f>ROWS(A$246:A253)</f>
        <v>8</v>
      </c>
      <c r="S253" s="368">
        <f ca="1">IF(R253=ROWS(S$246:S253),RAND(),"")</f>
        <v>0.13808994940526809</v>
      </c>
      <c r="T253" s="1396">
        <f ca="1">IF(R253=ROWS(T$246:T253),RANK(S253,$S$246:$S$259),"")</f>
        <v>12</v>
      </c>
      <c r="U253" s="1532" t="s">
        <v>7409</v>
      </c>
      <c r="V253" s="1461"/>
      <c r="W253" s="901"/>
      <c r="X253" s="368"/>
      <c r="Y253" s="975"/>
      <c r="Z253" s="1532"/>
      <c r="AA253" s="1461"/>
      <c r="AB253" s="901"/>
      <c r="AC253" s="368"/>
      <c r="AD253" s="975"/>
      <c r="AE253" s="1532"/>
      <c r="AF253" s="1533"/>
      <c r="AG253" s="1413">
        <v>8</v>
      </c>
      <c r="AH253" s="368">
        <f ca="1">IF(AG253=ROWS(AH$246:AH253),RAND(),"")</f>
        <v>0.99928086717085485</v>
      </c>
      <c r="AI253" s="901">
        <f ca="1">IF(AG253=ROWS(AI$246:AI253),RANK(AH253,$AH$246:$AH$258),"")</f>
        <v>1</v>
      </c>
      <c r="AJ253" s="1543" t="s">
        <v>7243</v>
      </c>
      <c r="AK253" s="1363"/>
      <c r="AL253" s="1413"/>
      <c r="AM253" s="368"/>
      <c r="AN253" s="901"/>
      <c r="AO253" s="1543"/>
      <c r="AP253" s="1363"/>
      <c r="AQ253" s="1413"/>
      <c r="AR253" s="368"/>
      <c r="AS253" s="901"/>
      <c r="AT253" s="1543"/>
      <c r="AU253" s="1363" t="str">
        <f t="shared" si="83"/>
        <v xml:space="preserve"> </v>
      </c>
      <c r="AV253" s="1413"/>
      <c r="AW253" s="368"/>
      <c r="AX253" s="901"/>
      <c r="AY253" s="1543"/>
      <c r="AZ253" s="1363"/>
      <c r="BB253" s="974">
        <v>8</v>
      </c>
      <c r="BC253" s="1544">
        <f t="shared" ca="1" si="77"/>
        <v>2.7872650552929867E-2</v>
      </c>
      <c r="BD253" s="901">
        <f t="shared" ca="1" si="81"/>
        <v>26</v>
      </c>
      <c r="BE253" s="1545" t="s">
        <v>7329</v>
      </c>
      <c r="BF253" s="1546" t="str">
        <f t="shared" ca="1" si="78"/>
        <v>Mold Earth</v>
      </c>
      <c r="BI253" s="1497" t="s">
        <v>6711</v>
      </c>
      <c r="BJ253" s="701" t="s">
        <v>7224</v>
      </c>
      <c r="BK253" s="904">
        <v>7</v>
      </c>
      <c r="BL253" s="272"/>
      <c r="BM253" s="272"/>
      <c r="BN253" s="3318"/>
      <c r="BO253" s="1547">
        <v>8</v>
      </c>
      <c r="BP253" s="1301">
        <f t="shared" ca="1" si="82"/>
        <v>0.96718965243800459</v>
      </c>
      <c r="BQ253" s="1547">
        <f t="shared" ca="1" si="79"/>
        <v>1</v>
      </c>
      <c r="BR253" s="536" t="s">
        <v>7280</v>
      </c>
      <c r="BS253" s="1548" t="str">
        <f t="shared" ca="1" si="80"/>
        <v>Armor of Agathys</v>
      </c>
      <c r="BT253" s="3320" t="str">
        <f ca="1">IF(BP243&gt;6,BS287,"")</f>
        <v/>
      </c>
      <c r="BU253" s="3321"/>
      <c r="BV253" s="1542">
        <v>4</v>
      </c>
    </row>
    <row r="254" spans="2:74" ht="12" customHeight="1">
      <c r="B254" s="1340">
        <v>9</v>
      </c>
      <c r="C254" s="1396">
        <v>9</v>
      </c>
      <c r="D254" s="1459">
        <f ca="1">IF(C254=ROWS(D$246:D254),RAND(),"")</f>
        <v>0.95769829795356842</v>
      </c>
      <c r="E254" s="382">
        <f ca="1">IF(C254=ROWS(E$246:E254),RANK(D254,$D$246:$D$259),"")</f>
        <v>2</v>
      </c>
      <c r="F254" s="368" t="s">
        <v>7263</v>
      </c>
      <c r="G254" s="1363" t="str">
        <f t="shared" ca="1" si="76"/>
        <v>Blade Ward</v>
      </c>
      <c r="H254" s="1530">
        <f>ROWS(H$246:H254)</f>
        <v>9</v>
      </c>
      <c r="I254" s="901">
        <f ca="1">IF(H254=ROWS(I$246:I254),RAND(),"")</f>
        <v>0.74891333823696093</v>
      </c>
      <c r="J254" s="901">
        <f ca="1">IF(H254=ROWS(J$246:J254),RANK(I254,$I$246:$I$258),"")</f>
        <v>4</v>
      </c>
      <c r="K254" s="368" t="s">
        <v>7614</v>
      </c>
      <c r="L254" s="1363"/>
      <c r="M254" s="1413">
        <f>ROWS(M$246:M254)</f>
        <v>9</v>
      </c>
      <c r="N254" s="368">
        <f ca="1">IF(M254=ROWS(N$246:N254),RAND(),"")</f>
        <v>0.42934295544289136</v>
      </c>
      <c r="O254" s="1396">
        <f ca="1">IF(M254=ROWS(O$246:O254),RANK(N254,$N$246:$N$259),"")</f>
        <v>10</v>
      </c>
      <c r="P254" s="1532" t="s">
        <v>7618</v>
      </c>
      <c r="Q254" s="1461"/>
      <c r="R254" s="1413">
        <f>ROWS(A$246:A254)</f>
        <v>9</v>
      </c>
      <c r="S254" s="368">
        <f ca="1">IF(R254=ROWS(S$246:S254),RAND(),"")</f>
        <v>0.66576297796217787</v>
      </c>
      <c r="T254" s="1396">
        <f ca="1">IF(R254=ROWS(T$246:T254),RANK(S254,$S$246:$S$259),"")</f>
        <v>5</v>
      </c>
      <c r="U254" s="1532" t="s">
        <v>7255</v>
      </c>
      <c r="V254" s="1461"/>
      <c r="W254" s="901"/>
      <c r="X254" s="368"/>
      <c r="Y254" s="975"/>
      <c r="Z254" s="1532"/>
      <c r="AA254" s="1461"/>
      <c r="AB254" s="901"/>
      <c r="AC254" s="368"/>
      <c r="AD254" s="975"/>
      <c r="AE254" s="1532"/>
      <c r="AF254" s="1533"/>
      <c r="AG254" s="1413"/>
      <c r="AH254" s="368"/>
      <c r="AI254" s="901"/>
      <c r="AJ254" s="1543"/>
      <c r="AK254" s="1363"/>
      <c r="AL254" s="1413"/>
      <c r="AM254" s="368"/>
      <c r="AN254" s="901"/>
      <c r="AO254" s="1543"/>
      <c r="AP254" s="1363"/>
      <c r="AQ254" s="1413"/>
      <c r="AR254" s="368"/>
      <c r="AS254" s="901"/>
      <c r="AT254" s="1543"/>
      <c r="AU254" s="1363" t="str">
        <f t="shared" si="83"/>
        <v xml:space="preserve"> </v>
      </c>
      <c r="AV254" s="1413"/>
      <c r="AW254" s="368"/>
      <c r="AX254" s="901"/>
      <c r="AY254" s="1543"/>
      <c r="AZ254" s="1363"/>
      <c r="BB254" s="974">
        <v>9</v>
      </c>
      <c r="BC254" s="1544">
        <f t="shared" ca="1" si="77"/>
        <v>0.38078550458412841</v>
      </c>
      <c r="BD254" s="901">
        <f t="shared" ca="1" si="81"/>
        <v>17</v>
      </c>
      <c r="BE254" s="1545" t="s">
        <v>7472</v>
      </c>
      <c r="BF254" s="1546" t="str">
        <f t="shared" ca="1" si="78"/>
        <v>Sacred Flame</v>
      </c>
      <c r="BI254" s="1497" t="s">
        <v>6711</v>
      </c>
      <c r="BJ254" s="701" t="s">
        <v>7207</v>
      </c>
      <c r="BK254" s="904">
        <v>9</v>
      </c>
      <c r="BL254" s="272"/>
      <c r="BM254" s="272"/>
      <c r="BN254" s="3318"/>
      <c r="BO254" s="1547">
        <v>9</v>
      </c>
      <c r="BP254" s="1301">
        <f t="shared" ca="1" si="82"/>
        <v>0.79213730135131388</v>
      </c>
      <c r="BQ254" s="1547">
        <f t="shared" ca="1" si="79"/>
        <v>3</v>
      </c>
      <c r="BR254" s="536" t="s">
        <v>7614</v>
      </c>
      <c r="BS254" s="1548" t="str">
        <f t="shared" ca="1" si="80"/>
        <v>Expeditious Retreat</v>
      </c>
      <c r="BT254" s="3320" t="str">
        <f ca="1">IF(BP243&gt;6,BS288,"")</f>
        <v>Banishment</v>
      </c>
      <c r="BU254" s="3321"/>
      <c r="BV254" s="1542">
        <v>4</v>
      </c>
    </row>
    <row r="255" spans="2:74" ht="12" customHeight="1" thickBot="1">
      <c r="B255" s="1340">
        <v>10</v>
      </c>
      <c r="C255" s="1396" t="str">
        <f>IF([1]MATH!C10=3,10,"")</f>
        <v/>
      </c>
      <c r="D255" s="1459" t="str">
        <f ca="1">IF(C255=ROWS(D$246:D255),RAND(),"")</f>
        <v/>
      </c>
      <c r="E255" s="382" t="str">
        <f>IF(C255=ROWS(E$246:E255),RANK(D255,$D$246:$D$259),"")</f>
        <v/>
      </c>
      <c r="F255" s="1384" t="str">
        <f>IF([1]MATH!C10=3,BF246,"")</f>
        <v/>
      </c>
      <c r="G255" s="1363" t="str">
        <f t="shared" ca="1" si="76"/>
        <v/>
      </c>
      <c r="H255" s="1530">
        <f>ROWS(H$246:H255)</f>
        <v>10</v>
      </c>
      <c r="I255" s="901">
        <f ca="1">IF(H255=ROWS(I$246:I255),RAND(),"")</f>
        <v>0.78297855542878492</v>
      </c>
      <c r="J255" s="901">
        <f ca="1">IF(H255=ROWS(J$246:J255),RANK(I255,$I$246:$I$258),"")</f>
        <v>3</v>
      </c>
      <c r="K255" s="368" t="s">
        <v>7298</v>
      </c>
      <c r="L255" s="1363"/>
      <c r="M255" s="1413">
        <f>ROWS(M$246:M255)</f>
        <v>10</v>
      </c>
      <c r="N255" s="368">
        <f ca="1">IF(M255=ROWS(N$246:N255),RAND(),"")</f>
        <v>9.9450676195256826E-2</v>
      </c>
      <c r="O255" s="1396">
        <f ca="1">IF(M255=ROWS(O$246:O255),RANK(N255,$N$246:$N$259),"")</f>
        <v>14</v>
      </c>
      <c r="P255" s="1532" t="s">
        <v>7295</v>
      </c>
      <c r="Q255" s="1461"/>
      <c r="R255" s="1413">
        <f>ROWS(A$246:A255)</f>
        <v>10</v>
      </c>
      <c r="S255" s="368">
        <f ca="1">IF(R255=ROWS(S$246:S255),RAND(),"")</f>
        <v>0.34575412258421301</v>
      </c>
      <c r="T255" s="1396">
        <f ca="1">IF(R255=ROWS(T$246:T255),RANK(S255,$S$246:$S$259),"")</f>
        <v>11</v>
      </c>
      <c r="U255" s="1532" t="s">
        <v>7420</v>
      </c>
      <c r="V255" s="1461"/>
      <c r="W255" s="901"/>
      <c r="X255" s="368"/>
      <c r="Y255" s="975"/>
      <c r="Z255" s="1532"/>
      <c r="AA255" s="1461"/>
      <c r="AB255" s="901"/>
      <c r="AC255" s="368"/>
      <c r="AD255" s="975"/>
      <c r="AE255" s="1532"/>
      <c r="AF255" s="1533"/>
      <c r="AG255" s="1413"/>
      <c r="AH255" s="368"/>
      <c r="AI255" s="901"/>
      <c r="AJ255" s="1543"/>
      <c r="AK255" s="1363"/>
      <c r="AL255" s="1413"/>
      <c r="AM255" s="368"/>
      <c r="AN255" s="901"/>
      <c r="AO255" s="1543"/>
      <c r="AP255" s="1363"/>
      <c r="AQ255" s="1413"/>
      <c r="AR255" s="368"/>
      <c r="AS255" s="901"/>
      <c r="AT255" s="1543"/>
      <c r="AU255" s="1363" t="str">
        <f t="shared" si="83"/>
        <v xml:space="preserve"> </v>
      </c>
      <c r="AV255" s="1413"/>
      <c r="AW255" s="368"/>
      <c r="AX255" s="901"/>
      <c r="AY255" s="1543"/>
      <c r="AZ255" s="1363"/>
      <c r="BB255" s="974">
        <v>10</v>
      </c>
      <c r="BC255" s="1544">
        <f t="shared" ca="1" si="77"/>
        <v>0.26561272048362417</v>
      </c>
      <c r="BD255" s="901">
        <f t="shared" ca="1" si="81"/>
        <v>19</v>
      </c>
      <c r="BE255" s="1545" t="s">
        <v>6305</v>
      </c>
      <c r="BF255" s="1546" t="str">
        <f t="shared" ca="1" si="78"/>
        <v>Frostbite</v>
      </c>
      <c r="BI255" s="1505" t="s">
        <v>6711</v>
      </c>
      <c r="BJ255" s="1346" t="s">
        <v>7283</v>
      </c>
      <c r="BK255" s="904">
        <v>9</v>
      </c>
      <c r="BL255" s="272"/>
      <c r="BM255" s="272"/>
      <c r="BN255" s="3318"/>
      <c r="BO255" s="1547">
        <v>10</v>
      </c>
      <c r="BP255" s="1301">
        <f t="shared" ca="1" si="82"/>
        <v>0.75387546260818794</v>
      </c>
      <c r="BQ255" s="1547">
        <f t="shared" ca="1" si="79"/>
        <v>4</v>
      </c>
      <c r="BR255" s="536" t="s">
        <v>7298</v>
      </c>
      <c r="BS255" s="1548" t="str">
        <f t="shared" ca="1" si="80"/>
        <v>Charm Person</v>
      </c>
      <c r="BT255" s="3320" t="str">
        <f>IF(BP243&gt;7,BS293,"")</f>
        <v/>
      </c>
      <c r="BU255" s="3321"/>
      <c r="BV255" s="1542">
        <f ca="1">RANDBETWEEN(4,5)</f>
        <v>4</v>
      </c>
    </row>
    <row r="256" spans="2:74" ht="12" customHeight="1">
      <c r="B256" s="1340">
        <v>11</v>
      </c>
      <c r="C256" s="1396" t="str">
        <f>IF([1]MATH!C10=3,11,"")</f>
        <v/>
      </c>
      <c r="D256" s="1459" t="str">
        <f ca="1">IF(C256=ROWS(D$246:D256),RAND(),"")</f>
        <v/>
      </c>
      <c r="E256" s="382" t="str">
        <f>IF(C256=ROWS(E$246:E256),RANK(D256,$D$246:$D$259),"")</f>
        <v/>
      </c>
      <c r="F256" s="1384" t="str">
        <f>IF([1]MATH!C10=3,BF247,"")</f>
        <v/>
      </c>
      <c r="G256" s="1363" t="str">
        <f t="shared" ca="1" si="76"/>
        <v/>
      </c>
      <c r="H256" s="1530">
        <f>ROWS(H$246:H256)</f>
        <v>11</v>
      </c>
      <c r="I256" s="901">
        <f ca="1">IF(H256=ROWS(I$246:I256),RAND(),"")</f>
        <v>0.14236812166640633</v>
      </c>
      <c r="J256" s="901">
        <f ca="1">IF(H256=ROWS(J$246:J256),RANK(I256,$I$246:$I$258),"")</f>
        <v>13</v>
      </c>
      <c r="K256" s="368" t="s">
        <v>7541</v>
      </c>
      <c r="L256" s="1363"/>
      <c r="M256" s="1413">
        <f>ROWS(M$246:M256)</f>
        <v>11</v>
      </c>
      <c r="N256" s="368">
        <f ca="1">IF(M256=ROWS(N$246:N256),RAND(),"")</f>
        <v>0.66608938247572191</v>
      </c>
      <c r="O256" s="1396">
        <f ca="1">IF(M256=ROWS(O$246:O256),RANK(N256,$N$246:$N$259),"")</f>
        <v>6</v>
      </c>
      <c r="P256" s="1532" t="s">
        <v>2915</v>
      </c>
      <c r="Q256" s="1461"/>
      <c r="R256" s="1413">
        <f>ROWS(A$246:A256)</f>
        <v>11</v>
      </c>
      <c r="S256" s="368">
        <f ca="1">IF(R256=ROWS(S$246:S256),RAND(),"")</f>
        <v>0.53743356054190372</v>
      </c>
      <c r="T256" s="1396">
        <f ca="1">IF(R256=ROWS(T$246:T256),RANK(S256,$S$246:$S$259),"")</f>
        <v>7</v>
      </c>
      <c r="U256" s="1532" t="s">
        <v>7286</v>
      </c>
      <c r="V256" s="1461"/>
      <c r="W256" s="901"/>
      <c r="X256" s="368"/>
      <c r="Y256" s="975"/>
      <c r="Z256" s="1532"/>
      <c r="AA256" s="1461"/>
      <c r="AB256" s="901"/>
      <c r="AC256" s="368"/>
      <c r="AD256" s="975"/>
      <c r="AE256" s="1532"/>
      <c r="AF256" s="1533"/>
      <c r="AG256" s="1413"/>
      <c r="AH256" s="368"/>
      <c r="AI256" s="901"/>
      <c r="AJ256" s="1543"/>
      <c r="AK256" s="1363"/>
      <c r="AL256" s="1413"/>
      <c r="AM256" s="368"/>
      <c r="AN256" s="901"/>
      <c r="AO256" s="1543"/>
      <c r="AP256" s="1363"/>
      <c r="AQ256" s="1413"/>
      <c r="AR256" s="368"/>
      <c r="AS256" s="901"/>
      <c r="AT256" s="1543"/>
      <c r="AU256" s="1363" t="str">
        <f t="shared" si="83"/>
        <v xml:space="preserve"> </v>
      </c>
      <c r="AV256" s="1413"/>
      <c r="AW256" s="368"/>
      <c r="AX256" s="901"/>
      <c r="AY256" s="1543"/>
      <c r="AZ256" s="1363"/>
      <c r="BB256" s="974">
        <v>11</v>
      </c>
      <c r="BC256" s="1544">
        <f t="shared" ca="1" si="77"/>
        <v>0.22672938777941554</v>
      </c>
      <c r="BD256" s="901">
        <f t="shared" ca="1" si="81"/>
        <v>20</v>
      </c>
      <c r="BE256" s="1545" t="s">
        <v>7478</v>
      </c>
      <c r="BF256" s="1546" t="str">
        <f t="shared" ca="1" si="78"/>
        <v>Acid Splash</v>
      </c>
      <c r="BI256" s="1493" t="s">
        <v>2879</v>
      </c>
      <c r="BJ256" s="595" t="s">
        <v>7340</v>
      </c>
      <c r="BK256" s="900">
        <v>1</v>
      </c>
      <c r="BL256" s="272"/>
      <c r="BM256" s="272"/>
      <c r="BN256" s="3318"/>
      <c r="BO256" s="1547">
        <v>11</v>
      </c>
      <c r="BP256" s="1301">
        <f t="shared" ca="1" si="82"/>
        <v>0.89953833137143047</v>
      </c>
      <c r="BQ256" s="1547">
        <f t="shared" ca="1" si="79"/>
        <v>2</v>
      </c>
      <c r="BR256" s="536" t="s">
        <v>7541</v>
      </c>
      <c r="BS256" s="1548" t="str">
        <f t="shared" ca="1" si="80"/>
        <v/>
      </c>
      <c r="BT256" s="3320" t="str">
        <f>IF(BP243&gt;8,BS294,"")</f>
        <v/>
      </c>
      <c r="BU256" s="3321"/>
      <c r="BV256" s="1542">
        <v>5</v>
      </c>
    </row>
    <row r="257" spans="2:74" ht="12" customHeight="1">
      <c r="B257" s="1340">
        <v>12</v>
      </c>
      <c r="C257" s="1396" t="str">
        <f>IF([1]MATH!C10=3,12,"")</f>
        <v/>
      </c>
      <c r="D257" s="1459" t="str">
        <f ca="1">IF(C257=ROWS(D$246:D257),RAND(),"")</f>
        <v/>
      </c>
      <c r="E257" s="382" t="str">
        <f>IF(C257=ROWS(E$246:E257),RANK(D257,$D$246:$D$259),"")</f>
        <v/>
      </c>
      <c r="F257" s="1384" t="str">
        <f>IF([1]MATH!C10=3,BF248,"")</f>
        <v/>
      </c>
      <c r="G257" s="1363" t="str">
        <f t="shared" ca="1" si="76"/>
        <v/>
      </c>
      <c r="H257" s="1530">
        <f>ROWS(H$246:H257)</f>
        <v>12</v>
      </c>
      <c r="I257" s="901">
        <f ca="1">IF(H257=ROWS(I$246:I257),RAND(),"")</f>
        <v>0.47299320045911941</v>
      </c>
      <c r="J257" s="901">
        <f ca="1">IF(H257=ROWS(J$246:J257),RANK(I257,$I$246:$I$258),"")</f>
        <v>7</v>
      </c>
      <c r="K257" s="1384" t="str">
        <f>IF([1]MATH!$C$9=1,$BJ$246,IF([1]MATH!$C$9=2,$BJ$256,IF([1]MATH!$C$9=3,$BJ$266,"")))</f>
        <v/>
      </c>
      <c r="L257" s="1363"/>
      <c r="M257" s="1413">
        <f>ROWS(M$246:M257)</f>
        <v>12</v>
      </c>
      <c r="N257" s="368">
        <f ca="1">IF(M257=ROWS(N$246:N257),RAND(),"")</f>
        <v>0.89854017954373189</v>
      </c>
      <c r="O257" s="1396">
        <f ca="1">IF(M257=ROWS(O$246:O257),RANK(N257,$N$246:$N$259),"")</f>
        <v>2</v>
      </c>
      <c r="P257" s="1532" t="s">
        <v>7300</v>
      </c>
      <c r="Q257" s="1461"/>
      <c r="R257" s="1413">
        <f>ROWS(A$246:A257)</f>
        <v>12</v>
      </c>
      <c r="S257" s="368">
        <f ca="1">IF(R257=ROWS(S$246:S257),RAND(),"")</f>
        <v>0.38227545446912814</v>
      </c>
      <c r="T257" s="1396">
        <f ca="1">IF(R257=ROWS(T$246:T257),RANK(S257,$S$246:$S$259),"")</f>
        <v>10</v>
      </c>
      <c r="U257" s="1532" t="s">
        <v>7620</v>
      </c>
      <c r="V257" s="1461"/>
      <c r="W257" s="901"/>
      <c r="X257" s="368"/>
      <c r="Y257" s="975"/>
      <c r="Z257" s="1532"/>
      <c r="AA257" s="1461"/>
      <c r="AB257" s="901"/>
      <c r="AC257" s="368"/>
      <c r="AD257" s="975"/>
      <c r="AE257" s="1532"/>
      <c r="AF257" s="1533"/>
      <c r="AG257" s="1413"/>
      <c r="AH257" s="368"/>
      <c r="AI257" s="901"/>
      <c r="AJ257" s="1543"/>
      <c r="AK257" s="1363"/>
      <c r="AL257" s="1413"/>
      <c r="AM257" s="368"/>
      <c r="AN257" s="901"/>
      <c r="AO257" s="1543"/>
      <c r="AP257" s="1363"/>
      <c r="AQ257" s="1413"/>
      <c r="AR257" s="368"/>
      <c r="AS257" s="901"/>
      <c r="AT257" s="1543"/>
      <c r="AU257" s="1363" t="str">
        <f t="shared" si="83"/>
        <v xml:space="preserve"> </v>
      </c>
      <c r="AV257" s="1413"/>
      <c r="AW257" s="368"/>
      <c r="AX257" s="901"/>
      <c r="AY257" s="1543"/>
      <c r="AZ257" s="1363"/>
      <c r="BB257" s="974">
        <v>12</v>
      </c>
      <c r="BC257" s="1544">
        <f t="shared" ca="1" si="77"/>
        <v>0.42351292699779153</v>
      </c>
      <c r="BD257" s="901">
        <f t="shared" ca="1" si="81"/>
        <v>15</v>
      </c>
      <c r="BE257" s="1545" t="s">
        <v>7229</v>
      </c>
      <c r="BF257" s="1546" t="str">
        <f t="shared" ca="1" si="78"/>
        <v>Create Bonfire</v>
      </c>
      <c r="BI257" s="1497" t="s">
        <v>2879</v>
      </c>
      <c r="BJ257" s="701" t="s">
        <v>7338</v>
      </c>
      <c r="BK257" s="904">
        <v>1</v>
      </c>
      <c r="BL257" s="272"/>
      <c r="BM257" s="272"/>
      <c r="BN257" s="3318"/>
      <c r="BO257" s="1547">
        <v>12</v>
      </c>
      <c r="BP257" s="1301">
        <f t="shared" ca="1" si="82"/>
        <v>0.24334502830013527</v>
      </c>
      <c r="BQ257" s="1547">
        <f t="shared" ca="1" si="79"/>
        <v>11</v>
      </c>
      <c r="BR257" s="1550" t="str">
        <f>IF([1]MATH!$C$9=1,$BJ$247,IF([1]MATH!$C$9=2,$BJ$257,IF([1]MATH!$C$9=3,$BJ$267,"")))</f>
        <v/>
      </c>
      <c r="BS257" s="1548" t="str">
        <f t="shared" ca="1" si="80"/>
        <v/>
      </c>
      <c r="BT257" s="3320" t="str">
        <f>IF(BP243&gt;10,BS299,"")</f>
        <v/>
      </c>
      <c r="BU257" s="3321"/>
      <c r="BV257" s="1542" t="s">
        <v>7677</v>
      </c>
    </row>
    <row r="258" spans="2:74" ht="12" customHeight="1" thickBot="1">
      <c r="B258" s="1340">
        <v>13</v>
      </c>
      <c r="C258" s="1396"/>
      <c r="D258" s="1459" t="str">
        <f ca="1">IF(C258=ROWS(D$246:D258),RAND(),"")</f>
        <v/>
      </c>
      <c r="E258" s="382" t="str">
        <f>IF(C258=ROWS(E$246:E258),RANK(D258,$D$246:$D$259),"")</f>
        <v/>
      </c>
      <c r="F258" s="368"/>
      <c r="G258" s="1363"/>
      <c r="H258" s="1530">
        <f>ROWS(H$246:H258)</f>
        <v>13</v>
      </c>
      <c r="I258" s="901">
        <f ca="1">IF(H258=ROWS(I$246:I258),RAND(),"")</f>
        <v>0.72259113192328073</v>
      </c>
      <c r="J258" s="901">
        <f ca="1">IF(H258=ROWS(J$246:J258),RANK(I258,$I$246:$I$258),"")</f>
        <v>5</v>
      </c>
      <c r="K258" s="1384" t="str">
        <f>IF([1]MATH!$C$9=1,$BJ$247,IF([1]MATH!$C$9=2,$BJ$257,IF([1]MATH!$C$9=3,$BJ$267,"")))</f>
        <v/>
      </c>
      <c r="L258" s="1363"/>
      <c r="M258" s="1413">
        <f>ROWS(M$246:M258)</f>
        <v>13</v>
      </c>
      <c r="N258" s="368">
        <f ca="1">IF(M258=ROWS(N$246:N258),RAND(),"")</f>
        <v>0.85686553563605805</v>
      </c>
      <c r="O258" s="1396">
        <f ca="1">IF(M258=ROWS(O$246:O258),RANK(N258,$N$246:$N$259),"")</f>
        <v>4</v>
      </c>
      <c r="P258" s="1551" t="str">
        <f>IF([1]MATH!$C$9=1,$BJ$248,IF([1]MATH!$C$9=2,$BJ$258,IF([1]MATH!$C$9=3,$BJ$268,"")))</f>
        <v/>
      </c>
      <c r="Q258" s="1461"/>
      <c r="R258" s="1413">
        <f>ROWS(A$246:A258)</f>
        <v>13</v>
      </c>
      <c r="S258" s="368">
        <f ca="1">IF(R258=ROWS(S$246:S258),RAND(),"")</f>
        <v>0.1357012127927153</v>
      </c>
      <c r="T258" s="1396">
        <f ca="1">IF(R258=ROWS(T$246:T258),RANK(S258,$S$246:$S$259),"")</f>
        <v>13</v>
      </c>
      <c r="U258" s="1552" t="str">
        <f>IF([1]MATH!$C$9=2,$BJ$250,IF([1]MATH!$C$9=2,$BJ$260,IF([1]MATH!$C$9=3,$BJ$270,"")))</f>
        <v/>
      </c>
      <c r="V258" s="1461"/>
      <c r="W258" s="901"/>
      <c r="X258" s="368"/>
      <c r="Y258" s="975"/>
      <c r="Z258" s="1532"/>
      <c r="AA258" s="1461"/>
      <c r="AB258" s="901"/>
      <c r="AC258" s="368"/>
      <c r="AD258" s="975"/>
      <c r="AE258" s="1532"/>
      <c r="AF258" s="1533"/>
      <c r="AG258" s="1413"/>
      <c r="AH258" s="368"/>
      <c r="AI258" s="901"/>
      <c r="AJ258" s="1543"/>
      <c r="AK258" s="1363"/>
      <c r="AL258" s="1413"/>
      <c r="AM258" s="368"/>
      <c r="AN258" s="901"/>
      <c r="AO258" s="1543"/>
      <c r="AP258" s="1363"/>
      <c r="AQ258" s="1413"/>
      <c r="AR258" s="368"/>
      <c r="AS258" s="901"/>
      <c r="AT258" s="1543"/>
      <c r="AU258" s="1363" t="str">
        <f t="shared" si="83"/>
        <v xml:space="preserve"> </v>
      </c>
      <c r="AV258" s="1413"/>
      <c r="AW258" s="368"/>
      <c r="AX258" s="901"/>
      <c r="AY258" s="1543"/>
      <c r="AZ258" s="1363"/>
      <c r="BB258" s="974">
        <v>13</v>
      </c>
      <c r="BC258" s="1544">
        <f t="shared" ca="1" si="77"/>
        <v>0.10051525416551466</v>
      </c>
      <c r="BD258" s="901">
        <f t="shared" ca="1" si="81"/>
        <v>24</v>
      </c>
      <c r="BE258" s="1545" t="s">
        <v>7237</v>
      </c>
      <c r="BF258" s="1546" t="str">
        <f t="shared" ca="1" si="78"/>
        <v>Shape Water</v>
      </c>
      <c r="BI258" s="1497" t="s">
        <v>2879</v>
      </c>
      <c r="BJ258" s="701" t="s">
        <v>7194</v>
      </c>
      <c r="BK258" s="904">
        <v>3</v>
      </c>
      <c r="BL258" s="272"/>
      <c r="BM258" s="272"/>
      <c r="BN258" s="3338"/>
      <c r="BO258" s="1553">
        <v>13</v>
      </c>
      <c r="BP258" s="1304">
        <f t="shared" ca="1" si="82"/>
        <v>0.1320820441613173</v>
      </c>
      <c r="BQ258" s="1553">
        <f t="shared" ca="1" si="79"/>
        <v>12</v>
      </c>
      <c r="BR258" s="1550" t="str">
        <f>IF([1]MATH!$C$9=1,$BJ$246,IF([1]MATH!$C$9=2,$BJ$256,IF([1]MATH!$C$9=3,$BJ$266,"")))</f>
        <v/>
      </c>
      <c r="BS258" s="1554" t="str">
        <f t="shared" ca="1" si="80"/>
        <v>Hex</v>
      </c>
      <c r="BT258" s="3320" t="str">
        <f>IF(BP243&gt;12,BS307,"")</f>
        <v/>
      </c>
      <c r="BU258" s="3321"/>
      <c r="BV258" s="1542" t="s">
        <v>7678</v>
      </c>
    </row>
    <row r="259" spans="2:74" ht="12" customHeight="1" thickBot="1">
      <c r="B259" s="1350">
        <v>14</v>
      </c>
      <c r="C259" s="1434"/>
      <c r="D259" s="1481" t="str">
        <f ca="1">IF(C259=ROWS(D$246:D259),RAND(),"")</f>
        <v/>
      </c>
      <c r="E259" s="1348" t="str">
        <f>IF(C259=ROWS(E$246:E259),RANK(D259,$D$246:$D$259),"")</f>
        <v/>
      </c>
      <c r="F259" s="1424"/>
      <c r="G259" s="1429"/>
      <c r="H259" s="1555"/>
      <c r="I259" s="1430"/>
      <c r="J259" s="1430"/>
      <c r="K259" s="1556"/>
      <c r="L259" s="1484"/>
      <c r="M259" s="1557">
        <f>ROWS(M$246:M259)</f>
        <v>14</v>
      </c>
      <c r="N259" s="423">
        <f ca="1">IF(M259=ROWS(N$246:N259),RAND(),"")</f>
        <v>0.55577746241221793</v>
      </c>
      <c r="O259" s="419">
        <f ca="1">IF(M259=ROWS(O$246:O259),RANK(N259,$N$246:$N$259),"")</f>
        <v>8</v>
      </c>
      <c r="P259" s="1558" t="str">
        <f>IF([1]MATH!$C$9=1,$BJ$249,IF([1]MATH!$C$9=2,$BJ$259,IF([1]MATH!$C$9=3,$BJ$269,"")))</f>
        <v/>
      </c>
      <c r="Q259" s="1559"/>
      <c r="R259" s="1557">
        <f>ROWS(A$246:A259)</f>
        <v>14</v>
      </c>
      <c r="S259" s="423">
        <f ca="1">IF(R259=ROWS(S$246:S259),RAND(),"")</f>
        <v>0.85143175760366352</v>
      </c>
      <c r="T259" s="419">
        <f ca="1">IF(R259=ROWS(T$246:T259),RANK(S259,$S$246:$S$259),"")</f>
        <v>2</v>
      </c>
      <c r="U259" s="1552" t="str">
        <f>IF([1]MATH!$C$9=2,$BJ$251,IF([1]MATH!$C$9=2,$BJ$261,IF([1]MATH!$C$9=3,$BJ$271,"")))</f>
        <v/>
      </c>
      <c r="V259" s="1461"/>
      <c r="W259" s="905"/>
      <c r="X259" s="423"/>
      <c r="Y259" s="409"/>
      <c r="Z259" s="1560"/>
      <c r="AA259" s="1559"/>
      <c r="AB259" s="905"/>
      <c r="AC259" s="423"/>
      <c r="AD259" s="409"/>
      <c r="AE259" s="1560"/>
      <c r="AF259" s="1559"/>
      <c r="AG259" s="1557"/>
      <c r="AH259" s="423"/>
      <c r="AI259" s="905"/>
      <c r="AJ259" s="1561"/>
      <c r="AK259" s="1562"/>
      <c r="AL259" s="1557"/>
      <c r="AM259" s="423"/>
      <c r="AN259" s="905"/>
      <c r="AO259" s="1561"/>
      <c r="AP259" s="1562"/>
      <c r="AQ259" s="1557"/>
      <c r="AR259" s="423"/>
      <c r="AS259" s="905"/>
      <c r="AT259" s="1561"/>
      <c r="AU259" s="1562" t="str">
        <f t="shared" si="83"/>
        <v xml:space="preserve"> </v>
      </c>
      <c r="AV259" s="1557"/>
      <c r="AW259" s="423"/>
      <c r="AX259" s="905"/>
      <c r="AY259" s="1561"/>
      <c r="AZ259" s="1562"/>
      <c r="BB259" s="974">
        <v>14</v>
      </c>
      <c r="BC259" s="1544">
        <f t="shared" ca="1" si="77"/>
        <v>0.65413708577406948</v>
      </c>
      <c r="BD259" s="901">
        <f t="shared" ca="1" si="81"/>
        <v>8</v>
      </c>
      <c r="BE259" s="1545" t="s">
        <v>7488</v>
      </c>
      <c r="BF259" s="1546" t="str">
        <f t="shared" ca="1" si="78"/>
        <v>Fire Bolt</v>
      </c>
      <c r="BI259" s="1497" t="s">
        <v>2879</v>
      </c>
      <c r="BJ259" s="701" t="s">
        <v>7369</v>
      </c>
      <c r="BK259" s="904">
        <v>3</v>
      </c>
      <c r="BL259" s="272"/>
      <c r="BM259" s="272"/>
      <c r="BN259" s="3317">
        <v>2</v>
      </c>
      <c r="BO259" s="1540">
        <v>1</v>
      </c>
      <c r="BP259" s="1299">
        <f ca="1">RAND()</f>
        <v>0.46334123269715222</v>
      </c>
      <c r="BQ259" s="1540">
        <f t="shared" ref="BQ259:BQ272" ca="1" si="84">RANK(BP259,$BP$259:$BP$272)</f>
        <v>7</v>
      </c>
      <c r="BR259" s="1563" t="s">
        <v>7213</v>
      </c>
      <c r="BS259" s="1541" t="str">
        <f t="shared" ref="BS259:BS272" ca="1" si="85">VLOOKUP(BO259,$BQ$259:$BR$272,2,FALSE)</f>
        <v/>
      </c>
      <c r="BT259" s="3320" t="str">
        <f>IF(BP243&gt;14,BS311,"")</f>
        <v/>
      </c>
      <c r="BU259" s="3321"/>
      <c r="BV259" s="1542" t="s">
        <v>7679</v>
      </c>
    </row>
    <row r="260" spans="2:74" ht="12" customHeight="1" thickTop="1" thickBot="1">
      <c r="B260" s="3308" t="s">
        <v>7303</v>
      </c>
      <c r="C260" s="3309"/>
      <c r="G260" s="1335"/>
      <c r="I260" s="273"/>
      <c r="J260" s="273"/>
      <c r="L260" s="1335"/>
      <c r="N260" s="273"/>
      <c r="O260" s="273"/>
      <c r="Q260" s="1335"/>
      <c r="S260" s="273"/>
      <c r="T260" s="273"/>
      <c r="U260" s="273"/>
      <c r="V260" s="273"/>
      <c r="W260" s="273"/>
      <c r="Y260" s="1335"/>
      <c r="AA260" s="273"/>
      <c r="AB260" s="273"/>
      <c r="AC260" s="273"/>
      <c r="AD260" s="273"/>
      <c r="AE260" s="273"/>
      <c r="AG260" s="1335"/>
      <c r="AI260" s="273"/>
      <c r="AJ260" s="273"/>
      <c r="AK260" s="273"/>
      <c r="AL260" s="273"/>
      <c r="AM260" s="273"/>
      <c r="AO260" s="1335"/>
      <c r="AQ260" s="273"/>
      <c r="AR260" s="273"/>
      <c r="AT260" s="1335"/>
      <c r="AV260" s="273"/>
      <c r="AW260" s="273"/>
      <c r="AY260" s="1335"/>
      <c r="BA260" s="273"/>
      <c r="BB260" s="974">
        <v>15</v>
      </c>
      <c r="BC260" s="1544">
        <f t="shared" ca="1" si="77"/>
        <v>0.68415911820974484</v>
      </c>
      <c r="BD260" s="901">
        <f t="shared" ca="1" si="81"/>
        <v>5</v>
      </c>
      <c r="BE260" s="1545" t="s">
        <v>7498</v>
      </c>
      <c r="BF260" s="1546" t="str">
        <f t="shared" ca="1" si="78"/>
        <v>Mending</v>
      </c>
      <c r="BI260" s="1497" t="s">
        <v>2879</v>
      </c>
      <c r="BJ260" s="701" t="s">
        <v>7387</v>
      </c>
      <c r="BK260" s="904">
        <v>5</v>
      </c>
      <c r="BL260" s="272"/>
      <c r="BM260" s="272"/>
      <c r="BN260" s="3318"/>
      <c r="BO260" s="1547">
        <v>2</v>
      </c>
      <c r="BP260" s="1301">
        <f t="shared" ca="1" si="82"/>
        <v>0.11000964134381552</v>
      </c>
      <c r="BQ260" s="1547">
        <f t="shared" ca="1" si="84"/>
        <v>14</v>
      </c>
      <c r="BR260" s="1564" t="s">
        <v>7222</v>
      </c>
      <c r="BS260" s="1548" t="str">
        <f t="shared" ca="1" si="85"/>
        <v>Darkness</v>
      </c>
      <c r="BT260" s="3322" t="str">
        <f>IF(BP243&gt;16,BS316,"")</f>
        <v/>
      </c>
      <c r="BU260" s="3323"/>
      <c r="BV260" s="1565" t="s">
        <v>7680</v>
      </c>
    </row>
    <row r="261" spans="2:74" ht="12" customHeight="1" thickBot="1">
      <c r="I261" s="1356"/>
      <c r="V261" s="1513"/>
      <c r="W261" s="1513"/>
      <c r="X261" s="1513"/>
      <c r="Y261" s="1513"/>
      <c r="Z261" s="1513"/>
      <c r="AA261" s="1513"/>
      <c r="AB261" s="1513"/>
      <c r="AC261" s="1513"/>
      <c r="AD261" s="1513"/>
      <c r="AE261" s="1513"/>
      <c r="AF261" s="1513"/>
      <c r="AG261" s="1513"/>
      <c r="AH261" s="1465"/>
      <c r="AI261" s="1465"/>
      <c r="AJ261" s="1465"/>
      <c r="AK261" s="1465"/>
      <c r="AL261" s="1513"/>
      <c r="AM261" s="1513"/>
      <c r="AN261" s="1465"/>
      <c r="AO261" s="1465"/>
      <c r="AP261" s="1465"/>
      <c r="AQ261" s="1465"/>
      <c r="AR261" s="1465"/>
      <c r="AS261" s="1465"/>
      <c r="AT261" s="1513"/>
      <c r="AU261" s="1513"/>
      <c r="AV261" s="1465"/>
      <c r="AW261" s="1465"/>
      <c r="AX261" s="1465"/>
      <c r="AY261" s="1513"/>
      <c r="AZ261" s="1513"/>
      <c r="BA261" s="1465"/>
      <c r="BB261" s="974">
        <v>16</v>
      </c>
      <c r="BC261" s="1544">
        <f t="shared" ca="1" si="77"/>
        <v>6.2570464803283765E-2</v>
      </c>
      <c r="BD261" s="901">
        <f t="shared" ca="1" si="81"/>
        <v>25</v>
      </c>
      <c r="BE261" s="1545" t="s">
        <v>7532</v>
      </c>
      <c r="BF261" s="1546" t="str">
        <f t="shared" ca="1" si="78"/>
        <v>Vicious Mockery</v>
      </c>
      <c r="BI261" s="1497" t="s">
        <v>2879</v>
      </c>
      <c r="BJ261" s="701" t="s">
        <v>7282</v>
      </c>
      <c r="BK261" s="904">
        <v>5</v>
      </c>
      <c r="BL261" s="272"/>
      <c r="BM261" s="272"/>
      <c r="BN261" s="3318"/>
      <c r="BO261" s="1547">
        <v>3</v>
      </c>
      <c r="BP261" s="1301">
        <f t="shared" ca="1" si="82"/>
        <v>0.70345972696233394</v>
      </c>
      <c r="BQ261" s="1547">
        <f t="shared" ca="1" si="84"/>
        <v>2</v>
      </c>
      <c r="BR261" s="1564" t="s">
        <v>7448</v>
      </c>
      <c r="BS261" s="1548" t="str">
        <f t="shared" ca="1" si="85"/>
        <v/>
      </c>
      <c r="BT261" s="3324" t="s">
        <v>7681</v>
      </c>
      <c r="BU261" s="3325"/>
      <c r="BV261" s="3326"/>
    </row>
    <row r="262" spans="2:74" ht="12" customHeight="1" thickTop="1" thickBot="1">
      <c r="B262" s="3330" t="s">
        <v>7682</v>
      </c>
      <c r="C262" s="3331"/>
      <c r="D262" s="3331"/>
      <c r="E262" s="3331"/>
      <c r="F262" s="3331"/>
      <c r="G262" s="3332"/>
      <c r="H262" s="3330" t="s">
        <v>7683</v>
      </c>
      <c r="I262" s="3331"/>
      <c r="J262" s="3331"/>
      <c r="K262" s="3331"/>
      <c r="L262" s="3332"/>
      <c r="M262" s="3330" t="s">
        <v>7684</v>
      </c>
      <c r="N262" s="3331"/>
      <c r="O262" s="3331"/>
      <c r="P262" s="3331"/>
      <c r="Q262" s="3332"/>
      <c r="R262" s="3330" t="s">
        <v>7685</v>
      </c>
      <c r="S262" s="3331"/>
      <c r="T262" s="3331"/>
      <c r="U262" s="3331"/>
      <c r="V262" s="3332"/>
      <c r="W262" s="3330" t="s">
        <v>7686</v>
      </c>
      <c r="X262" s="3331"/>
      <c r="Y262" s="3331"/>
      <c r="Z262" s="3331"/>
      <c r="AA262" s="3332"/>
      <c r="AB262" s="3330" t="s">
        <v>7687</v>
      </c>
      <c r="AC262" s="3331"/>
      <c r="AD262" s="3331"/>
      <c r="AE262" s="3331"/>
      <c r="AF262" s="3332"/>
      <c r="AG262" s="3330" t="s">
        <v>7688</v>
      </c>
      <c r="AH262" s="3331"/>
      <c r="AI262" s="3331"/>
      <c r="AJ262" s="3331"/>
      <c r="AK262" s="3332"/>
      <c r="AL262" s="3330" t="s">
        <v>7689</v>
      </c>
      <c r="AM262" s="3331"/>
      <c r="AN262" s="3331"/>
      <c r="AO262" s="3331"/>
      <c r="AP262" s="3332"/>
      <c r="AQ262" s="3330" t="s">
        <v>7690</v>
      </c>
      <c r="AR262" s="3331"/>
      <c r="AS262" s="3331"/>
      <c r="AT262" s="3331"/>
      <c r="AU262" s="3332"/>
      <c r="AV262" s="3330" t="s">
        <v>7691</v>
      </c>
      <c r="AW262" s="3331"/>
      <c r="AX262" s="3331"/>
      <c r="AY262" s="3331"/>
      <c r="AZ262" s="3332"/>
      <c r="BB262" s="974">
        <v>17</v>
      </c>
      <c r="BC262" s="1544">
        <f t="shared" ca="1" si="77"/>
        <v>0.72422380023556221</v>
      </c>
      <c r="BD262" s="901">
        <f t="shared" ca="1" si="81"/>
        <v>4</v>
      </c>
      <c r="BE262" s="1545" t="s">
        <v>7361</v>
      </c>
      <c r="BF262" s="1546" t="str">
        <f t="shared" ca="1" si="78"/>
        <v>Gust</v>
      </c>
      <c r="BI262" s="1497" t="s">
        <v>2879</v>
      </c>
      <c r="BJ262" s="701" t="s">
        <v>7527</v>
      </c>
      <c r="BK262" s="904">
        <v>7</v>
      </c>
      <c r="BL262" s="272"/>
      <c r="BM262" s="272"/>
      <c r="BN262" s="3318"/>
      <c r="BO262" s="1547">
        <v>4</v>
      </c>
      <c r="BP262" s="1301">
        <f t="shared" ca="1" si="82"/>
        <v>0.53586776766042021</v>
      </c>
      <c r="BQ262" s="1547">
        <f t="shared" ca="1" si="84"/>
        <v>5</v>
      </c>
      <c r="BR262" s="1564" t="s">
        <v>7247</v>
      </c>
      <c r="BS262" s="1548" t="str">
        <f t="shared" ca="1" si="85"/>
        <v>Ray of Enfeeblement</v>
      </c>
      <c r="BT262" s="3327"/>
      <c r="BU262" s="3328"/>
      <c r="BV262" s="3329"/>
    </row>
    <row r="263" spans="2:74" s="271" customFormat="1" ht="12" customHeight="1" thickBot="1">
      <c r="B263" s="3333"/>
      <c r="C263" s="2932"/>
      <c r="D263" s="2932"/>
      <c r="E263" s="2932"/>
      <c r="F263" s="2932"/>
      <c r="G263" s="3334"/>
      <c r="H263" s="3333"/>
      <c r="I263" s="2932"/>
      <c r="J263" s="2932"/>
      <c r="K263" s="2932"/>
      <c r="L263" s="3334"/>
      <c r="M263" s="3333"/>
      <c r="N263" s="2932"/>
      <c r="O263" s="2932"/>
      <c r="P263" s="2932"/>
      <c r="Q263" s="3334"/>
      <c r="R263" s="3333"/>
      <c r="S263" s="2932"/>
      <c r="T263" s="2932"/>
      <c r="U263" s="2932"/>
      <c r="V263" s="3334"/>
      <c r="W263" s="3333"/>
      <c r="X263" s="2932"/>
      <c r="Y263" s="2932"/>
      <c r="Z263" s="2932"/>
      <c r="AA263" s="3334"/>
      <c r="AB263" s="3333"/>
      <c r="AC263" s="2932"/>
      <c r="AD263" s="2932"/>
      <c r="AE263" s="2932"/>
      <c r="AF263" s="3334"/>
      <c r="AG263" s="3333"/>
      <c r="AH263" s="2932"/>
      <c r="AI263" s="2932"/>
      <c r="AJ263" s="2932"/>
      <c r="AK263" s="3334"/>
      <c r="AL263" s="3333"/>
      <c r="AM263" s="2932"/>
      <c r="AN263" s="2932"/>
      <c r="AO263" s="2932"/>
      <c r="AP263" s="3334"/>
      <c r="AQ263" s="3333"/>
      <c r="AR263" s="2932"/>
      <c r="AS263" s="2932"/>
      <c r="AT263" s="2932"/>
      <c r="AU263" s="3334"/>
      <c r="AV263" s="3333"/>
      <c r="AW263" s="2932"/>
      <c r="AX263" s="2932"/>
      <c r="AY263" s="2932"/>
      <c r="AZ263" s="3334"/>
      <c r="BB263" s="974">
        <v>18</v>
      </c>
      <c r="BC263" s="1544">
        <f t="shared" ca="1" si="77"/>
        <v>0.63431802264235959</v>
      </c>
      <c r="BD263" s="901">
        <f t="shared" ca="1" si="81"/>
        <v>9</v>
      </c>
      <c r="BE263" s="1545" t="s">
        <v>7373</v>
      </c>
      <c r="BF263" s="1546" t="str">
        <f t="shared" ca="1" si="78"/>
        <v>Dancing Lights</v>
      </c>
      <c r="BI263" s="1497" t="s">
        <v>2879</v>
      </c>
      <c r="BJ263" s="701" t="s">
        <v>7403</v>
      </c>
      <c r="BK263" s="904">
        <v>7</v>
      </c>
      <c r="BL263" s="272"/>
      <c r="BM263" s="272"/>
      <c r="BN263" s="3318"/>
      <c r="BO263" s="1547">
        <v>5</v>
      </c>
      <c r="BP263" s="1301">
        <f t="shared" ca="1" si="82"/>
        <v>0.34559096564103564</v>
      </c>
      <c r="BQ263" s="1547">
        <f t="shared" ca="1" si="84"/>
        <v>9</v>
      </c>
      <c r="BR263" s="1564" t="s">
        <v>7260</v>
      </c>
      <c r="BS263" s="1548" t="str">
        <f t="shared" ca="1" si="85"/>
        <v>Enthrall</v>
      </c>
      <c r="BT263" s="272"/>
      <c r="BU263" s="272"/>
      <c r="BV263" s="272"/>
    </row>
    <row r="264" spans="2:74" ht="12" customHeight="1">
      <c r="B264" s="1357" t="s">
        <v>7124</v>
      </c>
      <c r="C264" s="3335" t="s">
        <v>7169</v>
      </c>
      <c r="D264" s="3335" t="s">
        <v>6598</v>
      </c>
      <c r="E264" s="3335" t="s">
        <v>6592</v>
      </c>
      <c r="F264" s="3335" t="s">
        <v>7170</v>
      </c>
      <c r="G264" s="3314" t="s">
        <v>7318</v>
      </c>
      <c r="H264" s="3310" t="s">
        <v>7169</v>
      </c>
      <c r="I264" s="3312" t="s">
        <v>6598</v>
      </c>
      <c r="J264" s="3312" t="s">
        <v>6592</v>
      </c>
      <c r="K264" s="3312" t="s">
        <v>7172</v>
      </c>
      <c r="L264" s="3314" t="s">
        <v>7318</v>
      </c>
      <c r="M264" s="3310" t="s">
        <v>7169</v>
      </c>
      <c r="N264" s="3312" t="s">
        <v>6598</v>
      </c>
      <c r="O264" s="3312" t="s">
        <v>6592</v>
      </c>
      <c r="P264" s="3312" t="s">
        <v>7174</v>
      </c>
      <c r="Q264" s="3314" t="s">
        <v>7318</v>
      </c>
      <c r="R264" s="3310" t="s">
        <v>7169</v>
      </c>
      <c r="S264" s="3312" t="s">
        <v>6598</v>
      </c>
      <c r="T264" s="3312" t="s">
        <v>6592</v>
      </c>
      <c r="U264" s="3312" t="s">
        <v>7175</v>
      </c>
      <c r="V264" s="3314" t="s">
        <v>7318</v>
      </c>
      <c r="W264" s="3310" t="s">
        <v>7169</v>
      </c>
      <c r="X264" s="3312" t="s">
        <v>6598</v>
      </c>
      <c r="Y264" s="3312" t="s">
        <v>6592</v>
      </c>
      <c r="Z264" s="3312" t="s">
        <v>7176</v>
      </c>
      <c r="AA264" s="3314" t="s">
        <v>7318</v>
      </c>
      <c r="AB264" s="3310" t="s">
        <v>7169</v>
      </c>
      <c r="AC264" s="3312" t="s">
        <v>6598</v>
      </c>
      <c r="AD264" s="3312" t="s">
        <v>6592</v>
      </c>
      <c r="AE264" s="3312" t="s">
        <v>7177</v>
      </c>
      <c r="AF264" s="3314" t="s">
        <v>7318</v>
      </c>
      <c r="AG264" s="3310" t="s">
        <v>7169</v>
      </c>
      <c r="AH264" s="3312" t="s">
        <v>6598</v>
      </c>
      <c r="AI264" s="3312" t="s">
        <v>6592</v>
      </c>
      <c r="AJ264" s="3312" t="s">
        <v>7178</v>
      </c>
      <c r="AK264" s="3314" t="s">
        <v>7318</v>
      </c>
      <c r="AL264" s="3310" t="s">
        <v>7169</v>
      </c>
      <c r="AM264" s="3312" t="s">
        <v>6598</v>
      </c>
      <c r="AN264" s="3312" t="s">
        <v>6592</v>
      </c>
      <c r="AO264" s="3312" t="s">
        <v>7179</v>
      </c>
      <c r="AP264" s="3314" t="s">
        <v>7318</v>
      </c>
      <c r="AQ264" s="3310" t="s">
        <v>7169</v>
      </c>
      <c r="AR264" s="3312" t="s">
        <v>6598</v>
      </c>
      <c r="AS264" s="3312" t="s">
        <v>6592</v>
      </c>
      <c r="AT264" s="3312" t="s">
        <v>7180</v>
      </c>
      <c r="AU264" s="3314" t="s">
        <v>7318</v>
      </c>
      <c r="AV264" s="3310" t="s">
        <v>7169</v>
      </c>
      <c r="AW264" s="3312" t="s">
        <v>6598</v>
      </c>
      <c r="AX264" s="3312" t="s">
        <v>6592</v>
      </c>
      <c r="AY264" s="3312" t="s">
        <v>7327</v>
      </c>
      <c r="AZ264" s="3314" t="s">
        <v>7318</v>
      </c>
      <c r="BA264" s="594"/>
      <c r="BB264" s="974">
        <v>19</v>
      </c>
      <c r="BC264" s="1544">
        <f t="shared" ca="1" si="77"/>
        <v>0.47004131302939878</v>
      </c>
      <c r="BD264" s="901">
        <f t="shared" ca="1" si="81"/>
        <v>13</v>
      </c>
      <c r="BE264" s="1545" t="s">
        <v>7501</v>
      </c>
      <c r="BF264" s="1546" t="str">
        <f t="shared" ca="1" si="78"/>
        <v>Light</v>
      </c>
      <c r="BI264" s="1497" t="s">
        <v>2879</v>
      </c>
      <c r="BJ264" s="701" t="s">
        <v>7363</v>
      </c>
      <c r="BK264" s="904">
        <v>9</v>
      </c>
      <c r="BN264" s="3318"/>
      <c r="BO264" s="1547">
        <v>6</v>
      </c>
      <c r="BP264" s="1301">
        <f t="shared" ca="1" si="82"/>
        <v>0.16189804751394166</v>
      </c>
      <c r="BQ264" s="1547">
        <f t="shared" ca="1" si="84"/>
        <v>13</v>
      </c>
      <c r="BR264" s="1564" t="s">
        <v>2703</v>
      </c>
      <c r="BS264" s="1548" t="str">
        <f t="shared" ca="1" si="85"/>
        <v>Suggestion</v>
      </c>
    </row>
    <row r="265" spans="2:74" ht="12" customHeight="1" thickBot="1">
      <c r="B265" s="1322">
        <f>COUNT(B266:B281)</f>
        <v>16</v>
      </c>
      <c r="C265" s="3336"/>
      <c r="D265" s="3336"/>
      <c r="E265" s="3336"/>
      <c r="F265" s="3336"/>
      <c r="G265" s="3315"/>
      <c r="H265" s="3311"/>
      <c r="I265" s="3313"/>
      <c r="J265" s="3313"/>
      <c r="K265" s="3313"/>
      <c r="L265" s="3315"/>
      <c r="M265" s="3311"/>
      <c r="N265" s="3313"/>
      <c r="O265" s="3313"/>
      <c r="P265" s="3313"/>
      <c r="Q265" s="3315"/>
      <c r="R265" s="3311"/>
      <c r="S265" s="3313"/>
      <c r="T265" s="3313"/>
      <c r="U265" s="3313"/>
      <c r="V265" s="3315"/>
      <c r="W265" s="3311"/>
      <c r="X265" s="3313"/>
      <c r="Y265" s="3313"/>
      <c r="Z265" s="3313"/>
      <c r="AA265" s="3315"/>
      <c r="AB265" s="3311"/>
      <c r="AC265" s="3313"/>
      <c r="AD265" s="3313"/>
      <c r="AE265" s="3313"/>
      <c r="AF265" s="3315"/>
      <c r="AG265" s="3311"/>
      <c r="AH265" s="3313"/>
      <c r="AI265" s="3313"/>
      <c r="AJ265" s="3313"/>
      <c r="AK265" s="3315"/>
      <c r="AL265" s="3311"/>
      <c r="AM265" s="3313"/>
      <c r="AN265" s="3313"/>
      <c r="AO265" s="3313"/>
      <c r="AP265" s="3315"/>
      <c r="AQ265" s="3311"/>
      <c r="AR265" s="3313"/>
      <c r="AS265" s="3313"/>
      <c r="AT265" s="3313"/>
      <c r="AU265" s="3315"/>
      <c r="AV265" s="3311"/>
      <c r="AW265" s="3313"/>
      <c r="AX265" s="3313"/>
      <c r="AY265" s="3313"/>
      <c r="AZ265" s="3315"/>
      <c r="BB265" s="974">
        <v>20</v>
      </c>
      <c r="BC265" s="1544">
        <f t="shared" ca="1" si="77"/>
        <v>0.95176699930062159</v>
      </c>
      <c r="BD265" s="901">
        <f t="shared" ca="1" si="81"/>
        <v>1</v>
      </c>
      <c r="BE265" s="1545" t="s">
        <v>7506</v>
      </c>
      <c r="BF265" s="1546" t="str">
        <f t="shared" ca="1" si="78"/>
        <v>Magic Stone</v>
      </c>
      <c r="BI265" s="1497" t="s">
        <v>2879</v>
      </c>
      <c r="BJ265" s="704" t="s">
        <v>7393</v>
      </c>
      <c r="BK265" s="904">
        <v>9</v>
      </c>
      <c r="BL265" s="272"/>
      <c r="BM265" s="272"/>
      <c r="BN265" s="3318"/>
      <c r="BO265" s="1547">
        <v>7</v>
      </c>
      <c r="BP265" s="1301">
        <f t="shared" ca="1" si="82"/>
        <v>0.33786070076631769</v>
      </c>
      <c r="BQ265" s="1547">
        <f t="shared" ca="1" si="84"/>
        <v>11</v>
      </c>
      <c r="BR265" s="1564" t="s">
        <v>7359</v>
      </c>
      <c r="BS265" s="1548" t="str">
        <f t="shared" ca="1" si="85"/>
        <v>Cloud of Daggers</v>
      </c>
      <c r="BT265" s="272"/>
      <c r="BU265" s="272"/>
      <c r="BV265" s="272"/>
    </row>
    <row r="266" spans="2:74" ht="12" customHeight="1">
      <c r="B266" s="1326">
        <v>1</v>
      </c>
      <c r="C266" s="467">
        <v>1</v>
      </c>
      <c r="D266" s="1446">
        <f ca="1">IF(C266=ROWS(D$266:D266),RAND(),"")</f>
        <v>8.0746016324332537E-2</v>
      </c>
      <c r="E266" s="467">
        <f ca="1">IF(C266=ROWS(E$266:E266),RANK(D266,$D$266:$D$300),"")</f>
        <v>16</v>
      </c>
      <c r="F266" s="1328" t="s">
        <v>7594</v>
      </c>
      <c r="G266" s="1566" t="str">
        <f ca="1">IF(E266&gt;$B$265,"",VLOOKUP(C266,$E$266:$F$300,2,FALSE))</f>
        <v>Dancing Lights</v>
      </c>
      <c r="H266" s="467">
        <v>1</v>
      </c>
      <c r="I266" s="1446">
        <f ca="1">IF(H266=ROWS(I$266:I266),RAND(),"")</f>
        <v>0.6889451324947018</v>
      </c>
      <c r="J266" s="467">
        <f ca="1">IF(H266=ROWS(J$266:J266),RANK(I266,$I$266:$I$300),"")</f>
        <v>8</v>
      </c>
      <c r="K266" s="1328" t="s">
        <v>7525</v>
      </c>
      <c r="L266" s="1566" t="str">
        <f ca="1">VLOOKUP(H266,$J$266:$K$300,2,FALSE)</f>
        <v>Thunderwave</v>
      </c>
      <c r="M266" s="467">
        <v>1</v>
      </c>
      <c r="N266" s="1446">
        <f ca="1">IF(M266=ROWS(N$266:N266),RAND(),"")</f>
        <v>0.45319548126044351</v>
      </c>
      <c r="O266" s="467">
        <f ca="1">IF(M266=ROWS(O$266:O266),RANK(N266,$N$266:$N$300),"")</f>
        <v>17</v>
      </c>
      <c r="P266" s="1328" t="s">
        <v>7595</v>
      </c>
      <c r="Q266" s="1566" t="str">
        <f ca="1">VLOOKUP(M266,$O$266:$P$300,2,FALSE)</f>
        <v>Magic Weapon</v>
      </c>
      <c r="R266" s="1375">
        <v>1</v>
      </c>
      <c r="S266" s="1446">
        <f ca="1">IF(R266=ROWS(S$266:S266),RAND(),"")</f>
        <v>0.9278172499376155</v>
      </c>
      <c r="T266" s="467">
        <f ca="1">IF(R266=ROWS(T$266:T266),RANK(S266,$S$266:$S$300),"")</f>
        <v>4</v>
      </c>
      <c r="U266" s="1328" t="s">
        <v>7331</v>
      </c>
      <c r="V266" s="1566" t="str">
        <f ca="1">VLOOKUP(R266,$T$266:$U$300,2,FALSE)</f>
        <v>Fly</v>
      </c>
      <c r="W266" s="1375">
        <v>1</v>
      </c>
      <c r="X266" s="1446">
        <f ca="1">IF(W266=ROWS(X$266:X266),RAND(),"")</f>
        <v>0.70513367386646664</v>
      </c>
      <c r="Y266" s="467">
        <f ca="1">IF(W266=ROWS(Y$266:Y266),RANK(X266,$X$266:$X$300),"")</f>
        <v>6</v>
      </c>
      <c r="Z266" s="1328" t="s">
        <v>7395</v>
      </c>
      <c r="AA266" s="1566" t="str">
        <f ca="1">VLOOKUP(W266,$Y$266:$Z$300,2,FALSE)</f>
        <v>Stone Shape</v>
      </c>
      <c r="AB266" s="1375">
        <v>1</v>
      </c>
      <c r="AC266" s="1446">
        <f ca="1">IF(AB266=ROWS(AC$266:AC266),RAND(),"")</f>
        <v>0.28127005624269164</v>
      </c>
      <c r="AD266" s="467">
        <f ca="1">IF(AB266=ROWS(AD$266:AD266),RANK(AC266,$AC$266:$AC$300),"")</f>
        <v>17</v>
      </c>
      <c r="AE266" s="1328" t="s">
        <v>7188</v>
      </c>
      <c r="AF266" s="1566" t="str">
        <f ca="1">VLOOKUP(AB266,$AD$266:$AE$300,2,FALSE)</f>
        <v>Rary's Telepathic Bond</v>
      </c>
      <c r="AG266" s="1375">
        <v>1</v>
      </c>
      <c r="AH266" s="1446">
        <f ca="1">IF(AG266=ROWS(AH$266:AH266),RAND(),"")</f>
        <v>0.76233472338343355</v>
      </c>
      <c r="AI266" s="467">
        <f ca="1">IF(AG266=ROWS(AI$266:AI266),RANK(AH266,$AH$266:$AH$300),"")</f>
        <v>4</v>
      </c>
      <c r="AJ266" s="1328" t="s">
        <v>7631</v>
      </c>
      <c r="AK266" s="1566" t="str">
        <f ca="1">VLOOKUP(AG266,$AI$266:$AJ$300,2,FALSE)</f>
        <v>Contingency</v>
      </c>
      <c r="AL266" s="1375">
        <v>1</v>
      </c>
      <c r="AM266" s="1446">
        <f ca="1">IF(AL266=ROWS(AM$266:AM266),RAND(),"")</f>
        <v>0.67961641487245983</v>
      </c>
      <c r="AN266" s="467">
        <f ca="1">IF(AL266=ROWS(AN$266:AN266),RANK(AM266,$AM$266:$AM$300),"")</f>
        <v>7</v>
      </c>
      <c r="AO266" s="1328" t="s">
        <v>7632</v>
      </c>
      <c r="AP266" s="1566" t="str">
        <f ca="1">VLOOKUP(AL266,$AN$266:$AO$300,2,FALSE)</f>
        <v>Etherealness</v>
      </c>
      <c r="AQ266" s="1375">
        <v>1</v>
      </c>
      <c r="AR266" s="1446">
        <f ca="1">IF(AQ266=ROWS(AR$266:AR266),RAND(),"")</f>
        <v>0.17175632685116116</v>
      </c>
      <c r="AS266" s="467">
        <f ca="1">IF(AQ266=ROWS(AS$266:AS266),RANK(AR266,$AR$266:$AR$300),"")</f>
        <v>12</v>
      </c>
      <c r="AT266" s="1328" t="s">
        <v>7336</v>
      </c>
      <c r="AU266" s="1566" t="str">
        <f ca="1">VLOOKUP(AQ266,$AS$266:$AT$300,2,FALSE)</f>
        <v>Incendiary Cloud</v>
      </c>
      <c r="AV266" s="1375">
        <v>1</v>
      </c>
      <c r="AW266" s="1446">
        <f ca="1">IF(AV266=ROWS(AW$266:AW266),RAND(),"")</f>
        <v>0.63806741671949918</v>
      </c>
      <c r="AX266" s="467">
        <f ca="1">IF(AV266=ROWS(AX$266:AX266),RANK(AW266,$AW$266:$AW$300),"")</f>
        <v>5</v>
      </c>
      <c r="AY266" s="1328" t="s">
        <v>7337</v>
      </c>
      <c r="AZ266" s="1566" t="str">
        <f ca="1">VLOOKUP(AV266,$AX$266:$AY$300,2,FALSE)</f>
        <v>Prismatic Wall</v>
      </c>
      <c r="BB266" s="974">
        <v>21</v>
      </c>
      <c r="BC266" s="1544">
        <f t="shared" ca="1" si="77"/>
        <v>0.14718156420700967</v>
      </c>
      <c r="BD266" s="901">
        <f t="shared" ca="1" si="81"/>
        <v>23</v>
      </c>
      <c r="BE266" s="1545" t="s">
        <v>7534</v>
      </c>
      <c r="BF266" s="1546" t="str">
        <f t="shared" ca="1" si="78"/>
        <v>Control Flames</v>
      </c>
      <c r="BI266" s="1493" t="s">
        <v>6712</v>
      </c>
      <c r="BJ266" s="595" t="s">
        <v>7246</v>
      </c>
      <c r="BK266" s="900">
        <v>1</v>
      </c>
      <c r="BL266" s="272"/>
      <c r="BM266" s="272"/>
      <c r="BN266" s="3318"/>
      <c r="BO266" s="1547">
        <v>8</v>
      </c>
      <c r="BP266" s="1301">
        <f t="shared" ca="1" si="82"/>
        <v>0.34254028655874347</v>
      </c>
      <c r="BQ266" s="1547">
        <f t="shared" ca="1" si="84"/>
        <v>10</v>
      </c>
      <c r="BR266" s="1564" t="s">
        <v>7447</v>
      </c>
      <c r="BS266" s="1548" t="str">
        <f t="shared" ca="1" si="85"/>
        <v>Spider Climb</v>
      </c>
      <c r="BT266" s="272"/>
      <c r="BU266" s="272"/>
      <c r="BV266" s="272"/>
    </row>
    <row r="267" spans="2:74" ht="12" customHeight="1">
      <c r="B267" s="1336">
        <v>2</v>
      </c>
      <c r="C267" s="382">
        <v>2</v>
      </c>
      <c r="D267" s="1459">
        <f ca="1">IF(C267=ROWS(D$266:D267),RAND(),"")</f>
        <v>0.24008966738376414</v>
      </c>
      <c r="E267" s="382">
        <f ca="1">IF(C267=ROWS(E$266:E267),RANK(D267,$D$266:$D$300),"")</f>
        <v>11</v>
      </c>
      <c r="F267" s="1338" t="s">
        <v>7183</v>
      </c>
      <c r="G267" s="1461" t="str">
        <f t="shared" ref="G267:G300" ca="1" si="86">IF(E267&gt;$B$265,"",VLOOKUP(C267,$E$266:$F$300,2,FALSE))</f>
        <v>Mending</v>
      </c>
      <c r="H267" s="382">
        <v>2</v>
      </c>
      <c r="I267" s="1459">
        <f ca="1">IF(H267=ROWS(I$266:I267),RAND(),"")</f>
        <v>0.11364673691223237</v>
      </c>
      <c r="J267" s="382">
        <f ca="1">IF(H267=ROWS(J$266:J267),RANK(I267,$I$266:$I$300),"")</f>
        <v>22</v>
      </c>
      <c r="K267" s="1338" t="s">
        <v>7340</v>
      </c>
      <c r="L267" s="1461" t="str">
        <f t="shared" ref="L267:L295" ca="1" si="87">VLOOKUP(H267,$J$266:$K$300,2,FALSE)</f>
        <v>Tasha's Hideous Laughter</v>
      </c>
      <c r="M267" s="382">
        <v>2</v>
      </c>
      <c r="N267" s="1459">
        <f ca="1">IF(M267=ROWS(N$266:N267),RAND(),"")</f>
        <v>0.27644422928808754</v>
      </c>
      <c r="O267" s="382">
        <f ca="1">IF(M267=ROWS(O$266:O267),RANK(N267,$N$266:$N$300),"")</f>
        <v>23</v>
      </c>
      <c r="P267" s="1338" t="s">
        <v>7526</v>
      </c>
      <c r="Q267" s="1461" t="str">
        <f t="shared" ref="Q267:Q299" ca="1" si="88">VLOOKUP(M267,$O$266:$P$300,2,FALSE)</f>
        <v>Cloud of Daggers</v>
      </c>
      <c r="R267" s="1394">
        <v>2</v>
      </c>
      <c r="S267" s="1459">
        <f ca="1">IF(R267=ROWS(S$266:S267),RAND(),"")</f>
        <v>0.71808356945315088</v>
      </c>
      <c r="T267" s="382">
        <f ca="1">IF(R267=ROWS(T$266:T267),RANK(S267,$S$266:$S$300),"")</f>
        <v>10</v>
      </c>
      <c r="U267" s="1338" t="s">
        <v>7186</v>
      </c>
      <c r="V267" s="1461" t="str">
        <f t="shared" ref="V267:V294" ca="1" si="89">VLOOKUP(R267,$T$266:$U$300,2,FALSE)</f>
        <v>Major Image</v>
      </c>
      <c r="W267" s="1394">
        <v>2</v>
      </c>
      <c r="X267" s="1459">
        <f ca="1">IF(W267=ROWS(X$266:X267),RAND(),"")</f>
        <v>0.70900898483467789</v>
      </c>
      <c r="Y267" s="382">
        <f ca="1">IF(W267=ROWS(Y$266:Y267),RANK(X267,$X$266:$X$300),"")</f>
        <v>5</v>
      </c>
      <c r="Z267" s="1338" t="s">
        <v>7332</v>
      </c>
      <c r="AA267" s="1461" t="str">
        <f t="shared" ref="AA267:AA288" ca="1" si="90">VLOOKUP(W267,$Y$266:$Z$300,2,FALSE)</f>
        <v>Fabricate</v>
      </c>
      <c r="AB267" s="1394">
        <v>2</v>
      </c>
      <c r="AC267" s="1459">
        <f ca="1">IF(AB267=ROWS(AC$266:AC267),RAND(),"")</f>
        <v>0.40300347059682151</v>
      </c>
      <c r="AD267" s="382">
        <f ca="1">IF(AB267=ROWS(AD$266:AD267),RANK(AC267,$AC$266:$AC$300),"")</f>
        <v>11</v>
      </c>
      <c r="AE267" s="1338" t="s">
        <v>7692</v>
      </c>
      <c r="AF267" s="1461" t="str">
        <f t="shared" ref="AF267:AF288" ca="1" si="91">VLOOKUP(AB267,$AD$266:$AE$300,2,FALSE)</f>
        <v>Geas</v>
      </c>
      <c r="AG267" s="1394">
        <v>2</v>
      </c>
      <c r="AH267" s="1459">
        <f ca="1">IF(AG267=ROWS(AH$266:AH267),RAND(),"")</f>
        <v>7.9764111132530457E-2</v>
      </c>
      <c r="AI267" s="382">
        <f ca="1">IF(AG267=ROWS(AI$266:AI267),RANK(AH267,$AH$266:$AH$300),"")</f>
        <v>19</v>
      </c>
      <c r="AJ267" s="1338" t="s">
        <v>7633</v>
      </c>
      <c r="AK267" s="1461" t="str">
        <f t="shared" ref="AK267:AK285" ca="1" si="92">VLOOKUP(AG267,$AI$266:$AJ$300,2,FALSE)</f>
        <v>Otto's Irresistible Dance</v>
      </c>
      <c r="AL267" s="1394">
        <v>2</v>
      </c>
      <c r="AM267" s="1459">
        <f ca="1">IF(AL267=ROWS(AM$266:AM267),RAND(),"")</f>
        <v>0.89929794798745843</v>
      </c>
      <c r="AN267" s="382">
        <f ca="1">IF(AL267=ROWS(AN$266:AN267),RANK(AM267,$AM$266:$AM$300),"")</f>
        <v>1</v>
      </c>
      <c r="AO267" s="1338" t="s">
        <v>3801</v>
      </c>
      <c r="AP267" s="1461" t="str">
        <f t="shared" ref="AP267:AP280" ca="1" si="93">VLOOKUP(AL267,$AN$266:$AO$300,2,FALSE)</f>
        <v>Reverse Gravity</v>
      </c>
      <c r="AQ267" s="1394">
        <v>2</v>
      </c>
      <c r="AR267" s="1459">
        <f ca="1">IF(AQ267=ROWS(AR$266:AR267),RAND(),"")</f>
        <v>0.78715720569052217</v>
      </c>
      <c r="AS267" s="382">
        <f ca="1">IF(AQ267=ROWS(AS$266:AS267),RANK(AR267,$AR$266:$AR$300),"")</f>
        <v>4</v>
      </c>
      <c r="AT267" s="1338" t="s">
        <v>7445</v>
      </c>
      <c r="AU267" s="1461" t="str">
        <f t="shared" ref="AU267:AU279" ca="1" si="94">VLOOKUP(AQ267,$AS$266:$AT$300,2,FALSE)</f>
        <v>Dominate Monster</v>
      </c>
      <c r="AV267" s="1394">
        <v>2</v>
      </c>
      <c r="AW267" s="1459">
        <f ca="1">IF(AV267=ROWS(AW$266:AW267),RAND(),"")</f>
        <v>0.17039800562933971</v>
      </c>
      <c r="AX267" s="382">
        <f ca="1">IF(AV267=ROWS(AX$266:AX267),RANK(AW267,$AW$266:$AW$300),"")</f>
        <v>11</v>
      </c>
      <c r="AY267" s="1338" t="s">
        <v>7191</v>
      </c>
      <c r="AZ267" s="1461" t="str">
        <f t="shared" ref="AZ267:AZ277" ca="1" si="95">VLOOKUP(AV267,$AX$266:$AY$300,2,FALSE)</f>
        <v>Shapechange</v>
      </c>
      <c r="BA267" s="273"/>
      <c r="BB267" s="974">
        <v>22</v>
      </c>
      <c r="BC267" s="1544">
        <f t="shared" ca="1" si="77"/>
        <v>0.91611919253607921</v>
      </c>
      <c r="BD267" s="901">
        <f t="shared" ca="1" si="81"/>
        <v>2</v>
      </c>
      <c r="BE267" s="1545" t="s">
        <v>7382</v>
      </c>
      <c r="BF267" s="1546" t="str">
        <f t="shared" ca="1" si="78"/>
        <v>Thorn Whip</v>
      </c>
      <c r="BI267" s="1497" t="s">
        <v>6712</v>
      </c>
      <c r="BJ267" s="701" t="s">
        <v>7693</v>
      </c>
      <c r="BK267" s="904">
        <v>1</v>
      </c>
      <c r="BL267" s="272"/>
      <c r="BM267" s="272"/>
      <c r="BN267" s="3318"/>
      <c r="BO267" s="1547">
        <v>9</v>
      </c>
      <c r="BP267" s="1301">
        <f t="shared" ca="1" si="82"/>
        <v>0.60808942301377733</v>
      </c>
      <c r="BQ267" s="1547">
        <f t="shared" ca="1" si="84"/>
        <v>4</v>
      </c>
      <c r="BR267" s="1564" t="s">
        <v>7618</v>
      </c>
      <c r="BS267" s="1548" t="str">
        <f t="shared" ca="1" si="85"/>
        <v>Hold Person</v>
      </c>
      <c r="BT267" s="272"/>
      <c r="BU267" s="272"/>
      <c r="BV267" s="272"/>
    </row>
    <row r="268" spans="2:74" ht="12" customHeight="1">
      <c r="B268" s="1336">
        <v>3</v>
      </c>
      <c r="C268" s="382">
        <v>3</v>
      </c>
      <c r="D268" s="1459">
        <f ca="1">IF(C268=ROWS(D$266:D268),RAND(),"")</f>
        <v>0.95470723892563358</v>
      </c>
      <c r="E268" s="382">
        <f ca="1">IF(C268=ROWS(E$266:E268),RANK(D268,$D$266:$D$300),"")</f>
        <v>4</v>
      </c>
      <c r="F268" s="1338" t="s">
        <v>7596</v>
      </c>
      <c r="G268" s="1461" t="str">
        <f t="shared" ca="1" si="86"/>
        <v>Shocking Grasp</v>
      </c>
      <c r="H268" s="382">
        <v>3</v>
      </c>
      <c r="I268" s="1459">
        <f ca="1">IF(H268=ROWS(I$266:I268),RAND(),"")</f>
        <v>0.46256027321137538</v>
      </c>
      <c r="J268" s="382">
        <f ca="1">IF(H268=ROWS(J$266:J268),RANK(I268,$I$266:$I$300),"")</f>
        <v>17</v>
      </c>
      <c r="K268" s="1338" t="s">
        <v>7203</v>
      </c>
      <c r="L268" s="1461" t="str">
        <f t="shared" ca="1" si="87"/>
        <v>False Life</v>
      </c>
      <c r="M268" s="382">
        <v>3</v>
      </c>
      <c r="N268" s="1459">
        <f ca="1">IF(M268=ROWS(N$266:N268),RAND(),"")</f>
        <v>0.62823314267475849</v>
      </c>
      <c r="O268" s="382">
        <f ca="1">IF(M268=ROWS(O$266:O268),RANK(N268,$N$266:$N$300),"")</f>
        <v>12</v>
      </c>
      <c r="P268" s="1338" t="s">
        <v>7194</v>
      </c>
      <c r="Q268" s="1461" t="str">
        <f t="shared" ca="1" si="88"/>
        <v>Gentle Repose</v>
      </c>
      <c r="R268" s="1394">
        <v>3</v>
      </c>
      <c r="S268" s="1459">
        <f ca="1">IF(R268=ROWS(S$266:S268),RAND(),"")</f>
        <v>0.11681676330160828</v>
      </c>
      <c r="T268" s="382">
        <f ca="1">IF(R268=ROWS(T$266:T268),RANK(S268,$S$266:$S$300),"")</f>
        <v>27</v>
      </c>
      <c r="U268" s="1338" t="s">
        <v>7380</v>
      </c>
      <c r="V268" s="1461" t="str">
        <f t="shared" ca="1" si="89"/>
        <v>Remove Curse</v>
      </c>
      <c r="W268" s="1394">
        <v>3</v>
      </c>
      <c r="X268" s="1459">
        <f ca="1">IF(W268=ROWS(X$266:X268),RAND(),"")</f>
        <v>0.39429126604201148</v>
      </c>
      <c r="Y268" s="382">
        <f ca="1">IF(W268=ROWS(Y$266:Y268),RANK(X268,$X$266:$X$300),"")</f>
        <v>15</v>
      </c>
      <c r="Z268" s="1338" t="s">
        <v>7436</v>
      </c>
      <c r="AA268" s="1461" t="str">
        <f t="shared" ca="1" si="90"/>
        <v>Greater Invisibility</v>
      </c>
      <c r="AB268" s="1394">
        <v>3</v>
      </c>
      <c r="AC268" s="1459">
        <f ca="1">IF(AB268=ROWS(AC$266:AC268),RAND(),"")</f>
        <v>0.30972326409798367</v>
      </c>
      <c r="AD268" s="382">
        <f ca="1">IF(AB268=ROWS(AD$266:AD268),RANK(AC268,$AC$266:$AC$300),"")</f>
        <v>16</v>
      </c>
      <c r="AE268" s="1338" t="s">
        <v>7484</v>
      </c>
      <c r="AF268" s="1461" t="str">
        <f t="shared" ca="1" si="91"/>
        <v>Dream</v>
      </c>
      <c r="AG268" s="1394">
        <v>3</v>
      </c>
      <c r="AH268" s="1459">
        <f ca="1">IF(AG268=ROWS(AH$266:AH268),RAND(),"")</f>
        <v>0.75728083955738557</v>
      </c>
      <c r="AI268" s="382">
        <f ca="1">IF(AG268=ROWS(AI$266:AI268),RANK(AH268,$AH$266:$AH$300),"")</f>
        <v>5</v>
      </c>
      <c r="AJ268" s="1338" t="s">
        <v>7635</v>
      </c>
      <c r="AK268" s="1461" t="str">
        <f t="shared" ca="1" si="92"/>
        <v>Globe of Invulnerability</v>
      </c>
      <c r="AL268" s="1394">
        <v>3</v>
      </c>
      <c r="AM268" s="1459">
        <f ca="1">IF(AL268=ROWS(AM$266:AM268),RAND(),"")</f>
        <v>0.32161880859444203</v>
      </c>
      <c r="AN268" s="382">
        <f ca="1">IF(AL268=ROWS(AN$266:AN268),RANK(AM268,$AM$266:$AM$300),"")</f>
        <v>11</v>
      </c>
      <c r="AO268" s="1338" t="s">
        <v>7636</v>
      </c>
      <c r="AP268" s="1461" t="str">
        <f t="shared" ca="1" si="93"/>
        <v>Forcecage</v>
      </c>
      <c r="AQ268" s="1394">
        <v>3</v>
      </c>
      <c r="AR268" s="1459">
        <f ca="1">IF(AQ268=ROWS(AR$266:AR268),RAND(),"")</f>
        <v>0.89269159529564224</v>
      </c>
      <c r="AS268" s="382">
        <f ca="1">IF(AQ268=ROWS(AS$266:AS268),RANK(AR268,$AR$266:$AR$300),"")</f>
        <v>3</v>
      </c>
      <c r="AT268" s="1338" t="s">
        <v>7694</v>
      </c>
      <c r="AU268" s="1461" t="str">
        <f t="shared" ca="1" si="94"/>
        <v>Clone</v>
      </c>
      <c r="AV268" s="1394">
        <v>3</v>
      </c>
      <c r="AW268" s="1459">
        <f ca="1">IF(AV268=ROWS(AW$266:AW268),RAND(),"")</f>
        <v>0.42620892322259119</v>
      </c>
      <c r="AX268" s="382">
        <f ca="1">IF(AV268=ROWS(AX$266:AX268),RANK(AW268,$AW$266:$AW$300),"")</f>
        <v>7</v>
      </c>
      <c r="AY268" s="1338" t="s">
        <v>7350</v>
      </c>
      <c r="AZ268" s="1461" t="str">
        <f t="shared" ca="1" si="95"/>
        <v>True Polymorph</v>
      </c>
      <c r="BA268" s="273"/>
      <c r="BB268" s="974">
        <v>23</v>
      </c>
      <c r="BC268" s="1544">
        <f t="shared" ca="1" si="77"/>
        <v>0.65901299304879812</v>
      </c>
      <c r="BD268" s="901">
        <f t="shared" ca="1" si="81"/>
        <v>7</v>
      </c>
      <c r="BE268" s="1545" t="s">
        <v>7391</v>
      </c>
      <c r="BF268" s="1546" t="str">
        <f t="shared" ca="1" si="78"/>
        <v>Shocking Grasp</v>
      </c>
      <c r="BI268" s="1497" t="s">
        <v>6712</v>
      </c>
      <c r="BJ268" s="701" t="s">
        <v>7231</v>
      </c>
      <c r="BK268" s="904">
        <v>3</v>
      </c>
      <c r="BL268" s="272"/>
      <c r="BM268" s="272"/>
      <c r="BN268" s="3318"/>
      <c r="BO268" s="1547">
        <v>10</v>
      </c>
      <c r="BP268" s="1301">
        <f t="shared" ca="1" si="82"/>
        <v>0.20692115164460778</v>
      </c>
      <c r="BQ268" s="1547">
        <f t="shared" ca="1" si="84"/>
        <v>12</v>
      </c>
      <c r="BR268" s="1564" t="s">
        <v>7295</v>
      </c>
      <c r="BS268" s="1548" t="str">
        <f t="shared" ca="1" si="85"/>
        <v>Misty Step</v>
      </c>
      <c r="BT268" s="272"/>
      <c r="BU268" s="272"/>
      <c r="BV268" s="272"/>
    </row>
    <row r="269" spans="2:74" ht="12" customHeight="1">
      <c r="B269" s="1336">
        <v>4</v>
      </c>
      <c r="C269" s="382">
        <v>4</v>
      </c>
      <c r="D269" s="1459">
        <f ca="1">IF(C269=ROWS(D$266:D269),RAND(),"")</f>
        <v>0.97701915246436322</v>
      </c>
      <c r="E269" s="382">
        <f ca="1">IF(C269=ROWS(E$266:E269),RANK(D269,$D$266:$D$300),"")</f>
        <v>1</v>
      </c>
      <c r="F269" s="1338" t="s">
        <v>7192</v>
      </c>
      <c r="G269" s="1461" t="str">
        <f t="shared" ca="1" si="86"/>
        <v>Chill Touch</v>
      </c>
      <c r="H269" s="382">
        <v>4</v>
      </c>
      <c r="I269" s="1459">
        <f ca="1">IF(H269=ROWS(I$266:I269),RAND(),"")</f>
        <v>4.868320103420043E-2</v>
      </c>
      <c r="J269" s="382">
        <f ca="1">IF(H269=ROWS(J$266:J269),RANK(I269,$I$266:$I$300),"")</f>
        <v>27</v>
      </c>
      <c r="K269" s="1338" t="s">
        <v>7529</v>
      </c>
      <c r="L269" s="1461" t="str">
        <f t="shared" ca="1" si="87"/>
        <v>Comprehend Languages</v>
      </c>
      <c r="M269" s="382">
        <v>4</v>
      </c>
      <c r="N269" s="1459">
        <f ca="1">IF(M269=ROWS(N$266:N269),RAND(),"")</f>
        <v>0.49253809237216117</v>
      </c>
      <c r="O269" s="382">
        <f ca="1">IF(M269=ROWS(O$266:O269),RANK(N269,$N$266:$N$300),"")</f>
        <v>15</v>
      </c>
      <c r="P269" s="1338" t="s">
        <v>7440</v>
      </c>
      <c r="Q269" s="1461" t="str">
        <f t="shared" ca="1" si="88"/>
        <v>Crown of Madness</v>
      </c>
      <c r="R269" s="1394">
        <v>4</v>
      </c>
      <c r="S269" s="1459">
        <f ca="1">IF(R269=ROWS(S$266:S269),RAND(),"")</f>
        <v>0.65109270284892162</v>
      </c>
      <c r="T269" s="382">
        <f ca="1">IF(R269=ROWS(T$266:T269),RANK(S269,$S$266:$S$300),"")</f>
        <v>13</v>
      </c>
      <c r="U269" s="1338" t="s">
        <v>7195</v>
      </c>
      <c r="V269" s="1461" t="str">
        <f t="shared" ca="1" si="89"/>
        <v>Animate Dead</v>
      </c>
      <c r="W269" s="1394">
        <v>4</v>
      </c>
      <c r="X269" s="1459">
        <f ca="1">IF(W269=ROWS(X$266:X269),RAND(),"")</f>
        <v>5.178442587866372E-3</v>
      </c>
      <c r="Y269" s="382">
        <f ca="1">IF(W269=ROWS(Y$266:Y269),RANK(X269,$X$266:$X$300),"")</f>
        <v>23</v>
      </c>
      <c r="Z269" s="1338" t="s">
        <v>7196</v>
      </c>
      <c r="AA269" s="1461" t="str">
        <f t="shared" ca="1" si="90"/>
        <v>Locate Creature</v>
      </c>
      <c r="AB269" s="1394">
        <v>4</v>
      </c>
      <c r="AC269" s="1459">
        <f ca="1">IF(AB269=ROWS(AC$266:AC269),RAND(),"")</f>
        <v>0.51775776039161125</v>
      </c>
      <c r="AD269" s="382">
        <f ca="1">IF(AB269=ROWS(AD$266:AD269),RANK(AC269,$AC$266:$AC$300),"")</f>
        <v>10</v>
      </c>
      <c r="AE269" s="1338" t="s">
        <v>7486</v>
      </c>
      <c r="AF269" s="1461" t="str">
        <f t="shared" ca="1" si="91"/>
        <v>Telekinesis</v>
      </c>
      <c r="AG269" s="1394">
        <v>4</v>
      </c>
      <c r="AH269" s="1459">
        <f ca="1">IF(AG269=ROWS(AH$266:AH269),RAND(),"")</f>
        <v>0.95955229617502835</v>
      </c>
      <c r="AI269" s="382">
        <f ca="1">IF(AG269=ROWS(AI$266:AI269),RANK(AH269,$AH$266:$AH$300),"")</f>
        <v>1</v>
      </c>
      <c r="AJ269" s="1338" t="s">
        <v>7695</v>
      </c>
      <c r="AK269" s="1461" t="str">
        <f t="shared" ca="1" si="92"/>
        <v>Arcane Gate</v>
      </c>
      <c r="AL269" s="1394">
        <v>4</v>
      </c>
      <c r="AM269" s="1459">
        <f ca="1">IF(AL269=ROWS(AM$266:AM269),RAND(),"")</f>
        <v>0.72201790640242336</v>
      </c>
      <c r="AN269" s="382">
        <f ca="1">IF(AL269=ROWS(AN$266:AN269),RANK(AM269,$AM$266:$AM$300),"")</f>
        <v>3</v>
      </c>
      <c r="AO269" s="1338" t="s">
        <v>7199</v>
      </c>
      <c r="AP269" s="1461" t="str">
        <f t="shared" ca="1" si="93"/>
        <v>Prismatic Spray</v>
      </c>
      <c r="AQ269" s="1394">
        <v>4</v>
      </c>
      <c r="AR269" s="1459">
        <f ca="1">IF(AQ269=ROWS(AR$266:AR269),RAND(),"")</f>
        <v>0.30742727256440749</v>
      </c>
      <c r="AS269" s="382">
        <f ca="1">IF(AQ269=ROWS(AS$266:AS269),RANK(AR269,$AR$266:$AR$300),"")</f>
        <v>9</v>
      </c>
      <c r="AT269" s="1338" t="s">
        <v>7349</v>
      </c>
      <c r="AU269" s="1461" t="str">
        <f t="shared" ca="1" si="94"/>
        <v>Antipathy/Sympathy</v>
      </c>
      <c r="AV269" s="1394">
        <v>4</v>
      </c>
      <c r="AW269" s="1459">
        <f ca="1">IF(AV269=ROWS(AW$266:AW269),RAND(),"")</f>
        <v>0.28698573608361588</v>
      </c>
      <c r="AX269" s="382">
        <f ca="1">IF(AV269=ROWS(AX$266:AX269),RANK(AW269,$AW$266:$AW$300),"")</f>
        <v>10</v>
      </c>
      <c r="AY269" s="1338" t="s">
        <v>7672</v>
      </c>
      <c r="AZ269" s="1461" t="str">
        <f t="shared" ca="1" si="95"/>
        <v>Power Word Kill</v>
      </c>
      <c r="BA269" s="273"/>
      <c r="BB269" s="974">
        <v>24</v>
      </c>
      <c r="BC269" s="1544">
        <f t="shared" ca="1" si="77"/>
        <v>0.15835424117004071</v>
      </c>
      <c r="BD269" s="901">
        <f t="shared" ca="1" si="81"/>
        <v>22</v>
      </c>
      <c r="BE269" s="1545" t="s">
        <v>7509</v>
      </c>
      <c r="BF269" s="1546" t="str">
        <f t="shared" ca="1" si="78"/>
        <v>Message</v>
      </c>
      <c r="BI269" s="1497" t="s">
        <v>6712</v>
      </c>
      <c r="BJ269" s="701" t="s">
        <v>7289</v>
      </c>
      <c r="BK269" s="904">
        <v>3</v>
      </c>
      <c r="BL269" s="272"/>
      <c r="BM269" s="272"/>
      <c r="BN269" s="3318"/>
      <c r="BO269" s="1547">
        <v>11</v>
      </c>
      <c r="BP269" s="1301">
        <f t="shared" ca="1" si="82"/>
        <v>0.4602953464381685</v>
      </c>
      <c r="BQ269" s="1547">
        <f t="shared" ca="1" si="84"/>
        <v>8</v>
      </c>
      <c r="BR269" s="1564" t="s">
        <v>2915</v>
      </c>
      <c r="BS269" s="1548" t="str">
        <f t="shared" ca="1" si="85"/>
        <v>Mirror Image</v>
      </c>
      <c r="BT269" s="272"/>
      <c r="BU269" s="272"/>
      <c r="BV269" s="272"/>
    </row>
    <row r="270" spans="2:74" ht="12" customHeight="1">
      <c r="B270" s="1336">
        <v>5</v>
      </c>
      <c r="C270" s="382">
        <v>5</v>
      </c>
      <c r="D270" s="1459">
        <f ca="1">IF(C270=ROWS(D$266:D270),RAND(),"")</f>
        <v>0.75712381154602693</v>
      </c>
      <c r="E270" s="382">
        <f ca="1">IF(C270=ROWS(E$266:E270),RANK(D270,$D$266:$D$300),"")</f>
        <v>6</v>
      </c>
      <c r="F270" s="1338" t="s">
        <v>7528</v>
      </c>
      <c r="G270" s="1461" t="str">
        <f t="shared" ca="1" si="86"/>
        <v>Mage Hand</v>
      </c>
      <c r="H270" s="382">
        <v>5</v>
      </c>
      <c r="I270" s="1459">
        <f ca="1">IF(H270=ROWS(I$266:I270),RAND(),"")</f>
        <v>0.51887372574800239</v>
      </c>
      <c r="J270" s="382">
        <f ca="1">IF(H270=ROWS(J$266:J270),RANK(I270,$I$266:$I$300),"")</f>
        <v>15</v>
      </c>
      <c r="K270" s="1338" t="s">
        <v>7597</v>
      </c>
      <c r="L270" s="1461" t="str">
        <f t="shared" ca="1" si="87"/>
        <v>Witch Bolt</v>
      </c>
      <c r="M270" s="382">
        <v>5</v>
      </c>
      <c r="N270" s="1459">
        <f ca="1">IF(M270=ROWS(N$266:N270),RAND(),"")</f>
        <v>0.91588237925574101</v>
      </c>
      <c r="O270" s="382">
        <f ca="1">IF(M270=ROWS(O$266:O270),RANK(N270,$N$266:$N$300),"")</f>
        <v>2</v>
      </c>
      <c r="P270" s="1338" t="s">
        <v>7213</v>
      </c>
      <c r="Q270" s="1461" t="str">
        <f t="shared" ca="1" si="88"/>
        <v>Knock</v>
      </c>
      <c r="R270" s="1394">
        <v>5</v>
      </c>
      <c r="S270" s="1459">
        <f ca="1">IF(R270=ROWS(S$266:S270),RAND(),"")</f>
        <v>0.62000642226368652</v>
      </c>
      <c r="T270" s="382">
        <f ca="1">IF(R270=ROWS(T$266:T270),RANK(S270,$S$266:$S$300),"")</f>
        <v>14</v>
      </c>
      <c r="U270" s="1338" t="s">
        <v>7524</v>
      </c>
      <c r="V270" s="1461" t="str">
        <f t="shared" ca="1" si="89"/>
        <v>Protection From Energy</v>
      </c>
      <c r="W270" s="1394">
        <v>5</v>
      </c>
      <c r="X270" s="1459">
        <f ca="1">IF(W270=ROWS(X$266:X270),RAND(),"")</f>
        <v>0.18842049487784329</v>
      </c>
      <c r="Y270" s="382">
        <f ca="1">IF(W270=ROWS(Y$266:Y270),RANK(X270,$X$266:$X$300),"")</f>
        <v>20</v>
      </c>
      <c r="Z270" s="1338" t="s">
        <v>7453</v>
      </c>
      <c r="AA270" s="1461" t="str">
        <f t="shared" ca="1" si="90"/>
        <v>Banishment</v>
      </c>
      <c r="AB270" s="1394">
        <v>5</v>
      </c>
      <c r="AC270" s="1459">
        <f ca="1">IF(AB270=ROWS(AC$266:AC270),RAND(),"")</f>
        <v>0.76430687798738772</v>
      </c>
      <c r="AD270" s="382">
        <f ca="1">IF(AB270=ROWS(AD$266:AD270),RANK(AC270,$AC$266:$AC$300),"")</f>
        <v>7</v>
      </c>
      <c r="AE270" s="1338" t="s">
        <v>7463</v>
      </c>
      <c r="AF270" s="1461" t="str">
        <f t="shared" ca="1" si="91"/>
        <v>Planar Binding</v>
      </c>
      <c r="AG270" s="1394">
        <v>5</v>
      </c>
      <c r="AH270" s="1459">
        <f ca="1">IF(AG270=ROWS(AH$266:AH270),RAND(),"")</f>
        <v>0.28788796297731334</v>
      </c>
      <c r="AI270" s="382">
        <f ca="1">IF(AG270=ROWS(AI$266:AI270),RANK(AH270,$AH$266:$AH$300),"")</f>
        <v>11</v>
      </c>
      <c r="AJ270" s="1338" t="s">
        <v>7347</v>
      </c>
      <c r="AK270" s="1461" t="str">
        <f t="shared" ca="1" si="92"/>
        <v>Circle of Death</v>
      </c>
      <c r="AL270" s="1394">
        <v>5</v>
      </c>
      <c r="AM270" s="1459">
        <f ca="1">IF(AL270=ROWS(AM$266:AM270),RAND(),"")</f>
        <v>0.61573418864638874</v>
      </c>
      <c r="AN270" s="382">
        <f ca="1">IF(AL270=ROWS(AN$266:AN270),RANK(AM270,$AM$266:$AM$300),"")</f>
        <v>8</v>
      </c>
      <c r="AO270" s="1338" t="s">
        <v>7209</v>
      </c>
      <c r="AP270" s="1461" t="str">
        <f t="shared" ca="1" si="93"/>
        <v>Project Image</v>
      </c>
      <c r="AQ270" s="1394">
        <v>5</v>
      </c>
      <c r="AR270" s="1459">
        <f ca="1">IF(AQ270=ROWS(AR$266:AR270),RAND(),"")</f>
        <v>1.4421001800025701E-2</v>
      </c>
      <c r="AS270" s="382">
        <f ca="1">IF(AQ270=ROWS(AS$266:AS270),RANK(AR270,$AR$266:$AR$300),"")</f>
        <v>14</v>
      </c>
      <c r="AT270" s="1338" t="s">
        <v>7669</v>
      </c>
      <c r="AU270" s="1461" t="str">
        <f t="shared" ca="1" si="94"/>
        <v>Feeblemind</v>
      </c>
      <c r="AV270" s="1394">
        <v>5</v>
      </c>
      <c r="AW270" s="1459">
        <f ca="1">IF(AV270=ROWS(AW$266:AW270),RAND(),"")</f>
        <v>0.40310493204737041</v>
      </c>
      <c r="AX270" s="382">
        <f ca="1">IF(AV270=ROWS(AX$266:AX270),RANK(AW270,$AW$266:$AW$300),"")</f>
        <v>8</v>
      </c>
      <c r="AY270" s="1338" t="s">
        <v>7634</v>
      </c>
      <c r="AZ270" s="1461" t="str">
        <f t="shared" ca="1" si="95"/>
        <v>Astral Projection</v>
      </c>
      <c r="BA270" s="273"/>
      <c r="BB270" s="974">
        <v>25</v>
      </c>
      <c r="BC270" s="1544">
        <f t="shared" ca="1" si="77"/>
        <v>0.68406632375960663</v>
      </c>
      <c r="BD270" s="901">
        <f t="shared" ca="1" si="81"/>
        <v>6</v>
      </c>
      <c r="BE270" s="1545" t="s">
        <v>7513</v>
      </c>
      <c r="BF270" s="1546" t="str">
        <f t="shared" ca="1" si="78"/>
        <v>Ray of Frost</v>
      </c>
      <c r="BI270" s="1497" t="s">
        <v>6712</v>
      </c>
      <c r="BJ270" s="701" t="s">
        <v>7195</v>
      </c>
      <c r="BK270" s="904">
        <v>5</v>
      </c>
      <c r="BL270" s="272"/>
      <c r="BM270" s="272"/>
      <c r="BN270" s="3318"/>
      <c r="BO270" s="1547">
        <v>12</v>
      </c>
      <c r="BP270" s="1301">
        <f t="shared" ca="1" si="82"/>
        <v>0.46731491191703356</v>
      </c>
      <c r="BQ270" s="1547">
        <f t="shared" ca="1" si="84"/>
        <v>6</v>
      </c>
      <c r="BR270" s="1564" t="s">
        <v>7300</v>
      </c>
      <c r="BS270" s="1548" t="str">
        <f t="shared" ca="1" si="85"/>
        <v>Shatter</v>
      </c>
      <c r="BT270" s="272"/>
      <c r="BU270" s="272"/>
      <c r="BV270" s="272"/>
    </row>
    <row r="271" spans="2:74" ht="12" customHeight="1" thickBot="1">
      <c r="B271" s="1336">
        <v>6</v>
      </c>
      <c r="C271" s="382">
        <v>6</v>
      </c>
      <c r="D271" s="1459">
        <f ca="1">IF(C271=ROWS(D$266:D271),RAND(),"")</f>
        <v>0.35522554809841411</v>
      </c>
      <c r="E271" s="382">
        <f ca="1">IF(C271=ROWS(E$266:E271),RANK(D271,$D$266:$D$300),"")</f>
        <v>10</v>
      </c>
      <c r="F271" s="1338" t="s">
        <v>7202</v>
      </c>
      <c r="G271" s="1461" t="str">
        <f t="shared" ca="1" si="86"/>
        <v>Fire Bolt</v>
      </c>
      <c r="H271" s="382">
        <v>6</v>
      </c>
      <c r="I271" s="1459">
        <f ca="1">IF(H271=ROWS(I$266:I271),RAND(),"")</f>
        <v>0.78854106854175299</v>
      </c>
      <c r="J271" s="382">
        <f ca="1">IF(H271=ROWS(J$266:J271),RANK(I271,$I$266:$I$300),"")</f>
        <v>4</v>
      </c>
      <c r="K271" s="1338" t="s">
        <v>7212</v>
      </c>
      <c r="L271" s="1461" t="str">
        <f t="shared" ca="1" si="87"/>
        <v>Find Familiar</v>
      </c>
      <c r="M271" s="382">
        <v>6</v>
      </c>
      <c r="N271" s="1459">
        <f ca="1">IF(M271=ROWS(N$266:N271),RAND(),"")</f>
        <v>5.729196378454593E-2</v>
      </c>
      <c r="O271" s="382">
        <f ca="1">IF(M271=ROWS(O$266:O271),RANK(N271,$N$266:$N$300),"")</f>
        <v>33</v>
      </c>
      <c r="P271" s="1338" t="s">
        <v>7374</v>
      </c>
      <c r="Q271" s="1461" t="str">
        <f t="shared" ca="1" si="88"/>
        <v>Ray of Enfeeblement</v>
      </c>
      <c r="R271" s="1394">
        <v>6</v>
      </c>
      <c r="S271" s="1459">
        <f ca="1">IF(R271=ROWS(S$266:S271),RAND(),"")</f>
        <v>0.49888313846294874</v>
      </c>
      <c r="T271" s="382">
        <f ca="1">IF(R271=ROWS(T$266:T271),RANK(S271,$S$266:$S$300),"")</f>
        <v>19</v>
      </c>
      <c r="U271" s="1338" t="s">
        <v>7205</v>
      </c>
      <c r="V271" s="1461" t="str">
        <f t="shared" ca="1" si="89"/>
        <v>Leomund's Tiny Hut</v>
      </c>
      <c r="W271" s="1394">
        <v>6</v>
      </c>
      <c r="X271" s="1459">
        <f ca="1">IF(W271=ROWS(X$266:X271),RAND(),"")</f>
        <v>0.66280456357478079</v>
      </c>
      <c r="Y271" s="382">
        <f ca="1">IF(W271=ROWS(Y$266:Y271),RANK(X271,$X$266:$X$300),"")</f>
        <v>7</v>
      </c>
      <c r="Z271" s="1338" t="s">
        <v>7345</v>
      </c>
      <c r="AA271" s="1461" t="str">
        <f t="shared" ca="1" si="90"/>
        <v>Arcane Eye</v>
      </c>
      <c r="AB271" s="1394">
        <v>6</v>
      </c>
      <c r="AC271" s="1459">
        <f ca="1">IF(AB271=ROWS(AC$266:AC271),RAND(),"")</f>
        <v>0.23100246634650801</v>
      </c>
      <c r="AD271" s="382">
        <f ca="1">IF(AB271=ROWS(AD$266:AD271),RANK(AC271,$AC$266:$AC$300),"")</f>
        <v>20</v>
      </c>
      <c r="AE271" s="1338" t="s">
        <v>7668</v>
      </c>
      <c r="AF271" s="1461" t="str">
        <f t="shared" ca="1" si="91"/>
        <v>Passwall</v>
      </c>
      <c r="AG271" s="1394">
        <v>6</v>
      </c>
      <c r="AH271" s="1459">
        <f ca="1">IF(AG271=ROWS(AH$266:AH271),RAND(),"")</f>
        <v>0.547346022104092</v>
      </c>
      <c r="AI271" s="382">
        <f ca="1">IF(AG271=ROWS(AI$266:AI271),RANK(AH271,$AH$266:$AH$300),"")</f>
        <v>8</v>
      </c>
      <c r="AJ271" s="1338" t="s">
        <v>7639</v>
      </c>
      <c r="AK271" s="1461" t="str">
        <f t="shared" ca="1" si="92"/>
        <v>Magic Jar</v>
      </c>
      <c r="AL271" s="1394">
        <v>6</v>
      </c>
      <c r="AM271" s="1459">
        <f ca="1">IF(AL271=ROWS(AM$266:AM271),RAND(),"")</f>
        <v>0.49824490077268546</v>
      </c>
      <c r="AN271" s="382">
        <f ca="1">IF(AL271=ROWS(AN$266:AN271),RANK(AM271,$AM$266:$AM$300),"")</f>
        <v>9</v>
      </c>
      <c r="AO271" s="1338" t="s">
        <v>7217</v>
      </c>
      <c r="AP271" s="1461" t="str">
        <f t="shared" ca="1" si="93"/>
        <v>Sequester</v>
      </c>
      <c r="AQ271" s="1394">
        <v>6</v>
      </c>
      <c r="AR271" s="1459">
        <f ca="1">IF(AQ271=ROWS(AR$266:AR271),RAND(),"")</f>
        <v>0.91155509811474933</v>
      </c>
      <c r="AS271" s="382">
        <f ca="1">IF(AQ271=ROWS(AS$266:AS271),RANK(AR271,$AR$266:$AR$300),"")</f>
        <v>2</v>
      </c>
      <c r="AT271" s="1338" t="s">
        <v>7190</v>
      </c>
      <c r="AU271" s="1461" t="str">
        <f t="shared" ca="1" si="94"/>
        <v>Telepathy</v>
      </c>
      <c r="AV271" s="1394">
        <v>6</v>
      </c>
      <c r="AW271" s="1459">
        <f ca="1">IF(AV271=ROWS(AW$266:AW271),RAND(),"")</f>
        <v>0.66760248635532338</v>
      </c>
      <c r="AX271" s="382">
        <f ca="1">IF(AV271=ROWS(AX$266:AX271),RANK(AW271,$AW$266:$AW$300),"")</f>
        <v>4</v>
      </c>
      <c r="AY271" s="1338" t="s">
        <v>7211</v>
      </c>
      <c r="AZ271" s="1461" t="str">
        <f t="shared" ca="1" si="95"/>
        <v>Weird</v>
      </c>
      <c r="BA271" s="273"/>
      <c r="BB271" s="1253">
        <v>26</v>
      </c>
      <c r="BC271" s="1567">
        <f t="shared" ca="1" si="77"/>
        <v>0.38713598936183335</v>
      </c>
      <c r="BD271" s="905">
        <f t="shared" ca="1" si="81"/>
        <v>16</v>
      </c>
      <c r="BE271" s="1568" t="s">
        <v>7267</v>
      </c>
      <c r="BF271" s="1569" t="str">
        <f t="shared" ca="1" si="78"/>
        <v>Guidance</v>
      </c>
      <c r="BI271" s="1497" t="s">
        <v>6712</v>
      </c>
      <c r="BJ271" s="701" t="s">
        <v>7270</v>
      </c>
      <c r="BK271" s="904">
        <v>5</v>
      </c>
      <c r="BL271" s="272"/>
      <c r="BM271" s="272"/>
      <c r="BN271" s="3318"/>
      <c r="BO271" s="1547">
        <v>13</v>
      </c>
      <c r="BP271" s="1301">
        <f t="shared" ca="1" si="82"/>
        <v>0.64773468059050388</v>
      </c>
      <c r="BQ271" s="1547">
        <f t="shared" ca="1" si="84"/>
        <v>3</v>
      </c>
      <c r="BR271" s="1570" t="str">
        <f>IF([1]MATH!$C$9=1,$BJ$248,IF([1]MATH!$C$9=2,$BJ$258,IF([1]MATH!$C$9=3,$BJ$268,"")))</f>
        <v/>
      </c>
      <c r="BS271" s="1548" t="str">
        <f t="shared" ca="1" si="85"/>
        <v>Invisibility</v>
      </c>
      <c r="BT271" s="272"/>
      <c r="BU271" s="272"/>
      <c r="BV271" s="272"/>
    </row>
    <row r="272" spans="2:74" ht="12" customHeight="1" thickBot="1">
      <c r="B272" s="1336">
        <v>7</v>
      </c>
      <c r="C272" s="382">
        <v>7</v>
      </c>
      <c r="D272" s="1459">
        <f ca="1">IF(C272=ROWS(D$266:D272),RAND(),"")</f>
        <v>0.57500647075426548</v>
      </c>
      <c r="E272" s="382">
        <f ca="1">IF(C272=ROWS(E$266:E272),RANK(D272,$D$266:$D$300),"")</f>
        <v>9</v>
      </c>
      <c r="F272" s="1338" t="s">
        <v>6305</v>
      </c>
      <c r="G272" s="1461" t="str">
        <f t="shared" ca="1" si="86"/>
        <v>True Strike</v>
      </c>
      <c r="H272" s="382">
        <v>7</v>
      </c>
      <c r="I272" s="1459">
        <f ca="1">IF(H272=ROWS(I$266:I272),RAND(),"")</f>
        <v>2.9681752407286655E-2</v>
      </c>
      <c r="J272" s="382">
        <f ca="1">IF(H272=ROWS(J$266:J272),RANK(I272,$I$266:$I$300),"")</f>
        <v>29</v>
      </c>
      <c r="K272" s="1338" t="s">
        <v>7230</v>
      </c>
      <c r="L272" s="1461" t="str">
        <f t="shared" ca="1" si="87"/>
        <v>Ray of Sickness</v>
      </c>
      <c r="M272" s="382">
        <v>7</v>
      </c>
      <c r="N272" s="1459">
        <f ca="1">IF(M272=ROWS(N$266:N272),RAND(),"")</f>
        <v>0.82084620992383495</v>
      </c>
      <c r="O272" s="382">
        <f ca="1">IF(M272=ROWS(O$266:O272),RANK(N272,$N$266:$N$300),"")</f>
        <v>4</v>
      </c>
      <c r="P272" s="1338" t="s">
        <v>7222</v>
      </c>
      <c r="Q272" s="1461" t="str">
        <f t="shared" ca="1" si="88"/>
        <v>Shatter</v>
      </c>
      <c r="R272" s="1394">
        <v>7</v>
      </c>
      <c r="S272" s="1459">
        <f ca="1">IF(R272=ROWS(S$266:S272),RAND(),"")</f>
        <v>0.56149210441394393</v>
      </c>
      <c r="T272" s="382">
        <f ca="1">IF(R272=ROWS(T$266:T272),RANK(S272,$S$266:$S$300),"")</f>
        <v>18</v>
      </c>
      <c r="U272" s="1338" t="s">
        <v>7214</v>
      </c>
      <c r="V272" s="1461" t="str">
        <f t="shared" ca="1" si="89"/>
        <v>Tongues</v>
      </c>
      <c r="W272" s="1394">
        <v>7</v>
      </c>
      <c r="X272" s="1459">
        <f ca="1">IF(W272=ROWS(X$266:X272),RAND(),"")</f>
        <v>0.22442591283974445</v>
      </c>
      <c r="Y272" s="382">
        <f ca="1">IF(W272=ROWS(Y$266:Y272),RANK(X272,$X$266:$X$300),"")</f>
        <v>19</v>
      </c>
      <c r="Z272" s="1338" t="s">
        <v>7206</v>
      </c>
      <c r="AA272" s="1461" t="str">
        <f t="shared" ca="1" si="90"/>
        <v>Control Water</v>
      </c>
      <c r="AB272" s="1394">
        <v>7</v>
      </c>
      <c r="AC272" s="1459">
        <f ca="1">IF(AB272=ROWS(AC$266:AC272),RAND(),"")</f>
        <v>8.3470764707170297E-2</v>
      </c>
      <c r="AD272" s="382">
        <f ca="1">IF(AB272=ROWS(AD$266:AD272),RANK(AC272,$AC$266:$AC$300),"")</f>
        <v>23</v>
      </c>
      <c r="AE272" s="1338" t="s">
        <v>7638</v>
      </c>
      <c r="AF272" s="1461" t="str">
        <f t="shared" ca="1" si="91"/>
        <v>Conjure Elemental</v>
      </c>
      <c r="AG272" s="1394">
        <v>7</v>
      </c>
      <c r="AH272" s="1459">
        <f ca="1">IF(AG272=ROWS(AH$266:AH272),RAND(),"")</f>
        <v>0.46994021593403101</v>
      </c>
      <c r="AI272" s="382">
        <f ca="1">IF(AG272=ROWS(AI$266:AI272),RANK(AH272,$AH$266:$AH$300),"")</f>
        <v>10</v>
      </c>
      <c r="AJ272" s="1338" t="s">
        <v>7696</v>
      </c>
      <c r="AK272" s="1461" t="str">
        <f t="shared" ca="1" si="92"/>
        <v>Programmed Illusion</v>
      </c>
      <c r="AL272" s="1394">
        <v>7</v>
      </c>
      <c r="AM272" s="1459">
        <f ca="1">IF(AL272=ROWS(AM$266:AM272),RAND(),"")</f>
        <v>2.0113478141338459E-2</v>
      </c>
      <c r="AN272" s="382">
        <f ca="1">IF(AL272=ROWS(AN$266:AN272),RANK(AM272,$AM$266:$AM$300),"")</f>
        <v>15</v>
      </c>
      <c r="AO272" s="1338" t="s">
        <v>7227</v>
      </c>
      <c r="AP272" s="1461" t="str">
        <f t="shared" ca="1" si="93"/>
        <v>Delayed Blast Fireball</v>
      </c>
      <c r="AQ272" s="1394">
        <v>7</v>
      </c>
      <c r="AR272" s="1459">
        <f ca="1">IF(AQ272=ROWS(AR$266:AR272),RAND(),"")</f>
        <v>0.66738299662478007</v>
      </c>
      <c r="AS272" s="382">
        <f ca="1">IF(AQ272=ROWS(AS$266:AS272),RANK(AR272,$AR$266:$AR$300),"")</f>
        <v>5</v>
      </c>
      <c r="AT272" s="1338" t="s">
        <v>7200</v>
      </c>
      <c r="AU272" s="1461" t="str">
        <f t="shared" ca="1" si="94"/>
        <v>Maze</v>
      </c>
      <c r="AV272" s="1394">
        <v>7</v>
      </c>
      <c r="AW272" s="1459">
        <f ca="1">IF(AV272=ROWS(AW$266:AW272),RAND(),"")</f>
        <v>0.96468839137745499</v>
      </c>
      <c r="AX272" s="382">
        <f ca="1">IF(AV272=ROWS(AX$266:AX272),RANK(AW272,$AW$266:$AW$300),"")</f>
        <v>1</v>
      </c>
      <c r="AY272" s="1338" t="s">
        <v>7367</v>
      </c>
      <c r="AZ272" s="1461" t="str">
        <f t="shared" ca="1" si="95"/>
        <v>Gate</v>
      </c>
      <c r="BA272" s="273"/>
      <c r="BI272" s="1497" t="s">
        <v>6712</v>
      </c>
      <c r="BJ272" s="701" t="s">
        <v>7396</v>
      </c>
      <c r="BK272" s="904">
        <v>7</v>
      </c>
      <c r="BL272" s="272"/>
      <c r="BM272" s="272"/>
      <c r="BN272" s="3319"/>
      <c r="BO272" s="1553">
        <v>14</v>
      </c>
      <c r="BP272" s="1304">
        <f t="shared" ca="1" si="82"/>
        <v>0.77703000176330284</v>
      </c>
      <c r="BQ272" s="1553">
        <f t="shared" ca="1" si="84"/>
        <v>1</v>
      </c>
      <c r="BR272" s="1570" t="str">
        <f>IF([1]MATH!$C$9=1,$BJ$249,IF([1]MATH!$C$9=2,$BJ$259,IF([1]MATH!$C$9=3,$BJ$269,"")))</f>
        <v/>
      </c>
      <c r="BS272" s="1554" t="str">
        <f t="shared" ca="1" si="85"/>
        <v>Crown of Madness</v>
      </c>
      <c r="BT272" s="272"/>
      <c r="BU272" s="272"/>
      <c r="BV272" s="272"/>
    </row>
    <row r="273" spans="2:74" ht="12" customHeight="1" thickBot="1">
      <c r="B273" s="1336">
        <v>8</v>
      </c>
      <c r="C273" s="382">
        <v>8</v>
      </c>
      <c r="D273" s="1459">
        <f ca="1">IF(C273=ROWS(D$266:D273),RAND(),"")</f>
        <v>0.88351353774395514</v>
      </c>
      <c r="E273" s="382">
        <f ca="1">IF(C273=ROWS(E$266:E273),RANK(D273,$D$266:$D$300),"")</f>
        <v>5</v>
      </c>
      <c r="F273" s="1338" t="s">
        <v>7593</v>
      </c>
      <c r="G273" s="1461" t="str">
        <f t="shared" ca="1" si="86"/>
        <v>Minor Illusion</v>
      </c>
      <c r="H273" s="382">
        <v>8</v>
      </c>
      <c r="I273" s="1459">
        <f ca="1">IF(H273=ROWS(I$266:I273),RAND(),"")</f>
        <v>9.2815151995427003E-2</v>
      </c>
      <c r="J273" s="382">
        <f ca="1">IF(H273=ROWS(J$266:J273),RANK(I273,$I$266:$I$300),"")</f>
        <v>24</v>
      </c>
      <c r="K273" s="1338" t="s">
        <v>7238</v>
      </c>
      <c r="L273" s="1461" t="str">
        <f t="shared" ca="1" si="87"/>
        <v>Alarm</v>
      </c>
      <c r="M273" s="382">
        <v>8</v>
      </c>
      <c r="N273" s="1459">
        <f ca="1">IF(M273=ROWS(N$266:N273),RAND(),"")</f>
        <v>0.56862647422615908</v>
      </c>
      <c r="O273" s="382">
        <f ca="1">IF(M273=ROWS(O$266:O273),RANK(N273,$N$266:$N$300),"")</f>
        <v>13</v>
      </c>
      <c r="P273" s="1338" t="s">
        <v>7448</v>
      </c>
      <c r="Q273" s="1461" t="str">
        <f t="shared" ca="1" si="88"/>
        <v>Spider Climb</v>
      </c>
      <c r="R273" s="1394">
        <v>8</v>
      </c>
      <c r="S273" s="1459">
        <f ca="1">IF(R273=ROWS(S$266:S273),RAND(),"")</f>
        <v>0.34443234899987174</v>
      </c>
      <c r="T273" s="382">
        <f ca="1">IF(R273=ROWS(T$266:T273),RANK(S273,$S$266:$S$300),"")</f>
        <v>21</v>
      </c>
      <c r="U273" s="1338" t="s">
        <v>7223</v>
      </c>
      <c r="V273" s="1461" t="str">
        <f t="shared" ca="1" si="89"/>
        <v>Water Breathing</v>
      </c>
      <c r="W273" s="1394">
        <v>8</v>
      </c>
      <c r="X273" s="1459">
        <f ca="1">IF(W273=ROWS(X$266:X273),RAND(),"")</f>
        <v>0.45447743475135749</v>
      </c>
      <c r="Y273" s="382">
        <f ca="1">IF(W273=ROWS(Y$266:Y273),RANK(X273,$X$266:$X$300),"")</f>
        <v>13</v>
      </c>
      <c r="Z273" s="1338" t="s">
        <v>7598</v>
      </c>
      <c r="AA273" s="1461" t="str">
        <f t="shared" ca="1" si="90"/>
        <v>Wall of Fire</v>
      </c>
      <c r="AB273" s="1394">
        <v>8</v>
      </c>
      <c r="AC273" s="1459">
        <f ca="1">IF(AB273=ROWS(AC$266:AC273),RAND(),"")</f>
        <v>0.37381035159990428</v>
      </c>
      <c r="AD273" s="382">
        <f ca="1">IF(AB273=ROWS(AD$266:AD273),RANK(AC273,$AC$266:$AC$300),"")</f>
        <v>12</v>
      </c>
      <c r="AE273" s="1338" t="s">
        <v>7207</v>
      </c>
      <c r="AF273" s="1461" t="str">
        <f t="shared" ca="1" si="91"/>
        <v>Modify Memory</v>
      </c>
      <c r="AG273" s="1394">
        <v>8</v>
      </c>
      <c r="AH273" s="1459">
        <f ca="1">IF(AG273=ROWS(AH$266:AH273),RAND(),"")</f>
        <v>0.2178953183553981</v>
      </c>
      <c r="AI273" s="382">
        <f ca="1">IF(AG273=ROWS(AI$266:AI273),RANK(AH273,$AH$266:$AH$300),"")</f>
        <v>15</v>
      </c>
      <c r="AJ273" s="1338" t="s">
        <v>7189</v>
      </c>
      <c r="AK273" s="1461" t="str">
        <f t="shared" ca="1" si="92"/>
        <v>Disintegrate</v>
      </c>
      <c r="AL273" s="1394">
        <v>8</v>
      </c>
      <c r="AM273" s="1459">
        <f ca="1">IF(AL273=ROWS(AM$266:AM273),RAND(),"")</f>
        <v>0.12838925738744067</v>
      </c>
      <c r="AN273" s="382">
        <f ca="1">IF(AL273=ROWS(AN$266:AN273),RANK(AM273,$AM$266:$AM$300),"")</f>
        <v>14</v>
      </c>
      <c r="AO273" s="1338" t="s">
        <v>7377</v>
      </c>
      <c r="AP273" s="1461" t="str">
        <f t="shared" ca="1" si="93"/>
        <v>Mirage Arcane</v>
      </c>
      <c r="AQ273" s="1394">
        <v>8</v>
      </c>
      <c r="AR273" s="1459">
        <f ca="1">IF(AQ273=ROWS(AR$266:AR273),RAND(),"")</f>
        <v>0.9117883030823617</v>
      </c>
      <c r="AS273" s="382">
        <f ca="1">IF(AQ273=ROWS(AS$266:AS273),RANK(AR273,$AR$266:$AR$300),"")</f>
        <v>1</v>
      </c>
      <c r="AT273" s="1338" t="s">
        <v>7637</v>
      </c>
      <c r="AU273" s="1461" t="str">
        <f t="shared" ca="1" si="94"/>
        <v>Power Word Stun</v>
      </c>
      <c r="AV273" s="1394">
        <v>8</v>
      </c>
      <c r="AW273" s="1459">
        <f ca="1">IF(AV273=ROWS(AW$266:AW273),RAND(),"")</f>
        <v>0.88590120499059066</v>
      </c>
      <c r="AX273" s="382">
        <f ca="1">IF(AV273=ROWS(AX$266:AX273),RANK(AW273,$AW$266:$AW$300),"")</f>
        <v>2</v>
      </c>
      <c r="AY273" s="1338" t="s">
        <v>7446</v>
      </c>
      <c r="AZ273" s="1461" t="str">
        <f t="shared" ca="1" si="95"/>
        <v>Meteor Swarm</v>
      </c>
      <c r="BA273" s="273"/>
      <c r="BI273" s="1497" t="s">
        <v>6712</v>
      </c>
      <c r="BJ273" s="701" t="s">
        <v>7598</v>
      </c>
      <c r="BK273" s="904">
        <v>7</v>
      </c>
      <c r="BL273" s="272"/>
      <c r="BM273" s="272"/>
      <c r="BN273" s="3305">
        <v>3</v>
      </c>
      <c r="BO273" s="1540">
        <v>1</v>
      </c>
      <c r="BP273" s="1299">
        <f ca="1">RAND()</f>
        <v>0.66941057969500428</v>
      </c>
      <c r="BQ273" s="1540">
        <f t="shared" ref="BQ273:BQ286" ca="1" si="96">RANK(BP273,$BP$273:$BP$286)</f>
        <v>3</v>
      </c>
      <c r="BR273" s="1563" t="s">
        <v>7524</v>
      </c>
      <c r="BS273" s="1541" t="str">
        <f t="shared" ref="BS273:BS286" ca="1" si="97">VLOOKUP(BO273,$BQ$273:$BR$286,2,FALSE)</f>
        <v>Major Image</v>
      </c>
      <c r="BT273" s="272"/>
      <c r="BU273" s="272"/>
      <c r="BV273" s="272"/>
    </row>
    <row r="274" spans="2:74" ht="12" customHeight="1">
      <c r="B274" s="1336">
        <v>9</v>
      </c>
      <c r="C274" s="382">
        <v>9</v>
      </c>
      <c r="D274" s="1459">
        <f ca="1">IF(C274=ROWS(D$266:D274),RAND(),"")</f>
        <v>0.96963232980811342</v>
      </c>
      <c r="E274" s="382">
        <f ca="1">IF(C274=ROWS(E$266:E274),RANK(D274,$D$266:$D$300),"")</f>
        <v>2</v>
      </c>
      <c r="F274" s="1338" t="s">
        <v>7229</v>
      </c>
      <c r="G274" s="1461" t="str">
        <f t="shared" ca="1" si="86"/>
        <v>Light</v>
      </c>
      <c r="H274" s="382">
        <v>9</v>
      </c>
      <c r="I274" s="1459">
        <f ca="1">IF(H274=ROWS(I$266:I274),RAND(),"")</f>
        <v>3.6780629536747544E-2</v>
      </c>
      <c r="J274" s="382">
        <f ca="1">IF(H274=ROWS(J$266:J274),RANK(I274,$I$266:$I$300),"")</f>
        <v>28</v>
      </c>
      <c r="K274" s="1338" t="s">
        <v>7599</v>
      </c>
      <c r="L274" s="1461" t="str">
        <f t="shared" ca="1" si="87"/>
        <v>Illusory Script</v>
      </c>
      <c r="M274" s="382">
        <v>9</v>
      </c>
      <c r="N274" s="1459">
        <f ca="1">IF(M274=ROWS(N$266:N274),RAND(),"")</f>
        <v>0.25860693993652839</v>
      </c>
      <c r="O274" s="382">
        <f ca="1">IF(M274=ROWS(O$266:O274),RANK(N274,$N$266:$N$300),"")</f>
        <v>25</v>
      </c>
      <c r="P274" s="1338" t="s">
        <v>7461</v>
      </c>
      <c r="Q274" s="1461" t="str">
        <f t="shared" ca="1" si="88"/>
        <v>Magic Mouth</v>
      </c>
      <c r="R274" s="1394">
        <v>9</v>
      </c>
      <c r="S274" s="1459">
        <f ca="1">IF(R274=ROWS(S$266:S274),RAND(),"")</f>
        <v>0.29922814869394287</v>
      </c>
      <c r="T274" s="382">
        <f ca="1">IF(R274=ROWS(T$266:T274),RANK(S274,$S$266:$S$300),"")</f>
        <v>23</v>
      </c>
      <c r="U274" s="1338" t="s">
        <v>7387</v>
      </c>
      <c r="V274" s="1461" t="str">
        <f t="shared" ca="1" si="89"/>
        <v>Gaseous Form</v>
      </c>
      <c r="W274" s="1394">
        <v>9</v>
      </c>
      <c r="X274" s="1459">
        <f ca="1">IF(W274=ROWS(X$266:X274),RAND(),"")</f>
        <v>0.86277960905779971</v>
      </c>
      <c r="Y274" s="382">
        <f ca="1">IF(W274=ROWS(Y$266:Y274),RANK(X274,$X$266:$X$300),"")</f>
        <v>2</v>
      </c>
      <c r="Z274" s="1338" t="s">
        <v>7600</v>
      </c>
      <c r="AA274" s="1461" t="str">
        <f t="shared" ca="1" si="90"/>
        <v>Mordekainen's Faithful Hound</v>
      </c>
      <c r="AB274" s="1394">
        <v>9</v>
      </c>
      <c r="AC274" s="1459">
        <f ca="1">IF(AB274=ROWS(AC$266:AC274),RAND(),"")</f>
        <v>0.84170464512384247</v>
      </c>
      <c r="AD274" s="382">
        <f ca="1">IF(AB274=ROWS(AD$266:AD274),RANK(AC274,$AC$266:$AC$300),"")</f>
        <v>3</v>
      </c>
      <c r="AE274" s="1338" t="s">
        <v>7215</v>
      </c>
      <c r="AF274" s="1461" t="str">
        <f t="shared" ca="1" si="91"/>
        <v>Seeming</v>
      </c>
      <c r="AG274" s="1394">
        <v>9</v>
      </c>
      <c r="AH274" s="1459">
        <f ca="1">IF(AG274=ROWS(AH$266:AH274),RAND(),"")</f>
        <v>0.22568407098867327</v>
      </c>
      <c r="AI274" s="382">
        <f ca="1">IF(AG274=ROWS(AI$266:AI274),RANK(AH274,$AH$266:$AH$300),"")</f>
        <v>14</v>
      </c>
      <c r="AJ274" s="1338" t="s">
        <v>7675</v>
      </c>
      <c r="AK274" s="1461" t="str">
        <f t="shared" ca="1" si="92"/>
        <v>Wall of Ice</v>
      </c>
      <c r="AL274" s="1394">
        <v>9</v>
      </c>
      <c r="AM274" s="1459">
        <f ca="1">IF(AL274=ROWS(AM$266:AM274),RAND(),"")</f>
        <v>0.69901059449558123</v>
      </c>
      <c r="AN274" s="382">
        <f ca="1">IF(AL274=ROWS(AN$266:AN274),RANK(AM274,$AM$266:$AM$300),"")</f>
        <v>4</v>
      </c>
      <c r="AO274" s="1338" t="s">
        <v>7643</v>
      </c>
      <c r="AP274" s="1461" t="str">
        <f t="shared" ca="1" si="93"/>
        <v>Mordekainen's Magnificent Mansion</v>
      </c>
      <c r="AQ274" s="1394">
        <v>9</v>
      </c>
      <c r="AR274" s="1459">
        <f ca="1">IF(AQ274=ROWS(AR$266:AR274),RAND(),"")</f>
        <v>0.37656150476808825</v>
      </c>
      <c r="AS274" s="382">
        <f ca="1">IF(AQ274=ROWS(AS$266:AS274),RANK(AR274,$AR$266:$AR$300),"")</f>
        <v>7</v>
      </c>
      <c r="AT274" s="1338" t="s">
        <v>7697</v>
      </c>
      <c r="AU274" s="1461" t="str">
        <f t="shared" ca="1" si="94"/>
        <v>Control Weather</v>
      </c>
      <c r="AV274" s="1394">
        <v>9</v>
      </c>
      <c r="AW274" s="1459">
        <f ca="1">IF(AV274=ROWS(AW$266:AW274),RAND(),"")</f>
        <v>0.3369094047048381</v>
      </c>
      <c r="AX274" s="382">
        <f ca="1">IF(AV274=ROWS(AX$266:AX274),RANK(AW274,$AW$266:$AW$300),"")</f>
        <v>9</v>
      </c>
      <c r="AY274" s="1338" t="s">
        <v>7640</v>
      </c>
      <c r="AZ274" s="1461" t="str">
        <f t="shared" ca="1" si="95"/>
        <v>Time Stop</v>
      </c>
      <c r="BA274" s="273"/>
      <c r="BB274" s="3316" t="s">
        <v>7698</v>
      </c>
      <c r="BC274" s="2862"/>
      <c r="BD274" s="2862"/>
      <c r="BE274" s="2862"/>
      <c r="BF274" s="1571" t="s">
        <v>773</v>
      </c>
      <c r="BI274" s="1497" t="s">
        <v>6712</v>
      </c>
      <c r="BJ274" s="701" t="s">
        <v>7207</v>
      </c>
      <c r="BK274" s="904">
        <v>9</v>
      </c>
      <c r="BL274" s="272"/>
      <c r="BM274" s="272"/>
      <c r="BN274" s="3306"/>
      <c r="BO274" s="1547">
        <v>2</v>
      </c>
      <c r="BP274" s="1301">
        <f t="shared" ca="1" si="82"/>
        <v>0.31503068285177804</v>
      </c>
      <c r="BQ274" s="1547">
        <f t="shared" ca="1" si="96"/>
        <v>9</v>
      </c>
      <c r="BR274" s="1564" t="s">
        <v>7205</v>
      </c>
      <c r="BS274" s="1548" t="str">
        <f t="shared" ca="1" si="97"/>
        <v>Remove Curse</v>
      </c>
      <c r="BT274" s="272"/>
      <c r="BU274" s="272"/>
      <c r="BV274" s="272"/>
    </row>
    <row r="275" spans="2:74" ht="12" customHeight="1" thickBot="1">
      <c r="B275" s="1336">
        <v>10</v>
      </c>
      <c r="C275" s="382">
        <v>10</v>
      </c>
      <c r="D275" s="1459">
        <f ca="1">IF(C275=ROWS(D$266:D275),RAND(),"")</f>
        <v>0.23272813072215681</v>
      </c>
      <c r="E275" s="382">
        <f ca="1">IF(C275=ROWS(E$266:E275),RANK(D275,$D$266:$D$300),"")</f>
        <v>12</v>
      </c>
      <c r="F275" s="1338" t="s">
        <v>7237</v>
      </c>
      <c r="G275" s="1461" t="str">
        <f t="shared" ca="1" si="86"/>
        <v>Friends</v>
      </c>
      <c r="H275" s="382">
        <v>10</v>
      </c>
      <c r="I275" s="1459">
        <f ca="1">IF(H275=ROWS(I$266:I275),RAND(),"")</f>
        <v>0.82747549427376066</v>
      </c>
      <c r="J275" s="382">
        <f ca="1">IF(H275=ROWS(J$266:J275),RANK(I275,$I$266:$I$300),"")</f>
        <v>3</v>
      </c>
      <c r="K275" s="1338" t="s">
        <v>7601</v>
      </c>
      <c r="L275" s="1461" t="str">
        <f t="shared" ca="1" si="87"/>
        <v>Protection from Evil &amp; Good</v>
      </c>
      <c r="M275" s="382">
        <v>10</v>
      </c>
      <c r="N275" s="1459">
        <f ca="1">IF(M275=ROWS(N$266:N275),RAND(),"")</f>
        <v>0.33142030135848743</v>
      </c>
      <c r="O275" s="382">
        <f ca="1">IF(M275=ROWS(O$266:O275),RANK(N275,$N$266:$N$300),"")</f>
        <v>21</v>
      </c>
      <c r="P275" s="1338" t="s">
        <v>7231</v>
      </c>
      <c r="Q275" s="1461" t="str">
        <f t="shared" ca="1" si="88"/>
        <v>Melf's Acid Arrow</v>
      </c>
      <c r="R275" s="1394">
        <v>10</v>
      </c>
      <c r="S275" s="1459">
        <f ca="1">IF(R275=ROWS(S$266:S275),RAND(),"")</f>
        <v>0.98491029243642958</v>
      </c>
      <c r="T275" s="382">
        <f ca="1">IF(R275=ROWS(T$266:T275),RANK(S275,$S$266:$S$300),"")</f>
        <v>1</v>
      </c>
      <c r="U275" s="1338" t="s">
        <v>7602</v>
      </c>
      <c r="V275" s="1461" t="str">
        <f t="shared" ca="1" si="89"/>
        <v>Bestow Curse</v>
      </c>
      <c r="W275" s="1394">
        <v>10</v>
      </c>
      <c r="X275" s="1459">
        <f ca="1">IF(W275=ROWS(X$266:X275),RAND(),"")</f>
        <v>0.63464256182368872</v>
      </c>
      <c r="Y275" s="382">
        <f ca="1">IF(W275=ROWS(Y$266:Y275),RANK(X275,$X$266:$X$300),"")</f>
        <v>10</v>
      </c>
      <c r="Z275" s="1338" t="s">
        <v>7527</v>
      </c>
      <c r="AA275" s="1461" t="str">
        <f t="shared" ca="1" si="90"/>
        <v>Fire Shield</v>
      </c>
      <c r="AB275" s="1394">
        <v>10</v>
      </c>
      <c r="AC275" s="1459">
        <f ca="1">IF(AB275=ROWS(AC$266:AC275),RAND(),"")</f>
        <v>0.84190365302408754</v>
      </c>
      <c r="AD275" s="382">
        <f ca="1">IF(AB275=ROWS(AD$266:AD275),RANK(AC275,$AC$266:$AC$300),"")</f>
        <v>2</v>
      </c>
      <c r="AE275" s="1338" t="s">
        <v>7225</v>
      </c>
      <c r="AF275" s="1461" t="str">
        <f t="shared" ca="1" si="91"/>
        <v>Cone of Cold</v>
      </c>
      <c r="AG275" s="1394">
        <v>10</v>
      </c>
      <c r="AH275" s="1459">
        <f ca="1">IF(AG275=ROWS(AH$266:AH275),RAND(),"")</f>
        <v>0.91493931929081651</v>
      </c>
      <c r="AI275" s="382">
        <f ca="1">IF(AG275=ROWS(AI$266:AI275),RANK(AH275,$AH$266:$AH$300),"")</f>
        <v>3</v>
      </c>
      <c r="AJ275" s="1338" t="s">
        <v>7642</v>
      </c>
      <c r="AK275" s="1461" t="str">
        <f t="shared" ca="1" si="92"/>
        <v>Drawmij's Instant Summon</v>
      </c>
      <c r="AL275" s="1394">
        <v>10</v>
      </c>
      <c r="AM275" s="1459">
        <f ca="1">IF(AL275=ROWS(AM$266:AM275),RAND(),"")</f>
        <v>0.69430400649630997</v>
      </c>
      <c r="AN275" s="382">
        <f ca="1">IF(AL275=ROWS(AN$266:AN275),RANK(AM275,$AM$266:$AM$300),"")</f>
        <v>5</v>
      </c>
      <c r="AO275" s="1338" t="s">
        <v>7236</v>
      </c>
      <c r="AP275" s="1461" t="str">
        <f t="shared" ca="1" si="93"/>
        <v>Teleport</v>
      </c>
      <c r="AQ275" s="1394">
        <v>10</v>
      </c>
      <c r="AR275" s="1459">
        <f ca="1">IF(AQ275=ROWS(AR$266:AR275),RAND(),"")</f>
        <v>0.27814057011028459</v>
      </c>
      <c r="AS275" s="382">
        <f ca="1">IF(AQ275=ROWS(AS$266:AS275),RANK(AR275,$AR$266:$AR$300),"")</f>
        <v>10</v>
      </c>
      <c r="AT275" s="1338" t="s">
        <v>7218</v>
      </c>
      <c r="AU275" s="1461" t="str">
        <f t="shared" ca="1" si="94"/>
        <v>Mind Blank</v>
      </c>
      <c r="AV275" s="1394">
        <v>10</v>
      </c>
      <c r="AW275" s="1459">
        <f ca="1">IF(AV275=ROWS(AW$266:AW275),RAND(),"")</f>
        <v>0.762951353175642</v>
      </c>
      <c r="AX275" s="382">
        <f ca="1">IF(AV275=ROWS(AX$266:AX275),RANK(AW275,$AW$266:$AW$300),"")</f>
        <v>3</v>
      </c>
      <c r="AY275" s="1338" t="s">
        <v>7219</v>
      </c>
      <c r="AZ275" s="1461" t="str">
        <f t="shared" ca="1" si="95"/>
        <v>Imprisonment</v>
      </c>
      <c r="BA275" s="273"/>
      <c r="BB275" s="2931"/>
      <c r="BC275" s="2932"/>
      <c r="BD275" s="2932"/>
      <c r="BE275" s="2932"/>
      <c r="BF275" s="1572">
        <f>[1]MATH!$D$5</f>
        <v>7</v>
      </c>
      <c r="BI275" s="1505" t="s">
        <v>6712</v>
      </c>
      <c r="BJ275" s="704" t="s">
        <v>7645</v>
      </c>
      <c r="BK275" s="907">
        <v>9</v>
      </c>
      <c r="BL275" s="272"/>
      <c r="BM275" s="272"/>
      <c r="BN275" s="3306"/>
      <c r="BO275" s="1547">
        <v>3</v>
      </c>
      <c r="BP275" s="1301">
        <f t="shared" ca="1" si="82"/>
        <v>5.789043198705357E-2</v>
      </c>
      <c r="BQ275" s="1547">
        <f t="shared" ca="1" si="96"/>
        <v>13</v>
      </c>
      <c r="BR275" s="1564" t="s">
        <v>7214</v>
      </c>
      <c r="BS275" s="1548" t="str">
        <f t="shared" ca="1" si="97"/>
        <v>Counterspell</v>
      </c>
      <c r="BT275" s="272"/>
      <c r="BU275" s="272"/>
      <c r="BV275" s="272"/>
    </row>
    <row r="276" spans="2:74" ht="12" customHeight="1">
      <c r="B276" s="1336">
        <v>11</v>
      </c>
      <c r="C276" s="382">
        <v>11</v>
      </c>
      <c r="D276" s="1459">
        <f ca="1">IF(C276=ROWS(D$266:D276),RAND(),"")</f>
        <v>0.64107233504560923</v>
      </c>
      <c r="E276" s="382">
        <f ca="1">IF(C276=ROWS(E$266:E276),RANK(D276,$D$266:$D$300),"")</f>
        <v>8</v>
      </c>
      <c r="F276" s="1338" t="s">
        <v>7245</v>
      </c>
      <c r="G276" s="1461" t="str">
        <f t="shared" ca="1" si="86"/>
        <v>Blade Ward</v>
      </c>
      <c r="H276" s="382">
        <v>11</v>
      </c>
      <c r="I276" s="1459">
        <f ca="1">IF(H276=ROWS(I$266:I276),RAND(),"")</f>
        <v>0.41565107521920608</v>
      </c>
      <c r="J276" s="382">
        <f ca="1">IF(H276=ROWS(J$266:J276),RANK(I276,$I$266:$I$300),"")</f>
        <v>18</v>
      </c>
      <c r="K276" s="1338" t="s">
        <v>7264</v>
      </c>
      <c r="L276" s="1461" t="str">
        <f t="shared" ca="1" si="87"/>
        <v>Silent Image</v>
      </c>
      <c r="M276" s="382">
        <v>11</v>
      </c>
      <c r="N276" s="1459">
        <f ca="1">IF(M276=ROWS(N$266:N276),RAND(),"")</f>
        <v>0.18734911389212083</v>
      </c>
      <c r="O276" s="382">
        <f ca="1">IF(M276=ROWS(O$266:O276),RANK(N276,$N$266:$N$300),"")</f>
        <v>28</v>
      </c>
      <c r="P276" s="1338" t="s">
        <v>7603</v>
      </c>
      <c r="Q276" s="1461" t="str">
        <f t="shared" ca="1" si="88"/>
        <v>See Invisibility</v>
      </c>
      <c r="R276" s="1394">
        <v>11</v>
      </c>
      <c r="S276" s="1459">
        <f ca="1">IF(R276=ROWS(S$266:S276),RAND(),"")</f>
        <v>0.75123631480590991</v>
      </c>
      <c r="T276" s="382">
        <f ca="1">IF(R276=ROWS(T$266:T276),RANK(S276,$S$266:$S$300),"")</f>
        <v>9</v>
      </c>
      <c r="U276" s="1338" t="s">
        <v>7459</v>
      </c>
      <c r="V276" s="1461" t="str">
        <f t="shared" ca="1" si="89"/>
        <v>Glyph of Warding</v>
      </c>
      <c r="W276" s="1394">
        <v>11</v>
      </c>
      <c r="X276" s="1459">
        <f ca="1">IF(W276=ROWS(X$266:X276),RAND(),"")</f>
        <v>0.85159532007743444</v>
      </c>
      <c r="Y276" s="382">
        <f ca="1">IF(W276=ROWS(Y$266:Y276),RANK(X276,$X$266:$X$300),"")</f>
        <v>3</v>
      </c>
      <c r="Z276" s="1338" t="s">
        <v>7224</v>
      </c>
      <c r="AA276" s="1461" t="str">
        <f t="shared" ca="1" si="90"/>
        <v>Polymorph</v>
      </c>
      <c r="AB276" s="1394">
        <v>11</v>
      </c>
      <c r="AC276" s="1459">
        <f ca="1">IF(AB276=ROWS(AC$266:AC276),RAND(),"")</f>
        <v>0.11503958900270861</v>
      </c>
      <c r="AD276" s="382">
        <f ca="1">IF(AB276=ROWS(AD$266:AD276),RANK(AC276,$AC$266:$AC$300),"")</f>
        <v>22</v>
      </c>
      <c r="AE276" s="1338" t="s">
        <v>7242</v>
      </c>
      <c r="AF276" s="1461" t="str">
        <f t="shared" ca="1" si="91"/>
        <v>Bigby's Hand</v>
      </c>
      <c r="AG276" s="1394">
        <v>11</v>
      </c>
      <c r="AH276" s="1459">
        <f ca="1">IF(AG276=ROWS(AH$266:AH276),RAND(),"")</f>
        <v>0.26062164195237603</v>
      </c>
      <c r="AI276" s="382">
        <f ca="1">IF(AG276=ROWS(AI$266:AI276),RANK(AH276,$AH$266:$AH$300),"")</f>
        <v>13</v>
      </c>
      <c r="AJ276" s="1338" t="s">
        <v>7208</v>
      </c>
      <c r="AK276" s="1461" t="str">
        <f t="shared" ca="1" si="92"/>
        <v>Create Undead</v>
      </c>
      <c r="AL276" s="1394">
        <v>11</v>
      </c>
      <c r="AM276" s="1459">
        <f ca="1">IF(AL276=ROWS(AM$266:AM276),RAND(),"")</f>
        <v>0.7946200253456871</v>
      </c>
      <c r="AN276" s="382">
        <f ca="1">IF(AL276=ROWS(AN$266:AN276),RANK(AM276,$AM$266:$AM$300),"")</f>
        <v>2</v>
      </c>
      <c r="AO276" s="1338" t="s">
        <v>7471</v>
      </c>
      <c r="AP276" s="1461" t="str">
        <f t="shared" ca="1" si="93"/>
        <v>Finger of Death</v>
      </c>
      <c r="AQ276" s="1394">
        <v>11</v>
      </c>
      <c r="AR276" s="1459">
        <f ca="1">IF(AQ276=ROWS(AR$266:AR276),RAND(),"")</f>
        <v>0.32641602351414811</v>
      </c>
      <c r="AS276" s="382">
        <f ca="1">IF(AQ276=ROWS(AS$266:AS276),RANK(AR276,$AR$266:$AR$300),"")</f>
        <v>8</v>
      </c>
      <c r="AT276" s="1338" t="s">
        <v>7228</v>
      </c>
      <c r="AU276" s="1461" t="str">
        <f t="shared" ca="1" si="94"/>
        <v>Sunburst</v>
      </c>
      <c r="AV276" s="1394">
        <v>11</v>
      </c>
      <c r="AW276" s="1459">
        <f ca="1">IF(AV276=ROWS(AW$266:AW276),RAND(),"")</f>
        <v>0.59510564756565654</v>
      </c>
      <c r="AX276" s="382">
        <f ca="1">IF(AV276=ROWS(AX$266:AX276),RANK(AW276,$AW$266:$AW$300),"")</f>
        <v>6</v>
      </c>
      <c r="AY276" s="1338" t="s">
        <v>7699</v>
      </c>
      <c r="AZ276" s="1461" t="str">
        <f t="shared" ca="1" si="95"/>
        <v>Foresight</v>
      </c>
      <c r="BA276" s="1573" t="s">
        <v>7700</v>
      </c>
      <c r="BB276" s="1524" t="s">
        <v>7658</v>
      </c>
      <c r="BC276" s="1525" t="s">
        <v>7659</v>
      </c>
      <c r="BD276" s="1526" t="s">
        <v>6592</v>
      </c>
      <c r="BE276" s="1527" t="s">
        <v>7660</v>
      </c>
      <c r="BF276" s="1528" t="s">
        <v>7661</v>
      </c>
      <c r="BK276" s="272"/>
      <c r="BL276" s="272"/>
      <c r="BM276" s="272"/>
      <c r="BN276" s="3306"/>
      <c r="BO276" s="1547">
        <v>4</v>
      </c>
      <c r="BP276" s="1301">
        <f t="shared" ca="1" si="82"/>
        <v>0.50181436696419823</v>
      </c>
      <c r="BQ276" s="1547">
        <f t="shared" ca="1" si="96"/>
        <v>6</v>
      </c>
      <c r="BR276" s="1564" t="s">
        <v>7602</v>
      </c>
      <c r="BS276" s="1548" t="str">
        <f t="shared" ca="1" si="97"/>
        <v>Tongues</v>
      </c>
      <c r="BT276" s="272"/>
      <c r="BU276" s="272"/>
      <c r="BV276" s="272"/>
    </row>
    <row r="277" spans="2:74" ht="12" customHeight="1">
      <c r="B277" s="1336">
        <v>12</v>
      </c>
      <c r="C277" s="382">
        <v>12</v>
      </c>
      <c r="D277" s="1459">
        <f ca="1">IF(C277=ROWS(D$266:D277),RAND(),"")</f>
        <v>0.20875876440182373</v>
      </c>
      <c r="E277" s="382">
        <f ca="1">IF(C277=ROWS(E$266:E277),RANK(D277,$D$266:$D$300),"")</f>
        <v>13</v>
      </c>
      <c r="F277" s="1338" t="s">
        <v>7493</v>
      </c>
      <c r="G277" s="1461" t="str">
        <f t="shared" ca="1" si="86"/>
        <v>Message</v>
      </c>
      <c r="H277" s="382">
        <v>12</v>
      </c>
      <c r="I277" s="1459">
        <f ca="1">IF(H277=ROWS(I$266:I277),RAND(),"")</f>
        <v>0.74159628338532635</v>
      </c>
      <c r="J277" s="382">
        <f ca="1">IF(H277=ROWS(J$266:J277),RANK(I277,$I$266:$I$300),"")</f>
        <v>6</v>
      </c>
      <c r="K277" s="1338" t="s">
        <v>7605</v>
      </c>
      <c r="L277" s="1461" t="str">
        <f t="shared" ca="1" si="87"/>
        <v>Grease</v>
      </c>
      <c r="M277" s="382">
        <v>12</v>
      </c>
      <c r="N277" s="1459">
        <f ca="1">IF(M277=ROWS(N$266:N277),RAND(),"")</f>
        <v>6.5855619690947886E-2</v>
      </c>
      <c r="O277" s="382">
        <f ca="1">IF(M277=ROWS(O$266:O277),RANK(N277,$N$266:$N$300),"")</f>
        <v>31</v>
      </c>
      <c r="P277" s="1338" t="s">
        <v>7356</v>
      </c>
      <c r="Q277" s="1461" t="str">
        <f t="shared" ca="1" si="88"/>
        <v>Blindness/Deafness</v>
      </c>
      <c r="R277" s="1394">
        <v>12</v>
      </c>
      <c r="S277" s="1459">
        <f ca="1">IF(R277=ROWS(S$266:S277),RAND(),"")</f>
        <v>0.68994543891175764</v>
      </c>
      <c r="T277" s="382">
        <f ca="1">IF(R277=ROWS(T$266:T277),RANK(S277,$S$266:$S$300),"")</f>
        <v>11</v>
      </c>
      <c r="U277" s="1338" t="s">
        <v>7232</v>
      </c>
      <c r="V277" s="1461" t="str">
        <f t="shared" ca="1" si="89"/>
        <v>Vampiric Touch</v>
      </c>
      <c r="W277" s="1394">
        <v>12</v>
      </c>
      <c r="X277" s="1459">
        <f ca="1">IF(W277=ROWS(X$266:X277),RAND(),"")</f>
        <v>0.3438276537388224</v>
      </c>
      <c r="Y277" s="382">
        <f ca="1">IF(W277=ROWS(Y$266:Y277),RANK(X277,$X$266:$X$300),"")</f>
        <v>17</v>
      </c>
      <c r="Z277" s="1338" t="s">
        <v>7233</v>
      </c>
      <c r="AA277" s="1461" t="str">
        <f t="shared" ca="1" si="90"/>
        <v>Otiluke resilient Sphere</v>
      </c>
      <c r="AB277" s="1394">
        <v>12</v>
      </c>
      <c r="AC277" s="1459">
        <f ca="1">IF(AB277=ROWS(AC$266:AC277),RAND(),"")</f>
        <v>0.14544502769221546</v>
      </c>
      <c r="AD277" s="382">
        <f ca="1">IF(AB277=ROWS(AD$266:AD277),RANK(AC277,$AC$266:$AC$300),"")</f>
        <v>21</v>
      </c>
      <c r="AE277" s="1338" t="s">
        <v>7250</v>
      </c>
      <c r="AF277" s="1461" t="str">
        <f t="shared" ca="1" si="91"/>
        <v>Dominate Person</v>
      </c>
      <c r="AG277" s="1394">
        <v>12</v>
      </c>
      <c r="AH277" s="1459">
        <f ca="1">IF(AG277=ROWS(AH$266:AH277),RAND(),"")</f>
        <v>0.60719230957086312</v>
      </c>
      <c r="AI277" s="382">
        <f ca="1">IF(AG277=ROWS(AI$266:AI277),RANK(AH277,$AH$266:$AH$300),"")</f>
        <v>6</v>
      </c>
      <c r="AJ277" s="1338" t="s">
        <v>7701</v>
      </c>
      <c r="AK277" s="1461" t="str">
        <f t="shared" ca="1" si="92"/>
        <v>Move Earth</v>
      </c>
      <c r="AL277" s="1394">
        <v>12</v>
      </c>
      <c r="AM277" s="1459">
        <f ca="1">IF(AL277=ROWS(AM$266:AM277),RAND(),"")</f>
        <v>0.6848881936020319</v>
      </c>
      <c r="AN277" s="382">
        <f ca="1">IF(AL277=ROWS(AN$266:AN277),RANK(AM277,$AM$266:$AM$300),"")</f>
        <v>6</v>
      </c>
      <c r="AO277" s="1338" t="s">
        <v>7702</v>
      </c>
      <c r="AP277" s="1461" t="str">
        <f t="shared" ca="1" si="93"/>
        <v>Symbol</v>
      </c>
      <c r="AQ277" s="1394">
        <v>12</v>
      </c>
      <c r="AR277" s="1459">
        <f ca="1">IF(AQ277=ROWS(AR$266:AR277),RAND(),"")</f>
        <v>0.25573545467960823</v>
      </c>
      <c r="AS277" s="382">
        <f ca="1">IF(AQ277=ROWS(AS$266:AS277),RANK(AR277,$AR$266:$AR$300),"")</f>
        <v>11</v>
      </c>
      <c r="AT277" s="1338" t="s">
        <v>7477</v>
      </c>
      <c r="AU277" s="1461" t="str">
        <f t="shared" ca="1" si="94"/>
        <v>Antimagic Field</v>
      </c>
      <c r="AV277" s="1394">
        <v>12</v>
      </c>
      <c r="AW277" s="1459">
        <f ca="1">IF(AV277=ROWS(AW$266:AW277),RAND(),"")</f>
        <v>5.912636708614416E-3</v>
      </c>
      <c r="AX277" s="382">
        <f ca="1">IF(AV277=ROWS(AX$266:AX277),RANK(AW277,$AW$266:$AW$300),"")</f>
        <v>12</v>
      </c>
      <c r="AY277" s="1338" t="s">
        <v>7641</v>
      </c>
      <c r="AZ277" s="1461" t="str">
        <f t="shared" ca="1" si="95"/>
        <v>Wish</v>
      </c>
      <c r="BA277" s="1573" t="s">
        <v>7671</v>
      </c>
      <c r="BB277" s="1535">
        <v>1</v>
      </c>
      <c r="BC277" s="1536">
        <f t="shared" ref="BC277:BC306" ca="1" si="98">RAND()</f>
        <v>0.2036427588700267</v>
      </c>
      <c r="BD277" s="1537">
        <f ca="1">RANK(BC277,$BC$277:$BC$306)</f>
        <v>26</v>
      </c>
      <c r="BE277" s="271" t="e">
        <f ca="1">IF(BG277&lt;=3,"Agonizing Blast","")</f>
        <v>#N/A</v>
      </c>
      <c r="BF277" s="1539" t="str">
        <f ca="1">VLOOKUP(BB277,$BD$277:$BE$306,2,FALSE)</f>
        <v>Thief of Five Fates</v>
      </c>
      <c r="BG277" s="271" t="e">
        <f ca="1">MATCH(BA277,G246:G248,0)</f>
        <v>#N/A</v>
      </c>
      <c r="BK277" s="272"/>
      <c r="BL277" s="272"/>
      <c r="BM277" s="272"/>
      <c r="BN277" s="3306"/>
      <c r="BO277" s="1547">
        <v>5</v>
      </c>
      <c r="BP277" s="1301">
        <f t="shared" ca="1" si="82"/>
        <v>0.42936747797553498</v>
      </c>
      <c r="BQ277" s="1547">
        <f t="shared" ca="1" si="96"/>
        <v>7</v>
      </c>
      <c r="BR277" s="1564" t="s">
        <v>7459</v>
      </c>
      <c r="BS277" s="1548" t="str">
        <f t="shared" ca="1" si="97"/>
        <v/>
      </c>
      <c r="BT277" s="272"/>
      <c r="BU277" s="272"/>
      <c r="BV277" s="272"/>
    </row>
    <row r="278" spans="2:74" ht="12" customHeight="1">
      <c r="B278" s="1336">
        <v>13</v>
      </c>
      <c r="C278" s="382">
        <v>13</v>
      </c>
      <c r="D278" s="1459">
        <f ca="1">IF(C278=ROWS(D$266:D278),RAND(),"")</f>
        <v>0.20487410374504911</v>
      </c>
      <c r="E278" s="382">
        <f ca="1">IF(C278=ROWS(E$266:E278),RANK(D278,$D$266:$D$300),"")</f>
        <v>14</v>
      </c>
      <c r="F278" s="1338" t="s">
        <v>7604</v>
      </c>
      <c r="G278" s="1461" t="str">
        <f t="shared" ca="1" si="86"/>
        <v>Poison Spray</v>
      </c>
      <c r="H278" s="382">
        <v>13</v>
      </c>
      <c r="I278" s="1459">
        <f ca="1">IF(H278=ROWS(I$266:I278),RAND(),"")</f>
        <v>0.34306260114949572</v>
      </c>
      <c r="J278" s="382">
        <f ca="1">IF(H278=ROWS(J$266:J278),RANK(I278,$I$266:$I$300),"")</f>
        <v>19</v>
      </c>
      <c r="K278" s="1338" t="s">
        <v>7341</v>
      </c>
      <c r="L278" s="1461" t="str">
        <f t="shared" ca="1" si="87"/>
        <v>Identify</v>
      </c>
      <c r="M278" s="382">
        <v>13</v>
      </c>
      <c r="N278" s="1459">
        <f ca="1">IF(M278=ROWS(N$266:N278),RAND(),"")</f>
        <v>0.83941155939266121</v>
      </c>
      <c r="O278" s="382">
        <f ca="1">IF(M278=ROWS(O$266:O278),RANK(N278,$N$266:$N$300),"")</f>
        <v>3</v>
      </c>
      <c r="P278" s="1338" t="s">
        <v>7399</v>
      </c>
      <c r="Q278" s="1461" t="str">
        <f t="shared" ca="1" si="88"/>
        <v>Darkness</v>
      </c>
      <c r="R278" s="1394">
        <v>13</v>
      </c>
      <c r="S278" s="1459">
        <f ca="1">IF(R278=ROWS(S$266:S278),RAND(),"")</f>
        <v>9.6184618564336688E-3</v>
      </c>
      <c r="T278" s="382">
        <f ca="1">IF(R278=ROWS(T$266:T278),RANK(S278,$S$266:$S$300),"")</f>
        <v>29</v>
      </c>
      <c r="U278" s="1338" t="s">
        <v>7467</v>
      </c>
      <c r="V278" s="1461" t="str">
        <f t="shared" ca="1" si="89"/>
        <v>Clairvoyance</v>
      </c>
      <c r="W278" s="1394">
        <v>13</v>
      </c>
      <c r="X278" s="1459">
        <f ca="1">IF(W278=ROWS(X$266:X278),RAND(),"")</f>
        <v>0.14086388838355901</v>
      </c>
      <c r="Y278" s="382">
        <f ca="1">IF(W278=ROWS(Y$266:Y278),RANK(X278,$X$266:$X$300),"")</f>
        <v>21</v>
      </c>
      <c r="Z278" s="1338" t="s">
        <v>7405</v>
      </c>
      <c r="AA278" s="1461" t="str">
        <f t="shared" ca="1" si="90"/>
        <v>Evard's Black Tentacles</v>
      </c>
      <c r="AB278" s="1394">
        <v>13</v>
      </c>
      <c r="AC278" s="1459">
        <f ca="1">IF(AB278=ROWS(AC$266:AC278),RAND(),"")</f>
        <v>0.24195600099239223</v>
      </c>
      <c r="AD278" s="382">
        <f ca="1">IF(AB278=ROWS(AD$266:AD278),RANK(AC278,$AC$266:$AC$300),"")</f>
        <v>19</v>
      </c>
      <c r="AE278" s="1338" t="s">
        <v>7262</v>
      </c>
      <c r="AF278" s="1461" t="str">
        <f t="shared" ca="1" si="91"/>
        <v>Scrying</v>
      </c>
      <c r="AG278" s="1394">
        <v>13</v>
      </c>
      <c r="AH278" s="1459">
        <f ca="1">IF(AG278=ROWS(AH$266:AH278),RAND(),"")</f>
        <v>0.12710075555836631</v>
      </c>
      <c r="AI278" s="382">
        <f ca="1">IF(AG278=ROWS(AI$266:AI278),RANK(AH278,$AH$266:$AH$300),"")</f>
        <v>18</v>
      </c>
      <c r="AJ278" s="1338" t="s">
        <v>7216</v>
      </c>
      <c r="AK278" s="1461" t="str">
        <f t="shared" ca="1" si="92"/>
        <v>Guards and Wards</v>
      </c>
      <c r="AL278" s="1394">
        <v>13</v>
      </c>
      <c r="AM278" s="1459">
        <f ca="1">IF(AL278=ROWS(AM$266:AM278),RAND(),"")</f>
        <v>0.18308537394821123</v>
      </c>
      <c r="AN278" s="382">
        <f ca="1">IF(AL278=ROWS(AN$266:AN278),RANK(AM278,$AM$266:$AM$300),"")</f>
        <v>13</v>
      </c>
      <c r="AO278" s="1338" t="s">
        <v>7703</v>
      </c>
      <c r="AP278" s="1461" t="str">
        <f t="shared" ca="1" si="93"/>
        <v>Simulacrum</v>
      </c>
      <c r="AQ278" s="1394">
        <v>13</v>
      </c>
      <c r="AR278" s="1459">
        <f ca="1">IF(AQ278=ROWS(AR$266:AR278),RAND(),"")</f>
        <v>0.62476712148841795</v>
      </c>
      <c r="AS278" s="382">
        <f ca="1">IF(AQ278=ROWS(AS$266:AS278),RANK(AR278,$AR$266:$AR$300),"")</f>
        <v>6</v>
      </c>
      <c r="AT278" s="1338" t="s">
        <v>7704</v>
      </c>
      <c r="AU278" s="1461" t="str">
        <f t="shared" ca="1" si="94"/>
        <v>Trap the Soul</v>
      </c>
      <c r="AV278" s="1394"/>
      <c r="AW278" s="1459" t="str">
        <f ca="1">IF(AV278=ROWS(AW$266:AW278),RAND(),"")</f>
        <v/>
      </c>
      <c r="AX278" s="382" t="str">
        <f>IF(AV278=ROWS(AX$266:AX278),RANK(AW278,$AW$266:$AW$300),"")</f>
        <v/>
      </c>
      <c r="AY278" s="368"/>
      <c r="AZ278" s="1461"/>
      <c r="BA278" s="273"/>
      <c r="BB278" s="1535">
        <v>2</v>
      </c>
      <c r="BC278" s="1536">
        <f t="shared" ca="1" si="98"/>
        <v>0.24843756842569142</v>
      </c>
      <c r="BD278" s="1537">
        <f t="shared" ref="BD278:BD306" ca="1" si="99">RANK(BC278,$BC$277:$BC$306)</f>
        <v>22</v>
      </c>
      <c r="BE278" s="667" t="s">
        <v>6910</v>
      </c>
      <c r="BF278" s="1539" t="str">
        <f t="shared" ref="BF278:BF306" ca="1" si="100">VLOOKUP(BB278,$BD$277:$BE$306,2,FALSE)</f>
        <v>Mask of Many Faces</v>
      </c>
      <c r="BK278" s="272"/>
      <c r="BL278" s="272"/>
      <c r="BM278" s="272"/>
      <c r="BN278" s="3306"/>
      <c r="BO278" s="1547">
        <v>6</v>
      </c>
      <c r="BP278" s="1301">
        <f t="shared" ca="1" si="82"/>
        <v>1.441319896103932E-2</v>
      </c>
      <c r="BQ278" s="1547">
        <f t="shared" ca="1" si="96"/>
        <v>14</v>
      </c>
      <c r="BR278" s="1564" t="s">
        <v>7674</v>
      </c>
      <c r="BS278" s="1548" t="str">
        <f t="shared" ca="1" si="97"/>
        <v>Fly</v>
      </c>
      <c r="BT278" s="272"/>
      <c r="BU278" s="272"/>
      <c r="BV278" s="272"/>
    </row>
    <row r="279" spans="2:74" ht="12" customHeight="1">
      <c r="B279" s="1336">
        <v>14</v>
      </c>
      <c r="C279" s="382">
        <v>14</v>
      </c>
      <c r="D279" s="1459">
        <f ca="1">IF(C279=ROWS(D$266:D279),RAND(),"")</f>
        <v>0.14888107751679658</v>
      </c>
      <c r="E279" s="382">
        <f ca="1">IF(C279=ROWS(E$266:E279),RANK(D279,$D$266:$D$300),"")</f>
        <v>15</v>
      </c>
      <c r="F279" s="1338" t="s">
        <v>7532</v>
      </c>
      <c r="G279" s="1461" t="str">
        <f t="shared" ca="1" si="86"/>
        <v>Prestidigitation</v>
      </c>
      <c r="H279" s="382">
        <v>14</v>
      </c>
      <c r="I279" s="1459">
        <f ca="1">IF(H279=ROWS(I$266:I279),RAND(),"")</f>
        <v>0.60913590729561673</v>
      </c>
      <c r="J279" s="382">
        <f ca="1">IF(H279=ROWS(J$266:J279),RANK(I279,$I$266:$I$300),"")</f>
        <v>12</v>
      </c>
      <c r="K279" s="1338" t="s">
        <v>7606</v>
      </c>
      <c r="L279" s="1461" t="str">
        <f t="shared" ca="1" si="87"/>
        <v>Longstrider</v>
      </c>
      <c r="M279" s="382">
        <v>14</v>
      </c>
      <c r="N279" s="1459">
        <f ca="1">IF(M279=ROWS(N$266:N279),RAND(),"")</f>
        <v>0.28330460919613631</v>
      </c>
      <c r="O279" s="382">
        <f ca="1">IF(M279=ROWS(O$266:O279),RANK(N279,$N$266:$N$300),"")</f>
        <v>22</v>
      </c>
      <c r="P279" s="1338" t="s">
        <v>7358</v>
      </c>
      <c r="Q279" s="1461" t="str">
        <f t="shared" ca="1" si="88"/>
        <v>Suggestion</v>
      </c>
      <c r="R279" s="1394">
        <v>14</v>
      </c>
      <c r="S279" s="1459">
        <f ca="1">IF(R279=ROWS(S$266:S279),RAND(),"")</f>
        <v>0.10700486522650421</v>
      </c>
      <c r="T279" s="382">
        <f ca="1">IF(R279=ROWS(T$266:T279),RANK(S279,$S$266:$S$300),"")</f>
        <v>28</v>
      </c>
      <c r="U279" s="1338" t="s">
        <v>7240</v>
      </c>
      <c r="V279" s="1461" t="str">
        <f t="shared" ca="1" si="89"/>
        <v>Counterspell</v>
      </c>
      <c r="W279" s="1394">
        <v>14</v>
      </c>
      <c r="X279" s="1459">
        <f ca="1">IF(W279=ROWS(X$266:X279),RAND(),"")</f>
        <v>0.27768304296710067</v>
      </c>
      <c r="Y279" s="382">
        <f ca="1">IF(W279=ROWS(Y$266:Y279),RANK(X279,$X$266:$X$300),"")</f>
        <v>18</v>
      </c>
      <c r="Z279" s="1338" t="s">
        <v>7607</v>
      </c>
      <c r="AA279" s="1461" t="str">
        <f t="shared" ca="1" si="90"/>
        <v>Mordekainen's Private Sanctum</v>
      </c>
      <c r="AB279" s="1394">
        <v>14</v>
      </c>
      <c r="AC279" s="1459">
        <f ca="1">IF(AB279=ROWS(AC$266:AC279),RAND(),"")</f>
        <v>0.60620131058258919</v>
      </c>
      <c r="AD279" s="382">
        <f ca="1">IF(AB279=ROWS(AD$266:AD279),RANK(AC279,$AC$266:$AC$300),"")</f>
        <v>8</v>
      </c>
      <c r="AE279" s="1338" t="s">
        <v>7266</v>
      </c>
      <c r="AF279" s="1461" t="str">
        <f t="shared" ca="1" si="91"/>
        <v>Wall of Force</v>
      </c>
      <c r="AG279" s="1394">
        <v>14</v>
      </c>
      <c r="AH279" s="1459">
        <f ca="1">IF(AG279=ROWS(AH$266:AH279),RAND(),"")</f>
        <v>0.27459463781411964</v>
      </c>
      <c r="AI279" s="382">
        <f ca="1">IF(AG279=ROWS(AI$266:AI279),RANK(AH279,$AH$266:$AH$300),"")</f>
        <v>12</v>
      </c>
      <c r="AJ279" s="1338" t="s">
        <v>7497</v>
      </c>
      <c r="AK279" s="1461" t="str">
        <f t="shared" ca="1" si="92"/>
        <v>Flesh to Stone</v>
      </c>
      <c r="AL279" s="1394">
        <v>14</v>
      </c>
      <c r="AM279" s="1459">
        <f ca="1">IF(AL279=ROWS(AM$266:AM279),RAND(),"")</f>
        <v>0.31405397410471703</v>
      </c>
      <c r="AN279" s="382">
        <f ca="1">IF(AL279=ROWS(AN$266:AN279),RANK(AM279,$AM$266:$AM$300),"")</f>
        <v>12</v>
      </c>
      <c r="AO279" s="1338" t="s">
        <v>7257</v>
      </c>
      <c r="AP279" s="1461" t="str">
        <f t="shared" ca="1" si="93"/>
        <v>Plane Shift</v>
      </c>
      <c r="AQ279" s="1394">
        <v>14</v>
      </c>
      <c r="AR279" s="1459">
        <f ca="1">IF(AQ279=ROWS(AR$266:AR279),RAND(),"")</f>
        <v>4.4674593556119579E-2</v>
      </c>
      <c r="AS279" s="382">
        <f ca="1">IF(AQ279=ROWS(AS$266:AS279),RANK(AR279,$AR$266:$AR$300),"")</f>
        <v>13</v>
      </c>
      <c r="AT279" s="1338" t="s">
        <v>7705</v>
      </c>
      <c r="AU279" s="1461" t="str">
        <f t="shared" ca="1" si="94"/>
        <v>Demiplane</v>
      </c>
      <c r="AV279" s="1394"/>
      <c r="AW279" s="1459" t="str">
        <f ca="1">IF(AV279=ROWS(AW$266:AW279),RAND(),"")</f>
        <v/>
      </c>
      <c r="AX279" s="382" t="str">
        <f>IF(AV279=ROWS(AX$266:AX279),RANK(AW279,$AW$266:$AW$300),"")</f>
        <v/>
      </c>
      <c r="AY279" s="368"/>
      <c r="AZ279" s="1461"/>
      <c r="BA279" s="273"/>
      <c r="BB279" s="1535">
        <v>3</v>
      </c>
      <c r="BC279" s="1536">
        <f t="shared" ca="1" si="98"/>
        <v>0.28866960504874195</v>
      </c>
      <c r="BD279" s="1537">
        <f t="shared" ca="1" si="99"/>
        <v>21</v>
      </c>
      <c r="BE279" s="667" t="s">
        <v>6911</v>
      </c>
      <c r="BF279" s="1539" t="str">
        <f t="shared" ca="1" si="100"/>
        <v>Master of Many Faces</v>
      </c>
      <c r="BK279" s="272"/>
      <c r="BL279" s="272"/>
      <c r="BM279" s="272"/>
      <c r="BN279" s="3306"/>
      <c r="BO279" s="1547">
        <v>7</v>
      </c>
      <c r="BP279" s="1301">
        <f t="shared" ca="1" si="82"/>
        <v>0.37194559107016933</v>
      </c>
      <c r="BQ279" s="1547">
        <f t="shared" ca="1" si="96"/>
        <v>8</v>
      </c>
      <c r="BR279" s="1564" t="s">
        <v>7240</v>
      </c>
      <c r="BS279" s="1548" t="str">
        <f t="shared" ca="1" si="97"/>
        <v>Gaseous Form</v>
      </c>
      <c r="BT279" s="272"/>
      <c r="BU279" s="272"/>
      <c r="BV279" s="272"/>
    </row>
    <row r="280" spans="2:74" ht="12" customHeight="1">
      <c r="B280" s="1336">
        <v>15</v>
      </c>
      <c r="C280" s="382">
        <v>15</v>
      </c>
      <c r="D280" s="1459">
        <f ca="1">IF(C280=ROWS(D$266:D280),RAND(),"")</f>
        <v>0.96254060449496215</v>
      </c>
      <c r="E280" s="382">
        <f ca="1">IF(C280=ROWS(E$266:E280),RANK(D280,$D$266:$D$300),"")</f>
        <v>3</v>
      </c>
      <c r="F280" s="1338" t="s">
        <v>7534</v>
      </c>
      <c r="G280" s="1461" t="str">
        <f t="shared" ca="1" si="86"/>
        <v>Ray of Frost</v>
      </c>
      <c r="H280" s="382">
        <v>15</v>
      </c>
      <c r="I280" s="1459">
        <f ca="1">IF(H280=ROWS(I$266:I280),RAND(),"")</f>
        <v>0.59125557535175632</v>
      </c>
      <c r="J280" s="382">
        <f ca="1">IF(H280=ROWS(J$266:J280),RANK(I280,$I$266:$I$300),"")</f>
        <v>13</v>
      </c>
      <c r="K280" s="1338" t="s">
        <v>7276</v>
      </c>
      <c r="L280" s="1461" t="str">
        <f t="shared" ca="1" si="87"/>
        <v>Color Spray</v>
      </c>
      <c r="M280" s="382">
        <v>15</v>
      </c>
      <c r="N280" s="1459">
        <f ca="1">IF(M280=ROWS(N$266:N280),RAND(),"")</f>
        <v>0.49206907140623457</v>
      </c>
      <c r="O280" s="382">
        <f ca="1">IF(M280=ROWS(O$266:O280),RANK(N280,$N$266:$N$300),"")</f>
        <v>16</v>
      </c>
      <c r="P280" s="1338" t="s">
        <v>7260</v>
      </c>
      <c r="Q280" s="1461" t="str">
        <f t="shared" ca="1" si="88"/>
        <v>Blur</v>
      </c>
      <c r="R280" s="1394">
        <v>15</v>
      </c>
      <c r="S280" s="1459">
        <f ca="1">IF(R280=ROWS(S$266:S280),RAND(),"")</f>
        <v>0.85026476346540136</v>
      </c>
      <c r="T280" s="382">
        <f ca="1">IF(R280=ROWS(T$266:T280),RANK(S280,$S$266:$S$300),"")</f>
        <v>6</v>
      </c>
      <c r="U280" s="1338" t="s">
        <v>7248</v>
      </c>
      <c r="V280" s="1461" t="str">
        <f t="shared" ca="1" si="89"/>
        <v>Sending</v>
      </c>
      <c r="W280" s="1394">
        <v>15</v>
      </c>
      <c r="X280" s="1459">
        <f ca="1">IF(W280=ROWS(X$266:X280),RAND(),"")</f>
        <v>0.84232012075750839</v>
      </c>
      <c r="Y280" s="382">
        <f ca="1">IF(W280=ROWS(Y$266:Y280),RANK(X280,$X$266:$X$300),"")</f>
        <v>4</v>
      </c>
      <c r="Z280" s="1338" t="s">
        <v>7241</v>
      </c>
      <c r="AA280" s="1461" t="str">
        <f t="shared" ca="1" si="90"/>
        <v>Blight</v>
      </c>
      <c r="AB280" s="1394">
        <v>15</v>
      </c>
      <c r="AC280" s="1459">
        <f ca="1">IF(AB280=ROWS(AC$266:AC280),RAND(),"")</f>
        <v>0.78844674937924997</v>
      </c>
      <c r="AD280" s="382">
        <f ca="1">IF(AB280=ROWS(AD$266:AD280),RANK(AC280,$AC$266:$AC$300),"")</f>
        <v>6</v>
      </c>
      <c r="AE280" s="1338" t="s">
        <v>7483</v>
      </c>
      <c r="AF280" s="1461" t="str">
        <f t="shared" ca="1" si="91"/>
        <v>Teleportation Circle</v>
      </c>
      <c r="AG280" s="1394">
        <v>15</v>
      </c>
      <c r="AH280" s="1459">
        <f ca="1">IF(AG280=ROWS(AH$266:AH280),RAND(),"")</f>
        <v>0.15249809447690121</v>
      </c>
      <c r="AI280" s="382">
        <f ca="1">IF(AG280=ROWS(AI$266:AI280),RANK(AH280,$AH$266:$AH$300),"")</f>
        <v>17</v>
      </c>
      <c r="AJ280" s="1338" t="s">
        <v>7706</v>
      </c>
      <c r="AK280" s="1461" t="str">
        <f t="shared" ca="1" si="92"/>
        <v>Eyebite</v>
      </c>
      <c r="AL280" s="1394">
        <v>15</v>
      </c>
      <c r="AM280" s="1459">
        <f ca="1">IF(AL280=ROWS(AM$266:AM280),RAND(),"")</f>
        <v>0.33692892409388986</v>
      </c>
      <c r="AN280" s="382">
        <f ca="1">IF(AL280=ROWS(AN$266:AN280),RANK(AM280,$AM$266:$AM$300),"")</f>
        <v>10</v>
      </c>
      <c r="AO280" s="1338" t="s">
        <v>3267</v>
      </c>
      <c r="AP280" s="1461" t="str">
        <f t="shared" ca="1" si="93"/>
        <v>Mordekainen's Sword</v>
      </c>
      <c r="AQ280" s="1394"/>
      <c r="AR280" s="1459" t="str">
        <f ca="1">IF(AQ280=ROWS(AR$266:AR280),RAND(),"")</f>
        <v/>
      </c>
      <c r="AS280" s="382" t="str">
        <f>IF(AQ280=ROWS(AS$266:AS280),RANK(AR280,$AR$266:$AR$300),"")</f>
        <v/>
      </c>
      <c r="AT280" s="368"/>
      <c r="AU280" s="1461"/>
      <c r="AV280" s="1394"/>
      <c r="AW280" s="1459" t="str">
        <f ca="1">IF(AV280=ROWS(AW$266:AW280),RAND(),"")</f>
        <v/>
      </c>
      <c r="AX280" s="382" t="str">
        <f>IF(AV280=ROWS(AX$266:AX280),RANK(AW280,$AW$266:$AW$300),"")</f>
        <v/>
      </c>
      <c r="AY280" s="368"/>
      <c r="AZ280" s="1461"/>
      <c r="BA280" s="273"/>
      <c r="BB280" s="1535">
        <v>4</v>
      </c>
      <c r="BC280" s="1536">
        <f t="shared" ca="1" si="98"/>
        <v>0.61150478735670655</v>
      </c>
      <c r="BD280" s="1537">
        <f t="shared" ca="1" si="99"/>
        <v>13</v>
      </c>
      <c r="BE280" s="667" t="s">
        <v>6912</v>
      </c>
      <c r="BF280" s="1539" t="str">
        <f t="shared" ca="1" si="100"/>
        <v>Sculptor of Flesh</v>
      </c>
      <c r="BK280" s="272"/>
      <c r="BL280" s="272"/>
      <c r="BM280" s="272"/>
      <c r="BN280" s="3306"/>
      <c r="BO280" s="1547">
        <v>8</v>
      </c>
      <c r="BP280" s="1301">
        <f t="shared" ca="1" si="82"/>
        <v>0.28594956228644786</v>
      </c>
      <c r="BQ280" s="1547">
        <f t="shared" ca="1" si="96"/>
        <v>10</v>
      </c>
      <c r="BR280" s="1564" t="s">
        <v>7409</v>
      </c>
      <c r="BS280" s="1548" t="str">
        <f t="shared" ca="1" si="97"/>
        <v>Hypnotic Pattern</v>
      </c>
      <c r="BT280" s="272"/>
      <c r="BU280" s="272"/>
      <c r="BV280" s="272"/>
    </row>
    <row r="281" spans="2:74" ht="12" customHeight="1">
      <c r="B281" s="1336">
        <v>16</v>
      </c>
      <c r="C281" s="382">
        <v>16</v>
      </c>
      <c r="D281" s="1459">
        <f ca="1">IF(C281=ROWS(D$266:D281),RAND(),"")</f>
        <v>0.70725714146154417</v>
      </c>
      <c r="E281" s="382">
        <f ca="1">IF(C281=ROWS(E$266:E281),RANK(D281,$D$266:$D$300),"")</f>
        <v>7</v>
      </c>
      <c r="F281" s="1338" t="s">
        <v>7263</v>
      </c>
      <c r="G281" s="1461" t="str">
        <f t="shared" ca="1" si="86"/>
        <v>Acid Splash</v>
      </c>
      <c r="H281" s="382">
        <v>16</v>
      </c>
      <c r="I281" s="1459">
        <f ca="1">IF(H281=ROWS(I$266:I281),RAND(),"")</f>
        <v>0.66902617104838513</v>
      </c>
      <c r="J281" s="382">
        <f ca="1">IF(H281=ROWS(J$266:J281),RANK(I281,$I$266:$I$300),"")</f>
        <v>9</v>
      </c>
      <c r="K281" s="1338" t="s">
        <v>7280</v>
      </c>
      <c r="L281" s="1461" t="str">
        <f t="shared" ca="1" si="87"/>
        <v>Jump</v>
      </c>
      <c r="M281" s="382">
        <v>16</v>
      </c>
      <c r="N281" s="1459">
        <f ca="1">IF(M281=ROWS(N$266:N281),RAND(),"")</f>
        <v>0.38330187306068497</v>
      </c>
      <c r="O281" s="382">
        <f ca="1">IF(M281=ROWS(O$266:O281),RANK(N281,$N$266:$N$300),"")</f>
        <v>18</v>
      </c>
      <c r="P281" s="1338" t="s">
        <v>2703</v>
      </c>
      <c r="Q281" s="1461" t="str">
        <f t="shared" ca="1" si="88"/>
        <v>Hold Person</v>
      </c>
      <c r="R281" s="1394">
        <v>16</v>
      </c>
      <c r="S281" s="1459">
        <f ca="1">IF(R281=ROWS(S$266:S281),RAND(),"")</f>
        <v>0.58957672133417882</v>
      </c>
      <c r="T281" s="382">
        <f ca="1">IF(R281=ROWS(T$266:T281),RANK(S281,$S$266:$S$300),"")</f>
        <v>16</v>
      </c>
      <c r="U281" s="1338" t="s">
        <v>7457</v>
      </c>
      <c r="V281" s="1461" t="str">
        <f t="shared" ca="1" si="89"/>
        <v>Lightning Bolt</v>
      </c>
      <c r="W281" s="1394">
        <v>16</v>
      </c>
      <c r="X281" s="1459">
        <f ca="1">IF(W281=ROWS(X$266:X281),RAND(),"")</f>
        <v>0.64052805659125733</v>
      </c>
      <c r="Y281" s="382">
        <f ca="1">IF(W281=ROWS(Y$266:Y281),RANK(X281,$X$266:$X$300),"")</f>
        <v>9</v>
      </c>
      <c r="Z281" s="1338" t="s">
        <v>7608</v>
      </c>
      <c r="AA281" s="1461" t="str">
        <f t="shared" ca="1" si="90"/>
        <v>Stoneskin</v>
      </c>
      <c r="AB281" s="1394">
        <v>16</v>
      </c>
      <c r="AC281" s="1459">
        <f ca="1">IF(AB281=ROWS(AC$266:AC281),RAND(),"")</f>
        <v>0.83200300465781929</v>
      </c>
      <c r="AD281" s="382">
        <f ca="1">IF(AB281=ROWS(AD$266:AD281),RANK(AC281,$AC$266:$AC$300),"")</f>
        <v>5</v>
      </c>
      <c r="AE281" s="1338" t="s">
        <v>7271</v>
      </c>
      <c r="AF281" s="1461" t="str">
        <f t="shared" ca="1" si="91"/>
        <v>Cloudkill</v>
      </c>
      <c r="AG281" s="1394">
        <v>16</v>
      </c>
      <c r="AH281" s="1459">
        <f ca="1">IF(AG281=ROWS(AH$266:AH281),RAND(),"")</f>
        <v>0.93759689227643417</v>
      </c>
      <c r="AI281" s="382">
        <f ca="1">IF(AG281=ROWS(AI$266:AI281),RANK(AH281,$AH$266:$AH$300),"")</f>
        <v>2</v>
      </c>
      <c r="AJ281" s="1338" t="s">
        <v>7226</v>
      </c>
      <c r="AK281" s="1461" t="str">
        <f t="shared" ca="1" si="92"/>
        <v>True Seeing</v>
      </c>
      <c r="AL281" s="1394"/>
      <c r="AM281" s="1459" t="str">
        <f ca="1">IF(AL281=ROWS(AM$266:AM281),RAND(),"")</f>
        <v/>
      </c>
      <c r="AN281" s="382" t="str">
        <f>IF(AL281=ROWS(AN$266:AN281),RANK(AM281,$AM$266:$AM$300),"")</f>
        <v/>
      </c>
      <c r="AO281" s="368"/>
      <c r="AP281" s="1461"/>
      <c r="AQ281" s="1394"/>
      <c r="AR281" s="1459" t="str">
        <f ca="1">IF(AQ281=ROWS(AR$266:AR281),RAND(),"")</f>
        <v/>
      </c>
      <c r="AS281" s="382" t="str">
        <f>IF(AQ281=ROWS(AS$266:AS281),RANK(AR281,$AR$266:$AR$300),"")</f>
        <v/>
      </c>
      <c r="AT281" s="368"/>
      <c r="AU281" s="1461"/>
      <c r="AV281" s="1394"/>
      <c r="AW281" s="1459" t="str">
        <f ca="1">IF(AV281=ROWS(AW$266:AW281),RAND(),"")</f>
        <v/>
      </c>
      <c r="AX281" s="382" t="str">
        <f>IF(AV281=ROWS(AX$266:AX281),RANK(AW281,$AW$266:$AW$300),"")</f>
        <v/>
      </c>
      <c r="AY281" s="368"/>
      <c r="AZ281" s="1461"/>
      <c r="BA281" s="273"/>
      <c r="BB281" s="1535">
        <v>5</v>
      </c>
      <c r="BC281" s="1536">
        <f t="shared" ca="1" si="98"/>
        <v>0.80373993974560309</v>
      </c>
      <c r="BD281" s="1537">
        <f t="shared" ca="1" si="99"/>
        <v>10</v>
      </c>
      <c r="BE281" s="667" t="s">
        <v>6913</v>
      </c>
      <c r="BF281" s="1539" t="str">
        <f t="shared" ca="1" si="100"/>
        <v>One with Shadows</v>
      </c>
      <c r="BK281" s="272"/>
      <c r="BL281" s="272"/>
      <c r="BM281" s="272"/>
      <c r="BN281" s="3306"/>
      <c r="BO281" s="1547">
        <v>9</v>
      </c>
      <c r="BP281" s="1301">
        <f t="shared" ca="1" si="82"/>
        <v>0.95368764671589834</v>
      </c>
      <c r="BQ281" s="1547">
        <f t="shared" ca="1" si="96"/>
        <v>1</v>
      </c>
      <c r="BR281" s="1564" t="s">
        <v>7255</v>
      </c>
      <c r="BS281" s="1548" t="str">
        <f t="shared" ca="1" si="97"/>
        <v>Dispel Magic</v>
      </c>
      <c r="BT281" s="272"/>
      <c r="BU281" s="272"/>
      <c r="BV281" s="272"/>
    </row>
    <row r="282" spans="2:74" ht="12" customHeight="1">
      <c r="B282" s="1336">
        <v>17</v>
      </c>
      <c r="C282" s="382"/>
      <c r="D282" s="1459" t="str">
        <f ca="1">IF(C282=ROWS(D$266:D282),RAND(),"")</f>
        <v/>
      </c>
      <c r="E282" s="382" t="str">
        <f>IF(C282=ROWS(E$266:E282),RANK(D282,$D$266:$D$300),"")</f>
        <v/>
      </c>
      <c r="F282" s="382"/>
      <c r="G282" s="1461" t="str">
        <f t="shared" si="86"/>
        <v/>
      </c>
      <c r="H282" s="382">
        <v>17</v>
      </c>
      <c r="I282" s="1459">
        <f ca="1">IF(H282=ROWS(I$266:I282),RAND(),"")</f>
        <v>0.50596563564051888</v>
      </c>
      <c r="J282" s="382">
        <f ca="1">IF(H282=ROWS(J$266:J282),RANK(I282,$I$266:$I$300),"")</f>
        <v>16</v>
      </c>
      <c r="K282" s="1338" t="s">
        <v>7514</v>
      </c>
      <c r="L282" s="1461" t="str">
        <f t="shared" ca="1" si="87"/>
        <v>Charm Person</v>
      </c>
      <c r="M282" s="382">
        <v>17</v>
      </c>
      <c r="N282" s="1459">
        <f ca="1">IF(M282=ROWS(N$266:N282),RAND(),"")</f>
        <v>0.78028397656840887</v>
      </c>
      <c r="O282" s="382">
        <f ca="1">IF(M282=ROWS(O$266:O282),RANK(N282,$N$266:$N$300),"")</f>
        <v>5</v>
      </c>
      <c r="P282" s="1338" t="s">
        <v>7269</v>
      </c>
      <c r="Q282" s="1461" t="str">
        <f t="shared" ca="1" si="88"/>
        <v>Alter Self</v>
      </c>
      <c r="R282" s="1394">
        <v>17</v>
      </c>
      <c r="S282" s="1459">
        <f ca="1">IF(R282=ROWS(S$266:S282),RAND(),"")</f>
        <v>0.25693264016254869</v>
      </c>
      <c r="T282" s="382">
        <f ca="1">IF(R282=ROWS(T$266:T282),RANK(S282,$S$266:$S$300),"")</f>
        <v>25</v>
      </c>
      <c r="U282" s="1338" t="s">
        <v>7409</v>
      </c>
      <c r="V282" s="1461" t="str">
        <f t="shared" ca="1" si="89"/>
        <v>Slow</v>
      </c>
      <c r="W282" s="1394">
        <v>17</v>
      </c>
      <c r="X282" s="1459">
        <f ca="1">IF(W282=ROWS(X$266:X282),RAND(),"")</f>
        <v>0.42284196825609333</v>
      </c>
      <c r="Y282" s="382">
        <f ca="1">IF(W282=ROWS(Y$266:Y282),RANK(X282,$X$266:$X$300),"")</f>
        <v>14</v>
      </c>
      <c r="Z282" s="1338" t="s">
        <v>7609</v>
      </c>
      <c r="AA282" s="1461" t="str">
        <f t="shared" ca="1" si="90"/>
        <v>Hallucinatory Terrain</v>
      </c>
      <c r="AB282" s="1394">
        <v>17</v>
      </c>
      <c r="AC282" s="1459">
        <f ca="1">IF(AB282=ROWS(AC$266:AC282),RAND(),"")</f>
        <v>0.91050483864352372</v>
      </c>
      <c r="AD282" s="382">
        <f ca="1">IF(AB282=ROWS(AD$266:AD282),RANK(AC282,$AC$266:$AC$300),"")</f>
        <v>1</v>
      </c>
      <c r="AE282" s="1338" t="s">
        <v>7707</v>
      </c>
      <c r="AF282" s="1461" t="str">
        <f t="shared" ca="1" si="91"/>
        <v>Animate Object</v>
      </c>
      <c r="AG282" s="1394">
        <v>17</v>
      </c>
      <c r="AH282" s="1459">
        <f ca="1">IF(AG282=ROWS(AH$266:AH282),RAND(),"")</f>
        <v>0.60405435003239616</v>
      </c>
      <c r="AI282" s="382">
        <f ca="1">IF(AG282=ROWS(AI$266:AI282),RANK(AH282,$AH$266:$AH$300),"")</f>
        <v>7</v>
      </c>
      <c r="AJ282" s="1338" t="s">
        <v>7235</v>
      </c>
      <c r="AK282" s="1461" t="str">
        <f t="shared" ca="1" si="92"/>
        <v>Otiluke Freezing Sphere</v>
      </c>
      <c r="AL282" s="1394"/>
      <c r="AM282" s="1459" t="str">
        <f ca="1">IF(AL282=ROWS(AM$266:AM282),RAND(),"")</f>
        <v/>
      </c>
      <c r="AN282" s="382" t="str">
        <f>IF(AL282=ROWS(AN$266:AN282),RANK(AM282,$AM$266:$AM$300),"")</f>
        <v/>
      </c>
      <c r="AO282" s="368"/>
      <c r="AP282" s="1461"/>
      <c r="AQ282" s="1394"/>
      <c r="AR282" s="1459" t="str">
        <f ca="1">IF(AQ282=ROWS(AR$266:AR282),RAND(),"")</f>
        <v/>
      </c>
      <c r="AS282" s="382" t="str">
        <f>IF(AQ282=ROWS(AS$266:AS282),RANK(AR282,$AR$266:$AR$300),"")</f>
        <v/>
      </c>
      <c r="AT282" s="368"/>
      <c r="AU282" s="1461"/>
      <c r="AV282" s="1394"/>
      <c r="AW282" s="1459" t="str">
        <f ca="1">IF(AV282=ROWS(AW$266:AW282),RAND(),"")</f>
        <v/>
      </c>
      <c r="AX282" s="382" t="str">
        <f>IF(AV282=ROWS(AX$266:AX282),RANK(AW282,$AW$266:$AW$300),"")</f>
        <v/>
      </c>
      <c r="AY282" s="368"/>
      <c r="AZ282" s="1461"/>
      <c r="BA282" s="273"/>
      <c r="BB282" s="1535">
        <v>6</v>
      </c>
      <c r="BC282" s="1536">
        <f t="shared" ca="1" si="98"/>
        <v>0.72848341463953015</v>
      </c>
      <c r="BD282" s="1537">
        <f t="shared" ca="1" si="99"/>
        <v>12</v>
      </c>
      <c r="BE282" s="667" t="s">
        <v>6914</v>
      </c>
      <c r="BF282" s="1539" t="str">
        <f t="shared" ca="1" si="100"/>
        <v>Armor of Shadows</v>
      </c>
      <c r="BK282" s="272"/>
      <c r="BL282" s="272"/>
      <c r="BM282" s="272"/>
      <c r="BN282" s="3306"/>
      <c r="BO282" s="1547">
        <v>10</v>
      </c>
      <c r="BP282" s="1301">
        <f t="shared" ca="1" si="82"/>
        <v>0.80308401370555027</v>
      </c>
      <c r="BQ282" s="1547">
        <f t="shared" ca="1" si="96"/>
        <v>2</v>
      </c>
      <c r="BR282" s="1564" t="s">
        <v>7420</v>
      </c>
      <c r="BS282" s="1548" t="str">
        <f t="shared" ca="1" si="97"/>
        <v>Magic Circle</v>
      </c>
      <c r="BT282" s="272"/>
      <c r="BU282" s="272"/>
      <c r="BV282" s="272"/>
    </row>
    <row r="283" spans="2:74" ht="12" customHeight="1">
      <c r="B283" s="1336">
        <v>18</v>
      </c>
      <c r="C283" s="382"/>
      <c r="D283" s="1459" t="str">
        <f ca="1">IF(C283=ROWS(D$266:D283),RAND(),"")</f>
        <v/>
      </c>
      <c r="E283" s="382" t="str">
        <f>IF(C283=ROWS(E$266:E283),RANK(D283,$D$266:$D$300),"")</f>
        <v/>
      </c>
      <c r="F283" s="382"/>
      <c r="G283" s="1461" t="str">
        <f t="shared" si="86"/>
        <v/>
      </c>
      <c r="H283" s="382">
        <v>18</v>
      </c>
      <c r="I283" s="1459">
        <f ca="1">IF(H283=ROWS(I$266:I283),RAND(),"")</f>
        <v>0.56339218537081748</v>
      </c>
      <c r="J283" s="382">
        <f ca="1">IF(H283=ROWS(J$266:J283),RANK(I283,$I$266:$I$300),"")</f>
        <v>14</v>
      </c>
      <c r="K283" s="1338" t="s">
        <v>7284</v>
      </c>
      <c r="L283" s="1461" t="str">
        <f t="shared" ca="1" si="87"/>
        <v>Feather Fall</v>
      </c>
      <c r="M283" s="382">
        <v>18</v>
      </c>
      <c r="N283" s="1459">
        <f ca="1">IF(M283=ROWS(N$266:N283),RAND(),"")</f>
        <v>0.34103299275796961</v>
      </c>
      <c r="O283" s="382">
        <f ca="1">IF(M283=ROWS(O$266:O283),RANK(N283,$N$266:$N$300),"")</f>
        <v>20</v>
      </c>
      <c r="P283" s="1338" t="s">
        <v>7610</v>
      </c>
      <c r="Q283" s="1461" t="str">
        <f t="shared" ca="1" si="88"/>
        <v>Invisibility</v>
      </c>
      <c r="R283" s="1394">
        <v>18</v>
      </c>
      <c r="S283" s="1459">
        <f ca="1">IF(R283=ROWS(S$266:S283),RAND(),"")</f>
        <v>0.98179867378950536</v>
      </c>
      <c r="T283" s="382">
        <f ca="1">IF(R283=ROWS(T$266:T283),RANK(S283,$S$266:$S$300),"")</f>
        <v>2</v>
      </c>
      <c r="U283" s="1338" t="s">
        <v>7255</v>
      </c>
      <c r="V283" s="1461" t="str">
        <f t="shared" ca="1" si="89"/>
        <v>Fear</v>
      </c>
      <c r="W283" s="1394">
        <v>18</v>
      </c>
      <c r="X283" s="1459">
        <f ca="1">IF(W283=ROWS(X$266:X283),RAND(),"")</f>
        <v>0.45942794460477188</v>
      </c>
      <c r="Y283" s="382">
        <f ca="1">IF(W283=ROWS(Y$266:Y283),RANK(X283,$X$266:$X$300),"")</f>
        <v>12</v>
      </c>
      <c r="Z283" s="1338" t="s">
        <v>7611</v>
      </c>
      <c r="AA283" s="1461" t="str">
        <f t="shared" ca="1" si="90"/>
        <v>Leomund's Secret Chest</v>
      </c>
      <c r="AB283" s="1394">
        <v>18</v>
      </c>
      <c r="AC283" s="1459">
        <f ca="1">IF(AB283=ROWS(AC$266:AC283),RAND(),"")</f>
        <v>0.37342309958341202</v>
      </c>
      <c r="AD283" s="382">
        <f ca="1">IF(AB283=ROWS(AD$266:AD283),RANK(AC283,$AC$266:$AC$300),"")</f>
        <v>13</v>
      </c>
      <c r="AE283" s="1338" t="s">
        <v>7279</v>
      </c>
      <c r="AF283" s="1461" t="str">
        <f t="shared" ca="1" si="91"/>
        <v>Wall of Stone</v>
      </c>
      <c r="AG283" s="1394">
        <v>18</v>
      </c>
      <c r="AH283" s="1459">
        <f ca="1">IF(AG283=ROWS(AH$266:AH283),RAND(),"")</f>
        <v>1.5020482131196222E-2</v>
      </c>
      <c r="AI283" s="382">
        <f ca="1">IF(AG283=ROWS(AI$266:AI283),RANK(AH283,$AH$266:$AH$300),"")</f>
        <v>20</v>
      </c>
      <c r="AJ283" s="1338" t="s">
        <v>7500</v>
      </c>
      <c r="AK283" s="1461" t="str">
        <f t="shared" ca="1" si="92"/>
        <v>Mass Suggestion</v>
      </c>
      <c r="AL283" s="1394"/>
      <c r="AM283" s="1459" t="str">
        <f ca="1">IF(AL283=ROWS(AM$266:AM283),RAND(),"")</f>
        <v/>
      </c>
      <c r="AN283" s="382" t="str">
        <f>IF(AL283=ROWS(AN$266:AN283),RANK(AM283,$AM$266:$AM$300),"")</f>
        <v/>
      </c>
      <c r="AO283" s="368"/>
      <c r="AP283" s="1461"/>
      <c r="AQ283" s="1394"/>
      <c r="AR283" s="1459" t="str">
        <f ca="1">IF(AQ283=ROWS(AR$266:AR283),RAND(),"")</f>
        <v/>
      </c>
      <c r="AS283" s="382" t="str">
        <f>IF(AQ283=ROWS(AS$266:AS283),RANK(AR283,$AR$266:$AR$300),"")</f>
        <v/>
      </c>
      <c r="AT283" s="368"/>
      <c r="AU283" s="1461"/>
      <c r="AV283" s="1394"/>
      <c r="AW283" s="1459" t="str">
        <f ca="1">IF(AV283=ROWS(AW$266:AW283),RAND(),"")</f>
        <v/>
      </c>
      <c r="AX283" s="382" t="str">
        <f>IF(AV283=ROWS(AX$266:AX283),RANK(AW283,$AW$266:$AW$300),"")</f>
        <v/>
      </c>
      <c r="AY283" s="368"/>
      <c r="AZ283" s="1461"/>
      <c r="BA283" s="273"/>
      <c r="BB283" s="1535">
        <v>7</v>
      </c>
      <c r="BC283" s="1536">
        <f t="shared" ca="1" si="98"/>
        <v>0.84533033008450864</v>
      </c>
      <c r="BD283" s="1537">
        <f t="shared" ca="1" si="99"/>
        <v>8</v>
      </c>
      <c r="BE283" s="667" t="s">
        <v>6915</v>
      </c>
      <c r="BF283" s="1539" t="str">
        <f t="shared" ca="1" si="100"/>
        <v>Visions of Distant Realms</v>
      </c>
      <c r="BK283" s="272"/>
      <c r="BL283" s="272"/>
      <c r="BM283" s="272"/>
      <c r="BN283" s="3306"/>
      <c r="BO283" s="1547">
        <v>11</v>
      </c>
      <c r="BP283" s="1301">
        <f t="shared" ca="1" si="82"/>
        <v>0.61490907899451486</v>
      </c>
      <c r="BQ283" s="1547">
        <f t="shared" ca="1" si="96"/>
        <v>4</v>
      </c>
      <c r="BR283" s="1564" t="s">
        <v>7286</v>
      </c>
      <c r="BS283" s="1548" t="str">
        <f t="shared" ca="1" si="97"/>
        <v>Vampiric Touch</v>
      </c>
      <c r="BT283" s="272"/>
      <c r="BU283" s="272"/>
      <c r="BV283" s="272"/>
    </row>
    <row r="284" spans="2:74" ht="12" customHeight="1">
      <c r="B284" s="1336">
        <v>19</v>
      </c>
      <c r="C284" s="382"/>
      <c r="D284" s="1459" t="str">
        <f ca="1">IF(C284=ROWS(D$266:D284),RAND(),"")</f>
        <v/>
      </c>
      <c r="E284" s="382" t="str">
        <f>IF(C284=ROWS(E$266:E284),RANK(D284,$D$266:$D$300),"")</f>
        <v/>
      </c>
      <c r="F284" s="382"/>
      <c r="G284" s="1461" t="str">
        <f t="shared" si="86"/>
        <v/>
      </c>
      <c r="H284" s="382">
        <v>19</v>
      </c>
      <c r="I284" s="1459">
        <f ca="1">IF(H284=ROWS(I$266:I284),RAND(),"")</f>
        <v>8.6534751473490767E-2</v>
      </c>
      <c r="J284" s="382">
        <f ca="1">IF(H284=ROWS(J$266:J284),RANK(I284,$I$266:$I$300),"")</f>
        <v>25</v>
      </c>
      <c r="K284" s="1338" t="s">
        <v>7533</v>
      </c>
      <c r="L284" s="1461" t="str">
        <f t="shared" ca="1" si="87"/>
        <v>Fog Cloud</v>
      </c>
      <c r="M284" s="382">
        <v>19</v>
      </c>
      <c r="N284" s="1459">
        <f ca="1">IF(M284=ROWS(N$266:N284),RAND(),"")</f>
        <v>0.25931148416434624</v>
      </c>
      <c r="O284" s="382">
        <f ca="1">IF(M284=ROWS(O$266:O284),RANK(N284,$N$266:$N$300),"")</f>
        <v>24</v>
      </c>
      <c r="P284" s="1338" t="s">
        <v>7281</v>
      </c>
      <c r="Q284" s="1461" t="str">
        <f t="shared" ca="1" si="88"/>
        <v>Misty Step</v>
      </c>
      <c r="R284" s="1394">
        <v>19</v>
      </c>
      <c r="S284" s="1459">
        <f ca="1">IF(R284=ROWS(S$266:S284),RAND(),"")</f>
        <v>0.3329332566066322</v>
      </c>
      <c r="T284" s="382">
        <f ca="1">IF(R284=ROWS(T$266:T284),RANK(S284,$S$266:$S$300),"")</f>
        <v>22</v>
      </c>
      <c r="U284" s="1338" t="s">
        <v>7261</v>
      </c>
      <c r="V284" s="1461" t="str">
        <f t="shared" ca="1" si="89"/>
        <v>Dispel Magic</v>
      </c>
      <c r="W284" s="1394">
        <v>19</v>
      </c>
      <c r="X284" s="1459">
        <f ca="1">IF(W284=ROWS(X$266:X284),RAND(),"")</f>
        <v>3.1262578806705354E-2</v>
      </c>
      <c r="Y284" s="382">
        <f ca="1">IF(W284=ROWS(Y$266:Y284),RANK(X284,$X$266:$X$300),"")</f>
        <v>22</v>
      </c>
      <c r="Z284" s="1338" t="s">
        <v>7612</v>
      </c>
      <c r="AA284" s="1461" t="str">
        <f t="shared" ca="1" si="90"/>
        <v>Dimension Door</v>
      </c>
      <c r="AB284" s="1394">
        <v>19</v>
      </c>
      <c r="AC284" s="1459">
        <f ca="1">IF(AB284=ROWS(AC$266:AC284),RAND(),"")</f>
        <v>0.60416488902226662</v>
      </c>
      <c r="AD284" s="382">
        <f ca="1">IF(AB284=ROWS(AD$266:AD284),RANK(AC284,$AC$266:$AC$300),"")</f>
        <v>9</v>
      </c>
      <c r="AE284" s="1338" t="s">
        <v>7283</v>
      </c>
      <c r="AF284" s="1461" t="str">
        <f t="shared" ca="1" si="91"/>
        <v>Mislead</v>
      </c>
      <c r="AG284" s="1394">
        <v>19</v>
      </c>
      <c r="AH284" s="1459">
        <f ca="1">IF(AG284=ROWS(AH$266:AH284),RAND(),"")</f>
        <v>0.18318026249154762</v>
      </c>
      <c r="AI284" s="382">
        <f ca="1">IF(AG284=ROWS(AI$266:AI284),RANK(AH284,$AH$266:$AH$300),"")</f>
        <v>16</v>
      </c>
      <c r="AJ284" s="1338" t="s">
        <v>7243</v>
      </c>
      <c r="AK284" s="1461" t="str">
        <f t="shared" ca="1" si="92"/>
        <v>Chain Lightning</v>
      </c>
      <c r="AL284" s="1394"/>
      <c r="AM284" s="1459" t="str">
        <f ca="1">IF(AL284=ROWS(AM$266:AM284),RAND(),"")</f>
        <v/>
      </c>
      <c r="AN284" s="382" t="str">
        <f>IF(AL284=ROWS(AN$266:AN284),RANK(AM284,$AM$266:$AM$300),"")</f>
        <v/>
      </c>
      <c r="AO284" s="368"/>
      <c r="AP284" s="1461"/>
      <c r="AQ284" s="1394"/>
      <c r="AR284" s="1459" t="str">
        <f ca="1">IF(AQ284=ROWS(AR$266:AR284),RAND(),"")</f>
        <v/>
      </c>
      <c r="AS284" s="382" t="str">
        <f>IF(AQ284=ROWS(AS$266:AS284),RANK(AR284,$AR$266:$AR$300),"")</f>
        <v/>
      </c>
      <c r="AT284" s="368"/>
      <c r="AU284" s="1461"/>
      <c r="AV284" s="1394"/>
      <c r="AW284" s="1459" t="str">
        <f ca="1">IF(AV284=ROWS(AW$266:AW284),RAND(),"")</f>
        <v/>
      </c>
      <c r="AX284" s="382" t="str">
        <f>IF(AV284=ROWS(AX$266:AX284),RANK(AW284,$AW$266:$AW$300),"")</f>
        <v/>
      </c>
      <c r="AY284" s="368"/>
      <c r="AZ284" s="1461"/>
      <c r="BA284" s="273"/>
      <c r="BB284" s="1535">
        <v>8</v>
      </c>
      <c r="BC284" s="1536">
        <f t="shared" ca="1" si="98"/>
        <v>0.11670800265514614</v>
      </c>
      <c r="BD284" s="1537">
        <f t="shared" ca="1" si="99"/>
        <v>30</v>
      </c>
      <c r="BE284" s="667" t="s">
        <v>6916</v>
      </c>
      <c r="BF284" s="1539" t="str">
        <f t="shared" ca="1" si="100"/>
        <v>Eyes of the Rune Keeper</v>
      </c>
      <c r="BK284" s="272"/>
      <c r="BL284" s="272"/>
      <c r="BM284" s="272"/>
      <c r="BN284" s="3306"/>
      <c r="BO284" s="1547">
        <v>12</v>
      </c>
      <c r="BP284" s="1301">
        <f t="shared" ca="1" si="82"/>
        <v>0.21227106530755058</v>
      </c>
      <c r="BQ284" s="1547">
        <f t="shared" ca="1" si="96"/>
        <v>11</v>
      </c>
      <c r="BR284" s="1564" t="s">
        <v>7620</v>
      </c>
      <c r="BS284" s="1548" t="str">
        <f t="shared" ca="1" si="97"/>
        <v/>
      </c>
      <c r="BT284" s="272"/>
      <c r="BU284" s="272"/>
      <c r="BV284" s="272"/>
    </row>
    <row r="285" spans="2:74" ht="12" customHeight="1">
      <c r="B285" s="1336">
        <v>20</v>
      </c>
      <c r="C285" s="382"/>
      <c r="D285" s="1459" t="str">
        <f ca="1">IF(C285=ROWS(D$266:D285),RAND(),"")</f>
        <v/>
      </c>
      <c r="E285" s="382" t="str">
        <f>IF(C285=ROWS(E$266:E285),RANK(D285,$D$266:$D$300),"")</f>
        <v/>
      </c>
      <c r="F285" s="382"/>
      <c r="G285" s="1461" t="str">
        <f t="shared" si="86"/>
        <v/>
      </c>
      <c r="H285" s="382">
        <v>20</v>
      </c>
      <c r="I285" s="1459">
        <f ca="1">IF(H285=ROWS(I$266:I285),RAND(),"")</f>
        <v>7.6905209809272401E-2</v>
      </c>
      <c r="J285" s="382">
        <f ca="1">IF(H285=ROWS(J$266:J285),RANK(I285,$I$266:$I$300),"")</f>
        <v>26</v>
      </c>
      <c r="K285" s="1338" t="s">
        <v>7535</v>
      </c>
      <c r="L285" s="1461" t="str">
        <f t="shared" ca="1" si="87"/>
        <v>Unseen Servant</v>
      </c>
      <c r="M285" s="382">
        <v>20</v>
      </c>
      <c r="N285" s="1459">
        <f ca="1">IF(M285=ROWS(N$266:N285),RAND(),"")</f>
        <v>0.72682074315481249</v>
      </c>
      <c r="O285" s="382">
        <f ca="1">IF(M285=ROWS(O$266:O285),RANK(N285,$N$266:$N$300),"")</f>
        <v>9</v>
      </c>
      <c r="P285" s="1338" t="s">
        <v>7285</v>
      </c>
      <c r="Q285" s="1461" t="str">
        <f t="shared" ca="1" si="88"/>
        <v>Levitate</v>
      </c>
      <c r="R285" s="1394">
        <v>20</v>
      </c>
      <c r="S285" s="1459">
        <f ca="1">IF(R285=ROWS(S$266:S285),RAND(),"")</f>
        <v>0.37345620087154829</v>
      </c>
      <c r="T285" s="382">
        <f ca="1">IF(R285=ROWS(T$266:T285),RANK(S285,$S$266:$S$300),"")</f>
        <v>20</v>
      </c>
      <c r="U285" s="1338" t="s">
        <v>7613</v>
      </c>
      <c r="V285" s="1461" t="str">
        <f t="shared" ca="1" si="89"/>
        <v>Phantom Seed</v>
      </c>
      <c r="W285" s="1394">
        <v>20</v>
      </c>
      <c r="X285" s="1459">
        <f ca="1">IF(W285=ROWS(X$266:X285),RAND(),"")</f>
        <v>0.48568982559690865</v>
      </c>
      <c r="Y285" s="382">
        <f ca="1">IF(W285=ROWS(Y$266:Y285),RANK(X285,$X$266:$X$300),"")</f>
        <v>11</v>
      </c>
      <c r="Z285" s="1338" t="s">
        <v>7249</v>
      </c>
      <c r="AA285" s="1461" t="str">
        <f t="shared" ca="1" si="90"/>
        <v>Conjure Minor Elementals</v>
      </c>
      <c r="AB285" s="1394">
        <v>20</v>
      </c>
      <c r="AC285" s="1459">
        <f ca="1">IF(AB285=ROWS(AC$266:AC285),RAND(),"")</f>
        <v>0.83301156707136381</v>
      </c>
      <c r="AD285" s="382">
        <f ca="1">IF(AB285=ROWS(AD$266:AD285),RANK(AC285,$AC$266:$AC$300),"")</f>
        <v>4</v>
      </c>
      <c r="AE285" s="1338" t="s">
        <v>7645</v>
      </c>
      <c r="AF285" s="1461" t="str">
        <f t="shared" ca="1" si="91"/>
        <v>Contact Other Plane</v>
      </c>
      <c r="AG285" s="1394">
        <v>20</v>
      </c>
      <c r="AH285" s="1459">
        <f ca="1">IF(AG285=ROWS(AH$266:AH285),RAND(),"")</f>
        <v>0.5112576805332999</v>
      </c>
      <c r="AI285" s="382">
        <f ca="1">IF(AG285=ROWS(AI$266:AI285),RANK(AH285,$AH$266:$AH$300),"")</f>
        <v>9</v>
      </c>
      <c r="AJ285" s="1338" t="s">
        <v>4182</v>
      </c>
      <c r="AK285" s="1461" t="str">
        <f t="shared" ca="1" si="92"/>
        <v>Sunbeam</v>
      </c>
      <c r="AL285" s="1394"/>
      <c r="AM285" s="1459" t="str">
        <f ca="1">IF(AL285=ROWS(AM$266:AM285),RAND(),"")</f>
        <v/>
      </c>
      <c r="AN285" s="382" t="str">
        <f>IF(AL285=ROWS(AN$266:AN285),RANK(AM285,$AM$266:$AM$300),"")</f>
        <v/>
      </c>
      <c r="AO285" s="368"/>
      <c r="AP285" s="1461"/>
      <c r="AQ285" s="1394"/>
      <c r="AR285" s="1459" t="str">
        <f ca="1">IF(AQ285=ROWS(AR$266:AR285),RAND(),"")</f>
        <v/>
      </c>
      <c r="AS285" s="382" t="str">
        <f>IF(AQ285=ROWS(AS$266:AS285),RANK(AR285,$AR$266:$AR$300),"")</f>
        <v/>
      </c>
      <c r="AT285" s="368"/>
      <c r="AU285" s="1461"/>
      <c r="AV285" s="1394"/>
      <c r="AW285" s="1459" t="str">
        <f ca="1">IF(AV285=ROWS(AW$266:AW285),RAND(),"")</f>
        <v/>
      </c>
      <c r="AX285" s="382" t="str">
        <f>IF(AV285=ROWS(AX$266:AX285),RANK(AW285,$AW$266:$AW$300),"")</f>
        <v/>
      </c>
      <c r="AY285" s="368"/>
      <c r="AZ285" s="1461"/>
      <c r="BA285" s="273"/>
      <c r="BB285" s="1535">
        <v>9</v>
      </c>
      <c r="BC285" s="1536">
        <f t="shared" ca="1" si="98"/>
        <v>0.43979072175579914</v>
      </c>
      <c r="BD285" s="1537">
        <f t="shared" ca="1" si="99"/>
        <v>18</v>
      </c>
      <c r="BE285" s="667" t="s">
        <v>6917</v>
      </c>
      <c r="BF285" s="1539" t="str">
        <f t="shared" ca="1" si="100"/>
        <v>Devils Sight</v>
      </c>
      <c r="BK285" s="272"/>
      <c r="BL285" s="272"/>
      <c r="BM285" s="272"/>
      <c r="BN285" s="3306"/>
      <c r="BO285" s="1547">
        <v>13</v>
      </c>
      <c r="BP285" s="1301">
        <f t="shared" ca="1" si="82"/>
        <v>0.57315871969820453</v>
      </c>
      <c r="BQ285" s="1547">
        <f t="shared" ca="1" si="96"/>
        <v>5</v>
      </c>
      <c r="BR285" s="1550" t="str">
        <f>IF([1]MATH!$C$9=1,$BJ$250,IF([1]MATH!$C$9=2,$BJ$260,IF([1]MATH!$C$9=3,$BJ$270,"")))</f>
        <v/>
      </c>
      <c r="BS285" s="1548" t="str">
        <f t="shared" ca="1" si="97"/>
        <v>Fear</v>
      </c>
      <c r="BT285" s="272"/>
      <c r="BU285" s="272"/>
      <c r="BV285" s="272"/>
    </row>
    <row r="286" spans="2:74" ht="12" customHeight="1" thickBot="1">
      <c r="B286" s="1336">
        <v>21</v>
      </c>
      <c r="C286" s="382"/>
      <c r="D286" s="1459" t="str">
        <f ca="1">IF(C286=ROWS(D$266:D286),RAND(),"")</f>
        <v/>
      </c>
      <c r="E286" s="382" t="str">
        <f>IF(C286=ROWS(E$266:E286),RANK(D286,$D$266:$D$300),"")</f>
        <v/>
      </c>
      <c r="F286" s="382"/>
      <c r="G286" s="1461" t="str">
        <f t="shared" si="86"/>
        <v/>
      </c>
      <c r="H286" s="382">
        <v>21</v>
      </c>
      <c r="I286" s="1459">
        <f ca="1">IF(H286=ROWS(I$266:I286),RAND(),"")</f>
        <v>0.63955561632986757</v>
      </c>
      <c r="J286" s="382">
        <f ca="1">IF(H286=ROWS(J$266:J286),RANK(I286,$I$266:$I$300),"")</f>
        <v>10</v>
      </c>
      <c r="K286" s="1338" t="s">
        <v>7614</v>
      </c>
      <c r="L286" s="1461" t="str">
        <f t="shared" ca="1" si="87"/>
        <v>Shield</v>
      </c>
      <c r="M286" s="382">
        <v>21</v>
      </c>
      <c r="N286" s="1459">
        <f ca="1">IF(M286=ROWS(N$266:N286),RAND(),"")</f>
        <v>0.9673188585039415</v>
      </c>
      <c r="O286" s="382">
        <f ca="1">IF(M286=ROWS(O$266:O286),RANK(N286,$N$266:$N$300),"")</f>
        <v>1</v>
      </c>
      <c r="P286" s="1338" t="s">
        <v>7360</v>
      </c>
      <c r="Q286" s="1461" t="str">
        <f t="shared" ca="1" si="88"/>
        <v>Detect Thoughts</v>
      </c>
      <c r="R286" s="1394">
        <v>21</v>
      </c>
      <c r="S286" s="1459">
        <f ca="1">IF(R286=ROWS(S$266:S286),RAND(),"")</f>
        <v>0.85822177317948545</v>
      </c>
      <c r="T286" s="382">
        <f ca="1">IF(R286=ROWS(T$266:T286),RANK(S286,$S$266:$S$300),"")</f>
        <v>5</v>
      </c>
      <c r="U286" s="1338" t="s">
        <v>7418</v>
      </c>
      <c r="V286" s="1461" t="str">
        <f t="shared" ca="1" si="89"/>
        <v>Feign Death</v>
      </c>
      <c r="W286" s="1394">
        <v>21</v>
      </c>
      <c r="X286" s="1459">
        <f ca="1">IF(W286=ROWS(X$266:X286),RAND(),"")</f>
        <v>0.98682505146996047</v>
      </c>
      <c r="Y286" s="382">
        <f ca="1">IF(W286=ROWS(Y$266:Y286),RANK(X286,$X$266:$X$300),"")</f>
        <v>1</v>
      </c>
      <c r="Z286" s="1338" t="s">
        <v>7400</v>
      </c>
      <c r="AA286" s="1461" t="str">
        <f t="shared" ca="1" si="90"/>
        <v>Ice Storm</v>
      </c>
      <c r="AB286" s="1394">
        <v>21</v>
      </c>
      <c r="AC286" s="1459">
        <f ca="1">IF(AB286=ROWS(AC$266:AC286),RAND(),"")</f>
        <v>0.33947521594357444</v>
      </c>
      <c r="AD286" s="382">
        <f ca="1">IF(AB286=ROWS(AD$266:AD286),RANK(AC286,$AC$266:$AC$300),"")</f>
        <v>15</v>
      </c>
      <c r="AE286" s="1338" t="s">
        <v>7287</v>
      </c>
      <c r="AF286" s="1461" t="str">
        <f t="shared" ca="1" si="91"/>
        <v>Legend Lore</v>
      </c>
      <c r="AG286" s="1394"/>
      <c r="AH286" s="1459" t="str">
        <f ca="1">IF(AG286=ROWS(AH$266:AH286),RAND(),"")</f>
        <v/>
      </c>
      <c r="AI286" s="382" t="str">
        <f>IF(AG286=ROWS(AI$266:AI286),RANK(AH286,$AH$266:$AH$300),"")</f>
        <v/>
      </c>
      <c r="AJ286" s="368"/>
      <c r="AK286" s="1461"/>
      <c r="AL286" s="1394"/>
      <c r="AM286" s="1459" t="str">
        <f ca="1">IF(AL286=ROWS(AM$266:AM286),RAND(),"")</f>
        <v/>
      </c>
      <c r="AN286" s="382" t="str">
        <f>IF(AL286=ROWS(AN$266:AN286),RANK(AM286,$AM$266:$AM$300),"")</f>
        <v/>
      </c>
      <c r="AO286" s="368"/>
      <c r="AP286" s="1461"/>
      <c r="AQ286" s="1394"/>
      <c r="AR286" s="1459" t="str">
        <f ca="1">IF(AQ286=ROWS(AR$266:AR286),RAND(),"")</f>
        <v/>
      </c>
      <c r="AS286" s="382" t="str">
        <f>IF(AQ286=ROWS(AS$266:AS286),RANK(AR286,$AR$266:$AR$300),"")</f>
        <v/>
      </c>
      <c r="AT286" s="368"/>
      <c r="AU286" s="1461"/>
      <c r="AV286" s="1394"/>
      <c r="AW286" s="1459" t="str">
        <f ca="1">IF(AV286=ROWS(AW$266:AW286),RAND(),"")</f>
        <v/>
      </c>
      <c r="AX286" s="382" t="str">
        <f>IF(AV286=ROWS(AX$266:AX286),RANK(AW286,$AW$266:$AW$300),"")</f>
        <v/>
      </c>
      <c r="AY286" s="368"/>
      <c r="AZ286" s="1461"/>
      <c r="BA286" s="273"/>
      <c r="BB286" s="1535">
        <v>10</v>
      </c>
      <c r="BC286" s="1536">
        <f t="shared" ca="1" si="98"/>
        <v>0.9778924521442558</v>
      </c>
      <c r="BD286" s="1537">
        <f t="shared" ca="1" si="99"/>
        <v>2</v>
      </c>
      <c r="BE286" s="667" t="s">
        <v>6919</v>
      </c>
      <c r="BF286" s="1539" t="str">
        <f t="shared" ca="1" si="100"/>
        <v>Devils Sight</v>
      </c>
      <c r="BH286" s="271" t="s">
        <v>6908</v>
      </c>
      <c r="BK286" s="272"/>
      <c r="BL286" s="272"/>
      <c r="BM286" s="272"/>
      <c r="BN286" s="3307"/>
      <c r="BO286" s="1553">
        <v>14</v>
      </c>
      <c r="BP286" s="1304">
        <f t="shared" ca="1" si="82"/>
        <v>0.19876180779572961</v>
      </c>
      <c r="BQ286" s="1553">
        <f t="shared" ca="1" si="96"/>
        <v>12</v>
      </c>
      <c r="BR286" s="1550" t="str">
        <f>IF([1]MATH!$C$9=1,$BJ$251,IF([1]MATH!$C$9=2,$BJ$261,IF([1]MATH!$C$9=3,$BJ$271,"")))</f>
        <v/>
      </c>
      <c r="BS286" s="1554" t="str">
        <f t="shared" ca="1" si="97"/>
        <v>Hunger of Hadar</v>
      </c>
      <c r="BT286" s="272"/>
      <c r="BU286" s="272"/>
      <c r="BV286" s="272"/>
    </row>
    <row r="287" spans="2:74" ht="12" customHeight="1">
      <c r="B287" s="1336">
        <v>22</v>
      </c>
      <c r="C287" s="382"/>
      <c r="D287" s="1459" t="str">
        <f ca="1">IF(C287=ROWS(D$266:D287),RAND(),"")</f>
        <v/>
      </c>
      <c r="E287" s="382" t="str">
        <f>IF(C287=ROWS(E$266:E287),RANK(D287,$D$266:$D$300),"")</f>
        <v/>
      </c>
      <c r="F287" s="382"/>
      <c r="G287" s="1461" t="str">
        <f t="shared" si="86"/>
        <v/>
      </c>
      <c r="H287" s="382">
        <v>22</v>
      </c>
      <c r="I287" s="1459">
        <f ca="1">IF(H287=ROWS(I$266:I287),RAND(),"")</f>
        <v>0.74115814443224459</v>
      </c>
      <c r="J287" s="382">
        <f ca="1">IF(H287=ROWS(J$266:J287),RANK(I287,$I$266:$I$300),"")</f>
        <v>7</v>
      </c>
      <c r="K287" s="1338" t="s">
        <v>7615</v>
      </c>
      <c r="L287" s="1461" t="str">
        <f t="shared" ca="1" si="87"/>
        <v>Burning Hands</v>
      </c>
      <c r="M287" s="382">
        <v>22</v>
      </c>
      <c r="N287" s="1459">
        <f ca="1">IF(M287=ROWS(N$266:N287),RAND(),"")</f>
        <v>0.69420528492607481</v>
      </c>
      <c r="O287" s="382">
        <f ca="1">IF(M287=ROWS(O$266:O287),RANK(N287,$N$266:$N$300),"")</f>
        <v>10</v>
      </c>
      <c r="P287" s="1338" t="s">
        <v>7441</v>
      </c>
      <c r="Q287" s="1461" t="str">
        <f t="shared" ca="1" si="88"/>
        <v>Gust of Wind</v>
      </c>
      <c r="R287" s="1394">
        <v>22</v>
      </c>
      <c r="S287" s="1459">
        <f ca="1">IF(R287=ROWS(S$266:S287),RAND(),"")</f>
        <v>0.94140951014097973</v>
      </c>
      <c r="T287" s="382">
        <f ca="1">IF(R287=ROWS(T$266:T287),RANK(S287,$S$266:$S$300),"")</f>
        <v>3</v>
      </c>
      <c r="U287" s="1338" t="s">
        <v>7420</v>
      </c>
      <c r="V287" s="1461" t="str">
        <f t="shared" ca="1" si="89"/>
        <v>Nondetection</v>
      </c>
      <c r="W287" s="1394">
        <v>22</v>
      </c>
      <c r="X287" s="1459">
        <f ca="1">IF(W287=ROWS(X$266:X287),RAND(),"")</f>
        <v>0.35567277719171309</v>
      </c>
      <c r="Y287" s="382">
        <f ca="1">IF(W287=ROWS(Y$266:Y287),RANK(X287,$X$266:$X$300),"")</f>
        <v>16</v>
      </c>
      <c r="Z287" s="1338" t="s">
        <v>7406</v>
      </c>
      <c r="AA287" s="1461" t="str">
        <f t="shared" ca="1" si="90"/>
        <v>Phantasmal Killer</v>
      </c>
      <c r="AB287" s="1394">
        <v>22</v>
      </c>
      <c r="AC287" s="1459">
        <f ca="1">IF(AB287=ROWS(AC$266:AC287),RAND(),"")</f>
        <v>0.35472644678869281</v>
      </c>
      <c r="AD287" s="382">
        <f ca="1">IF(AB287=ROWS(AD$266:AD287),RANK(AC287,$AC$266:$AC$300),"")</f>
        <v>14</v>
      </c>
      <c r="AE287" s="1338" t="s">
        <v>7708</v>
      </c>
      <c r="AF287" s="1461" t="str">
        <f t="shared" ca="1" si="91"/>
        <v>Hold Monster</v>
      </c>
      <c r="AG287" s="1394"/>
      <c r="AH287" s="1459" t="str">
        <f ca="1">IF(AG287=ROWS(AH$266:AH287),RAND(),"")</f>
        <v/>
      </c>
      <c r="AI287" s="382" t="str">
        <f>IF(AG287=ROWS(AI$266:AI287),RANK(AH287,$AH$266:$AH$300),"")</f>
        <v/>
      </c>
      <c r="AJ287" s="368"/>
      <c r="AK287" s="1461"/>
      <c r="AL287" s="1394"/>
      <c r="AM287" s="1459" t="str">
        <f ca="1">IF(AL287=ROWS(AM$266:AM287),RAND(),"")</f>
        <v/>
      </c>
      <c r="AN287" s="382" t="str">
        <f>IF(AL287=ROWS(AN$266:AN287),RANK(AM287,$AM$266:$AM$300),"")</f>
        <v/>
      </c>
      <c r="AO287" s="368"/>
      <c r="AP287" s="1461"/>
      <c r="AQ287" s="1394"/>
      <c r="AR287" s="1459" t="str">
        <f ca="1">IF(AQ287=ROWS(AR$266:AR287),RAND(),"")</f>
        <v/>
      </c>
      <c r="AS287" s="382" t="str">
        <f>IF(AQ287=ROWS(AS$266:AS287),RANK(AR287,$AR$266:$AR$300),"")</f>
        <v/>
      </c>
      <c r="AT287" s="368"/>
      <c r="AU287" s="1461"/>
      <c r="AV287" s="1394"/>
      <c r="AW287" s="1459" t="str">
        <f ca="1">IF(AV287=ROWS(AW$266:AW287),RAND(),"")</f>
        <v/>
      </c>
      <c r="AX287" s="382" t="str">
        <f>IF(AV287=ROWS(AX$266:AX287),RANK(AW287,$AW$266:$AW$300),"")</f>
        <v/>
      </c>
      <c r="AY287" s="368"/>
      <c r="AZ287" s="1461"/>
      <c r="BA287" s="273"/>
      <c r="BB287" s="1535">
        <v>11</v>
      </c>
      <c r="BC287" s="1536">
        <f t="shared" ca="1" si="98"/>
        <v>0.36208177194478053</v>
      </c>
      <c r="BD287" s="1537">
        <f t="shared" ca="1" si="99"/>
        <v>20</v>
      </c>
      <c r="BE287" s="667" t="s">
        <v>6921</v>
      </c>
      <c r="BF287" s="1539" t="str">
        <f t="shared" ca="1" si="100"/>
        <v>Dreadful Word</v>
      </c>
      <c r="BK287" s="272"/>
      <c r="BL287" s="272"/>
      <c r="BM287" s="272"/>
      <c r="BN287" s="3305">
        <v>4</v>
      </c>
      <c r="BO287" s="1540">
        <v>1</v>
      </c>
      <c r="BP287" s="1299">
        <f ca="1">RAND()</f>
        <v>0.79326747271674836</v>
      </c>
      <c r="BQ287" s="1540">
        <f t="shared" ref="BQ287:BQ292" ca="1" si="101">RANK(BP287,$BP$287:$BP$292)</f>
        <v>2</v>
      </c>
      <c r="BR287" s="741" t="s">
        <v>7332</v>
      </c>
      <c r="BS287" s="1541" t="str">
        <f t="shared" ref="BS287:BS292" ca="1" si="102">VLOOKUP(BO287,$BQ$287:$BR$292,2,FALSE)</f>
        <v/>
      </c>
      <c r="BT287" s="272"/>
      <c r="BU287" s="272"/>
      <c r="BV287" s="272"/>
    </row>
    <row r="288" spans="2:74" ht="12" customHeight="1">
      <c r="B288" s="1336">
        <v>23</v>
      </c>
      <c r="C288" s="382"/>
      <c r="D288" s="1459" t="str">
        <f ca="1">IF(C288=ROWS(D$266:D288),RAND(),"")</f>
        <v/>
      </c>
      <c r="E288" s="382" t="str">
        <f>IF(C288=ROWS(E$266:E288),RANK(D288,$D$266:$D$300),"")</f>
        <v/>
      </c>
      <c r="F288" s="382"/>
      <c r="G288" s="1461" t="str">
        <f t="shared" si="86"/>
        <v/>
      </c>
      <c r="H288" s="382">
        <v>23</v>
      </c>
      <c r="I288" s="1459">
        <f ca="1">IF(H288=ROWS(I$266:I288),RAND(),"")</f>
        <v>0.1511180639759554</v>
      </c>
      <c r="J288" s="382">
        <f ca="1">IF(H288=ROWS(J$266:J288),RANK(I288,$I$266:$I$300),"")</f>
        <v>21</v>
      </c>
      <c r="K288" s="1338" t="s">
        <v>3318</v>
      </c>
      <c r="L288" s="1461" t="str">
        <f t="shared" ca="1" si="87"/>
        <v>Sleep</v>
      </c>
      <c r="M288" s="382">
        <v>23</v>
      </c>
      <c r="N288" s="1459">
        <f ca="1">IF(M288=ROWS(N$266:N288),RAND(),"")</f>
        <v>0.19102621830820432</v>
      </c>
      <c r="O288" s="382">
        <f ca="1">IF(M288=ROWS(O$266:O288),RANK(N288,$N$266:$N$300),"")</f>
        <v>27</v>
      </c>
      <c r="P288" s="1338" t="s">
        <v>7359</v>
      </c>
      <c r="Q288" s="1461" t="str">
        <f t="shared" ca="1" si="88"/>
        <v>Arcane Lock</v>
      </c>
      <c r="R288" s="1394">
        <v>23</v>
      </c>
      <c r="S288" s="1459">
        <f ca="1">IF(R288=ROWS(S$266:S288),RAND(),"")</f>
        <v>0.60750455665771952</v>
      </c>
      <c r="T288" s="382">
        <f ca="1">IF(R288=ROWS(T$266:T288),RANK(S288,$S$266:$S$300),"")</f>
        <v>15</v>
      </c>
      <c r="U288" s="1338" t="s">
        <v>7270</v>
      </c>
      <c r="V288" s="1461" t="str">
        <f t="shared" ca="1" si="89"/>
        <v>Fireball</v>
      </c>
      <c r="W288" s="1394">
        <v>23</v>
      </c>
      <c r="X288" s="1459">
        <f ca="1">IF(W288=ROWS(X$266:X288),RAND(),"")</f>
        <v>0.65529520050164181</v>
      </c>
      <c r="Y288" s="382">
        <f ca="1">IF(W288=ROWS(Y$266:Y288),RANK(X288,$X$266:$X$300),"")</f>
        <v>8</v>
      </c>
      <c r="Z288" s="1338" t="s">
        <v>7403</v>
      </c>
      <c r="AA288" s="1461" t="str">
        <f t="shared" ca="1" si="90"/>
        <v>Confusion</v>
      </c>
      <c r="AB288" s="1394">
        <v>23</v>
      </c>
      <c r="AC288" s="1459">
        <f ca="1">IF(AB288=ROWS(AC$266:AC288),RAND(),"")</f>
        <v>0.25165709156876115</v>
      </c>
      <c r="AD288" s="382">
        <f ca="1">IF(AB288=ROWS(AD$266:AD288),RANK(AC288,$AC$266:$AC$300),"")</f>
        <v>18</v>
      </c>
      <c r="AE288" s="1338" t="s">
        <v>7487</v>
      </c>
      <c r="AF288" s="1461" t="str">
        <f t="shared" ca="1" si="91"/>
        <v>Creation</v>
      </c>
      <c r="AG288" s="1394"/>
      <c r="AH288" s="1459" t="str">
        <f ca="1">IF(AG288=ROWS(AH$266:AH288),RAND(),"")</f>
        <v/>
      </c>
      <c r="AI288" s="382" t="str">
        <f>IF(AG288=ROWS(AI$266:AI288),RANK(AH288,$AH$266:$AH$300),"")</f>
        <v/>
      </c>
      <c r="AJ288" s="368"/>
      <c r="AK288" s="1461"/>
      <c r="AL288" s="1394"/>
      <c r="AM288" s="1459" t="str">
        <f ca="1">IF(AL288=ROWS(AM$266:AM288),RAND(),"")</f>
        <v/>
      </c>
      <c r="AN288" s="382" t="str">
        <f>IF(AL288=ROWS(AN$266:AN288),RANK(AM288,$AM$266:$AM$300),"")</f>
        <v/>
      </c>
      <c r="AO288" s="368"/>
      <c r="AP288" s="1461"/>
      <c r="AQ288" s="1394"/>
      <c r="AR288" s="1459" t="str">
        <f ca="1">IF(AQ288=ROWS(AR$266:AR288),RAND(),"")</f>
        <v/>
      </c>
      <c r="AS288" s="382" t="str">
        <f>IF(AQ288=ROWS(AS$266:AS288),RANK(AR288,$AR$266:$AR$300),"")</f>
        <v/>
      </c>
      <c r="AT288" s="368"/>
      <c r="AU288" s="1461"/>
      <c r="AV288" s="1394"/>
      <c r="AW288" s="1459" t="str">
        <f ca="1">IF(AV288=ROWS(AW$266:AW288),RAND(),"")</f>
        <v/>
      </c>
      <c r="AX288" s="382" t="str">
        <f>IF(AV288=ROWS(AX$266:AX288),RANK(AW288,$AW$266:$AW$300),"")</f>
        <v/>
      </c>
      <c r="AY288" s="368"/>
      <c r="AZ288" s="1461"/>
      <c r="BA288" s="273"/>
      <c r="BB288" s="1535">
        <v>12</v>
      </c>
      <c r="BC288" s="1536">
        <f t="shared" ca="1" si="98"/>
        <v>0.12725434397279245</v>
      </c>
      <c r="BD288" s="1537">
        <f t="shared" ca="1" si="99"/>
        <v>29</v>
      </c>
      <c r="BE288" s="667" t="s">
        <v>6922</v>
      </c>
      <c r="BF288" s="1539" t="str">
        <f t="shared" ca="1" si="100"/>
        <v>Eldritch Sight</v>
      </c>
      <c r="BK288" s="272"/>
      <c r="BL288" s="272"/>
      <c r="BM288" s="272"/>
      <c r="BN288" s="3306"/>
      <c r="BO288" s="1547">
        <v>2</v>
      </c>
      <c r="BP288" s="1301">
        <f t="shared" ca="1" si="82"/>
        <v>0.13400147667474172</v>
      </c>
      <c r="BQ288" s="1547">
        <f t="shared" ca="1" si="101"/>
        <v>6</v>
      </c>
      <c r="BR288" s="536" t="s">
        <v>7436</v>
      </c>
      <c r="BS288" s="1548" t="str">
        <f t="shared" ca="1" si="102"/>
        <v>Banishment</v>
      </c>
      <c r="BT288" s="272"/>
      <c r="BU288" s="272"/>
      <c r="BV288" s="272"/>
    </row>
    <row r="289" spans="2:74" ht="12" customHeight="1">
      <c r="B289" s="1336">
        <v>24</v>
      </c>
      <c r="C289" s="382"/>
      <c r="D289" s="1459" t="str">
        <f ca="1">IF(C289=ROWS(D$266:D289),RAND(),"")</f>
        <v/>
      </c>
      <c r="E289" s="382" t="str">
        <f>IF(C289=ROWS(E$266:E289),RANK(D289,$D$266:$D$300),"")</f>
        <v/>
      </c>
      <c r="F289" s="382"/>
      <c r="G289" s="1461" t="str">
        <f t="shared" si="86"/>
        <v/>
      </c>
      <c r="H289" s="382">
        <v>24</v>
      </c>
      <c r="I289" s="1459">
        <f ca="1">IF(H289=ROWS(I$266:I289),RAND(),"")</f>
        <v>0.61879409774606153</v>
      </c>
      <c r="J289" s="382">
        <f ca="1">IF(H289=ROWS(J$266:J289),RANK(I289,$I$266:$I$300),"")</f>
        <v>11</v>
      </c>
      <c r="K289" s="1338" t="s">
        <v>7288</v>
      </c>
      <c r="L289" s="1461" t="str">
        <f t="shared" ca="1" si="87"/>
        <v>Disguise Self</v>
      </c>
      <c r="M289" s="382">
        <v>24</v>
      </c>
      <c r="N289" s="1459">
        <f ca="1">IF(M289=ROWS(N$266:N289),RAND(),"")</f>
        <v>0.34238561522268185</v>
      </c>
      <c r="O289" s="382">
        <f ca="1">IF(M289=ROWS(O$266:O289),RANK(N289,$N$266:$N$300),"")</f>
        <v>19</v>
      </c>
      <c r="P289" s="1338" t="s">
        <v>7447</v>
      </c>
      <c r="Q289" s="1461" t="str">
        <f t="shared" ca="1" si="88"/>
        <v>Locate Object</v>
      </c>
      <c r="R289" s="1394">
        <v>24</v>
      </c>
      <c r="S289" s="1459">
        <f ca="1">IF(R289=ROWS(S$266:S289),RAND(),"")</f>
        <v>0.29810170638703393</v>
      </c>
      <c r="T289" s="382">
        <f ca="1">IF(R289=ROWS(T$266:T289),RANK(S289,$S$266:$S$300),"")</f>
        <v>24</v>
      </c>
      <c r="U289" s="1338" t="s">
        <v>7389</v>
      </c>
      <c r="V289" s="1461" t="str">
        <f t="shared" ca="1" si="89"/>
        <v>Sleet Storm</v>
      </c>
      <c r="W289" s="1394"/>
      <c r="X289" s="1459" t="str">
        <f ca="1">IF(W289=ROWS(X$266:X289),RAND(),"")</f>
        <v/>
      </c>
      <c r="Y289" s="382" t="str">
        <f>IF(W289=ROWS(Y$266:Y289),RANK(X289,$X$266:$X$300),"")</f>
        <v/>
      </c>
      <c r="Z289" s="368"/>
      <c r="AA289" s="1461"/>
      <c r="AB289" s="1394"/>
      <c r="AC289" s="1459" t="str">
        <f ca="1">IF(AB289=ROWS(AC$266:AC289),RAND(),"")</f>
        <v/>
      </c>
      <c r="AD289" s="382" t="str">
        <f>IF(AB289=ROWS(AD$266:AD289),RANK(AC289,$AC$266:$AC$300),"")</f>
        <v/>
      </c>
      <c r="AE289" s="368"/>
      <c r="AF289" s="1461"/>
      <c r="AG289" s="1394"/>
      <c r="AH289" s="1459" t="str">
        <f ca="1">IF(AG289=ROWS(AH$266:AH289),RAND(),"")</f>
        <v/>
      </c>
      <c r="AI289" s="382" t="str">
        <f>IF(AG289=ROWS(AI$266:AI289),RANK(AH289,$AH$266:$AH$300),"")</f>
        <v/>
      </c>
      <c r="AJ289" s="368"/>
      <c r="AK289" s="1461"/>
      <c r="AL289" s="1394"/>
      <c r="AM289" s="1459" t="str">
        <f ca="1">IF(AL289=ROWS(AM$266:AM289),RAND(),"")</f>
        <v/>
      </c>
      <c r="AN289" s="382" t="str">
        <f>IF(AL289=ROWS(AN$266:AN289),RANK(AM289,$AM$266:$AM$300),"")</f>
        <v/>
      </c>
      <c r="AO289" s="368"/>
      <c r="AP289" s="1461"/>
      <c r="AQ289" s="1394"/>
      <c r="AR289" s="1459" t="str">
        <f ca="1">IF(AQ289=ROWS(AR$266:AR289),RAND(),"")</f>
        <v/>
      </c>
      <c r="AS289" s="382" t="str">
        <f>IF(AQ289=ROWS(AS$266:AS289),RANK(AR289,$AR$266:$AR$300),"")</f>
        <v/>
      </c>
      <c r="AT289" s="368"/>
      <c r="AU289" s="1461"/>
      <c r="AV289" s="1394"/>
      <c r="AW289" s="1459" t="str">
        <f ca="1">IF(AV289=ROWS(AW$266:AW289),RAND(),"")</f>
        <v/>
      </c>
      <c r="AX289" s="382" t="str">
        <f>IF(AV289=ROWS(AX$266:AX289),RANK(AW289,$AW$266:$AW$300),"")</f>
        <v/>
      </c>
      <c r="AY289" s="368"/>
      <c r="AZ289" s="1461"/>
      <c r="BA289" s="273"/>
      <c r="BB289" s="1535">
        <v>13</v>
      </c>
      <c r="BC289" s="1536">
        <f t="shared" ca="1" si="98"/>
        <v>0.99453740403447344</v>
      </c>
      <c r="BD289" s="1537">
        <f t="shared" ca="1" si="99"/>
        <v>1</v>
      </c>
      <c r="BE289" s="667" t="s">
        <v>6923</v>
      </c>
      <c r="BF289" s="1539" t="str">
        <f t="shared" ca="1" si="100"/>
        <v>Beguiling Influence</v>
      </c>
      <c r="BK289" s="272"/>
      <c r="BL289" s="272"/>
      <c r="BM289" s="272"/>
      <c r="BN289" s="3306"/>
      <c r="BO289" s="1547">
        <v>3</v>
      </c>
      <c r="BP289" s="1301">
        <f t="shared" ca="1" si="82"/>
        <v>0.36557966578547374</v>
      </c>
      <c r="BQ289" s="1547">
        <f t="shared" ca="1" si="101"/>
        <v>4</v>
      </c>
      <c r="BR289" s="536" t="s">
        <v>7206</v>
      </c>
      <c r="BS289" s="1548" t="str">
        <f t="shared" ca="1" si="102"/>
        <v>Hallucinatory Terrain</v>
      </c>
      <c r="BT289" s="272"/>
      <c r="BU289" s="272"/>
      <c r="BV289" s="272"/>
    </row>
    <row r="290" spans="2:74" ht="12" customHeight="1">
      <c r="B290" s="1336">
        <v>25</v>
      </c>
      <c r="C290" s="382"/>
      <c r="D290" s="1459" t="str">
        <f ca="1">IF(C290=ROWS(D$266:D290),RAND(),"")</f>
        <v/>
      </c>
      <c r="E290" s="382" t="str">
        <f>IF(C290=ROWS(E$266:E290),RANK(D290,$D$266:$D$300),"")</f>
        <v/>
      </c>
      <c r="F290" s="382"/>
      <c r="G290" s="1461" t="str">
        <f t="shared" si="86"/>
        <v/>
      </c>
      <c r="H290" s="382">
        <v>25</v>
      </c>
      <c r="I290" s="1459">
        <f ca="1">IF(H290=ROWS(I$266:I290),RAND(),"")</f>
        <v>0.11330164408966537</v>
      </c>
      <c r="J290" s="382">
        <f ca="1">IF(H290=ROWS(J$266:J290),RANK(I290,$I$266:$I$300),"")</f>
        <v>23</v>
      </c>
      <c r="K290" s="1338" t="s">
        <v>7290</v>
      </c>
      <c r="L290" s="1461" t="str">
        <f t="shared" ca="1" si="87"/>
        <v>Mage Armor</v>
      </c>
      <c r="M290" s="382">
        <v>25</v>
      </c>
      <c r="N290" s="1459">
        <f ca="1">IF(M290=ROWS(N$266:N290),RAND(),"")</f>
        <v>6.1910674694074741E-2</v>
      </c>
      <c r="O290" s="382">
        <f ca="1">IF(M290=ROWS(O$266:O290),RANK(N290,$N$266:$N$300),"")</f>
        <v>32</v>
      </c>
      <c r="P290" s="1338" t="s">
        <v>7616</v>
      </c>
      <c r="Q290" s="1461" t="str">
        <f t="shared" ca="1" si="88"/>
        <v>Darkvision</v>
      </c>
      <c r="R290" s="1394">
        <v>25</v>
      </c>
      <c r="S290" s="1459">
        <f ca="1">IF(R290=ROWS(S$266:S290),RAND(),"")</f>
        <v>0.58321735393256668</v>
      </c>
      <c r="T290" s="382">
        <f ca="1">IF(R290=ROWS(T$266:T290),RANK(S290,$S$266:$S$300),"")</f>
        <v>17</v>
      </c>
      <c r="U290" s="1338" t="s">
        <v>7465</v>
      </c>
      <c r="V290" s="1461" t="str">
        <f t="shared" ca="1" si="89"/>
        <v>Magic Circle</v>
      </c>
      <c r="W290" s="1394"/>
      <c r="X290" s="1459" t="str">
        <f ca="1">IF(W290=ROWS(X$266:X290),RAND(),"")</f>
        <v/>
      </c>
      <c r="Y290" s="382" t="str">
        <f>IF(W290=ROWS(Y$266:Y290),RANK(X290,$X$266:$X$300),"")</f>
        <v/>
      </c>
      <c r="Z290" s="368"/>
      <c r="AA290" s="1461"/>
      <c r="AB290" s="1394"/>
      <c r="AC290" s="1459" t="str">
        <f ca="1">IF(AB290=ROWS(AC$266:AC290),RAND(),"")</f>
        <v/>
      </c>
      <c r="AD290" s="382" t="str">
        <f>IF(AB290=ROWS(AD$266:AD290),RANK(AC290,$AC$266:$AC$300),"")</f>
        <v/>
      </c>
      <c r="AE290" s="368"/>
      <c r="AF290" s="1461"/>
      <c r="AG290" s="1394"/>
      <c r="AH290" s="1459" t="str">
        <f ca="1">IF(AG290=ROWS(AH$266:AH290),RAND(),"")</f>
        <v/>
      </c>
      <c r="AI290" s="382" t="str">
        <f>IF(AG290=ROWS(AI$266:AI290),RANK(AH290,$AH$266:$AH$300),"")</f>
        <v/>
      </c>
      <c r="AJ290" s="368"/>
      <c r="AK290" s="1461"/>
      <c r="AL290" s="1394"/>
      <c r="AM290" s="1459" t="str">
        <f ca="1">IF(AL290=ROWS(AM$266:AM290),RAND(),"")</f>
        <v/>
      </c>
      <c r="AN290" s="382" t="str">
        <f>IF(AL290=ROWS(AN$266:AN290),RANK(AM290,$AM$266:$AM$300),"")</f>
        <v/>
      </c>
      <c r="AO290" s="368"/>
      <c r="AP290" s="1461"/>
      <c r="AQ290" s="1394"/>
      <c r="AR290" s="1459" t="str">
        <f ca="1">IF(AQ290=ROWS(AR$266:AR290),RAND(),"")</f>
        <v/>
      </c>
      <c r="AS290" s="382" t="str">
        <f>IF(AQ290=ROWS(AS$266:AS290),RANK(AR290,$AR$266:$AR$300),"")</f>
        <v/>
      </c>
      <c r="AT290" s="368"/>
      <c r="AU290" s="1461"/>
      <c r="AV290" s="1394"/>
      <c r="AW290" s="1459" t="str">
        <f ca="1">IF(AV290=ROWS(AW$266:AW290),RAND(),"")</f>
        <v/>
      </c>
      <c r="AX290" s="382" t="str">
        <f>IF(AV290=ROWS(AX$266:AX290),RANK(AW290,$AW$266:$AW$300),"")</f>
        <v/>
      </c>
      <c r="AY290" s="368"/>
      <c r="AZ290" s="1461"/>
      <c r="BA290" s="273"/>
      <c r="BB290" s="1535">
        <v>14</v>
      </c>
      <c r="BC290" s="1536">
        <f t="shared" ca="1" si="98"/>
        <v>0.56381141548869951</v>
      </c>
      <c r="BD290" s="1537">
        <f t="shared" ca="1" si="99"/>
        <v>14</v>
      </c>
      <c r="BE290" s="667" t="str">
        <f>IF(BA238=BA237,"Book of Ancient Secrets",IF(BA238=BA235,"Voice of the Chain Master","Agonizing Blast"))</f>
        <v>Book of Ancient Secrets</v>
      </c>
      <c r="BF290" s="1539" t="str">
        <f t="shared" ca="1" si="100"/>
        <v>Book of Ancient Secrets</v>
      </c>
      <c r="BK290" s="272"/>
      <c r="BL290" s="272"/>
      <c r="BM290" s="272"/>
      <c r="BN290" s="3306"/>
      <c r="BO290" s="1547">
        <v>4</v>
      </c>
      <c r="BP290" s="1301">
        <f t="shared" ca="1" si="82"/>
        <v>0.73393732176082582</v>
      </c>
      <c r="BQ290" s="1547">
        <f t="shared" ca="1" si="101"/>
        <v>3</v>
      </c>
      <c r="BR290" s="536" t="s">
        <v>7233</v>
      </c>
      <c r="BS290" s="1548" t="str">
        <f t="shared" ca="1" si="102"/>
        <v>Dimension Door</v>
      </c>
      <c r="BT290" s="272"/>
      <c r="BU290" s="272"/>
      <c r="BV290" s="272"/>
    </row>
    <row r="291" spans="2:74" ht="12" customHeight="1">
      <c r="B291" s="1336">
        <v>26</v>
      </c>
      <c r="C291" s="382"/>
      <c r="D291" s="1459" t="str">
        <f ca="1">IF(C291=ROWS(D$266:D291),RAND(),"")</f>
        <v/>
      </c>
      <c r="E291" s="382" t="str">
        <f>IF(C291=ROWS(E$266:E291),RANK(D291,$D$266:$D$300),"")</f>
        <v/>
      </c>
      <c r="F291" s="382"/>
      <c r="G291" s="1461" t="str">
        <f t="shared" si="86"/>
        <v/>
      </c>
      <c r="H291" s="382">
        <v>26</v>
      </c>
      <c r="I291" s="1459">
        <f ca="1">IF(H291=ROWS(I$266:I291),RAND(),"")</f>
        <v>0.91094692344050743</v>
      </c>
      <c r="J291" s="382">
        <f ca="1">IF(H291=ROWS(J$266:J291),RANK(I291,$I$266:$I$300),"")</f>
        <v>2</v>
      </c>
      <c r="K291" s="1338" t="s">
        <v>7294</v>
      </c>
      <c r="L291" s="1461" t="str">
        <f t="shared" ca="1" si="87"/>
        <v>Magic Missile</v>
      </c>
      <c r="M291" s="382">
        <v>26</v>
      </c>
      <c r="N291" s="1459">
        <f ca="1">IF(M291=ROWS(N$266:N291),RAND(),"")</f>
        <v>0.2140850608508299</v>
      </c>
      <c r="O291" s="382">
        <f ca="1">IF(M291=ROWS(O$266:O291),RANK(N291,$N$266:$N$300),"")</f>
        <v>26</v>
      </c>
      <c r="P291" s="1338" t="s">
        <v>7289</v>
      </c>
      <c r="Q291" s="1461" t="str">
        <f t="shared" ca="1" si="88"/>
        <v>Phantasmal Force</v>
      </c>
      <c r="R291" s="1394">
        <v>26</v>
      </c>
      <c r="S291" s="1459">
        <f ca="1">IF(R291=ROWS(S$266:S291),RAND(),"")</f>
        <v>0.1517330113379467</v>
      </c>
      <c r="T291" s="382">
        <f ca="1">IF(R291=ROWS(T$266:T291),RANK(S291,$S$266:$S$300),"")</f>
        <v>26</v>
      </c>
      <c r="U291" s="1338" t="s">
        <v>7282</v>
      </c>
      <c r="V291" s="1461" t="str">
        <f t="shared" ca="1" si="89"/>
        <v>Stinking Cloud</v>
      </c>
      <c r="W291" s="1394"/>
      <c r="X291" s="1459" t="str">
        <f ca="1">IF(W291=ROWS(X$266:X291),RAND(),"")</f>
        <v/>
      </c>
      <c r="Y291" s="382" t="str">
        <f>IF(W291=ROWS(Y$266:Y291),RANK(X291,$X$266:$X$300),"")</f>
        <v/>
      </c>
      <c r="Z291" s="368"/>
      <c r="AA291" s="1461"/>
      <c r="AB291" s="1394"/>
      <c r="AC291" s="1459" t="str">
        <f ca="1">IF(AB291=ROWS(AC$266:AC291),RAND(),"")</f>
        <v/>
      </c>
      <c r="AD291" s="382" t="str">
        <f>IF(AB291=ROWS(AD$266:AD291),RANK(AC291,$AC$266:$AC$300),"")</f>
        <v/>
      </c>
      <c r="AE291" s="368"/>
      <c r="AF291" s="1461"/>
      <c r="AG291" s="1394"/>
      <c r="AH291" s="1459" t="str">
        <f ca="1">IF(AG291=ROWS(AH$266:AH291),RAND(),"")</f>
        <v/>
      </c>
      <c r="AI291" s="382" t="str">
        <f>IF(AG291=ROWS(AI$266:AI291),RANK(AH291,$AH$266:$AH$300),"")</f>
        <v/>
      </c>
      <c r="AJ291" s="368"/>
      <c r="AK291" s="1461"/>
      <c r="AL291" s="1394"/>
      <c r="AM291" s="1459" t="str">
        <f ca="1">IF(AL291=ROWS(AM$266:AM291),RAND(),"")</f>
        <v/>
      </c>
      <c r="AN291" s="382" t="str">
        <f>IF(AL291=ROWS(AN$266:AN291),RANK(AM291,$AM$266:$AM$300),"")</f>
        <v/>
      </c>
      <c r="AO291" s="368"/>
      <c r="AP291" s="1461"/>
      <c r="AQ291" s="1394"/>
      <c r="AR291" s="1459" t="str">
        <f ca="1">IF(AQ291=ROWS(AR$266:AR291),RAND(),"")</f>
        <v/>
      </c>
      <c r="AS291" s="382" t="str">
        <f>IF(AQ291=ROWS(AS$266:AS291),RANK(AR291,$AR$266:$AR$300),"")</f>
        <v/>
      </c>
      <c r="AT291" s="368"/>
      <c r="AU291" s="1461"/>
      <c r="AV291" s="1394"/>
      <c r="AW291" s="1459" t="str">
        <f ca="1">IF(AV291=ROWS(AW$266:AW291),RAND(),"")</f>
        <v/>
      </c>
      <c r="AX291" s="382" t="str">
        <f>IF(AV291=ROWS(AX$266:AX291),RANK(AW291,$AW$266:$AW$300),"")</f>
        <v/>
      </c>
      <c r="AY291" s="368"/>
      <c r="AZ291" s="1461"/>
      <c r="BA291" s="273"/>
      <c r="BB291" s="1535">
        <v>15</v>
      </c>
      <c r="BC291" s="1536">
        <f t="shared" ca="1" si="98"/>
        <v>0.21046292775192399</v>
      </c>
      <c r="BD291" s="1537">
        <f t="shared" ca="1" si="99"/>
        <v>24</v>
      </c>
      <c r="BE291" s="1574" t="s">
        <v>6924</v>
      </c>
      <c r="BF291" s="1539" t="str">
        <f t="shared" ca="1" si="100"/>
        <v>Whispers of the Grave</v>
      </c>
      <c r="BK291" s="272"/>
      <c r="BL291" s="272"/>
      <c r="BM291" s="272"/>
      <c r="BN291" s="3306"/>
      <c r="BO291" s="1547">
        <v>5</v>
      </c>
      <c r="BP291" s="1301">
        <f t="shared" ca="1" si="82"/>
        <v>0.99248059666793287</v>
      </c>
      <c r="BQ291" s="1547">
        <f t="shared" ca="1" si="101"/>
        <v>1</v>
      </c>
      <c r="BR291" s="1575" t="str">
        <f>IF([1]MATH!$C$9=1,$BJ$252,IF([1]MATH!$C$9=2,$BJ$262,IF([1]MATH!$C$9=3,$BJ$272,"")))</f>
        <v/>
      </c>
      <c r="BS291" s="1548" t="str">
        <f t="shared" ca="1" si="102"/>
        <v/>
      </c>
      <c r="BT291" s="272"/>
      <c r="BU291" s="272"/>
      <c r="BV291" s="272"/>
    </row>
    <row r="292" spans="2:74" ht="12" customHeight="1" thickBot="1">
      <c r="B292" s="1336">
        <v>27</v>
      </c>
      <c r="C292" s="382"/>
      <c r="D292" s="1459" t="str">
        <f ca="1">IF(C292=ROWS(D$266:D292),RAND(),"")</f>
        <v/>
      </c>
      <c r="E292" s="382" t="str">
        <f>IF(C292=ROWS(E$266:E292),RANK(D292,$D$266:$D$300),"")</f>
        <v/>
      </c>
      <c r="F292" s="382"/>
      <c r="G292" s="1461" t="str">
        <f t="shared" si="86"/>
        <v/>
      </c>
      <c r="H292" s="382">
        <v>27</v>
      </c>
      <c r="I292" s="1459">
        <f ca="1">IF(H292=ROWS(I$266:I292),RAND(),"")</f>
        <v>9.4812402149677677E-3</v>
      </c>
      <c r="J292" s="382">
        <f ca="1">IF(H292=ROWS(J$266:J292),RANK(I292,$I$266:$I$300),"")</f>
        <v>30</v>
      </c>
      <c r="K292" s="1338" t="s">
        <v>7617</v>
      </c>
      <c r="L292" s="1461" t="str">
        <f t="shared" ca="1" si="87"/>
        <v>Chromatic Orb</v>
      </c>
      <c r="M292" s="382">
        <v>27</v>
      </c>
      <c r="N292" s="1459">
        <f ca="1">IF(M292=ROWS(N$266:N292),RAND(),"")</f>
        <v>0.77965282317427853</v>
      </c>
      <c r="O292" s="382">
        <f ca="1">IF(M292=ROWS(O$266:O292),RANK(N292,$N$266:$N$300),"")</f>
        <v>6</v>
      </c>
      <c r="P292" s="1338" t="s">
        <v>7618</v>
      </c>
      <c r="Q292" s="1461" t="str">
        <f t="shared" ca="1" si="88"/>
        <v>Mirror Image</v>
      </c>
      <c r="R292" s="1394">
        <v>27</v>
      </c>
      <c r="S292" s="1459">
        <f ca="1">IF(R292=ROWS(S$266:S292),RAND(),"")</f>
        <v>0.84338587896411754</v>
      </c>
      <c r="T292" s="382">
        <f ca="1">IF(R292=ROWS(T$266:T292),RANK(S292,$S$266:$S$300),"")</f>
        <v>7</v>
      </c>
      <c r="U292" s="1338" t="s">
        <v>7286</v>
      </c>
      <c r="V292" s="1461" t="str">
        <f t="shared" ca="1" si="89"/>
        <v>Blink</v>
      </c>
      <c r="W292" s="1394"/>
      <c r="X292" s="1459" t="str">
        <f ca="1">IF(W292=ROWS(X$266:X292),RAND(),"")</f>
        <v/>
      </c>
      <c r="Y292" s="382" t="str">
        <f>IF(W292=ROWS(Y$266:Y292),RANK(X292,$X$266:$X$300),"")</f>
        <v/>
      </c>
      <c r="Z292" s="368"/>
      <c r="AA292" s="1461"/>
      <c r="AB292" s="1394"/>
      <c r="AC292" s="1459" t="str">
        <f ca="1">IF(AB292=ROWS(AC$266:AC292),RAND(),"")</f>
        <v/>
      </c>
      <c r="AD292" s="382" t="str">
        <f>IF(AB292=ROWS(AD$266:AD292),RANK(AC292,$AC$266:$AC$300),"")</f>
        <v/>
      </c>
      <c r="AE292" s="368"/>
      <c r="AF292" s="1461"/>
      <c r="AG292" s="1394"/>
      <c r="AH292" s="1459" t="str">
        <f ca="1">IF(AG292=ROWS(AH$266:AH292),RAND(),"")</f>
        <v/>
      </c>
      <c r="AI292" s="382" t="str">
        <f>IF(AG292=ROWS(AI$266:AI292),RANK(AH292,$AH$266:$AH$300),"")</f>
        <v/>
      </c>
      <c r="AJ292" s="368"/>
      <c r="AK292" s="1461"/>
      <c r="AL292" s="1394"/>
      <c r="AM292" s="1459" t="str">
        <f ca="1">IF(AL292=ROWS(AM$266:AM292),RAND(),"")</f>
        <v/>
      </c>
      <c r="AN292" s="382" t="str">
        <f>IF(AL292=ROWS(AN$266:AN292),RANK(AM292,$AM$266:$AM$300),"")</f>
        <v/>
      </c>
      <c r="AO292" s="368"/>
      <c r="AP292" s="1461"/>
      <c r="AQ292" s="1394"/>
      <c r="AR292" s="1459" t="str">
        <f ca="1">IF(AQ292=ROWS(AR$266:AR292),RAND(),"")</f>
        <v/>
      </c>
      <c r="AS292" s="382" t="str">
        <f>IF(AQ292=ROWS(AS$266:AS292),RANK(AR292,$AR$266:$AR$300),"")</f>
        <v/>
      </c>
      <c r="AT292" s="368"/>
      <c r="AU292" s="1461"/>
      <c r="AV292" s="1394"/>
      <c r="AW292" s="1459" t="str">
        <f ca="1">IF(AV292=ROWS(AW$266:AW292),RAND(),"")</f>
        <v/>
      </c>
      <c r="AX292" s="382" t="str">
        <f>IF(AV292=ROWS(AX$266:AX292),RANK(AW292,$AW$266:$AW$300),"")</f>
        <v/>
      </c>
      <c r="AY292" s="368"/>
      <c r="AZ292" s="1461"/>
      <c r="BA292" s="273"/>
      <c r="BB292" s="1535">
        <v>16</v>
      </c>
      <c r="BC292" s="1536">
        <f t="shared" ca="1" si="98"/>
        <v>0.89705194226621765</v>
      </c>
      <c r="BD292" s="1537">
        <f t="shared" ca="1" si="99"/>
        <v>5</v>
      </c>
      <c r="BE292" s="1576" t="s">
        <v>6925</v>
      </c>
      <c r="BF292" s="1539" t="str">
        <f t="shared" ca="1" si="100"/>
        <v>Repelling Blast</v>
      </c>
      <c r="BG292" s="1513"/>
      <c r="BH292" s="1513"/>
      <c r="BI292" s="1465"/>
      <c r="BJ292" s="1465"/>
      <c r="BK292" s="272"/>
      <c r="BL292" s="272"/>
      <c r="BM292" s="272"/>
      <c r="BN292" s="3307"/>
      <c r="BO292" s="1553">
        <v>6</v>
      </c>
      <c r="BP292" s="1304">
        <f t="shared" ca="1" si="82"/>
        <v>0.31045312671966363</v>
      </c>
      <c r="BQ292" s="1553">
        <f t="shared" ca="1" si="101"/>
        <v>5</v>
      </c>
      <c r="BR292" s="1575" t="str">
        <f>IF([1]MATH!$C$9=1,$BJ$253,IF([1]MATH!$C$9=2,$BJ$263,IF([1]MATH!$C$9=3,$BJ$273,"")))</f>
        <v/>
      </c>
      <c r="BS292" s="1554" t="str">
        <f t="shared" ca="1" si="102"/>
        <v>Blight</v>
      </c>
      <c r="BT292" s="272"/>
      <c r="BU292" s="272"/>
      <c r="BV292" s="272"/>
    </row>
    <row r="293" spans="2:74" ht="12" customHeight="1">
      <c r="B293" s="1336">
        <v>28</v>
      </c>
      <c r="C293" s="382"/>
      <c r="D293" s="1459" t="str">
        <f ca="1">IF(C293=ROWS(D$266:D293),RAND(),"")</f>
        <v/>
      </c>
      <c r="E293" s="382" t="str">
        <f>IF(C293=ROWS(E$266:E293),RANK(D293,$D$266:$D$300),"")</f>
        <v/>
      </c>
      <c r="F293" s="382"/>
      <c r="G293" s="1461" t="str">
        <f t="shared" si="86"/>
        <v/>
      </c>
      <c r="H293" s="382">
        <v>28</v>
      </c>
      <c r="I293" s="1459">
        <f ca="1">IF(H293=ROWS(I$266:I293),RAND(),"")</f>
        <v>0.96512771560018418</v>
      </c>
      <c r="J293" s="382">
        <f ca="1">IF(H293=ROWS(J$266:J293),RANK(I293,$I$266:$I$300),"")</f>
        <v>1</v>
      </c>
      <c r="K293" s="1338" t="s">
        <v>7296</v>
      </c>
      <c r="L293" s="1461" t="str">
        <f t="shared" ca="1" si="87"/>
        <v>Expeditious Retreat</v>
      </c>
      <c r="M293" s="382">
        <v>28</v>
      </c>
      <c r="N293" s="1459">
        <f ca="1">IF(M293=ROWS(N$266:N293),RAND(),"")</f>
        <v>0.17018922987731977</v>
      </c>
      <c r="O293" s="382">
        <f ca="1">IF(M293=ROWS(O$266:O293),RANK(N293,$N$266:$N$300),"")</f>
        <v>30</v>
      </c>
      <c r="P293" s="1338" t="s">
        <v>7619</v>
      </c>
      <c r="Q293" s="1461" t="str">
        <f t="shared" ca="1" si="88"/>
        <v>Enlarge/Reduce</v>
      </c>
      <c r="R293" s="1394">
        <v>28</v>
      </c>
      <c r="S293" s="1459">
        <f ca="1">IF(R293=ROWS(S$266:S293),RAND(),"")</f>
        <v>0.67460564819322022</v>
      </c>
      <c r="T293" s="382">
        <f ca="1">IF(R293=ROWS(T$266:T293),RANK(S293,$S$266:$S$300),"")</f>
        <v>12</v>
      </c>
      <c r="U293" s="1338" t="s">
        <v>7620</v>
      </c>
      <c r="V293" s="1461" t="str">
        <f t="shared" ca="1" si="89"/>
        <v>Hypnotic Pattern</v>
      </c>
      <c r="W293" s="1394"/>
      <c r="X293" s="1459" t="str">
        <f ca="1">IF(W293=ROWS(X$266:X293),RAND(),"")</f>
        <v/>
      </c>
      <c r="Y293" s="382" t="str">
        <f>IF(W293=ROWS(Y$266:Y293),RANK(X293,$X$266:$X$300),"")</f>
        <v/>
      </c>
      <c r="Z293" s="368"/>
      <c r="AA293" s="1461"/>
      <c r="AB293" s="1394"/>
      <c r="AC293" s="1459" t="str">
        <f ca="1">IF(AB293=ROWS(AC$266:AC293),RAND(),"")</f>
        <v/>
      </c>
      <c r="AD293" s="382" t="str">
        <f>IF(AB293=ROWS(AD$266:AD293),RANK(AC293,$AC$266:$AC$300),"")</f>
        <v/>
      </c>
      <c r="AE293" s="368"/>
      <c r="AF293" s="1461"/>
      <c r="AG293" s="1394"/>
      <c r="AH293" s="1459" t="str">
        <f ca="1">IF(AG293=ROWS(AH$266:AH293),RAND(),"")</f>
        <v/>
      </c>
      <c r="AI293" s="382" t="str">
        <f>IF(AG293=ROWS(AI$266:AI293),RANK(AH293,$AH$266:$AH$300),"")</f>
        <v/>
      </c>
      <c r="AJ293" s="368"/>
      <c r="AK293" s="1461"/>
      <c r="AL293" s="1394"/>
      <c r="AM293" s="1459" t="str">
        <f ca="1">IF(AL293=ROWS(AM$266:AM293),RAND(),"")</f>
        <v/>
      </c>
      <c r="AN293" s="382" t="str">
        <f>IF(AL293=ROWS(AN$266:AN293),RANK(AM293,$AM$266:$AM$300),"")</f>
        <v/>
      </c>
      <c r="AO293" s="368"/>
      <c r="AP293" s="1461"/>
      <c r="AQ293" s="1394"/>
      <c r="AR293" s="1459" t="str">
        <f ca="1">IF(AQ293=ROWS(AR$266:AR293),RAND(),"")</f>
        <v/>
      </c>
      <c r="AS293" s="382" t="str">
        <f>IF(AQ293=ROWS(AS$266:AS293),RANK(AR293,$AR$266:$AR$300),"")</f>
        <v/>
      </c>
      <c r="AT293" s="368"/>
      <c r="AU293" s="1461"/>
      <c r="AV293" s="1394"/>
      <c r="AW293" s="1459" t="str">
        <f ca="1">IF(AV293=ROWS(AW$266:AW293),RAND(),"")</f>
        <v/>
      </c>
      <c r="AX293" s="382" t="str">
        <f>IF(AV293=ROWS(AX$266:AX293),RANK(AW293,$AW$266:$AW$300),"")</f>
        <v/>
      </c>
      <c r="AY293" s="368"/>
      <c r="AZ293" s="1461"/>
      <c r="BA293" s="273"/>
      <c r="BB293" s="1535">
        <v>17</v>
      </c>
      <c r="BC293" s="1536">
        <f t="shared" ca="1" si="98"/>
        <v>0.19928195976177276</v>
      </c>
      <c r="BD293" s="1537">
        <f t="shared" ca="1" si="99"/>
        <v>27</v>
      </c>
      <c r="BE293" s="1576" t="s">
        <v>6926</v>
      </c>
      <c r="BF293" s="1539" t="str">
        <f t="shared" ca="1" si="100"/>
        <v>Otherworldly Leap</v>
      </c>
      <c r="BK293" s="272"/>
      <c r="BL293" s="272"/>
      <c r="BM293" s="272"/>
      <c r="BN293" s="3305">
        <v>5</v>
      </c>
      <c r="BO293" s="1540">
        <v>1</v>
      </c>
      <c r="BP293" s="1299">
        <f ca="1">RAND()</f>
        <v>0.3909218534661939</v>
      </c>
      <c r="BQ293" s="1540">
        <f t="shared" ref="BQ293:BQ298" ca="1" si="103">RANK(BP293,$BP$293:$BP$298)</f>
        <v>4</v>
      </c>
      <c r="BR293" s="741" t="s">
        <v>7668</v>
      </c>
      <c r="BS293" s="1541" t="str">
        <f t="shared" ref="BS293:BS298" ca="1" si="104">VLOOKUP(BO293,$BQ$293:$BR$298,2,FALSE)</f>
        <v>Hold Monster</v>
      </c>
      <c r="BT293" s="272"/>
      <c r="BU293" s="272"/>
      <c r="BV293" s="272"/>
    </row>
    <row r="294" spans="2:74" ht="12" customHeight="1">
      <c r="B294" s="1336">
        <v>29</v>
      </c>
      <c r="C294" s="382"/>
      <c r="D294" s="1459" t="str">
        <f ca="1">IF(C294=ROWS(D$266:D294),RAND(),"")</f>
        <v/>
      </c>
      <c r="E294" s="382" t="str">
        <f>IF(C294=ROWS(E$266:E294),RANK(D294,$D$266:$D$300),"")</f>
        <v/>
      </c>
      <c r="F294" s="382"/>
      <c r="G294" s="1461" t="str">
        <f t="shared" si="86"/>
        <v/>
      </c>
      <c r="H294" s="382">
        <v>29</v>
      </c>
      <c r="I294" s="1459">
        <f ca="1">IF(H294=ROWS(I$266:I294),RAND(),"")</f>
        <v>0.17732342909448118</v>
      </c>
      <c r="J294" s="382">
        <f ca="1">IF(H294=ROWS(J$266:J294),RANK(I294,$I$266:$I$300),"")</f>
        <v>20</v>
      </c>
      <c r="K294" s="1338" t="s">
        <v>7298</v>
      </c>
      <c r="L294" s="1461" t="str">
        <f t="shared" ca="1" si="87"/>
        <v>Detect Magic</v>
      </c>
      <c r="M294" s="382">
        <v>29</v>
      </c>
      <c r="N294" s="1459">
        <f ca="1">IF(M294=ROWS(N$266:N294),RAND(),"")</f>
        <v>0.17237584954646601</v>
      </c>
      <c r="O294" s="382">
        <f ca="1">IF(M294=ROWS(O$266:O294),RANK(N294,$N$266:$N$300),"")</f>
        <v>29</v>
      </c>
      <c r="P294" s="1338" t="s">
        <v>7369</v>
      </c>
      <c r="Q294" s="1461" t="str">
        <f t="shared" ca="1" si="88"/>
        <v>Scorching Ray</v>
      </c>
      <c r="R294" s="1394">
        <v>29</v>
      </c>
      <c r="S294" s="1459">
        <f ca="1">IF(R294=ROWS(S$266:S294),RAND(),"")</f>
        <v>0.78925534894709404</v>
      </c>
      <c r="T294" s="382">
        <f ca="1">IF(R294=ROWS(T$266:T294),RANK(S294,$S$266:$S$300),"")</f>
        <v>8</v>
      </c>
      <c r="U294" s="1338" t="s">
        <v>3102</v>
      </c>
      <c r="V294" s="1461" t="str">
        <f t="shared" ca="1" si="89"/>
        <v>Haste</v>
      </c>
      <c r="W294" s="1394"/>
      <c r="X294" s="1459" t="str">
        <f ca="1">IF(W294=ROWS(X$266:X294),RAND(),"")</f>
        <v/>
      </c>
      <c r="Y294" s="382" t="str">
        <f>IF(W294=ROWS(Y$266:Y294),RANK(X294,$X$266:$X$300),"")</f>
        <v/>
      </c>
      <c r="Z294" s="368"/>
      <c r="AA294" s="1461"/>
      <c r="AB294" s="1394"/>
      <c r="AC294" s="1459" t="str">
        <f ca="1">IF(AB294=ROWS(AC$266:AC294),RAND(),"")</f>
        <v/>
      </c>
      <c r="AD294" s="382" t="str">
        <f>IF(AB294=ROWS(AD$266:AD294),RANK(AC294,$AC$266:$AC$300),"")</f>
        <v/>
      </c>
      <c r="AE294" s="368"/>
      <c r="AF294" s="1461"/>
      <c r="AG294" s="1394"/>
      <c r="AH294" s="1459" t="str">
        <f ca="1">IF(AG294=ROWS(AH$266:AH294),RAND(),"")</f>
        <v/>
      </c>
      <c r="AI294" s="382" t="str">
        <f>IF(AG294=ROWS(AI$266:AI294),RANK(AH294,$AH$266:$AH$300),"")</f>
        <v/>
      </c>
      <c r="AJ294" s="368"/>
      <c r="AK294" s="1461"/>
      <c r="AL294" s="1394"/>
      <c r="AM294" s="1459" t="str">
        <f ca="1">IF(AL294=ROWS(AM$266:AM294),RAND(),"")</f>
        <v/>
      </c>
      <c r="AN294" s="382" t="str">
        <f>IF(AL294=ROWS(AN$266:AN294),RANK(AM294,$AM$266:$AM$300),"")</f>
        <v/>
      </c>
      <c r="AO294" s="368"/>
      <c r="AP294" s="1461"/>
      <c r="AQ294" s="1394"/>
      <c r="AR294" s="1459" t="str">
        <f ca="1">IF(AQ294=ROWS(AR$266:AR294),RAND(),"")</f>
        <v/>
      </c>
      <c r="AS294" s="382" t="str">
        <f>IF(AQ294=ROWS(AS$266:AS294),RANK(AR294,$AR$266:$AR$300),"")</f>
        <v/>
      </c>
      <c r="AT294" s="368"/>
      <c r="AU294" s="1461"/>
      <c r="AV294" s="1394"/>
      <c r="AW294" s="1459" t="str">
        <f ca="1">IF(AV294=ROWS(AW$266:AW294),RAND(),"")</f>
        <v/>
      </c>
      <c r="AX294" s="382" t="str">
        <f>IF(AV294=ROWS(AX$266:AX294),RANK(AW294,$AW$266:$AW$300),"")</f>
        <v/>
      </c>
      <c r="AY294" s="368"/>
      <c r="AZ294" s="1461"/>
      <c r="BA294" s="273"/>
      <c r="BB294" s="1535">
        <v>18</v>
      </c>
      <c r="BC294" s="1536">
        <f t="shared" ca="1" si="98"/>
        <v>0.82152661789263093</v>
      </c>
      <c r="BD294" s="1537">
        <f t="shared" ca="1" si="99"/>
        <v>9</v>
      </c>
      <c r="BE294" s="1576" t="str">
        <f>IF(AND(BA238=BA236,BA162&gt;4),"Thirsting Blade","Devils Sight")</f>
        <v>Devils Sight</v>
      </c>
      <c r="BF294" s="1539" t="str">
        <f t="shared" ca="1" si="100"/>
        <v>Gaze of Two Minds</v>
      </c>
      <c r="BI294" s="272"/>
      <c r="BJ294" s="272"/>
      <c r="BK294" s="272"/>
      <c r="BL294" s="272"/>
      <c r="BM294" s="272"/>
      <c r="BN294" s="3306"/>
      <c r="BO294" s="1547">
        <v>2</v>
      </c>
      <c r="BP294" s="1301">
        <f t="shared" ca="1" si="82"/>
        <v>0.44837392589672143</v>
      </c>
      <c r="BQ294" s="1547">
        <f t="shared" ca="1" si="103"/>
        <v>3</v>
      </c>
      <c r="BR294" s="536" t="s">
        <v>7215</v>
      </c>
      <c r="BS294" s="1548" t="str">
        <f t="shared" ca="1" si="104"/>
        <v/>
      </c>
      <c r="BT294" s="272"/>
      <c r="BU294" s="272"/>
      <c r="BV294" s="272"/>
    </row>
    <row r="295" spans="2:74" ht="12" customHeight="1">
      <c r="B295" s="1336">
        <v>30</v>
      </c>
      <c r="C295" s="382"/>
      <c r="D295" s="1459" t="str">
        <f ca="1">IF(C295=ROWS(D$266:D295),RAND(),"")</f>
        <v/>
      </c>
      <c r="E295" s="382" t="str">
        <f>IF(C295=ROWS(E$266:E295),RANK(D295,$D$266:$D$300),"")</f>
        <v/>
      </c>
      <c r="F295" s="382"/>
      <c r="G295" s="1461" t="str">
        <f t="shared" si="86"/>
        <v/>
      </c>
      <c r="H295" s="382">
        <v>30</v>
      </c>
      <c r="I295" s="1459">
        <f ca="1">IF(H295=ROWS(I$266:I295),RAND(),"")</f>
        <v>0.78309991691755754</v>
      </c>
      <c r="J295" s="382">
        <f ca="1">IF(H295=ROWS(J$266:J295),RANK(I295,$I$266:$I$300),"")</f>
        <v>5</v>
      </c>
      <c r="K295" s="1338" t="s">
        <v>7541</v>
      </c>
      <c r="L295" s="1461" t="str">
        <f t="shared" ca="1" si="87"/>
        <v>Tenser's Floating Disk</v>
      </c>
      <c r="M295" s="382">
        <v>30</v>
      </c>
      <c r="N295" s="1459">
        <f ca="1">IF(M295=ROWS(N$266:N295),RAND(),"")</f>
        <v>0.68714197628928697</v>
      </c>
      <c r="O295" s="382">
        <f ca="1">IF(M295=ROWS(O$266:O295),RANK(N295,$N$266:$N$300),"")</f>
        <v>11</v>
      </c>
      <c r="P295" s="1338" t="s">
        <v>7293</v>
      </c>
      <c r="Q295" s="1461" t="str">
        <f t="shared" ca="1" si="88"/>
        <v>Rope Trick</v>
      </c>
      <c r="R295" s="1394"/>
      <c r="S295" s="1459" t="str">
        <f ca="1">IF(R295=ROWS(S$266:S295),RAND(),"")</f>
        <v/>
      </c>
      <c r="T295" s="382" t="str">
        <f>IF(R295=ROWS(T$266:T295),RANK(S295,$S$266:$S$300),"")</f>
        <v/>
      </c>
      <c r="U295" s="368"/>
      <c r="V295" s="1461"/>
      <c r="W295" s="1394"/>
      <c r="X295" s="1459" t="str">
        <f ca="1">IF(W295=ROWS(X$266:X295),RAND(),"")</f>
        <v/>
      </c>
      <c r="Y295" s="382" t="str">
        <f>IF(W295=ROWS(Y$266:Y295),RANK(X295,$X$266:$X$300),"")</f>
        <v/>
      </c>
      <c r="Z295" s="368"/>
      <c r="AA295" s="1461"/>
      <c r="AB295" s="1394"/>
      <c r="AC295" s="1459" t="str">
        <f ca="1">IF(AB295=ROWS(AC$266:AC295),RAND(),"")</f>
        <v/>
      </c>
      <c r="AD295" s="382" t="str">
        <f>IF(AB295=ROWS(AD$266:AD295),RANK(AC295,$AC$266:$AC$300),"")</f>
        <v/>
      </c>
      <c r="AE295" s="368"/>
      <c r="AF295" s="1461"/>
      <c r="AG295" s="1394"/>
      <c r="AH295" s="1459" t="str">
        <f ca="1">IF(AG295=ROWS(AH$266:AH295),RAND(),"")</f>
        <v/>
      </c>
      <c r="AI295" s="382" t="str">
        <f>IF(AG295=ROWS(AI$266:AI295),RANK(AH295,$AH$266:$AH$300),"")</f>
        <v/>
      </c>
      <c r="AJ295" s="368"/>
      <c r="AK295" s="1461"/>
      <c r="AL295" s="1394"/>
      <c r="AM295" s="1459" t="str">
        <f ca="1">IF(AL295=ROWS(AM$266:AM295),RAND(),"")</f>
        <v/>
      </c>
      <c r="AN295" s="382" t="str">
        <f>IF(AL295=ROWS(AN$266:AN295),RANK(AM295,$AM$266:$AM$300),"")</f>
        <v/>
      </c>
      <c r="AO295" s="368"/>
      <c r="AP295" s="1461"/>
      <c r="AQ295" s="1394"/>
      <c r="AR295" s="1459" t="str">
        <f ca="1">IF(AQ295=ROWS(AR$266:AR295),RAND(),"")</f>
        <v/>
      </c>
      <c r="AS295" s="382" t="str">
        <f>IF(AQ295=ROWS(AS$266:AS295),RANK(AR295,$AR$266:$AR$300),"")</f>
        <v/>
      </c>
      <c r="AT295" s="368"/>
      <c r="AU295" s="1461"/>
      <c r="AV295" s="1394"/>
      <c r="AW295" s="1459" t="str">
        <f ca="1">IF(AV295=ROWS(AW$266:AW295),RAND(),"")</f>
        <v/>
      </c>
      <c r="AX295" s="382" t="str">
        <f>IF(AV295=ROWS(AX$266:AX295),RANK(AW295,$AW$266:$AW$300),"")</f>
        <v/>
      </c>
      <c r="AY295" s="368"/>
      <c r="AZ295" s="1461"/>
      <c r="BA295" s="273"/>
      <c r="BB295" s="1535">
        <v>19</v>
      </c>
      <c r="BC295" s="1536">
        <f t="shared" ca="1" si="98"/>
        <v>0.18017741870910531</v>
      </c>
      <c r="BD295" s="1537">
        <f t="shared" ca="1" si="99"/>
        <v>28</v>
      </c>
      <c r="BE295" s="1576" t="s">
        <v>6927</v>
      </c>
      <c r="BF295" s="1539" t="str">
        <f t="shared" ca="1" si="100"/>
        <v>Witch Sight</v>
      </c>
      <c r="BK295" s="272"/>
      <c r="BL295" s="272"/>
      <c r="BM295" s="272"/>
      <c r="BN295" s="3306"/>
      <c r="BO295" s="1547">
        <v>3</v>
      </c>
      <c r="BP295" s="1301">
        <f t="shared" ca="1" si="82"/>
        <v>0.92537063351885573</v>
      </c>
      <c r="BQ295" s="1547">
        <f t="shared" ca="1" si="103"/>
        <v>1</v>
      </c>
      <c r="BR295" s="536" t="s">
        <v>7242</v>
      </c>
      <c r="BS295" s="1548" t="str">
        <f t="shared" ca="1" si="104"/>
        <v>Dream</v>
      </c>
      <c r="BT295" s="272"/>
      <c r="BU295" s="272"/>
      <c r="BV295" s="272"/>
    </row>
    <row r="296" spans="2:74" ht="12" customHeight="1">
      <c r="B296" s="1336">
        <v>31</v>
      </c>
      <c r="C296" s="382"/>
      <c r="D296" s="1459" t="str">
        <f ca="1">IF(C296=ROWS(D$266:D296),RAND(),"")</f>
        <v/>
      </c>
      <c r="E296" s="382" t="str">
        <f>IF(C296=ROWS(E$266:E296),RANK(D296,$D$266:$D$300),"")</f>
        <v/>
      </c>
      <c r="F296" s="382"/>
      <c r="G296" s="1461" t="str">
        <f t="shared" si="86"/>
        <v/>
      </c>
      <c r="H296" s="382"/>
      <c r="I296" s="1459" t="str">
        <f ca="1">IF(H296=ROWS(I$266:I296),RAND(),"")</f>
        <v/>
      </c>
      <c r="J296" s="382" t="str">
        <f>IF(H296=ROWS(J$266:J296),RANK(I296,$I$266:$I$300),"")</f>
        <v/>
      </c>
      <c r="K296" s="382"/>
      <c r="L296" s="1461" t="str">
        <f>IF(J296&gt;$B$265,"",VLOOKUP(H296,$E$266:$F$300,2,FALSE))</f>
        <v/>
      </c>
      <c r="M296" s="382">
        <v>31</v>
      </c>
      <c r="N296" s="1459">
        <f ca="1">IF(M296=ROWS(N$266:N296),RAND(),"")</f>
        <v>0.75187755159019354</v>
      </c>
      <c r="O296" s="382">
        <f ca="1">IF(M296=ROWS(O$266:O296),RANK(N296,$N$266:$N$300),"")</f>
        <v>7</v>
      </c>
      <c r="P296" s="1338" t="s">
        <v>7295</v>
      </c>
      <c r="Q296" s="1461" t="str">
        <f t="shared" ca="1" si="88"/>
        <v>Flaming Sphere</v>
      </c>
      <c r="R296" s="1394"/>
      <c r="S296" s="1459" t="str">
        <f ca="1">IF(R296=ROWS(S$266:S296),RAND(),"")</f>
        <v/>
      </c>
      <c r="T296" s="382" t="str">
        <f>IF(R296=ROWS(T$266:T296),RANK(S296,$S$266:$S$300),"")</f>
        <v/>
      </c>
      <c r="U296" s="368"/>
      <c r="V296" s="1461"/>
      <c r="W296" s="1394"/>
      <c r="X296" s="1459" t="str">
        <f ca="1">IF(W296=ROWS(X$266:X296),RAND(),"")</f>
        <v/>
      </c>
      <c r="Y296" s="382" t="str">
        <f>IF(W296=ROWS(Y$266:Y296),RANK(X296,$X$266:$X$300),"")</f>
        <v/>
      </c>
      <c r="Z296" s="368"/>
      <c r="AA296" s="1461"/>
      <c r="AB296" s="1394"/>
      <c r="AC296" s="1459" t="str">
        <f ca="1">IF(AB296=ROWS(AC$266:AC296),RAND(),"")</f>
        <v/>
      </c>
      <c r="AD296" s="382" t="str">
        <f>IF(AB296=ROWS(AD$266:AD296),RANK(AC296,$AC$266:$AC$300),"")</f>
        <v/>
      </c>
      <c r="AE296" s="368"/>
      <c r="AF296" s="1461"/>
      <c r="AG296" s="1394"/>
      <c r="AH296" s="1459" t="str">
        <f ca="1">IF(AG296=ROWS(AH$266:AH296),RAND(),"")</f>
        <v/>
      </c>
      <c r="AI296" s="382" t="str">
        <f>IF(AG296=ROWS(AI$266:AI296),RANK(AH296,$AH$266:$AH$300),"")</f>
        <v/>
      </c>
      <c r="AJ296" s="368"/>
      <c r="AK296" s="1461"/>
      <c r="AL296" s="1394"/>
      <c r="AM296" s="1459" t="str">
        <f ca="1">IF(AL296=ROWS(AM$266:AM296),RAND(),"")</f>
        <v/>
      </c>
      <c r="AN296" s="382" t="str">
        <f>IF(AL296=ROWS(AN$266:AN296),RANK(AM296,$AM$266:$AM$300),"")</f>
        <v/>
      </c>
      <c r="AO296" s="368"/>
      <c r="AP296" s="1461"/>
      <c r="AQ296" s="1394"/>
      <c r="AR296" s="1459" t="str">
        <f ca="1">IF(AQ296=ROWS(AR$266:AR296),RAND(),"")</f>
        <v/>
      </c>
      <c r="AS296" s="382" t="str">
        <f>IF(AQ296=ROWS(AS$266:AS296),RANK(AR296,$AR$266:$AR$300),"")</f>
        <v/>
      </c>
      <c r="AT296" s="368"/>
      <c r="AU296" s="1461"/>
      <c r="AV296" s="1394"/>
      <c r="AW296" s="1459" t="str">
        <f ca="1">IF(AV296=ROWS(AW$266:AW296),RAND(),"")</f>
        <v/>
      </c>
      <c r="AX296" s="382" t="str">
        <f>IF(AV296=ROWS(AX$266:AX296),RANK(AW296,$AW$266:$AW$300),"")</f>
        <v/>
      </c>
      <c r="AY296" s="368"/>
      <c r="AZ296" s="1461"/>
      <c r="BA296" s="273"/>
      <c r="BB296" s="1535">
        <v>20</v>
      </c>
      <c r="BC296" s="1536">
        <f t="shared" ca="1" si="98"/>
        <v>0.77324519399654135</v>
      </c>
      <c r="BD296" s="1537">
        <f t="shared" ca="1" si="99"/>
        <v>11</v>
      </c>
      <c r="BE296" s="1576" t="s">
        <v>6928</v>
      </c>
      <c r="BF296" s="1539" t="str">
        <f t="shared" ca="1" si="100"/>
        <v>Misty Visions</v>
      </c>
      <c r="BK296" s="272"/>
      <c r="BL296" s="272"/>
      <c r="BM296" s="272"/>
      <c r="BN296" s="3306"/>
      <c r="BO296" s="1547">
        <v>4</v>
      </c>
      <c r="BP296" s="1301">
        <f t="shared" ca="1" si="82"/>
        <v>0.36206314566576581</v>
      </c>
      <c r="BQ296" s="1547">
        <f t="shared" ca="1" si="103"/>
        <v>5</v>
      </c>
      <c r="BR296" s="536" t="s">
        <v>7279</v>
      </c>
      <c r="BS296" s="1548" t="str">
        <f t="shared" ca="1" si="104"/>
        <v>Contact Other Plane</v>
      </c>
      <c r="BT296" s="272"/>
      <c r="BU296" s="272"/>
      <c r="BV296" s="272"/>
    </row>
    <row r="297" spans="2:74" ht="12" customHeight="1">
      <c r="B297" s="1336">
        <v>32</v>
      </c>
      <c r="C297" s="382"/>
      <c r="D297" s="1459" t="str">
        <f ca="1">IF(C297=ROWS(D$266:D297),RAND(),"")</f>
        <v/>
      </c>
      <c r="E297" s="382" t="str">
        <f>IF(C297=ROWS(E$266:E297),RANK(D297,$D$266:$D$300),"")</f>
        <v/>
      </c>
      <c r="F297" s="382"/>
      <c r="G297" s="1461" t="str">
        <f t="shared" si="86"/>
        <v/>
      </c>
      <c r="H297" s="382"/>
      <c r="I297" s="1459" t="str">
        <f ca="1">IF(H297=ROWS(I$266:I297),RAND(),"")</f>
        <v/>
      </c>
      <c r="J297" s="382" t="str">
        <f>IF(H297=ROWS(J$266:J297),RANK(I297,$I$266:$I$300),"")</f>
        <v/>
      </c>
      <c r="K297" s="382"/>
      <c r="L297" s="1461" t="str">
        <f>IF(J297&gt;$B$265,"",VLOOKUP(H297,$E$266:$F$300,2,FALSE))</f>
        <v/>
      </c>
      <c r="M297" s="382">
        <v>32</v>
      </c>
      <c r="N297" s="1459">
        <f ca="1">IF(M297=ROWS(N$266:N297),RAND(),"")</f>
        <v>0.74745719639391628</v>
      </c>
      <c r="O297" s="382">
        <f ca="1">IF(M297=ROWS(O$266:O297),RANK(N297,$N$266:$N$300),"")</f>
        <v>8</v>
      </c>
      <c r="P297" s="1338" t="s">
        <v>2915</v>
      </c>
      <c r="Q297" s="1461" t="str">
        <f t="shared" ca="1" si="88"/>
        <v>Nystul's Magic Aura</v>
      </c>
      <c r="R297" s="1394"/>
      <c r="S297" s="1459" t="str">
        <f ca="1">IF(R297=ROWS(S$266:S297),RAND(),"")</f>
        <v/>
      </c>
      <c r="T297" s="382" t="str">
        <f>IF(R297=ROWS(T$266:T297),RANK(S297,$S$266:$S$300),"")</f>
        <v/>
      </c>
      <c r="U297" s="368"/>
      <c r="V297" s="1461"/>
      <c r="W297" s="1394"/>
      <c r="X297" s="1459" t="str">
        <f ca="1">IF(W297=ROWS(X$266:X297),RAND(),"")</f>
        <v/>
      </c>
      <c r="Y297" s="382" t="str">
        <f>IF(W297=ROWS(Y$266:Y297),RANK(X297,$X$266:$X$300),"")</f>
        <v/>
      </c>
      <c r="Z297" s="368"/>
      <c r="AA297" s="1461"/>
      <c r="AB297" s="1394"/>
      <c r="AC297" s="1459" t="str">
        <f ca="1">IF(AB297=ROWS(AC$266:AC297),RAND(),"")</f>
        <v/>
      </c>
      <c r="AD297" s="382" t="str">
        <f>IF(AB297=ROWS(AD$266:AD297),RANK(AC297,$AC$266:$AC$300),"")</f>
        <v/>
      </c>
      <c r="AE297" s="368"/>
      <c r="AF297" s="1461"/>
      <c r="AG297" s="1394"/>
      <c r="AH297" s="1459" t="str">
        <f ca="1">IF(AG297=ROWS(AH$266:AH297),RAND(),"")</f>
        <v/>
      </c>
      <c r="AI297" s="382" t="str">
        <f>IF(AG297=ROWS(AI$266:AI297),RANK(AH297,$AH$266:$AH$300),"")</f>
        <v/>
      </c>
      <c r="AJ297" s="368"/>
      <c r="AK297" s="1461"/>
      <c r="AL297" s="1394"/>
      <c r="AM297" s="1459" t="str">
        <f ca="1">IF(AL297=ROWS(AM$266:AM297),RAND(),"")</f>
        <v/>
      </c>
      <c r="AN297" s="382" t="str">
        <f>IF(AL297=ROWS(AN$266:AN297),RANK(AM297,$AM$266:$AM$300),"")</f>
        <v/>
      </c>
      <c r="AO297" s="368"/>
      <c r="AP297" s="1461"/>
      <c r="AQ297" s="1394"/>
      <c r="AR297" s="1459" t="str">
        <f ca="1">IF(AQ297=ROWS(AR$266:AR297),RAND(),"")</f>
        <v/>
      </c>
      <c r="AS297" s="382" t="str">
        <f>IF(AQ297=ROWS(AS$266:AS297),RANK(AR297,$AR$266:$AR$300),"")</f>
        <v/>
      </c>
      <c r="AT297" s="368"/>
      <c r="AU297" s="1461"/>
      <c r="AV297" s="1394"/>
      <c r="AW297" s="1459" t="str">
        <f ca="1">IF(AV297=ROWS(AW$266:AW297),RAND(),"")</f>
        <v/>
      </c>
      <c r="AX297" s="382" t="str">
        <f>IF(AV297=ROWS(AX$266:AX297),RANK(AW297,$AW$266:$AW$300),"")</f>
        <v/>
      </c>
      <c r="AY297" s="368"/>
      <c r="AZ297" s="1461"/>
      <c r="BA297" s="273"/>
      <c r="BB297" s="1535">
        <v>21</v>
      </c>
      <c r="BC297" s="1536">
        <f t="shared" ca="1" si="98"/>
        <v>0.93924929896242537</v>
      </c>
      <c r="BD297" s="1537">
        <f t="shared" ca="1" si="99"/>
        <v>4</v>
      </c>
      <c r="BE297" s="1576" t="s">
        <v>6929</v>
      </c>
      <c r="BF297" s="1539" t="str">
        <f t="shared" ca="1" si="100"/>
        <v>Beast Speech</v>
      </c>
      <c r="BK297" s="272"/>
      <c r="BL297" s="272"/>
      <c r="BM297" s="272"/>
      <c r="BN297" s="3306"/>
      <c r="BO297" s="1547">
        <v>5</v>
      </c>
      <c r="BP297" s="1301">
        <f t="shared" ca="1" si="82"/>
        <v>4.6701020554716144E-2</v>
      </c>
      <c r="BQ297" s="1547">
        <f t="shared" ca="1" si="103"/>
        <v>6</v>
      </c>
      <c r="BR297" s="1550" t="str">
        <f>IF([1]MATH!$C$9=1,$BJ$254,IF([1]MATH!$C$9=2,$BJ$264,IF([1]MATH!$C$9=3,$BJ$274,"")))</f>
        <v/>
      </c>
      <c r="BS297" s="1548" t="str">
        <f t="shared" ca="1" si="104"/>
        <v>Scrying</v>
      </c>
      <c r="BT297" s="272"/>
      <c r="BU297" s="272"/>
      <c r="BV297" s="272"/>
    </row>
    <row r="298" spans="2:74" ht="12" customHeight="1" thickBot="1">
      <c r="B298" s="1336">
        <v>33</v>
      </c>
      <c r="C298" s="382"/>
      <c r="D298" s="1459" t="str">
        <f ca="1">IF(C298=ROWS(D$266:D298),RAND(),"")</f>
        <v/>
      </c>
      <c r="E298" s="382" t="str">
        <f>IF(C298=ROWS(E$266:E298),RANK(D298,$D$266:$D$300),"")</f>
        <v/>
      </c>
      <c r="F298" s="382"/>
      <c r="G298" s="1461" t="str">
        <f t="shared" si="86"/>
        <v/>
      </c>
      <c r="H298" s="382"/>
      <c r="I298" s="1459" t="str">
        <f ca="1">IF(H298=ROWS(I$266:I298),RAND(),"")</f>
        <v/>
      </c>
      <c r="J298" s="382" t="str">
        <f>IF(H298=ROWS(J$266:J298),RANK(I298,$I$266:$I$300),"")</f>
        <v/>
      </c>
      <c r="K298" s="382"/>
      <c r="L298" s="1461" t="str">
        <f>IF(J298&gt;$B$265,"",VLOOKUP(H298,$E$266:$F$300,2,FALSE))</f>
        <v/>
      </c>
      <c r="M298" s="382">
        <v>33</v>
      </c>
      <c r="N298" s="1459">
        <f ca="1">IF(M298=ROWS(N$266:N298),RAND(),"")</f>
        <v>0.51416558304139626</v>
      </c>
      <c r="O298" s="382">
        <f ca="1">IF(M298=ROWS(O$266:O298),RANK(N298,$N$266:$N$300),"")</f>
        <v>14</v>
      </c>
      <c r="P298" s="1338" t="s">
        <v>7300</v>
      </c>
      <c r="Q298" s="1461" t="str">
        <f t="shared" ca="1" si="88"/>
        <v>Continual Flame</v>
      </c>
      <c r="R298" s="1394"/>
      <c r="S298" s="1459" t="str">
        <f ca="1">IF(R298=ROWS(S$266:S298),RAND(),"")</f>
        <v/>
      </c>
      <c r="T298" s="382" t="str">
        <f>IF(R298=ROWS(T$266:T298),RANK(S298,$S$266:$S$300),"")</f>
        <v/>
      </c>
      <c r="U298" s="368"/>
      <c r="V298" s="1461"/>
      <c r="W298" s="1394"/>
      <c r="X298" s="1459" t="str">
        <f ca="1">IF(W298=ROWS(X$266:X298),RAND(),"")</f>
        <v/>
      </c>
      <c r="Y298" s="382" t="str">
        <f>IF(W298=ROWS(Y$266:Y298),RANK(X298,$X$266:$X$300),"")</f>
        <v/>
      </c>
      <c r="Z298" s="368"/>
      <c r="AA298" s="1461"/>
      <c r="AB298" s="1394"/>
      <c r="AC298" s="1459" t="str">
        <f ca="1">IF(AB298=ROWS(AC$266:AC298),RAND(),"")</f>
        <v/>
      </c>
      <c r="AD298" s="382" t="str">
        <f>IF(AB298=ROWS(AD$266:AD298),RANK(AC298,$AC$266:$AC$300),"")</f>
        <v/>
      </c>
      <c r="AE298" s="368"/>
      <c r="AF298" s="1461"/>
      <c r="AG298" s="1394"/>
      <c r="AH298" s="1459" t="str">
        <f ca="1">IF(AG298=ROWS(AH$266:AH298),RAND(),"")</f>
        <v/>
      </c>
      <c r="AI298" s="382" t="str">
        <f>IF(AG298=ROWS(AI$266:AI298),RANK(AH298,$AH$266:$AH$300),"")</f>
        <v/>
      </c>
      <c r="AJ298" s="368"/>
      <c r="AK298" s="1461"/>
      <c r="AL298" s="1394"/>
      <c r="AM298" s="1459" t="str">
        <f ca="1">IF(AL298=ROWS(AM$266:AM298),RAND(),"")</f>
        <v/>
      </c>
      <c r="AN298" s="382" t="str">
        <f>IF(AL298=ROWS(AN$266:AN298),RANK(AM298,$AM$266:$AM$300),"")</f>
        <v/>
      </c>
      <c r="AO298" s="368"/>
      <c r="AP298" s="1461"/>
      <c r="AQ298" s="1394"/>
      <c r="AR298" s="1459" t="str">
        <f ca="1">IF(AQ298=ROWS(AR$266:AR298),RAND(),"")</f>
        <v/>
      </c>
      <c r="AS298" s="382" t="str">
        <f>IF(AQ298=ROWS(AS$266:AS298),RANK(AR298,$AR$266:$AR$300),"")</f>
        <v/>
      </c>
      <c r="AT298" s="368"/>
      <c r="AU298" s="1461"/>
      <c r="AV298" s="1394"/>
      <c r="AW298" s="1459" t="str">
        <f ca="1">IF(AV298=ROWS(AW$266:AW298),RAND(),"")</f>
        <v/>
      </c>
      <c r="AX298" s="382" t="str">
        <f>IF(AV298=ROWS(AX$266:AX298),RANK(AW298,$AW$266:$AW$300),"")</f>
        <v/>
      </c>
      <c r="AY298" s="368"/>
      <c r="AZ298" s="1461"/>
      <c r="BA298" s="273"/>
      <c r="BB298" s="1535">
        <v>22</v>
      </c>
      <c r="BC298" s="1536">
        <f t="shared" ca="1" si="98"/>
        <v>0.20389887985020805</v>
      </c>
      <c r="BD298" s="1537">
        <f t="shared" ca="1" si="99"/>
        <v>25</v>
      </c>
      <c r="BE298" s="1576" t="s">
        <v>6930</v>
      </c>
      <c r="BF298" s="1539" t="str">
        <f t="shared" ca="1" si="100"/>
        <v>Armor of Shadows</v>
      </c>
      <c r="BG298" s="271" t="s">
        <v>1287</v>
      </c>
      <c r="BI298" s="272"/>
      <c r="BJ298" s="272"/>
      <c r="BK298" s="272"/>
      <c r="BL298" s="272"/>
      <c r="BM298" s="272"/>
      <c r="BN298" s="3307"/>
      <c r="BO298" s="1553">
        <v>6</v>
      </c>
      <c r="BP298" s="1304">
        <f t="shared" ca="1" si="82"/>
        <v>0.79004335710103313</v>
      </c>
      <c r="BQ298" s="1553">
        <f t="shared" ca="1" si="103"/>
        <v>2</v>
      </c>
      <c r="BR298" s="1550" t="str">
        <f>IF([1]MATH!$C$9=1,$BJ$255,IF([1]MATH!$C$9=2,$BJ$265,IF([1]MATH!$C$9=3,$BJ$275,"")))</f>
        <v/>
      </c>
      <c r="BS298" s="1554" t="str">
        <f t="shared" ca="1" si="104"/>
        <v/>
      </c>
      <c r="BT298" s="272"/>
      <c r="BU298" s="272"/>
      <c r="BV298" s="272"/>
    </row>
    <row r="299" spans="2:74" ht="12" customHeight="1">
      <c r="B299" s="1336">
        <v>34</v>
      </c>
      <c r="C299" s="382"/>
      <c r="D299" s="1459" t="str">
        <f ca="1">IF(C299=ROWS(D$266:D299),RAND(),"")</f>
        <v/>
      </c>
      <c r="E299" s="382" t="str">
        <f>IF(C299=ROWS(E$266:E299),RANK(D299,$D$266:$D$300),"")</f>
        <v/>
      </c>
      <c r="F299" s="382"/>
      <c r="G299" s="1461" t="str">
        <f t="shared" si="86"/>
        <v/>
      </c>
      <c r="H299" s="382"/>
      <c r="I299" s="1459" t="str">
        <f ca="1">IF(H299=ROWS(I$266:I299),RAND(),"")</f>
        <v/>
      </c>
      <c r="J299" s="382" t="str">
        <f>IF(H299=ROWS(J$266:J299),RANK(I299,$I$266:$I$300),"")</f>
        <v/>
      </c>
      <c r="K299" s="382"/>
      <c r="L299" s="1461" t="str">
        <f>IF(J299&gt;$B$265,"",VLOOKUP(H299,$E$266:$F$300,2,FALSE))</f>
        <v/>
      </c>
      <c r="M299" s="382">
        <v>34</v>
      </c>
      <c r="N299" s="1459">
        <f ca="1">IF(M299=ROWS(N$266:N299),RAND(),"")</f>
        <v>1.9274204009537277E-2</v>
      </c>
      <c r="O299" s="382">
        <f ca="1">IF(M299=ROWS(O$266:O299),RANK(N299,$N$266:$N$300),"")</f>
        <v>34</v>
      </c>
      <c r="P299" s="1338" t="s">
        <v>7449</v>
      </c>
      <c r="Q299" s="1461" t="str">
        <f t="shared" ca="1" si="88"/>
        <v>Web</v>
      </c>
      <c r="R299" s="1394"/>
      <c r="S299" s="1459" t="str">
        <f ca="1">IF(R299=ROWS(S$266:S299),RAND(),"")</f>
        <v/>
      </c>
      <c r="T299" s="382" t="str">
        <f>IF(R299=ROWS(T$266:T299),RANK(S299,$S$266:$S$300),"")</f>
        <v/>
      </c>
      <c r="U299" s="368"/>
      <c r="V299" s="1461"/>
      <c r="W299" s="1394"/>
      <c r="X299" s="1459" t="str">
        <f ca="1">IF(W299=ROWS(X$266:X299),RAND(),"")</f>
        <v/>
      </c>
      <c r="Y299" s="382" t="str">
        <f>IF(W299=ROWS(Y$266:Y299),RANK(X299,$X$266:$X$300),"")</f>
        <v/>
      </c>
      <c r="Z299" s="368"/>
      <c r="AA299" s="1461"/>
      <c r="AB299" s="1394"/>
      <c r="AC299" s="1459" t="str">
        <f ca="1">IF(AB299=ROWS(AC$266:AC299),RAND(),"")</f>
        <v/>
      </c>
      <c r="AD299" s="382" t="str">
        <f>IF(AB299=ROWS(AD$266:AD299),RANK(AC299,$AC$266:$AC$300),"")</f>
        <v/>
      </c>
      <c r="AE299" s="368"/>
      <c r="AF299" s="1461"/>
      <c r="AG299" s="1394"/>
      <c r="AH299" s="1459" t="str">
        <f ca="1">IF(AG299=ROWS(AH$266:AH299),RAND(),"")</f>
        <v/>
      </c>
      <c r="AI299" s="382" t="str">
        <f>IF(AG299=ROWS(AI$266:AI299),RANK(AH299,$AH$266:$AH$300),"")</f>
        <v/>
      </c>
      <c r="AJ299" s="368"/>
      <c r="AK299" s="1461"/>
      <c r="AL299" s="1394"/>
      <c r="AM299" s="1459" t="str">
        <f ca="1">IF(AL299=ROWS(AM$266:AM299),RAND(),"")</f>
        <v/>
      </c>
      <c r="AN299" s="382" t="str">
        <f>IF(AL299=ROWS(AN$266:AN299),RANK(AM299,$AM$266:$AM$300),"")</f>
        <v/>
      </c>
      <c r="AO299" s="368"/>
      <c r="AP299" s="1461"/>
      <c r="AQ299" s="1394"/>
      <c r="AR299" s="1459" t="str">
        <f ca="1">IF(AQ299=ROWS(AR$266:AR299),RAND(),"")</f>
        <v/>
      </c>
      <c r="AS299" s="382" t="str">
        <f>IF(AQ299=ROWS(AS$266:AS299),RANK(AR299,$AR$266:$AR$300),"")</f>
        <v/>
      </c>
      <c r="AT299" s="368"/>
      <c r="AU299" s="1461"/>
      <c r="AV299" s="1394"/>
      <c r="AW299" s="1459" t="str">
        <f ca="1">IF(AV299=ROWS(AW$266:AW299),RAND(),"")</f>
        <v/>
      </c>
      <c r="AX299" s="382" t="str">
        <f>IF(AV299=ROWS(AX$266:AX299),RANK(AW299,$AW$266:$AW$300),"")</f>
        <v/>
      </c>
      <c r="AY299" s="368"/>
      <c r="AZ299" s="1461"/>
      <c r="BA299" s="273"/>
      <c r="BB299" s="1535">
        <v>23</v>
      </c>
      <c r="BC299" s="1536">
        <f t="shared" ca="1" si="98"/>
        <v>0.21443760535667344</v>
      </c>
      <c r="BD299" s="1537">
        <f t="shared" ca="1" si="99"/>
        <v>23</v>
      </c>
      <c r="BE299" s="1576" t="s">
        <v>6931</v>
      </c>
      <c r="BF299" s="1539" t="str">
        <f t="shared" ca="1" si="100"/>
        <v>Minions of Chaos</v>
      </c>
      <c r="BG299" s="271" t="s">
        <v>1287</v>
      </c>
      <c r="BI299" s="272"/>
      <c r="BJ299" s="272"/>
      <c r="BK299" s="272"/>
      <c r="BL299" s="272"/>
      <c r="BM299" s="272"/>
      <c r="BN299" s="3305">
        <v>6</v>
      </c>
      <c r="BO299" s="1540">
        <v>1</v>
      </c>
      <c r="BP299" s="1299">
        <f ca="1">RAND()</f>
        <v>0.71832038432050827</v>
      </c>
      <c r="BQ299" s="1540">
        <f t="shared" ref="BQ299:BQ306" ca="1" si="105">RANK(BP299,$BP$299:$BP$306)</f>
        <v>1</v>
      </c>
      <c r="BR299" s="1577" t="s">
        <v>7631</v>
      </c>
      <c r="BS299" s="1541" t="str">
        <f t="shared" ref="BS299:BS306" ca="1" si="106">VLOOKUP(BO299,$BQ$299:$BR$306,2,FALSE)</f>
        <v>Arcane Gate</v>
      </c>
      <c r="BT299" s="272"/>
      <c r="BU299" s="272"/>
      <c r="BV299" s="272"/>
    </row>
    <row r="300" spans="2:74" ht="12" customHeight="1" thickBot="1">
      <c r="B300" s="1474"/>
      <c r="C300" s="1348"/>
      <c r="D300" s="1481" t="str">
        <f ca="1">IF(C300=ROWS(D$266:D300),RAND(),"")</f>
        <v/>
      </c>
      <c r="E300" s="1348" t="str">
        <f>IF(C300=ROWS(E$266:E300),RANK(D300,$D$266:$D$300),"")</f>
        <v/>
      </c>
      <c r="F300" s="1348"/>
      <c r="G300" s="1484" t="str">
        <f t="shared" si="86"/>
        <v/>
      </c>
      <c r="H300" s="1348"/>
      <c r="I300" s="1481" t="str">
        <f ca="1">IF(H300=ROWS(I$266:I300),RAND(),"")</f>
        <v/>
      </c>
      <c r="J300" s="1348" t="str">
        <f>IF(H300=ROWS(J$266:J300),RANK(I300,$I$266:$I$300),"")</f>
        <v/>
      </c>
      <c r="K300" s="1348"/>
      <c r="L300" s="1484" t="str">
        <f>IF(J300&gt;$B$265,"",VLOOKUP(H300,$E$266:$F$300,2,FALSE))</f>
        <v/>
      </c>
      <c r="M300" s="1348"/>
      <c r="N300" s="1481" t="str">
        <f ca="1">IF(M300=ROWS(N$266:N300),RAND(),"")</f>
        <v/>
      </c>
      <c r="O300" s="1348" t="str">
        <f>IF(M300=ROWS(O$266:O300),RANK(N300,$N$266:$N$300),"")</f>
        <v/>
      </c>
      <c r="P300" s="1348"/>
      <c r="Q300" s="1484" t="str">
        <f>IF(O300&gt;$B$265,"",VLOOKUP(M300,$E$266:$F$300,2,FALSE))</f>
        <v/>
      </c>
      <c r="R300" s="1426"/>
      <c r="S300" s="1481" t="str">
        <f ca="1">IF(R300=ROWS(S$266:S300),RAND(),"")</f>
        <v/>
      </c>
      <c r="T300" s="1348" t="str">
        <f>IF(R300=ROWS(T$266:T300),RANK(S300,$S$266:$S$300),"")</f>
        <v/>
      </c>
      <c r="U300" s="1348"/>
      <c r="V300" s="1484"/>
      <c r="W300" s="1426"/>
      <c r="X300" s="1481" t="str">
        <f ca="1">IF(W300=ROWS(X$266:X300),RAND(),"")</f>
        <v/>
      </c>
      <c r="Y300" s="1348" t="str">
        <f>IF(W300=ROWS(Y$266:Y300),RANK(X300,$S$266:$S$300),"")</f>
        <v/>
      </c>
      <c r="Z300" s="1348"/>
      <c r="AA300" s="1484"/>
      <c r="AB300" s="1426"/>
      <c r="AC300" s="1481" t="str">
        <f ca="1">IF(AB300=ROWS(AC$266:AC300),RAND(),"")</f>
        <v/>
      </c>
      <c r="AD300" s="1348" t="str">
        <f>IF(AB300=ROWS(AD$266:AD300),RANK(AC300,$S$266:$S$300),"")</f>
        <v/>
      </c>
      <c r="AE300" s="1348"/>
      <c r="AF300" s="1484"/>
      <c r="AG300" s="1426"/>
      <c r="AH300" s="1481" t="str">
        <f ca="1">IF(AG300=ROWS(AH$266:AH300),RAND(),"")</f>
        <v/>
      </c>
      <c r="AI300" s="1348" t="str">
        <f>IF(AG300=ROWS(AI$266:AI300),RANK(AH300,$S$266:$S$300),"")</f>
        <v/>
      </c>
      <c r="AJ300" s="1348"/>
      <c r="AK300" s="1484"/>
      <c r="AL300" s="1426"/>
      <c r="AM300" s="1481" t="str">
        <f ca="1">IF(AL300=ROWS(AM$266:AM300),RAND(),"")</f>
        <v/>
      </c>
      <c r="AN300" s="1348" t="str">
        <f>IF(AL300=ROWS(AN$266:AN300),RANK(AM300,$S$266:$S$300),"")</f>
        <v/>
      </c>
      <c r="AO300" s="1348"/>
      <c r="AP300" s="1484"/>
      <c r="AQ300" s="1426"/>
      <c r="AR300" s="1481" t="str">
        <f ca="1">IF(AQ300=ROWS(AR$266:AR300),RAND(),"")</f>
        <v/>
      </c>
      <c r="AS300" s="1348" t="str">
        <f>IF(AQ300=ROWS(AS$266:AS300),RANK(AR300,$S$266:$S$300),"")</f>
        <v/>
      </c>
      <c r="AT300" s="1348"/>
      <c r="AU300" s="1484"/>
      <c r="AV300" s="1426"/>
      <c r="AW300" s="1481" t="str">
        <f ca="1">IF(AV300=ROWS(AW$266:AW300),RAND(),"")</f>
        <v/>
      </c>
      <c r="AX300" s="1348" t="str">
        <f>IF(AV300=ROWS(AX$266:AX300),RANK(AW300,$S$266:$S$300),"")</f>
        <v/>
      </c>
      <c r="AY300" s="1348"/>
      <c r="AZ300" s="1484"/>
      <c r="BA300" s="273"/>
      <c r="BB300" s="1535">
        <v>24</v>
      </c>
      <c r="BC300" s="1536">
        <f t="shared" ca="1" si="98"/>
        <v>0.52017035429513891</v>
      </c>
      <c r="BD300" s="1537">
        <f t="shared" ca="1" si="99"/>
        <v>17</v>
      </c>
      <c r="BE300" s="1576" t="s">
        <v>6932</v>
      </c>
      <c r="BF300" s="1539" t="str">
        <f t="shared" ca="1" si="100"/>
        <v>Mire the Mind</v>
      </c>
      <c r="BG300" s="271" t="s">
        <v>1287</v>
      </c>
      <c r="BK300" s="272"/>
      <c r="BL300" s="272"/>
      <c r="BM300" s="272"/>
      <c r="BN300" s="3306"/>
      <c r="BO300" s="1547">
        <v>2</v>
      </c>
      <c r="BP300" s="1301">
        <f t="shared" ca="1" si="82"/>
        <v>0.18431751632644433</v>
      </c>
      <c r="BQ300" s="1547">
        <f t="shared" ca="1" si="105"/>
        <v>7</v>
      </c>
      <c r="BR300" s="1578" t="s">
        <v>7635</v>
      </c>
      <c r="BS300" s="1548" t="str">
        <f t="shared" ca="1" si="106"/>
        <v>True Seeing</v>
      </c>
      <c r="BT300" s="272"/>
      <c r="BU300" s="272"/>
      <c r="BV300" s="272"/>
    </row>
    <row r="301" spans="2:74" ht="12" customHeight="1" thickTop="1">
      <c r="B301" s="3308" t="s">
        <v>7303</v>
      </c>
      <c r="C301" s="3309"/>
      <c r="BB301" s="1535">
        <v>25</v>
      </c>
      <c r="BC301" s="1536">
        <f t="shared" ca="1" si="98"/>
        <v>0.54186476150902896</v>
      </c>
      <c r="BD301" s="1537">
        <f t="shared" ca="1" si="99"/>
        <v>15</v>
      </c>
      <c r="BE301" s="1576" t="s">
        <v>6933</v>
      </c>
      <c r="BF301" s="1539" t="str">
        <f t="shared" ca="1" si="100"/>
        <v>Ascendant Step</v>
      </c>
      <c r="BG301" s="271" t="s">
        <v>1287</v>
      </c>
      <c r="BK301" s="272"/>
      <c r="BL301" s="272"/>
      <c r="BM301" s="272"/>
      <c r="BN301" s="3306"/>
      <c r="BO301" s="1547">
        <v>3</v>
      </c>
      <c r="BP301" s="1301">
        <f t="shared" ca="1" si="82"/>
        <v>1.5538632945699238E-2</v>
      </c>
      <c r="BQ301" s="1547">
        <f t="shared" ca="1" si="105"/>
        <v>8</v>
      </c>
      <c r="BR301" s="1578" t="s">
        <v>7444</v>
      </c>
      <c r="BS301" s="1548" t="str">
        <f t="shared" ca="1" si="106"/>
        <v>Flesh to Stone</v>
      </c>
      <c r="BT301" s="272"/>
      <c r="BU301" s="272"/>
      <c r="BV301" s="272"/>
    </row>
    <row r="302" spans="2:74" ht="12" customHeight="1">
      <c r="BB302" s="1535">
        <v>26</v>
      </c>
      <c r="BC302" s="1536">
        <f t="shared" ca="1" si="98"/>
        <v>0.8600476667184076</v>
      </c>
      <c r="BD302" s="1537">
        <f t="shared" ca="1" si="99"/>
        <v>6</v>
      </c>
      <c r="BE302" s="1576" t="str">
        <f>IF(AND(BA238=BA236,BA162&gt;11),"Lifedrinker","Armor of Shadows")</f>
        <v>Armor of Shadows</v>
      </c>
      <c r="BF302" s="1539" t="e">
        <f t="shared" ca="1" si="100"/>
        <v>#N/A</v>
      </c>
      <c r="BG302" s="271" t="s">
        <v>1287</v>
      </c>
      <c r="BK302" s="272"/>
      <c r="BL302" s="272"/>
      <c r="BM302" s="272"/>
      <c r="BN302" s="3306"/>
      <c r="BO302" s="1547">
        <v>4</v>
      </c>
      <c r="BP302" s="1301">
        <f t="shared" ca="1" si="82"/>
        <v>0.25978420092195076</v>
      </c>
      <c r="BQ302" s="1547">
        <f t="shared" ca="1" si="105"/>
        <v>5</v>
      </c>
      <c r="BR302" s="1578" t="s">
        <v>7347</v>
      </c>
      <c r="BS302" s="1548" t="str">
        <f t="shared" ca="1" si="106"/>
        <v>Eyebite</v>
      </c>
      <c r="BT302" s="272"/>
      <c r="BU302" s="272"/>
      <c r="BV302" s="272"/>
    </row>
    <row r="303" spans="2:74" ht="12" customHeight="1">
      <c r="BB303" s="1535">
        <v>27</v>
      </c>
      <c r="BC303" s="1536">
        <f t="shared" ca="1" si="98"/>
        <v>0.95057675715670753</v>
      </c>
      <c r="BD303" s="1537">
        <f t="shared" ca="1" si="99"/>
        <v>3</v>
      </c>
      <c r="BE303" s="1576" t="s">
        <v>6934</v>
      </c>
      <c r="BF303" s="1539" t="str">
        <f t="shared" ca="1" si="100"/>
        <v>Sign of Ill Omen</v>
      </c>
      <c r="BG303" s="271" t="s">
        <v>1287</v>
      </c>
      <c r="BK303" s="272"/>
      <c r="BL303" s="272"/>
      <c r="BM303" s="272"/>
      <c r="BN303" s="3306"/>
      <c r="BO303" s="1547">
        <v>5</v>
      </c>
      <c r="BP303" s="1301">
        <f t="shared" ca="1" si="82"/>
        <v>0.47787529521486116</v>
      </c>
      <c r="BQ303" s="1547">
        <f t="shared" ca="1" si="105"/>
        <v>4</v>
      </c>
      <c r="BR303" s="1578" t="s">
        <v>7189</v>
      </c>
      <c r="BS303" s="1548" t="str">
        <f t="shared" ca="1" si="106"/>
        <v>Create Undead</v>
      </c>
      <c r="BT303" s="272"/>
      <c r="BU303" s="272"/>
      <c r="BV303" s="272"/>
    </row>
    <row r="304" spans="2:74" ht="12" customHeight="1">
      <c r="BB304" s="1535">
        <v>28</v>
      </c>
      <c r="BC304" s="1536">
        <f t="shared" ca="1" si="98"/>
        <v>0.85831971812694396</v>
      </c>
      <c r="BD304" s="1537">
        <f t="shared" ca="1" si="99"/>
        <v>7</v>
      </c>
      <c r="BE304" s="1579" t="s">
        <v>6935</v>
      </c>
      <c r="BF304" s="1539" t="str">
        <f t="shared" ca="1" si="100"/>
        <v>Bewitching Whispers</v>
      </c>
      <c r="BG304" s="271" t="s">
        <v>1287</v>
      </c>
      <c r="BK304" s="272"/>
      <c r="BL304" s="272"/>
      <c r="BM304" s="272"/>
      <c r="BN304" s="3306"/>
      <c r="BO304" s="1547">
        <v>6</v>
      </c>
      <c r="BP304" s="1301">
        <f t="shared" ca="1" si="82"/>
        <v>0.58214338154278189</v>
      </c>
      <c r="BQ304" s="1547">
        <f t="shared" ca="1" si="105"/>
        <v>3</v>
      </c>
      <c r="BR304" s="1578" t="s">
        <v>7675</v>
      </c>
      <c r="BS304" s="1548" t="str">
        <f t="shared" ca="1" si="106"/>
        <v>Mass Suggestion</v>
      </c>
      <c r="BT304" s="272"/>
      <c r="BU304" s="272"/>
      <c r="BV304" s="272"/>
    </row>
    <row r="305" spans="54:74" ht="12" customHeight="1">
      <c r="BB305" s="1535">
        <v>29</v>
      </c>
      <c r="BC305" s="1536">
        <f t="shared" ca="1" si="98"/>
        <v>0.43138329066145986</v>
      </c>
      <c r="BD305" s="1537">
        <f t="shared" ca="1" si="99"/>
        <v>19</v>
      </c>
      <c r="BE305" s="667" t="s">
        <v>6936</v>
      </c>
      <c r="BF305" s="1539" t="str">
        <f t="shared" ca="1" si="100"/>
        <v>Repelling Blast</v>
      </c>
      <c r="BG305" s="271" t="s">
        <v>1287</v>
      </c>
      <c r="BK305" s="272"/>
      <c r="BL305" s="272"/>
      <c r="BM305" s="272"/>
      <c r="BN305" s="3306"/>
      <c r="BO305" s="1547">
        <v>7</v>
      </c>
      <c r="BP305" s="1301">
        <f t="shared" ca="1" si="82"/>
        <v>0.21464498428088175</v>
      </c>
      <c r="BQ305" s="1547">
        <f t="shared" ca="1" si="105"/>
        <v>6</v>
      </c>
      <c r="BR305" s="1578" t="s">
        <v>7216</v>
      </c>
      <c r="BS305" s="1548" t="str">
        <f t="shared" ca="1" si="106"/>
        <v>Circle of Death</v>
      </c>
      <c r="BT305" s="272"/>
      <c r="BU305" s="272"/>
      <c r="BV305" s="272"/>
    </row>
    <row r="306" spans="54:74" ht="12" customHeight="1" thickBot="1">
      <c r="BB306" s="1535">
        <v>30</v>
      </c>
      <c r="BC306" s="1536">
        <f t="shared" ca="1" si="98"/>
        <v>0.52151321580212651</v>
      </c>
      <c r="BD306" s="1537">
        <f t="shared" ca="1" si="99"/>
        <v>16</v>
      </c>
      <c r="BE306" s="667" t="str">
        <f>IF(AND(BA238=BA237,BA166&gt;14),"Chains of Carceri","Repelling Blast")</f>
        <v>Repelling Blast</v>
      </c>
      <c r="BF306" s="1539" t="str">
        <f t="shared" ca="1" si="100"/>
        <v>Fiendish Vigor</v>
      </c>
      <c r="BG306" s="271" t="s">
        <v>1287</v>
      </c>
      <c r="BK306" s="272"/>
      <c r="BL306" s="272"/>
      <c r="BM306" s="272"/>
      <c r="BN306" s="3307"/>
      <c r="BO306" s="1553">
        <v>8</v>
      </c>
      <c r="BP306" s="1304">
        <f t="shared" ca="1" si="82"/>
        <v>0.67801804206338068</v>
      </c>
      <c r="BQ306" s="1553">
        <f t="shared" ca="1" si="105"/>
        <v>2</v>
      </c>
      <c r="BR306" s="1580" t="s">
        <v>7243</v>
      </c>
      <c r="BS306" s="1554" t="str">
        <f t="shared" ca="1" si="106"/>
        <v>Conjure Fey</v>
      </c>
      <c r="BT306" s="272"/>
      <c r="BU306" s="272"/>
      <c r="BV306" s="272"/>
    </row>
    <row r="307" spans="54:74" ht="12" customHeight="1">
      <c r="BB307" s="272"/>
      <c r="BC307" s="272"/>
      <c r="BD307" s="272"/>
      <c r="BE307" s="272"/>
      <c r="BF307" s="272"/>
      <c r="BG307" s="271" t="s">
        <v>1287</v>
      </c>
      <c r="BK307" s="272"/>
      <c r="BL307" s="272"/>
      <c r="BM307" s="272"/>
      <c r="BN307" s="3305">
        <v>7</v>
      </c>
      <c r="BO307" s="1540">
        <v>1</v>
      </c>
      <c r="BP307" s="1299">
        <f ca="1">RAND()</f>
        <v>0.19215772072960957</v>
      </c>
      <c r="BQ307" s="1540">
        <f ca="1">RANK(BP307,$BP$307:$BP$310)</f>
        <v>4</v>
      </c>
      <c r="BR307" s="741" t="s">
        <v>3801</v>
      </c>
      <c r="BS307" s="1541" t="str">
        <f ca="1">VLOOKUP(BO307,$BQ$307:$BR$310,2,FALSE)</f>
        <v>Plane Shift</v>
      </c>
      <c r="BT307" s="272"/>
      <c r="BU307" s="272"/>
      <c r="BV307" s="272"/>
    </row>
    <row r="308" spans="54:74" ht="12" customHeight="1">
      <c r="BB308" s="272"/>
      <c r="BC308" s="272"/>
      <c r="BD308" s="272"/>
      <c r="BE308" s="272"/>
      <c r="BF308" s="272"/>
      <c r="BG308" s="271" t="s">
        <v>1287</v>
      </c>
      <c r="BK308" s="272"/>
      <c r="BL308" s="272"/>
      <c r="BM308" s="272"/>
      <c r="BN308" s="3306"/>
      <c r="BO308" s="1547">
        <v>2</v>
      </c>
      <c r="BP308" s="1301">
        <f t="shared" ca="1" si="82"/>
        <v>0.72267936870189253</v>
      </c>
      <c r="BQ308" s="1547">
        <f ca="1">RANK(BP308,$BP$307:$BP$310)</f>
        <v>2</v>
      </c>
      <c r="BR308" s="536" t="s">
        <v>7636</v>
      </c>
      <c r="BS308" s="1548" t="str">
        <f ca="1">VLOOKUP(BO308,$BQ$307:$BR$310,2,FALSE)</f>
        <v>Finger of Death</v>
      </c>
      <c r="BT308" s="272"/>
      <c r="BU308" s="272"/>
      <c r="BV308" s="272"/>
    </row>
    <row r="309" spans="54:74" ht="12" customHeight="1">
      <c r="BB309" s="272"/>
      <c r="BC309" s="272"/>
      <c r="BD309" s="272"/>
      <c r="BE309" s="272"/>
      <c r="BF309" s="272"/>
      <c r="BG309" s="271" t="s">
        <v>1287</v>
      </c>
      <c r="BK309" s="272"/>
      <c r="BL309" s="272"/>
      <c r="BM309" s="272"/>
      <c r="BN309" s="3306"/>
      <c r="BO309" s="1547">
        <v>3</v>
      </c>
      <c r="BP309" s="1301">
        <f t="shared" ca="1" si="82"/>
        <v>0.36988012962896</v>
      </c>
      <c r="BQ309" s="1547">
        <f ca="1">RANK(BP309,$BP$307:$BP$310)</f>
        <v>3</v>
      </c>
      <c r="BR309" s="536" t="s">
        <v>7199</v>
      </c>
      <c r="BS309" s="1548" t="str">
        <f ca="1">VLOOKUP(BO309,$BQ$307:$BR$310,2,FALSE)</f>
        <v>Forcecage</v>
      </c>
      <c r="BT309" s="272"/>
      <c r="BU309" s="272"/>
      <c r="BV309" s="272"/>
    </row>
    <row r="310" spans="54:74" ht="12" customHeight="1" thickBot="1">
      <c r="BB310" s="272"/>
      <c r="BC310" s="272"/>
      <c r="BD310" s="272"/>
      <c r="BE310" s="272"/>
      <c r="BF310" s="272"/>
      <c r="BG310" s="271" t="s">
        <v>1287</v>
      </c>
      <c r="BK310" s="272"/>
      <c r="BL310" s="272"/>
      <c r="BM310" s="272"/>
      <c r="BN310" s="3307"/>
      <c r="BO310" s="1553">
        <v>4</v>
      </c>
      <c r="BP310" s="1304">
        <f t="shared" ca="1" si="82"/>
        <v>0.92519024270957695</v>
      </c>
      <c r="BQ310" s="1553">
        <f ca="1">RANK(BP310,$BP$307:$BP$310)</f>
        <v>1</v>
      </c>
      <c r="BR310" s="541" t="s">
        <v>7377</v>
      </c>
      <c r="BS310" s="1554" t="str">
        <f ca="1">VLOOKUP(BO310,$BQ$307:$BR$310,2,FALSE)</f>
        <v>Etherealness</v>
      </c>
      <c r="BT310" s="272"/>
      <c r="BU310" s="272"/>
      <c r="BV310" s="272"/>
    </row>
    <row r="311" spans="54:74" ht="12" customHeight="1">
      <c r="BB311" s="272"/>
      <c r="BC311" s="272"/>
      <c r="BD311" s="272"/>
      <c r="BE311" s="272"/>
      <c r="BF311" s="272"/>
      <c r="BG311" s="271" t="s">
        <v>1287</v>
      </c>
      <c r="BK311" s="272"/>
      <c r="BL311" s="272"/>
      <c r="BM311" s="272"/>
      <c r="BN311" s="3305">
        <v>8</v>
      </c>
      <c r="BO311" s="1540">
        <v>1</v>
      </c>
      <c r="BP311" s="1299">
        <f ca="1">RAND()</f>
        <v>0.32286240864322269</v>
      </c>
      <c r="BQ311" s="1540">
        <f ca="1">RANK(BP311,$BP$311:$BP$315)</f>
        <v>3</v>
      </c>
      <c r="BR311" s="741" t="s">
        <v>7669</v>
      </c>
      <c r="BS311" s="1541" t="str">
        <f ca="1">VLOOKUP(BO311,$BQ$311:$BR$315,2,FALSE)</f>
        <v>Dominate Monster</v>
      </c>
      <c r="BT311" s="272"/>
      <c r="BU311" s="272"/>
      <c r="BV311" s="272"/>
    </row>
    <row r="312" spans="54:74" ht="12" customHeight="1">
      <c r="BB312" s="272"/>
      <c r="BC312" s="272"/>
      <c r="BD312" s="272"/>
      <c r="BE312" s="272"/>
      <c r="BF312" s="272"/>
      <c r="BG312" s="271" t="s">
        <v>1287</v>
      </c>
      <c r="BK312" s="272"/>
      <c r="BL312" s="272"/>
      <c r="BM312" s="272"/>
      <c r="BN312" s="3306"/>
      <c r="BO312" s="1547">
        <v>2</v>
      </c>
      <c r="BP312" s="1301">
        <f t="shared" ca="1" si="82"/>
        <v>0.86752486332996481</v>
      </c>
      <c r="BQ312" s="1547">
        <f ca="1">RANK(BP312,$BP$311:$BP$315)</f>
        <v>1</v>
      </c>
      <c r="BR312" s="536" t="s">
        <v>7190</v>
      </c>
      <c r="BS312" s="1548" t="str">
        <f ca="1">VLOOKUP(BO312,$BQ$311:$BR$315,2,FALSE)</f>
        <v>Power Word Stun</v>
      </c>
      <c r="BT312" s="272"/>
      <c r="BU312" s="272"/>
      <c r="BV312" s="272"/>
    </row>
    <row r="313" spans="54:74" ht="12" customHeight="1">
      <c r="BB313" s="272"/>
      <c r="BC313" s="272"/>
      <c r="BD313" s="272"/>
      <c r="BE313" s="272"/>
      <c r="BF313" s="272"/>
      <c r="BG313" s="271" t="s">
        <v>1287</v>
      </c>
      <c r="BK313" s="272"/>
      <c r="BL313" s="272"/>
      <c r="BM313" s="272"/>
      <c r="BN313" s="3306"/>
      <c r="BO313" s="1547">
        <v>3</v>
      </c>
      <c r="BP313" s="1301">
        <f t="shared" ref="BP313:BP320" ca="1" si="107">RAND()</f>
        <v>0.30359885788363294</v>
      </c>
      <c r="BQ313" s="1547">
        <f ca="1">RANK(BP313,$BP$311:$BP$315)</f>
        <v>4</v>
      </c>
      <c r="BR313" s="536" t="s">
        <v>7200</v>
      </c>
      <c r="BS313" s="1548" t="str">
        <f ca="1">VLOOKUP(BO313,$BQ$311:$BR$315,2,FALSE)</f>
        <v>Demiplane</v>
      </c>
      <c r="BT313" s="272"/>
      <c r="BU313" s="272"/>
      <c r="BV313" s="272"/>
    </row>
    <row r="314" spans="54:74" s="271" customFormat="1" ht="12" customHeight="1">
      <c r="BB314" s="272"/>
      <c r="BC314" s="272"/>
      <c r="BD314" s="272"/>
      <c r="BE314" s="272"/>
      <c r="BF314" s="272"/>
      <c r="BG314" s="271" t="s">
        <v>1287</v>
      </c>
      <c r="BK314" s="272"/>
      <c r="BL314" s="272"/>
      <c r="BM314" s="272"/>
      <c r="BN314" s="3306"/>
      <c r="BO314" s="1547">
        <v>4</v>
      </c>
      <c r="BP314" s="1301">
        <f t="shared" ca="1" si="107"/>
        <v>0.24699772892916538</v>
      </c>
      <c r="BQ314" s="1547">
        <f ca="1">RANK(BP314,$BP$311:$BP$315)</f>
        <v>5</v>
      </c>
      <c r="BR314" s="536" t="s">
        <v>7210</v>
      </c>
      <c r="BS314" s="1548" t="str">
        <f ca="1">VLOOKUP(BO314,$BQ$311:$BR$315,2,FALSE)</f>
        <v>Feeblemind</v>
      </c>
      <c r="BT314" s="272"/>
      <c r="BU314" s="272"/>
      <c r="BV314" s="272"/>
    </row>
    <row r="315" spans="54:74" ht="12" customHeight="1" thickBot="1">
      <c r="BG315" s="271" t="s">
        <v>1287</v>
      </c>
      <c r="BN315" s="3307"/>
      <c r="BO315" s="1553">
        <v>5</v>
      </c>
      <c r="BP315" s="1304">
        <f t="shared" ca="1" si="107"/>
        <v>0.79430342650408003</v>
      </c>
      <c r="BQ315" s="1553">
        <f ca="1">RANK(BP315,$BP$311:$BP$315)</f>
        <v>2</v>
      </c>
      <c r="BR315" s="541" t="s">
        <v>7228</v>
      </c>
      <c r="BS315" s="1554" t="str">
        <f ca="1">VLOOKUP(BO315,$BQ$311:$BR$315,2,FALSE)</f>
        <v>Glibness</v>
      </c>
    </row>
    <row r="316" spans="54:74" ht="12" customHeight="1">
      <c r="BB316" s="272"/>
      <c r="BC316" s="272"/>
      <c r="BD316" s="272"/>
      <c r="BE316" s="272"/>
      <c r="BF316" s="272"/>
      <c r="BG316" s="271" t="s">
        <v>1287</v>
      </c>
      <c r="BK316" s="272"/>
      <c r="BL316" s="272"/>
      <c r="BM316" s="272"/>
      <c r="BN316" s="3305">
        <v>9</v>
      </c>
      <c r="BO316" s="1540">
        <v>1</v>
      </c>
      <c r="BP316" s="1299">
        <f t="shared" ca="1" si="107"/>
        <v>0.21890506689047184</v>
      </c>
      <c r="BQ316" s="1540">
        <f ca="1">RANK(BP316,$BP$316:$BP$320)</f>
        <v>4</v>
      </c>
      <c r="BR316" s="741" t="s">
        <v>7337</v>
      </c>
      <c r="BS316" s="1541" t="str">
        <f ca="1">VLOOKUP(BO316,$BQ$316:$BR$320,2,FALSE)</f>
        <v>Imprisonment</v>
      </c>
      <c r="BT316" s="272"/>
      <c r="BU316" s="272"/>
      <c r="BV316" s="272"/>
    </row>
    <row r="317" spans="54:74" ht="12" customHeight="1">
      <c r="BB317" s="272"/>
      <c r="BC317" s="272"/>
      <c r="BD317" s="272"/>
      <c r="BE317" s="272"/>
      <c r="BF317" s="272"/>
      <c r="BG317" s="271" t="s">
        <v>1287</v>
      </c>
      <c r="BK317" s="272"/>
      <c r="BL317" s="272"/>
      <c r="BM317" s="272"/>
      <c r="BN317" s="3306"/>
      <c r="BO317" s="1547">
        <v>2</v>
      </c>
      <c r="BP317" s="1301">
        <f t="shared" ca="1" si="107"/>
        <v>0.33098962609028348</v>
      </c>
      <c r="BQ317" s="1547">
        <f ca="1">RANK(BP317,$BP$316:$BP$320)</f>
        <v>3</v>
      </c>
      <c r="BR317" s="536" t="s">
        <v>7191</v>
      </c>
      <c r="BS317" s="1548" t="str">
        <f ca="1">VLOOKUP(BO317,$BQ$316:$BR$320,2,FALSE)</f>
        <v>True Polymorph</v>
      </c>
      <c r="BT317" s="272"/>
      <c r="BU317" s="272"/>
      <c r="BV317" s="272"/>
    </row>
    <row r="318" spans="54:74" ht="12" customHeight="1">
      <c r="BB318" s="272"/>
      <c r="BC318" s="272"/>
      <c r="BD318" s="272"/>
      <c r="BE318" s="272"/>
      <c r="BF318" s="272"/>
      <c r="BG318" s="271" t="s">
        <v>1287</v>
      </c>
      <c r="BK318" s="272"/>
      <c r="BL318" s="272"/>
      <c r="BM318" s="272"/>
      <c r="BN318" s="3306"/>
      <c r="BO318" s="1547">
        <v>3</v>
      </c>
      <c r="BP318" s="1301">
        <f t="shared" ca="1" si="107"/>
        <v>0.86963196907820051</v>
      </c>
      <c r="BQ318" s="1547">
        <f ca="1">RANK(BP318,$BP$316:$BP$320)</f>
        <v>1</v>
      </c>
      <c r="BR318" s="536" t="s">
        <v>7672</v>
      </c>
      <c r="BS318" s="1548" t="str">
        <f ca="1">VLOOKUP(BO318,$BQ$316:$BR$320,2,FALSE)</f>
        <v>Foresight</v>
      </c>
      <c r="BT318" s="272"/>
      <c r="BU318" s="272"/>
      <c r="BV318" s="272"/>
    </row>
    <row r="319" spans="54:74" ht="12" customHeight="1">
      <c r="BB319" s="272"/>
      <c r="BC319" s="272"/>
      <c r="BD319" s="272"/>
      <c r="BE319" s="272"/>
      <c r="BF319" s="272"/>
      <c r="BG319" s="271" t="s">
        <v>1287</v>
      </c>
      <c r="BK319" s="272"/>
      <c r="BL319" s="272"/>
      <c r="BM319" s="272"/>
      <c r="BN319" s="3306"/>
      <c r="BO319" s="1547">
        <v>4</v>
      </c>
      <c r="BP319" s="1301">
        <f t="shared" ca="1" si="107"/>
        <v>1.4252348265587855E-2</v>
      </c>
      <c r="BQ319" s="1547">
        <f ca="1">RANK(BP319,$BP$316:$BP$320)</f>
        <v>5</v>
      </c>
      <c r="BR319" s="536" t="s">
        <v>7211</v>
      </c>
      <c r="BS319" s="1548" t="str">
        <f ca="1">VLOOKUP(BO319,$BQ$316:$BR$320,2,FALSE)</f>
        <v>Astral Projection</v>
      </c>
      <c r="BT319" s="272"/>
      <c r="BU319" s="272"/>
      <c r="BV319" s="272"/>
    </row>
    <row r="320" spans="54:74" ht="12" customHeight="1" thickBot="1">
      <c r="BB320" s="272"/>
      <c r="BC320" s="272"/>
      <c r="BD320" s="272"/>
      <c r="BE320" s="272"/>
      <c r="BF320" s="272"/>
      <c r="BG320" s="271" t="s">
        <v>1287</v>
      </c>
      <c r="BK320" s="272"/>
      <c r="BL320" s="272"/>
      <c r="BM320" s="272"/>
      <c r="BN320" s="3307"/>
      <c r="BO320" s="1553">
        <v>5</v>
      </c>
      <c r="BP320" s="1304">
        <f t="shared" ca="1" si="107"/>
        <v>0.36434646234990198</v>
      </c>
      <c r="BQ320" s="1553">
        <f ca="1">RANK(BP320,$BP$316:$BP$320)</f>
        <v>2</v>
      </c>
      <c r="BR320" s="541" t="s">
        <v>7219</v>
      </c>
      <c r="BS320" s="1554" t="str">
        <f ca="1">VLOOKUP(BO320,$BQ$316:$BR$320,2,FALSE)</f>
        <v>Power Word Kill</v>
      </c>
      <c r="BT320" s="272"/>
      <c r="BU320" s="272"/>
      <c r="BV320" s="272"/>
    </row>
    <row r="321" spans="9:71" ht="12" customHeight="1">
      <c r="BM321" s="272"/>
      <c r="BN321" s="272"/>
      <c r="BO321" s="272"/>
      <c r="BP321" s="272"/>
      <c r="BQ321" s="272"/>
      <c r="BR321" s="272"/>
      <c r="BS321" s="271" t="s">
        <v>1287</v>
      </c>
    </row>
    <row r="322" spans="9:71" ht="12" customHeight="1">
      <c r="BM322" s="272"/>
      <c r="BN322" s="272"/>
      <c r="BO322" s="272"/>
      <c r="BP322" s="272"/>
      <c r="BQ322" s="272"/>
      <c r="BR322" s="272"/>
      <c r="BS322" s="271" t="s">
        <v>1287</v>
      </c>
    </row>
    <row r="323" spans="9:71" ht="12" customHeight="1">
      <c r="BM323" s="272"/>
      <c r="BN323" s="272"/>
      <c r="BO323" s="272"/>
      <c r="BP323" s="272"/>
      <c r="BQ323" s="272"/>
      <c r="BR323" s="272"/>
      <c r="BS323" s="271" t="s">
        <v>1287</v>
      </c>
    </row>
    <row r="324" spans="9:71" ht="12" customHeight="1">
      <c r="BM324" s="272"/>
      <c r="BN324" s="272"/>
      <c r="BO324" s="272"/>
      <c r="BP324" s="272"/>
      <c r="BQ324" s="272"/>
      <c r="BR324" s="272"/>
      <c r="BS324" s="271" t="s">
        <v>1287</v>
      </c>
    </row>
    <row r="325" spans="9:71" ht="12" customHeight="1">
      <c r="BM325" s="272"/>
      <c r="BN325" s="272"/>
      <c r="BO325" s="272"/>
      <c r="BP325" s="272"/>
      <c r="BQ325" s="272"/>
      <c r="BR325" s="272"/>
      <c r="BS325" s="271" t="s">
        <v>1287</v>
      </c>
    </row>
    <row r="326" spans="9:71" ht="12" customHeight="1">
      <c r="BM326" s="272"/>
      <c r="BN326" s="272"/>
      <c r="BO326" s="272"/>
      <c r="BP326" s="272"/>
      <c r="BQ326" s="272"/>
      <c r="BR326" s="272"/>
      <c r="BS326" s="271" t="s">
        <v>1287</v>
      </c>
    </row>
    <row r="327" spans="9:71" ht="12" customHeight="1">
      <c r="BM327" s="272"/>
      <c r="BN327" s="272"/>
      <c r="BO327" s="272"/>
      <c r="BP327" s="272"/>
      <c r="BQ327" s="272"/>
      <c r="BR327" s="272"/>
      <c r="BS327" s="271" t="s">
        <v>1287</v>
      </c>
    </row>
    <row r="328" spans="9:71" ht="12" customHeight="1">
      <c r="BM328" s="272"/>
      <c r="BN328" s="272"/>
      <c r="BO328" s="272"/>
      <c r="BP328" s="272"/>
      <c r="BQ328" s="272"/>
      <c r="BR328" s="272"/>
      <c r="BS328" s="271" t="s">
        <v>1287</v>
      </c>
    </row>
    <row r="329" spans="9:71" ht="12" customHeight="1">
      <c r="BM329" s="272"/>
      <c r="BN329" s="272"/>
      <c r="BO329" s="272"/>
      <c r="BP329" s="272"/>
      <c r="BQ329" s="272"/>
      <c r="BR329" s="272"/>
      <c r="BS329" s="271" t="s">
        <v>1287</v>
      </c>
    </row>
    <row r="330" spans="9:71" ht="12" customHeight="1">
      <c r="BM330" s="272"/>
      <c r="BN330" s="272"/>
      <c r="BO330" s="272"/>
      <c r="BP330" s="272"/>
      <c r="BQ330" s="272"/>
      <c r="BR330" s="272"/>
      <c r="BS330" s="271" t="s">
        <v>1287</v>
      </c>
    </row>
    <row r="331" spans="9:71" ht="12" customHeight="1">
      <c r="I331" s="1356"/>
    </row>
  </sheetData>
  <mergeCells count="629">
    <mergeCell ref="B8:E8"/>
    <mergeCell ref="B9:E9"/>
    <mergeCell ref="B10:E10"/>
    <mergeCell ref="B11:E11"/>
    <mergeCell ref="B12:E12"/>
    <mergeCell ref="B15:G16"/>
    <mergeCell ref="B2:E2"/>
    <mergeCell ref="B3:E3"/>
    <mergeCell ref="B4:E4"/>
    <mergeCell ref="B5:E5"/>
    <mergeCell ref="B6:E6"/>
    <mergeCell ref="G6:I7"/>
    <mergeCell ref="B7:E7"/>
    <mergeCell ref="E17:E18"/>
    <mergeCell ref="G17:G18"/>
    <mergeCell ref="I17:I18"/>
    <mergeCell ref="J17:J18"/>
    <mergeCell ref="K17:K18"/>
    <mergeCell ref="H15:L16"/>
    <mergeCell ref="M15:Q16"/>
    <mergeCell ref="L17:L18"/>
    <mergeCell ref="N17:N18"/>
    <mergeCell ref="O17:O18"/>
    <mergeCell ref="P17:P18"/>
    <mergeCell ref="Q17:Q18"/>
    <mergeCell ref="AL15:AP16"/>
    <mergeCell ref="AQ15:AU16"/>
    <mergeCell ref="AV15:AZ16"/>
    <mergeCell ref="R15:V16"/>
    <mergeCell ref="W15:AA16"/>
    <mergeCell ref="AB15:AF16"/>
    <mergeCell ref="AG15:AK16"/>
    <mergeCell ref="AD17:AD18"/>
    <mergeCell ref="AE17:AE18"/>
    <mergeCell ref="AF17:AF18"/>
    <mergeCell ref="AH17:AH18"/>
    <mergeCell ref="T17:T18"/>
    <mergeCell ref="U17:U18"/>
    <mergeCell ref="V17:V18"/>
    <mergeCell ref="X17:X18"/>
    <mergeCell ref="Y17:Y18"/>
    <mergeCell ref="Z17:Z18"/>
    <mergeCell ref="AX17:AX18"/>
    <mergeCell ref="AY17:AY18"/>
    <mergeCell ref="AZ17:AZ18"/>
    <mergeCell ref="B44:C44"/>
    <mergeCell ref="B46:J47"/>
    <mergeCell ref="K46:R47"/>
    <mergeCell ref="S46:Z47"/>
    <mergeCell ref="AA46:AH47"/>
    <mergeCell ref="AI46:AP47"/>
    <mergeCell ref="AQ46:AX47"/>
    <mergeCell ref="AP17:AP18"/>
    <mergeCell ref="AR17:AR18"/>
    <mergeCell ref="AS17:AS18"/>
    <mergeCell ref="AT17:AT18"/>
    <mergeCell ref="AU17:AU18"/>
    <mergeCell ref="AW17:AW18"/>
    <mergeCell ref="AI17:AI18"/>
    <mergeCell ref="AJ17:AJ18"/>
    <mergeCell ref="AK17:AK18"/>
    <mergeCell ref="AM17:AM18"/>
    <mergeCell ref="AN17:AN18"/>
    <mergeCell ref="AO17:AO18"/>
    <mergeCell ref="AA17:AA18"/>
    <mergeCell ref="AC17:AC18"/>
    <mergeCell ref="S17:S18"/>
    <mergeCell ref="C17:C18"/>
    <mergeCell ref="D17:D18"/>
    <mergeCell ref="AY46:BC47"/>
    <mergeCell ref="BD46:BH47"/>
    <mergeCell ref="BI46:BM47"/>
    <mergeCell ref="BN46:BR47"/>
    <mergeCell ref="BT46:CA47"/>
    <mergeCell ref="C48:C49"/>
    <mergeCell ref="D48:D49"/>
    <mergeCell ref="E48:E49"/>
    <mergeCell ref="F48:F49"/>
    <mergeCell ref="G48:G49"/>
    <mergeCell ref="N48:N49"/>
    <mergeCell ref="O48:O49"/>
    <mergeCell ref="P48:P49"/>
    <mergeCell ref="Q48:Q49"/>
    <mergeCell ref="R48:R49"/>
    <mergeCell ref="S48:S49"/>
    <mergeCell ref="H48:H49"/>
    <mergeCell ref="I48:I49"/>
    <mergeCell ref="J48:J49"/>
    <mergeCell ref="K48:K49"/>
    <mergeCell ref="L48:L49"/>
    <mergeCell ref="M48:M49"/>
    <mergeCell ref="Z48:Z49"/>
    <mergeCell ref="AA48:AA49"/>
    <mergeCell ref="AB48:AB49"/>
    <mergeCell ref="AC48:AC49"/>
    <mergeCell ref="AD48:AD49"/>
    <mergeCell ref="AE48:AE49"/>
    <mergeCell ref="T48:T49"/>
    <mergeCell ref="U48:U49"/>
    <mergeCell ref="V48:V49"/>
    <mergeCell ref="W48:W49"/>
    <mergeCell ref="X48:X49"/>
    <mergeCell ref="Y48:Y49"/>
    <mergeCell ref="AL48:AL49"/>
    <mergeCell ref="AM48:AM49"/>
    <mergeCell ref="AN48:AN49"/>
    <mergeCell ref="AO48:AO49"/>
    <mergeCell ref="AP48:AP49"/>
    <mergeCell ref="AQ48:AQ49"/>
    <mergeCell ref="AF48:AF49"/>
    <mergeCell ref="AG48:AG49"/>
    <mergeCell ref="AH48:AH49"/>
    <mergeCell ref="AI48:AI49"/>
    <mergeCell ref="AJ48:AJ49"/>
    <mergeCell ref="AK48:AK49"/>
    <mergeCell ref="AX48:AX49"/>
    <mergeCell ref="AZ48:AZ49"/>
    <mergeCell ref="BA48:BA49"/>
    <mergeCell ref="BB48:BB49"/>
    <mergeCell ref="BC48:BC49"/>
    <mergeCell ref="BE48:BE49"/>
    <mergeCell ref="AR48:AR49"/>
    <mergeCell ref="AS48:AS49"/>
    <mergeCell ref="AT48:AT49"/>
    <mergeCell ref="AU48:AU49"/>
    <mergeCell ref="AV48:AV49"/>
    <mergeCell ref="AW48:AW49"/>
    <mergeCell ref="BM48:BM49"/>
    <mergeCell ref="BO48:BO49"/>
    <mergeCell ref="BP48:BP49"/>
    <mergeCell ref="BQ48:BQ49"/>
    <mergeCell ref="BR48:BR49"/>
    <mergeCell ref="BT48:BT49"/>
    <mergeCell ref="BF48:BF49"/>
    <mergeCell ref="BG48:BG49"/>
    <mergeCell ref="BH48:BH49"/>
    <mergeCell ref="BJ48:BJ49"/>
    <mergeCell ref="BK48:BK49"/>
    <mergeCell ref="BL48:BL49"/>
    <mergeCell ref="AQ74:AX75"/>
    <mergeCell ref="AY74:BC75"/>
    <mergeCell ref="BD74:BH75"/>
    <mergeCell ref="BI74:BM75"/>
    <mergeCell ref="BN74:BR75"/>
    <mergeCell ref="BT74:CB75"/>
    <mergeCell ref="B72:C72"/>
    <mergeCell ref="B74:J75"/>
    <mergeCell ref="K74:R75"/>
    <mergeCell ref="S74:Z75"/>
    <mergeCell ref="AA74:AH75"/>
    <mergeCell ref="AI74:AP75"/>
    <mergeCell ref="I76:I77"/>
    <mergeCell ref="J76:J77"/>
    <mergeCell ref="K76:K77"/>
    <mergeCell ref="L76:L77"/>
    <mergeCell ref="M76:M77"/>
    <mergeCell ref="N76:N77"/>
    <mergeCell ref="C76:C77"/>
    <mergeCell ref="D76:D77"/>
    <mergeCell ref="E76:E77"/>
    <mergeCell ref="F76:F77"/>
    <mergeCell ref="G76:G77"/>
    <mergeCell ref="H76:H77"/>
    <mergeCell ref="AF76:AF77"/>
    <mergeCell ref="U76:U77"/>
    <mergeCell ref="V76:V77"/>
    <mergeCell ref="W76:W77"/>
    <mergeCell ref="X76:X77"/>
    <mergeCell ref="Y76:Y77"/>
    <mergeCell ref="Z76:Z77"/>
    <mergeCell ref="O76:O77"/>
    <mergeCell ref="P76:P77"/>
    <mergeCell ref="Q76:Q77"/>
    <mergeCell ref="R76:R77"/>
    <mergeCell ref="S76:S77"/>
    <mergeCell ref="T76:T77"/>
    <mergeCell ref="BQ76:BQ77"/>
    <mergeCell ref="BR76:BR77"/>
    <mergeCell ref="BT76:BT77"/>
    <mergeCell ref="B100:C100"/>
    <mergeCell ref="BG76:BG77"/>
    <mergeCell ref="BH76:BH77"/>
    <mergeCell ref="BJ76:BJ77"/>
    <mergeCell ref="BK76:BK77"/>
    <mergeCell ref="BL76:BL77"/>
    <mergeCell ref="BM76:BM77"/>
    <mergeCell ref="AZ76:AZ77"/>
    <mergeCell ref="BA76:BA77"/>
    <mergeCell ref="BB76:BB77"/>
    <mergeCell ref="BC76:BC77"/>
    <mergeCell ref="BE76:BE77"/>
    <mergeCell ref="BF76:BF77"/>
    <mergeCell ref="AS76:AS77"/>
    <mergeCell ref="AT76:AT77"/>
    <mergeCell ref="AU76:AU77"/>
    <mergeCell ref="AV76:AV77"/>
    <mergeCell ref="AW76:AW77"/>
    <mergeCell ref="AX76:AX77"/>
    <mergeCell ref="AM76:AM77"/>
    <mergeCell ref="AN76:AN77"/>
    <mergeCell ref="AA102:AH103"/>
    <mergeCell ref="AI102:AP103"/>
    <mergeCell ref="C104:C105"/>
    <mergeCell ref="D104:D105"/>
    <mergeCell ref="E104:E105"/>
    <mergeCell ref="F104:F105"/>
    <mergeCell ref="G104:G105"/>
    <mergeCell ref="BO76:BO77"/>
    <mergeCell ref="BP76:BP77"/>
    <mergeCell ref="AO76:AO77"/>
    <mergeCell ref="AP76:AP77"/>
    <mergeCell ref="AQ76:AQ77"/>
    <mergeCell ref="AR76:AR77"/>
    <mergeCell ref="AG76:AG77"/>
    <mergeCell ref="AH76:AH77"/>
    <mergeCell ref="AI76:AI77"/>
    <mergeCell ref="AJ76:AJ77"/>
    <mergeCell ref="AK76:AK77"/>
    <mergeCell ref="AL76:AL77"/>
    <mergeCell ref="AA76:AA77"/>
    <mergeCell ref="AB76:AB77"/>
    <mergeCell ref="AC76:AC77"/>
    <mergeCell ref="AD76:AD77"/>
    <mergeCell ref="AE76:AE77"/>
    <mergeCell ref="H104:H105"/>
    <mergeCell ref="I104:I105"/>
    <mergeCell ref="J104:J105"/>
    <mergeCell ref="L104:L105"/>
    <mergeCell ref="M104:M105"/>
    <mergeCell ref="N104:N105"/>
    <mergeCell ref="B102:J103"/>
    <mergeCell ref="K102:R103"/>
    <mergeCell ref="S102:Z103"/>
    <mergeCell ref="X104:X105"/>
    <mergeCell ref="Y104:Y105"/>
    <mergeCell ref="Z104:Z105"/>
    <mergeCell ref="AB104:AB105"/>
    <mergeCell ref="O104:O105"/>
    <mergeCell ref="P104:P105"/>
    <mergeCell ref="Q104:Q105"/>
    <mergeCell ref="R104:R105"/>
    <mergeCell ref="T104:T105"/>
    <mergeCell ref="U104:U105"/>
    <mergeCell ref="AP104:AP105"/>
    <mergeCell ref="BY115:CA116"/>
    <mergeCell ref="BU120:BW121"/>
    <mergeCell ref="BT123:BT132"/>
    <mergeCell ref="B124:C124"/>
    <mergeCell ref="B126:J127"/>
    <mergeCell ref="K126:R127"/>
    <mergeCell ref="S126:Z127"/>
    <mergeCell ref="AA126:AH127"/>
    <mergeCell ref="AI126:AP127"/>
    <mergeCell ref="AJ104:AJ105"/>
    <mergeCell ref="AK104:AK105"/>
    <mergeCell ref="AL104:AL105"/>
    <mergeCell ref="AM104:AM105"/>
    <mergeCell ref="AN104:AN105"/>
    <mergeCell ref="AO104:AO105"/>
    <mergeCell ref="AC104:AC105"/>
    <mergeCell ref="AD104:AD105"/>
    <mergeCell ref="AE104:AE105"/>
    <mergeCell ref="AF104:AF105"/>
    <mergeCell ref="AG104:AG105"/>
    <mergeCell ref="AH104:AH105"/>
    <mergeCell ref="V104:V105"/>
    <mergeCell ref="W104:W105"/>
    <mergeCell ref="L128:L129"/>
    <mergeCell ref="M128:M129"/>
    <mergeCell ref="N128:N129"/>
    <mergeCell ref="O128:O129"/>
    <mergeCell ref="P128:P129"/>
    <mergeCell ref="Q128:Q129"/>
    <mergeCell ref="AR126:AT127"/>
    <mergeCell ref="C128:C129"/>
    <mergeCell ref="D128:D129"/>
    <mergeCell ref="E128:E129"/>
    <mergeCell ref="F128:F129"/>
    <mergeCell ref="G128:G129"/>
    <mergeCell ref="H128:H129"/>
    <mergeCell ref="I128:I129"/>
    <mergeCell ref="J128:J129"/>
    <mergeCell ref="K128:K129"/>
    <mergeCell ref="Z128:Z129"/>
    <mergeCell ref="AA128:AA129"/>
    <mergeCell ref="AB128:AB129"/>
    <mergeCell ref="AC128:AC129"/>
    <mergeCell ref="R128:R129"/>
    <mergeCell ref="S128:S129"/>
    <mergeCell ref="T128:T129"/>
    <mergeCell ref="U128:U129"/>
    <mergeCell ref="V128:V129"/>
    <mergeCell ref="W128:W129"/>
    <mergeCell ref="AP128:AP129"/>
    <mergeCell ref="BT133:BT142"/>
    <mergeCell ref="BT143:BT152"/>
    <mergeCell ref="B147:C147"/>
    <mergeCell ref="B149:J150"/>
    <mergeCell ref="K149:R150"/>
    <mergeCell ref="S149:Z150"/>
    <mergeCell ref="AA149:AH150"/>
    <mergeCell ref="AI149:AP150"/>
    <mergeCell ref="D151:D152"/>
    <mergeCell ref="AJ128:AJ129"/>
    <mergeCell ref="AK128:AK129"/>
    <mergeCell ref="AL128:AL129"/>
    <mergeCell ref="AM128:AM129"/>
    <mergeCell ref="AN128:AN129"/>
    <mergeCell ref="AO128:AO129"/>
    <mergeCell ref="AD128:AD129"/>
    <mergeCell ref="AE128:AE129"/>
    <mergeCell ref="AF128:AF129"/>
    <mergeCell ref="AG128:AG129"/>
    <mergeCell ref="AH128:AH129"/>
    <mergeCell ref="AI128:AI129"/>
    <mergeCell ref="X128:X129"/>
    <mergeCell ref="Y128:Y129"/>
    <mergeCell ref="N151:N152"/>
    <mergeCell ref="O151:O152"/>
    <mergeCell ref="P151:P152"/>
    <mergeCell ref="Q151:Q152"/>
    <mergeCell ref="E151:E152"/>
    <mergeCell ref="F151:F152"/>
    <mergeCell ref="G151:G152"/>
    <mergeCell ref="H151:H152"/>
    <mergeCell ref="I151:I152"/>
    <mergeCell ref="J151:J152"/>
    <mergeCell ref="BT153:BT162"/>
    <mergeCell ref="BT163:BT172"/>
    <mergeCell ref="AM172:AM173"/>
    <mergeCell ref="AN172:AN173"/>
    <mergeCell ref="AO172:AO173"/>
    <mergeCell ref="AP172:AP173"/>
    <mergeCell ref="AF151:AF152"/>
    <mergeCell ref="AG151:AG152"/>
    <mergeCell ref="AH151:AH152"/>
    <mergeCell ref="AJ151:AJ152"/>
    <mergeCell ref="AK151:AK152"/>
    <mergeCell ref="AL151:AL152"/>
    <mergeCell ref="AF172:AF173"/>
    <mergeCell ref="B168:C168"/>
    <mergeCell ref="B170:J171"/>
    <mergeCell ref="K170:R171"/>
    <mergeCell ref="S170:Z171"/>
    <mergeCell ref="AA170:AH171"/>
    <mergeCell ref="AI170:AP171"/>
    <mergeCell ref="AM151:AM152"/>
    <mergeCell ref="AN151:AN152"/>
    <mergeCell ref="AO151:AO152"/>
    <mergeCell ref="AP151:AP152"/>
    <mergeCell ref="Y151:Y152"/>
    <mergeCell ref="Z151:Z152"/>
    <mergeCell ref="AB151:AB152"/>
    <mergeCell ref="AC151:AC152"/>
    <mergeCell ref="AD151:AD152"/>
    <mergeCell ref="AE151:AE152"/>
    <mergeCell ref="R151:R152"/>
    <mergeCell ref="T151:T152"/>
    <mergeCell ref="U151:U152"/>
    <mergeCell ref="V151:V152"/>
    <mergeCell ref="W151:W152"/>
    <mergeCell ref="X151:X152"/>
    <mergeCell ref="L151:L152"/>
    <mergeCell ref="M151:M152"/>
    <mergeCell ref="I172:I173"/>
    <mergeCell ref="J172:J173"/>
    <mergeCell ref="K172:K173"/>
    <mergeCell ref="L172:L173"/>
    <mergeCell ref="M172:M173"/>
    <mergeCell ref="N172:N173"/>
    <mergeCell ref="C172:C173"/>
    <mergeCell ref="D172:D173"/>
    <mergeCell ref="E172:E173"/>
    <mergeCell ref="F172:F173"/>
    <mergeCell ref="G172:G173"/>
    <mergeCell ref="H172:H173"/>
    <mergeCell ref="U172:U173"/>
    <mergeCell ref="V172:V173"/>
    <mergeCell ref="W172:W173"/>
    <mergeCell ref="X172:X173"/>
    <mergeCell ref="Y172:Y173"/>
    <mergeCell ref="Z172:Z173"/>
    <mergeCell ref="O172:O173"/>
    <mergeCell ref="P172:P173"/>
    <mergeCell ref="Q172:Q173"/>
    <mergeCell ref="R172:R173"/>
    <mergeCell ref="S172:S173"/>
    <mergeCell ref="T172:T173"/>
    <mergeCell ref="BA211:BE212"/>
    <mergeCell ref="BF211:BJ212"/>
    <mergeCell ref="BK211:BO212"/>
    <mergeCell ref="BT173:BT182"/>
    <mergeCell ref="BT183:BT192"/>
    <mergeCell ref="B209:C209"/>
    <mergeCell ref="B211:G212"/>
    <mergeCell ref="H211:L212"/>
    <mergeCell ref="M211:Q212"/>
    <mergeCell ref="R211:V212"/>
    <mergeCell ref="W211:AA212"/>
    <mergeCell ref="AB211:AF212"/>
    <mergeCell ref="AG211:AK212"/>
    <mergeCell ref="AG172:AG173"/>
    <mergeCell ref="AH172:AH173"/>
    <mergeCell ref="AI172:AI173"/>
    <mergeCell ref="AJ172:AJ173"/>
    <mergeCell ref="AK172:AK173"/>
    <mergeCell ref="AL172:AL173"/>
    <mergeCell ref="AA172:AA173"/>
    <mergeCell ref="AB172:AB173"/>
    <mergeCell ref="AC172:AC173"/>
    <mergeCell ref="AD172:AD173"/>
    <mergeCell ref="AE172:AE173"/>
    <mergeCell ref="C213:C214"/>
    <mergeCell ref="D213:D214"/>
    <mergeCell ref="E213:E214"/>
    <mergeCell ref="F213:F214"/>
    <mergeCell ref="G213:G214"/>
    <mergeCell ref="H213:H214"/>
    <mergeCell ref="AL211:AP212"/>
    <mergeCell ref="AQ211:AU212"/>
    <mergeCell ref="AV211:AZ212"/>
    <mergeCell ref="O213:O214"/>
    <mergeCell ref="P213:P214"/>
    <mergeCell ref="Q213:Q214"/>
    <mergeCell ref="R213:R214"/>
    <mergeCell ref="S213:S214"/>
    <mergeCell ref="T213:T214"/>
    <mergeCell ref="I213:I214"/>
    <mergeCell ref="J213:J214"/>
    <mergeCell ref="K213:K214"/>
    <mergeCell ref="L213:L214"/>
    <mergeCell ref="M213:M214"/>
    <mergeCell ref="N213:N214"/>
    <mergeCell ref="AA213:AA214"/>
    <mergeCell ref="AB213:AB214"/>
    <mergeCell ref="AC213:AC214"/>
    <mergeCell ref="AD213:AD214"/>
    <mergeCell ref="AE213:AE214"/>
    <mergeCell ref="AF213:AF214"/>
    <mergeCell ref="U213:U214"/>
    <mergeCell ref="V213:V214"/>
    <mergeCell ref="W213:W214"/>
    <mergeCell ref="X213:X214"/>
    <mergeCell ref="Y213:Y214"/>
    <mergeCell ref="Z213:Z214"/>
    <mergeCell ref="AM213:AM214"/>
    <mergeCell ref="AN213:AN214"/>
    <mergeCell ref="AO213:AO214"/>
    <mergeCell ref="AP213:AP214"/>
    <mergeCell ref="AQ213:AQ214"/>
    <mergeCell ref="AR213:AR214"/>
    <mergeCell ref="AG213:AG214"/>
    <mergeCell ref="AH213:AH214"/>
    <mergeCell ref="AI213:AI214"/>
    <mergeCell ref="AJ213:AJ214"/>
    <mergeCell ref="AK213:AK214"/>
    <mergeCell ref="AL213:AL214"/>
    <mergeCell ref="BC213:BC214"/>
    <mergeCell ref="BD213:BD214"/>
    <mergeCell ref="BE213:BE214"/>
    <mergeCell ref="AS213:AS214"/>
    <mergeCell ref="AT213:AT214"/>
    <mergeCell ref="AU213:AU214"/>
    <mergeCell ref="AV213:AV214"/>
    <mergeCell ref="AW213:AW214"/>
    <mergeCell ref="AX213:AX214"/>
    <mergeCell ref="C244:C245"/>
    <mergeCell ref="D244:D245"/>
    <mergeCell ref="E244:E245"/>
    <mergeCell ref="F244:F245"/>
    <mergeCell ref="G244:G245"/>
    <mergeCell ref="BN213:BN214"/>
    <mergeCell ref="BO213:BO214"/>
    <mergeCell ref="B240:C240"/>
    <mergeCell ref="B242:G243"/>
    <mergeCell ref="H242:L243"/>
    <mergeCell ref="M242:Q243"/>
    <mergeCell ref="R242:V243"/>
    <mergeCell ref="W242:AA243"/>
    <mergeCell ref="AB242:AF243"/>
    <mergeCell ref="AG242:AK243"/>
    <mergeCell ref="BG213:BG214"/>
    <mergeCell ref="BH213:BH214"/>
    <mergeCell ref="BI213:BI214"/>
    <mergeCell ref="BJ213:BJ214"/>
    <mergeCell ref="BL213:BL214"/>
    <mergeCell ref="BM213:BM214"/>
    <mergeCell ref="AY213:AY214"/>
    <mergeCell ref="AZ213:AZ214"/>
    <mergeCell ref="BB213:BB214"/>
    <mergeCell ref="H244:H245"/>
    <mergeCell ref="I244:I245"/>
    <mergeCell ref="J244:J245"/>
    <mergeCell ref="K244:K245"/>
    <mergeCell ref="L244:L245"/>
    <mergeCell ref="M244:M245"/>
    <mergeCell ref="AL242:AP243"/>
    <mergeCell ref="AQ242:AU243"/>
    <mergeCell ref="AV242:AZ243"/>
    <mergeCell ref="T244:T245"/>
    <mergeCell ref="U244:U245"/>
    <mergeCell ref="V244:V245"/>
    <mergeCell ref="W244:W245"/>
    <mergeCell ref="X244:X245"/>
    <mergeCell ref="Y244:Y245"/>
    <mergeCell ref="N244:N245"/>
    <mergeCell ref="O244:O245"/>
    <mergeCell ref="P244:P245"/>
    <mergeCell ref="Q244:Q245"/>
    <mergeCell ref="R244:R245"/>
    <mergeCell ref="S244:S245"/>
    <mergeCell ref="AF244:AF245"/>
    <mergeCell ref="AG244:AG245"/>
    <mergeCell ref="AH244:AH245"/>
    <mergeCell ref="AI244:AI245"/>
    <mergeCell ref="AJ244:AJ245"/>
    <mergeCell ref="AK244:AK245"/>
    <mergeCell ref="Z244:Z245"/>
    <mergeCell ref="AA244:AA245"/>
    <mergeCell ref="AB244:AB245"/>
    <mergeCell ref="AC244:AC245"/>
    <mergeCell ref="AD244:AD245"/>
    <mergeCell ref="AE244:AE245"/>
    <mergeCell ref="AR244:AR245"/>
    <mergeCell ref="AS244:AS245"/>
    <mergeCell ref="AT244:AT245"/>
    <mergeCell ref="AU244:AU245"/>
    <mergeCell ref="AV244:AV245"/>
    <mergeCell ref="AW244:AW245"/>
    <mergeCell ref="AL244:AL245"/>
    <mergeCell ref="AM244:AM245"/>
    <mergeCell ref="AN244:AN245"/>
    <mergeCell ref="AO244:AO245"/>
    <mergeCell ref="AP244:AP245"/>
    <mergeCell ref="AQ244:AQ245"/>
    <mergeCell ref="BT251:BU251"/>
    <mergeCell ref="BT252:BU252"/>
    <mergeCell ref="BT253:BU253"/>
    <mergeCell ref="BT254:BU254"/>
    <mergeCell ref="BT255:BU255"/>
    <mergeCell ref="BT256:BU256"/>
    <mergeCell ref="AX244:AX245"/>
    <mergeCell ref="AY244:AY245"/>
    <mergeCell ref="AZ244:AZ245"/>
    <mergeCell ref="BT245:BU245"/>
    <mergeCell ref="BN246:BN258"/>
    <mergeCell ref="BT246:BU246"/>
    <mergeCell ref="BT247:BU247"/>
    <mergeCell ref="BT248:BU248"/>
    <mergeCell ref="BT249:BU249"/>
    <mergeCell ref="BT250:BU250"/>
    <mergeCell ref="BB243:BF244"/>
    <mergeCell ref="BI243:BK244"/>
    <mergeCell ref="BT257:BU257"/>
    <mergeCell ref="BT258:BU258"/>
    <mergeCell ref="BN259:BN272"/>
    <mergeCell ref="BT259:BU259"/>
    <mergeCell ref="B260:C260"/>
    <mergeCell ref="BT260:BU260"/>
    <mergeCell ref="BT261:BV262"/>
    <mergeCell ref="B262:G263"/>
    <mergeCell ref="H262:L263"/>
    <mergeCell ref="M262:Q263"/>
    <mergeCell ref="AV262:AZ263"/>
    <mergeCell ref="C264:C265"/>
    <mergeCell ref="D264:D265"/>
    <mergeCell ref="E264:E265"/>
    <mergeCell ref="F264:F265"/>
    <mergeCell ref="G264:G265"/>
    <mergeCell ref="H264:H265"/>
    <mergeCell ref="I264:I265"/>
    <mergeCell ref="J264:J265"/>
    <mergeCell ref="K264:K265"/>
    <mergeCell ref="R262:V263"/>
    <mergeCell ref="W262:AA263"/>
    <mergeCell ref="AB262:AF263"/>
    <mergeCell ref="AG262:AK263"/>
    <mergeCell ref="AL262:AP263"/>
    <mergeCell ref="AQ262:AU263"/>
    <mergeCell ref="R264:R265"/>
    <mergeCell ref="S264:S265"/>
    <mergeCell ref="T264:T265"/>
    <mergeCell ref="U264:U265"/>
    <mergeCell ref="V264:V265"/>
    <mergeCell ref="W264:W265"/>
    <mergeCell ref="L264:L265"/>
    <mergeCell ref="M264:M265"/>
    <mergeCell ref="N264:N265"/>
    <mergeCell ref="O264:O265"/>
    <mergeCell ref="P264:P265"/>
    <mergeCell ref="Q264:Q265"/>
    <mergeCell ref="AN264:AN265"/>
    <mergeCell ref="AO264:AO265"/>
    <mergeCell ref="AD264:AD265"/>
    <mergeCell ref="AE264:AE265"/>
    <mergeCell ref="AF264:AF265"/>
    <mergeCell ref="AG264:AG265"/>
    <mergeCell ref="AH264:AH265"/>
    <mergeCell ref="AI264:AI265"/>
    <mergeCell ref="X264:X265"/>
    <mergeCell ref="Y264:Y265"/>
    <mergeCell ref="Z264:Z265"/>
    <mergeCell ref="AA264:AA265"/>
    <mergeCell ref="AB264:AB265"/>
    <mergeCell ref="AC264:AC265"/>
    <mergeCell ref="BN316:BN320"/>
    <mergeCell ref="BN287:BN292"/>
    <mergeCell ref="BN293:BN298"/>
    <mergeCell ref="BN299:BN306"/>
    <mergeCell ref="B301:C301"/>
    <mergeCell ref="BN307:BN310"/>
    <mergeCell ref="BN311:BN315"/>
    <mergeCell ref="AV264:AV265"/>
    <mergeCell ref="AW264:AW265"/>
    <mergeCell ref="AX264:AX265"/>
    <mergeCell ref="AY264:AY265"/>
    <mergeCell ref="AZ264:AZ265"/>
    <mergeCell ref="BN273:BN286"/>
    <mergeCell ref="BB274:BE275"/>
    <mergeCell ref="AP264:AP265"/>
    <mergeCell ref="AQ264:AQ265"/>
    <mergeCell ref="AR264:AR265"/>
    <mergeCell ref="AS264:AS265"/>
    <mergeCell ref="AT264:AT265"/>
    <mergeCell ref="AU264:AU265"/>
    <mergeCell ref="AJ264:AJ265"/>
    <mergeCell ref="AK264:AK265"/>
    <mergeCell ref="AL264:AL265"/>
    <mergeCell ref="AM264:AM265"/>
  </mergeCells>
  <conditionalFormatting sqref="O72:O73 M68:M71">
    <cfRule type="expression" dxfId="453" priority="7">
      <formula>COUNTIF($M$50:$M$64,M68)&gt;0</formula>
    </cfRule>
  </conditionalFormatting>
  <conditionalFormatting sqref="AC68:AC71">
    <cfRule type="expression" dxfId="452" priority="6">
      <formula>COUNTIF($M$50:$M$64,AC68)&gt;0</formula>
    </cfRule>
  </conditionalFormatting>
  <conditionalFormatting sqref="M99">
    <cfRule type="expression" dxfId="451" priority="5">
      <formula>COUNTIF($M$50:$M$64,M99)&gt;0</formula>
    </cfRule>
  </conditionalFormatting>
  <conditionalFormatting sqref="U99">
    <cfRule type="expression" dxfId="450" priority="4">
      <formula>COUNTIF($M$50:$M$64,U99)&gt;0</formula>
    </cfRule>
  </conditionalFormatting>
  <conditionalFormatting sqref="AC99">
    <cfRule type="expression" dxfId="449" priority="3">
      <formula>COUNTIF($M$50:$M$64,AC99)&gt;0</formula>
    </cfRule>
  </conditionalFormatting>
  <conditionalFormatting sqref="AK99">
    <cfRule type="expression" dxfId="448" priority="2">
      <formula>COUNTIF($M$50:$M$64,AK99)&gt;0</formula>
    </cfRule>
  </conditionalFormatting>
  <conditionalFormatting sqref="AS99">
    <cfRule type="expression" dxfId="447" priority="1">
      <formula>COUNTIF($M$50:$M$64,AS99)&gt;0</formula>
    </cfRule>
  </conditionalFormatting>
  <hyperlinks>
    <hyperlink ref="B3" location="SPELLBOOK!B15" display="BARD SPELLBOOK" xr:uid="{6E5DC38A-8F51-442F-A358-9F09B0345A09}"/>
    <hyperlink ref="B4" location="SPELLBOOK!F115" display="CLERIC SPELLBOOK" xr:uid="{A7511ED1-966D-4F5A-B35F-02315392B27D}"/>
    <hyperlink ref="B12" location="SPELLBOOK!F523" display="WIZARD SPELLBOOK" xr:uid="{1BB2691A-2710-463E-9265-80C977BB3EE1}"/>
    <hyperlink ref="B11" location="SPELLBOOK!F472" display="WARLOCK SPELLBOOK" xr:uid="{28B39A1C-B964-4BB6-8BF5-F2D6993E21B7}"/>
    <hyperlink ref="B10" location="SPELLBOOK!F421" display="SORCEROR SPELLBOOK" xr:uid="{DE6A598D-086C-4406-8EE4-C14F315FAF9A}"/>
    <hyperlink ref="B9" location="SPELLBOOK!F370" display="ARCANE TRICKSTER SPELLBOOK" xr:uid="{CC9CD05B-628E-41A0-8591-4675043C2253}"/>
    <hyperlink ref="B8" location="SPELLBOOK!F319" display="RANGER SPELLBOOK" xr:uid="{3E118BB2-D59F-4D33-95D9-503DE98E67DF}"/>
    <hyperlink ref="B7" location="SPELLBOOK!F268" display="PALADIN SPELLBOOK" xr:uid="{791A02BD-77E5-40B6-ADD6-4F8BD0AA8744}"/>
    <hyperlink ref="B6" location="SPELLBOOK!F217" display="ELDRITCH KNIGHT SPELLBOOK" xr:uid="{5482D2BB-5EC2-4040-8F88-B8854497045E}"/>
    <hyperlink ref="B5" location="SPELLBOOK!F166" display="DRUID SPELLBOOK" xr:uid="{C4DEFA14-072E-43A9-BBEF-467A67E2ABA5}"/>
    <hyperlink ref="B4:E4" location="SPELLBOOK!B96" display="CLERIC SPELLBOOK" xr:uid="{C702D96D-B812-449A-BD48-1BB3B3A4E952}"/>
    <hyperlink ref="B3:E3" location="SPELLBOOK!B41" display="BARD SPELLBOOK" xr:uid="{055448E6-C53D-4BF1-9202-487920658E5C}"/>
    <hyperlink ref="B5:E5" location="SPELLBOOK!B124" display="DRUID SPELLBOOK" xr:uid="{2432E356-1196-41E6-85CB-AE290CE9DFE9}"/>
    <hyperlink ref="B6:E6" location="SPELLBOOK!B147" display="ELDRITCH KNIGHT SPELLBOOK" xr:uid="{501F5BC4-CB8D-43A0-A9E2-94A88D486B38}"/>
    <hyperlink ref="B44" location="SPELLBOOK!A1" display="SPELLBOOK!A1" xr:uid="{6F693023-9572-4D74-A14E-975185095ED0}"/>
    <hyperlink ref="B44:C44" location="SPELLBOOK!A1" display="RETURN TO TOP" xr:uid="{EC198204-2958-48F7-9112-4F6F168050D3}"/>
    <hyperlink ref="B72:C72" location="SPELLBOOK!A1" display="RETURN TO TOP" xr:uid="{90F71D08-163C-4215-B492-E3752B599A09}"/>
    <hyperlink ref="B100" location="SPELLBOOK!A1" display="RETURN TO TOP" xr:uid="{B0906A24-A7C8-4748-937D-B5097AF55126}"/>
    <hyperlink ref="B124" location="SPELLBOOK!A1" display="RETURN TO TOP" xr:uid="{97975288-7C7F-49F6-BAAE-32019E7032BA}"/>
    <hyperlink ref="B147" location="SPELLBOOK!A1" display="RETURN TO TOP" xr:uid="{4043E508-B525-4A50-BE23-C5CA817BB62C}"/>
    <hyperlink ref="B7:E7" location="SPELLBOOK!B171" display="PALADIN SPELLBOOK" xr:uid="{41DF55F0-96F5-4E07-A2D9-7C1B6E4D6768}"/>
    <hyperlink ref="B168" location="SPELLBOOK!A1" display="RETURN TO TOP" xr:uid="{7505BF8C-C06E-4380-9766-339FFC8C492E}"/>
    <hyperlink ref="B8:E8" location="SPELLBOOK!F193" display="RANGER SPELLBOOK" xr:uid="{528A05FF-7304-4297-90F0-4BF59B2F1614}"/>
    <hyperlink ref="B240" location="SPELLBOOK!A1" display="RETURN TO TOP" xr:uid="{E69F2224-9EA7-4960-954B-3EF6CC255617}"/>
    <hyperlink ref="B9:E9" location="SPELLBOOK!F213" display="ARCANE TRICKSTER SPELLBOOK" xr:uid="{FC16353B-01D1-405F-8F46-C6C8ABA58543}"/>
    <hyperlink ref="B209" location="SPELLBOOK!A1" display="RETURN TO TOP" xr:uid="{1B10B3C2-216B-42F4-B327-8EB38B2DDAB3}"/>
    <hyperlink ref="B10:E10" location="SPELLBOOK!F254" display="SORCEROR SPELLBOOK" xr:uid="{8F66F823-D990-4CB6-8031-20F41C71C269}"/>
    <hyperlink ref="B260" location="SPELLBOOK!A1" display="RETURN TO TOP" xr:uid="{70D77572-924A-4AD4-B647-366CF3BD142F}"/>
    <hyperlink ref="B301" location="SPELLBOOK!A1" display="RETURN TO TOP" xr:uid="{00BB0766-BF49-4DDC-9141-1D86B31EF065}"/>
    <hyperlink ref="B11:E11" location="SPELLBOOK!F285" display="WARLOCK SPELLBOOK" xr:uid="{A6C91264-C09E-417C-856E-A078B332DFB0}"/>
    <hyperlink ref="B12:E12" location="SPELLBOOK!F305" display="WIZARD SPELLBOOK" xr:uid="{522621F7-52F8-4D3D-A4AA-22DA920CF5BA}"/>
  </hyperlinks>
  <pageMargins left="0.7" right="0.7" top="0.75" bottom="0.75" header="0.3" footer="0.3"/>
  <pageSetup orientation="portrait" horizontalDpi="4294967293" verticalDpi="300" r:id="rId1"/>
  <legacyDrawing r:id="rId2"/>
  <tableParts count="1">
    <tablePart r:id="rId3"/>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E8319-4E93-4AF8-A647-ED85EAEA4CD2}">
  <sheetPr codeName="Аркуш19">
    <tabColor rgb="FF92D050"/>
  </sheetPr>
  <dimension ref="A1:PG116"/>
  <sheetViews>
    <sheetView showGridLines="0" showZeros="0" topLeftCell="A19" zoomScaleNormal="100" workbookViewId="0">
      <selection activeCell="C159" sqref="B159:C159"/>
    </sheetView>
  </sheetViews>
  <sheetFormatPr defaultColWidth="6.88671875" defaultRowHeight="10.5"/>
  <cols>
    <col min="1" max="1" width="2.44140625" style="272" customWidth="1"/>
    <col min="2" max="2" width="13.109375" style="272" bestFit="1" customWidth="1"/>
    <col min="3" max="3" width="6.44140625" style="271" customWidth="1"/>
    <col min="4" max="5" width="7.33203125" style="271" customWidth="1"/>
    <col min="6" max="6" width="6.44140625" style="271" customWidth="1"/>
    <col min="7" max="7" width="8" style="271" customWidth="1"/>
    <col min="8" max="10" width="6.44140625" style="271" customWidth="1"/>
    <col min="11" max="11" width="7.88671875" style="271" customWidth="1"/>
    <col min="12" max="14" width="6.44140625" style="271" customWidth="1"/>
    <col min="15" max="15" width="8" style="271" customWidth="1"/>
    <col min="16" max="24" width="6.44140625" style="271" customWidth="1"/>
    <col min="25" max="25" width="6.6640625" style="271" customWidth="1"/>
    <col min="26" max="26" width="7.109375" style="271" customWidth="1"/>
    <col min="27" max="33" width="6.44140625" style="271" customWidth="1"/>
    <col min="34" max="34" width="7" style="928" customWidth="1"/>
    <col min="35" max="35" width="12" style="271" customWidth="1"/>
    <col min="36" max="36" width="6.44140625" style="271" customWidth="1"/>
    <col min="37" max="38" width="6.44140625" style="273" customWidth="1"/>
    <col min="39" max="40" width="6.44140625" style="271" customWidth="1"/>
    <col min="41" max="42" width="6.44140625" style="272" customWidth="1"/>
    <col min="43" max="44" width="6.44140625" style="271" customWidth="1"/>
    <col min="45" max="49" width="6.44140625" style="273" customWidth="1"/>
    <col min="50" max="50" width="7.44140625" style="273" bestFit="1" customWidth="1"/>
    <col min="51" max="52" width="6.44140625" style="271" customWidth="1"/>
    <col min="53" max="60" width="6.44140625" style="273" customWidth="1"/>
    <col min="61" max="61" width="8.33203125" style="273" customWidth="1"/>
    <col min="62" max="62" width="7.5546875" style="271" customWidth="1"/>
    <col min="63" max="64" width="6.44140625" style="273" customWidth="1"/>
    <col min="65" max="65" width="6.44140625" style="271" customWidth="1"/>
    <col min="66" max="68" width="6.44140625" style="273" customWidth="1"/>
    <col min="69" max="73" width="6.44140625" style="272" customWidth="1"/>
    <col min="74" max="74" width="6.44140625" style="271" customWidth="1"/>
    <col min="75" max="76" width="6.44140625" style="273" customWidth="1"/>
    <col min="77" max="77" width="6.44140625" style="272" customWidth="1"/>
    <col min="78" max="78" width="6.44140625" style="928" customWidth="1"/>
    <col min="79" max="94" width="6.44140625" style="272" customWidth="1"/>
    <col min="95" max="16384" width="6.88671875" style="272"/>
  </cols>
  <sheetData>
    <row r="1" spans="1:423" ht="11.25" thickBot="1">
      <c r="F1" s="273"/>
      <c r="G1" s="273"/>
      <c r="BE1" s="271"/>
      <c r="BN1" s="929" t="s">
        <v>6937</v>
      </c>
      <c r="BO1" s="930"/>
      <c r="BP1" s="930"/>
      <c r="BQ1" s="931"/>
      <c r="BR1" s="932"/>
      <c r="BW1" s="591"/>
      <c r="BX1" s="592"/>
    </row>
    <row r="2" spans="1:423" s="933" customFormat="1" ht="15" thickBot="1">
      <c r="B2" s="275" t="s">
        <v>6938</v>
      </c>
      <c r="C2" s="276"/>
      <c r="D2" s="276"/>
      <c r="E2" s="276"/>
      <c r="F2" s="276"/>
      <c r="G2" s="276"/>
      <c r="H2" s="276"/>
      <c r="I2" s="934"/>
      <c r="J2" s="934"/>
      <c r="K2" s="934"/>
      <c r="L2" s="934"/>
      <c r="M2" s="934"/>
      <c r="N2" s="276"/>
      <c r="O2" s="276"/>
      <c r="P2" s="276"/>
      <c r="Q2" s="276"/>
      <c r="R2" s="276"/>
      <c r="S2" s="276"/>
      <c r="T2" s="276"/>
      <c r="U2" s="276"/>
      <c r="V2" s="276"/>
      <c r="W2" s="276"/>
      <c r="X2" s="276"/>
      <c r="Y2" s="276"/>
      <c r="Z2" s="276"/>
      <c r="AA2" s="276"/>
      <c r="AB2" s="276"/>
      <c r="AC2" s="276"/>
      <c r="AD2" s="276"/>
      <c r="AE2" s="276"/>
      <c r="AF2" s="276"/>
      <c r="AG2" s="276"/>
      <c r="AH2" s="276"/>
      <c r="AI2" s="276"/>
      <c r="AJ2" s="276"/>
      <c r="AK2" s="276"/>
      <c r="AL2" s="276"/>
      <c r="AM2" s="276"/>
      <c r="AN2" s="276"/>
      <c r="AO2" s="276"/>
      <c r="AP2" s="935"/>
      <c r="AQ2" s="276"/>
      <c r="AR2" s="276"/>
      <c r="AS2" s="276"/>
      <c r="AT2" s="276"/>
      <c r="AU2" s="276"/>
      <c r="AV2" s="276"/>
      <c r="AW2" s="276"/>
      <c r="AX2" s="276"/>
      <c r="AY2" s="276"/>
      <c r="AZ2" s="276"/>
      <c r="BA2" s="276"/>
      <c r="BB2" s="276"/>
      <c r="BC2" s="276"/>
      <c r="BD2" s="276"/>
      <c r="BE2" s="276"/>
      <c r="BF2" s="936"/>
      <c r="BG2" s="936"/>
      <c r="BH2" s="936"/>
      <c r="BL2" s="708"/>
      <c r="BM2" s="708"/>
      <c r="BN2" s="937" t="s">
        <v>6939</v>
      </c>
      <c r="BO2" s="938" t="s">
        <v>6940</v>
      </c>
      <c r="BP2" s="938" t="s">
        <v>6941</v>
      </c>
      <c r="BQ2" s="938" t="s">
        <v>6940</v>
      </c>
      <c r="BR2" s="939" t="s">
        <v>6942</v>
      </c>
      <c r="BS2" s="940"/>
      <c r="BT2" s="941"/>
      <c r="BW2" s="591"/>
      <c r="BX2" s="592"/>
    </row>
    <row r="3" spans="1:423">
      <c r="A3" s="271"/>
      <c r="B3" s="587">
        <v>1</v>
      </c>
      <c r="C3" s="942">
        <f t="shared" ref="C3:C20" ca="1" si="0">RAND()</f>
        <v>0.78623810764325652</v>
      </c>
      <c r="D3" s="943" t="s">
        <v>6943</v>
      </c>
      <c r="E3" s="944">
        <f ca="1">RANK(C3,$C$3:$C$20,0)</f>
        <v>4</v>
      </c>
      <c r="F3" s="945">
        <v>1</v>
      </c>
      <c r="G3" s="946" t="str">
        <f>VLOOKUP(F3,$B$3:$D$20,3,2)</f>
        <v>Acrobatics</v>
      </c>
      <c r="H3" s="947" t="str">
        <f ca="1">VLOOKUP(ROWS(L$3:L3),$E$3:$G$20,3,FALSE)</f>
        <v>Survival</v>
      </c>
      <c r="I3" s="948">
        <f t="shared" ref="I3:I8" ca="1" si="1">RANK(E3,$E$3:$E$8,0)</f>
        <v>6</v>
      </c>
      <c r="J3" s="949">
        <v>2</v>
      </c>
      <c r="K3" s="950" t="str">
        <f t="shared" ref="K3:K8" si="2">VLOOKUP(J3,$B$3:$D$20,3,2)</f>
        <v>Animal Handling</v>
      </c>
      <c r="L3" s="951" t="str">
        <f ca="1">VLOOKUP(ROWS(L$3:L3),$I$3:$K$8,3,FALSE)</f>
        <v>Nature</v>
      </c>
      <c r="M3" s="952">
        <f ca="1">RANK(C3,$C$3:$C$20,0)</f>
        <v>4</v>
      </c>
      <c r="N3" s="945">
        <v>1</v>
      </c>
      <c r="O3" s="946" t="str">
        <f>VLOOKUP(N3,$B$3:$D$20,3,2)</f>
        <v>Acrobatics</v>
      </c>
      <c r="P3" s="947" t="str">
        <f ca="1">VLOOKUP(ROWS(P$3:P3),$E$3:$G$20,3,FALSE)</f>
        <v>Survival</v>
      </c>
      <c r="Q3" s="948">
        <f ca="1">RANK(E3,$E$3:$E$7,0)</f>
        <v>5</v>
      </c>
      <c r="R3" s="949">
        <v>6</v>
      </c>
      <c r="S3" s="344" t="str">
        <f>VLOOKUP(R3,$B$3:$D$20,3,2)</f>
        <v>History</v>
      </c>
      <c r="T3" s="951" t="str">
        <f ca="1">VLOOKUP(ROWS(T$3:T3),$Q$3:$S$7,3,FALSE)</f>
        <v>Persuasion</v>
      </c>
      <c r="U3" s="953">
        <f ca="1">RANK(E3,$E$3:$E$10,0)</f>
        <v>8</v>
      </c>
      <c r="V3" s="949">
        <v>2</v>
      </c>
      <c r="W3" s="344" t="str">
        <f>VLOOKUP(V3,$B$3:$D$20,3,2)</f>
        <v>Animal Handling</v>
      </c>
      <c r="X3" s="951" t="str">
        <f ca="1">VLOOKUP(ROWS(X$3:X3),$U$3:$W$10,3,FALSE)</f>
        <v>Medicine</v>
      </c>
      <c r="Y3" s="953">
        <f ca="1">RANK(E3,$E$3:$E$10,0)</f>
        <v>8</v>
      </c>
      <c r="Z3" s="949">
        <v>1</v>
      </c>
      <c r="AA3" s="946" t="str">
        <f>VLOOKUP(Z3,$B$3:$D$20,3,2)</f>
        <v>Acrobatics</v>
      </c>
      <c r="AB3" s="951" t="str">
        <f ca="1">VLOOKUP(ROWS(AB$3:AB3),$Y$3:$AA$10,3,FALSE)</f>
        <v>History</v>
      </c>
      <c r="AC3" s="953">
        <f t="shared" ref="AC3:AC8" ca="1" si="3">RANK(E3,$E$3:$E$8,0)</f>
        <v>6</v>
      </c>
      <c r="AD3" s="954">
        <v>1</v>
      </c>
      <c r="AE3" s="946" t="str">
        <f t="shared" ref="AE3:AE8" si="4">VLOOKUP(AD3,$B$3:$D$20,3,2)</f>
        <v>Acrobatics</v>
      </c>
      <c r="AF3" s="951" t="str">
        <f ca="1">VLOOKUP(ROWS(AF$3:AF3),$AC$3:$AE$8,3,FALSE)</f>
        <v>Insight</v>
      </c>
      <c r="AG3" s="953">
        <f t="shared" ref="AG3:AG8" ca="1" si="5">RANK(E3,$E$3:$E$8,0)</f>
        <v>6</v>
      </c>
      <c r="AH3" s="955">
        <v>4</v>
      </c>
      <c r="AI3" s="956" t="str">
        <f t="shared" ref="AI3:AI8" si="6">VLOOKUP(AH3,$B$3:$D$20,3,2)</f>
        <v>Athletics</v>
      </c>
      <c r="AJ3" s="951" t="str">
        <f ca="1">VLOOKUP(ROWS(AJ$3:AJ3),$AG$3:$AI$8,3,FALSE)</f>
        <v>Medicine</v>
      </c>
      <c r="AK3" s="953">
        <f t="shared" ref="AK3:AK10" ca="1" si="7">RANK(E3,$E$3:$E$10,0)</f>
        <v>8</v>
      </c>
      <c r="AL3" s="955">
        <v>2</v>
      </c>
      <c r="AM3" s="957" t="str">
        <f>VLOOKUP(AL3,$B$3:$D$20,3,2)</f>
        <v>Animal Handling</v>
      </c>
      <c r="AN3" s="958" t="str">
        <f ca="1">VLOOKUP(ROWS(AN$3:AN3),$AK$3:$AM$10,3,FALSE)</f>
        <v>Investigation</v>
      </c>
      <c r="AO3" s="953">
        <f t="shared" ref="AO3:AO13" ca="1" si="8">RANK(E3,$E$3:$E$13,0)</f>
        <v>10</v>
      </c>
      <c r="AP3" s="954">
        <v>1</v>
      </c>
      <c r="AQ3" s="946" t="str">
        <f>VLOOKUP(AP3,$B$3:$D$20,3,2)</f>
        <v>Acrobatics</v>
      </c>
      <c r="AR3" s="959" t="str">
        <f ca="1">VLOOKUP(ROWS(AR$3:AR3),$AO$3:$AQ$13,3,FALSE)</f>
        <v>Insight</v>
      </c>
      <c r="AS3" s="953">
        <f t="shared" ref="AS3:AS8" ca="1" si="9">RANK(E3,$E$3:$E$8,0)</f>
        <v>6</v>
      </c>
      <c r="AT3" s="955">
        <v>3</v>
      </c>
      <c r="AU3" s="956" t="str">
        <f t="shared" ref="AU3:AU8" si="10">VLOOKUP(AT3,$B$3:$D$20,3,2)</f>
        <v>Arcana</v>
      </c>
      <c r="AV3" s="951" t="str">
        <f ca="1">VLOOKUP(ROWS(AV$3:AV3),$AS$3:$AU$8,3,FALSE)</f>
        <v>Intimidation</v>
      </c>
      <c r="AW3" s="953">
        <f t="shared" ref="AW3:AW9" ca="1" si="11">RANK(E3,$E$3:$E$9,0)</f>
        <v>7</v>
      </c>
      <c r="AX3" s="955">
        <v>3</v>
      </c>
      <c r="AY3" s="956" t="str">
        <f>VLOOKUP(AX3,$B$3:$D$20,3,2)</f>
        <v>Arcana</v>
      </c>
      <c r="AZ3" s="960" t="str">
        <f ca="1">VLOOKUP(ROWS(AZ$3:AZ3),$AW$3:$AY$9,3,FALSE)</f>
        <v>Intimidation</v>
      </c>
      <c r="BA3" s="953">
        <f t="shared" ref="BA3:BA8" ca="1" si="12">RANK(E3,$E$3:$E$8,0)</f>
        <v>6</v>
      </c>
      <c r="BB3" s="955">
        <v>3</v>
      </c>
      <c r="BC3" s="956" t="str">
        <f t="shared" ref="BC3:BC8" si="13">VLOOKUP(BB3,$B$3:$D$20,3,2)</f>
        <v>Arcana</v>
      </c>
      <c r="BD3" s="951" t="str">
        <f ca="1">VLOOKUP(ROWS(BD$3:BD3),$BA$3:$BC$8,3,FALSE)</f>
        <v>Investigation</v>
      </c>
      <c r="BE3" s="953">
        <f t="shared" ref="BE3:BE9" ca="1" si="14">RANK(E3,$E$3:$E$9,0)</f>
        <v>7</v>
      </c>
      <c r="BF3" s="955">
        <v>3</v>
      </c>
      <c r="BG3" s="956" t="str">
        <f t="shared" ref="BG3:BG9" si="15">VLOOKUP(BF3,$B$3:$D$20,3,2)</f>
        <v>Arcana</v>
      </c>
      <c r="BH3" s="951" t="str">
        <f ca="1">VLOOKUP(ROWS(BH$3:BH3),$BE$3:$BG$9,3,FALSE)</f>
        <v>Medicine</v>
      </c>
      <c r="BL3" s="961"/>
      <c r="BM3" s="962" t="s">
        <v>6944</v>
      </c>
      <c r="BN3" s="963">
        <v>3</v>
      </c>
      <c r="BO3" s="964">
        <v>12</v>
      </c>
      <c r="BP3" s="965" t="str">
        <f>VLOOKUP(BO3,$B$3:$D$20,3,2)</f>
        <v>Perception</v>
      </c>
      <c r="BQ3" s="966"/>
      <c r="BR3" s="967"/>
      <c r="BW3" s="591"/>
      <c r="BX3" s="592"/>
    </row>
    <row r="4" spans="1:423">
      <c r="A4" s="273"/>
      <c r="B4" s="578">
        <v>2</v>
      </c>
      <c r="C4" s="968">
        <f t="shared" ca="1" si="0"/>
        <v>0.42342070030797319</v>
      </c>
      <c r="D4" s="969" t="s">
        <v>6945</v>
      </c>
      <c r="E4" s="970">
        <f t="shared" ref="E4:E20" ca="1" si="16">RANK(C4,$C$3:$C$20,0)</f>
        <v>14</v>
      </c>
      <c r="F4" s="971">
        <v>2</v>
      </c>
      <c r="G4" s="972" t="str">
        <f t="shared" ref="G4:G20" si="17">VLOOKUP(F4,$B$3:$D$20,3,2)</f>
        <v>Animal Handling</v>
      </c>
      <c r="H4" s="973" t="str">
        <f ca="1">VLOOKUP(ROWS(L$3:L4),$E$3:$G$20,3,FALSE)</f>
        <v>Investigation</v>
      </c>
      <c r="I4" s="974">
        <f t="shared" ca="1" si="1"/>
        <v>5</v>
      </c>
      <c r="J4" s="975">
        <v>4</v>
      </c>
      <c r="K4" s="956" t="str">
        <f t="shared" si="2"/>
        <v>Athletics</v>
      </c>
      <c r="L4" s="976" t="str">
        <f ca="1">VLOOKUP(ROWS(L$3:L4),$I$3:$K$8,3,FALSE)</f>
        <v>Survival</v>
      </c>
      <c r="M4" s="977">
        <f t="shared" ref="M4:M20" ca="1" si="18">RANK(C4,$C$3:$C$20,0)</f>
        <v>14</v>
      </c>
      <c r="N4" s="971">
        <v>2</v>
      </c>
      <c r="O4" s="972" t="str">
        <f t="shared" ref="O4:O20" si="19">VLOOKUP(N4,$B$3:$D$20,3,2)</f>
        <v>Animal Handling</v>
      </c>
      <c r="P4" s="973" t="str">
        <f ca="1">VLOOKUP(ROWS(P$3:P4),$E$3:$G$20,3,FALSE)</f>
        <v>Investigation</v>
      </c>
      <c r="Q4" s="974">
        <f ca="1">RANK(E4,$E$3:$E$7,0)</f>
        <v>4</v>
      </c>
      <c r="R4" s="975">
        <v>7</v>
      </c>
      <c r="S4" s="368" t="str">
        <f>VLOOKUP(R4,$B$3:$D$20,3,2)</f>
        <v>Insight</v>
      </c>
      <c r="T4" s="978" t="str">
        <f ca="1">VLOOKUP(ROWS(T$3:T4),$Q$3:$S$7,3,FALSE)</f>
        <v>Religion</v>
      </c>
      <c r="U4" s="979">
        <f t="shared" ref="U4:U10" ca="1" si="20">RANK(E4,$E$3:$E$10,0)</f>
        <v>5</v>
      </c>
      <c r="V4" s="975">
        <v>3</v>
      </c>
      <c r="W4" s="368" t="str">
        <f t="shared" ref="W4:W10" si="21">VLOOKUP(V4,$B$3:$D$20,3,2)</f>
        <v>Arcana</v>
      </c>
      <c r="X4" s="980" t="str">
        <f ca="1">VLOOKUP(ROWS(X$3:X4),$U$3:$W$10,3,FALSE)</f>
        <v>Perception</v>
      </c>
      <c r="Y4" s="979">
        <f t="shared" ref="Y4:Y10" ca="1" si="22">RANK(E4,$E$3:$E$10,0)</f>
        <v>5</v>
      </c>
      <c r="Z4" s="975">
        <v>2</v>
      </c>
      <c r="AA4" s="972" t="str">
        <f t="shared" ref="AA4:AA10" si="23">VLOOKUP(Z4,$B$3:$D$20,3,2)</f>
        <v>Animal Handling</v>
      </c>
      <c r="AB4" s="981" t="str">
        <f ca="1">VLOOKUP(ROWS(AB$3:AB4),$Y$3:$AA$10,3,FALSE)</f>
        <v>Intimidation</v>
      </c>
      <c r="AC4" s="979">
        <f t="shared" ca="1" si="3"/>
        <v>5</v>
      </c>
      <c r="AD4" s="982">
        <v>4</v>
      </c>
      <c r="AE4" s="972" t="str">
        <f t="shared" si="4"/>
        <v>Athletics</v>
      </c>
      <c r="AF4" s="980" t="str">
        <f ca="1">VLOOKUP(ROWS(AF$3:AF4),$AC$3:$AE$8,3,FALSE)</f>
        <v>Stealth</v>
      </c>
      <c r="AG4" s="979">
        <f t="shared" ca="1" si="5"/>
        <v>5</v>
      </c>
      <c r="AH4" s="975">
        <v>7</v>
      </c>
      <c r="AI4" s="956" t="str">
        <f t="shared" si="6"/>
        <v>Insight</v>
      </c>
      <c r="AJ4" s="980" t="str">
        <f ca="1">VLOOKUP(ROWS(AJ$3:AJ4),$AG$3:$AI$8,3,FALSE)</f>
        <v>Religion</v>
      </c>
      <c r="AK4" s="979">
        <f t="shared" ca="1" si="7"/>
        <v>5</v>
      </c>
      <c r="AL4" s="982">
        <v>4</v>
      </c>
      <c r="AM4" s="983" t="str">
        <f t="shared" ref="AM4:AM10" si="24">VLOOKUP(AL4,$B$3:$D$20,3,2)</f>
        <v>Athletics</v>
      </c>
      <c r="AN4" s="981" t="str">
        <f ca="1">VLOOKUP(ROWS(AN$3:AN4),$AK$3:$AM$10,3,FALSE)</f>
        <v>Perception</v>
      </c>
      <c r="AO4" s="979">
        <f t="shared" ca="1" si="8"/>
        <v>5</v>
      </c>
      <c r="AP4" s="982">
        <v>4</v>
      </c>
      <c r="AQ4" s="972" t="str">
        <f t="shared" ref="AQ4:AQ13" si="25">VLOOKUP(AP4,$B$3:$D$20,3,2)</f>
        <v>Athletics</v>
      </c>
      <c r="AR4" s="984" t="str">
        <f ca="1">VLOOKUP(ROWS(AR$3:AR4),$AO$3:$AQ$13,3,FALSE)</f>
        <v>Investigation</v>
      </c>
      <c r="AS4" s="979">
        <f t="shared" ca="1" si="9"/>
        <v>5</v>
      </c>
      <c r="AT4" s="975">
        <v>5</v>
      </c>
      <c r="AU4" s="956" t="str">
        <f t="shared" si="10"/>
        <v>Deception</v>
      </c>
      <c r="AV4" s="980" t="str">
        <f ca="1">VLOOKUP(ROWS(AV$3:AV4),$AS$3:$AU$8,3,FALSE)</f>
        <v>Religion</v>
      </c>
      <c r="AW4" s="979">
        <f t="shared" ca="1" si="11"/>
        <v>5</v>
      </c>
      <c r="AX4" s="975">
        <v>5</v>
      </c>
      <c r="AY4" s="956" t="str">
        <f t="shared" ref="AY4:AY9" si="26">VLOOKUP(AX4,$B$3:$D$20,3,2)</f>
        <v>Deception</v>
      </c>
      <c r="AZ4" s="985" t="str">
        <f ca="1">VLOOKUP(ROWS(AZ$3:AZ4),$AW$3:$AY$9,3,FALSE)</f>
        <v>Nature</v>
      </c>
      <c r="BA4" s="979">
        <f t="shared" ca="1" si="12"/>
        <v>5</v>
      </c>
      <c r="BB4" s="975">
        <v>6</v>
      </c>
      <c r="BC4" s="956" t="str">
        <f t="shared" si="13"/>
        <v>History</v>
      </c>
      <c r="BD4" s="980" t="str">
        <f ca="1">VLOOKUP(ROWS(BD$3:BD4),$BA$3:$BC$8,3,FALSE)</f>
        <v>Religion</v>
      </c>
      <c r="BE4" s="979">
        <f t="shared" ca="1" si="14"/>
        <v>5</v>
      </c>
      <c r="BF4" s="975">
        <v>6</v>
      </c>
      <c r="BG4" s="956" t="str">
        <f t="shared" si="15"/>
        <v>History</v>
      </c>
      <c r="BH4" s="980" t="str">
        <f ca="1">VLOOKUP(ROWS(BH$3:BH4),$BE$3:$BG$9,3,FALSE)</f>
        <v>Perception</v>
      </c>
      <c r="BL4" s="961"/>
      <c r="BM4" s="986" t="s">
        <v>6946</v>
      </c>
      <c r="BN4" s="987">
        <v>4</v>
      </c>
      <c r="BO4" s="988">
        <v>12</v>
      </c>
      <c r="BP4" s="989" t="str">
        <f>VLOOKUP(BO4,$B$3:$D$20,3,2)</f>
        <v>Perception</v>
      </c>
      <c r="BQ4" s="990"/>
      <c r="BR4" s="991"/>
      <c r="BW4" s="591"/>
      <c r="BX4" s="592"/>
    </row>
    <row r="5" spans="1:423">
      <c r="A5" s="273"/>
      <c r="B5" s="578">
        <v>3</v>
      </c>
      <c r="C5" s="968">
        <f t="shared" ca="1" si="0"/>
        <v>0.30871682457306526</v>
      </c>
      <c r="D5" s="969" t="s">
        <v>6310</v>
      </c>
      <c r="E5" s="970">
        <f t="shared" ca="1" si="16"/>
        <v>15</v>
      </c>
      <c r="F5" s="971">
        <v>3</v>
      </c>
      <c r="G5" s="972" t="str">
        <f t="shared" si="17"/>
        <v>Arcana</v>
      </c>
      <c r="H5" s="992" t="str">
        <f ca="1">VLOOKUP(ROWS(L$3:L5),$E$3:$G$20,3,FALSE)</f>
        <v>Performance</v>
      </c>
      <c r="I5" s="974">
        <f t="shared" ca="1" si="1"/>
        <v>4</v>
      </c>
      <c r="J5" s="975">
        <v>8</v>
      </c>
      <c r="K5" s="956" t="str">
        <f t="shared" si="2"/>
        <v>Intimidation</v>
      </c>
      <c r="L5" s="993" t="str">
        <f ca="1">VLOOKUP(ROWS(L$3:L5),$I$3:$K$8,3,FALSE)</f>
        <v>Perception</v>
      </c>
      <c r="M5" s="977">
        <f t="shared" ca="1" si="18"/>
        <v>15</v>
      </c>
      <c r="N5" s="971">
        <v>3</v>
      </c>
      <c r="O5" s="972" t="str">
        <f t="shared" si="19"/>
        <v>Arcana</v>
      </c>
      <c r="P5" s="992" t="str">
        <f ca="1">VLOOKUP(ROWS(P$3:P5),$E$3:$G$20,3,FALSE)</f>
        <v>Performance</v>
      </c>
      <c r="Q5" s="974">
        <f ca="1">RANK(E5,$E$3:$E$7,0)</f>
        <v>3</v>
      </c>
      <c r="R5" s="975">
        <v>10</v>
      </c>
      <c r="S5" s="368" t="str">
        <f>VLOOKUP(R5,$B$3:$D$20,3,2)</f>
        <v>Medicine</v>
      </c>
      <c r="T5" s="994" t="str">
        <f ca="1">VLOOKUP(ROWS(T$3:T5),$Q$3:$S$7,3,FALSE)</f>
        <v>Medicine</v>
      </c>
      <c r="U5" s="979">
        <f t="shared" ca="1" si="20"/>
        <v>4</v>
      </c>
      <c r="V5" s="975">
        <v>7</v>
      </c>
      <c r="W5" s="368" t="str">
        <f t="shared" si="21"/>
        <v>Insight</v>
      </c>
      <c r="X5" s="994" t="str">
        <f ca="1">VLOOKUP(ROWS(X$3:X5),$U$3:$W$10,3,FALSE)</f>
        <v>Nature</v>
      </c>
      <c r="Y5" s="979">
        <f t="shared" ca="1" si="22"/>
        <v>4</v>
      </c>
      <c r="Z5" s="975">
        <v>4</v>
      </c>
      <c r="AA5" s="972" t="str">
        <f t="shared" si="23"/>
        <v>Athletics</v>
      </c>
      <c r="AB5" s="994" t="str">
        <f ca="1">VLOOKUP(ROWS(AB$3:AB5),$Y$3:$AA$10,3,FALSE)</f>
        <v>Insight</v>
      </c>
      <c r="AC5" s="979">
        <f t="shared" ca="1" si="3"/>
        <v>4</v>
      </c>
      <c r="AD5" s="975">
        <v>6</v>
      </c>
      <c r="AE5" s="972" t="str">
        <f t="shared" si="4"/>
        <v>History</v>
      </c>
      <c r="AF5" s="994" t="str">
        <f ca="1">VLOOKUP(ROWS(AF$3:AF5),$AC$3:$AE$8,3,FALSE)</f>
        <v>Religion</v>
      </c>
      <c r="AG5" s="979">
        <f t="shared" ca="1" si="5"/>
        <v>4</v>
      </c>
      <c r="AH5" s="975">
        <v>8</v>
      </c>
      <c r="AI5" s="956" t="str">
        <f t="shared" si="6"/>
        <v>Intimidation</v>
      </c>
      <c r="AJ5" s="994" t="str">
        <f ca="1">VLOOKUP(ROWS(AJ$3:AJ5),$AG$3:$AI$8,3,FALSE)</f>
        <v>Persuasion</v>
      </c>
      <c r="AK5" s="979">
        <f t="shared" ca="1" si="7"/>
        <v>4</v>
      </c>
      <c r="AL5" s="982">
        <v>7</v>
      </c>
      <c r="AM5" s="983" t="str">
        <f t="shared" si="24"/>
        <v>Insight</v>
      </c>
      <c r="AN5" s="980" t="str">
        <f ca="1">VLOOKUP(ROWS(AN$3:AN5),$AK$3:$AM$10,3,FALSE)</f>
        <v>Nature</v>
      </c>
      <c r="AO5" s="979">
        <f t="shared" ca="1" si="8"/>
        <v>4</v>
      </c>
      <c r="AP5" s="975">
        <v>5</v>
      </c>
      <c r="AQ5" s="972" t="str">
        <f t="shared" si="25"/>
        <v>Deception</v>
      </c>
      <c r="AR5" s="984" t="str">
        <f ca="1">VLOOKUP(ROWS(AR$3:AR5),$AO$3:$AQ$13,3,FALSE)</f>
        <v>Intimidation</v>
      </c>
      <c r="AS5" s="979">
        <f t="shared" ca="1" si="9"/>
        <v>4</v>
      </c>
      <c r="AT5" s="975">
        <v>7</v>
      </c>
      <c r="AU5" s="956" t="str">
        <f t="shared" si="10"/>
        <v>Insight</v>
      </c>
      <c r="AV5" s="994" t="str">
        <f ca="1">VLOOKUP(ROWS(AV$3:AV5),$AS$3:$AU$8,3,FALSE)</f>
        <v>Persuasion</v>
      </c>
      <c r="AW5" s="979">
        <f t="shared" ca="1" si="11"/>
        <v>4</v>
      </c>
      <c r="AX5" s="975">
        <v>6</v>
      </c>
      <c r="AY5" s="956" t="str">
        <f t="shared" si="26"/>
        <v>History</v>
      </c>
      <c r="AZ5" s="992" t="str">
        <f ca="1">VLOOKUP(ROWS(AZ$3:AZ5),$AW$3:$AY$9,3,FALSE)</f>
        <v>Investigation</v>
      </c>
      <c r="BA5" s="979">
        <f t="shared" ca="1" si="12"/>
        <v>4</v>
      </c>
      <c r="BB5" s="975">
        <v>7</v>
      </c>
      <c r="BC5" s="956" t="str">
        <f t="shared" si="13"/>
        <v>Insight</v>
      </c>
      <c r="BD5" s="994" t="str">
        <f ca="1">VLOOKUP(ROWS(BD$3:BD5),$BA$3:$BC$8,3,FALSE)</f>
        <v>Medicine</v>
      </c>
      <c r="BE5" s="979">
        <f t="shared" ca="1" si="14"/>
        <v>4</v>
      </c>
      <c r="BF5" s="975">
        <v>7</v>
      </c>
      <c r="BG5" s="956" t="str">
        <f t="shared" si="15"/>
        <v>Insight</v>
      </c>
      <c r="BH5" s="994" t="str">
        <f ca="1">VLOOKUP(ROWS(BH$3:BH5),$BE$3:$BG$9,3,FALSE)</f>
        <v>Nature</v>
      </c>
      <c r="BL5" s="961"/>
      <c r="BM5" s="986" t="s">
        <v>6947</v>
      </c>
      <c r="BN5" s="987">
        <v>16</v>
      </c>
      <c r="BO5" s="995">
        <f ca="1">VLOOKUP(1,$E$3:$F$20,2,0)</f>
        <v>18</v>
      </c>
      <c r="BP5" s="996" t="str">
        <f ca="1">VLOOKUP(BO5,$F$3:$G$20,2,0)</f>
        <v>Survival</v>
      </c>
      <c r="BQ5" s="990"/>
      <c r="BR5" s="991"/>
      <c r="BW5" s="591"/>
      <c r="BX5" s="592"/>
    </row>
    <row r="6" spans="1:423">
      <c r="A6" s="273"/>
      <c r="B6" s="578">
        <v>4</v>
      </c>
      <c r="C6" s="968">
        <f t="shared" ca="1" si="0"/>
        <v>0.12850313123863011</v>
      </c>
      <c r="D6" s="969" t="s">
        <v>6948</v>
      </c>
      <c r="E6" s="970">
        <f t="shared" ca="1" si="16"/>
        <v>18</v>
      </c>
      <c r="F6" s="971">
        <v>4</v>
      </c>
      <c r="G6" s="972" t="str">
        <f t="shared" si="17"/>
        <v>Athletics</v>
      </c>
      <c r="H6" s="992" t="str">
        <f ca="1">VLOOKUP(ROWS(L$3:L6),$E$3:$G$20,3,FALSE)</f>
        <v>Acrobatics</v>
      </c>
      <c r="I6" s="974">
        <f t="shared" ca="1" si="1"/>
        <v>1</v>
      </c>
      <c r="J6" s="975">
        <v>11</v>
      </c>
      <c r="K6" s="956" t="str">
        <f t="shared" si="2"/>
        <v>Nature</v>
      </c>
      <c r="L6" s="994" t="str">
        <f ca="1">VLOOKUP(ROWS(L$3:L6),$I$3:$K$8,3,FALSE)</f>
        <v>Intimidation</v>
      </c>
      <c r="M6" s="977">
        <f t="shared" ca="1" si="18"/>
        <v>18</v>
      </c>
      <c r="N6" s="971">
        <v>4</v>
      </c>
      <c r="O6" s="972" t="str">
        <f t="shared" si="19"/>
        <v>Athletics</v>
      </c>
      <c r="P6" s="992" t="str">
        <f ca="1">VLOOKUP(ROWS(P$3:P6),$E$3:$G$20,3,FALSE)</f>
        <v>Acrobatics</v>
      </c>
      <c r="Q6" s="974">
        <f ca="1">RANK(E6,$E$3:$E$7,0)</f>
        <v>1</v>
      </c>
      <c r="R6" s="975">
        <v>14</v>
      </c>
      <c r="S6" s="368" t="str">
        <f>VLOOKUP(R6,$B$3:$D$20,3,2)</f>
        <v>Persuasion</v>
      </c>
      <c r="T6" s="994" t="str">
        <f ca="1">VLOOKUP(ROWS(T$3:T6),$Q$3:$S$7,3,FALSE)</f>
        <v>Insight</v>
      </c>
      <c r="U6" s="979">
        <f t="shared" ca="1" si="20"/>
        <v>1</v>
      </c>
      <c r="V6" s="975">
        <v>10</v>
      </c>
      <c r="W6" s="368" t="str">
        <f>VLOOKUP(V6,$B$3:$D$20,3,2)</f>
        <v>Medicine</v>
      </c>
      <c r="X6" s="994" t="str">
        <f ca="1">VLOOKUP(ROWS(X$3:X6),$U$3:$W$10,3,FALSE)</f>
        <v>Insight</v>
      </c>
      <c r="Y6" s="979">
        <f t="shared" ca="1" si="22"/>
        <v>1</v>
      </c>
      <c r="Z6" s="975">
        <v>6</v>
      </c>
      <c r="AA6" s="972" t="str">
        <f>VLOOKUP(Z6,$B$3:$D$20,3,2)</f>
        <v>History</v>
      </c>
      <c r="AB6" s="994" t="str">
        <f ca="1">VLOOKUP(ROWS(AB$3:AB6),$Y$3:$AA$10,3,FALSE)</f>
        <v>Athletics</v>
      </c>
      <c r="AC6" s="979">
        <f t="shared" ca="1" si="3"/>
        <v>1</v>
      </c>
      <c r="AD6" s="975">
        <v>7</v>
      </c>
      <c r="AE6" s="972" t="str">
        <f t="shared" si="4"/>
        <v>Insight</v>
      </c>
      <c r="AF6" s="994" t="str">
        <f ca="1">VLOOKUP(ROWS(AF$3:AF6),$AC$3:$AE$8,3,FALSE)</f>
        <v>History</v>
      </c>
      <c r="AG6" s="979">
        <f t="shared" ca="1" si="5"/>
        <v>1</v>
      </c>
      <c r="AH6" s="975">
        <v>10</v>
      </c>
      <c r="AI6" s="956" t="str">
        <f t="shared" si="6"/>
        <v>Medicine</v>
      </c>
      <c r="AJ6" s="994" t="str">
        <f ca="1">VLOOKUP(ROWS(AJ$3:AJ6),$AG$3:$AI$8,3,FALSE)</f>
        <v>Intimidation</v>
      </c>
      <c r="AK6" s="979">
        <f t="shared" ca="1" si="7"/>
        <v>1</v>
      </c>
      <c r="AL6" s="982">
        <v>9</v>
      </c>
      <c r="AM6" s="983" t="str">
        <f>VLOOKUP(AL6,$B$3:$D$20,3,2)</f>
        <v>Investigation</v>
      </c>
      <c r="AN6" s="994" t="str">
        <f ca="1">VLOOKUP(ROWS(AN$3:AN6),$AK$3:$AM$10,3,FALSE)</f>
        <v>Insight</v>
      </c>
      <c r="AO6" s="979">
        <f t="shared" ca="1" si="8"/>
        <v>1</v>
      </c>
      <c r="AP6" s="975">
        <v>7</v>
      </c>
      <c r="AQ6" s="972" t="str">
        <f>VLOOKUP(AP6,$B$3:$D$20,3,2)</f>
        <v>Insight</v>
      </c>
      <c r="AR6" s="997" t="str">
        <f ca="1">VLOOKUP(ROWS(AR$3:AR6),$AO$3:$AQ$13,3,FALSE)</f>
        <v>Deception</v>
      </c>
      <c r="AS6" s="979">
        <f t="shared" ca="1" si="9"/>
        <v>1</v>
      </c>
      <c r="AT6" s="975">
        <v>8</v>
      </c>
      <c r="AU6" s="956" t="str">
        <f t="shared" si="10"/>
        <v>Intimidation</v>
      </c>
      <c r="AV6" s="994" t="str">
        <f ca="1">VLOOKUP(ROWS(AV$3:AV6),$AS$3:$AU$8,3,FALSE)</f>
        <v>Insight</v>
      </c>
      <c r="AW6" s="979">
        <f t="shared" ca="1" si="11"/>
        <v>1</v>
      </c>
      <c r="AX6" s="975">
        <v>8</v>
      </c>
      <c r="AY6" s="956" t="str">
        <f>VLOOKUP(AX6,$B$3:$D$20,3,2)</f>
        <v>Intimidation</v>
      </c>
      <c r="AZ6" s="992" t="str">
        <f ca="1">VLOOKUP(ROWS(AZ$3:AZ6),$AW$3:$AY$9,3,FALSE)</f>
        <v>History</v>
      </c>
      <c r="BA6" s="979">
        <f t="shared" ca="1" si="12"/>
        <v>1</v>
      </c>
      <c r="BB6" s="975">
        <v>9</v>
      </c>
      <c r="BC6" s="956" t="str">
        <f t="shared" si="13"/>
        <v>Investigation</v>
      </c>
      <c r="BD6" s="994" t="str">
        <f ca="1">VLOOKUP(ROWS(BD$3:BD6),$BA$3:$BC$8,3,FALSE)</f>
        <v>Insight</v>
      </c>
      <c r="BE6" s="979">
        <f t="shared" ca="1" si="14"/>
        <v>1</v>
      </c>
      <c r="BF6" s="975">
        <v>10</v>
      </c>
      <c r="BG6" s="956" t="str">
        <f t="shared" si="15"/>
        <v>Medicine</v>
      </c>
      <c r="BH6" s="994" t="str">
        <f ca="1">VLOOKUP(ROWS(BH$3:BH6),$BE$3:$BG$9,3,FALSE)</f>
        <v>Insight</v>
      </c>
      <c r="BL6" s="961"/>
      <c r="BM6" s="986" t="s">
        <v>6949</v>
      </c>
      <c r="BN6" s="987">
        <v>19</v>
      </c>
      <c r="BO6" s="901">
        <f ca="1">VLOOKUP(1,$E$3:$F$20,2,0)</f>
        <v>18</v>
      </c>
      <c r="BP6" s="998" t="str">
        <f ca="1">VLOOKUP(BO6,$F$3:$G$20,2,0)</f>
        <v>Survival</v>
      </c>
      <c r="BQ6" s="382">
        <f ca="1">VLOOKUP(2,$E$3:$F$20,2,0)</f>
        <v>9</v>
      </c>
      <c r="BR6" s="536" t="str">
        <f ca="1">VLOOKUP(BQ6,$F$3:$G$20,2,0)</f>
        <v>Investigation</v>
      </c>
      <c r="BW6" s="591"/>
      <c r="BX6" s="592"/>
    </row>
    <row r="7" spans="1:423" s="1006" customFormat="1">
      <c r="A7" s="273"/>
      <c r="B7" s="578">
        <v>5</v>
      </c>
      <c r="C7" s="968">
        <f t="shared" ca="1" si="0"/>
        <v>0.27862588571256575</v>
      </c>
      <c r="D7" s="969" t="s">
        <v>6950</v>
      </c>
      <c r="E7" s="970">
        <f t="shared" ca="1" si="16"/>
        <v>16</v>
      </c>
      <c r="F7" s="971">
        <v>5</v>
      </c>
      <c r="G7" s="972" t="str">
        <f t="shared" si="17"/>
        <v>Deception</v>
      </c>
      <c r="H7" s="992" t="str">
        <f ca="1">VLOOKUP(ROWS(L$3:L7),$E$3:$G$20,3,FALSE)</f>
        <v>Persuasion</v>
      </c>
      <c r="I7" s="974">
        <f t="shared" ca="1" si="1"/>
        <v>3</v>
      </c>
      <c r="J7" s="975">
        <v>12</v>
      </c>
      <c r="K7" s="956" t="str">
        <f t="shared" si="2"/>
        <v>Perception</v>
      </c>
      <c r="L7" s="994" t="str">
        <f ca="1">VLOOKUP(ROWS(L$3:L7),$I$3:$K$8,3,FALSE)</f>
        <v>Athletics</v>
      </c>
      <c r="M7" s="977">
        <f t="shared" ca="1" si="18"/>
        <v>16</v>
      </c>
      <c r="N7" s="971">
        <v>5</v>
      </c>
      <c r="O7" s="972" t="str">
        <f t="shared" si="19"/>
        <v>Deception</v>
      </c>
      <c r="P7" s="992" t="str">
        <f ca="1">VLOOKUP(ROWS(P$3:P7),$E$3:$G$20,3,FALSE)</f>
        <v>Persuasion</v>
      </c>
      <c r="Q7" s="999">
        <f ca="1">RANK(E7,$E$3:$E$7,0)</f>
        <v>2</v>
      </c>
      <c r="R7" s="1000">
        <v>15</v>
      </c>
      <c r="S7" s="525" t="str">
        <f>VLOOKUP(R7,$B$3:$D$20,3,2)</f>
        <v>Religion</v>
      </c>
      <c r="T7" s="1001" t="str">
        <f ca="1">VLOOKUP(ROWS(T$3:T7),$Q$3:$S$7,3,FALSE)</f>
        <v>History</v>
      </c>
      <c r="U7" s="979">
        <f t="shared" ca="1" si="20"/>
        <v>3</v>
      </c>
      <c r="V7" s="975">
        <v>11</v>
      </c>
      <c r="W7" s="368" t="str">
        <f t="shared" si="21"/>
        <v>Nature</v>
      </c>
      <c r="X7" s="994" t="str">
        <f ca="1">VLOOKUP(ROWS(X$3:X7),$U$3:$W$10,3,FALSE)</f>
        <v>Arcana</v>
      </c>
      <c r="Y7" s="979">
        <f t="shared" ca="1" si="22"/>
        <v>3</v>
      </c>
      <c r="Z7" s="975">
        <v>7</v>
      </c>
      <c r="AA7" s="972" t="str">
        <f t="shared" si="23"/>
        <v>Insight</v>
      </c>
      <c r="AB7" s="994" t="str">
        <f ca="1">VLOOKUP(ROWS(AB$3:AB7),$Y$3:$AA$10,3,FALSE)</f>
        <v>Animal Handling</v>
      </c>
      <c r="AC7" s="979">
        <f t="shared" ca="1" si="3"/>
        <v>3</v>
      </c>
      <c r="AD7" s="975">
        <v>15</v>
      </c>
      <c r="AE7" s="972" t="str">
        <f t="shared" si="4"/>
        <v>Religion</v>
      </c>
      <c r="AF7" s="994" t="str">
        <f ca="1">VLOOKUP(ROWS(AF$3:AF7),$AC$3:$AE$8,3,FALSE)</f>
        <v>Athletics</v>
      </c>
      <c r="AG7" s="979">
        <f t="shared" ca="1" si="5"/>
        <v>3</v>
      </c>
      <c r="AH7" s="975">
        <v>14</v>
      </c>
      <c r="AI7" s="956" t="str">
        <f t="shared" si="6"/>
        <v>Persuasion</v>
      </c>
      <c r="AJ7" s="994" t="str">
        <f ca="1">VLOOKUP(ROWS(AJ$3:AJ7),$AG$3:$AI$8,3,FALSE)</f>
        <v>Insight</v>
      </c>
      <c r="AK7" s="979">
        <f t="shared" ca="1" si="7"/>
        <v>3</v>
      </c>
      <c r="AL7" s="982">
        <v>11</v>
      </c>
      <c r="AM7" s="983" t="str">
        <f t="shared" si="24"/>
        <v>Nature</v>
      </c>
      <c r="AN7" s="994" t="str">
        <f ca="1">VLOOKUP(ROWS(AN$3:AN7),$AK$3:$AM$10,3,FALSE)</f>
        <v>Athletics</v>
      </c>
      <c r="AO7" s="979">
        <f t="shared" ca="1" si="8"/>
        <v>3</v>
      </c>
      <c r="AP7" s="975">
        <v>8</v>
      </c>
      <c r="AQ7" s="972" t="str">
        <f t="shared" si="25"/>
        <v>Intimidation</v>
      </c>
      <c r="AR7" s="1002" t="str">
        <f ca="1">VLOOKUP(ROWS(AR$3:AR7),$AO$3:$AQ$13,3,FALSE)</f>
        <v>Athletics</v>
      </c>
      <c r="AS7" s="979">
        <f t="shared" ca="1" si="9"/>
        <v>3</v>
      </c>
      <c r="AT7" s="975">
        <v>14</v>
      </c>
      <c r="AU7" s="956" t="str">
        <f t="shared" si="10"/>
        <v>Persuasion</v>
      </c>
      <c r="AV7" s="994" t="str">
        <f ca="1">VLOOKUP(ROWS(AV$3:AV7),$AS$3:$AU$8,3,FALSE)</f>
        <v>Deception</v>
      </c>
      <c r="AW7" s="979">
        <f t="shared" ca="1" si="11"/>
        <v>3</v>
      </c>
      <c r="AX7" s="975">
        <v>9</v>
      </c>
      <c r="AY7" s="956" t="str">
        <f t="shared" si="26"/>
        <v>Investigation</v>
      </c>
      <c r="AZ7" s="992" t="str">
        <f ca="1">VLOOKUP(ROWS(AZ$3:AZ7),$AW$3:$AY$9,3,FALSE)</f>
        <v>Deception</v>
      </c>
      <c r="BA7" s="979">
        <f t="shared" ca="1" si="12"/>
        <v>3</v>
      </c>
      <c r="BB7" s="975">
        <v>10</v>
      </c>
      <c r="BC7" s="956" t="str">
        <f t="shared" si="13"/>
        <v>Medicine</v>
      </c>
      <c r="BD7" s="994" t="str">
        <f ca="1">VLOOKUP(ROWS(BD$3:BD7),$BA$3:$BC$8,3,FALSE)</f>
        <v>History</v>
      </c>
      <c r="BE7" s="979">
        <f t="shared" ca="1" si="14"/>
        <v>3</v>
      </c>
      <c r="BF7" s="975">
        <v>11</v>
      </c>
      <c r="BG7" s="956" t="str">
        <f t="shared" si="15"/>
        <v>Nature</v>
      </c>
      <c r="BH7" s="994" t="str">
        <f ca="1">VLOOKUP(ROWS(BH$3:BH7),$BE$3:$BG$9,3,FALSE)</f>
        <v>History</v>
      </c>
      <c r="BI7" s="272"/>
      <c r="BJ7" s="272"/>
      <c r="BK7" s="272"/>
      <c r="BL7" s="961"/>
      <c r="BM7" s="986" t="s">
        <v>6951</v>
      </c>
      <c r="BN7" s="987">
        <v>20</v>
      </c>
      <c r="BO7" s="988">
        <v>8</v>
      </c>
      <c r="BP7" s="1003" t="str">
        <f>VLOOKUP(BO7,$B$3:$D$20,3,2)</f>
        <v>Intimidation</v>
      </c>
      <c r="BQ7" s="1004"/>
      <c r="BR7" s="1005"/>
      <c r="BS7" s="272"/>
      <c r="BT7" s="272"/>
      <c r="BU7" s="272"/>
      <c r="BV7" s="272"/>
      <c r="BW7" s="591"/>
      <c r="BX7" s="59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row>
    <row r="8" spans="1:423">
      <c r="A8" s="273"/>
      <c r="B8" s="578">
        <v>6</v>
      </c>
      <c r="C8" s="968">
        <f t="shared" ca="1" si="0"/>
        <v>0.15392480846121226</v>
      </c>
      <c r="D8" s="969" t="s">
        <v>6952</v>
      </c>
      <c r="E8" s="970">
        <f t="shared" ca="1" si="16"/>
        <v>17</v>
      </c>
      <c r="F8" s="971">
        <v>6</v>
      </c>
      <c r="G8" s="972" t="str">
        <f t="shared" si="17"/>
        <v>History</v>
      </c>
      <c r="H8" s="992" t="str">
        <f ca="1">VLOOKUP(ROWS(L$3:L8),$E$3:$G$20,3,FALSE)</f>
        <v>Medicine</v>
      </c>
      <c r="I8" s="999">
        <f t="shared" ca="1" si="1"/>
        <v>2</v>
      </c>
      <c r="J8" s="1000">
        <v>18</v>
      </c>
      <c r="K8" s="1007" t="str">
        <f t="shared" si="2"/>
        <v>Survival</v>
      </c>
      <c r="L8" s="1001" t="str">
        <f ca="1">VLOOKUP(ROWS(L$3:L8),$I$3:$K$8,3,FALSE)</f>
        <v>Animal Handling</v>
      </c>
      <c r="M8" s="977">
        <f t="shared" ca="1" si="18"/>
        <v>17</v>
      </c>
      <c r="N8" s="971">
        <v>6</v>
      </c>
      <c r="O8" s="972" t="str">
        <f t="shared" si="19"/>
        <v>History</v>
      </c>
      <c r="P8" s="992" t="str">
        <f ca="1">VLOOKUP(ROWS(P$3:P8),$E$3:$G$20,3,FALSE)</f>
        <v>Medicine</v>
      </c>
      <c r="Q8" s="1008" t="s">
        <v>6953</v>
      </c>
      <c r="R8" s="1009"/>
      <c r="S8" s="1010"/>
      <c r="T8" s="1011"/>
      <c r="U8" s="979">
        <f t="shared" ca="1" si="20"/>
        <v>2</v>
      </c>
      <c r="V8" s="975">
        <v>12</v>
      </c>
      <c r="W8" s="368" t="str">
        <f t="shared" si="21"/>
        <v>Perception</v>
      </c>
      <c r="X8" s="994" t="str">
        <f ca="1">VLOOKUP(ROWS(X$3:X8),$U$3:$W$10,3,FALSE)</f>
        <v>Religion</v>
      </c>
      <c r="Y8" s="979">
        <f t="shared" ca="1" si="22"/>
        <v>2</v>
      </c>
      <c r="Z8" s="975">
        <v>8</v>
      </c>
      <c r="AA8" s="972" t="str">
        <f t="shared" si="23"/>
        <v>Intimidation</v>
      </c>
      <c r="AB8" s="994" t="str">
        <f ca="1">VLOOKUP(ROWS(AB$3:AB8),$Y$3:$AA$10,3,FALSE)</f>
        <v>Perception</v>
      </c>
      <c r="AC8" s="1012">
        <f t="shared" ca="1" si="3"/>
        <v>2</v>
      </c>
      <c r="AD8" s="1000">
        <v>17</v>
      </c>
      <c r="AE8" s="1007" t="str">
        <f t="shared" si="4"/>
        <v>Stealth</v>
      </c>
      <c r="AF8" s="1001" t="str">
        <f ca="1">VLOOKUP(ROWS(AF$3:AF8),$AC$3:$AE$8,3,FALSE)</f>
        <v>Acrobatics</v>
      </c>
      <c r="AG8" s="1012">
        <f t="shared" ca="1" si="5"/>
        <v>2</v>
      </c>
      <c r="AH8" s="1000">
        <v>15</v>
      </c>
      <c r="AI8" s="956" t="str">
        <f t="shared" si="6"/>
        <v>Religion</v>
      </c>
      <c r="AJ8" s="1001" t="str">
        <f ca="1">VLOOKUP(ROWS(AJ$3:AJ8),$AG$3:$AI$8,3,FALSE)</f>
        <v>Athletics</v>
      </c>
      <c r="AK8" s="979">
        <f t="shared" ca="1" si="7"/>
        <v>2</v>
      </c>
      <c r="AL8" s="982">
        <v>12</v>
      </c>
      <c r="AM8" s="983" t="str">
        <f t="shared" si="24"/>
        <v>Perception</v>
      </c>
      <c r="AN8" s="994" t="str">
        <f ca="1">VLOOKUP(ROWS(AN$3:AN8),$AK$3:$AM$10,3,FALSE)</f>
        <v>Stealth</v>
      </c>
      <c r="AO8" s="979">
        <f t="shared" ca="1" si="8"/>
        <v>2</v>
      </c>
      <c r="AP8" s="975">
        <v>9</v>
      </c>
      <c r="AQ8" s="972" t="str">
        <f t="shared" si="25"/>
        <v>Investigation</v>
      </c>
      <c r="AR8" s="1002" t="str">
        <f ca="1">VLOOKUP(ROWS(AR$3:AR8),$AO$3:$AQ$13,3,FALSE)</f>
        <v>Stealth</v>
      </c>
      <c r="AS8" s="1012">
        <f t="shared" ca="1" si="9"/>
        <v>2</v>
      </c>
      <c r="AT8" s="1000">
        <v>15</v>
      </c>
      <c r="AU8" s="1007" t="str">
        <f t="shared" si="10"/>
        <v>Religion</v>
      </c>
      <c r="AV8" s="1001" t="str">
        <f ca="1">VLOOKUP(ROWS(AV$3:AV8),$AS$3:$AU$8,3,FALSE)</f>
        <v>Arcana</v>
      </c>
      <c r="AW8" s="979">
        <f t="shared" ca="1" si="11"/>
        <v>2</v>
      </c>
      <c r="AX8" s="975">
        <v>11</v>
      </c>
      <c r="AY8" s="956" t="str">
        <f>VLOOKUP(AX8,$B$3:$D$20,3,2)</f>
        <v>Nature</v>
      </c>
      <c r="AZ8" s="992" t="str">
        <f ca="1">VLOOKUP(ROWS(AZ$3:AZ8),$AW$3:$AY$9,3,FALSE)</f>
        <v>Religion</v>
      </c>
      <c r="BA8" s="1012">
        <f t="shared" ca="1" si="12"/>
        <v>2</v>
      </c>
      <c r="BB8" s="1000">
        <v>15</v>
      </c>
      <c r="BC8" s="1007" t="str">
        <f t="shared" si="13"/>
        <v>Religion</v>
      </c>
      <c r="BD8" s="1001" t="str">
        <f ca="1">VLOOKUP(ROWS(BD$3:BD8),$BA$3:$BC$8,3,FALSE)</f>
        <v>Arcana</v>
      </c>
      <c r="BE8" s="979">
        <f t="shared" ca="1" si="14"/>
        <v>2</v>
      </c>
      <c r="BF8" s="352">
        <v>12</v>
      </c>
      <c r="BG8" s="972" t="str">
        <f t="shared" si="15"/>
        <v>Perception</v>
      </c>
      <c r="BH8" s="994" t="str">
        <f ca="1">VLOOKUP(ROWS(BH$3:BH8),$BE$3:$BG$9,3,FALSE)</f>
        <v>Religion</v>
      </c>
      <c r="BL8" s="961"/>
      <c r="BM8" s="986" t="s">
        <v>1940</v>
      </c>
      <c r="BN8" s="987">
        <v>23</v>
      </c>
      <c r="BO8" s="988">
        <v>12</v>
      </c>
      <c r="BP8" s="989" t="str">
        <f>VLOOKUP(BO8,$B$3:$D$20,3,2)</f>
        <v>Perception</v>
      </c>
      <c r="BQ8" s="990"/>
      <c r="BR8" s="991"/>
      <c r="BW8" s="591"/>
      <c r="BX8" s="592"/>
    </row>
    <row r="9" spans="1:423" ht="15" customHeight="1" thickBot="1">
      <c r="A9" s="273"/>
      <c r="B9" s="578">
        <v>7</v>
      </c>
      <c r="C9" s="968">
        <f t="shared" ca="1" si="0"/>
        <v>0.50313442731130553</v>
      </c>
      <c r="D9" s="969" t="s">
        <v>6954</v>
      </c>
      <c r="E9" s="970">
        <f t="shared" ca="1" si="16"/>
        <v>10</v>
      </c>
      <c r="F9" s="971">
        <v>7</v>
      </c>
      <c r="G9" s="972" t="str">
        <f t="shared" si="17"/>
        <v>Insight</v>
      </c>
      <c r="H9" s="992" t="str">
        <f ca="1">VLOOKUP(ROWS(L$3:L9),$E$3:$G$20,3,FALSE)</f>
        <v>Intimidation</v>
      </c>
      <c r="I9" s="1008" t="s">
        <v>6953</v>
      </c>
      <c r="J9" s="1013"/>
      <c r="K9" s="1014" t="s">
        <v>1287</v>
      </c>
      <c r="L9" s="1011"/>
      <c r="M9" s="977">
        <f t="shared" ca="1" si="18"/>
        <v>10</v>
      </c>
      <c r="N9" s="971">
        <v>7</v>
      </c>
      <c r="O9" s="972" t="str">
        <f t="shared" si="19"/>
        <v>Insight</v>
      </c>
      <c r="P9" s="992" t="str">
        <f ca="1">VLOOKUP(ROWS(P$3:P9),$E$3:$G$20,3,FALSE)</f>
        <v>Intimidation</v>
      </c>
      <c r="Q9" s="1015"/>
      <c r="R9" s="1016"/>
      <c r="S9" s="1014"/>
      <c r="T9" s="1011"/>
      <c r="U9" s="979">
        <f t="shared" ca="1" si="20"/>
        <v>6</v>
      </c>
      <c r="V9" s="975">
        <v>15</v>
      </c>
      <c r="W9" s="368" t="str">
        <f>VLOOKUP(V9,$B$3:$D$20,3,2)</f>
        <v>Religion</v>
      </c>
      <c r="X9" s="994" t="str">
        <f ca="1">VLOOKUP(ROWS(X$3:X9),$U$3:$W$10,3,FALSE)</f>
        <v>Survival</v>
      </c>
      <c r="Y9" s="979">
        <f t="shared" ca="1" si="22"/>
        <v>6</v>
      </c>
      <c r="Z9" s="975">
        <v>12</v>
      </c>
      <c r="AA9" s="972" t="str">
        <f>VLOOKUP(Z9,$B$3:$D$20,3,2)</f>
        <v>Perception</v>
      </c>
      <c r="AB9" s="994" t="str">
        <f ca="1">VLOOKUP(ROWS(AB$3:AB9),$Y$3:$AA$10,3,FALSE)</f>
        <v>Survival</v>
      </c>
      <c r="AC9" s="1008" t="s">
        <v>6953</v>
      </c>
      <c r="AD9" s="1013"/>
      <c r="AE9" s="1010" t="s">
        <v>1287</v>
      </c>
      <c r="AF9" s="1011"/>
      <c r="AG9" s="1008" t="s">
        <v>6953</v>
      </c>
      <c r="AH9" s="1013"/>
      <c r="AI9" s="1010" t="s">
        <v>1287</v>
      </c>
      <c r="AJ9" s="1011"/>
      <c r="AK9" s="979">
        <f t="shared" ca="1" si="7"/>
        <v>6</v>
      </c>
      <c r="AL9" s="982">
        <v>17</v>
      </c>
      <c r="AM9" s="983" t="str">
        <f>VLOOKUP(AL9,$B$3:$D$20,3,2)</f>
        <v>Stealth</v>
      </c>
      <c r="AN9" s="994" t="str">
        <f ca="1">VLOOKUP(ROWS(AN$3:AN9),$AK$3:$AM$10,3,FALSE)</f>
        <v>Survival</v>
      </c>
      <c r="AO9" s="979">
        <f t="shared" ca="1" si="8"/>
        <v>7</v>
      </c>
      <c r="AP9" s="975">
        <v>12</v>
      </c>
      <c r="AQ9" s="972" t="str">
        <f>VLOOKUP(AP9,$B$3:$D$20,3,2)</f>
        <v>Perception</v>
      </c>
      <c r="AR9" s="1002" t="str">
        <f ca="1">VLOOKUP(ROWS(AR$3:AR9),$AO$3:$AQ$13,3,FALSE)</f>
        <v>Perception</v>
      </c>
      <c r="AS9" s="1008" t="s">
        <v>6953</v>
      </c>
      <c r="AT9" s="1017"/>
      <c r="AU9" s="1014" t="s">
        <v>1287</v>
      </c>
      <c r="AV9" s="1011"/>
      <c r="AW9" s="1012">
        <f t="shared" ca="1" si="11"/>
        <v>6</v>
      </c>
      <c r="AX9" s="1000">
        <v>15</v>
      </c>
      <c r="AY9" s="1007" t="str">
        <f t="shared" si="26"/>
        <v>Religion</v>
      </c>
      <c r="AZ9" s="1018" t="str">
        <f ca="1">VLOOKUP(ROWS(AZ$3:AZ9),$AW$3:$AY$9,3,FALSE)</f>
        <v>Arcana</v>
      </c>
      <c r="BA9" s="1008" t="s">
        <v>6953</v>
      </c>
      <c r="BB9" s="1017"/>
      <c r="BC9" s="1014" t="s">
        <v>1287</v>
      </c>
      <c r="BD9" s="1011"/>
      <c r="BE9" s="1012">
        <f t="shared" ca="1" si="14"/>
        <v>6</v>
      </c>
      <c r="BF9" s="1019">
        <v>15</v>
      </c>
      <c r="BG9" s="1007" t="str">
        <f t="shared" si="15"/>
        <v>Religion</v>
      </c>
      <c r="BH9" s="1001" t="str">
        <f ca="1">VLOOKUP(ROWS(BH$3:BH9),$BE$3:$BG$9,3,FALSE)</f>
        <v>Arcana</v>
      </c>
      <c r="BM9" s="1020" t="s">
        <v>6955</v>
      </c>
      <c r="BN9" s="1021">
        <v>24</v>
      </c>
      <c r="BO9" s="1022">
        <v>12</v>
      </c>
      <c r="BP9" s="1023" t="str">
        <f>VLOOKUP(BO9,$B$3:$D$20,3,2)</f>
        <v>Perception</v>
      </c>
      <c r="BQ9" s="1024"/>
      <c r="BR9" s="1025"/>
      <c r="BW9" s="591"/>
      <c r="BX9" s="592"/>
    </row>
    <row r="10" spans="1:423" s="1006" customFormat="1">
      <c r="A10" s="273"/>
      <c r="B10" s="578">
        <v>8</v>
      </c>
      <c r="C10" s="968">
        <f t="shared" ca="1" si="0"/>
        <v>0.57032893715770694</v>
      </c>
      <c r="D10" s="969" t="s">
        <v>6956</v>
      </c>
      <c r="E10" s="970">
        <f t="shared" ca="1" si="16"/>
        <v>7</v>
      </c>
      <c r="F10" s="971">
        <v>8</v>
      </c>
      <c r="G10" s="972" t="str">
        <f t="shared" si="17"/>
        <v>Intimidation</v>
      </c>
      <c r="H10" s="992" t="str">
        <f ca="1">VLOOKUP(ROWS(L$3:L10),$E$3:$G$20,3,FALSE)</f>
        <v>Sleight of Hand</v>
      </c>
      <c r="I10" s="1026"/>
      <c r="J10" s="1017"/>
      <c r="K10" s="1014" t="s">
        <v>1287</v>
      </c>
      <c r="L10" s="1011"/>
      <c r="M10" s="977">
        <f t="shared" ca="1" si="18"/>
        <v>7</v>
      </c>
      <c r="N10" s="971">
        <v>8</v>
      </c>
      <c r="O10" s="972" t="str">
        <f t="shared" si="19"/>
        <v>Intimidation</v>
      </c>
      <c r="P10" s="992" t="str">
        <f ca="1">VLOOKUP(ROWS(P$3:P10),$E$3:$G$20,3,FALSE)</f>
        <v>Sleight of Hand</v>
      </c>
      <c r="Q10" s="1027"/>
      <c r="R10" s="1016"/>
      <c r="S10" s="1014"/>
      <c r="T10" s="1011"/>
      <c r="U10" s="1012">
        <f t="shared" ca="1" si="20"/>
        <v>7</v>
      </c>
      <c r="V10" s="1000">
        <v>18</v>
      </c>
      <c r="W10" s="525" t="str">
        <f t="shared" si="21"/>
        <v>Survival</v>
      </c>
      <c r="X10" s="1001" t="str">
        <f ca="1">VLOOKUP(ROWS(X$3:X10),$U$3:$W$10,3,FALSE)</f>
        <v>Animal Handling</v>
      </c>
      <c r="Y10" s="1012">
        <f t="shared" ca="1" si="22"/>
        <v>7</v>
      </c>
      <c r="Z10" s="1000">
        <v>18</v>
      </c>
      <c r="AA10" s="1007" t="str">
        <f t="shared" si="23"/>
        <v>Survival</v>
      </c>
      <c r="AB10" s="1001" t="str">
        <f ca="1">VLOOKUP(ROWS(AB$3:AB10),$Y$3:$AA$10,3,FALSE)</f>
        <v>Acrobatics</v>
      </c>
      <c r="AC10" s="1028"/>
      <c r="AD10" s="1017"/>
      <c r="AE10" s="1014" t="s">
        <v>1287</v>
      </c>
      <c r="AF10" s="1011"/>
      <c r="AG10" s="1028"/>
      <c r="AH10" s="1017"/>
      <c r="AI10" s="1014" t="s">
        <v>1287</v>
      </c>
      <c r="AJ10" s="1011"/>
      <c r="AK10" s="1012">
        <f t="shared" ca="1" si="7"/>
        <v>7</v>
      </c>
      <c r="AL10" s="1029">
        <v>18</v>
      </c>
      <c r="AM10" s="1030" t="str">
        <f t="shared" si="24"/>
        <v>Survival</v>
      </c>
      <c r="AN10" s="1001" t="str">
        <f ca="1">VLOOKUP(ROWS(AN$3:AN10),$AK$3:$AM$10,3,FALSE)</f>
        <v>Animal Handling</v>
      </c>
      <c r="AO10" s="979">
        <f t="shared" ca="1" si="8"/>
        <v>8</v>
      </c>
      <c r="AP10" s="975">
        <v>13</v>
      </c>
      <c r="AQ10" s="972" t="str">
        <f t="shared" si="25"/>
        <v>Performance</v>
      </c>
      <c r="AR10" s="1002" t="str">
        <f ca="1">VLOOKUP(ROWS(AR$3:AR10),$AO$3:$AQ$13,3,FALSE)</f>
        <v>Performance</v>
      </c>
      <c r="AS10" s="1028"/>
      <c r="AT10" s="1017"/>
      <c r="AU10" s="1014" t="s">
        <v>1287</v>
      </c>
      <c r="AV10" s="1011"/>
      <c r="AW10" s="1008" t="s">
        <v>6953</v>
      </c>
      <c r="AX10" s="1031"/>
      <c r="AY10" s="1031"/>
      <c r="AZ10" s="1032"/>
      <c r="BA10" s="1028"/>
      <c r="BB10" s="1017"/>
      <c r="BC10" s="1014" t="s">
        <v>1287</v>
      </c>
      <c r="BD10" s="1011"/>
      <c r="BE10" s="1008" t="s">
        <v>6953</v>
      </c>
      <c r="BF10" s="1017"/>
      <c r="BG10" s="1014" t="s">
        <v>1287</v>
      </c>
      <c r="BH10" s="1011"/>
      <c r="BI10" s="272"/>
      <c r="BJ10" s="272"/>
      <c r="BK10" s="272"/>
      <c r="BL10" s="272"/>
      <c r="BM10" s="272"/>
      <c r="BN10" s="272"/>
      <c r="BO10" s="272"/>
      <c r="BP10" s="272"/>
      <c r="BQ10" s="272"/>
      <c r="BR10" s="272"/>
      <c r="BS10" s="272"/>
      <c r="BT10" s="272"/>
      <c r="BU10" s="272"/>
      <c r="BV10" s="272"/>
      <c r="BW10" s="591"/>
      <c r="BX10" s="59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row>
    <row r="11" spans="1:423" ht="15" customHeight="1">
      <c r="A11" s="273"/>
      <c r="B11" s="578">
        <v>9</v>
      </c>
      <c r="C11" s="968">
        <f t="shared" ca="1" si="0"/>
        <v>0.96629597904916553</v>
      </c>
      <c r="D11" s="969" t="s">
        <v>6957</v>
      </c>
      <c r="E11" s="970">
        <f t="shared" ca="1" si="16"/>
        <v>2</v>
      </c>
      <c r="F11" s="971">
        <v>9</v>
      </c>
      <c r="G11" s="972" t="str">
        <f t="shared" si="17"/>
        <v>Investigation</v>
      </c>
      <c r="H11" s="992" t="str">
        <f ca="1">VLOOKUP(ROWS(L$3:L11),$E$3:$G$20,3,FALSE)</f>
        <v>Religion</v>
      </c>
      <c r="I11" s="1026"/>
      <c r="J11" s="1017"/>
      <c r="K11" s="1014" t="s">
        <v>1287</v>
      </c>
      <c r="L11" s="1011"/>
      <c r="M11" s="977">
        <f t="shared" ca="1" si="18"/>
        <v>2</v>
      </c>
      <c r="N11" s="971">
        <v>9</v>
      </c>
      <c r="O11" s="972" t="str">
        <f t="shared" si="19"/>
        <v>Investigation</v>
      </c>
      <c r="P11" s="992" t="str">
        <f ca="1">VLOOKUP(ROWS(P$3:P11),$E$3:$G$20,3,FALSE)</f>
        <v>Religion</v>
      </c>
      <c r="Q11" s="1027"/>
      <c r="R11" s="1016"/>
      <c r="S11" s="1014"/>
      <c r="T11" s="1011"/>
      <c r="U11" s="1008" t="s">
        <v>6953</v>
      </c>
      <c r="V11" s="1013"/>
      <c r="W11" s="1010"/>
      <c r="X11" s="1011"/>
      <c r="Y11" s="1008" t="s">
        <v>6953</v>
      </c>
      <c r="Z11" s="1013"/>
      <c r="AA11" s="1010" t="s">
        <v>1287</v>
      </c>
      <c r="AB11" s="1011"/>
      <c r="AC11" s="1028"/>
      <c r="AD11" s="1017"/>
      <c r="AE11" s="1014" t="s">
        <v>1287</v>
      </c>
      <c r="AF11" s="1011"/>
      <c r="AG11" s="1028"/>
      <c r="AH11" s="1017"/>
      <c r="AI11" s="1014" t="s">
        <v>1287</v>
      </c>
      <c r="AJ11" s="1011"/>
      <c r="AK11" s="1008" t="s">
        <v>6953</v>
      </c>
      <c r="AL11" s="1017"/>
      <c r="AM11" s="1014"/>
      <c r="AN11" s="1011"/>
      <c r="AO11" s="979">
        <f t="shared" ca="1" si="8"/>
        <v>11</v>
      </c>
      <c r="AP11" s="975">
        <v>14</v>
      </c>
      <c r="AQ11" s="972" t="str">
        <f t="shared" si="25"/>
        <v>Persuasion</v>
      </c>
      <c r="AR11" s="1002" t="str">
        <f ca="1">VLOOKUP(ROWS(AR$3:AR11),$AO$3:$AQ$13,3,FALSE)</f>
        <v>Sleight of Hand</v>
      </c>
      <c r="AS11" s="1028"/>
      <c r="AT11" s="1017"/>
      <c r="AU11" s="1014" t="s">
        <v>1287</v>
      </c>
      <c r="AV11" s="1011"/>
      <c r="AW11" s="1027"/>
      <c r="AX11" s="1031"/>
      <c r="AY11" s="1031"/>
      <c r="AZ11" s="1032"/>
      <c r="BA11" s="1028"/>
      <c r="BB11" s="1017"/>
      <c r="BC11" s="1014" t="s">
        <v>1287</v>
      </c>
      <c r="BD11" s="1011"/>
      <c r="BE11" s="1028"/>
      <c r="BF11" s="1017"/>
      <c r="BG11" s="1014" t="s">
        <v>1287</v>
      </c>
      <c r="BH11" s="1011"/>
      <c r="BW11" s="591"/>
      <c r="BX11" s="592"/>
    </row>
    <row r="12" spans="1:423">
      <c r="A12" s="273"/>
      <c r="B12" s="578">
        <v>10</v>
      </c>
      <c r="C12" s="968">
        <f t="shared" ca="1" si="0"/>
        <v>0.5851324265289567</v>
      </c>
      <c r="D12" s="969" t="s">
        <v>6958</v>
      </c>
      <c r="E12" s="970">
        <f t="shared" ca="1" si="16"/>
        <v>6</v>
      </c>
      <c r="F12" s="971">
        <v>10</v>
      </c>
      <c r="G12" s="972" t="str">
        <f t="shared" si="17"/>
        <v>Medicine</v>
      </c>
      <c r="H12" s="992" t="str">
        <f ca="1">VLOOKUP(ROWS(L$3:L12),$E$3:$G$20,3,FALSE)</f>
        <v>Insight</v>
      </c>
      <c r="I12" s="1026"/>
      <c r="J12" s="1017"/>
      <c r="K12" s="1014" t="s">
        <v>1287</v>
      </c>
      <c r="L12" s="1011"/>
      <c r="M12" s="977">
        <f t="shared" ca="1" si="18"/>
        <v>6</v>
      </c>
      <c r="N12" s="971">
        <v>10</v>
      </c>
      <c r="O12" s="972" t="str">
        <f t="shared" si="19"/>
        <v>Medicine</v>
      </c>
      <c r="P12" s="992" t="str">
        <f ca="1">VLOOKUP(ROWS(P$3:P12),$E$3:$G$20,3,FALSE)</f>
        <v>Insight</v>
      </c>
      <c r="Q12" s="1027"/>
      <c r="R12" s="1016"/>
      <c r="S12" s="1014"/>
      <c r="T12" s="1011"/>
      <c r="U12" s="1028"/>
      <c r="V12" s="1017"/>
      <c r="W12" s="1014" t="s">
        <v>1287</v>
      </c>
      <c r="X12" s="1011"/>
      <c r="Y12" s="1028"/>
      <c r="Z12" s="1017"/>
      <c r="AA12" s="1014"/>
      <c r="AB12" s="1011"/>
      <c r="AC12" s="1028"/>
      <c r="AD12" s="1017"/>
      <c r="AE12" s="1014" t="s">
        <v>1287</v>
      </c>
      <c r="AF12" s="1011"/>
      <c r="AG12" s="1028"/>
      <c r="AH12" s="1017"/>
      <c r="AI12" s="1014" t="s">
        <v>1287</v>
      </c>
      <c r="AJ12" s="1011"/>
      <c r="AK12" s="1028"/>
      <c r="AL12" s="1017"/>
      <c r="AM12" s="1014" t="s">
        <v>1287</v>
      </c>
      <c r="AN12" s="1011"/>
      <c r="AO12" s="979">
        <f t="shared" ca="1" si="8"/>
        <v>9</v>
      </c>
      <c r="AP12" s="975">
        <v>16</v>
      </c>
      <c r="AQ12" s="972" t="str">
        <f>VLOOKUP(AP12,$B$3:$D$20,3,2)</f>
        <v>Sleight of Hand</v>
      </c>
      <c r="AR12" s="1002" t="str">
        <f ca="1">VLOOKUP(ROWS(AR$3:AR12),$AO$3:$AQ$13,3,FALSE)</f>
        <v>Acrobatics</v>
      </c>
      <c r="AS12" s="1028"/>
      <c r="AT12" s="1017"/>
      <c r="AU12" s="1014" t="s">
        <v>1287</v>
      </c>
      <c r="AV12" s="1011"/>
      <c r="AW12" s="1027"/>
      <c r="AX12" s="1031"/>
      <c r="AY12" s="1031"/>
      <c r="AZ12" s="1032"/>
      <c r="BA12" s="1028"/>
      <c r="BB12" s="1017"/>
      <c r="BC12" s="1014" t="s">
        <v>1287</v>
      </c>
      <c r="BD12" s="1011"/>
      <c r="BE12" s="1028"/>
      <c r="BF12" s="1017"/>
      <c r="BG12" s="1014" t="s">
        <v>1287</v>
      </c>
      <c r="BH12" s="1011"/>
      <c r="BW12" s="591"/>
      <c r="BX12" s="592"/>
    </row>
    <row r="13" spans="1:423" s="1006" customFormat="1" ht="15" customHeight="1">
      <c r="A13" s="273"/>
      <c r="B13" s="578">
        <v>11</v>
      </c>
      <c r="C13" s="968">
        <f t="shared" ca="1" si="0"/>
        <v>0.4795229474623881</v>
      </c>
      <c r="D13" s="969" t="s">
        <v>6306</v>
      </c>
      <c r="E13" s="970">
        <f t="shared" ca="1" si="16"/>
        <v>13</v>
      </c>
      <c r="F13" s="971">
        <v>11</v>
      </c>
      <c r="G13" s="972" t="str">
        <f t="shared" si="17"/>
        <v>Nature</v>
      </c>
      <c r="H13" s="992" t="str">
        <f ca="1">VLOOKUP(ROWS(L$3:L13),$E$3:$G$20,3,FALSE)</f>
        <v>Stealth</v>
      </c>
      <c r="I13" s="1026"/>
      <c r="J13" s="1017"/>
      <c r="K13" s="1014" t="s">
        <v>1287</v>
      </c>
      <c r="L13" s="1011"/>
      <c r="M13" s="977">
        <f t="shared" ca="1" si="18"/>
        <v>13</v>
      </c>
      <c r="N13" s="971">
        <v>11</v>
      </c>
      <c r="O13" s="972" t="str">
        <f t="shared" si="19"/>
        <v>Nature</v>
      </c>
      <c r="P13" s="992" t="str">
        <f ca="1">VLOOKUP(ROWS(P$3:P13),$E$3:$G$20,3,FALSE)</f>
        <v>Stealth</v>
      </c>
      <c r="Q13" s="1027"/>
      <c r="R13" s="1016"/>
      <c r="S13" s="1014"/>
      <c r="T13" s="1011"/>
      <c r="U13" s="1028"/>
      <c r="V13" s="1017"/>
      <c r="W13" s="1014" t="s">
        <v>1287</v>
      </c>
      <c r="X13" s="1011"/>
      <c r="Y13" s="1028"/>
      <c r="Z13" s="1017"/>
      <c r="AA13" s="1014"/>
      <c r="AB13" s="1011"/>
      <c r="AC13" s="1028"/>
      <c r="AD13" s="1017"/>
      <c r="AE13" s="1014" t="s">
        <v>1287</v>
      </c>
      <c r="AF13" s="1011"/>
      <c r="AG13" s="1028"/>
      <c r="AH13" s="1017"/>
      <c r="AI13" s="1014" t="s">
        <v>1287</v>
      </c>
      <c r="AJ13" s="1011"/>
      <c r="AK13" s="1028"/>
      <c r="AL13" s="1017"/>
      <c r="AM13" s="1014" t="s">
        <v>1287</v>
      </c>
      <c r="AN13" s="1011"/>
      <c r="AO13" s="1012">
        <f t="shared" ca="1" si="8"/>
        <v>6</v>
      </c>
      <c r="AP13" s="1000">
        <v>17</v>
      </c>
      <c r="AQ13" s="1007" t="str">
        <f t="shared" si="25"/>
        <v>Stealth</v>
      </c>
      <c r="AR13" s="1033" t="str">
        <f ca="1">VLOOKUP(ROWS(AR$3:AR13),$AO$3:$AQ$13,3,FALSE)</f>
        <v>Persuasion</v>
      </c>
      <c r="AS13" s="1028"/>
      <c r="AT13" s="1017"/>
      <c r="AU13" s="1014" t="s">
        <v>1287</v>
      </c>
      <c r="AV13" s="1011"/>
      <c r="AW13" s="1027"/>
      <c r="AX13" s="1031"/>
      <c r="AY13" s="1031"/>
      <c r="AZ13" s="1032"/>
      <c r="BA13" s="1028"/>
      <c r="BB13" s="1017"/>
      <c r="BC13" s="1014" t="s">
        <v>1287</v>
      </c>
      <c r="BD13" s="1011"/>
      <c r="BE13" s="1028"/>
      <c r="BF13" s="1017"/>
      <c r="BG13" s="1014" t="s">
        <v>1287</v>
      </c>
      <c r="BH13" s="1011"/>
      <c r="BI13" s="272"/>
      <c r="BJ13" s="272"/>
      <c r="BK13" s="272"/>
      <c r="BL13" s="272"/>
      <c r="BM13" s="272"/>
      <c r="BN13" s="272"/>
      <c r="BO13" s="272"/>
      <c r="BP13" s="272"/>
      <c r="BQ13" s="272"/>
      <c r="BR13" s="272"/>
      <c r="BS13" s="272"/>
      <c r="BT13" s="272"/>
      <c r="BU13" s="272"/>
      <c r="BV13" s="272"/>
      <c r="BW13" s="591"/>
      <c r="BX13" s="592"/>
      <c r="BY13" s="272"/>
      <c r="BZ13" s="272"/>
      <c r="CA13" s="272"/>
      <c r="CB13" s="272"/>
      <c r="CC13" s="272"/>
      <c r="CD13" s="272"/>
      <c r="CE13" s="272"/>
      <c r="CF13" s="272"/>
      <c r="CG13" s="272"/>
      <c r="CH13" s="272"/>
      <c r="CI13" s="272"/>
      <c r="CJ13" s="272"/>
      <c r="CK13" s="272"/>
      <c r="CL13" s="272"/>
      <c r="CM13" s="272"/>
      <c r="CN13" s="272"/>
      <c r="CO13" s="272"/>
      <c r="CP13" s="272"/>
      <c r="CQ13" s="272"/>
      <c r="CR13" s="272"/>
      <c r="CS13" s="272"/>
      <c r="CT13" s="272"/>
      <c r="CU13" s="272"/>
      <c r="CV13" s="272"/>
      <c r="CW13" s="272"/>
      <c r="CX13" s="272"/>
      <c r="CY13" s="272"/>
      <c r="CZ13" s="272"/>
      <c r="DA13" s="272"/>
      <c r="DB13" s="272"/>
      <c r="DC13" s="272"/>
      <c r="DD13" s="272"/>
      <c r="DE13" s="272"/>
      <c r="DF13" s="272"/>
      <c r="DG13" s="272"/>
      <c r="DH13" s="272"/>
      <c r="DI13" s="272"/>
      <c r="DJ13" s="272"/>
      <c r="DK13" s="272"/>
      <c r="DL13" s="272"/>
      <c r="DM13" s="272"/>
      <c r="DN13" s="272"/>
      <c r="DO13" s="272"/>
      <c r="DP13" s="272"/>
      <c r="DQ13" s="272"/>
      <c r="DR13" s="272"/>
      <c r="DS13" s="272"/>
      <c r="DT13" s="272"/>
      <c r="DU13" s="272"/>
      <c r="DV13" s="272"/>
      <c r="DW13" s="272"/>
      <c r="DX13" s="272"/>
      <c r="DY13" s="272"/>
      <c r="DZ13" s="272"/>
      <c r="EA13" s="272"/>
      <c r="EB13" s="272"/>
      <c r="EC13" s="272"/>
      <c r="ED13" s="272"/>
      <c r="EE13" s="272"/>
      <c r="EF13" s="272"/>
      <c r="EG13" s="272"/>
      <c r="EH13" s="272"/>
      <c r="EI13" s="272"/>
      <c r="EJ13" s="272"/>
      <c r="EK13" s="272"/>
      <c r="EL13" s="272"/>
      <c r="EM13" s="272"/>
      <c r="EN13" s="272"/>
      <c r="EO13" s="272"/>
      <c r="EP13" s="272"/>
      <c r="EQ13" s="272"/>
      <c r="ER13" s="272"/>
      <c r="ES13" s="272"/>
      <c r="ET13" s="272"/>
      <c r="EU13" s="272"/>
      <c r="EV13" s="272"/>
      <c r="EW13" s="272"/>
      <c r="EX13" s="272"/>
      <c r="EY13" s="272"/>
      <c r="EZ13" s="272"/>
      <c r="FA13" s="272"/>
      <c r="FB13" s="272"/>
      <c r="FC13" s="272"/>
      <c r="FD13" s="272"/>
      <c r="FE13" s="272"/>
      <c r="FF13" s="272"/>
      <c r="FG13" s="272"/>
      <c r="FH13" s="272"/>
      <c r="FI13" s="272"/>
      <c r="FJ13" s="272"/>
      <c r="FK13" s="272"/>
      <c r="FL13" s="272"/>
      <c r="FM13" s="272"/>
      <c r="FN13" s="272"/>
      <c r="FO13" s="272"/>
      <c r="FP13" s="272"/>
      <c r="FQ13" s="272"/>
      <c r="FR13" s="272"/>
      <c r="FS13" s="272"/>
      <c r="FT13" s="272"/>
      <c r="FU13" s="272"/>
      <c r="FV13" s="272"/>
      <c r="FW13" s="272"/>
      <c r="FX13" s="272"/>
      <c r="FY13" s="272"/>
      <c r="FZ13" s="272"/>
      <c r="GA13" s="272"/>
      <c r="GB13" s="272"/>
      <c r="GC13" s="272"/>
      <c r="GD13" s="272"/>
      <c r="GE13" s="272"/>
      <c r="GF13" s="272"/>
      <c r="GG13" s="272"/>
      <c r="GH13" s="272"/>
      <c r="GI13" s="272"/>
      <c r="GJ13" s="272"/>
      <c r="GK13" s="272"/>
      <c r="GL13" s="272"/>
      <c r="GM13" s="272"/>
      <c r="GN13" s="272"/>
      <c r="GO13" s="272"/>
      <c r="GP13" s="272"/>
      <c r="GQ13" s="272"/>
      <c r="GR13" s="272"/>
      <c r="GS13" s="272"/>
      <c r="GT13" s="272"/>
      <c r="GU13" s="272"/>
      <c r="GV13" s="272"/>
      <c r="GW13" s="272"/>
      <c r="GX13" s="272"/>
      <c r="GY13" s="272"/>
      <c r="GZ13" s="272"/>
      <c r="HA13" s="272"/>
      <c r="HB13" s="272"/>
      <c r="HC13" s="272"/>
      <c r="HD13" s="272"/>
      <c r="HE13" s="272"/>
      <c r="HF13" s="272"/>
      <c r="HG13" s="272"/>
      <c r="HH13" s="272"/>
      <c r="HI13" s="272"/>
      <c r="HJ13" s="272"/>
      <c r="HK13" s="272"/>
      <c r="HL13" s="272"/>
      <c r="HM13" s="272"/>
      <c r="HN13" s="272"/>
      <c r="HO13" s="272"/>
      <c r="HP13" s="272"/>
      <c r="HQ13" s="272"/>
      <c r="HR13" s="272"/>
      <c r="HS13" s="272"/>
      <c r="HT13" s="272"/>
      <c r="HU13" s="272"/>
      <c r="HV13" s="272"/>
      <c r="HW13" s="272"/>
      <c r="HX13" s="272"/>
      <c r="HY13" s="272"/>
      <c r="HZ13" s="272"/>
      <c r="IA13" s="272"/>
      <c r="IB13" s="272"/>
      <c r="IC13" s="272"/>
      <c r="ID13" s="272"/>
      <c r="IE13" s="272"/>
      <c r="IF13" s="272"/>
      <c r="IG13" s="272"/>
      <c r="IH13" s="272"/>
      <c r="II13" s="272"/>
      <c r="IJ13" s="272"/>
      <c r="IK13" s="272"/>
      <c r="IL13" s="272"/>
      <c r="IM13" s="272"/>
      <c r="IN13" s="272"/>
      <c r="IO13" s="272"/>
      <c r="IP13" s="272"/>
      <c r="IQ13" s="272"/>
      <c r="IR13" s="272"/>
      <c r="IS13" s="272"/>
      <c r="IT13" s="272"/>
      <c r="IU13" s="272"/>
      <c r="IV13" s="272"/>
      <c r="IW13" s="272"/>
      <c r="IX13" s="272"/>
      <c r="IY13" s="272"/>
      <c r="IZ13" s="272"/>
      <c r="JA13" s="272"/>
      <c r="JB13" s="272"/>
      <c r="JC13" s="272"/>
      <c r="JD13" s="272"/>
      <c r="JE13" s="272"/>
      <c r="JF13" s="272"/>
      <c r="JG13" s="272"/>
      <c r="JH13" s="272"/>
      <c r="JI13" s="272"/>
      <c r="JJ13" s="272"/>
      <c r="JK13" s="272"/>
      <c r="JL13" s="272"/>
      <c r="JM13" s="272"/>
      <c r="JN13" s="272"/>
      <c r="JO13" s="272"/>
      <c r="JP13" s="272"/>
      <c r="JQ13" s="272"/>
      <c r="JR13" s="272"/>
      <c r="JS13" s="272"/>
      <c r="JT13" s="272"/>
      <c r="JU13" s="272"/>
      <c r="JV13" s="272"/>
      <c r="JW13" s="272"/>
      <c r="JX13" s="272"/>
      <c r="JY13" s="272"/>
      <c r="JZ13" s="272"/>
      <c r="KA13" s="272"/>
      <c r="KB13" s="272"/>
      <c r="KC13" s="272"/>
      <c r="KD13" s="272"/>
      <c r="KE13" s="272"/>
      <c r="KF13" s="272"/>
      <c r="KG13" s="272"/>
      <c r="KH13" s="272"/>
      <c r="KI13" s="272"/>
      <c r="KJ13" s="272"/>
      <c r="KK13" s="272"/>
      <c r="KL13" s="272"/>
      <c r="KM13" s="272"/>
      <c r="KN13" s="272"/>
      <c r="KO13" s="272"/>
      <c r="KP13" s="272"/>
      <c r="KQ13" s="272"/>
      <c r="KR13" s="272"/>
      <c r="KS13" s="272"/>
      <c r="KT13" s="272"/>
      <c r="KU13" s="272"/>
      <c r="KV13" s="272"/>
      <c r="KW13" s="272"/>
      <c r="KX13" s="272"/>
      <c r="KY13" s="272"/>
      <c r="KZ13" s="272"/>
      <c r="LA13" s="272"/>
      <c r="LB13" s="272"/>
      <c r="LC13" s="272"/>
      <c r="LD13" s="272"/>
      <c r="LE13" s="272"/>
      <c r="LF13" s="272"/>
      <c r="LG13" s="272"/>
      <c r="LH13" s="272"/>
      <c r="LI13" s="272"/>
      <c r="LJ13" s="272"/>
      <c r="LK13" s="272"/>
      <c r="LL13" s="272"/>
      <c r="LM13" s="272"/>
      <c r="LN13" s="272"/>
      <c r="LO13" s="272"/>
      <c r="LP13" s="272"/>
      <c r="LQ13" s="272"/>
      <c r="LR13" s="272"/>
      <c r="LS13" s="272"/>
      <c r="LT13" s="272"/>
      <c r="LU13" s="272"/>
      <c r="LV13" s="272"/>
      <c r="LW13" s="272"/>
      <c r="LX13" s="272"/>
      <c r="LY13" s="272"/>
      <c r="LZ13" s="272"/>
      <c r="MA13" s="272"/>
      <c r="MB13" s="272"/>
      <c r="MC13" s="272"/>
      <c r="MD13" s="272"/>
      <c r="ME13" s="272"/>
      <c r="MF13" s="272"/>
      <c r="MG13" s="272"/>
      <c r="MH13" s="272"/>
      <c r="MI13" s="272"/>
      <c r="MJ13" s="272"/>
      <c r="MK13" s="272"/>
      <c r="ML13" s="272"/>
      <c r="MM13" s="272"/>
      <c r="MN13" s="272"/>
      <c r="MO13" s="272"/>
      <c r="MP13" s="272"/>
      <c r="MQ13" s="272"/>
      <c r="MR13" s="272"/>
      <c r="MS13" s="272"/>
      <c r="MT13" s="272"/>
      <c r="MU13" s="272"/>
      <c r="MV13" s="272"/>
      <c r="MW13" s="272"/>
      <c r="MX13" s="272"/>
      <c r="MY13" s="272"/>
      <c r="MZ13" s="272"/>
      <c r="NA13" s="272"/>
      <c r="NB13" s="272"/>
      <c r="NC13" s="272"/>
      <c r="ND13" s="272"/>
      <c r="NE13" s="272"/>
      <c r="NF13" s="272"/>
      <c r="NG13" s="272"/>
      <c r="NH13" s="272"/>
      <c r="NI13" s="272"/>
      <c r="NJ13" s="272"/>
      <c r="NK13" s="272"/>
      <c r="NL13" s="272"/>
      <c r="NM13" s="272"/>
      <c r="NN13" s="272"/>
      <c r="NO13" s="272"/>
      <c r="NP13" s="272"/>
      <c r="NQ13" s="272"/>
      <c r="NR13" s="272"/>
      <c r="NS13" s="272"/>
      <c r="NT13" s="272"/>
      <c r="NU13" s="272"/>
      <c r="NV13" s="272"/>
      <c r="NW13" s="272"/>
      <c r="NX13" s="272"/>
      <c r="NY13" s="272"/>
      <c r="NZ13" s="272"/>
      <c r="OA13" s="272"/>
      <c r="OB13" s="272"/>
      <c r="OC13" s="272"/>
      <c r="OD13" s="272"/>
      <c r="OE13" s="272"/>
      <c r="OF13" s="272"/>
      <c r="OG13" s="272"/>
      <c r="OH13" s="272"/>
      <c r="OI13" s="272"/>
      <c r="OJ13" s="272"/>
      <c r="OK13" s="272"/>
      <c r="OL13" s="272"/>
      <c r="OM13" s="272"/>
      <c r="ON13" s="272"/>
      <c r="OO13" s="272"/>
      <c r="OP13" s="272"/>
      <c r="OQ13" s="272"/>
      <c r="OR13" s="272"/>
      <c r="OS13" s="272"/>
      <c r="OT13" s="272"/>
      <c r="OU13" s="272"/>
      <c r="OV13" s="272"/>
      <c r="OW13" s="272"/>
      <c r="OX13" s="272"/>
      <c r="OY13" s="272"/>
      <c r="OZ13" s="272"/>
      <c r="PA13" s="272"/>
      <c r="PB13" s="272"/>
      <c r="PC13" s="272"/>
      <c r="PD13" s="272"/>
      <c r="PE13" s="272"/>
      <c r="PF13" s="272"/>
      <c r="PG13" s="272"/>
    </row>
    <row r="14" spans="1:423">
      <c r="A14" s="273"/>
      <c r="B14" s="578">
        <v>12</v>
      </c>
      <c r="C14" s="968">
        <f ca="1">RAND()</f>
        <v>0.49180461200665304</v>
      </c>
      <c r="D14" s="969" t="s">
        <v>6959</v>
      </c>
      <c r="E14" s="970">
        <f t="shared" ca="1" si="16"/>
        <v>12</v>
      </c>
      <c r="F14" s="971">
        <v>12</v>
      </c>
      <c r="G14" s="972" t="str">
        <f t="shared" si="17"/>
        <v>Perception</v>
      </c>
      <c r="H14" s="992" t="str">
        <f ca="1">VLOOKUP(ROWS(L$3:L14),$E$3:$G$20,3,FALSE)</f>
        <v>Perception</v>
      </c>
      <c r="I14" s="1026"/>
      <c r="J14" s="1017"/>
      <c r="K14" s="1014" t="s">
        <v>1287</v>
      </c>
      <c r="L14" s="1011"/>
      <c r="M14" s="977">
        <f t="shared" ca="1" si="18"/>
        <v>12</v>
      </c>
      <c r="N14" s="971">
        <v>12</v>
      </c>
      <c r="O14" s="972" t="str">
        <f t="shared" si="19"/>
        <v>Perception</v>
      </c>
      <c r="P14" s="992" t="str">
        <f ca="1">VLOOKUP(ROWS(P$3:P14),$E$3:$G$20,3,FALSE)</f>
        <v>Perception</v>
      </c>
      <c r="Q14" s="1027"/>
      <c r="R14" s="1016"/>
      <c r="S14" s="1014"/>
      <c r="T14" s="1011"/>
      <c r="U14" s="1028"/>
      <c r="V14" s="1017"/>
      <c r="W14" s="1014" t="s">
        <v>1287</v>
      </c>
      <c r="X14" s="1011"/>
      <c r="Y14" s="1028"/>
      <c r="Z14" s="1017"/>
      <c r="AA14" s="1014"/>
      <c r="AB14" s="1011"/>
      <c r="AC14" s="1028"/>
      <c r="AD14" s="1017"/>
      <c r="AE14" s="1014" t="s">
        <v>1287</v>
      </c>
      <c r="AF14" s="1011"/>
      <c r="AG14" s="1028"/>
      <c r="AH14" s="1017"/>
      <c r="AI14" s="1014" t="s">
        <v>1287</v>
      </c>
      <c r="AJ14" s="1011"/>
      <c r="AK14" s="1028"/>
      <c r="AL14" s="1017"/>
      <c r="AM14" s="1014" t="s">
        <v>1287</v>
      </c>
      <c r="AN14" s="1011"/>
      <c r="AO14" s="1008" t="s">
        <v>6953</v>
      </c>
      <c r="AP14" s="1017"/>
      <c r="AQ14" s="1014" t="s">
        <v>1287</v>
      </c>
      <c r="AR14" s="1011"/>
      <c r="AS14" s="1028"/>
      <c r="AT14" s="1017"/>
      <c r="AU14" s="1014" t="s">
        <v>1287</v>
      </c>
      <c r="AV14" s="1011"/>
      <c r="AW14" s="1027"/>
      <c r="AX14" s="1031"/>
      <c r="AY14" s="1031"/>
      <c r="AZ14" s="1032"/>
      <c r="BA14" s="1028"/>
      <c r="BB14" s="1017"/>
      <c r="BC14" s="1014" t="s">
        <v>1287</v>
      </c>
      <c r="BD14" s="1011"/>
      <c r="BE14" s="1028"/>
      <c r="BF14" s="1017"/>
      <c r="BG14" s="1014" t="s">
        <v>1287</v>
      </c>
      <c r="BH14" s="1011"/>
      <c r="BW14" s="591"/>
      <c r="BX14" s="592"/>
    </row>
    <row r="15" spans="1:423" ht="15" customHeight="1">
      <c r="A15" s="273"/>
      <c r="B15" s="578">
        <v>13</v>
      </c>
      <c r="C15" s="968">
        <f t="shared" ca="1" si="0"/>
        <v>0.92260007433596958</v>
      </c>
      <c r="D15" s="969" t="s">
        <v>6960</v>
      </c>
      <c r="E15" s="970">
        <f t="shared" ca="1" si="16"/>
        <v>3</v>
      </c>
      <c r="F15" s="971">
        <v>13</v>
      </c>
      <c r="G15" s="972" t="str">
        <f t="shared" si="17"/>
        <v>Performance</v>
      </c>
      <c r="H15" s="992" t="str">
        <f ca="1">VLOOKUP(ROWS(L$3:L15),$E$3:$G$20,3,FALSE)</f>
        <v>Nature</v>
      </c>
      <c r="I15" s="1026"/>
      <c r="J15" s="1017"/>
      <c r="K15" s="1014" t="s">
        <v>1287</v>
      </c>
      <c r="L15" s="1011"/>
      <c r="M15" s="977">
        <f t="shared" ca="1" si="18"/>
        <v>3</v>
      </c>
      <c r="N15" s="971">
        <v>13</v>
      </c>
      <c r="O15" s="972" t="str">
        <f t="shared" si="19"/>
        <v>Performance</v>
      </c>
      <c r="P15" s="992" t="str">
        <f ca="1">VLOOKUP(ROWS(P$3:P15),$E$3:$G$20,3,FALSE)</f>
        <v>Nature</v>
      </c>
      <c r="Q15" s="1027"/>
      <c r="R15" s="1016"/>
      <c r="S15" s="1014"/>
      <c r="T15" s="1011"/>
      <c r="U15" s="1028"/>
      <c r="V15" s="1017"/>
      <c r="W15" s="1014" t="s">
        <v>1287</v>
      </c>
      <c r="X15" s="1011"/>
      <c r="Y15" s="1028"/>
      <c r="Z15" s="1017"/>
      <c r="AA15" s="1014"/>
      <c r="AB15" s="1011"/>
      <c r="AC15" s="1028"/>
      <c r="AD15" s="1017"/>
      <c r="AE15" s="1014" t="s">
        <v>1287</v>
      </c>
      <c r="AF15" s="1011"/>
      <c r="AG15" s="1028"/>
      <c r="AH15" s="1017"/>
      <c r="AI15" s="1014" t="s">
        <v>1287</v>
      </c>
      <c r="AJ15" s="1011"/>
      <c r="AK15" s="1028"/>
      <c r="AL15" s="1017"/>
      <c r="AM15" s="1014" t="s">
        <v>1287</v>
      </c>
      <c r="AN15" s="1011"/>
      <c r="AO15" s="1028"/>
      <c r="AP15" s="1017"/>
      <c r="AQ15" s="1014" t="s">
        <v>1287</v>
      </c>
      <c r="AR15" s="1011"/>
      <c r="AS15" s="1028"/>
      <c r="AT15" s="1017"/>
      <c r="AU15" s="1014" t="s">
        <v>1287</v>
      </c>
      <c r="AV15" s="1011"/>
      <c r="AW15" s="1027"/>
      <c r="AX15" s="1031"/>
      <c r="AY15" s="1031"/>
      <c r="AZ15" s="1032"/>
      <c r="BA15" s="1028"/>
      <c r="BB15" s="1017"/>
      <c r="BC15" s="1014" t="s">
        <v>1287</v>
      </c>
      <c r="BD15" s="1011"/>
      <c r="BE15" s="1028"/>
      <c r="BF15" s="1017"/>
      <c r="BG15" s="1014" t="s">
        <v>1287</v>
      </c>
      <c r="BH15" s="1011"/>
      <c r="BW15" s="591"/>
      <c r="BX15" s="592"/>
    </row>
    <row r="16" spans="1:423" s="1006" customFormat="1" ht="15" customHeight="1">
      <c r="A16" s="273"/>
      <c r="B16" s="578">
        <v>14</v>
      </c>
      <c r="C16" s="968">
        <f t="shared" ca="1" si="0"/>
        <v>0.6751908196803964</v>
      </c>
      <c r="D16" s="969" t="s">
        <v>6961</v>
      </c>
      <c r="E16" s="970">
        <f t="shared" ca="1" si="16"/>
        <v>5</v>
      </c>
      <c r="F16" s="971">
        <v>14</v>
      </c>
      <c r="G16" s="972" t="str">
        <f t="shared" si="17"/>
        <v>Persuasion</v>
      </c>
      <c r="H16" s="992" t="str">
        <f ca="1">VLOOKUP(ROWS(L$3:L16),$E$3:$G$20,3,FALSE)</f>
        <v>Animal Handling</v>
      </c>
      <c r="I16" s="1026"/>
      <c r="J16" s="1017"/>
      <c r="K16" s="1014" t="s">
        <v>1287</v>
      </c>
      <c r="L16" s="1011"/>
      <c r="M16" s="977">
        <f t="shared" ca="1" si="18"/>
        <v>5</v>
      </c>
      <c r="N16" s="971">
        <v>14</v>
      </c>
      <c r="O16" s="972" t="str">
        <f t="shared" si="19"/>
        <v>Persuasion</v>
      </c>
      <c r="P16" s="992" t="str">
        <f ca="1">VLOOKUP(ROWS(P$3:P16),$E$3:$G$20,3,FALSE)</f>
        <v>Animal Handling</v>
      </c>
      <c r="Q16" s="1027"/>
      <c r="R16" s="1016"/>
      <c r="S16" s="1014"/>
      <c r="T16" s="1011"/>
      <c r="U16" s="1028"/>
      <c r="V16" s="1017"/>
      <c r="W16" s="1014" t="s">
        <v>1287</v>
      </c>
      <c r="X16" s="1011"/>
      <c r="Y16" s="1028"/>
      <c r="Z16" s="1017"/>
      <c r="AA16" s="1014"/>
      <c r="AB16" s="1011"/>
      <c r="AC16" s="1028"/>
      <c r="AD16" s="1017"/>
      <c r="AE16" s="1014" t="s">
        <v>1287</v>
      </c>
      <c r="AF16" s="1011"/>
      <c r="AG16" s="1028"/>
      <c r="AH16" s="1017"/>
      <c r="AI16" s="1014" t="s">
        <v>1287</v>
      </c>
      <c r="AJ16" s="1011"/>
      <c r="AK16" s="1028"/>
      <c r="AL16" s="1017"/>
      <c r="AM16" s="1014" t="s">
        <v>1287</v>
      </c>
      <c r="AN16" s="1011"/>
      <c r="AO16" s="1028"/>
      <c r="AP16" s="1017"/>
      <c r="AQ16" s="1014" t="s">
        <v>1287</v>
      </c>
      <c r="AR16" s="1011"/>
      <c r="AS16" s="1028"/>
      <c r="AT16" s="1017"/>
      <c r="AU16" s="1014" t="s">
        <v>1287</v>
      </c>
      <c r="AV16" s="1011"/>
      <c r="AW16" s="1027"/>
      <c r="AX16" s="1031"/>
      <c r="AY16" s="1031"/>
      <c r="AZ16" s="1032"/>
      <c r="BA16" s="1028"/>
      <c r="BB16" s="1017"/>
      <c r="BC16" s="1014" t="s">
        <v>1287</v>
      </c>
      <c r="BD16" s="1011"/>
      <c r="BE16" s="1028"/>
      <c r="BF16" s="1017"/>
      <c r="BG16" s="1014" t="s">
        <v>1287</v>
      </c>
      <c r="BH16" s="1011"/>
      <c r="BI16" s="272"/>
      <c r="BJ16" s="272"/>
      <c r="BK16" s="272"/>
      <c r="BL16" s="272"/>
      <c r="BM16" s="272"/>
      <c r="BN16" s="272"/>
      <c r="BO16" s="272"/>
      <c r="BP16" s="272"/>
      <c r="BQ16" s="272"/>
      <c r="BR16" s="272"/>
      <c r="BS16" s="272"/>
      <c r="BT16" s="272"/>
      <c r="BU16" s="272"/>
      <c r="BV16" s="272"/>
      <c r="BW16" s="1034"/>
      <c r="BX16" s="592"/>
      <c r="BY16" s="272"/>
      <c r="BZ16" s="272"/>
      <c r="CA16" s="272"/>
      <c r="CB16" s="272"/>
      <c r="CC16" s="272"/>
      <c r="CD16" s="272"/>
      <c r="CE16" s="272"/>
      <c r="CF16" s="272"/>
      <c r="CG16" s="272"/>
      <c r="CH16" s="272"/>
      <c r="CI16" s="272"/>
      <c r="CJ16" s="272"/>
      <c r="CK16" s="272"/>
      <c r="CL16" s="272"/>
      <c r="CM16" s="272"/>
      <c r="CN16" s="272"/>
      <c r="CO16" s="272"/>
      <c r="CP16" s="272"/>
      <c r="CQ16" s="272"/>
      <c r="CR16" s="272"/>
      <c r="CS16" s="272"/>
      <c r="CT16" s="272"/>
      <c r="CU16" s="272"/>
      <c r="CV16" s="272"/>
      <c r="CW16" s="272"/>
      <c r="CX16" s="272"/>
      <c r="CY16" s="272"/>
      <c r="CZ16" s="272"/>
      <c r="DA16" s="272"/>
      <c r="DB16" s="272"/>
      <c r="DC16" s="272"/>
      <c r="DD16" s="272"/>
      <c r="DE16" s="272"/>
      <c r="DF16" s="272"/>
      <c r="DG16" s="272"/>
      <c r="DH16" s="272"/>
      <c r="DI16" s="272"/>
      <c r="DJ16" s="272"/>
      <c r="DK16" s="272"/>
      <c r="DL16" s="272"/>
      <c r="DM16" s="272"/>
      <c r="DN16" s="272"/>
      <c r="DO16" s="272"/>
      <c r="DP16" s="272"/>
      <c r="DQ16" s="272"/>
      <c r="DR16" s="272"/>
      <c r="DS16" s="272"/>
      <c r="DT16" s="272"/>
      <c r="DU16" s="272"/>
      <c r="DV16" s="272"/>
      <c r="DW16" s="272"/>
      <c r="DX16" s="272"/>
      <c r="DY16" s="272"/>
      <c r="DZ16" s="272"/>
      <c r="EA16" s="272"/>
      <c r="EB16" s="272"/>
      <c r="EC16" s="272"/>
      <c r="ED16" s="272"/>
      <c r="EE16" s="272"/>
      <c r="EF16" s="272"/>
      <c r="EG16" s="272"/>
      <c r="EH16" s="272"/>
      <c r="EI16" s="272"/>
      <c r="EJ16" s="272"/>
      <c r="EK16" s="272"/>
      <c r="EL16" s="272"/>
      <c r="EM16" s="272"/>
      <c r="EN16" s="272"/>
      <c r="EO16" s="272"/>
      <c r="EP16" s="272"/>
      <c r="EQ16" s="272"/>
      <c r="ER16" s="272"/>
      <c r="ES16" s="272"/>
      <c r="ET16" s="272"/>
      <c r="EU16" s="272"/>
      <c r="EV16" s="272"/>
      <c r="EW16" s="272"/>
      <c r="EX16" s="272"/>
      <c r="EY16" s="272"/>
      <c r="EZ16" s="272"/>
      <c r="FA16" s="272"/>
      <c r="FB16" s="272"/>
      <c r="FC16" s="272"/>
      <c r="FD16" s="272"/>
      <c r="FE16" s="272"/>
      <c r="FF16" s="272"/>
      <c r="FG16" s="272"/>
      <c r="FH16" s="272"/>
      <c r="FI16" s="272"/>
      <c r="FJ16" s="272"/>
      <c r="FK16" s="272"/>
      <c r="FL16" s="272"/>
      <c r="FM16" s="272"/>
      <c r="FN16" s="272"/>
      <c r="FO16" s="272"/>
      <c r="FP16" s="272"/>
      <c r="FQ16" s="272"/>
      <c r="FR16" s="272"/>
      <c r="FS16" s="272"/>
      <c r="FT16" s="272"/>
      <c r="FU16" s="272"/>
      <c r="FV16" s="272"/>
      <c r="FW16" s="272"/>
      <c r="FX16" s="272"/>
      <c r="FY16" s="272"/>
      <c r="FZ16" s="272"/>
      <c r="GA16" s="272"/>
      <c r="GB16" s="272"/>
      <c r="GC16" s="272"/>
      <c r="GD16" s="272"/>
      <c r="GE16" s="272"/>
      <c r="GF16" s="272"/>
      <c r="GG16" s="272"/>
      <c r="GH16" s="272"/>
      <c r="GI16" s="272"/>
      <c r="GJ16" s="272"/>
      <c r="GK16" s="272"/>
      <c r="GL16" s="272"/>
      <c r="GM16" s="272"/>
      <c r="GN16" s="272"/>
      <c r="GO16" s="272"/>
      <c r="GP16" s="272"/>
      <c r="GQ16" s="272"/>
      <c r="GR16" s="272"/>
      <c r="GS16" s="272"/>
      <c r="GT16" s="272"/>
      <c r="GU16" s="272"/>
      <c r="GV16" s="272"/>
      <c r="GW16" s="272"/>
      <c r="GX16" s="272"/>
      <c r="GY16" s="272"/>
      <c r="GZ16" s="272"/>
      <c r="HA16" s="272"/>
      <c r="HB16" s="272"/>
      <c r="HC16" s="272"/>
      <c r="HD16" s="272"/>
      <c r="HE16" s="272"/>
      <c r="HF16" s="272"/>
      <c r="HG16" s="272"/>
      <c r="HH16" s="272"/>
      <c r="HI16" s="272"/>
      <c r="HJ16" s="272"/>
      <c r="HK16" s="272"/>
      <c r="HL16" s="272"/>
      <c r="HM16" s="272"/>
      <c r="HN16" s="272"/>
      <c r="HO16" s="272"/>
      <c r="HP16" s="272"/>
      <c r="HQ16" s="272"/>
      <c r="HR16" s="272"/>
      <c r="HS16" s="272"/>
      <c r="HT16" s="272"/>
      <c r="HU16" s="272"/>
      <c r="HV16" s="272"/>
      <c r="HW16" s="272"/>
      <c r="HX16" s="272"/>
      <c r="HY16" s="272"/>
      <c r="HZ16" s="272"/>
      <c r="IA16" s="272"/>
      <c r="IB16" s="272"/>
      <c r="IC16" s="272"/>
      <c r="ID16" s="272"/>
      <c r="IE16" s="272"/>
      <c r="IF16" s="272"/>
      <c r="IG16" s="272"/>
      <c r="IH16" s="272"/>
      <c r="II16" s="272"/>
      <c r="IJ16" s="272"/>
      <c r="IK16" s="272"/>
      <c r="IL16" s="272"/>
      <c r="IM16" s="272"/>
      <c r="IN16" s="272"/>
      <c r="IO16" s="272"/>
      <c r="IP16" s="272"/>
      <c r="IQ16" s="272"/>
      <c r="IR16" s="272"/>
      <c r="IS16" s="272"/>
      <c r="IT16" s="272"/>
      <c r="IU16" s="272"/>
      <c r="IV16" s="272"/>
      <c r="IW16" s="272"/>
      <c r="IX16" s="272"/>
      <c r="IY16" s="272"/>
      <c r="IZ16" s="272"/>
      <c r="JA16" s="272"/>
      <c r="JB16" s="272"/>
      <c r="JC16" s="272"/>
      <c r="JD16" s="272"/>
      <c r="JE16" s="272"/>
      <c r="JF16" s="272"/>
      <c r="JG16" s="272"/>
      <c r="JH16" s="272"/>
      <c r="JI16" s="272"/>
      <c r="JJ16" s="272"/>
      <c r="JK16" s="272"/>
      <c r="JL16" s="272"/>
      <c r="JM16" s="272"/>
      <c r="JN16" s="272"/>
      <c r="JO16" s="272"/>
      <c r="JP16" s="272"/>
      <c r="JQ16" s="272"/>
      <c r="JR16" s="272"/>
      <c r="JS16" s="272"/>
      <c r="JT16" s="272"/>
      <c r="JU16" s="272"/>
      <c r="JV16" s="272"/>
      <c r="JW16" s="272"/>
      <c r="JX16" s="272"/>
      <c r="JY16" s="272"/>
      <c r="JZ16" s="272"/>
      <c r="KA16" s="272"/>
      <c r="KB16" s="272"/>
      <c r="KC16" s="272"/>
      <c r="KD16" s="272"/>
      <c r="KE16" s="272"/>
      <c r="KF16" s="272"/>
      <c r="KG16" s="272"/>
      <c r="KH16" s="272"/>
      <c r="KI16" s="272"/>
      <c r="KJ16" s="272"/>
      <c r="KK16" s="272"/>
      <c r="KL16" s="272"/>
      <c r="KM16" s="272"/>
      <c r="KN16" s="272"/>
      <c r="KO16" s="272"/>
      <c r="KP16" s="272"/>
      <c r="KQ16" s="272"/>
      <c r="KR16" s="272"/>
      <c r="KS16" s="272"/>
      <c r="KT16" s="272"/>
      <c r="KU16" s="272"/>
      <c r="KV16" s="272"/>
      <c r="KW16" s="272"/>
      <c r="KX16" s="272"/>
      <c r="KY16" s="272"/>
      <c r="KZ16" s="272"/>
      <c r="LA16" s="272"/>
      <c r="LB16" s="272"/>
      <c r="LC16" s="272"/>
      <c r="LD16" s="272"/>
      <c r="LE16" s="272"/>
      <c r="LF16" s="272"/>
      <c r="LG16" s="272"/>
      <c r="LH16" s="272"/>
      <c r="LI16" s="272"/>
      <c r="LJ16" s="272"/>
      <c r="LK16" s="272"/>
      <c r="LL16" s="272"/>
      <c r="LM16" s="272"/>
      <c r="LN16" s="272"/>
      <c r="LO16" s="272"/>
      <c r="LP16" s="272"/>
      <c r="LQ16" s="272"/>
      <c r="LR16" s="272"/>
      <c r="LS16" s="272"/>
      <c r="LT16" s="272"/>
      <c r="LU16" s="272"/>
      <c r="LV16" s="272"/>
      <c r="LW16" s="272"/>
      <c r="LX16" s="272"/>
      <c r="LY16" s="272"/>
      <c r="LZ16" s="272"/>
      <c r="MA16" s="272"/>
      <c r="MB16" s="272"/>
      <c r="MC16" s="272"/>
      <c r="MD16" s="272"/>
      <c r="ME16" s="272"/>
      <c r="MF16" s="272"/>
      <c r="MG16" s="272"/>
      <c r="MH16" s="272"/>
      <c r="MI16" s="272"/>
      <c r="MJ16" s="272"/>
      <c r="MK16" s="272"/>
      <c r="ML16" s="272"/>
      <c r="MM16" s="272"/>
      <c r="MN16" s="272"/>
      <c r="MO16" s="272"/>
      <c r="MP16" s="272"/>
      <c r="MQ16" s="272"/>
      <c r="MR16" s="272"/>
      <c r="MS16" s="272"/>
      <c r="MT16" s="272"/>
      <c r="MU16" s="272"/>
      <c r="MV16" s="272"/>
      <c r="MW16" s="272"/>
      <c r="MX16" s="272"/>
      <c r="MY16" s="272"/>
      <c r="MZ16" s="272"/>
      <c r="NA16" s="272"/>
      <c r="NB16" s="272"/>
      <c r="NC16" s="272"/>
      <c r="ND16" s="272"/>
      <c r="NE16" s="272"/>
      <c r="NF16" s="272"/>
      <c r="NG16" s="272"/>
      <c r="NH16" s="272"/>
      <c r="NI16" s="272"/>
      <c r="NJ16" s="272"/>
      <c r="NK16" s="272"/>
      <c r="NL16" s="272"/>
      <c r="NM16" s="272"/>
      <c r="NN16" s="272"/>
      <c r="NO16" s="272"/>
      <c r="NP16" s="272"/>
      <c r="NQ16" s="272"/>
      <c r="NR16" s="272"/>
      <c r="NS16" s="272"/>
      <c r="NT16" s="272"/>
      <c r="NU16" s="272"/>
      <c r="NV16" s="272"/>
      <c r="NW16" s="272"/>
      <c r="NX16" s="272"/>
      <c r="NY16" s="272"/>
      <c r="NZ16" s="272"/>
      <c r="OA16" s="272"/>
      <c r="OB16" s="272"/>
      <c r="OC16" s="272"/>
      <c r="OD16" s="272"/>
      <c r="OE16" s="272"/>
      <c r="OF16" s="272"/>
      <c r="OG16" s="272"/>
      <c r="OH16" s="272"/>
      <c r="OI16" s="272"/>
      <c r="OJ16" s="272"/>
      <c r="OK16" s="272"/>
      <c r="OL16" s="272"/>
      <c r="OM16" s="272"/>
      <c r="ON16" s="272"/>
      <c r="OO16" s="272"/>
      <c r="OP16" s="272"/>
      <c r="OQ16" s="272"/>
      <c r="OR16" s="272"/>
      <c r="OS16" s="272"/>
      <c r="OT16" s="272"/>
      <c r="OU16" s="272"/>
      <c r="OV16" s="272"/>
      <c r="OW16" s="272"/>
      <c r="OX16" s="272"/>
      <c r="OY16" s="272"/>
      <c r="OZ16" s="272"/>
      <c r="PA16" s="272"/>
      <c r="PB16" s="272"/>
      <c r="PC16" s="272"/>
      <c r="PD16" s="272"/>
      <c r="PE16" s="272"/>
    </row>
    <row r="17" spans="1:423" ht="15" customHeight="1">
      <c r="A17" s="273"/>
      <c r="B17" s="578">
        <v>15</v>
      </c>
      <c r="C17" s="968">
        <f t="shared" ca="1" si="0"/>
        <v>0.51939070734647719</v>
      </c>
      <c r="D17" s="969" t="s">
        <v>6962</v>
      </c>
      <c r="E17" s="970">
        <f t="shared" ca="1" si="16"/>
        <v>9</v>
      </c>
      <c r="F17" s="971">
        <v>15</v>
      </c>
      <c r="G17" s="972" t="str">
        <f t="shared" si="17"/>
        <v>Religion</v>
      </c>
      <c r="H17" s="992" t="str">
        <f ca="1">VLOOKUP(ROWS(L$3:L17),$E$3:$G$20,3,FALSE)</f>
        <v>Arcana</v>
      </c>
      <c r="I17" s="1026"/>
      <c r="J17" s="1017"/>
      <c r="K17" s="1014" t="s">
        <v>1287</v>
      </c>
      <c r="L17" s="1011"/>
      <c r="M17" s="977">
        <f t="shared" ca="1" si="18"/>
        <v>9</v>
      </c>
      <c r="N17" s="971">
        <v>15</v>
      </c>
      <c r="O17" s="972" t="str">
        <f t="shared" si="19"/>
        <v>Religion</v>
      </c>
      <c r="P17" s="992" t="str">
        <f ca="1">VLOOKUP(ROWS(P$3:P17),$E$3:$G$20,3,FALSE)</f>
        <v>Arcana</v>
      </c>
      <c r="Q17" s="1027"/>
      <c r="R17" s="1016"/>
      <c r="S17" s="1014"/>
      <c r="T17" s="1011"/>
      <c r="U17" s="1028"/>
      <c r="V17" s="1017"/>
      <c r="W17" s="1014" t="s">
        <v>1287</v>
      </c>
      <c r="X17" s="1011"/>
      <c r="Y17" s="1028"/>
      <c r="Z17" s="1017"/>
      <c r="AA17" s="1014"/>
      <c r="AB17" s="1011"/>
      <c r="AC17" s="1028"/>
      <c r="AD17" s="1017"/>
      <c r="AE17" s="1014" t="s">
        <v>1287</v>
      </c>
      <c r="AF17" s="1011"/>
      <c r="AG17" s="1028"/>
      <c r="AH17" s="1017"/>
      <c r="AI17" s="1014" t="s">
        <v>1287</v>
      </c>
      <c r="AJ17" s="1011"/>
      <c r="AK17" s="1028"/>
      <c r="AL17" s="1017"/>
      <c r="AM17" s="1014" t="s">
        <v>1287</v>
      </c>
      <c r="AN17" s="1011"/>
      <c r="AO17" s="1028"/>
      <c r="AP17" s="1017"/>
      <c r="AQ17" s="1014" t="s">
        <v>1287</v>
      </c>
      <c r="AR17" s="1011"/>
      <c r="AS17" s="1028"/>
      <c r="AT17" s="1017"/>
      <c r="AU17" s="1014" t="s">
        <v>1287</v>
      </c>
      <c r="AV17" s="1011"/>
      <c r="AW17" s="1027"/>
      <c r="AX17" s="1031"/>
      <c r="AY17" s="1031"/>
      <c r="AZ17" s="1032"/>
      <c r="BA17" s="1028"/>
      <c r="BB17" s="1017"/>
      <c r="BC17" s="1014" t="s">
        <v>1287</v>
      </c>
      <c r="BD17" s="1011"/>
      <c r="BE17" s="1028"/>
      <c r="BF17" s="1017"/>
      <c r="BG17" s="1014" t="s">
        <v>1287</v>
      </c>
      <c r="BH17" s="1011"/>
      <c r="BW17" s="591"/>
      <c r="BX17" s="592"/>
    </row>
    <row r="18" spans="1:423" ht="15.75" customHeight="1">
      <c r="A18" s="273"/>
      <c r="B18" s="578">
        <v>16</v>
      </c>
      <c r="C18" s="968">
        <f t="shared" ca="1" si="0"/>
        <v>0.57001243572432359</v>
      </c>
      <c r="D18" s="969" t="s">
        <v>6963</v>
      </c>
      <c r="E18" s="970">
        <f t="shared" ca="1" si="16"/>
        <v>8</v>
      </c>
      <c r="F18" s="971">
        <v>16</v>
      </c>
      <c r="G18" s="972" t="str">
        <f t="shared" si="17"/>
        <v>Sleight of Hand</v>
      </c>
      <c r="H18" s="992" t="str">
        <f ca="1">VLOOKUP(ROWS(L$3:L18),$E$3:$G$20,3,FALSE)</f>
        <v>Deception</v>
      </c>
      <c r="I18" s="1026"/>
      <c r="J18" s="1017"/>
      <c r="K18" s="1014" t="s">
        <v>1287</v>
      </c>
      <c r="L18" s="1011"/>
      <c r="M18" s="977">
        <f t="shared" ca="1" si="18"/>
        <v>8</v>
      </c>
      <c r="N18" s="971">
        <v>16</v>
      </c>
      <c r="O18" s="972" t="str">
        <f t="shared" si="19"/>
        <v>Sleight of Hand</v>
      </c>
      <c r="P18" s="992" t="str">
        <f ca="1">VLOOKUP(ROWS(P$3:P18),$E$3:$G$20,3,FALSE)</f>
        <v>Deception</v>
      </c>
      <c r="Q18" s="1027"/>
      <c r="R18" s="1016"/>
      <c r="S18" s="1014"/>
      <c r="T18" s="1011"/>
      <c r="U18" s="1028"/>
      <c r="V18" s="1017"/>
      <c r="W18" s="1014" t="s">
        <v>1287</v>
      </c>
      <c r="X18" s="1011"/>
      <c r="Y18" s="1028"/>
      <c r="Z18" s="1017"/>
      <c r="AA18" s="1014"/>
      <c r="AB18" s="1011"/>
      <c r="AC18" s="1028"/>
      <c r="AD18" s="1017"/>
      <c r="AE18" s="1014" t="s">
        <v>1287</v>
      </c>
      <c r="AF18" s="1011"/>
      <c r="AG18" s="1028"/>
      <c r="AH18" s="1017"/>
      <c r="AI18" s="1014" t="s">
        <v>1287</v>
      </c>
      <c r="AJ18" s="1011"/>
      <c r="AK18" s="1028"/>
      <c r="AL18" s="1017"/>
      <c r="AM18" s="1014" t="s">
        <v>1287</v>
      </c>
      <c r="AN18" s="1011"/>
      <c r="AO18" s="1028"/>
      <c r="AP18" s="1017"/>
      <c r="AQ18" s="1014" t="s">
        <v>1287</v>
      </c>
      <c r="AR18" s="1011"/>
      <c r="AS18" s="1028"/>
      <c r="AT18" s="1017"/>
      <c r="AU18" s="1014" t="s">
        <v>1287</v>
      </c>
      <c r="AV18" s="1011"/>
      <c r="AW18" s="1027"/>
      <c r="AX18" s="1031"/>
      <c r="AY18" s="1031"/>
      <c r="AZ18" s="1032"/>
      <c r="BA18" s="1028"/>
      <c r="BB18" s="1017"/>
      <c r="BC18" s="1014" t="s">
        <v>1287</v>
      </c>
      <c r="BD18" s="1011"/>
      <c r="BE18" s="1028"/>
      <c r="BF18" s="1017"/>
      <c r="BG18" s="1014" t="s">
        <v>1287</v>
      </c>
      <c r="BH18" s="1011"/>
      <c r="BL18" s="271"/>
      <c r="BM18" s="1035"/>
      <c r="BN18" s="1035"/>
      <c r="BW18" s="591"/>
      <c r="BX18" s="592"/>
    </row>
    <row r="19" spans="1:423">
      <c r="A19" s="273"/>
      <c r="B19" s="578">
        <v>17</v>
      </c>
      <c r="C19" s="968">
        <f t="shared" ca="1" si="0"/>
        <v>0.49754598571822684</v>
      </c>
      <c r="D19" s="969" t="s">
        <v>6964</v>
      </c>
      <c r="E19" s="970">
        <f t="shared" ca="1" si="16"/>
        <v>11</v>
      </c>
      <c r="F19" s="971">
        <v>17</v>
      </c>
      <c r="G19" s="972" t="str">
        <f t="shared" si="17"/>
        <v>Stealth</v>
      </c>
      <c r="H19" s="992" t="str">
        <f ca="1">VLOOKUP(ROWS(L$3:L19),$E$3:$G$20,3,FALSE)</f>
        <v>History</v>
      </c>
      <c r="I19" s="1026"/>
      <c r="J19" s="1017"/>
      <c r="K19" s="1014" t="s">
        <v>1287</v>
      </c>
      <c r="L19" s="1011"/>
      <c r="M19" s="977">
        <f t="shared" ca="1" si="18"/>
        <v>11</v>
      </c>
      <c r="N19" s="971">
        <v>17</v>
      </c>
      <c r="O19" s="972" t="str">
        <f t="shared" si="19"/>
        <v>Stealth</v>
      </c>
      <c r="P19" s="992" t="str">
        <f ca="1">VLOOKUP(ROWS(P$3:P19),$E$3:$G$20,3,FALSE)</f>
        <v>History</v>
      </c>
      <c r="Q19" s="1027"/>
      <c r="R19" s="1016"/>
      <c r="S19" s="1014"/>
      <c r="T19" s="1011"/>
      <c r="U19" s="1028"/>
      <c r="V19" s="1017"/>
      <c r="W19" s="1014" t="s">
        <v>1287</v>
      </c>
      <c r="X19" s="1011"/>
      <c r="Y19" s="1028"/>
      <c r="Z19" s="1017"/>
      <c r="AA19" s="1014"/>
      <c r="AB19" s="1011"/>
      <c r="AC19" s="1028"/>
      <c r="AD19" s="1017"/>
      <c r="AE19" s="1014" t="s">
        <v>1287</v>
      </c>
      <c r="AF19" s="1011"/>
      <c r="AG19" s="1028"/>
      <c r="AH19" s="1017"/>
      <c r="AI19" s="1014" t="s">
        <v>1287</v>
      </c>
      <c r="AJ19" s="1011"/>
      <c r="AK19" s="1028"/>
      <c r="AL19" s="1017"/>
      <c r="AM19" s="1014" t="s">
        <v>1287</v>
      </c>
      <c r="AN19" s="1011"/>
      <c r="AO19" s="1028"/>
      <c r="AP19" s="1017"/>
      <c r="AQ19" s="1014" t="s">
        <v>1287</v>
      </c>
      <c r="AR19" s="1011"/>
      <c r="AS19" s="1028"/>
      <c r="AT19" s="1017"/>
      <c r="AU19" s="1014" t="s">
        <v>1287</v>
      </c>
      <c r="AV19" s="1011"/>
      <c r="AW19" s="1027"/>
      <c r="AX19" s="1031"/>
      <c r="AY19" s="1031"/>
      <c r="AZ19" s="1032"/>
      <c r="BA19" s="1028"/>
      <c r="BB19" s="1017"/>
      <c r="BC19" s="1014" t="s">
        <v>1287</v>
      </c>
      <c r="BD19" s="1011"/>
      <c r="BE19" s="1028"/>
      <c r="BF19" s="1017"/>
      <c r="BG19" s="1014" t="s">
        <v>1287</v>
      </c>
      <c r="BH19" s="1011"/>
      <c r="BL19" s="271"/>
      <c r="BM19" s="1035"/>
      <c r="BN19" s="1035"/>
      <c r="BW19" s="591"/>
      <c r="BX19" s="592"/>
    </row>
    <row r="20" spans="1:423" s="1006" customFormat="1" ht="11.25" thickBot="1">
      <c r="A20" s="273"/>
      <c r="B20" s="583">
        <v>18</v>
      </c>
      <c r="C20" s="1036">
        <f t="shared" ca="1" si="0"/>
        <v>0.96677148420083359</v>
      </c>
      <c r="D20" s="1037" t="s">
        <v>6965</v>
      </c>
      <c r="E20" s="1038">
        <f t="shared" ca="1" si="16"/>
        <v>1</v>
      </c>
      <c r="F20" s="1039">
        <v>18</v>
      </c>
      <c r="G20" s="1040" t="str">
        <f t="shared" si="17"/>
        <v>Survival</v>
      </c>
      <c r="H20" s="1041" t="str">
        <f ca="1">VLOOKUP(ROWS(L$3:L20),$E$3:$G$20,3,FALSE)</f>
        <v>Athletics</v>
      </c>
      <c r="I20" s="1042"/>
      <c r="J20" s="1043"/>
      <c r="K20" s="1044" t="s">
        <v>1287</v>
      </c>
      <c r="L20" s="1045"/>
      <c r="M20" s="1046">
        <f t="shared" ca="1" si="18"/>
        <v>1</v>
      </c>
      <c r="N20" s="1039">
        <v>18</v>
      </c>
      <c r="O20" s="1040" t="str">
        <f t="shared" si="19"/>
        <v>Survival</v>
      </c>
      <c r="P20" s="1018" t="str">
        <f ca="1">VLOOKUP(ROWS(P$3:P20),$E$3:$G$20,3,FALSE)</f>
        <v>Athletics</v>
      </c>
      <c r="Q20" s="1047"/>
      <c r="R20" s="1048"/>
      <c r="S20" s="1044"/>
      <c r="T20" s="1045"/>
      <c r="U20" s="1049"/>
      <c r="V20" s="1043"/>
      <c r="W20" s="1044" t="s">
        <v>1287</v>
      </c>
      <c r="X20" s="1045"/>
      <c r="Y20" s="1049"/>
      <c r="Z20" s="1043"/>
      <c r="AA20" s="1044"/>
      <c r="AB20" s="1045"/>
      <c r="AC20" s="1049"/>
      <c r="AD20" s="1043"/>
      <c r="AE20" s="1044" t="s">
        <v>1287</v>
      </c>
      <c r="AF20" s="1045"/>
      <c r="AG20" s="1049"/>
      <c r="AH20" s="1043"/>
      <c r="AI20" s="1044" t="s">
        <v>1287</v>
      </c>
      <c r="AJ20" s="1045"/>
      <c r="AK20" s="1049"/>
      <c r="AL20" s="1043"/>
      <c r="AM20" s="1044" t="s">
        <v>1287</v>
      </c>
      <c r="AN20" s="1045"/>
      <c r="AO20" s="1049"/>
      <c r="AP20" s="1043"/>
      <c r="AQ20" s="1044" t="s">
        <v>1287</v>
      </c>
      <c r="AR20" s="1045"/>
      <c r="AS20" s="1049"/>
      <c r="AT20" s="1043"/>
      <c r="AU20" s="1044" t="s">
        <v>1287</v>
      </c>
      <c r="AV20" s="1045"/>
      <c r="AW20" s="1047"/>
      <c r="AX20" s="1050"/>
      <c r="AY20" s="1050"/>
      <c r="AZ20" s="1051"/>
      <c r="BA20" s="1049"/>
      <c r="BB20" s="1043"/>
      <c r="BC20" s="1044" t="s">
        <v>1287</v>
      </c>
      <c r="BD20" s="1045"/>
      <c r="BE20" s="1049"/>
      <c r="BF20" s="1043"/>
      <c r="BG20" s="1044" t="s">
        <v>1287</v>
      </c>
      <c r="BH20" s="1045"/>
      <c r="BI20" s="272"/>
      <c r="BJ20" s="272"/>
      <c r="BK20" s="272"/>
      <c r="BL20" s="271"/>
      <c r="BM20" s="1035"/>
      <c r="BN20" s="1035"/>
      <c r="BO20" s="272"/>
      <c r="BP20" s="272"/>
      <c r="BQ20" s="272"/>
      <c r="BR20" s="272"/>
      <c r="BS20" s="272"/>
      <c r="BT20" s="272"/>
      <c r="BU20" s="272"/>
      <c r="BV20" s="272"/>
      <c r="BW20" s="591"/>
      <c r="BX20" s="592"/>
      <c r="BY20" s="272"/>
      <c r="BZ20" s="272"/>
      <c r="CA20" s="272"/>
      <c r="CB20" s="272"/>
      <c r="CC20" s="272"/>
      <c r="CD20" s="272"/>
      <c r="CE20" s="272"/>
      <c r="CF20" s="272"/>
      <c r="CG20" s="272"/>
      <c r="CH20" s="272"/>
      <c r="CI20" s="272"/>
      <c r="CJ20" s="272"/>
      <c r="CK20" s="272"/>
      <c r="CL20" s="272"/>
      <c r="CM20" s="272"/>
      <c r="CN20" s="272"/>
      <c r="CO20" s="272"/>
      <c r="CP20" s="272"/>
      <c r="CQ20" s="272"/>
      <c r="CR20" s="272"/>
      <c r="CS20" s="272"/>
      <c r="CT20" s="272"/>
      <c r="CU20" s="272"/>
      <c r="CV20" s="272"/>
      <c r="CW20" s="272"/>
      <c r="CX20" s="272"/>
      <c r="CY20" s="272"/>
      <c r="CZ20" s="272"/>
      <c r="DA20" s="272"/>
      <c r="DB20" s="272"/>
      <c r="DC20" s="272"/>
      <c r="DD20" s="272"/>
      <c r="DE20" s="272"/>
      <c r="DF20" s="272"/>
      <c r="DG20" s="272"/>
      <c r="DH20" s="272"/>
      <c r="DI20" s="272"/>
      <c r="DJ20" s="272"/>
      <c r="DK20" s="272"/>
      <c r="DL20" s="272"/>
      <c r="DM20" s="272"/>
      <c r="DN20" s="272"/>
      <c r="DO20" s="272"/>
      <c r="DP20" s="272"/>
      <c r="DQ20" s="272"/>
      <c r="DR20" s="272"/>
      <c r="DS20" s="272"/>
      <c r="DT20" s="272"/>
      <c r="DU20" s="272"/>
      <c r="DV20" s="272"/>
      <c r="DW20" s="272"/>
      <c r="DX20" s="272"/>
      <c r="DY20" s="272"/>
      <c r="DZ20" s="272"/>
      <c r="EA20" s="272"/>
      <c r="EB20" s="272"/>
      <c r="EC20" s="272"/>
      <c r="ED20" s="272"/>
      <c r="EE20" s="272"/>
      <c r="EF20" s="272"/>
      <c r="EG20" s="272"/>
      <c r="EH20" s="272"/>
      <c r="EI20" s="272"/>
      <c r="EJ20" s="272"/>
      <c r="EK20" s="272"/>
      <c r="EL20" s="272"/>
      <c r="EM20" s="272"/>
      <c r="EN20" s="272"/>
      <c r="EO20" s="272"/>
      <c r="EP20" s="272"/>
      <c r="EQ20" s="272"/>
      <c r="ER20" s="272"/>
      <c r="ES20" s="272"/>
      <c r="ET20" s="272"/>
      <c r="EU20" s="272"/>
      <c r="EV20" s="272"/>
      <c r="EW20" s="272"/>
      <c r="EX20" s="272"/>
      <c r="EY20" s="272"/>
      <c r="EZ20" s="272"/>
      <c r="FA20" s="272"/>
      <c r="FB20" s="272"/>
      <c r="FC20" s="272"/>
      <c r="FD20" s="272"/>
      <c r="FE20" s="272"/>
      <c r="FF20" s="272"/>
      <c r="FG20" s="272"/>
      <c r="FH20" s="272"/>
      <c r="FI20" s="272"/>
      <c r="FJ20" s="272"/>
      <c r="FK20" s="272"/>
      <c r="FL20" s="272"/>
      <c r="FM20" s="272"/>
      <c r="FN20" s="272"/>
      <c r="FO20" s="272"/>
      <c r="FP20" s="272"/>
      <c r="FQ20" s="272"/>
      <c r="FR20" s="272"/>
      <c r="FS20" s="272"/>
      <c r="FT20" s="272"/>
      <c r="FU20" s="272"/>
      <c r="FV20" s="272"/>
      <c r="FW20" s="272"/>
      <c r="FX20" s="272"/>
      <c r="FY20" s="272"/>
      <c r="FZ20" s="272"/>
      <c r="GA20" s="272"/>
      <c r="GB20" s="272"/>
      <c r="GC20" s="272"/>
      <c r="GD20" s="272"/>
      <c r="GE20" s="272"/>
      <c r="GF20" s="272"/>
      <c r="GG20" s="272"/>
      <c r="GH20" s="272"/>
      <c r="GI20" s="272"/>
      <c r="GJ20" s="272"/>
      <c r="GK20" s="272"/>
      <c r="GL20" s="272"/>
      <c r="GM20" s="272"/>
      <c r="GN20" s="272"/>
      <c r="GO20" s="272"/>
      <c r="GP20" s="272"/>
      <c r="GQ20" s="272"/>
      <c r="GR20" s="272"/>
      <c r="GS20" s="272"/>
      <c r="GT20" s="272"/>
      <c r="GU20" s="272"/>
      <c r="GV20" s="272"/>
      <c r="GW20" s="272"/>
      <c r="GX20" s="272"/>
      <c r="GY20" s="272"/>
      <c r="GZ20" s="272"/>
      <c r="HA20" s="272"/>
      <c r="HB20" s="272"/>
      <c r="HC20" s="272"/>
      <c r="HD20" s="272"/>
      <c r="HE20" s="272"/>
      <c r="HF20" s="272"/>
      <c r="HG20" s="272"/>
      <c r="HH20" s="272"/>
      <c r="HI20" s="272"/>
      <c r="HJ20" s="272"/>
      <c r="HK20" s="272"/>
      <c r="HL20" s="272"/>
      <c r="HM20" s="272"/>
      <c r="HN20" s="272"/>
      <c r="HO20" s="272"/>
      <c r="HP20" s="272"/>
      <c r="HQ20" s="272"/>
      <c r="HR20" s="272"/>
      <c r="HS20" s="272"/>
      <c r="HT20" s="272"/>
      <c r="HU20" s="272"/>
      <c r="HV20" s="272"/>
      <c r="HW20" s="272"/>
      <c r="HX20" s="272"/>
      <c r="HY20" s="272"/>
      <c r="HZ20" s="272"/>
      <c r="IA20" s="272"/>
      <c r="IB20" s="272"/>
      <c r="IC20" s="272"/>
      <c r="ID20" s="272"/>
      <c r="IE20" s="272"/>
      <c r="IF20" s="272"/>
      <c r="IG20" s="272"/>
      <c r="IH20" s="272"/>
      <c r="II20" s="272"/>
      <c r="IJ20" s="272"/>
      <c r="IK20" s="272"/>
      <c r="IL20" s="272"/>
      <c r="IM20" s="272"/>
      <c r="IN20" s="272"/>
      <c r="IO20" s="272"/>
      <c r="IP20" s="272"/>
      <c r="IQ20" s="272"/>
      <c r="IR20" s="272"/>
      <c r="IS20" s="272"/>
      <c r="IT20" s="272"/>
      <c r="IU20" s="272"/>
      <c r="IV20" s="272"/>
      <c r="IW20" s="272"/>
      <c r="IX20" s="272"/>
      <c r="IY20" s="272"/>
      <c r="IZ20" s="272"/>
      <c r="JA20" s="272"/>
      <c r="JB20" s="272"/>
      <c r="JC20" s="272"/>
      <c r="JD20" s="272"/>
      <c r="JE20" s="272"/>
      <c r="JF20" s="272"/>
      <c r="JG20" s="272"/>
      <c r="JH20" s="272"/>
      <c r="JI20" s="272"/>
      <c r="JJ20" s="272"/>
      <c r="JK20" s="272"/>
      <c r="JL20" s="272"/>
      <c r="JM20" s="272"/>
      <c r="JN20" s="272"/>
      <c r="JO20" s="272"/>
      <c r="JP20" s="272"/>
      <c r="JQ20" s="272"/>
      <c r="JR20" s="272"/>
      <c r="JS20" s="272"/>
      <c r="JT20" s="272"/>
      <c r="JU20" s="272"/>
      <c r="JV20" s="272"/>
      <c r="JW20" s="272"/>
      <c r="JX20" s="272"/>
      <c r="JY20" s="272"/>
      <c r="JZ20" s="272"/>
      <c r="KA20" s="272"/>
      <c r="KB20" s="272"/>
      <c r="KC20" s="272"/>
      <c r="KD20" s="272"/>
      <c r="KE20" s="272"/>
      <c r="KF20" s="272"/>
      <c r="KG20" s="272"/>
      <c r="KH20" s="272"/>
      <c r="KI20" s="272"/>
      <c r="KJ20" s="272"/>
      <c r="KK20" s="272"/>
      <c r="KL20" s="272"/>
      <c r="KM20" s="272"/>
      <c r="KN20" s="272"/>
      <c r="KO20" s="272"/>
      <c r="KP20" s="272"/>
      <c r="KQ20" s="272"/>
      <c r="KR20" s="272"/>
      <c r="KS20" s="272"/>
      <c r="KT20" s="272"/>
      <c r="KU20" s="272"/>
      <c r="KV20" s="272"/>
      <c r="KW20" s="272"/>
      <c r="KX20" s="272"/>
      <c r="KY20" s="272"/>
      <c r="KZ20" s="272"/>
      <c r="LA20" s="272"/>
      <c r="LB20" s="272"/>
      <c r="LC20" s="272"/>
      <c r="LD20" s="272"/>
      <c r="LE20" s="272"/>
      <c r="LF20" s="272"/>
      <c r="LG20" s="272"/>
      <c r="LH20" s="272"/>
      <c r="LI20" s="272"/>
      <c r="LJ20" s="272"/>
      <c r="LK20" s="272"/>
      <c r="LL20" s="272"/>
      <c r="LM20" s="272"/>
      <c r="LN20" s="272"/>
      <c r="LO20" s="272"/>
      <c r="LP20" s="272"/>
      <c r="LQ20" s="272"/>
      <c r="LR20" s="272"/>
      <c r="LS20" s="272"/>
      <c r="LT20" s="272"/>
      <c r="LU20" s="272"/>
      <c r="LV20" s="272"/>
      <c r="LW20" s="272"/>
      <c r="LX20" s="272"/>
      <c r="LY20" s="272"/>
      <c r="LZ20" s="272"/>
      <c r="MA20" s="272"/>
      <c r="MB20" s="272"/>
      <c r="MC20" s="272"/>
      <c r="MD20" s="272"/>
      <c r="ME20" s="272"/>
      <c r="MF20" s="272"/>
      <c r="MG20" s="272"/>
      <c r="MH20" s="272"/>
      <c r="MI20" s="272"/>
      <c r="MJ20" s="272"/>
      <c r="MK20" s="272"/>
      <c r="ML20" s="272"/>
      <c r="MM20" s="272"/>
      <c r="MN20" s="272"/>
      <c r="MO20" s="272"/>
      <c r="MP20" s="272"/>
      <c r="MQ20" s="272"/>
      <c r="MR20" s="272"/>
      <c r="MS20" s="272"/>
      <c r="MT20" s="272"/>
      <c r="MU20" s="272"/>
      <c r="MV20" s="272"/>
      <c r="MW20" s="272"/>
      <c r="MX20" s="272"/>
      <c r="MY20" s="272"/>
      <c r="MZ20" s="272"/>
      <c r="NA20" s="272"/>
      <c r="NB20" s="272"/>
      <c r="NC20" s="272"/>
      <c r="ND20" s="272"/>
      <c r="NE20" s="272"/>
      <c r="NF20" s="272"/>
      <c r="NG20" s="272"/>
      <c r="NH20" s="272"/>
      <c r="NI20" s="272"/>
      <c r="NJ20" s="272"/>
      <c r="NK20" s="272"/>
      <c r="NL20" s="272"/>
      <c r="NM20" s="272"/>
      <c r="NN20" s="272"/>
      <c r="NO20" s="272"/>
      <c r="NP20" s="272"/>
      <c r="NQ20" s="272"/>
      <c r="NR20" s="272"/>
      <c r="NS20" s="272"/>
      <c r="NT20" s="272"/>
      <c r="NU20" s="272"/>
      <c r="NV20" s="272"/>
      <c r="NW20" s="272"/>
      <c r="NX20" s="272"/>
      <c r="NY20" s="272"/>
      <c r="NZ20" s="272"/>
      <c r="OA20" s="272"/>
      <c r="OB20" s="272"/>
      <c r="OC20" s="272"/>
      <c r="OD20" s="272"/>
      <c r="OE20" s="272"/>
      <c r="OF20" s="272"/>
      <c r="OG20" s="272"/>
      <c r="OH20" s="272"/>
      <c r="OI20" s="272"/>
      <c r="OJ20" s="272"/>
      <c r="OK20" s="272"/>
      <c r="OL20" s="272"/>
      <c r="OM20" s="272"/>
      <c r="ON20" s="272"/>
      <c r="OO20" s="272"/>
      <c r="OP20" s="272"/>
      <c r="OQ20" s="272"/>
      <c r="OR20" s="272"/>
      <c r="OS20" s="272"/>
      <c r="OT20" s="272"/>
      <c r="OU20" s="272"/>
      <c r="OV20" s="272"/>
      <c r="OW20" s="272"/>
      <c r="OX20" s="272"/>
      <c r="OY20" s="272"/>
      <c r="OZ20" s="272"/>
      <c r="PA20" s="272"/>
      <c r="PB20" s="272"/>
      <c r="PC20" s="272"/>
      <c r="PD20" s="272"/>
      <c r="PE20" s="272"/>
    </row>
    <row r="21" spans="1:423" s="1071" customFormat="1" ht="15" thickBot="1">
      <c r="A21" s="1052"/>
      <c r="B21" s="1053" t="s">
        <v>6966</v>
      </c>
      <c r="C21" s="1054" t="s">
        <v>6967</v>
      </c>
      <c r="D21" s="1055" t="s">
        <v>6968</v>
      </c>
      <c r="E21" s="1008" t="s">
        <v>6953</v>
      </c>
      <c r="F21" s="1056" t="s">
        <v>6969</v>
      </c>
      <c r="G21" s="1057" t="s">
        <v>6970</v>
      </c>
      <c r="H21" s="1058" t="s">
        <v>6971</v>
      </c>
      <c r="I21" s="3483" t="s">
        <v>6972</v>
      </c>
      <c r="J21" s="3484"/>
      <c r="K21" s="1059" t="s">
        <v>6973</v>
      </c>
      <c r="L21" s="1060" t="s">
        <v>6974</v>
      </c>
      <c r="M21" s="1061" t="s">
        <v>6953</v>
      </c>
      <c r="N21" s="1056" t="s">
        <v>6975</v>
      </c>
      <c r="O21" s="1062" t="s">
        <v>6976</v>
      </c>
      <c r="P21" s="1063" t="s">
        <v>6977</v>
      </c>
      <c r="Q21" s="3485" t="s">
        <v>6978</v>
      </c>
      <c r="R21" s="3486"/>
      <c r="S21" s="1057" t="s">
        <v>6979</v>
      </c>
      <c r="T21" s="1058" t="s">
        <v>6980</v>
      </c>
      <c r="U21" s="3478" t="s">
        <v>6981</v>
      </c>
      <c r="V21" s="3479"/>
      <c r="W21" s="1064" t="s">
        <v>6982</v>
      </c>
      <c r="X21" s="1058" t="s">
        <v>6983</v>
      </c>
      <c r="Y21" s="3478" t="s">
        <v>6984</v>
      </c>
      <c r="Z21" s="3479"/>
      <c r="AA21" s="1057" t="s">
        <v>6985</v>
      </c>
      <c r="AB21" s="1058" t="s">
        <v>6986</v>
      </c>
      <c r="AC21" s="3478" t="s">
        <v>6987</v>
      </c>
      <c r="AD21" s="3479"/>
      <c r="AE21" s="1057" t="s">
        <v>6988</v>
      </c>
      <c r="AF21" s="1058" t="s">
        <v>6989</v>
      </c>
      <c r="AG21" s="3478" t="s">
        <v>6990</v>
      </c>
      <c r="AH21" s="3479"/>
      <c r="AI21" s="1065" t="s">
        <v>6991</v>
      </c>
      <c r="AJ21" s="1066" t="s">
        <v>6992</v>
      </c>
      <c r="AK21" s="3478" t="s">
        <v>6993</v>
      </c>
      <c r="AL21" s="3479"/>
      <c r="AM21" s="1064" t="s">
        <v>6994</v>
      </c>
      <c r="AN21" s="1058" t="s">
        <v>6995</v>
      </c>
      <c r="AO21" s="3480" t="s">
        <v>6996</v>
      </c>
      <c r="AP21" s="3479"/>
      <c r="AQ21" s="1067" t="s">
        <v>6997</v>
      </c>
      <c r="AR21" s="1068" t="s">
        <v>6998</v>
      </c>
      <c r="AS21" s="3478" t="s">
        <v>6999</v>
      </c>
      <c r="AT21" s="3479"/>
      <c r="AU21" s="1057" t="s">
        <v>7000</v>
      </c>
      <c r="AV21" s="1058" t="s">
        <v>7001</v>
      </c>
      <c r="AW21" s="3478" t="s">
        <v>7002</v>
      </c>
      <c r="AX21" s="3481"/>
      <c r="AY21" s="1062" t="s">
        <v>7003</v>
      </c>
      <c r="AZ21" s="1063" t="s">
        <v>7004</v>
      </c>
      <c r="BA21" s="1056" t="s">
        <v>7005</v>
      </c>
      <c r="BB21" s="1069"/>
      <c r="BC21" s="1070" t="s">
        <v>7006</v>
      </c>
      <c r="BD21" s="1058" t="s">
        <v>7007</v>
      </c>
      <c r="BE21" s="1056" t="s">
        <v>7008</v>
      </c>
      <c r="BF21" s="1069"/>
      <c r="BG21" s="1070" t="s">
        <v>7009</v>
      </c>
      <c r="BH21" s="1058" t="s">
        <v>7010</v>
      </c>
      <c r="BL21" s="1035"/>
      <c r="BM21" s="1035"/>
      <c r="BN21" s="1035"/>
      <c r="BW21" s="591"/>
      <c r="BX21" s="592"/>
    </row>
    <row r="22" spans="1:423" ht="11.25" thickBot="1">
      <c r="B22" s="510" t="s">
        <v>7011</v>
      </c>
      <c r="C22" s="1072" t="str">
        <f ca="1">VLOOKUP(RANDBETWEEN(1,18),B3:D20,3,FALSE)</f>
        <v>Animal Handling</v>
      </c>
      <c r="D22" s="481" t="s">
        <v>7012</v>
      </c>
      <c r="E22" s="481"/>
      <c r="F22" s="1073"/>
      <c r="G22" s="1074"/>
      <c r="H22" s="273"/>
      <c r="I22" s="273"/>
      <c r="J22" s="273"/>
      <c r="K22" s="273"/>
      <c r="L22" s="273"/>
      <c r="M22" s="273"/>
      <c r="N22" s="273"/>
      <c r="P22" s="273"/>
      <c r="Q22" s="273"/>
      <c r="R22" s="273"/>
      <c r="S22" s="273"/>
      <c r="T22" s="273"/>
      <c r="U22" s="273"/>
      <c r="V22" s="273"/>
      <c r="W22" s="273"/>
      <c r="X22" s="273"/>
      <c r="Y22" s="273"/>
      <c r="Z22" s="273"/>
      <c r="AB22" s="273"/>
      <c r="AC22" s="273"/>
      <c r="AD22" s="273"/>
      <c r="AE22" s="273"/>
      <c r="AF22" s="273"/>
      <c r="AH22" s="273"/>
      <c r="AI22" s="273"/>
      <c r="AJ22" s="273"/>
      <c r="AL22" s="272"/>
      <c r="AM22" s="272"/>
      <c r="AN22" s="272"/>
      <c r="AQ22" s="272"/>
      <c r="AR22" s="272"/>
      <c r="AS22" s="271"/>
      <c r="AW22" s="272"/>
      <c r="AX22" s="928"/>
      <c r="AY22" s="272"/>
      <c r="AZ22" s="272"/>
      <c r="BA22" s="272"/>
      <c r="BB22" s="272"/>
      <c r="BC22" s="272"/>
      <c r="BD22" s="272"/>
      <c r="BE22" s="272"/>
      <c r="BF22" s="272"/>
      <c r="BQ22" s="271"/>
      <c r="BR22" s="271"/>
      <c r="BS22" s="271"/>
      <c r="BT22" s="271"/>
      <c r="BU22" s="271"/>
      <c r="BW22" s="591"/>
      <c r="BX22" s="592"/>
      <c r="BY22" s="271"/>
      <c r="BZ22" s="271"/>
      <c r="CA22" s="271"/>
      <c r="CB22" s="271"/>
      <c r="CC22" s="928"/>
      <c r="CD22" s="273"/>
      <c r="CE22" s="271"/>
      <c r="CF22" s="273"/>
      <c r="CG22" s="273"/>
      <c r="CH22" s="271"/>
    </row>
    <row r="23" spans="1:423" s="1006" customFormat="1" ht="11.25" thickBot="1">
      <c r="A23" s="272"/>
      <c r="B23" s="271"/>
      <c r="C23" s="271"/>
      <c r="D23" s="271"/>
      <c r="E23" s="271"/>
      <c r="F23" s="271"/>
      <c r="G23" s="271"/>
      <c r="H23" s="271"/>
      <c r="I23" s="271"/>
      <c r="J23" s="271"/>
      <c r="K23" s="271"/>
      <c r="L23" s="271"/>
      <c r="M23" s="271"/>
      <c r="N23" s="271"/>
      <c r="O23" s="271"/>
      <c r="P23" s="271"/>
      <c r="Q23" s="271"/>
      <c r="R23" s="271"/>
      <c r="S23" s="271"/>
      <c r="T23" s="271"/>
      <c r="U23" s="271"/>
      <c r="V23" s="271"/>
      <c r="W23" s="271"/>
      <c r="X23" s="271"/>
      <c r="Y23" s="271"/>
      <c r="Z23" s="271"/>
      <c r="AA23" s="271"/>
      <c r="AB23" s="271"/>
      <c r="AC23" s="273"/>
      <c r="AD23" s="273"/>
      <c r="AE23" s="273"/>
      <c r="AF23" s="273"/>
      <c r="AG23" s="272"/>
      <c r="AH23" s="272"/>
      <c r="AI23" s="272"/>
      <c r="AJ23" s="272"/>
      <c r="AK23" s="272"/>
      <c r="AL23" s="272"/>
      <c r="AM23" s="271"/>
      <c r="AN23" s="271"/>
      <c r="AO23" s="273"/>
      <c r="AP23" s="273"/>
      <c r="AQ23" s="272"/>
      <c r="AR23" s="272"/>
      <c r="AS23" s="928"/>
      <c r="AT23" s="272"/>
      <c r="AU23" s="272"/>
      <c r="AV23" s="272"/>
      <c r="AW23" s="272"/>
      <c r="AX23" s="272"/>
      <c r="AY23" s="272"/>
      <c r="AZ23" s="272"/>
      <c r="BA23" s="272"/>
      <c r="BB23" s="272"/>
      <c r="BC23" s="271"/>
      <c r="BD23" s="271"/>
      <c r="BE23" s="273"/>
      <c r="BF23" s="273"/>
      <c r="BG23" s="273"/>
      <c r="BH23" s="273"/>
      <c r="BI23" s="271"/>
      <c r="BJ23" s="271"/>
      <c r="BK23" s="271"/>
      <c r="BL23" s="271"/>
      <c r="BM23" s="271"/>
      <c r="BN23" s="271"/>
      <c r="BO23" s="271"/>
      <c r="BP23" s="271"/>
      <c r="BQ23" s="271"/>
      <c r="BR23" s="271"/>
      <c r="BS23" s="271"/>
      <c r="BT23" s="271"/>
      <c r="BU23" s="271"/>
      <c r="BV23" s="271"/>
      <c r="BW23" s="591"/>
      <c r="BX23" s="592"/>
      <c r="BY23" s="271"/>
      <c r="BZ23" s="271"/>
      <c r="CA23" s="271"/>
      <c r="CB23" s="271"/>
      <c r="CC23" s="928"/>
      <c r="CD23" s="273"/>
      <c r="CE23" s="272"/>
      <c r="CF23" s="272"/>
      <c r="CG23" s="272"/>
      <c r="CH23" s="271"/>
      <c r="CI23" s="272"/>
      <c r="CJ23" s="272"/>
      <c r="CK23" s="272"/>
      <c r="CL23" s="272"/>
      <c r="CM23" s="272"/>
      <c r="CN23" s="272"/>
      <c r="CO23" s="272"/>
      <c r="CP23" s="272"/>
      <c r="CQ23" s="272"/>
      <c r="CR23" s="272"/>
      <c r="CS23" s="272"/>
      <c r="CT23" s="272"/>
      <c r="CU23" s="272"/>
      <c r="CV23" s="272"/>
      <c r="CW23" s="272"/>
      <c r="CX23" s="272"/>
      <c r="CY23" s="272"/>
      <c r="CZ23" s="272"/>
      <c r="DA23" s="272"/>
      <c r="DB23" s="272"/>
      <c r="DC23" s="272"/>
      <c r="DD23" s="272"/>
      <c r="DE23" s="272"/>
      <c r="DF23" s="272"/>
      <c r="DG23" s="272"/>
      <c r="DH23" s="272"/>
      <c r="DI23" s="272"/>
      <c r="DJ23" s="272"/>
      <c r="DK23" s="272"/>
      <c r="DL23" s="272"/>
      <c r="DM23" s="272"/>
      <c r="DN23" s="272"/>
      <c r="DO23" s="272"/>
      <c r="DP23" s="272"/>
      <c r="DQ23" s="272"/>
      <c r="DR23" s="272"/>
      <c r="DS23" s="272"/>
      <c r="DT23" s="272"/>
      <c r="DU23" s="272"/>
      <c r="DV23" s="272"/>
      <c r="DW23" s="272"/>
      <c r="DX23" s="272"/>
      <c r="DY23" s="272"/>
      <c r="DZ23" s="272"/>
      <c r="EA23" s="272"/>
      <c r="EB23" s="272"/>
      <c r="EC23" s="272"/>
      <c r="ED23" s="272"/>
      <c r="EE23" s="272"/>
      <c r="EF23" s="272"/>
      <c r="EG23" s="272"/>
      <c r="EH23" s="272"/>
      <c r="EI23" s="272"/>
      <c r="EJ23" s="272"/>
      <c r="EK23" s="272"/>
      <c r="EL23" s="272"/>
      <c r="EM23" s="272"/>
      <c r="EN23" s="272"/>
      <c r="EO23" s="272"/>
      <c r="EP23" s="272"/>
      <c r="EQ23" s="272"/>
      <c r="ER23" s="272"/>
      <c r="ES23" s="272"/>
      <c r="ET23" s="272"/>
      <c r="EU23" s="272"/>
      <c r="EV23" s="272"/>
      <c r="EW23" s="272"/>
      <c r="EX23" s="272"/>
      <c r="EY23" s="272"/>
      <c r="EZ23" s="272"/>
      <c r="FA23" s="272"/>
      <c r="FB23" s="272"/>
      <c r="FC23" s="272"/>
      <c r="FD23" s="272"/>
      <c r="FE23" s="272"/>
      <c r="FF23" s="272"/>
      <c r="FG23" s="272"/>
      <c r="FH23" s="272"/>
      <c r="FI23" s="272"/>
      <c r="FJ23" s="272"/>
      <c r="FK23" s="272"/>
      <c r="FL23" s="272"/>
      <c r="FM23" s="272"/>
      <c r="FN23" s="272"/>
      <c r="FO23" s="272"/>
      <c r="FP23" s="272"/>
      <c r="FQ23" s="272"/>
      <c r="FR23" s="272"/>
      <c r="FS23" s="272"/>
      <c r="FT23" s="272"/>
      <c r="FU23" s="272"/>
      <c r="FV23" s="272"/>
      <c r="FW23" s="272"/>
      <c r="FX23" s="272"/>
      <c r="FY23" s="272"/>
      <c r="FZ23" s="272"/>
      <c r="GA23" s="272"/>
      <c r="GB23" s="272"/>
      <c r="GC23" s="272"/>
      <c r="GD23" s="272"/>
      <c r="GE23" s="272"/>
      <c r="GF23" s="272"/>
      <c r="GG23" s="272"/>
      <c r="GH23" s="272"/>
      <c r="GI23" s="272"/>
      <c r="GJ23" s="272"/>
      <c r="GK23" s="272"/>
      <c r="GL23" s="272"/>
      <c r="GM23" s="272"/>
      <c r="GN23" s="272"/>
      <c r="GO23" s="272"/>
      <c r="GP23" s="272"/>
      <c r="GQ23" s="272"/>
      <c r="GR23" s="272"/>
      <c r="GS23" s="272"/>
      <c r="GT23" s="272"/>
      <c r="GU23" s="272"/>
      <c r="GV23" s="272"/>
      <c r="GW23" s="272"/>
      <c r="GX23" s="272"/>
      <c r="GY23" s="272"/>
      <c r="GZ23" s="272"/>
      <c r="HA23" s="272"/>
      <c r="HB23" s="272"/>
      <c r="HC23" s="272"/>
      <c r="HD23" s="272"/>
      <c r="HE23" s="272"/>
      <c r="HF23" s="272"/>
      <c r="HG23" s="272"/>
      <c r="HH23" s="272"/>
      <c r="HI23" s="272"/>
      <c r="HJ23" s="272"/>
      <c r="HK23" s="272"/>
      <c r="HL23" s="272"/>
      <c r="HM23" s="272"/>
      <c r="HN23" s="272"/>
      <c r="HO23" s="272"/>
      <c r="HP23" s="272"/>
      <c r="HQ23" s="272"/>
      <c r="HR23" s="272"/>
      <c r="HS23" s="272"/>
      <c r="HT23" s="272"/>
      <c r="HU23" s="272"/>
      <c r="HV23" s="272"/>
      <c r="HW23" s="272"/>
      <c r="HX23" s="272"/>
      <c r="HY23" s="272"/>
      <c r="HZ23" s="272"/>
      <c r="IA23" s="272"/>
      <c r="IB23" s="272"/>
      <c r="IC23" s="272"/>
      <c r="ID23" s="272"/>
      <c r="IE23" s="272"/>
      <c r="IF23" s="272"/>
      <c r="IG23" s="272"/>
      <c r="IH23" s="272"/>
      <c r="II23" s="272"/>
      <c r="IJ23" s="272"/>
      <c r="IK23" s="272"/>
      <c r="IL23" s="272"/>
      <c r="IM23" s="272"/>
      <c r="IN23" s="272"/>
      <c r="IO23" s="272"/>
      <c r="IP23" s="272"/>
      <c r="IQ23" s="272"/>
      <c r="IR23" s="272"/>
      <c r="IS23" s="272"/>
      <c r="IT23" s="272"/>
      <c r="IU23" s="272"/>
      <c r="IV23" s="272"/>
      <c r="IW23" s="272"/>
      <c r="IX23" s="272"/>
      <c r="IY23" s="272"/>
      <c r="IZ23" s="272"/>
      <c r="JA23" s="272"/>
      <c r="JB23" s="272"/>
      <c r="JC23" s="272"/>
      <c r="JD23" s="272"/>
      <c r="JE23" s="272"/>
      <c r="JF23" s="272"/>
      <c r="JG23" s="272"/>
      <c r="JH23" s="272"/>
      <c r="JI23" s="272"/>
      <c r="JJ23" s="272"/>
      <c r="JK23" s="272"/>
      <c r="JL23" s="272"/>
      <c r="JM23" s="272"/>
      <c r="JN23" s="272"/>
      <c r="JO23" s="272"/>
      <c r="JP23" s="272"/>
      <c r="JQ23" s="272"/>
      <c r="JR23" s="272"/>
      <c r="JS23" s="272"/>
      <c r="JT23" s="272"/>
      <c r="JU23" s="272"/>
      <c r="JV23" s="272"/>
      <c r="JW23" s="272"/>
      <c r="JX23" s="272"/>
      <c r="JY23" s="272"/>
      <c r="JZ23" s="272"/>
      <c r="KA23" s="272"/>
      <c r="KB23" s="272"/>
      <c r="KC23" s="272"/>
      <c r="KD23" s="272"/>
      <c r="KE23" s="272"/>
      <c r="KF23" s="272"/>
      <c r="KG23" s="272"/>
      <c r="KH23" s="272"/>
      <c r="KI23" s="272"/>
      <c r="KJ23" s="272"/>
      <c r="KK23" s="272"/>
      <c r="KL23" s="272"/>
      <c r="KM23" s="272"/>
      <c r="KN23" s="272"/>
      <c r="KO23" s="272"/>
      <c r="KP23" s="272"/>
      <c r="KQ23" s="272"/>
      <c r="KR23" s="272"/>
      <c r="KS23" s="272"/>
      <c r="KT23" s="272"/>
      <c r="KU23" s="272"/>
      <c r="KV23" s="272"/>
      <c r="KW23" s="272"/>
      <c r="KX23" s="272"/>
      <c r="KY23" s="272"/>
      <c r="KZ23" s="272"/>
      <c r="LA23" s="272"/>
      <c r="LB23" s="272"/>
      <c r="LC23" s="272"/>
      <c r="LD23" s="272"/>
      <c r="LE23" s="272"/>
      <c r="LF23" s="272"/>
      <c r="LG23" s="272"/>
      <c r="LH23" s="272"/>
      <c r="LI23" s="272"/>
      <c r="LJ23" s="272"/>
      <c r="LK23" s="272"/>
      <c r="LL23" s="272"/>
      <c r="LM23" s="272"/>
      <c r="LN23" s="272"/>
      <c r="LO23" s="272"/>
      <c r="LP23" s="272"/>
      <c r="LQ23" s="272"/>
      <c r="LR23" s="272"/>
      <c r="LS23" s="272"/>
      <c r="LT23" s="272"/>
      <c r="LU23" s="272"/>
      <c r="LV23" s="272"/>
      <c r="LW23" s="272"/>
      <c r="LX23" s="272"/>
      <c r="LY23" s="272"/>
      <c r="LZ23" s="272"/>
      <c r="MA23" s="272"/>
      <c r="MB23" s="272"/>
      <c r="MC23" s="272"/>
      <c r="MD23" s="272"/>
      <c r="ME23" s="272"/>
      <c r="MF23" s="272"/>
      <c r="MG23" s="272"/>
      <c r="MH23" s="272"/>
      <c r="MI23" s="272"/>
      <c r="MJ23" s="272"/>
      <c r="MK23" s="272"/>
      <c r="ML23" s="272"/>
      <c r="MM23" s="272"/>
      <c r="MN23" s="272"/>
      <c r="MO23" s="272"/>
      <c r="MP23" s="272"/>
      <c r="MQ23" s="272"/>
      <c r="MR23" s="272"/>
      <c r="MS23" s="272"/>
      <c r="MT23" s="272"/>
      <c r="MU23" s="272"/>
      <c r="MV23" s="272"/>
      <c r="MW23" s="272"/>
      <c r="MX23" s="272"/>
      <c r="MY23" s="272"/>
      <c r="MZ23" s="272"/>
      <c r="NA23" s="272"/>
      <c r="NB23" s="272"/>
      <c r="NC23" s="272"/>
      <c r="ND23" s="272"/>
      <c r="NE23" s="272"/>
      <c r="NF23" s="272"/>
      <c r="NG23" s="272"/>
      <c r="NH23" s="272"/>
      <c r="NI23" s="272"/>
      <c r="NJ23" s="272"/>
      <c r="NK23" s="272"/>
      <c r="NL23" s="272"/>
      <c r="NM23" s="272"/>
      <c r="NN23" s="272"/>
      <c r="NO23" s="272"/>
      <c r="NP23" s="272"/>
      <c r="NQ23" s="272"/>
      <c r="NR23" s="272"/>
      <c r="NS23" s="272"/>
      <c r="NT23" s="272"/>
      <c r="NU23" s="272"/>
      <c r="NV23" s="272"/>
      <c r="NW23" s="272"/>
      <c r="NX23" s="272"/>
      <c r="NY23" s="272"/>
      <c r="NZ23" s="272"/>
      <c r="OA23" s="272"/>
      <c r="OB23" s="272"/>
      <c r="OC23" s="272"/>
      <c r="OD23" s="272"/>
      <c r="OE23" s="272"/>
      <c r="OF23" s="272"/>
      <c r="OG23" s="272"/>
      <c r="OH23" s="272"/>
      <c r="OI23" s="272"/>
      <c r="OJ23" s="272"/>
      <c r="OK23" s="272"/>
      <c r="OL23" s="272"/>
      <c r="OM23" s="272"/>
      <c r="ON23" s="272"/>
      <c r="OO23" s="272"/>
      <c r="OP23" s="272"/>
      <c r="OQ23" s="272"/>
      <c r="OR23" s="272"/>
      <c r="OS23" s="272"/>
      <c r="OT23" s="272"/>
      <c r="OU23" s="272"/>
      <c r="OV23" s="272"/>
      <c r="OW23" s="272"/>
      <c r="OX23" s="272"/>
      <c r="OY23" s="272"/>
      <c r="OZ23" s="272"/>
      <c r="PA23" s="272"/>
      <c r="PB23" s="272"/>
      <c r="PC23" s="272"/>
      <c r="PD23" s="272"/>
      <c r="PE23" s="272"/>
      <c r="PF23" s="272"/>
      <c r="PG23" s="272"/>
    </row>
    <row r="24" spans="1:423" ht="15" thickBot="1">
      <c r="L24" s="3482" t="s">
        <v>7013</v>
      </c>
      <c r="M24" s="3202"/>
      <c r="N24" s="3202"/>
      <c r="O24" s="3202"/>
      <c r="P24" s="3202"/>
      <c r="Q24" s="3202"/>
      <c r="R24" s="3202"/>
      <c r="S24" s="3202"/>
      <c r="T24" s="3202"/>
      <c r="U24" s="3202"/>
      <c r="V24" s="3202"/>
      <c r="W24" s="3202"/>
      <c r="X24" s="3240"/>
      <c r="Y24" s="3482" t="s">
        <v>7014</v>
      </c>
      <c r="Z24" s="3202"/>
      <c r="AA24" s="3202"/>
      <c r="AB24" s="3202"/>
      <c r="AC24" s="3202"/>
      <c r="AD24" s="3202"/>
      <c r="AE24" s="3203"/>
      <c r="AF24" s="918"/>
      <c r="AG24" s="273"/>
      <c r="AI24" s="1075" t="s">
        <v>7015</v>
      </c>
      <c r="AJ24" s="1076"/>
      <c r="AK24" s="1076"/>
      <c r="AL24" s="1076"/>
      <c r="AM24" s="1076"/>
      <c r="AN24" s="1076"/>
      <c r="AO24" s="1076"/>
      <c r="AP24" s="1076"/>
      <c r="AQ24" s="1076"/>
      <c r="AR24" s="1076"/>
      <c r="AS24" s="1076"/>
      <c r="AT24" s="1076"/>
      <c r="AU24" s="1076"/>
      <c r="AV24" s="1076"/>
      <c r="AW24" s="1076"/>
      <c r="AX24" s="1076"/>
      <c r="AY24" s="1076"/>
      <c r="AZ24" s="1076"/>
      <c r="BA24" s="1076"/>
      <c r="BB24" s="1076"/>
      <c r="BC24" s="1076"/>
      <c r="BD24" s="1076"/>
      <c r="BE24" s="1076"/>
      <c r="BF24" s="1076"/>
      <c r="BG24" s="1076"/>
      <c r="BH24" s="1076"/>
      <c r="BI24" s="1076"/>
      <c r="BJ24" s="1076"/>
      <c r="BK24" s="1076"/>
      <c r="BL24" s="1076"/>
      <c r="BM24" s="1076"/>
      <c r="BN24" s="1076"/>
      <c r="BO24" s="1076"/>
      <c r="BP24" s="1076"/>
      <c r="BQ24" s="1076"/>
      <c r="BR24" s="1076"/>
      <c r="BS24" s="1076"/>
      <c r="BT24" s="1076"/>
      <c r="BU24" s="1077"/>
      <c r="BV24" s="1078"/>
      <c r="BW24" s="591"/>
      <c r="BX24" s="592"/>
    </row>
    <row r="25" spans="1:423" ht="15" thickBot="1">
      <c r="B25" s="1079" t="s">
        <v>7016</v>
      </c>
      <c r="C25" s="3469"/>
      <c r="D25" s="3470"/>
      <c r="E25" s="3470"/>
      <c r="F25" s="3470"/>
      <c r="G25" s="3470"/>
      <c r="H25" s="3470"/>
      <c r="I25" s="3470"/>
      <c r="J25" s="1080"/>
      <c r="L25" s="502">
        <v>1</v>
      </c>
      <c r="M25" s="749">
        <v>2</v>
      </c>
      <c r="N25" s="749">
        <v>3</v>
      </c>
      <c r="O25" s="749">
        <v>4</v>
      </c>
      <c r="P25" s="749">
        <v>5</v>
      </c>
      <c r="Q25" s="749">
        <v>6</v>
      </c>
      <c r="R25" s="749">
        <v>7</v>
      </c>
      <c r="S25" s="749">
        <v>8</v>
      </c>
      <c r="T25" s="749">
        <v>9</v>
      </c>
      <c r="U25" s="749">
        <v>10</v>
      </c>
      <c r="V25" s="749">
        <v>11</v>
      </c>
      <c r="W25" s="749">
        <v>12</v>
      </c>
      <c r="X25" s="1081">
        <v>13</v>
      </c>
      <c r="Y25" s="502">
        <v>3</v>
      </c>
      <c r="Z25" s="749">
        <v>4</v>
      </c>
      <c r="AA25" s="749">
        <v>16</v>
      </c>
      <c r="AB25" s="749">
        <v>19</v>
      </c>
      <c r="AC25" s="749">
        <v>20</v>
      </c>
      <c r="AD25" s="749">
        <v>23</v>
      </c>
      <c r="AE25" s="1082">
        <v>24</v>
      </c>
      <c r="AG25" s="1083"/>
      <c r="AH25" s="3471" t="s">
        <v>7017</v>
      </c>
      <c r="AI25" s="3472" t="s">
        <v>6939</v>
      </c>
      <c r="AJ25" s="1084" t="s">
        <v>7018</v>
      </c>
      <c r="AK25" s="1085"/>
      <c r="AL25" s="1085"/>
      <c r="AM25" s="1085"/>
      <c r="AN25" s="1085"/>
      <c r="AO25" s="1085"/>
      <c r="AP25" s="1085"/>
      <c r="AQ25" s="1085"/>
      <c r="AR25" s="1085"/>
      <c r="AS25" s="1085"/>
      <c r="AT25" s="1085"/>
      <c r="AU25" s="1084" t="s">
        <v>7019</v>
      </c>
      <c r="AV25" s="1086"/>
      <c r="AW25" s="1085"/>
      <c r="AX25" s="1085"/>
      <c r="AY25" s="1087" t="s">
        <v>7020</v>
      </c>
      <c r="AZ25" s="1088"/>
      <c r="BA25" s="1088"/>
      <c r="BB25" s="1088"/>
      <c r="BC25" s="1088"/>
      <c r="BD25" s="1088"/>
      <c r="BE25" s="1088"/>
      <c r="BF25" s="1088"/>
      <c r="BG25" s="1088"/>
      <c r="BH25" s="1088"/>
      <c r="BI25" s="1088"/>
      <c r="BJ25" s="1088"/>
      <c r="BK25" s="1088"/>
      <c r="BL25" s="1088"/>
      <c r="BM25" s="1088"/>
      <c r="BN25" s="1088"/>
      <c r="BO25" s="1088"/>
      <c r="BP25" s="1089"/>
      <c r="BQ25" s="1090" t="s">
        <v>7021</v>
      </c>
      <c r="BR25" s="1085"/>
      <c r="BS25" s="1085"/>
      <c r="BT25" s="1085"/>
      <c r="BU25" s="1091"/>
      <c r="BW25" s="498"/>
      <c r="BX25" s="498"/>
    </row>
    <row r="26" spans="1:423" ht="12" customHeight="1" thickBot="1">
      <c r="B26" s="1092" t="s">
        <v>7022</v>
      </c>
      <c r="C26" s="1093" t="s">
        <v>7023</v>
      </c>
      <c r="D26" s="1093" t="s">
        <v>7024</v>
      </c>
      <c r="E26" s="1093" t="s">
        <v>1960</v>
      </c>
      <c r="F26" s="316" t="s">
        <v>7025</v>
      </c>
      <c r="G26" s="316" t="s">
        <v>7026</v>
      </c>
      <c r="H26" s="316" t="s">
        <v>7027</v>
      </c>
      <c r="I26" s="1094" t="s">
        <v>6070</v>
      </c>
      <c r="J26" s="740" t="s">
        <v>7028</v>
      </c>
      <c r="K26" s="1095"/>
      <c r="L26" s="1096" t="s">
        <v>6007</v>
      </c>
      <c r="M26" s="1096" t="s">
        <v>6010</v>
      </c>
      <c r="N26" s="1096" t="s">
        <v>6013</v>
      </c>
      <c r="O26" s="1097" t="s">
        <v>1002</v>
      </c>
      <c r="P26" s="1098" t="s">
        <v>6018</v>
      </c>
      <c r="Q26" s="1096" t="s">
        <v>6020</v>
      </c>
      <c r="R26" s="1096" t="s">
        <v>4928</v>
      </c>
      <c r="S26" s="1096" t="s">
        <v>6025</v>
      </c>
      <c r="T26" s="1096" t="s">
        <v>6028</v>
      </c>
      <c r="U26" s="1096" t="s">
        <v>6031</v>
      </c>
      <c r="V26" s="1096" t="s">
        <v>6033</v>
      </c>
      <c r="W26" s="1096" t="s">
        <v>6034</v>
      </c>
      <c r="X26" s="1099" t="s">
        <v>6035</v>
      </c>
      <c r="Y26" s="1098" t="s">
        <v>7029</v>
      </c>
      <c r="Z26" s="1096" t="s">
        <v>7030</v>
      </c>
      <c r="AA26" s="1096" t="s">
        <v>7031</v>
      </c>
      <c r="AB26" s="1096" t="s">
        <v>7032</v>
      </c>
      <c r="AC26" s="1096" t="s">
        <v>7033</v>
      </c>
      <c r="AD26" s="1096" t="s">
        <v>7034</v>
      </c>
      <c r="AE26" s="1097" t="s">
        <v>7035</v>
      </c>
      <c r="AF26" s="1083"/>
      <c r="AH26" s="3375"/>
      <c r="AI26" s="2865"/>
      <c r="AJ26" s="1100">
        <v>1</v>
      </c>
      <c r="AK26" s="1100">
        <v>2</v>
      </c>
      <c r="AL26" s="1100">
        <v>3</v>
      </c>
      <c r="AM26" s="1100">
        <v>4</v>
      </c>
      <c r="AN26" s="1100">
        <v>5</v>
      </c>
      <c r="AO26" s="1100">
        <v>6</v>
      </c>
      <c r="AP26" s="1100">
        <v>7</v>
      </c>
      <c r="AQ26" s="1100">
        <v>8</v>
      </c>
      <c r="AR26" s="1100">
        <v>9</v>
      </c>
      <c r="AS26" s="1100">
        <v>10</v>
      </c>
      <c r="AT26" s="1100">
        <v>11</v>
      </c>
      <c r="AU26" s="1100">
        <v>12</v>
      </c>
      <c r="AV26" s="1100">
        <v>13</v>
      </c>
      <c r="AW26" s="1100">
        <v>14</v>
      </c>
      <c r="AX26" s="1100">
        <v>15</v>
      </c>
      <c r="AY26" s="1100">
        <v>16</v>
      </c>
      <c r="AZ26" s="1100">
        <v>17</v>
      </c>
      <c r="BA26" s="1100">
        <v>18</v>
      </c>
      <c r="BB26" s="1100">
        <v>19</v>
      </c>
      <c r="BC26" s="1100">
        <v>20</v>
      </c>
      <c r="BD26" s="1100">
        <v>21</v>
      </c>
      <c r="BE26" s="1100">
        <v>22</v>
      </c>
      <c r="BF26" s="1100">
        <v>23</v>
      </c>
      <c r="BG26" s="1100">
        <v>24</v>
      </c>
      <c r="BH26" s="1100">
        <v>25</v>
      </c>
      <c r="BI26" s="1100">
        <v>26</v>
      </c>
      <c r="BJ26" s="1100">
        <v>27</v>
      </c>
      <c r="BK26" s="1100">
        <v>28</v>
      </c>
      <c r="BL26" s="1100">
        <v>29</v>
      </c>
      <c r="BM26" s="1100">
        <v>30</v>
      </c>
      <c r="BN26" s="1100">
        <v>31</v>
      </c>
      <c r="BO26" s="1100">
        <v>32</v>
      </c>
      <c r="BP26" s="1100">
        <v>33</v>
      </c>
      <c r="BQ26" s="1100">
        <v>34</v>
      </c>
      <c r="BR26" s="1100">
        <v>35</v>
      </c>
      <c r="BS26" s="1100">
        <v>36</v>
      </c>
      <c r="BT26" s="1100">
        <v>37</v>
      </c>
      <c r="BU26" s="1100">
        <v>38</v>
      </c>
    </row>
    <row r="27" spans="1:423" ht="12" customHeight="1" thickBot="1">
      <c r="A27" s="1101">
        <v>1</v>
      </c>
      <c r="B27" s="1102" t="s">
        <v>6943</v>
      </c>
      <c r="C27" s="1103">
        <f>[1]ABILITIES!R25</f>
        <v>3</v>
      </c>
      <c r="D27" s="1104" t="str">
        <f ca="1">IF(COUNTIF($R$64:$R$67,B3)=1,[1]CLASS!$W$44,"")</f>
        <v/>
      </c>
      <c r="E27" s="1104" t="str">
        <f>IF(COUNTIF($R$62:$R$63,B3)=1,[1]CLASS!$W$44,"")</f>
        <v/>
      </c>
      <c r="F27" s="1104" t="str">
        <f>IF(COUNTIF($R$60:$R$61,B3)=1,[1]CLASS!$W$44,"")</f>
        <v/>
      </c>
      <c r="G27" s="1105">
        <f ca="1">IF((SUM(D27:F27 ))&lt;&gt;0,[1]MATH!$C$46,0)</f>
        <v>0</v>
      </c>
      <c r="H27" s="489"/>
      <c r="I27" s="1106">
        <f ca="1">SUM(C27+G27)</f>
        <v>3</v>
      </c>
      <c r="J27" s="1107" t="s">
        <v>1973</v>
      </c>
      <c r="K27" s="1108" t="s">
        <v>7036</v>
      </c>
      <c r="L27" s="1109">
        <v>5</v>
      </c>
      <c r="M27" s="1109">
        <v>8</v>
      </c>
      <c r="N27" s="1109">
        <v>11</v>
      </c>
      <c r="O27" s="1110">
        <v>6</v>
      </c>
      <c r="P27" s="738">
        <v>6</v>
      </c>
      <c r="Q27" s="1109">
        <v>18</v>
      </c>
      <c r="R27" s="1109">
        <v>8</v>
      </c>
      <c r="S27" s="1109">
        <v>6</v>
      </c>
      <c r="T27" s="1109">
        <v>6</v>
      </c>
      <c r="U27" s="1109">
        <v>8</v>
      </c>
      <c r="V27" s="1109">
        <v>6</v>
      </c>
      <c r="W27" s="1109">
        <v>7</v>
      </c>
      <c r="X27" s="1111">
        <v>7</v>
      </c>
      <c r="Y27" s="1112">
        <v>1</v>
      </c>
      <c r="Z27" s="1107">
        <v>1</v>
      </c>
      <c r="AA27" s="1107">
        <v>1</v>
      </c>
      <c r="AB27" s="1107">
        <v>18</v>
      </c>
      <c r="AC27" s="1107">
        <v>1</v>
      </c>
      <c r="AD27" s="1107">
        <v>1</v>
      </c>
      <c r="AE27" s="1107">
        <v>1</v>
      </c>
      <c r="AG27" s="543"/>
      <c r="AH27" s="3319"/>
      <c r="AI27" s="2933"/>
      <c r="AJ27" s="1113" t="s">
        <v>4301</v>
      </c>
      <c r="AK27" s="748" t="s">
        <v>4005</v>
      </c>
      <c r="AL27" s="748" t="s">
        <v>2420</v>
      </c>
      <c r="AM27" s="748" t="s">
        <v>7037</v>
      </c>
      <c r="AN27" s="748" t="s">
        <v>3719</v>
      </c>
      <c r="AO27" s="748" t="s">
        <v>7038</v>
      </c>
      <c r="AP27" s="748" t="s">
        <v>2597</v>
      </c>
      <c r="AQ27" s="748" t="s">
        <v>4922</v>
      </c>
      <c r="AR27" s="748" t="s">
        <v>2401</v>
      </c>
      <c r="AS27" s="748" t="s">
        <v>2402</v>
      </c>
      <c r="AT27" s="1114" t="s">
        <v>7039</v>
      </c>
      <c r="AU27" s="1113" t="s">
        <v>7040</v>
      </c>
      <c r="AV27" s="1115" t="s">
        <v>7041</v>
      </c>
      <c r="AW27" s="748" t="s">
        <v>3228</v>
      </c>
      <c r="AX27" s="1114" t="s">
        <v>4099</v>
      </c>
      <c r="AY27" s="1113" t="s">
        <v>4793</v>
      </c>
      <c r="AZ27" s="748" t="s">
        <v>7042</v>
      </c>
      <c r="BA27" s="748" t="s">
        <v>3733</v>
      </c>
      <c r="BB27" s="748" t="s">
        <v>3722</v>
      </c>
      <c r="BC27" s="748" t="s">
        <v>3143</v>
      </c>
      <c r="BD27" s="748" t="s">
        <v>7043</v>
      </c>
      <c r="BE27" s="748" t="s">
        <v>7044</v>
      </c>
      <c r="BF27" s="748" t="s">
        <v>2727</v>
      </c>
      <c r="BG27" s="748" t="s">
        <v>7045</v>
      </c>
      <c r="BH27" s="748" t="s">
        <v>3745</v>
      </c>
      <c r="BI27" s="748" t="s">
        <v>2355</v>
      </c>
      <c r="BJ27" s="748" t="s">
        <v>3784</v>
      </c>
      <c r="BK27" s="748" t="s">
        <v>4411</v>
      </c>
      <c r="BL27" s="748" t="s">
        <v>2898</v>
      </c>
      <c r="BM27" s="748" t="s">
        <v>2360</v>
      </c>
      <c r="BN27" s="748" t="s">
        <v>2634</v>
      </c>
      <c r="BO27" s="748" t="s">
        <v>5420</v>
      </c>
      <c r="BP27" s="1114" t="s">
        <v>5395</v>
      </c>
      <c r="BQ27" s="1113" t="s">
        <v>7046</v>
      </c>
      <c r="BR27" s="748" t="s">
        <v>7047</v>
      </c>
      <c r="BS27" s="748" t="s">
        <v>7048</v>
      </c>
      <c r="BT27" s="748" t="s">
        <v>2724</v>
      </c>
      <c r="BU27" s="1116" t="s">
        <v>2397</v>
      </c>
    </row>
    <row r="28" spans="1:423" ht="11.25" thickBot="1">
      <c r="A28" s="659">
        <v>2</v>
      </c>
      <c r="B28" s="1117" t="s">
        <v>6945</v>
      </c>
      <c r="C28" s="1118">
        <f>[1]ABILITIES!R28</f>
        <v>0</v>
      </c>
      <c r="D28" s="1119" t="str">
        <f ca="1">IF(COUNTIF($R$64:$R$67,B4)=1,[1]CLASS!$W$44,"")</f>
        <v/>
      </c>
      <c r="E28" s="1119" t="str">
        <f>IF(COUNTIF($R$62:$R$63,B4)=1,[1]CLASS!$W$44,"")</f>
        <v/>
      </c>
      <c r="F28" s="1119" t="str">
        <f>IF(COUNTIF($R$60:$R$61,B4)=1,[1]CLASS!$W$44,"")</f>
        <v/>
      </c>
      <c r="G28" s="1120">
        <f ca="1">IF((SUM(D28:F28 ))&lt;&gt;0,[1]MATH!$C$46,0)</f>
        <v>0</v>
      </c>
      <c r="H28" s="1121"/>
      <c r="I28" s="1106">
        <f t="shared" ref="I28:I44" ca="1" si="27">SUM(C28+G28)</f>
        <v>0</v>
      </c>
      <c r="J28" s="772" t="s">
        <v>1976</v>
      </c>
      <c r="K28" s="1122" t="s">
        <v>7049</v>
      </c>
      <c r="L28" s="1123">
        <v>2</v>
      </c>
      <c r="M28" s="1123">
        <v>2</v>
      </c>
      <c r="N28" s="1123">
        <v>4</v>
      </c>
      <c r="O28" s="1124">
        <v>2</v>
      </c>
      <c r="P28" s="1123">
        <v>2</v>
      </c>
      <c r="Q28" s="1123">
        <v>3</v>
      </c>
      <c r="R28" s="1123">
        <v>2</v>
      </c>
      <c r="S28" s="1123">
        <v>2</v>
      </c>
      <c r="T28" s="1123">
        <v>2</v>
      </c>
      <c r="U28" s="1123">
        <v>3</v>
      </c>
      <c r="V28" s="1123">
        <v>2</v>
      </c>
      <c r="W28" s="1123">
        <v>2</v>
      </c>
      <c r="X28" s="1125">
        <v>2</v>
      </c>
      <c r="Y28" s="1126">
        <v>1</v>
      </c>
      <c r="Z28" s="1127">
        <v>1</v>
      </c>
      <c r="AA28" s="1127">
        <v>1</v>
      </c>
      <c r="AB28" s="1127">
        <v>2</v>
      </c>
      <c r="AC28" s="1127">
        <v>1</v>
      </c>
      <c r="AD28" s="1127">
        <v>1</v>
      </c>
      <c r="AE28" s="1127">
        <v>1</v>
      </c>
      <c r="AF28" s="543"/>
      <c r="AG28" s="543"/>
      <c r="AH28" s="578">
        <v>1</v>
      </c>
      <c r="AI28" s="576" t="s">
        <v>7050</v>
      </c>
      <c r="AJ28" s="1128"/>
      <c r="AK28" s="909"/>
      <c r="AL28" s="909"/>
      <c r="AM28" s="909">
        <v>2</v>
      </c>
      <c r="AN28" s="909"/>
      <c r="AO28" s="909">
        <v>2</v>
      </c>
      <c r="AP28" s="909"/>
      <c r="AQ28" s="909"/>
      <c r="AR28" s="909"/>
      <c r="AS28" s="909"/>
      <c r="AT28" s="370"/>
      <c r="AU28" s="1128"/>
      <c r="AV28" s="1129"/>
      <c r="AW28" s="909"/>
      <c r="AX28" s="370"/>
      <c r="AY28" s="1128">
        <v>2</v>
      </c>
      <c r="AZ28" s="909"/>
      <c r="BA28" s="909"/>
      <c r="BB28" s="909"/>
      <c r="BC28" s="909"/>
      <c r="BD28" s="909"/>
      <c r="BE28" s="909"/>
      <c r="BF28" s="909"/>
      <c r="BG28" s="909"/>
      <c r="BH28" s="909"/>
      <c r="BI28" s="909"/>
      <c r="BJ28" s="909"/>
      <c r="BK28" s="909"/>
      <c r="BL28" s="909"/>
      <c r="BM28" s="909"/>
      <c r="BN28" s="909"/>
      <c r="BO28" s="909">
        <v>2</v>
      </c>
      <c r="BP28" s="370"/>
      <c r="BQ28" s="1128"/>
      <c r="BR28" s="909"/>
      <c r="BS28" s="909"/>
      <c r="BT28" s="909"/>
      <c r="BU28" s="1130"/>
    </row>
    <row r="29" spans="1:423">
      <c r="A29" s="659">
        <v>3</v>
      </c>
      <c r="B29" s="1117" t="s">
        <v>6310</v>
      </c>
      <c r="C29" s="1118">
        <f>[1]ABILITIES!R27</f>
        <v>4</v>
      </c>
      <c r="D29" s="1119" t="str">
        <f ca="1">IF(COUNTIF($R$64:$R$67,B5)=1,[1]CLASS!$W$44,"")</f>
        <v/>
      </c>
      <c r="E29" s="1119" t="str">
        <f>IF(COUNTIF($R$62:$R$63,B5)=1,[1]CLASS!$W$44,"")</f>
        <v/>
      </c>
      <c r="F29" s="1119" t="str">
        <f>IF(COUNTIF($R$60:$R$61,B5)=1,[1]CLASS!$W$44,"")</f>
        <v/>
      </c>
      <c r="G29" s="1120">
        <f ca="1">IF((SUM(D29:F29 ))&lt;&gt;0,[1]MATH!$C$46,0)</f>
        <v>0</v>
      </c>
      <c r="H29" s="1121"/>
      <c r="I29" s="1106">
        <f t="shared" ca="1" si="27"/>
        <v>4</v>
      </c>
      <c r="J29" s="772" t="s">
        <v>1975</v>
      </c>
      <c r="K29" s="548">
        <v>1</v>
      </c>
      <c r="L29" s="1131">
        <f ca="1">VLOOKUP(1,$Q$3:$R$7,2,0)</f>
        <v>14</v>
      </c>
      <c r="M29" s="1132">
        <f ca="1">VLOOKUP(1,$Y$3:$Z$10,2,0)</f>
        <v>6</v>
      </c>
      <c r="N29" s="1132">
        <f ca="1">VLOOKUP(ROWS(A$1:A1),$AO$3:$AP$13,2,0)</f>
        <v>7</v>
      </c>
      <c r="O29" s="1132">
        <f ca="1">VLOOKUP(ROWS(A$1:A1),$BA$3:$BB$8,2,0)</f>
        <v>9</v>
      </c>
      <c r="P29" s="1132">
        <f ca="1">VLOOKUP(ROWS(A$1:A1),$I$3:$J$8,2,0)</f>
        <v>11</v>
      </c>
      <c r="Q29" s="1132">
        <f ca="1">VLOOKUP(ROWS(A$1:A1),$M$3:$N$20,2,0)</f>
        <v>18</v>
      </c>
      <c r="R29" s="1132">
        <f ca="1">VLOOKUP(ROWS(A$1:A1),$U$3:$V$10,2,0)</f>
        <v>10</v>
      </c>
      <c r="S29" s="1132">
        <f ca="1">VLOOKUP(ROWS(A$1:A1),$AC$3:$AD$8,2,0)</f>
        <v>7</v>
      </c>
      <c r="T29" s="1132">
        <f ca="1">VLOOKUP(ROWS(A$1:A1),$AG$3:$AH$8,2,0)</f>
        <v>10</v>
      </c>
      <c r="U29" s="1132">
        <f ca="1">VLOOKUP(ROWS(A$1:A1),$AK$3:$AL$10,2,0)</f>
        <v>9</v>
      </c>
      <c r="V29" s="1132">
        <f ca="1">VLOOKUP(ROWS(A$1:A1),$AS$3:$AT$8,2,0)</f>
        <v>8</v>
      </c>
      <c r="W29" s="1132">
        <f ca="1">VLOOKUP(ROWS(A$1:A1),$AW$3:$AX$9,2,0)</f>
        <v>8</v>
      </c>
      <c r="X29" s="1133">
        <f ca="1">VLOOKUP(ROWS(B$1:B1),$AW$3:$AX$9,2,0)</f>
        <v>8</v>
      </c>
      <c r="Y29" s="587">
        <v>12</v>
      </c>
      <c r="Z29" s="329">
        <v>12</v>
      </c>
      <c r="AA29" s="1134">
        <f ca="1">VLOOKUP(ROWS(A$1:A1),$M$3:$N$20,2,0)</f>
        <v>18</v>
      </c>
      <c r="AB29" s="1134">
        <f ca="1">VLOOKUP(ROWS(A$1:A1),$E$3:$F$20,2,0)</f>
        <v>18</v>
      </c>
      <c r="AC29" s="329">
        <v>8</v>
      </c>
      <c r="AD29" s="329">
        <v>12</v>
      </c>
      <c r="AE29" s="877">
        <v>12</v>
      </c>
      <c r="AG29" s="543"/>
      <c r="AH29" s="578">
        <v>2</v>
      </c>
      <c r="AI29" s="355" t="s">
        <v>7051</v>
      </c>
      <c r="AJ29" s="1128"/>
      <c r="AK29" s="909"/>
      <c r="AL29" s="909"/>
      <c r="AM29" s="909">
        <v>2</v>
      </c>
      <c r="AN29" s="909"/>
      <c r="AO29" s="909">
        <v>2</v>
      </c>
      <c r="AP29" s="909"/>
      <c r="AQ29" s="909"/>
      <c r="AR29" s="909"/>
      <c r="AS29" s="909"/>
      <c r="AT29" s="370"/>
      <c r="AU29" s="1128"/>
      <c r="AV29" s="1129"/>
      <c r="AW29" s="909"/>
      <c r="AX29" s="370"/>
      <c r="AY29" s="1128">
        <v>2</v>
      </c>
      <c r="AZ29" s="909"/>
      <c r="BA29" s="909"/>
      <c r="BB29" s="909"/>
      <c r="BC29" s="909"/>
      <c r="BD29" s="909"/>
      <c r="BE29" s="909"/>
      <c r="BF29" s="909"/>
      <c r="BG29" s="909"/>
      <c r="BH29" s="909"/>
      <c r="BI29" s="909"/>
      <c r="BJ29" s="909"/>
      <c r="BK29" s="909"/>
      <c r="BL29" s="909"/>
      <c r="BM29" s="909"/>
      <c r="BN29" s="909"/>
      <c r="BO29" s="909">
        <v>2</v>
      </c>
      <c r="BP29" s="370"/>
      <c r="BQ29" s="1128"/>
      <c r="BR29" s="909"/>
      <c r="BS29" s="909"/>
      <c r="BT29" s="909"/>
      <c r="BU29" s="1130"/>
    </row>
    <row r="30" spans="1:423">
      <c r="A30" s="659">
        <v>4</v>
      </c>
      <c r="B30" s="1117" t="s">
        <v>6948</v>
      </c>
      <c r="C30" s="1118">
        <f>[1]ABILITIES!R24</f>
        <v>1</v>
      </c>
      <c r="D30" s="1119" t="str">
        <f ca="1">IF(COUNTIF($R$64:$R$67,B6)=1,[1]CLASS!$W$44,"")</f>
        <v/>
      </c>
      <c r="E30" s="1119" t="str">
        <f>IF(COUNTIF($R$62:$R$63,B6)=1,[1]CLASS!$W$44,"")</f>
        <v/>
      </c>
      <c r="F30" s="1119">
        <f>IF(COUNTIF($R$60:$R$61,B6)=1,[1]CLASS!$W$44,"")</f>
        <v>3</v>
      </c>
      <c r="G30" s="1120">
        <f ca="1">IF((SUM(D30:F30 ))&lt;&gt;0,[1]MATH!$C$46,0)</f>
        <v>3</v>
      </c>
      <c r="H30" s="1121"/>
      <c r="I30" s="1106">
        <f t="shared" ca="1" si="27"/>
        <v>4</v>
      </c>
      <c r="J30" s="772" t="s">
        <v>1972</v>
      </c>
      <c r="K30" s="1135">
        <v>2</v>
      </c>
      <c r="L30" s="1136">
        <f ca="1">VLOOKUP(2,$Q$3:$R$7,2,0)</f>
        <v>15</v>
      </c>
      <c r="M30" s="1137">
        <f ca="1">VLOOKUP(2,$Y$3:$Z$10,2,0)</f>
        <v>8</v>
      </c>
      <c r="N30" s="1137">
        <f ca="1">VLOOKUP(ROWS(A$1:A2),$AO$3:$AP$13,2,0)</f>
        <v>9</v>
      </c>
      <c r="O30" s="1137">
        <f ca="1">VLOOKUP(ROWS(A$1:A2),$BA$3:$BB$8,2,0)</f>
        <v>15</v>
      </c>
      <c r="P30" s="1137">
        <f ca="1">VLOOKUP(ROWS(A$1:A2),$I$3:$J$8,2,0)</f>
        <v>18</v>
      </c>
      <c r="Q30" s="1137">
        <f ca="1">VLOOKUP(ROWS(A$1:A2),$M$3:$N$20,2,0)</f>
        <v>9</v>
      </c>
      <c r="R30" s="1137">
        <f ca="1">VLOOKUP(ROWS(A$1:A2),$U$3:$V$10,2,0)</f>
        <v>12</v>
      </c>
      <c r="S30" s="1137">
        <f ca="1">VLOOKUP(ROWS(A$1:A2),$AC$3:$AD$8,2,0)</f>
        <v>17</v>
      </c>
      <c r="T30" s="1137">
        <f ca="1">VLOOKUP(ROWS(A$1:A2),$AG$3:$AH$8,2,0)</f>
        <v>15</v>
      </c>
      <c r="U30" s="1137">
        <f ca="1">VLOOKUP(ROWS(A$1:A2),$AK$3:$AL$10,2,0)</f>
        <v>12</v>
      </c>
      <c r="V30" s="1137">
        <f ca="1">VLOOKUP(ROWS(A$1:A2),$AS$3:$AT$8,2,0)</f>
        <v>15</v>
      </c>
      <c r="W30" s="1137">
        <f ca="1">VLOOKUP(ROWS(A$1:A2),$AW$3:$AX$9,2,0)</f>
        <v>11</v>
      </c>
      <c r="X30" s="1138">
        <f ca="1">VLOOKUP(ROWS(B$1:B2),$AW$3:$AX$9,2,0)</f>
        <v>11</v>
      </c>
      <c r="Y30" s="1139">
        <v>12</v>
      </c>
      <c r="Z30" s="1140">
        <v>12</v>
      </c>
      <c r="AA30" s="1141">
        <f ca="1">VLOOKUP(ROWS(A$1:A2),$M$3:$N$20,2,0)</f>
        <v>9</v>
      </c>
      <c r="AB30" s="352">
        <f ca="1">VLOOKUP(ROWS(A$1:A2),$E$3:$F$20,2,0)</f>
        <v>9</v>
      </c>
      <c r="AC30" s="1141">
        <v>8</v>
      </c>
      <c r="AD30" s="1140">
        <v>12</v>
      </c>
      <c r="AE30" s="1142">
        <v>12</v>
      </c>
      <c r="AF30" s="543"/>
      <c r="AG30" s="543"/>
      <c r="AH30" s="578">
        <v>3</v>
      </c>
      <c r="AI30" s="355" t="s">
        <v>7029</v>
      </c>
      <c r="AJ30" s="1143"/>
      <c r="AK30" s="1144"/>
      <c r="AL30" s="1144"/>
      <c r="AM30" s="1144"/>
      <c r="AN30" s="1144"/>
      <c r="AO30" s="1144"/>
      <c r="AP30" s="1144"/>
      <c r="AQ30" s="1144"/>
      <c r="AR30" s="1144"/>
      <c r="AS30" s="1144"/>
      <c r="AT30" s="1145"/>
      <c r="AU30" s="1143"/>
      <c r="AV30" s="1146"/>
      <c r="AW30" s="1144">
        <v>2</v>
      </c>
      <c r="AX30" s="1145"/>
      <c r="AY30" s="1143"/>
      <c r="AZ30" s="1144"/>
      <c r="BA30" s="1144"/>
      <c r="BB30" s="1144"/>
      <c r="BC30" s="1144"/>
      <c r="BD30" s="1144"/>
      <c r="BE30" s="1144"/>
      <c r="BF30" s="1144">
        <v>2</v>
      </c>
      <c r="BG30" s="1144"/>
      <c r="BH30" s="1144"/>
      <c r="BI30" s="1144"/>
      <c r="BJ30" s="1144"/>
      <c r="BK30" s="1144"/>
      <c r="BL30" s="1144">
        <v>2</v>
      </c>
      <c r="BM30" s="1144"/>
      <c r="BN30" s="1144"/>
      <c r="BO30" s="1144"/>
      <c r="BP30" s="1145"/>
      <c r="BQ30" s="1143"/>
      <c r="BR30" s="1144"/>
      <c r="BS30" s="1144"/>
      <c r="BT30" s="1144">
        <v>2</v>
      </c>
      <c r="BU30" s="1147"/>
    </row>
    <row r="31" spans="1:423">
      <c r="A31" s="659">
        <v>5</v>
      </c>
      <c r="B31" s="1117" t="s">
        <v>6950</v>
      </c>
      <c r="C31" s="1118">
        <f>[1]ABILITIES!R29</f>
        <v>2</v>
      </c>
      <c r="D31" s="1119" t="str">
        <f ca="1">IF(COUNTIF($R$64:$R$67,B7)=1,[1]CLASS!$W$44,"")</f>
        <v/>
      </c>
      <c r="E31" s="1119" t="str">
        <f>IF(COUNTIF($R$62:$R$63,B7)=1,[1]CLASS!$W$44,"")</f>
        <v/>
      </c>
      <c r="F31" s="1119" t="str">
        <f>IF(COUNTIF($R$60:$R$61,B7)=1,[1]CLASS!$W$44,"")</f>
        <v/>
      </c>
      <c r="G31" s="1120">
        <f ca="1">IF((SUM(D31:F31 ))&lt;&gt;0,[1]MATH!$C$46,0)</f>
        <v>0</v>
      </c>
      <c r="H31" s="1121"/>
      <c r="I31" s="1106">
        <f t="shared" ca="1" si="27"/>
        <v>2</v>
      </c>
      <c r="J31" s="772" t="s">
        <v>1977</v>
      </c>
      <c r="K31" s="1135">
        <v>3</v>
      </c>
      <c r="L31" s="1148">
        <f ca="1">VLOOKUP(3,$Q$3:$R$7,2,0)</f>
        <v>10</v>
      </c>
      <c r="M31" s="1140">
        <f ca="1">VLOOKUP(3,$Y$3:$Z$10,2,0)</f>
        <v>7</v>
      </c>
      <c r="N31" s="1137">
        <f ca="1">VLOOKUP(ROWS(A$1:A3),$AO$3:$AP$13,2,0)</f>
        <v>8</v>
      </c>
      <c r="O31" s="1140">
        <f ca="1">VLOOKUP(ROWS(A$1:A3),$BA$3:$BB$8,2,0)</f>
        <v>10</v>
      </c>
      <c r="P31" s="1140">
        <f ca="1">VLOOKUP(ROWS(A$1:A3),$I$3:$J$8,2,0)</f>
        <v>12</v>
      </c>
      <c r="Q31" s="1137">
        <f ca="1">VLOOKUP(ROWS(A$1:A3),$M$3:$N$20,2,0)</f>
        <v>13</v>
      </c>
      <c r="R31" s="1140">
        <f ca="1">VLOOKUP(ROWS(A$1:A3),$U$3:$V$10,2,0)</f>
        <v>11</v>
      </c>
      <c r="S31" s="1140">
        <f ca="1">VLOOKUP(ROWS(A$1:A3),$AC$3:$AD$8,2,0)</f>
        <v>15</v>
      </c>
      <c r="T31" s="1140">
        <f ca="1">VLOOKUP(ROWS(A$1:A3),$AG$3:$AH$8,2,0)</f>
        <v>14</v>
      </c>
      <c r="U31" s="1137">
        <f ca="1">VLOOKUP(ROWS(A$1:A3),$AK$3:$AL$10,2,0)</f>
        <v>11</v>
      </c>
      <c r="V31" s="1140">
        <f ca="1">VLOOKUP(ROWS(A$1:A3),$AS$3:$AT$8,2,0)</f>
        <v>14</v>
      </c>
      <c r="W31" s="1140">
        <f ca="1">VLOOKUP(ROWS(A$1:A3),$AW$3:$AX$9,2,0)</f>
        <v>9</v>
      </c>
      <c r="X31" s="1149">
        <f ca="1">VLOOKUP(ROWS(B$1:B3),$AW$3:$AX$9,2,0)</f>
        <v>9</v>
      </c>
      <c r="Y31" s="1139">
        <v>12</v>
      </c>
      <c r="Z31" s="1140">
        <v>12</v>
      </c>
      <c r="AA31" s="1141">
        <f ca="1">VLOOKUP(ROWS(A$1:A3),$M$3:$N$20,2,0)</f>
        <v>13</v>
      </c>
      <c r="AB31" s="1141">
        <f ca="1">VLOOKUP(ROWS(A$1:A3),$E$3:$F$20,2,0)</f>
        <v>13</v>
      </c>
      <c r="AC31" s="1141">
        <v>8</v>
      </c>
      <c r="AD31" s="1140">
        <v>12</v>
      </c>
      <c r="AE31" s="1142">
        <v>12</v>
      </c>
      <c r="AF31" s="543"/>
      <c r="AG31" s="543"/>
      <c r="AH31" s="578">
        <v>4</v>
      </c>
      <c r="AI31" s="355" t="s">
        <v>7030</v>
      </c>
      <c r="AJ31" s="1128"/>
      <c r="AK31" s="909"/>
      <c r="AL31" s="909"/>
      <c r="AM31" s="909"/>
      <c r="AN31" s="909"/>
      <c r="AO31" s="909"/>
      <c r="AP31" s="909"/>
      <c r="AQ31" s="909"/>
      <c r="AR31" s="909"/>
      <c r="AS31" s="909"/>
      <c r="AT31" s="370"/>
      <c r="AU31" s="1128"/>
      <c r="AV31" s="1129"/>
      <c r="AW31" s="909">
        <v>2</v>
      </c>
      <c r="AX31" s="370"/>
      <c r="AY31" s="1128"/>
      <c r="AZ31" s="909"/>
      <c r="BA31" s="909"/>
      <c r="BB31" s="909"/>
      <c r="BC31" s="909"/>
      <c r="BD31" s="909"/>
      <c r="BE31" s="909"/>
      <c r="BF31" s="909">
        <v>2</v>
      </c>
      <c r="BG31" s="909"/>
      <c r="BH31" s="909"/>
      <c r="BI31" s="909"/>
      <c r="BJ31" s="909"/>
      <c r="BK31" s="909"/>
      <c r="BL31" s="909">
        <v>2</v>
      </c>
      <c r="BM31" s="909"/>
      <c r="BN31" s="909"/>
      <c r="BO31" s="909"/>
      <c r="BP31" s="370"/>
      <c r="BQ31" s="1128"/>
      <c r="BR31" s="909"/>
      <c r="BS31" s="909"/>
      <c r="BT31" s="909">
        <v>2</v>
      </c>
      <c r="BU31" s="1130"/>
    </row>
    <row r="32" spans="1:423">
      <c r="A32" s="659">
        <v>6</v>
      </c>
      <c r="B32" s="1117" t="s">
        <v>6952</v>
      </c>
      <c r="C32" s="1118">
        <f>[1]ABILITIES!R27</f>
        <v>4</v>
      </c>
      <c r="D32" s="1119" t="str">
        <f ca="1">IF(COUNTIF($R$64:$R$67,B8)=1,[1]CLASS!$W$44,"")</f>
        <v/>
      </c>
      <c r="E32" s="1119" t="str">
        <f>IF(COUNTIF($R$62:$R$63,B8)=1,[1]CLASS!$W$44,"")</f>
        <v/>
      </c>
      <c r="F32" s="1119" t="str">
        <f>IF(COUNTIF($R$60:$R$61,B8)=1,[1]CLASS!$W$44,"")</f>
        <v/>
      </c>
      <c r="G32" s="1120">
        <f ca="1">IF((SUM(D32:F32 ))&lt;&gt;0,[1]MATH!$C$46,0)</f>
        <v>0</v>
      </c>
      <c r="H32" s="1121"/>
      <c r="I32" s="1106">
        <f t="shared" ca="1" si="27"/>
        <v>4</v>
      </c>
      <c r="J32" s="772" t="s">
        <v>1975</v>
      </c>
      <c r="K32" s="1135">
        <v>4</v>
      </c>
      <c r="L32" s="1148">
        <f ca="1">VLOOKUP(4,$Q$3:$R$7,2,0)</f>
        <v>7</v>
      </c>
      <c r="M32" s="1140">
        <f ca="1">VLOOKUP(4,$Y$3:$Z$10,2,0)</f>
        <v>4</v>
      </c>
      <c r="N32" s="1137">
        <f ca="1">VLOOKUP(ROWS(A$1:A4),$AO$3:$AP$13,2,0)</f>
        <v>5</v>
      </c>
      <c r="O32" s="1140">
        <f ca="1">VLOOKUP(ROWS(A$1:A4),$BA$3:$BB$8,2,0)</f>
        <v>7</v>
      </c>
      <c r="P32" s="1140">
        <f ca="1">VLOOKUP(ROWS(A$1:A4),$I$3:$J$8,2,0)</f>
        <v>8</v>
      </c>
      <c r="Q32" s="1140">
        <f ca="1">VLOOKUP(ROWS(A$1:A4),$M$3:$N$20,2,0)</f>
        <v>1</v>
      </c>
      <c r="R32" s="1140">
        <f ca="1">VLOOKUP(ROWS(A$1:A4),$U$3:$V$10,2,0)</f>
        <v>7</v>
      </c>
      <c r="S32" s="1140">
        <f ca="1">VLOOKUP(ROWS(A$1:A4),$AC$3:$AD$8,2,0)</f>
        <v>6</v>
      </c>
      <c r="T32" s="1140">
        <f ca="1">VLOOKUP(ROWS(A$1:A4),$AG$3:$AH$8,2,0)</f>
        <v>8</v>
      </c>
      <c r="U32" s="1140">
        <f ca="1">VLOOKUP(ROWS(A$1:A4),$AK$3:$AL$10,2,0)</f>
        <v>7</v>
      </c>
      <c r="V32" s="1140">
        <f ca="1">VLOOKUP(ROWS(A$1:A4),$AS$3:$AT$8,2,0)</f>
        <v>7</v>
      </c>
      <c r="W32" s="1140">
        <f ca="1">VLOOKUP(ROWS(A$1:A4),$AW$3:$AX$9,2,0)</f>
        <v>6</v>
      </c>
      <c r="X32" s="1149">
        <f ca="1">VLOOKUP(ROWS(B$1:B4),$AW$3:$AX$9,2,0)</f>
        <v>6</v>
      </c>
      <c r="Y32" s="1139">
        <v>12</v>
      </c>
      <c r="Z32" s="1140">
        <v>12</v>
      </c>
      <c r="AA32" s="1141">
        <f ca="1">VLOOKUP(ROWS(A$1:A4),$M$3:$N$20,2,0)</f>
        <v>1</v>
      </c>
      <c r="AB32" s="1141">
        <f ca="1">VLOOKUP(ROWS(A$1:A4),$E$3:$F$20,2,0)</f>
        <v>1</v>
      </c>
      <c r="AC32" s="1141">
        <v>8</v>
      </c>
      <c r="AD32" s="1140">
        <v>12</v>
      </c>
      <c r="AE32" s="1142">
        <v>12</v>
      </c>
      <c r="AF32" s="543"/>
      <c r="AG32" s="543"/>
      <c r="AH32" s="578">
        <v>5</v>
      </c>
      <c r="AI32" s="355" t="s">
        <v>7052</v>
      </c>
      <c r="AJ32" s="1128"/>
      <c r="AK32" s="909"/>
      <c r="AL32" s="909"/>
      <c r="AM32" s="909"/>
      <c r="AN32" s="909"/>
      <c r="AO32" s="909"/>
      <c r="AP32" s="909"/>
      <c r="AQ32" s="909"/>
      <c r="AR32" s="909"/>
      <c r="AS32" s="909"/>
      <c r="AT32" s="370"/>
      <c r="AU32" s="1128"/>
      <c r="AV32" s="1129"/>
      <c r="AW32" s="909"/>
      <c r="AX32" s="370"/>
      <c r="AY32" s="1128"/>
      <c r="AZ32" s="909"/>
      <c r="BA32" s="909"/>
      <c r="BB32" s="909"/>
      <c r="BC32" s="909"/>
      <c r="BD32" s="909"/>
      <c r="BE32" s="909"/>
      <c r="BF32" s="909"/>
      <c r="BG32" s="909"/>
      <c r="BH32" s="909"/>
      <c r="BI32" s="909"/>
      <c r="BJ32" s="909"/>
      <c r="BK32" s="909"/>
      <c r="BL32" s="909"/>
      <c r="BM32" s="909"/>
      <c r="BN32" s="909"/>
      <c r="BO32" s="909"/>
      <c r="BP32" s="370"/>
      <c r="BQ32" s="1128"/>
      <c r="BR32" s="909"/>
      <c r="BS32" s="909"/>
      <c r="BT32" s="909"/>
      <c r="BU32" s="1130"/>
    </row>
    <row r="33" spans="1:80">
      <c r="A33" s="659">
        <v>7</v>
      </c>
      <c r="B33" s="1117" t="s">
        <v>6954</v>
      </c>
      <c r="C33" s="1118">
        <f>[1]ABILITIES!R28</f>
        <v>0</v>
      </c>
      <c r="D33" s="1119" t="str">
        <f ca="1">IF(COUNTIF($R$64:$R$67,B9)=1,[1]CLASS!$W$44,"")</f>
        <v/>
      </c>
      <c r="E33" s="1119" t="str">
        <f>IF(COUNTIF($R$62:$R$63,B9)=1,[1]CLASS!$W$44,"")</f>
        <v/>
      </c>
      <c r="F33" s="1119" t="str">
        <f>IF(COUNTIF($R$60:$R$61,B9)=1,[1]CLASS!$W$44,"")</f>
        <v/>
      </c>
      <c r="G33" s="1120">
        <f ca="1">IF((SUM(D33:F33 ))&lt;&gt;0,[1]MATH!$C$46,0)</f>
        <v>0</v>
      </c>
      <c r="H33" s="1121"/>
      <c r="I33" s="1106">
        <f t="shared" ca="1" si="27"/>
        <v>0</v>
      </c>
      <c r="J33" s="772" t="s">
        <v>1976</v>
      </c>
      <c r="K33" s="1135">
        <v>5</v>
      </c>
      <c r="L33" s="1148"/>
      <c r="M33" s="1140"/>
      <c r="N33" s="1140">
        <f ca="1">VLOOKUP(ROWS(A$1:A5),$AO$3:$AP$13,2,0)</f>
        <v>4</v>
      </c>
      <c r="O33" s="1140"/>
      <c r="P33" s="1140"/>
      <c r="Q33" s="1140">
        <f ca="1">VLOOKUP(ROWS(A$1:A5),$M$3:$N$20,2,0)</f>
        <v>14</v>
      </c>
      <c r="R33" s="1140"/>
      <c r="S33" s="1140"/>
      <c r="T33" s="1140"/>
      <c r="U33" s="1140">
        <f ca="1">VLOOKUP(ROWS(A$1:A5),$AK$3:$AL$10,2,0)</f>
        <v>4</v>
      </c>
      <c r="V33" s="1140"/>
      <c r="W33" s="1140"/>
      <c r="X33" s="1149"/>
      <c r="Y33" s="1139"/>
      <c r="Z33" s="1140"/>
      <c r="AA33" s="1141"/>
      <c r="AB33" s="1141"/>
      <c r="AC33" s="1141"/>
      <c r="AD33" s="1140"/>
      <c r="AE33" s="1142"/>
      <c r="AF33" s="543"/>
      <c r="AG33" s="543"/>
      <c r="AH33" s="578">
        <v>6</v>
      </c>
      <c r="AI33" s="355" t="s">
        <v>7053</v>
      </c>
      <c r="AJ33" s="1128"/>
      <c r="AK33" s="909"/>
      <c r="AL33" s="909"/>
      <c r="AM33" s="909"/>
      <c r="AN33" s="909"/>
      <c r="AO33" s="909"/>
      <c r="AP33" s="909"/>
      <c r="AQ33" s="909"/>
      <c r="AR33" s="909"/>
      <c r="AS33" s="909"/>
      <c r="AT33" s="370"/>
      <c r="AU33" s="1128"/>
      <c r="AV33" s="1129"/>
      <c r="AW33" s="909"/>
      <c r="AX33" s="370"/>
      <c r="AY33" s="1128"/>
      <c r="AZ33" s="909"/>
      <c r="BA33" s="909"/>
      <c r="BB33" s="909"/>
      <c r="BC33" s="909"/>
      <c r="BD33" s="909"/>
      <c r="BE33" s="909"/>
      <c r="BF33" s="909"/>
      <c r="BG33" s="909"/>
      <c r="BH33" s="909"/>
      <c r="BI33" s="909"/>
      <c r="BJ33" s="909"/>
      <c r="BK33" s="909"/>
      <c r="BL33" s="909"/>
      <c r="BM33" s="909"/>
      <c r="BN33" s="909"/>
      <c r="BO33" s="909"/>
      <c r="BP33" s="370"/>
      <c r="BQ33" s="1128"/>
      <c r="BR33" s="909"/>
      <c r="BS33" s="909"/>
      <c r="BT33" s="909"/>
      <c r="BU33" s="1130"/>
    </row>
    <row r="34" spans="1:80">
      <c r="A34" s="659">
        <v>8</v>
      </c>
      <c r="B34" s="1117" t="s">
        <v>7054</v>
      </c>
      <c r="C34" s="1118">
        <f>[1]ABILITIES!R29</f>
        <v>2</v>
      </c>
      <c r="D34" s="1119" t="str">
        <f ca="1">IF(COUNTIF($R$64:$R$67,B10)=1,[1]CLASS!$W$44,"")</f>
        <v/>
      </c>
      <c r="E34" s="1119" t="str">
        <f>IF(COUNTIF($R$62:$R$63,B10)=1,[1]CLASS!$W$44,"")</f>
        <v/>
      </c>
      <c r="F34" s="1119">
        <f>IF(COUNTIF($R$60:$R$61,B10)=1,[1]CLASS!$W$44,"")</f>
        <v>3</v>
      </c>
      <c r="G34" s="1120">
        <f ca="1">IF((SUM(D34:F34 ))&lt;&gt;0,[1]MATH!$C$46,0)</f>
        <v>3</v>
      </c>
      <c r="H34" s="1121"/>
      <c r="I34" s="1106">
        <f t="shared" ca="1" si="27"/>
        <v>5</v>
      </c>
      <c r="J34" s="772" t="s">
        <v>1977</v>
      </c>
      <c r="K34" s="1150">
        <v>6</v>
      </c>
      <c r="L34" s="1148"/>
      <c r="M34" s="1140"/>
      <c r="N34" s="1140">
        <f ca="1">VLOOKUP(ROWS(A$1:A6),$AO$3:$AP$13,2,0)</f>
        <v>17</v>
      </c>
      <c r="O34" s="1140"/>
      <c r="P34" s="1140"/>
      <c r="Q34" s="1140"/>
      <c r="R34" s="1140"/>
      <c r="S34" s="1140"/>
      <c r="T34" s="1140"/>
      <c r="U34" s="1140"/>
      <c r="V34" s="1140"/>
      <c r="W34" s="1140"/>
      <c r="X34" s="1149"/>
      <c r="Y34" s="1151"/>
      <c r="Z34" s="1152"/>
      <c r="AA34" s="1153"/>
      <c r="AB34" s="1152"/>
      <c r="AC34" s="1153"/>
      <c r="AD34" s="1152"/>
      <c r="AE34" s="1154"/>
      <c r="AF34" s="543"/>
      <c r="AG34" s="543"/>
      <c r="AH34" s="578">
        <v>7</v>
      </c>
      <c r="AI34" s="355" t="s">
        <v>7055</v>
      </c>
      <c r="AJ34" s="1128"/>
      <c r="AK34" s="909"/>
      <c r="AL34" s="909"/>
      <c r="AM34" s="909"/>
      <c r="AN34" s="909"/>
      <c r="AO34" s="909"/>
      <c r="AP34" s="909"/>
      <c r="AQ34" s="909"/>
      <c r="AR34" s="909"/>
      <c r="AS34" s="909"/>
      <c r="AT34" s="370"/>
      <c r="AU34" s="1128"/>
      <c r="AV34" s="1129"/>
      <c r="AW34" s="909"/>
      <c r="AX34" s="370"/>
      <c r="AY34" s="1128"/>
      <c r="AZ34" s="909"/>
      <c r="BA34" s="909"/>
      <c r="BB34" s="909"/>
      <c r="BC34" s="909"/>
      <c r="BD34" s="909"/>
      <c r="BE34" s="909"/>
      <c r="BF34" s="909"/>
      <c r="BG34" s="909"/>
      <c r="BH34" s="909"/>
      <c r="BI34" s="909"/>
      <c r="BJ34" s="909"/>
      <c r="BK34" s="909"/>
      <c r="BL34" s="909"/>
      <c r="BM34" s="909"/>
      <c r="BN34" s="909"/>
      <c r="BO34" s="909"/>
      <c r="BP34" s="370"/>
      <c r="BQ34" s="1128"/>
      <c r="BR34" s="909"/>
      <c r="BS34" s="909"/>
      <c r="BT34" s="909"/>
      <c r="BU34" s="1130"/>
    </row>
    <row r="35" spans="1:80">
      <c r="A35" s="659">
        <v>9</v>
      </c>
      <c r="B35" s="1117" t="s">
        <v>6957</v>
      </c>
      <c r="C35" s="1118">
        <f>[1]ABILITIES!R27</f>
        <v>4</v>
      </c>
      <c r="D35" s="1119">
        <f ca="1">IF(COUNTIF($R$64:$R$67,B11)=1,[1]CLASS!$W$44,"")</f>
        <v>3</v>
      </c>
      <c r="E35" s="1119" t="str">
        <f>IF(COUNTIF($R$62:$R$63,B11)=1,[1]CLASS!$W$44,"")</f>
        <v/>
      </c>
      <c r="F35" s="1119" t="str">
        <f>IF(COUNTIF($R$60:$R$61,B11)=1,[1]CLASS!$W$44,"")</f>
        <v/>
      </c>
      <c r="G35" s="1120">
        <f ca="1">IF((SUM(D35:F35 ))&lt;&gt;0,[1]MATH!$C$46,0)</f>
        <v>3</v>
      </c>
      <c r="H35" s="1121"/>
      <c r="I35" s="1106">
        <f t="shared" ca="1" si="27"/>
        <v>7</v>
      </c>
      <c r="J35" s="772" t="s">
        <v>1975</v>
      </c>
      <c r="K35" s="1150">
        <v>7</v>
      </c>
      <c r="L35" s="1155"/>
      <c r="M35" s="1152"/>
      <c r="N35" s="1152">
        <f ca="1">VLOOKUP(ROWS(A$1:A7),$AO$3:$AP$13,2,0)</f>
        <v>12</v>
      </c>
      <c r="O35" s="1152"/>
      <c r="P35" s="1152"/>
      <c r="Q35" s="1152"/>
      <c r="R35" s="1152"/>
      <c r="S35" s="1152"/>
      <c r="T35" s="1152"/>
      <c r="U35" s="1152"/>
      <c r="V35" s="1152"/>
      <c r="W35" s="1152"/>
      <c r="X35" s="1156"/>
      <c r="Y35" s="1151"/>
      <c r="Z35" s="1152"/>
      <c r="AA35" s="1153"/>
      <c r="AB35" s="1152"/>
      <c r="AC35" s="1153"/>
      <c r="AD35" s="1152"/>
      <c r="AE35" s="1154"/>
      <c r="AF35" s="543"/>
      <c r="AG35" s="543"/>
      <c r="AH35" s="578">
        <v>8</v>
      </c>
      <c r="AI35" s="355" t="s">
        <v>7056</v>
      </c>
      <c r="AJ35" s="1128"/>
      <c r="AK35" s="909"/>
      <c r="AL35" s="909"/>
      <c r="AM35" s="909"/>
      <c r="AN35" s="909"/>
      <c r="AO35" s="909"/>
      <c r="AP35" s="909"/>
      <c r="AQ35" s="909"/>
      <c r="AR35" s="909"/>
      <c r="AS35" s="909"/>
      <c r="AT35" s="370"/>
      <c r="AU35" s="1128"/>
      <c r="AV35" s="1129"/>
      <c r="AW35" s="909"/>
      <c r="AX35" s="370"/>
      <c r="AY35" s="1128"/>
      <c r="AZ35" s="909"/>
      <c r="BA35" s="909"/>
      <c r="BB35" s="909"/>
      <c r="BC35" s="909"/>
      <c r="BD35" s="909"/>
      <c r="BE35" s="909"/>
      <c r="BF35" s="909"/>
      <c r="BG35" s="909"/>
      <c r="BH35" s="909"/>
      <c r="BI35" s="909"/>
      <c r="BJ35" s="909"/>
      <c r="BK35" s="909"/>
      <c r="BL35" s="909"/>
      <c r="BM35" s="909"/>
      <c r="BN35" s="909"/>
      <c r="BO35" s="909"/>
      <c r="BP35" s="370"/>
      <c r="BQ35" s="1128"/>
      <c r="BR35" s="909"/>
      <c r="BS35" s="909"/>
      <c r="BT35" s="909"/>
      <c r="BU35" s="1130"/>
    </row>
    <row r="36" spans="1:80" ht="11.25" thickBot="1">
      <c r="A36" s="659">
        <v>10</v>
      </c>
      <c r="B36" s="1117" t="s">
        <v>6958</v>
      </c>
      <c r="C36" s="1118">
        <f>[1]ABILITIES!R28</f>
        <v>0</v>
      </c>
      <c r="D36" s="1119" t="str">
        <f ca="1">IF(COUNTIF($R$64:$R$67,B12)=1,[1]CLASS!$W$44,"")</f>
        <v/>
      </c>
      <c r="E36" s="1119" t="str">
        <f>IF(COUNTIF($R$62:$R$63,B12)=1,[1]CLASS!$W$44,"")</f>
        <v/>
      </c>
      <c r="F36" s="1119" t="str">
        <f>IF(COUNTIF($R$60:$R$61,B12)=1,[1]CLASS!$W$44,"")</f>
        <v/>
      </c>
      <c r="G36" s="1120">
        <f ca="1">IF((SUM(D36:F36 ))&lt;&gt;0,[1]MATH!$C$46,0)</f>
        <v>0</v>
      </c>
      <c r="H36" s="1121"/>
      <c r="I36" s="1106">
        <f t="shared" ca="1" si="27"/>
        <v>0</v>
      </c>
      <c r="J36" s="772" t="s">
        <v>1976</v>
      </c>
      <c r="K36" s="1157">
        <v>8</v>
      </c>
      <c r="L36" s="1158"/>
      <c r="M36" s="1159"/>
      <c r="N36" s="1159">
        <f ca="1">VLOOKUP(ROWS(A$1:A8),$AO$3:$AP$13,2,0)</f>
        <v>13</v>
      </c>
      <c r="O36" s="1159"/>
      <c r="P36" s="1159"/>
      <c r="Q36" s="1159"/>
      <c r="R36" s="1159"/>
      <c r="S36" s="1159"/>
      <c r="T36" s="1159"/>
      <c r="U36" s="1159"/>
      <c r="V36" s="1159"/>
      <c r="W36" s="1159"/>
      <c r="X36" s="1160"/>
      <c r="Y36" s="1161"/>
      <c r="Z36" s="1159"/>
      <c r="AA36" s="1162"/>
      <c r="AB36" s="1159"/>
      <c r="AC36" s="1162"/>
      <c r="AD36" s="1159"/>
      <c r="AE36" s="1163"/>
      <c r="AF36" s="543"/>
      <c r="AG36" s="543"/>
      <c r="AH36" s="578">
        <v>9</v>
      </c>
      <c r="AI36" s="355" t="s">
        <v>7057</v>
      </c>
      <c r="AJ36" s="1128"/>
      <c r="AK36" s="909"/>
      <c r="AL36" s="909"/>
      <c r="AM36" s="909"/>
      <c r="AN36" s="909"/>
      <c r="AO36" s="909"/>
      <c r="AP36" s="909"/>
      <c r="AQ36" s="909"/>
      <c r="AR36" s="909"/>
      <c r="AS36" s="909"/>
      <c r="AT36" s="370"/>
      <c r="AU36" s="1128"/>
      <c r="AV36" s="1129"/>
      <c r="AW36" s="909"/>
      <c r="AX36" s="370"/>
      <c r="AY36" s="1128"/>
      <c r="AZ36" s="909"/>
      <c r="BA36" s="909"/>
      <c r="BB36" s="909"/>
      <c r="BC36" s="909"/>
      <c r="BD36" s="909"/>
      <c r="BE36" s="909"/>
      <c r="BF36" s="909"/>
      <c r="BG36" s="909"/>
      <c r="BH36" s="909"/>
      <c r="BI36" s="909"/>
      <c r="BJ36" s="909"/>
      <c r="BK36" s="909"/>
      <c r="BL36" s="909"/>
      <c r="BM36" s="909"/>
      <c r="BN36" s="909"/>
      <c r="BO36" s="909"/>
      <c r="BP36" s="370"/>
      <c r="BQ36" s="1128"/>
      <c r="BR36" s="909"/>
      <c r="BS36" s="909"/>
      <c r="BT36" s="909"/>
      <c r="BU36" s="1130"/>
    </row>
    <row r="37" spans="1:80">
      <c r="A37" s="659">
        <v>11</v>
      </c>
      <c r="B37" s="1117" t="s">
        <v>6306</v>
      </c>
      <c r="C37" s="1118">
        <f>[1]ABILITIES!R27</f>
        <v>4</v>
      </c>
      <c r="D37" s="1119" t="str">
        <f ca="1">IF(COUNTIF($R$64:$R$67,B13)=1,[1]CLASS!$W$44,"")</f>
        <v/>
      </c>
      <c r="E37" s="1119" t="str">
        <f>IF(COUNTIF($R$62:$R$63,B13)=1,[1]CLASS!$W$44,"")</f>
        <v/>
      </c>
      <c r="F37" s="1119" t="str">
        <f>IF(COUNTIF($R$60:$R$61,B13)=1,[1]CLASS!$W$44,"")</f>
        <v/>
      </c>
      <c r="G37" s="1120">
        <f ca="1">IF((SUM(D37:F37 ))&lt;&gt;0,[1]MATH!$C$46,0)</f>
        <v>0</v>
      </c>
      <c r="H37" s="1121"/>
      <c r="I37" s="1106">
        <f t="shared" ca="1" si="27"/>
        <v>4</v>
      </c>
      <c r="J37" s="772" t="s">
        <v>1975</v>
      </c>
      <c r="R37" s="543"/>
      <c r="S37" s="543"/>
      <c r="T37" s="543"/>
      <c r="U37" s="543"/>
      <c r="V37" s="543"/>
      <c r="W37" s="543"/>
      <c r="X37" s="543"/>
      <c r="Y37" s="543"/>
      <c r="AA37" s="543"/>
      <c r="AC37" s="543"/>
      <c r="AD37" s="543"/>
      <c r="AE37" s="543"/>
      <c r="AF37" s="543"/>
      <c r="AG37" s="543"/>
      <c r="AH37" s="578">
        <v>10</v>
      </c>
      <c r="AI37" s="355" t="s">
        <v>7058</v>
      </c>
      <c r="AJ37" s="1128"/>
      <c r="AK37" s="909"/>
      <c r="AL37" s="909"/>
      <c r="AM37" s="909"/>
      <c r="AN37" s="909"/>
      <c r="AO37" s="909"/>
      <c r="AP37" s="909"/>
      <c r="AQ37" s="909"/>
      <c r="AR37" s="909"/>
      <c r="AS37" s="909"/>
      <c r="AT37" s="370"/>
      <c r="AU37" s="1128"/>
      <c r="AV37" s="1129"/>
      <c r="AW37" s="909"/>
      <c r="AX37" s="370"/>
      <c r="AY37" s="1128"/>
      <c r="AZ37" s="909"/>
      <c r="BA37" s="909"/>
      <c r="BB37" s="909"/>
      <c r="BC37" s="909"/>
      <c r="BD37" s="909"/>
      <c r="BE37" s="909"/>
      <c r="BF37" s="909"/>
      <c r="BG37" s="909"/>
      <c r="BH37" s="909"/>
      <c r="BI37" s="909"/>
      <c r="BJ37" s="909"/>
      <c r="BK37" s="909"/>
      <c r="BL37" s="909"/>
      <c r="BM37" s="909"/>
      <c r="BN37" s="909"/>
      <c r="BO37" s="909"/>
      <c r="BP37" s="370"/>
      <c r="BQ37" s="1128"/>
      <c r="BR37" s="909"/>
      <c r="BS37" s="909"/>
      <c r="BT37" s="909"/>
      <c r="BU37" s="1130"/>
    </row>
    <row r="38" spans="1:80" ht="11.25" thickBot="1">
      <c r="A38" s="659">
        <v>12</v>
      </c>
      <c r="B38" s="1117" t="s">
        <v>6959</v>
      </c>
      <c r="C38" s="1118">
        <f>[1]ABILITIES!R28</f>
        <v>0</v>
      </c>
      <c r="D38" s="1119" t="str">
        <f ca="1">IF(COUNTIF($R$64:$R$67,B14)=1,[1]CLASS!$W$44,"")</f>
        <v/>
      </c>
      <c r="E38" s="1119" t="str">
        <f>IF(COUNTIF($R$62:$R$63,B14)=1,[1]CLASS!$W$44,"")</f>
        <v/>
      </c>
      <c r="F38" s="1119" t="str">
        <f>IF(COUNTIF($R$60:$R$61,B14)=1,[1]CLASS!$W$44,"")</f>
        <v/>
      </c>
      <c r="G38" s="1120">
        <f ca="1">IF((SUM(D38:F38 ))&lt;&gt;0,[1]MATH!$C$46,0)</f>
        <v>0</v>
      </c>
      <c r="H38" s="1121"/>
      <c r="I38" s="1106">
        <f t="shared" ca="1" si="27"/>
        <v>0</v>
      </c>
      <c r="J38" s="772" t="s">
        <v>1976</v>
      </c>
      <c r="R38" s="543"/>
      <c r="S38" s="543"/>
      <c r="T38" s="543"/>
      <c r="U38" s="543"/>
      <c r="V38" s="543"/>
      <c r="W38" s="543"/>
      <c r="X38" s="543"/>
      <c r="Y38" s="543"/>
      <c r="AA38" s="543"/>
      <c r="AC38" s="543"/>
      <c r="AD38" s="543"/>
      <c r="AE38" s="543"/>
      <c r="AF38" s="543"/>
      <c r="AG38" s="543"/>
      <c r="AH38" s="578">
        <v>11</v>
      </c>
      <c r="AI38" s="355" t="s">
        <v>7059</v>
      </c>
      <c r="AJ38" s="1128"/>
      <c r="AK38" s="909"/>
      <c r="AL38" s="909"/>
      <c r="AM38" s="909"/>
      <c r="AN38" s="909"/>
      <c r="AO38" s="909"/>
      <c r="AP38" s="909"/>
      <c r="AQ38" s="909"/>
      <c r="AR38" s="909"/>
      <c r="AS38" s="909"/>
      <c r="AT38" s="370"/>
      <c r="AU38" s="1128"/>
      <c r="AV38" s="1129"/>
      <c r="AW38" s="909"/>
      <c r="AX38" s="370"/>
      <c r="AY38" s="1128"/>
      <c r="AZ38" s="909"/>
      <c r="BA38" s="909"/>
      <c r="BB38" s="909"/>
      <c r="BC38" s="909"/>
      <c r="BD38" s="909"/>
      <c r="BE38" s="909"/>
      <c r="BF38" s="909"/>
      <c r="BG38" s="909"/>
      <c r="BH38" s="909"/>
      <c r="BI38" s="909"/>
      <c r="BJ38" s="909"/>
      <c r="BK38" s="909"/>
      <c r="BL38" s="909"/>
      <c r="BM38" s="909"/>
      <c r="BN38" s="909"/>
      <c r="BO38" s="909"/>
      <c r="BP38" s="370"/>
      <c r="BQ38" s="1128"/>
      <c r="BR38" s="909"/>
      <c r="BS38" s="909"/>
      <c r="BT38" s="909"/>
      <c r="BU38" s="1130"/>
    </row>
    <row r="39" spans="1:80" ht="15" thickBot="1">
      <c r="A39" s="659">
        <v>13</v>
      </c>
      <c r="B39" s="1117" t="s">
        <v>6960</v>
      </c>
      <c r="C39" s="1118">
        <f>[1]ABILITIES!R29</f>
        <v>2</v>
      </c>
      <c r="D39" s="1119">
        <f ca="1">IF(COUNTIF($R$64:$R$67,B15)=1,[1]CLASS!$W$44,0)+IF([1]MATH!D9="(Bladesinging)",[1]MATH!C46,0)</f>
        <v>0</v>
      </c>
      <c r="E39" s="1119" t="str">
        <f>IF(COUNTIF($R$62:$R$63,B15)=1,[1]CLASS!$W$44,"")</f>
        <v/>
      </c>
      <c r="F39" s="1119" t="str">
        <f>IF(COUNTIF($R$60:$R$61,B15)=1,[1]CLASS!$W$44,"")</f>
        <v/>
      </c>
      <c r="G39" s="1120">
        <f ca="1">IF((SUM(D39:F39 ))&lt;&gt;0,[1]MATH!$C$46,0)</f>
        <v>0</v>
      </c>
      <c r="H39" s="1121"/>
      <c r="I39" s="1106">
        <f t="shared" ca="1" si="27"/>
        <v>2</v>
      </c>
      <c r="J39" s="772" t="s">
        <v>1977</v>
      </c>
      <c r="K39" s="3473" t="s">
        <v>7060</v>
      </c>
      <c r="L39" s="3270"/>
      <c r="M39" s="3270"/>
      <c r="N39" s="3270"/>
      <c r="O39" s="3270"/>
      <c r="P39" s="3271"/>
      <c r="Q39" s="1164"/>
      <c r="R39" s="1165" t="s">
        <v>7061</v>
      </c>
      <c r="S39" s="1165"/>
      <c r="T39" s="1091"/>
      <c r="U39" s="1166"/>
      <c r="V39" s="1167"/>
      <c r="W39" s="918"/>
      <c r="AH39" s="578">
        <v>12</v>
      </c>
      <c r="AI39" s="355" t="s">
        <v>7062</v>
      </c>
      <c r="AJ39" s="1128"/>
      <c r="AK39" s="909"/>
      <c r="AL39" s="909"/>
      <c r="AM39" s="909"/>
      <c r="AN39" s="909"/>
      <c r="AO39" s="909"/>
      <c r="AP39" s="909"/>
      <c r="AQ39" s="909"/>
      <c r="AR39" s="909"/>
      <c r="AS39" s="909"/>
      <c r="AT39" s="370"/>
      <c r="AU39" s="1128"/>
      <c r="AV39" s="1129"/>
      <c r="AW39" s="909"/>
      <c r="AX39" s="370"/>
      <c r="AY39" s="1128"/>
      <c r="AZ39" s="909"/>
      <c r="BA39" s="909"/>
      <c r="BB39" s="909"/>
      <c r="BC39" s="909"/>
      <c r="BD39" s="909"/>
      <c r="BE39" s="909"/>
      <c r="BF39" s="909"/>
      <c r="BG39" s="909"/>
      <c r="BH39" s="909"/>
      <c r="BI39" s="909"/>
      <c r="BJ39" s="909"/>
      <c r="BK39" s="909"/>
      <c r="BL39" s="909"/>
      <c r="BM39" s="909"/>
      <c r="BN39" s="909"/>
      <c r="BO39" s="909"/>
      <c r="BP39" s="370"/>
      <c r="BQ39" s="1128"/>
      <c r="BR39" s="909"/>
      <c r="BS39" s="909"/>
      <c r="BT39" s="909"/>
      <c r="BU39" s="1130"/>
    </row>
    <row r="40" spans="1:80" ht="11.25" thickBot="1">
      <c r="A40" s="659">
        <v>14</v>
      </c>
      <c r="B40" s="1117" t="s">
        <v>6961</v>
      </c>
      <c r="C40" s="1118">
        <f>[1]ABILITIES!R29</f>
        <v>2</v>
      </c>
      <c r="D40" s="1119" t="str">
        <f ca="1">IF(COUNTIF($R$64:$R$67,B16)=1,[1]CLASS!$W$44,"")</f>
        <v/>
      </c>
      <c r="E40" s="1119" t="str">
        <f>IF(COUNTIF($R$62:$R$63,B16)=1,[1]CLASS!$W$44,"")</f>
        <v/>
      </c>
      <c r="F40" s="1119" t="str">
        <f>IF(COUNTIF($R$60:$R$61,B16)=1,[1]CLASS!$W$44,"")</f>
        <v/>
      </c>
      <c r="G40" s="1120">
        <f ca="1">IF((SUM(D40:F40 ))&lt;&gt;0,[1]MATH!$C$46,0)</f>
        <v>0</v>
      </c>
      <c r="H40" s="1121"/>
      <c r="I40" s="1106">
        <f t="shared" ca="1" si="27"/>
        <v>2</v>
      </c>
      <c r="J40" s="772" t="s">
        <v>1977</v>
      </c>
      <c r="K40" s="1168" t="s">
        <v>7063</v>
      </c>
      <c r="L40" s="502">
        <v>1</v>
      </c>
      <c r="M40" s="749">
        <v>3</v>
      </c>
      <c r="N40" s="749">
        <v>7</v>
      </c>
      <c r="O40" s="749">
        <v>10</v>
      </c>
      <c r="P40" s="1169">
        <f>[1]MATH!C13</f>
        <v>6</v>
      </c>
      <c r="Q40" s="606"/>
      <c r="R40" s="832" t="s">
        <v>6598</v>
      </c>
      <c r="S40" s="1170">
        <v>1</v>
      </c>
      <c r="T40" s="589" t="s">
        <v>7064</v>
      </c>
      <c r="U40" s="1171" t="s">
        <v>7065</v>
      </c>
      <c r="V40" s="1172"/>
      <c r="AH40" s="578">
        <v>13</v>
      </c>
      <c r="AI40" s="355" t="s">
        <v>7066</v>
      </c>
      <c r="AJ40" s="1128"/>
      <c r="AK40" s="909"/>
      <c r="AL40" s="909"/>
      <c r="AM40" s="909"/>
      <c r="AN40" s="909"/>
      <c r="AO40" s="909"/>
      <c r="AP40" s="909"/>
      <c r="AQ40" s="909"/>
      <c r="AR40" s="909"/>
      <c r="AS40" s="909"/>
      <c r="AT40" s="370"/>
      <c r="AU40" s="1128"/>
      <c r="AV40" s="1129"/>
      <c r="AW40" s="909"/>
      <c r="AX40" s="370"/>
      <c r="AY40" s="1128"/>
      <c r="AZ40" s="909"/>
      <c r="BA40" s="909"/>
      <c r="BB40" s="909"/>
      <c r="BC40" s="909"/>
      <c r="BD40" s="909"/>
      <c r="BE40" s="909"/>
      <c r="BF40" s="909"/>
      <c r="BG40" s="909"/>
      <c r="BH40" s="909"/>
      <c r="BI40" s="909"/>
      <c r="BJ40" s="909"/>
      <c r="BK40" s="909"/>
      <c r="BL40" s="909"/>
      <c r="BM40" s="909"/>
      <c r="BN40" s="909"/>
      <c r="BO40" s="909"/>
      <c r="BP40" s="370"/>
      <c r="BQ40" s="1128"/>
      <c r="BR40" s="909"/>
      <c r="BS40" s="909"/>
      <c r="BT40" s="909"/>
      <c r="BU40" s="1130"/>
    </row>
    <row r="41" spans="1:80" ht="11.25" thickBot="1">
      <c r="A41" s="659">
        <v>15</v>
      </c>
      <c r="B41" s="1117" t="s">
        <v>6962</v>
      </c>
      <c r="C41" s="1118">
        <f>[1]ABILITIES!R27</f>
        <v>4</v>
      </c>
      <c r="D41" s="1119">
        <f ca="1">IF(COUNTIF($R$64:$R$67,B17)=1,[1]CLASS!$W$44,"")</f>
        <v>3</v>
      </c>
      <c r="E41" s="1119" t="str">
        <f>IF(COUNTIF($R$62:$R$63,B17)=1,[1]CLASS!$W$44,"")</f>
        <v/>
      </c>
      <c r="F41" s="1119" t="str">
        <f>IF(COUNTIF($R$60:$R$61,B17)=1,[1]CLASS!$W$44,"")</f>
        <v/>
      </c>
      <c r="G41" s="1120">
        <f ca="1">IF((SUM(D41:F41 ))&lt;&gt;0,[1]MATH!$C$46,0)</f>
        <v>3</v>
      </c>
      <c r="H41" s="1121"/>
      <c r="I41" s="1106">
        <f t="shared" ca="1" si="27"/>
        <v>7</v>
      </c>
      <c r="J41" s="772" t="s">
        <v>1975</v>
      </c>
      <c r="K41" s="1095"/>
      <c r="L41" s="1096" t="s">
        <v>6007</v>
      </c>
      <c r="M41" s="1096" t="s">
        <v>6013</v>
      </c>
      <c r="N41" s="1096" t="s">
        <v>4928</v>
      </c>
      <c r="O41" s="1096" t="s">
        <v>6031</v>
      </c>
      <c r="P41" s="1173" t="s">
        <v>7067</v>
      </c>
      <c r="Q41" s="1174"/>
      <c r="R41" s="979">
        <f t="shared" ref="R41:R55" ca="1" si="28">RAND()</f>
        <v>0.25193253395539861</v>
      </c>
      <c r="S41" s="1175">
        <v>2</v>
      </c>
      <c r="T41" s="355" t="s">
        <v>7068</v>
      </c>
      <c r="U41" s="351">
        <f ca="1">LARGE(R41:R55,ROWS(A$1:A1))</f>
        <v>0.99862791780357374</v>
      </c>
      <c r="V41" s="633">
        <f ca="1">VLOOKUP(U41,$R$41:$S$55,2,FALSE)</f>
        <v>13</v>
      </c>
      <c r="W41" s="1083"/>
      <c r="AH41" s="578">
        <v>14</v>
      </c>
      <c r="AI41" s="355" t="s">
        <v>7069</v>
      </c>
      <c r="AJ41" s="1128"/>
      <c r="AK41" s="909"/>
      <c r="AL41" s="909"/>
      <c r="AM41" s="909"/>
      <c r="AN41" s="909"/>
      <c r="AO41" s="909"/>
      <c r="AP41" s="909"/>
      <c r="AQ41" s="909"/>
      <c r="AR41" s="909"/>
      <c r="AS41" s="909"/>
      <c r="AT41" s="370"/>
      <c r="AU41" s="1128"/>
      <c r="AV41" s="1129"/>
      <c r="AW41" s="909"/>
      <c r="AX41" s="370"/>
      <c r="AY41" s="1128"/>
      <c r="AZ41" s="909"/>
      <c r="BA41" s="909"/>
      <c r="BB41" s="909"/>
      <c r="BC41" s="909"/>
      <c r="BD41" s="909"/>
      <c r="BE41" s="909"/>
      <c r="BF41" s="909"/>
      <c r="BG41" s="909"/>
      <c r="BH41" s="909"/>
      <c r="BI41" s="909"/>
      <c r="BJ41" s="909"/>
      <c r="BK41" s="909"/>
      <c r="BL41" s="909"/>
      <c r="BM41" s="909"/>
      <c r="BN41" s="909"/>
      <c r="BO41" s="909"/>
      <c r="BP41" s="370"/>
      <c r="BQ41" s="1128"/>
      <c r="BR41" s="909"/>
      <c r="BS41" s="909"/>
      <c r="BT41" s="909"/>
      <c r="BU41" s="1130"/>
    </row>
    <row r="42" spans="1:80" ht="11.25" thickBot="1">
      <c r="A42" s="659">
        <v>16</v>
      </c>
      <c r="B42" s="1117" t="s">
        <v>6963</v>
      </c>
      <c r="C42" s="1118">
        <f>[1]ABILITIES!R25</f>
        <v>3</v>
      </c>
      <c r="D42" s="1119" t="str">
        <f ca="1">IF(COUNTIF($R$64:$R$67,B18)=1,[1]CLASS!$W$44,"")</f>
        <v/>
      </c>
      <c r="E42" s="1119" t="str">
        <f>IF(COUNTIF($R$62:$R$63,B18)=1,[1]CLASS!$W$44,"")</f>
        <v/>
      </c>
      <c r="F42" s="1119" t="str">
        <f>IF(COUNTIF($R$60:$R$61,B18)=1,[1]CLASS!$W$44,"")</f>
        <v/>
      </c>
      <c r="G42" s="1120">
        <f ca="1">IF((SUM(D42:F42 ))&lt;&gt;0,[1]MATH!$C$46,0)</f>
        <v>0</v>
      </c>
      <c r="H42" s="1121"/>
      <c r="I42" s="1106">
        <f t="shared" ca="1" si="27"/>
        <v>3</v>
      </c>
      <c r="J42" s="772" t="s">
        <v>1973</v>
      </c>
      <c r="K42" s="1108" t="s">
        <v>7070</v>
      </c>
      <c r="L42" s="1109" t="str">
        <f>IF([1]MATH!$C$8=1,[1]MATH!$C$9,"")</f>
        <v/>
      </c>
      <c r="M42" s="1109" t="str">
        <f>IF([1]MATH!$C$8=3,[1]MATH!$C$9,"")</f>
        <v/>
      </c>
      <c r="N42" s="1109" t="str">
        <f>IF([1]MATH!$C$8=7,[1]MATH!$C$9,"")</f>
        <v/>
      </c>
      <c r="O42" s="1109" t="str">
        <f>IF([1]MATH!$C$8=10,[1]MATH!$C$9,"")</f>
        <v/>
      </c>
      <c r="P42" s="1176" t="str">
        <f>[1]MATH!D13</f>
        <v>Soldier</v>
      </c>
      <c r="Q42" s="606"/>
      <c r="R42" s="979">
        <f t="shared" ca="1" si="28"/>
        <v>0.86488451711620851</v>
      </c>
      <c r="S42" s="1175">
        <v>3</v>
      </c>
      <c r="T42" s="355" t="s">
        <v>7071</v>
      </c>
      <c r="U42" s="351">
        <f ca="1">LARGE(R41:R55,ROWS(A$1:A2))</f>
        <v>0.960538205375016</v>
      </c>
      <c r="V42" s="633">
        <f ca="1">VLOOKUP(U42,$R$41:$S$55,2,FALSE)</f>
        <v>16</v>
      </c>
      <c r="AH42" s="578">
        <v>15</v>
      </c>
      <c r="AI42" s="355" t="s">
        <v>7072</v>
      </c>
      <c r="AJ42" s="1128"/>
      <c r="AK42" s="909"/>
      <c r="AL42" s="909"/>
      <c r="AM42" s="909"/>
      <c r="AN42" s="909"/>
      <c r="AO42" s="909"/>
      <c r="AP42" s="909"/>
      <c r="AQ42" s="909"/>
      <c r="AR42" s="909"/>
      <c r="AS42" s="909"/>
      <c r="AT42" s="370"/>
      <c r="AU42" s="1128"/>
      <c r="AV42" s="1129"/>
      <c r="AW42" s="909"/>
      <c r="AX42" s="370"/>
      <c r="AY42" s="1128"/>
      <c r="AZ42" s="909"/>
      <c r="BA42" s="909"/>
      <c r="BB42" s="909"/>
      <c r="BC42" s="909"/>
      <c r="BD42" s="909"/>
      <c r="BE42" s="909"/>
      <c r="BF42" s="909"/>
      <c r="BG42" s="909"/>
      <c r="BH42" s="909"/>
      <c r="BI42" s="909"/>
      <c r="BJ42" s="909"/>
      <c r="BK42" s="909"/>
      <c r="BL42" s="909"/>
      <c r="BM42" s="909"/>
      <c r="BN42" s="909"/>
      <c r="BO42" s="909"/>
      <c r="BP42" s="370"/>
      <c r="BQ42" s="1128"/>
      <c r="BR42" s="909"/>
      <c r="BS42" s="909"/>
      <c r="BT42" s="909"/>
      <c r="BU42" s="1130"/>
    </row>
    <row r="43" spans="1:80" ht="11.25" thickBot="1">
      <c r="A43" s="659">
        <v>17</v>
      </c>
      <c r="B43" s="1117" t="s">
        <v>6964</v>
      </c>
      <c r="C43" s="1118">
        <f>[1]ABILITIES!R25</f>
        <v>3</v>
      </c>
      <c r="D43" s="1119" t="str">
        <f ca="1">IF(COUNTIF($R$64:$R$67,B19)=1,[1]CLASS!$W$44,"")</f>
        <v/>
      </c>
      <c r="E43" s="1119" t="str">
        <f>IF(COUNTIF($R$62:$R$63,B19)=1,[1]CLASS!$W$44,"")</f>
        <v/>
      </c>
      <c r="F43" s="1119" t="str">
        <f>IF(COUNTIF($R$60:$R$61,B19)=1,[1]CLASS!$W$44,"")</f>
        <v/>
      </c>
      <c r="G43" s="1120">
        <f ca="1">IF((SUM(D43:F43 ))&lt;&gt;0,[1]MATH!$C$46,0)</f>
        <v>0</v>
      </c>
      <c r="H43" s="1121"/>
      <c r="I43" s="1106">
        <f t="shared" ca="1" si="27"/>
        <v>3</v>
      </c>
      <c r="J43" s="772" t="s">
        <v>1973</v>
      </c>
      <c r="K43" s="1122" t="s">
        <v>7049</v>
      </c>
      <c r="L43" s="1123" t="str">
        <f>IF(AND([1]MATH!C8=1,[1]MATH!C9=1),2,"")</f>
        <v/>
      </c>
      <c r="M43" s="1123" t="str">
        <f>IF([1]MATH!C8=3,1,"")</f>
        <v/>
      </c>
      <c r="N43" s="1123" t="str">
        <f>IF([1]MATH!C8=7,1,"")</f>
        <v/>
      </c>
      <c r="O43" s="1124"/>
      <c r="P43" s="1177"/>
      <c r="Q43" s="1178"/>
      <c r="R43" s="979">
        <f t="shared" ca="1" si="28"/>
        <v>0.82021026029633637</v>
      </c>
      <c r="S43" s="1175">
        <v>4</v>
      </c>
      <c r="T43" s="355" t="s">
        <v>3005</v>
      </c>
      <c r="U43" s="351">
        <f ca="1">LARGE(R41:R55,ROWS(A$1:A3))</f>
        <v>0.86714435814950985</v>
      </c>
      <c r="V43" s="633">
        <f ca="1">VLOOKUP(U43,$R$41:$S$55,2,FALSE)</f>
        <v>9</v>
      </c>
      <c r="W43" s="543"/>
      <c r="AH43" s="1179">
        <v>16</v>
      </c>
      <c r="AI43" s="355" t="s">
        <v>7073</v>
      </c>
      <c r="AJ43" s="1128"/>
      <c r="AK43" s="909"/>
      <c r="AL43" s="909"/>
      <c r="AM43" s="909"/>
      <c r="AN43" s="909"/>
      <c r="AO43" s="909"/>
      <c r="AP43" s="909"/>
      <c r="AQ43" s="909"/>
      <c r="AR43" s="909"/>
      <c r="AS43" s="909"/>
      <c r="AT43" s="370"/>
      <c r="AU43" s="1128"/>
      <c r="AV43" s="1129"/>
      <c r="AW43" s="909"/>
      <c r="AX43" s="370"/>
      <c r="AY43" s="1128"/>
      <c r="AZ43" s="909"/>
      <c r="BA43" s="909"/>
      <c r="BB43" s="909"/>
      <c r="BC43" s="909"/>
      <c r="BD43" s="909"/>
      <c r="BE43" s="909"/>
      <c r="BF43" s="909"/>
      <c r="BG43" s="909"/>
      <c r="BH43" s="909"/>
      <c r="BI43" s="909"/>
      <c r="BJ43" s="909"/>
      <c r="BK43" s="909"/>
      <c r="BL43" s="909"/>
      <c r="BM43" s="909"/>
      <c r="BN43" s="909"/>
      <c r="BO43" s="909"/>
      <c r="BP43" s="370"/>
      <c r="BQ43" s="1128"/>
      <c r="BR43" s="909"/>
      <c r="BS43" s="909"/>
      <c r="BT43" s="909"/>
      <c r="BU43" s="1130"/>
    </row>
    <row r="44" spans="1:80" ht="11.25" thickBot="1">
      <c r="A44" s="664">
        <v>18</v>
      </c>
      <c r="B44" s="1180" t="s">
        <v>6965</v>
      </c>
      <c r="C44" s="1181">
        <f>[1]ABILITIES!R28</f>
        <v>0</v>
      </c>
      <c r="D44" s="1182" t="str">
        <f ca="1">IF(COUNTIF($R$64:$R$67,B20)=1,[1]CLASS!$W$44,"")</f>
        <v/>
      </c>
      <c r="E44" s="1182" t="str">
        <f>IF(COUNTIF($R$62:$R$63,B20)=1,[1]CLASS!$W$44,"")</f>
        <v/>
      </c>
      <c r="F44" s="1182" t="str">
        <f>IF(COUNTIF($R$60:$R$61,B20)=1,[1]CLASS!$W$44,"")</f>
        <v/>
      </c>
      <c r="G44" s="1183">
        <f ca="1">IF((SUM(D44:F44 ))&lt;&gt;0,[1]MATH!$C$46,0)</f>
        <v>0</v>
      </c>
      <c r="H44" s="493"/>
      <c r="I44" s="1106">
        <f t="shared" ca="1" si="27"/>
        <v>0</v>
      </c>
      <c r="J44" s="740" t="s">
        <v>1976</v>
      </c>
      <c r="K44" s="548">
        <v>1</v>
      </c>
      <c r="L44" s="1131" t="str">
        <f>IF($L$43=2,V41,"")</f>
        <v/>
      </c>
      <c r="M44" s="1184" t="str">
        <f>IF([1]MATH!C8=3,S56,"")</f>
        <v/>
      </c>
      <c r="N44" s="1132" t="str">
        <f>IF([1]MATH!C8=7,S57,"")</f>
        <v/>
      </c>
      <c r="O44" s="1132" t="str">
        <f>IF([1]MATH!$C$8=10,[1]CLASS!C274,"")</f>
        <v/>
      </c>
      <c r="P44" s="1185" t="str">
        <f>IF(OR([1]BACKGROUNDS!B4=1,[1]BACKGROUNDS!B4=4,[1]BACKGROUNDS!B4=5,[1]BACKGROUNDS!B4=9,[1]BACKGROUNDS!B4=10,   [1]BACKGROUNDS!B4=14,[1]BACKGROUNDS!B4=15,[1]BACKGROUNDS!B4=16,[1]BACKGROUNDS!B4=17,[1]BACKGROUNDS!B4=18,[1]BACKGROUNDS!B4=19,[1]BACKGROUNDS!B4=20,[1]BACKGROUNDS!B4=21,[1]BACKGROUNDS!B4=24,[1]BACKGROUNDS!B4=25),V44,"")</f>
        <v/>
      </c>
      <c r="Q44" s="597"/>
      <c r="R44" s="979">
        <f t="shared" ca="1" si="28"/>
        <v>0.48378718511120389</v>
      </c>
      <c r="S44" s="1175">
        <v>5</v>
      </c>
      <c r="T44" s="355" t="s">
        <v>7074</v>
      </c>
      <c r="U44" s="351">
        <f ca="1">LARGE($R$41:$R$55,ROWS(A$1:A4))</f>
        <v>0.86488451711620851</v>
      </c>
      <c r="V44" s="633">
        <f ca="1">VLOOKUP(U44,$R$41:$S$55,2,FALSE)</f>
        <v>3</v>
      </c>
      <c r="W44" s="543"/>
      <c r="AH44" s="578">
        <v>17</v>
      </c>
      <c r="AI44" s="355" t="s">
        <v>7075</v>
      </c>
      <c r="AJ44" s="1128"/>
      <c r="AK44" s="909"/>
      <c r="AL44" s="909"/>
      <c r="AM44" s="909"/>
      <c r="AN44" s="909"/>
      <c r="AO44" s="909"/>
      <c r="AP44" s="909"/>
      <c r="AQ44" s="909"/>
      <c r="AR44" s="909"/>
      <c r="AS44" s="909"/>
      <c r="AT44" s="370"/>
      <c r="AU44" s="1128"/>
      <c r="AV44" s="1129"/>
      <c r="AW44" s="909"/>
      <c r="AX44" s="370"/>
      <c r="AY44" s="1128"/>
      <c r="AZ44" s="909"/>
      <c r="BA44" s="909"/>
      <c r="BB44" s="909"/>
      <c r="BC44" s="909"/>
      <c r="BD44" s="909"/>
      <c r="BE44" s="909"/>
      <c r="BF44" s="909"/>
      <c r="BG44" s="909"/>
      <c r="BH44" s="909"/>
      <c r="BI44" s="909"/>
      <c r="BJ44" s="909"/>
      <c r="BK44" s="909"/>
      <c r="BL44" s="909"/>
      <c r="BM44" s="909"/>
      <c r="BN44" s="909"/>
      <c r="BO44" s="909"/>
      <c r="BP44" s="370"/>
      <c r="BQ44" s="1128"/>
      <c r="BR44" s="909"/>
      <c r="BS44" s="909"/>
      <c r="BT44" s="909"/>
      <c r="BU44" s="1130"/>
      <c r="CB44" s="271"/>
    </row>
    <row r="45" spans="1:80">
      <c r="B45" s="271"/>
      <c r="K45" s="1186">
        <v>2</v>
      </c>
      <c r="L45" s="1136" t="str">
        <f>IF($L$43=2,V42,"")</f>
        <v/>
      </c>
      <c r="M45" s="1140"/>
      <c r="N45" s="1140"/>
      <c r="O45" s="1137" t="str">
        <f>IF([1]MATH!$C$8=10,[1]CLASS!D274,"")</f>
        <v/>
      </c>
      <c r="P45" s="1187" t="str">
        <f>IF(OR([1]BACKGROUNDS!$B$4=1,[1]BACKGROUNDS!$B$4=5,   [1]BACKGROUNDS!$B$4=14,[1]BACKGROUNDS!$B$4=16,[1]BACKGROUNDS!$B$4=17,[1]BACKGROUNDS!$B$4=18),V45,"")</f>
        <v/>
      </c>
      <c r="Q45" s="597"/>
      <c r="R45" s="979">
        <f t="shared" ca="1" si="28"/>
        <v>0.68086357098155048</v>
      </c>
      <c r="S45" s="1175">
        <v>6</v>
      </c>
      <c r="T45" s="355" t="s">
        <v>4416</v>
      </c>
      <c r="U45" s="351">
        <f ca="1">LARGE($R$41:$R$55,ROWS(A$1:A5))</f>
        <v>0.82021026029633637</v>
      </c>
      <c r="V45" s="633">
        <f t="shared" ref="V45:V50" ca="1" si="29">VLOOKUP(U45,$R$41:$S$55,2,FALSE)</f>
        <v>4</v>
      </c>
      <c r="W45" s="543"/>
      <c r="AH45" s="578">
        <v>18</v>
      </c>
      <c r="AI45" s="355" t="s">
        <v>7076</v>
      </c>
      <c r="AJ45" s="1128"/>
      <c r="AK45" s="909"/>
      <c r="AL45" s="909"/>
      <c r="AM45" s="909"/>
      <c r="AN45" s="909"/>
      <c r="AO45" s="909"/>
      <c r="AP45" s="909"/>
      <c r="AQ45" s="909"/>
      <c r="AR45" s="909"/>
      <c r="AS45" s="909"/>
      <c r="AT45" s="370"/>
      <c r="AU45" s="1128"/>
      <c r="AV45" s="1129"/>
      <c r="AW45" s="909"/>
      <c r="AX45" s="370"/>
      <c r="AY45" s="1128"/>
      <c r="AZ45" s="909"/>
      <c r="BA45" s="909"/>
      <c r="BB45" s="909"/>
      <c r="BC45" s="909"/>
      <c r="BD45" s="909"/>
      <c r="BE45" s="909"/>
      <c r="BF45" s="909"/>
      <c r="BG45" s="909"/>
      <c r="BH45" s="909"/>
      <c r="BI45" s="909"/>
      <c r="BJ45" s="909"/>
      <c r="BK45" s="909"/>
      <c r="BL45" s="909"/>
      <c r="BM45" s="909"/>
      <c r="BN45" s="909"/>
      <c r="BO45" s="909"/>
      <c r="BP45" s="370"/>
      <c r="BQ45" s="1128"/>
      <c r="BR45" s="909"/>
      <c r="BS45" s="909"/>
      <c r="BT45" s="909"/>
      <c r="BU45" s="1130"/>
      <c r="CB45" s="273"/>
    </row>
    <row r="46" spans="1:80" ht="12" customHeight="1" thickBot="1">
      <c r="I46" s="1188"/>
      <c r="K46" s="1186">
        <v>3</v>
      </c>
      <c r="L46" s="1148" t="str">
        <f t="shared" ref="L46:L51" si="30">IF($L$43=2,V43,"")</f>
        <v/>
      </c>
      <c r="M46" s="1140"/>
      <c r="N46" s="1140"/>
      <c r="O46" s="1189" t="str">
        <f>IF(AND([1]MATH!C8=10,[1]MATH!C5&gt;=6),[1]CLASS!C275,"")</f>
        <v/>
      </c>
      <c r="P46" s="1187" t="str">
        <f>IF(OR([1]BACKGROUNDS!$B$4=1,[1]BACKGROUNDS!$B$4=5),V46,"")</f>
        <v/>
      </c>
      <c r="Q46" s="597"/>
      <c r="R46" s="979">
        <f t="shared" ca="1" si="28"/>
        <v>0.18794298529129005</v>
      </c>
      <c r="S46" s="1175">
        <v>7</v>
      </c>
      <c r="T46" s="355" t="s">
        <v>7077</v>
      </c>
      <c r="U46" s="351">
        <f ca="1">LARGE($R$41:$R$55,ROWS(A$1:A6))</f>
        <v>0.73010188793842468</v>
      </c>
      <c r="V46" s="633">
        <f t="shared" ca="1" si="29"/>
        <v>10</v>
      </c>
      <c r="W46" s="543"/>
      <c r="AH46" s="578">
        <v>19</v>
      </c>
      <c r="AI46" s="355" t="s">
        <v>7078</v>
      </c>
      <c r="AJ46" s="1128"/>
      <c r="AK46" s="909"/>
      <c r="AL46" s="909"/>
      <c r="AM46" s="909"/>
      <c r="AN46" s="909"/>
      <c r="AO46" s="909"/>
      <c r="AP46" s="909"/>
      <c r="AQ46" s="909"/>
      <c r="AR46" s="909"/>
      <c r="AS46" s="909"/>
      <c r="AT46" s="370"/>
      <c r="AU46" s="1128"/>
      <c r="AV46" s="1129"/>
      <c r="AW46" s="909"/>
      <c r="AX46" s="370"/>
      <c r="AY46" s="1128"/>
      <c r="AZ46" s="909"/>
      <c r="BA46" s="909"/>
      <c r="BB46" s="909"/>
      <c r="BC46" s="909"/>
      <c r="BD46" s="909"/>
      <c r="BE46" s="909"/>
      <c r="BF46" s="909"/>
      <c r="BG46" s="909"/>
      <c r="BH46" s="909"/>
      <c r="BI46" s="909"/>
      <c r="BJ46" s="909"/>
      <c r="BK46" s="909"/>
      <c r="BL46" s="909"/>
      <c r="BM46" s="909"/>
      <c r="BN46" s="909"/>
      <c r="BO46" s="909"/>
      <c r="BP46" s="370"/>
      <c r="BQ46" s="1128"/>
      <c r="BR46" s="909"/>
      <c r="BS46" s="909"/>
      <c r="BT46" s="909"/>
      <c r="BU46" s="1130"/>
      <c r="CB46" s="271"/>
    </row>
    <row r="47" spans="1:80" ht="12" customHeight="1" thickBot="1">
      <c r="B47" s="502"/>
      <c r="C47" s="1190" t="s">
        <v>7079</v>
      </c>
      <c r="D47" s="1191" t="str">
        <f>[1]MATH!D8</f>
        <v>Wizard</v>
      </c>
      <c r="E47" s="1192"/>
      <c r="F47" s="1193"/>
      <c r="G47" s="1191" t="str">
        <f>[1]MATH!G22</f>
        <v/>
      </c>
      <c r="H47" s="1191" t="str">
        <f>[1]MATH!G23</f>
        <v>Religion</v>
      </c>
      <c r="I47" s="1192"/>
      <c r="J47" s="606"/>
      <c r="K47" s="1186">
        <v>4</v>
      </c>
      <c r="L47" s="1148" t="str">
        <f t="shared" si="30"/>
        <v/>
      </c>
      <c r="M47" s="1140"/>
      <c r="N47" s="1140"/>
      <c r="O47" s="1189" t="str">
        <f>IF(AND([1]MATH!$C$8=10,[1]MATH!$C$5&gt;=6),[1]CLASS!D275,"")</f>
        <v/>
      </c>
      <c r="P47" s="1194">
        <f ca="1">IF(COUNTIF($W$60:$W$64,W65)&gt;=1,V47,"")</f>
        <v>11</v>
      </c>
      <c r="Q47" s="597"/>
      <c r="R47" s="979">
        <f t="shared" ca="1" si="28"/>
        <v>0.60873713803910345</v>
      </c>
      <c r="S47" s="1175">
        <v>8</v>
      </c>
      <c r="T47" s="355" t="s">
        <v>3727</v>
      </c>
      <c r="U47" s="351">
        <f ca="1">LARGE($R$41:$R$55,ROWS(A$1:A7))</f>
        <v>0.69231905713623298</v>
      </c>
      <c r="V47" s="633">
        <f t="shared" ca="1" si="29"/>
        <v>11</v>
      </c>
      <c r="W47" s="543"/>
      <c r="AH47" s="578">
        <v>20</v>
      </c>
      <c r="AI47" s="355" t="s">
        <v>7080</v>
      </c>
      <c r="AJ47" s="1128"/>
      <c r="AK47" s="909"/>
      <c r="AL47" s="909"/>
      <c r="AM47" s="909"/>
      <c r="AN47" s="909"/>
      <c r="AO47" s="909"/>
      <c r="AP47" s="909"/>
      <c r="AQ47" s="909"/>
      <c r="AR47" s="909"/>
      <c r="AS47" s="909"/>
      <c r="AT47" s="370"/>
      <c r="AU47" s="1128"/>
      <c r="AV47" s="1129"/>
      <c r="AW47" s="909"/>
      <c r="AX47" s="370"/>
      <c r="AY47" s="1128"/>
      <c r="AZ47" s="909"/>
      <c r="BA47" s="909"/>
      <c r="BB47" s="909"/>
      <c r="BC47" s="909"/>
      <c r="BD47" s="909"/>
      <c r="BE47" s="909"/>
      <c r="BF47" s="909"/>
      <c r="BG47" s="909"/>
      <c r="BH47" s="909"/>
      <c r="BI47" s="909"/>
      <c r="BJ47" s="909"/>
      <c r="BK47" s="909"/>
      <c r="BL47" s="909"/>
      <c r="BM47" s="909"/>
      <c r="BN47" s="909"/>
      <c r="BO47" s="909"/>
      <c r="BP47" s="370"/>
      <c r="BQ47" s="1128"/>
      <c r="BR47" s="909"/>
      <c r="BS47" s="909"/>
      <c r="BT47" s="909"/>
      <c r="BU47" s="1130"/>
      <c r="CB47" s="271"/>
    </row>
    <row r="48" spans="1:80" ht="11.25" thickBot="1">
      <c r="B48" s="502"/>
      <c r="C48" s="1195" t="s">
        <v>7081</v>
      </c>
      <c r="D48" s="1192"/>
      <c r="E48" s="1192"/>
      <c r="F48" s="1196" t="str">
        <f>[1]BACKGROUNDS!F4</f>
        <v>Athletics</v>
      </c>
      <c r="G48" s="1192"/>
      <c r="H48" s="1192"/>
      <c r="I48" s="1192"/>
      <c r="J48" s="606"/>
      <c r="K48" s="1186">
        <v>5</v>
      </c>
      <c r="L48" s="1148" t="str">
        <f t="shared" si="30"/>
        <v/>
      </c>
      <c r="M48" s="1140"/>
      <c r="N48" s="1140"/>
      <c r="O48" s="1189" t="str">
        <f>IF(AND([1]MATH!$C$8=10,[1]MATH!$C$5&gt;=6),[1]CLASS!C276,"")</f>
        <v/>
      </c>
      <c r="P48" s="1194"/>
      <c r="Q48" s="597"/>
      <c r="R48" s="979">
        <f t="shared" ca="1" si="28"/>
        <v>0.86714435814950985</v>
      </c>
      <c r="S48" s="1175">
        <v>9</v>
      </c>
      <c r="T48" s="355" t="s">
        <v>7082</v>
      </c>
      <c r="U48" s="351">
        <f ca="1">LARGE($R$41:$R$55,ROWS(A$1:A8))</f>
        <v>0.68086357098155048</v>
      </c>
      <c r="V48" s="633">
        <f t="shared" ca="1" si="29"/>
        <v>6</v>
      </c>
      <c r="W48" s="543"/>
      <c r="AH48" s="578">
        <v>21</v>
      </c>
      <c r="AI48" s="355" t="s">
        <v>7083</v>
      </c>
      <c r="AJ48" s="1143"/>
      <c r="AK48" s="1144"/>
      <c r="AL48" s="1144"/>
      <c r="AM48" s="1144"/>
      <c r="AN48" s="1144"/>
      <c r="AO48" s="1144"/>
      <c r="AP48" s="1144"/>
      <c r="AQ48" s="1144"/>
      <c r="AR48" s="1144"/>
      <c r="AS48" s="1144"/>
      <c r="AT48" s="1145"/>
      <c r="AU48" s="1143"/>
      <c r="AV48" s="1146"/>
      <c r="AW48" s="1144"/>
      <c r="AX48" s="1145"/>
      <c r="AY48" s="1143"/>
      <c r="AZ48" s="1144"/>
      <c r="BA48" s="1144"/>
      <c r="BB48" s="1144"/>
      <c r="BC48" s="1144"/>
      <c r="BD48" s="1144"/>
      <c r="BE48" s="1144"/>
      <c r="BF48" s="1144"/>
      <c r="BG48" s="1144"/>
      <c r="BH48" s="1144"/>
      <c r="BI48" s="1144"/>
      <c r="BJ48" s="1144"/>
      <c r="BK48" s="1144"/>
      <c r="BL48" s="1144"/>
      <c r="BM48" s="1144"/>
      <c r="BN48" s="1144"/>
      <c r="BO48" s="1144"/>
      <c r="BP48" s="1145"/>
      <c r="BQ48" s="1143"/>
      <c r="BR48" s="1144"/>
      <c r="BS48" s="1144"/>
      <c r="BT48" s="1144"/>
      <c r="BU48" s="1147"/>
      <c r="CB48" s="271"/>
    </row>
    <row r="49" spans="1:80" ht="11.25" thickBot="1">
      <c r="A49" s="271"/>
      <c r="B49" s="1197"/>
      <c r="C49" s="1198" t="s">
        <v>7084</v>
      </c>
      <c r="D49" s="1199"/>
      <c r="E49" s="1199"/>
      <c r="F49" s="1200" t="str">
        <f>[1]MATH!D8</f>
        <v>Wizard</v>
      </c>
      <c r="G49" s="1199"/>
      <c r="H49" s="1199"/>
      <c r="I49" s="1199"/>
      <c r="J49" s="606"/>
      <c r="K49" s="1201">
        <v>6</v>
      </c>
      <c r="L49" s="1148" t="str">
        <f t="shared" si="30"/>
        <v/>
      </c>
      <c r="M49" s="1140"/>
      <c r="N49" s="1140"/>
      <c r="O49" s="1189" t="str">
        <f>IF(AND([1]MATH!$C$8=10,[1]MATH!$C$5&gt;=14),[1]CLASS!D276,"")</f>
        <v/>
      </c>
      <c r="P49" s="1194"/>
      <c r="Q49" s="597"/>
      <c r="R49" s="979">
        <f t="shared" ca="1" si="28"/>
        <v>0.73010188793842468</v>
      </c>
      <c r="S49" s="1175">
        <v>10</v>
      </c>
      <c r="T49" s="355" t="s">
        <v>2973</v>
      </c>
      <c r="U49" s="351">
        <f ca="1">LARGE($R$41:$R$55,ROWS(A$1:A9))</f>
        <v>0.65848390386375777</v>
      </c>
      <c r="V49" s="633">
        <f t="shared" ca="1" si="29"/>
        <v>14</v>
      </c>
      <c r="W49" s="543"/>
      <c r="AH49" s="578">
        <v>22</v>
      </c>
      <c r="AI49" s="355" t="s">
        <v>7085</v>
      </c>
      <c r="AJ49" s="1128"/>
      <c r="AK49" s="909"/>
      <c r="AL49" s="909"/>
      <c r="AM49" s="909"/>
      <c r="AN49" s="909"/>
      <c r="AO49" s="909"/>
      <c r="AP49" s="909"/>
      <c r="AQ49" s="909"/>
      <c r="AR49" s="909"/>
      <c r="AS49" s="909"/>
      <c r="AT49" s="370"/>
      <c r="AU49" s="1128"/>
      <c r="AV49" s="1129"/>
      <c r="AW49" s="909"/>
      <c r="AX49" s="370"/>
      <c r="AY49" s="1128"/>
      <c r="AZ49" s="909"/>
      <c r="BA49" s="909"/>
      <c r="BB49" s="909"/>
      <c r="BC49" s="909"/>
      <c r="BD49" s="909"/>
      <c r="BE49" s="909"/>
      <c r="BF49" s="909"/>
      <c r="BG49" s="909"/>
      <c r="BH49" s="909"/>
      <c r="BI49" s="909"/>
      <c r="BJ49" s="909"/>
      <c r="BK49" s="909"/>
      <c r="BL49" s="909"/>
      <c r="BM49" s="909"/>
      <c r="BN49" s="909"/>
      <c r="BO49" s="909"/>
      <c r="BP49" s="370"/>
      <c r="BQ49" s="1128"/>
      <c r="BR49" s="909"/>
      <c r="BS49" s="909"/>
      <c r="BT49" s="909"/>
      <c r="BU49" s="1130"/>
      <c r="CB49" s="271"/>
    </row>
    <row r="50" spans="1:80" ht="11.25" thickBot="1">
      <c r="B50" s="502"/>
      <c r="C50" s="1195" t="s">
        <v>7086</v>
      </c>
      <c r="D50" s="1192"/>
      <c r="E50" s="1192"/>
      <c r="F50" s="1196" t="str">
        <f>[1]MATH!D11</f>
        <v>Tiefling</v>
      </c>
      <c r="G50" s="1202"/>
      <c r="H50" s="1192"/>
      <c r="I50" s="1192"/>
      <c r="J50" s="606"/>
      <c r="K50" s="1201">
        <v>7</v>
      </c>
      <c r="L50" s="1148" t="str">
        <f t="shared" si="30"/>
        <v/>
      </c>
      <c r="M50" s="1152"/>
      <c r="N50" s="1152"/>
      <c r="O50" s="1152"/>
      <c r="P50" s="1203"/>
      <c r="Q50" s="597"/>
      <c r="R50" s="979">
        <f t="shared" ca="1" si="28"/>
        <v>0.69231905713623298</v>
      </c>
      <c r="S50" s="1175">
        <v>11</v>
      </c>
      <c r="T50" s="355" t="s">
        <v>7087</v>
      </c>
      <c r="U50" s="351">
        <f ca="1">LARGE($R$41:$R$55,ROWS(A$1:A10))</f>
        <v>0.60873713803910345</v>
      </c>
      <c r="V50" s="633">
        <f t="shared" ca="1" si="29"/>
        <v>8</v>
      </c>
      <c r="W50" s="543"/>
      <c r="AH50" s="583">
        <v>23</v>
      </c>
      <c r="AI50" s="411" t="s">
        <v>7034</v>
      </c>
      <c r="AJ50" s="1204"/>
      <c r="AK50" s="908"/>
      <c r="AL50" s="908"/>
      <c r="AM50" s="908"/>
      <c r="AN50" s="908"/>
      <c r="AO50" s="908"/>
      <c r="AP50" s="908"/>
      <c r="AQ50" s="908"/>
      <c r="AR50" s="908"/>
      <c r="AS50" s="908"/>
      <c r="AT50" s="425"/>
      <c r="AU50" s="1204"/>
      <c r="AV50" s="1205"/>
      <c r="AW50" s="908"/>
      <c r="AX50" s="425"/>
      <c r="AY50" s="1204"/>
      <c r="AZ50" s="908"/>
      <c r="BA50" s="908"/>
      <c r="BB50" s="908"/>
      <c r="BC50" s="908"/>
      <c r="BD50" s="908"/>
      <c r="BE50" s="908"/>
      <c r="BF50" s="908"/>
      <c r="BG50" s="908"/>
      <c r="BH50" s="908"/>
      <c r="BI50" s="908"/>
      <c r="BJ50" s="908">
        <v>2</v>
      </c>
      <c r="BK50" s="908"/>
      <c r="BL50" s="908">
        <v>2</v>
      </c>
      <c r="BM50" s="908"/>
      <c r="BN50" s="908"/>
      <c r="BO50" s="908"/>
      <c r="BP50" s="425"/>
      <c r="BQ50" s="1204"/>
      <c r="BR50" s="908">
        <v>2</v>
      </c>
      <c r="BS50" s="908"/>
      <c r="BT50" s="908"/>
      <c r="BU50" s="1206"/>
      <c r="CB50" s="271"/>
    </row>
    <row r="51" spans="1:80" ht="11.25" thickBot="1">
      <c r="B51" s="502"/>
      <c r="C51" s="1195" t="s">
        <v>7088</v>
      </c>
      <c r="D51" s="1192"/>
      <c r="E51" s="1192"/>
      <c r="F51" s="1196" t="str">
        <f>[1]MATH!G21</f>
        <v/>
      </c>
      <c r="G51" s="1192"/>
      <c r="H51" s="1192"/>
      <c r="I51" s="1192"/>
      <c r="J51" s="606"/>
      <c r="K51" s="1207">
        <v>8</v>
      </c>
      <c r="L51" s="1158" t="str">
        <f t="shared" si="30"/>
        <v/>
      </c>
      <c r="M51" s="1159"/>
      <c r="N51" s="1159"/>
      <c r="O51" s="1159"/>
      <c r="P51" s="1208"/>
      <c r="Q51" s="597"/>
      <c r="R51" s="979">
        <f t="shared" ca="1" si="28"/>
        <v>0.17460782401844788</v>
      </c>
      <c r="S51" s="1175">
        <v>12</v>
      </c>
      <c r="T51" s="355" t="s">
        <v>7089</v>
      </c>
      <c r="U51" s="351">
        <f ca="1">LARGE($R$41:$R$55,ROWS(A$1:A11))</f>
        <v>0.48378718511120389</v>
      </c>
      <c r="V51" s="633">
        <f ca="1">VLOOKUP(U51,$R$41:$S$55,2,FALSE)</f>
        <v>5</v>
      </c>
      <c r="W51" s="543"/>
      <c r="AH51" s="587">
        <v>24</v>
      </c>
      <c r="AI51" s="1209" t="s">
        <v>7090</v>
      </c>
      <c r="AJ51" s="1210"/>
      <c r="AK51" s="1211"/>
      <c r="AL51" s="1211"/>
      <c r="AM51" s="1211"/>
      <c r="AN51" s="1211"/>
      <c r="AO51" s="1211"/>
      <c r="AP51" s="1211"/>
      <c r="AQ51" s="1211"/>
      <c r="AR51" s="1211"/>
      <c r="AS51" s="1211"/>
      <c r="AT51" s="1212"/>
      <c r="AU51" s="1210"/>
      <c r="AV51" s="1213"/>
      <c r="AW51" s="1211">
        <v>2</v>
      </c>
      <c r="AX51" s="1212"/>
      <c r="AY51" s="1210"/>
      <c r="AZ51" s="1211"/>
      <c r="BA51" s="1211"/>
      <c r="BB51" s="1211"/>
      <c r="BC51" s="1211"/>
      <c r="BD51" s="1211"/>
      <c r="BE51" s="1211"/>
      <c r="BF51" s="1211">
        <v>2</v>
      </c>
      <c r="BG51" s="1211"/>
      <c r="BH51" s="1211"/>
      <c r="BI51" s="1211"/>
      <c r="BJ51" s="1211"/>
      <c r="BK51" s="1211"/>
      <c r="BL51" s="1211">
        <v>2</v>
      </c>
      <c r="BM51" s="1211"/>
      <c r="BN51" s="1211"/>
      <c r="BO51" s="1211"/>
      <c r="BP51" s="1212"/>
      <c r="BQ51" s="1210"/>
      <c r="BR51" s="1211"/>
      <c r="BS51" s="1211"/>
      <c r="BT51" s="1211">
        <v>2</v>
      </c>
      <c r="BU51" s="1214"/>
      <c r="CB51" s="271"/>
    </row>
    <row r="52" spans="1:80" ht="11.25" thickBot="1">
      <c r="B52" s="502"/>
      <c r="C52" s="1195" t="s">
        <v>7091</v>
      </c>
      <c r="D52" s="1192"/>
      <c r="E52" s="1192"/>
      <c r="F52" s="1196" t="str">
        <f>[1]MATH!G22</f>
        <v/>
      </c>
      <c r="G52" s="1192"/>
      <c r="H52" s="1192"/>
      <c r="I52" s="1192"/>
      <c r="J52" s="606"/>
      <c r="R52" s="979">
        <f t="shared" ca="1" si="28"/>
        <v>0.99862791780357374</v>
      </c>
      <c r="S52" s="1175">
        <v>13</v>
      </c>
      <c r="T52" s="355" t="s">
        <v>7092</v>
      </c>
      <c r="U52" s="351">
        <f ca="1">LARGE($R$41:$R$55,ROWS(A$1:A12))</f>
        <v>0.25193253395539861</v>
      </c>
      <c r="V52" s="633">
        <f ca="1">VLOOKUP(U52,$R$41:$S$55,2,FALSE)</f>
        <v>2</v>
      </c>
      <c r="AH52" s="578">
        <v>25</v>
      </c>
      <c r="AI52" s="1209" t="s">
        <v>7093</v>
      </c>
      <c r="AJ52" s="1210"/>
      <c r="AK52" s="1211"/>
      <c r="AL52" s="1211"/>
      <c r="AM52" s="1211"/>
      <c r="AN52" s="1211"/>
      <c r="AO52" s="1211"/>
      <c r="AP52" s="1211"/>
      <c r="AQ52" s="1211"/>
      <c r="AR52" s="1211"/>
      <c r="AS52" s="1211"/>
      <c r="AT52" s="1212"/>
      <c r="AU52" s="1210"/>
      <c r="AV52" s="1213"/>
      <c r="AW52" s="1211"/>
      <c r="AX52" s="1212"/>
      <c r="AY52" s="1210"/>
      <c r="AZ52" s="1211"/>
      <c r="BA52" s="1211"/>
      <c r="BB52" s="1211"/>
      <c r="BC52" s="1211"/>
      <c r="BD52" s="1211"/>
      <c r="BE52" s="1211"/>
      <c r="BF52" s="1211"/>
      <c r="BG52" s="1211"/>
      <c r="BH52" s="1211"/>
      <c r="BI52" s="1211"/>
      <c r="BJ52" s="1211"/>
      <c r="BK52" s="1211"/>
      <c r="BL52" s="1211"/>
      <c r="BM52" s="1211"/>
      <c r="BN52" s="1211"/>
      <c r="BO52" s="1211"/>
      <c r="BP52" s="1212"/>
      <c r="BQ52" s="1210"/>
      <c r="BR52" s="1211"/>
      <c r="BS52" s="1211"/>
      <c r="BT52" s="1211"/>
      <c r="BU52" s="1214"/>
      <c r="CB52" s="271"/>
    </row>
    <row r="53" spans="1:80">
      <c r="R53" s="979">
        <f t="shared" ca="1" si="28"/>
        <v>0.65848390386375777</v>
      </c>
      <c r="S53" s="1175">
        <v>14</v>
      </c>
      <c r="T53" s="355" t="s">
        <v>7094</v>
      </c>
      <c r="U53" s="351">
        <f ca="1">LARGE($R$41:$R$55,ROWS(A$1:A13))</f>
        <v>0.18794298529129005</v>
      </c>
      <c r="V53" s="633">
        <f ca="1">VLOOKUP(U53,$R$41:$S$55,2,FALSE)</f>
        <v>7</v>
      </c>
      <c r="AH53" s="578">
        <v>26</v>
      </c>
      <c r="AI53" s="1209" t="s">
        <v>7095</v>
      </c>
      <c r="AJ53" s="1210"/>
      <c r="AK53" s="1211"/>
      <c r="AL53" s="1211"/>
      <c r="AM53" s="1211"/>
      <c r="AN53" s="1211"/>
      <c r="AO53" s="1211"/>
      <c r="AP53" s="1211"/>
      <c r="AQ53" s="1211"/>
      <c r="AR53" s="1211"/>
      <c r="AS53" s="1211"/>
      <c r="AT53" s="1212"/>
      <c r="AU53" s="1210"/>
      <c r="AV53" s="1213"/>
      <c r="AW53" s="1211"/>
      <c r="AX53" s="1212"/>
      <c r="AY53" s="1210"/>
      <c r="AZ53" s="1211"/>
      <c r="BA53" s="1211"/>
      <c r="BB53" s="1211"/>
      <c r="BC53" s="1211"/>
      <c r="BD53" s="1211"/>
      <c r="BE53" s="1211"/>
      <c r="BF53" s="1211"/>
      <c r="BG53" s="1211"/>
      <c r="BH53" s="1211"/>
      <c r="BI53" s="1211"/>
      <c r="BJ53" s="1211"/>
      <c r="BK53" s="1211"/>
      <c r="BL53" s="1211"/>
      <c r="BM53" s="1211"/>
      <c r="BN53" s="1211"/>
      <c r="BO53" s="1211"/>
      <c r="BP53" s="1212"/>
      <c r="BQ53" s="1210"/>
      <c r="BR53" s="1211"/>
      <c r="BS53" s="1211"/>
      <c r="BT53" s="1211"/>
      <c r="BU53" s="1214"/>
      <c r="CB53" s="271"/>
    </row>
    <row r="54" spans="1:80" ht="12" customHeight="1">
      <c r="B54" s="271"/>
      <c r="C54" s="273"/>
      <c r="D54" s="928"/>
      <c r="E54" s="928"/>
      <c r="R54" s="979">
        <f t="shared" ca="1" si="28"/>
        <v>7.5383233576613917E-2</v>
      </c>
      <c r="S54" s="1175">
        <v>15</v>
      </c>
      <c r="T54" s="355" t="s">
        <v>7096</v>
      </c>
      <c r="U54" s="351">
        <f ca="1">LARGE($R$41:$R$55,ROWS(A$1:A14))</f>
        <v>0.17460782401844788</v>
      </c>
      <c r="V54" s="633">
        <f ca="1">VLOOKUP(U54,$R$41:$S$55,2,FALSE)</f>
        <v>12</v>
      </c>
      <c r="AH54" s="578">
        <v>27</v>
      </c>
      <c r="AI54" s="1209" t="s">
        <v>7097</v>
      </c>
      <c r="AJ54" s="1210"/>
      <c r="AK54" s="1211"/>
      <c r="AL54" s="1211"/>
      <c r="AM54" s="1211"/>
      <c r="AN54" s="1211"/>
      <c r="AO54" s="1211"/>
      <c r="AP54" s="1211"/>
      <c r="AQ54" s="1211"/>
      <c r="AR54" s="1211"/>
      <c r="AS54" s="1211"/>
      <c r="AT54" s="1212"/>
      <c r="AU54" s="1210"/>
      <c r="AV54" s="1213"/>
      <c r="AW54" s="1211"/>
      <c r="AX54" s="1212"/>
      <c r="AY54" s="1210"/>
      <c r="AZ54" s="1211"/>
      <c r="BA54" s="1211"/>
      <c r="BB54" s="1211"/>
      <c r="BC54" s="1211"/>
      <c r="BD54" s="1211"/>
      <c r="BE54" s="1211"/>
      <c r="BF54" s="1211"/>
      <c r="BG54" s="1211"/>
      <c r="BH54" s="1211"/>
      <c r="BI54" s="1211"/>
      <c r="BJ54" s="1211"/>
      <c r="BK54" s="1211"/>
      <c r="BL54" s="1211"/>
      <c r="BM54" s="1211"/>
      <c r="BN54" s="1211"/>
      <c r="BO54" s="1211"/>
      <c r="BP54" s="1212"/>
      <c r="BQ54" s="1210"/>
      <c r="BR54" s="1211"/>
      <c r="BS54" s="1211"/>
      <c r="BT54" s="1211"/>
      <c r="BU54" s="1214"/>
      <c r="CB54" s="271"/>
    </row>
    <row r="55" spans="1:80" ht="12" customHeight="1" thickBot="1">
      <c r="B55" s="3474" t="str">
        <f>[1]MATH!D8</f>
        <v>Wizard</v>
      </c>
      <c r="C55" s="3476" t="str">
        <f>[1]MATH!D9</f>
        <v>(War Magic)</v>
      </c>
      <c r="D55" s="2795"/>
      <c r="E55" s="3476" t="str">
        <f>IF([1]MATH!C8=2,[1]CLASS!D83,IF([1]MATH!C8=9,[1]CLASS!K83,IF([1]MATH!C8=10,[1]CLASS!L83,"")))</f>
        <v/>
      </c>
      <c r="F55" s="2795"/>
      <c r="R55" s="1215">
        <f t="shared" ca="1" si="28"/>
        <v>0.960538205375016</v>
      </c>
      <c r="S55" s="1175">
        <v>16</v>
      </c>
      <c r="T55" s="355" t="s">
        <v>7098</v>
      </c>
      <c r="U55" s="906">
        <f ca="1">LARGE($R$41:$R$55,ROWS(A$1:A15))</f>
        <v>7.5383233576613917E-2</v>
      </c>
      <c r="V55" s="637">
        <f ca="1">VLOOKUP(U55,$R$41:$S$55,2,FALSE)</f>
        <v>15</v>
      </c>
      <c r="AH55" s="578">
        <v>28</v>
      </c>
      <c r="AI55" s="1209" t="s">
        <v>7099</v>
      </c>
      <c r="AJ55" s="1210"/>
      <c r="AK55" s="1211"/>
      <c r="AL55" s="1211"/>
      <c r="AM55" s="1211"/>
      <c r="AN55" s="1211"/>
      <c r="AO55" s="1211"/>
      <c r="AP55" s="1211"/>
      <c r="AQ55" s="1211"/>
      <c r="AR55" s="1211"/>
      <c r="AS55" s="1211"/>
      <c r="AT55" s="1212"/>
      <c r="AU55" s="1210"/>
      <c r="AV55" s="1213"/>
      <c r="AW55" s="1211"/>
      <c r="AX55" s="1212"/>
      <c r="AY55" s="1210"/>
      <c r="AZ55" s="1211"/>
      <c r="BA55" s="1211"/>
      <c r="BB55" s="1211"/>
      <c r="BC55" s="1211"/>
      <c r="BD55" s="1211"/>
      <c r="BE55" s="1211"/>
      <c r="BF55" s="1211"/>
      <c r="BG55" s="1211"/>
      <c r="BH55" s="1211"/>
      <c r="BI55" s="1211"/>
      <c r="BJ55" s="1211"/>
      <c r="BK55" s="1211"/>
      <c r="BL55" s="1211"/>
      <c r="BM55" s="1211"/>
      <c r="BN55" s="1211"/>
      <c r="BO55" s="1211"/>
      <c r="BP55" s="1212"/>
      <c r="BQ55" s="1210"/>
      <c r="BR55" s="1211"/>
      <c r="BS55" s="1211"/>
      <c r="BT55" s="1211"/>
      <c r="BU55" s="1214"/>
      <c r="CB55" s="271"/>
    </row>
    <row r="56" spans="1:80" ht="12" customHeight="1">
      <c r="B56" s="3475"/>
      <c r="C56" s="3477"/>
      <c r="D56" s="2801"/>
      <c r="E56" s="2799"/>
      <c r="F56" s="2801"/>
      <c r="S56" s="1175">
        <v>17</v>
      </c>
      <c r="T56" s="355" t="s">
        <v>7100</v>
      </c>
      <c r="AH56" s="578">
        <v>29</v>
      </c>
      <c r="AI56" s="1209" t="s">
        <v>7101</v>
      </c>
      <c r="AJ56" s="1210"/>
      <c r="AK56" s="1211"/>
      <c r="AL56" s="1211"/>
      <c r="AM56" s="1211"/>
      <c r="AN56" s="1211"/>
      <c r="AO56" s="1211"/>
      <c r="AP56" s="1211"/>
      <c r="AQ56" s="1211"/>
      <c r="AR56" s="1211"/>
      <c r="AS56" s="1211"/>
      <c r="AT56" s="1212"/>
      <c r="AU56" s="1210"/>
      <c r="AV56" s="1213"/>
      <c r="AW56" s="1211"/>
      <c r="AX56" s="1212"/>
      <c r="AY56" s="1210"/>
      <c r="AZ56" s="1211"/>
      <c r="BA56" s="1211"/>
      <c r="BB56" s="1211"/>
      <c r="BC56" s="1211"/>
      <c r="BD56" s="1211"/>
      <c r="BE56" s="1211"/>
      <c r="BF56" s="1211"/>
      <c r="BG56" s="1211"/>
      <c r="BH56" s="1211"/>
      <c r="BI56" s="1211"/>
      <c r="BJ56" s="1211"/>
      <c r="BK56" s="1211"/>
      <c r="BL56" s="1211"/>
      <c r="BM56" s="1211"/>
      <c r="BN56" s="1211"/>
      <c r="BO56" s="1211"/>
      <c r="BP56" s="1212"/>
      <c r="BQ56" s="1210"/>
      <c r="BR56" s="1211"/>
      <c r="BS56" s="1211"/>
      <c r="BT56" s="1211"/>
      <c r="BU56" s="1214"/>
      <c r="CB56" s="271"/>
    </row>
    <row r="57" spans="1:80" ht="12" customHeight="1" thickBot="1">
      <c r="B57" s="3457" t="s">
        <v>7102</v>
      </c>
      <c r="C57" s="3459">
        <f>IF($E$55="(Archery)",2,0)</f>
        <v>0</v>
      </c>
      <c r="D57" s="3460"/>
      <c r="E57" s="918"/>
      <c r="S57" s="1216">
        <v>18</v>
      </c>
      <c r="T57" s="411" t="s">
        <v>7103</v>
      </c>
      <c r="AH57" s="578">
        <v>30</v>
      </c>
      <c r="AI57" s="1217"/>
      <c r="AJ57" s="1210"/>
      <c r="AK57" s="1211"/>
      <c r="AL57" s="1211"/>
      <c r="AM57" s="1211"/>
      <c r="AN57" s="1211"/>
      <c r="AO57" s="1211"/>
      <c r="AP57" s="1211"/>
      <c r="AQ57" s="1211"/>
      <c r="AR57" s="1211"/>
      <c r="AS57" s="1211"/>
      <c r="AT57" s="1212"/>
      <c r="AU57" s="1210"/>
      <c r="AV57" s="1213"/>
      <c r="AW57" s="1211"/>
      <c r="AX57" s="1212"/>
      <c r="AY57" s="1210"/>
      <c r="AZ57" s="1211"/>
      <c r="BA57" s="1211"/>
      <c r="BB57" s="1211"/>
      <c r="BC57" s="1211"/>
      <c r="BD57" s="1211"/>
      <c r="BE57" s="1211"/>
      <c r="BF57" s="1211"/>
      <c r="BG57" s="1211"/>
      <c r="BH57" s="1211"/>
      <c r="BI57" s="1211"/>
      <c r="BJ57" s="1211"/>
      <c r="BK57" s="1211"/>
      <c r="BL57" s="1211"/>
      <c r="BM57" s="1211"/>
      <c r="BN57" s="1211"/>
      <c r="BO57" s="1211"/>
      <c r="BP57" s="1212"/>
      <c r="BQ57" s="1210"/>
      <c r="BR57" s="1211"/>
      <c r="BS57" s="1211"/>
      <c r="BT57" s="1211"/>
      <c r="BU57" s="1214"/>
      <c r="CB57" s="271"/>
    </row>
    <row r="58" spans="1:80" ht="12" customHeight="1" thickBot="1">
      <c r="B58" s="3458"/>
      <c r="C58" s="3461"/>
      <c r="D58" s="3462"/>
      <c r="E58" s="918"/>
      <c r="F58" s="273"/>
      <c r="I58" s="1218"/>
      <c r="J58" s="1218"/>
      <c r="K58" s="1218"/>
      <c r="L58" s="1218"/>
      <c r="M58" s="1218"/>
      <c r="N58" s="1218"/>
      <c r="O58" s="1218"/>
      <c r="P58" s="1218"/>
      <c r="Q58" s="1218"/>
      <c r="R58" s="1218"/>
      <c r="S58" s="1218"/>
      <c r="AH58" s="578">
        <v>31</v>
      </c>
      <c r="AI58" s="1209"/>
      <c r="AJ58" s="1210"/>
      <c r="AK58" s="1211"/>
      <c r="AL58" s="1211"/>
      <c r="AM58" s="1211"/>
      <c r="AN58" s="1211"/>
      <c r="AO58" s="1211"/>
      <c r="AP58" s="1211"/>
      <c r="AQ58" s="1211"/>
      <c r="AR58" s="1211"/>
      <c r="AS58" s="1211"/>
      <c r="AT58" s="1212"/>
      <c r="AU58" s="1210"/>
      <c r="AV58" s="1213"/>
      <c r="AW58" s="1211"/>
      <c r="AX58" s="1212"/>
      <c r="AY58" s="1210"/>
      <c r="AZ58" s="1211"/>
      <c r="BA58" s="1211"/>
      <c r="BB58" s="1211"/>
      <c r="BC58" s="1211"/>
      <c r="BD58" s="1211"/>
      <c r="BE58" s="1211"/>
      <c r="BF58" s="1211"/>
      <c r="BG58" s="1211"/>
      <c r="BH58" s="1211"/>
      <c r="BI58" s="1211"/>
      <c r="BJ58" s="1211"/>
      <c r="BK58" s="1211"/>
      <c r="BL58" s="1211"/>
      <c r="BM58" s="1211"/>
      <c r="BN58" s="1211"/>
      <c r="BO58" s="1211"/>
      <c r="BP58" s="1212"/>
      <c r="BQ58" s="1210"/>
      <c r="BR58" s="1211"/>
      <c r="BS58" s="1211"/>
      <c r="BT58" s="1211"/>
      <c r="BU58" s="1214"/>
    </row>
    <row r="59" spans="1:80" ht="12" customHeight="1" thickBot="1">
      <c r="B59" s="3457" t="s">
        <v>7104</v>
      </c>
      <c r="C59" s="3459" t="str">
        <f>IF(AND([1]MATH!C8=2,E55="(Defense)"),2,IF(AND([1]MATH!C8=10,E55="(Defense)"),1,IF(AND([1]MATH!C8=9,E55="(Defense)"),1,"")))</f>
        <v/>
      </c>
      <c r="D59" s="3460"/>
      <c r="E59" s="918"/>
      <c r="I59" s="1218"/>
      <c r="J59" s="3463" t="s">
        <v>7105</v>
      </c>
      <c r="K59" s="3464"/>
      <c r="L59" s="1219" t="s">
        <v>7016</v>
      </c>
      <c r="M59" s="1220"/>
      <c r="N59" s="1220"/>
      <c r="O59" s="1220"/>
      <c r="P59" s="1220"/>
      <c r="Q59" s="1220"/>
      <c r="R59" s="1221"/>
      <c r="S59" s="1222"/>
      <c r="T59" s="1219" t="s">
        <v>7061</v>
      </c>
      <c r="U59" s="1220"/>
      <c r="V59" s="1220"/>
      <c r="W59" s="1220"/>
      <c r="X59" s="1220"/>
      <c r="Y59" s="1220"/>
      <c r="Z59" s="1221"/>
      <c r="AA59" s="1223"/>
      <c r="AB59" s="1224"/>
      <c r="AH59" s="578">
        <v>32</v>
      </c>
      <c r="AI59" s="1209"/>
      <c r="AJ59" s="1210"/>
      <c r="AK59" s="1211"/>
      <c r="AL59" s="1211"/>
      <c r="AM59" s="1211"/>
      <c r="AN59" s="1211"/>
      <c r="AO59" s="1211"/>
      <c r="AP59" s="1211"/>
      <c r="AQ59" s="1211"/>
      <c r="AR59" s="1211"/>
      <c r="AS59" s="1211"/>
      <c r="AT59" s="1212"/>
      <c r="AU59" s="1210"/>
      <c r="AV59" s="1213"/>
      <c r="AW59" s="1211"/>
      <c r="AX59" s="1212"/>
      <c r="AY59" s="1210"/>
      <c r="AZ59" s="1211"/>
      <c r="BA59" s="1211"/>
      <c r="BB59" s="1211"/>
      <c r="BC59" s="1211"/>
      <c r="BD59" s="1211"/>
      <c r="BE59" s="1211"/>
      <c r="BF59" s="1211"/>
      <c r="BG59" s="1211"/>
      <c r="BH59" s="1211"/>
      <c r="BI59" s="1211"/>
      <c r="BJ59" s="1211"/>
      <c r="BK59" s="1211"/>
      <c r="BL59" s="1211"/>
      <c r="BM59" s="1211"/>
      <c r="BN59" s="1211"/>
      <c r="BO59" s="1211"/>
      <c r="BP59" s="1212"/>
      <c r="BQ59" s="1210"/>
      <c r="BR59" s="1211"/>
      <c r="BS59" s="1211"/>
      <c r="BT59" s="1211"/>
      <c r="BU59" s="1214"/>
    </row>
    <row r="60" spans="1:80" ht="12" customHeight="1" thickBot="1">
      <c r="B60" s="3458"/>
      <c r="C60" s="3461"/>
      <c r="D60" s="3462"/>
      <c r="E60" s="918"/>
      <c r="I60" s="1218"/>
      <c r="J60" s="3465"/>
      <c r="K60" s="3466"/>
      <c r="L60" s="1225" t="s">
        <v>7106</v>
      </c>
      <c r="M60" s="1226"/>
      <c r="N60" s="948">
        <f>VLOOKUP([1]BACKGROUNDS!$B$4,[1]BACKGROUNDS!$B$5:$E$35,3)</f>
        <v>4</v>
      </c>
      <c r="O60" s="896">
        <f t="shared" ref="O60:R61" si="31">N60</f>
        <v>4</v>
      </c>
      <c r="P60" s="896">
        <f t="shared" si="31"/>
        <v>4</v>
      </c>
      <c r="Q60" s="896">
        <f t="shared" si="31"/>
        <v>4</v>
      </c>
      <c r="R60" s="900">
        <f t="shared" si="31"/>
        <v>4</v>
      </c>
      <c r="S60" s="1218"/>
      <c r="T60" s="1227" t="s">
        <v>7107</v>
      </c>
      <c r="U60" s="1228" t="str">
        <f>[1]MATH!$D$11</f>
        <v>Tiefling</v>
      </c>
      <c r="V60" s="948">
        <f>VLOOKUP([1]MATH!$C$11,[1]RACE!$B$6:$N$34,11)</f>
        <v>1</v>
      </c>
      <c r="W60" s="896">
        <f t="shared" ref="W60:Z62" si="32">V60</f>
        <v>1</v>
      </c>
      <c r="X60" s="896">
        <f t="shared" si="32"/>
        <v>1</v>
      </c>
      <c r="Y60" s="896">
        <f t="shared" si="32"/>
        <v>1</v>
      </c>
      <c r="Z60" s="900">
        <f t="shared" si="32"/>
        <v>1</v>
      </c>
      <c r="AA60" s="818" t="str">
        <f>IF(Z60&gt;0,VLOOKUP(Z60,$S$40:$T$57,2,TRUE),"")</f>
        <v>Common</v>
      </c>
      <c r="AB60" s="1224"/>
      <c r="AH60" s="583">
        <v>33</v>
      </c>
      <c r="AI60" s="1229"/>
      <c r="AJ60" s="1230"/>
      <c r="AK60" s="1231"/>
      <c r="AL60" s="1231"/>
      <c r="AM60" s="1231"/>
      <c r="AN60" s="1231"/>
      <c r="AO60" s="1231"/>
      <c r="AP60" s="1231"/>
      <c r="AQ60" s="1231"/>
      <c r="AR60" s="1231"/>
      <c r="AS60" s="1231"/>
      <c r="AT60" s="1232"/>
      <c r="AU60" s="1230"/>
      <c r="AV60" s="1233"/>
      <c r="AW60" s="1231"/>
      <c r="AX60" s="1232"/>
      <c r="AY60" s="1230"/>
      <c r="AZ60" s="1231"/>
      <c r="BA60" s="1231"/>
      <c r="BB60" s="1231"/>
      <c r="BC60" s="1231"/>
      <c r="BD60" s="1231"/>
      <c r="BE60" s="1231"/>
      <c r="BF60" s="1231"/>
      <c r="BG60" s="1231"/>
      <c r="BH60" s="1231"/>
      <c r="BI60" s="1231"/>
      <c r="BJ60" s="1231"/>
      <c r="BK60" s="1231"/>
      <c r="BL60" s="1231"/>
      <c r="BM60" s="1231"/>
      <c r="BN60" s="1231"/>
      <c r="BO60" s="1231"/>
      <c r="BP60" s="1232"/>
      <c r="BQ60" s="1230"/>
      <c r="BR60" s="1231"/>
      <c r="BS60" s="1231"/>
      <c r="BT60" s="1231"/>
      <c r="BU60" s="1234"/>
    </row>
    <row r="61" spans="1:80" ht="12" customHeight="1">
      <c r="B61" s="3457" t="s">
        <v>7108</v>
      </c>
      <c r="C61" s="3459">
        <f>IF($E$55="(Dueling)",2,0)</f>
        <v>0</v>
      </c>
      <c r="D61" s="3460"/>
      <c r="E61" s="918"/>
      <c r="I61" s="1218"/>
      <c r="J61" s="3465"/>
      <c r="K61" s="3466"/>
      <c r="L61" s="1235" t="s">
        <v>7109</v>
      </c>
      <c r="M61" s="1236"/>
      <c r="N61" s="974">
        <f>VLOOKUP([1]BACKGROUNDS!$B$4,[1]BACKGROUNDS!$B$5:$E$35,4)</f>
        <v>8</v>
      </c>
      <c r="O61" s="901">
        <f t="shared" si="31"/>
        <v>8</v>
      </c>
      <c r="P61" s="901">
        <f t="shared" si="31"/>
        <v>8</v>
      </c>
      <c r="Q61" s="901">
        <f t="shared" si="31"/>
        <v>8</v>
      </c>
      <c r="R61" s="904">
        <f t="shared" si="31"/>
        <v>8</v>
      </c>
      <c r="S61" s="1218"/>
      <c r="T61" s="1237" t="s">
        <v>7110</v>
      </c>
      <c r="U61" s="1238" t="str">
        <f>[1]MATH!$D$11</f>
        <v>Tiefling</v>
      </c>
      <c r="V61" s="974">
        <f>VLOOKUP([1]MATH!$C$11,[1]RACE!$B$6:$N$34,12)</f>
        <v>13</v>
      </c>
      <c r="W61" s="901">
        <f t="shared" si="32"/>
        <v>13</v>
      </c>
      <c r="X61" s="901">
        <f t="shared" si="32"/>
        <v>13</v>
      </c>
      <c r="Y61" s="901">
        <f t="shared" si="32"/>
        <v>13</v>
      </c>
      <c r="Z61" s="904">
        <f t="shared" si="32"/>
        <v>13</v>
      </c>
      <c r="AA61" s="821" t="str">
        <f>IF(Z61&gt;0,VLOOKUP(Z61,$S$40:$T$57,2,TRUE),"")</f>
        <v>Infernal</v>
      </c>
      <c r="AB61" s="1224"/>
    </row>
    <row r="62" spans="1:80" ht="12" customHeight="1">
      <c r="B62" s="3458"/>
      <c r="C62" s="3461"/>
      <c r="D62" s="3462"/>
      <c r="E62" s="918"/>
      <c r="I62" s="1218"/>
      <c r="J62" s="3465"/>
      <c r="K62" s="3466"/>
      <c r="L62" s="1239" t="s">
        <v>7107</v>
      </c>
      <c r="M62" s="1240" t="str">
        <f>[1]MATH!D11</f>
        <v>Tiefling</v>
      </c>
      <c r="N62" s="974" t="str">
        <f>IF(OR([1]MATH!C11=3,[1]MATH!C11=4,[1]MATH!C11=16,[1]MATH!C11=19,[1]MATH!C11=20,[1]MATH!C11=23,[1]MATH!C11=24),HLOOKUP([1]MATH!$C$11,Y25:AE36,5,0),"")</f>
        <v/>
      </c>
      <c r="O62" s="901" t="str">
        <f>IF(COUNTBLANK(N62)&gt;0,"",IF(COUNTIF($N$60:$N$62,N62)&gt;1,VLOOKUP(3,E3:G20,2,0),N62))</f>
        <v/>
      </c>
      <c r="P62" s="901" t="str">
        <f>IF(COUNTBLANK($O$62)&gt;0,"",IF(COUNTIF($O$60:$O$64,O62)&gt;1,HLOOKUP([1]MATH!$C$11,SKILLS!$Y$25:$AE$34,7,0),O62))</f>
        <v/>
      </c>
      <c r="Q62" s="901" t="str">
        <f>P62</f>
        <v/>
      </c>
      <c r="R62" s="904" t="str">
        <f>Q62</f>
        <v/>
      </c>
      <c r="S62" s="1218"/>
      <c r="T62" s="1237" t="s">
        <v>7111</v>
      </c>
      <c r="U62" s="1238" t="str">
        <f>[1]MATH!$D$11</f>
        <v>Tiefling</v>
      </c>
      <c r="V62" s="974">
        <f>VLOOKUP([1]MATH!$C$11,[1]RACE!$B$6:$N$34,13)</f>
        <v>0</v>
      </c>
      <c r="W62" s="901">
        <f t="shared" si="32"/>
        <v>0</v>
      </c>
      <c r="X62" s="901">
        <f t="shared" si="32"/>
        <v>0</v>
      </c>
      <c r="Y62" s="901">
        <f t="shared" si="32"/>
        <v>0</v>
      </c>
      <c r="Z62" s="904">
        <f t="shared" si="32"/>
        <v>0</v>
      </c>
      <c r="AA62" s="821" t="str">
        <f>IF(Z62&gt;0,VLOOKUP(Z62,$S$40:$T$57,2,TRUE),"")</f>
        <v/>
      </c>
      <c r="AB62" s="1224"/>
    </row>
    <row r="63" spans="1:80" ht="12" customHeight="1" thickBot="1">
      <c r="B63" s="3457" t="s">
        <v>7112</v>
      </c>
      <c r="C63" s="3459">
        <f>IF($E$55="(2-Wep.Fighting)",2,0)</f>
        <v>0</v>
      </c>
      <c r="D63" s="3460"/>
      <c r="E63" s="918"/>
      <c r="I63" s="1218"/>
      <c r="J63" s="3465"/>
      <c r="K63" s="3466"/>
      <c r="L63" s="1239" t="s">
        <v>7110</v>
      </c>
      <c r="M63" s="1240" t="str">
        <f>[1]MATH!D11</f>
        <v>Tiefling</v>
      </c>
      <c r="N63" s="974" t="str">
        <f>IF([1]MATH!C11=19,BQ6,"")</f>
        <v/>
      </c>
      <c r="O63" s="901" t="str">
        <f>IF(COUNTBLANK(N62:N63)&gt;0,"",IF(COUNTIF($N$60:$N$63,N63)&gt;1,VLOOKUP(3,$E$3:$G$20,2,0),N63))</f>
        <v/>
      </c>
      <c r="P63" s="901" t="str">
        <f>IF(COUNTBLANK($O$62:$O$63)&gt;0,"",IF(COUNTIF($O$60:$O$63,O63)&gt;1,HLOOKUP([1]MATH!$C$8,SKILLS!$L$25:$W$34,7,0),O63))</f>
        <v/>
      </c>
      <c r="Q63" s="901" t="str">
        <f>IF(COUNTBLANK($O$62:$O$63)&gt;0,"",IF(COUNTIF($P$60:$P$63,P63)&gt;1,HLOOKUP([1]MATH!$C$8,SKILLS!$L$25:$W$34,8,0),P63))</f>
        <v/>
      </c>
      <c r="R63" s="904" t="str">
        <f>Q63</f>
        <v/>
      </c>
      <c r="S63" s="1218"/>
      <c r="T63" s="1241" t="str">
        <f>CONCATENATE([1]BACKGROUNDS!$C$4," - ",(ROWS(A$1:A1)))</f>
        <v>6 - 1</v>
      </c>
      <c r="U63" s="1242"/>
      <c r="V63" s="974" t="str">
        <f>HLOOKUP([1]MATH!$C$13,$P$40:$P$51,ROWS(A$1:A5),TRUE)</f>
        <v/>
      </c>
      <c r="W63" s="901" t="str">
        <f>IF(COUNTIF($V$60:$V$63,V63)&gt;1,HLOOKUP([1]MATH!$C$13,SKILLS!$P$40:$P$51,7,0),V63)</f>
        <v/>
      </c>
      <c r="X63" s="901">
        <f>IF(COUNTIF($W$60:$W$64,W63)&gt;1,HLOOKUP([1]MATH!$C$13,SKILLS!$P$40:$P$51,9,0),W63)</f>
        <v>0</v>
      </c>
      <c r="Y63" s="901">
        <f>IF(COUNTIF($X$60:$X$64,X63)&gt;1,HLOOKUP([1]MATH!$C$13,SKILLS!$P$40:$P$51,11,0),X63)</f>
        <v>0</v>
      </c>
      <c r="Z63" s="904">
        <f>IF(COUNTIF($Y$60:$Y$64,Y63)&gt;1,HLOOKUP([1]MATH!$C$13,SKILLS!$P$40:$P$51,10,0),Y63)</f>
        <v>0</v>
      </c>
      <c r="AA63" s="821" t="str">
        <f>IF(Z63&gt;0,VLOOKUP(Z63,$S$40:$T$57,2,TRUE),"")</f>
        <v/>
      </c>
      <c r="AB63" s="1224"/>
      <c r="AG63" s="928"/>
    </row>
    <row r="64" spans="1:80" ht="12" customHeight="1" thickBot="1">
      <c r="B64" s="3458"/>
      <c r="C64" s="3461"/>
      <c r="D64" s="3462"/>
      <c r="E64" s="918"/>
      <c r="F64" s="273"/>
      <c r="I64" s="1218"/>
      <c r="J64" s="3465"/>
      <c r="K64" s="3466"/>
      <c r="L64" s="1235" t="str">
        <f>CONCATENATE([1]MATH!$D$8," - 1")</f>
        <v>Wizard - 1</v>
      </c>
      <c r="M64" s="1236"/>
      <c r="N64" s="974">
        <f ca="1">HLOOKUP([1]MATH!$C$8,SKILLS!$L$25:$X$32,5,0)</f>
        <v>9</v>
      </c>
      <c r="O64" s="901">
        <f ca="1">IF(COUNTIF($N$60:$N$67,N64)&gt;1,HLOOKUP([1]MATH!$C$8,SKILLS!$L$25:$X$34,6,0),N64)</f>
        <v>9</v>
      </c>
      <c r="P64" s="901">
        <f ca="1">IF(COUNTIF($O$60:$O$64,O64)&gt;1,HLOOKUP([1]MATH!$C$8,SKILLS!$L$25:$X$34,7,0),O64)</f>
        <v>9</v>
      </c>
      <c r="Q64" s="901">
        <f ca="1">IF(COUNTIF($P$60:$P$64,P64)&gt;1,HLOOKUP([1]MATH!$C$8,SKILLS!$L$25:$X$34,6,0),P64)</f>
        <v>9</v>
      </c>
      <c r="R64" s="904">
        <f ca="1">Q64</f>
        <v>9</v>
      </c>
      <c r="S64" s="1218"/>
      <c r="T64" s="1241" t="str">
        <f>CONCATENATE([1]BACKGROUNDS!$C$4," - ",(ROWS(A$1:A2)))</f>
        <v>6 - 2</v>
      </c>
      <c r="U64" s="1242"/>
      <c r="V64" s="974" t="str">
        <f>HLOOKUP([1]MATH!$C$13,$P$40:$P$51,ROWS(A$1:A6),TRUE)</f>
        <v/>
      </c>
      <c r="W64" s="901" t="str">
        <f>IF(COUNTIF($V$60:$V$64,V64)&gt;1,HLOOKUP([1]MATH!$C$13,SKILLS!$P$40:$P$51,7,0),V64)</f>
        <v/>
      </c>
      <c r="X64" s="901">
        <f>IF(COUNTIF($W$60:$W$64,W64)&gt;1,HLOOKUP([1]MATH!$C$13,SKILLS!$P$40:$P$51,10,0),W64)</f>
        <v>0</v>
      </c>
      <c r="Y64" s="901">
        <f>IF(COUNTIF($X$60:$X$64,X64)&gt;1,HLOOKUP([1]MATH!$C$13,SKILLS!$P$40:$P$51,12,0),X64)</f>
        <v>0</v>
      </c>
      <c r="Z64" s="904">
        <f>IF(COUNTIF($Y$60:$Y$64,Y64)&gt;1,HLOOKUP([1]MATH!$C$13,SKILLS!$P$40:$P$51,11,0),Y64)</f>
        <v>0</v>
      </c>
      <c r="AA64" s="821" t="str">
        <f>IFERROR(IF(Z64&gt;0,VLOOKUP(Z64,$S$40:$T$57,2,TRUE),""),"")</f>
        <v/>
      </c>
      <c r="AB64" s="1224"/>
      <c r="AH64" s="3301" t="s">
        <v>7015</v>
      </c>
      <c r="AI64" s="3337"/>
      <c r="AJ64" s="3337"/>
      <c r="AK64" s="3337"/>
      <c r="AL64" s="3337"/>
      <c r="AM64" s="3337"/>
      <c r="AN64" s="3337"/>
      <c r="AO64" s="3337"/>
      <c r="AP64" s="3337"/>
      <c r="AQ64" s="3337"/>
      <c r="AR64" s="3337"/>
      <c r="AS64" s="3337"/>
      <c r="AT64" s="3337"/>
      <c r="AU64" s="3337"/>
      <c r="AV64" s="3337"/>
      <c r="AW64" s="3337"/>
      <c r="AX64" s="3337"/>
      <c r="AY64" s="3337"/>
      <c r="AZ64" s="3337"/>
      <c r="BA64" s="3337"/>
      <c r="BB64" s="3337"/>
      <c r="BC64" s="3337"/>
      <c r="BD64" s="3337"/>
      <c r="BE64" s="3337"/>
      <c r="BF64" s="3337"/>
      <c r="BG64" s="3337"/>
      <c r="BH64" s="3337"/>
      <c r="BI64" s="3337"/>
      <c r="BJ64" s="3337"/>
      <c r="BK64" s="3337"/>
      <c r="BL64" s="3337"/>
      <c r="BM64" s="3337"/>
      <c r="BN64" s="3337"/>
      <c r="BO64" s="3337"/>
      <c r="BP64" s="3337"/>
      <c r="BQ64" s="3337"/>
      <c r="BR64" s="3337"/>
      <c r="BS64" s="3337"/>
      <c r="BT64" s="3337"/>
      <c r="BU64" s="3451"/>
    </row>
    <row r="65" spans="2:79" ht="12" customHeight="1" thickBot="1">
      <c r="C65" s="272"/>
      <c r="D65" s="273"/>
      <c r="E65" s="273"/>
      <c r="F65" s="273"/>
      <c r="I65" s="1218"/>
      <c r="J65" s="3465"/>
      <c r="K65" s="3466"/>
      <c r="L65" s="1235" t="str">
        <f>CONCATENATE([1]MATH!$D$8," - 2")</f>
        <v>Wizard - 2</v>
      </c>
      <c r="M65" s="1236"/>
      <c r="N65" s="974">
        <f ca="1">HLOOKUP([1]MATH!$C$8,SKILLS!$L$25:$X$32,6,0)</f>
        <v>15</v>
      </c>
      <c r="O65" s="901">
        <f ca="1">IF(COUNTIF($N$60:$N$65,N65)&gt;1,HLOOKUP([1]MATH!$C$8,SKILLS!$L$25:$X$34,6,0),N65)</f>
        <v>15</v>
      </c>
      <c r="P65" s="901">
        <f ca="1">IF(COUNTIF($O$60:$O$65,O65)&gt;1,HLOOKUP([1]MATH!$C$8,SKILLS!$L$25:$X$34,7,0),O65)</f>
        <v>15</v>
      </c>
      <c r="Q65" s="901">
        <f ca="1">IF(COUNTIF($P$60:$P$65,P65)&gt;1,HLOOKUP([1]MATH!$C$8,SKILLS!$L$25:$X$34,8,0),P65)</f>
        <v>15</v>
      </c>
      <c r="R65" s="904">
        <f ca="1">IF(COUNTIF($P$60:$P$65,Q65)&gt;1,HLOOKUP([1]MATH!$C$8,SKILLS!$L$25:$X$34,9,0),Q65)</f>
        <v>15</v>
      </c>
      <c r="S65" s="1218"/>
      <c r="T65" s="1241" t="str">
        <f>CONCATENATE([1]MATH!$D$8," - ",(ROWS(A$1:A1)))</f>
        <v>Wizard - 1</v>
      </c>
      <c r="U65" s="1242"/>
      <c r="V65" s="974" t="str">
        <f>IFERROR(HLOOKUP([1]MATH!$C$8,$L$40:$O$51,ROWS(A$1:A5),TRUE),"")</f>
        <v/>
      </c>
      <c r="W65" s="901" t="str">
        <f>IFERROR(IF(COUNTIF($V$60:$V$66,V65)&gt;1,HLOOKUP([1]MATH!$C$8,SKILLS!$L$40:$O$51,7,0),V65),"")</f>
        <v/>
      </c>
      <c r="X65" s="901" t="str">
        <f>IFERROR(IF(COUNTIF($W$60:$W$66,W65)&gt;1,HLOOKUP([1]MATH!$C$8,SKILLS!$L$40:$O$51,9,0),W65),"")</f>
        <v/>
      </c>
      <c r="Y65" s="901" t="str">
        <f>IFERROR(IF(COUNTIF($W$60:$W$66,X65)&gt;1,HLOOKUP([1]MATH!$C$8,SKILLS!$L$40:$O$51,11,0),X65),"")</f>
        <v/>
      </c>
      <c r="Z65" s="904" t="str">
        <f>Y65</f>
        <v/>
      </c>
      <c r="AA65" s="821" t="str">
        <f>IFERROR(IF([1]MATH!$C$8=10,[1]CLASS!C274,IF(Z65&gt;0,VLOOKUP(Z65,$S$40:$T$57,2,TRUE),"")),"")</f>
        <v/>
      </c>
      <c r="AB65" s="1224"/>
      <c r="AH65" s="1243" t="s">
        <v>7113</v>
      </c>
      <c r="AI65" s="1244" t="s">
        <v>5981</v>
      </c>
      <c r="AJ65" s="3269" t="s">
        <v>7114</v>
      </c>
      <c r="AK65" s="3270"/>
      <c r="AL65" s="3270"/>
      <c r="AM65" s="3270"/>
      <c r="AN65" s="3270"/>
      <c r="AO65" s="3270"/>
      <c r="AP65" s="3270"/>
      <c r="AQ65" s="3270"/>
      <c r="AR65" s="3270"/>
      <c r="AS65" s="3270"/>
      <c r="AT65" s="3271"/>
      <c r="AU65" s="1084" t="s">
        <v>7019</v>
      </c>
      <c r="AV65" s="1086"/>
      <c r="AW65" s="1085"/>
      <c r="AX65" s="1091"/>
      <c r="AY65" s="1087" t="s">
        <v>7020</v>
      </c>
      <c r="AZ65" s="1088"/>
      <c r="BA65" s="1088"/>
      <c r="BB65" s="1088"/>
      <c r="BC65" s="1088"/>
      <c r="BD65" s="1088"/>
      <c r="BE65" s="1088"/>
      <c r="BF65" s="1088"/>
      <c r="BG65" s="1088"/>
      <c r="BH65" s="1088"/>
      <c r="BI65" s="1088"/>
      <c r="BJ65" s="1088"/>
      <c r="BK65" s="1245"/>
      <c r="BL65" s="1245"/>
      <c r="BM65" s="1245"/>
      <c r="BN65" s="1245"/>
      <c r="BO65" s="1245"/>
      <c r="BP65" s="1245"/>
      <c r="BQ65" s="1090" t="s">
        <v>7021</v>
      </c>
      <c r="BR65" s="1085"/>
      <c r="BS65" s="1085"/>
      <c r="BT65" s="1085"/>
      <c r="BU65" s="1091"/>
      <c r="BV65" s="918"/>
      <c r="BW65" s="918"/>
      <c r="BX65" s="918"/>
      <c r="BY65" s="918"/>
      <c r="BZ65" s="918"/>
      <c r="CA65" s="918"/>
    </row>
    <row r="66" spans="2:79" ht="12" customHeight="1" thickBot="1">
      <c r="C66" s="272"/>
      <c r="D66" s="273"/>
      <c r="E66" s="273"/>
      <c r="F66" s="273"/>
      <c r="G66" s="273"/>
      <c r="I66" s="1218"/>
      <c r="J66" s="3467"/>
      <c r="K66" s="3468"/>
      <c r="L66" s="1235" t="str">
        <f>IF(OR([1]MATH!$C$8=3,[1]MATH!$C$8=6,[1]MATH!$C$8=10),CONCATENATE([1]MATH!$D$8," - 3"),"")</f>
        <v/>
      </c>
      <c r="M66" s="1236"/>
      <c r="N66" s="974" t="str">
        <f>IF(OR([1]MATH!C8=3,[1]MATH!C8=6,[1]MATH!C8=10),HLOOKUP([1]MATH!$C$8,SKILLS!$L$25:$X$32,7),"")</f>
        <v/>
      </c>
      <c r="O66" s="901" t="str">
        <f>IF(OR([1]MATH!C8=3,[1]MATH!C8=6,[1]MATH!C8=10),IF(COUNTIF($N$60:$N$66,N66)&gt;1,HLOOKUP([1]MATH!$C$8,SKILLS!$L$25:$X$36,8,0),N66),"")</f>
        <v/>
      </c>
      <c r="P66" s="901" t="str">
        <f>IF(OR([1]MATH!C8=3,[1]MATH!C8=6,[1]MATH!C8=10),IF(COUNTIF($O$60:$O$65,O66)&gt;1,HLOOKUP([1]MATH!$C$8,SKILLS!$L$25:$X$36,7,0),O66),"")</f>
        <v/>
      </c>
      <c r="Q66" s="901" t="str">
        <f>IF(OR([1]MATH!C8=3,[1]MATH!C8=6,[1]MATH!C8=10),IF(COUNTIF($P$60:$P$66,P66)&gt;1,HLOOKUP([1]MATH!$C$8,SKILLS!$L$25:$X$34,8,0),P66),"")</f>
        <v/>
      </c>
      <c r="R66" s="904" t="str">
        <f>IF(OR([1]MATH!$C$8=3,[1]MATH!$C$8=6,[1]MATH!$C$8=10),IF(COUNTIF($Q$60:$Q$66,Q66)&gt;1,HLOOKUP([1]MATH!$C$8,SKILLS!$L$25:$X$36,9,0),Q66),"")</f>
        <v/>
      </c>
      <c r="S66" s="1218"/>
      <c r="T66" s="1241" t="str">
        <f>CONCATENATE([1]MATH!$D$8," - ",(ROWS(A$1:A2)))</f>
        <v>Wizard - 2</v>
      </c>
      <c r="U66" s="1242"/>
      <c r="V66" s="974">
        <f>IFERROR(HLOOKUP([1]MATH!$C$8,$L$40:$O$51,ROWS(A$1:A6),TRUE),"")</f>
        <v>0</v>
      </c>
      <c r="W66" s="901" t="str">
        <f>IFERROR(IF(COUNTIF($V$60:$V$66,V66)&gt;1,HLOOKUP([1]MATH!$C$8,SKILLS!$L$40:$O$51,8,0),V66),"")</f>
        <v/>
      </c>
      <c r="X66" s="901" t="str">
        <f>IFERROR(IF(COUNTIF($W$60:$W$66,W66)&gt;1,HLOOKUP([1]MATH!$C$8,SKILLS!$L$40:$O$51,10,0),W66),"")</f>
        <v/>
      </c>
      <c r="Y66" s="901" t="str">
        <f>IFERROR(IF(COUNTIF($W$60:$W$66,X66)&gt;1,HLOOKUP([1]MATH!$C$8,SKILLS!$L$40:$O$51,12,0),X66),"")</f>
        <v/>
      </c>
      <c r="Z66" s="904" t="str">
        <f>Y66</f>
        <v/>
      </c>
      <c r="AA66" s="821" t="str">
        <f>IFERROR(IF([1]MATH!$C$8=10,[1]CLASS!D274,IF(Z66&gt;0,VLOOKUP(Z66,$S$40:$T$57,2,TRUE),"")),"")</f>
        <v/>
      </c>
      <c r="AB66" s="1224"/>
      <c r="AH66" s="572">
        <v>1</v>
      </c>
      <c r="AI66" s="576" t="s">
        <v>6007</v>
      </c>
      <c r="AJ66" s="1246">
        <v>2</v>
      </c>
      <c r="AK66" s="1247">
        <v>2</v>
      </c>
      <c r="AL66" s="1247">
        <v>2</v>
      </c>
      <c r="AM66" s="1247">
        <v>2</v>
      </c>
      <c r="AN66" s="1247">
        <v>2</v>
      </c>
      <c r="AO66" s="1247">
        <v>2</v>
      </c>
      <c r="AP66" s="1247">
        <v>2</v>
      </c>
      <c r="AQ66" s="1247">
        <v>2</v>
      </c>
      <c r="AR66" s="1247">
        <v>2</v>
      </c>
      <c r="AS66" s="1247">
        <v>2</v>
      </c>
      <c r="AT66" s="346">
        <v>2</v>
      </c>
      <c r="AU66" s="1248">
        <v>2</v>
      </c>
      <c r="AV66" s="1247">
        <v>2</v>
      </c>
      <c r="AW66" s="1247">
        <v>2</v>
      </c>
      <c r="AX66" s="1249">
        <v>2</v>
      </c>
      <c r="AY66" s="1250"/>
      <c r="AZ66" s="1247"/>
      <c r="BA66" s="1247"/>
      <c r="BB66" s="1247"/>
      <c r="BC66" s="1247"/>
      <c r="BD66" s="1247"/>
      <c r="BE66" s="1247"/>
      <c r="BF66" s="1247"/>
      <c r="BG66" s="1247"/>
      <c r="BH66" s="1247"/>
      <c r="BI66" s="1247"/>
      <c r="BJ66" s="1247"/>
      <c r="BK66" s="1247"/>
      <c r="BL66" s="1247"/>
      <c r="BM66" s="1247"/>
      <c r="BN66" s="1247"/>
      <c r="BO66" s="1247"/>
      <c r="BP66" s="346"/>
      <c r="BQ66" s="1248"/>
      <c r="BR66" s="1247"/>
      <c r="BS66" s="1247"/>
      <c r="BT66" s="1247"/>
      <c r="BU66" s="1249"/>
    </row>
    <row r="67" spans="2:79" ht="12" customHeight="1" thickBot="1">
      <c r="I67" s="1218"/>
      <c r="J67" s="1218"/>
      <c r="K67" s="1218"/>
      <c r="L67" s="1251" t="str">
        <f>IF([1]MATH!$C$8=3,CONCATENATE([1]MATH!$D$8," - 3"),"")</f>
        <v/>
      </c>
      <c r="M67" s="1252"/>
      <c r="N67" s="1253" t="str">
        <f>IF([1]MATH!$C$8=3,HLOOKUP([1]MATH!$C$8,SKILLS!$L$25:$X$36,10,0),"")</f>
        <v/>
      </c>
      <c r="O67" s="905" t="str">
        <f ca="1">IF(AND([1]MATH!$C$8=3,COUNTIF($N$60:$N$67,N67)&gt;1),HLOOKUP([1]MATH!$C$8,SKILLS!$L$25:$X$36,11,0),N67)</f>
        <v/>
      </c>
      <c r="P67" s="905" t="str">
        <f ca="1">IF(AND([1]MATH!$C$8=3,COUNTIF($O$60:$O$67,O67)&gt;1),HLOOKUP([1]MATH!$C$8,SKILLS!$L$25:$X$36,12,0),O67)</f>
        <v/>
      </c>
      <c r="Q67" s="905" t="str">
        <f ca="1">IF(AND([1]MATH!$C$8=3,COUNTIF($P$60:$P$67,P67)&gt;1),HLOOKUP([1]MATH!$C$8,SKILLS!$L$25:$X$36,13,0),P67)</f>
        <v/>
      </c>
      <c r="R67" s="907" t="str">
        <f ca="1">IF(AND([1]MATH!$C$8=3,COUNTIF($Q$60:$Q$67,Q67)&gt;1),HLOOKUP([1]MATH!$C$8,SKILLS!$L$25:$X$36,14,0),Q67)</f>
        <v/>
      </c>
      <c r="S67" s="1218"/>
      <c r="T67" s="1241" t="str">
        <f>IF([1]MATH!$C$8=10,CONCATENATE([1]MATH!$D$8," - ",(ROWS(A$1:A3))),"")</f>
        <v/>
      </c>
      <c r="U67" s="1242"/>
      <c r="V67" s="974" t="str">
        <f>IF(AND([1]MATH!$C$8=10,[1]MATH!$C$5&gt;=6),HLOOKUP([1]MATH!$C$8,$L$40:$P$51,ROWS(A$1:A7),TRUE),"")</f>
        <v/>
      </c>
      <c r="W67" s="901"/>
      <c r="X67" s="901"/>
      <c r="Y67" s="901"/>
      <c r="Z67" s="904"/>
      <c r="AA67" s="473" t="str">
        <f>V67</f>
        <v/>
      </c>
      <c r="AH67" s="578">
        <v>2</v>
      </c>
      <c r="AI67" s="1254" t="s">
        <v>6010</v>
      </c>
      <c r="AJ67" s="1255">
        <v>2</v>
      </c>
      <c r="AK67" s="1256">
        <v>2</v>
      </c>
      <c r="AL67" s="1256">
        <v>2</v>
      </c>
      <c r="AM67" s="1256">
        <v>2</v>
      </c>
      <c r="AN67" s="1256">
        <v>2</v>
      </c>
      <c r="AO67" s="1256">
        <v>2</v>
      </c>
      <c r="AP67" s="1256">
        <v>2</v>
      </c>
      <c r="AQ67" s="1256">
        <v>2</v>
      </c>
      <c r="AR67" s="1256">
        <v>2</v>
      </c>
      <c r="AS67" s="1256">
        <v>2</v>
      </c>
      <c r="AT67" s="1257">
        <v>2</v>
      </c>
      <c r="AU67" s="1258">
        <v>2</v>
      </c>
      <c r="AV67" s="1256">
        <v>2</v>
      </c>
      <c r="AW67" s="1256">
        <v>2</v>
      </c>
      <c r="AX67" s="1259">
        <v>2</v>
      </c>
      <c r="AY67" s="1260">
        <v>2</v>
      </c>
      <c r="AZ67" s="1256">
        <v>2</v>
      </c>
      <c r="BA67" s="1256">
        <v>2</v>
      </c>
      <c r="BB67" s="1256">
        <v>2</v>
      </c>
      <c r="BC67" s="1256">
        <v>2</v>
      </c>
      <c r="BD67" s="1256">
        <v>2</v>
      </c>
      <c r="BE67" s="1256">
        <v>2</v>
      </c>
      <c r="BF67" s="1256">
        <v>2</v>
      </c>
      <c r="BG67" s="1256">
        <v>2</v>
      </c>
      <c r="BH67" s="1256">
        <v>2</v>
      </c>
      <c r="BI67" s="1256">
        <v>2</v>
      </c>
      <c r="BJ67" s="1256">
        <v>2</v>
      </c>
      <c r="BK67" s="1256">
        <v>2</v>
      </c>
      <c r="BL67" s="1256">
        <v>2</v>
      </c>
      <c r="BM67" s="1256">
        <v>2</v>
      </c>
      <c r="BN67" s="1256">
        <v>2</v>
      </c>
      <c r="BO67" s="1256">
        <v>2</v>
      </c>
      <c r="BP67" s="1257">
        <v>2</v>
      </c>
      <c r="BQ67" s="1258">
        <v>2</v>
      </c>
      <c r="BR67" s="1256">
        <v>2</v>
      </c>
      <c r="BS67" s="1256">
        <v>2</v>
      </c>
      <c r="BT67" s="1256">
        <v>2</v>
      </c>
      <c r="BU67" s="1259">
        <v>2</v>
      </c>
    </row>
    <row r="68" spans="2:79" ht="12" customHeight="1" thickBot="1">
      <c r="I68" s="1218"/>
      <c r="J68" s="1218"/>
      <c r="K68" s="1218"/>
      <c r="L68" s="1218"/>
      <c r="M68" s="1218"/>
      <c r="N68" s="1218"/>
      <c r="O68" s="1218"/>
      <c r="P68" s="1218"/>
      <c r="Q68" s="1218"/>
      <c r="R68" s="1218"/>
      <c r="S68" s="1218"/>
      <c r="T68" s="1241" t="str">
        <f>IF([1]MATH!$C$8=10,CONCATENATE([1]MATH!$D$8," - ",(ROWS(A$1:A4))),"")</f>
        <v/>
      </c>
      <c r="U68" s="1242"/>
      <c r="V68" s="974" t="str">
        <f>IF(AND([1]MATH!$C$8=10,[1]MATH!$C$5&gt;=6),HLOOKUP([1]MATH!$C$8,$L$40:$P$51,ROWS(A$1:A8),TRUE),"")</f>
        <v/>
      </c>
      <c r="W68" s="901"/>
      <c r="X68" s="901"/>
      <c r="Y68" s="901"/>
      <c r="Z68" s="904"/>
      <c r="AA68" s="473" t="str">
        <f>V68</f>
        <v/>
      </c>
      <c r="AB68" s="928"/>
      <c r="AH68" s="578">
        <v>3</v>
      </c>
      <c r="AI68" s="355" t="s">
        <v>6013</v>
      </c>
      <c r="AJ68" s="1246">
        <v>2</v>
      </c>
      <c r="AK68" s="909">
        <v>2</v>
      </c>
      <c r="AL68" s="909">
        <v>2</v>
      </c>
      <c r="AM68" s="909">
        <v>2</v>
      </c>
      <c r="AN68" s="909">
        <v>2</v>
      </c>
      <c r="AO68" s="909">
        <v>2</v>
      </c>
      <c r="AP68" s="909">
        <v>2</v>
      </c>
      <c r="AQ68" s="909">
        <v>2</v>
      </c>
      <c r="AR68" s="909">
        <v>2</v>
      </c>
      <c r="AS68" s="909">
        <v>2</v>
      </c>
      <c r="AT68" s="370">
        <v>2</v>
      </c>
      <c r="AU68" s="1143"/>
      <c r="AV68" s="1144"/>
      <c r="AW68" s="1144"/>
      <c r="AX68" s="1147"/>
      <c r="AY68" s="1146"/>
      <c r="AZ68" s="1144"/>
      <c r="BA68" s="1144"/>
      <c r="BB68" s="1144"/>
      <c r="BC68" s="1144"/>
      <c r="BD68" s="1144"/>
      <c r="BE68" s="1144"/>
      <c r="BF68" s="1144">
        <v>2</v>
      </c>
      <c r="BG68" s="1144"/>
      <c r="BH68" s="1144"/>
      <c r="BI68" s="1144"/>
      <c r="BJ68" s="1144">
        <v>2</v>
      </c>
      <c r="BK68" s="1144"/>
      <c r="BL68" s="1144">
        <v>2</v>
      </c>
      <c r="BM68" s="1144"/>
      <c r="BN68" s="1144"/>
      <c r="BO68" s="1144"/>
      <c r="BP68" s="1145"/>
      <c r="BQ68" s="1143"/>
      <c r="BR68" s="1144">
        <v>2</v>
      </c>
      <c r="BS68" s="1144"/>
      <c r="BT68" s="1144"/>
      <c r="BU68" s="1147"/>
    </row>
    <row r="69" spans="2:79">
      <c r="B69" s="1261" t="s">
        <v>7115</v>
      </c>
      <c r="C69" s="1262"/>
      <c r="D69" s="1262"/>
      <c r="E69" s="1262"/>
      <c r="F69" s="1262"/>
      <c r="G69" s="1262"/>
      <c r="H69" s="1262"/>
      <c r="I69" s="1262"/>
      <c r="J69" s="1262"/>
      <c r="K69" s="1262"/>
      <c r="L69" s="1262"/>
      <c r="M69" s="1262"/>
      <c r="N69" s="1262"/>
      <c r="O69" s="1262"/>
      <c r="P69" s="1262"/>
      <c r="Q69" s="1263"/>
      <c r="T69" s="1241" t="str">
        <f>IF([1]MATH!$C$8=10,CONCATENATE([1]MATH!$D$8," - ",(ROWS(A$1:A5))),"")</f>
        <v/>
      </c>
      <c r="U69" s="1242"/>
      <c r="V69" s="974" t="str">
        <f>IF(AND([1]MATH!$C$8=10,[1]MATH!$C$5&gt;=14),HLOOKUP([1]MATH!$C$8,$L$40:$P$51,ROWS(A$1:A9),TRUE),"")</f>
        <v/>
      </c>
      <c r="W69" s="901"/>
      <c r="X69" s="901"/>
      <c r="Y69" s="901"/>
      <c r="Z69" s="904"/>
      <c r="AA69" s="473" t="str">
        <f>V69</f>
        <v/>
      </c>
      <c r="AB69" s="928"/>
      <c r="AH69" s="578">
        <v>4</v>
      </c>
      <c r="AI69" s="1254" t="s">
        <v>1002</v>
      </c>
      <c r="AJ69" s="1255"/>
      <c r="AK69" s="1256">
        <v>2</v>
      </c>
      <c r="AL69" s="1256"/>
      <c r="AM69" s="1256"/>
      <c r="AN69" s="1256"/>
      <c r="AO69" s="1256"/>
      <c r="AP69" s="1256"/>
      <c r="AQ69" s="1256">
        <v>2</v>
      </c>
      <c r="AR69" s="1256"/>
      <c r="AS69" s="1256"/>
      <c r="AT69" s="1257"/>
      <c r="AU69" s="1258">
        <v>2</v>
      </c>
      <c r="AV69" s="1256">
        <v>2</v>
      </c>
      <c r="AW69" s="1256"/>
      <c r="AX69" s="1259"/>
      <c r="AY69" s="1260">
        <v>2</v>
      </c>
      <c r="AZ69" s="1256"/>
      <c r="BA69" s="1256"/>
      <c r="BB69" s="1256"/>
      <c r="BC69" s="1256"/>
      <c r="BD69" s="1256"/>
      <c r="BE69" s="1256"/>
      <c r="BF69" s="1256"/>
      <c r="BG69" s="1256"/>
      <c r="BH69" s="1256"/>
      <c r="BI69" s="1256"/>
      <c r="BJ69" s="1256"/>
      <c r="BK69" s="1256"/>
      <c r="BL69" s="1256"/>
      <c r="BM69" s="1256"/>
      <c r="BN69" s="1256"/>
      <c r="BO69" s="1256"/>
      <c r="BP69" s="1257"/>
      <c r="BQ69" s="1258"/>
      <c r="BR69" s="1256"/>
      <c r="BS69" s="1256"/>
      <c r="BT69" s="1256"/>
      <c r="BU69" s="1259"/>
    </row>
    <row r="70" spans="2:79" ht="11.25" thickBot="1">
      <c r="B70" s="1264"/>
      <c r="C70" s="1265"/>
      <c r="D70" s="1265"/>
      <c r="E70" s="1265"/>
      <c r="F70" s="1265"/>
      <c r="G70" s="1265"/>
      <c r="H70" s="1265"/>
      <c r="I70" s="1265"/>
      <c r="J70" s="1265"/>
      <c r="K70" s="1265"/>
      <c r="L70" s="1265"/>
      <c r="M70" s="1265"/>
      <c r="N70" s="1265"/>
      <c r="O70" s="1265"/>
      <c r="P70" s="1188"/>
      <c r="Q70" s="734"/>
      <c r="T70" s="1266" t="str">
        <f>IF([1]MATH!$C$8=10,CONCATENATE([1]MATH!$D$8," - ",(ROWS(A$1:A6))),"")</f>
        <v/>
      </c>
      <c r="U70" s="1267"/>
      <c r="V70" s="1253" t="str">
        <f>IF(AND([1]MATH!$C$8=10,[1]MATH!$C$5&gt;=14),HLOOKUP([1]MATH!$C$8,$L$40:$P$51,ROWS(A$1:A10),TRUE),"")</f>
        <v/>
      </c>
      <c r="W70" s="905"/>
      <c r="X70" s="905"/>
      <c r="Y70" s="905"/>
      <c r="Z70" s="907"/>
      <c r="AA70" s="513" t="str">
        <f>V70</f>
        <v/>
      </c>
      <c r="AB70" s="928"/>
      <c r="AH70" s="578">
        <v>5</v>
      </c>
      <c r="AI70" s="355" t="s">
        <v>6018</v>
      </c>
      <c r="AJ70" s="1128">
        <v>2</v>
      </c>
      <c r="AK70" s="909">
        <v>2</v>
      </c>
      <c r="AL70" s="909">
        <v>2</v>
      </c>
      <c r="AM70" s="909">
        <v>2</v>
      </c>
      <c r="AN70" s="909">
        <v>2</v>
      </c>
      <c r="AO70" s="909">
        <v>2</v>
      </c>
      <c r="AP70" s="909">
        <v>2</v>
      </c>
      <c r="AQ70" s="909">
        <v>2</v>
      </c>
      <c r="AR70" s="909">
        <v>2</v>
      </c>
      <c r="AS70" s="909">
        <v>2</v>
      </c>
      <c r="AT70" s="370">
        <v>2</v>
      </c>
      <c r="AU70" s="1128">
        <v>2</v>
      </c>
      <c r="AV70" s="909">
        <v>2</v>
      </c>
      <c r="AW70" s="909">
        <v>2</v>
      </c>
      <c r="AX70" s="1130">
        <v>2</v>
      </c>
      <c r="AY70" s="1129">
        <v>2</v>
      </c>
      <c r="AZ70" s="909">
        <v>2</v>
      </c>
      <c r="BA70" s="909">
        <v>2</v>
      </c>
      <c r="BB70" s="909">
        <v>2</v>
      </c>
      <c r="BC70" s="909">
        <v>2</v>
      </c>
      <c r="BD70" s="909">
        <v>2</v>
      </c>
      <c r="BE70" s="909">
        <v>2</v>
      </c>
      <c r="BF70" s="909">
        <v>2</v>
      </c>
      <c r="BG70" s="909">
        <v>2</v>
      </c>
      <c r="BH70" s="909">
        <v>2</v>
      </c>
      <c r="BI70" s="909">
        <v>2</v>
      </c>
      <c r="BJ70" s="909">
        <v>2</v>
      </c>
      <c r="BK70" s="909">
        <v>2</v>
      </c>
      <c r="BL70" s="909">
        <v>2</v>
      </c>
      <c r="BM70" s="909">
        <v>2</v>
      </c>
      <c r="BN70" s="909">
        <v>2</v>
      </c>
      <c r="BO70" s="909">
        <v>2</v>
      </c>
      <c r="BP70" s="370">
        <v>2</v>
      </c>
      <c r="BQ70" s="1128">
        <v>2</v>
      </c>
      <c r="BR70" s="909">
        <v>2</v>
      </c>
      <c r="BS70" s="909">
        <v>2</v>
      </c>
      <c r="BT70" s="909">
        <v>2</v>
      </c>
      <c r="BU70" s="1268">
        <v>2</v>
      </c>
    </row>
    <row r="71" spans="2:79" ht="14.25">
      <c r="B71" s="1269"/>
      <c r="C71" s="708"/>
      <c r="D71" s="708"/>
      <c r="E71" s="708"/>
      <c r="F71" s="933"/>
      <c r="G71" s="3452" t="s">
        <v>7116</v>
      </c>
      <c r="H71" s="3448"/>
      <c r="I71" s="3452" t="s">
        <v>7117</v>
      </c>
      <c r="J71" s="2801"/>
      <c r="K71" s="3453" t="s">
        <v>7118</v>
      </c>
      <c r="L71" s="2776"/>
      <c r="M71" s="3454" t="s">
        <v>7119</v>
      </c>
      <c r="N71" s="3455"/>
      <c r="O71" s="3454" t="s">
        <v>7120</v>
      </c>
      <c r="P71" s="3456"/>
      <c r="Q71" s="1270"/>
      <c r="U71" s="1271"/>
      <c r="Z71" s="272"/>
      <c r="AB71" s="928"/>
      <c r="AH71" s="578">
        <v>6</v>
      </c>
      <c r="AI71" s="1254" t="s">
        <v>6020</v>
      </c>
      <c r="AJ71" s="1255">
        <v>2</v>
      </c>
      <c r="AK71" s="1256">
        <v>2</v>
      </c>
      <c r="AL71" s="1256">
        <v>2</v>
      </c>
      <c r="AM71" s="1256">
        <v>2</v>
      </c>
      <c r="AN71" s="1256">
        <v>2</v>
      </c>
      <c r="AO71" s="1256">
        <v>2</v>
      </c>
      <c r="AP71" s="1256">
        <v>2</v>
      </c>
      <c r="AQ71" s="1256">
        <v>2</v>
      </c>
      <c r="AR71" s="1256">
        <v>2</v>
      </c>
      <c r="AS71" s="1256">
        <v>2</v>
      </c>
      <c r="AT71" s="1257">
        <v>2</v>
      </c>
      <c r="AU71" s="1272"/>
      <c r="AV71" s="1273"/>
      <c r="AW71" s="1273"/>
      <c r="AX71" s="1274"/>
      <c r="AY71" s="1275"/>
      <c r="AZ71" s="1273"/>
      <c r="BA71" s="1273"/>
      <c r="BB71" s="1273"/>
      <c r="BC71" s="1273"/>
      <c r="BD71" s="1273"/>
      <c r="BE71" s="1273"/>
      <c r="BF71" s="1273">
        <v>2</v>
      </c>
      <c r="BG71" s="1273"/>
      <c r="BH71" s="1273"/>
      <c r="BI71" s="1273"/>
      <c r="BJ71" s="1273">
        <v>2</v>
      </c>
      <c r="BK71" s="1273"/>
      <c r="BL71" s="1273">
        <v>2</v>
      </c>
      <c r="BM71" s="1273"/>
      <c r="BN71" s="1273"/>
      <c r="BO71" s="1273"/>
      <c r="BP71" s="1276"/>
      <c r="BQ71" s="1272"/>
      <c r="BR71" s="1273">
        <v>2</v>
      </c>
      <c r="BS71" s="1273"/>
      <c r="BT71" s="1273"/>
      <c r="BU71" s="1274"/>
    </row>
    <row r="72" spans="2:79">
      <c r="B72" s="606"/>
      <c r="D72" s="1277" t="s">
        <v>6939</v>
      </c>
      <c r="E72" s="1277"/>
      <c r="F72" s="1277" t="s">
        <v>5981</v>
      </c>
      <c r="G72" s="1277" t="s">
        <v>7121</v>
      </c>
      <c r="H72" s="1277" t="s">
        <v>6172</v>
      </c>
      <c r="I72" s="1277" t="s">
        <v>7121</v>
      </c>
      <c r="J72" s="1277" t="s">
        <v>6172</v>
      </c>
      <c r="K72" s="1277" t="s">
        <v>7121</v>
      </c>
      <c r="L72" s="1277" t="s">
        <v>6172</v>
      </c>
      <c r="M72" s="1277" t="s">
        <v>7121</v>
      </c>
      <c r="N72" s="1277" t="s">
        <v>6172</v>
      </c>
      <c r="O72" s="1277" t="s">
        <v>7121</v>
      </c>
      <c r="P72" s="1278" t="s">
        <v>6172</v>
      </c>
      <c r="Q72" s="758"/>
      <c r="Z72" s="272"/>
      <c r="AH72" s="578">
        <v>7</v>
      </c>
      <c r="AI72" s="355" t="s">
        <v>4928</v>
      </c>
      <c r="AJ72" s="1246">
        <v>2</v>
      </c>
      <c r="AK72" s="909">
        <v>2</v>
      </c>
      <c r="AL72" s="909"/>
      <c r="AM72" s="909"/>
      <c r="AN72" s="909">
        <v>2</v>
      </c>
      <c r="AO72" s="909"/>
      <c r="AP72" s="909">
        <v>2</v>
      </c>
      <c r="AQ72" s="909">
        <v>2</v>
      </c>
      <c r="AR72" s="909">
        <v>2</v>
      </c>
      <c r="AS72" s="909">
        <v>2</v>
      </c>
      <c r="AT72" s="370"/>
      <c r="AU72" s="1128"/>
      <c r="AV72" s="909">
        <v>2</v>
      </c>
      <c r="AW72" s="909"/>
      <c r="AX72" s="1130">
        <v>2</v>
      </c>
      <c r="AY72" s="1129"/>
      <c r="AZ72" s="909"/>
      <c r="BA72" s="909"/>
      <c r="BB72" s="909"/>
      <c r="BC72" s="909"/>
      <c r="BD72" s="909"/>
      <c r="BE72" s="909"/>
      <c r="BF72" s="909"/>
      <c r="BG72" s="909"/>
      <c r="BH72" s="909"/>
      <c r="BI72" s="909"/>
      <c r="BJ72" s="909"/>
      <c r="BK72" s="909">
        <v>2</v>
      </c>
      <c r="BL72" s="909"/>
      <c r="BM72" s="909"/>
      <c r="BN72" s="909"/>
      <c r="BO72" s="909"/>
      <c r="BP72" s="370"/>
      <c r="BQ72" s="1128"/>
      <c r="BR72" s="909"/>
      <c r="BS72" s="909"/>
      <c r="BT72" s="909"/>
      <c r="BU72" s="1130"/>
    </row>
    <row r="73" spans="2:79">
      <c r="B73" s="606"/>
      <c r="D73" s="744">
        <f>[1]MATH!$C$11</f>
        <v>21</v>
      </c>
      <c r="E73" s="744"/>
      <c r="F73" s="744">
        <f>[1]MATH!$C$8</f>
        <v>4</v>
      </c>
      <c r="G73" s="744">
        <f>[1]MATH!$C$11</f>
        <v>21</v>
      </c>
      <c r="H73" s="744">
        <f ca="1">RANDBETWEEN(1,38)</f>
        <v>25</v>
      </c>
      <c r="I73" s="744">
        <f>[1]MATH!$C$11</f>
        <v>21</v>
      </c>
      <c r="J73" s="744">
        <f ca="1">RANDBETWEEN(1,11)</f>
        <v>3</v>
      </c>
      <c r="K73" s="744">
        <f>[1]MATH!$C$11</f>
        <v>21</v>
      </c>
      <c r="L73" s="744">
        <f ca="1">RANDBETWEEN(12,15)</f>
        <v>14</v>
      </c>
      <c r="M73" s="744">
        <f>[1]MATH!$C$11</f>
        <v>21</v>
      </c>
      <c r="N73" s="744">
        <f ca="1">RANDBETWEEN(16,33)</f>
        <v>16</v>
      </c>
      <c r="O73" s="744">
        <f>[1]MATH!$C$11</f>
        <v>21</v>
      </c>
      <c r="P73" s="1279">
        <f ca="1">RANDBETWEEN(34,38)</f>
        <v>38</v>
      </c>
      <c r="Q73" s="758"/>
      <c r="Z73" s="272"/>
      <c r="AH73" s="578">
        <v>8</v>
      </c>
      <c r="AI73" s="1254" t="s">
        <v>6025</v>
      </c>
      <c r="AJ73" s="1255">
        <v>2</v>
      </c>
      <c r="AK73" s="1256">
        <v>2</v>
      </c>
      <c r="AL73" s="1256">
        <v>2</v>
      </c>
      <c r="AM73" s="1256">
        <v>2</v>
      </c>
      <c r="AN73" s="1256">
        <v>2</v>
      </c>
      <c r="AO73" s="1256">
        <v>2</v>
      </c>
      <c r="AP73" s="1256">
        <v>2</v>
      </c>
      <c r="AQ73" s="1256">
        <v>2</v>
      </c>
      <c r="AR73" s="1256">
        <v>2</v>
      </c>
      <c r="AS73" s="1256">
        <v>2</v>
      </c>
      <c r="AT73" s="1257">
        <v>2</v>
      </c>
      <c r="AU73" s="1258"/>
      <c r="AV73" s="1256"/>
      <c r="AW73" s="1256"/>
      <c r="AX73" s="1259"/>
      <c r="AY73" s="1260"/>
      <c r="AZ73" s="1256"/>
      <c r="BA73" s="1256"/>
      <c r="BB73" s="1256"/>
      <c r="BC73" s="1256"/>
      <c r="BD73" s="1256"/>
      <c r="BE73" s="1256"/>
      <c r="BF73" s="1256"/>
      <c r="BG73" s="1256"/>
      <c r="BH73" s="1256"/>
      <c r="BI73" s="1256"/>
      <c r="BJ73" s="1256"/>
      <c r="BK73" s="1256"/>
      <c r="BL73" s="1256">
        <v>2</v>
      </c>
      <c r="BM73" s="1256"/>
      <c r="BN73" s="1256"/>
      <c r="BO73" s="1256"/>
      <c r="BP73" s="1257"/>
      <c r="BQ73" s="1258"/>
      <c r="BR73" s="1256"/>
      <c r="BS73" s="1256"/>
      <c r="BT73" s="1256"/>
      <c r="BU73" s="1259"/>
    </row>
    <row r="74" spans="2:79" ht="14.25">
      <c r="B74" s="3445" t="s">
        <v>7116</v>
      </c>
      <c r="C74" s="3446"/>
      <c r="D74" s="3449" t="str">
        <f>IF(OR(F73=4,F73=11,F73=12),AQ27,INDEX($AJ$26:$BU$27,2,$H$73))</f>
        <v>Quarterstaff</v>
      </c>
      <c r="E74" s="3060"/>
      <c r="F74" s="2798"/>
      <c r="G74" s="3450">
        <f>INDEX($AJ$28:$BU$60,G73,MATCH($D$74,$AJ$27:$BU$27,0))</f>
        <v>0</v>
      </c>
      <c r="H74" s="2801"/>
      <c r="I74" s="1280" t="str">
        <f>IF(OR(G74=2,G75=2),"YES","")</f>
        <v>YES</v>
      </c>
      <c r="J74" s="272"/>
      <c r="K74" s="3444" t="str">
        <f>[1]MATH!$D$11</f>
        <v>Tiefling</v>
      </c>
      <c r="L74" s="3113"/>
      <c r="M74" s="273"/>
      <c r="N74" s="273"/>
      <c r="O74" s="272"/>
      <c r="P74" s="272"/>
      <c r="Q74" s="711"/>
      <c r="AH74" s="578">
        <v>9</v>
      </c>
      <c r="AI74" s="355" t="s">
        <v>6028</v>
      </c>
      <c r="AJ74" s="1128">
        <v>2</v>
      </c>
      <c r="AK74" s="909">
        <v>2</v>
      </c>
      <c r="AL74" s="909">
        <v>2</v>
      </c>
      <c r="AM74" s="909">
        <v>2</v>
      </c>
      <c r="AN74" s="909">
        <v>2</v>
      </c>
      <c r="AO74" s="909">
        <v>2</v>
      </c>
      <c r="AP74" s="909">
        <v>2</v>
      </c>
      <c r="AQ74" s="909">
        <v>2</v>
      </c>
      <c r="AR74" s="909">
        <v>2</v>
      </c>
      <c r="AS74" s="909">
        <v>2</v>
      </c>
      <c r="AT74" s="370">
        <v>2</v>
      </c>
      <c r="AU74" s="1128">
        <v>2</v>
      </c>
      <c r="AV74" s="909">
        <v>2</v>
      </c>
      <c r="AW74" s="909">
        <v>2</v>
      </c>
      <c r="AX74" s="1130">
        <v>2</v>
      </c>
      <c r="AY74" s="1129">
        <v>2</v>
      </c>
      <c r="AZ74" s="909">
        <v>2</v>
      </c>
      <c r="BA74" s="909">
        <v>2</v>
      </c>
      <c r="BB74" s="909">
        <v>2</v>
      </c>
      <c r="BC74" s="909">
        <v>2</v>
      </c>
      <c r="BD74" s="909">
        <v>2</v>
      </c>
      <c r="BE74" s="909">
        <v>2</v>
      </c>
      <c r="BF74" s="909">
        <v>2</v>
      </c>
      <c r="BG74" s="909">
        <v>2</v>
      </c>
      <c r="BH74" s="909">
        <v>2</v>
      </c>
      <c r="BI74" s="909">
        <v>2</v>
      </c>
      <c r="BJ74" s="909">
        <v>2</v>
      </c>
      <c r="BK74" s="909">
        <v>2</v>
      </c>
      <c r="BL74" s="909">
        <v>2</v>
      </c>
      <c r="BM74" s="909">
        <v>2</v>
      </c>
      <c r="BN74" s="909">
        <v>2</v>
      </c>
      <c r="BO74" s="909">
        <v>2</v>
      </c>
      <c r="BP74" s="370">
        <v>2</v>
      </c>
      <c r="BQ74" s="1128">
        <v>2</v>
      </c>
      <c r="BR74" s="909">
        <v>2</v>
      </c>
      <c r="BS74" s="909">
        <v>2</v>
      </c>
      <c r="BT74" s="909">
        <v>2</v>
      </c>
      <c r="BU74" s="1268">
        <v>2</v>
      </c>
    </row>
    <row r="75" spans="2:79" ht="14.25">
      <c r="B75" s="3447"/>
      <c r="C75" s="3448"/>
      <c r="D75" s="2799"/>
      <c r="E75" s="2800"/>
      <c r="F75" s="2801"/>
      <c r="G75" s="3443">
        <f>INDEX($AJ$66:$BU$79,$F$73,MATCH($D$74,$AJ$27:$BU$27,0))</f>
        <v>2</v>
      </c>
      <c r="H75" s="3113"/>
      <c r="I75" s="1281"/>
      <c r="J75" s="272"/>
      <c r="K75" s="3444" t="str">
        <f>[1]MATH!$D$8</f>
        <v>Wizard</v>
      </c>
      <c r="L75" s="3113"/>
      <c r="M75" s="273"/>
      <c r="N75" s="273"/>
      <c r="O75" s="272"/>
      <c r="P75" s="272"/>
      <c r="Q75" s="711"/>
      <c r="AH75" s="578">
        <v>10</v>
      </c>
      <c r="AI75" s="1254" t="s">
        <v>6031</v>
      </c>
      <c r="AJ75" s="1258">
        <v>2</v>
      </c>
      <c r="AK75" s="1256">
        <v>2</v>
      </c>
      <c r="AL75" s="1256">
        <v>2</v>
      </c>
      <c r="AM75" s="1256">
        <v>2</v>
      </c>
      <c r="AN75" s="1256">
        <v>2</v>
      </c>
      <c r="AO75" s="1256">
        <v>2</v>
      </c>
      <c r="AP75" s="1256">
        <v>2</v>
      </c>
      <c r="AQ75" s="1256">
        <v>2</v>
      </c>
      <c r="AR75" s="1256">
        <v>2</v>
      </c>
      <c r="AS75" s="1256">
        <v>2</v>
      </c>
      <c r="AT75" s="1257">
        <v>2</v>
      </c>
      <c r="AU75" s="1258">
        <v>2</v>
      </c>
      <c r="AV75" s="1256">
        <v>2</v>
      </c>
      <c r="AW75" s="1256">
        <v>2</v>
      </c>
      <c r="AX75" s="1259">
        <v>2</v>
      </c>
      <c r="AY75" s="1260">
        <v>2</v>
      </c>
      <c r="AZ75" s="1256">
        <v>2</v>
      </c>
      <c r="BA75" s="1256">
        <v>2</v>
      </c>
      <c r="BB75" s="1256">
        <v>2</v>
      </c>
      <c r="BC75" s="1256">
        <v>2</v>
      </c>
      <c r="BD75" s="1256">
        <v>2</v>
      </c>
      <c r="BE75" s="1256">
        <v>2</v>
      </c>
      <c r="BF75" s="1256">
        <v>2</v>
      </c>
      <c r="BG75" s="1256">
        <v>2</v>
      </c>
      <c r="BH75" s="1256">
        <v>2</v>
      </c>
      <c r="BI75" s="1256">
        <v>2</v>
      </c>
      <c r="BJ75" s="1256">
        <v>2</v>
      </c>
      <c r="BK75" s="1256">
        <v>2</v>
      </c>
      <c r="BL75" s="1256">
        <v>2</v>
      </c>
      <c r="BM75" s="1256">
        <v>2</v>
      </c>
      <c r="BN75" s="1256">
        <v>2</v>
      </c>
      <c r="BO75" s="1256">
        <v>2</v>
      </c>
      <c r="BP75" s="1257">
        <v>2</v>
      </c>
      <c r="BQ75" s="1258">
        <v>2</v>
      </c>
      <c r="BR75" s="1256">
        <v>2</v>
      </c>
      <c r="BS75" s="1256">
        <v>2</v>
      </c>
      <c r="BT75" s="1256">
        <v>2</v>
      </c>
      <c r="BU75" s="1282">
        <v>2</v>
      </c>
    </row>
    <row r="76" spans="2:79" ht="14.25">
      <c r="B76" s="3445" t="s">
        <v>7114</v>
      </c>
      <c r="C76" s="3446"/>
      <c r="D76" s="3441" t="str">
        <f ca="1">INDEX($AJ$26:$BU$27,2,$J$73)</f>
        <v>Greatclub</v>
      </c>
      <c r="E76" s="3442"/>
      <c r="F76" s="2795"/>
      <c r="G76" s="3443">
        <f ca="1">INDEX($AJ$28:$BU$60,$I$73,MATCH($D$76,$AJ$27:$BU$27,0))</f>
        <v>0</v>
      </c>
      <c r="H76" s="3113"/>
      <c r="I76" s="1283" t="str">
        <f ca="1">IF(OR(G76=2,G77=2),"YES","")</f>
        <v/>
      </c>
      <c r="K76" s="3444" t="str">
        <f>[1]MATH!$D$9</f>
        <v>(War Magic)</v>
      </c>
      <c r="L76" s="3113"/>
      <c r="M76" s="273"/>
      <c r="N76" s="273"/>
      <c r="O76" s="272"/>
      <c r="P76" s="272"/>
      <c r="Q76" s="711"/>
      <c r="AH76" s="578">
        <v>11</v>
      </c>
      <c r="AI76" s="355" t="s">
        <v>6033</v>
      </c>
      <c r="AJ76" s="1284"/>
      <c r="AK76" s="1137">
        <v>2</v>
      </c>
      <c r="AL76" s="1137"/>
      <c r="AM76" s="1137"/>
      <c r="AN76" s="1137"/>
      <c r="AO76" s="1137"/>
      <c r="AP76" s="1137"/>
      <c r="AQ76" s="1137">
        <v>2</v>
      </c>
      <c r="AR76" s="1137"/>
      <c r="AS76" s="1137"/>
      <c r="AT76" s="1285"/>
      <c r="AU76" s="1136">
        <v>2</v>
      </c>
      <c r="AV76" s="1137">
        <v>2</v>
      </c>
      <c r="AW76" s="1137"/>
      <c r="AX76" s="1286"/>
      <c r="AY76" s="1287">
        <v>2</v>
      </c>
      <c r="AZ76" s="1137"/>
      <c r="BA76" s="1137"/>
      <c r="BB76" s="1137"/>
      <c r="BC76" s="1137"/>
      <c r="BD76" s="1137"/>
      <c r="BE76" s="1137"/>
      <c r="BF76" s="1137"/>
      <c r="BG76" s="1137"/>
      <c r="BH76" s="1137"/>
      <c r="BI76" s="1137"/>
      <c r="BJ76" s="1137"/>
      <c r="BK76" s="1137"/>
      <c r="BL76" s="1137"/>
      <c r="BM76" s="1137"/>
      <c r="BN76" s="1137"/>
      <c r="BO76" s="1137"/>
      <c r="BP76" s="1285"/>
      <c r="BQ76" s="1136"/>
      <c r="BR76" s="1137"/>
      <c r="BS76" s="1137"/>
      <c r="BT76" s="1137"/>
      <c r="BU76" s="1286"/>
    </row>
    <row r="77" spans="2:79" ht="14.25">
      <c r="B77" s="3447"/>
      <c r="C77" s="3448"/>
      <c r="D77" s="2799"/>
      <c r="E77" s="2800"/>
      <c r="F77" s="2801"/>
      <c r="G77" s="3443">
        <f ca="1">INDEX($AJ$66:$BU$79,$F$73,MATCH($D$76,$AJ$27:$BU$27,0))</f>
        <v>0</v>
      </c>
      <c r="H77" s="3113"/>
      <c r="I77" s="1281"/>
      <c r="L77" s="273"/>
      <c r="M77" s="273"/>
      <c r="N77" s="273"/>
      <c r="O77" s="272"/>
      <c r="P77" s="272"/>
      <c r="Q77" s="711"/>
      <c r="AH77" s="578">
        <v>12</v>
      </c>
      <c r="AI77" s="1254" t="s">
        <v>6034</v>
      </c>
      <c r="AJ77" s="1255"/>
      <c r="AK77" s="1256">
        <v>2</v>
      </c>
      <c r="AL77" s="1256"/>
      <c r="AM77" s="1256"/>
      <c r="AN77" s="1256"/>
      <c r="AO77" s="1256"/>
      <c r="AP77" s="1256"/>
      <c r="AQ77" s="1256">
        <v>2</v>
      </c>
      <c r="AR77" s="1256"/>
      <c r="AS77" s="1256"/>
      <c r="AT77" s="1257"/>
      <c r="AU77" s="1258">
        <v>2</v>
      </c>
      <c r="AV77" s="1256">
        <v>2</v>
      </c>
      <c r="AW77" s="1256"/>
      <c r="AX77" s="1259"/>
      <c r="AY77" s="1260">
        <v>2</v>
      </c>
      <c r="AZ77" s="1256"/>
      <c r="BA77" s="1256"/>
      <c r="BB77" s="1256"/>
      <c r="BC77" s="1256"/>
      <c r="BD77" s="1256"/>
      <c r="BE77" s="1256"/>
      <c r="BF77" s="1256"/>
      <c r="BG77" s="1256"/>
      <c r="BH77" s="1256"/>
      <c r="BI77" s="1256"/>
      <c r="BJ77" s="1256"/>
      <c r="BK77" s="1256"/>
      <c r="BL77" s="1256"/>
      <c r="BM77" s="1256"/>
      <c r="BN77" s="1256"/>
      <c r="BO77" s="1256"/>
      <c r="BP77" s="1257"/>
      <c r="BQ77" s="1258"/>
      <c r="BR77" s="1256"/>
      <c r="BS77" s="1256"/>
      <c r="BT77" s="1256"/>
      <c r="BU77" s="1259"/>
    </row>
    <row r="78" spans="2:79" ht="14.25">
      <c r="B78" s="3437" t="s">
        <v>7019</v>
      </c>
      <c r="C78" s="3438"/>
      <c r="D78" s="3441" t="str">
        <f ca="1">INDEX($AJ$26:$BU$27,2,$L$73)</f>
        <v>Shortbow</v>
      </c>
      <c r="E78" s="3442"/>
      <c r="F78" s="2795"/>
      <c r="G78" s="3443">
        <f ca="1">INDEX($AJ$28:$BU$60,$D$73,MATCH(D78,$AJ$27:$BU$27,0))</f>
        <v>0</v>
      </c>
      <c r="H78" s="3113"/>
      <c r="I78" s="1283" t="str">
        <f ca="1">IF(OR(G78=2,G79=2),"YES","")</f>
        <v/>
      </c>
      <c r="L78" s="273"/>
      <c r="M78" s="273"/>
      <c r="N78" s="273"/>
      <c r="O78" s="272"/>
      <c r="P78" s="272"/>
      <c r="Q78" s="711"/>
      <c r="AH78" s="578">
        <v>13</v>
      </c>
      <c r="AI78" s="1254" t="s">
        <v>6035</v>
      </c>
      <c r="AJ78" s="1255">
        <v>2</v>
      </c>
      <c r="AK78" s="1256">
        <v>2</v>
      </c>
      <c r="AL78" s="1256">
        <v>2</v>
      </c>
      <c r="AM78" s="1256">
        <v>2</v>
      </c>
      <c r="AN78" s="1256">
        <v>2</v>
      </c>
      <c r="AO78" s="1256">
        <v>2</v>
      </c>
      <c r="AP78" s="1256">
        <v>2</v>
      </c>
      <c r="AQ78" s="1256">
        <v>2</v>
      </c>
      <c r="AR78" s="1256">
        <v>2</v>
      </c>
      <c r="AS78" s="1256">
        <v>2</v>
      </c>
      <c r="AT78" s="1257">
        <v>2</v>
      </c>
      <c r="AU78" s="1258">
        <v>2</v>
      </c>
      <c r="AV78" s="1256">
        <v>2</v>
      </c>
      <c r="AW78" s="1256">
        <v>2</v>
      </c>
      <c r="AX78" s="1259">
        <v>2</v>
      </c>
      <c r="AY78" s="1260"/>
      <c r="AZ78" s="1256"/>
      <c r="BA78" s="1256"/>
      <c r="BB78" s="1256"/>
      <c r="BC78" s="1256"/>
      <c r="BD78" s="1256"/>
      <c r="BE78" s="1256"/>
      <c r="BF78" s="1256"/>
      <c r="BG78" s="1256"/>
      <c r="BH78" s="1256"/>
      <c r="BI78" s="1256"/>
      <c r="BJ78" s="1256"/>
      <c r="BK78" s="1256"/>
      <c r="BL78" s="1256"/>
      <c r="BM78" s="1256"/>
      <c r="BN78" s="1256"/>
      <c r="BO78" s="1256"/>
      <c r="BP78" s="1257"/>
      <c r="BQ78" s="1258"/>
      <c r="BR78" s="1256"/>
      <c r="BS78" s="1256"/>
      <c r="BT78" s="1256"/>
      <c r="BU78" s="1259"/>
    </row>
    <row r="79" spans="2:79" ht="15" thickBot="1">
      <c r="B79" s="3439"/>
      <c r="C79" s="3440"/>
      <c r="D79" s="2799"/>
      <c r="E79" s="2800"/>
      <c r="F79" s="2801"/>
      <c r="G79" s="3443">
        <f ca="1">INDEX($AJ$66:$BU$79,$F$73,MATCH($D$78,$AJ$27:$BU$27,0))</f>
        <v>0</v>
      </c>
      <c r="H79" s="3113"/>
      <c r="I79" s="1281"/>
      <c r="K79" s="1073" t="s">
        <v>7122</v>
      </c>
      <c r="L79" s="1074"/>
      <c r="M79" s="1073"/>
      <c r="N79" s="1073"/>
      <c r="O79" s="481"/>
      <c r="P79" s="481"/>
      <c r="Q79" s="1288"/>
      <c r="AH79" s="583">
        <v>14</v>
      </c>
      <c r="AI79" s="1289"/>
      <c r="AJ79" s="1290"/>
      <c r="AK79" s="1291"/>
      <c r="AL79" s="1291"/>
      <c r="AM79" s="1291"/>
      <c r="AN79" s="1291"/>
      <c r="AO79" s="1291"/>
      <c r="AP79" s="1291"/>
      <c r="AQ79" s="1291"/>
      <c r="AR79" s="1291"/>
      <c r="AS79" s="1291"/>
      <c r="AT79" s="1292"/>
      <c r="AU79" s="1293"/>
      <c r="AV79" s="1291"/>
      <c r="AW79" s="1291"/>
      <c r="AX79" s="1294"/>
      <c r="AY79" s="1295"/>
      <c r="AZ79" s="1291"/>
      <c r="BA79" s="1291"/>
      <c r="BB79" s="1291"/>
      <c r="BC79" s="1291"/>
      <c r="BD79" s="1291"/>
      <c r="BE79" s="1291"/>
      <c r="BF79" s="1291"/>
      <c r="BG79" s="1291"/>
      <c r="BH79" s="1291"/>
      <c r="BI79" s="1291"/>
      <c r="BJ79" s="1291"/>
      <c r="BK79" s="1291"/>
      <c r="BL79" s="1291"/>
      <c r="BM79" s="1291"/>
      <c r="BN79" s="1291"/>
      <c r="BO79" s="1291"/>
      <c r="BP79" s="1292"/>
      <c r="BQ79" s="1293"/>
      <c r="BR79" s="1291"/>
      <c r="BS79" s="1291"/>
      <c r="BT79" s="1291"/>
      <c r="BU79" s="1294"/>
    </row>
    <row r="80" spans="2:79" ht="14.25">
      <c r="B80" s="3437" t="s">
        <v>7119</v>
      </c>
      <c r="C80" s="3438"/>
      <c r="D80" s="3441" t="str">
        <f ca="1">INDEX($AJ$26:$BU$27,2,$N$73)</f>
        <v>Battleaxe</v>
      </c>
      <c r="E80" s="3442"/>
      <c r="F80" s="2795"/>
      <c r="G80" s="3443">
        <f ca="1">IF(OR([1]MATH!D9="(Tempest)",[1]MATH!D9="(War)"),2,INDEX($AJ$28:$BU$60,$D$73,MATCH(D80,$AJ$27:$BU$27,0)))</f>
        <v>0</v>
      </c>
      <c r="H80" s="3113"/>
      <c r="I80" s="1283" t="str">
        <f ca="1">IF(OR(G80=2,G81=2),"YES","")</f>
        <v>YES</v>
      </c>
      <c r="K80" s="1074"/>
      <c r="L80" s="1074"/>
      <c r="M80" s="1073"/>
      <c r="N80" s="1073"/>
      <c r="O80" s="481"/>
      <c r="P80" s="481"/>
      <c r="Q80" s="1288"/>
    </row>
    <row r="81" spans="2:32" ht="14.25">
      <c r="B81" s="3439"/>
      <c r="C81" s="3440"/>
      <c r="D81" s="2799"/>
      <c r="E81" s="2800"/>
      <c r="F81" s="2801"/>
      <c r="G81" s="3443">
        <f ca="1">INDEX($AJ$66:$BU$79,$F$73,MATCH($D$80,$AJ$27:$BU$27,0))</f>
        <v>2</v>
      </c>
      <c r="H81" s="3113"/>
      <c r="I81" s="1281"/>
      <c r="M81" s="273"/>
      <c r="N81" s="273"/>
      <c r="O81" s="272"/>
      <c r="P81" s="272"/>
      <c r="Q81" s="711"/>
    </row>
    <row r="82" spans="2:32" ht="14.25">
      <c r="B82" s="3437" t="s">
        <v>7123</v>
      </c>
      <c r="C82" s="3438"/>
      <c r="D82" s="3441" t="str">
        <f ca="1">INDEX($AJ$26:$BU$27,2,$P$73)</f>
        <v>Net</v>
      </c>
      <c r="E82" s="3442"/>
      <c r="F82" s="2795"/>
      <c r="G82" s="3443">
        <f ca="1">INDEX($AJ$28:$BU$60,$D$73,MATCH(D82,$AJ$27:$BU$27,0))</f>
        <v>0</v>
      </c>
      <c r="H82" s="3113"/>
      <c r="I82" s="1283" t="str">
        <f ca="1">IF(OR(G82=2,G83=2),"YES","")</f>
        <v/>
      </c>
      <c r="M82" s="273"/>
      <c r="N82" s="273"/>
      <c r="O82" s="272"/>
      <c r="P82" s="272"/>
      <c r="Q82" s="711"/>
    </row>
    <row r="83" spans="2:32" ht="14.25">
      <c r="B83" s="3439"/>
      <c r="C83" s="3440"/>
      <c r="D83" s="2799"/>
      <c r="E83" s="2800"/>
      <c r="F83" s="2801"/>
      <c r="G83" s="3443">
        <f ca="1">INDEX($AJ$66:$BU$79,$F$73,MATCH($D$82,$AJ$27:$BU$27,0))</f>
        <v>0</v>
      </c>
      <c r="H83" s="3113"/>
      <c r="I83" s="1281"/>
      <c r="M83" s="273"/>
      <c r="N83" s="273"/>
      <c r="O83" s="272"/>
      <c r="P83" s="272"/>
      <c r="Q83" s="711"/>
    </row>
    <row r="84" spans="2:32">
      <c r="B84" s="606"/>
      <c r="Q84" s="758"/>
      <c r="AC84" s="273"/>
      <c r="AD84" s="273"/>
      <c r="AE84" s="273"/>
      <c r="AF84" s="273"/>
    </row>
    <row r="85" spans="2:32" ht="11.25" thickBot="1">
      <c r="B85" s="609"/>
      <c r="C85" s="1188"/>
      <c r="D85" s="1188"/>
      <c r="E85" s="1188"/>
      <c r="F85" s="1188"/>
      <c r="G85" s="1188"/>
      <c r="H85" s="1188"/>
      <c r="I85" s="1188"/>
      <c r="J85" s="1188"/>
      <c r="K85" s="1188"/>
      <c r="L85" s="1188"/>
      <c r="M85" s="1188"/>
      <c r="N85" s="1188"/>
      <c r="O85" s="1188"/>
      <c r="P85" s="1188"/>
      <c r="Q85" s="1296"/>
      <c r="AC85" s="928"/>
      <c r="AD85" s="928"/>
      <c r="AE85" s="928"/>
      <c r="AF85" s="928"/>
    </row>
    <row r="106" spans="29:32">
      <c r="AC106" s="273"/>
      <c r="AD106" s="273"/>
      <c r="AE106" s="273"/>
      <c r="AF106" s="273"/>
    </row>
    <row r="107" spans="29:32">
      <c r="AC107" s="273"/>
      <c r="AD107" s="273"/>
      <c r="AE107" s="273"/>
      <c r="AF107" s="273"/>
    </row>
    <row r="108" spans="29:32">
      <c r="AC108" s="273"/>
      <c r="AD108" s="273"/>
      <c r="AE108" s="273"/>
      <c r="AF108" s="273"/>
    </row>
    <row r="109" spans="29:32">
      <c r="AC109" s="273"/>
      <c r="AD109" s="273"/>
      <c r="AE109" s="273"/>
      <c r="AF109" s="273"/>
    </row>
    <row r="110" spans="29:32">
      <c r="AC110" s="273"/>
      <c r="AD110" s="273"/>
      <c r="AE110" s="273"/>
      <c r="AF110" s="273"/>
    </row>
    <row r="111" spans="29:32">
      <c r="AC111" s="273"/>
      <c r="AD111" s="273"/>
      <c r="AE111" s="273"/>
      <c r="AF111" s="273"/>
    </row>
    <row r="112" spans="29:32">
      <c r="AC112" s="273"/>
      <c r="AD112" s="273"/>
      <c r="AE112" s="273"/>
      <c r="AF112" s="273"/>
    </row>
    <row r="113" spans="29:32">
      <c r="AC113" s="273"/>
      <c r="AD113" s="273"/>
      <c r="AE113" s="273"/>
      <c r="AF113" s="273"/>
    </row>
    <row r="114" spans="29:32">
      <c r="AC114" s="273"/>
      <c r="AD114" s="273"/>
      <c r="AE114" s="273"/>
      <c r="AF114" s="273"/>
    </row>
    <row r="115" spans="29:32">
      <c r="AC115" s="273"/>
      <c r="AD115" s="273"/>
      <c r="AE115" s="273"/>
      <c r="AF115" s="273"/>
    </row>
    <row r="116" spans="29:32">
      <c r="AC116" s="273"/>
      <c r="AD116" s="273"/>
      <c r="AE116" s="273"/>
      <c r="AF116" s="273"/>
    </row>
  </sheetData>
  <mergeCells count="58">
    <mergeCell ref="I21:J21"/>
    <mergeCell ref="Q21:R21"/>
    <mergeCell ref="U21:V21"/>
    <mergeCell ref="Y21:Z21"/>
    <mergeCell ref="AC21:AD21"/>
    <mergeCell ref="AK21:AL21"/>
    <mergeCell ref="AO21:AP21"/>
    <mergeCell ref="AS21:AT21"/>
    <mergeCell ref="AW21:AX21"/>
    <mergeCell ref="L24:X24"/>
    <mergeCell ref="Y24:AE24"/>
    <mergeCell ref="AG21:AH21"/>
    <mergeCell ref="C25:I25"/>
    <mergeCell ref="AH25:AH27"/>
    <mergeCell ref="AI25:AI27"/>
    <mergeCell ref="K39:P39"/>
    <mergeCell ref="B55:B56"/>
    <mergeCell ref="C55:D56"/>
    <mergeCell ref="E55:F56"/>
    <mergeCell ref="B57:B58"/>
    <mergeCell ref="C57:D58"/>
    <mergeCell ref="B59:B60"/>
    <mergeCell ref="C59:D60"/>
    <mergeCell ref="J59:K66"/>
    <mergeCell ref="B61:B62"/>
    <mergeCell ref="C61:D62"/>
    <mergeCell ref="B63:B64"/>
    <mergeCell ref="C63:D64"/>
    <mergeCell ref="K74:L74"/>
    <mergeCell ref="G75:H75"/>
    <mergeCell ref="K75:L75"/>
    <mergeCell ref="AH64:BU64"/>
    <mergeCell ref="AJ65:AT65"/>
    <mergeCell ref="G71:H71"/>
    <mergeCell ref="I71:J71"/>
    <mergeCell ref="K71:L71"/>
    <mergeCell ref="M71:N71"/>
    <mergeCell ref="O71:P71"/>
    <mergeCell ref="B74:C75"/>
    <mergeCell ref="D74:F75"/>
    <mergeCell ref="G74:H74"/>
    <mergeCell ref="B76:C77"/>
    <mergeCell ref="D76:F77"/>
    <mergeCell ref="G76:H76"/>
    <mergeCell ref="B82:C83"/>
    <mergeCell ref="D82:F83"/>
    <mergeCell ref="G82:H82"/>
    <mergeCell ref="G83:H83"/>
    <mergeCell ref="K76:L76"/>
    <mergeCell ref="G77:H77"/>
    <mergeCell ref="B80:C81"/>
    <mergeCell ref="D80:F81"/>
    <mergeCell ref="G80:H80"/>
    <mergeCell ref="G81:H81"/>
    <mergeCell ref="B78:C79"/>
    <mergeCell ref="D78:F79"/>
    <mergeCell ref="G78:H78"/>
    <mergeCell ref="G79:H79"/>
  </mergeCells>
  <conditionalFormatting sqref="L25:W25 Y25:AF25">
    <cfRule type="expression" dxfId="446" priority="6">
      <formula>"MATH!C$8$"</formula>
    </cfRule>
  </conditionalFormatting>
  <conditionalFormatting sqref="P40:W40 K40:L40">
    <cfRule type="expression" dxfId="445" priority="5">
      <formula>"MATH!C$8$"</formula>
    </cfRule>
  </conditionalFormatting>
  <conditionalFormatting sqref="M40">
    <cfRule type="expression" dxfId="444" priority="4">
      <formula>"MATH!C$8$"</formula>
    </cfRule>
  </conditionalFormatting>
  <conditionalFormatting sqref="N40">
    <cfRule type="expression" dxfId="443" priority="3">
      <formula>"MATH!C$8$"</formula>
    </cfRule>
  </conditionalFormatting>
  <conditionalFormatting sqref="O40">
    <cfRule type="expression" dxfId="442" priority="2">
      <formula>"MATH!C$8$"</formula>
    </cfRule>
  </conditionalFormatting>
  <conditionalFormatting sqref="X25">
    <cfRule type="expression" dxfId="441" priority="1">
      <formula>"MATH!C$8$"</formula>
    </cfRule>
  </conditionalFormatting>
  <pageMargins left="0.7" right="0.7" top="0.75" bottom="0.75" header="0.3" footer="0.3"/>
  <pageSetup orientation="portrait" horizontalDpi="4294967293" verticalDpi="4294967293"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71AF1-82C2-4B3E-8C73-375239D17247}">
  <sheetPr codeName="Аркуш20">
    <tabColor rgb="FF92D050"/>
  </sheetPr>
  <dimension ref="A1:AL469"/>
  <sheetViews>
    <sheetView showGridLines="0" topLeftCell="A159" zoomScaleNormal="100" workbookViewId="0">
      <selection activeCell="C159" sqref="B159:C159"/>
    </sheetView>
  </sheetViews>
  <sheetFormatPr defaultColWidth="6.88671875" defaultRowHeight="10.5"/>
  <cols>
    <col min="1" max="1" width="2.44140625" style="272" customWidth="1"/>
    <col min="2" max="2" width="6.21875" style="271" customWidth="1"/>
    <col min="3" max="3" width="11.5546875" style="272" customWidth="1"/>
    <col min="4" max="4" width="10" style="272" customWidth="1"/>
    <col min="5" max="5" width="8.77734375" style="272" customWidth="1"/>
    <col min="6" max="6" width="8.21875" style="271" customWidth="1"/>
    <col min="7" max="7" width="6.44140625" style="272" customWidth="1"/>
    <col min="8" max="20" width="13" style="272" customWidth="1"/>
    <col min="21" max="21" width="6.44140625" style="272" customWidth="1"/>
    <col min="22" max="22" width="17.33203125" style="273" customWidth="1"/>
    <col min="23" max="24" width="12.21875" style="273" customWidth="1"/>
    <col min="25" max="26" width="12.21875" style="272" customWidth="1"/>
    <col min="27" max="27" width="14.5546875" style="272" customWidth="1"/>
    <col min="28" max="28" width="7.77734375" style="272" customWidth="1"/>
    <col min="29" max="29" width="2" style="271" customWidth="1"/>
    <col min="30" max="30" width="2.44140625" style="272" customWidth="1"/>
    <col min="31" max="31" width="11" style="274" customWidth="1"/>
    <col min="32" max="32" width="27.88671875" style="272" customWidth="1"/>
    <col min="33" max="33" width="28.44140625" style="272" customWidth="1"/>
    <col min="34" max="34" width="35.5546875" style="272" customWidth="1"/>
    <col min="35" max="35" width="18" style="272" customWidth="1"/>
    <col min="36" max="36" width="23.6640625" style="272" customWidth="1"/>
    <col min="37" max="37" width="13.44140625" style="272" customWidth="1"/>
    <col min="38" max="38" width="17.109375" style="272" customWidth="1"/>
    <col min="39" max="39" width="10.44140625" style="272" customWidth="1"/>
    <col min="40" max="40" width="11.5546875" style="272" customWidth="1"/>
    <col min="41" max="41" width="12.44140625" style="272" customWidth="1"/>
    <col min="42" max="42" width="14.6640625" style="272" customWidth="1"/>
    <col min="43" max="43" width="14.88671875" style="272" customWidth="1"/>
    <col min="44" max="44" width="11.6640625" style="272" customWidth="1"/>
    <col min="45" max="45" width="14.6640625" style="272" customWidth="1"/>
    <col min="46" max="46" width="11.77734375" style="272" bestFit="1" customWidth="1"/>
    <col min="47" max="47" width="11.44140625" style="272" bestFit="1" customWidth="1"/>
    <col min="48" max="48" width="7.6640625" style="272" customWidth="1"/>
    <col min="49" max="49" width="6.6640625" style="272" customWidth="1"/>
    <col min="50" max="16384" width="6.88671875" style="272"/>
  </cols>
  <sheetData>
    <row r="1" spans="2:31" ht="11.25" thickBot="1"/>
    <row r="2" spans="2:31" s="282" customFormat="1" ht="11.25" thickBot="1">
      <c r="B2" s="275" t="s">
        <v>5976</v>
      </c>
      <c r="C2" s="276"/>
      <c r="D2" s="276"/>
      <c r="E2" s="276"/>
      <c r="F2" s="276"/>
      <c r="G2" s="276"/>
      <c r="H2" s="276"/>
      <c r="I2" s="276"/>
      <c r="J2" s="276"/>
      <c r="K2" s="276"/>
      <c r="L2" s="276"/>
      <c r="M2" s="276"/>
      <c r="N2" s="276"/>
      <c r="O2" s="276"/>
      <c r="P2" s="276"/>
      <c r="Q2" s="276"/>
      <c r="R2" s="277"/>
      <c r="S2" s="277"/>
      <c r="T2" s="277"/>
      <c r="U2" s="277"/>
      <c r="V2" s="277"/>
      <c r="W2" s="277"/>
      <c r="X2" s="278"/>
      <c r="Y2" s="279"/>
      <c r="Z2" s="279"/>
      <c r="AA2" s="280"/>
      <c r="AB2" s="281"/>
      <c r="AE2" s="283"/>
    </row>
    <row r="3" spans="2:31">
      <c r="B3" s="284"/>
      <c r="C3" s="285" t="s">
        <v>5977</v>
      </c>
      <c r="D3" s="286"/>
      <c r="E3" s="286"/>
      <c r="F3" s="286"/>
      <c r="G3" s="286"/>
      <c r="H3" s="287"/>
      <c r="I3" s="288" t="s">
        <v>5978</v>
      </c>
      <c r="J3" s="289"/>
      <c r="K3" s="289"/>
      <c r="L3" s="289"/>
      <c r="M3" s="289"/>
      <c r="N3" s="290"/>
      <c r="O3" s="288" t="s">
        <v>5979</v>
      </c>
      <c r="P3" s="289"/>
      <c r="Q3" s="289"/>
      <c r="R3" s="289"/>
      <c r="S3" s="289"/>
      <c r="T3" s="291"/>
      <c r="U3" s="292"/>
      <c r="V3" s="293" t="s">
        <v>5980</v>
      </c>
      <c r="W3" s="293"/>
      <c r="X3" s="294"/>
      <c r="Y3" s="295" t="s">
        <v>1287</v>
      </c>
      <c r="Z3" s="296"/>
      <c r="AA3" s="297"/>
    </row>
    <row r="4" spans="2:31" ht="15" thickBot="1">
      <c r="B4" s="284"/>
      <c r="C4" s="298" t="s">
        <v>5981</v>
      </c>
      <c r="D4" s="3556" t="s">
        <v>5982</v>
      </c>
      <c r="E4" s="3556" t="s">
        <v>5983</v>
      </c>
      <c r="F4" s="3557" t="s">
        <v>5984</v>
      </c>
      <c r="G4" s="2800"/>
      <c r="H4" s="3558"/>
      <c r="I4" s="299">
        <f>[1]ABILITIES!H36</f>
        <v>16.019143666433976</v>
      </c>
      <c r="J4" s="300">
        <f>[1]ABILITIES!H37</f>
        <v>16.014217381078286</v>
      </c>
      <c r="K4" s="300">
        <f>[1]ABILITIES!H38</f>
        <v>15.009468397344969</v>
      </c>
      <c r="L4" s="300">
        <f>[1]ABILITIES!H39</f>
        <v>13.010917186970582</v>
      </c>
      <c r="M4" s="300">
        <f>[1]ABILITIES!H40</f>
        <v>12.022116237486282</v>
      </c>
      <c r="N4" s="301">
        <f>[1]ABILITIES!H41</f>
        <v>10.013455674536051</v>
      </c>
      <c r="O4" s="302" t="s">
        <v>5985</v>
      </c>
      <c r="P4" s="303"/>
      <c r="Q4" s="304"/>
      <c r="R4" s="304"/>
      <c r="S4" s="304" t="s">
        <v>5986</v>
      </c>
      <c r="T4" s="305" t="s">
        <v>5987</v>
      </c>
      <c r="U4" s="306" t="s">
        <v>5988</v>
      </c>
      <c r="V4" s="307"/>
      <c r="W4" s="308"/>
      <c r="X4" s="309"/>
      <c r="Y4" s="295" t="s">
        <v>1287</v>
      </c>
      <c r="Z4" s="3559" t="s">
        <v>5989</v>
      </c>
      <c r="AA4" s="3560"/>
      <c r="AB4" s="310"/>
    </row>
    <row r="5" spans="2:31" ht="11.25" thickBot="1">
      <c r="B5" s="311"/>
      <c r="C5" s="312">
        <f>COUNT(B6:B18)-COUNTBLANK(C6:C18)</f>
        <v>13</v>
      </c>
      <c r="D5" s="3367"/>
      <c r="E5" s="3367"/>
      <c r="F5" s="313" t="s">
        <v>5990</v>
      </c>
      <c r="G5" s="314" t="s">
        <v>5991</v>
      </c>
      <c r="H5" s="314" t="s">
        <v>5992</v>
      </c>
      <c r="I5" s="315" t="s">
        <v>5777</v>
      </c>
      <c r="J5" s="316" t="s">
        <v>5776</v>
      </c>
      <c r="K5" s="316" t="s">
        <v>5775</v>
      </c>
      <c r="L5" s="316" t="s">
        <v>5774</v>
      </c>
      <c r="M5" s="316" t="s">
        <v>5773</v>
      </c>
      <c r="N5" s="317" t="s">
        <v>5772</v>
      </c>
      <c r="O5" s="318" t="s">
        <v>5993</v>
      </c>
      <c r="P5" s="319" t="s">
        <v>5994</v>
      </c>
      <c r="Q5" s="319" t="s">
        <v>5995</v>
      </c>
      <c r="R5" s="319" t="s">
        <v>5996</v>
      </c>
      <c r="S5" s="319" t="s">
        <v>5997</v>
      </c>
      <c r="T5" s="320" t="s">
        <v>5998</v>
      </c>
      <c r="U5" s="318" t="s">
        <v>5999</v>
      </c>
      <c r="V5" s="321" t="s">
        <v>6000</v>
      </c>
      <c r="W5" s="319" t="s">
        <v>6001</v>
      </c>
      <c r="X5" s="322" t="s">
        <v>6002</v>
      </c>
      <c r="Y5" s="323" t="s">
        <v>6003</v>
      </c>
      <c r="Z5" s="324" t="s">
        <v>6004</v>
      </c>
      <c r="AA5" s="325" t="s">
        <v>6005</v>
      </c>
      <c r="AB5" s="310" t="s">
        <v>6006</v>
      </c>
    </row>
    <row r="6" spans="2:31">
      <c r="B6" s="326">
        <v>1</v>
      </c>
      <c r="C6" s="327" t="s">
        <v>6007</v>
      </c>
      <c r="D6" s="328"/>
      <c r="E6" s="329">
        <v>8</v>
      </c>
      <c r="F6" s="330" t="s">
        <v>5773</v>
      </c>
      <c r="G6" s="330" t="s">
        <v>5775</v>
      </c>
      <c r="H6" s="331" t="s">
        <v>5777</v>
      </c>
      <c r="I6" s="332">
        <f>$K$4</f>
        <v>15.009468397344969</v>
      </c>
      <c r="J6" s="333">
        <f>L4</f>
        <v>13.010917186970582</v>
      </c>
      <c r="K6" s="334">
        <f>$J$4</f>
        <v>16.014217381078286</v>
      </c>
      <c r="L6" s="335">
        <f>$N$4</f>
        <v>10.013455674536051</v>
      </c>
      <c r="M6" s="336">
        <f>$I$4</f>
        <v>16.019143666433976</v>
      </c>
      <c r="N6" s="337">
        <f>$M$4</f>
        <v>12.022116237486282</v>
      </c>
      <c r="O6" s="338" t="str">
        <f>[1]SKILLS!T3</f>
        <v>Religion</v>
      </c>
      <c r="P6" s="339" t="str">
        <f>[1]SKILLS!T4</f>
        <v>Insight</v>
      </c>
      <c r="Q6" s="340" t="s">
        <v>1287</v>
      </c>
      <c r="R6" s="340" t="s">
        <v>1287</v>
      </c>
      <c r="S6" s="339" t="str">
        <f>[1]MATH!G25</f>
        <v/>
      </c>
      <c r="T6" s="341" t="str">
        <f>[1]MATH!$G$26</f>
        <v/>
      </c>
      <c r="U6" s="342">
        <f t="shared" ref="U6:U18" si="0">$W$44</f>
        <v>3</v>
      </c>
      <c r="V6" s="343" t="str">
        <f>IF(OR([1]MATH!D9="(Tempest)",[1]MATH!D9="(War)"),"Simple &amp; martial weapons","Simple Weapons")</f>
        <v>Simple Weapons</v>
      </c>
      <c r="W6" s="344" t="s">
        <v>6008</v>
      </c>
      <c r="X6" s="345" t="s">
        <v>6009</v>
      </c>
      <c r="Y6" s="346" t="s">
        <v>5773</v>
      </c>
      <c r="Z6" s="347" t="s">
        <v>5773</v>
      </c>
      <c r="AA6" s="347" t="s">
        <v>5772</v>
      </c>
      <c r="AB6" s="348" t="s">
        <v>6007</v>
      </c>
    </row>
    <row r="7" spans="2:31" ht="12" customHeight="1">
      <c r="B7" s="349">
        <v>2</v>
      </c>
      <c r="C7" s="350" t="s">
        <v>6010</v>
      </c>
      <c r="D7" s="351" t="str">
        <f ca="1">CLASS!D83</f>
        <v/>
      </c>
      <c r="E7" s="352">
        <v>10</v>
      </c>
      <c r="F7" s="353" t="str">
        <f ca="1">IF(RANDBETWEEN(1,2)=1,"Str","Dex")</f>
        <v>Dex</v>
      </c>
      <c r="G7" s="354" t="s">
        <v>5775</v>
      </c>
      <c r="H7" s="355" t="s">
        <v>5776</v>
      </c>
      <c r="I7" s="356">
        <f>$I$4</f>
        <v>16.019143666433976</v>
      </c>
      <c r="J7" s="357">
        <f>$K$4</f>
        <v>15.009468397344969</v>
      </c>
      <c r="K7" s="358">
        <f>$J$4</f>
        <v>16.014217381078286</v>
      </c>
      <c r="L7" s="359">
        <f>$N$4</f>
        <v>10.013455674536051</v>
      </c>
      <c r="M7" s="360">
        <f>$M$4</f>
        <v>12.022116237486282</v>
      </c>
      <c r="N7" s="361">
        <f>$L$4</f>
        <v>13.010917186970582</v>
      </c>
      <c r="O7" s="362" t="str">
        <f>[1]SKILLS!AB3</f>
        <v>Perception</v>
      </c>
      <c r="P7" s="363" t="str">
        <f>[1]SKILLS!AB4</f>
        <v>Intimidation</v>
      </c>
      <c r="Q7" s="364" t="s">
        <v>1287</v>
      </c>
      <c r="R7" s="364" t="s">
        <v>1287</v>
      </c>
      <c r="S7" s="363" t="str">
        <f>[1]MATH!G25</f>
        <v/>
      </c>
      <c r="T7" s="365" t="str">
        <f>[1]MATH!$G$26</f>
        <v/>
      </c>
      <c r="U7" s="366">
        <f t="shared" si="0"/>
        <v>3</v>
      </c>
      <c r="V7" s="367" t="s">
        <v>6011</v>
      </c>
      <c r="W7" s="368" t="s">
        <v>6012</v>
      </c>
      <c r="X7" s="369" t="s">
        <v>6009</v>
      </c>
      <c r="Y7" s="370" t="s">
        <v>5774</v>
      </c>
      <c r="Z7" s="352" t="s">
        <v>5777</v>
      </c>
      <c r="AA7" s="352" t="s">
        <v>5775</v>
      </c>
      <c r="AB7" s="371" t="s">
        <v>6010</v>
      </c>
    </row>
    <row r="8" spans="2:31">
      <c r="B8" s="349">
        <v>3</v>
      </c>
      <c r="C8" s="350" t="s">
        <v>6013</v>
      </c>
      <c r="D8" s="351" t="str">
        <f>CLASS!E83</f>
        <v/>
      </c>
      <c r="E8" s="352">
        <v>8</v>
      </c>
      <c r="F8" s="354" t="s">
        <v>5776</v>
      </c>
      <c r="G8" s="354" t="s">
        <v>5775</v>
      </c>
      <c r="H8" s="372" t="s">
        <v>5774</v>
      </c>
      <c r="I8" s="373">
        <f>$M$4</f>
        <v>12.022116237486282</v>
      </c>
      <c r="J8" s="374">
        <f>$I$4</f>
        <v>16.019143666433976</v>
      </c>
      <c r="K8" s="358">
        <f>$J$4</f>
        <v>16.014217381078286</v>
      </c>
      <c r="L8" s="357">
        <f>$K$4</f>
        <v>15.009468397344969</v>
      </c>
      <c r="M8" s="359">
        <f>$N$4</f>
        <v>10.013455674536051</v>
      </c>
      <c r="N8" s="361">
        <f>$L$4</f>
        <v>13.010917186970582</v>
      </c>
      <c r="O8" s="362" t="str">
        <f>[1]SKILLS!AR3</f>
        <v>Perception</v>
      </c>
      <c r="P8" s="363" t="str">
        <f>[1]SKILLS!AR4</f>
        <v>Investigation</v>
      </c>
      <c r="Q8" s="363" t="str">
        <f>[1]SKILLS!AR5</f>
        <v>Intimidation</v>
      </c>
      <c r="R8" s="363" t="str">
        <f>[1]SKILLS!AR6</f>
        <v>Persuasion</v>
      </c>
      <c r="S8" s="363" t="str">
        <f>[1]MATH!G25</f>
        <v/>
      </c>
      <c r="T8" s="365" t="str">
        <f>[1]MATH!$G$26</f>
        <v/>
      </c>
      <c r="U8" s="366">
        <f t="shared" si="0"/>
        <v>3</v>
      </c>
      <c r="V8" s="367" t="s">
        <v>6014</v>
      </c>
      <c r="W8" s="368" t="s">
        <v>6015</v>
      </c>
      <c r="X8" s="369" t="s">
        <v>6016</v>
      </c>
      <c r="Y8" s="370" t="s">
        <v>5774</v>
      </c>
      <c r="Z8" s="352" t="s">
        <v>5776</v>
      </c>
      <c r="AA8" s="352" t="s">
        <v>5774</v>
      </c>
      <c r="AB8" s="371" t="s">
        <v>6013</v>
      </c>
    </row>
    <row r="9" spans="2:31">
      <c r="B9" s="349">
        <v>4</v>
      </c>
      <c r="C9" s="350" t="s">
        <v>1002</v>
      </c>
      <c r="D9" s="351" t="s">
        <v>1287</v>
      </c>
      <c r="E9" s="352">
        <v>6</v>
      </c>
      <c r="F9" s="354" t="s">
        <v>5774</v>
      </c>
      <c r="G9" s="354" t="s">
        <v>5775</v>
      </c>
      <c r="H9" s="355" t="s">
        <v>5776</v>
      </c>
      <c r="I9" s="375">
        <f>$N$4</f>
        <v>10.013455674536051</v>
      </c>
      <c r="J9" s="357">
        <f>$K$4</f>
        <v>15.009468397344969</v>
      </c>
      <c r="K9" s="358">
        <f>$J$4</f>
        <v>16.014217381078286</v>
      </c>
      <c r="L9" s="374">
        <f>$I$4</f>
        <v>16.019143666433976</v>
      </c>
      <c r="M9" s="360">
        <f>$M$4</f>
        <v>12.022116237486282</v>
      </c>
      <c r="N9" s="361">
        <f>$L$4</f>
        <v>13.010917186970582</v>
      </c>
      <c r="O9" s="362" t="str">
        <f>[1]SKILLS!BD3</f>
        <v>Religion</v>
      </c>
      <c r="P9" s="363" t="str">
        <f>[1]SKILLS!BD4</f>
        <v>Medicine</v>
      </c>
      <c r="Q9" s="364" t="s">
        <v>1287</v>
      </c>
      <c r="R9" s="364" t="s">
        <v>1287</v>
      </c>
      <c r="S9" s="363" t="str">
        <f>[1]MATH!G25</f>
        <v/>
      </c>
      <c r="T9" s="365" t="str">
        <f>[1]MATH!$G$26</f>
        <v/>
      </c>
      <c r="U9" s="366">
        <f t="shared" si="0"/>
        <v>3</v>
      </c>
      <c r="V9" s="367" t="s">
        <v>6017</v>
      </c>
      <c r="W9" s="368" t="s">
        <v>6009</v>
      </c>
      <c r="X9" s="369" t="s">
        <v>6009</v>
      </c>
      <c r="Y9" s="370" t="s">
        <v>5774</v>
      </c>
      <c r="Z9" s="352" t="s">
        <v>5774</v>
      </c>
      <c r="AA9" s="352" t="s">
        <v>5773</v>
      </c>
      <c r="AB9" s="371" t="s">
        <v>1002</v>
      </c>
    </row>
    <row r="10" spans="2:31">
      <c r="B10" s="349">
        <v>5</v>
      </c>
      <c r="C10" s="350" t="s">
        <v>6018</v>
      </c>
      <c r="D10" s="351" t="s">
        <v>1287</v>
      </c>
      <c r="E10" s="352">
        <v>12</v>
      </c>
      <c r="F10" s="354" t="s">
        <v>5777</v>
      </c>
      <c r="G10" s="354" t="s">
        <v>5775</v>
      </c>
      <c r="H10" s="376" t="s">
        <v>5776</v>
      </c>
      <c r="I10" s="356">
        <f>$I$4</f>
        <v>16.019143666433976</v>
      </c>
      <c r="J10" s="357">
        <f>$K$4</f>
        <v>15.009468397344969</v>
      </c>
      <c r="K10" s="358">
        <f>$J$4</f>
        <v>16.014217381078286</v>
      </c>
      <c r="L10" s="359">
        <f t="shared" ref="L10:L15" si="1">$N$4</f>
        <v>10.013455674536051</v>
      </c>
      <c r="M10" s="377">
        <f>$L$4</f>
        <v>13.010917186970582</v>
      </c>
      <c r="N10" s="378">
        <f>$M$4</f>
        <v>12.022116237486282</v>
      </c>
      <c r="O10" s="362" t="str">
        <f>[1]SKILLS!L3</f>
        <v>Survival</v>
      </c>
      <c r="P10" s="363" t="str">
        <f>[1]SKILLS!L4</f>
        <v>Perception</v>
      </c>
      <c r="Q10" s="364" t="s">
        <v>1287</v>
      </c>
      <c r="R10" s="364" t="s">
        <v>1287</v>
      </c>
      <c r="S10" s="363" t="str">
        <f>[1]MATH!G25</f>
        <v/>
      </c>
      <c r="T10" s="365" t="str">
        <f>[1]MATH!$G$26</f>
        <v/>
      </c>
      <c r="U10" s="366">
        <f t="shared" si="0"/>
        <v>3</v>
      </c>
      <c r="V10" s="367" t="s">
        <v>6019</v>
      </c>
      <c r="W10" s="368" t="s">
        <v>6008</v>
      </c>
      <c r="X10" s="369" t="s">
        <v>6009</v>
      </c>
      <c r="Y10" s="370" t="str">
        <f>"---"</f>
        <v>---</v>
      </c>
      <c r="Z10" s="352" t="s">
        <v>5777</v>
      </c>
      <c r="AA10" s="352" t="s">
        <v>5775</v>
      </c>
      <c r="AB10" s="371" t="s">
        <v>6018</v>
      </c>
    </row>
    <row r="11" spans="2:31">
      <c r="B11" s="349">
        <v>6</v>
      </c>
      <c r="C11" s="350" t="s">
        <v>6020</v>
      </c>
      <c r="D11" s="351" t="s">
        <v>1287</v>
      </c>
      <c r="E11" s="352">
        <v>8</v>
      </c>
      <c r="F11" s="354" t="s">
        <v>5772</v>
      </c>
      <c r="G11" s="354" t="s">
        <v>5776</v>
      </c>
      <c r="H11" s="376" t="s">
        <v>5775</v>
      </c>
      <c r="I11" s="379">
        <f>$L$4</f>
        <v>13.010917186970582</v>
      </c>
      <c r="J11" s="358">
        <f>$J$4</f>
        <v>16.014217381078286</v>
      </c>
      <c r="K11" s="357">
        <f>$K$4</f>
        <v>15.009468397344969</v>
      </c>
      <c r="L11" s="359">
        <f t="shared" si="1"/>
        <v>10.013455674536051</v>
      </c>
      <c r="M11" s="360">
        <f>$M$4</f>
        <v>12.022116237486282</v>
      </c>
      <c r="N11" s="380">
        <f>$I$4</f>
        <v>16.019143666433976</v>
      </c>
      <c r="O11" s="381" t="str">
        <f>[1]SKILLS!P3</f>
        <v>Intimidation</v>
      </c>
      <c r="P11" s="382" t="str">
        <f>[1]SKILLS!P4</f>
        <v>Persuasion</v>
      </c>
      <c r="Q11" s="382" t="str">
        <f>[1]SKILLS!P5</f>
        <v>Perception</v>
      </c>
      <c r="R11" s="352" t="s">
        <v>1287</v>
      </c>
      <c r="S11" s="382" t="str">
        <f>[1]MATH!G25</f>
        <v/>
      </c>
      <c r="T11" s="365" t="str">
        <f>[1]MATH!$G$26</f>
        <v/>
      </c>
      <c r="U11" s="366">
        <f t="shared" si="0"/>
        <v>3</v>
      </c>
      <c r="V11" s="367" t="s">
        <v>6014</v>
      </c>
      <c r="W11" s="368" t="s">
        <v>6015</v>
      </c>
      <c r="X11" s="369" t="s">
        <v>6021</v>
      </c>
      <c r="Y11" s="370" t="s">
        <v>5772</v>
      </c>
      <c r="Z11" s="352" t="s">
        <v>5776</v>
      </c>
      <c r="AA11" s="352" t="s">
        <v>5772</v>
      </c>
      <c r="AB11" s="371" t="s">
        <v>6020</v>
      </c>
    </row>
    <row r="12" spans="2:31">
      <c r="B12" s="349">
        <v>7</v>
      </c>
      <c r="C12" s="350" t="s">
        <v>4928</v>
      </c>
      <c r="D12" s="351" t="s">
        <v>1287</v>
      </c>
      <c r="E12" s="352">
        <v>8</v>
      </c>
      <c r="F12" s="354" t="s">
        <v>5773</v>
      </c>
      <c r="G12" s="354" t="s">
        <v>5775</v>
      </c>
      <c r="H12" s="372" t="s">
        <v>5776</v>
      </c>
      <c r="I12" s="379">
        <f>$L$4</f>
        <v>13.010917186970582</v>
      </c>
      <c r="J12" s="357">
        <f>$K$4</f>
        <v>15.009468397344969</v>
      </c>
      <c r="K12" s="358">
        <f>$J$4</f>
        <v>16.014217381078286</v>
      </c>
      <c r="L12" s="359">
        <f t="shared" si="1"/>
        <v>10.013455674536051</v>
      </c>
      <c r="M12" s="374">
        <f>$I$4</f>
        <v>16.019143666433976</v>
      </c>
      <c r="N12" s="378">
        <f>$M$4</f>
        <v>12.022116237486282</v>
      </c>
      <c r="O12" s="381" t="str">
        <f>[1]SKILLS!X3</f>
        <v>Religion</v>
      </c>
      <c r="P12" s="382" t="str">
        <f>[1]SKILLS!X4</f>
        <v>Perception</v>
      </c>
      <c r="Q12" s="352" t="s">
        <v>1287</v>
      </c>
      <c r="R12" s="352" t="s">
        <v>1287</v>
      </c>
      <c r="S12" s="382" t="str">
        <f>[1]MATH!G25</f>
        <v/>
      </c>
      <c r="T12" s="365" t="str">
        <f>[1]MATH!$G$26</f>
        <v/>
      </c>
      <c r="U12" s="366">
        <f t="shared" si="0"/>
        <v>3</v>
      </c>
      <c r="V12" s="367" t="s">
        <v>6022</v>
      </c>
      <c r="W12" s="368" t="s">
        <v>6023</v>
      </c>
      <c r="X12" s="369" t="s">
        <v>6024</v>
      </c>
      <c r="Y12" s="370" t="s">
        <v>5773</v>
      </c>
      <c r="Z12" s="352" t="s">
        <v>5774</v>
      </c>
      <c r="AA12" s="352" t="s">
        <v>5773</v>
      </c>
      <c r="AB12" s="371" t="s">
        <v>4928</v>
      </c>
    </row>
    <row r="13" spans="2:31" ht="11.25" customHeight="1">
      <c r="B13" s="349">
        <v>8</v>
      </c>
      <c r="C13" s="350" t="s">
        <v>6025</v>
      </c>
      <c r="D13" s="351" t="s">
        <v>1287</v>
      </c>
      <c r="E13" s="352">
        <v>8</v>
      </c>
      <c r="F13" s="383" t="s">
        <v>5776</v>
      </c>
      <c r="G13" s="354" t="s">
        <v>5773</v>
      </c>
      <c r="H13" s="355" t="s">
        <v>5775</v>
      </c>
      <c r="I13" s="379">
        <f>$L$4</f>
        <v>13.010917186970582</v>
      </c>
      <c r="J13" s="374">
        <f>$I$4</f>
        <v>16.019143666433976</v>
      </c>
      <c r="K13" s="357">
        <f>$K$4</f>
        <v>15.009468397344969</v>
      </c>
      <c r="L13" s="359">
        <f t="shared" si="1"/>
        <v>10.013455674536051</v>
      </c>
      <c r="M13" s="358">
        <f>$J$4</f>
        <v>16.014217381078286</v>
      </c>
      <c r="N13" s="378">
        <f>$M$4</f>
        <v>12.022116237486282</v>
      </c>
      <c r="O13" s="381" t="str">
        <f>[1]SKILLS!AF3</f>
        <v>Stealth</v>
      </c>
      <c r="P13" s="382" t="str">
        <f>[1]SKILLS!AF4</f>
        <v>Religion</v>
      </c>
      <c r="Q13" s="352" t="s">
        <v>1287</v>
      </c>
      <c r="R13" s="352" t="s">
        <v>1287</v>
      </c>
      <c r="S13" s="382" t="str">
        <f>[1]MATH!G25</f>
        <v/>
      </c>
      <c r="T13" s="365" t="str">
        <f>[1]MATH!$G$26</f>
        <v/>
      </c>
      <c r="U13" s="366">
        <f t="shared" si="0"/>
        <v>3</v>
      </c>
      <c r="V13" s="367" t="s">
        <v>6026</v>
      </c>
      <c r="W13" s="368" t="s">
        <v>6009</v>
      </c>
      <c r="X13" s="369" t="s">
        <v>6027</v>
      </c>
      <c r="Y13" s="370" t="str">
        <f>"---"</f>
        <v>---</v>
      </c>
      <c r="Z13" s="352" t="s">
        <v>5777</v>
      </c>
      <c r="AA13" s="352" t="s">
        <v>5776</v>
      </c>
      <c r="AB13" s="371" t="s">
        <v>6025</v>
      </c>
    </row>
    <row r="14" spans="2:31" ht="12" customHeight="1">
      <c r="B14" s="349">
        <v>9</v>
      </c>
      <c r="C14" s="350" t="s">
        <v>6028</v>
      </c>
      <c r="D14" s="351"/>
      <c r="E14" s="352">
        <v>10</v>
      </c>
      <c r="F14" s="383" t="s">
        <v>5777</v>
      </c>
      <c r="G14" s="354" t="s">
        <v>5772</v>
      </c>
      <c r="H14" s="355" t="s">
        <v>5775</v>
      </c>
      <c r="I14" s="356">
        <f>$I$4</f>
        <v>16.019143666433976</v>
      </c>
      <c r="J14" s="377">
        <f>$L$4</f>
        <v>13.010917186970582</v>
      </c>
      <c r="K14" s="357">
        <f>$K$4</f>
        <v>15.009468397344969</v>
      </c>
      <c r="L14" s="359">
        <f t="shared" si="1"/>
        <v>10.013455674536051</v>
      </c>
      <c r="M14" s="360">
        <f>$M$4</f>
        <v>12.022116237486282</v>
      </c>
      <c r="N14" s="384">
        <f>$J$4</f>
        <v>16.014217381078286</v>
      </c>
      <c r="O14" s="381" t="str">
        <f>[1]SKILLS!AJ3</f>
        <v>Religion</v>
      </c>
      <c r="P14" s="382" t="str">
        <f>[1]SKILLS!AJ4</f>
        <v>Persuasion</v>
      </c>
      <c r="Q14" s="352" t="s">
        <v>1287</v>
      </c>
      <c r="R14" s="352" t="s">
        <v>1287</v>
      </c>
      <c r="S14" s="382" t="str">
        <f>[1]MATH!G25</f>
        <v/>
      </c>
      <c r="T14" s="365" t="str">
        <f>[1]MATH!$G$26</f>
        <v/>
      </c>
      <c r="U14" s="366">
        <f t="shared" si="0"/>
        <v>3</v>
      </c>
      <c r="V14" s="367" t="s">
        <v>6029</v>
      </c>
      <c r="W14" s="368" t="s">
        <v>6030</v>
      </c>
      <c r="X14" s="369" t="s">
        <v>6009</v>
      </c>
      <c r="Y14" s="370" t="s">
        <v>5772</v>
      </c>
      <c r="Z14" s="352" t="s">
        <v>5773</v>
      </c>
      <c r="AA14" s="352" t="s">
        <v>5772</v>
      </c>
      <c r="AB14" s="371" t="s">
        <v>6028</v>
      </c>
    </row>
    <row r="15" spans="2:31">
      <c r="B15" s="349">
        <v>10</v>
      </c>
      <c r="C15" s="350" t="s">
        <v>6031</v>
      </c>
      <c r="D15" s="351" t="str">
        <f ca="1">CLASS!L83</f>
        <v/>
      </c>
      <c r="E15" s="352">
        <v>10</v>
      </c>
      <c r="F15" s="383" t="s">
        <v>5776</v>
      </c>
      <c r="G15" s="354" t="s">
        <v>5773</v>
      </c>
      <c r="H15" s="355" t="s">
        <v>5775</v>
      </c>
      <c r="I15" s="379">
        <f>$L$4</f>
        <v>13.010917186970582</v>
      </c>
      <c r="J15" s="374">
        <f>$I$4</f>
        <v>16.019143666433976</v>
      </c>
      <c r="K15" s="357">
        <f>$K$4</f>
        <v>15.009468397344969</v>
      </c>
      <c r="L15" s="359">
        <f t="shared" si="1"/>
        <v>10.013455674536051</v>
      </c>
      <c r="M15" s="358">
        <f>$J$4</f>
        <v>16.014217381078286</v>
      </c>
      <c r="N15" s="378">
        <f>$M$4</f>
        <v>12.022116237486282</v>
      </c>
      <c r="O15" s="381" t="str">
        <f>[1]SKILLS!AN3</f>
        <v>Stealth</v>
      </c>
      <c r="P15" s="382" t="str">
        <f>[1]SKILLS!AN4</f>
        <v>Perception</v>
      </c>
      <c r="Q15" s="382" t="str">
        <f>[1]SKILLS!AN5</f>
        <v>Nature</v>
      </c>
      <c r="R15" s="352" t="s">
        <v>1287</v>
      </c>
      <c r="S15" s="382" t="str">
        <f>[1]MATH!G25</f>
        <v/>
      </c>
      <c r="T15" s="365" t="str">
        <f>[1]MATH!$G$26</f>
        <v/>
      </c>
      <c r="U15" s="366">
        <f t="shared" si="0"/>
        <v>3</v>
      </c>
      <c r="V15" s="367" t="s">
        <v>6011</v>
      </c>
      <c r="W15" s="368" t="s">
        <v>6032</v>
      </c>
      <c r="X15" s="369" t="s">
        <v>6009</v>
      </c>
      <c r="Y15" s="370" t="s">
        <v>5773</v>
      </c>
      <c r="Z15" s="352" t="s">
        <v>5777</v>
      </c>
      <c r="AA15" s="352" t="s">
        <v>5776</v>
      </c>
      <c r="AB15" s="371" t="s">
        <v>6031</v>
      </c>
    </row>
    <row r="16" spans="2:31">
      <c r="B16" s="349">
        <v>11</v>
      </c>
      <c r="C16" s="350" t="s">
        <v>6033</v>
      </c>
      <c r="D16" s="351" t="str">
        <f ca="1">CLASS!M69</f>
        <v>Draconic (Black)</v>
      </c>
      <c r="E16" s="352">
        <v>6</v>
      </c>
      <c r="F16" s="354" t="s">
        <v>5772</v>
      </c>
      <c r="G16" s="354" t="s">
        <v>5775</v>
      </c>
      <c r="H16" s="372" t="s">
        <v>5776</v>
      </c>
      <c r="I16" s="375">
        <f>$N$4</f>
        <v>10.013455674536051</v>
      </c>
      <c r="J16" s="357">
        <f>$K$4</f>
        <v>15.009468397344969</v>
      </c>
      <c r="K16" s="358">
        <f>$J$4</f>
        <v>16.014217381078286</v>
      </c>
      <c r="L16" s="377">
        <f>$L$4</f>
        <v>13.010917186970582</v>
      </c>
      <c r="M16" s="360">
        <f>$M$4</f>
        <v>12.022116237486282</v>
      </c>
      <c r="N16" s="380">
        <f>$I$4</f>
        <v>16.019143666433976</v>
      </c>
      <c r="O16" s="381" t="str">
        <f>[1]SKILLS!AV3</f>
        <v>Religion</v>
      </c>
      <c r="P16" s="382" t="str">
        <f>[1]SKILLS!AV4</f>
        <v>Persuasion</v>
      </c>
      <c r="Q16" s="352" t="s">
        <v>1287</v>
      </c>
      <c r="R16" s="352" t="s">
        <v>1287</v>
      </c>
      <c r="S16" s="382" t="str">
        <f>[1]MATH!G25</f>
        <v/>
      </c>
      <c r="T16" s="365" t="str">
        <f>[1]MATH!$G$26</f>
        <v/>
      </c>
      <c r="U16" s="366">
        <f t="shared" si="0"/>
        <v>3</v>
      </c>
      <c r="V16" s="367" t="s">
        <v>6017</v>
      </c>
      <c r="W16" s="368" t="s">
        <v>6009</v>
      </c>
      <c r="X16" s="369" t="s">
        <v>6009</v>
      </c>
      <c r="Y16" s="370" t="s">
        <v>5772</v>
      </c>
      <c r="Z16" s="352" t="s">
        <v>5775</v>
      </c>
      <c r="AA16" s="352" t="s">
        <v>5772</v>
      </c>
      <c r="AB16" s="371" t="s">
        <v>6033</v>
      </c>
    </row>
    <row r="17" spans="2:32">
      <c r="B17" s="385">
        <v>12</v>
      </c>
      <c r="C17" s="386" t="s">
        <v>6034</v>
      </c>
      <c r="D17" s="387" t="str">
        <f ca="1">CLASS!N64</f>
        <v>The Celestial</v>
      </c>
      <c r="E17" s="388">
        <v>6</v>
      </c>
      <c r="F17" s="389" t="s">
        <v>5772</v>
      </c>
      <c r="G17" s="389" t="s">
        <v>5775</v>
      </c>
      <c r="H17" s="390" t="s">
        <v>5776</v>
      </c>
      <c r="I17" s="391">
        <f>$N$4</f>
        <v>10.013455674536051</v>
      </c>
      <c r="J17" s="392">
        <f>$K$4</f>
        <v>15.009468397344969</v>
      </c>
      <c r="K17" s="393">
        <f>$J$4</f>
        <v>16.014217381078286</v>
      </c>
      <c r="L17" s="394">
        <f>$L$4</f>
        <v>13.010917186970582</v>
      </c>
      <c r="M17" s="395">
        <f>$M$4</f>
        <v>12.022116237486282</v>
      </c>
      <c r="N17" s="396">
        <f>$I$4</f>
        <v>16.019143666433976</v>
      </c>
      <c r="O17" s="397" t="str">
        <f>[1]SKILLS!AZ3</f>
        <v>Religion</v>
      </c>
      <c r="P17" s="398" t="str">
        <f>[1]SKILLS!AZ4</f>
        <v>Nature</v>
      </c>
      <c r="Q17" s="388" t="s">
        <v>1287</v>
      </c>
      <c r="R17" s="388" t="s">
        <v>1287</v>
      </c>
      <c r="S17" s="398" t="str">
        <f>[1]MATH!G25</f>
        <v/>
      </c>
      <c r="T17" s="399" t="str">
        <f>[1]MATH!$G$26</f>
        <v/>
      </c>
      <c r="U17" s="400">
        <f t="shared" si="0"/>
        <v>3</v>
      </c>
      <c r="V17" s="401" t="s">
        <v>6017</v>
      </c>
      <c r="W17" s="402" t="s">
        <v>6009</v>
      </c>
      <c r="X17" s="403" t="s">
        <v>6009</v>
      </c>
      <c r="Y17" s="404" t="s">
        <v>5772</v>
      </c>
      <c r="Z17" s="388" t="s">
        <v>5773</v>
      </c>
      <c r="AA17" s="388" t="s">
        <v>5772</v>
      </c>
      <c r="AB17" s="405" t="s">
        <v>6034</v>
      </c>
    </row>
    <row r="18" spans="2:32" ht="11.25" thickBot="1">
      <c r="B18" s="406">
        <v>13</v>
      </c>
      <c r="C18" s="407" t="s">
        <v>6035</v>
      </c>
      <c r="D18" s="408" t="str">
        <f ca="1">CLASS!O64</f>
        <v>Order of the Wu Jen</v>
      </c>
      <c r="E18" s="409">
        <v>8</v>
      </c>
      <c r="F18" s="410" t="s">
        <v>5774</v>
      </c>
      <c r="G18" s="410" t="s">
        <v>5776</v>
      </c>
      <c r="H18" s="411" t="s">
        <v>5775</v>
      </c>
      <c r="I18" s="412">
        <f>$L$4</f>
        <v>13.010917186970582</v>
      </c>
      <c r="J18" s="413">
        <f>$J$4</f>
        <v>16.014217381078286</v>
      </c>
      <c r="K18" s="414">
        <f>$K$4</f>
        <v>15.009468397344969</v>
      </c>
      <c r="L18" s="415">
        <f>$I$4</f>
        <v>16.019143666433976</v>
      </c>
      <c r="M18" s="416">
        <f>$M$4</f>
        <v>12.022116237486282</v>
      </c>
      <c r="N18" s="417">
        <f>$N$4</f>
        <v>10.013455674536051</v>
      </c>
      <c r="O18" s="418" t="str">
        <f>[1]SKILLS!BH3</f>
        <v>Religion</v>
      </c>
      <c r="P18" s="419" t="str">
        <f>[1]SKILLS!BH4</f>
        <v>Perception</v>
      </c>
      <c r="Q18" s="409" t="s">
        <v>1287</v>
      </c>
      <c r="R18" s="409" t="s">
        <v>1287</v>
      </c>
      <c r="S18" s="419" t="str">
        <f>[1]MATH!G26</f>
        <v/>
      </c>
      <c r="T18" s="420" t="str">
        <f>[1]MATH!$G$26</f>
        <v/>
      </c>
      <c r="U18" s="421">
        <f t="shared" si="0"/>
        <v>3</v>
      </c>
      <c r="V18" s="422" t="s">
        <v>6036</v>
      </c>
      <c r="W18" s="423" t="s">
        <v>6015</v>
      </c>
      <c r="X18" s="424" t="s">
        <v>6009</v>
      </c>
      <c r="Y18" s="425" t="s">
        <v>5774</v>
      </c>
      <c r="Z18" s="409" t="s">
        <v>5774</v>
      </c>
      <c r="AA18" s="409" t="s">
        <v>5773</v>
      </c>
      <c r="AB18" s="426" t="s">
        <v>6035</v>
      </c>
    </row>
    <row r="19" spans="2:32" s="271" customFormat="1">
      <c r="B19" s="271">
        <v>1</v>
      </c>
      <c r="C19" s="271">
        <v>2</v>
      </c>
      <c r="D19" s="271">
        <v>3</v>
      </c>
      <c r="E19" s="271">
        <v>4</v>
      </c>
      <c r="F19" s="271">
        <v>5</v>
      </c>
      <c r="G19" s="271">
        <v>6</v>
      </c>
      <c r="H19" s="271">
        <v>7</v>
      </c>
      <c r="I19" s="271">
        <v>8</v>
      </c>
      <c r="J19" s="271">
        <v>9</v>
      </c>
      <c r="K19" s="271">
        <v>10</v>
      </c>
      <c r="L19" s="271">
        <v>11</v>
      </c>
      <c r="M19" s="271">
        <v>12</v>
      </c>
      <c r="N19" s="271">
        <v>13</v>
      </c>
      <c r="O19" s="271">
        <v>14</v>
      </c>
      <c r="P19" s="271">
        <v>15</v>
      </c>
      <c r="Q19" s="271">
        <v>16</v>
      </c>
      <c r="R19" s="271">
        <v>17</v>
      </c>
      <c r="S19" s="271">
        <v>18</v>
      </c>
      <c r="T19" s="271">
        <v>19</v>
      </c>
      <c r="U19" s="271">
        <v>20</v>
      </c>
      <c r="V19" s="271">
        <v>21</v>
      </c>
      <c r="W19" s="271">
        <v>22</v>
      </c>
      <c r="X19" s="271">
        <v>23</v>
      </c>
      <c r="Y19" s="271">
        <v>24</v>
      </c>
      <c r="Z19" s="271">
        <v>25</v>
      </c>
      <c r="AA19" s="271">
        <v>26</v>
      </c>
      <c r="AB19" s="271">
        <v>27</v>
      </c>
      <c r="AE19" s="427"/>
    </row>
    <row r="20" spans="2:32" s="271" customFormat="1">
      <c r="AE20" s="427"/>
    </row>
    <row r="21" spans="2:32" ht="11.25" thickBot="1"/>
    <row r="22" spans="2:32" ht="15" thickBot="1">
      <c r="H22" s="3242" t="s">
        <v>6037</v>
      </c>
      <c r="I22" s="3270"/>
      <c r="J22" s="3270"/>
      <c r="K22" s="3270"/>
      <c r="L22" s="3270"/>
      <c r="M22" s="3270"/>
      <c r="N22" s="3270"/>
      <c r="O22" s="3271"/>
      <c r="R22" s="428" t="s">
        <v>6038</v>
      </c>
      <c r="S22" s="429"/>
      <c r="T22" s="430"/>
      <c r="U22" s="431" t="s">
        <v>6039</v>
      </c>
      <c r="V22" s="432"/>
      <c r="W22" s="433"/>
      <c r="X22" s="434"/>
      <c r="Y22" s="435" t="s">
        <v>6040</v>
      </c>
      <c r="Z22" s="436"/>
      <c r="AA22" s="437"/>
    </row>
    <row r="23" spans="2:32" ht="11.25" thickBot="1">
      <c r="B23" s="272"/>
      <c r="C23" s="438" t="s">
        <v>6041</v>
      </c>
      <c r="D23" s="439" t="str">
        <f>[1]MATH!D11</f>
        <v>Tiefling</v>
      </c>
      <c r="E23" s="440"/>
      <c r="F23" s="441"/>
      <c r="H23" s="3523" t="s">
        <v>6042</v>
      </c>
      <c r="I23" s="442" t="s">
        <v>5777</v>
      </c>
      <c r="J23" s="442" t="s">
        <v>5776</v>
      </c>
      <c r="K23" s="442" t="s">
        <v>5775</v>
      </c>
      <c r="L23" s="442" t="s">
        <v>5774</v>
      </c>
      <c r="M23" s="442" t="s">
        <v>5773</v>
      </c>
      <c r="N23" s="443" t="s">
        <v>5772</v>
      </c>
      <c r="O23" s="444"/>
      <c r="R23" s="445" t="s">
        <v>6043</v>
      </c>
      <c r="S23" s="446" t="s">
        <v>5827</v>
      </c>
      <c r="T23" s="447"/>
      <c r="U23" s="448" t="s">
        <v>773</v>
      </c>
      <c r="V23" s="449" t="s">
        <v>6044</v>
      </c>
      <c r="W23" s="449" t="s">
        <v>2250</v>
      </c>
      <c r="X23" s="450"/>
      <c r="Y23" s="451"/>
      <c r="Z23" s="451"/>
      <c r="AA23" s="452"/>
    </row>
    <row r="24" spans="2:32" ht="12" customHeight="1" thickBot="1">
      <c r="C24" s="453" t="s">
        <v>6045</v>
      </c>
      <c r="D24" s="3524" t="str">
        <f>[1]MATH!D8</f>
        <v>Wizard</v>
      </c>
      <c r="E24" s="3239"/>
      <c r="F24" s="3240"/>
      <c r="H24" s="3361"/>
      <c r="I24" s="419">
        <f t="shared" ref="I24:N24" si="2">SUM(I25:I29)</f>
        <v>0</v>
      </c>
      <c r="J24" s="419">
        <f t="shared" si="2"/>
        <v>0</v>
      </c>
      <c r="K24" s="419">
        <f t="shared" si="2"/>
        <v>0</v>
      </c>
      <c r="L24" s="419">
        <f t="shared" si="2"/>
        <v>2</v>
      </c>
      <c r="M24" s="419">
        <f t="shared" si="2"/>
        <v>0</v>
      </c>
      <c r="N24" s="419">
        <f t="shared" si="2"/>
        <v>0</v>
      </c>
      <c r="O24" s="454"/>
      <c r="R24" s="455">
        <v>1</v>
      </c>
      <c r="S24" s="456">
        <v>0</v>
      </c>
      <c r="U24" s="457">
        <v>1</v>
      </c>
      <c r="V24" s="458">
        <v>2</v>
      </c>
      <c r="W24" s="458">
        <f>IF([1]MATH!$D$5=1,2,0)</f>
        <v>0</v>
      </c>
      <c r="X24" s="459">
        <v>1</v>
      </c>
      <c r="Y24" s="460" t="str">
        <f>HLOOKUP([1]MATH!$C$8,CLASS!$C$39:$O$60,ROWS(A$3:A5),0)</f>
        <v>Spellcasting, Arcane Recovery</v>
      </c>
      <c r="Z24" s="451"/>
      <c r="AA24" s="452"/>
      <c r="AF24" s="461"/>
    </row>
    <row r="25" spans="2:32" ht="11.25" thickBot="1">
      <c r="C25" s="462" t="s">
        <v>6046</v>
      </c>
      <c r="D25" s="463"/>
      <c r="E25" s="464"/>
      <c r="H25" s="465">
        <v>4</v>
      </c>
      <c r="I25" s="466">
        <f>IF(AND([1]MATH!D5&gt;3,_xlfn.RANK.EQ([1]ABILITIES!$D$24,[1]ABILITIES!$D$24:$D$29,0)=1),2,0)</f>
        <v>0</v>
      </c>
      <c r="J25" s="467">
        <f>IF(AND([1]MATH!D5&gt;3,_xlfn.RANK.EQ([1]ABILITIES!$D$25,[1]ABILITIES!$D$24:$D$29,0)=1),2,0)</f>
        <v>0</v>
      </c>
      <c r="K25" s="467">
        <f>IF(AND([1]MATH!D5&gt;3,_xlfn.RANK.EQ([1]ABILITIES!$D$26,[1]ABILITIES!$D$24:$D$29,0)=1),2,0)</f>
        <v>0</v>
      </c>
      <c r="L25" s="467">
        <f>IF(AND([1]MATH!D5&gt;3,_xlfn.RANK.EQ([1]ABILITIES!$D$27,[1]ABILITIES!$D$24:$D$29,0)=1),2,0)</f>
        <v>2</v>
      </c>
      <c r="M25" s="467">
        <f>IF(AND([1]MATH!D5&gt;3,_xlfn.RANK.EQ([1]ABILITIES!$D$28,[1]ABILITIES!$D$24:$D$29,0)=1),2,0)</f>
        <v>0</v>
      </c>
      <c r="N25" s="468">
        <f>IF(AND([1]MATH!D5&gt;3,_xlfn.RANK.EQ([1]ABILITIES!$D$29,[1]ABILITIES!$D$24:$D$29,0)=1),2,0)</f>
        <v>0</v>
      </c>
      <c r="O25" s="469">
        <f>IF([1]MATH!D5&gt;3,2,0)</f>
        <v>2</v>
      </c>
      <c r="R25" s="470">
        <v>2</v>
      </c>
      <c r="S25" s="471">
        <v>300</v>
      </c>
      <c r="U25" s="472">
        <v>2</v>
      </c>
      <c r="V25" s="473">
        <v>2</v>
      </c>
      <c r="W25" s="473">
        <f>IF([1]MATH!$D$5=2,2,0)</f>
        <v>0</v>
      </c>
      <c r="X25" s="474">
        <v>2</v>
      </c>
      <c r="Y25" s="460" t="str">
        <f>IF([1]MATH!C5&gt;=2,HLOOKUP([1]MATH!$C$8,CLASS!$C$39:$O$60,ROWS(A$3:A6),0),"")</f>
        <v>Arcane Deflection, Tactical Wit</v>
      </c>
      <c r="Z25" s="451"/>
      <c r="AA25" s="452"/>
    </row>
    <row r="26" spans="2:32">
      <c r="C26" s="475" t="s">
        <v>6047</v>
      </c>
      <c r="D26" s="476"/>
      <c r="E26" s="476"/>
      <c r="H26" s="477">
        <v>8</v>
      </c>
      <c r="I26" s="382">
        <f>IF(AND([1]MATH!D5&gt;7,_xlfn.RANK.EQ([1]ABILITIES!$D$24,[1]ABILITIES!$D$24:$D$29,0)=1),2,0)</f>
        <v>0</v>
      </c>
      <c r="J26" s="382">
        <f>IF(AND([1]MATH!D5&gt;7,_xlfn.RANK.EQ([1]ABILITIES!$D$25,[1]ABILITIES!$D$24:$D$29,0)=1),2,0)</f>
        <v>0</v>
      </c>
      <c r="K26" s="382">
        <f>IF(AND([1]MATH!D5&gt;7,_xlfn.RANK.EQ([1]ABILITIES!$D$26,[1]ABILITIES!$D$24:$D$29,0)=1),2,0)</f>
        <v>0</v>
      </c>
      <c r="L26" s="382">
        <f>IF(AND([1]MATH!D5&gt;7,_xlfn.RANK.EQ([1]ABILITIES!$D$27,[1]ABILITIES!$D$24:$D$29,0)=1),2,0)</f>
        <v>0</v>
      </c>
      <c r="M26" s="382">
        <f>IF(AND([1]MATH!D5&gt;7,_xlfn.RANK.EQ([1]ABILITIES!$D$28,[1]ABILITIES!$D$24:$D$29,0)=1),2,0)</f>
        <v>0</v>
      </c>
      <c r="N26" s="478">
        <f>IF(AND([1]MATH!D5&gt;7,_xlfn.RANK.EQ([1]ABILITIES!$D$29,[1]ABILITIES!$D$24:$D$29,0)=1),2,0)</f>
        <v>0</v>
      </c>
      <c r="O26" s="479">
        <f>IF([1]MATH!D5&gt;7,2,0)</f>
        <v>0</v>
      </c>
      <c r="R26" s="470">
        <v>3</v>
      </c>
      <c r="S26" s="471">
        <v>900</v>
      </c>
      <c r="U26" s="472">
        <v>3</v>
      </c>
      <c r="V26" s="473">
        <v>2</v>
      </c>
      <c r="W26" s="473">
        <f>IF([1]MATH!$D$5=3,2,0)</f>
        <v>0</v>
      </c>
      <c r="X26" s="474">
        <v>3</v>
      </c>
      <c r="Y26" s="460">
        <f>IF([1]MATH!C5&gt;=3,HLOOKUP([1]MATH!$C$8,CLASS!$C$39:$O$60,ROWS(A$3:A7),0),"")</f>
        <v>0</v>
      </c>
      <c r="Z26" s="451"/>
      <c r="AA26" s="452"/>
    </row>
    <row r="27" spans="2:32">
      <c r="C27" s="475" t="s">
        <v>6048</v>
      </c>
      <c r="D27" s="480"/>
      <c r="E27" s="480"/>
      <c r="H27" s="477">
        <v>12</v>
      </c>
      <c r="I27" s="382">
        <f>IF(AND([1]MATH!D5&gt;11,_xlfn.RANK.EQ([1]ABILITIES!$D$24,[1]ABILITIES!$D$24:$D$29,0)=1),2,0)</f>
        <v>0</v>
      </c>
      <c r="J27" s="382">
        <f>IF(AND([1]MATH!D5&gt;11,_xlfn.RANK.EQ([1]ABILITIES!$D$25,[1]ABILITIES!$D$24:$D$29,0)=1),2,0)</f>
        <v>0</v>
      </c>
      <c r="K27" s="382">
        <f>IF(AND([1]MATH!D5&gt;11,_xlfn.RANK.EQ([1]ABILITIES!$D$26,[1]ABILITIES!$D$24:$D$29,0)=1),2,0)</f>
        <v>0</v>
      </c>
      <c r="L27" s="382">
        <f>IF(AND([1]MATH!D5&gt;11,_xlfn.RANK.EQ([1]ABILITIES!$D$27,[1]ABILITIES!$D$24:$D$29,0)=1),2,0)</f>
        <v>0</v>
      </c>
      <c r="M27" s="382">
        <f>IF(AND([1]MATH!D5&gt;11,_xlfn.RANK.EQ([1]ABILITIES!$D$28,[1]ABILITIES!$D$24:$D$29,0)=1),2,0)</f>
        <v>0</v>
      </c>
      <c r="N27" s="478">
        <f>IF(AND([1]MATH!D5&gt;11,_xlfn.RANK.EQ([1]ABILITIES!$D$29,[1]ABILITIES!$D$24:$D$29,0)=1),2,0)</f>
        <v>0</v>
      </c>
      <c r="O27" s="479">
        <f>IF([1]MATH!D5&gt;11,2,0)</f>
        <v>0</v>
      </c>
      <c r="R27" s="470">
        <v>4</v>
      </c>
      <c r="S27" s="471">
        <v>2700</v>
      </c>
      <c r="U27" s="472">
        <v>4</v>
      </c>
      <c r="V27" s="473">
        <v>2</v>
      </c>
      <c r="W27" s="473">
        <f>IF([1]MATH!$D$5=4,2,0)</f>
        <v>0</v>
      </c>
      <c r="X27" s="474">
        <v>4</v>
      </c>
      <c r="Y27" s="460" t="str">
        <f>IF([1]MATH!C5&gt;=4,HLOOKUP([1]MATH!$C$8,CLASS!$C$39:$O$60,ROWS(A$3:A8),0),"")</f>
        <v>Ability Score Improvement</v>
      </c>
      <c r="Z27" s="451"/>
      <c r="AA27" s="452"/>
    </row>
    <row r="28" spans="2:32">
      <c r="C28" s="475" t="s">
        <v>6049</v>
      </c>
      <c r="D28" s="481"/>
      <c r="E28" s="481"/>
      <c r="H28" s="477">
        <v>16</v>
      </c>
      <c r="I28" s="382">
        <f>IF(AND([1]MATH!D5&gt;15,_xlfn.RANK.EQ([1]ABILITIES!$D$24,[1]ABILITIES!$D$24:$D$29,0)=1),2,0)</f>
        <v>0</v>
      </c>
      <c r="J28" s="382">
        <f>IF(AND([1]MATH!D5&gt;15,_xlfn.RANK.EQ([1]ABILITIES!$D$25,[1]ABILITIES!$D$24:$D$29,0)=1),2,0)</f>
        <v>0</v>
      </c>
      <c r="K28" s="382">
        <f>IF(AND([1]MATH!D5&gt;15,_xlfn.RANK.EQ([1]ABILITIES!$D$26,[1]ABILITIES!$D$24:$D$29,0)=1),2,0)</f>
        <v>0</v>
      </c>
      <c r="L28" s="382">
        <f>IF(AND([1]MATH!D5&gt;15,_xlfn.RANK.EQ([1]ABILITIES!$D$27,[1]ABILITIES!$D$24:$D$29,0)=1),2,0)</f>
        <v>0</v>
      </c>
      <c r="M28" s="382">
        <f>IF(AND([1]MATH!D5&gt;15,_xlfn.RANK.EQ([1]ABILITIES!$D$28,[1]ABILITIES!$D$24:$D$29,0)=1),2,0)</f>
        <v>0</v>
      </c>
      <c r="N28" s="478">
        <f>IF(AND([1]MATH!D5&gt;15,_xlfn.RANK.EQ([1]ABILITIES!$D$29,[1]ABILITIES!$D$24:$D$29,0)=1),2,0)</f>
        <v>0</v>
      </c>
      <c r="O28" s="479">
        <f>IF([1]MATH!D5&gt;15,2,0)</f>
        <v>0</v>
      </c>
      <c r="R28" s="470">
        <v>5</v>
      </c>
      <c r="S28" s="471">
        <v>6500</v>
      </c>
      <c r="U28" s="472">
        <v>5</v>
      </c>
      <c r="V28" s="473">
        <v>3</v>
      </c>
      <c r="W28" s="473">
        <f>IF([1]MATH!$D$5=5,3,0)</f>
        <v>0</v>
      </c>
      <c r="X28" s="474">
        <v>5</v>
      </c>
      <c r="Y28" s="460">
        <f>IF([1]MATH!C5&gt;=5,HLOOKUP([1]MATH!$C$8,CLASS!$C$39:$O$60,ROWS(A$3:A9),0),"")</f>
        <v>0</v>
      </c>
      <c r="Z28" s="451"/>
      <c r="AA28" s="452"/>
    </row>
    <row r="29" spans="2:32" ht="11.25" thickBot="1">
      <c r="C29" s="475" t="s">
        <v>6050</v>
      </c>
      <c r="D29" s="482"/>
      <c r="E29" s="482"/>
      <c r="H29" s="483">
        <v>19</v>
      </c>
      <c r="I29" s="382">
        <f>IF(AND([1]MATH!D5&gt;18,_xlfn.RANK.EQ([1]ABILITIES!$D$24,[1]ABILITIES!$D$24:$D$29,0)=1),2,0)</f>
        <v>0</v>
      </c>
      <c r="J29" s="382">
        <f>IF(AND([1]MATH!D5&gt;18,_xlfn.RANK.EQ([1]ABILITIES!$D$25,[1]ABILITIES!$D$24:$D$29,0)=1),2,0)</f>
        <v>0</v>
      </c>
      <c r="K29" s="382">
        <f>IF(AND([1]MATH!D5&gt;18,_xlfn.RANK.EQ([1]ABILITIES!$D$26,[1]ABILITIES!$D$24:$D$29,0)=1),2,0)</f>
        <v>0</v>
      </c>
      <c r="L29" s="382">
        <f>IF(AND([1]MATH!D5&gt;18,_xlfn.RANK.EQ([1]ABILITIES!$D$27,[1]ABILITIES!$D$24:$D$29,0)=1),2,0)</f>
        <v>0</v>
      </c>
      <c r="M29" s="382">
        <f>IF(AND([1]MATH!D5&gt;18,_xlfn.RANK.EQ([1]ABILITIES!$D$28,[1]ABILITIES!$D$24:$D$29,0)=1),2,0)</f>
        <v>0</v>
      </c>
      <c r="N29" s="478">
        <f>IF(AND([1]MATH!D5&gt;18,_xlfn.RANK.EQ([1]ABILITIES!$D$29,[1]ABILITIES!$D$24:$D$29,0)=1),2,0)</f>
        <v>0</v>
      </c>
      <c r="O29" s="484">
        <f>IF([1]MATH!D5&gt;18,2,0)</f>
        <v>0</v>
      </c>
      <c r="R29" s="470">
        <v>6</v>
      </c>
      <c r="S29" s="471">
        <v>14000</v>
      </c>
      <c r="U29" s="472">
        <v>6</v>
      </c>
      <c r="V29" s="473">
        <v>3</v>
      </c>
      <c r="W29" s="473">
        <f>IF([1]MATH!$D$5=6,3,0)</f>
        <v>0</v>
      </c>
      <c r="X29" s="474">
        <v>6</v>
      </c>
      <c r="Y29" s="460" t="str">
        <f>IF([1]MATH!C5&gt;=6,HLOOKUP([1]MATH!$C$8,CLASS!$C$39:$O$60,ROWS(A$3:A10),0),"")</f>
        <v>Extra attack</v>
      </c>
      <c r="Z29" s="451"/>
      <c r="AA29" s="452"/>
    </row>
    <row r="30" spans="2:32" ht="12" customHeight="1" thickBot="1">
      <c r="C30" s="475" t="s">
        <v>6051</v>
      </c>
      <c r="D30" s="485"/>
      <c r="E30" s="485"/>
      <c r="H30" s="3493" t="s">
        <v>6052</v>
      </c>
      <c r="I30" s="3270"/>
      <c r="J30" s="3270"/>
      <c r="K30" s="3270"/>
      <c r="L30" s="3270"/>
      <c r="M30" s="3270"/>
      <c r="N30" s="3270"/>
      <c r="O30" s="3271"/>
      <c r="R30" s="470">
        <v>7</v>
      </c>
      <c r="S30" s="471">
        <v>23000</v>
      </c>
      <c r="U30" s="472">
        <v>7</v>
      </c>
      <c r="V30" s="473">
        <v>3</v>
      </c>
      <c r="W30" s="473">
        <f>IF([1]MATH!$D$5=7,3,0)</f>
        <v>3</v>
      </c>
      <c r="X30" s="474">
        <v>7</v>
      </c>
      <c r="Y30" s="460">
        <f>IF([1]MATH!C5&gt;=7,HLOOKUP([1]MATH!$C$8,CLASS!$C$39:$O$60,ROWS(A$3:A11),0),"")</f>
        <v>0</v>
      </c>
      <c r="Z30" s="451"/>
      <c r="AA30" s="452"/>
    </row>
    <row r="31" spans="2:32">
      <c r="C31" s="475" t="s">
        <v>6053</v>
      </c>
      <c r="D31" s="486"/>
      <c r="E31" s="486"/>
      <c r="H31" s="487">
        <v>6</v>
      </c>
      <c r="I31" s="488">
        <f>O31</f>
        <v>0</v>
      </c>
      <c r="J31" s="488">
        <f>IF(O31=1,IF(B162&gt;3,2-I31,0),0)</f>
        <v>0</v>
      </c>
      <c r="K31" s="489"/>
      <c r="L31" s="489"/>
      <c r="M31" s="489"/>
      <c r="N31" s="490"/>
      <c r="O31" s="491">
        <f>IF($C$158=$C$7,IF(#REF!&gt;5,2,0),)</f>
        <v>0</v>
      </c>
      <c r="R31" s="470">
        <v>8</v>
      </c>
      <c r="S31" s="471">
        <v>34000</v>
      </c>
      <c r="U31" s="472">
        <v>8</v>
      </c>
      <c r="V31" s="473">
        <v>3</v>
      </c>
      <c r="W31" s="473">
        <f>IF([1]MATH!$D$5=8,3,0)</f>
        <v>0</v>
      </c>
      <c r="X31" s="474">
        <v>8</v>
      </c>
      <c r="Y31" s="460" t="str">
        <f>IF([1]MATH!C5&gt;=8,HLOOKUP([1]MATH!$C$8,CLASS!$C$39:$O$60,ROWS(A$3:A12),0),"")</f>
        <v/>
      </c>
      <c r="Z31" s="451"/>
      <c r="AA31" s="452"/>
    </row>
    <row r="32" spans="2:32" ht="11.25" thickBot="1">
      <c r="H32" s="492">
        <v>14</v>
      </c>
      <c r="I32" s="419">
        <f>O32</f>
        <v>0</v>
      </c>
      <c r="J32" s="419">
        <f ca="1">IF(O32=1,(RANDBETWEEN(0,2)),0)</f>
        <v>0</v>
      </c>
      <c r="K32" s="419">
        <f>IF(O32=1,IF(D137&gt;3,2-J32,0),0)</f>
        <v>0</v>
      </c>
      <c r="L32" s="493"/>
      <c r="M32" s="493"/>
      <c r="N32" s="494"/>
      <c r="O32" s="495">
        <f>IF($C$158=$C$7,IF(#REF!&gt;13,2,0),0)</f>
        <v>0</v>
      </c>
      <c r="R32" s="470">
        <v>9</v>
      </c>
      <c r="S32" s="471">
        <v>48000</v>
      </c>
      <c r="U32" s="472">
        <v>9</v>
      </c>
      <c r="V32" s="473">
        <v>4</v>
      </c>
      <c r="W32" s="473">
        <f>IF([1]MATH!$D$5=9,4,0)</f>
        <v>0</v>
      </c>
      <c r="X32" s="474">
        <v>9</v>
      </c>
      <c r="Y32" s="460" t="str">
        <f>IF([1]MATH!C5&gt;=9,HLOOKUP([1]MATH!$C$8,CLASS!$C$39:$O$60,ROWS(A$3:A13),0),"")</f>
        <v/>
      </c>
      <c r="Z32" s="451"/>
      <c r="AA32" s="452"/>
    </row>
    <row r="33" spans="2:37">
      <c r="I33" s="496"/>
      <c r="J33" s="496"/>
      <c r="K33" s="496"/>
      <c r="L33" s="496"/>
      <c r="M33" s="496"/>
      <c r="N33" s="496"/>
      <c r="R33" s="470">
        <v>10</v>
      </c>
      <c r="S33" s="471">
        <v>64000</v>
      </c>
      <c r="U33" s="472">
        <v>10</v>
      </c>
      <c r="V33" s="473">
        <v>4</v>
      </c>
      <c r="W33" s="473">
        <f>IF([1]MATH!$D$5=10,4,0)</f>
        <v>0</v>
      </c>
      <c r="X33" s="474">
        <v>10</v>
      </c>
      <c r="Y33" s="460" t="str">
        <f>IF([1]MATH!C5&gt;=10,HLOOKUP([1]MATH!$C$8,CLASS!$C$39:$O$60,ROWS(A$3:A14),0),"")</f>
        <v/>
      </c>
      <c r="Z33" s="451"/>
      <c r="AA33" s="452"/>
    </row>
    <row r="34" spans="2:37" ht="11.25" thickBot="1">
      <c r="D34" s="496"/>
      <c r="E34" s="496"/>
      <c r="F34" s="496"/>
      <c r="G34" s="496"/>
      <c r="H34" s="496"/>
      <c r="I34" s="496"/>
      <c r="P34" s="497"/>
      <c r="Q34" s="498"/>
      <c r="R34" s="470">
        <v>11</v>
      </c>
      <c r="S34" s="471">
        <v>85000</v>
      </c>
      <c r="U34" s="472">
        <v>11</v>
      </c>
      <c r="V34" s="473">
        <v>4</v>
      </c>
      <c r="W34" s="473">
        <f>IF([1]MATH!$D$5=11,4,0)</f>
        <v>0</v>
      </c>
      <c r="X34" s="474">
        <v>11</v>
      </c>
      <c r="Y34" s="460" t="str">
        <f>IF([1]MATH!C5&gt;=11,HLOOKUP([1]MATH!$C$8,CLASS!$C$39:$O$60,ROWS(A$3:A15),0),"")</f>
        <v/>
      </c>
      <c r="Z34" s="499"/>
      <c r="AA34" s="500"/>
      <c r="AH34" s="273"/>
      <c r="AJ34" s="271"/>
      <c r="AK34" s="282"/>
    </row>
    <row r="35" spans="2:37">
      <c r="B35" s="3529" t="s">
        <v>6054</v>
      </c>
      <c r="C35" s="3530"/>
      <c r="D35" s="3530"/>
      <c r="E35" s="3530"/>
      <c r="F35" s="3530"/>
      <c r="G35" s="3530"/>
      <c r="H35" s="3530"/>
      <c r="I35" s="3530"/>
      <c r="J35" s="3530"/>
      <c r="K35" s="3530"/>
      <c r="L35" s="3530"/>
      <c r="M35" s="3530"/>
      <c r="N35" s="3530"/>
      <c r="O35" s="3531"/>
      <c r="P35" s="497"/>
      <c r="Q35" s="498"/>
      <c r="R35" s="470">
        <v>12</v>
      </c>
      <c r="S35" s="471">
        <v>100000</v>
      </c>
      <c r="U35" s="472">
        <v>12</v>
      </c>
      <c r="V35" s="473">
        <v>4</v>
      </c>
      <c r="W35" s="473">
        <f>IF([1]MATH!$D$5=12,4,0)</f>
        <v>0</v>
      </c>
      <c r="X35" s="474">
        <v>12</v>
      </c>
      <c r="Y35" s="460" t="str">
        <f>IF([1]MATH!C5&gt;=12,HLOOKUP([1]MATH!$C$8,CLASS!$C$39:$O$60,ROWS(A$3:A16),0),"")</f>
        <v/>
      </c>
      <c r="Z35" s="499"/>
      <c r="AA35" s="500"/>
      <c r="AH35" s="273"/>
      <c r="AJ35" s="271"/>
      <c r="AK35" s="282"/>
    </row>
    <row r="36" spans="2:37" ht="11.25" thickBot="1">
      <c r="B36" s="3532"/>
      <c r="C36" s="3533"/>
      <c r="D36" s="3533"/>
      <c r="E36" s="3533"/>
      <c r="F36" s="3533"/>
      <c r="G36" s="3533"/>
      <c r="H36" s="3533"/>
      <c r="I36" s="3533"/>
      <c r="J36" s="3533"/>
      <c r="K36" s="3533"/>
      <c r="L36" s="3533"/>
      <c r="M36" s="3533"/>
      <c r="N36" s="3533"/>
      <c r="O36" s="3534"/>
      <c r="P36" s="497"/>
      <c r="Q36" s="498"/>
      <c r="R36" s="470">
        <v>13</v>
      </c>
      <c r="S36" s="471">
        <v>120000</v>
      </c>
      <c r="U36" s="472">
        <v>13</v>
      </c>
      <c r="V36" s="473">
        <v>5</v>
      </c>
      <c r="W36" s="473">
        <f>IF([1]MATH!$D$5=13,5,0)</f>
        <v>0</v>
      </c>
      <c r="X36" s="474">
        <v>13</v>
      </c>
      <c r="Y36" s="460" t="str">
        <f>IF([1]MATH!C5&gt;=13,HLOOKUP([1]MATH!$C$8,CLASS!$C$39:$O$60,ROWS(A$3:A17),0),"")</f>
        <v/>
      </c>
      <c r="Z36" s="499"/>
      <c r="AA36" s="500"/>
      <c r="AH36" s="273"/>
      <c r="AJ36" s="271"/>
      <c r="AK36" s="282"/>
    </row>
    <row r="37" spans="2:37" ht="11.25" thickBot="1">
      <c r="B37" s="501" t="s">
        <v>6055</v>
      </c>
      <c r="C37" s="3554" t="s">
        <v>6056</v>
      </c>
      <c r="D37" s="3525" t="s">
        <v>6057</v>
      </c>
      <c r="E37" s="3525" t="s">
        <v>6058</v>
      </c>
      <c r="F37" s="3525" t="s">
        <v>6059</v>
      </c>
      <c r="G37" s="3525" t="s">
        <v>6060</v>
      </c>
      <c r="H37" s="3525" t="s">
        <v>6061</v>
      </c>
      <c r="I37" s="3525" t="s">
        <v>6062</v>
      </c>
      <c r="J37" s="3525" t="s">
        <v>6063</v>
      </c>
      <c r="K37" s="3525" t="s">
        <v>6064</v>
      </c>
      <c r="L37" s="3525" t="s">
        <v>6065</v>
      </c>
      <c r="M37" s="3525" t="s">
        <v>6066</v>
      </c>
      <c r="N37" s="3525" t="s">
        <v>6067</v>
      </c>
      <c r="O37" s="3550" t="s">
        <v>6068</v>
      </c>
      <c r="P37" s="497"/>
      <c r="Q37" s="498"/>
      <c r="R37" s="470">
        <v>14</v>
      </c>
      <c r="S37" s="471">
        <v>140000</v>
      </c>
      <c r="U37" s="472">
        <v>14</v>
      </c>
      <c r="V37" s="473">
        <v>5</v>
      </c>
      <c r="W37" s="473">
        <f>IF([1]MATH!$D$5=14,5,0)</f>
        <v>0</v>
      </c>
      <c r="X37" s="474">
        <v>14</v>
      </c>
      <c r="Y37" s="460" t="str">
        <f>IF([1]MATH!C5&gt;=14,HLOOKUP([1]MATH!$C$8,CLASS!$C$39:$O$60,ROWS(A$3:A18),0),"")</f>
        <v/>
      </c>
      <c r="Z37" s="499"/>
      <c r="AA37" s="500"/>
      <c r="AH37" s="273"/>
      <c r="AJ37" s="271"/>
      <c r="AK37" s="282"/>
    </row>
    <row r="38" spans="2:37" ht="11.25" thickBot="1">
      <c r="B38" s="502"/>
      <c r="C38" s="3555"/>
      <c r="D38" s="3526"/>
      <c r="E38" s="3526"/>
      <c r="F38" s="3526"/>
      <c r="G38" s="3526"/>
      <c r="H38" s="3526"/>
      <c r="I38" s="3526"/>
      <c r="J38" s="3526"/>
      <c r="K38" s="3526"/>
      <c r="L38" s="3526"/>
      <c r="M38" s="3526"/>
      <c r="N38" s="3526"/>
      <c r="O38" s="3551"/>
      <c r="P38" s="497"/>
      <c r="Q38" s="498"/>
      <c r="R38" s="470">
        <v>15</v>
      </c>
      <c r="S38" s="471">
        <v>165000</v>
      </c>
      <c r="U38" s="472">
        <v>15</v>
      </c>
      <c r="V38" s="473">
        <v>5</v>
      </c>
      <c r="W38" s="473">
        <f>IF([1]MATH!$D$5=15,5,0)</f>
        <v>0</v>
      </c>
      <c r="X38" s="474">
        <v>15</v>
      </c>
      <c r="Y38" s="460" t="str">
        <f>IF([1]MATH!C5&gt;=15,HLOOKUP([1]MATH!$C$8,CLASS!$C$39:$O$60,ROWS(A$3:A19),0),"")</f>
        <v/>
      </c>
      <c r="Z38" s="499"/>
      <c r="AA38" s="500"/>
      <c r="AH38" s="273"/>
      <c r="AJ38" s="271"/>
      <c r="AK38" s="282"/>
    </row>
    <row r="39" spans="2:37">
      <c r="B39" s="487"/>
      <c r="C39" s="347">
        <v>1</v>
      </c>
      <c r="D39" s="347">
        <v>2</v>
      </c>
      <c r="E39" s="347">
        <v>3</v>
      </c>
      <c r="F39" s="347">
        <v>4</v>
      </c>
      <c r="G39" s="347">
        <v>5</v>
      </c>
      <c r="H39" s="347">
        <v>6</v>
      </c>
      <c r="I39" s="347">
        <v>7</v>
      </c>
      <c r="J39" s="347">
        <v>8</v>
      </c>
      <c r="K39" s="347">
        <v>9</v>
      </c>
      <c r="L39" s="347">
        <v>10</v>
      </c>
      <c r="M39" s="347">
        <v>11</v>
      </c>
      <c r="N39" s="347">
        <v>12</v>
      </c>
      <c r="O39" s="503">
        <v>13</v>
      </c>
      <c r="P39" s="3552" t="s">
        <v>6069</v>
      </c>
      <c r="Q39" s="498"/>
      <c r="R39" s="470">
        <v>16</v>
      </c>
      <c r="S39" s="471">
        <v>195000</v>
      </c>
      <c r="U39" s="472">
        <v>16</v>
      </c>
      <c r="V39" s="473">
        <v>5</v>
      </c>
      <c r="W39" s="473">
        <f>IF([1]MATH!$D$5=16,5,0)</f>
        <v>0</v>
      </c>
      <c r="X39" s="474">
        <v>16</v>
      </c>
      <c r="Y39" s="460" t="str">
        <f>IF([1]MATH!C5&gt;=16,HLOOKUP([1]MATH!$C$8,CLASS!$C$39:$O$60,ROWS(A$3:A20),0),"")</f>
        <v/>
      </c>
      <c r="Z39" s="499"/>
      <c r="AA39" s="500"/>
      <c r="AH39" s="273"/>
      <c r="AJ39" s="271"/>
      <c r="AK39" s="282"/>
    </row>
    <row r="40" spans="2:37" ht="11.25" thickBot="1">
      <c r="B40" s="492" t="s">
        <v>6070</v>
      </c>
      <c r="C40" s="419"/>
      <c r="D40" s="419"/>
      <c r="E40" s="419"/>
      <c r="F40" s="419"/>
      <c r="G40" s="419"/>
      <c r="H40" s="419"/>
      <c r="I40" s="419"/>
      <c r="J40" s="419"/>
      <c r="K40" s="419"/>
      <c r="L40" s="419"/>
      <c r="M40" s="419"/>
      <c r="N40" s="419"/>
      <c r="O40" s="504"/>
      <c r="P40" s="3553"/>
      <c r="Q40" s="498"/>
      <c r="R40" s="470">
        <v>17</v>
      </c>
      <c r="S40" s="471">
        <v>225000</v>
      </c>
      <c r="U40" s="472">
        <v>17</v>
      </c>
      <c r="V40" s="473">
        <v>6</v>
      </c>
      <c r="W40" s="473">
        <f>IF([1]MATH!$D$5=17,6,0)</f>
        <v>0</v>
      </c>
      <c r="X40" s="474">
        <v>17</v>
      </c>
      <c r="Y40" s="460" t="str">
        <f>IF([1]MATH!C5&gt;=17,HLOOKUP([1]MATH!$C$8,CLASS!$C$39:$O$60,ROWS(A$3:A21),0),"")</f>
        <v/>
      </c>
      <c r="Z40" s="499"/>
      <c r="AA40" s="500"/>
      <c r="AH40" s="273"/>
      <c r="AJ40" s="271"/>
      <c r="AK40" s="282"/>
    </row>
    <row r="41" spans="2:37">
      <c r="B41" s="465">
        <v>1</v>
      </c>
      <c r="C41" s="505" t="str">
        <f ca="1">HLOOKUP(C67,C118:M124,3,TRUE)</f>
        <v>Spell &amp; Ritual Casting, Heavy Armor Prof, Disciple of Life</v>
      </c>
      <c r="D41" s="505" t="str">
        <f>IFERROR(HLOOKUP([1]MATH!C9,C200:H207,3,0),"")</f>
        <v/>
      </c>
      <c r="E41" s="344" t="s">
        <v>6071</v>
      </c>
      <c r="F41" s="344" t="s">
        <v>6072</v>
      </c>
      <c r="G41" s="505" t="s">
        <v>6073</v>
      </c>
      <c r="H41" s="505" t="s">
        <v>6074</v>
      </c>
      <c r="I41" s="344" t="s">
        <v>6075</v>
      </c>
      <c r="J41" s="344" t="s">
        <v>6076</v>
      </c>
      <c r="K41" s="344" t="s">
        <v>6077</v>
      </c>
      <c r="L41" s="505" t="str">
        <f ca="1">IF(B274=2,CONCATENATE("Fav. Enemy: ",C274,", ",D274,", Fav. Terrain: ",H303),CONCATENATE("Fav. Enemy: ",C274,", Fav. Terrain: ",H303))</f>
        <v>Fav. Enemy: Orog, Sahuagin, Fav. Terrain: Grassland</v>
      </c>
      <c r="M41" s="505" t="str">
        <f>IFERROR(HLOOKUP([1]MATH!C9,C177:H182,3,0),"")</f>
        <v/>
      </c>
      <c r="N41" s="505" t="str">
        <f>CONCATENATE([1]MATH!D9,", ","Pact Magic")</f>
        <v>(War Magic), Pact Magic</v>
      </c>
      <c r="O41" s="506" t="str">
        <f>CONCATENATE("Psionics, ",HLOOKUP([1]MATH!$C$9,D346:J351,3,TRUE))</f>
        <v>Psionics, Hermit's Study,  2 Addl. psionic disciplines</v>
      </c>
      <c r="P41" s="3553"/>
      <c r="Q41" s="498"/>
      <c r="R41" s="470">
        <v>18</v>
      </c>
      <c r="S41" s="471">
        <v>265000</v>
      </c>
      <c r="U41" s="472">
        <v>18</v>
      </c>
      <c r="V41" s="473">
        <v>6</v>
      </c>
      <c r="W41" s="473">
        <f>IF([1]MATH!$D$5=18,6,0)</f>
        <v>0</v>
      </c>
      <c r="X41" s="474">
        <v>18</v>
      </c>
      <c r="Y41" s="460" t="str">
        <f>IF([1]MATH!C5&gt;=18,HLOOKUP([1]MATH!$C$8,CLASS!$C$39:$O$60,ROWS(A$3:A22),0),"")</f>
        <v/>
      </c>
      <c r="Z41" s="499"/>
      <c r="AA41" s="500"/>
      <c r="AH41" s="273"/>
      <c r="AJ41" s="271"/>
      <c r="AK41" s="282"/>
    </row>
    <row r="42" spans="2:37">
      <c r="B42" s="477">
        <v>2</v>
      </c>
      <c r="C42" s="507" t="str">
        <f ca="1">HLOOKUP(C67,C118:M124,4,TRUE)</f>
        <v>Preserve Life (1 Channel Divinity/rest)</v>
      </c>
      <c r="D42" s="507" t="s">
        <v>6078</v>
      </c>
      <c r="E42" s="368" t="s">
        <v>3216</v>
      </c>
      <c r="F42" s="508" t="str">
        <f>IF([1]MATH!$C$5&gt;2,HLOOKUP([1]MATH!$C$9,B329:M334,3,TRUE),"")</f>
        <v>Arcane Deflection, Tactical Wit</v>
      </c>
      <c r="G42" s="507" t="s">
        <v>6079</v>
      </c>
      <c r="H42" s="368" t="s">
        <v>6080</v>
      </c>
      <c r="I42" s="507" t="str">
        <f>IFERROR(HLOOKUP([1]MATH!C9,C129:H134,3,0),"")</f>
        <v/>
      </c>
      <c r="J42" s="368" t="s">
        <v>6081</v>
      </c>
      <c r="K42" s="507" t="str">
        <f ca="1">CONCATENATE(CLASS!K83,", Spellcasting, Divine Smite")</f>
        <v>, Spellcasting, Divine Smite</v>
      </c>
      <c r="L42" s="507" t="str">
        <f ca="1">CONCATENATE("Fighting Style: ",CLASS!L83,", Spellcasting")</f>
        <v>Fighting Style: , Spellcasting</v>
      </c>
      <c r="M42" s="507" t="s">
        <v>6082</v>
      </c>
      <c r="N42" s="507" t="s">
        <v>6083</v>
      </c>
      <c r="O42" s="509" t="s">
        <v>6084</v>
      </c>
      <c r="P42" s="3553"/>
      <c r="Q42" s="498"/>
      <c r="R42" s="470">
        <v>19</v>
      </c>
      <c r="S42" s="471">
        <v>305000</v>
      </c>
      <c r="U42" s="472">
        <v>19</v>
      </c>
      <c r="V42" s="473">
        <v>6</v>
      </c>
      <c r="W42" s="473">
        <f>IF([1]MATH!$D$5=19,6,0)</f>
        <v>0</v>
      </c>
      <c r="X42" s="474">
        <v>19</v>
      </c>
      <c r="Y42" s="460" t="str">
        <f>IF([1]MATH!C5&gt;=19,HLOOKUP([1]MATH!$C$8,CLASS!$C$39:$O$60,ROWS(A$3:A23),0),"")</f>
        <v/>
      </c>
      <c r="Z42" s="499"/>
      <c r="AA42" s="500"/>
      <c r="AH42" s="273"/>
      <c r="AJ42" s="271"/>
      <c r="AK42" s="282"/>
    </row>
    <row r="43" spans="2:37" ht="11.25" thickBot="1">
      <c r="B43" s="477">
        <v>3</v>
      </c>
      <c r="C43" s="507" t="s">
        <v>6085</v>
      </c>
      <c r="D43" s="507" t="str">
        <f>IFERROR(HLOOKUP([1]MATH!C9,C200:H207,4,0),"")</f>
        <v/>
      </c>
      <c r="E43" s="507" t="str">
        <f>IFERROR(HLOOKUP([1]MATH!C9,C157:H162,3,0),"")</f>
        <v/>
      </c>
      <c r="F43" s="508"/>
      <c r="G43" s="507" t="str">
        <f>"Primal Path, "&amp;IFERROR(HLOOKUP([1]MATH!C9,C139:H144,3,0),"")</f>
        <v xml:space="preserve">Primal Path, </v>
      </c>
      <c r="H43" s="507" t="str">
        <f>IFERROR(HLOOKUP([1]MATH!C9,C148:H152,3,0),"")</f>
        <v/>
      </c>
      <c r="I43" s="507" t="str">
        <f>IFERROR(IF([1]MATH!C9=1,CONCATENATE("Spells: ",[1]SPELLBOOK!S78,", ",[1]SPELLBOOK!S79),""),"")</f>
        <v/>
      </c>
      <c r="J43" s="507" t="str">
        <f>IFERROR(HLOOKUP([1]MATH!C9,C233:H238,3,0),"")</f>
        <v/>
      </c>
      <c r="K43" s="507" t="str">
        <f>IFERROR(HLOOKUP([1]MATH!C9,C167:H172,3,0),"")</f>
        <v/>
      </c>
      <c r="L43" s="507" t="str">
        <f>IFERROR(HLOOKUP([1]MATH!C9,C266:H271,3,0),"")</f>
        <v/>
      </c>
      <c r="M43" s="507" t="str">
        <f ca="1">CONCATENATE("Metamagic: ",C193)</f>
        <v>Metamagic: Heightened Spell</v>
      </c>
      <c r="N43" s="507" t="e">
        <f>HLOOKUP([1]MATH!C9,C320:H326,4,0)</f>
        <v>#N/A</v>
      </c>
      <c r="O43" s="509" t="str">
        <f>HLOOKUP([1]MATH!$C$9,D346:J351,4,TRUE)</f>
        <v>Elemental Attunement</v>
      </c>
      <c r="P43" s="3553"/>
      <c r="Q43" s="498"/>
      <c r="R43" s="510">
        <v>20</v>
      </c>
      <c r="S43" s="511">
        <v>355000</v>
      </c>
      <c r="U43" s="512">
        <v>20</v>
      </c>
      <c r="V43" s="513">
        <v>6</v>
      </c>
      <c r="W43" s="513">
        <f>IF([1]MATH!$D$5=20,6,0)</f>
        <v>0</v>
      </c>
      <c r="X43" s="514">
        <v>20</v>
      </c>
      <c r="Y43" s="515" t="str">
        <f>IF([1]MATH!C5&gt;=20,HLOOKUP([1]MATH!$C$8,CLASS!$C$39:$O$60,ROWS(A$3:A24),0),"")</f>
        <v/>
      </c>
      <c r="Z43" s="516"/>
      <c r="AA43" s="517"/>
      <c r="AH43" s="273"/>
      <c r="AJ43" s="271"/>
      <c r="AK43" s="282"/>
    </row>
    <row r="44" spans="2:37" ht="11.25" thickBot="1">
      <c r="B44" s="477">
        <v>4</v>
      </c>
      <c r="C44" s="507" t="s">
        <v>6086</v>
      </c>
      <c r="D44" s="507" t="s">
        <v>6086</v>
      </c>
      <c r="E44" s="507" t="s">
        <v>6086</v>
      </c>
      <c r="F44" s="507" t="s">
        <v>6086</v>
      </c>
      <c r="G44" s="507" t="s">
        <v>6086</v>
      </c>
      <c r="H44" s="507" t="s">
        <v>6086</v>
      </c>
      <c r="I44" s="368" t="s">
        <v>6087</v>
      </c>
      <c r="J44" s="507" t="s">
        <v>6086</v>
      </c>
      <c r="K44" s="507" t="s">
        <v>6086</v>
      </c>
      <c r="L44" s="507" t="s">
        <v>6086</v>
      </c>
      <c r="M44" s="507" t="s">
        <v>6086</v>
      </c>
      <c r="N44" s="507" t="s">
        <v>6086</v>
      </c>
      <c r="O44" s="509" t="s">
        <v>6086</v>
      </c>
      <c r="P44" s="3553"/>
      <c r="Q44" s="498"/>
      <c r="R44" s="518"/>
      <c r="S44" s="519"/>
      <c r="T44" s="520"/>
      <c r="U44" s="512" t="s">
        <v>6088</v>
      </c>
      <c r="V44" s="513"/>
      <c r="W44" s="513">
        <f>SUM(W24:W43)</f>
        <v>3</v>
      </c>
      <c r="X44" s="521"/>
      <c r="Y44" s="522"/>
      <c r="Z44" s="521"/>
      <c r="AA44" s="521"/>
      <c r="AH44" s="273"/>
      <c r="AJ44" s="271"/>
      <c r="AK44" s="282"/>
    </row>
    <row r="45" spans="2:37">
      <c r="B45" s="523">
        <v>5</v>
      </c>
      <c r="C45" s="524" t="s">
        <v>6089</v>
      </c>
      <c r="D45" s="524" t="s">
        <v>6090</v>
      </c>
      <c r="E45" s="525" t="s">
        <v>6091</v>
      </c>
      <c r="F45" s="526"/>
      <c r="G45" s="525" t="s">
        <v>6092</v>
      </c>
      <c r="H45" s="525" t="s">
        <v>6093</v>
      </c>
      <c r="I45" s="524" t="str">
        <f>IFERROR(IF([1]MATH!C9=1,CONCATENATE("Spells: ",[1]SPELLBOOK!AA78,", ",[1]SPELLBOOK!AA79),""),"")</f>
        <v/>
      </c>
      <c r="J45" s="524" t="s">
        <v>6094</v>
      </c>
      <c r="K45" s="525" t="s">
        <v>6095</v>
      </c>
      <c r="L45" s="525" t="s">
        <v>6095</v>
      </c>
      <c r="M45" s="524"/>
      <c r="N45" s="527"/>
      <c r="O45" s="528"/>
      <c r="P45" s="3553"/>
      <c r="Q45" s="498"/>
      <c r="R45" s="498"/>
      <c r="S45" s="497"/>
      <c r="T45" s="497"/>
      <c r="U45" s="521"/>
      <c r="V45" s="521"/>
      <c r="W45" s="521"/>
      <c r="X45" s="521"/>
      <c r="Y45" s="522"/>
      <c r="Z45" s="521"/>
      <c r="AA45" s="521"/>
      <c r="AH45" s="273"/>
      <c r="AJ45" s="271"/>
      <c r="AK45" s="282"/>
    </row>
    <row r="46" spans="2:37">
      <c r="B46" s="487">
        <v>6</v>
      </c>
      <c r="C46" s="529" t="str">
        <f ca="1">HLOOKUP(C67,C118:M124,5,TRUE)</f>
        <v>Blessed Healer, (2 Channel Divinity/rest)</v>
      </c>
      <c r="D46" s="529" t="s">
        <v>6086</v>
      </c>
      <c r="E46" s="530" t="s">
        <v>6096</v>
      </c>
      <c r="F46" s="531" t="str">
        <f>IF([1]MATH!$C$5&gt;2,HLOOKUP([1]MATH!$C$9,B329:K334,4,TRUE),"")</f>
        <v>Extra attack</v>
      </c>
      <c r="G46" s="529" t="str">
        <f>IFERROR(HLOOKUP([1]MATH!C9,C139:H144,4,0),"")</f>
        <v/>
      </c>
      <c r="H46" s="529" t="str">
        <f>IFERROR(HLOOKUP([1]MATH!C9,C148:H152,4,0),"")</f>
        <v/>
      </c>
      <c r="I46" s="529" t="str">
        <f>IFERROR(HLOOKUP([1]MATH!C9,C129:H134,4,0),"")</f>
        <v/>
      </c>
      <c r="J46" s="529" t="str">
        <f>IFERROR(HLOOKUP([1]MATH!C9,C233:H238,4,0),"")</f>
        <v/>
      </c>
      <c r="K46" s="530" t="s">
        <v>6097</v>
      </c>
      <c r="L46" s="529" t="str">
        <f ca="1">IFERROR(IF(B275=2,CONCATENATE("Fav. Enemy: ",C275,", ",D275,", Fav. Terrain: ",H304),CONCATENATE("Fav. Enemy: ",C275,", Fav. Terrain: ",H304)),"")</f>
        <v>Fav. Enemy: Orc, Werecreatues, Fav. Terrain: Swamp</v>
      </c>
      <c r="M46" s="529" t="str">
        <f>IFERROR(HLOOKUP([1]MATH!C9,C177:H182,4,0),"")</f>
        <v/>
      </c>
      <c r="N46" s="529" t="e">
        <f>HLOOKUP([1]MATH!C9,C320:H326,5,0)</f>
        <v>#N/A</v>
      </c>
      <c r="O46" s="532" t="str">
        <f>HLOOKUP([1]MATH!$C$9,D346:J351,5,TRUE)</f>
        <v>Arcane Dabbler</v>
      </c>
      <c r="P46" s="3553"/>
      <c r="Q46" s="498"/>
      <c r="R46" s="498"/>
      <c r="S46" s="497"/>
      <c r="T46" s="497"/>
      <c r="U46" s="521"/>
      <c r="V46" s="521"/>
      <c r="W46" s="521"/>
      <c r="X46" s="521"/>
      <c r="Y46" s="521"/>
      <c r="Z46" s="521"/>
      <c r="AA46" s="521"/>
      <c r="AH46" s="273"/>
      <c r="AJ46" s="271"/>
      <c r="AK46" s="282"/>
    </row>
    <row r="47" spans="2:37">
      <c r="B47" s="477">
        <v>7</v>
      </c>
      <c r="C47" s="507" t="s">
        <v>6085</v>
      </c>
      <c r="D47" s="507" t="str">
        <f>IFERROR(HLOOKUP([1]MATH!C9,C200:H207,5,0),"")</f>
        <v/>
      </c>
      <c r="E47" s="368" t="s">
        <v>6098</v>
      </c>
      <c r="F47" s="508"/>
      <c r="G47" s="368" t="s">
        <v>6099</v>
      </c>
      <c r="H47" s="507"/>
      <c r="I47" s="507" t="str">
        <f>IFERROR(IF([1]MATH!C9=1,CONCATENATE("Spells: ",[1]SPELLBOOK!AI78,", ",[1]SPELLBOOK!AI79),""),"")</f>
        <v/>
      </c>
      <c r="J47" s="507" t="s">
        <v>6100</v>
      </c>
      <c r="K47" s="507" t="e">
        <f>HLOOKUP([1]MATH!C9,C167:H172,4,0)</f>
        <v>#N/A</v>
      </c>
      <c r="L47" s="507" t="str">
        <f>IFERROR(HLOOKUP([1]MATH!C9,C266:H271,4,0),"")</f>
        <v/>
      </c>
      <c r="M47" s="507"/>
      <c r="N47" s="507"/>
      <c r="O47" s="509"/>
      <c r="P47" s="3553"/>
      <c r="Q47" s="498"/>
      <c r="R47" s="498"/>
      <c r="S47" s="497"/>
      <c r="T47" s="497"/>
      <c r="U47" s="521"/>
      <c r="V47" s="521"/>
      <c r="W47" s="521"/>
      <c r="X47" s="521"/>
      <c r="Y47" s="521"/>
      <c r="Z47" s="521"/>
      <c r="AA47" s="521"/>
      <c r="AH47" s="273"/>
      <c r="AJ47" s="271"/>
      <c r="AK47" s="282"/>
    </row>
    <row r="48" spans="2:37">
      <c r="B48" s="477">
        <v>8</v>
      </c>
      <c r="C48" s="507" t="str">
        <f ca="1">HLOOKUP(C67,C118:M124,6,TRUE)</f>
        <v>Ability Score Improv., Destroy Undead (CR 1), Divine Strike</v>
      </c>
      <c r="D48" s="507" t="s">
        <v>6086</v>
      </c>
      <c r="E48" s="507" t="s">
        <v>6086</v>
      </c>
      <c r="F48" s="507" t="s">
        <v>6086</v>
      </c>
      <c r="G48" s="507" t="s">
        <v>6086</v>
      </c>
      <c r="H48" s="507" t="s">
        <v>6086</v>
      </c>
      <c r="I48" s="368" t="s">
        <v>6087</v>
      </c>
      <c r="J48" s="507" t="s">
        <v>6086</v>
      </c>
      <c r="K48" s="507" t="s">
        <v>6086</v>
      </c>
      <c r="L48" s="507" t="s">
        <v>6086</v>
      </c>
      <c r="M48" s="507" t="s">
        <v>6086</v>
      </c>
      <c r="N48" s="507" t="s">
        <v>6086</v>
      </c>
      <c r="O48" s="509" t="s">
        <v>6086</v>
      </c>
      <c r="P48" s="3553"/>
      <c r="Q48" s="498"/>
      <c r="R48" s="498"/>
      <c r="S48" s="497"/>
      <c r="T48" s="497"/>
      <c r="U48" s="521"/>
      <c r="V48" s="521"/>
      <c r="W48" s="521"/>
      <c r="X48" s="521"/>
      <c r="Y48" s="521"/>
      <c r="Z48" s="521"/>
      <c r="AA48" s="521"/>
      <c r="AH48" s="273"/>
      <c r="AJ48" s="271"/>
      <c r="AK48" s="282"/>
    </row>
    <row r="49" spans="2:37">
      <c r="B49" s="477">
        <v>9</v>
      </c>
      <c r="C49" s="507" t="s">
        <v>6085</v>
      </c>
      <c r="D49" s="507" t="s">
        <v>6101</v>
      </c>
      <c r="E49" s="507" t="str">
        <f>IFERROR(HLOOKUP([1]MATH!C9,C157:H162,4,0),"")</f>
        <v/>
      </c>
      <c r="F49" s="508"/>
      <c r="G49" s="368" t="s">
        <v>6102</v>
      </c>
      <c r="H49" s="368" t="s">
        <v>6103</v>
      </c>
      <c r="I49" s="533" t="str">
        <f>IFERROR(IF([1]MATH!C9=1,CONCATENATE("Spells: ",[1]SPELLBOOK!AQ78,", ",[1]SPELLBOOK!AQ79),""),"")</f>
        <v/>
      </c>
      <c r="J49" s="507" t="s">
        <v>6104</v>
      </c>
      <c r="K49" s="507"/>
      <c r="L49" s="507"/>
      <c r="M49" s="507"/>
      <c r="N49" s="507"/>
      <c r="O49" s="509"/>
      <c r="P49" s="3553"/>
      <c r="Q49" s="498"/>
      <c r="R49" s="498"/>
      <c r="S49" s="497"/>
      <c r="T49" s="497"/>
      <c r="U49" s="521"/>
      <c r="V49" s="521"/>
      <c r="W49" s="521"/>
      <c r="X49" s="521"/>
      <c r="Y49" s="521"/>
      <c r="Z49" s="521"/>
      <c r="AA49" s="521"/>
      <c r="AH49" s="273"/>
      <c r="AJ49" s="271"/>
      <c r="AK49" s="282"/>
    </row>
    <row r="50" spans="2:37">
      <c r="B50" s="523">
        <v>10</v>
      </c>
      <c r="C50" s="524" t="s">
        <v>6105</v>
      </c>
      <c r="D50" s="524" t="str">
        <f>IFERROR(HLOOKUP([1]MATH!C9,C200:H207,6,0),"")</f>
        <v/>
      </c>
      <c r="E50" s="525" t="s">
        <v>6086</v>
      </c>
      <c r="F50" s="526" t="str">
        <f>IF([1]MATH!$C$5&gt;2,HLOOKUP([1]MATH!$C$9,B329:M334,5,TRUE),"")</f>
        <v>Durable Magic</v>
      </c>
      <c r="G50" s="524" t="str">
        <f>IFERROR(HLOOKUP([1]MATH!C9,C139:H144,5,0),"")</f>
        <v/>
      </c>
      <c r="H50" s="525" t="s">
        <v>6106</v>
      </c>
      <c r="I50" s="524" t="str">
        <f>IFERROR(HLOOKUP([1]MATH!C9,C129:H134,5,0),"")</f>
        <v/>
      </c>
      <c r="J50" s="525" t="s">
        <v>6107</v>
      </c>
      <c r="K50" s="525" t="s">
        <v>6108</v>
      </c>
      <c r="L50" s="524" t="str">
        <f ca="1">IFERROR(CONCATENATE("Favored Terrain: ",H304,", Hide in Plain Sight"),"")</f>
        <v>Favored Terrain: Swamp, Hide in Plain Sight</v>
      </c>
      <c r="M50" s="524" t="str">
        <f ca="1">CONCATENATE("Metamagic: ",C194)</f>
        <v>Metamagic: Twinned Spell</v>
      </c>
      <c r="N50" s="524" t="e">
        <f>HLOOKUP([1]MATH!C9,C320:H326,6,0)</f>
        <v>#N/A</v>
      </c>
      <c r="O50" s="528" t="s">
        <v>6109</v>
      </c>
      <c r="P50" s="3553"/>
      <c r="Q50" s="498"/>
      <c r="R50" s="498"/>
      <c r="S50" s="497"/>
      <c r="T50" s="497"/>
      <c r="U50" s="521"/>
      <c r="V50" s="521"/>
      <c r="W50" s="521"/>
      <c r="X50" s="521"/>
      <c r="Y50" s="521"/>
      <c r="Z50" s="521"/>
      <c r="AA50" s="521"/>
      <c r="AH50" s="273"/>
      <c r="AJ50" s="271"/>
      <c r="AK50" s="282"/>
    </row>
    <row r="51" spans="2:37">
      <c r="B51" s="487">
        <v>11</v>
      </c>
      <c r="C51" s="529" t="s">
        <v>6110</v>
      </c>
      <c r="D51" s="534" t="s">
        <v>6111</v>
      </c>
      <c r="E51" s="534" t="s">
        <v>6112</v>
      </c>
      <c r="F51" s="531"/>
      <c r="G51" s="534" t="s">
        <v>6113</v>
      </c>
      <c r="H51" s="529"/>
      <c r="I51" s="529"/>
      <c r="J51" s="529" t="str">
        <f>IFERROR(HLOOKUP([1]MATH!C9,C233:H238,5,0),"")</f>
        <v/>
      </c>
      <c r="K51" s="534" t="s">
        <v>6114</v>
      </c>
      <c r="L51" s="529" t="str">
        <f>IFERROR(HLOOKUP([1]MATH!C9,C266:H271,5,0),"")</f>
        <v/>
      </c>
      <c r="M51" s="529"/>
      <c r="N51" s="529" t="str">
        <f>CONCATENATE("Mystic Arcanum: ",[1]SPELLBOOK!AK246)</f>
        <v xml:space="preserve">Mystic Arcanum: </v>
      </c>
      <c r="O51" s="535" t="s">
        <v>6115</v>
      </c>
      <c r="P51" s="3553"/>
      <c r="Q51" s="498"/>
      <c r="R51" s="498"/>
      <c r="S51" s="497"/>
      <c r="T51" s="497"/>
      <c r="U51" s="521"/>
      <c r="V51" s="521"/>
      <c r="W51" s="521"/>
      <c r="X51" s="521"/>
      <c r="Y51" s="521"/>
      <c r="Z51" s="521"/>
      <c r="AA51" s="521"/>
      <c r="AH51" s="273"/>
      <c r="AJ51" s="271"/>
      <c r="AK51" s="282"/>
    </row>
    <row r="52" spans="2:37">
      <c r="B52" s="477">
        <v>12</v>
      </c>
      <c r="C52" s="507" t="s">
        <v>6086</v>
      </c>
      <c r="D52" s="507" t="s">
        <v>6086</v>
      </c>
      <c r="E52" s="368" t="s">
        <v>6086</v>
      </c>
      <c r="F52" s="368" t="s">
        <v>6086</v>
      </c>
      <c r="G52" s="368" t="s">
        <v>6086</v>
      </c>
      <c r="H52" s="368" t="s">
        <v>6086</v>
      </c>
      <c r="I52" s="368" t="s">
        <v>6086</v>
      </c>
      <c r="J52" s="368" t="s">
        <v>6086</v>
      </c>
      <c r="K52" s="368" t="s">
        <v>6086</v>
      </c>
      <c r="L52" s="368" t="s">
        <v>6086</v>
      </c>
      <c r="M52" s="368" t="s">
        <v>6086</v>
      </c>
      <c r="N52" s="368" t="s">
        <v>6086</v>
      </c>
      <c r="O52" s="536" t="s">
        <v>6086</v>
      </c>
      <c r="P52" s="3553"/>
      <c r="Q52" s="498"/>
      <c r="R52" s="498"/>
      <c r="S52" s="497"/>
      <c r="T52" s="497"/>
      <c r="U52" s="521"/>
      <c r="V52" s="521"/>
      <c r="W52" s="521"/>
      <c r="X52" s="521"/>
      <c r="Y52" s="521"/>
      <c r="Z52" s="521"/>
      <c r="AA52" s="521"/>
      <c r="AH52" s="273"/>
      <c r="AJ52" s="271"/>
      <c r="AK52" s="282"/>
    </row>
    <row r="53" spans="2:37">
      <c r="B53" s="477">
        <v>13</v>
      </c>
      <c r="C53" s="507"/>
      <c r="D53" s="533" t="s">
        <v>6116</v>
      </c>
      <c r="E53" s="507" t="str">
        <f>IFERROR(HLOOKUP([1]MATH!C9,C157:H162,5,0),"")</f>
        <v/>
      </c>
      <c r="F53" s="508"/>
      <c r="G53" s="368" t="s">
        <v>6117</v>
      </c>
      <c r="H53" s="533" t="s">
        <v>6118</v>
      </c>
      <c r="I53" s="507"/>
      <c r="J53" s="533" t="s">
        <v>6119</v>
      </c>
      <c r="K53" s="507"/>
      <c r="L53" s="507"/>
      <c r="M53" s="507"/>
      <c r="N53" s="507" t="str">
        <f>CONCATENATE("Mystic Arcanum: ",[1]SPELLBOOK!AP246)</f>
        <v xml:space="preserve">Mystic Arcanum: </v>
      </c>
      <c r="O53" s="537" t="s">
        <v>6120</v>
      </c>
      <c r="P53" s="3553"/>
      <c r="Q53" s="498"/>
      <c r="R53" s="498"/>
      <c r="S53" s="497"/>
      <c r="T53" s="497"/>
      <c r="U53" s="521"/>
      <c r="V53" s="521"/>
      <c r="W53" s="521"/>
      <c r="X53" s="521"/>
      <c r="Y53" s="521"/>
      <c r="Z53" s="521"/>
      <c r="AA53" s="521"/>
      <c r="AH53" s="273"/>
      <c r="AJ53" s="271"/>
      <c r="AK53" s="282"/>
    </row>
    <row r="54" spans="2:37">
      <c r="B54" s="477">
        <v>14</v>
      </c>
      <c r="C54" s="507" t="s">
        <v>6121</v>
      </c>
      <c r="D54" s="507" t="s">
        <v>6086</v>
      </c>
      <c r="E54" s="507" t="s">
        <v>6122</v>
      </c>
      <c r="F54" s="508" t="str">
        <f>IF([1]MATH!$C$5&gt;2,HLOOKUP([1]MATH!$C$9,B329:M334,6,TRUE),"")</f>
        <v>Deflecting Shroud</v>
      </c>
      <c r="G54" s="507" t="str">
        <f>IFERROR(HLOOKUP([1]MATH!C9,C139:H144,6,0),"")</f>
        <v/>
      </c>
      <c r="H54" s="507" t="str">
        <f>IFERROR(HLOOKUP([1]MATH!C9,C148:H152,5,0),"")</f>
        <v/>
      </c>
      <c r="I54" s="507" t="str">
        <f>IFERROR(HLOOKUP([1]MATH!C9,C129:H134,6,0),"")</f>
        <v/>
      </c>
      <c r="J54" s="368" t="s">
        <v>6123</v>
      </c>
      <c r="K54" s="368" t="s">
        <v>6124</v>
      </c>
      <c r="L54" s="507" t="str">
        <f ca="1">IF(B276=2,CONCATENATE("Fav. Enemy: ",C276,", ",D276," -- Vanish"),CONCATENATE("Fav. Enemy: ",C276," -- Vanish"))</f>
        <v>Fav. Enemy: Plants -- Vanish</v>
      </c>
      <c r="M54" s="507" t="str">
        <f>IFERROR(HLOOKUP([1]MATH!C9,C177:H182,4,0),"")</f>
        <v/>
      </c>
      <c r="N54" s="507" t="e">
        <f>HLOOKUP([1]MATH!C9,C320:H326,7,0)</f>
        <v>#N/A</v>
      </c>
      <c r="O54" s="509" t="str">
        <f>CONCATENATE(HLOOKUP([1]MATH!$C$9,D346:J351,5,TRUE),", Potent Psionics (2d8)")</f>
        <v>Arcane Dabbler, Potent Psionics (2d8)</v>
      </c>
      <c r="P54" s="3553"/>
      <c r="Q54" s="498"/>
      <c r="R54" s="498"/>
      <c r="S54" s="497"/>
      <c r="T54" s="497"/>
      <c r="U54" s="521"/>
      <c r="V54" s="521"/>
      <c r="W54" s="521"/>
      <c r="X54" s="521"/>
      <c r="Y54" s="521"/>
      <c r="Z54" s="521"/>
      <c r="AA54" s="521"/>
      <c r="AH54" s="273"/>
      <c r="AJ54" s="271"/>
      <c r="AK54" s="282"/>
    </row>
    <row r="55" spans="2:37">
      <c r="B55" s="477">
        <v>15</v>
      </c>
      <c r="C55" s="507"/>
      <c r="D55" s="507" t="str">
        <f>IFERROR(HLOOKUP([1]MATH!C9,C200:H207,7,0),"")</f>
        <v/>
      </c>
      <c r="E55" s="507" t="s">
        <v>6125</v>
      </c>
      <c r="F55" s="508"/>
      <c r="G55" s="533" t="s">
        <v>6126</v>
      </c>
      <c r="H55" s="533" t="s">
        <v>6127</v>
      </c>
      <c r="I55" s="507"/>
      <c r="J55" s="533" t="s">
        <v>6128</v>
      </c>
      <c r="K55" s="507" t="e">
        <f>HLOOKUP([1]MATH!C9,C167:H172,5,0)</f>
        <v>#N/A</v>
      </c>
      <c r="L55" s="507" t="str">
        <f>IFERROR(HLOOKUP([1]MATH!C9,C266:H271,6,0),"")</f>
        <v/>
      </c>
      <c r="M55" s="507"/>
      <c r="N55" s="507" t="str">
        <f>CONCATENATE("Mystic Arcanum: ",[1]SPELLBOOK!AU246)</f>
        <v xml:space="preserve">Mystic Arcanum: </v>
      </c>
      <c r="O55" s="509" t="s">
        <v>6129</v>
      </c>
      <c r="P55" s="3553"/>
      <c r="Q55" s="498"/>
      <c r="R55" s="498"/>
      <c r="S55" s="497"/>
      <c r="T55" s="497"/>
      <c r="U55" s="521"/>
      <c r="V55" s="521"/>
      <c r="W55" s="521"/>
      <c r="X55" s="521"/>
      <c r="Y55" s="521"/>
      <c r="Z55" s="521"/>
      <c r="AA55" s="521"/>
      <c r="AH55" s="273"/>
      <c r="AJ55" s="271"/>
      <c r="AK55" s="282"/>
    </row>
    <row r="56" spans="2:37">
      <c r="B56" s="477">
        <v>16</v>
      </c>
      <c r="C56" s="507" t="s">
        <v>6086</v>
      </c>
      <c r="D56" s="507" t="s">
        <v>6086</v>
      </c>
      <c r="E56" s="507" t="s">
        <v>6086</v>
      </c>
      <c r="F56" s="507" t="s">
        <v>6086</v>
      </c>
      <c r="G56" s="507" t="s">
        <v>6086</v>
      </c>
      <c r="H56" s="507" t="s">
        <v>6086</v>
      </c>
      <c r="I56" s="507" t="s">
        <v>6086</v>
      </c>
      <c r="J56" s="507" t="s">
        <v>6086</v>
      </c>
      <c r="K56" s="507" t="s">
        <v>6086</v>
      </c>
      <c r="L56" s="507" t="s">
        <v>6086</v>
      </c>
      <c r="M56" s="507" t="s">
        <v>6086</v>
      </c>
      <c r="N56" s="507" t="s">
        <v>6086</v>
      </c>
      <c r="O56" s="509" t="s">
        <v>6086</v>
      </c>
      <c r="P56" s="3553"/>
      <c r="Q56" s="498"/>
      <c r="R56" s="498"/>
      <c r="S56" s="497"/>
      <c r="T56" s="497"/>
      <c r="U56" s="521"/>
      <c r="V56" s="521"/>
      <c r="W56" s="521"/>
      <c r="X56" s="521"/>
      <c r="Y56" s="521"/>
      <c r="Z56" s="521"/>
      <c r="AA56" s="521"/>
      <c r="AH56" s="273"/>
      <c r="AJ56" s="271"/>
      <c r="AK56" s="282"/>
    </row>
    <row r="57" spans="2:37">
      <c r="B57" s="477">
        <v>17</v>
      </c>
      <c r="C57" s="507" t="str">
        <f ca="1">HLOOKUP(C67,C118:M124,7,TRUE)</f>
        <v>Destroy Undead (CR 4), Supreme Healing</v>
      </c>
      <c r="D57" s="507" t="s">
        <v>6130</v>
      </c>
      <c r="E57" s="507" t="str">
        <f>IFERROR(HLOOKUP([1]MATH!C9,C157:H162,6,0),"")</f>
        <v/>
      </c>
      <c r="F57" s="508"/>
      <c r="G57" s="368" t="s">
        <v>6131</v>
      </c>
      <c r="H57" s="368" t="s">
        <v>6132</v>
      </c>
      <c r="I57" s="507"/>
      <c r="J57" s="507" t="str">
        <f>IFERROR(HLOOKUP([1]MATH!C9,C233:H238,6,0),"")</f>
        <v/>
      </c>
      <c r="K57" s="507"/>
      <c r="L57" s="507"/>
      <c r="M57" s="507" t="str">
        <f ca="1">CONCATENATE("Metamagic: ",C195)</f>
        <v>Metamagic: Quickened Spell</v>
      </c>
      <c r="N57" s="507" t="str">
        <f>CONCATENATE("Mystic Arcanum: ",[1]SPELLBOOK!AZ246)</f>
        <v xml:space="preserve">Mystic Arcanum: </v>
      </c>
      <c r="O57" s="509" t="s">
        <v>6133</v>
      </c>
      <c r="P57" s="3553"/>
      <c r="Q57" s="498"/>
      <c r="R57" s="498"/>
      <c r="S57" s="497"/>
      <c r="T57" s="497"/>
      <c r="U57" s="521"/>
      <c r="V57" s="521"/>
      <c r="W57" s="521"/>
      <c r="X57" s="521"/>
      <c r="Y57" s="521"/>
      <c r="Z57" s="521"/>
      <c r="AA57" s="521"/>
      <c r="AH57" s="273"/>
      <c r="AJ57" s="271"/>
      <c r="AK57" s="282"/>
    </row>
    <row r="58" spans="2:37">
      <c r="B58" s="477">
        <v>18</v>
      </c>
      <c r="C58" s="507" t="s">
        <v>6134</v>
      </c>
      <c r="D58" s="507" t="str">
        <f>IFERROR(HLOOKUP([1]MATH!C9,C200:H207,8,0),"")</f>
        <v/>
      </c>
      <c r="E58" s="368" t="s">
        <v>6135</v>
      </c>
      <c r="F58" s="508" t="s">
        <v>6136</v>
      </c>
      <c r="G58" s="368" t="s">
        <v>6137</v>
      </c>
      <c r="H58" s="368" t="s">
        <v>6138</v>
      </c>
      <c r="I58" s="507" t="s">
        <v>6139</v>
      </c>
      <c r="J58" s="368" t="s">
        <v>6140</v>
      </c>
      <c r="K58" s="368" t="s">
        <v>6141</v>
      </c>
      <c r="L58" s="368" t="s">
        <v>6142</v>
      </c>
      <c r="M58" s="507" t="str">
        <f>IFERROR(HLOOKUP([1]MATH!C9,C177:H182,5,0),"")</f>
        <v/>
      </c>
      <c r="N58" s="507"/>
      <c r="O58" s="509"/>
      <c r="P58" s="3553"/>
      <c r="Q58" s="498"/>
      <c r="R58" s="498"/>
      <c r="S58" s="497"/>
      <c r="T58" s="497"/>
      <c r="U58" s="521"/>
      <c r="V58" s="521"/>
      <c r="W58" s="521"/>
      <c r="X58" s="521"/>
      <c r="Y58" s="521"/>
      <c r="Z58" s="521"/>
      <c r="AA58" s="521"/>
      <c r="AH58" s="273"/>
      <c r="AJ58" s="271"/>
      <c r="AK58" s="282"/>
    </row>
    <row r="59" spans="2:37">
      <c r="B59" s="477">
        <v>19</v>
      </c>
      <c r="C59" s="507" t="s">
        <v>6086</v>
      </c>
      <c r="D59" s="507" t="s">
        <v>6086</v>
      </c>
      <c r="E59" s="507" t="s">
        <v>6143</v>
      </c>
      <c r="F59" s="508" t="s">
        <v>6086</v>
      </c>
      <c r="G59" s="508" t="s">
        <v>6086</v>
      </c>
      <c r="H59" s="508" t="s">
        <v>6086</v>
      </c>
      <c r="I59" s="508" t="s">
        <v>6086</v>
      </c>
      <c r="J59" s="508" t="s">
        <v>6086</v>
      </c>
      <c r="K59" s="508" t="s">
        <v>6086</v>
      </c>
      <c r="L59" s="508" t="s">
        <v>6086</v>
      </c>
      <c r="M59" s="508" t="s">
        <v>6086</v>
      </c>
      <c r="N59" s="508" t="s">
        <v>6086</v>
      </c>
      <c r="O59" s="538" t="s">
        <v>6086</v>
      </c>
      <c r="P59" s="3553"/>
      <c r="Q59" s="498"/>
      <c r="R59" s="498"/>
      <c r="S59" s="497"/>
      <c r="T59" s="497"/>
      <c r="U59" s="521"/>
      <c r="V59" s="521"/>
      <c r="W59" s="521"/>
      <c r="X59" s="521"/>
      <c r="Y59" s="521"/>
      <c r="Z59" s="521"/>
      <c r="AA59" s="521"/>
      <c r="AH59" s="273"/>
      <c r="AJ59" s="271"/>
      <c r="AK59" s="282"/>
    </row>
    <row r="60" spans="2:37" ht="11.25" thickBot="1">
      <c r="B60" s="492">
        <v>20</v>
      </c>
      <c r="C60" s="539" t="s">
        <v>6144</v>
      </c>
      <c r="D60" s="539" t="s">
        <v>6145</v>
      </c>
      <c r="E60" s="423" t="s">
        <v>6146</v>
      </c>
      <c r="F60" s="540" t="s">
        <v>6147</v>
      </c>
      <c r="G60" s="541" t="s">
        <v>6148</v>
      </c>
      <c r="H60" s="541" t="s">
        <v>6149</v>
      </c>
      <c r="I60" s="541" t="s">
        <v>6150</v>
      </c>
      <c r="J60" s="541" t="s">
        <v>6151</v>
      </c>
      <c r="K60" s="539" t="e">
        <f>HLOOKUP([1]MATH!C9,C167:H172,6,0)</f>
        <v>#N/A</v>
      </c>
      <c r="L60" s="541" t="s">
        <v>6152</v>
      </c>
      <c r="M60" s="541" t="s">
        <v>6153</v>
      </c>
      <c r="N60" s="542" t="s">
        <v>6154</v>
      </c>
      <c r="O60" s="542" t="s">
        <v>6155</v>
      </c>
      <c r="P60" s="3553"/>
      <c r="Q60" s="498"/>
      <c r="R60" s="498"/>
      <c r="S60" s="497"/>
      <c r="T60" s="497"/>
      <c r="U60" s="521"/>
      <c r="V60" s="521"/>
      <c r="W60" s="521"/>
      <c r="X60" s="521"/>
      <c r="Y60" s="521"/>
      <c r="Z60" s="521"/>
      <c r="AA60" s="521"/>
      <c r="AH60" s="273"/>
      <c r="AJ60" s="271"/>
      <c r="AK60" s="282"/>
    </row>
    <row r="61" spans="2:37" ht="11.25" thickBot="1">
      <c r="B61" s="272"/>
      <c r="D61" s="543"/>
      <c r="F61" s="272"/>
      <c r="V61" s="272"/>
      <c r="W61" s="272"/>
    </row>
    <row r="62" spans="2:37" ht="15" thickBot="1">
      <c r="B62" s="3540" t="s">
        <v>6156</v>
      </c>
      <c r="C62" s="3541"/>
      <c r="D62" s="3541"/>
      <c r="E62" s="3541"/>
      <c r="F62" s="3541"/>
      <c r="G62" s="3541"/>
      <c r="H62" s="3541"/>
      <c r="I62" s="3541"/>
      <c r="J62" s="3541"/>
      <c r="K62" s="3541"/>
      <c r="L62" s="3541"/>
      <c r="M62" s="3541"/>
      <c r="N62" s="3541"/>
      <c r="O62" s="3541"/>
      <c r="P62" s="3542"/>
      <c r="Q62" s="543"/>
      <c r="V62" s="272"/>
      <c r="W62" s="272"/>
    </row>
    <row r="63" spans="2:37" ht="11.25" thickBot="1">
      <c r="B63" s="544"/>
      <c r="C63" s="545">
        <v>1</v>
      </c>
      <c r="D63" s="545">
        <v>2</v>
      </c>
      <c r="E63" s="545">
        <v>3</v>
      </c>
      <c r="F63" s="545">
        <v>4</v>
      </c>
      <c r="G63" s="545">
        <v>5</v>
      </c>
      <c r="H63" s="545">
        <v>6</v>
      </c>
      <c r="I63" s="545">
        <v>7</v>
      </c>
      <c r="J63" s="545">
        <v>8</v>
      </c>
      <c r="K63" s="545">
        <v>9</v>
      </c>
      <c r="L63" s="545">
        <v>10</v>
      </c>
      <c r="M63" s="545">
        <v>11</v>
      </c>
      <c r="N63" s="546">
        <v>12</v>
      </c>
      <c r="O63" s="547">
        <v>13</v>
      </c>
      <c r="P63" s="548">
        <v>14</v>
      </c>
      <c r="V63" s="272"/>
      <c r="W63" s="272"/>
    </row>
    <row r="64" spans="2:37" s="273" customFormat="1" ht="16.5" customHeight="1" thickBot="1">
      <c r="B64" s="549" t="s">
        <v>6157</v>
      </c>
      <c r="C64" s="550" t="str">
        <f ca="1">IF([1]MATH!C5&gt;=3,VLOOKUP(C67,$B$69:$O$80,2,TRUE),"")</f>
        <v>(Life)</v>
      </c>
      <c r="D64" s="550" t="str">
        <f ca="1">IF([1]MATH!C5&gt;=3,VLOOKUP(D67,$B$69:$N$80,3,TRUE),"")</f>
        <v>Arcane Archer</v>
      </c>
      <c r="E64" s="550" t="str">
        <f ca="1">IF([1]MATH!C5&gt;=3,VLOOKUP(E67,$B$69:$N$80,4,TRUE),"")</f>
        <v>Arcane Trickster</v>
      </c>
      <c r="F64" s="550" t="str">
        <f ca="1">IF([1]MATH!$C$5&gt;=3,VLOOKUP(F67,$B$69:$N$80,5,TRUE),"")</f>
        <v>(Divination)</v>
      </c>
      <c r="G64" s="550" t="str">
        <f ca="1">IF([1]MATH!$C$5&gt;=3,VLOOKUP(G67,$B$69:$N$80,6,TRUE),"")</f>
        <v>Berserker</v>
      </c>
      <c r="H64" s="550" t="str">
        <f ca="1">IF([1]MATH!$C$5&gt;=3,VLOOKUP(H67,$B$69:$N$80,7,TRUE),"")</f>
        <v>College of Valor</v>
      </c>
      <c r="I64" s="550" t="str">
        <f ca="1">IF([1]MATH!$C$5&gt;=3,VLOOKUP(I67,$B$69:$N$80,8,TRUE),"")</f>
        <v>Circle of Dreams</v>
      </c>
      <c r="J64" s="550" t="str">
        <f ca="1">IF([1]MATH!$C$5&gt;=3,VLOOKUP(J67,$B$69:$N$80,9,TRUE),"")</f>
        <v>Way of the Shadow</v>
      </c>
      <c r="K64" s="550" t="str">
        <f ca="1">IF([1]MATH!$C$5&gt;=3,VLOOKUP(K67,$B$69:$N$80,10,TRUE),"")</f>
        <v>Oath of the Crown</v>
      </c>
      <c r="L64" s="550" t="str">
        <f ca="1">IF([1]MATH!$C$5&gt;=3,VLOOKUP(L67,$B$69:$N$80,11,TRUE),"")</f>
        <v>Hunter</v>
      </c>
      <c r="M64" s="550" t="str">
        <f ca="1">VLOOKUP(M67,$B$69:$N$80,12,TRUE)</f>
        <v>Shadow Magic</v>
      </c>
      <c r="N64" s="551" t="str">
        <f ca="1">VLOOKUP(N67,$B$69:$N$80,13,TRUE)</f>
        <v>The Celestial</v>
      </c>
      <c r="O64" s="552" t="str">
        <f ca="1">VLOOKUP(O67,$B$69:$O$80,14,TRUE)</f>
        <v>Order of the Wu Jen</v>
      </c>
      <c r="P64" s="553" t="str">
        <f ca="1">VLOOKUP(P67,$B$69:$P$80,15,TRUE)</f>
        <v>(Black)</v>
      </c>
      <c r="AE64" s="554"/>
    </row>
    <row r="65" spans="2:23" ht="15" customHeight="1" thickBot="1">
      <c r="B65" s="555" t="s">
        <v>6158</v>
      </c>
      <c r="C65" s="556" t="s">
        <v>6056</v>
      </c>
      <c r="D65" s="557" t="s">
        <v>6057</v>
      </c>
      <c r="E65" s="557" t="s">
        <v>6058</v>
      </c>
      <c r="F65" s="557" t="s">
        <v>6059</v>
      </c>
      <c r="G65" s="556" t="s">
        <v>6060</v>
      </c>
      <c r="H65" s="556" t="s">
        <v>6061</v>
      </c>
      <c r="I65" s="557" t="s">
        <v>6062</v>
      </c>
      <c r="J65" s="556" t="s">
        <v>6063</v>
      </c>
      <c r="K65" s="557" t="s">
        <v>6064</v>
      </c>
      <c r="L65" s="557" t="s">
        <v>6065</v>
      </c>
      <c r="M65" s="557" t="s">
        <v>6066</v>
      </c>
      <c r="N65" s="557" t="s">
        <v>6067</v>
      </c>
      <c r="O65" s="558" t="s">
        <v>6068</v>
      </c>
      <c r="P65" s="559" t="s">
        <v>6159</v>
      </c>
      <c r="Q65" s="271"/>
      <c r="V65" s="272"/>
      <c r="W65" s="272"/>
    </row>
    <row r="66" spans="2:23" ht="15" customHeight="1" thickBot="1">
      <c r="B66" s="284"/>
      <c r="C66" s="560" t="s">
        <v>6160</v>
      </c>
      <c r="D66" s="561" t="s">
        <v>6161</v>
      </c>
      <c r="E66" s="561" t="s">
        <v>6162</v>
      </c>
      <c r="F66" s="561" t="s">
        <v>6163</v>
      </c>
      <c r="G66" s="561" t="s">
        <v>6164</v>
      </c>
      <c r="H66" s="561" t="s">
        <v>6165</v>
      </c>
      <c r="I66" s="561" t="s">
        <v>6166</v>
      </c>
      <c r="J66" s="561" t="s">
        <v>6167</v>
      </c>
      <c r="K66" s="561" t="s">
        <v>6168</v>
      </c>
      <c r="L66" s="561" t="s">
        <v>6162</v>
      </c>
      <c r="M66" s="561" t="s">
        <v>6169</v>
      </c>
      <c r="N66" s="561" t="s">
        <v>6170</v>
      </c>
      <c r="O66" s="561" t="s">
        <v>6171</v>
      </c>
      <c r="P66" s="562"/>
      <c r="Q66" s="271"/>
      <c r="V66" s="272"/>
      <c r="W66" s="272"/>
    </row>
    <row r="67" spans="2:23" ht="15" customHeight="1" thickBot="1">
      <c r="B67" s="502" t="s">
        <v>6172</v>
      </c>
      <c r="C67" s="563">
        <f ca="1">IF([1]USER!U6&lt;&gt;0,[1]USER!U6,RANDBETWEEN(1,C68))</f>
        <v>2</v>
      </c>
      <c r="D67" s="563">
        <f ca="1">IF([1]USER!U6&lt;&gt;0,[1]USER!U6,RANDBETWEEN(1,D68))</f>
        <v>5</v>
      </c>
      <c r="E67" s="563">
        <f ca="1">IF([1]USER!U6&lt;&gt;0,[1]USER!U6,RANDBETWEEN(1,E68))</f>
        <v>3</v>
      </c>
      <c r="F67" s="563">
        <f ca="1">IF([1]USER!U6&lt;&gt;0,[1]USER!U6,RANDBETWEEN(1,F68))</f>
        <v>3</v>
      </c>
      <c r="G67" s="563">
        <f ca="1">IF([1]USER!U6&lt;&gt;0,[1]USER!U6,RANDBETWEEN(1,3))</f>
        <v>1</v>
      </c>
      <c r="H67" s="563">
        <f ca="1">IF([1]USER!U6&lt;&gt;0,[1]USER!U6,RANDBETWEEN(1,H68))</f>
        <v>2</v>
      </c>
      <c r="I67" s="563">
        <f ca="1">IF([1]USER!U6&lt;&gt;0,[1]USER!U6,RANDBETWEEN(1,I68))</f>
        <v>3</v>
      </c>
      <c r="J67" s="563">
        <f ca="1">IF([1]USER!U6&lt;&gt;0,[1]USER!U6,RANDBETWEEN(1,J68))</f>
        <v>2</v>
      </c>
      <c r="K67" s="563">
        <f ca="1">IF([1]USER!U6&lt;&gt;0,[1]USER!U6,RANDBETWEEN(1,K68))</f>
        <v>4</v>
      </c>
      <c r="L67" s="563">
        <f ca="1">IF([1]USER!U6&lt;&gt;0,[1]USER!U6,RANDBETWEEN(1,L68))</f>
        <v>1</v>
      </c>
      <c r="M67" s="563">
        <f ca="1">IF([1]USER!U6&lt;&gt;0,[1]USER!U6,RANDBETWEEN(1,M68))</f>
        <v>5</v>
      </c>
      <c r="N67" s="564">
        <f ca="1">IF([1]USER!U6&lt;&gt;0,[1]USER!U6,RANDBETWEEN(1,N68))</f>
        <v>5</v>
      </c>
      <c r="O67" s="565">
        <f ca="1">IF([1]USER!U6&lt;&gt;0,[1]USER!U6,RANDBETWEEN(1,O68))</f>
        <v>6</v>
      </c>
      <c r="P67" s="566">
        <f ca="1">IF([1]USER!U6&lt;&gt;0,[1]USER!U6,RANDBETWEEN(1,10))</f>
        <v>1</v>
      </c>
      <c r="V67" s="272"/>
      <c r="W67" s="272"/>
    </row>
    <row r="68" spans="2:23" ht="16.5" customHeight="1" thickBot="1">
      <c r="B68" s="567" t="s">
        <v>6070</v>
      </c>
      <c r="C68" s="568">
        <v>10</v>
      </c>
      <c r="D68" s="568">
        <v>7</v>
      </c>
      <c r="E68" s="568">
        <v>7</v>
      </c>
      <c r="F68" s="568">
        <v>10</v>
      </c>
      <c r="G68" s="568">
        <v>5</v>
      </c>
      <c r="H68" s="568">
        <v>5</v>
      </c>
      <c r="I68" s="568">
        <v>4</v>
      </c>
      <c r="J68" s="568">
        <v>7</v>
      </c>
      <c r="K68" s="568">
        <v>6</v>
      </c>
      <c r="L68" s="568">
        <v>4</v>
      </c>
      <c r="M68" s="568">
        <v>6</v>
      </c>
      <c r="N68" s="569">
        <v>6</v>
      </c>
      <c r="O68" s="570">
        <v>6</v>
      </c>
      <c r="P68" s="571">
        <v>10</v>
      </c>
      <c r="V68" s="272"/>
      <c r="W68" s="272"/>
    </row>
    <row r="69" spans="2:23" ht="18" customHeight="1">
      <c r="B69" s="572">
        <v>1</v>
      </c>
      <c r="C69" s="573" t="s">
        <v>6173</v>
      </c>
      <c r="D69" s="574" t="s">
        <v>6174</v>
      </c>
      <c r="E69" s="573" t="s">
        <v>6175</v>
      </c>
      <c r="F69" s="573" t="s">
        <v>6176</v>
      </c>
      <c r="G69" s="573" t="s">
        <v>5314</v>
      </c>
      <c r="H69" s="573" t="s">
        <v>6177</v>
      </c>
      <c r="I69" s="574" t="s">
        <v>6178</v>
      </c>
      <c r="J69" s="573" t="s">
        <v>6179</v>
      </c>
      <c r="K69" s="574" t="s">
        <v>6180</v>
      </c>
      <c r="L69" s="574" t="s">
        <v>6181</v>
      </c>
      <c r="M69" s="575" t="str">
        <f ca="1">CONCATENATE("Draconic"," ",P64)</f>
        <v>Draconic (Black)</v>
      </c>
      <c r="N69" s="574" t="s">
        <v>6182</v>
      </c>
      <c r="O69" s="576" t="s">
        <v>6183</v>
      </c>
      <c r="P69" s="577" t="s">
        <v>6184</v>
      </c>
      <c r="V69" s="272"/>
      <c r="W69" s="272"/>
    </row>
    <row r="70" spans="2:23">
      <c r="B70" s="578">
        <v>2</v>
      </c>
      <c r="C70" s="354" t="s">
        <v>6185</v>
      </c>
      <c r="D70" s="579" t="s">
        <v>6186</v>
      </c>
      <c r="E70" s="354" t="s">
        <v>5459</v>
      </c>
      <c r="F70" s="354" t="s">
        <v>6187</v>
      </c>
      <c r="G70" s="351" t="str">
        <f ca="1">G83</f>
        <v>Totem: Tiger</v>
      </c>
      <c r="H70" s="354" t="s">
        <v>6188</v>
      </c>
      <c r="I70" s="579" t="s">
        <v>6189</v>
      </c>
      <c r="J70" s="354" t="s">
        <v>6190</v>
      </c>
      <c r="K70" s="579" t="s">
        <v>6191</v>
      </c>
      <c r="L70" s="579" t="s">
        <v>6192</v>
      </c>
      <c r="M70" s="354" t="s">
        <v>6193</v>
      </c>
      <c r="N70" s="579" t="s">
        <v>6194</v>
      </c>
      <c r="O70" s="355" t="s">
        <v>6195</v>
      </c>
      <c r="P70" s="580" t="s">
        <v>6196</v>
      </c>
      <c r="V70" s="272"/>
      <c r="W70" s="272"/>
    </row>
    <row r="71" spans="2:23">
      <c r="B71" s="578">
        <v>3</v>
      </c>
      <c r="C71" s="354" t="s">
        <v>6197</v>
      </c>
      <c r="D71" s="579" t="s">
        <v>6198</v>
      </c>
      <c r="E71" s="354" t="s">
        <v>6199</v>
      </c>
      <c r="F71" s="354" t="s">
        <v>6200</v>
      </c>
      <c r="G71" s="354" t="s">
        <v>6201</v>
      </c>
      <c r="H71" s="354" t="s">
        <v>6202</v>
      </c>
      <c r="I71" s="579" t="s">
        <v>6203</v>
      </c>
      <c r="J71" s="354" t="s">
        <v>6204</v>
      </c>
      <c r="K71" s="579" t="s">
        <v>6205</v>
      </c>
      <c r="L71" s="579" t="s">
        <v>6206</v>
      </c>
      <c r="M71" s="581" t="s">
        <v>6207</v>
      </c>
      <c r="N71" s="579" t="s">
        <v>6208</v>
      </c>
      <c r="O71" s="355" t="s">
        <v>6209</v>
      </c>
      <c r="P71" s="580" t="s">
        <v>6210</v>
      </c>
      <c r="V71" s="272"/>
      <c r="W71" s="272"/>
    </row>
    <row r="72" spans="2:23">
      <c r="B72" s="578">
        <v>4</v>
      </c>
      <c r="C72" s="354" t="s">
        <v>6211</v>
      </c>
      <c r="D72" s="582" t="s">
        <v>6212</v>
      </c>
      <c r="E72" s="582" t="s">
        <v>6213</v>
      </c>
      <c r="F72" s="354" t="s">
        <v>6214</v>
      </c>
      <c r="G72" s="354" t="s">
        <v>6215</v>
      </c>
      <c r="H72" s="354" t="s">
        <v>6216</v>
      </c>
      <c r="I72" s="354" t="s">
        <v>6217</v>
      </c>
      <c r="J72" s="582" t="s">
        <v>6218</v>
      </c>
      <c r="K72" s="582" t="s">
        <v>6219</v>
      </c>
      <c r="L72" s="354" t="s">
        <v>6220</v>
      </c>
      <c r="M72" s="354" t="s">
        <v>6221</v>
      </c>
      <c r="N72" s="581" t="s">
        <v>6222</v>
      </c>
      <c r="O72" s="355" t="s">
        <v>6223</v>
      </c>
      <c r="P72" s="580" t="s">
        <v>6224</v>
      </c>
      <c r="V72" s="272"/>
      <c r="W72" s="272"/>
    </row>
    <row r="73" spans="2:23" ht="11.25" thickBot="1">
      <c r="B73" s="583">
        <v>5</v>
      </c>
      <c r="C73" s="410" t="s">
        <v>6225</v>
      </c>
      <c r="D73" s="410" t="s">
        <v>6226</v>
      </c>
      <c r="E73" s="584" t="s">
        <v>6227</v>
      </c>
      <c r="F73" s="410" t="s">
        <v>6228</v>
      </c>
      <c r="G73" s="585" t="s">
        <v>6229</v>
      </c>
      <c r="H73" s="410" t="s">
        <v>6230</v>
      </c>
      <c r="I73" s="410"/>
      <c r="J73" s="584" t="s">
        <v>6231</v>
      </c>
      <c r="K73" s="410" t="s">
        <v>6232</v>
      </c>
      <c r="L73" s="410"/>
      <c r="M73" s="410" t="s">
        <v>6233</v>
      </c>
      <c r="N73" s="585" t="s">
        <v>6234</v>
      </c>
      <c r="O73" s="411" t="s">
        <v>6235</v>
      </c>
      <c r="P73" s="586" t="s">
        <v>6236</v>
      </c>
      <c r="V73" s="272"/>
      <c r="W73" s="272"/>
    </row>
    <row r="74" spans="2:23">
      <c r="B74" s="572">
        <v>6</v>
      </c>
      <c r="C74" s="573" t="s">
        <v>6237</v>
      </c>
      <c r="D74" s="573" t="s">
        <v>6238</v>
      </c>
      <c r="E74" s="573" t="s">
        <v>6239</v>
      </c>
      <c r="F74" s="573" t="s">
        <v>6240</v>
      </c>
      <c r="G74" s="574"/>
      <c r="H74" s="573"/>
      <c r="I74" s="573"/>
      <c r="J74" s="573" t="s">
        <v>6241</v>
      </c>
      <c r="K74" s="573" t="s">
        <v>6242</v>
      </c>
      <c r="L74" s="573"/>
      <c r="M74" s="573" t="s">
        <v>6207</v>
      </c>
      <c r="N74" s="574" t="s">
        <v>6243</v>
      </c>
      <c r="O74" s="576" t="s">
        <v>6244</v>
      </c>
      <c r="P74" s="577" t="s">
        <v>6245</v>
      </c>
      <c r="V74" s="272"/>
      <c r="W74" s="272"/>
    </row>
    <row r="75" spans="2:23">
      <c r="B75" s="578">
        <v>7</v>
      </c>
      <c r="C75" s="354" t="s">
        <v>6246</v>
      </c>
      <c r="D75" s="354" t="s">
        <v>6247</v>
      </c>
      <c r="E75" s="354" t="s">
        <v>3387</v>
      </c>
      <c r="F75" s="354" t="s">
        <v>6248</v>
      </c>
      <c r="G75" s="579"/>
      <c r="H75" s="354"/>
      <c r="I75" s="354"/>
      <c r="J75" s="354" t="s">
        <v>6249</v>
      </c>
      <c r="K75" s="354"/>
      <c r="L75" s="354"/>
      <c r="M75" s="354"/>
      <c r="N75" s="579"/>
      <c r="O75" s="355"/>
      <c r="P75" s="580" t="s">
        <v>6250</v>
      </c>
      <c r="V75" s="272"/>
      <c r="W75" s="272"/>
    </row>
    <row r="76" spans="2:23">
      <c r="B76" s="578">
        <v>8</v>
      </c>
      <c r="C76" s="582" t="s">
        <v>6251</v>
      </c>
      <c r="D76" s="354"/>
      <c r="E76" s="354"/>
      <c r="F76" s="354" t="s">
        <v>6252</v>
      </c>
      <c r="G76" s="354"/>
      <c r="H76" s="354"/>
      <c r="I76" s="354"/>
      <c r="J76" s="354"/>
      <c r="K76" s="354"/>
      <c r="L76" s="354"/>
      <c r="M76" s="354"/>
      <c r="N76" s="579"/>
      <c r="O76" s="355"/>
      <c r="P76" s="580" t="s">
        <v>6253</v>
      </c>
      <c r="V76" s="272"/>
      <c r="W76" s="272"/>
    </row>
    <row r="77" spans="2:23">
      <c r="B77" s="578">
        <v>9</v>
      </c>
      <c r="C77" s="354" t="s">
        <v>6254</v>
      </c>
      <c r="D77" s="354"/>
      <c r="E77" s="354"/>
      <c r="F77" s="582" t="s">
        <v>6255</v>
      </c>
      <c r="G77" s="354"/>
      <c r="H77" s="354"/>
      <c r="I77" s="354"/>
      <c r="J77" s="354"/>
      <c r="K77" s="354"/>
      <c r="L77" s="354"/>
      <c r="M77" s="354"/>
      <c r="N77" s="579"/>
      <c r="O77" s="355"/>
      <c r="P77" s="580" t="s">
        <v>6256</v>
      </c>
      <c r="V77" s="272"/>
      <c r="W77" s="272"/>
    </row>
    <row r="78" spans="2:23" ht="11.25" thickBot="1">
      <c r="B78" s="583">
        <v>10</v>
      </c>
      <c r="C78" s="410" t="s">
        <v>6257</v>
      </c>
      <c r="D78" s="410"/>
      <c r="E78" s="410"/>
      <c r="F78" s="410" t="s">
        <v>6258</v>
      </c>
      <c r="G78" s="410"/>
      <c r="H78" s="410"/>
      <c r="I78" s="410"/>
      <c r="J78" s="410"/>
      <c r="K78" s="410"/>
      <c r="L78" s="410"/>
      <c r="M78" s="410"/>
      <c r="N78" s="585"/>
      <c r="O78" s="411"/>
      <c r="P78" s="586" t="s">
        <v>6259</v>
      </c>
      <c r="V78" s="272"/>
      <c r="W78" s="272"/>
    </row>
    <row r="79" spans="2:23">
      <c r="B79" s="587">
        <v>11</v>
      </c>
      <c r="C79" s="330"/>
      <c r="D79" s="330"/>
      <c r="E79" s="330"/>
      <c r="F79" s="330"/>
      <c r="G79" s="330"/>
      <c r="H79" s="330"/>
      <c r="I79" s="330"/>
      <c r="J79" s="330"/>
      <c r="K79" s="330"/>
      <c r="L79" s="330"/>
      <c r="M79" s="330"/>
      <c r="N79" s="588"/>
      <c r="O79" s="589"/>
      <c r="P79" s="590"/>
      <c r="V79" s="272"/>
      <c r="W79" s="272"/>
    </row>
    <row r="80" spans="2:23" ht="11.25" thickBot="1">
      <c r="B80" s="583">
        <v>12</v>
      </c>
      <c r="C80" s="410"/>
      <c r="D80" s="410"/>
      <c r="E80" s="410"/>
      <c r="F80" s="410"/>
      <c r="G80" s="410"/>
      <c r="H80" s="410"/>
      <c r="I80" s="410"/>
      <c r="J80" s="410"/>
      <c r="K80" s="410"/>
      <c r="L80" s="410"/>
      <c r="M80" s="410"/>
      <c r="N80" s="585"/>
      <c r="O80" s="411"/>
      <c r="P80" s="586"/>
      <c r="V80" s="272"/>
      <c r="W80" s="272"/>
    </row>
    <row r="81" spans="2:29" s="592" customFormat="1" ht="11.25" thickBot="1">
      <c r="B81" s="591"/>
      <c r="X81" s="498"/>
      <c r="AC81" s="591"/>
    </row>
    <row r="82" spans="2:29" ht="20.25" customHeight="1" thickBot="1">
      <c r="B82" s="3543" t="s">
        <v>6260</v>
      </c>
      <c r="C82" s="3544"/>
      <c r="D82" s="3544"/>
      <c r="E82" s="3544"/>
      <c r="F82" s="3544"/>
      <c r="G82" s="3544"/>
      <c r="H82" s="3544"/>
      <c r="I82" s="3544"/>
      <c r="J82" s="3544"/>
      <c r="K82" s="3544"/>
      <c r="L82" s="3544"/>
      <c r="M82" s="3544"/>
      <c r="N82" s="3544"/>
      <c r="O82" s="3545"/>
      <c r="P82" s="593"/>
      <c r="Q82" s="594"/>
      <c r="V82" s="272"/>
      <c r="W82" s="272"/>
    </row>
    <row r="83" spans="2:29">
      <c r="B83" s="465" t="s">
        <v>6055</v>
      </c>
      <c r="C83" s="467"/>
      <c r="D83" s="344" t="str">
        <f ca="1">IF([1]MATH!C8=2,VLOOKUP(RANDBETWEEN(1,6),$B$88:$L$102,D86),"")</f>
        <v/>
      </c>
      <c r="E83" s="344" t="str">
        <f>IF(AND([1]MATH!$C$9=3,[1]MATH!$C$5&gt;=3),E88,"")</f>
        <v/>
      </c>
      <c r="F83" s="344" t="str">
        <f>IF(AND([1]MATH!$C$9=3,[1]MATH!$C$5&gt;=3),F88,"")</f>
        <v/>
      </c>
      <c r="G83" s="595" t="str">
        <f ca="1">CONCATENATE("Totem: ",VLOOKUP(G87,B88:G102,6,TRUE))</f>
        <v>Totem: Tiger</v>
      </c>
      <c r="H83" s="595"/>
      <c r="I83" s="595" t="e">
        <f>IF(AND([1]MATH!$C$9=1,[1]MATH!$C$5&gt;=2,[1]USER!AL40=0),VLOOKUP(I87,B88:I102,8,TRUE),VLOOKUP([1]USER!AL40,B88:I102,8,TRUE))</f>
        <v>#N/A</v>
      </c>
      <c r="J83" s="595"/>
      <c r="K83" s="595" t="str">
        <f ca="1">IF([1]MATH!$C$8=9,VLOOKUP(RANDBETWEEN(1,K87),$B$88:$L$102,L86),"")</f>
        <v/>
      </c>
      <c r="L83" s="344" t="str">
        <f ca="1">IF([1]MATH!$C$8=10,VLOOKUP(RANDBETWEEN(1,L87),$B$88:$L$102,L86),"")</f>
        <v/>
      </c>
      <c r="M83" s="344" t="str">
        <f ca="1">IF([1]MATH!$C$8=10,VLOOKUP(RANDBETWEEN(1,M87),$B$88:$L$102,M86),"")</f>
        <v/>
      </c>
      <c r="N83" s="344" t="str">
        <f>IF(AND([1]MATH!$C$8=12,[1]MATH!$C$5&gt;=3),VLOOKUP(N87,$B$88:$N$102,N86),"")</f>
        <v/>
      </c>
      <c r="O83" s="344" t="str">
        <f>IF(AND([1]MATH!$C$8=12,[1]MATH!$C$5&gt;=3),VLOOKUP(O87,$B$88:$O$102,O86),"")</f>
        <v/>
      </c>
      <c r="P83" s="596" t="str">
        <f ca="1">VLOOKUP(K67,B69:K71,10,TRUE)</f>
        <v>Oath of Vengeance</v>
      </c>
      <c r="Q83" s="597"/>
      <c r="V83" s="272"/>
      <c r="W83" s="272"/>
    </row>
    <row r="84" spans="2:29">
      <c r="B84" s="477"/>
      <c r="C84" s="598" t="s">
        <v>6056</v>
      </c>
      <c r="D84" s="598" t="s">
        <v>6057</v>
      </c>
      <c r="E84" s="598" t="s">
        <v>6058</v>
      </c>
      <c r="F84" s="598" t="s">
        <v>6059</v>
      </c>
      <c r="G84" s="599" t="s">
        <v>6060</v>
      </c>
      <c r="H84" s="599" t="s">
        <v>6061</v>
      </c>
      <c r="I84" s="599" t="s">
        <v>6062</v>
      </c>
      <c r="J84" s="599" t="s">
        <v>6063</v>
      </c>
      <c r="K84" s="599" t="s">
        <v>6064</v>
      </c>
      <c r="L84" s="598" t="s">
        <v>6065</v>
      </c>
      <c r="M84" s="598" t="s">
        <v>6066</v>
      </c>
      <c r="N84" s="600" t="s">
        <v>6067</v>
      </c>
      <c r="O84" s="600" t="s">
        <v>6068</v>
      </c>
      <c r="P84" s="601" t="s">
        <v>6064</v>
      </c>
      <c r="Q84" s="602"/>
      <c r="V84" s="272"/>
      <c r="W84" s="272"/>
    </row>
    <row r="85" spans="2:29">
      <c r="B85" s="477"/>
      <c r="C85" s="598"/>
      <c r="D85" s="598" t="s">
        <v>6261</v>
      </c>
      <c r="E85" s="598" t="s">
        <v>6262</v>
      </c>
      <c r="F85" s="598" t="s">
        <v>6171</v>
      </c>
      <c r="G85" s="599" t="s">
        <v>6263</v>
      </c>
      <c r="H85" s="599" t="s">
        <v>6171</v>
      </c>
      <c r="I85" s="599" t="s">
        <v>6264</v>
      </c>
      <c r="J85" s="599" t="s">
        <v>6171</v>
      </c>
      <c r="K85" s="599" t="s">
        <v>6265</v>
      </c>
      <c r="L85" s="599" t="s">
        <v>6266</v>
      </c>
      <c r="M85" s="599" t="s">
        <v>6171</v>
      </c>
      <c r="N85" s="603" t="s">
        <v>6267</v>
      </c>
      <c r="O85" s="603" t="s">
        <v>6171</v>
      </c>
      <c r="P85" s="601" t="s">
        <v>6268</v>
      </c>
      <c r="Q85" s="602"/>
      <c r="V85" s="272"/>
      <c r="W85" s="272"/>
    </row>
    <row r="86" spans="2:29">
      <c r="B86" s="477" t="s">
        <v>6172</v>
      </c>
      <c r="C86" s="352">
        <v>2</v>
      </c>
      <c r="D86" s="352">
        <v>3</v>
      </c>
      <c r="E86" s="352">
        <v>4</v>
      </c>
      <c r="F86" s="352">
        <v>5</v>
      </c>
      <c r="G86" s="604">
        <v>6</v>
      </c>
      <c r="H86" s="604">
        <v>7</v>
      </c>
      <c r="I86" s="604">
        <v>8</v>
      </c>
      <c r="J86" s="604">
        <v>9</v>
      </c>
      <c r="K86" s="604">
        <v>10</v>
      </c>
      <c r="L86" s="604">
        <v>11</v>
      </c>
      <c r="M86" s="604">
        <v>12</v>
      </c>
      <c r="N86" s="604">
        <v>13</v>
      </c>
      <c r="O86" s="604">
        <v>14</v>
      </c>
      <c r="P86" s="605">
        <v>9</v>
      </c>
      <c r="Q86" s="606"/>
      <c r="V86" s="272"/>
      <c r="W86" s="272"/>
    </row>
    <row r="87" spans="2:29" ht="11.25" thickBot="1">
      <c r="B87" s="492" t="s">
        <v>6070</v>
      </c>
      <c r="C87" s="419"/>
      <c r="D87" s="419">
        <f>15-COUNTBLANK(D88:D102)</f>
        <v>6</v>
      </c>
      <c r="E87" s="419">
        <f>15-COUNTBLANK(E88:E102)</f>
        <v>1</v>
      </c>
      <c r="F87" s="419">
        <f>15-COUNTBLANK(F88:F102)</f>
        <v>0</v>
      </c>
      <c r="G87" s="607">
        <f ca="1">RANDBETWEEN(1,5)</f>
        <v>5</v>
      </c>
      <c r="H87" s="607">
        <f>15-COUNTBLANK(H88:H102)</f>
        <v>0</v>
      </c>
      <c r="I87" s="607">
        <f ca="1">IF([1]USER!AL40=0,RANDBETWEEN(1,8),[1]USER!AL40)</f>
        <v>2</v>
      </c>
      <c r="J87" s="607">
        <f>15-COUNTBLANK(J88:J102)</f>
        <v>0</v>
      </c>
      <c r="K87" s="607">
        <f>15-COUNTBLANK(K88:K102)</f>
        <v>4</v>
      </c>
      <c r="L87" s="419">
        <f>15-COUNTBLANK(L88:L102)</f>
        <v>4</v>
      </c>
      <c r="M87" s="419">
        <f>15-COUNTBLANK(M88:M102)</f>
        <v>0</v>
      </c>
      <c r="N87" s="608">
        <f ca="1">IF([1]USER!X19=0,RANDBETWEEN(1,3),[1]USER!X19)</f>
        <v>2</v>
      </c>
      <c r="O87" s="608"/>
      <c r="P87" s="513">
        <f ca="1">15-COUNTBLANK(P88:P102)</f>
        <v>0</v>
      </c>
      <c r="Q87" s="609"/>
      <c r="V87" s="272"/>
      <c r="W87" s="272"/>
    </row>
    <row r="88" spans="2:29">
      <c r="B88" s="572">
        <v>1</v>
      </c>
      <c r="C88" s="3546" t="s">
        <v>305</v>
      </c>
      <c r="D88" s="573" t="s">
        <v>6269</v>
      </c>
      <c r="E88" s="573" t="s">
        <v>3235</v>
      </c>
      <c r="F88" s="573"/>
      <c r="G88" s="579" t="s">
        <v>6270</v>
      </c>
      <c r="H88" s="579"/>
      <c r="I88" s="579" t="s">
        <v>6271</v>
      </c>
      <c r="J88" s="579"/>
      <c r="K88" s="579" t="s">
        <v>6272</v>
      </c>
      <c r="L88" s="573" t="s">
        <v>6269</v>
      </c>
      <c r="M88" s="573"/>
      <c r="N88" s="610" t="s">
        <v>6273</v>
      </c>
      <c r="O88" s="610" t="str">
        <f ca="1">IF([1]USER!AO6=0,CLASS!Q346,VLOOKUP([1]USER!AO6,CLASS!L346:P365,4,FALSE))</f>
        <v>You never sit on a chair, preferring to stand or sit on the floor.</v>
      </c>
      <c r="P88" s="611" t="str">
        <f ca="1">IF(AND([1]MATH!$C$5&gt;=3,$K$67=1),Q88,IF(AND([1]MATH!$C$5&gt;=3,$K$67=2),Q93,IF(AND([1]MATH!$C$5&gt;=3,$K$67=3),Q97,"")))</f>
        <v/>
      </c>
      <c r="Q88" s="612" t="s">
        <v>6274</v>
      </c>
      <c r="V88" s="272"/>
      <c r="W88" s="272"/>
    </row>
    <row r="89" spans="2:29">
      <c r="B89" s="578">
        <v>2</v>
      </c>
      <c r="C89" s="3547"/>
      <c r="D89" s="354" t="s">
        <v>6272</v>
      </c>
      <c r="E89" s="354"/>
      <c r="F89" s="354"/>
      <c r="G89" s="579" t="s">
        <v>4868</v>
      </c>
      <c r="H89" s="579"/>
      <c r="I89" s="579" t="s">
        <v>6275</v>
      </c>
      <c r="J89" s="579"/>
      <c r="K89" s="579" t="s">
        <v>6276</v>
      </c>
      <c r="L89" s="354" t="s">
        <v>6272</v>
      </c>
      <c r="M89" s="354"/>
      <c r="N89" s="613" t="str">
        <f ca="1">CONCATENATE("Pact of the Blade - Weapon: ",HLOOKUP(RANDBETWEEN(1,38),[1]SKILLS!$AJ$26:$BU$27,2))</f>
        <v>Pact of the Blade - Weapon: Shortbow</v>
      </c>
      <c r="O89" s="613" t="str">
        <f ca="1">IF([1]USER!AO31=0,CLASS!Q347,VLOOKUP([1]USER!AO31,CLASS!L346:P365,4,FALSE))</f>
        <v>You consume only water and raw vegetables.</v>
      </c>
      <c r="P89" s="611" t="str">
        <f ca="1">IF(AND([1]MATH!$C$5&gt;=3,$K$67=1),Q89,IF(AND([1]MATH!$C$5&gt;=3,$K$67=2),Q94,IF(AND([1]MATH!$C$5&gt;=3,$K$67=3),Q98,"")))</f>
        <v/>
      </c>
      <c r="Q89" s="614" t="s">
        <v>6277</v>
      </c>
      <c r="V89" s="272"/>
      <c r="W89" s="272"/>
    </row>
    <row r="90" spans="2:29">
      <c r="B90" s="578">
        <v>3</v>
      </c>
      <c r="C90" s="3547"/>
      <c r="D90" s="354" t="s">
        <v>6276</v>
      </c>
      <c r="E90" s="354"/>
      <c r="F90" s="354"/>
      <c r="G90" s="579" t="s">
        <v>2692</v>
      </c>
      <c r="H90" s="579"/>
      <c r="I90" s="579" t="s">
        <v>5929</v>
      </c>
      <c r="J90" s="579"/>
      <c r="K90" s="579" t="s">
        <v>6278</v>
      </c>
      <c r="L90" s="354" t="s">
        <v>6276</v>
      </c>
      <c r="M90" s="354"/>
      <c r="N90" s="613" t="s">
        <v>6279</v>
      </c>
      <c r="O90" s="613"/>
      <c r="P90" s="611" t="str">
        <f ca="1">IF(AND([1]MATH!$C$5&gt;=3,$K$67=1),Q90,IF(AND([1]MATH!$C$5&gt;=3,$K$67=2),Q95,IF(AND([1]MATH!$C$5&gt;=3,$K$67=3),Q99,"")))</f>
        <v/>
      </c>
      <c r="Q90" s="614" t="s">
        <v>6280</v>
      </c>
      <c r="V90" s="272"/>
      <c r="W90" s="272"/>
    </row>
    <row r="91" spans="2:29">
      <c r="B91" s="578">
        <v>4</v>
      </c>
      <c r="C91" s="3547"/>
      <c r="D91" s="354" t="s">
        <v>6278</v>
      </c>
      <c r="E91" s="354"/>
      <c r="F91" s="354"/>
      <c r="G91" s="581" t="s">
        <v>4835</v>
      </c>
      <c r="H91" s="579"/>
      <c r="I91" s="579" t="s">
        <v>6281</v>
      </c>
      <c r="J91" s="579"/>
      <c r="K91" s="579" t="s">
        <v>6282</v>
      </c>
      <c r="L91" s="354" t="s">
        <v>6283</v>
      </c>
      <c r="M91" s="354"/>
      <c r="N91" s="615"/>
      <c r="O91" s="615"/>
      <c r="P91" s="611" t="str">
        <f ca="1">IF(AND([1]MATH!$C$5&gt;=3,$K$67=1),Q91,IF(AND([1]MATH!$C$5&gt;=3,$K$67=2),Q96,IF(AND([1]MATH!$C$5&gt;=3,$K$67=3),Q100,"")))</f>
        <v/>
      </c>
      <c r="Q91" s="614" t="s">
        <v>6284</v>
      </c>
      <c r="V91" s="272"/>
      <c r="W91" s="272"/>
    </row>
    <row r="92" spans="2:29" ht="11.25" thickBot="1">
      <c r="B92" s="578">
        <v>5</v>
      </c>
      <c r="C92" s="3547"/>
      <c r="D92" s="354" t="s">
        <v>6282</v>
      </c>
      <c r="E92" s="354"/>
      <c r="F92" s="354"/>
      <c r="G92" s="581" t="s">
        <v>3048</v>
      </c>
      <c r="H92" s="579"/>
      <c r="I92" s="579" t="s">
        <v>6285</v>
      </c>
      <c r="J92" s="579"/>
      <c r="K92" s="579"/>
      <c r="L92" s="354"/>
      <c r="M92" s="354"/>
      <c r="N92" s="615"/>
      <c r="O92" s="615"/>
      <c r="P92" s="611" t="str">
        <f ca="1">IF(AND([1]MATH!$C$5&gt;=3,$K$67=1),Q92,"")</f>
        <v/>
      </c>
      <c r="Q92" s="616" t="s">
        <v>6286</v>
      </c>
      <c r="V92" s="272"/>
      <c r="W92" s="272"/>
    </row>
    <row r="93" spans="2:29">
      <c r="B93" s="578">
        <v>6</v>
      </c>
      <c r="C93" s="3547"/>
      <c r="D93" s="354" t="s">
        <v>6287</v>
      </c>
      <c r="E93" s="354"/>
      <c r="F93" s="354"/>
      <c r="G93" s="579"/>
      <c r="H93" s="579"/>
      <c r="I93" s="579" t="s">
        <v>6288</v>
      </c>
      <c r="J93" s="579"/>
      <c r="K93" s="579"/>
      <c r="L93" s="354"/>
      <c r="M93" s="354"/>
      <c r="N93" s="615"/>
      <c r="O93" s="615"/>
      <c r="P93" s="617"/>
      <c r="Q93" s="617" t="s">
        <v>6289</v>
      </c>
      <c r="V93" s="272"/>
      <c r="W93" s="272"/>
    </row>
    <row r="94" spans="2:29">
      <c r="B94" s="578">
        <v>7</v>
      </c>
      <c r="C94" s="3547"/>
      <c r="D94" s="354"/>
      <c r="E94" s="354"/>
      <c r="F94" s="354"/>
      <c r="G94" s="579"/>
      <c r="H94" s="579"/>
      <c r="I94" s="579" t="s">
        <v>5920</v>
      </c>
      <c r="J94" s="579"/>
      <c r="K94" s="579"/>
      <c r="L94" s="354"/>
      <c r="M94" s="354"/>
      <c r="N94" s="615"/>
      <c r="O94" s="615"/>
      <c r="P94" s="614"/>
      <c r="Q94" s="614" t="s">
        <v>6290</v>
      </c>
      <c r="V94" s="272"/>
      <c r="W94" s="272"/>
    </row>
    <row r="95" spans="2:29">
      <c r="B95" s="578">
        <v>8</v>
      </c>
      <c r="C95" s="3547"/>
      <c r="D95" s="354"/>
      <c r="E95" s="354"/>
      <c r="F95" s="354"/>
      <c r="G95" s="579"/>
      <c r="H95" s="579"/>
      <c r="I95" s="579" t="s">
        <v>6291</v>
      </c>
      <c r="J95" s="579"/>
      <c r="K95" s="579"/>
      <c r="L95" s="354"/>
      <c r="M95" s="354"/>
      <c r="N95" s="615"/>
      <c r="O95" s="615"/>
      <c r="P95" s="614"/>
      <c r="Q95" s="614" t="s">
        <v>6292</v>
      </c>
      <c r="V95" s="272"/>
      <c r="W95" s="272"/>
    </row>
    <row r="96" spans="2:29" ht="11.25" thickBot="1">
      <c r="B96" s="578">
        <v>9</v>
      </c>
      <c r="C96" s="3547"/>
      <c r="D96" s="389"/>
      <c r="E96" s="354"/>
      <c r="F96" s="354"/>
      <c r="G96" s="579"/>
      <c r="H96" s="579"/>
      <c r="I96" s="579"/>
      <c r="J96" s="579"/>
      <c r="K96" s="579"/>
      <c r="L96" s="354"/>
      <c r="M96" s="354"/>
      <c r="N96" s="615"/>
      <c r="O96" s="615"/>
      <c r="P96" s="614"/>
      <c r="Q96" s="618" t="s">
        <v>6293</v>
      </c>
      <c r="V96" s="272"/>
      <c r="W96" s="272"/>
    </row>
    <row r="97" spans="1:29">
      <c r="B97" s="578">
        <v>10</v>
      </c>
      <c r="C97" s="3547"/>
      <c r="D97" s="389"/>
      <c r="E97" s="354"/>
      <c r="F97" s="354"/>
      <c r="G97" s="579"/>
      <c r="H97" s="579"/>
      <c r="I97" s="579"/>
      <c r="J97" s="579"/>
      <c r="K97" s="579"/>
      <c r="L97" s="354"/>
      <c r="M97" s="354"/>
      <c r="N97" s="615"/>
      <c r="O97" s="615"/>
      <c r="P97" s="614"/>
      <c r="Q97" s="612" t="s">
        <v>6294</v>
      </c>
      <c r="V97" s="272"/>
      <c r="W97" s="272"/>
    </row>
    <row r="98" spans="1:29">
      <c r="B98" s="578">
        <v>11</v>
      </c>
      <c r="C98" s="3547"/>
      <c r="D98" s="354"/>
      <c r="E98" s="354"/>
      <c r="F98" s="354"/>
      <c r="G98" s="579"/>
      <c r="H98" s="579"/>
      <c r="I98" s="579"/>
      <c r="J98" s="579"/>
      <c r="K98" s="579"/>
      <c r="L98" s="354"/>
      <c r="M98" s="354"/>
      <c r="N98" s="615"/>
      <c r="O98" s="615"/>
      <c r="P98" s="614"/>
      <c r="Q98" s="614" t="s">
        <v>6295</v>
      </c>
      <c r="V98" s="272"/>
      <c r="W98" s="272"/>
    </row>
    <row r="99" spans="1:29">
      <c r="B99" s="578">
        <v>12</v>
      </c>
      <c r="C99" s="3547"/>
      <c r="D99" s="354"/>
      <c r="E99" s="354"/>
      <c r="F99" s="354"/>
      <c r="G99" s="579"/>
      <c r="H99" s="579"/>
      <c r="I99" s="579"/>
      <c r="J99" s="579"/>
      <c r="K99" s="579"/>
      <c r="L99" s="354"/>
      <c r="M99" s="354"/>
      <c r="N99" s="615"/>
      <c r="O99" s="615"/>
      <c r="P99" s="614"/>
      <c r="Q99" s="614" t="s">
        <v>6296</v>
      </c>
      <c r="V99" s="272"/>
      <c r="W99" s="272"/>
    </row>
    <row r="100" spans="1:29">
      <c r="B100" s="578">
        <v>13</v>
      </c>
      <c r="C100" s="3547"/>
      <c r="D100" s="354"/>
      <c r="E100" s="354"/>
      <c r="F100" s="354"/>
      <c r="G100" s="579"/>
      <c r="H100" s="579"/>
      <c r="I100" s="579"/>
      <c r="J100" s="579"/>
      <c r="K100" s="579"/>
      <c r="L100" s="354"/>
      <c r="M100" s="354"/>
      <c r="N100" s="615"/>
      <c r="O100" s="615"/>
      <c r="P100" s="614"/>
      <c r="Q100" s="614" t="s">
        <v>6297</v>
      </c>
      <c r="V100" s="272"/>
      <c r="W100" s="272"/>
    </row>
    <row r="101" spans="1:29">
      <c r="B101" s="578">
        <v>14</v>
      </c>
      <c r="C101" s="3547"/>
      <c r="D101" s="354"/>
      <c r="E101" s="354"/>
      <c r="F101" s="354"/>
      <c r="G101" s="579"/>
      <c r="H101" s="579"/>
      <c r="I101" s="579"/>
      <c r="J101" s="579"/>
      <c r="K101" s="579"/>
      <c r="L101" s="354"/>
      <c r="M101" s="354"/>
      <c r="N101" s="615"/>
      <c r="O101" s="615"/>
      <c r="P101" s="614"/>
      <c r="Q101" s="614"/>
      <c r="V101" s="272"/>
      <c r="W101" s="272"/>
    </row>
    <row r="102" spans="1:29" ht="11.25" thickBot="1">
      <c r="B102" s="583">
        <v>15</v>
      </c>
      <c r="C102" s="3548"/>
      <c r="D102" s="410"/>
      <c r="E102" s="410"/>
      <c r="F102" s="410"/>
      <c r="G102" s="585"/>
      <c r="H102" s="585"/>
      <c r="I102" s="585"/>
      <c r="J102" s="585"/>
      <c r="K102" s="585"/>
      <c r="L102" s="410"/>
      <c r="M102" s="410"/>
      <c r="N102" s="619"/>
      <c r="O102" s="619"/>
      <c r="P102" s="616"/>
      <c r="Q102" s="616"/>
      <c r="V102" s="272"/>
      <c r="W102" s="272"/>
    </row>
    <row r="103" spans="1:29" s="592" customFormat="1" ht="15.75" customHeight="1" thickBot="1">
      <c r="B103" s="591"/>
      <c r="X103" s="498"/>
      <c r="AC103" s="591"/>
    </row>
    <row r="104" spans="1:29" ht="11.25" customHeight="1" thickBot="1">
      <c r="A104" s="620"/>
      <c r="B104" s="620"/>
      <c r="C104" s="620"/>
      <c r="D104" s="621"/>
      <c r="E104" s="620"/>
      <c r="F104" s="622"/>
      <c r="G104" s="620"/>
      <c r="H104" s="620"/>
      <c r="I104" s="620"/>
      <c r="J104" s="620"/>
      <c r="K104" s="620"/>
      <c r="L104" s="620"/>
      <c r="M104" s="620"/>
      <c r="N104" s="620"/>
      <c r="O104" s="620"/>
      <c r="P104" s="621"/>
      <c r="Q104" s="620"/>
      <c r="R104" s="620"/>
      <c r="S104" s="620"/>
      <c r="T104" s="621"/>
      <c r="V104" s="272"/>
      <c r="W104" s="272"/>
    </row>
    <row r="105" spans="1:29" s="592" customFormat="1" ht="9.75" customHeight="1" thickBot="1">
      <c r="B105" s="591"/>
      <c r="X105" s="498"/>
      <c r="AC105" s="591"/>
    </row>
    <row r="106" spans="1:29" ht="15" thickBot="1">
      <c r="B106" s="623"/>
      <c r="C106" s="3549" t="s">
        <v>6298</v>
      </c>
      <c r="D106" s="3541"/>
      <c r="E106" s="3541"/>
      <c r="F106" s="3541"/>
      <c r="G106" s="3541"/>
      <c r="H106" s="3541"/>
      <c r="I106" s="3541"/>
      <c r="J106" s="3541"/>
      <c r="K106" s="3541"/>
      <c r="L106" s="3542"/>
      <c r="V106" s="272"/>
      <c r="W106" s="272"/>
    </row>
    <row r="107" spans="1:29" ht="15" thickBot="1">
      <c r="B107" s="3527" t="s">
        <v>6299</v>
      </c>
      <c r="C107" s="3528"/>
      <c r="D107" s="624">
        <v>1</v>
      </c>
      <c r="E107" s="624">
        <v>2</v>
      </c>
      <c r="F107" s="624">
        <v>3</v>
      </c>
      <c r="G107" s="624">
        <v>4</v>
      </c>
      <c r="H107" s="624">
        <v>5</v>
      </c>
      <c r="I107" s="624">
        <v>6</v>
      </c>
      <c r="J107" s="624">
        <v>7</v>
      </c>
      <c r="K107" s="624">
        <v>8</v>
      </c>
      <c r="L107" s="625">
        <v>9</v>
      </c>
      <c r="V107" s="272"/>
      <c r="W107" s="272"/>
    </row>
    <row r="108" spans="1:29">
      <c r="B108" s="626">
        <v>2</v>
      </c>
      <c r="C108" s="627" t="s">
        <v>6010</v>
      </c>
      <c r="D108" s="628" t="str">
        <f ca="1">CLASS!D212</f>
        <v>Distracting Strike</v>
      </c>
      <c r="E108" s="575" t="str">
        <f ca="1">CLASS!D213</f>
        <v>Riposte</v>
      </c>
      <c r="F108" s="575" t="str">
        <f ca="1">CLASS!D214</f>
        <v>Commander's Strike</v>
      </c>
      <c r="G108" s="575" t="str">
        <f ca="1">CLASS!D$215</f>
        <v>Sweeping Attack</v>
      </c>
      <c r="H108" s="575" t="str">
        <f ca="1">CLASS!D216</f>
        <v>Goading Attack</v>
      </c>
      <c r="I108" s="575" t="str">
        <f>CLASS!D217</f>
        <v/>
      </c>
      <c r="J108" s="575" t="str">
        <f>CLASS!D218</f>
        <v/>
      </c>
      <c r="K108" s="575" t="str">
        <f>CLASS!D219</f>
        <v/>
      </c>
      <c r="L108" s="629" t="str">
        <f>CLASS!D220</f>
        <v/>
      </c>
      <c r="V108" s="272"/>
      <c r="W108" s="272"/>
    </row>
    <row r="109" spans="1:29">
      <c r="B109" s="630">
        <v>8</v>
      </c>
      <c r="C109" s="631" t="s">
        <v>6025</v>
      </c>
      <c r="D109" s="632" t="str">
        <f>CLASS!H242</f>
        <v>Flurry of Blows</v>
      </c>
      <c r="E109" s="351" t="str">
        <f>CLASS!H243</f>
        <v>Patient Defense</v>
      </c>
      <c r="F109" s="351" t="str">
        <f>CLASS!H244</f>
        <v>Step of the Wind</v>
      </c>
      <c r="G109" s="351" t="str">
        <f>CLASS!H245</f>
        <v/>
      </c>
      <c r="H109" s="351" t="str">
        <f>CLASS!H246</f>
        <v/>
      </c>
      <c r="I109" s="351" t="str">
        <f>CLASS!H247</f>
        <v/>
      </c>
      <c r="J109" s="351" t="str">
        <f>CLASS!H248</f>
        <v/>
      </c>
      <c r="K109" s="351" t="str">
        <f>CLASS!H249</f>
        <v/>
      </c>
      <c r="L109" s="633"/>
      <c r="V109" s="272"/>
      <c r="W109" s="272"/>
    </row>
    <row r="110" spans="1:29">
      <c r="B110" s="630">
        <v>9</v>
      </c>
      <c r="C110" s="631" t="s">
        <v>6028</v>
      </c>
      <c r="D110" s="632" t="str">
        <f ca="1">CLASS!P88</f>
        <v/>
      </c>
      <c r="E110" s="351" t="str">
        <f ca="1">CLASS!P89</f>
        <v/>
      </c>
      <c r="F110" s="351" t="str">
        <f ca="1">CLASS!P90</f>
        <v/>
      </c>
      <c r="G110" s="351" t="str">
        <f ca="1">CLASS!P91</f>
        <v/>
      </c>
      <c r="H110" s="351" t="str">
        <f ca="1">CLASS!P92</f>
        <v/>
      </c>
      <c r="I110" s="351"/>
      <c r="J110" s="351"/>
      <c r="K110" s="351"/>
      <c r="L110" s="633"/>
      <c r="V110" s="272"/>
      <c r="W110" s="272"/>
    </row>
    <row r="111" spans="1:29">
      <c r="B111" s="630">
        <v>12</v>
      </c>
      <c r="C111" s="631" t="s">
        <v>6034</v>
      </c>
      <c r="D111" s="632" t="e">
        <f ca="1">CLASS!C422</f>
        <v>#N/A</v>
      </c>
      <c r="E111" s="351" t="e">
        <f ca="1">CLASS!C423</f>
        <v>#N/A</v>
      </c>
      <c r="F111" s="351" t="e">
        <f ca="1">CLASS!C424</f>
        <v>#N/A</v>
      </c>
      <c r="G111" s="351" t="str">
        <f ca="1">CLASS!C425</f>
        <v>Eyes of the Rune Keeper</v>
      </c>
      <c r="H111" s="351" t="str">
        <f>CLASS!C426</f>
        <v/>
      </c>
      <c r="I111" s="351" t="str">
        <f>CLASS!C427</f>
        <v/>
      </c>
      <c r="J111" s="351" t="str">
        <f>CLASS!C428</f>
        <v/>
      </c>
      <c r="K111" s="351" t="str">
        <f>CLASS!C429</f>
        <v/>
      </c>
      <c r="L111" s="633"/>
      <c r="V111" s="272"/>
      <c r="W111" s="272"/>
    </row>
    <row r="112" spans="1:29" ht="11.25" thickBot="1">
      <c r="B112" s="634">
        <v>13</v>
      </c>
      <c r="C112" s="635" t="s">
        <v>6035</v>
      </c>
      <c r="D112" s="636" t="e">
        <f>IF([1]USER!X27=0,CLASS!N371,VLOOKUP([1]MATH!C9,CLASS!I371:O378,7,FALSE))</f>
        <v>#N/A</v>
      </c>
      <c r="E112" s="408" t="str">
        <f ca="1">IF(AND([1]MATH!C8=13,[1]MATH!C9=1),CLASS!O372,IF([1]MATH!C5&gt;=3,CLASS!N372,""))</f>
        <v>Mastery of Water</v>
      </c>
      <c r="F112" s="408" t="str">
        <f ca="1">IF(AND([1]MATH!C8=13,[1]MATH!C9=1),CLASS!O373,IF([1]MATH!C5&gt;=5,CLASS!N373,""))</f>
        <v>Crown of Rage</v>
      </c>
      <c r="G112" s="408" t="str">
        <f ca="1">IF([1]MATH!C5&gt;=7,CLASS!N374,"")</f>
        <v>Mastery of Ice</v>
      </c>
      <c r="H112" s="408" t="str">
        <f>IF([1]MATH!C5&gt;=9,CLASS!N375,"")</f>
        <v/>
      </c>
      <c r="I112" s="408" t="str">
        <f>IF([1]MATH!C5&gt;=12,CLASS!N376,"")</f>
        <v/>
      </c>
      <c r="J112" s="408" t="str">
        <f>IF([1]MATH!C5&gt;=15,CLASS!N377,"")</f>
        <v/>
      </c>
      <c r="K112" s="408" t="str">
        <f>IF([1]MATH!C5&gt;=18,CLASS!N378,"")</f>
        <v/>
      </c>
      <c r="L112" s="637"/>
      <c r="V112" s="272"/>
      <c r="W112" s="272"/>
    </row>
    <row r="113" spans="2:23" ht="8.25" customHeight="1" thickBot="1">
      <c r="B113" s="272"/>
      <c r="V113" s="272"/>
      <c r="W113" s="272"/>
    </row>
    <row r="114" spans="2:23" ht="10.5" customHeight="1" thickBot="1">
      <c r="B114" s="638"/>
      <c r="C114" s="620"/>
      <c r="D114" s="620"/>
      <c r="E114" s="620"/>
      <c r="F114" s="622"/>
      <c r="G114" s="620"/>
      <c r="H114" s="620"/>
      <c r="I114" s="620"/>
      <c r="J114" s="620"/>
      <c r="K114" s="620"/>
      <c r="L114" s="620"/>
      <c r="M114" s="620"/>
      <c r="N114" s="620"/>
      <c r="O114" s="620"/>
      <c r="P114" s="621"/>
      <c r="V114" s="272"/>
      <c r="W114" s="272"/>
    </row>
    <row r="115" spans="2:23" ht="11.25" thickBot="1">
      <c r="B115" s="272"/>
      <c r="F115" s="272"/>
    </row>
    <row r="116" spans="2:23" ht="11.25" thickBot="1">
      <c r="B116" s="3507" t="s">
        <v>6300</v>
      </c>
      <c r="C116" s="3508"/>
      <c r="D116" s="3508"/>
      <c r="E116" s="3508"/>
      <c r="F116" s="3508"/>
      <c r="G116" s="3508"/>
      <c r="H116" s="3508"/>
      <c r="I116" s="3509"/>
      <c r="J116" s="282"/>
    </row>
    <row r="117" spans="2:23" ht="11.25" thickBot="1">
      <c r="B117" s="3510"/>
      <c r="C117" s="3511"/>
      <c r="D117" s="3511"/>
      <c r="E117" s="3511"/>
      <c r="F117" s="3511"/>
      <c r="G117" s="3511"/>
      <c r="H117" s="3511"/>
      <c r="I117" s="3512"/>
      <c r="J117" s="639" t="s">
        <v>6301</v>
      </c>
      <c r="K117" s="640" t="s">
        <v>6302</v>
      </c>
      <c r="L117" s="640" t="s">
        <v>6302</v>
      </c>
    </row>
    <row r="118" spans="2:23" ht="11.25" thickBot="1">
      <c r="B118" s="3378" t="s">
        <v>6042</v>
      </c>
      <c r="C118" s="624">
        <v>1</v>
      </c>
      <c r="D118" s="624">
        <v>2</v>
      </c>
      <c r="E118" s="624">
        <v>3</v>
      </c>
      <c r="F118" s="624">
        <v>4</v>
      </c>
      <c r="G118" s="624">
        <v>5</v>
      </c>
      <c r="H118" s="624">
        <v>6</v>
      </c>
      <c r="I118" s="624">
        <v>7</v>
      </c>
      <c r="J118" s="641">
        <v>8</v>
      </c>
      <c r="K118" s="642">
        <v>9</v>
      </c>
      <c r="L118" s="642">
        <v>10</v>
      </c>
    </row>
    <row r="119" spans="2:23" ht="11.25" thickBot="1">
      <c r="B119" s="3361"/>
      <c r="C119" s="624" t="s">
        <v>6303</v>
      </c>
      <c r="D119" s="624" t="s">
        <v>6304</v>
      </c>
      <c r="E119" s="624" t="s">
        <v>6305</v>
      </c>
      <c r="F119" s="624" t="s">
        <v>6306</v>
      </c>
      <c r="G119" s="624" t="s">
        <v>6307</v>
      </c>
      <c r="H119" s="624" t="s">
        <v>6308</v>
      </c>
      <c r="I119" s="625" t="s">
        <v>6309</v>
      </c>
      <c r="J119" s="641" t="s">
        <v>6310</v>
      </c>
      <c r="K119" s="642" t="s">
        <v>6311</v>
      </c>
      <c r="L119" s="642" t="s">
        <v>6312</v>
      </c>
    </row>
    <row r="120" spans="2:23">
      <c r="B120" s="643">
        <v>1</v>
      </c>
      <c r="C120" s="644" t="s">
        <v>6313</v>
      </c>
      <c r="D120" s="644" t="s">
        <v>6314</v>
      </c>
      <c r="E120" s="644" t="s">
        <v>6315</v>
      </c>
      <c r="F120" s="644" t="s">
        <v>6316</v>
      </c>
      <c r="G120" s="644" t="s">
        <v>6317</v>
      </c>
      <c r="H120" s="644" t="s">
        <v>6318</v>
      </c>
      <c r="I120" s="644" t="s">
        <v>6319</v>
      </c>
      <c r="J120" s="645" t="s">
        <v>6320</v>
      </c>
      <c r="K120" s="451" t="s">
        <v>6321</v>
      </c>
      <c r="L120" s="451" t="s">
        <v>6322</v>
      </c>
    </row>
    <row r="121" spans="2:23">
      <c r="B121" s="646">
        <v>2</v>
      </c>
      <c r="C121" s="644" t="s">
        <v>6323</v>
      </c>
      <c r="D121" s="644" t="s">
        <v>6324</v>
      </c>
      <c r="E121" s="644" t="s">
        <v>6325</v>
      </c>
      <c r="F121" s="644" t="s">
        <v>6326</v>
      </c>
      <c r="G121" s="644" t="s">
        <v>6327</v>
      </c>
      <c r="H121" s="644" t="s">
        <v>6328</v>
      </c>
      <c r="I121" s="644" t="s">
        <v>6329</v>
      </c>
      <c r="J121" s="647" t="s">
        <v>6330</v>
      </c>
      <c r="K121" s="451" t="s">
        <v>6331</v>
      </c>
      <c r="L121" s="451" t="s">
        <v>6332</v>
      </c>
    </row>
    <row r="122" spans="2:23">
      <c r="B122" s="472">
        <v>6</v>
      </c>
      <c r="C122" s="648" t="s">
        <v>6333</v>
      </c>
      <c r="D122" s="648" t="s">
        <v>6334</v>
      </c>
      <c r="E122" s="648" t="s">
        <v>6335</v>
      </c>
      <c r="F122" s="648" t="s">
        <v>6336</v>
      </c>
      <c r="G122" s="648" t="s">
        <v>6337</v>
      </c>
      <c r="H122" s="648" t="s">
        <v>6338</v>
      </c>
      <c r="I122" s="648" t="s">
        <v>6339</v>
      </c>
      <c r="J122" s="649" t="s">
        <v>6340</v>
      </c>
      <c r="K122" s="451" t="s">
        <v>6341</v>
      </c>
      <c r="L122" s="451" t="s">
        <v>6342</v>
      </c>
    </row>
    <row r="123" spans="2:23">
      <c r="B123" s="472">
        <v>8</v>
      </c>
      <c r="C123" s="648" t="s">
        <v>6343</v>
      </c>
      <c r="D123" s="648" t="s">
        <v>6344</v>
      </c>
      <c r="E123" s="648" t="s">
        <v>6343</v>
      </c>
      <c r="F123" s="648" t="s">
        <v>6345</v>
      </c>
      <c r="G123" s="648" t="s">
        <v>6344</v>
      </c>
      <c r="H123" s="648" t="s">
        <v>6344</v>
      </c>
      <c r="I123" s="648" t="s">
        <v>6344</v>
      </c>
      <c r="J123" s="649" t="s">
        <v>6346</v>
      </c>
      <c r="K123" s="451" t="s">
        <v>6347</v>
      </c>
      <c r="L123" s="451" t="s">
        <v>6348</v>
      </c>
    </row>
    <row r="124" spans="2:23" ht="11.25" thickBot="1">
      <c r="B124" s="512">
        <v>17</v>
      </c>
      <c r="C124" s="650" t="s">
        <v>6349</v>
      </c>
      <c r="D124" s="650" t="s">
        <v>6350</v>
      </c>
      <c r="E124" s="650" t="s">
        <v>6351</v>
      </c>
      <c r="F124" s="650" t="s">
        <v>6352</v>
      </c>
      <c r="G124" s="650" t="s">
        <v>6353</v>
      </c>
      <c r="H124" s="650" t="s">
        <v>6354</v>
      </c>
      <c r="I124" s="650" t="s">
        <v>6355</v>
      </c>
      <c r="J124" s="651" t="s">
        <v>6356</v>
      </c>
      <c r="K124" s="451" t="s">
        <v>6357</v>
      </c>
      <c r="L124" s="451" t="s">
        <v>6358</v>
      </c>
    </row>
    <row r="125" spans="2:23">
      <c r="B125" s="272"/>
      <c r="F125" s="272"/>
    </row>
    <row r="126" spans="2:23" ht="11.25" thickBot="1">
      <c r="B126" s="272"/>
      <c r="F126" s="272"/>
    </row>
    <row r="127" spans="2:23" ht="11.25" customHeight="1" thickBot="1">
      <c r="B127" s="3498" t="s">
        <v>6359</v>
      </c>
      <c r="C127" s="3499"/>
      <c r="D127" s="3500"/>
      <c r="E127" s="639" t="s">
        <v>6360</v>
      </c>
      <c r="F127" s="272"/>
    </row>
    <row r="128" spans="2:23" ht="12" customHeight="1" thickBot="1">
      <c r="B128" s="3501"/>
      <c r="C128" s="3502"/>
      <c r="D128" s="3503"/>
      <c r="E128" s="652" t="s">
        <v>6302</v>
      </c>
      <c r="F128" s="639" t="s">
        <v>6302</v>
      </c>
    </row>
    <row r="129" spans="2:8" ht="11.25" thickBot="1">
      <c r="B129" s="3378" t="s">
        <v>6042</v>
      </c>
      <c r="C129" s="624">
        <v>1</v>
      </c>
      <c r="D129" s="625">
        <v>2</v>
      </c>
      <c r="E129" s="323">
        <v>3</v>
      </c>
      <c r="F129" s="653">
        <v>4</v>
      </c>
    </row>
    <row r="130" spans="2:8" ht="12" customHeight="1" thickBot="1">
      <c r="B130" s="3361"/>
      <c r="C130" s="624" t="s">
        <v>6178</v>
      </c>
      <c r="D130" s="625" t="s">
        <v>6189</v>
      </c>
      <c r="E130" s="654" t="s">
        <v>6203</v>
      </c>
      <c r="F130" s="655" t="s">
        <v>6217</v>
      </c>
      <c r="G130" s="272" t="s">
        <v>1287</v>
      </c>
    </row>
    <row r="131" spans="2:8">
      <c r="B131" s="465">
        <v>2</v>
      </c>
      <c r="C131" s="656" t="s">
        <v>6361</v>
      </c>
      <c r="D131" s="657" t="s">
        <v>6362</v>
      </c>
      <c r="E131" s="658" t="s">
        <v>6363</v>
      </c>
      <c r="F131" s="659" t="s">
        <v>6364</v>
      </c>
      <c r="G131" s="272" t="s">
        <v>1287</v>
      </c>
    </row>
    <row r="132" spans="2:8">
      <c r="B132" s="487">
        <v>6</v>
      </c>
      <c r="C132" s="656" t="s">
        <v>6365</v>
      </c>
      <c r="D132" s="657" t="s">
        <v>6366</v>
      </c>
      <c r="E132" s="658" t="s">
        <v>6367</v>
      </c>
      <c r="F132" s="659" t="s">
        <v>6368</v>
      </c>
      <c r="G132" s="272" t="s">
        <v>1287</v>
      </c>
    </row>
    <row r="133" spans="2:8">
      <c r="B133" s="477">
        <v>10</v>
      </c>
      <c r="C133" s="660" t="s">
        <v>6369</v>
      </c>
      <c r="D133" s="661" t="s">
        <v>6370</v>
      </c>
      <c r="E133" s="658" t="s">
        <v>6371</v>
      </c>
      <c r="F133" s="659" t="s">
        <v>6372</v>
      </c>
      <c r="G133" s="272" t="s">
        <v>1287</v>
      </c>
    </row>
    <row r="134" spans="2:8" ht="11.25" thickBot="1">
      <c r="B134" s="492">
        <v>14</v>
      </c>
      <c r="C134" s="662" t="s">
        <v>6373</v>
      </c>
      <c r="D134" s="663" t="s">
        <v>6374</v>
      </c>
      <c r="E134" s="651" t="s">
        <v>6375</v>
      </c>
      <c r="F134" s="664" t="s">
        <v>6376</v>
      </c>
      <c r="G134" s="272" t="s">
        <v>1287</v>
      </c>
    </row>
    <row r="135" spans="2:8">
      <c r="B135" s="272"/>
      <c r="F135" s="272"/>
    </row>
    <row r="136" spans="2:8" ht="11.25" thickBot="1">
      <c r="B136" s="272"/>
      <c r="F136" s="272"/>
    </row>
    <row r="137" spans="2:8" ht="11.25" thickBot="1">
      <c r="B137" s="3507" t="s">
        <v>6377</v>
      </c>
      <c r="C137" s="2862"/>
      <c r="D137" s="2863"/>
      <c r="F137" s="272"/>
    </row>
    <row r="138" spans="2:8" ht="11.25" thickBot="1">
      <c r="B138" s="2931"/>
      <c r="C138" s="2932"/>
      <c r="D138" s="2933"/>
      <c r="E138" s="639" t="s">
        <v>6301</v>
      </c>
      <c r="F138" s="640" t="s">
        <v>6302</v>
      </c>
      <c r="G138" s="640" t="s">
        <v>6302</v>
      </c>
      <c r="H138" s="640" t="s">
        <v>6302</v>
      </c>
    </row>
    <row r="139" spans="2:8" ht="11.25" thickBot="1">
      <c r="B139" s="3378" t="s">
        <v>6042</v>
      </c>
      <c r="C139" s="624">
        <v>1</v>
      </c>
      <c r="D139" s="641">
        <v>2</v>
      </c>
      <c r="E139" s="323">
        <v>3</v>
      </c>
      <c r="F139" s="665">
        <v>4</v>
      </c>
      <c r="G139" s="665">
        <v>5</v>
      </c>
      <c r="H139" s="665">
        <v>6</v>
      </c>
    </row>
    <row r="140" spans="2:8" ht="11.25" thickBot="1">
      <c r="B140" s="3361"/>
      <c r="C140" s="624" t="s">
        <v>5314</v>
      </c>
      <c r="D140" s="641" t="s">
        <v>6378</v>
      </c>
      <c r="E140" s="666" t="s">
        <v>6201</v>
      </c>
      <c r="F140" s="665" t="s">
        <v>6215</v>
      </c>
      <c r="G140" s="665" t="s">
        <v>6379</v>
      </c>
      <c r="H140" s="665" t="s">
        <v>6380</v>
      </c>
    </row>
    <row r="141" spans="2:8">
      <c r="B141" s="477">
        <v>3</v>
      </c>
      <c r="C141" s="667" t="s">
        <v>6381</v>
      </c>
      <c r="D141" s="668" t="s">
        <v>6382</v>
      </c>
      <c r="E141" s="647" t="s">
        <v>6383</v>
      </c>
      <c r="F141" s="451" t="s">
        <v>6384</v>
      </c>
      <c r="G141" s="451" t="s">
        <v>6385</v>
      </c>
      <c r="H141" s="451" t="s">
        <v>6386</v>
      </c>
    </row>
    <row r="142" spans="2:8">
      <c r="B142" s="477">
        <v>6</v>
      </c>
      <c r="C142" s="667" t="s">
        <v>6387</v>
      </c>
      <c r="D142" s="668" t="s">
        <v>6388</v>
      </c>
      <c r="E142" s="647" t="s">
        <v>6389</v>
      </c>
      <c r="F142" s="451" t="s">
        <v>6390</v>
      </c>
      <c r="G142" s="451" t="s">
        <v>6391</v>
      </c>
      <c r="H142" s="451" t="s">
        <v>6392</v>
      </c>
    </row>
    <row r="143" spans="2:8">
      <c r="B143" s="477">
        <v>10</v>
      </c>
      <c r="C143" s="669" t="s">
        <v>6393</v>
      </c>
      <c r="D143" s="670" t="s">
        <v>6394</v>
      </c>
      <c r="E143" s="671" t="s">
        <v>6395</v>
      </c>
      <c r="F143" s="451" t="s">
        <v>6396</v>
      </c>
      <c r="G143" s="451" t="s">
        <v>6397</v>
      </c>
      <c r="H143" s="451" t="s">
        <v>6398</v>
      </c>
    </row>
    <row r="144" spans="2:8" ht="11.25" thickBot="1">
      <c r="B144" s="492">
        <v>14</v>
      </c>
      <c r="C144" s="672" t="s">
        <v>6399</v>
      </c>
      <c r="D144" s="673" t="s">
        <v>6400</v>
      </c>
      <c r="E144" s="674" t="s">
        <v>6401</v>
      </c>
      <c r="F144" s="451" t="s">
        <v>6402</v>
      </c>
      <c r="G144" s="451" t="s">
        <v>6403</v>
      </c>
      <c r="H144" s="451" t="s">
        <v>6404</v>
      </c>
    </row>
    <row r="145" spans="2:32" ht="11.25" thickBot="1">
      <c r="C145" s="271"/>
      <c r="E145" s="271"/>
      <c r="F145" s="675" t="s">
        <v>1287</v>
      </c>
      <c r="G145" s="271"/>
      <c r="H145" s="271"/>
      <c r="V145" s="272"/>
    </row>
    <row r="146" spans="2:32" ht="11.25" thickBot="1">
      <c r="B146" s="3341" t="s">
        <v>6405</v>
      </c>
      <c r="C146" s="2862"/>
      <c r="D146" s="2863"/>
      <c r="E146" s="639" t="s">
        <v>6360</v>
      </c>
      <c r="V146" s="272"/>
    </row>
    <row r="147" spans="2:32" ht="11.25" thickBot="1">
      <c r="B147" s="2931"/>
      <c r="C147" s="2932"/>
      <c r="D147" s="2933"/>
      <c r="E147" s="652" t="s">
        <v>6302</v>
      </c>
      <c r="F147" s="639" t="s">
        <v>6302</v>
      </c>
      <c r="G147" s="639" t="s">
        <v>6302</v>
      </c>
      <c r="V147" s="272"/>
    </row>
    <row r="148" spans="2:32" ht="11.25" thickBot="1">
      <c r="B148" s="3378" t="s">
        <v>6042</v>
      </c>
      <c r="C148" s="641">
        <v>1</v>
      </c>
      <c r="D148" s="676">
        <v>2</v>
      </c>
      <c r="E148" s="677">
        <v>3</v>
      </c>
      <c r="F148" s="678">
        <v>4</v>
      </c>
      <c r="G148" s="679">
        <v>5</v>
      </c>
      <c r="V148" s="272"/>
    </row>
    <row r="149" spans="2:32" ht="11.25" thickBot="1">
      <c r="B149" s="3361"/>
      <c r="C149" s="641" t="s">
        <v>6177</v>
      </c>
      <c r="D149" s="676" t="s">
        <v>6188</v>
      </c>
      <c r="E149" s="680" t="s">
        <v>6406</v>
      </c>
      <c r="F149" s="681" t="s">
        <v>6216</v>
      </c>
      <c r="G149" s="682" t="s">
        <v>6230</v>
      </c>
      <c r="H149" s="272" t="s">
        <v>1287</v>
      </c>
      <c r="V149" s="272"/>
    </row>
    <row r="150" spans="2:32">
      <c r="B150" s="477">
        <v>3</v>
      </c>
      <c r="C150" s="683" t="s">
        <v>6407</v>
      </c>
      <c r="D150" s="667" t="s">
        <v>6408</v>
      </c>
      <c r="E150" s="684" t="s">
        <v>6409</v>
      </c>
      <c r="F150" s="685" t="s">
        <v>6410</v>
      </c>
      <c r="G150" s="686" t="s">
        <v>6411</v>
      </c>
      <c r="H150" s="272" t="s">
        <v>1287</v>
      </c>
      <c r="V150" s="272"/>
    </row>
    <row r="151" spans="2:32">
      <c r="B151" s="477">
        <v>6</v>
      </c>
      <c r="C151" s="668" t="s">
        <v>6412</v>
      </c>
      <c r="D151" s="667" t="s">
        <v>6413</v>
      </c>
      <c r="E151" s="658" t="s">
        <v>6414</v>
      </c>
      <c r="F151" s="687" t="s">
        <v>6090</v>
      </c>
      <c r="G151" s="452" t="s">
        <v>6415</v>
      </c>
      <c r="H151" s="272" t="s">
        <v>1287</v>
      </c>
      <c r="V151" s="272"/>
    </row>
    <row r="152" spans="2:32" ht="11.25" thickBot="1">
      <c r="B152" s="492">
        <v>14</v>
      </c>
      <c r="C152" s="673" t="s">
        <v>6416</v>
      </c>
      <c r="D152" s="672" t="s">
        <v>6417</v>
      </c>
      <c r="E152" s="651" t="s">
        <v>6418</v>
      </c>
      <c r="F152" s="688" t="s">
        <v>6419</v>
      </c>
      <c r="G152" s="689" t="s">
        <v>6420</v>
      </c>
      <c r="H152" s="272" t="s">
        <v>1287</v>
      </c>
      <c r="V152" s="272"/>
    </row>
    <row r="153" spans="2:32">
      <c r="B153" s="272"/>
      <c r="C153" s="271"/>
      <c r="V153" s="272"/>
    </row>
    <row r="154" spans="2:32" ht="11.25" thickBot="1">
      <c r="B154" s="272"/>
      <c r="C154" s="271"/>
      <c r="V154" s="272"/>
    </row>
    <row r="155" spans="2:32" ht="11.25" thickBot="1">
      <c r="B155" s="3507" t="s">
        <v>6421</v>
      </c>
      <c r="C155" s="3508"/>
      <c r="D155" s="3508"/>
      <c r="E155" s="3509"/>
      <c r="F155" s="639" t="s">
        <v>6302</v>
      </c>
      <c r="V155" s="272"/>
    </row>
    <row r="156" spans="2:32" ht="11.25" thickBot="1">
      <c r="B156" s="3510"/>
      <c r="C156" s="3511"/>
      <c r="D156" s="3511"/>
      <c r="E156" s="3512"/>
      <c r="F156" s="639" t="s">
        <v>6301</v>
      </c>
      <c r="G156" s="639" t="s">
        <v>6301</v>
      </c>
      <c r="H156" s="640" t="s">
        <v>6302</v>
      </c>
      <c r="I156" s="640" t="s">
        <v>6302</v>
      </c>
      <c r="V156" s="272"/>
    </row>
    <row r="157" spans="2:32" ht="11.25" thickBot="1">
      <c r="B157" s="3378" t="s">
        <v>6042</v>
      </c>
      <c r="C157" s="624">
        <v>1</v>
      </c>
      <c r="D157" s="624">
        <v>2</v>
      </c>
      <c r="E157" s="625">
        <v>3</v>
      </c>
      <c r="F157" s="676">
        <v>4</v>
      </c>
      <c r="G157" s="323">
        <v>5</v>
      </c>
      <c r="H157" s="690">
        <v>6</v>
      </c>
      <c r="I157" s="691">
        <v>7</v>
      </c>
      <c r="V157" s="272"/>
    </row>
    <row r="158" spans="2:32" ht="11.25" thickBot="1">
      <c r="B158" s="3361"/>
      <c r="C158" s="624" t="s">
        <v>6175</v>
      </c>
      <c r="D158" s="624" t="s">
        <v>5459</v>
      </c>
      <c r="E158" s="625" t="s">
        <v>6199</v>
      </c>
      <c r="F158" s="692" t="s">
        <v>6213</v>
      </c>
      <c r="G158" s="666" t="s">
        <v>6227</v>
      </c>
      <c r="H158" s="693" t="s">
        <v>6239</v>
      </c>
      <c r="I158" s="694" t="s">
        <v>3387</v>
      </c>
      <c r="J158" s="592"/>
      <c r="V158" s="272"/>
    </row>
    <row r="159" spans="2:32">
      <c r="B159" s="477">
        <v>3</v>
      </c>
      <c r="C159" s="368" t="s">
        <v>6422</v>
      </c>
      <c r="D159" s="368" t="s">
        <v>6423</v>
      </c>
      <c r="E159" s="536" t="s">
        <v>6424</v>
      </c>
      <c r="F159" s="695" t="s">
        <v>6425</v>
      </c>
      <c r="G159" s="658" t="s">
        <v>6426</v>
      </c>
      <c r="H159" s="696" t="s">
        <v>6427</v>
      </c>
      <c r="I159" s="696" t="s">
        <v>6428</v>
      </c>
      <c r="V159" s="272"/>
    </row>
    <row r="160" spans="2:32">
      <c r="B160" s="477">
        <v>9</v>
      </c>
      <c r="C160" s="368" t="s">
        <v>6429</v>
      </c>
      <c r="D160" s="368" t="s">
        <v>6430</v>
      </c>
      <c r="E160" s="536" t="s">
        <v>6431</v>
      </c>
      <c r="F160" s="695" t="s">
        <v>6432</v>
      </c>
      <c r="G160" s="658" t="s">
        <v>6433</v>
      </c>
      <c r="H160" s="451" t="s">
        <v>6434</v>
      </c>
      <c r="I160" s="451" t="s">
        <v>6435</v>
      </c>
      <c r="V160" s="272"/>
      <c r="AE160" s="427"/>
      <c r="AF160" s="271"/>
    </row>
    <row r="161" spans="2:32">
      <c r="B161" s="477">
        <v>13</v>
      </c>
      <c r="C161" s="368" t="s">
        <v>6436</v>
      </c>
      <c r="D161" s="368" t="s">
        <v>6437</v>
      </c>
      <c r="E161" s="536" t="s">
        <v>6438</v>
      </c>
      <c r="F161" s="695" t="s">
        <v>6439</v>
      </c>
      <c r="G161" s="658" t="s">
        <v>6440</v>
      </c>
      <c r="H161" s="451" t="s">
        <v>6441</v>
      </c>
      <c r="I161" s="451" t="s">
        <v>6442</v>
      </c>
      <c r="V161" s="272"/>
      <c r="AE161" s="427"/>
      <c r="AF161" s="271"/>
    </row>
    <row r="162" spans="2:32" ht="11.25" thickBot="1">
      <c r="B162" s="492">
        <v>17</v>
      </c>
      <c r="C162" s="423" t="s">
        <v>6443</v>
      </c>
      <c r="D162" s="423" t="s">
        <v>6444</v>
      </c>
      <c r="E162" s="541" t="s">
        <v>6445</v>
      </c>
      <c r="F162" s="650" t="s">
        <v>6446</v>
      </c>
      <c r="G162" s="651" t="s">
        <v>6447</v>
      </c>
      <c r="H162" s="451" t="s">
        <v>6448</v>
      </c>
      <c r="I162" s="451" t="s">
        <v>6449</v>
      </c>
      <c r="V162" s="272"/>
    </row>
    <row r="163" spans="2:32">
      <c r="B163" s="272"/>
      <c r="C163" s="271"/>
      <c r="V163" s="272"/>
    </row>
    <row r="164" spans="2:32" ht="11.25" thickBot="1">
      <c r="C164" s="271"/>
      <c r="F164" s="272"/>
      <c r="AE164" s="427"/>
      <c r="AF164" s="271"/>
    </row>
    <row r="165" spans="2:32" ht="11.25" thickBot="1">
      <c r="B165" s="3507" t="s">
        <v>6450</v>
      </c>
      <c r="C165" s="3508"/>
      <c r="D165" s="3508"/>
      <c r="E165" s="3509"/>
      <c r="F165" s="272"/>
    </row>
    <row r="166" spans="2:32" ht="11.25" thickBot="1">
      <c r="B166" s="3510"/>
      <c r="C166" s="3511"/>
      <c r="D166" s="3511"/>
      <c r="E166" s="3512"/>
      <c r="F166" s="652" t="s">
        <v>6301</v>
      </c>
      <c r="G166" s="639" t="s">
        <v>6302</v>
      </c>
      <c r="H166" s="639" t="s">
        <v>6302</v>
      </c>
      <c r="AE166" s="427"/>
      <c r="AF166" s="675"/>
    </row>
    <row r="167" spans="2:32" ht="11.25" thickBot="1">
      <c r="B167" s="3378" t="s">
        <v>6042</v>
      </c>
      <c r="C167" s="624">
        <v>1</v>
      </c>
      <c r="D167" s="624">
        <v>2</v>
      </c>
      <c r="E167" s="625">
        <v>3</v>
      </c>
      <c r="F167" s="641">
        <v>4</v>
      </c>
      <c r="G167" s="665">
        <v>5</v>
      </c>
      <c r="H167" s="665">
        <v>6</v>
      </c>
      <c r="I167" s="272" t="s">
        <v>1287</v>
      </c>
      <c r="AE167" s="427"/>
      <c r="AF167" s="271"/>
    </row>
    <row r="168" spans="2:32" ht="11.25" thickBot="1">
      <c r="B168" s="3361"/>
      <c r="C168" s="697" t="s">
        <v>6180</v>
      </c>
      <c r="D168" s="697" t="s">
        <v>6451</v>
      </c>
      <c r="E168" s="697" t="s">
        <v>6205</v>
      </c>
      <c r="F168" s="698" t="s">
        <v>6219</v>
      </c>
      <c r="G168" s="665" t="s">
        <v>6232</v>
      </c>
      <c r="H168" s="665" t="s">
        <v>6242</v>
      </c>
      <c r="I168" s="272" t="s">
        <v>1287</v>
      </c>
      <c r="AE168" s="427"/>
      <c r="AF168" s="675"/>
    </row>
    <row r="169" spans="2:32">
      <c r="B169" s="643">
        <v>3</v>
      </c>
      <c r="C169" s="699" t="s">
        <v>6452</v>
      </c>
      <c r="D169" s="699" t="s">
        <v>6453</v>
      </c>
      <c r="E169" s="700" t="s">
        <v>6454</v>
      </c>
      <c r="F169" s="701" t="s">
        <v>6455</v>
      </c>
      <c r="G169" s="451" t="s">
        <v>6456</v>
      </c>
      <c r="H169" s="451" t="s">
        <v>6457</v>
      </c>
      <c r="I169" s="272" t="s">
        <v>1287</v>
      </c>
      <c r="AE169" s="427"/>
      <c r="AF169" s="271"/>
    </row>
    <row r="170" spans="2:32">
      <c r="B170" s="646">
        <v>7</v>
      </c>
      <c r="C170" s="699" t="s">
        <v>6458</v>
      </c>
      <c r="D170" s="699" t="s">
        <v>6459</v>
      </c>
      <c r="E170" s="699" t="s">
        <v>6460</v>
      </c>
      <c r="F170" s="701" t="s">
        <v>6461</v>
      </c>
      <c r="G170" s="451" t="s">
        <v>6462</v>
      </c>
      <c r="H170" s="451" t="s">
        <v>6463</v>
      </c>
      <c r="I170" s="272" t="s">
        <v>1287</v>
      </c>
      <c r="AE170" s="427"/>
      <c r="AF170" s="271"/>
    </row>
    <row r="171" spans="2:32">
      <c r="B171" s="472">
        <v>15</v>
      </c>
      <c r="C171" s="702" t="s">
        <v>6464</v>
      </c>
      <c r="D171" s="702" t="s">
        <v>6465</v>
      </c>
      <c r="E171" s="702" t="s">
        <v>6466</v>
      </c>
      <c r="F171" s="701" t="s">
        <v>6467</v>
      </c>
      <c r="G171" s="451" t="s">
        <v>6468</v>
      </c>
      <c r="H171" s="451" t="s">
        <v>6469</v>
      </c>
      <c r="I171" s="272" t="s">
        <v>1287</v>
      </c>
      <c r="AE171" s="427"/>
      <c r="AF171" s="271"/>
    </row>
    <row r="172" spans="2:32" ht="11.25" thickBot="1">
      <c r="B172" s="512">
        <v>20</v>
      </c>
      <c r="C172" s="703" t="s">
        <v>6470</v>
      </c>
      <c r="D172" s="703" t="s">
        <v>6471</v>
      </c>
      <c r="E172" s="703" t="s">
        <v>6472</v>
      </c>
      <c r="F172" s="704" t="s">
        <v>6473</v>
      </c>
      <c r="G172" s="451" t="s">
        <v>6474</v>
      </c>
      <c r="H172" s="451" t="s">
        <v>6475</v>
      </c>
      <c r="I172" s="272" t="s">
        <v>1287</v>
      </c>
      <c r="AE172" s="427"/>
      <c r="AF172" s="271"/>
    </row>
    <row r="173" spans="2:32">
      <c r="B173" s="447"/>
      <c r="C173" s="447"/>
      <c r="D173" s="705"/>
      <c r="E173" s="706"/>
      <c r="F173" s="272"/>
      <c r="AE173" s="707"/>
      <c r="AF173" s="708"/>
    </row>
    <row r="174" spans="2:32" ht="11.25" thickBot="1">
      <c r="B174" s="272"/>
      <c r="F174" s="272"/>
      <c r="V174" s="272"/>
      <c r="W174" s="272"/>
      <c r="AE174" s="427"/>
      <c r="AF174" s="271"/>
    </row>
    <row r="175" spans="2:32" ht="11.25" thickBot="1">
      <c r="B175" s="3507" t="s">
        <v>6476</v>
      </c>
      <c r="C175" s="3535"/>
      <c r="D175" s="3536"/>
      <c r="E175" s="639" t="s">
        <v>6302</v>
      </c>
      <c r="F175" s="709"/>
      <c r="G175" s="709"/>
      <c r="H175" s="709"/>
      <c r="I175" s="709"/>
      <c r="J175" s="710"/>
      <c r="V175" s="272"/>
      <c r="W175" s="272"/>
      <c r="AE175" s="427"/>
      <c r="AF175" s="271"/>
    </row>
    <row r="176" spans="2:32" ht="11.25" thickBot="1">
      <c r="B176" s="3537"/>
      <c r="C176" s="3538"/>
      <c r="D176" s="3539"/>
      <c r="E176" s="639" t="s">
        <v>6301</v>
      </c>
      <c r="F176" s="639" t="s">
        <v>6302</v>
      </c>
      <c r="G176" s="639" t="s">
        <v>6302</v>
      </c>
      <c r="J176" s="711"/>
      <c r="V176" s="272"/>
      <c r="W176" s="272"/>
      <c r="AE176" s="427"/>
      <c r="AF176" s="271"/>
    </row>
    <row r="177" spans="2:32" ht="11.25" thickBot="1">
      <c r="B177" s="3521" t="s">
        <v>6042</v>
      </c>
      <c r="C177" s="323">
        <v>1</v>
      </c>
      <c r="D177" s="625">
        <v>2</v>
      </c>
      <c r="E177" s="676">
        <v>3</v>
      </c>
      <c r="F177" s="712">
        <v>4</v>
      </c>
      <c r="G177" s="712">
        <v>5</v>
      </c>
      <c r="J177" s="711"/>
      <c r="V177" s="272"/>
      <c r="W177" s="272"/>
      <c r="AE177" s="427"/>
      <c r="AF177" s="271"/>
    </row>
    <row r="178" spans="2:32" ht="11.25" thickBot="1">
      <c r="B178" s="3522"/>
      <c r="C178" s="323" t="s">
        <v>6477</v>
      </c>
      <c r="D178" s="625" t="s">
        <v>6193</v>
      </c>
      <c r="E178" s="666" t="s">
        <v>6207</v>
      </c>
      <c r="F178" s="665" t="s">
        <v>6221</v>
      </c>
      <c r="G178" s="665" t="s">
        <v>6233</v>
      </c>
      <c r="H178" s="272" t="s">
        <v>1287</v>
      </c>
      <c r="J178" s="711"/>
      <c r="V178" s="272"/>
      <c r="W178" s="272"/>
      <c r="AE178" s="427"/>
      <c r="AF178" s="271"/>
    </row>
    <row r="179" spans="2:32">
      <c r="B179" s="643">
        <v>1</v>
      </c>
      <c r="C179" s="713" t="s">
        <v>6478</v>
      </c>
      <c r="D179" s="714" t="s">
        <v>6479</v>
      </c>
      <c r="E179" s="658" t="s">
        <v>6480</v>
      </c>
      <c r="F179" s="451" t="s">
        <v>6481</v>
      </c>
      <c r="G179" s="451" t="s">
        <v>6482</v>
      </c>
      <c r="H179" s="272" t="s">
        <v>1287</v>
      </c>
      <c r="J179" s="711"/>
      <c r="V179" s="272"/>
      <c r="W179" s="272"/>
      <c r="AE179" s="427"/>
      <c r="AF179" s="271"/>
    </row>
    <row r="180" spans="2:32">
      <c r="B180" s="646">
        <v>6</v>
      </c>
      <c r="C180" s="713" t="s">
        <v>6483</v>
      </c>
      <c r="D180" s="714" t="s">
        <v>6484</v>
      </c>
      <c r="E180" s="658" t="s">
        <v>6485</v>
      </c>
      <c r="F180" s="451" t="s">
        <v>6486</v>
      </c>
      <c r="G180" s="451" t="s">
        <v>6487</v>
      </c>
      <c r="H180" s="272" t="s">
        <v>1287</v>
      </c>
      <c r="J180" s="711"/>
      <c r="V180" s="272"/>
      <c r="W180" s="272"/>
      <c r="AE180" s="427"/>
      <c r="AF180" s="271"/>
    </row>
    <row r="181" spans="2:32">
      <c r="B181" s="472">
        <v>14</v>
      </c>
      <c r="C181" s="715" t="s">
        <v>6488</v>
      </c>
      <c r="D181" s="716" t="s">
        <v>6489</v>
      </c>
      <c r="E181" s="658" t="s">
        <v>6490</v>
      </c>
      <c r="F181" s="451" t="s">
        <v>6491</v>
      </c>
      <c r="G181" s="451" t="s">
        <v>6492</v>
      </c>
      <c r="H181" s="272" t="s">
        <v>1287</v>
      </c>
      <c r="J181" s="711"/>
      <c r="V181" s="272"/>
      <c r="W181" s="272"/>
      <c r="AE181" s="427"/>
      <c r="AF181" s="271"/>
    </row>
    <row r="182" spans="2:32" ht="11.25" thickBot="1">
      <c r="B182" s="512">
        <v>18</v>
      </c>
      <c r="C182" s="717" t="s">
        <v>6493</v>
      </c>
      <c r="D182" s="718" t="s">
        <v>6494</v>
      </c>
      <c r="E182" s="651" t="s">
        <v>6495</v>
      </c>
      <c r="F182" s="451" t="s">
        <v>6496</v>
      </c>
      <c r="G182" s="451" t="s">
        <v>6497</v>
      </c>
      <c r="H182" s="272" t="s">
        <v>1287</v>
      </c>
      <c r="J182" s="711"/>
      <c r="V182" s="272"/>
      <c r="W182" s="272"/>
      <c r="AE182" s="427"/>
      <c r="AF182" s="271"/>
    </row>
    <row r="183" spans="2:32" ht="11.25" thickBot="1">
      <c r="B183" s="602"/>
      <c r="F183" s="272"/>
      <c r="J183" s="711"/>
      <c r="V183" s="272"/>
      <c r="W183" s="272"/>
      <c r="AE183" s="427"/>
      <c r="AF183" s="271"/>
    </row>
    <row r="184" spans="2:32" ht="11.25" thickBot="1">
      <c r="B184" s="719" t="s">
        <v>6498</v>
      </c>
      <c r="C184" s="720" t="s">
        <v>6499</v>
      </c>
      <c r="D184" s="721"/>
      <c r="F184" s="272"/>
      <c r="J184" s="711"/>
      <c r="V184" s="272"/>
      <c r="W184" s="272"/>
      <c r="AE184" s="427"/>
      <c r="AF184" s="271"/>
    </row>
    <row r="185" spans="2:32">
      <c r="B185" s="643">
        <f ca="1">RAND()</f>
        <v>0.41317228099257519</v>
      </c>
      <c r="C185" s="722" t="s">
        <v>6500</v>
      </c>
      <c r="D185" s="723">
        <f t="shared" ref="D185:D192" ca="1" si="3">LARGE($B$185:$B$192,ROW(AC1))</f>
        <v>0.98219354121291558</v>
      </c>
      <c r="F185" s="272"/>
      <c r="J185" s="711"/>
      <c r="V185" s="272"/>
      <c r="W185" s="272"/>
      <c r="AE185" s="427"/>
      <c r="AF185" s="271"/>
    </row>
    <row r="186" spans="2:32">
      <c r="B186" s="724">
        <f t="shared" ref="B186:B192" ca="1" si="4">RAND()</f>
        <v>0.32572561333134609</v>
      </c>
      <c r="C186" s="722" t="s">
        <v>6501</v>
      </c>
      <c r="D186" s="723">
        <f t="shared" ca="1" si="3"/>
        <v>0.95082375370163286</v>
      </c>
      <c r="F186" s="272"/>
      <c r="J186" s="711"/>
      <c r="V186" s="272"/>
      <c r="W186" s="272"/>
      <c r="AE186" s="427"/>
      <c r="AF186" s="271"/>
    </row>
    <row r="187" spans="2:32">
      <c r="B187" s="724">
        <f t="shared" ca="1" si="4"/>
        <v>0.74709797152281943</v>
      </c>
      <c r="C187" s="722" t="s">
        <v>6502</v>
      </c>
      <c r="D187" s="723">
        <f t="shared" ca="1" si="3"/>
        <v>0.8504701955655688</v>
      </c>
      <c r="F187" s="272"/>
      <c r="J187" s="711"/>
      <c r="AE187" s="427"/>
      <c r="AF187" s="271"/>
    </row>
    <row r="188" spans="2:32">
      <c r="B188" s="724">
        <f t="shared" ca="1" si="4"/>
        <v>0.47142628462540437</v>
      </c>
      <c r="C188" s="722" t="s">
        <v>6503</v>
      </c>
      <c r="D188" s="723">
        <f t="shared" ca="1" si="3"/>
        <v>0.74709797152281943</v>
      </c>
      <c r="F188" s="272"/>
      <c r="J188" s="711"/>
      <c r="AE188" s="427"/>
      <c r="AF188" s="271"/>
    </row>
    <row r="189" spans="2:32">
      <c r="B189" s="724">
        <f t="shared" ca="1" si="4"/>
        <v>0.98219354121291558</v>
      </c>
      <c r="C189" s="722" t="s">
        <v>6504</v>
      </c>
      <c r="D189" s="723">
        <f t="shared" ca="1" si="3"/>
        <v>0.47142628462540437</v>
      </c>
      <c r="F189" s="272"/>
      <c r="J189" s="711"/>
      <c r="AE189" s="427"/>
      <c r="AF189" s="271"/>
    </row>
    <row r="190" spans="2:32">
      <c r="B190" s="724">
        <f t="shared" ca="1" si="4"/>
        <v>0.8504701955655688</v>
      </c>
      <c r="C190" s="722" t="s">
        <v>6505</v>
      </c>
      <c r="D190" s="723">
        <f t="shared" ca="1" si="3"/>
        <v>0.41317228099257519</v>
      </c>
      <c r="F190" s="272"/>
      <c r="J190" s="711"/>
      <c r="AE190" s="427"/>
      <c r="AF190" s="271"/>
    </row>
    <row r="191" spans="2:32">
      <c r="B191" s="724">
        <f t="shared" ca="1" si="4"/>
        <v>0.39492122336415414</v>
      </c>
      <c r="C191" s="722" t="s">
        <v>6506</v>
      </c>
      <c r="D191" s="723">
        <f t="shared" ca="1" si="3"/>
        <v>0.39492122336415414</v>
      </c>
      <c r="F191" s="272"/>
      <c r="J191" s="711"/>
      <c r="AE191" s="427"/>
      <c r="AF191" s="271"/>
    </row>
    <row r="192" spans="2:32" ht="11.25" thickBot="1">
      <c r="B192" s="725">
        <f t="shared" ca="1" si="4"/>
        <v>0.95082375370163286</v>
      </c>
      <c r="C192" s="726" t="s">
        <v>6507</v>
      </c>
      <c r="D192" s="723">
        <f t="shared" ca="1" si="3"/>
        <v>0.32572561333134609</v>
      </c>
      <c r="F192" s="272"/>
      <c r="J192" s="711"/>
      <c r="AE192" s="427"/>
      <c r="AF192" s="271"/>
    </row>
    <row r="193" spans="2:32">
      <c r="B193" s="727">
        <f ca="1">D185</f>
        <v>0.98219354121291558</v>
      </c>
      <c r="C193" s="728" t="str">
        <f ca="1">VLOOKUP(B193,$B$185:$C$192,2,FALSE)</f>
        <v>Heightened Spell</v>
      </c>
      <c r="D193" s="729" t="s">
        <v>6508</v>
      </c>
      <c r="F193" s="272"/>
      <c r="J193" s="711"/>
      <c r="AE193" s="427"/>
      <c r="AF193" s="271"/>
    </row>
    <row r="194" spans="2:32">
      <c r="B194" s="295">
        <f ca="1">D186</f>
        <v>0.95082375370163286</v>
      </c>
      <c r="C194" s="728" t="str">
        <f ca="1">VLOOKUP(B194,$B$185:$C$192,2,FALSE)</f>
        <v>Twinned Spell</v>
      </c>
      <c r="D194" s="730" t="s">
        <v>6509</v>
      </c>
      <c r="F194" s="272"/>
      <c r="J194" s="711"/>
      <c r="AE194" s="427"/>
      <c r="AF194" s="271"/>
    </row>
    <row r="195" spans="2:32" ht="11.25" thickBot="1">
      <c r="B195" s="731">
        <f ca="1">D187</f>
        <v>0.8504701955655688</v>
      </c>
      <c r="C195" s="732" t="str">
        <f ca="1">VLOOKUP(B195,$B$185:$C$192,2,FALSE)</f>
        <v>Quickened Spell</v>
      </c>
      <c r="D195" s="733" t="s">
        <v>6510</v>
      </c>
      <c r="E195" s="520"/>
      <c r="F195" s="520"/>
      <c r="G195" s="520"/>
      <c r="H195" s="520"/>
      <c r="I195" s="520"/>
      <c r="J195" s="734"/>
      <c r="AE195" s="427"/>
      <c r="AF195" s="271"/>
    </row>
    <row r="196" spans="2:32">
      <c r="B196" s="272"/>
      <c r="F196" s="272"/>
      <c r="AE196" s="427"/>
      <c r="AF196" s="271"/>
    </row>
    <row r="197" spans="2:32" ht="11.25" thickBot="1">
      <c r="B197" s="272"/>
      <c r="F197" s="272"/>
      <c r="AE197" s="427"/>
      <c r="AF197" s="271"/>
    </row>
    <row r="198" spans="2:32" ht="11.25" thickBot="1">
      <c r="B198" s="3507" t="s">
        <v>6511</v>
      </c>
      <c r="C198" s="3508"/>
      <c r="D198" s="3508"/>
      <c r="E198" s="3509"/>
      <c r="F198" s="735"/>
      <c r="G198" s="709"/>
      <c r="H198" s="709"/>
      <c r="I198" s="709"/>
      <c r="J198" s="710"/>
      <c r="AE198" s="427"/>
      <c r="AF198" s="271"/>
    </row>
    <row r="199" spans="2:32" ht="11.25" thickBot="1">
      <c r="B199" s="3510"/>
      <c r="C199" s="3511"/>
      <c r="D199" s="3511"/>
      <c r="E199" s="3512"/>
      <c r="F199" s="736" t="s">
        <v>6301</v>
      </c>
      <c r="G199" s="640" t="s">
        <v>6302</v>
      </c>
      <c r="H199" s="640" t="s">
        <v>6302</v>
      </c>
      <c r="I199" s="640" t="s">
        <v>6302</v>
      </c>
      <c r="J199" s="711"/>
      <c r="AE199" s="427"/>
      <c r="AF199" s="271"/>
    </row>
    <row r="200" spans="2:32" ht="11.25" thickBot="1">
      <c r="B200" s="3378" t="s">
        <v>6042</v>
      </c>
      <c r="C200" s="624">
        <v>1</v>
      </c>
      <c r="D200" s="624">
        <v>2</v>
      </c>
      <c r="E200" s="625">
        <v>3</v>
      </c>
      <c r="F200" s="641">
        <v>4</v>
      </c>
      <c r="G200" s="737">
        <v>5</v>
      </c>
      <c r="H200" s="738">
        <v>6</v>
      </c>
      <c r="I200" s="739">
        <v>7</v>
      </c>
      <c r="J200" s="711"/>
      <c r="AE200" s="427"/>
      <c r="AF200" s="271"/>
    </row>
    <row r="201" spans="2:32" ht="11.25" thickBot="1">
      <c r="B201" s="3361"/>
      <c r="C201" s="624" t="s">
        <v>6174</v>
      </c>
      <c r="D201" s="624" t="s">
        <v>6186</v>
      </c>
      <c r="E201" s="625" t="s">
        <v>6198</v>
      </c>
      <c r="F201" s="698" t="s">
        <v>6212</v>
      </c>
      <c r="G201" s="510" t="s">
        <v>6226</v>
      </c>
      <c r="H201" s="316" t="s">
        <v>6238</v>
      </c>
      <c r="I201" s="740" t="s">
        <v>6247</v>
      </c>
      <c r="J201" s="711"/>
      <c r="AE201" s="427"/>
      <c r="AF201" s="271"/>
    </row>
    <row r="202" spans="2:32" ht="11.25" thickBot="1">
      <c r="B202" s="465">
        <v>1</v>
      </c>
      <c r="C202" s="344" t="str">
        <f ca="1">CONCATENATE("Fighting Style: ",CLASS!D83, ", Second Wind")</f>
        <v>Fighting Style: , Second Wind</v>
      </c>
      <c r="D202" s="344" t="str">
        <f ca="1">CONCATENATE("Fighting Style: ",CLASS!D83, ", Second Wind")</f>
        <v>Fighting Style: , Second Wind</v>
      </c>
      <c r="E202" s="741" t="str">
        <f ca="1">CONCATENATE("Fighting Style: ",CLASS!D83, ", Second Wind")</f>
        <v>Fighting Style: , Second Wind</v>
      </c>
      <c r="F202" s="595" t="str">
        <f ca="1">CONCATENATE("Fighting Style: ",CLASS!D83, ", Second Wind")</f>
        <v>Fighting Style: , Second Wind</v>
      </c>
      <c r="G202" s="742" t="str">
        <f ca="1">CONCATENATE("Fighting Style: ",CLASS!D83, ", Second Wind")</f>
        <v>Fighting Style: , Second Wind</v>
      </c>
      <c r="H202" s="481" t="str">
        <f ca="1">CONCATENATE("Fighting Style: ",CLASS!D83, ", Second Wind")</f>
        <v>Fighting Style: , Second Wind</v>
      </c>
      <c r="I202" s="743" t="str">
        <f ca="1">CONCATENATE("Fighting Style: ",CLASS!D83, ", Second Wind")</f>
        <v>Fighting Style: , Second Wind</v>
      </c>
      <c r="J202" s="711"/>
      <c r="AE202" s="427"/>
      <c r="AF202" s="271"/>
    </row>
    <row r="203" spans="2:32">
      <c r="B203" s="477">
        <v>3</v>
      </c>
      <c r="C203" s="368" t="s">
        <v>6512</v>
      </c>
      <c r="D203" s="368" t="s">
        <v>6513</v>
      </c>
      <c r="E203" s="536" t="s">
        <v>6514</v>
      </c>
      <c r="F203" s="701" t="s">
        <v>6515</v>
      </c>
      <c r="G203" s="696" t="s">
        <v>6516</v>
      </c>
      <c r="H203" s="451" t="s">
        <v>6517</v>
      </c>
      <c r="I203" s="451" t="s">
        <v>6518</v>
      </c>
      <c r="J203" s="711"/>
      <c r="AE203" s="427"/>
      <c r="AF203" s="271"/>
    </row>
    <row r="204" spans="2:32">
      <c r="B204" s="477">
        <v>7</v>
      </c>
      <c r="C204" s="368" t="s">
        <v>6519</v>
      </c>
      <c r="D204" s="368" t="s">
        <v>6520</v>
      </c>
      <c r="E204" s="536" t="s">
        <v>6521</v>
      </c>
      <c r="F204" s="701" t="s">
        <v>6522</v>
      </c>
      <c r="G204" s="451" t="s">
        <v>6523</v>
      </c>
      <c r="H204" s="451" t="s">
        <v>6524</v>
      </c>
      <c r="I204" s="451" t="s">
        <v>6525</v>
      </c>
      <c r="J204" s="711"/>
      <c r="AE204" s="427"/>
      <c r="AF204" s="271"/>
    </row>
    <row r="205" spans="2:32">
      <c r="B205" s="477">
        <v>10</v>
      </c>
      <c r="C205" s="368" t="s">
        <v>6526</v>
      </c>
      <c r="D205" s="368" t="s">
        <v>6527</v>
      </c>
      <c r="E205" s="536" t="s">
        <v>6528</v>
      </c>
      <c r="F205" s="701" t="s">
        <v>6529</v>
      </c>
      <c r="G205" s="451" t="s">
        <v>6530</v>
      </c>
      <c r="H205" s="451" t="s">
        <v>6531</v>
      </c>
      <c r="I205" s="744" t="s">
        <v>6532</v>
      </c>
      <c r="J205" s="711"/>
      <c r="AE205" s="427"/>
      <c r="AF205" s="271"/>
    </row>
    <row r="206" spans="2:32">
      <c r="B206" s="477">
        <v>15</v>
      </c>
      <c r="C206" s="368" t="s">
        <v>6533</v>
      </c>
      <c r="D206" s="368" t="s">
        <v>6534</v>
      </c>
      <c r="E206" s="745" t="s">
        <v>6535</v>
      </c>
      <c r="F206" s="701" t="s">
        <v>6536</v>
      </c>
      <c r="G206" s="744" t="s">
        <v>6537</v>
      </c>
      <c r="H206" s="744" t="s">
        <v>6538</v>
      </c>
      <c r="I206" s="744" t="s">
        <v>6539</v>
      </c>
      <c r="J206" s="711"/>
      <c r="AE206" s="427"/>
      <c r="AF206" s="271"/>
    </row>
    <row r="207" spans="2:32" ht="11.25" thickBot="1">
      <c r="B207" s="492">
        <v>18</v>
      </c>
      <c r="C207" s="423" t="s">
        <v>6540</v>
      </c>
      <c r="D207" s="423"/>
      <c r="E207" s="746" t="s">
        <v>6541</v>
      </c>
      <c r="F207" s="747" t="s">
        <v>1287</v>
      </c>
      <c r="G207" s="744" t="s">
        <v>6542</v>
      </c>
      <c r="H207" s="744" t="s">
        <v>6543</v>
      </c>
      <c r="I207" s="451" t="s">
        <v>6544</v>
      </c>
      <c r="J207" s="711"/>
      <c r="AE207" s="427"/>
      <c r="AF207" s="271"/>
    </row>
    <row r="208" spans="2:32" ht="11.25" thickBot="1">
      <c r="B208" s="602"/>
      <c r="F208" s="272"/>
      <c r="J208" s="711"/>
      <c r="AE208" s="427"/>
      <c r="AF208" s="271"/>
    </row>
    <row r="209" spans="2:32">
      <c r="B209" s="602"/>
      <c r="C209" s="3495" t="s">
        <v>6545</v>
      </c>
      <c r="D209" s="3513"/>
      <c r="E209" s="3513"/>
      <c r="F209" s="3513"/>
      <c r="G209" s="3513"/>
      <c r="H209" s="3513"/>
      <c r="I209" s="3514"/>
      <c r="J209" s="711"/>
      <c r="AE209" s="427"/>
      <c r="AF209" s="271"/>
    </row>
    <row r="210" spans="2:32" ht="11.25" thickBot="1">
      <c r="B210" s="602"/>
      <c r="C210" s="3515"/>
      <c r="D210" s="3516"/>
      <c r="E210" s="3516"/>
      <c r="F210" s="3516"/>
      <c r="G210" s="3516"/>
      <c r="H210" s="3516"/>
      <c r="I210" s="3517"/>
      <c r="J210" s="711"/>
      <c r="AE210" s="427"/>
      <c r="AF210" s="271"/>
    </row>
    <row r="211" spans="2:32" ht="11.25" thickBot="1">
      <c r="B211" s="3518" t="s">
        <v>6546</v>
      </c>
      <c r="C211" s="719" t="s">
        <v>6498</v>
      </c>
      <c r="D211" s="697" t="s">
        <v>6547</v>
      </c>
      <c r="E211" s="719" t="s">
        <v>6498</v>
      </c>
      <c r="F211" s="748" t="s">
        <v>6548</v>
      </c>
      <c r="G211" s="749" t="s">
        <v>6549</v>
      </c>
      <c r="H211" s="697" t="s">
        <v>6547</v>
      </c>
      <c r="I211" s="750" t="s">
        <v>6550</v>
      </c>
      <c r="J211" s="676" t="str">
        <f>[1]MATH!D8</f>
        <v>Wizard</v>
      </c>
      <c r="AE211" s="427"/>
      <c r="AF211" s="271"/>
    </row>
    <row r="212" spans="2:32" ht="11.25" thickBot="1">
      <c r="B212" s="3280"/>
      <c r="C212" s="643">
        <v>1</v>
      </c>
      <c r="D212" s="751" t="str">
        <f ca="1">IF([1]MATH!$D$5&gt;2,I212,"")</f>
        <v>Distracting Strike</v>
      </c>
      <c r="E212" s="643">
        <v>1</v>
      </c>
      <c r="F212" s="752">
        <f t="shared" ref="F212:F227" ca="1" si="5">RANDBETWEEN(1,100000000)</f>
        <v>80797831</v>
      </c>
      <c r="G212" s="458">
        <f ca="1">IF(E212=ROWS(G$212:G212),RANK(F212,$F$212:$F$227),"")</f>
        <v>3</v>
      </c>
      <c r="H212" s="753" t="s">
        <v>6551</v>
      </c>
      <c r="I212" s="754" t="str">
        <f t="shared" ref="I212:I227" ca="1" si="6">VLOOKUP(E212,$G$212:$H$227,2,FALSE)</f>
        <v>Distracting Strike</v>
      </c>
      <c r="J212" s="625" t="str">
        <f>CONCATENATE("LEVEL - ",[1]MATH!D5)</f>
        <v>LEVEL - 7</v>
      </c>
      <c r="AE212" s="427"/>
      <c r="AF212" s="271"/>
    </row>
    <row r="213" spans="2:32">
      <c r="B213" s="3280"/>
      <c r="C213" s="724">
        <v>2</v>
      </c>
      <c r="D213" s="755" t="str">
        <f ca="1">IF([1]MATH!$D$5&gt;2,I213,"")</f>
        <v>Riposte</v>
      </c>
      <c r="E213" s="724">
        <v>2</v>
      </c>
      <c r="F213" s="756">
        <f t="shared" ca="1" si="5"/>
        <v>7597145</v>
      </c>
      <c r="G213" s="473">
        <f ca="1">IF(E213=ROWS(G$212:G213),RANK(F213,$F$212:$F$227),"")</f>
        <v>16</v>
      </c>
      <c r="H213" s="753" t="s">
        <v>6552</v>
      </c>
      <c r="I213" s="757" t="str">
        <f t="shared" ca="1" si="6"/>
        <v>Riposte</v>
      </c>
      <c r="J213" s="711"/>
      <c r="AE213" s="427"/>
      <c r="AF213" s="271"/>
    </row>
    <row r="214" spans="2:32">
      <c r="B214" s="3280"/>
      <c r="C214" s="724">
        <v>3</v>
      </c>
      <c r="D214" s="755" t="str">
        <f ca="1">IF([1]MATH!$D$5&gt;2,I214,"")</f>
        <v>Commander's Strike</v>
      </c>
      <c r="E214" s="724">
        <v>3</v>
      </c>
      <c r="F214" s="756">
        <f t="shared" ca="1" si="5"/>
        <v>93459484</v>
      </c>
      <c r="G214" s="473">
        <f ca="1">IF(E214=ROWS(G$212:G214),RANK(F214,$F$212:$F$227),"")</f>
        <v>1</v>
      </c>
      <c r="H214" s="753" t="s">
        <v>6553</v>
      </c>
      <c r="I214" s="757" t="str">
        <f t="shared" ca="1" si="6"/>
        <v>Commander's Strike</v>
      </c>
      <c r="J214" s="711"/>
      <c r="AE214" s="427"/>
      <c r="AF214" s="271"/>
    </row>
    <row r="215" spans="2:32">
      <c r="B215" s="3280"/>
      <c r="C215" s="724">
        <v>4</v>
      </c>
      <c r="D215" s="755" t="str">
        <f ca="1">IF([1]MATH!$D$5&gt;6,I215,"")</f>
        <v>Sweeping Attack</v>
      </c>
      <c r="E215" s="724">
        <v>4</v>
      </c>
      <c r="F215" s="756">
        <f t="shared" ca="1" si="5"/>
        <v>70496473</v>
      </c>
      <c r="G215" s="473">
        <f ca="1">IF(E215=ROWS(G$212:G215),RANK(F215,$F$212:$F$227),"")</f>
        <v>6</v>
      </c>
      <c r="H215" s="753" t="s">
        <v>6554</v>
      </c>
      <c r="I215" s="757" t="str">
        <f t="shared" ca="1" si="6"/>
        <v>Sweeping Attack</v>
      </c>
      <c r="J215" s="758"/>
      <c r="AE215" s="427"/>
      <c r="AF215" s="271"/>
    </row>
    <row r="216" spans="2:32">
      <c r="B216" s="3280"/>
      <c r="C216" s="724">
        <v>5</v>
      </c>
      <c r="D216" s="755" t="str">
        <f ca="1">IF([1]MATH!$D$5&gt;6,I216,"")</f>
        <v>Goading Attack</v>
      </c>
      <c r="E216" s="724">
        <v>5</v>
      </c>
      <c r="F216" s="756">
        <f t="shared" ca="1" si="5"/>
        <v>22079765</v>
      </c>
      <c r="G216" s="473">
        <f ca="1">IF(E216=ROWS(G$212:G216),RANK(F216,$F$212:$F$227),"")</f>
        <v>13</v>
      </c>
      <c r="H216" s="753" t="s">
        <v>6555</v>
      </c>
      <c r="I216" s="757" t="str">
        <f t="shared" ca="1" si="6"/>
        <v>Goading Attack</v>
      </c>
      <c r="J216" s="711"/>
      <c r="AE216" s="427"/>
      <c r="AF216" s="271"/>
    </row>
    <row r="217" spans="2:32">
      <c r="B217" s="3280"/>
      <c r="C217" s="724">
        <v>6</v>
      </c>
      <c r="D217" s="755" t="str">
        <f>IF([1]MATH!$D$5&gt;9,I217,"")</f>
        <v/>
      </c>
      <c r="E217" s="724">
        <v>6</v>
      </c>
      <c r="F217" s="756">
        <f t="shared" ca="1" si="5"/>
        <v>73908496</v>
      </c>
      <c r="G217" s="473">
        <f ca="1">IF(E217=ROWS(G$212:G217),RANK(F217,$F$212:$F$227),"")</f>
        <v>5</v>
      </c>
      <c r="H217" s="753" t="s">
        <v>6556</v>
      </c>
      <c r="I217" s="757" t="str">
        <f t="shared" ca="1" si="6"/>
        <v>Evasive Footwork</v>
      </c>
      <c r="J217" s="711"/>
      <c r="AE217" s="427"/>
      <c r="AF217" s="271"/>
    </row>
    <row r="218" spans="2:32">
      <c r="B218" s="3280"/>
      <c r="C218" s="724">
        <v>7</v>
      </c>
      <c r="D218" s="755" t="str">
        <f>IF([1]MATH!$D$5&gt;9,I218,"")</f>
        <v/>
      </c>
      <c r="E218" s="724">
        <v>7</v>
      </c>
      <c r="F218" s="756">
        <f t="shared" ca="1" si="5"/>
        <v>63478153</v>
      </c>
      <c r="G218" s="473">
        <f ca="1">IF(E218=ROWS(G$212:G218),RANK(F218,$F$212:$F$227),"")</f>
        <v>10</v>
      </c>
      <c r="H218" s="753" t="s">
        <v>6557</v>
      </c>
      <c r="I218" s="757" t="str">
        <f t="shared" ca="1" si="6"/>
        <v>Parry</v>
      </c>
      <c r="J218" s="711"/>
      <c r="AE218" s="427"/>
      <c r="AF218" s="271"/>
    </row>
    <row r="219" spans="2:32">
      <c r="B219" s="3280"/>
      <c r="C219" s="724">
        <v>8</v>
      </c>
      <c r="D219" s="755" t="str">
        <f>IF([1]MATH!$D$5&gt;14,I219,"")</f>
        <v/>
      </c>
      <c r="E219" s="724">
        <v>8</v>
      </c>
      <c r="F219" s="756">
        <f t="shared" ca="1" si="5"/>
        <v>14252466</v>
      </c>
      <c r="G219" s="473">
        <f ca="1">IF(E219=ROWS(G$212:G219),RANK(F219,$F$212:$F$227),"")</f>
        <v>14</v>
      </c>
      <c r="H219" s="753" t="s">
        <v>6558</v>
      </c>
      <c r="I219" s="757" t="str">
        <f t="shared" ca="1" si="6"/>
        <v>Precision Attack</v>
      </c>
      <c r="J219" s="711"/>
      <c r="AE219" s="427"/>
      <c r="AF219" s="271"/>
    </row>
    <row r="220" spans="2:32" ht="11.25" thickBot="1">
      <c r="B220" s="3280"/>
      <c r="C220" s="724">
        <v>9</v>
      </c>
      <c r="D220" s="759" t="str">
        <f>IF([1]MATH!$D$5&gt;14,I220,"")</f>
        <v/>
      </c>
      <c r="E220" s="724">
        <v>9</v>
      </c>
      <c r="F220" s="756">
        <f t="shared" ca="1" si="5"/>
        <v>38483793</v>
      </c>
      <c r="G220" s="473">
        <f ca="1">IF(E220=ROWS(G$212:G220),RANK(F220,$F$212:$F$227),"")</f>
        <v>12</v>
      </c>
      <c r="H220" s="753" t="s">
        <v>6559</v>
      </c>
      <c r="I220" s="757" t="str">
        <f t="shared" ca="1" si="6"/>
        <v>Trip Attack</v>
      </c>
      <c r="J220" s="711"/>
      <c r="AE220" s="427"/>
      <c r="AF220" s="271"/>
    </row>
    <row r="221" spans="2:32">
      <c r="B221" s="3280"/>
      <c r="C221" s="724">
        <v>10</v>
      </c>
      <c r="D221" s="760"/>
      <c r="E221" s="724">
        <v>10</v>
      </c>
      <c r="F221" s="756">
        <f t="shared" ca="1" si="5"/>
        <v>69859662</v>
      </c>
      <c r="G221" s="473">
        <f ca="1">IF(E221=ROWS(G$212:G221),RANK(F221,$F$212:$F$227),"")</f>
        <v>7</v>
      </c>
      <c r="H221" s="753" t="s">
        <v>3782</v>
      </c>
      <c r="I221" s="757" t="str">
        <f t="shared" ca="1" si="6"/>
        <v>Lunging Attack</v>
      </c>
      <c r="J221" s="711"/>
      <c r="AE221" s="427"/>
      <c r="AF221" s="271"/>
    </row>
    <row r="222" spans="2:32">
      <c r="B222" s="3280"/>
      <c r="C222" s="724">
        <v>11</v>
      </c>
      <c r="D222" s="761"/>
      <c r="E222" s="724">
        <v>11</v>
      </c>
      <c r="F222" s="756">
        <f t="shared" ca="1" si="5"/>
        <v>65471367</v>
      </c>
      <c r="G222" s="473">
        <f ca="1">IF(E222=ROWS(G$212:G222),RANK(F222,$F$212:$F$227),"")</f>
        <v>8</v>
      </c>
      <c r="H222" s="753" t="s">
        <v>6560</v>
      </c>
      <c r="I222" s="757" t="str">
        <f t="shared" ca="1" si="6"/>
        <v>Rally</v>
      </c>
      <c r="J222" s="711"/>
      <c r="AE222" s="427"/>
      <c r="AF222" s="271"/>
    </row>
    <row r="223" spans="2:32">
      <c r="B223" s="3280"/>
      <c r="C223" s="724">
        <v>12</v>
      </c>
      <c r="D223" s="761"/>
      <c r="E223" s="724">
        <v>12</v>
      </c>
      <c r="F223" s="756">
        <f t="shared" ca="1" si="5"/>
        <v>10435873</v>
      </c>
      <c r="G223" s="473">
        <f ca="1">IF(E223=ROWS(G$212:G223),RANK(F223,$F$212:$F$227),"")</f>
        <v>15</v>
      </c>
      <c r="H223" s="753" t="s">
        <v>6561</v>
      </c>
      <c r="I223" s="757" t="str">
        <f t="shared" ca="1" si="6"/>
        <v>Menacing Attack</v>
      </c>
      <c r="J223" s="711"/>
      <c r="AE223" s="427"/>
      <c r="AF223" s="271"/>
    </row>
    <row r="224" spans="2:32">
      <c r="B224" s="3280"/>
      <c r="C224" s="724">
        <v>13</v>
      </c>
      <c r="D224" s="761"/>
      <c r="E224" s="724">
        <v>13</v>
      </c>
      <c r="F224" s="756">
        <f t="shared" ca="1" si="5"/>
        <v>60329908</v>
      </c>
      <c r="G224" s="473">
        <f ca="1">IF(E224=ROWS(G$212:G224),RANK(F224,$F$212:$F$227),"")</f>
        <v>11</v>
      </c>
      <c r="H224" s="753" t="s">
        <v>6562</v>
      </c>
      <c r="I224" s="757" t="str">
        <f t="shared" ca="1" si="6"/>
        <v>Feinting Attack</v>
      </c>
      <c r="J224" s="711"/>
      <c r="AE224" s="427"/>
      <c r="AF224" s="271"/>
    </row>
    <row r="225" spans="2:32">
      <c r="B225" s="3280"/>
      <c r="C225" s="724">
        <v>14</v>
      </c>
      <c r="D225" s="761"/>
      <c r="E225" s="724">
        <v>14</v>
      </c>
      <c r="F225" s="756">
        <f t="shared" ca="1" si="5"/>
        <v>88727909</v>
      </c>
      <c r="G225" s="473">
        <f ca="1">IF(E225=ROWS(G$212:G225),RANK(F225,$F$212:$F$227),"")</f>
        <v>2</v>
      </c>
      <c r="H225" s="753" t="s">
        <v>6563</v>
      </c>
      <c r="I225" s="757" t="str">
        <f t="shared" ca="1" si="6"/>
        <v>Maneuvering Attack</v>
      </c>
      <c r="J225" s="711"/>
      <c r="AE225" s="427"/>
      <c r="AF225" s="271"/>
    </row>
    <row r="226" spans="2:32">
      <c r="B226" s="3280"/>
      <c r="C226" s="724">
        <v>15</v>
      </c>
      <c r="D226" s="761"/>
      <c r="E226" s="724">
        <v>15</v>
      </c>
      <c r="F226" s="756">
        <f t="shared" ca="1" si="5"/>
        <v>79309249</v>
      </c>
      <c r="G226" s="473">
        <f ca="1">IF(E226=ROWS(G$212:G226),RANK(F226,$F$212:$F$227),"")</f>
        <v>4</v>
      </c>
      <c r="H226" s="753" t="s">
        <v>6564</v>
      </c>
      <c r="I226" s="757" t="str">
        <f t="shared" ca="1" si="6"/>
        <v>Pushing Attack</v>
      </c>
      <c r="J226" s="711"/>
      <c r="AE226" s="427"/>
      <c r="AF226" s="271"/>
    </row>
    <row r="227" spans="2:32" ht="11.25" thickBot="1">
      <c r="B227" s="3281"/>
      <c r="C227" s="762">
        <v>16</v>
      </c>
      <c r="D227" s="763"/>
      <c r="E227" s="762">
        <v>16</v>
      </c>
      <c r="F227" s="764">
        <f t="shared" ca="1" si="5"/>
        <v>65165602</v>
      </c>
      <c r="G227" s="513">
        <f ca="1">IF(E227=ROWS(G$212:G227),RANK(F227,$F$212:$F$227),"")</f>
        <v>9</v>
      </c>
      <c r="H227" s="765" t="s">
        <v>6565</v>
      </c>
      <c r="I227" s="766" t="str">
        <f t="shared" ca="1" si="6"/>
        <v>Disarming Attack</v>
      </c>
      <c r="J227" s="734"/>
      <c r="AE227" s="427"/>
      <c r="AF227" s="271"/>
    </row>
    <row r="228" spans="2:32">
      <c r="B228" s="272"/>
      <c r="F228" s="272"/>
      <c r="AE228" s="427"/>
      <c r="AF228" s="271"/>
    </row>
    <row r="229" spans="2:32">
      <c r="B229" s="272"/>
      <c r="F229" s="272"/>
      <c r="AE229" s="427"/>
      <c r="AF229" s="271"/>
    </row>
    <row r="230" spans="2:32" ht="11.25" thickBot="1">
      <c r="AE230" s="427"/>
      <c r="AF230" s="271"/>
    </row>
    <row r="231" spans="2:32" ht="11.25" thickBot="1">
      <c r="B231" s="3507" t="s">
        <v>6566</v>
      </c>
      <c r="C231" s="2862"/>
      <c r="D231" s="2862"/>
      <c r="E231" s="2863"/>
      <c r="F231" s="767"/>
      <c r="G231" s="639" t="s">
        <v>6301</v>
      </c>
      <c r="H231" s="768"/>
      <c r="I231" s="768"/>
      <c r="J231" s="768"/>
      <c r="K231" s="768"/>
      <c r="L231" s="768"/>
      <c r="M231" s="768"/>
      <c r="N231" s="768"/>
      <c r="O231" s="769"/>
      <c r="AE231" s="427"/>
      <c r="AF231" s="271"/>
    </row>
    <row r="232" spans="2:32" ht="11.25" thickBot="1">
      <c r="B232" s="2931"/>
      <c r="C232" s="2932"/>
      <c r="D232" s="2932"/>
      <c r="E232" s="2933"/>
      <c r="F232" s="770" t="s">
        <v>6301</v>
      </c>
      <c r="G232" s="770" t="s">
        <v>6302</v>
      </c>
      <c r="H232" s="771" t="s">
        <v>6302</v>
      </c>
      <c r="I232" s="771" t="s">
        <v>6302</v>
      </c>
      <c r="J232" s="591"/>
      <c r="O232" s="711"/>
      <c r="AE232" s="427"/>
      <c r="AF232" s="271"/>
    </row>
    <row r="233" spans="2:32" ht="11.25" thickBot="1">
      <c r="B233" s="3378" t="s">
        <v>6042</v>
      </c>
      <c r="C233" s="624">
        <v>1</v>
      </c>
      <c r="D233" s="624">
        <v>2</v>
      </c>
      <c r="E233" s="625">
        <v>3</v>
      </c>
      <c r="F233" s="625">
        <v>4</v>
      </c>
      <c r="G233" s="641">
        <v>5</v>
      </c>
      <c r="H233" s="470">
        <v>6</v>
      </c>
      <c r="I233" s="772">
        <v>7</v>
      </c>
      <c r="J233" s="592"/>
      <c r="O233" s="711"/>
      <c r="AE233" s="427"/>
      <c r="AF233" s="271"/>
    </row>
    <row r="234" spans="2:32" ht="11.25" thickBot="1">
      <c r="B234" s="3361"/>
      <c r="C234" s="773" t="s">
        <v>6567</v>
      </c>
      <c r="D234" s="773" t="s">
        <v>6190</v>
      </c>
      <c r="E234" s="774" t="s">
        <v>6204</v>
      </c>
      <c r="F234" s="774" t="s">
        <v>6218</v>
      </c>
      <c r="G234" s="775" t="s">
        <v>6231</v>
      </c>
      <c r="H234" s="470" t="s">
        <v>6241</v>
      </c>
      <c r="I234" s="772" t="s">
        <v>6249</v>
      </c>
      <c r="J234" s="592"/>
      <c r="O234" s="711"/>
      <c r="AE234" s="427"/>
      <c r="AF234" s="271"/>
    </row>
    <row r="235" spans="2:32">
      <c r="B235" s="477">
        <v>3</v>
      </c>
      <c r="C235" s="699" t="s">
        <v>6568</v>
      </c>
      <c r="D235" s="699" t="s">
        <v>6569</v>
      </c>
      <c r="E235" s="536" t="str">
        <f ca="1">CONCATENATE("Deflect Missiles, Elemental Attunement, ",F242)</f>
        <v>Deflect Missiles, Elemental Attunement, Rush of the Gale Spirits</v>
      </c>
      <c r="F235" s="536" t="s">
        <v>6570</v>
      </c>
      <c r="G235" s="701" t="s">
        <v>6571</v>
      </c>
      <c r="H235" s="776" t="s">
        <v>6572</v>
      </c>
      <c r="I235" s="452" t="s">
        <v>6573</v>
      </c>
      <c r="J235" s="592" t="s">
        <v>1287</v>
      </c>
      <c r="O235" s="711"/>
      <c r="AE235" s="427"/>
      <c r="AF235" s="271"/>
    </row>
    <row r="236" spans="2:32">
      <c r="B236" s="477">
        <v>6</v>
      </c>
      <c r="C236" s="699" t="s">
        <v>6574</v>
      </c>
      <c r="D236" s="699" t="s">
        <v>6575</v>
      </c>
      <c r="E236" s="536" t="str">
        <f ca="1">F249</f>
        <v>Gong of the Summit</v>
      </c>
      <c r="F236" s="536" t="s">
        <v>6576</v>
      </c>
      <c r="G236" s="701" t="s">
        <v>6577</v>
      </c>
      <c r="H236" s="776" t="s">
        <v>6578</v>
      </c>
      <c r="I236" s="452" t="s">
        <v>6579</v>
      </c>
      <c r="J236" s="592" t="s">
        <v>1287</v>
      </c>
      <c r="O236" s="711"/>
      <c r="AE236" s="427"/>
      <c r="AF236" s="271"/>
    </row>
    <row r="237" spans="2:32">
      <c r="B237" s="477">
        <v>11</v>
      </c>
      <c r="C237" s="702" t="s">
        <v>6580</v>
      </c>
      <c r="D237" s="702" t="s">
        <v>6581</v>
      </c>
      <c r="E237" s="536" t="str">
        <f ca="1">F251</f>
        <v>Ride the Wind</v>
      </c>
      <c r="F237" s="536" t="s">
        <v>6582</v>
      </c>
      <c r="G237" s="701" t="s">
        <v>6583</v>
      </c>
      <c r="H237" s="776" t="s">
        <v>6584</v>
      </c>
      <c r="I237" s="452" t="s">
        <v>6585</v>
      </c>
      <c r="J237" s="592" t="s">
        <v>1287</v>
      </c>
      <c r="O237" s="711"/>
      <c r="AE237" s="427"/>
      <c r="AF237" s="271"/>
    </row>
    <row r="238" spans="2:32" ht="11.25" thickBot="1">
      <c r="B238" s="492">
        <v>17</v>
      </c>
      <c r="C238" s="703" t="s">
        <v>6586</v>
      </c>
      <c r="D238" s="703" t="s">
        <v>6587</v>
      </c>
      <c r="E238" s="541" t="str">
        <f ca="1">F255</f>
        <v>Breath of Winter</v>
      </c>
      <c r="F238" s="541" t="s">
        <v>6588</v>
      </c>
      <c r="G238" s="704" t="s">
        <v>6589</v>
      </c>
      <c r="H238" s="777" t="s">
        <v>6590</v>
      </c>
      <c r="I238" s="689" t="s">
        <v>6591</v>
      </c>
      <c r="J238" s="592" t="s">
        <v>1287</v>
      </c>
      <c r="O238" s="711"/>
      <c r="AE238" s="427"/>
      <c r="AF238" s="271"/>
    </row>
    <row r="239" spans="2:32" ht="8.25" customHeight="1" thickBot="1">
      <c r="B239" s="778"/>
      <c r="C239" s="447"/>
      <c r="D239" s="447"/>
      <c r="E239" s="447"/>
      <c r="F239" s="447"/>
      <c r="G239" s="447"/>
      <c r="K239" s="447"/>
      <c r="L239" s="447"/>
      <c r="M239" s="447"/>
      <c r="N239" s="447"/>
      <c r="O239" s="779"/>
      <c r="AE239" s="427"/>
      <c r="AF239" s="271"/>
    </row>
    <row r="240" spans="2:32" ht="15" thickBot="1">
      <c r="B240" s="719" t="s">
        <v>6498</v>
      </c>
      <c r="C240" s="438" t="s">
        <v>6548</v>
      </c>
      <c r="D240" s="719" t="s">
        <v>6592</v>
      </c>
      <c r="E240" s="697" t="s">
        <v>6593</v>
      </c>
      <c r="F240" s="697" t="s">
        <v>6594</v>
      </c>
      <c r="G240" s="780" t="s">
        <v>6595</v>
      </c>
      <c r="H240" s="3488" t="s">
        <v>6063</v>
      </c>
      <c r="I240" s="3519"/>
      <c r="J240" s="3520"/>
      <c r="K240" s="543"/>
      <c r="L240" s="3238" t="s">
        <v>6063</v>
      </c>
      <c r="M240" s="3239"/>
      <c r="N240" s="3240"/>
      <c r="O240" s="711"/>
      <c r="AE240" s="427"/>
      <c r="AF240" s="271"/>
    </row>
    <row r="241" spans="2:32" ht="11.25" thickBot="1">
      <c r="B241" s="643"/>
      <c r="C241" s="781"/>
      <c r="D241" s="458"/>
      <c r="E241" s="644" t="s">
        <v>6596</v>
      </c>
      <c r="F241" s="754" t="s">
        <v>6596</v>
      </c>
      <c r="G241" s="782">
        <v>1</v>
      </c>
      <c r="H241" s="783" t="s">
        <v>6597</v>
      </c>
      <c r="I241" s="784" t="s">
        <v>6598</v>
      </c>
      <c r="J241" s="783" t="s">
        <v>6599</v>
      </c>
      <c r="K241" s="783" t="s">
        <v>6042</v>
      </c>
      <c r="L241" s="783" t="str">
        <f>IF([1]MATH!C8=11,"SORCERY","KI PER LEVEL")</f>
        <v>KI PER LEVEL</v>
      </c>
      <c r="M241" s="785" t="s">
        <v>6600</v>
      </c>
      <c r="N241" s="785" t="s">
        <v>6601</v>
      </c>
      <c r="O241" s="786" t="s">
        <v>6602</v>
      </c>
      <c r="AE241" s="427"/>
      <c r="AF241" s="271"/>
    </row>
    <row r="242" spans="2:32">
      <c r="B242" s="643">
        <v>1</v>
      </c>
      <c r="C242" s="787">
        <f t="shared" ref="C242:C248" ca="1" si="7">RANDBETWEEN(10000,10000000000)</f>
        <v>8052514594</v>
      </c>
      <c r="D242" s="473">
        <f t="shared" ref="D242:D248" ca="1" si="8">RANK(C242,$C$241:$C$248)</f>
        <v>4</v>
      </c>
      <c r="E242" s="644" t="s">
        <v>6603</v>
      </c>
      <c r="F242" s="788" t="str">
        <f ca="1">VLOOKUP(D242,$B$242:$E$248,4,FALSE)</f>
        <v>Rush of the Gale Spirits</v>
      </c>
      <c r="G242" s="782">
        <v>1</v>
      </c>
      <c r="H242" s="789" t="s">
        <v>6604</v>
      </c>
      <c r="I242" s="790">
        <f ca="1">RANDBETWEEN(10000,10000000000)</f>
        <v>6685605936</v>
      </c>
      <c r="J242" s="791">
        <f ca="1">IF(RANK(I242,$I$242:$I$257)&gt;7,1,RANK(I242,$I$242:$I$257))</f>
        <v>6</v>
      </c>
      <c r="K242" s="792">
        <v>1</v>
      </c>
      <c r="L242" s="792">
        <v>0</v>
      </c>
      <c r="M242" s="792" t="s">
        <v>6605</v>
      </c>
      <c r="N242" s="792">
        <v>0</v>
      </c>
      <c r="O242" s="793">
        <f>8+W44+[1]ABILITIES!R28</f>
        <v>11</v>
      </c>
      <c r="AE242" s="427"/>
      <c r="AF242" s="271"/>
    </row>
    <row r="243" spans="2:32">
      <c r="B243" s="724">
        <v>2</v>
      </c>
      <c r="C243" s="787">
        <f t="shared" ca="1" si="7"/>
        <v>2895840035</v>
      </c>
      <c r="D243" s="473">
        <f t="shared" ca="1" si="8"/>
        <v>6</v>
      </c>
      <c r="E243" s="644" t="s">
        <v>6606</v>
      </c>
      <c r="F243" s="757" t="str">
        <f t="shared" ref="F243:F248" ca="1" si="9">VLOOKUP(D243,$B$241:$E$248,4,FALSE)</f>
        <v>Sweeping Cinder Strike</v>
      </c>
      <c r="G243" s="782">
        <v>1</v>
      </c>
      <c r="H243" s="789" t="s">
        <v>6607</v>
      </c>
      <c r="I243" s="794">
        <f t="shared" ref="I243:I257" ca="1" si="10">RANDBETWEEN(10000,10000000000)</f>
        <v>3335972225</v>
      </c>
      <c r="J243" s="795">
        <f ca="1">IF(RANK(I243,$I$242:$I$257)=D242,D243,RANK(I243,$I$242:$I$257))</f>
        <v>12</v>
      </c>
      <c r="K243" s="796">
        <v>2</v>
      </c>
      <c r="L243" s="796">
        <v>2</v>
      </c>
      <c r="M243" s="796" t="s">
        <v>6605</v>
      </c>
      <c r="N243" s="796">
        <v>10</v>
      </c>
      <c r="O243" s="711"/>
      <c r="AE243" s="427"/>
      <c r="AF243" s="271"/>
    </row>
    <row r="244" spans="2:32">
      <c r="B244" s="724">
        <v>3</v>
      </c>
      <c r="C244" s="787">
        <f t="shared" ca="1" si="7"/>
        <v>8954888754</v>
      </c>
      <c r="D244" s="473">
        <f t="shared" ca="1" si="8"/>
        <v>3</v>
      </c>
      <c r="E244" s="644" t="s">
        <v>6608</v>
      </c>
      <c r="F244" s="757" t="str">
        <f t="shared" ca="1" si="9"/>
        <v>Fist of Unbroken Air</v>
      </c>
      <c r="G244" s="782">
        <v>1</v>
      </c>
      <c r="H244" s="789" t="s">
        <v>6609</v>
      </c>
      <c r="I244" s="794">
        <f t="shared" ca="1" si="10"/>
        <v>1901528038</v>
      </c>
      <c r="J244" s="795">
        <f ca="1">IF(OR(RANK(I244,$I$242:$I$257)=D243,RANK(I244,$I$242:$I$257)=D242),D244,RANK(I244,$I$242:$I$257))</f>
        <v>14</v>
      </c>
      <c r="K244" s="796">
        <v>3</v>
      </c>
      <c r="L244" s="796">
        <v>3</v>
      </c>
      <c r="M244" s="796" t="s">
        <v>6605</v>
      </c>
      <c r="N244" s="796">
        <v>10</v>
      </c>
      <c r="O244" s="711"/>
      <c r="AE244" s="427"/>
      <c r="AF244" s="271"/>
    </row>
    <row r="245" spans="2:32">
      <c r="B245" s="724">
        <v>4</v>
      </c>
      <c r="C245" s="787">
        <f t="shared" ca="1" si="7"/>
        <v>9393254678</v>
      </c>
      <c r="D245" s="473">
        <f t="shared" ca="1" si="8"/>
        <v>2</v>
      </c>
      <c r="E245" s="644" t="s">
        <v>6610</v>
      </c>
      <c r="F245" s="757" t="str">
        <f t="shared" ca="1" si="9"/>
        <v>Fist of Four Thunders</v>
      </c>
      <c r="G245" s="782">
        <v>1</v>
      </c>
      <c r="H245" s="797" t="str">
        <f>IF(AND([1]MATH!$C$9=3,[1]MATH!$D$5&gt;2),F241,"")</f>
        <v/>
      </c>
      <c r="I245" s="794">
        <f t="shared" ca="1" si="10"/>
        <v>9869053558</v>
      </c>
      <c r="J245" s="795">
        <f t="shared" ref="J245:J257" ca="1" si="11">RANK(I245,$I$242:$I$257)</f>
        <v>1</v>
      </c>
      <c r="K245" s="796">
        <v>4</v>
      </c>
      <c r="L245" s="796">
        <v>4</v>
      </c>
      <c r="M245" s="796" t="s">
        <v>6605</v>
      </c>
      <c r="N245" s="796">
        <v>10</v>
      </c>
      <c r="O245" s="711"/>
      <c r="AE245" s="427"/>
      <c r="AF245" s="271"/>
    </row>
    <row r="246" spans="2:32">
      <c r="B246" s="724">
        <v>5</v>
      </c>
      <c r="C246" s="787">
        <f t="shared" ca="1" si="7"/>
        <v>6143790202</v>
      </c>
      <c r="D246" s="473">
        <f t="shared" ca="1" si="8"/>
        <v>5</v>
      </c>
      <c r="E246" s="644" t="s">
        <v>6611</v>
      </c>
      <c r="F246" s="757" t="str">
        <f t="shared" ca="1" si="9"/>
        <v>Shape the Flowing River</v>
      </c>
      <c r="G246" s="782">
        <v>1</v>
      </c>
      <c r="H246" s="797" t="str">
        <f>IF(AND([1]MATH!$C$9=3,[1]MATH!$D$5&gt;2),F242,"")</f>
        <v/>
      </c>
      <c r="I246" s="794">
        <f t="shared" ca="1" si="10"/>
        <v>1531370065</v>
      </c>
      <c r="J246" s="795">
        <f t="shared" ca="1" si="11"/>
        <v>15</v>
      </c>
      <c r="K246" s="796">
        <v>5</v>
      </c>
      <c r="L246" s="796">
        <v>5</v>
      </c>
      <c r="M246" s="796" t="s">
        <v>6612</v>
      </c>
      <c r="N246" s="796">
        <v>10</v>
      </c>
      <c r="O246" s="711"/>
      <c r="AE246" s="427"/>
      <c r="AF246" s="271"/>
    </row>
    <row r="247" spans="2:32">
      <c r="B247" s="724">
        <v>6</v>
      </c>
      <c r="C247" s="787">
        <f t="shared" ca="1" si="7"/>
        <v>771746609</v>
      </c>
      <c r="D247" s="473">
        <f t="shared" ca="1" si="8"/>
        <v>7</v>
      </c>
      <c r="E247" s="644" t="s">
        <v>6613</v>
      </c>
      <c r="F247" s="757" t="str">
        <f t="shared" ca="1" si="9"/>
        <v>Water Whip</v>
      </c>
      <c r="G247" s="782">
        <v>1</v>
      </c>
      <c r="H247" s="789" t="str">
        <f>IF(AND([1]MATH!$C$9=3,[1]MATH!D5&gt;5),F249,"")</f>
        <v/>
      </c>
      <c r="I247" s="794">
        <f t="shared" ca="1" si="10"/>
        <v>9822568011</v>
      </c>
      <c r="J247" s="795">
        <f t="shared" ca="1" si="11"/>
        <v>2</v>
      </c>
      <c r="K247" s="796">
        <v>6</v>
      </c>
      <c r="L247" s="796">
        <v>6</v>
      </c>
      <c r="M247" s="796" t="s">
        <v>6612</v>
      </c>
      <c r="N247" s="796">
        <v>15</v>
      </c>
      <c r="O247" s="711"/>
      <c r="AE247" s="427"/>
      <c r="AF247" s="271"/>
    </row>
    <row r="248" spans="2:32">
      <c r="B248" s="724">
        <v>7</v>
      </c>
      <c r="C248" s="787">
        <f t="shared" ca="1" si="7"/>
        <v>9572900459</v>
      </c>
      <c r="D248" s="473">
        <f t="shared" ca="1" si="8"/>
        <v>1</v>
      </c>
      <c r="E248" s="644" t="s">
        <v>6614</v>
      </c>
      <c r="F248" s="757" t="str">
        <f t="shared" ca="1" si="9"/>
        <v>Fangs of the Fire Snake</v>
      </c>
      <c r="G248" s="782">
        <v>1</v>
      </c>
      <c r="H248" s="789" t="str">
        <f>IF(AND([1]MATH!$C$9=3,[1]MATH!D5&gt;10),F251,"")</f>
        <v/>
      </c>
      <c r="I248" s="794">
        <f t="shared" ca="1" si="10"/>
        <v>6626227068</v>
      </c>
      <c r="J248" s="795">
        <f t="shared" ca="1" si="11"/>
        <v>7</v>
      </c>
      <c r="K248" s="796">
        <v>7</v>
      </c>
      <c r="L248" s="796">
        <v>7</v>
      </c>
      <c r="M248" s="796" t="s">
        <v>6612</v>
      </c>
      <c r="N248" s="796">
        <v>15</v>
      </c>
      <c r="O248" s="711"/>
      <c r="AE248" s="427"/>
      <c r="AF248" s="271"/>
    </row>
    <row r="249" spans="2:32" ht="11.25" thickBot="1">
      <c r="B249" s="724">
        <v>1</v>
      </c>
      <c r="C249" s="787">
        <f ca="1">RANDBETWEEN(1000,MIN($C$241:$C$248)-1)</f>
        <v>454993816</v>
      </c>
      <c r="D249" s="473">
        <f ca="1">RANK(C249,$C$249:$C$250)</f>
        <v>2</v>
      </c>
      <c r="E249" s="644" t="s">
        <v>6615</v>
      </c>
      <c r="F249" s="788" t="str">
        <f ca="1">VLOOKUP(D249,$B$249:$E$250,4,FALSE)</f>
        <v>Gong of the Summit</v>
      </c>
      <c r="G249" s="782">
        <v>6</v>
      </c>
      <c r="H249" s="798" t="str">
        <f>IF(AND([1]MATH!$C$9=3,[1]MATH!D5&gt;16),F255,"")</f>
        <v/>
      </c>
      <c r="I249" s="794">
        <f t="shared" ca="1" si="10"/>
        <v>8761357792</v>
      </c>
      <c r="J249" s="795">
        <f t="shared" ca="1" si="11"/>
        <v>4</v>
      </c>
      <c r="K249" s="796">
        <v>8</v>
      </c>
      <c r="L249" s="796">
        <v>8</v>
      </c>
      <c r="M249" s="796" t="s">
        <v>6612</v>
      </c>
      <c r="N249" s="796">
        <v>15</v>
      </c>
      <c r="O249" s="711"/>
      <c r="AE249" s="427"/>
      <c r="AF249" s="271"/>
    </row>
    <row r="250" spans="2:32">
      <c r="B250" s="724">
        <v>2</v>
      </c>
      <c r="C250" s="787">
        <f ca="1">RANDBETWEEN(1000,MIN($C$241:$C$248)-1)</f>
        <v>619746048</v>
      </c>
      <c r="D250" s="473">
        <f ca="1">RANK(C250,$C$249:$C$250)</f>
        <v>1</v>
      </c>
      <c r="E250" s="644" t="s">
        <v>6616</v>
      </c>
      <c r="F250" s="757" t="str">
        <f ca="1">VLOOKUP(D250,$B$249:$E$250,4,FALSE)</f>
        <v>Clench of the North Wind</v>
      </c>
      <c r="G250" s="782">
        <v>6</v>
      </c>
      <c r="I250" s="794">
        <f t="shared" ca="1" si="10"/>
        <v>3655192833</v>
      </c>
      <c r="J250" s="795">
        <f t="shared" ca="1" si="11"/>
        <v>11</v>
      </c>
      <c r="K250" s="796">
        <v>9</v>
      </c>
      <c r="L250" s="796">
        <v>9</v>
      </c>
      <c r="M250" s="796" t="s">
        <v>6612</v>
      </c>
      <c r="N250" s="796">
        <v>15</v>
      </c>
      <c r="O250" s="711"/>
      <c r="AE250" s="427"/>
      <c r="AF250" s="271"/>
    </row>
    <row r="251" spans="2:32">
      <c r="B251" s="724">
        <v>1</v>
      </c>
      <c r="C251" s="787">
        <f t="shared" ref="C251:C257" ca="1" si="12">RANDBETWEEN(10000,1000000)</f>
        <v>392914</v>
      </c>
      <c r="D251" s="473">
        <f ca="1">RANK(C251,$C$251:$C$254)</f>
        <v>3</v>
      </c>
      <c r="E251" s="644" t="s">
        <v>6617</v>
      </c>
      <c r="F251" s="788" t="str">
        <f ca="1">VLOOKUP(D251,$B$251:$E$254,4,FALSE)</f>
        <v>Ride the Wind</v>
      </c>
      <c r="G251" s="782">
        <v>11</v>
      </c>
      <c r="H251" s="799"/>
      <c r="I251" s="794">
        <f t="shared" ca="1" si="10"/>
        <v>5820978388</v>
      </c>
      <c r="J251" s="795">
        <f t="shared" ca="1" si="11"/>
        <v>8</v>
      </c>
      <c r="K251" s="796">
        <v>10</v>
      </c>
      <c r="L251" s="796">
        <v>10</v>
      </c>
      <c r="M251" s="796" t="s">
        <v>6612</v>
      </c>
      <c r="N251" s="796">
        <v>20</v>
      </c>
      <c r="O251" s="711"/>
      <c r="AE251" s="427"/>
      <c r="AF251" s="271"/>
    </row>
    <row r="252" spans="2:32">
      <c r="B252" s="724">
        <v>2</v>
      </c>
      <c r="C252" s="787">
        <f t="shared" ca="1" si="12"/>
        <v>431269</v>
      </c>
      <c r="D252" s="473">
        <f ca="1">RANK(C252,$C$251:$C$254)</f>
        <v>2</v>
      </c>
      <c r="E252" s="644" t="s">
        <v>6618</v>
      </c>
      <c r="F252" s="757" t="str">
        <f ca="1">VLOOKUP(D252,$B$251:$E$254,4,FALSE)</f>
        <v>Flames of the Phoenix</v>
      </c>
      <c r="G252" s="782">
        <v>11</v>
      </c>
      <c r="H252" s="799"/>
      <c r="I252" s="794">
        <f t="shared" ca="1" si="10"/>
        <v>2095069428</v>
      </c>
      <c r="J252" s="795">
        <f t="shared" ca="1" si="11"/>
        <v>13</v>
      </c>
      <c r="K252" s="796">
        <v>11</v>
      </c>
      <c r="L252" s="796">
        <v>11</v>
      </c>
      <c r="M252" s="796" t="s">
        <v>6619</v>
      </c>
      <c r="N252" s="796">
        <v>20</v>
      </c>
      <c r="O252" s="711"/>
      <c r="AE252" s="427"/>
      <c r="AF252" s="271"/>
    </row>
    <row r="253" spans="2:32" ht="52.5">
      <c r="B253" s="724">
        <v>3</v>
      </c>
      <c r="C253" s="787">
        <f t="shared" ca="1" si="12"/>
        <v>139069</v>
      </c>
      <c r="D253" s="473">
        <f ca="1">RANK(C253,$C$251:$C$254)</f>
        <v>4</v>
      </c>
      <c r="E253" s="644" t="s">
        <v>6620</v>
      </c>
      <c r="F253" s="757" t="str">
        <f ca="1">VLOOKUP(D253,$B$251:$E$254,4,FALSE)</f>
        <v>Mist Stance</v>
      </c>
      <c r="G253" s="782">
        <v>11</v>
      </c>
      <c r="H253" s="800" t="s">
        <v>6621</v>
      </c>
      <c r="I253" s="794">
        <f t="shared" ca="1" si="10"/>
        <v>3919054722</v>
      </c>
      <c r="J253" s="795">
        <f t="shared" ca="1" si="11"/>
        <v>10</v>
      </c>
      <c r="K253" s="796">
        <v>12</v>
      </c>
      <c r="L253" s="796">
        <v>12</v>
      </c>
      <c r="M253" s="796" t="s">
        <v>6619</v>
      </c>
      <c r="N253" s="796">
        <v>20</v>
      </c>
      <c r="O253" s="711"/>
      <c r="AE253" s="427"/>
      <c r="AF253" s="271"/>
    </row>
    <row r="254" spans="2:32" ht="14.25">
      <c r="B254" s="724">
        <v>4</v>
      </c>
      <c r="C254" s="787">
        <f t="shared" ca="1" si="12"/>
        <v>847376</v>
      </c>
      <c r="D254" s="473">
        <f ca="1">RANK(C254,$C$251:$C$254)</f>
        <v>1</v>
      </c>
      <c r="E254" s="644" t="s">
        <v>6622</v>
      </c>
      <c r="F254" s="757" t="str">
        <f ca="1">VLOOKUP(D254,$B$251:$E$254,4,FALSE)</f>
        <v>Eternal Mountain Defense</v>
      </c>
      <c r="G254" s="782">
        <v>11</v>
      </c>
      <c r="H254" s="801"/>
      <c r="I254" s="794">
        <f t="shared" ca="1" si="10"/>
        <v>487067748</v>
      </c>
      <c r="J254" s="795">
        <f t="shared" ca="1" si="11"/>
        <v>16</v>
      </c>
      <c r="K254" s="796">
        <v>13</v>
      </c>
      <c r="L254" s="796">
        <v>13</v>
      </c>
      <c r="M254" s="796" t="s">
        <v>6619</v>
      </c>
      <c r="N254" s="796">
        <v>20</v>
      </c>
      <c r="O254" s="711"/>
      <c r="AE254" s="427"/>
      <c r="AF254" s="271"/>
    </row>
    <row r="255" spans="2:32" ht="14.25">
      <c r="B255" s="724">
        <v>1</v>
      </c>
      <c r="C255" s="787">
        <f t="shared" ca="1" si="12"/>
        <v>588940</v>
      </c>
      <c r="D255" s="473">
        <f ca="1">RANK(C255,$C$255:$C$257)</f>
        <v>1</v>
      </c>
      <c r="E255" s="644" t="s">
        <v>6623</v>
      </c>
      <c r="F255" s="788" t="str">
        <f ca="1">VLOOKUP(D255,$B$255:$E$257,4,FALSE)</f>
        <v>Breath of Winter</v>
      </c>
      <c r="G255" s="782">
        <v>17</v>
      </c>
      <c r="H255" s="801"/>
      <c r="I255" s="794">
        <f t="shared" ca="1" si="10"/>
        <v>4449264303</v>
      </c>
      <c r="J255" s="795">
        <f t="shared" ca="1" si="11"/>
        <v>9</v>
      </c>
      <c r="K255" s="796">
        <v>14</v>
      </c>
      <c r="L255" s="796">
        <v>14</v>
      </c>
      <c r="M255" s="796" t="s">
        <v>6619</v>
      </c>
      <c r="N255" s="796">
        <v>25</v>
      </c>
      <c r="O255" s="711"/>
      <c r="AE255" s="427"/>
      <c r="AF255" s="271"/>
    </row>
    <row r="256" spans="2:32" ht="14.25">
      <c r="B256" s="724">
        <v>2</v>
      </c>
      <c r="C256" s="787">
        <f t="shared" ca="1" si="12"/>
        <v>194506</v>
      </c>
      <c r="D256" s="473">
        <f ca="1">RANK(C256,$C$255:$C$257)</f>
        <v>3</v>
      </c>
      <c r="E256" s="644" t="s">
        <v>6624</v>
      </c>
      <c r="F256" s="757" t="str">
        <f ca="1">VLOOKUP(D256,$B$255:$E$257,4,FALSE)</f>
        <v>Wave of Rolling Earth</v>
      </c>
      <c r="G256" s="782">
        <v>17</v>
      </c>
      <c r="H256" s="801"/>
      <c r="I256" s="794">
        <f t="shared" ca="1" si="10"/>
        <v>9165310204</v>
      </c>
      <c r="J256" s="795">
        <f t="shared" ca="1" si="11"/>
        <v>3</v>
      </c>
      <c r="K256" s="796">
        <v>15</v>
      </c>
      <c r="L256" s="796">
        <v>15</v>
      </c>
      <c r="M256" s="796" t="s">
        <v>6619</v>
      </c>
      <c r="N256" s="796">
        <v>25</v>
      </c>
      <c r="O256" s="711"/>
      <c r="AE256" s="427"/>
      <c r="AF256" s="271"/>
    </row>
    <row r="257" spans="2:32" ht="11.25" thickBot="1">
      <c r="B257" s="762">
        <v>3</v>
      </c>
      <c r="C257" s="802">
        <f t="shared" ca="1" si="12"/>
        <v>544329</v>
      </c>
      <c r="D257" s="513">
        <f ca="1">RANK(C257,$C$255:$C$257)</f>
        <v>2</v>
      </c>
      <c r="E257" s="803" t="s">
        <v>6625</v>
      </c>
      <c r="F257" s="766" t="str">
        <f ca="1">VLOOKUP(D257,$B$255:$E$257,4,FALSE)</f>
        <v>River of Hungry Flame</v>
      </c>
      <c r="G257" s="804">
        <v>17</v>
      </c>
      <c r="H257" s="805"/>
      <c r="I257" s="806">
        <f t="shared" ca="1" si="10"/>
        <v>7508531271</v>
      </c>
      <c r="J257" s="807">
        <f t="shared" ca="1" si="11"/>
        <v>5</v>
      </c>
      <c r="K257" s="796">
        <v>16</v>
      </c>
      <c r="L257" s="796">
        <v>16</v>
      </c>
      <c r="M257" s="796" t="s">
        <v>6619</v>
      </c>
      <c r="N257" s="796">
        <v>25</v>
      </c>
      <c r="O257" s="711"/>
      <c r="AE257" s="427"/>
      <c r="AF257" s="271"/>
    </row>
    <row r="258" spans="2:32">
      <c r="B258" s="602"/>
      <c r="F258" s="272"/>
      <c r="K258" s="796">
        <v>17</v>
      </c>
      <c r="L258" s="796">
        <v>17</v>
      </c>
      <c r="M258" s="796" t="s">
        <v>6626</v>
      </c>
      <c r="N258" s="796">
        <v>25</v>
      </c>
      <c r="O258" s="711"/>
      <c r="AE258" s="427"/>
      <c r="AF258" s="271"/>
    </row>
    <row r="259" spans="2:32">
      <c r="B259" s="808"/>
      <c r="C259" s="273"/>
      <c r="F259" s="272"/>
      <c r="K259" s="796">
        <v>18</v>
      </c>
      <c r="L259" s="796">
        <v>18</v>
      </c>
      <c r="M259" s="796" t="s">
        <v>6626</v>
      </c>
      <c r="N259" s="796">
        <v>30</v>
      </c>
      <c r="O259" s="711"/>
      <c r="AE259" s="427"/>
      <c r="AF259" s="271"/>
    </row>
    <row r="260" spans="2:32">
      <c r="B260" s="808"/>
      <c r="C260" s="708"/>
      <c r="F260" s="272"/>
      <c r="K260" s="796">
        <v>19</v>
      </c>
      <c r="L260" s="796">
        <v>19</v>
      </c>
      <c r="M260" s="796" t="s">
        <v>6626</v>
      </c>
      <c r="N260" s="796">
        <v>30</v>
      </c>
      <c r="O260" s="711"/>
      <c r="AE260" s="427"/>
      <c r="AF260" s="271"/>
    </row>
    <row r="261" spans="2:32" ht="11.25" thickBot="1">
      <c r="B261" s="606"/>
      <c r="C261" s="282"/>
      <c r="F261" s="272"/>
      <c r="K261" s="809">
        <v>20</v>
      </c>
      <c r="L261" s="809">
        <v>20</v>
      </c>
      <c r="M261" s="796" t="s">
        <v>6626</v>
      </c>
      <c r="N261" s="796">
        <v>30</v>
      </c>
      <c r="O261" s="711"/>
      <c r="AE261" s="427"/>
      <c r="AF261" s="271"/>
    </row>
    <row r="262" spans="2:32" ht="11.25" thickBot="1">
      <c r="B262" s="810"/>
      <c r="C262" s="709"/>
      <c r="D262" s="709"/>
      <c r="E262" s="709"/>
      <c r="F262" s="709"/>
      <c r="G262" s="709"/>
      <c r="H262" s="709"/>
      <c r="I262" s="709"/>
      <c r="J262" s="710"/>
      <c r="K262" s="323" t="str">
        <f>IF(OR([1]MATH!C8=8,[1]MATH!C8=11),[1]MATH!D5,"")</f>
        <v/>
      </c>
      <c r="L262" s="676" t="str">
        <f>IF([1]MATH!C8=8,VLOOKUP(K262,K242:L261,2,0),"")</f>
        <v/>
      </c>
      <c r="M262" s="676" t="str">
        <f>IF([1]MATH!C8=8,VLOOKUP(K262,L242:M261,2,0),"")</f>
        <v/>
      </c>
      <c r="N262" s="676" t="str">
        <f>IF([1]MATH!C8=8,VLOOKUP([1]MATH!C5,K242:N261,4,0),"")</f>
        <v/>
      </c>
      <c r="O262" s="734"/>
      <c r="AE262" s="427"/>
      <c r="AF262" s="271"/>
    </row>
    <row r="263" spans="2:32" ht="11.25" thickBot="1">
      <c r="B263" s="272"/>
      <c r="F263" s="272"/>
      <c r="AE263" s="427"/>
      <c r="AF263" s="271"/>
    </row>
    <row r="264" spans="2:32" ht="11.25" thickBot="1">
      <c r="B264" s="3498" t="s">
        <v>6627</v>
      </c>
      <c r="C264" s="3499"/>
      <c r="D264" s="3500"/>
      <c r="E264" s="639" t="s">
        <v>6302</v>
      </c>
      <c r="F264" s="811"/>
      <c r="G264" s="811"/>
      <c r="H264" s="811"/>
      <c r="I264" s="812"/>
      <c r="AE264" s="427"/>
      <c r="AF264" s="271"/>
    </row>
    <row r="265" spans="2:32" ht="11.25" thickBot="1">
      <c r="B265" s="3501"/>
      <c r="C265" s="3502"/>
      <c r="D265" s="3503"/>
      <c r="E265" s="770" t="s">
        <v>6360</v>
      </c>
      <c r="F265" s="639" t="s">
        <v>6302</v>
      </c>
      <c r="G265" s="639" t="s">
        <v>6302</v>
      </c>
      <c r="I265" s="711"/>
      <c r="AE265" s="427"/>
      <c r="AF265" s="271"/>
    </row>
    <row r="266" spans="2:32" ht="11.25" thickBot="1">
      <c r="B266" s="3378" t="s">
        <v>6042</v>
      </c>
      <c r="C266" s="624">
        <v>1</v>
      </c>
      <c r="D266" s="625">
        <v>2</v>
      </c>
      <c r="E266" s="737">
        <v>3</v>
      </c>
      <c r="F266" s="738">
        <v>4</v>
      </c>
      <c r="G266" s="739">
        <v>5</v>
      </c>
      <c r="H266" s="592"/>
      <c r="I266" s="711"/>
      <c r="AE266" s="427"/>
      <c r="AF266" s="271"/>
    </row>
    <row r="267" spans="2:32" ht="11.25" thickBot="1">
      <c r="B267" s="3361"/>
      <c r="C267" s="624" t="s">
        <v>6181</v>
      </c>
      <c r="D267" s="625" t="s">
        <v>6628</v>
      </c>
      <c r="E267" s="813" t="s">
        <v>6629</v>
      </c>
      <c r="F267" s="316" t="s">
        <v>6206</v>
      </c>
      <c r="G267" s="740" t="s">
        <v>6220</v>
      </c>
      <c r="H267" s="592" t="s">
        <v>1287</v>
      </c>
      <c r="I267" s="711"/>
      <c r="AE267" s="427"/>
      <c r="AF267" s="271"/>
    </row>
    <row r="268" spans="2:32">
      <c r="B268" s="643">
        <v>3</v>
      </c>
      <c r="C268" s="667" t="str">
        <f ca="1">CONCATENATE("Hunter's Prey: ",H293,", Primal Awareness")</f>
        <v>Hunter's Prey: Horde Breaker, Primal Awareness</v>
      </c>
      <c r="D268" s="753" t="str">
        <f>CONCATENATE("Ranger's Companion: ",'[1]FEATS-PETS'!F4&amp;", Primal Awareness")</f>
        <v>Ranger's Companion: , Primal Awareness</v>
      </c>
      <c r="E268" s="696" t="s">
        <v>6630</v>
      </c>
      <c r="F268" s="696" t="s">
        <v>6631</v>
      </c>
      <c r="G268" s="814" t="s">
        <v>6632</v>
      </c>
      <c r="H268" s="592" t="s">
        <v>1287</v>
      </c>
      <c r="I268" s="711" t="s">
        <v>1287</v>
      </c>
      <c r="AE268" s="427"/>
      <c r="AF268" s="271"/>
    </row>
    <row r="269" spans="2:32">
      <c r="B269" s="646">
        <v>7</v>
      </c>
      <c r="C269" s="667" t="str">
        <f ca="1">CONCATENATE("Defensive Tactics: ",H278)</f>
        <v>Defensive Tactics: Escape the Horde</v>
      </c>
      <c r="D269" s="753" t="s">
        <v>6633</v>
      </c>
      <c r="E269" s="451" t="s">
        <v>6634</v>
      </c>
      <c r="F269" s="451" t="s">
        <v>6635</v>
      </c>
      <c r="G269" s="815" t="s">
        <v>6636</v>
      </c>
      <c r="H269" s="592" t="s">
        <v>1287</v>
      </c>
      <c r="I269" s="711" t="s">
        <v>1287</v>
      </c>
      <c r="AE269" s="427"/>
      <c r="AF269" s="271"/>
    </row>
    <row r="270" spans="2:32">
      <c r="B270" s="472">
        <v>11</v>
      </c>
      <c r="C270" s="669" t="str">
        <f ca="1">CONCATENATE("Multiattack: ",H283)</f>
        <v>Multiattack: Volley</v>
      </c>
      <c r="D270" s="816" t="s">
        <v>6637</v>
      </c>
      <c r="E270" s="451" t="s">
        <v>6638</v>
      </c>
      <c r="F270" s="451" t="s">
        <v>6639</v>
      </c>
      <c r="G270" s="815" t="s">
        <v>6640</v>
      </c>
      <c r="H270" s="592" t="s">
        <v>1287</v>
      </c>
      <c r="I270" s="711" t="s">
        <v>1287</v>
      </c>
      <c r="AE270" s="427"/>
      <c r="AF270" s="271"/>
    </row>
    <row r="271" spans="2:32" ht="11.25" thickBot="1">
      <c r="B271" s="512">
        <v>15</v>
      </c>
      <c r="C271" s="672" t="str">
        <f ca="1">CONCATENATE("Superior Hunter's Defense: ",H289)</f>
        <v>Superior Hunter's Defense: Uncanny Dodge</v>
      </c>
      <c r="D271" s="765" t="s">
        <v>6641</v>
      </c>
      <c r="E271" s="451" t="s">
        <v>6642</v>
      </c>
      <c r="F271" s="451" t="s">
        <v>6643</v>
      </c>
      <c r="G271" s="815" t="s">
        <v>6644</v>
      </c>
      <c r="H271" s="592" t="s">
        <v>1287</v>
      </c>
      <c r="I271" s="711" t="s">
        <v>1287</v>
      </c>
      <c r="AE271" s="427"/>
      <c r="AF271" s="271"/>
    </row>
    <row r="272" spans="2:32" ht="11.25" thickBot="1">
      <c r="B272" s="602"/>
      <c r="F272" s="272"/>
      <c r="I272" s="711"/>
      <c r="AE272" s="427"/>
      <c r="AF272" s="271"/>
    </row>
    <row r="273" spans="2:32" ht="13.5" thickBot="1">
      <c r="B273" s="817" t="s">
        <v>6598</v>
      </c>
      <c r="C273" s="3504" t="s">
        <v>6645</v>
      </c>
      <c r="D273" s="3505"/>
      <c r="E273" s="3506"/>
      <c r="F273" s="447"/>
      <c r="G273" s="3493" t="s">
        <v>6065</v>
      </c>
      <c r="H273" s="3494"/>
      <c r="I273" s="281"/>
      <c r="AE273" s="427"/>
      <c r="AF273" s="271"/>
    </row>
    <row r="274" spans="2:32" ht="11.25" thickBot="1">
      <c r="B274" s="818">
        <f ca="1">RANDBETWEEN(1,2)</f>
        <v>2</v>
      </c>
      <c r="C274" s="819" t="str">
        <f t="shared" ref="C274:C279" ca="1" si="13">VLOOKUP(E274,$B$280:$D$316,3,FALSE)</f>
        <v>Orog</v>
      </c>
      <c r="D274" s="820" t="str">
        <f ca="1">IF(B274=2,C277,"")</f>
        <v>Sahuagin</v>
      </c>
      <c r="E274" s="818">
        <f t="shared" ref="E274:E279" ca="1" si="14">IF(B274=1,LARGE($B$280:$B$292,ROW(B1)),LARGE($B$293:$B$316,ROW(B1)))</f>
        <v>0.99963606685979123</v>
      </c>
      <c r="F274" s="272"/>
      <c r="G274" s="719" t="s">
        <v>6498</v>
      </c>
      <c r="H274" s="697" t="s">
        <v>6646</v>
      </c>
      <c r="I274" s="711"/>
      <c r="AE274" s="427"/>
      <c r="AF274" s="271"/>
    </row>
    <row r="275" spans="2:32">
      <c r="B275" s="821">
        <f ca="1">RANDBETWEEN(1,2)</f>
        <v>2</v>
      </c>
      <c r="C275" s="822" t="str">
        <f t="shared" ca="1" si="13"/>
        <v>Orc</v>
      </c>
      <c r="D275" s="823" t="str">
        <f ca="1">IF(B275=2,C278,"")</f>
        <v>Werecreatues</v>
      </c>
      <c r="E275" s="821">
        <f t="shared" ca="1" si="14"/>
        <v>0.99098392443208505</v>
      </c>
      <c r="F275" s="272"/>
      <c r="G275" s="643">
        <v>1</v>
      </c>
      <c r="H275" s="612" t="s">
        <v>6647</v>
      </c>
      <c r="I275" s="711"/>
      <c r="AE275" s="427"/>
      <c r="AF275" s="271"/>
    </row>
    <row r="276" spans="2:32">
      <c r="B276" s="821">
        <f ca="1">RANDBETWEEN(1,2)</f>
        <v>1</v>
      </c>
      <c r="C276" s="822" t="str">
        <f t="shared" ca="1" si="13"/>
        <v>Plants</v>
      </c>
      <c r="D276" s="823" t="str">
        <f ca="1">IF(B276=2,C279,"")</f>
        <v/>
      </c>
      <c r="E276" s="821">
        <f t="shared" ca="1" si="14"/>
        <v>0.65656827943486329</v>
      </c>
      <c r="F276" s="272"/>
      <c r="G276" s="724">
        <v>2</v>
      </c>
      <c r="H276" s="614" t="s">
        <v>6648</v>
      </c>
      <c r="I276" s="711"/>
      <c r="AE276" s="427"/>
      <c r="AF276" s="271"/>
    </row>
    <row r="277" spans="2:32" ht="11.25" thickBot="1">
      <c r="B277" s="473">
        <v>2</v>
      </c>
      <c r="C277" s="822" t="str">
        <f t="shared" ca="1" si="13"/>
        <v>Sahuagin</v>
      </c>
      <c r="D277" s="823"/>
      <c r="E277" s="821">
        <f t="shared" ca="1" si="14"/>
        <v>0.90339079424211544</v>
      </c>
      <c r="F277" s="272"/>
      <c r="G277" s="762">
        <v>3</v>
      </c>
      <c r="H277" s="616" t="s">
        <v>6649</v>
      </c>
      <c r="I277" s="711"/>
      <c r="AE277" s="427"/>
      <c r="AF277" s="271"/>
    </row>
    <row r="278" spans="2:32" ht="11.25" thickBot="1">
      <c r="B278" s="473">
        <v>2</v>
      </c>
      <c r="C278" s="822" t="str">
        <f t="shared" ca="1" si="13"/>
        <v>Werecreatues</v>
      </c>
      <c r="D278" s="823"/>
      <c r="E278" s="821">
        <f t="shared" ca="1" si="14"/>
        <v>0.89219396183918642</v>
      </c>
      <c r="F278" s="272"/>
      <c r="G278" s="824">
        <f ca="1">RANDBETWEEN(1,3)</f>
        <v>1</v>
      </c>
      <c r="H278" s="825" t="str">
        <f ca="1">VLOOKUP(G278,G275:H277,2)</f>
        <v>Escape the Horde</v>
      </c>
      <c r="I278" s="826"/>
      <c r="AE278" s="427"/>
      <c r="AF278" s="271"/>
    </row>
    <row r="279" spans="2:32" ht="11.25" thickBot="1">
      <c r="B279" s="513">
        <v>2</v>
      </c>
      <c r="C279" s="827" t="str">
        <f t="shared" ca="1" si="13"/>
        <v>Kenku</v>
      </c>
      <c r="D279" s="828"/>
      <c r="E279" s="829">
        <f t="shared" ca="1" si="14"/>
        <v>0.86492563953305279</v>
      </c>
      <c r="F279" s="272"/>
      <c r="G279" s="602"/>
      <c r="H279" s="711"/>
      <c r="I279" s="830"/>
      <c r="AE279" s="427"/>
      <c r="AF279" s="271"/>
    </row>
    <row r="280" spans="2:32" ht="11.25" thickBot="1">
      <c r="B280" s="831">
        <f t="shared" ref="B280:B316" ca="1" si="15">RAND()</f>
        <v>0.85332166548459409</v>
      </c>
      <c r="C280" s="832">
        <v>19</v>
      </c>
      <c r="D280" s="330" t="s">
        <v>6650</v>
      </c>
      <c r="E280" s="589"/>
      <c r="F280" s="272"/>
      <c r="G280" s="719" t="s">
        <v>6498</v>
      </c>
      <c r="H280" s="697" t="s">
        <v>2480</v>
      </c>
      <c r="I280" s="711"/>
      <c r="AE280" s="427"/>
      <c r="AF280" s="271"/>
    </row>
    <row r="281" spans="2:32">
      <c r="B281" s="833">
        <f t="shared" ca="1" si="15"/>
        <v>0.41594623779429285</v>
      </c>
      <c r="C281" s="834">
        <v>20</v>
      </c>
      <c r="D281" s="354" t="s">
        <v>6651</v>
      </c>
      <c r="E281" s="355"/>
      <c r="F281" s="272"/>
      <c r="G281" s="643">
        <v>1</v>
      </c>
      <c r="H281" s="612" t="s">
        <v>6652</v>
      </c>
      <c r="I281" s="711"/>
      <c r="AE281" s="427"/>
      <c r="AF281" s="271"/>
    </row>
    <row r="282" spans="2:32">
      <c r="B282" s="833">
        <f t="shared" ca="1" si="15"/>
        <v>0.19176060678499895</v>
      </c>
      <c r="C282" s="834">
        <v>21</v>
      </c>
      <c r="D282" s="354" t="s">
        <v>6653</v>
      </c>
      <c r="E282" s="355"/>
      <c r="F282" s="272"/>
      <c r="G282" s="724">
        <v>2</v>
      </c>
      <c r="H282" s="614" t="s">
        <v>6654</v>
      </c>
      <c r="I282" s="711"/>
      <c r="AE282" s="427"/>
      <c r="AF282" s="271"/>
    </row>
    <row r="283" spans="2:32" ht="11.25" thickBot="1">
      <c r="B283" s="833">
        <f t="shared" ca="1" si="15"/>
        <v>0.46013702348230523</v>
      </c>
      <c r="C283" s="834">
        <v>22</v>
      </c>
      <c r="D283" s="354" t="s">
        <v>6655</v>
      </c>
      <c r="E283" s="355"/>
      <c r="F283" s="272"/>
      <c r="G283" s="824">
        <f ca="1">RANDBETWEEN(1,2)</f>
        <v>1</v>
      </c>
      <c r="H283" s="825" t="str">
        <f ca="1">VLOOKUP(G283,G281:H282,2)</f>
        <v>Volley</v>
      </c>
      <c r="I283" s="711"/>
      <c r="AE283" s="427"/>
      <c r="AF283" s="271"/>
    </row>
    <row r="284" spans="2:32" ht="11.25" thickBot="1">
      <c r="B284" s="833">
        <f t="shared" ca="1" si="15"/>
        <v>0.60627289182232147</v>
      </c>
      <c r="C284" s="834">
        <v>23</v>
      </c>
      <c r="D284" s="354" t="s">
        <v>6656</v>
      </c>
      <c r="E284" s="355"/>
      <c r="F284" s="272"/>
      <c r="G284" s="602"/>
      <c r="H284" s="711"/>
      <c r="I284" s="758"/>
      <c r="AE284" s="427"/>
      <c r="AF284" s="271"/>
    </row>
    <row r="285" spans="2:32" ht="11.25" thickBot="1">
      <c r="B285" s="833">
        <f t="shared" ca="1" si="15"/>
        <v>0.19689678616969253</v>
      </c>
      <c r="C285" s="834">
        <v>24</v>
      </c>
      <c r="D285" s="354" t="s">
        <v>6657</v>
      </c>
      <c r="E285" s="355"/>
      <c r="F285" s="272"/>
      <c r="G285" s="719" t="s">
        <v>6498</v>
      </c>
      <c r="H285" s="750" t="s">
        <v>6658</v>
      </c>
      <c r="I285" s="835"/>
      <c r="AE285" s="427"/>
      <c r="AF285" s="271"/>
    </row>
    <row r="286" spans="2:32">
      <c r="B286" s="833">
        <f t="shared" ca="1" si="15"/>
        <v>6.2812005834512741E-2</v>
      </c>
      <c r="C286" s="834">
        <v>25</v>
      </c>
      <c r="D286" s="354" t="s">
        <v>3231</v>
      </c>
      <c r="E286" s="355"/>
      <c r="F286" s="272"/>
      <c r="G286" s="836">
        <v>1</v>
      </c>
      <c r="H286" s="617" t="s">
        <v>5454</v>
      </c>
      <c r="I286" s="758"/>
      <c r="AE286" s="427"/>
      <c r="AF286" s="271"/>
    </row>
    <row r="287" spans="2:32">
      <c r="B287" s="833">
        <f t="shared" ca="1" si="15"/>
        <v>0.2929253562413674</v>
      </c>
      <c r="C287" s="834">
        <v>26</v>
      </c>
      <c r="D287" s="354" t="s">
        <v>6659</v>
      </c>
      <c r="E287" s="355"/>
      <c r="F287" s="272"/>
      <c r="G287" s="724">
        <v>2</v>
      </c>
      <c r="H287" s="614" t="s">
        <v>6660</v>
      </c>
      <c r="I287" s="758"/>
      <c r="AE287" s="427"/>
      <c r="AF287" s="271"/>
    </row>
    <row r="288" spans="2:32" ht="11.25" thickBot="1">
      <c r="B288" s="833">
        <f t="shared" ca="1" si="15"/>
        <v>0.75124567407399401</v>
      </c>
      <c r="C288" s="834">
        <v>27</v>
      </c>
      <c r="D288" s="354" t="s">
        <v>6661</v>
      </c>
      <c r="E288" s="355"/>
      <c r="F288" s="272"/>
      <c r="G288" s="762">
        <v>3</v>
      </c>
      <c r="H288" s="616" t="s">
        <v>6662</v>
      </c>
      <c r="I288" s="758"/>
      <c r="AE288" s="427"/>
      <c r="AF288" s="271"/>
    </row>
    <row r="289" spans="2:32" ht="11.25" thickBot="1">
      <c r="B289" s="833">
        <f t="shared" ca="1" si="15"/>
        <v>0.62068938146326036</v>
      </c>
      <c r="C289" s="834">
        <v>28</v>
      </c>
      <c r="D289" s="354" t="s">
        <v>6663</v>
      </c>
      <c r="E289" s="355"/>
      <c r="F289" s="272"/>
      <c r="G289" s="824">
        <f ca="1">RANDBETWEEN(1,3)</f>
        <v>3</v>
      </c>
      <c r="H289" s="825" t="str">
        <f ca="1">VLOOKUP(G289,G286:H288,2)</f>
        <v>Uncanny Dodge</v>
      </c>
      <c r="I289" s="711"/>
      <c r="AE289" s="427"/>
      <c r="AF289" s="271"/>
    </row>
    <row r="290" spans="2:32" ht="11.25" thickBot="1">
      <c r="B290" s="833">
        <f t="shared" ca="1" si="15"/>
        <v>8.7417299975137586E-2</v>
      </c>
      <c r="C290" s="834">
        <v>29</v>
      </c>
      <c r="D290" s="354" t="s">
        <v>6664</v>
      </c>
      <c r="E290" s="355"/>
      <c r="F290" s="272"/>
      <c r="G290" s="450"/>
      <c r="H290" s="837"/>
      <c r="I290" s="711"/>
      <c r="AE290" s="427"/>
      <c r="AF290" s="271"/>
    </row>
    <row r="291" spans="2:32">
      <c r="B291" s="833">
        <f t="shared" ca="1" si="15"/>
        <v>0.65656827943486329</v>
      </c>
      <c r="C291" s="834">
        <v>30</v>
      </c>
      <c r="D291" s="354" t="s">
        <v>6665</v>
      </c>
      <c r="E291" s="355"/>
      <c r="F291" s="272"/>
      <c r="G291" s="643">
        <v>2</v>
      </c>
      <c r="H291" s="612" t="s">
        <v>6666</v>
      </c>
      <c r="I291" s="779"/>
      <c r="AE291" s="427"/>
      <c r="AF291" s="271"/>
    </row>
    <row r="292" spans="2:32" ht="11.25" thickBot="1">
      <c r="B292" s="833">
        <f t="shared" ca="1" si="15"/>
        <v>0.50362417381107649</v>
      </c>
      <c r="C292" s="834">
        <v>31</v>
      </c>
      <c r="D292" s="354" t="s">
        <v>2466</v>
      </c>
      <c r="E292" s="355"/>
      <c r="F292" s="272"/>
      <c r="G292" s="762">
        <v>3</v>
      </c>
      <c r="H292" s="616" t="s">
        <v>6667</v>
      </c>
      <c r="I292" s="711"/>
      <c r="AE292" s="427"/>
      <c r="AF292" s="271"/>
    </row>
    <row r="293" spans="2:32" ht="11.25" thickBot="1">
      <c r="B293" s="833">
        <f t="shared" ca="1" si="15"/>
        <v>0.14290703639635083</v>
      </c>
      <c r="C293" s="834">
        <v>32</v>
      </c>
      <c r="D293" s="838" t="s">
        <v>6668</v>
      </c>
      <c r="E293" s="839" t="s">
        <v>6669</v>
      </c>
      <c r="F293" s="272"/>
      <c r="G293" s="840">
        <f ca="1">RANDBETWEEN(1,3)</f>
        <v>3</v>
      </c>
      <c r="H293" s="825" t="str">
        <f ca="1">VLOOKUP(G293,G291:H292,2)</f>
        <v>Horde Breaker</v>
      </c>
      <c r="I293" s="711"/>
      <c r="AE293" s="427"/>
      <c r="AF293" s="271"/>
    </row>
    <row r="294" spans="2:32" ht="11.25" thickBot="1">
      <c r="B294" s="833">
        <f t="shared" ca="1" si="15"/>
        <v>0.18497804122701589</v>
      </c>
      <c r="C294" s="834">
        <v>33</v>
      </c>
      <c r="D294" s="838" t="s">
        <v>5228</v>
      </c>
      <c r="E294" s="839" t="s">
        <v>6670</v>
      </c>
      <c r="F294" s="272"/>
      <c r="G294" s="602"/>
      <c r="I294" s="711"/>
      <c r="AE294" s="427"/>
      <c r="AF294" s="271"/>
    </row>
    <row r="295" spans="2:32" ht="11.25" thickBot="1">
      <c r="B295" s="833">
        <f t="shared" ca="1" si="15"/>
        <v>0.72399961643538513</v>
      </c>
      <c r="C295" s="834">
        <v>34</v>
      </c>
      <c r="D295" s="838" t="s">
        <v>6671</v>
      </c>
      <c r="E295" s="839" t="s">
        <v>6672</v>
      </c>
      <c r="F295" s="272"/>
      <c r="G295" s="719" t="s">
        <v>6498</v>
      </c>
      <c r="H295" s="750" t="s">
        <v>6673</v>
      </c>
      <c r="I295" s="841"/>
      <c r="AE295" s="427"/>
      <c r="AF295" s="271"/>
    </row>
    <row r="296" spans="2:32">
      <c r="B296" s="833">
        <f t="shared" ca="1" si="15"/>
        <v>0.32808847994884505</v>
      </c>
      <c r="C296" s="834">
        <v>35</v>
      </c>
      <c r="D296" s="838" t="s">
        <v>4937</v>
      </c>
      <c r="E296" s="839" t="s">
        <v>6674</v>
      </c>
      <c r="F296" s="272"/>
      <c r="G296" s="458">
        <f ca="1">RAND()</f>
        <v>0.86104793206700658</v>
      </c>
      <c r="H296" s="612" t="s">
        <v>6271</v>
      </c>
      <c r="I296" s="842">
        <f t="shared" ref="I296:I302" ca="1" si="16">LARGE($G$296:$G$302,ROW(AC1))</f>
        <v>0.98874380525274863</v>
      </c>
      <c r="AE296" s="427"/>
      <c r="AF296" s="271"/>
    </row>
    <row r="297" spans="2:32">
      <c r="B297" s="833">
        <f t="shared" ca="1" si="15"/>
        <v>0.82105294959715314</v>
      </c>
      <c r="C297" s="834">
        <v>36</v>
      </c>
      <c r="D297" s="838" t="s">
        <v>4907</v>
      </c>
      <c r="E297" s="839" t="s">
        <v>6675</v>
      </c>
      <c r="F297" s="272"/>
      <c r="G297" s="473">
        <f t="shared" ref="G297:G302" ca="1" si="17">RAND()</f>
        <v>0.28957153610863706</v>
      </c>
      <c r="H297" s="614" t="s">
        <v>6275</v>
      </c>
      <c r="I297" s="843">
        <f t="shared" ca="1" si="16"/>
        <v>0.88622506608128748</v>
      </c>
      <c r="AE297" s="427"/>
      <c r="AF297" s="271"/>
    </row>
    <row r="298" spans="2:32" ht="21">
      <c r="B298" s="833">
        <f t="shared" ca="1" si="15"/>
        <v>0.21840474629263462</v>
      </c>
      <c r="C298" s="834">
        <v>37</v>
      </c>
      <c r="D298" s="838" t="s">
        <v>6676</v>
      </c>
      <c r="E298" s="839" t="s">
        <v>6677</v>
      </c>
      <c r="F298" s="272"/>
      <c r="G298" s="473">
        <f t="shared" ca="1" si="17"/>
        <v>0.87951725838183403</v>
      </c>
      <c r="H298" s="614" t="s">
        <v>5929</v>
      </c>
      <c r="I298" s="843">
        <f t="shared" ca="1" si="16"/>
        <v>0.87951725838183403</v>
      </c>
      <c r="AE298" s="427"/>
      <c r="AF298" s="271"/>
    </row>
    <row r="299" spans="2:32">
      <c r="B299" s="833">
        <f t="shared" ca="1" si="15"/>
        <v>0.38288180350915579</v>
      </c>
      <c r="C299" s="834">
        <v>38</v>
      </c>
      <c r="D299" s="838" t="s">
        <v>4428</v>
      </c>
      <c r="E299" s="839" t="s">
        <v>6678</v>
      </c>
      <c r="F299" s="272"/>
      <c r="G299" s="473">
        <f t="shared" ca="1" si="17"/>
        <v>0.5250547981544349</v>
      </c>
      <c r="H299" s="614" t="s">
        <v>6281</v>
      </c>
      <c r="I299" s="843">
        <f t="shared" ca="1" si="16"/>
        <v>0.86104793206700658</v>
      </c>
      <c r="AE299" s="427"/>
      <c r="AF299" s="271"/>
    </row>
    <row r="300" spans="2:32">
      <c r="B300" s="833">
        <f t="shared" ca="1" si="15"/>
        <v>0.32829749500887262</v>
      </c>
      <c r="C300" s="834">
        <v>39</v>
      </c>
      <c r="D300" s="838" t="s">
        <v>4346</v>
      </c>
      <c r="E300" s="839" t="s">
        <v>6679</v>
      </c>
      <c r="F300" s="272"/>
      <c r="G300" s="473">
        <f t="shared" ca="1" si="17"/>
        <v>0.98874380525274863</v>
      </c>
      <c r="H300" s="614" t="s">
        <v>6285</v>
      </c>
      <c r="I300" s="843">
        <f t="shared" ca="1" si="16"/>
        <v>0.5250547981544349</v>
      </c>
      <c r="AE300" s="427"/>
      <c r="AF300" s="271"/>
    </row>
    <row r="301" spans="2:32">
      <c r="B301" s="833">
        <f t="shared" ca="1" si="15"/>
        <v>5.3359936111731843E-2</v>
      </c>
      <c r="C301" s="834">
        <v>40</v>
      </c>
      <c r="D301" s="838" t="s">
        <v>4251</v>
      </c>
      <c r="E301" s="839" t="s">
        <v>6680</v>
      </c>
      <c r="F301" s="272"/>
      <c r="G301" s="473">
        <f t="shared" ca="1" si="17"/>
        <v>7.5761183624327488E-2</v>
      </c>
      <c r="H301" s="614" t="s">
        <v>6288</v>
      </c>
      <c r="I301" s="843">
        <f t="shared" ca="1" si="16"/>
        <v>0.28957153610863706</v>
      </c>
      <c r="AE301" s="427"/>
      <c r="AF301" s="271"/>
    </row>
    <row r="302" spans="2:32" ht="11.25" thickBot="1">
      <c r="B302" s="833">
        <f t="shared" ca="1" si="15"/>
        <v>0.70473511572994063</v>
      </c>
      <c r="C302" s="834">
        <v>41</v>
      </c>
      <c r="D302" s="838" t="s">
        <v>6681</v>
      </c>
      <c r="E302" s="839" t="s">
        <v>6682</v>
      </c>
      <c r="F302" s="272"/>
      <c r="G302" s="844">
        <f t="shared" ca="1" si="17"/>
        <v>0.88622506608128748</v>
      </c>
      <c r="H302" s="618" t="s">
        <v>5920</v>
      </c>
      <c r="I302" s="825">
        <f t="shared" ca="1" si="16"/>
        <v>7.5761183624327488E-2</v>
      </c>
      <c r="AE302" s="427"/>
      <c r="AF302" s="271"/>
    </row>
    <row r="303" spans="2:32">
      <c r="B303" s="833">
        <f t="shared" ca="1" si="15"/>
        <v>0.86492563953305279</v>
      </c>
      <c r="C303" s="834">
        <v>42</v>
      </c>
      <c r="D303" s="838" t="s">
        <v>6683</v>
      </c>
      <c r="E303" s="839" t="s">
        <v>6684</v>
      </c>
      <c r="F303" s="272"/>
      <c r="G303" s="458">
        <f ca="1">I296</f>
        <v>0.98874380525274863</v>
      </c>
      <c r="H303" s="842" t="str">
        <f ca="1">VLOOKUP(G303,G296:H302,2,FALSE)</f>
        <v>Grassland</v>
      </c>
      <c r="I303" s="711"/>
      <c r="AE303" s="427"/>
      <c r="AF303" s="271"/>
    </row>
    <row r="304" spans="2:32" ht="11.25" thickBot="1">
      <c r="B304" s="833">
        <f t="shared" ca="1" si="15"/>
        <v>8.5967530266760628E-3</v>
      </c>
      <c r="C304" s="834">
        <v>43</v>
      </c>
      <c r="D304" s="838" t="s">
        <v>4104</v>
      </c>
      <c r="E304" s="839" t="s">
        <v>6685</v>
      </c>
      <c r="F304" s="272"/>
      <c r="G304" s="513">
        <f ca="1">I297</f>
        <v>0.88622506608128748</v>
      </c>
      <c r="H304" s="825" t="str">
        <f ca="1">VLOOKUP(G304,G296:H302,2,FALSE)</f>
        <v>Swamp</v>
      </c>
      <c r="I304" s="734"/>
      <c r="AE304" s="427"/>
      <c r="AF304" s="271"/>
    </row>
    <row r="305" spans="2:32">
      <c r="B305" s="833">
        <f t="shared" ca="1" si="15"/>
        <v>0.95442768141132384</v>
      </c>
      <c r="C305" s="834">
        <v>44</v>
      </c>
      <c r="D305" s="838" t="s">
        <v>6686</v>
      </c>
      <c r="E305" s="839" t="s">
        <v>6687</v>
      </c>
      <c r="F305" s="272"/>
      <c r="I305" s="711"/>
      <c r="AE305" s="427"/>
      <c r="AF305" s="271"/>
    </row>
    <row r="306" spans="2:32">
      <c r="B306" s="833">
        <f t="shared" ca="1" si="15"/>
        <v>0.30068680821552018</v>
      </c>
      <c r="C306" s="834">
        <v>45</v>
      </c>
      <c r="D306" s="838" t="s">
        <v>4021</v>
      </c>
      <c r="E306" s="839" t="s">
        <v>6688</v>
      </c>
      <c r="F306" s="272"/>
      <c r="I306" s="711"/>
      <c r="AE306" s="427"/>
      <c r="AF306" s="271"/>
    </row>
    <row r="307" spans="2:32">
      <c r="B307" s="833">
        <f t="shared" ca="1" si="15"/>
        <v>0.33904492797084262</v>
      </c>
      <c r="C307" s="834">
        <v>46</v>
      </c>
      <c r="D307" s="838" t="s">
        <v>3920</v>
      </c>
      <c r="E307" s="839" t="s">
        <v>6689</v>
      </c>
      <c r="F307" s="272"/>
      <c r="I307" s="711"/>
      <c r="AE307" s="427"/>
      <c r="AF307" s="271"/>
    </row>
    <row r="308" spans="2:32">
      <c r="B308" s="833">
        <f t="shared" ca="1" si="15"/>
        <v>0.99098392443208505</v>
      </c>
      <c r="C308" s="834">
        <v>47</v>
      </c>
      <c r="D308" s="838" t="s">
        <v>3727</v>
      </c>
      <c r="E308" s="839" t="s">
        <v>6690</v>
      </c>
      <c r="F308" s="272"/>
      <c r="I308" s="711"/>
      <c r="AE308" s="427"/>
      <c r="AF308" s="271"/>
    </row>
    <row r="309" spans="2:32">
      <c r="B309" s="833">
        <f t="shared" ca="1" si="15"/>
        <v>0.99963606685979123</v>
      </c>
      <c r="C309" s="834">
        <v>48</v>
      </c>
      <c r="D309" s="838" t="s">
        <v>6691</v>
      </c>
      <c r="E309" s="839" t="s">
        <v>6692</v>
      </c>
      <c r="F309" s="272"/>
      <c r="I309" s="711"/>
      <c r="AE309" s="427"/>
      <c r="AF309" s="271"/>
    </row>
    <row r="310" spans="2:32">
      <c r="B310" s="833">
        <f t="shared" ca="1" si="15"/>
        <v>0.44295698921364191</v>
      </c>
      <c r="C310" s="834">
        <v>49</v>
      </c>
      <c r="D310" s="838" t="s">
        <v>6693</v>
      </c>
      <c r="E310" s="839" t="s">
        <v>6694</v>
      </c>
      <c r="F310" s="272"/>
      <c r="I310" s="711"/>
      <c r="AE310" s="427"/>
      <c r="AF310" s="271"/>
    </row>
    <row r="311" spans="2:32">
      <c r="B311" s="833">
        <f t="shared" ca="1" si="15"/>
        <v>0.90339079424211544</v>
      </c>
      <c r="C311" s="834">
        <v>50</v>
      </c>
      <c r="D311" s="838" t="s">
        <v>3429</v>
      </c>
      <c r="E311" s="839" t="s">
        <v>6695</v>
      </c>
      <c r="F311" s="272"/>
      <c r="I311" s="711"/>
      <c r="AE311" s="427"/>
      <c r="AF311" s="271"/>
    </row>
    <row r="312" spans="2:32">
      <c r="B312" s="833">
        <f t="shared" ca="1" si="15"/>
        <v>0.50641730501134741</v>
      </c>
      <c r="C312" s="834">
        <v>51</v>
      </c>
      <c r="D312" s="838" t="s">
        <v>6696</v>
      </c>
      <c r="E312" s="839" t="s">
        <v>6697</v>
      </c>
      <c r="F312" s="272"/>
      <c r="I312" s="711"/>
      <c r="AE312" s="427"/>
      <c r="AF312" s="271"/>
    </row>
    <row r="313" spans="2:32">
      <c r="B313" s="833">
        <f t="shared" ca="1" si="15"/>
        <v>0.44464212621006027</v>
      </c>
      <c r="C313" s="834">
        <v>52</v>
      </c>
      <c r="D313" s="838" t="s">
        <v>6698</v>
      </c>
      <c r="E313" s="839" t="s">
        <v>6699</v>
      </c>
      <c r="F313" s="272"/>
      <c r="I313" s="711"/>
      <c r="AE313" s="427"/>
      <c r="AF313" s="271"/>
    </row>
    <row r="314" spans="2:32">
      <c r="B314" s="833">
        <f t="shared" ca="1" si="15"/>
        <v>0.31658627635584846</v>
      </c>
      <c r="C314" s="834">
        <v>53</v>
      </c>
      <c r="D314" s="838" t="s">
        <v>6700</v>
      </c>
      <c r="E314" s="839" t="s">
        <v>6701</v>
      </c>
      <c r="F314" s="272"/>
      <c r="I314" s="711"/>
      <c r="AE314" s="427"/>
      <c r="AF314" s="271"/>
    </row>
    <row r="315" spans="2:32">
      <c r="B315" s="833">
        <f t="shared" ca="1" si="15"/>
        <v>0.89219396183918642</v>
      </c>
      <c r="C315" s="834">
        <v>54</v>
      </c>
      <c r="D315" s="838" t="s">
        <v>6702</v>
      </c>
      <c r="E315" s="839" t="s">
        <v>6703</v>
      </c>
      <c r="F315" s="272"/>
      <c r="I315" s="711"/>
      <c r="AE315" s="427"/>
      <c r="AF315" s="271"/>
    </row>
    <row r="316" spans="2:32" ht="11.25" thickBot="1">
      <c r="B316" s="845">
        <f t="shared" ca="1" si="15"/>
        <v>0.34300382095806503</v>
      </c>
      <c r="C316" s="846">
        <v>55</v>
      </c>
      <c r="D316" s="847" t="s">
        <v>6704</v>
      </c>
      <c r="E316" s="848" t="s">
        <v>6705</v>
      </c>
      <c r="F316" s="520"/>
      <c r="G316" s="520"/>
      <c r="H316" s="520"/>
      <c r="I316" s="734"/>
      <c r="AE316" s="427"/>
      <c r="AF316" s="271"/>
    </row>
    <row r="317" spans="2:32" ht="11.25" thickBot="1">
      <c r="B317" s="272"/>
      <c r="F317" s="272"/>
      <c r="L317" s="849" t="s">
        <v>6706</v>
      </c>
      <c r="M317" s="476" t="s">
        <v>1287</v>
      </c>
    </row>
    <row r="318" spans="2:32" ht="11.25" thickBot="1">
      <c r="B318" s="3341" t="s">
        <v>6707</v>
      </c>
      <c r="C318" s="2862"/>
      <c r="D318" s="2862"/>
      <c r="E318" s="2863"/>
      <c r="F318" s="272"/>
      <c r="L318" s="849" t="s">
        <v>6708</v>
      </c>
      <c r="M318" s="476" t="s">
        <v>1287</v>
      </c>
    </row>
    <row r="319" spans="2:32" ht="11.25" thickBot="1">
      <c r="B319" s="2931"/>
      <c r="C319" s="2932"/>
      <c r="D319" s="2932"/>
      <c r="E319" s="2933"/>
      <c r="F319" s="639" t="s">
        <v>6301</v>
      </c>
      <c r="G319" s="640" t="s">
        <v>6302</v>
      </c>
      <c r="H319" s="640" t="s">
        <v>6302</v>
      </c>
      <c r="L319" s="849" t="s">
        <v>6709</v>
      </c>
      <c r="M319" s="476" t="s">
        <v>1287</v>
      </c>
    </row>
    <row r="320" spans="2:32" ht="11.25" thickBot="1">
      <c r="B320" s="3378" t="s">
        <v>6042</v>
      </c>
      <c r="C320" s="624">
        <v>1</v>
      </c>
      <c r="D320" s="624">
        <v>2</v>
      </c>
      <c r="E320" s="625">
        <v>3</v>
      </c>
      <c r="F320" s="323">
        <v>4</v>
      </c>
      <c r="G320" s="642">
        <v>5</v>
      </c>
      <c r="H320" s="642">
        <v>6</v>
      </c>
      <c r="L320" s="849" t="s">
        <v>6710</v>
      </c>
      <c r="M320" s="476" t="s">
        <v>1287</v>
      </c>
    </row>
    <row r="321" spans="1:32" ht="11.25" thickBot="1">
      <c r="B321" s="3361"/>
      <c r="C321" s="697" t="s">
        <v>6711</v>
      </c>
      <c r="D321" s="697" t="s">
        <v>2879</v>
      </c>
      <c r="E321" s="697" t="s">
        <v>6712</v>
      </c>
      <c r="F321" s="850" t="s">
        <v>6222</v>
      </c>
      <c r="G321" s="851" t="s">
        <v>2973</v>
      </c>
      <c r="H321" s="851" t="s">
        <v>6713</v>
      </c>
      <c r="L321" s="849" t="s">
        <v>6714</v>
      </c>
      <c r="M321" s="476" t="s">
        <v>1287</v>
      </c>
    </row>
    <row r="322" spans="1:32">
      <c r="B322" s="643">
        <v>1</v>
      </c>
      <c r="C322" s="699" t="s">
        <v>6715</v>
      </c>
      <c r="D322" s="713" t="s">
        <v>6716</v>
      </c>
      <c r="E322" s="699" t="s">
        <v>6717</v>
      </c>
      <c r="F322" s="701" t="s">
        <v>6718</v>
      </c>
      <c r="G322" s="451" t="s">
        <v>6719</v>
      </c>
      <c r="H322" s="451" t="s">
        <v>6720</v>
      </c>
      <c r="L322" s="849" t="s">
        <v>6721</v>
      </c>
      <c r="M322" s="476" t="s">
        <v>1287</v>
      </c>
    </row>
    <row r="323" spans="1:32">
      <c r="B323" s="646">
        <v>3</v>
      </c>
      <c r="C323" s="699" t="s">
        <v>6722</v>
      </c>
      <c r="D323" s="713" t="s">
        <v>6722</v>
      </c>
      <c r="E323" s="699" t="s">
        <v>6722</v>
      </c>
      <c r="F323" s="701" t="s">
        <v>6722</v>
      </c>
      <c r="G323" s="451"/>
      <c r="H323" s="451" t="s">
        <v>6723</v>
      </c>
      <c r="L323" s="852" t="s">
        <v>6724</v>
      </c>
      <c r="M323" s="476" t="s">
        <v>1287</v>
      </c>
    </row>
    <row r="324" spans="1:32">
      <c r="B324" s="646">
        <v>6</v>
      </c>
      <c r="C324" s="699" t="s">
        <v>2943</v>
      </c>
      <c r="D324" s="713" t="s">
        <v>6725</v>
      </c>
      <c r="E324" s="699" t="s">
        <v>6726</v>
      </c>
      <c r="F324" s="701" t="s">
        <v>6727</v>
      </c>
      <c r="G324" s="451" t="s">
        <v>6728</v>
      </c>
      <c r="H324" s="451" t="s">
        <v>6729</v>
      </c>
      <c r="L324" s="852"/>
      <c r="M324" s="476" t="s">
        <v>1287</v>
      </c>
    </row>
    <row r="325" spans="1:32" ht="11.25" thickBot="1">
      <c r="B325" s="472">
        <v>10</v>
      </c>
      <c r="C325" s="702" t="s">
        <v>6730</v>
      </c>
      <c r="D325" s="715" t="s">
        <v>6731</v>
      </c>
      <c r="E325" s="702" t="s">
        <v>6732</v>
      </c>
      <c r="F325" s="704" t="s">
        <v>6733</v>
      </c>
      <c r="G325" s="451" t="s">
        <v>6734</v>
      </c>
      <c r="H325" s="451" t="s">
        <v>6735</v>
      </c>
      <c r="L325" s="852"/>
      <c r="M325" s="476" t="s">
        <v>1287</v>
      </c>
    </row>
    <row r="326" spans="1:32" ht="11.25" thickBot="1">
      <c r="B326" s="512">
        <v>14</v>
      </c>
      <c r="C326" s="717" t="s">
        <v>6736</v>
      </c>
      <c r="D326" s="717" t="s">
        <v>6737</v>
      </c>
      <c r="E326" s="703" t="s">
        <v>6738</v>
      </c>
      <c r="F326" s="704" t="s">
        <v>6739</v>
      </c>
      <c r="G326" s="451" t="s">
        <v>6740</v>
      </c>
      <c r="H326" s="451"/>
    </row>
    <row r="327" spans="1:32" ht="11.25" thickBot="1">
      <c r="B327" s="272"/>
      <c r="F327" s="272"/>
      <c r="AE327" s="427"/>
      <c r="AF327" s="271"/>
    </row>
    <row r="328" spans="1:32" ht="15" thickBot="1">
      <c r="B328" s="3488" t="s">
        <v>6741</v>
      </c>
      <c r="C328" s="3270"/>
      <c r="D328" s="3270"/>
      <c r="E328" s="3270"/>
      <c r="F328" s="3270"/>
      <c r="G328" s="3270"/>
      <c r="H328" s="3270"/>
      <c r="I328" s="3270"/>
      <c r="J328" s="3271"/>
      <c r="K328" s="853" t="s">
        <v>6301</v>
      </c>
      <c r="L328" s="854" t="s">
        <v>6302</v>
      </c>
      <c r="AE328" s="427"/>
      <c r="AF328" s="271"/>
    </row>
    <row r="329" spans="1:32" ht="11.25" thickBot="1">
      <c r="B329" s="3358" t="s">
        <v>6042</v>
      </c>
      <c r="C329" s="855">
        <v>1</v>
      </c>
      <c r="D329" s="855">
        <v>2</v>
      </c>
      <c r="E329" s="855">
        <v>3</v>
      </c>
      <c r="F329" s="855">
        <v>4</v>
      </c>
      <c r="G329" s="855">
        <v>5</v>
      </c>
      <c r="H329" s="855">
        <v>6</v>
      </c>
      <c r="I329" s="855">
        <v>7</v>
      </c>
      <c r="J329" s="855">
        <v>8</v>
      </c>
      <c r="K329" s="856">
        <v>9</v>
      </c>
      <c r="L329" s="857">
        <v>10</v>
      </c>
      <c r="AE329" s="427"/>
      <c r="AF329" s="271"/>
    </row>
    <row r="330" spans="1:32" ht="11.25" thickBot="1">
      <c r="B330" s="3319"/>
      <c r="C330" s="855" t="s">
        <v>6742</v>
      </c>
      <c r="D330" s="855" t="s">
        <v>6743</v>
      </c>
      <c r="E330" s="855" t="s">
        <v>6744</v>
      </c>
      <c r="F330" s="855" t="s">
        <v>6745</v>
      </c>
      <c r="G330" s="855" t="s">
        <v>6746</v>
      </c>
      <c r="H330" s="855" t="s">
        <v>6747</v>
      </c>
      <c r="I330" s="858" t="s">
        <v>6748</v>
      </c>
      <c r="J330" s="858" t="s">
        <v>6749</v>
      </c>
      <c r="K330" s="859" t="s">
        <v>6750</v>
      </c>
      <c r="L330" s="860" t="s">
        <v>6521</v>
      </c>
      <c r="AE330" s="427"/>
      <c r="AF330" s="271"/>
    </row>
    <row r="331" spans="1:32" ht="12">
      <c r="B331" s="646">
        <v>2</v>
      </c>
      <c r="C331" s="699" t="s">
        <v>6751</v>
      </c>
      <c r="D331" s="699" t="s">
        <v>6752</v>
      </c>
      <c r="E331" s="699" t="s">
        <v>6753</v>
      </c>
      <c r="F331" s="699" t="s">
        <v>6754</v>
      </c>
      <c r="G331" s="699" t="s">
        <v>6755</v>
      </c>
      <c r="H331" s="699" t="s">
        <v>6756</v>
      </c>
      <c r="I331" s="699" t="s">
        <v>6757</v>
      </c>
      <c r="J331" s="713" t="s">
        <v>6758</v>
      </c>
      <c r="K331" s="861" t="s">
        <v>6759</v>
      </c>
      <c r="L331" s="862" t="s">
        <v>6760</v>
      </c>
      <c r="AE331" s="427"/>
      <c r="AF331" s="271"/>
    </row>
    <row r="332" spans="1:32" ht="12">
      <c r="B332" s="472">
        <v>6</v>
      </c>
      <c r="C332" s="863" t="s">
        <v>6761</v>
      </c>
      <c r="D332" s="863" t="s">
        <v>6762</v>
      </c>
      <c r="E332" s="863" t="s">
        <v>6763</v>
      </c>
      <c r="F332" s="863" t="s">
        <v>6764</v>
      </c>
      <c r="G332" s="863" t="s">
        <v>6765</v>
      </c>
      <c r="H332" s="863" t="s">
        <v>6766</v>
      </c>
      <c r="I332" s="863" t="s">
        <v>6767</v>
      </c>
      <c r="J332" s="864" t="s">
        <v>6768</v>
      </c>
      <c r="K332" s="865" t="s">
        <v>6769</v>
      </c>
      <c r="L332" s="659" t="s">
        <v>6770</v>
      </c>
      <c r="AE332" s="427"/>
      <c r="AF332" s="271"/>
    </row>
    <row r="333" spans="1:32" ht="12">
      <c r="B333" s="472">
        <v>10</v>
      </c>
      <c r="C333" s="863" t="s">
        <v>6771</v>
      </c>
      <c r="D333" s="863" t="s">
        <v>6772</v>
      </c>
      <c r="E333" s="863" t="s">
        <v>6773</v>
      </c>
      <c r="F333" s="863" t="s">
        <v>6774</v>
      </c>
      <c r="G333" s="863" t="s">
        <v>6775</v>
      </c>
      <c r="H333" s="863" t="s">
        <v>6776</v>
      </c>
      <c r="I333" s="863" t="s">
        <v>6777</v>
      </c>
      <c r="J333" s="864" t="s">
        <v>2755</v>
      </c>
      <c r="K333" s="865" t="s">
        <v>6778</v>
      </c>
      <c r="L333" s="659" t="s">
        <v>6779</v>
      </c>
      <c r="AE333" s="427"/>
      <c r="AF333" s="271"/>
    </row>
    <row r="334" spans="1:32" ht="12.75" thickBot="1">
      <c r="B334" s="512">
        <v>14</v>
      </c>
      <c r="C334" s="866" t="s">
        <v>6780</v>
      </c>
      <c r="D334" s="866" t="s">
        <v>6781</v>
      </c>
      <c r="E334" s="866" t="s">
        <v>6782</v>
      </c>
      <c r="F334" s="866" t="s">
        <v>6783</v>
      </c>
      <c r="G334" s="866" t="s">
        <v>6784</v>
      </c>
      <c r="H334" s="866" t="s">
        <v>6785</v>
      </c>
      <c r="I334" s="866" t="s">
        <v>6786</v>
      </c>
      <c r="J334" s="867" t="s">
        <v>956</v>
      </c>
      <c r="K334" s="868" t="s">
        <v>6787</v>
      </c>
      <c r="L334" s="664" t="s">
        <v>6788</v>
      </c>
      <c r="AE334" s="427"/>
      <c r="AF334" s="271"/>
    </row>
    <row r="335" spans="1:32">
      <c r="B335" s="272"/>
      <c r="F335" s="272"/>
      <c r="AE335" s="427"/>
      <c r="AF335" s="271"/>
    </row>
    <row r="336" spans="1:32">
      <c r="A336" s="869"/>
      <c r="B336" s="869"/>
      <c r="C336" s="869"/>
      <c r="D336" s="869"/>
      <c r="E336" s="869"/>
      <c r="F336" s="869"/>
      <c r="G336" s="869"/>
      <c r="H336" s="869"/>
      <c r="I336" s="869"/>
      <c r="J336" s="869"/>
      <c r="K336" s="869"/>
      <c r="L336" s="869"/>
      <c r="M336" s="869"/>
      <c r="AE336" s="427"/>
      <c r="AF336" s="271"/>
    </row>
    <row r="337" spans="2:32">
      <c r="B337" s="272"/>
      <c r="F337" s="272"/>
      <c r="AE337" s="427"/>
      <c r="AF337" s="271"/>
    </row>
    <row r="338" spans="2:32">
      <c r="B338" s="272"/>
      <c r="F338" s="272"/>
      <c r="AE338" s="427"/>
      <c r="AF338" s="271"/>
    </row>
    <row r="339" spans="2:32">
      <c r="B339" s="272"/>
      <c r="F339" s="272"/>
      <c r="AE339" s="427"/>
      <c r="AF339" s="271"/>
    </row>
    <row r="340" spans="2:32">
      <c r="B340" s="272"/>
      <c r="F340" s="272"/>
      <c r="K340" s="273"/>
      <c r="L340" s="273"/>
      <c r="M340" s="273"/>
      <c r="Q340" s="272" t="s">
        <v>1287</v>
      </c>
    </row>
    <row r="341" spans="2:32">
      <c r="B341" s="272"/>
      <c r="F341" s="272"/>
      <c r="K341" s="273"/>
      <c r="L341" s="273"/>
      <c r="M341" s="273"/>
      <c r="Q341" s="272" t="s">
        <v>1287</v>
      </c>
      <c r="V341" s="272"/>
      <c r="W341" s="272"/>
      <c r="X341" s="272"/>
      <c r="Z341" s="273"/>
      <c r="AA341" s="273"/>
    </row>
    <row r="342" spans="2:32">
      <c r="B342" s="272"/>
      <c r="F342" s="272"/>
      <c r="K342" s="273"/>
      <c r="L342" s="273"/>
      <c r="M342" s="273"/>
      <c r="Q342" s="272" t="s">
        <v>1287</v>
      </c>
      <c r="V342" s="272"/>
      <c r="W342" s="272"/>
      <c r="X342" s="272"/>
      <c r="Z342" s="273"/>
      <c r="AA342" s="273"/>
    </row>
    <row r="343" spans="2:32" ht="11.25" thickBot="1">
      <c r="B343" s="272"/>
      <c r="C343" s="602"/>
      <c r="F343" s="272"/>
      <c r="K343" s="273"/>
      <c r="L343" s="273"/>
      <c r="M343" s="273"/>
      <c r="Q343" s="272" t="s">
        <v>1287</v>
      </c>
      <c r="S343" s="711"/>
    </row>
    <row r="344" spans="2:32" ht="14.25">
      <c r="B344" s="272"/>
      <c r="D344" s="3341" t="s">
        <v>6789</v>
      </c>
      <c r="E344" s="2862"/>
      <c r="F344" s="2862"/>
      <c r="G344" s="2862"/>
      <c r="H344" s="2862"/>
      <c r="I344" s="2862"/>
      <c r="J344" s="2863"/>
      <c r="K344" s="271"/>
      <c r="L344" s="870" t="s">
        <v>6790</v>
      </c>
      <c r="M344" s="871"/>
      <c r="N344" s="872"/>
      <c r="O344" s="3341" t="s">
        <v>6790</v>
      </c>
      <c r="P344" s="2863"/>
      <c r="Q344" s="3495" t="s">
        <v>6791</v>
      </c>
      <c r="R344" s="2863"/>
      <c r="S344" s="711"/>
    </row>
    <row r="345" spans="2:32" ht="15" thickBot="1">
      <c r="B345" s="272"/>
      <c r="D345" s="2931"/>
      <c r="E345" s="2932"/>
      <c r="F345" s="2932"/>
      <c r="G345" s="2932"/>
      <c r="H345" s="2932"/>
      <c r="I345" s="2932"/>
      <c r="J345" s="2933"/>
      <c r="K345" s="271"/>
      <c r="L345" s="873"/>
      <c r="M345" s="874"/>
      <c r="N345" s="875"/>
      <c r="O345" s="2931"/>
      <c r="P345" s="2933"/>
      <c r="Q345" s="2931"/>
      <c r="R345" s="2933"/>
      <c r="S345" s="711"/>
    </row>
    <row r="346" spans="2:32" ht="13.5" thickBot="1">
      <c r="B346" s="272"/>
      <c r="D346" s="3378" t="s">
        <v>6042</v>
      </c>
      <c r="E346" s="624">
        <v>1</v>
      </c>
      <c r="F346" s="624">
        <v>2</v>
      </c>
      <c r="G346" s="624">
        <v>3</v>
      </c>
      <c r="H346" s="624">
        <v>4</v>
      </c>
      <c r="I346" s="624">
        <v>5</v>
      </c>
      <c r="J346" s="625">
        <v>6</v>
      </c>
      <c r="L346" s="643">
        <v>1</v>
      </c>
      <c r="M346" s="876">
        <f ca="1">RANDBETWEEN(1,100000)</f>
        <v>47610</v>
      </c>
      <c r="N346" s="877">
        <f t="shared" ref="N346:N365" ca="1" si="18">RANK(M346,$M$346:$M$365)</f>
        <v>10</v>
      </c>
      <c r="O346" s="878" t="s">
        <v>6792</v>
      </c>
      <c r="P346" s="879"/>
      <c r="Q346" s="880" t="str">
        <f ca="1">VLOOKUP(1,$N$346:$O$365,2,FALSE)</f>
        <v>You never sit on a chair, preferring to stand or sit on the floor.</v>
      </c>
      <c r="R346" s="881"/>
      <c r="S346" s="711"/>
    </row>
    <row r="347" spans="2:32" ht="13.5" thickBot="1">
      <c r="B347" s="272"/>
      <c r="D347" s="3361"/>
      <c r="E347" s="624" t="s">
        <v>6793</v>
      </c>
      <c r="F347" s="624" t="s">
        <v>6794</v>
      </c>
      <c r="G347" s="624" t="s">
        <v>6795</v>
      </c>
      <c r="H347" s="624" t="s">
        <v>6796</v>
      </c>
      <c r="I347" s="624" t="s">
        <v>6797</v>
      </c>
      <c r="J347" s="625" t="s">
        <v>6798</v>
      </c>
      <c r="K347" s="272" t="s">
        <v>1287</v>
      </c>
      <c r="L347" s="724">
        <v>2</v>
      </c>
      <c r="M347" s="882">
        <f t="shared" ref="M347:M365" ca="1" si="19">RANDBETWEEN(1,100000)</f>
        <v>39633</v>
      </c>
      <c r="N347" s="883">
        <f t="shared" ca="1" si="18"/>
        <v>12</v>
      </c>
      <c r="O347" s="884" t="s">
        <v>6799</v>
      </c>
      <c r="P347" s="580"/>
      <c r="Q347" s="885" t="str">
        <f ca="1">VLOOKUP(2,$N$346:$O$365,2,FALSE)</f>
        <v>You consume only water and raw vegetables.</v>
      </c>
      <c r="R347" s="886"/>
      <c r="S347" s="711"/>
    </row>
    <row r="348" spans="2:32" ht="12.75">
      <c r="B348" s="272"/>
      <c r="D348" s="643">
        <v>1</v>
      </c>
      <c r="E348" s="753" t="s">
        <v>6800</v>
      </c>
      <c r="F348" s="753" t="s">
        <v>6801</v>
      </c>
      <c r="G348" s="753" t="s">
        <v>6802</v>
      </c>
      <c r="H348" s="753" t="s">
        <v>6803</v>
      </c>
      <c r="I348" s="753" t="s">
        <v>6804</v>
      </c>
      <c r="J348" s="753" t="s">
        <v>6805</v>
      </c>
      <c r="L348" s="724">
        <v>3</v>
      </c>
      <c r="M348" s="882">
        <f t="shared" ca="1" si="19"/>
        <v>42785</v>
      </c>
      <c r="N348" s="883">
        <f t="shared" ca="1" si="18"/>
        <v>11</v>
      </c>
      <c r="O348" s="884" t="s">
        <v>6806</v>
      </c>
      <c r="P348" s="580"/>
      <c r="R348" s="711"/>
      <c r="S348" s="711"/>
    </row>
    <row r="349" spans="2:32" ht="12.75">
      <c r="B349" s="272"/>
      <c r="D349" s="646">
        <v>3</v>
      </c>
      <c r="E349" s="753" t="s">
        <v>6807</v>
      </c>
      <c r="F349" s="753" t="s">
        <v>6808</v>
      </c>
      <c r="G349" s="753" t="s">
        <v>6809</v>
      </c>
      <c r="H349" s="753" t="s">
        <v>6810</v>
      </c>
      <c r="I349" s="753" t="s">
        <v>6811</v>
      </c>
      <c r="J349" s="753" t="s">
        <v>6596</v>
      </c>
      <c r="L349" s="724">
        <v>4</v>
      </c>
      <c r="M349" s="882">
        <f t="shared" ca="1" si="19"/>
        <v>79111</v>
      </c>
      <c r="N349" s="883">
        <f t="shared" ca="1" si="18"/>
        <v>3</v>
      </c>
      <c r="O349" s="884" t="s">
        <v>6812</v>
      </c>
      <c r="P349" s="580"/>
      <c r="R349" s="711"/>
      <c r="S349" s="711"/>
    </row>
    <row r="350" spans="2:32" ht="12.75">
      <c r="B350" s="272"/>
      <c r="D350" s="472">
        <v>6</v>
      </c>
      <c r="E350" s="887" t="s">
        <v>6813</v>
      </c>
      <c r="F350" s="887" t="s">
        <v>6814</v>
      </c>
      <c r="G350" s="887" t="s">
        <v>6815</v>
      </c>
      <c r="H350" s="887" t="s">
        <v>6816</v>
      </c>
      <c r="I350" s="887" t="s">
        <v>6817</v>
      </c>
      <c r="J350" s="887" t="s">
        <v>6818</v>
      </c>
      <c r="L350" s="724">
        <v>5</v>
      </c>
      <c r="M350" s="882">
        <f t="shared" ca="1" si="19"/>
        <v>77380</v>
      </c>
      <c r="N350" s="883">
        <f t="shared" ca="1" si="18"/>
        <v>5</v>
      </c>
      <c r="O350" s="884" t="s">
        <v>6819</v>
      </c>
      <c r="P350" s="888"/>
      <c r="R350" s="711"/>
      <c r="S350" s="711"/>
    </row>
    <row r="351" spans="2:32" ht="13.5" thickBot="1">
      <c r="B351" s="272"/>
      <c r="D351" s="512">
        <v>14</v>
      </c>
      <c r="E351" s="765" t="s">
        <v>6820</v>
      </c>
      <c r="F351" s="765" t="s">
        <v>6821</v>
      </c>
      <c r="G351" s="765" t="s">
        <v>6822</v>
      </c>
      <c r="H351" s="765" t="s">
        <v>6823</v>
      </c>
      <c r="I351" s="765" t="s">
        <v>6824</v>
      </c>
      <c r="J351" s="765" t="s">
        <v>6825</v>
      </c>
      <c r="L351" s="724">
        <v>6</v>
      </c>
      <c r="M351" s="882">
        <f t="shared" ca="1" si="19"/>
        <v>64416</v>
      </c>
      <c r="N351" s="883">
        <f t="shared" ca="1" si="18"/>
        <v>8</v>
      </c>
      <c r="O351" s="884" t="s">
        <v>6826</v>
      </c>
      <c r="P351" s="888"/>
      <c r="R351" s="711"/>
      <c r="S351" s="711"/>
    </row>
    <row r="352" spans="2:32" ht="13.5" thickBot="1">
      <c r="B352" s="272"/>
      <c r="D352" s="271"/>
      <c r="E352" s="271"/>
      <c r="F352" s="272"/>
      <c r="H352" s="271"/>
      <c r="I352" s="271"/>
      <c r="L352" s="724">
        <v>7</v>
      </c>
      <c r="M352" s="882">
        <f t="shared" ca="1" si="19"/>
        <v>29070</v>
      </c>
      <c r="N352" s="883">
        <f t="shared" ca="1" si="18"/>
        <v>16</v>
      </c>
      <c r="O352" s="884" t="s">
        <v>6827</v>
      </c>
      <c r="P352" s="580"/>
      <c r="R352" s="711"/>
      <c r="S352" s="711"/>
    </row>
    <row r="353" spans="2:27" ht="13.5" thickBot="1">
      <c r="B353" s="272"/>
      <c r="D353" s="3378" t="s">
        <v>6042</v>
      </c>
      <c r="E353" s="624">
        <v>1</v>
      </c>
      <c r="F353" s="624">
        <v>2</v>
      </c>
      <c r="G353" s="624">
        <v>3</v>
      </c>
      <c r="H353" s="624">
        <v>4</v>
      </c>
      <c r="I353" s="624">
        <v>5</v>
      </c>
      <c r="J353" s="625">
        <v>6</v>
      </c>
      <c r="L353" s="724">
        <v>8</v>
      </c>
      <c r="M353" s="882">
        <f t="shared" ca="1" si="19"/>
        <v>16568</v>
      </c>
      <c r="N353" s="883">
        <f t="shared" ca="1" si="18"/>
        <v>17</v>
      </c>
      <c r="O353" s="884" t="s">
        <v>6828</v>
      </c>
      <c r="P353" s="580"/>
      <c r="R353" s="711"/>
      <c r="S353" s="711"/>
    </row>
    <row r="354" spans="2:27" ht="13.5" thickBot="1">
      <c r="B354" s="272"/>
      <c r="D354" s="3361"/>
      <c r="E354" s="624" t="s">
        <v>6829</v>
      </c>
      <c r="F354" s="624" t="s">
        <v>6830</v>
      </c>
      <c r="G354" s="624" t="s">
        <v>6831</v>
      </c>
      <c r="H354" s="624" t="s">
        <v>6832</v>
      </c>
      <c r="I354" s="624" t="s">
        <v>6833</v>
      </c>
      <c r="J354" s="625" t="s">
        <v>6834</v>
      </c>
      <c r="L354" s="724">
        <v>9</v>
      </c>
      <c r="M354" s="882">
        <f t="shared" ca="1" si="19"/>
        <v>29933</v>
      </c>
      <c r="N354" s="883">
        <f t="shared" ca="1" si="18"/>
        <v>15</v>
      </c>
      <c r="O354" s="884" t="s">
        <v>6835</v>
      </c>
      <c r="P354" s="580"/>
      <c r="R354" s="711"/>
      <c r="S354" s="711"/>
    </row>
    <row r="355" spans="2:27" ht="13.5" thickBot="1">
      <c r="B355" s="272"/>
      <c r="D355" s="643">
        <v>1</v>
      </c>
      <c r="E355" s="889" t="s">
        <v>6836</v>
      </c>
      <c r="F355" s="889" t="s">
        <v>6837</v>
      </c>
      <c r="G355" s="889" t="s">
        <v>6838</v>
      </c>
      <c r="H355" s="889" t="s">
        <v>6839</v>
      </c>
      <c r="I355" s="889" t="s">
        <v>6840</v>
      </c>
      <c r="J355" s="889" t="s">
        <v>6840</v>
      </c>
      <c r="L355" s="724">
        <v>10</v>
      </c>
      <c r="M355" s="882">
        <f t="shared" ca="1" si="19"/>
        <v>30227</v>
      </c>
      <c r="N355" s="883">
        <f t="shared" ca="1" si="18"/>
        <v>14</v>
      </c>
      <c r="O355" s="884" t="s">
        <v>6841</v>
      </c>
      <c r="P355" s="580"/>
      <c r="R355" s="711"/>
      <c r="S355" s="734"/>
    </row>
    <row r="356" spans="2:27" ht="12.75">
      <c r="B356" s="272"/>
      <c r="D356" s="724">
        <v>2</v>
      </c>
      <c r="E356" s="605" t="s">
        <v>6842</v>
      </c>
      <c r="F356" s="605" t="s">
        <v>6843</v>
      </c>
      <c r="G356" s="605" t="s">
        <v>6844</v>
      </c>
      <c r="H356" s="605" t="s">
        <v>6845</v>
      </c>
      <c r="I356" s="605" t="s">
        <v>6846</v>
      </c>
      <c r="J356" s="605" t="s">
        <v>6846</v>
      </c>
      <c r="L356" s="724">
        <v>11</v>
      </c>
      <c r="M356" s="882">
        <f t="shared" ca="1" si="19"/>
        <v>77645</v>
      </c>
      <c r="N356" s="883">
        <f t="shared" ca="1" si="18"/>
        <v>4</v>
      </c>
      <c r="O356" s="884" t="s">
        <v>6847</v>
      </c>
      <c r="P356" s="580"/>
      <c r="R356" s="711"/>
    </row>
    <row r="357" spans="2:27" ht="12.75">
      <c r="B357" s="272"/>
      <c r="D357" s="724">
        <v>3</v>
      </c>
      <c r="E357" s="605" t="s">
        <v>6848</v>
      </c>
      <c r="F357" s="605" t="s">
        <v>6849</v>
      </c>
      <c r="G357" s="605" t="s">
        <v>6850</v>
      </c>
      <c r="H357" s="605" t="s">
        <v>6851</v>
      </c>
      <c r="I357" s="605" t="s">
        <v>6852</v>
      </c>
      <c r="J357" s="605" t="s">
        <v>6852</v>
      </c>
      <c r="L357" s="724">
        <v>12</v>
      </c>
      <c r="M357" s="882">
        <f t="shared" ca="1" si="19"/>
        <v>68736</v>
      </c>
      <c r="N357" s="883">
        <f t="shared" ca="1" si="18"/>
        <v>7</v>
      </c>
      <c r="O357" s="884" t="s">
        <v>6853</v>
      </c>
      <c r="P357" s="580"/>
      <c r="R357" s="711"/>
    </row>
    <row r="358" spans="2:27" ht="12.75">
      <c r="B358" s="272"/>
      <c r="D358" s="724">
        <v>4</v>
      </c>
      <c r="E358" s="605" t="s">
        <v>6854</v>
      </c>
      <c r="F358" s="605" t="s">
        <v>6855</v>
      </c>
      <c r="G358" s="605" t="s">
        <v>6856</v>
      </c>
      <c r="H358" s="605" t="s">
        <v>6857</v>
      </c>
      <c r="I358" s="605" t="s">
        <v>6858</v>
      </c>
      <c r="J358" s="605" t="s">
        <v>6858</v>
      </c>
      <c r="L358" s="724">
        <v>13</v>
      </c>
      <c r="M358" s="882">
        <f t="shared" ca="1" si="19"/>
        <v>12922</v>
      </c>
      <c r="N358" s="883">
        <f t="shared" ca="1" si="18"/>
        <v>18</v>
      </c>
      <c r="O358" s="884" t="s">
        <v>6859</v>
      </c>
      <c r="P358" s="580"/>
      <c r="R358" s="711"/>
    </row>
    <row r="359" spans="2:27" ht="12.75">
      <c r="B359" s="272"/>
      <c r="D359" s="724">
        <v>5</v>
      </c>
      <c r="E359" s="605" t="s">
        <v>6860</v>
      </c>
      <c r="F359" s="605" t="s">
        <v>6861</v>
      </c>
      <c r="G359" s="605" t="s">
        <v>6862</v>
      </c>
      <c r="H359" s="605" t="s">
        <v>6863</v>
      </c>
      <c r="I359" s="605" t="s">
        <v>6864</v>
      </c>
      <c r="J359" s="605" t="s">
        <v>6864</v>
      </c>
      <c r="L359" s="724">
        <v>14</v>
      </c>
      <c r="M359" s="882">
        <f t="shared" ca="1" si="19"/>
        <v>1571</v>
      </c>
      <c r="N359" s="883">
        <f t="shared" ca="1" si="18"/>
        <v>20</v>
      </c>
      <c r="O359" s="884" t="s">
        <v>6865</v>
      </c>
      <c r="P359" s="580"/>
      <c r="R359" s="711"/>
    </row>
    <row r="360" spans="2:27" ht="12.75">
      <c r="B360" s="272"/>
      <c r="D360" s="724">
        <v>6</v>
      </c>
      <c r="E360" s="605" t="s">
        <v>6866</v>
      </c>
      <c r="F360" s="605" t="s">
        <v>6867</v>
      </c>
      <c r="G360" s="605" t="s">
        <v>6868</v>
      </c>
      <c r="H360" s="605"/>
      <c r="I360" s="605" t="s">
        <v>6869</v>
      </c>
      <c r="J360" s="605" t="s">
        <v>6869</v>
      </c>
      <c r="L360" s="724">
        <v>15</v>
      </c>
      <c r="M360" s="882">
        <f t="shared" ca="1" si="19"/>
        <v>95670</v>
      </c>
      <c r="N360" s="883">
        <f t="shared" ca="1" si="18"/>
        <v>1</v>
      </c>
      <c r="O360" s="884" t="s">
        <v>6870</v>
      </c>
      <c r="P360" s="580"/>
      <c r="R360" s="711"/>
    </row>
    <row r="361" spans="2:27" ht="12.75">
      <c r="B361" s="272"/>
      <c r="D361" s="724">
        <v>7</v>
      </c>
      <c r="E361" s="605" t="s">
        <v>6871</v>
      </c>
      <c r="F361" s="605" t="s">
        <v>6872</v>
      </c>
      <c r="G361" s="605" t="s">
        <v>6873</v>
      </c>
      <c r="H361" s="605"/>
      <c r="I361" s="605" t="s">
        <v>6874</v>
      </c>
      <c r="J361" s="605" t="s">
        <v>6874</v>
      </c>
      <c r="L361" s="724">
        <v>16</v>
      </c>
      <c r="M361" s="882">
        <f t="shared" ca="1" si="19"/>
        <v>34089</v>
      </c>
      <c r="N361" s="883">
        <f t="shared" ca="1" si="18"/>
        <v>13</v>
      </c>
      <c r="O361" s="884" t="s">
        <v>6875</v>
      </c>
      <c r="P361" s="580"/>
      <c r="R361" s="711"/>
    </row>
    <row r="362" spans="2:27" ht="12.75">
      <c r="B362" s="272"/>
      <c r="D362" s="724">
        <v>8</v>
      </c>
      <c r="E362" s="890" t="s">
        <v>6876</v>
      </c>
      <c r="F362" s="890" t="s">
        <v>6877</v>
      </c>
      <c r="G362" s="890" t="s">
        <v>6878</v>
      </c>
      <c r="H362" s="890"/>
      <c r="I362" s="890" t="s">
        <v>6879</v>
      </c>
      <c r="J362" s="890" t="s">
        <v>6879</v>
      </c>
      <c r="L362" s="724">
        <v>17</v>
      </c>
      <c r="M362" s="882">
        <f t="shared" ca="1" si="19"/>
        <v>2831</v>
      </c>
      <c r="N362" s="883">
        <f t="shared" ca="1" si="18"/>
        <v>19</v>
      </c>
      <c r="O362" s="884" t="s">
        <v>6880</v>
      </c>
      <c r="P362" s="580"/>
      <c r="R362" s="711"/>
    </row>
    <row r="363" spans="2:27" ht="12.75">
      <c r="B363" s="272"/>
      <c r="D363" s="724">
        <v>9</v>
      </c>
      <c r="E363" s="891"/>
      <c r="F363" s="891" t="s">
        <v>6881</v>
      </c>
      <c r="G363" s="891" t="s">
        <v>6882</v>
      </c>
      <c r="H363" s="891"/>
      <c r="I363" s="891"/>
      <c r="J363" s="891"/>
      <c r="L363" s="724">
        <v>18</v>
      </c>
      <c r="M363" s="882">
        <f t="shared" ca="1" si="19"/>
        <v>82342</v>
      </c>
      <c r="N363" s="883">
        <f t="shared" ca="1" si="18"/>
        <v>2</v>
      </c>
      <c r="O363" s="884" t="s">
        <v>6883</v>
      </c>
      <c r="P363" s="580"/>
      <c r="R363" s="711"/>
    </row>
    <row r="364" spans="2:27" ht="13.5" thickBot="1">
      <c r="B364" s="272"/>
      <c r="D364" s="762">
        <v>10</v>
      </c>
      <c r="E364" s="892"/>
      <c r="F364" s="892"/>
      <c r="G364" s="892" t="s">
        <v>6884</v>
      </c>
      <c r="H364" s="892"/>
      <c r="I364" s="892"/>
      <c r="J364" s="892"/>
      <c r="L364" s="724">
        <v>19</v>
      </c>
      <c r="M364" s="882">
        <f t="shared" ca="1" si="19"/>
        <v>76278</v>
      </c>
      <c r="N364" s="883">
        <f t="shared" ca="1" si="18"/>
        <v>6</v>
      </c>
      <c r="O364" s="884" t="s">
        <v>6885</v>
      </c>
      <c r="P364" s="580"/>
      <c r="R364" s="711"/>
    </row>
    <row r="365" spans="2:27" ht="13.5" thickBot="1">
      <c r="B365" s="272"/>
      <c r="F365" s="272"/>
      <c r="H365" s="271"/>
      <c r="I365" s="271"/>
      <c r="L365" s="762">
        <v>20</v>
      </c>
      <c r="M365" s="893">
        <f t="shared" ca="1" si="19"/>
        <v>58268</v>
      </c>
      <c r="N365" s="894">
        <f t="shared" ca="1" si="18"/>
        <v>9</v>
      </c>
      <c r="O365" s="895" t="s">
        <v>6886</v>
      </c>
      <c r="P365" s="586"/>
      <c r="R365" s="711"/>
      <c r="V365" s="272"/>
      <c r="W365" s="272"/>
      <c r="X365" s="272"/>
      <c r="Z365" s="273"/>
      <c r="AA365" s="273"/>
    </row>
    <row r="366" spans="2:27">
      <c r="B366" s="272"/>
      <c r="F366" s="272"/>
      <c r="H366" s="271"/>
      <c r="I366" s="271"/>
      <c r="R366" s="711"/>
      <c r="V366" s="272"/>
      <c r="W366" s="272"/>
      <c r="X366" s="272"/>
      <c r="Z366" s="273"/>
      <c r="AA366" s="273"/>
    </row>
    <row r="367" spans="2:27">
      <c r="F367" s="272"/>
      <c r="R367" s="711"/>
    </row>
    <row r="368" spans="2:27" ht="11.25" thickBot="1">
      <c r="F368" s="272"/>
      <c r="J368" s="273"/>
      <c r="K368" s="273"/>
      <c r="L368" s="273"/>
      <c r="R368" s="711"/>
    </row>
    <row r="369" spans="3:18">
      <c r="C369" s="3495" t="s">
        <v>6887</v>
      </c>
      <c r="D369" s="2862"/>
      <c r="E369" s="2862"/>
      <c r="F369" s="2862"/>
      <c r="G369" s="2863"/>
      <c r="I369" s="3495" t="s">
        <v>6888</v>
      </c>
      <c r="J369" s="2862"/>
      <c r="K369" s="2862"/>
      <c r="L369" s="2862"/>
      <c r="M369" s="2863"/>
      <c r="N369" s="3496" t="s">
        <v>6889</v>
      </c>
      <c r="O369" s="3495" t="s">
        <v>6890</v>
      </c>
      <c r="P369" s="2863"/>
      <c r="R369" s="711"/>
    </row>
    <row r="370" spans="3:18" ht="11.25" thickBot="1">
      <c r="C370" s="2931"/>
      <c r="D370" s="2932"/>
      <c r="E370" s="2932"/>
      <c r="F370" s="2932"/>
      <c r="G370" s="2933"/>
      <c r="I370" s="2931"/>
      <c r="J370" s="2932"/>
      <c r="K370" s="2932"/>
      <c r="L370" s="2932"/>
      <c r="M370" s="2933"/>
      <c r="N370" s="3497"/>
      <c r="O370" s="2931"/>
      <c r="P370" s="2933"/>
      <c r="R370" s="711"/>
    </row>
    <row r="371" spans="3:18">
      <c r="C371" s="465">
        <v>1</v>
      </c>
      <c r="D371" s="896">
        <f ca="1">RANDBETWEEN(100000,10000000000)</f>
        <v>6638779767</v>
      </c>
      <c r="E371" s="896">
        <f t="shared" ref="E371:E382" ca="1" si="20">RANK(D371,$D$371:$D$382)</f>
        <v>7</v>
      </c>
      <c r="F371" s="329" t="s">
        <v>6891</v>
      </c>
      <c r="G371" s="897" t="str">
        <f ca="1">VLOOKUP(E371,$C$371:$F$382,4,FALSE)</f>
        <v>Mind Meld</v>
      </c>
      <c r="I371" s="3491" t="s">
        <v>6892</v>
      </c>
      <c r="J371" s="465">
        <v>1</v>
      </c>
      <c r="K371" s="896">
        <f ca="1">RANDBETWEEN(100000,10000000000)</f>
        <v>3549997239</v>
      </c>
      <c r="L371" s="896">
        <f t="shared" ref="L371:L410" ca="1" si="21">RANK(K371,$K$371:$K$410)</f>
        <v>31</v>
      </c>
      <c r="M371" s="329" t="s">
        <v>6836</v>
      </c>
      <c r="N371" s="898" t="str">
        <f ca="1">IF(AND([1]MATH!C8=13,[1]MATH!C10=2),VLOOKUP(E371,$C$371:$F$382,4,FALSE),O371)</f>
        <v>Crown of Disgust</v>
      </c>
      <c r="O371" s="899" t="str">
        <f t="shared" ref="O371:O378" ca="1" si="22">VLOOKUP(P371,$L$371:$M$378,2,FALSE)</f>
        <v>Crown of Disgust</v>
      </c>
      <c r="P371" s="900">
        <f ca="1">LARGE($L$371:$L$378,ROWS(A$1:A1))</f>
        <v>38</v>
      </c>
      <c r="R371" s="711"/>
    </row>
    <row r="372" spans="3:18">
      <c r="C372" s="477">
        <v>2</v>
      </c>
      <c r="D372" s="901">
        <f t="shared" ref="D372:D382" ca="1" si="23">RANDBETWEEN(100000,10000000000)</f>
        <v>6763596019</v>
      </c>
      <c r="E372" s="901">
        <f t="shared" ca="1" si="20"/>
        <v>6</v>
      </c>
      <c r="F372" s="352" t="s">
        <v>6893</v>
      </c>
      <c r="G372" s="902" t="str">
        <f ca="1">IF([1]MATH!C5&gt;=3,VLOOKUP(E372,$C$371:$F$382,4,FALSE),"")</f>
        <v>Light Step</v>
      </c>
      <c r="I372" s="3492"/>
      <c r="J372" s="477">
        <v>2</v>
      </c>
      <c r="K372" s="901">
        <f t="shared" ref="K372:K410" ca="1" si="24">RANDBETWEEN(100000,10000000000)</f>
        <v>1531087678</v>
      </c>
      <c r="L372" s="901">
        <f t="shared" ca="1" si="21"/>
        <v>38</v>
      </c>
      <c r="M372" s="352" t="s">
        <v>6842</v>
      </c>
      <c r="N372" s="633" t="str">
        <f t="shared" ref="N372:N410" ca="1" si="25">VLOOKUP(L372,$J$371:$M$410,4,FALSE)</f>
        <v>Mastery of Water</v>
      </c>
      <c r="O372" s="903" t="str">
        <f t="shared" ca="1" si="22"/>
        <v>Mantle of Command</v>
      </c>
      <c r="P372" s="904">
        <f ca="1">LARGE($L$371:$L$378,ROWS(A$1:A2))</f>
        <v>36</v>
      </c>
      <c r="R372" s="711"/>
    </row>
    <row r="373" spans="3:18">
      <c r="C373" s="477">
        <v>3</v>
      </c>
      <c r="D373" s="901">
        <f t="shared" ca="1" si="23"/>
        <v>1017024799</v>
      </c>
      <c r="E373" s="901">
        <f t="shared" ca="1" si="20"/>
        <v>11</v>
      </c>
      <c r="F373" s="352" t="s">
        <v>6894</v>
      </c>
      <c r="G373" s="902" t="str">
        <f>IF([1]MATH!C5&gt;=10,VLOOKUP(E373,$C$371:$F$382,4,FALSE),"")</f>
        <v/>
      </c>
      <c r="I373" s="3492"/>
      <c r="J373" s="477">
        <v>3</v>
      </c>
      <c r="K373" s="901">
        <f t="shared" ca="1" si="24"/>
        <v>9401638831</v>
      </c>
      <c r="L373" s="901">
        <f t="shared" ca="1" si="21"/>
        <v>3</v>
      </c>
      <c r="M373" s="352" t="s">
        <v>6848</v>
      </c>
      <c r="N373" s="633" t="str">
        <f t="shared" ca="1" si="25"/>
        <v>Crown of Rage</v>
      </c>
      <c r="O373" s="903" t="str">
        <f t="shared" ca="1" si="22"/>
        <v>Mantle of Joy</v>
      </c>
      <c r="P373" s="904">
        <f ca="1">LARGE($L$371:$L$378,ROWS(A$1:A3))</f>
        <v>35</v>
      </c>
      <c r="R373" s="711"/>
    </row>
    <row r="374" spans="3:18">
      <c r="C374" s="477">
        <v>4</v>
      </c>
      <c r="D374" s="901">
        <f t="shared" ca="1" si="23"/>
        <v>513242528</v>
      </c>
      <c r="E374" s="901">
        <f t="shared" ca="1" si="20"/>
        <v>12</v>
      </c>
      <c r="F374" s="352" t="s">
        <v>6895</v>
      </c>
      <c r="G374" s="902" t="str">
        <f>IF([1]MATH!C5&gt;=17,VLOOKUP(E374,$C$371:$F$382,4,FALSE),"")</f>
        <v/>
      </c>
      <c r="I374" s="3492"/>
      <c r="J374" s="477">
        <v>4</v>
      </c>
      <c r="K374" s="901">
        <f t="shared" ca="1" si="24"/>
        <v>2564779254</v>
      </c>
      <c r="L374" s="901">
        <f t="shared" ca="1" si="21"/>
        <v>36</v>
      </c>
      <c r="M374" s="352" t="s">
        <v>6854</v>
      </c>
      <c r="N374" s="633" t="str">
        <f t="shared" ca="1" si="25"/>
        <v>Mastery of Ice</v>
      </c>
      <c r="O374" s="903" t="str">
        <f t="shared" ca="1" si="22"/>
        <v>Crown of Despair</v>
      </c>
      <c r="P374" s="904">
        <f ca="1">LARGE($L$371:$L$378,ROWS(A$1:A4))</f>
        <v>31</v>
      </c>
      <c r="R374" s="711"/>
    </row>
    <row r="375" spans="3:18">
      <c r="C375" s="477">
        <v>5</v>
      </c>
      <c r="D375" s="901">
        <f t="shared" ca="1" si="23"/>
        <v>8449705012</v>
      </c>
      <c r="E375" s="901">
        <f t="shared" ca="1" si="20"/>
        <v>2</v>
      </c>
      <c r="F375" s="352" t="s">
        <v>6896</v>
      </c>
      <c r="G375" s="633"/>
      <c r="I375" s="3492"/>
      <c r="J375" s="477">
        <v>5</v>
      </c>
      <c r="K375" s="901">
        <f t="shared" ca="1" si="24"/>
        <v>8522323234</v>
      </c>
      <c r="L375" s="901">
        <f t="shared" ca="1" si="21"/>
        <v>8</v>
      </c>
      <c r="M375" s="352" t="s">
        <v>6860</v>
      </c>
      <c r="N375" s="633" t="str">
        <f t="shared" ca="1" si="25"/>
        <v>Mantle of Joy</v>
      </c>
      <c r="O375" s="903" t="str">
        <f t="shared" ca="1" si="22"/>
        <v>Mantle of Fury</v>
      </c>
      <c r="P375" s="904">
        <f ca="1">LARGE($L$371:$L$378,ROWS(A$1:A5))</f>
        <v>21</v>
      </c>
      <c r="R375" s="711"/>
    </row>
    <row r="376" spans="3:18">
      <c r="C376" s="477">
        <v>6</v>
      </c>
      <c r="D376" s="901">
        <f t="shared" ca="1" si="23"/>
        <v>1459155338</v>
      </c>
      <c r="E376" s="901">
        <f t="shared" ca="1" si="20"/>
        <v>10</v>
      </c>
      <c r="F376" s="352" t="s">
        <v>6897</v>
      </c>
      <c r="G376" s="633"/>
      <c r="I376" s="3492"/>
      <c r="J376" s="477">
        <v>6</v>
      </c>
      <c r="K376" s="901">
        <f t="shared" ca="1" si="24"/>
        <v>9252751463</v>
      </c>
      <c r="L376" s="901">
        <f t="shared" ca="1" si="21"/>
        <v>4</v>
      </c>
      <c r="M376" s="352" t="s">
        <v>6866</v>
      </c>
      <c r="N376" s="633" t="str">
        <f t="shared" ca="1" si="25"/>
        <v>Mantle of Command</v>
      </c>
      <c r="O376" s="903" t="str">
        <f t="shared" ca="1" si="22"/>
        <v>Mantle of Courage</v>
      </c>
      <c r="P376" s="904">
        <f ca="1">LARGE($L$371:$L$378,ROWS(A$1:A6))</f>
        <v>8</v>
      </c>
      <c r="R376" s="711"/>
    </row>
    <row r="377" spans="3:18">
      <c r="C377" s="477">
        <v>7</v>
      </c>
      <c r="D377" s="901">
        <f t="shared" ca="1" si="23"/>
        <v>6361929070</v>
      </c>
      <c r="E377" s="901">
        <f t="shared" ca="1" si="20"/>
        <v>8</v>
      </c>
      <c r="F377" s="352" t="s">
        <v>6898</v>
      </c>
      <c r="G377" s="633"/>
      <c r="I377" s="3492"/>
      <c r="J377" s="477">
        <v>7</v>
      </c>
      <c r="K377" s="901">
        <f t="shared" ca="1" si="24"/>
        <v>5084825208</v>
      </c>
      <c r="L377" s="901">
        <f t="shared" ca="1" si="21"/>
        <v>21</v>
      </c>
      <c r="M377" s="352" t="s">
        <v>6871</v>
      </c>
      <c r="N377" s="633" t="str">
        <f t="shared" ca="1" si="25"/>
        <v>Celerity</v>
      </c>
      <c r="O377" s="903" t="str">
        <f t="shared" ca="1" si="22"/>
        <v>Mantle of Fear</v>
      </c>
      <c r="P377" s="904">
        <f ca="1">LARGE($L$371:$L$378,ROWS(A$1:A7))</f>
        <v>4</v>
      </c>
      <c r="R377" s="711"/>
    </row>
    <row r="378" spans="3:18" ht="11.25" thickBot="1">
      <c r="C378" s="477">
        <v>8</v>
      </c>
      <c r="D378" s="901">
        <f t="shared" ca="1" si="23"/>
        <v>1633137044</v>
      </c>
      <c r="E378" s="901">
        <f t="shared" ca="1" si="20"/>
        <v>9</v>
      </c>
      <c r="F378" s="352" t="s">
        <v>6899</v>
      </c>
      <c r="G378" s="633"/>
      <c r="I378" s="3235"/>
      <c r="J378" s="492">
        <v>8</v>
      </c>
      <c r="K378" s="905">
        <f t="shared" ca="1" si="24"/>
        <v>3076908213</v>
      </c>
      <c r="L378" s="905">
        <f t="shared" ca="1" si="21"/>
        <v>35</v>
      </c>
      <c r="M378" s="409" t="s">
        <v>6876</v>
      </c>
      <c r="N378" s="637" t="str">
        <f t="shared" ca="1" si="25"/>
        <v>Mastery of Force</v>
      </c>
      <c r="O378" s="906" t="str">
        <f t="shared" ca="1" si="22"/>
        <v>Crown of Rage</v>
      </c>
      <c r="P378" s="907">
        <f ca="1">LARGE($L$371:$L$378,ROWS(A$1:A8))</f>
        <v>3</v>
      </c>
      <c r="R378" s="711"/>
    </row>
    <row r="379" spans="3:18">
      <c r="C379" s="477">
        <v>9</v>
      </c>
      <c r="D379" s="901">
        <f t="shared" ca="1" si="23"/>
        <v>7377486694</v>
      </c>
      <c r="E379" s="901">
        <f t="shared" ca="1" si="20"/>
        <v>5</v>
      </c>
      <c r="F379" s="352" t="s">
        <v>6900</v>
      </c>
      <c r="G379" s="633"/>
      <c r="I379" s="3491" t="s">
        <v>6901</v>
      </c>
      <c r="J379" s="465">
        <v>9</v>
      </c>
      <c r="K379" s="896">
        <f t="shared" ca="1" si="24"/>
        <v>4931206928</v>
      </c>
      <c r="L379" s="896">
        <f t="shared" ca="1" si="21"/>
        <v>25</v>
      </c>
      <c r="M379" s="329" t="s">
        <v>6837</v>
      </c>
      <c r="N379" s="898" t="str">
        <f t="shared" ca="1" si="25"/>
        <v>Iron Durability</v>
      </c>
      <c r="O379" s="899" t="str">
        <f t="shared" ref="O379:O387" ca="1" si="26">VLOOKUP(P379,$L$379:$M$387,2,FALSE)</f>
        <v>Psychic Disruption</v>
      </c>
      <c r="P379" s="900">
        <f ca="1">LARGE($L$379:$L$387,ROWS(A$1:A1))</f>
        <v>40</v>
      </c>
      <c r="R379" s="711"/>
    </row>
    <row r="380" spans="3:18">
      <c r="C380" s="477">
        <v>10</v>
      </c>
      <c r="D380" s="901">
        <f t="shared" ca="1" si="23"/>
        <v>8395532654</v>
      </c>
      <c r="E380" s="901">
        <f t="shared" ca="1" si="20"/>
        <v>3</v>
      </c>
      <c r="F380" s="352" t="s">
        <v>6902</v>
      </c>
      <c r="G380" s="633"/>
      <c r="I380" s="3375"/>
      <c r="J380" s="477">
        <v>10</v>
      </c>
      <c r="K380" s="901">
        <f t="shared" ca="1" si="24"/>
        <v>7052367053</v>
      </c>
      <c r="L380" s="901">
        <f t="shared" ca="1" si="21"/>
        <v>14</v>
      </c>
      <c r="M380" s="352" t="s">
        <v>6843</v>
      </c>
      <c r="N380" s="633" t="str">
        <f t="shared" ca="1" si="25"/>
        <v>Psychic Disruption</v>
      </c>
      <c r="O380" s="903" t="str">
        <f t="shared" ca="1" si="26"/>
        <v>Psychic Inquisition</v>
      </c>
      <c r="P380" s="904">
        <f ca="1">LARGE($L$379:$L$387,ROWS(A$1:A2))</f>
        <v>39</v>
      </c>
      <c r="R380" s="711"/>
    </row>
    <row r="381" spans="3:18">
      <c r="C381" s="477">
        <v>11</v>
      </c>
      <c r="D381" s="901">
        <f t="shared" ca="1" si="23"/>
        <v>8629247661</v>
      </c>
      <c r="E381" s="901">
        <f t="shared" ca="1" si="20"/>
        <v>1</v>
      </c>
      <c r="F381" s="352" t="s">
        <v>6903</v>
      </c>
      <c r="G381" s="633"/>
      <c r="I381" s="3375"/>
      <c r="J381" s="477">
        <v>11</v>
      </c>
      <c r="K381" s="901">
        <f t="shared" ca="1" si="24"/>
        <v>2225117415</v>
      </c>
      <c r="L381" s="901">
        <f t="shared" ca="1" si="21"/>
        <v>37</v>
      </c>
      <c r="M381" s="352" t="s">
        <v>6849</v>
      </c>
      <c r="N381" s="633" t="str">
        <f t="shared" ca="1" si="25"/>
        <v>Mastery of Light &amp; Dark</v>
      </c>
      <c r="O381" s="903" t="str">
        <f t="shared" ca="1" si="26"/>
        <v>Mantle of Awe</v>
      </c>
      <c r="P381" s="904">
        <f ca="1">LARGE($L$379:$L$387,ROWS(A$1:A3))</f>
        <v>37</v>
      </c>
      <c r="R381" s="711"/>
    </row>
    <row r="382" spans="3:18" ht="11.25" thickBot="1">
      <c r="C382" s="492">
        <v>12</v>
      </c>
      <c r="D382" s="905">
        <f t="shared" ca="1" si="23"/>
        <v>7655438794</v>
      </c>
      <c r="E382" s="905">
        <f t="shared" ca="1" si="20"/>
        <v>4</v>
      </c>
      <c r="F382" s="409" t="s">
        <v>6904</v>
      </c>
      <c r="G382" s="637"/>
      <c r="I382" s="3375"/>
      <c r="J382" s="477">
        <v>12</v>
      </c>
      <c r="K382" s="901">
        <f t="shared" ca="1" si="24"/>
        <v>9484624933</v>
      </c>
      <c r="L382" s="901">
        <f t="shared" ca="1" si="21"/>
        <v>1</v>
      </c>
      <c r="M382" s="352" t="s">
        <v>6855</v>
      </c>
      <c r="N382" s="633" t="str">
        <f t="shared" ca="1" si="25"/>
        <v>Crown of Despair</v>
      </c>
      <c r="O382" s="903" t="str">
        <f t="shared" ca="1" si="26"/>
        <v>Psychic Phantoms</v>
      </c>
      <c r="P382" s="904">
        <f ca="1">LARGE($L$379:$L$387,ROWS(A$1:A4))</f>
        <v>30</v>
      </c>
      <c r="R382" s="711"/>
    </row>
    <row r="383" spans="3:18">
      <c r="C383" s="271"/>
      <c r="D383" s="543"/>
      <c r="E383" s="543"/>
      <c r="I383" s="3375"/>
      <c r="J383" s="477">
        <v>13</v>
      </c>
      <c r="K383" s="901">
        <f t="shared" ca="1" si="24"/>
        <v>4594247345</v>
      </c>
      <c r="L383" s="901">
        <f t="shared" ca="1" si="21"/>
        <v>26</v>
      </c>
      <c r="M383" s="352" t="s">
        <v>6861</v>
      </c>
      <c r="N383" s="633" t="str">
        <f t="shared" ca="1" si="25"/>
        <v>Psionic Restoration</v>
      </c>
      <c r="O383" s="903" t="str">
        <f t="shared" ca="1" si="26"/>
        <v>Psychic Assault</v>
      </c>
      <c r="P383" s="904">
        <f ca="1">LARGE($L$379:$L$387,ROWS(A$1:A5))</f>
        <v>26</v>
      </c>
      <c r="R383" s="711"/>
    </row>
    <row r="384" spans="3:18">
      <c r="C384" s="271"/>
      <c r="D384" s="543"/>
      <c r="E384" s="543"/>
      <c r="I384" s="3375"/>
      <c r="J384" s="477">
        <v>14</v>
      </c>
      <c r="K384" s="901">
        <f t="shared" ca="1" si="24"/>
        <v>963490692</v>
      </c>
      <c r="L384" s="901">
        <f t="shared" ca="1" si="21"/>
        <v>40</v>
      </c>
      <c r="M384" s="352" t="s">
        <v>6867</v>
      </c>
      <c r="N384" s="633" t="str">
        <f t="shared" ca="1" si="25"/>
        <v>Mastery of Wood &amp; Earth</v>
      </c>
      <c r="O384" s="903" t="str">
        <f t="shared" ca="1" si="26"/>
        <v>Aura Sight</v>
      </c>
      <c r="P384" s="904">
        <f ca="1">LARGE($L$379:$L$387,ROWS(A$1:A6))</f>
        <v>25</v>
      </c>
      <c r="R384" s="711"/>
    </row>
    <row r="385" spans="6:27">
      <c r="F385" s="272"/>
      <c r="I385" s="3375"/>
      <c r="J385" s="477">
        <v>15</v>
      </c>
      <c r="K385" s="901">
        <f t="shared" ca="1" si="24"/>
        <v>973193626</v>
      </c>
      <c r="L385" s="901">
        <f t="shared" ca="1" si="21"/>
        <v>39</v>
      </c>
      <c r="M385" s="352" t="s">
        <v>6872</v>
      </c>
      <c r="N385" s="633" t="str">
        <f t="shared" ca="1" si="25"/>
        <v>Mastery of Weather</v>
      </c>
      <c r="O385" s="903" t="str">
        <f t="shared" ca="1" si="26"/>
        <v>Intellect Fortress</v>
      </c>
      <c r="P385" s="904">
        <f ca="1">LARGE($L$379:$L$387,ROWS(A$1:A7))</f>
        <v>14</v>
      </c>
      <c r="R385" s="711"/>
    </row>
    <row r="386" spans="6:27">
      <c r="F386" s="272"/>
      <c r="I386" s="3375"/>
      <c r="J386" s="477">
        <v>16</v>
      </c>
      <c r="K386" s="901">
        <f t="shared" ca="1" si="24"/>
        <v>3676649009</v>
      </c>
      <c r="L386" s="901">
        <f t="shared" ca="1" si="21"/>
        <v>30</v>
      </c>
      <c r="M386" s="352" t="s">
        <v>6877</v>
      </c>
      <c r="N386" s="633" t="str">
        <f t="shared" ca="1" si="25"/>
        <v>Nomadic Mind</v>
      </c>
      <c r="O386" s="903" t="str">
        <f t="shared" ca="1" si="26"/>
        <v>Telepathic Contact</v>
      </c>
      <c r="P386" s="904">
        <f ca="1">LARGE($L$379:$L$387,ROWS(A$1:A8))</f>
        <v>7</v>
      </c>
      <c r="R386" s="711"/>
    </row>
    <row r="387" spans="6:27" ht="11.25" thickBot="1">
      <c r="F387" s="272"/>
      <c r="I387" s="3375"/>
      <c r="J387" s="492">
        <v>17</v>
      </c>
      <c r="K387" s="905">
        <f t="shared" ca="1" si="24"/>
        <v>8576510333</v>
      </c>
      <c r="L387" s="905">
        <f t="shared" ca="1" si="21"/>
        <v>7</v>
      </c>
      <c r="M387" s="908" t="s">
        <v>6881</v>
      </c>
      <c r="N387" s="637" t="str">
        <f t="shared" ca="1" si="25"/>
        <v>Mantle of Fury</v>
      </c>
      <c r="O387" s="906" t="str">
        <f t="shared" ca="1" si="26"/>
        <v>Precognition</v>
      </c>
      <c r="P387" s="907">
        <f ca="1">LARGE($L$379:$L$387,ROWS(A$1:A9))</f>
        <v>1</v>
      </c>
      <c r="R387" s="711"/>
    </row>
    <row r="388" spans="6:27">
      <c r="F388" s="272"/>
      <c r="I388" s="3491" t="s">
        <v>6905</v>
      </c>
      <c r="J388" s="465">
        <v>18</v>
      </c>
      <c r="K388" s="896">
        <f t="shared" ca="1" si="24"/>
        <v>5030234625</v>
      </c>
      <c r="L388" s="896">
        <f t="shared" ca="1" si="21"/>
        <v>22</v>
      </c>
      <c r="M388" s="329" t="s">
        <v>6838</v>
      </c>
      <c r="N388" s="898" t="str">
        <f t="shared" ca="1" si="25"/>
        <v>Corrosive Metabolism</v>
      </c>
      <c r="O388" s="899" t="str">
        <f t="shared" ref="O388:O397" ca="1" si="27">VLOOKUP(P388,$L$388:$M$397,2,FALSE)</f>
        <v>Bestial Form</v>
      </c>
      <c r="P388" s="900">
        <f ca="1">LARGE($L$388:$L$397,ROWS(A$1:A1))</f>
        <v>34</v>
      </c>
      <c r="R388" s="711"/>
    </row>
    <row r="389" spans="6:27">
      <c r="F389" s="272"/>
      <c r="I389" s="3375"/>
      <c r="J389" s="477">
        <v>19</v>
      </c>
      <c r="K389" s="901">
        <f t="shared" ca="1" si="24"/>
        <v>3167930808</v>
      </c>
      <c r="L389" s="901">
        <f t="shared" ca="1" si="21"/>
        <v>34</v>
      </c>
      <c r="M389" s="352" t="s">
        <v>6844</v>
      </c>
      <c r="N389" s="633" t="str">
        <f t="shared" ca="1" si="25"/>
        <v>Mastery of Fire</v>
      </c>
      <c r="O389" s="903" t="str">
        <f t="shared" ca="1" si="27"/>
        <v>Giant Growth</v>
      </c>
      <c r="P389" s="904">
        <f ca="1">LARGE($L$388:$L$397,ROWS(A$1:A2))</f>
        <v>32</v>
      </c>
      <c r="R389" s="711"/>
      <c r="V389" s="272"/>
      <c r="W389" s="272"/>
      <c r="X389" s="272"/>
      <c r="Z389" s="273"/>
      <c r="AA389" s="273"/>
    </row>
    <row r="390" spans="6:27">
      <c r="F390" s="272"/>
      <c r="I390" s="3375"/>
      <c r="J390" s="477">
        <v>20</v>
      </c>
      <c r="K390" s="901">
        <f t="shared" ca="1" si="24"/>
        <v>6808786448</v>
      </c>
      <c r="L390" s="901">
        <f t="shared" ca="1" si="21"/>
        <v>15</v>
      </c>
      <c r="M390" s="352" t="s">
        <v>6850</v>
      </c>
      <c r="N390" s="633" t="str">
        <f t="shared" ca="1" si="25"/>
        <v>Psychic Inquisition</v>
      </c>
      <c r="O390" s="903" t="str">
        <f t="shared" ca="1" si="27"/>
        <v>Addaptive Body</v>
      </c>
      <c r="P390" s="904">
        <f ca="1">LARGE($L$388:$L$397,ROWS(A$1:A3))</f>
        <v>22</v>
      </c>
      <c r="R390" s="711"/>
      <c r="V390" s="272"/>
      <c r="W390" s="272"/>
      <c r="X390" s="272"/>
      <c r="Z390" s="273"/>
      <c r="AA390" s="273"/>
    </row>
    <row r="391" spans="6:27">
      <c r="F391" s="272"/>
      <c r="I391" s="3375"/>
      <c r="J391" s="477">
        <v>21</v>
      </c>
      <c r="K391" s="901">
        <f t="shared" ca="1" si="24"/>
        <v>6747001435</v>
      </c>
      <c r="L391" s="901">
        <f t="shared" ca="1" si="21"/>
        <v>16</v>
      </c>
      <c r="M391" s="352" t="s">
        <v>6856</v>
      </c>
      <c r="N391" s="633" t="str">
        <f t="shared" ca="1" si="25"/>
        <v>Psychic Phantoms</v>
      </c>
      <c r="O391" s="903" t="str">
        <f t="shared" ca="1" si="27"/>
        <v>Psionic Weapon</v>
      </c>
      <c r="P391" s="904">
        <f ca="1">LARGE($L$388:$L$397,ROWS(A$1:A4))</f>
        <v>17</v>
      </c>
      <c r="R391" s="711"/>
    </row>
    <row r="392" spans="6:27">
      <c r="F392" s="272"/>
      <c r="I392" s="3375"/>
      <c r="J392" s="477">
        <v>22</v>
      </c>
      <c r="K392" s="901">
        <f t="shared" ca="1" si="24"/>
        <v>8794541840</v>
      </c>
      <c r="L392" s="901">
        <f t="shared" ca="1" si="21"/>
        <v>6</v>
      </c>
      <c r="M392" s="352" t="s">
        <v>6862</v>
      </c>
      <c r="N392" s="633" t="str">
        <f t="shared" ca="1" si="25"/>
        <v>Mantle of Fear</v>
      </c>
      <c r="O392" s="903" t="str">
        <f t="shared" ca="1" si="27"/>
        <v>Celerity</v>
      </c>
      <c r="P392" s="904">
        <f ca="1">LARGE($L$388:$L$397,ROWS(A$1:A5))</f>
        <v>16</v>
      </c>
      <c r="R392" s="711"/>
    </row>
    <row r="393" spans="6:27">
      <c r="F393" s="272"/>
      <c r="I393" s="3375"/>
      <c r="J393" s="477">
        <v>23</v>
      </c>
      <c r="K393" s="901">
        <f t="shared" ca="1" si="24"/>
        <v>9439070593</v>
      </c>
      <c r="L393" s="901">
        <f t="shared" ca="1" si="21"/>
        <v>2</v>
      </c>
      <c r="M393" s="352" t="s">
        <v>6868</v>
      </c>
      <c r="N393" s="633" t="str">
        <f t="shared" ca="1" si="25"/>
        <v>Crown of Disgust</v>
      </c>
      <c r="O393" s="903" t="str">
        <f t="shared" ca="1" si="27"/>
        <v>Brute Force</v>
      </c>
      <c r="P393" s="904">
        <f ca="1">LARGE($L$388:$L$397,ROWS(A$1:A6))</f>
        <v>15</v>
      </c>
      <c r="R393" s="711"/>
    </row>
    <row r="394" spans="6:27">
      <c r="F394" s="272"/>
      <c r="I394" s="3375"/>
      <c r="J394" s="477">
        <v>24</v>
      </c>
      <c r="K394" s="901">
        <f t="shared" ca="1" si="24"/>
        <v>3436152531</v>
      </c>
      <c r="L394" s="901">
        <f t="shared" ca="1" si="21"/>
        <v>32</v>
      </c>
      <c r="M394" s="352" t="s">
        <v>6873</v>
      </c>
      <c r="N394" s="633" t="str">
        <f t="shared" ca="1" si="25"/>
        <v>Third Eye</v>
      </c>
      <c r="O394" s="903" t="str">
        <f t="shared" ca="1" si="27"/>
        <v>Psionic Restoration</v>
      </c>
      <c r="P394" s="904">
        <f ca="1">LARGE($L$388:$L$397,ROWS(A$1:A7))</f>
        <v>9</v>
      </c>
      <c r="R394" s="711"/>
    </row>
    <row r="395" spans="6:27">
      <c r="F395" s="272"/>
      <c r="I395" s="3375"/>
      <c r="J395" s="477">
        <v>25</v>
      </c>
      <c r="K395" s="901">
        <f t="shared" ca="1" si="24"/>
        <v>9059379830</v>
      </c>
      <c r="L395" s="901">
        <f t="shared" ca="1" si="21"/>
        <v>5</v>
      </c>
      <c r="M395" s="352" t="s">
        <v>6878</v>
      </c>
      <c r="N395" s="633" t="str">
        <f t="shared" ca="1" si="25"/>
        <v>Mantle of Courage</v>
      </c>
      <c r="O395" s="903" t="str">
        <f t="shared" ca="1" si="27"/>
        <v>Corrosive Metabolism</v>
      </c>
      <c r="P395" s="904">
        <f ca="1">LARGE($L$388:$L$397,ROWS(A$1:A8))</f>
        <v>6</v>
      </c>
      <c r="R395" s="711"/>
    </row>
    <row r="396" spans="6:27">
      <c r="F396" s="272"/>
      <c r="I396" s="3375"/>
      <c r="J396" s="477">
        <v>26</v>
      </c>
      <c r="K396" s="901">
        <f t="shared" ca="1" si="24"/>
        <v>8477231813</v>
      </c>
      <c r="L396" s="901">
        <f t="shared" ca="1" si="21"/>
        <v>9</v>
      </c>
      <c r="M396" s="909" t="s">
        <v>6882</v>
      </c>
      <c r="N396" s="633" t="str">
        <f t="shared" ca="1" si="25"/>
        <v>Aura Sight</v>
      </c>
      <c r="O396" s="903" t="str">
        <f t="shared" ca="1" si="27"/>
        <v>Iron Durability</v>
      </c>
      <c r="P396" s="904">
        <f ca="1">LARGE($L$388:$L$397,ROWS(A$1:A9))</f>
        <v>5</v>
      </c>
      <c r="R396" s="711"/>
    </row>
    <row r="397" spans="6:27" ht="11.25" thickBot="1">
      <c r="F397" s="272"/>
      <c r="I397" s="3319"/>
      <c r="J397" s="492">
        <v>27</v>
      </c>
      <c r="K397" s="905">
        <f t="shared" ca="1" si="24"/>
        <v>6070010364</v>
      </c>
      <c r="L397" s="905">
        <f t="shared" ca="1" si="21"/>
        <v>17</v>
      </c>
      <c r="M397" s="908" t="s">
        <v>6884</v>
      </c>
      <c r="N397" s="637" t="str">
        <f t="shared" ca="1" si="25"/>
        <v>Telepathic Contact</v>
      </c>
      <c r="O397" s="906" t="str">
        <f t="shared" ca="1" si="27"/>
        <v>Diminution</v>
      </c>
      <c r="P397" s="907">
        <f ca="1">LARGE($L$388:$L$397,ROWS(A$1:A10))</f>
        <v>2</v>
      </c>
      <c r="R397" s="711"/>
    </row>
    <row r="398" spans="6:27">
      <c r="F398" s="272"/>
      <c r="I398" s="3491" t="s">
        <v>6906</v>
      </c>
      <c r="J398" s="465">
        <v>28</v>
      </c>
      <c r="K398" s="896">
        <f t="shared" ca="1" si="24"/>
        <v>6043035397</v>
      </c>
      <c r="L398" s="896">
        <f t="shared" ca="1" si="21"/>
        <v>18</v>
      </c>
      <c r="M398" s="329" t="s">
        <v>6839</v>
      </c>
      <c r="N398" s="898" t="str">
        <f t="shared" ca="1" si="25"/>
        <v>Addaptive Body</v>
      </c>
      <c r="O398" s="899" t="str">
        <f ca="1">VLOOKUP(P398,$L$398:$M$402,2,FALSE)</f>
        <v>Nomadic Chameleon</v>
      </c>
      <c r="P398" s="900">
        <f ca="1">LARGE($L$398:$L$402,ROWS(A$1:A1))</f>
        <v>33</v>
      </c>
      <c r="R398" s="711"/>
    </row>
    <row r="399" spans="6:27">
      <c r="F399" s="272"/>
      <c r="I399" s="3375"/>
      <c r="J399" s="477">
        <v>29</v>
      </c>
      <c r="K399" s="901">
        <f t="shared" ca="1" si="24"/>
        <v>3218090394</v>
      </c>
      <c r="L399" s="901">
        <f t="shared" ca="1" si="21"/>
        <v>33</v>
      </c>
      <c r="M399" s="352" t="s">
        <v>6845</v>
      </c>
      <c r="N399" s="633" t="str">
        <f t="shared" ca="1" si="25"/>
        <v>Mastery of Air</v>
      </c>
      <c r="O399" s="903" t="str">
        <f ca="1">VLOOKUP(P399,$L$398:$M$402,2,FALSE)</f>
        <v>Nomadic Mind</v>
      </c>
      <c r="P399" s="904">
        <f ca="1">LARGE($L$398:$L$402,ROWS(A$1:A2))</f>
        <v>29</v>
      </c>
      <c r="R399" s="711"/>
    </row>
    <row r="400" spans="6:27">
      <c r="F400" s="272"/>
      <c r="I400" s="3375"/>
      <c r="J400" s="477">
        <v>30</v>
      </c>
      <c r="K400" s="901">
        <f t="shared" ca="1" si="24"/>
        <v>3804158530</v>
      </c>
      <c r="L400" s="901">
        <f t="shared" ca="1" si="21"/>
        <v>29</v>
      </c>
      <c r="M400" s="352" t="s">
        <v>6851</v>
      </c>
      <c r="N400" s="633" t="str">
        <f t="shared" ca="1" si="25"/>
        <v>Nomadic Chameleon</v>
      </c>
      <c r="O400" s="903" t="str">
        <f ca="1">VLOOKUP(P400,$L$398:$M$402,2,FALSE)</f>
        <v>Third Eye</v>
      </c>
      <c r="P400" s="904">
        <f ca="1">LARGE($L$398:$L$402,ROWS(A$1:A3))</f>
        <v>27</v>
      </c>
      <c r="R400" s="711"/>
    </row>
    <row r="401" spans="2:27">
      <c r="F401" s="272"/>
      <c r="I401" s="3375"/>
      <c r="J401" s="477">
        <v>31</v>
      </c>
      <c r="K401" s="901">
        <f t="shared" ca="1" si="24"/>
        <v>5000760034</v>
      </c>
      <c r="L401" s="901">
        <f t="shared" ca="1" si="21"/>
        <v>23</v>
      </c>
      <c r="M401" s="352" t="s">
        <v>6857</v>
      </c>
      <c r="N401" s="633" t="str">
        <f t="shared" ca="1" si="25"/>
        <v>Diminution</v>
      </c>
      <c r="O401" s="903" t="str">
        <f ca="1">VLOOKUP(P401,$L$398:$M$402,2,FALSE)</f>
        <v>Nomadic Step</v>
      </c>
      <c r="P401" s="904">
        <f ca="1">LARGE($L$398:$L$402,ROWS(A$1:A4))</f>
        <v>23</v>
      </c>
      <c r="R401" s="711"/>
    </row>
    <row r="402" spans="2:27" ht="11.25" thickBot="1">
      <c r="F402" s="272"/>
      <c r="I402" s="3319"/>
      <c r="J402" s="492">
        <v>32</v>
      </c>
      <c r="K402" s="905">
        <f t="shared" ca="1" si="24"/>
        <v>4306347568</v>
      </c>
      <c r="L402" s="905">
        <f t="shared" ca="1" si="21"/>
        <v>27</v>
      </c>
      <c r="M402" s="409" t="s">
        <v>6863</v>
      </c>
      <c r="N402" s="637" t="str">
        <f t="shared" ca="1" si="25"/>
        <v>Psionic Weapon</v>
      </c>
      <c r="O402" s="906" t="str">
        <f ca="1">VLOOKUP(P402,$L$398:$M$402,2,FALSE)</f>
        <v>Nomadic Arrow</v>
      </c>
      <c r="P402" s="907">
        <f ca="1">LARGE($L$398:$L$402,ROWS(A$1:A5))</f>
        <v>18</v>
      </c>
      <c r="R402" s="711"/>
    </row>
    <row r="403" spans="2:27">
      <c r="F403" s="272"/>
      <c r="I403" s="3236" t="s">
        <v>6907</v>
      </c>
      <c r="J403" s="465">
        <v>33</v>
      </c>
      <c r="K403" s="896">
        <f t="shared" ca="1" si="24"/>
        <v>7967493373</v>
      </c>
      <c r="L403" s="896">
        <f t="shared" ca="1" si="21"/>
        <v>11</v>
      </c>
      <c r="M403" s="329" t="s">
        <v>6840</v>
      </c>
      <c r="N403" s="898" t="str">
        <f t="shared" ca="1" si="25"/>
        <v>Mantle of Awe</v>
      </c>
      <c r="O403" s="899" t="str">
        <f t="shared" ref="O403:O410" ca="1" si="28">VLOOKUP(P403,$L$403:$M$410,2,FALSE)</f>
        <v>Mastery of Wood &amp; Earth</v>
      </c>
      <c r="P403" s="900">
        <f ca="1">LARGE($L$403:$L$410,ROWS(A$1:A1))</f>
        <v>28</v>
      </c>
      <c r="R403" s="711"/>
    </row>
    <row r="404" spans="2:27">
      <c r="F404" s="272"/>
      <c r="I404" s="3487"/>
      <c r="J404" s="477">
        <v>34</v>
      </c>
      <c r="K404" s="901">
        <f t="shared" ca="1" si="24"/>
        <v>5105145462</v>
      </c>
      <c r="L404" s="901">
        <f t="shared" ca="1" si="21"/>
        <v>20</v>
      </c>
      <c r="M404" s="352" t="s">
        <v>6846</v>
      </c>
      <c r="N404" s="633" t="str">
        <f t="shared" ca="1" si="25"/>
        <v>Brute Force</v>
      </c>
      <c r="O404" s="903" t="str">
        <f t="shared" ca="1" si="28"/>
        <v>Mastery of Ice</v>
      </c>
      <c r="P404" s="904">
        <f ca="1">LARGE($L$403:$L$410,ROWS(A$1:A2))</f>
        <v>24</v>
      </c>
      <c r="R404" s="711"/>
    </row>
    <row r="405" spans="2:27">
      <c r="F405" s="272"/>
      <c r="I405" s="3487"/>
      <c r="J405" s="477">
        <v>35</v>
      </c>
      <c r="K405" s="901">
        <f t="shared" ca="1" si="24"/>
        <v>7374470136</v>
      </c>
      <c r="L405" s="901">
        <f t="shared" ca="1" si="21"/>
        <v>13</v>
      </c>
      <c r="M405" s="352" t="s">
        <v>6852</v>
      </c>
      <c r="N405" s="633" t="str">
        <f t="shared" ca="1" si="25"/>
        <v>Psychic Assault</v>
      </c>
      <c r="O405" s="903" t="str">
        <f t="shared" ca="1" si="28"/>
        <v>Mastery of Fire</v>
      </c>
      <c r="P405" s="904">
        <f ca="1">LARGE($L$403:$L$410,ROWS(A$1:A3))</f>
        <v>20</v>
      </c>
      <c r="R405" s="711"/>
    </row>
    <row r="406" spans="2:27">
      <c r="F406" s="272"/>
      <c r="I406" s="3487"/>
      <c r="J406" s="477">
        <v>36</v>
      </c>
      <c r="K406" s="901">
        <f t="shared" ca="1" si="24"/>
        <v>4992052267</v>
      </c>
      <c r="L406" s="901">
        <f t="shared" ca="1" si="21"/>
        <v>24</v>
      </c>
      <c r="M406" s="352" t="s">
        <v>6858</v>
      </c>
      <c r="N406" s="633" t="str">
        <f t="shared" ca="1" si="25"/>
        <v>Giant Growth</v>
      </c>
      <c r="O406" s="903" t="str">
        <f t="shared" ca="1" si="28"/>
        <v>Mastery of Water</v>
      </c>
      <c r="P406" s="904">
        <f ca="1">LARGE($L$403:$L$410,ROWS(A$1:A4))</f>
        <v>19</v>
      </c>
      <c r="R406" s="711"/>
    </row>
    <row r="407" spans="2:27">
      <c r="F407" s="272"/>
      <c r="I407" s="3487"/>
      <c r="J407" s="477">
        <v>37</v>
      </c>
      <c r="K407" s="901">
        <f t="shared" ca="1" si="24"/>
        <v>8117983635</v>
      </c>
      <c r="L407" s="901">
        <f t="shared" ca="1" si="21"/>
        <v>10</v>
      </c>
      <c r="M407" s="352" t="s">
        <v>6864</v>
      </c>
      <c r="N407" s="633" t="str">
        <f t="shared" ca="1" si="25"/>
        <v>Intellect Fortress</v>
      </c>
      <c r="O407" s="903" t="str">
        <f t="shared" ca="1" si="28"/>
        <v>Mastery of Force</v>
      </c>
      <c r="P407" s="904">
        <f ca="1">LARGE($L$403:$L$410,ROWS(A$1:A5))</f>
        <v>13</v>
      </c>
      <c r="R407" s="711"/>
    </row>
    <row r="408" spans="2:27">
      <c r="F408" s="272"/>
      <c r="I408" s="3487"/>
      <c r="J408" s="477">
        <v>38</v>
      </c>
      <c r="K408" s="901">
        <f t="shared" ca="1" si="24"/>
        <v>5454577061</v>
      </c>
      <c r="L408" s="901">
        <f t="shared" ca="1" si="21"/>
        <v>19</v>
      </c>
      <c r="M408" s="352" t="s">
        <v>6869</v>
      </c>
      <c r="N408" s="633" t="str">
        <f t="shared" ca="1" si="25"/>
        <v>Bestial Form</v>
      </c>
      <c r="O408" s="903" t="str">
        <f t="shared" ca="1" si="28"/>
        <v>Mastery of Weather</v>
      </c>
      <c r="P408" s="904">
        <f ca="1">LARGE($L$403:$L$410,ROWS(A$1:A6))</f>
        <v>12</v>
      </c>
      <c r="R408" s="711"/>
    </row>
    <row r="409" spans="2:27">
      <c r="F409" s="272"/>
      <c r="I409" s="3487"/>
      <c r="J409" s="477">
        <v>39</v>
      </c>
      <c r="K409" s="901">
        <f t="shared" ca="1" si="24"/>
        <v>7801914503</v>
      </c>
      <c r="L409" s="901">
        <f t="shared" ca="1" si="21"/>
        <v>12</v>
      </c>
      <c r="M409" s="352" t="s">
        <v>6874</v>
      </c>
      <c r="N409" s="633" t="str">
        <f t="shared" ca="1" si="25"/>
        <v>Precognition</v>
      </c>
      <c r="O409" s="903" t="str">
        <f t="shared" ca="1" si="28"/>
        <v>Mastery of Air</v>
      </c>
      <c r="P409" s="904">
        <f ca="1">LARGE($L$403:$L$410,ROWS(A$1:A7))</f>
        <v>11</v>
      </c>
      <c r="R409" s="711"/>
    </row>
    <row r="410" spans="2:27" ht="11.25" thickBot="1">
      <c r="F410" s="272"/>
      <c r="I410" s="3237"/>
      <c r="J410" s="492">
        <v>40</v>
      </c>
      <c r="K410" s="905">
        <f t="shared" ca="1" si="24"/>
        <v>3882112825</v>
      </c>
      <c r="L410" s="905">
        <f t="shared" ca="1" si="21"/>
        <v>28</v>
      </c>
      <c r="M410" s="409" t="s">
        <v>6879</v>
      </c>
      <c r="N410" s="637" t="str">
        <f t="shared" ca="1" si="25"/>
        <v>Nomadic Arrow</v>
      </c>
      <c r="O410" s="906" t="str">
        <f t="shared" ca="1" si="28"/>
        <v>Mastery of Light &amp; Dark</v>
      </c>
      <c r="P410" s="907">
        <f ca="1">LARGE($L$403:$L$410,ROWS(A$1:A8))</f>
        <v>10</v>
      </c>
      <c r="R410" s="711"/>
    </row>
    <row r="411" spans="2:27">
      <c r="B411" s="272"/>
      <c r="F411" s="272"/>
      <c r="J411" s="273"/>
      <c r="K411" s="273"/>
      <c r="L411" s="273"/>
      <c r="P411" s="272" t="s">
        <v>1287</v>
      </c>
      <c r="R411" s="711"/>
    </row>
    <row r="412" spans="2:27">
      <c r="B412" s="272"/>
      <c r="F412" s="272"/>
    </row>
    <row r="413" spans="2:27">
      <c r="B413" s="272"/>
      <c r="F413" s="272"/>
      <c r="G413" s="271"/>
      <c r="J413" s="271"/>
      <c r="V413" s="272"/>
      <c r="W413" s="272"/>
      <c r="X413" s="272"/>
      <c r="Z413" s="273"/>
      <c r="AA413" s="273"/>
    </row>
    <row r="414" spans="2:27">
      <c r="B414" s="272"/>
      <c r="F414" s="272"/>
      <c r="G414" s="271"/>
      <c r="J414" s="271"/>
      <c r="V414" s="272"/>
      <c r="W414" s="272"/>
      <c r="X414" s="272"/>
      <c r="Z414" s="273"/>
      <c r="AA414" s="273"/>
    </row>
    <row r="415" spans="2:27">
      <c r="B415" s="272"/>
      <c r="F415" s="272"/>
    </row>
    <row r="416" spans="2:27">
      <c r="B416" s="272"/>
      <c r="F416" s="272"/>
    </row>
    <row r="417" spans="2:13">
      <c r="B417" s="272"/>
      <c r="F417" s="272"/>
    </row>
    <row r="418" spans="2:13">
      <c r="B418" s="272"/>
      <c r="F418" s="272"/>
    </row>
    <row r="419" spans="2:13">
      <c r="B419" s="272"/>
      <c r="F419" s="272"/>
    </row>
    <row r="420" spans="2:13" ht="11.25" thickBot="1">
      <c r="B420" s="272"/>
      <c r="F420" s="272"/>
    </row>
    <row r="421" spans="2:13" ht="11.25" thickBot="1">
      <c r="B421" s="719" t="s">
        <v>6498</v>
      </c>
      <c r="C421" s="750" t="s">
        <v>6083</v>
      </c>
      <c r="D421" s="719" t="s">
        <v>6498</v>
      </c>
      <c r="E421" s="719" t="s">
        <v>6548</v>
      </c>
      <c r="F421" s="719" t="s">
        <v>6592</v>
      </c>
      <c r="G421" s="697" t="s">
        <v>6593</v>
      </c>
      <c r="H421" s="697" t="s">
        <v>6594</v>
      </c>
      <c r="I421" s="780" t="s">
        <v>6595</v>
      </c>
    </row>
    <row r="422" spans="2:13" ht="11.25" thickBot="1">
      <c r="B422" s="643">
        <v>2</v>
      </c>
      <c r="C422" s="910" t="e">
        <f ca="1">IF([1]MATH!D5&gt;1,VLOOKUP($J$423,$D$422:$G$468,4,FALSE),"")</f>
        <v>#N/A</v>
      </c>
      <c r="D422" s="643">
        <v>1</v>
      </c>
      <c r="E422" s="787">
        <f t="shared" ref="E422:E430" ca="1" si="29">RANDBETWEEN(100000,10000000000)</f>
        <v>4097369484</v>
      </c>
      <c r="F422" s="473">
        <f t="shared" ref="F422:F430" ca="1" si="30">RANK(E422,$E$422:$E$468)</f>
        <v>7</v>
      </c>
      <c r="G422" s="699" t="s">
        <v>6908</v>
      </c>
      <c r="H422" s="757" t="str">
        <f t="shared" ref="H422:H430" ca="1" si="31">VLOOKUP(F422,$D$422:$G$468,4,FALSE)</f>
        <v>Eyes of the Rune Keeper</v>
      </c>
      <c r="I422" s="782">
        <v>1</v>
      </c>
      <c r="J422" s="784" t="s">
        <v>6597</v>
      </c>
      <c r="K422" s="784" t="s">
        <v>6598</v>
      </c>
      <c r="L422" s="784" t="s">
        <v>6599</v>
      </c>
      <c r="M422" s="784" t="s">
        <v>6909</v>
      </c>
    </row>
    <row r="423" spans="2:13">
      <c r="B423" s="724">
        <v>2</v>
      </c>
      <c r="C423" s="911" t="e">
        <f ca="1">IF([1]MATH!D5&gt;1,VLOOKUP($J$424,$D$422:$G$468,4,FALSE),"")</f>
        <v>#N/A</v>
      </c>
      <c r="D423" s="724">
        <v>2</v>
      </c>
      <c r="E423" s="787">
        <f t="shared" ca="1" si="29"/>
        <v>3044134420</v>
      </c>
      <c r="F423" s="473">
        <f t="shared" ca="1" si="30"/>
        <v>10</v>
      </c>
      <c r="G423" s="699" t="s">
        <v>6910</v>
      </c>
      <c r="H423" s="757" t="str">
        <f t="shared" ca="1" si="31"/>
        <v>Mask of Many Faces</v>
      </c>
      <c r="I423" s="782">
        <v>1</v>
      </c>
      <c r="J423" s="643" t="e">
        <f ca="1">MIN(L423:L450)</f>
        <v>#N/A</v>
      </c>
      <c r="K423" s="790">
        <f ca="1">RANDBETWEEN(10000,10000000000)</f>
        <v>8563711028</v>
      </c>
      <c r="L423" s="912">
        <f t="shared" ref="L423:L428" ca="1" si="32">IF(RANK(K423,$K$423:$K$468)&gt;15," ",RANK(K423,$K$423:$K$468))</f>
        <v>6</v>
      </c>
      <c r="M423" s="912"/>
    </row>
    <row r="424" spans="2:13">
      <c r="B424" s="724">
        <v>5</v>
      </c>
      <c r="C424" s="911" t="e">
        <f ca="1">IF([1]MATH!D5&gt;4,VLOOKUP($J$425,$D$422:$G$468,4,FALSE),"")</f>
        <v>#N/A</v>
      </c>
      <c r="D424" s="724">
        <v>3</v>
      </c>
      <c r="E424" s="787">
        <f t="shared" ca="1" si="29"/>
        <v>3053327072</v>
      </c>
      <c r="F424" s="473">
        <f t="shared" ca="1" si="30"/>
        <v>9</v>
      </c>
      <c r="G424" s="699" t="s">
        <v>6911</v>
      </c>
      <c r="H424" s="757" t="str">
        <f t="shared" ca="1" si="31"/>
        <v>Gaze of Two Minds</v>
      </c>
      <c r="I424" s="782">
        <v>1</v>
      </c>
      <c r="J424" s="724" t="e">
        <f ca="1">SMALL(L423:L450,2)</f>
        <v>#N/A</v>
      </c>
      <c r="K424" s="794">
        <f t="shared" ref="K424:K468" ca="1" si="33">RANDBETWEEN(10000,10000000000)</f>
        <v>2735331662</v>
      </c>
      <c r="L424" s="913" t="str">
        <f t="shared" ca="1" si="32"/>
        <v xml:space="preserve"> </v>
      </c>
      <c r="M424" s="913"/>
    </row>
    <row r="425" spans="2:13">
      <c r="B425" s="724">
        <v>9</v>
      </c>
      <c r="C425" s="911" t="str">
        <f ca="1">IF([1]MATH!D5&gt;6,VLOOKUP($J$426,$D$422:$G$468,4,FALSE),"")</f>
        <v>Eyes of the Rune Keeper</v>
      </c>
      <c r="D425" s="724">
        <v>4</v>
      </c>
      <c r="E425" s="787">
        <f t="shared" ca="1" si="29"/>
        <v>3945702550</v>
      </c>
      <c r="F425" s="473">
        <f t="shared" ca="1" si="30"/>
        <v>8</v>
      </c>
      <c r="G425" s="699" t="s">
        <v>6912</v>
      </c>
      <c r="H425" s="757" t="str">
        <f t="shared" ca="1" si="31"/>
        <v>Fiendish Vigor</v>
      </c>
      <c r="I425" s="782">
        <v>1</v>
      </c>
      <c r="J425" s="724" t="e">
        <f ca="1">SMALL(L451:L454,1)</f>
        <v>#N/A</v>
      </c>
      <c r="K425" s="794">
        <f t="shared" ca="1" si="33"/>
        <v>7000971915</v>
      </c>
      <c r="L425" s="913">
        <f t="shared" ca="1" si="32"/>
        <v>13</v>
      </c>
      <c r="M425" s="913"/>
    </row>
    <row r="426" spans="2:13">
      <c r="B426" s="724">
        <v>12</v>
      </c>
      <c r="C426" s="911" t="str">
        <f>IF([1]MATH!D5&gt;11,VLOOKUP($J$427,$D$422:$G$468,4,FALSE),"")</f>
        <v/>
      </c>
      <c r="D426" s="724">
        <v>5</v>
      </c>
      <c r="E426" s="787">
        <f t="shared" ca="1" si="29"/>
        <v>1849059176</v>
      </c>
      <c r="F426" s="473">
        <f t="shared" ca="1" si="30"/>
        <v>12</v>
      </c>
      <c r="G426" s="699" t="s">
        <v>6913</v>
      </c>
      <c r="H426" s="757" t="str">
        <f t="shared" ca="1" si="31"/>
        <v>Repelling Blast</v>
      </c>
      <c r="I426" s="782">
        <v>1</v>
      </c>
      <c r="J426" s="724">
        <f ca="1">SMALL(L455:L459,1)</f>
        <v>7</v>
      </c>
      <c r="K426" s="794">
        <f t="shared" ca="1" si="33"/>
        <v>2632985273</v>
      </c>
      <c r="L426" s="913" t="str">
        <f t="shared" ca="1" si="32"/>
        <v xml:space="preserve"> </v>
      </c>
      <c r="M426" s="913"/>
    </row>
    <row r="427" spans="2:13">
      <c r="B427" s="724">
        <v>15</v>
      </c>
      <c r="C427" s="911" t="str">
        <f>IF([1]MATH!D5&gt;11,VLOOKUP($J$428,$D$422:$G$468,4,FALSE),"")</f>
        <v/>
      </c>
      <c r="D427" s="724">
        <v>6</v>
      </c>
      <c r="E427" s="787">
        <f t="shared" ca="1" si="29"/>
        <v>2439745014</v>
      </c>
      <c r="F427" s="473">
        <f t="shared" ca="1" si="30"/>
        <v>11</v>
      </c>
      <c r="G427" s="699" t="s">
        <v>6914</v>
      </c>
      <c r="H427" s="757" t="str">
        <f t="shared" ca="1" si="31"/>
        <v>Misty Visions</v>
      </c>
      <c r="I427" s="782">
        <v>1</v>
      </c>
      <c r="J427" s="724">
        <f ca="1">SMALL(L460:L463,1)</f>
        <v>2</v>
      </c>
      <c r="K427" s="794">
        <f t="shared" ca="1" si="33"/>
        <v>9523395708</v>
      </c>
      <c r="L427" s="913">
        <f t="shared" ca="1" si="32"/>
        <v>1</v>
      </c>
      <c r="M427" s="913"/>
    </row>
    <row r="428" spans="2:13">
      <c r="B428" s="724">
        <v>18</v>
      </c>
      <c r="C428" s="914" t="str">
        <f>IF([1]MATH!D5&gt;14,VLOOKUP($J$429,$D$422:$G$468,4,FALSE),"")</f>
        <v/>
      </c>
      <c r="D428" s="724">
        <v>7</v>
      </c>
      <c r="E428" s="787">
        <f t="shared" ca="1" si="29"/>
        <v>4557499705</v>
      </c>
      <c r="F428" s="473">
        <f t="shared" ca="1" si="30"/>
        <v>6</v>
      </c>
      <c r="G428" s="699" t="s">
        <v>6915</v>
      </c>
      <c r="H428" s="757" t="str">
        <f t="shared" ca="1" si="31"/>
        <v>Eldritch Sight</v>
      </c>
      <c r="I428" s="782">
        <v>1</v>
      </c>
      <c r="J428" s="724" t="e">
        <f ca="1">SMALL(L423:L464,10)</f>
        <v>#N/A</v>
      </c>
      <c r="K428" s="794">
        <f t="shared" ca="1" si="33"/>
        <v>6139837631</v>
      </c>
      <c r="L428" s="913" t="str">
        <f t="shared" ca="1" si="32"/>
        <v xml:space="preserve"> </v>
      </c>
      <c r="M428" s="913"/>
    </row>
    <row r="429" spans="2:13">
      <c r="B429" s="724">
        <v>19</v>
      </c>
      <c r="C429" s="914" t="str">
        <f>IF([1]MATH!D5&gt;17,VLOOKUP($J$429,$D$422:$G$468,4,FALSE),"")</f>
        <v/>
      </c>
      <c r="D429" s="724">
        <v>8</v>
      </c>
      <c r="E429" s="787">
        <f t="shared" ca="1" si="29"/>
        <v>5109702608</v>
      </c>
      <c r="F429" s="473">
        <f t="shared" ca="1" si="30"/>
        <v>5</v>
      </c>
      <c r="G429" s="699" t="s">
        <v>6916</v>
      </c>
      <c r="H429" s="757" t="str">
        <f t="shared" ca="1" si="31"/>
        <v>Devils Sight</v>
      </c>
      <c r="I429" s="782">
        <v>1</v>
      </c>
      <c r="J429" s="724">
        <f ca="1">SMALL(L465:L468,1)</f>
        <v>14</v>
      </c>
      <c r="K429" s="794">
        <f t="shared" ca="1" si="33"/>
        <v>7612718571</v>
      </c>
      <c r="L429" s="913" t="e">
        <f ca="1">IF(VLOOKUP(F429,$AG$117:$AJ$156,4,FALSE)=" "," ",IF(RANK(K429,$K$423:$K$468)&gt;15," ",RANK(K429,$K$423:$K$468)))</f>
        <v>#N/A</v>
      </c>
      <c r="M429" s="913"/>
    </row>
    <row r="430" spans="2:13">
      <c r="B430" s="915"/>
      <c r="C430" s="916"/>
      <c r="D430" s="724">
        <v>9</v>
      </c>
      <c r="E430" s="787">
        <f t="shared" ca="1" si="29"/>
        <v>7995123730</v>
      </c>
      <c r="F430" s="473">
        <f t="shared" ca="1" si="30"/>
        <v>1</v>
      </c>
      <c r="G430" s="699" t="s">
        <v>6917</v>
      </c>
      <c r="H430" s="757" t="str">
        <f t="shared" ca="1" si="31"/>
        <v>Agonizing Blast</v>
      </c>
      <c r="I430" s="782">
        <v>1</v>
      </c>
      <c r="J430" s="724">
        <f ca="1">SMALL(L466:L469,1)</f>
        <v>21</v>
      </c>
      <c r="K430" s="794">
        <f t="shared" ca="1" si="33"/>
        <v>5888638531</v>
      </c>
      <c r="L430" s="913" t="str">
        <f ca="1">IF(RANK(K430,$K$423:$K$468)&gt;15," ",RANK(K430,$K$423:$K$468))</f>
        <v xml:space="preserve"> </v>
      </c>
      <c r="M430" s="913"/>
    </row>
    <row r="431" spans="2:13">
      <c r="B431" s="915"/>
      <c r="C431" s="916"/>
      <c r="D431" s="724"/>
      <c r="E431" s="787"/>
      <c r="F431" s="473"/>
      <c r="G431" s="753"/>
      <c r="H431" s="757"/>
      <c r="I431" s="782"/>
      <c r="J431" s="917"/>
      <c r="K431" s="794"/>
      <c r="L431" s="913"/>
      <c r="M431" s="913"/>
    </row>
    <row r="432" spans="2:13">
      <c r="B432" s="915"/>
      <c r="C432" s="916"/>
      <c r="D432" s="724"/>
      <c r="E432" s="787"/>
      <c r="F432" s="473"/>
      <c r="G432" s="753"/>
      <c r="H432" s="757"/>
      <c r="I432" s="782"/>
      <c r="J432" s="917"/>
      <c r="K432" s="794"/>
      <c r="L432" s="913"/>
      <c r="M432" s="913"/>
    </row>
    <row r="433" spans="2:38">
      <c r="B433" s="915"/>
      <c r="C433" s="916"/>
      <c r="D433" s="724"/>
      <c r="E433" s="787"/>
      <c r="F433" s="473"/>
      <c r="G433" s="753"/>
      <c r="H433" s="757"/>
      <c r="I433" s="782"/>
      <c r="J433" s="917"/>
      <c r="K433" s="794"/>
      <c r="L433" s="913"/>
      <c r="M433" s="913"/>
    </row>
    <row r="434" spans="2:38">
      <c r="B434" s="915"/>
      <c r="C434" s="916"/>
      <c r="D434" s="724"/>
      <c r="E434" s="787"/>
      <c r="F434" s="473"/>
      <c r="G434" s="753"/>
      <c r="H434" s="757"/>
      <c r="I434" s="782"/>
      <c r="J434" s="917"/>
      <c r="K434" s="794"/>
      <c r="L434" s="913"/>
      <c r="M434" s="913"/>
    </row>
    <row r="435" spans="2:38">
      <c r="B435" s="915"/>
      <c r="C435" s="916"/>
      <c r="D435" s="724"/>
      <c r="E435" s="787"/>
      <c r="F435" s="473"/>
      <c r="G435" s="753"/>
      <c r="H435" s="757"/>
      <c r="I435" s="782"/>
      <c r="J435" s="917"/>
      <c r="K435" s="794"/>
      <c r="L435" s="913"/>
      <c r="M435" s="913"/>
    </row>
    <row r="436" spans="2:38">
      <c r="B436" s="915"/>
      <c r="C436" s="916"/>
      <c r="D436" s="724"/>
      <c r="E436" s="787"/>
      <c r="F436" s="473"/>
      <c r="G436" s="753"/>
      <c r="H436" s="757"/>
      <c r="I436" s="782"/>
      <c r="J436" s="917"/>
      <c r="K436" s="794"/>
      <c r="L436" s="913"/>
      <c r="M436" s="913"/>
    </row>
    <row r="437" spans="2:38">
      <c r="B437" s="915"/>
      <c r="C437" s="916"/>
      <c r="D437" s="724"/>
      <c r="E437" s="787"/>
      <c r="F437" s="473"/>
      <c r="G437" s="753"/>
      <c r="H437" s="757"/>
      <c r="I437" s="782"/>
      <c r="J437" s="917"/>
      <c r="K437" s="794"/>
      <c r="L437" s="913"/>
      <c r="M437" s="913"/>
      <c r="V437" s="272"/>
      <c r="W437" s="272"/>
      <c r="X437" s="272"/>
      <c r="Z437" s="273"/>
      <c r="AA437" s="273"/>
    </row>
    <row r="438" spans="2:38">
      <c r="B438" s="915"/>
      <c r="C438" s="916"/>
      <c r="D438" s="724"/>
      <c r="E438" s="787"/>
      <c r="F438" s="473"/>
      <c r="G438" s="753"/>
      <c r="H438" s="757"/>
      <c r="I438" s="782"/>
      <c r="J438" s="917"/>
      <c r="K438" s="794"/>
      <c r="L438" s="913"/>
      <c r="M438" s="913"/>
      <c r="V438" s="272"/>
      <c r="W438" s="272"/>
      <c r="X438" s="272"/>
      <c r="Z438" s="273"/>
      <c r="AA438" s="273"/>
    </row>
    <row r="439" spans="2:38" ht="14.25">
      <c r="B439" s="915"/>
      <c r="C439" s="916"/>
      <c r="D439" s="724"/>
      <c r="E439" s="787"/>
      <c r="F439" s="473"/>
      <c r="G439" s="753"/>
      <c r="H439" s="757"/>
      <c r="I439" s="782"/>
      <c r="J439" s="917"/>
      <c r="K439" s="794"/>
      <c r="L439" s="913"/>
      <c r="M439" s="913"/>
      <c r="AL439" s="918"/>
    </row>
    <row r="440" spans="2:38" ht="14.25">
      <c r="B440" s="915"/>
      <c r="C440" s="916"/>
      <c r="D440" s="724"/>
      <c r="E440" s="787"/>
      <c r="F440" s="473"/>
      <c r="G440" s="753"/>
      <c r="H440" s="757"/>
      <c r="I440" s="782"/>
      <c r="J440" s="917"/>
      <c r="K440" s="794"/>
      <c r="L440" s="913"/>
      <c r="M440" s="913"/>
      <c r="AL440" s="918"/>
    </row>
    <row r="441" spans="2:38">
      <c r="B441" s="915"/>
      <c r="C441" s="916"/>
      <c r="D441" s="724"/>
      <c r="E441" s="787"/>
      <c r="F441" s="473"/>
      <c r="G441" s="753"/>
      <c r="H441" s="757"/>
      <c r="I441" s="782"/>
      <c r="J441" s="917"/>
      <c r="K441" s="794"/>
      <c r="L441" s="913"/>
      <c r="M441" s="913"/>
      <c r="AL441" s="543"/>
    </row>
    <row r="442" spans="2:38">
      <c r="B442" s="915"/>
      <c r="C442" s="916"/>
      <c r="D442" s="724"/>
      <c r="E442" s="787"/>
      <c r="F442" s="473"/>
      <c r="G442" s="753"/>
      <c r="H442" s="757"/>
      <c r="I442" s="782"/>
      <c r="J442" s="917"/>
      <c r="K442" s="794"/>
      <c r="L442" s="913"/>
      <c r="M442" s="913"/>
      <c r="AL442" s="543"/>
    </row>
    <row r="443" spans="2:38">
      <c r="B443" s="915"/>
      <c r="C443" s="916"/>
      <c r="D443" s="724"/>
      <c r="E443" s="787"/>
      <c r="F443" s="473"/>
      <c r="G443" s="753"/>
      <c r="H443" s="757"/>
      <c r="I443" s="782"/>
      <c r="J443" s="917"/>
      <c r="K443" s="794"/>
      <c r="L443" s="913"/>
      <c r="M443" s="913"/>
      <c r="AL443" s="271"/>
    </row>
    <row r="444" spans="2:38">
      <c r="B444" s="915"/>
      <c r="C444" s="916"/>
      <c r="D444" s="724"/>
      <c r="E444" s="787"/>
      <c r="F444" s="473"/>
      <c r="G444" s="753"/>
      <c r="H444" s="757"/>
      <c r="I444" s="782"/>
      <c r="J444" s="917"/>
      <c r="K444" s="794"/>
      <c r="L444" s="913"/>
      <c r="M444" s="913"/>
      <c r="AL444" s="271"/>
    </row>
    <row r="445" spans="2:38">
      <c r="B445" s="915"/>
      <c r="C445" s="916"/>
      <c r="D445" s="724"/>
      <c r="E445" s="787"/>
      <c r="F445" s="473"/>
      <c r="G445" s="753"/>
      <c r="H445" s="757"/>
      <c r="I445" s="782"/>
      <c r="J445" s="917"/>
      <c r="K445" s="794"/>
      <c r="L445" s="913"/>
      <c r="M445" s="913"/>
      <c r="AL445" s="271"/>
    </row>
    <row r="446" spans="2:38">
      <c r="B446" s="915"/>
      <c r="C446" s="919" t="s">
        <v>6918</v>
      </c>
      <c r="D446" s="724">
        <v>10</v>
      </c>
      <c r="E446" s="787">
        <f ca="1">RANDBETWEEN(100000,10000000000)</f>
        <v>1433888875</v>
      </c>
      <c r="F446" s="473">
        <f t="shared" ref="F446:F456" ca="1" si="34">RANK(E446,$E$422:$E$468)</f>
        <v>13</v>
      </c>
      <c r="G446" s="753" t="s">
        <v>6919</v>
      </c>
      <c r="H446" s="757" t="str">
        <f t="shared" ref="H446:H456" ca="1" si="35">VLOOKUP(F446,$D$422:$G$468,4,FALSE)</f>
        <v>Thief of Five Fates</v>
      </c>
      <c r="I446" s="782">
        <v>1</v>
      </c>
      <c r="J446" s="3489" t="s">
        <v>6920</v>
      </c>
      <c r="K446" s="794">
        <f t="shared" ca="1" si="33"/>
        <v>6646424293</v>
      </c>
      <c r="L446" s="913">
        <f ca="1">IF(RANK(K446,$K$423:$K$468)&gt;15," ",RANK(K446,$K$423:$K$468))</f>
        <v>15</v>
      </c>
      <c r="M446" s="913"/>
      <c r="AL446" s="271"/>
    </row>
    <row r="447" spans="2:38">
      <c r="B447" s="915"/>
      <c r="C447" s="916"/>
      <c r="D447" s="724">
        <v>11</v>
      </c>
      <c r="E447" s="787">
        <f ca="1">RANDBETWEEN(100000,10000000000)</f>
        <v>741065108</v>
      </c>
      <c r="F447" s="473">
        <f t="shared" ca="1" si="34"/>
        <v>14</v>
      </c>
      <c r="G447" s="753" t="s">
        <v>6921</v>
      </c>
      <c r="H447" s="757" t="str">
        <f t="shared" ca="1" si="35"/>
        <v>Book of Ancient Secrets</v>
      </c>
      <c r="I447" s="782">
        <v>1</v>
      </c>
      <c r="J447" s="3490"/>
      <c r="K447" s="794">
        <f t="shared" ca="1" si="33"/>
        <v>7781588867</v>
      </c>
      <c r="L447" s="913">
        <f ca="1">IF(RANK(K447,$K$423:$K$468)&gt;15," ",RANK(K447,$K$423:$K$468))</f>
        <v>9</v>
      </c>
      <c r="M447" s="913"/>
      <c r="AE447" s="427"/>
      <c r="AF447" s="271"/>
      <c r="AG447" s="271"/>
      <c r="AH447" s="271"/>
      <c r="AI447" s="271"/>
      <c r="AJ447" s="271"/>
      <c r="AK447" s="271"/>
      <c r="AL447" s="271"/>
    </row>
    <row r="448" spans="2:38">
      <c r="B448" s="915"/>
      <c r="C448" s="916"/>
      <c r="D448" s="724">
        <v>12</v>
      </c>
      <c r="E448" s="787">
        <f ca="1">RANDBETWEEN(100000,10000000000)</f>
        <v>7166386090</v>
      </c>
      <c r="F448" s="473">
        <f t="shared" ca="1" si="34"/>
        <v>3</v>
      </c>
      <c r="G448" s="753" t="s">
        <v>6922</v>
      </c>
      <c r="H448" s="757" t="str">
        <f t="shared" ca="1" si="35"/>
        <v>Beast Speech</v>
      </c>
      <c r="I448" s="782">
        <v>1</v>
      </c>
      <c r="J448" s="3490"/>
      <c r="K448" s="794">
        <f t="shared" ca="1" si="33"/>
        <v>9154571727</v>
      </c>
      <c r="L448" s="913">
        <f ca="1">IF(RANK(K448,$K$423:$K$468)&gt;15," ",RANK(K448,$K$423:$K$468))</f>
        <v>3</v>
      </c>
      <c r="M448" s="913"/>
    </row>
    <row r="449" spans="2:13">
      <c r="B449" s="915"/>
      <c r="C449" s="916"/>
      <c r="D449" s="724">
        <v>13</v>
      </c>
      <c r="E449" s="787">
        <f ca="1">RANDBETWEEN(100000,10000000000)</f>
        <v>7327797834</v>
      </c>
      <c r="F449" s="473">
        <f t="shared" ca="1" si="34"/>
        <v>2</v>
      </c>
      <c r="G449" s="753" t="s">
        <v>6923</v>
      </c>
      <c r="H449" s="757" t="str">
        <f t="shared" ca="1" si="35"/>
        <v>Armor of Shadows</v>
      </c>
      <c r="I449" s="782">
        <v>1</v>
      </c>
      <c r="J449" s="3490"/>
      <c r="K449" s="794">
        <f t="shared" ca="1" si="33"/>
        <v>8966517562</v>
      </c>
      <c r="L449" s="913">
        <f ca="1">IF(RANK(K449,$K$423:$K$468)&gt;15," ",RANK(K449,$K$423:$K$468))</f>
        <v>4</v>
      </c>
      <c r="M449" s="913"/>
    </row>
    <row r="450" spans="2:13">
      <c r="B450" s="915"/>
      <c r="C450" s="916"/>
      <c r="D450" s="724">
        <v>14</v>
      </c>
      <c r="E450" s="787">
        <f ca="1">RANDBETWEEN(100000,10000000000)</f>
        <v>6369555482</v>
      </c>
      <c r="F450" s="473">
        <f t="shared" ca="1" si="34"/>
        <v>4</v>
      </c>
      <c r="G450" s="753" t="str">
        <f>IF(C319=C318,"Book of Ancient Secrets",IF(C319=#REF!,"Voice of the Chain Master","Agonizing Blast"))</f>
        <v>Book of Ancient Secrets</v>
      </c>
      <c r="H450" s="757" t="str">
        <f t="shared" ca="1" si="35"/>
        <v>Beguiling Influence</v>
      </c>
      <c r="I450" s="782">
        <v>1</v>
      </c>
      <c r="J450" s="799"/>
      <c r="K450" s="794">
        <f t="shared" ca="1" si="33"/>
        <v>3781562429</v>
      </c>
      <c r="L450" s="913" t="str">
        <f ca="1">IF(RANK(K450,$K$423:$K$468)&gt;15," ",RANK(K450,$K$423:$K$468))</f>
        <v xml:space="preserve"> </v>
      </c>
      <c r="M450" s="913"/>
    </row>
    <row r="451" spans="2:13">
      <c r="B451" s="915"/>
      <c r="C451" s="916"/>
      <c r="D451" s="724">
        <v>15</v>
      </c>
      <c r="E451" s="787">
        <f ca="1">RANDBETWEEN(10000,MIN($C$241:$C$248)-1)</f>
        <v>33762211</v>
      </c>
      <c r="F451" s="473">
        <f t="shared" ca="1" si="34"/>
        <v>21</v>
      </c>
      <c r="G451" s="920" t="s">
        <v>6924</v>
      </c>
      <c r="H451" s="757" t="str">
        <f t="shared" ca="1" si="35"/>
        <v>Sculptor of Flesh</v>
      </c>
      <c r="I451" s="782">
        <v>5</v>
      </c>
      <c r="J451" s="799"/>
      <c r="K451" s="794">
        <f t="shared" ca="1" si="33"/>
        <v>970024733</v>
      </c>
      <c r="L451" s="913" t="str">
        <f ca="1">IF(RANK(K451,$K$423:$K$468)&gt;20," ",RANK(K451,$K$423:$K$468))</f>
        <v xml:space="preserve"> </v>
      </c>
      <c r="M451" s="913"/>
    </row>
    <row r="452" spans="2:13">
      <c r="B452" s="915"/>
      <c r="C452" s="916"/>
      <c r="D452" s="724">
        <v>16</v>
      </c>
      <c r="E452" s="787">
        <f ca="1">RANDBETWEEN(10000,MIN($C$241:$C$248)-1)</f>
        <v>535298041</v>
      </c>
      <c r="F452" s="473">
        <f t="shared" ca="1" si="34"/>
        <v>15</v>
      </c>
      <c r="G452" s="921" t="s">
        <v>6925</v>
      </c>
      <c r="H452" s="757" t="str">
        <f t="shared" ca="1" si="35"/>
        <v>Mire the Mind</v>
      </c>
      <c r="I452" s="782">
        <v>5</v>
      </c>
      <c r="J452" s="799"/>
      <c r="K452" s="794">
        <f t="shared" ca="1" si="33"/>
        <v>7352927743</v>
      </c>
      <c r="L452" s="913" t="e">
        <f ca="1">IF(VLOOKUP(F452,$AG$117:$AJ$156,4,FALSE)=" "," ",IF(RANK(K452,$K$423:$K$468)&gt;20," ",RANK(K452,$K$423:$K$468)))</f>
        <v>#N/A</v>
      </c>
      <c r="M452" s="913"/>
    </row>
    <row r="453" spans="2:13">
      <c r="B453" s="922"/>
      <c r="C453" s="923"/>
      <c r="D453" s="724">
        <v>17</v>
      </c>
      <c r="E453" s="787">
        <f ca="1">RANDBETWEEN(10000,MIN($C$241:$C$248)-1)</f>
        <v>258531723</v>
      </c>
      <c r="F453" s="473">
        <f t="shared" ca="1" si="34"/>
        <v>16</v>
      </c>
      <c r="G453" s="921" t="s">
        <v>6926</v>
      </c>
      <c r="H453" s="757" t="str">
        <f t="shared" ca="1" si="35"/>
        <v>One with Shadows</v>
      </c>
      <c r="I453" s="782">
        <v>5</v>
      </c>
      <c r="J453" s="799"/>
      <c r="K453" s="794">
        <f t="shared" ca="1" si="33"/>
        <v>8832894697</v>
      </c>
      <c r="L453" s="913" t="e">
        <f ca="1">IF(VLOOKUP(F453,$AG$117:$AJ$156,4,FALSE)=" "," ",IF(RANK(K453,$K$423:$K$468)&gt;20," ",RANK(K453,$K$423:$K$468)))</f>
        <v>#N/A</v>
      </c>
      <c r="M453" s="913"/>
    </row>
    <row r="454" spans="2:13">
      <c r="B454" s="915"/>
      <c r="C454" s="916"/>
      <c r="D454" s="724">
        <v>18</v>
      </c>
      <c r="E454" s="787">
        <f ca="1">RANDBETWEEN(10000,MIN($C$241:$C$248)-1)</f>
        <v>250178384</v>
      </c>
      <c r="F454" s="473">
        <f t="shared" ca="1" si="34"/>
        <v>17</v>
      </c>
      <c r="G454" s="921" t="str">
        <f>IF(AND([1]MATH!C10=2,[1]MATH!C5&gt;4),"Thirsting Blade","Devils Sight")</f>
        <v>Devils Sight</v>
      </c>
      <c r="H454" s="757" t="str">
        <f t="shared" ca="1" si="35"/>
        <v>Sign of Ill Omen</v>
      </c>
      <c r="I454" s="782">
        <v>5</v>
      </c>
      <c r="J454" s="799"/>
      <c r="K454" s="794">
        <f t="shared" ca="1" si="33"/>
        <v>4952247988</v>
      </c>
      <c r="L454" s="913" t="e">
        <f ca="1">IF(VLOOKUP(F454,$AG$117:$AJ$156,4,FALSE)=" "," ",IF(RANK(K454,$K$423:$K$468)&gt;20," ",RANK(K454,$K$423:$K$468)))</f>
        <v>#N/A</v>
      </c>
      <c r="M454" s="913"/>
    </row>
    <row r="455" spans="2:13">
      <c r="B455" s="915"/>
      <c r="C455" s="916"/>
      <c r="D455" s="724">
        <v>19</v>
      </c>
      <c r="E455" s="787">
        <f ca="1">RANDBETWEEN(1000,MIN(E453:E454)-1)</f>
        <v>134470882</v>
      </c>
      <c r="F455" s="473">
        <f t="shared" ca="1" si="34"/>
        <v>18</v>
      </c>
      <c r="G455" s="921" t="s">
        <v>6927</v>
      </c>
      <c r="H455" s="757" t="str">
        <f t="shared" ca="1" si="35"/>
        <v>Devils Sight</v>
      </c>
      <c r="I455" s="782">
        <v>7</v>
      </c>
      <c r="J455" s="799"/>
      <c r="K455" s="794">
        <f t="shared" ca="1" si="33"/>
        <v>6218041142</v>
      </c>
      <c r="L455" s="913">
        <f ca="1">IF(RANK(K455,$K$423:$K$468)&gt;23," ",RANK(K455,$K$423:$K$468))</f>
        <v>16</v>
      </c>
      <c r="M455" s="913"/>
    </row>
    <row r="456" spans="2:13">
      <c r="B456" s="915"/>
      <c r="C456" s="916"/>
      <c r="D456" s="724">
        <v>20</v>
      </c>
      <c r="E456" s="787">
        <f ca="1">RANDBETWEEN(1000,MIN(E454:E455)-1)</f>
        <v>96427899</v>
      </c>
      <c r="F456" s="473">
        <f t="shared" ca="1" si="34"/>
        <v>19</v>
      </c>
      <c r="G456" s="921" t="s">
        <v>6928</v>
      </c>
      <c r="H456" s="757" t="str">
        <f t="shared" ca="1" si="35"/>
        <v>Bewitching Whispers</v>
      </c>
      <c r="I456" s="782">
        <v>7</v>
      </c>
      <c r="J456" s="799"/>
      <c r="K456" s="794">
        <f t="shared" ca="1" si="33"/>
        <v>8449073837</v>
      </c>
      <c r="L456" s="913">
        <f ca="1">IF(RANK(K456,$K$423:$K$468)&gt;23," ",RANK(K456,$K$423:$K$468))</f>
        <v>7</v>
      </c>
      <c r="M456" s="913"/>
    </row>
    <row r="457" spans="2:13">
      <c r="B457" s="915"/>
      <c r="C457" s="916"/>
      <c r="D457" s="724"/>
      <c r="E457" s="787"/>
      <c r="F457" s="473"/>
      <c r="G457" s="921"/>
      <c r="H457" s="757"/>
      <c r="I457" s="782"/>
      <c r="J457" s="799"/>
      <c r="K457" s="794"/>
      <c r="L457" s="913"/>
      <c r="M457" s="913"/>
    </row>
    <row r="458" spans="2:13">
      <c r="B458" s="915"/>
      <c r="C458" s="916"/>
      <c r="D458" s="724"/>
      <c r="E458" s="787"/>
      <c r="F458" s="473"/>
      <c r="G458" s="921"/>
      <c r="H458" s="757"/>
      <c r="I458" s="782"/>
      <c r="J458" s="799"/>
      <c r="K458" s="794"/>
      <c r="L458" s="913"/>
      <c r="M458" s="913"/>
    </row>
    <row r="459" spans="2:13">
      <c r="B459" s="915"/>
      <c r="C459" s="916"/>
      <c r="D459" s="724">
        <v>21</v>
      </c>
      <c r="E459" s="787">
        <f ca="1">RANDBETWEEN(1000,MIN(E455:E456)-1)</f>
        <v>48734718</v>
      </c>
      <c r="F459" s="473">
        <f t="shared" ref="F459:F468" ca="1" si="36">RANK(E459,$E$422:$E$468)</f>
        <v>20</v>
      </c>
      <c r="G459" s="921" t="s">
        <v>6929</v>
      </c>
      <c r="H459" s="757" t="str">
        <f t="shared" ref="H459:H468" ca="1" si="37">VLOOKUP(F459,$D$422:$G$468,4,FALSE)</f>
        <v>Dreadful Word</v>
      </c>
      <c r="I459" s="782">
        <v>7</v>
      </c>
      <c r="J459" s="799"/>
      <c r="K459" s="794">
        <f t="shared" ca="1" si="33"/>
        <v>5837604314</v>
      </c>
      <c r="L459" s="913">
        <f ca="1">IF(RANK(K459,$K$423:$K$468)&gt;23," ",RANK(K459,$K$423:$K$468))</f>
        <v>19</v>
      </c>
      <c r="M459" s="913"/>
    </row>
    <row r="460" spans="2:13">
      <c r="B460" s="915"/>
      <c r="C460" s="916"/>
      <c r="D460" s="724">
        <v>22</v>
      </c>
      <c r="E460" s="787">
        <f ca="1">RANDBETWEEN(100,MIN(E454:E459)-1)</f>
        <v>7286207</v>
      </c>
      <c r="F460" s="473">
        <f t="shared" ca="1" si="36"/>
        <v>22</v>
      </c>
      <c r="G460" s="921" t="s">
        <v>6930</v>
      </c>
      <c r="H460" s="757" t="str">
        <f t="shared" ca="1" si="37"/>
        <v>Ascendant Step</v>
      </c>
      <c r="I460" s="782">
        <v>9</v>
      </c>
      <c r="J460" s="799"/>
      <c r="K460" s="794">
        <f t="shared" ca="1" si="33"/>
        <v>9353613734</v>
      </c>
      <c r="L460" s="913">
        <f ca="1">IF(RANK(K460,$K$423:$K$468)&gt;26," ",RANK(K460,$K$423:$K$468))</f>
        <v>2</v>
      </c>
      <c r="M460" s="913"/>
    </row>
    <row r="461" spans="2:13">
      <c r="B461" s="915"/>
      <c r="C461" s="916"/>
      <c r="D461" s="724">
        <v>23</v>
      </c>
      <c r="E461" s="787">
        <f ca="1">RANDBETWEEN(100,MIN(E455:E460)-1)</f>
        <v>5570870</v>
      </c>
      <c r="F461" s="473">
        <f t="shared" ca="1" si="36"/>
        <v>23</v>
      </c>
      <c r="G461" s="921" t="s">
        <v>6931</v>
      </c>
      <c r="H461" s="757" t="str">
        <f t="shared" ca="1" si="37"/>
        <v>Minions of Chaos</v>
      </c>
      <c r="I461" s="782">
        <v>9</v>
      </c>
      <c r="J461" s="799"/>
      <c r="K461" s="794">
        <f t="shared" ca="1" si="33"/>
        <v>620265751</v>
      </c>
      <c r="L461" s="913" t="str">
        <f ca="1">IF(RANK(K461,$K$423:$K$468)&gt;26," ",RANK(K461,$K$423:$K$468))</f>
        <v xml:space="preserve"> </v>
      </c>
      <c r="M461" s="913"/>
    </row>
    <row r="462" spans="2:13">
      <c r="B462" s="922"/>
      <c r="C462" s="923"/>
      <c r="D462" s="724">
        <v>24</v>
      </c>
      <c r="E462" s="787">
        <f ca="1">RANDBETWEEN(100,MIN(E456:E461)-1)</f>
        <v>1876395</v>
      </c>
      <c r="F462" s="473">
        <f t="shared" ca="1" si="36"/>
        <v>24</v>
      </c>
      <c r="G462" s="921" t="s">
        <v>6932</v>
      </c>
      <c r="H462" s="757" t="str">
        <f t="shared" ca="1" si="37"/>
        <v>Otherworldly Leap</v>
      </c>
      <c r="I462" s="782">
        <v>9</v>
      </c>
      <c r="J462" s="799"/>
      <c r="K462" s="794">
        <f t="shared" ca="1" si="33"/>
        <v>8370783011</v>
      </c>
      <c r="L462" s="913">
        <f ca="1">IF(RANK(K462,$K$423:$K$468)&gt;26," ",RANK(K462,$K$423:$K$468))</f>
        <v>8</v>
      </c>
      <c r="M462" s="913"/>
    </row>
    <row r="463" spans="2:13">
      <c r="B463" s="915"/>
      <c r="C463" s="916"/>
      <c r="D463" s="724">
        <v>25</v>
      </c>
      <c r="E463" s="787">
        <f ca="1">RANDBETWEEN(100,MIN(E459:E462)-1)</f>
        <v>1706047</v>
      </c>
      <c r="F463" s="473">
        <f t="shared" ca="1" si="36"/>
        <v>25</v>
      </c>
      <c r="G463" s="921" t="s">
        <v>6933</v>
      </c>
      <c r="H463" s="757" t="str">
        <f t="shared" ca="1" si="37"/>
        <v>Whispers of the Grave</v>
      </c>
      <c r="I463" s="782">
        <v>9</v>
      </c>
      <c r="J463" s="799"/>
      <c r="K463" s="794">
        <f t="shared" ca="1" si="33"/>
        <v>4321340944</v>
      </c>
      <c r="L463" s="913">
        <f ca="1">IF(RANK(K463,$K$423:$K$468)&gt;26," ",RANK(K463,$K$423:$K$468))</f>
        <v>22</v>
      </c>
      <c r="M463" s="913"/>
    </row>
    <row r="464" spans="2:13">
      <c r="B464" s="915"/>
      <c r="C464" s="916"/>
      <c r="D464" s="724">
        <v>26</v>
      </c>
      <c r="E464" s="787">
        <f ca="1">RANDBETWEEN(10,MIN(E462:E463)-1)</f>
        <v>1529047</v>
      </c>
      <c r="F464" s="473">
        <f t="shared" ca="1" si="36"/>
        <v>26</v>
      </c>
      <c r="G464" s="921" t="str">
        <f>IF(AND([1]MATH!C10=2,[1]MATH!D5&gt;11),"Lifedrinker","Armor of Shadows")</f>
        <v>Armor of Shadows</v>
      </c>
      <c r="H464" s="757" t="str">
        <f t="shared" ca="1" si="37"/>
        <v>Armor of Shadows</v>
      </c>
      <c r="I464" s="782">
        <v>12</v>
      </c>
      <c r="J464" s="799"/>
      <c r="K464" s="794">
        <f t="shared" ca="1" si="33"/>
        <v>7225277805</v>
      </c>
      <c r="L464" s="913">
        <f ca="1">IF(RANK(K464,$K$423:$K$468)&gt;27," ",RANK(K464,$K$423:$K$468))</f>
        <v>12</v>
      </c>
      <c r="M464" s="913"/>
    </row>
    <row r="465" spans="2:13">
      <c r="B465" s="915"/>
      <c r="C465" s="916"/>
      <c r="D465" s="724">
        <v>27</v>
      </c>
      <c r="E465" s="787">
        <f ca="1">RANDBETWEEN(1,MIN(E463:E464)-1)</f>
        <v>1065167</v>
      </c>
      <c r="F465" s="473">
        <f t="shared" ca="1" si="36"/>
        <v>27</v>
      </c>
      <c r="G465" s="921" t="s">
        <v>6934</v>
      </c>
      <c r="H465" s="757" t="str">
        <f t="shared" ca="1" si="37"/>
        <v>Master of Many Faces</v>
      </c>
      <c r="I465" s="782">
        <v>15</v>
      </c>
      <c r="J465" s="799"/>
      <c r="K465" s="794">
        <f t="shared" ca="1" si="33"/>
        <v>6731018722</v>
      </c>
      <c r="L465" s="913">
        <f ca="1">RANK(K465,$K$423:$K$468)</f>
        <v>14</v>
      </c>
      <c r="M465" s="913"/>
    </row>
    <row r="466" spans="2:13">
      <c r="B466" s="915"/>
      <c r="C466" s="916"/>
      <c r="D466" s="724">
        <v>28</v>
      </c>
      <c r="E466" s="787">
        <f ca="1">RANDBETWEEN(1,MIN(E464:E465)-1)</f>
        <v>399863</v>
      </c>
      <c r="F466" s="473">
        <f t="shared" ca="1" si="36"/>
        <v>28</v>
      </c>
      <c r="G466" s="924" t="s">
        <v>6935</v>
      </c>
      <c r="H466" s="757" t="str">
        <f t="shared" ca="1" si="37"/>
        <v>Visions of Distant Realms</v>
      </c>
      <c r="I466" s="782">
        <v>15</v>
      </c>
      <c r="J466" s="799"/>
      <c r="K466" s="794">
        <f t="shared" ca="1" si="33"/>
        <v>4652667983</v>
      </c>
      <c r="L466" s="913">
        <f ca="1">RANK(K466,$K$423:$K$468)</f>
        <v>21</v>
      </c>
      <c r="M466" s="913"/>
    </row>
    <row r="467" spans="2:13">
      <c r="B467" s="915"/>
      <c r="C467" s="916"/>
      <c r="D467" s="724">
        <v>29</v>
      </c>
      <c r="E467" s="787">
        <f ca="1">RANDBETWEEN(1,MIN(E465:E466)-1)</f>
        <v>232085</v>
      </c>
      <c r="F467" s="473">
        <f t="shared" ca="1" si="36"/>
        <v>29</v>
      </c>
      <c r="G467" s="753" t="s">
        <v>6936</v>
      </c>
      <c r="H467" s="757" t="str">
        <f t="shared" ca="1" si="37"/>
        <v>Witch Sight</v>
      </c>
      <c r="I467" s="782">
        <v>15</v>
      </c>
      <c r="J467" s="799"/>
      <c r="K467" s="794">
        <f t="shared" ca="1" si="33"/>
        <v>1612354018</v>
      </c>
      <c r="L467" s="913">
        <f ca="1">RANK(K467,$K$423:$K$468)</f>
        <v>27</v>
      </c>
      <c r="M467" s="913"/>
    </row>
    <row r="468" spans="2:13" ht="11.25" thickBot="1">
      <c r="B468" s="925"/>
      <c r="C468" s="926"/>
      <c r="D468" s="762">
        <v>30</v>
      </c>
      <c r="E468" s="802">
        <f ca="1">RANDBETWEEN(1,MIN(E466:E467)-1)</f>
        <v>164644</v>
      </c>
      <c r="F468" s="513">
        <f t="shared" ca="1" si="36"/>
        <v>30</v>
      </c>
      <c r="G468" s="927" t="str">
        <f>IF(AND(C319=C318,C161&gt;14),"Chains of Carceri","Repelling Blast")</f>
        <v>Chains of Carceri</v>
      </c>
      <c r="H468" s="766" t="str">
        <f t="shared" ca="1" si="37"/>
        <v>Chains of Carceri</v>
      </c>
      <c r="I468" s="804">
        <v>15</v>
      </c>
      <c r="J468" s="799"/>
      <c r="K468" s="794">
        <f t="shared" ca="1" si="33"/>
        <v>3409192189</v>
      </c>
      <c r="L468" s="913">
        <f ca="1">IF(VLOOKUP(F468,$D$422:$G$468,4,FALSE)=" "," ",RANK(K468,$K$423:$K$468))</f>
        <v>24</v>
      </c>
      <c r="M468" s="913"/>
    </row>
    <row r="469" spans="2:13">
      <c r="B469" s="272"/>
      <c r="F469" s="272"/>
    </row>
  </sheetData>
  <mergeCells count="73">
    <mergeCell ref="D4:D5"/>
    <mergeCell ref="E4:E5"/>
    <mergeCell ref="F4:H4"/>
    <mergeCell ref="Z4:AA4"/>
    <mergeCell ref="H22:O22"/>
    <mergeCell ref="L37:L38"/>
    <mergeCell ref="B62:P62"/>
    <mergeCell ref="B82:O82"/>
    <mergeCell ref="C88:C102"/>
    <mergeCell ref="C106:L106"/>
    <mergeCell ref="O37:O38"/>
    <mergeCell ref="P39:P60"/>
    <mergeCell ref="C37:C38"/>
    <mergeCell ref="D37:D38"/>
    <mergeCell ref="E37:E38"/>
    <mergeCell ref="F37:F38"/>
    <mergeCell ref="G37:G38"/>
    <mergeCell ref="H37:H38"/>
    <mergeCell ref="I37:I38"/>
    <mergeCell ref="J37:J38"/>
    <mergeCell ref="M37:M38"/>
    <mergeCell ref="B177:B178"/>
    <mergeCell ref="H23:H24"/>
    <mergeCell ref="D24:F24"/>
    <mergeCell ref="B116:I117"/>
    <mergeCell ref="K37:K38"/>
    <mergeCell ref="B107:C107"/>
    <mergeCell ref="H30:O30"/>
    <mergeCell ref="B35:O36"/>
    <mergeCell ref="N37:N38"/>
    <mergeCell ref="B175:D176"/>
    <mergeCell ref="B118:B119"/>
    <mergeCell ref="B127:D128"/>
    <mergeCell ref="B129:B130"/>
    <mergeCell ref="B137:D138"/>
    <mergeCell ref="B139:B140"/>
    <mergeCell ref="B146:D147"/>
    <mergeCell ref="B148:B149"/>
    <mergeCell ref="B155:E156"/>
    <mergeCell ref="B157:B158"/>
    <mergeCell ref="B165:E166"/>
    <mergeCell ref="B167:B168"/>
    <mergeCell ref="B198:E199"/>
    <mergeCell ref="B200:B201"/>
    <mergeCell ref="C209:I210"/>
    <mergeCell ref="B211:B227"/>
    <mergeCell ref="L240:N240"/>
    <mergeCell ref="B231:E232"/>
    <mergeCell ref="B233:B234"/>
    <mergeCell ref="H240:J240"/>
    <mergeCell ref="B264:D265"/>
    <mergeCell ref="B266:B267"/>
    <mergeCell ref="B318:E319"/>
    <mergeCell ref="B320:B321"/>
    <mergeCell ref="C273:E273"/>
    <mergeCell ref="G273:H273"/>
    <mergeCell ref="Q344:R345"/>
    <mergeCell ref="D346:D347"/>
    <mergeCell ref="D353:D354"/>
    <mergeCell ref="C369:G370"/>
    <mergeCell ref="I369:M370"/>
    <mergeCell ref="N369:N370"/>
    <mergeCell ref="O369:P370"/>
    <mergeCell ref="O344:P345"/>
    <mergeCell ref="I403:I410"/>
    <mergeCell ref="B328:J328"/>
    <mergeCell ref="B329:B330"/>
    <mergeCell ref="D344:J345"/>
    <mergeCell ref="J446:J449"/>
    <mergeCell ref="I371:I378"/>
    <mergeCell ref="I379:I387"/>
    <mergeCell ref="I388:I397"/>
    <mergeCell ref="I398:I402"/>
  </mergeCells>
  <pageMargins left="0.7" right="0.7" top="0.75" bottom="0.75" header="0.3" footer="0.3"/>
  <pageSetup orientation="portrait" horizontalDpi="4294967293"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DA56E-3071-415A-B024-41259D07A2B8}">
  <sheetPr codeName="Аркуш22">
    <tabColor rgb="FFC00000"/>
    <outlinePr summaryBelow="0" summaryRight="0"/>
  </sheetPr>
  <dimension ref="A1:BY1004"/>
  <sheetViews>
    <sheetView showGridLines="0" topLeftCell="A66" workbookViewId="0">
      <selection activeCell="M174" sqref="M174:P174"/>
    </sheetView>
  </sheetViews>
  <sheetFormatPr defaultColWidth="11.21875" defaultRowHeight="15.75" customHeight="1"/>
  <cols>
    <col min="1" max="11" width="2.21875" style="147" customWidth="1"/>
    <col min="12" max="12" width="2.6640625" style="147" customWidth="1"/>
    <col min="13" max="23" width="2.21875" style="147" customWidth="1"/>
    <col min="24" max="24" width="2.88671875" style="147" customWidth="1"/>
    <col min="25" max="25" width="2" style="147" customWidth="1"/>
    <col min="26" max="26" width="2.44140625" style="147" customWidth="1"/>
    <col min="27" max="27" width="2.88671875" style="147" customWidth="1"/>
    <col min="28" max="31" width="2.21875" style="147" customWidth="1"/>
    <col min="32" max="32" width="2.88671875" style="147" customWidth="1"/>
    <col min="33" max="33" width="2.6640625" style="147" customWidth="1"/>
    <col min="34" max="34" width="2.77734375" style="147" customWidth="1"/>
    <col min="35" max="35" width="2.33203125" style="147" customWidth="1"/>
    <col min="36" max="77" width="2.21875" style="147" customWidth="1"/>
    <col min="78" max="16384" width="11.21875" style="147"/>
  </cols>
  <sheetData>
    <row r="1" spans="1:77" ht="23.25">
      <c r="A1" s="3751" t="str">
        <f>HYPERLINK("https://docs.google.com/spreadsheets/d/1t2dAkngRDsb7tWCTAB42oTOih_5P-m_p2-oAl1EbDRk","DO NOT MODIFY ANYTHING ON THIS TAB. CLICK HERE TO GET TO THE LIVE CHARACTER SHEET")</f>
        <v>DO NOT MODIFY ANYTHING ON THIS TAB. CLICK HERE TO GET TO THE LIVE CHARACTER SHEET</v>
      </c>
      <c r="B1" s="2707"/>
      <c r="C1" s="2707"/>
      <c r="D1" s="2707"/>
      <c r="E1" s="2707"/>
      <c r="F1" s="2707"/>
      <c r="G1" s="2707"/>
      <c r="H1" s="2707"/>
      <c r="I1" s="2707"/>
      <c r="J1" s="2707"/>
      <c r="K1" s="2707"/>
      <c r="L1" s="2707"/>
      <c r="M1" s="2707"/>
      <c r="N1" s="2707"/>
      <c r="O1" s="2707"/>
      <c r="P1" s="2707"/>
      <c r="Q1" s="2707"/>
      <c r="R1" s="2707"/>
      <c r="S1" s="2707"/>
      <c r="T1" s="2707"/>
      <c r="U1" s="2707"/>
      <c r="V1" s="2707"/>
      <c r="W1" s="2707"/>
      <c r="X1" s="2707"/>
      <c r="Y1" s="2707"/>
      <c r="Z1" s="2707"/>
      <c r="AA1" s="2707"/>
      <c r="AB1" s="2707"/>
      <c r="AC1" s="2707"/>
      <c r="AD1" s="2707"/>
      <c r="AE1" s="2707"/>
      <c r="AF1" s="2707"/>
      <c r="AG1" s="2707"/>
      <c r="AH1" s="2707"/>
      <c r="AI1" s="2707"/>
      <c r="AJ1" s="2707"/>
      <c r="AK1" s="2707"/>
      <c r="AL1" s="2707"/>
      <c r="AM1" s="2707"/>
      <c r="AN1" s="2707"/>
      <c r="AO1" s="2707"/>
      <c r="AP1" s="2707"/>
      <c r="AQ1" s="2707"/>
      <c r="AR1" s="2707"/>
      <c r="AS1" s="2707"/>
      <c r="AT1" s="2707"/>
      <c r="AU1" s="2707"/>
      <c r="AV1" s="2707"/>
      <c r="AW1" s="2707"/>
      <c r="AX1" s="2707"/>
      <c r="AY1" s="2707"/>
      <c r="AZ1" s="2707"/>
      <c r="BA1" s="2707"/>
      <c r="BB1" s="2707"/>
      <c r="BC1" s="2707"/>
      <c r="BD1" s="161"/>
      <c r="BE1" s="161"/>
      <c r="BF1" s="161"/>
      <c r="BG1" s="161"/>
      <c r="BH1" s="161"/>
      <c r="BI1" s="161"/>
      <c r="BJ1" s="161"/>
      <c r="BK1" s="161"/>
      <c r="BL1" s="161"/>
      <c r="BM1" s="161"/>
      <c r="BN1" s="161"/>
      <c r="BO1" s="161"/>
      <c r="BP1" s="161"/>
      <c r="BQ1" s="161"/>
      <c r="BR1" s="161"/>
      <c r="BS1" s="161"/>
      <c r="BT1" s="161"/>
      <c r="BU1" s="161"/>
      <c r="BV1" s="161"/>
      <c r="BW1" s="161"/>
      <c r="BX1" s="161"/>
      <c r="BY1" s="161"/>
    </row>
    <row r="2" spans="1:77" ht="16.5" thickBot="1">
      <c r="A2" s="162" t="str">
        <f ca="1">IFERROR(__xludf.DUMMYFUNCTION("IMPORTRANGE(""https://docs.google.com/spreadsheets/d/1XjRtUsFSjBLP1m3zlIoL6BPpPSl_xkuGCBm_r2Xzs-g/edit#gid=1625769391"",""CS!a:zz"")"),"")</f>
        <v/>
      </c>
      <c r="B2" s="162"/>
      <c r="C2" s="162"/>
      <c r="D2" s="162"/>
      <c r="E2" s="162"/>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62"/>
      <c r="AH2" s="162"/>
      <c r="AI2" s="162"/>
      <c r="AJ2" s="162"/>
      <c r="AK2" s="162"/>
      <c r="AL2" s="162"/>
      <c r="AM2" s="162"/>
      <c r="AN2" s="162"/>
      <c r="AO2" s="162"/>
      <c r="AP2" s="162"/>
      <c r="AQ2" s="162"/>
      <c r="AR2" s="162"/>
      <c r="AS2" s="162"/>
      <c r="AT2" s="161"/>
      <c r="AU2" s="161"/>
      <c r="AV2" s="161"/>
      <c r="AW2" s="161"/>
      <c r="AX2" s="161"/>
      <c r="AY2" s="161"/>
      <c r="AZ2" s="161"/>
      <c r="BA2" s="161"/>
      <c r="BB2" s="161"/>
      <c r="BC2" s="161"/>
      <c r="BD2" s="161"/>
      <c r="BE2" s="161"/>
      <c r="BF2" s="161"/>
      <c r="BG2" s="161"/>
      <c r="BH2" s="161"/>
      <c r="BI2" s="161"/>
      <c r="BJ2" s="161"/>
      <c r="BK2" s="161"/>
      <c r="BL2" s="161"/>
      <c r="BM2" s="161"/>
      <c r="BN2" s="161"/>
      <c r="BO2" s="161"/>
      <c r="BP2" s="161"/>
      <c r="BQ2" s="161"/>
      <c r="BR2" s="161"/>
      <c r="BS2" s="161"/>
      <c r="BT2" s="161"/>
      <c r="BU2" s="161"/>
      <c r="BV2" s="161"/>
      <c r="BW2" s="161"/>
      <c r="BX2" s="161"/>
      <c r="BY2" s="161"/>
    </row>
    <row r="3" spans="1:77">
      <c r="A3" s="162"/>
      <c r="B3" s="3772" t="str">
        <f ca="1">IFERROR(__xludf.DUMMYFUNCTION("""COMPUTED_VALUE"""),"Character Name")</f>
        <v>Character Name</v>
      </c>
      <c r="C3" s="3573"/>
      <c r="D3" s="3573"/>
      <c r="E3" s="3573"/>
      <c r="F3" s="3573"/>
      <c r="G3" s="3573"/>
      <c r="H3" s="3573"/>
      <c r="I3" s="3573"/>
      <c r="J3" s="3750"/>
      <c r="K3" s="3573"/>
      <c r="L3" s="3573"/>
      <c r="M3" s="3573"/>
      <c r="N3" s="3573"/>
      <c r="O3" s="3573"/>
      <c r="P3" s="3573"/>
      <c r="Q3" s="3573"/>
      <c r="R3" s="3573"/>
      <c r="S3" s="3573"/>
      <c r="T3" s="3573"/>
      <c r="U3" s="3573"/>
      <c r="V3" s="3574"/>
      <c r="W3" s="162"/>
      <c r="X3" s="162"/>
      <c r="Y3" s="162"/>
      <c r="Z3" s="162"/>
      <c r="AA3" s="162"/>
      <c r="AB3" s="162"/>
      <c r="AC3" s="3754" t="str">
        <f ca="1">IFERROR(__xludf.DUMMYFUNCTION("""COMPUTED_VALUE"""),"Player Name")</f>
        <v>Player Name</v>
      </c>
      <c r="AD3" s="3573"/>
      <c r="AE3" s="3573"/>
      <c r="AF3" s="3573"/>
      <c r="AG3" s="3573"/>
      <c r="AH3" s="3573"/>
      <c r="AI3" s="3750"/>
      <c r="AJ3" s="3573"/>
      <c r="AK3" s="3573"/>
      <c r="AL3" s="3573"/>
      <c r="AM3" s="3573"/>
      <c r="AN3" s="3573"/>
      <c r="AO3" s="3573"/>
      <c r="AP3" s="3573"/>
      <c r="AQ3" s="3573"/>
      <c r="AR3" s="3573"/>
      <c r="AS3" s="3573"/>
      <c r="AT3" s="3574"/>
      <c r="AU3" s="255"/>
      <c r="AV3" s="255"/>
      <c r="AW3" s="255"/>
      <c r="AX3" s="162"/>
      <c r="AY3" s="162"/>
      <c r="AZ3" s="162"/>
      <c r="BA3" s="162"/>
      <c r="BB3" s="162"/>
      <c r="BC3" s="162"/>
      <c r="BD3" s="162"/>
      <c r="BE3" s="162"/>
      <c r="BF3" s="162"/>
      <c r="BG3" s="162"/>
      <c r="BH3" s="162"/>
      <c r="BI3" s="162"/>
      <c r="BJ3" s="162"/>
      <c r="BK3" s="162"/>
      <c r="BL3" s="162"/>
      <c r="BM3" s="162"/>
      <c r="BN3" s="162"/>
      <c r="BO3" s="162"/>
      <c r="BP3" s="162"/>
      <c r="BQ3" s="162"/>
      <c r="BR3" s="162"/>
      <c r="BS3" s="162"/>
      <c r="BT3" s="162"/>
      <c r="BU3" s="162"/>
      <c r="BV3" s="162"/>
      <c r="BW3" s="162"/>
      <c r="BX3" s="162"/>
      <c r="BY3" s="162"/>
    </row>
    <row r="4" spans="1:77" ht="16.5" thickBot="1">
      <c r="A4" s="162"/>
      <c r="B4" s="3575"/>
      <c r="C4" s="3576"/>
      <c r="D4" s="3576"/>
      <c r="E4" s="3576"/>
      <c r="F4" s="3576"/>
      <c r="G4" s="3576"/>
      <c r="H4" s="3576"/>
      <c r="I4" s="3576"/>
      <c r="J4" s="3575"/>
      <c r="K4" s="3576"/>
      <c r="L4" s="3576"/>
      <c r="M4" s="3576"/>
      <c r="N4" s="3576"/>
      <c r="O4" s="3576"/>
      <c r="P4" s="3576"/>
      <c r="Q4" s="3576"/>
      <c r="R4" s="3576"/>
      <c r="S4" s="3576"/>
      <c r="T4" s="3576"/>
      <c r="U4" s="3576"/>
      <c r="V4" s="3577"/>
      <c r="W4" s="162"/>
      <c r="X4" s="162"/>
      <c r="Y4" s="162"/>
      <c r="Z4" s="162"/>
      <c r="AA4" s="162"/>
      <c r="AB4" s="162"/>
      <c r="AC4" s="3575"/>
      <c r="AD4" s="3576"/>
      <c r="AE4" s="3576"/>
      <c r="AF4" s="3576"/>
      <c r="AG4" s="3576"/>
      <c r="AH4" s="3576"/>
      <c r="AI4" s="3575"/>
      <c r="AJ4" s="3576"/>
      <c r="AK4" s="3576"/>
      <c r="AL4" s="3576"/>
      <c r="AM4" s="3576"/>
      <c r="AN4" s="3576"/>
      <c r="AO4" s="3576"/>
      <c r="AP4" s="3576"/>
      <c r="AQ4" s="3576"/>
      <c r="AR4" s="3576"/>
      <c r="AS4" s="3576"/>
      <c r="AT4" s="3577"/>
      <c r="AU4" s="255"/>
      <c r="AV4" s="253"/>
      <c r="AW4" s="253"/>
      <c r="AX4" s="162"/>
      <c r="AY4" s="162"/>
      <c r="AZ4" s="162"/>
      <c r="BA4" s="162"/>
      <c r="BB4" s="162"/>
      <c r="BC4" s="162"/>
      <c r="BD4" s="162"/>
      <c r="BE4" s="162"/>
      <c r="BF4" s="162"/>
      <c r="BG4" s="162"/>
      <c r="BH4" s="162"/>
      <c r="BI4" s="162"/>
      <c r="BJ4" s="162"/>
      <c r="BK4" s="162"/>
      <c r="BL4" s="162"/>
      <c r="BM4" s="162"/>
      <c r="BN4" s="162"/>
      <c r="BO4" s="162"/>
      <c r="BP4" s="162"/>
      <c r="BQ4" s="162"/>
      <c r="BR4" s="162"/>
      <c r="BS4" s="162"/>
      <c r="BT4" s="162"/>
      <c r="BU4" s="162"/>
      <c r="BV4" s="162"/>
      <c r="BW4" s="162"/>
      <c r="BX4" s="162"/>
      <c r="BY4" s="162"/>
    </row>
    <row r="5" spans="1:77" ht="16.5" thickBot="1">
      <c r="A5" s="162"/>
      <c r="B5" s="162"/>
      <c r="C5" s="162"/>
      <c r="D5" s="162"/>
      <c r="E5" s="162"/>
      <c r="F5" s="162"/>
      <c r="G5" s="162"/>
      <c r="H5" s="162"/>
      <c r="I5" s="162"/>
      <c r="J5" s="162"/>
      <c r="K5" s="162"/>
      <c r="L5" s="162"/>
      <c r="M5" s="162"/>
      <c r="N5" s="162"/>
      <c r="O5" s="162"/>
      <c r="P5" s="162"/>
      <c r="Q5" s="162"/>
      <c r="R5" s="162"/>
      <c r="S5" s="162"/>
      <c r="T5" s="162"/>
      <c r="U5" s="162"/>
      <c r="V5" s="162"/>
      <c r="W5" s="162"/>
      <c r="X5" s="162"/>
      <c r="Y5" s="162"/>
      <c r="Z5" s="162"/>
      <c r="AA5" s="162"/>
      <c r="AB5" s="162"/>
      <c r="AC5" s="162"/>
      <c r="AD5" s="162"/>
      <c r="AE5" s="162"/>
      <c r="AF5" s="162"/>
      <c r="AG5" s="162"/>
      <c r="AH5" s="162"/>
      <c r="AI5" s="162"/>
      <c r="AJ5" s="162"/>
      <c r="AK5" s="162"/>
      <c r="AL5" s="162"/>
      <c r="AM5" s="162"/>
      <c r="AN5" s="199"/>
      <c r="AO5" s="162"/>
      <c r="AP5" s="162"/>
      <c r="AQ5" s="162"/>
      <c r="AR5" s="162"/>
      <c r="AS5" s="162"/>
      <c r="AT5" s="162"/>
      <c r="AU5" s="255"/>
      <c r="AV5" s="253"/>
      <c r="AW5" s="253"/>
      <c r="AX5" s="162"/>
      <c r="AY5" s="162"/>
      <c r="AZ5" s="162"/>
      <c r="BA5" s="162"/>
      <c r="BB5" s="162"/>
      <c r="BC5" s="162"/>
      <c r="BD5" s="162"/>
      <c r="BE5" s="162"/>
      <c r="BF5" s="162"/>
      <c r="BG5" s="162"/>
      <c r="BH5" s="162"/>
      <c r="BI5" s="162"/>
      <c r="BJ5" s="162"/>
      <c r="BK5" s="162"/>
      <c r="BL5" s="162"/>
      <c r="BM5" s="162"/>
      <c r="BN5" s="162"/>
      <c r="BO5" s="162"/>
      <c r="BP5" s="162"/>
      <c r="BQ5" s="162"/>
      <c r="BR5" s="162"/>
      <c r="BS5" s="162"/>
      <c r="BT5" s="162"/>
      <c r="BU5" s="162"/>
      <c r="BV5" s="162"/>
      <c r="BW5" s="162"/>
      <c r="BX5" s="162"/>
      <c r="BY5" s="162"/>
    </row>
    <row r="6" spans="1:77" ht="18.75">
      <c r="A6" s="162"/>
      <c r="B6" s="3753" t="str">
        <f ca="1">IFERROR(__xludf.DUMMYFUNCTION("""COMPUTED_VALUE"""),"Race")</f>
        <v>Race</v>
      </c>
      <c r="C6" s="3573"/>
      <c r="D6" s="3573"/>
      <c r="E6" s="3573"/>
      <c r="F6" s="3752"/>
      <c r="G6" s="3573"/>
      <c r="H6" s="3573"/>
      <c r="I6" s="3573"/>
      <c r="J6" s="3573"/>
      <c r="K6" s="3573"/>
      <c r="L6" s="3574"/>
      <c r="M6" s="161"/>
      <c r="N6" s="3753" t="str">
        <f ca="1">IFERROR(__xludf.DUMMYFUNCTION("""COMPUTED_VALUE"""),"Background")</f>
        <v>Background</v>
      </c>
      <c r="O6" s="3573"/>
      <c r="P6" s="3573"/>
      <c r="Q6" s="3573"/>
      <c r="R6" s="3573"/>
      <c r="S6" s="3574"/>
      <c r="T6" s="3781"/>
      <c r="U6" s="3573"/>
      <c r="V6" s="3573"/>
      <c r="W6" s="3573"/>
      <c r="X6" s="3573"/>
      <c r="Y6" s="3574"/>
      <c r="Z6" s="162"/>
      <c r="AA6" s="3755" t="str">
        <f ca="1">IFERROR(__xludf.DUMMYFUNCTION("""COMPUTED_VALUE"""),"Alignment")</f>
        <v>Alignment</v>
      </c>
      <c r="AB6" s="3573"/>
      <c r="AC6" s="3573"/>
      <c r="AD6" s="3573"/>
      <c r="AE6" s="3573"/>
      <c r="AF6" s="3574"/>
      <c r="AG6" s="3782"/>
      <c r="AH6" s="3573"/>
      <c r="AI6" s="3574"/>
      <c r="AJ6" s="263"/>
      <c r="AK6" s="3755" t="str">
        <f ca="1">IFERROR(__xludf.DUMMYFUNCTION("""COMPUTED_VALUE"""),"Diety")</f>
        <v>Diety</v>
      </c>
      <c r="AL6" s="3573"/>
      <c r="AM6" s="3573"/>
      <c r="AN6" s="3573"/>
      <c r="AO6" s="3789"/>
      <c r="AP6" s="3573"/>
      <c r="AQ6" s="3573"/>
      <c r="AR6" s="3573"/>
      <c r="AS6" s="3573"/>
      <c r="AT6" s="3574"/>
      <c r="AU6" s="255"/>
      <c r="AV6" s="253"/>
      <c r="AW6" s="253"/>
      <c r="AX6" s="162"/>
      <c r="AY6" s="162"/>
      <c r="AZ6" s="162"/>
      <c r="BA6" s="162"/>
      <c r="BB6" s="162"/>
      <c r="BC6" s="162"/>
      <c r="BD6" s="162"/>
      <c r="BE6" s="162"/>
      <c r="BF6" s="162"/>
      <c r="BG6" s="162"/>
      <c r="BH6" s="162"/>
      <c r="BI6" s="162"/>
      <c r="BJ6" s="162"/>
      <c r="BK6" s="162"/>
      <c r="BL6" s="162"/>
      <c r="BM6" s="162"/>
      <c r="BN6" s="162"/>
      <c r="BO6" s="162"/>
      <c r="BP6" s="162"/>
      <c r="BQ6" s="162"/>
      <c r="BR6" s="162"/>
      <c r="BS6" s="162"/>
      <c r="BT6" s="162"/>
      <c r="BU6" s="162"/>
      <c r="BV6" s="162"/>
      <c r="BW6" s="162"/>
      <c r="BX6" s="162"/>
      <c r="BY6" s="162"/>
    </row>
    <row r="7" spans="1:77" ht="19.5" thickBot="1">
      <c r="A7" s="162"/>
      <c r="B7" s="3575"/>
      <c r="C7" s="3576"/>
      <c r="D7" s="3576"/>
      <c r="E7" s="3576"/>
      <c r="F7" s="3575"/>
      <c r="G7" s="3576"/>
      <c r="H7" s="3576"/>
      <c r="I7" s="3576"/>
      <c r="J7" s="3576"/>
      <c r="K7" s="3576"/>
      <c r="L7" s="3577"/>
      <c r="M7" s="161"/>
      <c r="N7" s="3575"/>
      <c r="O7" s="3576"/>
      <c r="P7" s="3576"/>
      <c r="Q7" s="3576"/>
      <c r="R7" s="3576"/>
      <c r="S7" s="3577"/>
      <c r="T7" s="3575"/>
      <c r="U7" s="3576"/>
      <c r="V7" s="3576"/>
      <c r="W7" s="3576"/>
      <c r="X7" s="3576"/>
      <c r="Y7" s="3577"/>
      <c r="Z7" s="162"/>
      <c r="AA7" s="3756"/>
      <c r="AB7" s="3756"/>
      <c r="AC7" s="3756"/>
      <c r="AD7" s="3756"/>
      <c r="AE7" s="3756"/>
      <c r="AF7" s="3601"/>
      <c r="AG7" s="3575"/>
      <c r="AH7" s="3576"/>
      <c r="AI7" s="3577"/>
      <c r="AJ7" s="263"/>
      <c r="AK7" s="3756"/>
      <c r="AL7" s="3756"/>
      <c r="AM7" s="3756"/>
      <c r="AN7" s="3756"/>
      <c r="AO7" s="3575"/>
      <c r="AP7" s="3576"/>
      <c r="AQ7" s="3576"/>
      <c r="AR7" s="3576"/>
      <c r="AS7" s="3576"/>
      <c r="AT7" s="3577"/>
      <c r="AU7" s="255"/>
      <c r="AV7" s="253"/>
      <c r="AW7" s="253"/>
      <c r="AX7" s="162"/>
      <c r="AY7" s="162"/>
      <c r="AZ7" s="162"/>
      <c r="BA7" s="162"/>
      <c r="BB7" s="162"/>
      <c r="BC7" s="162"/>
      <c r="BD7" s="162"/>
      <c r="BE7" s="162"/>
      <c r="BF7" s="162"/>
      <c r="BG7" s="162"/>
      <c r="BH7" s="162"/>
      <c r="BI7" s="162"/>
      <c r="BJ7" s="162"/>
      <c r="BK7" s="162"/>
      <c r="BL7" s="162"/>
      <c r="BM7" s="162"/>
      <c r="BN7" s="162"/>
      <c r="BO7" s="162"/>
      <c r="BP7" s="162"/>
      <c r="BQ7" s="162"/>
      <c r="BR7" s="162"/>
      <c r="BS7" s="162"/>
      <c r="BT7" s="162"/>
      <c r="BU7" s="162"/>
      <c r="BV7" s="162"/>
      <c r="BW7" s="162"/>
      <c r="BX7" s="162"/>
      <c r="BY7" s="162"/>
    </row>
    <row r="8" spans="1:77" ht="16.5" thickBot="1">
      <c r="A8" s="162"/>
      <c r="B8" s="162"/>
      <c r="C8" s="162"/>
      <c r="D8" s="162"/>
      <c r="E8" s="162"/>
      <c r="F8" s="162"/>
      <c r="G8" s="162"/>
      <c r="H8" s="162"/>
      <c r="I8" s="162"/>
      <c r="J8" s="162"/>
      <c r="K8" s="162"/>
      <c r="L8" s="162"/>
      <c r="M8" s="162"/>
      <c r="N8" s="162"/>
      <c r="O8" s="162"/>
      <c r="P8" s="162"/>
      <c r="Q8" s="162"/>
      <c r="R8" s="162"/>
      <c r="S8" s="162"/>
      <c r="T8" s="162"/>
      <c r="U8" s="162"/>
      <c r="V8" s="162"/>
      <c r="W8" s="162"/>
      <c r="X8" s="162"/>
      <c r="Y8" s="162"/>
      <c r="Z8" s="162"/>
      <c r="AA8" s="162"/>
      <c r="AB8" s="162"/>
      <c r="AC8" s="162"/>
      <c r="AD8" s="162"/>
      <c r="AE8" s="162"/>
      <c r="AF8" s="162"/>
      <c r="AG8" s="162"/>
      <c r="AH8" s="162"/>
      <c r="AI8" s="162"/>
      <c r="AJ8" s="162"/>
      <c r="AK8" s="162"/>
      <c r="AL8" s="162"/>
      <c r="AM8" s="162"/>
      <c r="AN8" s="162"/>
      <c r="AO8" s="162"/>
      <c r="AP8" s="162"/>
      <c r="AQ8" s="162"/>
      <c r="AR8" s="162"/>
      <c r="AS8" s="162"/>
      <c r="AT8" s="162"/>
      <c r="AU8" s="255"/>
      <c r="AV8" s="253"/>
      <c r="AW8" s="253"/>
      <c r="AX8" s="162"/>
      <c r="AY8" s="162"/>
      <c r="AZ8" s="162"/>
      <c r="BA8" s="162"/>
      <c r="BB8" s="162"/>
      <c r="BC8" s="162"/>
      <c r="BD8" s="162"/>
      <c r="BE8" s="162"/>
      <c r="BF8" s="162"/>
      <c r="BG8" s="162"/>
      <c r="BH8" s="162"/>
      <c r="BI8" s="162"/>
      <c r="BJ8" s="162"/>
      <c r="BK8" s="162"/>
      <c r="BL8" s="162"/>
      <c r="BM8" s="162"/>
      <c r="BN8" s="162"/>
      <c r="BO8" s="162"/>
      <c r="BP8" s="162"/>
      <c r="BQ8" s="162"/>
      <c r="BR8" s="162"/>
      <c r="BS8" s="162"/>
      <c r="BT8" s="162"/>
      <c r="BU8" s="162"/>
      <c r="BV8" s="162"/>
      <c r="BW8" s="162"/>
      <c r="BX8" s="162"/>
      <c r="BY8" s="162"/>
    </row>
    <row r="9" spans="1:77" ht="16.5" thickBot="1">
      <c r="A9" s="162"/>
      <c r="B9" s="3753" t="str">
        <f ca="1">IFERROR(__xludf.DUMMYFUNCTION("""COMPUTED_VALUE"""),"Character Level")</f>
        <v>Character Level</v>
      </c>
      <c r="C9" s="3573"/>
      <c r="D9" s="3573"/>
      <c r="E9" s="3573"/>
      <c r="F9" s="3573"/>
      <c r="G9" s="3573"/>
      <c r="H9" s="3573"/>
      <c r="I9" s="3573"/>
      <c r="J9" s="3574"/>
      <c r="K9" s="3837"/>
      <c r="L9" s="3838"/>
      <c r="M9" s="3838"/>
      <c r="N9" s="3643" t="str">
        <f ca="1">IFERROR(__xludf.DUMMYFUNCTION("""COMPUTED_VALUE"""),"EXP")</f>
        <v>EXP</v>
      </c>
      <c r="O9" s="3579"/>
      <c r="P9" s="3579"/>
      <c r="Q9" s="3580"/>
      <c r="R9" s="3777" t="str">
        <f ca="1">IFERROR(__xludf.DUMMYFUNCTION("""COMPUTED_VALUE"""),"Next Lvl")</f>
        <v>Next Lvl</v>
      </c>
      <c r="S9" s="3579"/>
      <c r="T9" s="3579"/>
      <c r="U9" s="3580"/>
      <c r="V9" s="162"/>
      <c r="W9" s="3839" t="str">
        <f ca="1">IFERROR(__xludf.DUMMYFUNCTION("""COMPUTED_VALUE"""),"Languages Known")</f>
        <v>Languages Known</v>
      </c>
      <c r="X9" s="3573"/>
      <c r="Y9" s="3573"/>
      <c r="Z9" s="3573"/>
      <c r="AA9" s="3574"/>
      <c r="AB9" s="3766"/>
      <c r="AC9" s="3573"/>
      <c r="AD9" s="3573"/>
      <c r="AE9" s="3573"/>
      <c r="AF9" s="3573"/>
      <c r="AG9" s="3573"/>
      <c r="AH9" s="3573"/>
      <c r="AI9" s="3573"/>
      <c r="AJ9" s="262"/>
      <c r="AK9" s="3767" t="str">
        <f ca="1">IFERROR(__xludf.DUMMYFUNCTION("""COMPUTED_VALUE"""),"Vision and Senses")</f>
        <v>Vision and Senses</v>
      </c>
      <c r="AL9" s="3573"/>
      <c r="AM9" s="3573"/>
      <c r="AN9" s="3573"/>
      <c r="AO9" s="3765"/>
      <c r="AP9" s="3573"/>
      <c r="AQ9" s="3573"/>
      <c r="AR9" s="3573"/>
      <c r="AS9" s="3573"/>
      <c r="AT9" s="3574"/>
      <c r="AU9" s="253"/>
      <c r="AV9" s="253"/>
      <c r="AW9" s="199"/>
      <c r="AX9" s="162"/>
      <c r="AY9" s="162"/>
      <c r="AZ9" s="162"/>
      <c r="BA9" s="162"/>
      <c r="BB9" s="162"/>
      <c r="BC9" s="162"/>
      <c r="BD9" s="162"/>
      <c r="BE9" s="162"/>
      <c r="BF9" s="162"/>
      <c r="BG9" s="162"/>
      <c r="BH9" s="162"/>
      <c r="BI9" s="162"/>
      <c r="BJ9" s="162"/>
      <c r="BK9" s="162"/>
      <c r="BL9" s="162"/>
    </row>
    <row r="10" spans="1:77" ht="16.5" thickBot="1">
      <c r="A10" s="162"/>
      <c r="B10" s="3575"/>
      <c r="C10" s="3576"/>
      <c r="D10" s="3576"/>
      <c r="E10" s="3576"/>
      <c r="F10" s="3576"/>
      <c r="G10" s="3576"/>
      <c r="H10" s="3576"/>
      <c r="I10" s="3576"/>
      <c r="J10" s="3577"/>
      <c r="K10" s="3838"/>
      <c r="L10" s="3838"/>
      <c r="M10" s="3838"/>
      <c r="N10" s="3776"/>
      <c r="O10" s="3579"/>
      <c r="P10" s="3579"/>
      <c r="Q10" s="3580"/>
      <c r="R10" s="3776"/>
      <c r="S10" s="3579"/>
      <c r="T10" s="3579"/>
      <c r="U10" s="3580"/>
      <c r="V10" s="162"/>
      <c r="W10" s="3575"/>
      <c r="X10" s="3576"/>
      <c r="Y10" s="3576"/>
      <c r="Z10" s="3576"/>
      <c r="AA10" s="3577"/>
      <c r="AB10" s="3575"/>
      <c r="AC10" s="3576"/>
      <c r="AD10" s="3576"/>
      <c r="AE10" s="3576"/>
      <c r="AF10" s="3576"/>
      <c r="AG10" s="3576"/>
      <c r="AH10" s="3576"/>
      <c r="AI10" s="3576"/>
      <c r="AJ10" s="262"/>
      <c r="AK10" s="2707"/>
      <c r="AL10" s="2707"/>
      <c r="AM10" s="2707"/>
      <c r="AN10" s="2707"/>
      <c r="AO10" s="3576"/>
      <c r="AP10" s="3576"/>
      <c r="AQ10" s="3576"/>
      <c r="AR10" s="3576"/>
      <c r="AS10" s="3576"/>
      <c r="AT10" s="3577"/>
      <c r="AU10" s="162"/>
      <c r="AV10" s="162"/>
      <c r="AW10" s="162"/>
      <c r="AX10" s="162"/>
      <c r="AY10" s="162"/>
      <c r="AZ10" s="162"/>
      <c r="BA10" s="162"/>
      <c r="BB10" s="162"/>
      <c r="BC10" s="162"/>
      <c r="BD10" s="162"/>
      <c r="BE10" s="162"/>
      <c r="BF10" s="162"/>
      <c r="BG10" s="162"/>
      <c r="BH10" s="162"/>
      <c r="BI10" s="162"/>
      <c r="BJ10" s="162"/>
      <c r="BK10" s="162"/>
      <c r="BL10" s="162"/>
    </row>
    <row r="11" spans="1:77" ht="16.5" thickBot="1">
      <c r="A11" s="162"/>
      <c r="B11" s="162"/>
      <c r="C11" s="162"/>
      <c r="D11" s="162"/>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c r="AC11" s="162"/>
      <c r="AD11" s="162"/>
      <c r="AE11" s="162"/>
      <c r="AF11" s="162"/>
      <c r="AG11" s="162"/>
      <c r="AH11" s="162"/>
      <c r="AI11" s="162"/>
      <c r="AJ11" s="162"/>
      <c r="AK11" s="162"/>
      <c r="AL11" s="162"/>
      <c r="AM11" s="162"/>
      <c r="AN11" s="162"/>
      <c r="AO11" s="162"/>
      <c r="AP11" s="162"/>
      <c r="AQ11" s="162"/>
      <c r="AR11" s="162"/>
      <c r="AS11" s="162"/>
      <c r="AT11" s="162"/>
      <c r="AU11" s="162"/>
      <c r="AV11" s="162"/>
      <c r="AW11" s="162"/>
      <c r="AX11" s="162"/>
      <c r="AY11" s="162"/>
      <c r="AZ11" s="162"/>
      <c r="BA11" s="162"/>
      <c r="BB11" s="162"/>
      <c r="BC11" s="162"/>
      <c r="BD11" s="162"/>
      <c r="BE11" s="162"/>
      <c r="BF11" s="162"/>
      <c r="BG11" s="162"/>
      <c r="BH11" s="162"/>
      <c r="BI11" s="162"/>
      <c r="BJ11" s="162"/>
      <c r="BK11" s="162"/>
      <c r="BL11" s="162"/>
      <c r="BM11" s="162"/>
      <c r="BN11" s="162"/>
      <c r="BO11" s="162"/>
      <c r="BP11" s="162"/>
      <c r="BQ11" s="162"/>
      <c r="BR11" s="162"/>
      <c r="BS11" s="162"/>
      <c r="BT11" s="162"/>
      <c r="BU11" s="162"/>
      <c r="BV11" s="162"/>
      <c r="BW11" s="162"/>
      <c r="BX11" s="162"/>
      <c r="BY11" s="162"/>
    </row>
    <row r="12" spans="1:77" ht="16.5" thickBot="1">
      <c r="A12" s="162"/>
      <c r="B12" s="3774" t="str">
        <f ca="1">IFERROR(__xludf.DUMMYFUNCTION("""COMPUTED_VALUE"""),"Class")</f>
        <v>Class</v>
      </c>
      <c r="C12" s="3579"/>
      <c r="D12" s="3579"/>
      <c r="E12" s="3579"/>
      <c r="F12" s="3579"/>
      <c r="G12" s="3579"/>
      <c r="H12" s="3579"/>
      <c r="I12" s="3584"/>
      <c r="J12" s="3622" t="str">
        <f ca="1">IFERROR(__xludf.DUMMYFUNCTION("""COMPUTED_VALUE"""),"Specialty")</f>
        <v>Specialty</v>
      </c>
      <c r="K12" s="3579"/>
      <c r="L12" s="3579"/>
      <c r="M12" s="3579"/>
      <c r="N12" s="3579"/>
      <c r="O12" s="3579"/>
      <c r="P12" s="3579"/>
      <c r="Q12" s="3579"/>
      <c r="R12" s="3579"/>
      <c r="S12" s="3846" t="str">
        <f ca="1">IFERROR(__xludf.DUMMYFUNCTION("""COMPUTED_VALUE"""),"Level")</f>
        <v>Level</v>
      </c>
      <c r="T12" s="3579"/>
      <c r="U12" s="3580"/>
      <c r="V12" s="162"/>
      <c r="W12" s="3835" t="str">
        <f ca="1">IFERROR(__xludf.DUMMYFUNCTION("""COMPUTED_VALUE"""),"Hit Dice")</f>
        <v>Hit Dice</v>
      </c>
      <c r="X12" s="3573"/>
      <c r="Y12" s="3573"/>
      <c r="Z12" s="3573"/>
      <c r="AA12" s="3574"/>
      <c r="AB12" s="3841" t="str">
        <f ca="1">IFERROR(__xludf.DUMMYFUNCTION("""COMPUTED_VALUE"""),"D6")</f>
        <v>D6</v>
      </c>
      <c r="AC12" s="3579"/>
      <c r="AD12" s="3840" t="str">
        <f ca="1">IFERROR(__xludf.DUMMYFUNCTION("""COMPUTED_VALUE"""),"D8")</f>
        <v>D8</v>
      </c>
      <c r="AE12" s="3579"/>
      <c r="AF12" s="3841" t="str">
        <f ca="1">IFERROR(__xludf.DUMMYFUNCTION("""COMPUTED_VALUE"""),"D10")</f>
        <v>D10</v>
      </c>
      <c r="AG12" s="3579"/>
      <c r="AH12" s="3840" t="str">
        <f ca="1">IFERROR(__xludf.DUMMYFUNCTION("""COMPUTED_VALUE"""),"D12")</f>
        <v>D12</v>
      </c>
      <c r="AI12" s="3580"/>
      <c r="AJ12" s="162"/>
      <c r="AK12" s="3768" t="str">
        <f ca="1">IFERROR(__xludf.DUMMYFUNCTION("""COMPUTED_VALUE"""),"Class Resource")</f>
        <v>Class Resource</v>
      </c>
      <c r="AL12" s="3596"/>
      <c r="AM12" s="3596"/>
      <c r="AN12" s="3596"/>
      <c r="AO12" s="3596"/>
      <c r="AP12" s="3596"/>
      <c r="AQ12" s="3596"/>
      <c r="AR12" s="3596"/>
      <c r="AS12" s="3596"/>
      <c r="AT12" s="3623"/>
      <c r="AU12" s="162"/>
      <c r="AV12" s="162"/>
      <c r="AW12" s="162"/>
      <c r="AX12" s="162"/>
      <c r="AY12" s="162"/>
      <c r="AZ12" s="162"/>
      <c r="BA12" s="162"/>
      <c r="BB12" s="162"/>
      <c r="BC12" s="162"/>
      <c r="BD12" s="162"/>
      <c r="BE12" s="162"/>
      <c r="BF12" s="162"/>
      <c r="BG12" s="162"/>
      <c r="BH12" s="162"/>
      <c r="BI12" s="162"/>
      <c r="BJ12" s="162"/>
      <c r="BK12" s="162"/>
      <c r="BL12" s="162"/>
      <c r="BM12" s="162"/>
      <c r="BN12" s="162"/>
      <c r="BO12" s="162"/>
      <c r="BP12" s="162"/>
      <c r="BQ12" s="162"/>
      <c r="BR12" s="162"/>
      <c r="BS12" s="162"/>
      <c r="BT12" s="162"/>
      <c r="BU12" s="162"/>
      <c r="BV12" s="162"/>
      <c r="BW12" s="162"/>
      <c r="BX12" s="162"/>
      <c r="BY12" s="162"/>
    </row>
    <row r="13" spans="1:77" ht="19.5" thickBot="1">
      <c r="A13" s="162"/>
      <c r="B13" s="3773"/>
      <c r="C13" s="3562"/>
      <c r="D13" s="3562"/>
      <c r="E13" s="3562"/>
      <c r="F13" s="3562"/>
      <c r="G13" s="3562"/>
      <c r="H13" s="3562"/>
      <c r="I13" s="3594"/>
      <c r="J13" s="3844"/>
      <c r="K13" s="3562"/>
      <c r="L13" s="3562"/>
      <c r="M13" s="3562"/>
      <c r="N13" s="3562"/>
      <c r="O13" s="3562"/>
      <c r="P13" s="3562"/>
      <c r="Q13" s="3562"/>
      <c r="R13" s="3562"/>
      <c r="S13" s="3799"/>
      <c r="T13" s="3562"/>
      <c r="U13" s="3603"/>
      <c r="V13" s="162"/>
      <c r="W13" s="3575"/>
      <c r="X13" s="3576"/>
      <c r="Y13" s="3576"/>
      <c r="Z13" s="3576"/>
      <c r="AA13" s="3577"/>
      <c r="AB13" s="3843">
        <f ca="1">IFERROR(__xludf.DUMMYFUNCTION("""COMPUTED_VALUE"""),0)</f>
        <v>0</v>
      </c>
      <c r="AC13" s="3596"/>
      <c r="AD13" s="3806">
        <f ca="1">IFERROR(__xludf.DUMMYFUNCTION("""COMPUTED_VALUE"""),3)</f>
        <v>3</v>
      </c>
      <c r="AE13" s="3596"/>
      <c r="AF13" s="3806">
        <f ca="1">IFERROR(__xludf.DUMMYFUNCTION("""COMPUTED_VALUE"""),0)</f>
        <v>0</v>
      </c>
      <c r="AG13" s="3596"/>
      <c r="AH13" s="3806">
        <f ca="1">IFERROR(__xludf.DUMMYFUNCTION("""COMPUTED_VALUE"""),0)</f>
        <v>0</v>
      </c>
      <c r="AI13" s="3623"/>
      <c r="AJ13" s="162"/>
      <c r="AK13" s="3816" t="str">
        <f ca="1">IFERROR(__xludf.DUMMYFUNCTION("""COMPUTED_VALUE"""),"Type:")</f>
        <v>Type:</v>
      </c>
      <c r="AL13" s="3598"/>
      <c r="AM13" s="3814"/>
      <c r="AN13" s="3809"/>
      <c r="AO13" s="3598"/>
      <c r="AP13" s="3598"/>
      <c r="AQ13" s="3598"/>
      <c r="AR13" s="3598"/>
      <c r="AS13" s="3598"/>
      <c r="AT13" s="3599"/>
      <c r="AU13" s="162"/>
      <c r="AV13" s="162"/>
      <c r="AW13" s="162"/>
      <c r="AX13" s="162"/>
      <c r="AY13" s="261"/>
      <c r="AZ13" s="162"/>
      <c r="BA13" s="162"/>
      <c r="BB13" s="162"/>
      <c r="BC13" s="162"/>
      <c r="BD13" s="162"/>
      <c r="BE13" s="162"/>
      <c r="BF13" s="162"/>
      <c r="BG13" s="162"/>
      <c r="BH13" s="162"/>
      <c r="BI13" s="162"/>
      <c r="BJ13" s="162"/>
      <c r="BK13" s="162"/>
      <c r="BL13" s="162"/>
      <c r="BM13" s="162"/>
      <c r="BN13" s="162"/>
      <c r="BO13" s="162"/>
      <c r="BP13" s="162"/>
      <c r="BQ13" s="162"/>
      <c r="BR13" s="162"/>
      <c r="BS13" s="162"/>
      <c r="BT13" s="162"/>
      <c r="BU13" s="162"/>
      <c r="BV13" s="162"/>
      <c r="BW13" s="162"/>
      <c r="BX13" s="162"/>
      <c r="BY13" s="162"/>
    </row>
    <row r="14" spans="1:77" ht="16.5" thickBot="1">
      <c r="A14" s="162"/>
      <c r="B14" s="3771"/>
      <c r="C14" s="3564"/>
      <c r="D14" s="3564"/>
      <c r="E14" s="3564"/>
      <c r="F14" s="3564"/>
      <c r="G14" s="3564"/>
      <c r="H14" s="3564"/>
      <c r="I14" s="3565"/>
      <c r="J14" s="3775"/>
      <c r="K14" s="3564"/>
      <c r="L14" s="3564"/>
      <c r="M14" s="3564"/>
      <c r="N14" s="3564"/>
      <c r="O14" s="3564"/>
      <c r="P14" s="3564"/>
      <c r="Q14" s="3564"/>
      <c r="R14" s="3564"/>
      <c r="S14" s="3620"/>
      <c r="T14" s="3564"/>
      <c r="U14" s="3567"/>
      <c r="V14" s="162"/>
      <c r="W14" s="3836" t="str">
        <f ca="1">IFERROR(__xludf.DUMMYFUNCTION("""COMPUTED_VALUE"""),"Spent:")</f>
        <v>Spent:</v>
      </c>
      <c r="X14" s="3579"/>
      <c r="Y14" s="3579"/>
      <c r="Z14" s="3579"/>
      <c r="AA14" s="3580"/>
      <c r="AB14" s="3842">
        <f ca="1">IFERROR(__xludf.DUMMYFUNCTION("""COMPUTED_VALUE"""),0)</f>
        <v>0</v>
      </c>
      <c r="AC14" s="3569"/>
      <c r="AD14" s="3808">
        <f ca="1">IFERROR(__xludf.DUMMYFUNCTION("""COMPUTED_VALUE"""),0)</f>
        <v>0</v>
      </c>
      <c r="AE14" s="3569"/>
      <c r="AF14" s="3808">
        <f ca="1">IFERROR(__xludf.DUMMYFUNCTION("""COMPUTED_VALUE"""),0)</f>
        <v>0</v>
      </c>
      <c r="AG14" s="3569"/>
      <c r="AH14" s="3808">
        <f ca="1">IFERROR(__xludf.DUMMYFUNCTION("""COMPUTED_VALUE"""),0)</f>
        <v>0</v>
      </c>
      <c r="AI14" s="3606"/>
      <c r="AJ14" s="162"/>
      <c r="AK14" s="3815" t="str">
        <f ca="1">IFERROR(__xludf.DUMMYFUNCTION("""COMPUTED_VALUE"""),"Pool:")</f>
        <v>Pool:</v>
      </c>
      <c r="AL14" s="3584"/>
      <c r="AM14" s="3807">
        <f ca="1">IFERROR(__xludf.DUMMYFUNCTION("""COMPUTED_VALUE"""),0)</f>
        <v>0</v>
      </c>
      <c r="AN14" s="3580"/>
      <c r="AO14" s="3810" t="str">
        <f ca="1">IFERROR(__xludf.DUMMYFUNCTION("""COMPUTED_VALUE"""),"Spent:")</f>
        <v>Spent:</v>
      </c>
      <c r="AP14" s="3579"/>
      <c r="AQ14" s="3584"/>
      <c r="AR14" s="3811">
        <f ca="1">IFERROR(__xludf.DUMMYFUNCTION("""COMPUTED_VALUE"""),0)</f>
        <v>0</v>
      </c>
      <c r="AS14" s="3579"/>
      <c r="AT14" s="3580"/>
      <c r="AU14" s="162"/>
      <c r="AV14" s="162"/>
      <c r="AW14" s="162"/>
      <c r="AX14" s="162"/>
      <c r="AY14" s="260"/>
      <c r="AZ14" s="162"/>
      <c r="BA14" s="162"/>
      <c r="BB14" s="162"/>
      <c r="BC14" s="162"/>
      <c r="BD14" s="162"/>
      <c r="BE14" s="162"/>
      <c r="BF14" s="162"/>
      <c r="BG14" s="162"/>
      <c r="BH14" s="162"/>
      <c r="BI14" s="162"/>
      <c r="BJ14" s="162"/>
      <c r="BK14" s="162"/>
      <c r="BL14" s="162"/>
      <c r="BM14" s="162"/>
      <c r="BN14" s="162"/>
      <c r="BO14" s="162"/>
      <c r="BP14" s="162"/>
      <c r="BQ14" s="162"/>
      <c r="BR14" s="162"/>
      <c r="BS14" s="162"/>
      <c r="BT14" s="162"/>
      <c r="BU14" s="162"/>
      <c r="BV14" s="162"/>
      <c r="BW14" s="162"/>
      <c r="BX14" s="162"/>
      <c r="BY14" s="162"/>
    </row>
    <row r="15" spans="1:77" ht="16.5" thickBot="1">
      <c r="A15" s="162"/>
      <c r="B15" s="3762"/>
      <c r="C15" s="3569"/>
      <c r="D15" s="3569"/>
      <c r="E15" s="3569"/>
      <c r="F15" s="3569"/>
      <c r="G15" s="3569"/>
      <c r="H15" s="3569"/>
      <c r="I15" s="3570"/>
      <c r="J15" s="3845"/>
      <c r="K15" s="3569"/>
      <c r="L15" s="3569"/>
      <c r="M15" s="3569"/>
      <c r="N15" s="3569"/>
      <c r="O15" s="3569"/>
      <c r="P15" s="3569"/>
      <c r="Q15" s="3569"/>
      <c r="R15" s="3569"/>
      <c r="S15" s="3652"/>
      <c r="T15" s="3569"/>
      <c r="U15" s="3606"/>
      <c r="V15" s="162"/>
      <c r="W15" s="162"/>
      <c r="X15" s="162"/>
      <c r="Y15" s="162"/>
      <c r="Z15" s="162"/>
      <c r="AA15" s="162"/>
      <c r="AB15" s="162"/>
      <c r="AC15" s="162"/>
      <c r="AD15" s="162"/>
      <c r="AE15" s="162"/>
      <c r="AF15" s="162"/>
      <c r="AG15" s="162"/>
      <c r="AH15" s="162"/>
      <c r="AI15" s="162"/>
      <c r="AJ15" s="162"/>
      <c r="AK15" s="162"/>
      <c r="AL15" s="162"/>
      <c r="AM15" s="162"/>
      <c r="AN15" s="162"/>
      <c r="AO15" s="162"/>
      <c r="AP15" s="162"/>
      <c r="AQ15" s="162"/>
      <c r="AR15" s="162"/>
      <c r="AS15" s="162"/>
      <c r="AT15" s="162"/>
      <c r="AU15" s="162"/>
      <c r="AV15" s="162"/>
      <c r="AW15" s="162"/>
      <c r="AX15" s="162"/>
      <c r="AY15" s="162"/>
      <c r="AZ15" s="162"/>
      <c r="BA15" s="162"/>
      <c r="BB15" s="162"/>
      <c r="BC15" s="162"/>
      <c r="BD15" s="162"/>
      <c r="BE15" s="162"/>
      <c r="BF15" s="162"/>
      <c r="BG15" s="162"/>
      <c r="BH15" s="162"/>
      <c r="BI15" s="162"/>
      <c r="BJ15" s="162"/>
      <c r="BK15" s="162"/>
      <c r="BL15" s="162"/>
      <c r="BM15" s="162"/>
      <c r="BN15" s="162"/>
      <c r="BO15" s="162"/>
      <c r="BP15" s="162"/>
      <c r="BQ15" s="162"/>
      <c r="BR15" s="162"/>
      <c r="BS15" s="162"/>
      <c r="BT15" s="162"/>
      <c r="BU15" s="162"/>
      <c r="BV15" s="162"/>
      <c r="BW15" s="162"/>
      <c r="BX15" s="162"/>
      <c r="BY15" s="162"/>
    </row>
    <row r="16" spans="1:77" ht="19.5" thickBot="1">
      <c r="A16" s="162"/>
      <c r="B16" s="259"/>
      <c r="C16" s="259"/>
      <c r="D16" s="259"/>
      <c r="E16" s="259"/>
      <c r="F16" s="259"/>
      <c r="G16" s="259"/>
      <c r="H16" s="259"/>
      <c r="I16" s="259"/>
      <c r="J16" s="259"/>
      <c r="K16" s="259"/>
      <c r="L16" s="250"/>
      <c r="M16" s="250"/>
      <c r="N16" s="199"/>
      <c r="O16" s="258"/>
      <c r="P16" s="199"/>
      <c r="Q16" s="199"/>
      <c r="R16" s="199"/>
      <c r="S16" s="258"/>
      <c r="T16" s="199"/>
      <c r="U16" s="199"/>
      <c r="V16" s="199"/>
      <c r="W16" s="3643" t="str">
        <f ca="1">IFERROR(__xludf.DUMMYFUNCTION("""COMPUTED_VALUE"""),"Proficiencies")</f>
        <v>Proficiencies</v>
      </c>
      <c r="X16" s="3579"/>
      <c r="Y16" s="3579"/>
      <c r="Z16" s="3579"/>
      <c r="AA16" s="3579"/>
      <c r="AB16" s="3579"/>
      <c r="AC16" s="3579"/>
      <c r="AD16" s="3579"/>
      <c r="AE16" s="3579"/>
      <c r="AF16" s="3579"/>
      <c r="AG16" s="3579"/>
      <c r="AH16" s="3580"/>
      <c r="AI16" s="3786" t="str">
        <f ca="1">IFERROR(__xludf.DUMMYFUNCTION("""COMPUTED_VALUE"""),"Proficiency Bonus")</f>
        <v>Proficiency Bonus</v>
      </c>
      <c r="AJ16" s="3579"/>
      <c r="AK16" s="3579"/>
      <c r="AL16" s="3579"/>
      <c r="AM16" s="3579"/>
      <c r="AN16" s="3579"/>
      <c r="AO16" s="3579"/>
      <c r="AP16" s="3579"/>
      <c r="AQ16" s="3580"/>
      <c r="AR16" s="3787">
        <f ca="1">IFERROR(__xludf.DUMMYFUNCTION("""COMPUTED_VALUE"""),2)</f>
        <v>2</v>
      </c>
      <c r="AS16" s="3579"/>
      <c r="AT16" s="3580"/>
      <c r="AU16" s="162"/>
      <c r="AV16" s="162"/>
      <c r="AW16" s="162"/>
      <c r="AX16" s="162"/>
    </row>
    <row r="17" spans="1:77" ht="18.75" thickBot="1">
      <c r="A17" s="162"/>
      <c r="B17" s="3801" t="str">
        <f ca="1">IFERROR(__xludf.DUMMYFUNCTION("""COMPUTED_VALUE"""),"STR")</f>
        <v>STR</v>
      </c>
      <c r="C17" s="3579"/>
      <c r="D17" s="3579"/>
      <c r="E17" s="3580"/>
      <c r="F17" s="232"/>
      <c r="G17" s="3793" t="b">
        <f ca="1">IFERROR(__xludf.DUMMYFUNCTION("""COMPUTED_VALUE"""),FALSE)</f>
        <v>0</v>
      </c>
      <c r="H17" s="3579"/>
      <c r="I17" s="3796"/>
      <c r="J17" s="3823" t="str">
        <f ca="1">IFERROR(__xludf.DUMMYFUNCTION("""COMPUTED_VALUE"""),"Saving Throw")</f>
        <v>Saving Throw</v>
      </c>
      <c r="K17" s="3579"/>
      <c r="L17" s="3579"/>
      <c r="M17" s="3579"/>
      <c r="N17" s="3579"/>
      <c r="O17" s="3579"/>
      <c r="P17" s="3579"/>
      <c r="Q17" s="3579"/>
      <c r="R17" s="3666"/>
      <c r="S17" s="3579"/>
      <c r="T17" s="3580"/>
      <c r="V17" s="162"/>
      <c r="W17" s="3805" t="str">
        <f ca="1">IFERROR(__xludf.DUMMYFUNCTION("""COMPUTED_VALUE"""),"Armor")</f>
        <v>Armor</v>
      </c>
      <c r="X17" s="3562"/>
      <c r="Y17" s="3562"/>
      <c r="Z17" s="3562"/>
      <c r="AA17" s="3562"/>
      <c r="AB17" s="3594"/>
      <c r="AC17" s="3819" t="str">
        <f ca="1">IFERROR(__xludf.DUMMYFUNCTION("""COMPUTED_VALUE"""),"Light Armor, Medium Armor, Heavy Armor")</f>
        <v>Light Armor, Medium Armor, Heavy Armor</v>
      </c>
      <c r="AD17" s="3562"/>
      <c r="AE17" s="3562"/>
      <c r="AF17" s="3562"/>
      <c r="AG17" s="3562"/>
      <c r="AH17" s="3562"/>
      <c r="AI17" s="3562"/>
      <c r="AJ17" s="3562"/>
      <c r="AK17" s="3562"/>
      <c r="AL17" s="3562"/>
      <c r="AM17" s="3562"/>
      <c r="AN17" s="3562"/>
      <c r="AO17" s="3562"/>
      <c r="AP17" s="3562"/>
      <c r="AQ17" s="3562"/>
      <c r="AR17" s="3562"/>
      <c r="AS17" s="3562"/>
      <c r="AT17" s="3603"/>
      <c r="AU17" s="162"/>
      <c r="AV17" s="162"/>
      <c r="AW17" s="162"/>
      <c r="AX17" s="162"/>
    </row>
    <row r="18" spans="1:77" ht="16.5" thickBot="1">
      <c r="A18" s="162"/>
      <c r="B18" s="3804" t="str">
        <f ca="1">IFERROR(__xludf.DUMMYFUNCTION("""COMPUTED_VALUE"""),"Bonus")</f>
        <v>Bonus</v>
      </c>
      <c r="C18" s="3579"/>
      <c r="D18" s="3579"/>
      <c r="E18" s="3580"/>
      <c r="F18" s="3794" t="str">
        <f ca="1">IFERROR(__xludf.DUMMYFUNCTION("""COMPUTED_VALUE"""),"Proficiency")</f>
        <v>Proficiency</v>
      </c>
      <c r="G18" s="3795" t="str">
        <f ca="1">IFERROR(__xludf.DUMMYFUNCTION("""COMPUTED_VALUE"""),"-")</f>
        <v>-</v>
      </c>
      <c r="H18" s="3562"/>
      <c r="I18" s="3648"/>
      <c r="J18" s="3780" t="str">
        <f ca="1">IFERROR(__xludf.DUMMYFUNCTION("""COMPUTED_VALUE"""),"Athletics")</f>
        <v>Athletics</v>
      </c>
      <c r="K18" s="3562"/>
      <c r="L18" s="3562"/>
      <c r="M18" s="3562"/>
      <c r="N18" s="3562"/>
      <c r="O18" s="3562"/>
      <c r="P18" s="3780"/>
      <c r="Q18" s="3562"/>
      <c r="R18" s="3659"/>
      <c r="S18" s="3562"/>
      <c r="T18" s="3603"/>
      <c r="V18" s="162"/>
      <c r="W18" s="3785" t="str">
        <f ca="1">IFERROR(__xludf.DUMMYFUNCTION("""COMPUTED_VALUE"""),"Shields")</f>
        <v>Shields</v>
      </c>
      <c r="X18" s="3564"/>
      <c r="Y18" s="3564"/>
      <c r="Z18" s="3564"/>
      <c r="AA18" s="3564"/>
      <c r="AB18" s="3565"/>
      <c r="AC18" s="3784" t="str">
        <f ca="1">IFERROR(__xludf.DUMMYFUNCTION("""COMPUTED_VALUE"""),"All Shields")</f>
        <v>All Shields</v>
      </c>
      <c r="AD18" s="3564"/>
      <c r="AE18" s="3564"/>
      <c r="AF18" s="3564"/>
      <c r="AG18" s="3564"/>
      <c r="AH18" s="3564"/>
      <c r="AI18" s="3564"/>
      <c r="AJ18" s="3564"/>
      <c r="AK18" s="3564"/>
      <c r="AL18" s="3564"/>
      <c r="AM18" s="3564"/>
      <c r="AN18" s="3564"/>
      <c r="AO18" s="3564"/>
      <c r="AP18" s="3564"/>
      <c r="AQ18" s="3564"/>
      <c r="AR18" s="3564"/>
      <c r="AS18" s="3564"/>
      <c r="AT18" s="3567"/>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row>
    <row r="19" spans="1:77">
      <c r="A19" s="162"/>
      <c r="B19" s="3802"/>
      <c r="C19" s="3573"/>
      <c r="D19" s="3573"/>
      <c r="E19" s="3803"/>
      <c r="F19" s="3600"/>
      <c r="G19" s="240"/>
      <c r="H19" s="239"/>
      <c r="I19" s="3648"/>
      <c r="J19" s="238"/>
      <c r="K19" s="238"/>
      <c r="L19" s="238"/>
      <c r="M19" s="238"/>
      <c r="N19" s="238"/>
      <c r="O19" s="238"/>
      <c r="P19" s="238"/>
      <c r="Q19" s="238"/>
      <c r="R19" s="238"/>
      <c r="S19" s="238"/>
      <c r="T19" s="237"/>
      <c r="V19" s="162"/>
      <c r="W19" s="3813" t="str">
        <f ca="1">IFERROR(__xludf.DUMMYFUNCTION("""COMPUTED_VALUE"""),"Weapons")</f>
        <v>Weapons</v>
      </c>
      <c r="X19" s="3598"/>
      <c r="Y19" s="3598"/>
      <c r="Z19" s="3598"/>
      <c r="AA19" s="3598"/>
      <c r="AB19" s="3814"/>
      <c r="AC19" s="3818" t="str">
        <f ca="1">IFERROR(__xludf.DUMMYFUNCTION("""COMPUTED_VALUE"""),"Simple Weapons, Martial Weapons")</f>
        <v>Simple Weapons, Martial Weapons</v>
      </c>
      <c r="AD19" s="3598"/>
      <c r="AE19" s="3598"/>
      <c r="AF19" s="3598"/>
      <c r="AG19" s="3598"/>
      <c r="AH19" s="3598"/>
      <c r="AI19" s="3598"/>
      <c r="AJ19" s="3598"/>
      <c r="AK19" s="3598"/>
      <c r="AL19" s="3598"/>
      <c r="AM19" s="3598"/>
      <c r="AN19" s="3598"/>
      <c r="AO19" s="3598"/>
      <c r="AP19" s="3598"/>
      <c r="AQ19" s="3598"/>
      <c r="AR19" s="3598"/>
      <c r="AS19" s="3598"/>
      <c r="AT19" s="3599"/>
      <c r="AU19" s="162"/>
      <c r="AV19" s="162"/>
      <c r="AW19" s="162"/>
      <c r="AX19" s="162"/>
    </row>
    <row r="20" spans="1:77" ht="16.5" thickBot="1">
      <c r="A20" s="162"/>
      <c r="B20" s="3600"/>
      <c r="C20" s="2707"/>
      <c r="D20" s="2707"/>
      <c r="E20" s="3577"/>
      <c r="F20" s="3600"/>
      <c r="G20" s="240"/>
      <c r="H20" s="239"/>
      <c r="I20" s="3648"/>
      <c r="J20" s="238"/>
      <c r="K20" s="238"/>
      <c r="L20" s="238"/>
      <c r="M20" s="238"/>
      <c r="N20" s="238"/>
      <c r="O20" s="238"/>
      <c r="P20" s="238"/>
      <c r="Q20" s="238"/>
      <c r="R20" s="238"/>
      <c r="S20" s="238"/>
      <c r="T20" s="237"/>
      <c r="V20" s="162"/>
      <c r="W20" s="3602"/>
      <c r="X20" s="3562"/>
      <c r="Y20" s="3562"/>
      <c r="Z20" s="3562"/>
      <c r="AA20" s="3562"/>
      <c r="AB20" s="3594"/>
      <c r="AC20" s="3593"/>
      <c r="AD20" s="3562"/>
      <c r="AE20" s="3562"/>
      <c r="AF20" s="3562"/>
      <c r="AG20" s="3562"/>
      <c r="AH20" s="3562"/>
      <c r="AI20" s="3562"/>
      <c r="AJ20" s="3562"/>
      <c r="AK20" s="3562"/>
      <c r="AL20" s="3562"/>
      <c r="AM20" s="3562"/>
      <c r="AN20" s="3562"/>
      <c r="AO20" s="3562"/>
      <c r="AP20" s="3562"/>
      <c r="AQ20" s="3562"/>
      <c r="AR20" s="3562"/>
      <c r="AS20" s="3562"/>
      <c r="AT20" s="3603"/>
      <c r="AU20" s="162"/>
      <c r="AV20" s="162"/>
      <c r="AW20" s="162"/>
      <c r="AX20" s="162"/>
    </row>
    <row r="21" spans="1:77" ht="16.5" thickBot="1">
      <c r="A21" s="162"/>
      <c r="B21" s="230"/>
      <c r="C21" s="229"/>
      <c r="D21" s="3581"/>
      <c r="E21" s="3574"/>
      <c r="F21" s="3600"/>
      <c r="G21" s="240"/>
      <c r="H21" s="239"/>
      <c r="I21" s="3648"/>
      <c r="J21" s="238"/>
      <c r="K21" s="238"/>
      <c r="L21" s="238"/>
      <c r="M21" s="238"/>
      <c r="N21" s="238"/>
      <c r="O21" s="238"/>
      <c r="P21" s="238"/>
      <c r="Q21" s="238"/>
      <c r="R21" s="238"/>
      <c r="S21" s="238"/>
      <c r="T21" s="237"/>
      <c r="V21" s="162"/>
      <c r="W21" s="3812" t="str">
        <f ca="1">IFERROR(__xludf.DUMMYFUNCTION("""COMPUTED_VALUE"""),"Tools")</f>
        <v>Tools</v>
      </c>
      <c r="X21" s="3569"/>
      <c r="Y21" s="3569"/>
      <c r="Z21" s="3569"/>
      <c r="AA21" s="3569"/>
      <c r="AB21" s="3570"/>
      <c r="AC21" s="3817"/>
      <c r="AD21" s="3569"/>
      <c r="AE21" s="3569"/>
      <c r="AF21" s="3569"/>
      <c r="AG21" s="3569"/>
      <c r="AH21" s="3569"/>
      <c r="AI21" s="3569"/>
      <c r="AJ21" s="3569"/>
      <c r="AK21" s="3569"/>
      <c r="AL21" s="3569"/>
      <c r="AM21" s="3569"/>
      <c r="AN21" s="3569"/>
      <c r="AO21" s="3569"/>
      <c r="AP21" s="3569"/>
      <c r="AQ21" s="3569"/>
      <c r="AR21" s="3569"/>
      <c r="AS21" s="3569"/>
      <c r="AT21" s="3606"/>
      <c r="AU21" s="162"/>
      <c r="AV21" s="162"/>
      <c r="AW21" s="162"/>
      <c r="AX21" s="162"/>
      <c r="AY21" s="162"/>
      <c r="AZ21" s="162"/>
      <c r="BA21" s="162"/>
      <c r="BB21" s="162"/>
      <c r="BC21" s="162"/>
      <c r="BD21" s="162"/>
      <c r="BE21" s="162"/>
      <c r="BF21" s="162"/>
      <c r="BG21" s="162"/>
      <c r="BH21" s="162"/>
      <c r="BI21" s="162"/>
      <c r="BJ21" s="162"/>
      <c r="BK21" s="162"/>
      <c r="BL21" s="162"/>
      <c r="BM21" s="162"/>
      <c r="BN21" s="162"/>
      <c r="BO21" s="162"/>
      <c r="BP21" s="162"/>
      <c r="BQ21" s="162"/>
      <c r="BR21" s="162"/>
      <c r="BS21" s="162"/>
      <c r="BT21" s="162"/>
      <c r="BU21" s="162"/>
      <c r="BV21" s="162"/>
      <c r="BW21" s="162"/>
      <c r="BX21" s="162"/>
      <c r="BY21" s="162"/>
    </row>
    <row r="22" spans="1:77" ht="16.5" thickBot="1">
      <c r="A22" s="162"/>
      <c r="B22" s="3820" t="str">
        <f ca="1">IFERROR(__xludf.DUMMYFUNCTION("""COMPUTED_VALUE"""),"Score")</f>
        <v>Score</v>
      </c>
      <c r="C22" s="3580"/>
      <c r="D22" s="3575"/>
      <c r="E22" s="3577"/>
      <c r="F22" s="3575"/>
      <c r="G22" s="236"/>
      <c r="H22" s="235"/>
      <c r="I22" s="3649"/>
      <c r="J22" s="234"/>
      <c r="K22" s="234"/>
      <c r="L22" s="234"/>
      <c r="M22" s="234"/>
      <c r="N22" s="234"/>
      <c r="O22" s="234"/>
      <c r="P22" s="234"/>
      <c r="Q22" s="234"/>
      <c r="R22" s="234"/>
      <c r="S22" s="234"/>
      <c r="T22" s="233"/>
      <c r="V22" s="162"/>
      <c r="W22" s="162"/>
      <c r="X22" s="162"/>
      <c r="Y22" s="162"/>
      <c r="Z22" s="162"/>
      <c r="AA22" s="162"/>
      <c r="AB22" s="162"/>
      <c r="AC22" s="162"/>
      <c r="AD22" s="162"/>
      <c r="AE22" s="162"/>
      <c r="AF22" s="162"/>
      <c r="AG22" s="162"/>
      <c r="AH22" s="162"/>
      <c r="AI22" s="162"/>
      <c r="AJ22" s="162"/>
      <c r="AK22" s="162"/>
      <c r="AL22" s="162"/>
      <c r="AM22" s="162"/>
      <c r="AN22" s="162"/>
      <c r="AO22" s="162"/>
      <c r="AP22" s="162"/>
      <c r="AQ22" s="162"/>
      <c r="AR22" s="162"/>
      <c r="AS22" s="162"/>
      <c r="AT22" s="162"/>
      <c r="AU22" s="162"/>
      <c r="AV22" s="162"/>
      <c r="AW22" s="162"/>
      <c r="AX22" s="162"/>
    </row>
    <row r="23" spans="1:77" ht="16.5" thickBot="1">
      <c r="A23" s="162"/>
      <c r="B23" s="162"/>
      <c r="C23" s="162"/>
      <c r="D23" s="162"/>
      <c r="E23" s="162"/>
      <c r="F23" s="162"/>
      <c r="V23" s="162"/>
      <c r="W23" s="3670" t="str">
        <f ca="1">IFERROR(__xludf.DUMMYFUNCTION("""COMPUTED_VALUE"""),"Armor Class")</f>
        <v>Armor Class</v>
      </c>
      <c r="X23" s="3579"/>
      <c r="Y23" s="3579"/>
      <c r="Z23" s="3579"/>
      <c r="AA23" s="3580"/>
      <c r="AB23" s="3757" t="str">
        <f ca="1">IFERROR(__xludf.DUMMYFUNCTION("""COMPUTED_VALUE"""),"Armor Worn")</f>
        <v>Armor Worn</v>
      </c>
      <c r="AC23" s="3579"/>
      <c r="AD23" s="3579"/>
      <c r="AE23" s="3579"/>
      <c r="AF23" s="3579"/>
      <c r="AG23" s="3584"/>
      <c r="AH23" s="3763" t="str">
        <f ca="1">IFERROR(__xludf.DUMMYFUNCTION("""COMPUTED_VALUE"""),"Type")</f>
        <v>Type</v>
      </c>
      <c r="AI23" s="3579"/>
      <c r="AJ23" s="3579"/>
      <c r="AK23" s="3770" t="str">
        <f ca="1">IFERROR(__xludf.DUMMYFUNCTION("""COMPUTED_VALUE"""),"AC")</f>
        <v>AC</v>
      </c>
      <c r="AL23" s="3584"/>
      <c r="AM23" s="3769" t="str">
        <f ca="1">IFERROR(__xludf.DUMMYFUNCTION("""COMPUTED_VALUE"""),"Magic")</f>
        <v>Magic</v>
      </c>
      <c r="AN23" s="3579"/>
      <c r="AO23" s="3584"/>
      <c r="AP23" s="3671" t="str">
        <f ca="1">IFERROR(__xludf.DUMMYFUNCTION("""COMPUTED_VALUE"""),"Wgt")</f>
        <v>Wgt</v>
      </c>
      <c r="AQ23" s="3584"/>
      <c r="AR23" s="3672" t="str">
        <f ca="1">IFERROR(__xludf.DUMMYFUNCTION("""COMPUTED_VALUE"""),"Stealth")</f>
        <v>Stealth</v>
      </c>
      <c r="AS23" s="3579"/>
      <c r="AT23" s="3580"/>
      <c r="AU23" s="161"/>
      <c r="AV23" s="255"/>
      <c r="AW23" s="254"/>
      <c r="AX23" s="253"/>
    </row>
    <row r="24" spans="1:77" ht="18.75" thickBot="1">
      <c r="A24" s="162"/>
      <c r="B24" s="3801" t="str">
        <f ca="1">IFERROR(__xludf.DUMMYFUNCTION("""COMPUTED_VALUE"""),"DEX")</f>
        <v>DEX</v>
      </c>
      <c r="C24" s="3579"/>
      <c r="D24" s="3579"/>
      <c r="E24" s="3580"/>
      <c r="F24" s="232"/>
      <c r="G24" s="3793" t="b">
        <f ca="1">IFERROR(__xludf.DUMMYFUNCTION("""COMPUTED_VALUE"""),FALSE)</f>
        <v>0</v>
      </c>
      <c r="H24" s="3579"/>
      <c r="I24" s="3796"/>
      <c r="J24" s="3823" t="str">
        <f ca="1">IFERROR(__xludf.DUMMYFUNCTION("""COMPUTED_VALUE"""),"Dexterity")</f>
        <v>Dexterity</v>
      </c>
      <c r="K24" s="3579"/>
      <c r="L24" s="3579"/>
      <c r="M24" s="3579"/>
      <c r="N24" s="3579"/>
      <c r="O24" s="3579"/>
      <c r="P24" s="3579"/>
      <c r="Q24" s="3579"/>
      <c r="R24" s="3666"/>
      <c r="S24" s="3579"/>
      <c r="T24" s="3580"/>
      <c r="V24" s="162"/>
      <c r="W24" s="3694"/>
      <c r="X24" s="2707"/>
      <c r="Y24" s="2707"/>
      <c r="Z24" s="2707"/>
      <c r="AA24" s="2707"/>
      <c r="AB24" s="3759"/>
      <c r="AC24" s="2707"/>
      <c r="AD24" s="2707"/>
      <c r="AE24" s="2707"/>
      <c r="AF24" s="2707"/>
      <c r="AG24" s="2707"/>
      <c r="AH24" s="3673"/>
      <c r="AI24" s="2707"/>
      <c r="AJ24" s="2707"/>
      <c r="AK24" s="3673"/>
      <c r="AL24" s="3592"/>
      <c r="AM24" s="3675"/>
      <c r="AN24" s="2707"/>
      <c r="AO24" s="2707"/>
      <c r="AP24" s="3673"/>
      <c r="AQ24" s="2707"/>
      <c r="AR24" s="3792"/>
      <c r="AS24" s="3573"/>
      <c r="AT24" s="3574"/>
      <c r="AU24" s="255"/>
      <c r="AV24" s="255"/>
      <c r="AW24" s="254"/>
      <c r="AX24" s="253"/>
    </row>
    <row r="25" spans="1:77" ht="19.5" thickBot="1">
      <c r="A25" s="162"/>
      <c r="B25" s="3804" t="str">
        <f ca="1">IFERROR(__xludf.DUMMYFUNCTION("""COMPUTED_VALUE"""),"Bonus")</f>
        <v>Bonus</v>
      </c>
      <c r="C25" s="3579"/>
      <c r="D25" s="3579"/>
      <c r="E25" s="3580"/>
      <c r="F25" s="3794" t="str">
        <f ca="1">IFERROR(__xludf.DUMMYFUNCTION("""COMPUTED_VALUE"""),"Proficiency")</f>
        <v>Proficiency</v>
      </c>
      <c r="G25" s="3613" t="str">
        <f ca="1">IFERROR(__xludf.DUMMYFUNCTION("""COMPUTED_VALUE"""),"-")</f>
        <v>-</v>
      </c>
      <c r="H25" s="3596"/>
      <c r="I25" s="3648"/>
      <c r="J25" s="3821" t="str">
        <f ca="1">IFERROR(__xludf.DUMMYFUNCTION("""COMPUTED_VALUE"""),"Acrobatics")</f>
        <v>Acrobatics</v>
      </c>
      <c r="K25" s="3596"/>
      <c r="L25" s="3596"/>
      <c r="M25" s="3596"/>
      <c r="N25" s="3596"/>
      <c r="O25" s="3596"/>
      <c r="P25" s="3821"/>
      <c r="Q25" s="3596"/>
      <c r="R25" s="3800"/>
      <c r="S25" s="3596"/>
      <c r="T25" s="3623"/>
      <c r="V25" s="257"/>
      <c r="W25" s="3600"/>
      <c r="X25" s="2707"/>
      <c r="Y25" s="2707"/>
      <c r="Z25" s="2707"/>
      <c r="AA25" s="2707"/>
      <c r="AB25" s="3758" t="str">
        <f ca="1">IFERROR(__xludf.DUMMYFUNCTION("""COMPUTED_VALUE"""),"Armor Descript.")</f>
        <v>Armor Descript.</v>
      </c>
      <c r="AC25" s="3579"/>
      <c r="AD25" s="3579"/>
      <c r="AE25" s="3579"/>
      <c r="AF25" s="3579"/>
      <c r="AG25" s="3579"/>
      <c r="AH25" s="3674"/>
      <c r="AI25" s="3579"/>
      <c r="AJ25" s="3579"/>
      <c r="AK25" s="3579"/>
      <c r="AL25" s="3579"/>
      <c r="AM25" s="3579"/>
      <c r="AN25" s="3579"/>
      <c r="AO25" s="3579"/>
      <c r="AP25" s="3579"/>
      <c r="AQ25" s="3579"/>
      <c r="AR25" s="3579"/>
      <c r="AS25" s="3579"/>
      <c r="AT25" s="3580"/>
      <c r="AU25" s="162"/>
      <c r="AV25" s="255"/>
      <c r="AW25" s="253"/>
      <c r="AX25" s="253"/>
      <c r="BD25" s="149"/>
      <c r="BE25" s="149"/>
      <c r="BF25" s="149"/>
      <c r="BG25" s="149"/>
      <c r="BH25" s="149"/>
      <c r="BI25" s="149"/>
      <c r="BJ25" s="149"/>
      <c r="BK25" s="149"/>
      <c r="BL25" s="149"/>
      <c r="BM25" s="149"/>
      <c r="BN25" s="149"/>
      <c r="BO25" s="149"/>
      <c r="BP25" s="149"/>
      <c r="BQ25" s="149"/>
      <c r="BR25" s="149"/>
      <c r="BS25" s="149"/>
      <c r="BT25" s="149"/>
      <c r="BU25" s="149"/>
      <c r="BV25" s="149"/>
      <c r="BW25" s="149"/>
      <c r="BX25" s="149"/>
      <c r="BY25" s="149"/>
    </row>
    <row r="26" spans="1:77" ht="16.5" thickBot="1">
      <c r="A26" s="162"/>
      <c r="B26" s="3802"/>
      <c r="C26" s="3573"/>
      <c r="D26" s="3573"/>
      <c r="E26" s="3803"/>
      <c r="F26" s="3600"/>
      <c r="G26" s="3795" t="str">
        <f ca="1">IFERROR(__xludf.DUMMYFUNCTION("""COMPUTED_VALUE"""),"-")</f>
        <v>-</v>
      </c>
      <c r="H26" s="3562"/>
      <c r="I26" s="3648"/>
      <c r="J26" s="3780" t="str">
        <f ca="1">IFERROR(__xludf.DUMMYFUNCTION("""COMPUTED_VALUE"""),"Sleight of Hand")</f>
        <v>Sleight of Hand</v>
      </c>
      <c r="K26" s="3562"/>
      <c r="L26" s="3562"/>
      <c r="M26" s="3562"/>
      <c r="N26" s="3562"/>
      <c r="O26" s="3562"/>
      <c r="P26" s="3780"/>
      <c r="Q26" s="3562"/>
      <c r="R26" s="3659"/>
      <c r="S26" s="3562"/>
      <c r="T26" s="3603"/>
      <c r="V26" s="256"/>
      <c r="W26" s="3600"/>
      <c r="X26" s="2707"/>
      <c r="Y26" s="2707"/>
      <c r="Z26" s="2707"/>
      <c r="AA26" s="2707"/>
      <c r="AB26" s="3791" t="str">
        <f ca="1">IFERROR(__xludf.DUMMYFUNCTION("""COMPUTED_VALUE"""),"Shield")</f>
        <v>Shield</v>
      </c>
      <c r="AC26" s="3576"/>
      <c r="AD26" s="3668"/>
      <c r="AE26" s="3685"/>
      <c r="AF26" s="3668"/>
      <c r="AG26" s="3790" t="str">
        <f ca="1">IFERROR(__xludf.DUMMYFUNCTION("""COMPUTED_VALUE"""),"Worn?")</f>
        <v>Worn?</v>
      </c>
      <c r="AH26" s="3668"/>
      <c r="AI26" s="3685" t="str">
        <f ca="1">IFERROR(__xludf.DUMMYFUNCTION("""COMPUTED_VALUE"""),"No")</f>
        <v>No</v>
      </c>
      <c r="AJ26" s="3668"/>
      <c r="AK26" s="3684" t="str">
        <f ca="1">IFERROR(__xludf.DUMMYFUNCTION("""COMPUTED_VALUE"""),"AC")</f>
        <v>AC</v>
      </c>
      <c r="AL26" s="3576"/>
      <c r="AM26" s="3683"/>
      <c r="AN26" s="3668"/>
      <c r="AO26" s="3689" t="str">
        <f ca="1">IFERROR(__xludf.DUMMYFUNCTION("""COMPUTED_VALUE"""),"Weight")</f>
        <v>Weight</v>
      </c>
      <c r="AP26" s="3576"/>
      <c r="AQ26" s="3576"/>
      <c r="AR26" s="3668"/>
      <c r="AS26" s="3788"/>
      <c r="AT26" s="3580"/>
      <c r="AU26" s="162"/>
      <c r="AV26" s="255"/>
      <c r="AW26" s="254"/>
      <c r="AX26" s="253"/>
      <c r="BD26" s="149"/>
      <c r="BE26" s="149"/>
      <c r="BF26" s="149"/>
      <c r="BG26" s="149"/>
      <c r="BH26" s="149"/>
      <c r="BI26" s="149"/>
      <c r="BJ26" s="149"/>
      <c r="BK26" s="149"/>
      <c r="BL26" s="149"/>
      <c r="BM26" s="149"/>
      <c r="BN26" s="149"/>
      <c r="BO26" s="149"/>
      <c r="BP26" s="149"/>
      <c r="BQ26" s="149"/>
      <c r="BR26" s="149"/>
      <c r="BS26" s="149"/>
      <c r="BT26" s="149"/>
      <c r="BU26" s="149"/>
      <c r="BV26" s="149"/>
      <c r="BW26" s="149"/>
      <c r="BX26" s="149"/>
      <c r="BY26" s="149"/>
    </row>
    <row r="27" spans="1:77" ht="16.5" thickBot="1">
      <c r="A27" s="162"/>
      <c r="B27" s="3600"/>
      <c r="C27" s="2707"/>
      <c r="D27" s="2707"/>
      <c r="E27" s="3577"/>
      <c r="F27" s="3600"/>
      <c r="G27" s="3795" t="str">
        <f ca="1">IFERROR(__xludf.DUMMYFUNCTION("""COMPUTED_VALUE"""),"-")</f>
        <v>-</v>
      </c>
      <c r="H27" s="3562"/>
      <c r="I27" s="3648"/>
      <c r="J27" s="3780" t="str">
        <f ca="1">IFERROR(__xludf.DUMMYFUNCTION("""COMPUTED_VALUE"""),"Stealth")</f>
        <v>Stealth</v>
      </c>
      <c r="K27" s="3562"/>
      <c r="L27" s="3562"/>
      <c r="M27" s="3562"/>
      <c r="N27" s="3562"/>
      <c r="O27" s="3562"/>
      <c r="P27" s="3780"/>
      <c r="Q27" s="3562"/>
      <c r="R27" s="3659"/>
      <c r="S27" s="3562"/>
      <c r="T27" s="3603"/>
      <c r="V27" s="162"/>
      <c r="W27" s="3575"/>
      <c r="X27" s="3576"/>
      <c r="Y27" s="3576"/>
      <c r="Z27" s="3576"/>
      <c r="AA27" s="3576"/>
      <c r="AB27" s="3693" t="str">
        <f ca="1">IFERROR(__xludf.DUMMYFUNCTION("""COMPUTED_VALUE"""),"Other Magic Bonus")</f>
        <v>Other Magic Bonus</v>
      </c>
      <c r="AC27" s="3579"/>
      <c r="AD27" s="3579"/>
      <c r="AE27" s="3579"/>
      <c r="AF27" s="3579"/>
      <c r="AG27" s="3584"/>
      <c r="AH27" s="3676"/>
      <c r="AI27" s="3579"/>
      <c r="AJ27" s="3579"/>
      <c r="AK27" s="3584"/>
      <c r="AL27" s="3677" t="str">
        <f ca="1">IFERROR(__xludf.DUMMYFUNCTION("""COMPUTED_VALUE"""),"Misc Bonus:")</f>
        <v>Misc Bonus:</v>
      </c>
      <c r="AM27" s="3579"/>
      <c r="AN27" s="3579"/>
      <c r="AO27" s="3579"/>
      <c r="AP27" s="3584"/>
      <c r="AQ27" s="3676"/>
      <c r="AR27" s="3579"/>
      <c r="AS27" s="3579"/>
      <c r="AT27" s="3580"/>
      <c r="AU27" s="162"/>
      <c r="AV27" s="162"/>
      <c r="AW27" s="162"/>
      <c r="AX27" s="162"/>
    </row>
    <row r="28" spans="1:77" ht="16.5" thickBot="1">
      <c r="A28" s="162"/>
      <c r="B28" s="230"/>
      <c r="C28" s="229"/>
      <c r="D28" s="3581"/>
      <c r="E28" s="3574"/>
      <c r="F28" s="3600"/>
      <c r="G28" s="184"/>
      <c r="H28" s="183"/>
      <c r="I28" s="3648"/>
      <c r="J28" s="252"/>
      <c r="K28" s="252"/>
      <c r="L28" s="252"/>
      <c r="M28" s="252"/>
      <c r="N28" s="252"/>
      <c r="O28" s="252"/>
      <c r="P28" s="252"/>
      <c r="Q28" s="252"/>
      <c r="R28" s="252"/>
      <c r="S28" s="252"/>
      <c r="T28" s="251"/>
      <c r="U28" s="162"/>
      <c r="V28" s="162"/>
      <c r="W28" s="162"/>
      <c r="X28" s="162"/>
      <c r="Y28" s="162"/>
      <c r="Z28" s="162"/>
      <c r="AA28" s="162"/>
      <c r="AB28" s="162"/>
      <c r="AC28" s="162"/>
      <c r="AD28" s="162"/>
      <c r="AE28" s="162"/>
      <c r="AF28" s="162"/>
      <c r="AG28" s="162"/>
      <c r="AH28" s="162"/>
      <c r="AI28" s="162"/>
      <c r="AJ28" s="162"/>
      <c r="AK28" s="162"/>
      <c r="AL28" s="162"/>
      <c r="AM28" s="162"/>
      <c r="AN28" s="162"/>
      <c r="AO28" s="162"/>
      <c r="AP28" s="162"/>
      <c r="AQ28" s="162"/>
      <c r="AR28" s="162"/>
      <c r="AS28" s="162"/>
      <c r="AT28" s="162"/>
      <c r="AU28" s="162"/>
      <c r="AV28" s="162"/>
      <c r="AW28" s="162"/>
      <c r="AX28" s="162"/>
    </row>
    <row r="29" spans="1:77" ht="16.5" thickBot="1">
      <c r="A29" s="162"/>
      <c r="B29" s="3820" t="str">
        <f ca="1">IFERROR(__xludf.DUMMYFUNCTION("""COMPUTED_VALUE"""),"Score")</f>
        <v>Score</v>
      </c>
      <c r="C29" s="3580"/>
      <c r="D29" s="3575"/>
      <c r="E29" s="3577"/>
      <c r="F29" s="3575"/>
      <c r="G29" s="236"/>
      <c r="H29" s="235"/>
      <c r="I29" s="3649"/>
      <c r="J29" s="234"/>
      <c r="K29" s="234"/>
      <c r="L29" s="234"/>
      <c r="M29" s="234"/>
      <c r="N29" s="234"/>
      <c r="O29" s="234"/>
      <c r="P29" s="234"/>
      <c r="Q29" s="234"/>
      <c r="R29" s="234"/>
      <c r="S29" s="234"/>
      <c r="T29" s="233"/>
      <c r="V29" s="162"/>
      <c r="W29" s="3646" t="str">
        <f ca="1">IFERROR(__xludf.DUMMYFUNCTION("""COMPUTED_VALUE"""),"Current HP")</f>
        <v>Current HP</v>
      </c>
      <c r="X29" s="3579"/>
      <c r="Y29" s="3579"/>
      <c r="Z29" s="3579"/>
      <c r="AA29" s="3579"/>
      <c r="AB29" s="3579"/>
      <c r="AC29" s="3761" t="str">
        <f ca="1">IFERROR(__xludf.DUMMYFUNCTION("""COMPUTED_VALUE"""),"Temp HP")</f>
        <v>Temp HP</v>
      </c>
      <c r="AD29" s="3579"/>
      <c r="AE29" s="3579"/>
      <c r="AF29" s="3579"/>
      <c r="AG29" s="3579"/>
      <c r="AH29" s="3764" t="str">
        <f ca="1">IFERROR(__xludf.DUMMYFUNCTION("""COMPUTED_VALUE"""),"Wounds")</f>
        <v>Wounds</v>
      </c>
      <c r="AI29" s="3579"/>
      <c r="AJ29" s="3579"/>
      <c r="AK29" s="3579"/>
      <c r="AL29" s="3579"/>
      <c r="AM29" s="3579"/>
      <c r="AN29" s="3579"/>
      <c r="AO29" s="3580"/>
      <c r="AP29" s="3686" t="str">
        <f ca="1">IFERROR(__xludf.DUMMYFUNCTION("""COMPUTED_VALUE"""),"Death Saves")</f>
        <v>Death Saves</v>
      </c>
      <c r="AQ29" s="3579"/>
      <c r="AR29" s="3579"/>
      <c r="AS29" s="3579"/>
      <c r="AT29" s="3580"/>
      <c r="AU29" s="162"/>
      <c r="AV29" s="162"/>
      <c r="AW29" s="162"/>
      <c r="AX29" s="162"/>
    </row>
    <row r="30" spans="1:77" ht="16.5" thickBot="1">
      <c r="A30" s="162"/>
      <c r="B30" s="162"/>
      <c r="C30" s="162"/>
      <c r="D30" s="162"/>
      <c r="E30" s="162"/>
      <c r="F30" s="162"/>
      <c r="V30" s="162"/>
      <c r="W30" s="3695"/>
      <c r="X30" s="3573"/>
      <c r="Y30" s="3573"/>
      <c r="Z30" s="3573"/>
      <c r="AA30" s="3573"/>
      <c r="AB30" s="3574"/>
      <c r="AC30" s="3760"/>
      <c r="AD30" s="3573"/>
      <c r="AE30" s="3573"/>
      <c r="AF30" s="3573"/>
      <c r="AG30" s="3574"/>
      <c r="AH30" s="3679">
        <f ca="1">IFERROR(__xludf.DUMMYFUNCTION("""COMPUTED_VALUE"""),0)</f>
        <v>0</v>
      </c>
      <c r="AI30" s="3573"/>
      <c r="AJ30" s="3573"/>
      <c r="AK30" s="3573"/>
      <c r="AL30" s="3573"/>
      <c r="AM30" s="3573"/>
      <c r="AN30" s="3573"/>
      <c r="AO30" s="3574"/>
      <c r="AP30" s="3688" t="str">
        <f ca="1">IFERROR(__xludf.DUMMYFUNCTION("""COMPUTED_VALUE"""),"Successes")</f>
        <v>Successes</v>
      </c>
      <c r="AQ30" s="3573"/>
      <c r="AR30" s="3573"/>
      <c r="AS30" s="3573"/>
      <c r="AT30" s="3574"/>
      <c r="AU30" s="250"/>
      <c r="AV30" s="250"/>
      <c r="AW30" s="250"/>
      <c r="AX30" s="250"/>
    </row>
    <row r="31" spans="1:77" ht="18.75" thickBot="1">
      <c r="A31" s="162"/>
      <c r="B31" s="3801" t="str">
        <f ca="1">IFERROR(__xludf.DUMMYFUNCTION("""COMPUTED_VALUE"""),"CON")</f>
        <v>CON</v>
      </c>
      <c r="C31" s="3579"/>
      <c r="D31" s="3579"/>
      <c r="E31" s="3580"/>
      <c r="F31" s="232"/>
      <c r="G31" s="3793" t="b">
        <f ca="1">IFERROR(__xludf.DUMMYFUNCTION("""COMPUTED_VALUE"""),FALSE)</f>
        <v>0</v>
      </c>
      <c r="H31" s="3579"/>
      <c r="I31" s="3796"/>
      <c r="J31" s="3823" t="str">
        <f ca="1">IFERROR(__xludf.DUMMYFUNCTION("""COMPUTED_VALUE"""),"Constitution")</f>
        <v>Constitution</v>
      </c>
      <c r="K31" s="3579"/>
      <c r="L31" s="3579"/>
      <c r="M31" s="3579"/>
      <c r="N31" s="3579"/>
      <c r="O31" s="3579"/>
      <c r="P31" s="3579"/>
      <c r="Q31" s="3579"/>
      <c r="R31" s="3666"/>
      <c r="S31" s="3579"/>
      <c r="T31" s="3580"/>
      <c r="V31" s="162"/>
      <c r="W31" s="3600"/>
      <c r="X31" s="2707"/>
      <c r="Y31" s="2707"/>
      <c r="Z31" s="2707"/>
      <c r="AA31" s="2707"/>
      <c r="AB31" s="3601"/>
      <c r="AC31" s="3600"/>
      <c r="AD31" s="2707"/>
      <c r="AE31" s="2707"/>
      <c r="AF31" s="2707"/>
      <c r="AG31" s="3601"/>
      <c r="AH31" s="3575"/>
      <c r="AI31" s="3576"/>
      <c r="AJ31" s="3576"/>
      <c r="AK31" s="3576"/>
      <c r="AL31" s="3576"/>
      <c r="AM31" s="3576"/>
      <c r="AN31" s="3576"/>
      <c r="AO31" s="3577"/>
      <c r="AP31" s="249"/>
      <c r="AQ31" s="162" t="b">
        <f ca="1">IFERROR(__xludf.DUMMYFUNCTION("""COMPUTED_VALUE"""),FALSE)</f>
        <v>0</v>
      </c>
      <c r="AR31" s="162" t="b">
        <f ca="1">IFERROR(__xludf.DUMMYFUNCTION("""COMPUTED_VALUE"""),FALSE)</f>
        <v>0</v>
      </c>
      <c r="AS31" s="162" t="b">
        <f ca="1">IFERROR(__xludf.DUMMYFUNCTION("""COMPUTED_VALUE"""),FALSE)</f>
        <v>0</v>
      </c>
      <c r="AT31" s="248"/>
      <c r="AU31" s="162"/>
      <c r="AV31" s="162"/>
      <c r="AW31" s="162"/>
      <c r="AX31" s="162"/>
    </row>
    <row r="32" spans="1:77" ht="16.5" thickBot="1">
      <c r="A32" s="162"/>
      <c r="B32" s="3804" t="str">
        <f ca="1">IFERROR(__xludf.DUMMYFUNCTION("""COMPUTED_VALUE"""),"Bonus")</f>
        <v>Bonus</v>
      </c>
      <c r="C32" s="3579"/>
      <c r="D32" s="3579"/>
      <c r="E32" s="3580"/>
      <c r="F32" s="3794" t="str">
        <f ca="1">IFERROR(__xludf.DUMMYFUNCTION("""COMPUTED_VALUE"""),"Proficiency")</f>
        <v>Proficiency</v>
      </c>
      <c r="G32" s="247"/>
      <c r="H32" s="246"/>
      <c r="I32" s="3648"/>
      <c r="J32" s="245"/>
      <c r="K32" s="245"/>
      <c r="L32" s="245"/>
      <c r="M32" s="245"/>
      <c r="N32" s="245"/>
      <c r="O32" s="245"/>
      <c r="P32" s="245"/>
      <c r="Q32" s="245"/>
      <c r="R32" s="245"/>
      <c r="S32" s="245"/>
      <c r="T32" s="244"/>
      <c r="V32" s="162"/>
      <c r="W32" s="3600"/>
      <c r="X32" s="2707"/>
      <c r="Y32" s="2707"/>
      <c r="Z32" s="2707"/>
      <c r="AA32" s="2707"/>
      <c r="AB32" s="3601"/>
      <c r="AC32" s="3600"/>
      <c r="AD32" s="2707"/>
      <c r="AE32" s="2707"/>
      <c r="AF32" s="2707"/>
      <c r="AG32" s="3601"/>
      <c r="AH32" s="3678" t="str">
        <f ca="1">IFERROR(__xludf.DUMMYFUNCTION("""COMPUTED_VALUE"""),"Max Hit Points")</f>
        <v>Max Hit Points</v>
      </c>
      <c r="AI32" s="3579"/>
      <c r="AJ32" s="3579"/>
      <c r="AK32" s="3579"/>
      <c r="AL32" s="3579"/>
      <c r="AM32" s="3579"/>
      <c r="AN32" s="3579"/>
      <c r="AO32" s="3580"/>
      <c r="AP32" s="3687" t="str">
        <f ca="1">IFERROR(__xludf.DUMMYFUNCTION("""COMPUTED_VALUE"""),"Failures")</f>
        <v>Failures</v>
      </c>
      <c r="AQ32" s="2707"/>
      <c r="AR32" s="2707"/>
      <c r="AS32" s="2707"/>
      <c r="AT32" s="3601"/>
      <c r="AU32" s="162"/>
      <c r="AV32" s="162"/>
      <c r="AW32" s="162"/>
      <c r="AX32" s="162"/>
    </row>
    <row r="33" spans="1:50" ht="16.5" thickBot="1">
      <c r="A33" s="162"/>
      <c r="B33" s="3802"/>
      <c r="C33" s="3573"/>
      <c r="D33" s="3573"/>
      <c r="E33" s="3803"/>
      <c r="F33" s="3600"/>
      <c r="G33" s="240"/>
      <c r="H33" s="239"/>
      <c r="I33" s="3648"/>
      <c r="J33" s="238"/>
      <c r="K33" s="238"/>
      <c r="L33" s="238"/>
      <c r="M33" s="238"/>
      <c r="N33" s="238"/>
      <c r="O33" s="238"/>
      <c r="P33" s="238"/>
      <c r="Q33" s="238"/>
      <c r="R33" s="238"/>
      <c r="S33" s="238"/>
      <c r="T33" s="237"/>
      <c r="V33" s="162"/>
      <c r="W33" s="3575"/>
      <c r="X33" s="3576"/>
      <c r="Y33" s="3576"/>
      <c r="Z33" s="3576"/>
      <c r="AA33" s="3576"/>
      <c r="AB33" s="3577"/>
      <c r="AC33" s="3575"/>
      <c r="AD33" s="3576"/>
      <c r="AE33" s="3576"/>
      <c r="AF33" s="3576"/>
      <c r="AG33" s="3577"/>
      <c r="AH33" s="3680"/>
      <c r="AI33" s="3579"/>
      <c r="AJ33" s="3579"/>
      <c r="AK33" s="3579"/>
      <c r="AL33" s="3579"/>
      <c r="AM33" s="3579"/>
      <c r="AN33" s="3579"/>
      <c r="AO33" s="3580"/>
      <c r="AP33" s="243"/>
      <c r="AQ33" s="242" t="b">
        <f ca="1">IFERROR(__xludf.DUMMYFUNCTION("""COMPUTED_VALUE"""),FALSE)</f>
        <v>0</v>
      </c>
      <c r="AR33" s="242" t="b">
        <f ca="1">IFERROR(__xludf.DUMMYFUNCTION("""COMPUTED_VALUE"""),FALSE)</f>
        <v>0</v>
      </c>
      <c r="AS33" s="242" t="b">
        <f ca="1">IFERROR(__xludf.DUMMYFUNCTION("""COMPUTED_VALUE"""),FALSE)</f>
        <v>0</v>
      </c>
      <c r="AT33" s="241"/>
      <c r="AU33" s="162"/>
      <c r="AV33" s="162"/>
      <c r="AW33" s="162"/>
      <c r="AX33" s="162"/>
    </row>
    <row r="34" spans="1:50" ht="16.5" thickBot="1">
      <c r="A34" s="162"/>
      <c r="B34" s="3600"/>
      <c r="C34" s="2707"/>
      <c r="D34" s="2707"/>
      <c r="E34" s="3577"/>
      <c r="F34" s="3600"/>
      <c r="G34" s="240"/>
      <c r="H34" s="239"/>
      <c r="I34" s="3648"/>
      <c r="J34" s="238"/>
      <c r="K34" s="238"/>
      <c r="L34" s="238"/>
      <c r="M34" s="238"/>
      <c r="N34" s="238"/>
      <c r="O34" s="238"/>
      <c r="P34" s="238"/>
      <c r="Q34" s="238"/>
      <c r="R34" s="238"/>
      <c r="S34" s="238"/>
      <c r="T34" s="237"/>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row>
    <row r="35" spans="1:50" ht="16.5" thickBot="1">
      <c r="A35" s="162"/>
      <c r="B35" s="230"/>
      <c r="C35" s="229"/>
      <c r="D35" s="3581"/>
      <c r="E35" s="3574"/>
      <c r="F35" s="3600"/>
      <c r="G35" s="240"/>
      <c r="H35" s="239"/>
      <c r="I35" s="3648"/>
      <c r="J35" s="238"/>
      <c r="K35" s="238"/>
      <c r="L35" s="238"/>
      <c r="M35" s="238"/>
      <c r="N35" s="238"/>
      <c r="O35" s="238"/>
      <c r="P35" s="238"/>
      <c r="Q35" s="238"/>
      <c r="R35" s="238"/>
      <c r="S35" s="238"/>
      <c r="T35" s="237"/>
      <c r="V35" s="162"/>
      <c r="W35" s="3696" t="str">
        <f ca="1">IFERROR(__xludf.DUMMYFUNCTION("""COMPUTED_VALUE"""),"Wealth")</f>
        <v>Wealth</v>
      </c>
      <c r="X35" s="3579"/>
      <c r="Y35" s="3579"/>
      <c r="Z35" s="3579"/>
      <c r="AA35" s="3579"/>
      <c r="AB35" s="3579"/>
      <c r="AC35" s="3579"/>
      <c r="AD35" s="3579"/>
      <c r="AE35" s="3584"/>
      <c r="AF35" s="3682" t="str">
        <f ca="1">IFERROR(__xludf.DUMMYFUNCTION("""COMPUTED_VALUE"""),"CP")</f>
        <v>CP</v>
      </c>
      <c r="AG35" s="3579"/>
      <c r="AH35" s="3584"/>
      <c r="AI35" s="3681" t="str">
        <f ca="1">IFERROR(__xludf.DUMMYFUNCTION("""COMPUTED_VALUE"""),"SP")</f>
        <v>SP</v>
      </c>
      <c r="AJ35" s="3579"/>
      <c r="AK35" s="3584"/>
      <c r="AL35" s="3682" t="str">
        <f ca="1">IFERROR(__xludf.DUMMYFUNCTION("""COMPUTED_VALUE"""),"EP")</f>
        <v>EP</v>
      </c>
      <c r="AM35" s="3579"/>
      <c r="AN35" s="3584"/>
      <c r="AO35" s="3681" t="str">
        <f ca="1">IFERROR(__xludf.DUMMYFUNCTION("""COMPUTED_VALUE"""),"GP")</f>
        <v>GP</v>
      </c>
      <c r="AP35" s="3579"/>
      <c r="AQ35" s="3584"/>
      <c r="AR35" s="3669" t="str">
        <f ca="1">IFERROR(__xludf.DUMMYFUNCTION("""COMPUTED_VALUE"""),"PP")</f>
        <v>PP</v>
      </c>
      <c r="AS35" s="3579"/>
      <c r="AT35" s="3580"/>
      <c r="AU35" s="162"/>
      <c r="AV35" s="162"/>
      <c r="AW35" s="162"/>
      <c r="AX35" s="162"/>
    </row>
    <row r="36" spans="1:50" ht="16.5" thickBot="1">
      <c r="A36" s="162"/>
      <c r="B36" s="3820" t="str">
        <f ca="1">IFERROR(__xludf.DUMMYFUNCTION("""COMPUTED_VALUE"""),"Score")</f>
        <v>Score</v>
      </c>
      <c r="C36" s="3580"/>
      <c r="D36" s="3575"/>
      <c r="E36" s="3577"/>
      <c r="F36" s="3575"/>
      <c r="G36" s="236"/>
      <c r="H36" s="235"/>
      <c r="I36" s="3649"/>
      <c r="J36" s="234"/>
      <c r="K36" s="234"/>
      <c r="L36" s="234"/>
      <c r="M36" s="234"/>
      <c r="N36" s="234"/>
      <c r="O36" s="234"/>
      <c r="P36" s="234"/>
      <c r="Q36" s="234"/>
      <c r="R36" s="234"/>
      <c r="S36" s="234"/>
      <c r="T36" s="233"/>
      <c r="V36" s="162"/>
      <c r="W36" s="3698"/>
      <c r="X36" s="3573"/>
      <c r="Y36" s="3573"/>
      <c r="Z36" s="3573"/>
      <c r="AA36" s="3573"/>
      <c r="AB36" s="3797"/>
      <c r="AC36" s="3573"/>
      <c r="AD36" s="3573"/>
      <c r="AE36" s="3574"/>
      <c r="AF36" s="3779"/>
      <c r="AG36" s="3573"/>
      <c r="AH36" s="3691"/>
      <c r="AI36" s="3667"/>
      <c r="AJ36" s="2707"/>
      <c r="AK36" s="3592"/>
      <c r="AL36" s="3667"/>
      <c r="AM36" s="2707"/>
      <c r="AN36" s="3592"/>
      <c r="AO36" s="3667"/>
      <c r="AP36" s="2707"/>
      <c r="AQ36" s="3592"/>
      <c r="AR36" s="3667"/>
      <c r="AS36" s="2707"/>
      <c r="AT36" s="3601"/>
      <c r="AU36" s="162"/>
      <c r="AV36" s="162"/>
      <c r="AW36" s="162"/>
      <c r="AX36" s="162"/>
    </row>
    <row r="37" spans="1:50" ht="16.5" thickBot="1">
      <c r="A37" s="162"/>
      <c r="B37" s="162"/>
      <c r="C37" s="162"/>
      <c r="D37" s="169"/>
      <c r="E37" s="162"/>
      <c r="F37" s="162"/>
      <c r="V37" s="162"/>
      <c r="W37" s="3575"/>
      <c r="X37" s="3576"/>
      <c r="Y37" s="3576"/>
      <c r="Z37" s="3576"/>
      <c r="AA37" s="3576"/>
      <c r="AB37" s="3798"/>
      <c r="AC37" s="3576"/>
      <c r="AD37" s="3576"/>
      <c r="AE37" s="3577"/>
      <c r="AF37" s="3576"/>
      <c r="AG37" s="3576"/>
      <c r="AH37" s="3668"/>
      <c r="AI37" s="3635"/>
      <c r="AJ37" s="3576"/>
      <c r="AK37" s="3668"/>
      <c r="AL37" s="3635"/>
      <c r="AM37" s="3576"/>
      <c r="AN37" s="3668"/>
      <c r="AO37" s="3635"/>
      <c r="AP37" s="3576"/>
      <c r="AQ37" s="3668"/>
      <c r="AR37" s="3635"/>
      <c r="AS37" s="3576"/>
      <c r="AT37" s="3577"/>
      <c r="AU37" s="162"/>
      <c r="AV37" s="162"/>
      <c r="AW37" s="162"/>
      <c r="AX37" s="162"/>
    </row>
    <row r="38" spans="1:50" ht="14.25" customHeight="1" thickBot="1">
      <c r="A38" s="162"/>
      <c r="B38" s="3801" t="str">
        <f ca="1">IFERROR(__xludf.DUMMYFUNCTION("""COMPUTED_VALUE"""),"INT")</f>
        <v>INT</v>
      </c>
      <c r="C38" s="3579"/>
      <c r="D38" s="3579"/>
      <c r="E38" s="3580"/>
      <c r="F38" s="232"/>
      <c r="G38" s="3793" t="b">
        <f ca="1">IFERROR(__xludf.DUMMYFUNCTION("""COMPUTED_VALUE"""),FALSE)</f>
        <v>0</v>
      </c>
      <c r="H38" s="3579"/>
      <c r="I38" s="3796"/>
      <c r="J38" s="3823" t="str">
        <f ca="1">IFERROR(__xludf.DUMMYFUNCTION("""COMPUTED_VALUE"""),"Intelligence")</f>
        <v>Intelligence</v>
      </c>
      <c r="K38" s="3579"/>
      <c r="L38" s="3579"/>
      <c r="M38" s="3579"/>
      <c r="N38" s="3579"/>
      <c r="O38" s="3579"/>
      <c r="P38" s="3579"/>
      <c r="Q38" s="3579"/>
      <c r="R38" s="3666"/>
      <c r="S38" s="3579"/>
      <c r="T38" s="3580"/>
      <c r="V38" s="162"/>
      <c r="W38" s="162"/>
      <c r="X38" s="162"/>
      <c r="Y38" s="162"/>
      <c r="Z38" s="162"/>
      <c r="AA38" s="162"/>
      <c r="AB38" s="162"/>
      <c r="AC38" s="162"/>
      <c r="AD38" s="162"/>
      <c r="AE38" s="162"/>
      <c r="AF38" s="162"/>
      <c r="AG38" s="162"/>
      <c r="AH38" s="162"/>
      <c r="AI38" s="162"/>
      <c r="AJ38" s="162"/>
      <c r="AK38" s="162"/>
      <c r="AL38" s="162"/>
      <c r="AM38" s="162"/>
      <c r="AN38" s="162"/>
      <c r="AO38" s="162"/>
      <c r="AP38" s="162"/>
      <c r="AQ38" s="162"/>
      <c r="AR38" s="162"/>
      <c r="AS38" s="162"/>
      <c r="AT38" s="162"/>
      <c r="AU38" s="162"/>
      <c r="AV38" s="162"/>
      <c r="AW38" s="162"/>
      <c r="AX38" s="162"/>
    </row>
    <row r="39" spans="1:50" ht="16.5" thickBot="1">
      <c r="A39" s="162"/>
      <c r="B39" s="3804" t="str">
        <f ca="1">IFERROR(__xludf.DUMMYFUNCTION("""COMPUTED_VALUE"""),"Bonus")</f>
        <v>Bonus</v>
      </c>
      <c r="C39" s="3579"/>
      <c r="D39" s="3579"/>
      <c r="E39" s="3580"/>
      <c r="F39" s="3794" t="str">
        <f ca="1">IFERROR(__xludf.DUMMYFUNCTION("""COMPUTED_VALUE"""),"Proficiency")</f>
        <v>Proficiency</v>
      </c>
      <c r="G39" s="3795" t="str">
        <f ca="1">IFERROR(__xludf.DUMMYFUNCTION("""COMPUTED_VALUE"""),"-")</f>
        <v>-</v>
      </c>
      <c r="H39" s="3562"/>
      <c r="I39" s="3648"/>
      <c r="J39" s="3780" t="str">
        <f ca="1">IFERROR(__xludf.DUMMYFUNCTION("""COMPUTED_VALUE"""),"Arcana")</f>
        <v>Arcana</v>
      </c>
      <c r="K39" s="3562"/>
      <c r="L39" s="3562"/>
      <c r="M39" s="3562"/>
      <c r="N39" s="3562"/>
      <c r="O39" s="3562"/>
      <c r="P39" s="3780"/>
      <c r="Q39" s="3562"/>
      <c r="R39" s="3659"/>
      <c r="S39" s="3562"/>
      <c r="T39" s="3603"/>
      <c r="V39" s="3697" t="str">
        <f ca="1">IFERROR(__xludf.DUMMYFUNCTION("""COMPUTED_VALUE"""),"Equipment Carried")</f>
        <v>Equipment Carried</v>
      </c>
      <c r="W39" s="3579"/>
      <c r="X39" s="3579"/>
      <c r="Y39" s="3579"/>
      <c r="Z39" s="3579"/>
      <c r="AA39" s="3579"/>
      <c r="AB39" s="3584"/>
      <c r="AC39" s="3622" t="str">
        <f ca="1">IFERROR(__xludf.DUMMYFUNCTION("""COMPUTED_VALUE"""),"qty")</f>
        <v>qty</v>
      </c>
      <c r="AD39" s="3584"/>
      <c r="AE39" s="3669" t="str">
        <f ca="1">IFERROR(__xludf.DUMMYFUNCTION("""COMPUTED_VALUE"""),"wgt each")</f>
        <v>wgt each</v>
      </c>
      <c r="AF39" s="3579"/>
      <c r="AG39" s="3580"/>
      <c r="AH39" s="169"/>
      <c r="AI39" s="3670" t="str">
        <f ca="1">IFERROR(__xludf.DUMMYFUNCTION("""COMPUTED_VALUE"""),"Equipment Carried")</f>
        <v>Equipment Carried</v>
      </c>
      <c r="AJ39" s="3579"/>
      <c r="AK39" s="3579"/>
      <c r="AL39" s="3579"/>
      <c r="AM39" s="3579"/>
      <c r="AN39" s="3579"/>
      <c r="AO39" s="3584"/>
      <c r="AP39" s="3622" t="str">
        <f ca="1">IFERROR(__xludf.DUMMYFUNCTION("""COMPUTED_VALUE"""),"qty")</f>
        <v>qty</v>
      </c>
      <c r="AQ39" s="3584"/>
      <c r="AR39" s="3669" t="str">
        <f ca="1">IFERROR(__xludf.DUMMYFUNCTION("""COMPUTED_VALUE"""),"wgt")</f>
        <v>wgt</v>
      </c>
      <c r="AS39" s="3579"/>
      <c r="AT39" s="3580"/>
      <c r="AU39" s="162"/>
      <c r="AV39" s="162"/>
      <c r="AW39" s="162"/>
      <c r="AX39" s="162"/>
    </row>
    <row r="40" spans="1:50">
      <c r="A40" s="162"/>
      <c r="B40" s="3802"/>
      <c r="C40" s="3573"/>
      <c r="D40" s="3573"/>
      <c r="E40" s="3803"/>
      <c r="F40" s="3600"/>
      <c r="G40" s="3795" t="str">
        <f ca="1">IFERROR(__xludf.DUMMYFUNCTION("""COMPUTED_VALUE"""),"-")</f>
        <v>-</v>
      </c>
      <c r="H40" s="3562"/>
      <c r="I40" s="3648"/>
      <c r="J40" s="3780" t="str">
        <f ca="1">IFERROR(__xludf.DUMMYFUNCTION("""COMPUTED_VALUE"""),"History")</f>
        <v>History</v>
      </c>
      <c r="K40" s="3562"/>
      <c r="L40" s="3562"/>
      <c r="M40" s="3562"/>
      <c r="N40" s="3562"/>
      <c r="O40" s="3562"/>
      <c r="P40" s="3780"/>
      <c r="Q40" s="3562"/>
      <c r="R40" s="3659"/>
      <c r="S40" s="3562"/>
      <c r="T40" s="3603"/>
      <c r="V40" s="3651"/>
      <c r="W40" s="3562"/>
      <c r="X40" s="3562"/>
      <c r="Y40" s="3562"/>
      <c r="Z40" s="3562"/>
      <c r="AA40" s="3562"/>
      <c r="AB40" s="3594"/>
      <c r="AC40" s="3799"/>
      <c r="AD40" s="3594"/>
      <c r="AE40" s="3799"/>
      <c r="AF40" s="3562"/>
      <c r="AG40" s="3603"/>
      <c r="AH40" s="162"/>
      <c r="AI40" s="3651" t="str">
        <f ca="1">IFERROR(__xludf.DUMMYFUNCTION("""COMPUTED_VALUE"""),"waterproof wax sack")</f>
        <v>waterproof wax sack</v>
      </c>
      <c r="AJ40" s="3562"/>
      <c r="AK40" s="3562"/>
      <c r="AL40" s="3562"/>
      <c r="AM40" s="3562"/>
      <c r="AN40" s="3562"/>
      <c r="AO40" s="3594"/>
      <c r="AP40" s="3630">
        <f ca="1">IFERROR(__xludf.DUMMYFUNCTION("""COMPUTED_VALUE"""),2)</f>
        <v>2</v>
      </c>
      <c r="AQ40" s="3586"/>
      <c r="AR40" s="3630"/>
      <c r="AS40" s="3596"/>
      <c r="AT40" s="3623"/>
      <c r="AU40" s="162"/>
      <c r="AV40" s="162"/>
      <c r="AW40" s="162"/>
      <c r="AX40" s="162"/>
    </row>
    <row r="41" spans="1:50" ht="16.5" thickBot="1">
      <c r="A41" s="162"/>
      <c r="B41" s="3600"/>
      <c r="C41" s="2707"/>
      <c r="D41" s="2707"/>
      <c r="E41" s="3577"/>
      <c r="F41" s="3600"/>
      <c r="G41" s="3795" t="str">
        <f ca="1">IFERROR(__xludf.DUMMYFUNCTION("""COMPUTED_VALUE"""),"-")</f>
        <v>-</v>
      </c>
      <c r="H41" s="3562"/>
      <c r="I41" s="3648"/>
      <c r="J41" s="3780" t="str">
        <f ca="1">IFERROR(__xludf.DUMMYFUNCTION("""COMPUTED_VALUE"""),"Investigation")</f>
        <v>Investigation</v>
      </c>
      <c r="K41" s="3562"/>
      <c r="L41" s="3562"/>
      <c r="M41" s="3562"/>
      <c r="N41" s="3562"/>
      <c r="O41" s="3562"/>
      <c r="P41" s="3780"/>
      <c r="Q41" s="3562"/>
      <c r="R41" s="3659"/>
      <c r="S41" s="3562"/>
      <c r="T41" s="3603"/>
      <c r="V41" s="3628"/>
      <c r="W41" s="3564"/>
      <c r="X41" s="3564"/>
      <c r="Y41" s="3564"/>
      <c r="Z41" s="3564"/>
      <c r="AA41" s="3564"/>
      <c r="AB41" s="3565"/>
      <c r="AC41" s="3620"/>
      <c r="AD41" s="3565"/>
      <c r="AE41" s="3620"/>
      <c r="AF41" s="3564"/>
      <c r="AG41" s="3567"/>
      <c r="AH41" s="162"/>
      <c r="AI41" s="3628" t="str">
        <f ca="1">IFERROR(__xludf.DUMMYFUNCTION("""COMPUTED_VALUE"""),"Plate mail with holes")</f>
        <v>Plate mail with holes</v>
      </c>
      <c r="AJ41" s="3564"/>
      <c r="AK41" s="3564"/>
      <c r="AL41" s="3564"/>
      <c r="AM41" s="3564"/>
      <c r="AN41" s="3564"/>
      <c r="AO41" s="3565"/>
      <c r="AP41" s="3620"/>
      <c r="AQ41" s="3565"/>
      <c r="AR41" s="3620"/>
      <c r="AS41" s="3564"/>
      <c r="AT41" s="3567"/>
      <c r="AU41" s="162"/>
      <c r="AV41" s="162"/>
      <c r="AW41" s="162"/>
      <c r="AX41" s="162"/>
    </row>
    <row r="42" spans="1:50" ht="16.5" thickBot="1">
      <c r="A42" s="162"/>
      <c r="B42" s="230"/>
      <c r="C42" s="229"/>
      <c r="D42" s="3581"/>
      <c r="E42" s="3574"/>
      <c r="F42" s="3600"/>
      <c r="G42" s="3795" t="str">
        <f ca="1">IFERROR(__xludf.DUMMYFUNCTION("""COMPUTED_VALUE"""),"-")</f>
        <v>-</v>
      </c>
      <c r="H42" s="3562"/>
      <c r="I42" s="3648"/>
      <c r="J42" s="3780" t="str">
        <f ca="1">IFERROR(__xludf.DUMMYFUNCTION("""COMPUTED_VALUE"""),"Nature")</f>
        <v>Nature</v>
      </c>
      <c r="K42" s="3562"/>
      <c r="L42" s="3562"/>
      <c r="M42" s="3562"/>
      <c r="N42" s="3562"/>
      <c r="O42" s="3562"/>
      <c r="P42" s="3780"/>
      <c r="Q42" s="3562"/>
      <c r="R42" s="3659"/>
      <c r="S42" s="3562"/>
      <c r="T42" s="3603"/>
      <c r="V42" s="3628"/>
      <c r="W42" s="3564"/>
      <c r="X42" s="3564"/>
      <c r="Y42" s="3564"/>
      <c r="Z42" s="3564"/>
      <c r="AA42" s="3564"/>
      <c r="AB42" s="3565"/>
      <c r="AC42" s="3620"/>
      <c r="AD42" s="3565"/>
      <c r="AE42" s="3620"/>
      <c r="AF42" s="3564"/>
      <c r="AG42" s="3567"/>
      <c r="AH42" s="162"/>
      <c r="AI42" s="3628" t="str">
        <f ca="1">IFERROR(__xludf.DUMMYFUNCTION("""COMPUTED_VALUE"""),"Pick Ax")</f>
        <v>Pick Ax</v>
      </c>
      <c r="AJ42" s="3564"/>
      <c r="AK42" s="3564"/>
      <c r="AL42" s="3564"/>
      <c r="AM42" s="3564"/>
      <c r="AN42" s="3564"/>
      <c r="AO42" s="3565"/>
      <c r="AP42" s="3620">
        <f ca="1">IFERROR(__xludf.DUMMYFUNCTION("""COMPUTED_VALUE"""),1)</f>
        <v>1</v>
      </c>
      <c r="AQ42" s="3565"/>
      <c r="AR42" s="3620"/>
      <c r="AS42" s="3564"/>
      <c r="AT42" s="3567"/>
      <c r="AU42" s="162"/>
      <c r="AV42" s="162"/>
      <c r="AW42" s="162"/>
      <c r="AX42" s="162"/>
    </row>
    <row r="43" spans="1:50" ht="16.5" thickBot="1">
      <c r="A43" s="162"/>
      <c r="B43" s="3820" t="str">
        <f ca="1">IFERROR(__xludf.DUMMYFUNCTION("""COMPUTED_VALUE"""),"Score")</f>
        <v>Score</v>
      </c>
      <c r="C43" s="3580"/>
      <c r="D43" s="3575"/>
      <c r="E43" s="3577"/>
      <c r="F43" s="3575"/>
      <c r="G43" s="3822" t="str">
        <f ca="1">IFERROR(__xludf.DUMMYFUNCTION("""COMPUTED_VALUE"""),"-")</f>
        <v>-</v>
      </c>
      <c r="H43" s="3576"/>
      <c r="I43" s="3649"/>
      <c r="J43" s="3783" t="str">
        <f ca="1">IFERROR(__xludf.DUMMYFUNCTION("""COMPUTED_VALUE"""),"Religion")</f>
        <v>Religion</v>
      </c>
      <c r="K43" s="3576"/>
      <c r="L43" s="3576"/>
      <c r="M43" s="3576"/>
      <c r="N43" s="3576"/>
      <c r="O43" s="3576"/>
      <c r="P43" s="3783"/>
      <c r="Q43" s="3576"/>
      <c r="R43" s="3778"/>
      <c r="S43" s="3576"/>
      <c r="T43" s="3577"/>
      <c r="V43" s="3628"/>
      <c r="W43" s="3564"/>
      <c r="X43" s="3564"/>
      <c r="Y43" s="3564"/>
      <c r="Z43" s="3564"/>
      <c r="AA43" s="3564"/>
      <c r="AB43" s="3565"/>
      <c r="AC43" s="3620"/>
      <c r="AD43" s="3565"/>
      <c r="AE43" s="3620"/>
      <c r="AF43" s="3564"/>
      <c r="AG43" s="3567"/>
      <c r="AH43" s="162"/>
      <c r="AI43" s="3628"/>
      <c r="AJ43" s="3564"/>
      <c r="AK43" s="3564"/>
      <c r="AL43" s="3564"/>
      <c r="AM43" s="3564"/>
      <c r="AN43" s="3564"/>
      <c r="AO43" s="3565"/>
      <c r="AP43" s="3620"/>
      <c r="AQ43" s="3565"/>
      <c r="AR43" s="3620"/>
      <c r="AS43" s="3564"/>
      <c r="AT43" s="3567"/>
      <c r="AU43" s="162"/>
      <c r="AV43" s="162"/>
      <c r="AW43" s="162"/>
      <c r="AX43" s="162"/>
    </row>
    <row r="44" spans="1:50" ht="16.5" thickBot="1">
      <c r="A44" s="162"/>
      <c r="B44" s="162"/>
      <c r="C44" s="162"/>
      <c r="D44" s="162"/>
      <c r="E44" s="162"/>
      <c r="F44" s="162"/>
      <c r="V44" s="3628"/>
      <c r="W44" s="3564"/>
      <c r="X44" s="3564"/>
      <c r="Y44" s="3564"/>
      <c r="Z44" s="3564"/>
      <c r="AA44" s="3564"/>
      <c r="AB44" s="3565"/>
      <c r="AC44" s="3620"/>
      <c r="AD44" s="3565"/>
      <c r="AE44" s="3620"/>
      <c r="AF44" s="3564"/>
      <c r="AG44" s="3567"/>
      <c r="AH44" s="162"/>
      <c r="AI44" s="3628"/>
      <c r="AJ44" s="3564"/>
      <c r="AK44" s="3564"/>
      <c r="AL44" s="3564"/>
      <c r="AM44" s="3564"/>
      <c r="AN44" s="3564"/>
      <c r="AO44" s="3565"/>
      <c r="AP44" s="3620"/>
      <c r="AQ44" s="3565"/>
      <c r="AR44" s="3620"/>
      <c r="AS44" s="3564"/>
      <c r="AT44" s="3567"/>
      <c r="AU44" s="162"/>
      <c r="AV44" s="162"/>
      <c r="AW44" s="162"/>
      <c r="AX44" s="162"/>
    </row>
    <row r="45" spans="1:50" ht="18.75" thickBot="1">
      <c r="A45" s="162"/>
      <c r="B45" s="3801" t="str">
        <f ca="1">IFERROR(__xludf.DUMMYFUNCTION("""COMPUTED_VALUE"""),"WIS")</f>
        <v>WIS</v>
      </c>
      <c r="C45" s="3579"/>
      <c r="D45" s="3579"/>
      <c r="E45" s="3580"/>
      <c r="F45" s="232"/>
      <c r="G45" s="3834" t="b">
        <f ca="1">IFERROR(__xludf.DUMMYFUNCTION("""COMPUTED_VALUE"""),TRUE)</f>
        <v>1</v>
      </c>
      <c r="H45" s="3579"/>
      <c r="I45" s="3796"/>
      <c r="J45" s="3823" t="str">
        <f ca="1">IFERROR(__xludf.DUMMYFUNCTION("""COMPUTED_VALUE"""),"Wisdom")</f>
        <v>Wisdom</v>
      </c>
      <c r="K45" s="3579"/>
      <c r="L45" s="3579"/>
      <c r="M45" s="3579"/>
      <c r="N45" s="3579"/>
      <c r="O45" s="3579"/>
      <c r="P45" s="3579"/>
      <c r="Q45" s="3579"/>
      <c r="R45" s="3666"/>
      <c r="S45" s="3579"/>
      <c r="T45" s="3580"/>
      <c r="V45" s="3628"/>
      <c r="W45" s="3564"/>
      <c r="X45" s="3564"/>
      <c r="Y45" s="3564"/>
      <c r="Z45" s="3564"/>
      <c r="AA45" s="3564"/>
      <c r="AB45" s="3565"/>
      <c r="AC45" s="3620"/>
      <c r="AD45" s="3565"/>
      <c r="AE45" s="3620"/>
      <c r="AF45" s="3564"/>
      <c r="AG45" s="3567"/>
      <c r="AH45" s="162"/>
      <c r="AI45" s="3628"/>
      <c r="AJ45" s="3564"/>
      <c r="AK45" s="3564"/>
      <c r="AL45" s="3564"/>
      <c r="AM45" s="3564"/>
      <c r="AN45" s="3564"/>
      <c r="AO45" s="3565"/>
      <c r="AP45" s="3620"/>
      <c r="AQ45" s="3565"/>
      <c r="AR45" s="3620"/>
      <c r="AS45" s="3564"/>
      <c r="AT45" s="3567"/>
      <c r="AU45" s="162"/>
      <c r="AV45" s="162"/>
      <c r="AW45" s="162"/>
      <c r="AX45" s="162"/>
    </row>
    <row r="46" spans="1:50" ht="16.5" thickBot="1">
      <c r="A46" s="162"/>
      <c r="B46" s="3804" t="str">
        <f ca="1">IFERROR(__xludf.DUMMYFUNCTION("""COMPUTED_VALUE"""),"Bonus")</f>
        <v>Bonus</v>
      </c>
      <c r="C46" s="3579"/>
      <c r="D46" s="3579"/>
      <c r="E46" s="3580"/>
      <c r="F46" s="3794" t="str">
        <f ca="1">IFERROR(__xludf.DUMMYFUNCTION("""COMPUTED_VALUE"""),"Proficiency")</f>
        <v>Proficiency</v>
      </c>
      <c r="G46" s="3795" t="str">
        <f ca="1">IFERROR(__xludf.DUMMYFUNCTION("""COMPUTED_VALUE"""),"-")</f>
        <v>-</v>
      </c>
      <c r="H46" s="3562"/>
      <c r="I46" s="3648"/>
      <c r="J46" s="3897" t="str">
        <f ca="1">IFERROR(__xludf.DUMMYFUNCTION("""COMPUTED_VALUE"""),"Animal Handling")</f>
        <v>Animal Handling</v>
      </c>
      <c r="K46" s="3562"/>
      <c r="L46" s="3562"/>
      <c r="M46" s="3562"/>
      <c r="N46" s="3562"/>
      <c r="O46" s="3562"/>
      <c r="P46" s="3780"/>
      <c r="Q46" s="3562"/>
      <c r="R46" s="3659"/>
      <c r="S46" s="3562"/>
      <c r="T46" s="3603"/>
      <c r="V46" s="3628"/>
      <c r="W46" s="3564"/>
      <c r="X46" s="3564"/>
      <c r="Y46" s="3564"/>
      <c r="Z46" s="3564"/>
      <c r="AA46" s="3564"/>
      <c r="AB46" s="3565"/>
      <c r="AC46" s="3620"/>
      <c r="AD46" s="3565"/>
      <c r="AE46" s="3620"/>
      <c r="AF46" s="3564"/>
      <c r="AG46" s="3567"/>
      <c r="AH46" s="162"/>
      <c r="AI46" s="3628"/>
      <c r="AJ46" s="3564"/>
      <c r="AK46" s="3564"/>
      <c r="AL46" s="3564"/>
      <c r="AM46" s="3564"/>
      <c r="AN46" s="3564"/>
      <c r="AO46" s="3565"/>
      <c r="AP46" s="3620"/>
      <c r="AQ46" s="3565"/>
      <c r="AR46" s="3620"/>
      <c r="AS46" s="3564"/>
      <c r="AT46" s="3567"/>
      <c r="AU46" s="162"/>
      <c r="AV46" s="162"/>
      <c r="AW46" s="162"/>
      <c r="AX46" s="162"/>
    </row>
    <row r="47" spans="1:50">
      <c r="A47" s="162"/>
      <c r="B47" s="3802"/>
      <c r="C47" s="3573"/>
      <c r="D47" s="3573"/>
      <c r="E47" s="3803"/>
      <c r="F47" s="3600"/>
      <c r="G47" s="3795" t="str">
        <f ca="1">IFERROR(__xludf.DUMMYFUNCTION("""COMPUTED_VALUE"""),"P")</f>
        <v>P</v>
      </c>
      <c r="H47" s="3562"/>
      <c r="I47" s="3648"/>
      <c r="J47" s="3780" t="str">
        <f ca="1">IFERROR(__xludf.DUMMYFUNCTION("""COMPUTED_VALUE"""),"Insight")</f>
        <v>Insight</v>
      </c>
      <c r="K47" s="3562"/>
      <c r="L47" s="3562"/>
      <c r="M47" s="3562"/>
      <c r="N47" s="3562"/>
      <c r="O47" s="3562"/>
      <c r="P47" s="3780"/>
      <c r="Q47" s="3562"/>
      <c r="R47" s="3659"/>
      <c r="S47" s="3562"/>
      <c r="T47" s="3603"/>
      <c r="V47" s="3628"/>
      <c r="W47" s="3564"/>
      <c r="X47" s="3564"/>
      <c r="Y47" s="3564"/>
      <c r="Z47" s="3564"/>
      <c r="AA47" s="3564"/>
      <c r="AB47" s="3565"/>
      <c r="AC47" s="3620"/>
      <c r="AD47" s="3565"/>
      <c r="AE47" s="3620"/>
      <c r="AF47" s="3564"/>
      <c r="AG47" s="3567"/>
      <c r="AH47" s="162"/>
      <c r="AI47" s="3628"/>
      <c r="AJ47" s="3564"/>
      <c r="AK47" s="3564"/>
      <c r="AL47" s="3564"/>
      <c r="AM47" s="3564"/>
      <c r="AN47" s="3564"/>
      <c r="AO47" s="3565"/>
      <c r="AP47" s="3620"/>
      <c r="AQ47" s="3565"/>
      <c r="AR47" s="3620"/>
      <c r="AS47" s="3564"/>
      <c r="AT47" s="3567"/>
      <c r="AU47" s="162"/>
      <c r="AV47" s="162"/>
      <c r="AW47" s="162"/>
      <c r="AX47" s="162"/>
    </row>
    <row r="48" spans="1:50" ht="16.5" thickBot="1">
      <c r="A48" s="162"/>
      <c r="B48" s="3600"/>
      <c r="C48" s="2707"/>
      <c r="D48" s="2707"/>
      <c r="E48" s="3577"/>
      <c r="F48" s="3600"/>
      <c r="G48" s="3795" t="str">
        <f ca="1">IFERROR(__xludf.DUMMYFUNCTION("""COMPUTED_VALUE"""),"P")</f>
        <v>P</v>
      </c>
      <c r="H48" s="3562"/>
      <c r="I48" s="3648"/>
      <c r="J48" s="3780" t="str">
        <f ca="1">IFERROR(__xludf.DUMMYFUNCTION("""COMPUTED_VALUE"""),"Medicine")</f>
        <v>Medicine</v>
      </c>
      <c r="K48" s="3562"/>
      <c r="L48" s="3562"/>
      <c r="M48" s="3562"/>
      <c r="N48" s="3562"/>
      <c r="O48" s="3562"/>
      <c r="P48" s="3780"/>
      <c r="Q48" s="3562"/>
      <c r="R48" s="3659"/>
      <c r="S48" s="3562"/>
      <c r="T48" s="3603"/>
      <c r="V48" s="3628"/>
      <c r="W48" s="3564"/>
      <c r="X48" s="3564"/>
      <c r="Y48" s="3564"/>
      <c r="Z48" s="3564"/>
      <c r="AA48" s="3564"/>
      <c r="AB48" s="3565"/>
      <c r="AC48" s="3620"/>
      <c r="AD48" s="3565"/>
      <c r="AE48" s="3620"/>
      <c r="AF48" s="3564"/>
      <c r="AG48" s="3567"/>
      <c r="AH48" s="162"/>
      <c r="AI48" s="3628"/>
      <c r="AJ48" s="3564"/>
      <c r="AK48" s="3564"/>
      <c r="AL48" s="3564"/>
      <c r="AM48" s="3564"/>
      <c r="AN48" s="3564"/>
      <c r="AO48" s="3565"/>
      <c r="AP48" s="3620"/>
      <c r="AQ48" s="3565"/>
      <c r="AR48" s="3620"/>
      <c r="AS48" s="3564"/>
      <c r="AT48" s="3567"/>
      <c r="AU48" s="162"/>
      <c r="AV48" s="162"/>
      <c r="AW48" s="162"/>
      <c r="AX48" s="162"/>
    </row>
    <row r="49" spans="1:77" ht="16.5" thickBot="1">
      <c r="A49" s="162"/>
      <c r="B49" s="230"/>
      <c r="C49" s="229"/>
      <c r="D49" s="3581"/>
      <c r="E49" s="3574"/>
      <c r="F49" s="3600"/>
      <c r="G49" s="3795" t="str">
        <f ca="1">IFERROR(__xludf.DUMMYFUNCTION("""COMPUTED_VALUE"""),"-")</f>
        <v>-</v>
      </c>
      <c r="H49" s="3562"/>
      <c r="I49" s="3648"/>
      <c r="J49" s="3780" t="str">
        <f ca="1">IFERROR(__xludf.DUMMYFUNCTION("""COMPUTED_VALUE"""),"Perception")</f>
        <v>Perception</v>
      </c>
      <c r="K49" s="3562"/>
      <c r="L49" s="3562"/>
      <c r="M49" s="3562"/>
      <c r="N49" s="3562"/>
      <c r="O49" s="3562"/>
      <c r="P49" s="3780"/>
      <c r="Q49" s="3562"/>
      <c r="R49" s="3659"/>
      <c r="S49" s="3562"/>
      <c r="T49" s="3603"/>
      <c r="V49" s="3628"/>
      <c r="W49" s="3564"/>
      <c r="X49" s="3564"/>
      <c r="Y49" s="3564"/>
      <c r="Z49" s="3564"/>
      <c r="AA49" s="3564"/>
      <c r="AB49" s="3565"/>
      <c r="AC49" s="3620"/>
      <c r="AD49" s="3565"/>
      <c r="AE49" s="3620"/>
      <c r="AF49" s="3564"/>
      <c r="AG49" s="3567"/>
      <c r="AH49" s="162"/>
      <c r="AI49" s="3628"/>
      <c r="AJ49" s="3564"/>
      <c r="AK49" s="3564"/>
      <c r="AL49" s="3564"/>
      <c r="AM49" s="3564"/>
      <c r="AN49" s="3564"/>
      <c r="AO49" s="3565"/>
      <c r="AP49" s="3620"/>
      <c r="AQ49" s="3565"/>
      <c r="AR49" s="3620"/>
      <c r="AS49" s="3564"/>
      <c r="AT49" s="3567"/>
      <c r="AU49" s="162"/>
      <c r="AV49" s="162"/>
      <c r="AW49" s="162"/>
      <c r="AX49" s="162"/>
    </row>
    <row r="50" spans="1:77" ht="16.5" thickBot="1">
      <c r="A50" s="162"/>
      <c r="B50" s="3820" t="str">
        <f ca="1">IFERROR(__xludf.DUMMYFUNCTION("""COMPUTED_VALUE"""),"Score")</f>
        <v>Score</v>
      </c>
      <c r="C50" s="3580"/>
      <c r="D50" s="3575"/>
      <c r="E50" s="3577"/>
      <c r="F50" s="3575"/>
      <c r="G50" s="3822" t="str">
        <f ca="1">IFERROR(__xludf.DUMMYFUNCTION("""COMPUTED_VALUE"""),"-")</f>
        <v>-</v>
      </c>
      <c r="H50" s="3576"/>
      <c r="I50" s="3649"/>
      <c r="J50" s="3783" t="str">
        <f ca="1">IFERROR(__xludf.DUMMYFUNCTION("""COMPUTED_VALUE"""),"Survival")</f>
        <v>Survival</v>
      </c>
      <c r="K50" s="3576"/>
      <c r="L50" s="3576"/>
      <c r="M50" s="3576"/>
      <c r="N50" s="3576"/>
      <c r="O50" s="3576"/>
      <c r="P50" s="3783"/>
      <c r="Q50" s="3576"/>
      <c r="R50" s="3778"/>
      <c r="S50" s="3576"/>
      <c r="T50" s="3577"/>
      <c r="V50" s="3628"/>
      <c r="W50" s="3564"/>
      <c r="X50" s="3564"/>
      <c r="Y50" s="3564"/>
      <c r="Z50" s="3564"/>
      <c r="AA50" s="3564"/>
      <c r="AB50" s="3565"/>
      <c r="AC50" s="3620"/>
      <c r="AD50" s="3565"/>
      <c r="AE50" s="3620"/>
      <c r="AF50" s="3564"/>
      <c r="AG50" s="3567"/>
      <c r="AH50" s="162"/>
      <c r="AI50" s="3628"/>
      <c r="AJ50" s="3564"/>
      <c r="AK50" s="3564"/>
      <c r="AL50" s="3564"/>
      <c r="AM50" s="3564"/>
      <c r="AN50" s="3564"/>
      <c r="AO50" s="3565"/>
      <c r="AP50" s="3620"/>
      <c r="AQ50" s="3565"/>
      <c r="AR50" s="3620"/>
      <c r="AS50" s="3564"/>
      <c r="AT50" s="3567"/>
      <c r="AU50" s="162"/>
      <c r="AV50" s="162"/>
      <c r="AW50" s="162"/>
      <c r="AX50" s="162"/>
    </row>
    <row r="51" spans="1:77" ht="16.5" thickBot="1">
      <c r="A51" s="162"/>
      <c r="B51" s="162"/>
      <c r="C51" s="162"/>
      <c r="D51" s="162"/>
      <c r="E51" s="162"/>
      <c r="F51" s="162"/>
      <c r="V51" s="3628"/>
      <c r="W51" s="3564"/>
      <c r="X51" s="3564"/>
      <c r="Y51" s="3564"/>
      <c r="Z51" s="3564"/>
      <c r="AA51" s="3564"/>
      <c r="AB51" s="3565"/>
      <c r="AC51" s="3620"/>
      <c r="AD51" s="3565"/>
      <c r="AE51" s="3620"/>
      <c r="AF51" s="3564"/>
      <c r="AG51" s="3567"/>
      <c r="AH51" s="162"/>
      <c r="AI51" s="3628"/>
      <c r="AJ51" s="3564"/>
      <c r="AK51" s="3564"/>
      <c r="AL51" s="3564"/>
      <c r="AM51" s="3564"/>
      <c r="AN51" s="3564"/>
      <c r="AO51" s="3565"/>
      <c r="AP51" s="3620"/>
      <c r="AQ51" s="3565"/>
      <c r="AR51" s="3620"/>
      <c r="AS51" s="3564"/>
      <c r="AT51" s="3567"/>
      <c r="AU51" s="162"/>
      <c r="AV51" s="162"/>
      <c r="AW51" s="162"/>
      <c r="AX51" s="162"/>
    </row>
    <row r="52" spans="1:77" ht="18.75" thickBot="1">
      <c r="A52" s="162"/>
      <c r="B52" s="3801" t="str">
        <f ca="1">IFERROR(__xludf.DUMMYFUNCTION("""COMPUTED_VALUE"""),"CHA")</f>
        <v>CHA</v>
      </c>
      <c r="C52" s="3579"/>
      <c r="D52" s="3579"/>
      <c r="E52" s="3580"/>
      <c r="F52" s="231"/>
      <c r="G52" s="3834" t="b">
        <f ca="1">IFERROR(__xludf.DUMMYFUNCTION("""COMPUTED_VALUE"""),TRUE)</f>
        <v>1</v>
      </c>
      <c r="H52" s="3579"/>
      <c r="I52" s="3796"/>
      <c r="J52" s="3823" t="str">
        <f ca="1">IFERROR(__xludf.DUMMYFUNCTION("""COMPUTED_VALUE"""),"Charisma")</f>
        <v>Charisma</v>
      </c>
      <c r="K52" s="3579"/>
      <c r="L52" s="3579"/>
      <c r="M52" s="3579"/>
      <c r="N52" s="3579"/>
      <c r="O52" s="3579"/>
      <c r="P52" s="3579"/>
      <c r="Q52" s="3579"/>
      <c r="R52" s="3666"/>
      <c r="S52" s="3579"/>
      <c r="T52" s="3580"/>
      <c r="V52" s="3628"/>
      <c r="W52" s="3564"/>
      <c r="X52" s="3564"/>
      <c r="Y52" s="3564"/>
      <c r="Z52" s="3564"/>
      <c r="AA52" s="3564"/>
      <c r="AB52" s="3565"/>
      <c r="AC52" s="3620"/>
      <c r="AD52" s="3565"/>
      <c r="AE52" s="3620"/>
      <c r="AF52" s="3564"/>
      <c r="AG52" s="3567"/>
      <c r="AH52" s="162"/>
      <c r="AI52" s="3628"/>
      <c r="AJ52" s="3564"/>
      <c r="AK52" s="3564"/>
      <c r="AL52" s="3564"/>
      <c r="AM52" s="3564"/>
      <c r="AN52" s="3564"/>
      <c r="AO52" s="3565"/>
      <c r="AP52" s="3620"/>
      <c r="AQ52" s="3565"/>
      <c r="AR52" s="3620"/>
      <c r="AS52" s="3564"/>
      <c r="AT52" s="3567"/>
      <c r="AU52" s="162"/>
      <c r="AV52" s="162"/>
      <c r="AW52" s="162"/>
      <c r="AX52" s="162"/>
    </row>
    <row r="53" spans="1:77" ht="16.5" thickBot="1">
      <c r="A53" s="162"/>
      <c r="B53" s="3804" t="str">
        <f ca="1">IFERROR(__xludf.DUMMYFUNCTION("""COMPUTED_VALUE"""),"Bonus")</f>
        <v>Bonus</v>
      </c>
      <c r="C53" s="3579"/>
      <c r="D53" s="3579"/>
      <c r="E53" s="3580"/>
      <c r="F53" s="3794" t="str">
        <f ca="1">IFERROR(__xludf.DUMMYFUNCTION("""COMPUTED_VALUE"""),"Proficiency")</f>
        <v>Proficiency</v>
      </c>
      <c r="G53" s="3795" t="str">
        <f ca="1">IFERROR(__xludf.DUMMYFUNCTION("""COMPUTED_VALUE"""),"-")</f>
        <v>-</v>
      </c>
      <c r="H53" s="3562"/>
      <c r="I53" s="3648"/>
      <c r="J53" s="3780" t="str">
        <f ca="1">IFERROR(__xludf.DUMMYFUNCTION("""COMPUTED_VALUE"""),"Deception")</f>
        <v>Deception</v>
      </c>
      <c r="K53" s="3562"/>
      <c r="L53" s="3562"/>
      <c r="M53" s="3562"/>
      <c r="N53" s="3562"/>
      <c r="O53" s="3562"/>
      <c r="P53" s="3780"/>
      <c r="Q53" s="3562"/>
      <c r="R53" s="3659"/>
      <c r="S53" s="3562"/>
      <c r="T53" s="3603"/>
      <c r="V53" s="3628"/>
      <c r="W53" s="3564"/>
      <c r="X53" s="3564"/>
      <c r="Y53" s="3564"/>
      <c r="Z53" s="3564"/>
      <c r="AA53" s="3564"/>
      <c r="AB53" s="3565"/>
      <c r="AC53" s="3620"/>
      <c r="AD53" s="3565"/>
      <c r="AE53" s="3620"/>
      <c r="AF53" s="3564"/>
      <c r="AG53" s="3567"/>
      <c r="AH53" s="162"/>
      <c r="AI53" s="3628"/>
      <c r="AJ53" s="3564"/>
      <c r="AK53" s="3564"/>
      <c r="AL53" s="3564"/>
      <c r="AM53" s="3564"/>
      <c r="AN53" s="3564"/>
      <c r="AO53" s="3565"/>
      <c r="AP53" s="3620"/>
      <c r="AQ53" s="3565"/>
      <c r="AR53" s="3620"/>
      <c r="AS53" s="3564"/>
      <c r="AT53" s="3567"/>
      <c r="AU53" s="162"/>
      <c r="AV53" s="162"/>
      <c r="AW53" s="162"/>
      <c r="AX53" s="162"/>
    </row>
    <row r="54" spans="1:77">
      <c r="A54" s="162"/>
      <c r="B54" s="3802"/>
      <c r="C54" s="3573"/>
      <c r="D54" s="3573"/>
      <c r="E54" s="3803"/>
      <c r="F54" s="3600"/>
      <c r="G54" s="3795" t="str">
        <f ca="1">IFERROR(__xludf.DUMMYFUNCTION("""COMPUTED_VALUE"""),"-")</f>
        <v>-</v>
      </c>
      <c r="H54" s="3562"/>
      <c r="I54" s="3648"/>
      <c r="J54" s="3780" t="str">
        <f ca="1">IFERROR(__xludf.DUMMYFUNCTION("""COMPUTED_VALUE"""),"Intimidation")</f>
        <v>Intimidation</v>
      </c>
      <c r="K54" s="3562"/>
      <c r="L54" s="3562"/>
      <c r="M54" s="3562"/>
      <c r="N54" s="3562"/>
      <c r="O54" s="3562"/>
      <c r="P54" s="3780"/>
      <c r="Q54" s="3562"/>
      <c r="R54" s="3659"/>
      <c r="S54" s="3562"/>
      <c r="T54" s="3603"/>
      <c r="V54" s="3628"/>
      <c r="W54" s="3564"/>
      <c r="X54" s="3564"/>
      <c r="Y54" s="3564"/>
      <c r="Z54" s="3564"/>
      <c r="AA54" s="3564"/>
      <c r="AB54" s="3565"/>
      <c r="AC54" s="3620"/>
      <c r="AD54" s="3565"/>
      <c r="AE54" s="3620"/>
      <c r="AF54" s="3564"/>
      <c r="AG54" s="3567"/>
      <c r="AH54" s="162"/>
      <c r="AI54" s="3628"/>
      <c r="AJ54" s="3564"/>
      <c r="AK54" s="3564"/>
      <c r="AL54" s="3564"/>
      <c r="AM54" s="3564"/>
      <c r="AN54" s="3564"/>
      <c r="AO54" s="3565"/>
      <c r="AP54" s="3620"/>
      <c r="AQ54" s="3565"/>
      <c r="AR54" s="3620"/>
      <c r="AS54" s="3564"/>
      <c r="AT54" s="3567"/>
      <c r="AU54" s="162"/>
      <c r="AV54" s="162"/>
      <c r="AW54" s="162"/>
      <c r="AX54" s="162"/>
    </row>
    <row r="55" spans="1:77" ht="16.5" thickBot="1">
      <c r="A55" s="162"/>
      <c r="B55" s="3600"/>
      <c r="C55" s="2707"/>
      <c r="D55" s="2707"/>
      <c r="E55" s="3577"/>
      <c r="F55" s="3600"/>
      <c r="G55" s="3795" t="str">
        <f ca="1">IFERROR(__xludf.DUMMYFUNCTION("""COMPUTED_VALUE"""),"-")</f>
        <v>-</v>
      </c>
      <c r="H55" s="3562"/>
      <c r="I55" s="3648"/>
      <c r="J55" s="3780" t="str">
        <f ca="1">IFERROR(__xludf.DUMMYFUNCTION("""COMPUTED_VALUE"""),"Performance")</f>
        <v>Performance</v>
      </c>
      <c r="K55" s="3562"/>
      <c r="L55" s="3562"/>
      <c r="M55" s="3562"/>
      <c r="N55" s="3562"/>
      <c r="O55" s="3562"/>
      <c r="P55" s="3780"/>
      <c r="Q55" s="3562"/>
      <c r="R55" s="3659"/>
      <c r="S55" s="3562"/>
      <c r="T55" s="3603"/>
      <c r="V55" s="3628"/>
      <c r="W55" s="3564"/>
      <c r="X55" s="3564"/>
      <c r="Y55" s="3564"/>
      <c r="Z55" s="3564"/>
      <c r="AA55" s="3564"/>
      <c r="AB55" s="3565"/>
      <c r="AC55" s="3620"/>
      <c r="AD55" s="3565"/>
      <c r="AE55" s="3620"/>
      <c r="AF55" s="3564"/>
      <c r="AG55" s="3567"/>
      <c r="AH55" s="162"/>
      <c r="AI55" s="3628"/>
      <c r="AJ55" s="3564"/>
      <c r="AK55" s="3564"/>
      <c r="AL55" s="3564"/>
      <c r="AM55" s="3564"/>
      <c r="AN55" s="3564"/>
      <c r="AO55" s="3565"/>
      <c r="AP55" s="3620"/>
      <c r="AQ55" s="3565"/>
      <c r="AR55" s="3620"/>
      <c r="AS55" s="3564"/>
      <c r="AT55" s="3567"/>
      <c r="AU55" s="162"/>
      <c r="AV55" s="162"/>
      <c r="AW55" s="162"/>
      <c r="AX55" s="162"/>
    </row>
    <row r="56" spans="1:77" ht="16.5" thickBot="1">
      <c r="A56" s="162"/>
      <c r="B56" s="230"/>
      <c r="C56" s="229"/>
      <c r="D56" s="3581"/>
      <c r="E56" s="3574"/>
      <c r="F56" s="3600"/>
      <c r="G56" s="3795" t="str">
        <f ca="1">IFERROR(__xludf.DUMMYFUNCTION("""COMPUTED_VALUE"""),"-")</f>
        <v>-</v>
      </c>
      <c r="H56" s="3562"/>
      <c r="I56" s="3648"/>
      <c r="J56" s="3780" t="str">
        <f ca="1">IFERROR(__xludf.DUMMYFUNCTION("""COMPUTED_VALUE"""),"Persuasion")</f>
        <v>Persuasion</v>
      </c>
      <c r="K56" s="3562"/>
      <c r="L56" s="3562"/>
      <c r="M56" s="3562"/>
      <c r="N56" s="3562"/>
      <c r="O56" s="3562"/>
      <c r="P56" s="3780"/>
      <c r="Q56" s="3562"/>
      <c r="R56" s="3659"/>
      <c r="S56" s="3562"/>
      <c r="T56" s="3603"/>
      <c r="V56" s="3628"/>
      <c r="W56" s="3564"/>
      <c r="X56" s="3564"/>
      <c r="Y56" s="3564"/>
      <c r="Z56" s="3564"/>
      <c r="AA56" s="3564"/>
      <c r="AB56" s="3565"/>
      <c r="AC56" s="3620"/>
      <c r="AD56" s="3565"/>
      <c r="AE56" s="3620"/>
      <c r="AF56" s="3564"/>
      <c r="AG56" s="3567"/>
      <c r="AH56" s="162"/>
      <c r="AI56" s="3628"/>
      <c r="AJ56" s="3564"/>
      <c r="AK56" s="3564"/>
      <c r="AL56" s="3564"/>
      <c r="AM56" s="3564"/>
      <c r="AN56" s="3564"/>
      <c r="AO56" s="3565"/>
      <c r="AP56" s="3620"/>
      <c r="AQ56" s="3565"/>
      <c r="AR56" s="3620"/>
      <c r="AS56" s="3564"/>
      <c r="AT56" s="3567"/>
      <c r="AU56" s="162"/>
      <c r="AV56" s="162"/>
      <c r="AW56" s="162"/>
      <c r="AX56" s="162"/>
    </row>
    <row r="57" spans="1:77" ht="16.5" thickBot="1">
      <c r="A57" s="162"/>
      <c r="B57" s="3820" t="str">
        <f ca="1">IFERROR(__xludf.DUMMYFUNCTION("""COMPUTED_VALUE"""),"Score")</f>
        <v>Score</v>
      </c>
      <c r="C57" s="3580"/>
      <c r="D57" s="3575"/>
      <c r="E57" s="3577"/>
      <c r="F57" s="3575"/>
      <c r="G57" s="181"/>
      <c r="H57" s="180"/>
      <c r="I57" s="3649"/>
      <c r="J57" s="228"/>
      <c r="K57" s="227"/>
      <c r="L57" s="227"/>
      <c r="M57" s="227"/>
      <c r="N57" s="227"/>
      <c r="O57" s="227"/>
      <c r="P57" s="227"/>
      <c r="Q57" s="227"/>
      <c r="R57" s="227"/>
      <c r="S57" s="227"/>
      <c r="T57" s="226"/>
      <c r="U57" s="162"/>
      <c r="V57" s="3629"/>
      <c r="W57" s="3569"/>
      <c r="X57" s="3569"/>
      <c r="Y57" s="3569"/>
      <c r="Z57" s="3569"/>
      <c r="AA57" s="3569"/>
      <c r="AB57" s="3570"/>
      <c r="AC57" s="3652"/>
      <c r="AD57" s="3570"/>
      <c r="AE57" s="3652"/>
      <c r="AF57" s="3569"/>
      <c r="AG57" s="3606"/>
      <c r="AH57" s="162"/>
      <c r="AI57" s="3629"/>
      <c r="AJ57" s="3569"/>
      <c r="AK57" s="3569"/>
      <c r="AL57" s="3569"/>
      <c r="AM57" s="3569"/>
      <c r="AN57" s="3569"/>
      <c r="AO57" s="3570"/>
      <c r="AP57" s="3652"/>
      <c r="AQ57" s="3570"/>
      <c r="AR57" s="3652"/>
      <c r="AS57" s="3569"/>
      <c r="AT57" s="3606"/>
      <c r="AU57" s="162"/>
      <c r="AV57" s="162"/>
      <c r="AW57" s="162"/>
      <c r="AX57" s="162"/>
      <c r="AY57" s="162"/>
      <c r="AZ57" s="162"/>
      <c r="BA57" s="162"/>
      <c r="BB57" s="161"/>
      <c r="BC57" s="161"/>
      <c r="BD57" s="161"/>
      <c r="BE57" s="161"/>
      <c r="BF57" s="161"/>
      <c r="BG57" s="161"/>
      <c r="BH57" s="161"/>
      <c r="BI57" s="161"/>
      <c r="BJ57" s="161"/>
      <c r="BK57" s="161"/>
      <c r="BL57" s="161"/>
      <c r="BM57" s="161"/>
      <c r="BN57" s="161"/>
      <c r="BO57" s="161"/>
      <c r="BP57" s="161"/>
      <c r="BQ57" s="161"/>
      <c r="BR57" s="161"/>
      <c r="BS57" s="161"/>
      <c r="BT57" s="161"/>
      <c r="BU57" s="161"/>
      <c r="BV57" s="161"/>
      <c r="BW57" s="161"/>
      <c r="BX57" s="161"/>
      <c r="BY57" s="161"/>
    </row>
    <row r="58" spans="1:77" ht="16.5" thickBot="1">
      <c r="A58" s="162"/>
      <c r="B58" s="225"/>
      <c r="C58" s="224"/>
      <c r="D58" s="223"/>
      <c r="E58" s="223"/>
      <c r="F58" s="162"/>
      <c r="G58" s="162"/>
      <c r="H58" s="162"/>
      <c r="I58" s="162"/>
      <c r="J58" s="162"/>
      <c r="K58" s="162"/>
      <c r="L58" s="162"/>
      <c r="M58" s="162"/>
      <c r="N58" s="162"/>
      <c r="O58" s="162"/>
      <c r="P58" s="162"/>
      <c r="Q58" s="162"/>
      <c r="R58" s="162"/>
      <c r="S58" s="162"/>
      <c r="T58" s="162"/>
      <c r="U58" s="162"/>
      <c r="V58" s="162"/>
      <c r="W58" s="222"/>
      <c r="X58" s="222"/>
      <c r="Y58" s="222"/>
      <c r="Z58" s="222"/>
      <c r="AA58" s="222"/>
      <c r="AB58" s="222"/>
      <c r="AC58" s="199"/>
      <c r="AD58" s="199"/>
      <c r="AE58" s="199"/>
      <c r="AF58" s="199"/>
      <c r="AG58" s="199"/>
      <c r="AH58" s="162"/>
      <c r="AI58" s="222"/>
      <c r="AJ58" s="222"/>
      <c r="AK58" s="222"/>
      <c r="AL58" s="222"/>
      <c r="AM58" s="222"/>
      <c r="AN58" s="222"/>
      <c r="AO58" s="199"/>
      <c r="AP58" s="199"/>
      <c r="AQ58" s="199"/>
      <c r="AR58" s="199"/>
      <c r="AS58" s="199"/>
      <c r="AT58" s="162"/>
      <c r="AU58" s="162"/>
      <c r="AV58" s="162"/>
      <c r="AW58" s="162"/>
      <c r="AX58" s="209"/>
      <c r="AY58" s="209"/>
      <c r="AZ58" s="209"/>
      <c r="BA58" s="209"/>
      <c r="BB58" s="161"/>
      <c r="BC58" s="161"/>
      <c r="BD58" s="161"/>
      <c r="BE58" s="161"/>
      <c r="BF58" s="161"/>
      <c r="BG58" s="161"/>
      <c r="BH58" s="161"/>
      <c r="BI58" s="161"/>
      <c r="BJ58" s="161"/>
      <c r="BK58" s="161"/>
      <c r="BL58" s="161"/>
      <c r="BM58" s="161"/>
      <c r="BN58" s="161"/>
      <c r="BO58" s="161"/>
      <c r="BP58" s="161"/>
      <c r="BQ58" s="161"/>
      <c r="BR58" s="161"/>
      <c r="BS58" s="161"/>
      <c r="BT58" s="161"/>
      <c r="BU58" s="161"/>
      <c r="BV58" s="161"/>
      <c r="BW58" s="161"/>
      <c r="BX58" s="161"/>
      <c r="BY58" s="161"/>
    </row>
    <row r="59" spans="1:77" ht="16.5" thickBot="1">
      <c r="A59" s="162"/>
      <c r="B59" s="3919"/>
      <c r="C59" s="3573"/>
      <c r="D59" s="3573"/>
      <c r="E59" s="3691"/>
      <c r="F59" s="3905" t="str">
        <f ca="1">IFERROR(__xludf.DUMMYFUNCTION("""COMPUTED_VALUE"""),"Passive Perception")</f>
        <v>Passive Perception</v>
      </c>
      <c r="G59" s="3573"/>
      <c r="H59" s="3573"/>
      <c r="I59" s="3573"/>
      <c r="J59" s="3573"/>
      <c r="K59" s="3573"/>
      <c r="L59" s="3574"/>
      <c r="M59" s="3701" t="str">
        <f ca="1">IFERROR(__xludf.DUMMYFUNCTION("""COMPUTED_VALUE"""),"Misc Bonus")</f>
        <v>Misc Bonus</v>
      </c>
      <c r="N59" s="3596"/>
      <c r="O59" s="3596"/>
      <c r="P59" s="3623"/>
      <c r="Q59" s="162"/>
      <c r="R59" s="3607"/>
      <c r="S59" s="3573"/>
      <c r="T59" s="3573"/>
      <c r="U59" s="3573"/>
      <c r="V59" s="3608" t="str">
        <f ca="1">IFERROR(__xludf.DUMMYFUNCTION("""COMPUTED_VALUE"""),"Initiative")</f>
        <v>Initiative</v>
      </c>
      <c r="W59" s="3573"/>
      <c r="X59" s="3573"/>
      <c r="Y59" s="3573"/>
      <c r="Z59" s="3573"/>
      <c r="AA59" s="3573"/>
      <c r="AB59" s="3701" t="str">
        <f ca="1">IFERROR(__xludf.DUMMYFUNCTION("""COMPUTED_VALUE"""),"Misc Bonus")</f>
        <v>Misc Bonus</v>
      </c>
      <c r="AC59" s="3596"/>
      <c r="AD59" s="3596"/>
      <c r="AE59" s="3623"/>
      <c r="AF59" s="222"/>
      <c r="AG59" s="3662" t="str">
        <f ca="1">IFERROR(__xludf.DUMMYFUNCTION("""COMPUTED_VALUE"""),"Speed")</f>
        <v>Speed</v>
      </c>
      <c r="AH59" s="3596"/>
      <c r="AI59" s="3596"/>
      <c r="AJ59" s="3596"/>
      <c r="AK59" s="3596"/>
      <c r="AL59" s="3596"/>
      <c r="AM59" s="3596"/>
      <c r="AN59" s="3596"/>
      <c r="AO59" s="3596"/>
      <c r="AP59" s="3596"/>
      <c r="AQ59" s="3596"/>
      <c r="AR59" s="3596"/>
      <c r="AS59" s="3596"/>
      <c r="AT59" s="3623"/>
      <c r="AU59" s="209"/>
      <c r="AV59" s="209"/>
      <c r="AW59" s="209"/>
      <c r="AX59" s="161"/>
      <c r="AY59" s="161"/>
      <c r="AZ59" s="161"/>
      <c r="BA59" s="161"/>
      <c r="BB59" s="161"/>
      <c r="BC59" s="161"/>
      <c r="BD59" s="161"/>
      <c r="BE59" s="161"/>
      <c r="BF59" s="161"/>
      <c r="BG59" s="161"/>
      <c r="BH59" s="161"/>
      <c r="BI59" s="161"/>
    </row>
    <row r="60" spans="1:77" ht="16.5" thickBot="1">
      <c r="A60" s="162"/>
      <c r="B60" s="3575"/>
      <c r="C60" s="3576"/>
      <c r="D60" s="3576"/>
      <c r="E60" s="3668"/>
      <c r="F60" s="3575"/>
      <c r="G60" s="3576"/>
      <c r="H60" s="3576"/>
      <c r="I60" s="3576"/>
      <c r="J60" s="3576"/>
      <c r="K60" s="3576"/>
      <c r="L60" s="3577"/>
      <c r="M60" s="3609"/>
      <c r="N60" s="3569"/>
      <c r="O60" s="3569"/>
      <c r="P60" s="3606"/>
      <c r="Q60" s="162"/>
      <c r="R60" s="3575"/>
      <c r="S60" s="3576"/>
      <c r="T60" s="3576"/>
      <c r="U60" s="3576"/>
      <c r="V60" s="2707"/>
      <c r="W60" s="2707"/>
      <c r="X60" s="2707"/>
      <c r="Y60" s="2707"/>
      <c r="Z60" s="2707"/>
      <c r="AA60" s="2707"/>
      <c r="AB60" s="3609"/>
      <c r="AC60" s="3569"/>
      <c r="AD60" s="3569"/>
      <c r="AE60" s="3606"/>
      <c r="AF60" s="222"/>
      <c r="AG60" s="3633" t="str">
        <f ca="1">IFERROR(__xludf.DUMMYFUNCTION("""COMPUTED_VALUE"""),"Base")</f>
        <v>Base</v>
      </c>
      <c r="AH60" s="3577"/>
      <c r="AI60" s="3632"/>
      <c r="AJ60" s="3576"/>
      <c r="AK60" s="3660" t="str">
        <f ca="1">IFERROR(__xludf.DUMMYFUNCTION("""COMPUTED_VALUE"""),"Climb/Swim")</f>
        <v>Climb/Swim</v>
      </c>
      <c r="AL60" s="3579"/>
      <c r="AM60" s="3579"/>
      <c r="AN60" s="3580"/>
      <c r="AO60" s="3632"/>
      <c r="AP60" s="3576"/>
      <c r="AQ60" s="3653" t="str">
        <f ca="1">IFERROR(__xludf.DUMMYFUNCTION("""COMPUTED_VALUE"""),"Fly")</f>
        <v>Fly</v>
      </c>
      <c r="AR60" s="3580"/>
      <c r="AS60" s="3632"/>
      <c r="AT60" s="3577"/>
      <c r="AU60" s="209"/>
      <c r="AV60" s="209"/>
      <c r="AW60" s="209"/>
      <c r="AX60" s="161"/>
      <c r="AY60" s="161"/>
      <c r="AZ60" s="161"/>
      <c r="BA60" s="161"/>
      <c r="BB60" s="161"/>
      <c r="BC60" s="161"/>
      <c r="BD60" s="161"/>
      <c r="BE60" s="161"/>
      <c r="BF60" s="161"/>
      <c r="BG60" s="161"/>
      <c r="BH60" s="161"/>
      <c r="BI60" s="161"/>
    </row>
    <row r="61" spans="1:77" ht="16.5" thickBot="1">
      <c r="A61" s="162"/>
      <c r="B61" s="225"/>
      <c r="C61" s="224"/>
      <c r="D61" s="223"/>
      <c r="E61" s="223"/>
      <c r="F61" s="162"/>
      <c r="G61" s="162"/>
      <c r="H61" s="162"/>
      <c r="I61" s="162"/>
      <c r="J61" s="162"/>
      <c r="K61" s="162"/>
      <c r="L61" s="162"/>
      <c r="M61" s="162"/>
      <c r="N61" s="162"/>
      <c r="O61" s="162"/>
      <c r="P61" s="162"/>
      <c r="Q61" s="162"/>
      <c r="R61" s="162"/>
      <c r="S61" s="162"/>
      <c r="T61" s="162"/>
      <c r="U61" s="162"/>
      <c r="V61" s="162"/>
      <c r="W61" s="222"/>
      <c r="X61" s="222"/>
      <c r="Y61" s="222"/>
      <c r="Z61" s="222"/>
      <c r="AA61" s="222"/>
      <c r="AB61" s="222"/>
      <c r="AC61" s="199"/>
      <c r="AD61" s="199"/>
      <c r="AE61" s="199"/>
      <c r="AF61" s="199"/>
      <c r="AG61" s="199"/>
      <c r="AH61" s="162"/>
      <c r="AI61" s="222"/>
      <c r="AJ61" s="222"/>
      <c r="AK61" s="222"/>
      <c r="AL61" s="222"/>
      <c r="AM61" s="222"/>
      <c r="AN61" s="222"/>
      <c r="AO61" s="199"/>
      <c r="AP61" s="199"/>
      <c r="AQ61" s="199"/>
      <c r="AR61" s="199"/>
      <c r="AS61" s="199"/>
      <c r="AT61" s="162"/>
      <c r="AU61" s="162"/>
      <c r="AV61" s="162"/>
      <c r="AW61" s="162"/>
      <c r="AX61" s="209"/>
      <c r="AY61" s="209"/>
      <c r="AZ61" s="209"/>
      <c r="BA61" s="209"/>
      <c r="BB61" s="161"/>
      <c r="BC61" s="161"/>
      <c r="BD61" s="161"/>
      <c r="BE61" s="161"/>
      <c r="BF61" s="161"/>
      <c r="BG61" s="161"/>
      <c r="BH61" s="161"/>
      <c r="BI61" s="161"/>
      <c r="BJ61" s="161"/>
      <c r="BK61" s="161"/>
      <c r="BL61" s="161"/>
      <c r="BM61" s="161"/>
      <c r="BN61" s="161"/>
      <c r="BO61" s="161"/>
      <c r="BP61" s="161"/>
      <c r="BQ61" s="161"/>
      <c r="BR61" s="161"/>
      <c r="BS61" s="161"/>
      <c r="BT61" s="161"/>
      <c r="BU61" s="161"/>
      <c r="BV61" s="161"/>
      <c r="BW61" s="161"/>
      <c r="BX61" s="161"/>
      <c r="BY61" s="161"/>
    </row>
    <row r="62" spans="1:77" ht="19.5" customHeight="1">
      <c r="A62" s="3890"/>
      <c r="B62" s="3916" t="str">
        <f ca="1">IFERROR(__xludf.DUMMYFUNCTION("""COMPUTED_VALUE"""),"Hand 1")</f>
        <v>Hand 1</v>
      </c>
      <c r="C62" s="3917" t="str">
        <f ca="1">IFERROR(__xludf.DUMMYFUNCTION("""COMPUTED_VALUE"""),"Hand 2")</f>
        <v>Hand 2</v>
      </c>
      <c r="D62" s="3913" t="str">
        <f ca="1">IFERROR(__xludf.DUMMYFUNCTION("""COMPUTED_VALUE"""),"Weapons/Attacks")</f>
        <v>Weapons/Attacks</v>
      </c>
      <c r="E62" s="3573"/>
      <c r="F62" s="3573"/>
      <c r="G62" s="3573"/>
      <c r="H62" s="3573"/>
      <c r="I62" s="3573"/>
      <c r="J62" s="3573"/>
      <c r="K62" s="3573"/>
      <c r="L62" s="3573"/>
      <c r="M62" s="3898" t="str">
        <f ca="1">IFERROR(__xludf.DUMMYFUNCTION("""COMPUTED_VALUE"""),"Magic/Misc Bonus")</f>
        <v>Magic/Misc Bonus</v>
      </c>
      <c r="N62" s="3573"/>
      <c r="O62" s="3573"/>
      <c r="P62" s="3828" t="str">
        <f ca="1">IFERROR(__xludf.DUMMYFUNCTION("""COMPUTED_VALUE"""),"To Hit Bonus")</f>
        <v>To Hit Bonus</v>
      </c>
      <c r="Q62" s="3573"/>
      <c r="R62" s="3573"/>
      <c r="S62" s="3636" t="str">
        <f ca="1">IFERROR(__xludf.DUMMYFUNCTION("""COMPUTED_VALUE"""),"Ability")</f>
        <v>Ability</v>
      </c>
      <c r="T62" s="3573"/>
      <c r="U62" s="3573"/>
      <c r="V62" s="3692" t="str">
        <f ca="1">IFERROR(__xludf.DUMMYFUNCTION("""COMPUTED_VALUE"""),"Dmg")</f>
        <v>Dmg</v>
      </c>
      <c r="W62" s="3573"/>
      <c r="X62" s="3573"/>
      <c r="Y62" s="3573"/>
      <c r="Z62" s="3690" t="str">
        <f ca="1">IFERROR(__xludf.DUMMYFUNCTION("""COMPUTED_VALUE"""),"Damage Bonus")</f>
        <v>Damage Bonus</v>
      </c>
      <c r="AA62" s="3573"/>
      <c r="AB62" s="3691"/>
      <c r="AC62" s="3634" t="str">
        <f ca="1">IFERROR(__xludf.DUMMYFUNCTION("""COMPUTED_VALUE"""),"Dmg Type")</f>
        <v>Dmg Type</v>
      </c>
      <c r="AD62" s="3573"/>
      <c r="AE62" s="3573"/>
      <c r="AF62" s="3573"/>
      <c r="AG62" s="3636" t="str">
        <f ca="1">IFERROR(__xludf.DUMMYFUNCTION("""COMPUTED_VALUE"""),"Range")</f>
        <v>Range</v>
      </c>
      <c r="AH62" s="3573"/>
      <c r="AI62" s="3573"/>
      <c r="AJ62" s="3573"/>
      <c r="AK62" s="3634" t="str">
        <f ca="1">IFERROR(__xludf.DUMMYFUNCTION("""COMPUTED_VALUE"""),"Wgt")</f>
        <v>Wgt</v>
      </c>
      <c r="AL62" s="3573"/>
      <c r="AM62" s="3573"/>
      <c r="AN62" s="3663" t="str">
        <f ca="1">IFERROR(__xludf.DUMMYFUNCTION("""COMPUTED_VALUE"""),"Notes")</f>
        <v>Notes</v>
      </c>
      <c r="AO62" s="3573"/>
      <c r="AP62" s="3573"/>
      <c r="AQ62" s="3573"/>
      <c r="AR62" s="3573"/>
      <c r="AS62" s="3573"/>
      <c r="AT62" s="3574"/>
      <c r="AU62" s="220"/>
      <c r="AV62" s="220"/>
      <c r="AW62" s="220"/>
      <c r="AX62" s="220"/>
      <c r="AY62" s="219"/>
      <c r="AZ62" s="219"/>
      <c r="BA62" s="219"/>
      <c r="BB62" s="218"/>
      <c r="BC62" s="218"/>
      <c r="BD62" s="221"/>
      <c r="BE62" s="218"/>
      <c r="BF62" s="217"/>
      <c r="BG62" s="217"/>
      <c r="BH62" s="217"/>
      <c r="BI62" s="217"/>
      <c r="BJ62" s="217"/>
      <c r="BK62" s="217"/>
      <c r="BL62" s="217"/>
      <c r="BM62" s="217"/>
      <c r="BN62" s="217"/>
      <c r="BO62" s="217"/>
      <c r="BP62" s="217"/>
      <c r="BQ62" s="217"/>
    </row>
    <row r="63" spans="1:77" ht="21.75" customHeight="1" thickBot="1">
      <c r="A63" s="2707"/>
      <c r="B63" s="3575"/>
      <c r="C63" s="3576"/>
      <c r="D63" s="3575"/>
      <c r="E63" s="3576"/>
      <c r="F63" s="3576"/>
      <c r="G63" s="3576"/>
      <c r="H63" s="3576"/>
      <c r="I63" s="3576"/>
      <c r="J63" s="3576"/>
      <c r="K63" s="3576"/>
      <c r="L63" s="3576"/>
      <c r="M63" s="3635"/>
      <c r="N63" s="3576"/>
      <c r="O63" s="3576"/>
      <c r="P63" s="3635"/>
      <c r="Q63" s="3576"/>
      <c r="R63" s="3576"/>
      <c r="S63" s="3635"/>
      <c r="T63" s="3576"/>
      <c r="U63" s="3576"/>
      <c r="V63" s="3635"/>
      <c r="W63" s="3576"/>
      <c r="X63" s="3576"/>
      <c r="Y63" s="3576"/>
      <c r="Z63" s="3635"/>
      <c r="AA63" s="3576"/>
      <c r="AB63" s="3668"/>
      <c r="AC63" s="3635"/>
      <c r="AD63" s="3576"/>
      <c r="AE63" s="3576"/>
      <c r="AF63" s="3576"/>
      <c r="AG63" s="3635"/>
      <c r="AH63" s="3576"/>
      <c r="AI63" s="3576"/>
      <c r="AJ63" s="3576"/>
      <c r="AK63" s="3635"/>
      <c r="AL63" s="3576"/>
      <c r="AM63" s="3576"/>
      <c r="AN63" s="3635"/>
      <c r="AO63" s="3576"/>
      <c r="AP63" s="3576"/>
      <c r="AQ63" s="3576"/>
      <c r="AR63" s="3576"/>
      <c r="AS63" s="3576"/>
      <c r="AT63" s="3577"/>
      <c r="AU63" s="220"/>
      <c r="AV63" s="220"/>
      <c r="AW63" s="220"/>
      <c r="AX63" s="220"/>
      <c r="AY63" s="219"/>
      <c r="AZ63" s="219"/>
      <c r="BA63" s="219"/>
      <c r="BB63" s="218"/>
      <c r="BC63" s="218"/>
      <c r="BD63" s="217"/>
      <c r="BE63" s="217"/>
      <c r="BF63" s="217"/>
      <c r="BG63" s="217"/>
      <c r="BH63" s="217"/>
      <c r="BI63" s="217"/>
      <c r="BJ63" s="217"/>
      <c r="BK63" s="217"/>
      <c r="BL63" s="217"/>
      <c r="BM63" s="217"/>
      <c r="BN63" s="217"/>
      <c r="BO63" s="217"/>
      <c r="BP63" s="217"/>
      <c r="BQ63" s="217"/>
    </row>
    <row r="64" spans="1:77">
      <c r="A64" s="162"/>
      <c r="B64" s="216" t="str">
        <f ca="1">IFERROR(__xludf.DUMMYFUNCTION("""COMPUTED_VALUE"""),"X")</f>
        <v>X</v>
      </c>
      <c r="C64" s="215"/>
      <c r="D64" s="3920"/>
      <c r="E64" s="3562"/>
      <c r="F64" s="3562"/>
      <c r="G64" s="3562"/>
      <c r="H64" s="3562"/>
      <c r="I64" s="3562"/>
      <c r="J64" s="3562"/>
      <c r="K64" s="3562"/>
      <c r="L64" s="3562"/>
      <c r="M64" s="3832"/>
      <c r="N64" s="3562"/>
      <c r="O64" s="3562"/>
      <c r="P64" s="3832"/>
      <c r="Q64" s="3562"/>
      <c r="R64" s="3562"/>
      <c r="S64" s="3561"/>
      <c r="T64" s="3562"/>
      <c r="U64" s="3562"/>
      <c r="V64" s="3561"/>
      <c r="W64" s="3562"/>
      <c r="X64" s="3562"/>
      <c r="Y64" s="3562"/>
      <c r="Z64" s="3654"/>
      <c r="AA64" s="3562"/>
      <c r="AB64" s="3594"/>
      <c r="AC64" s="3706"/>
      <c r="AD64" s="3562"/>
      <c r="AE64" s="3562"/>
      <c r="AF64" s="3562"/>
      <c r="AG64" s="211"/>
      <c r="AH64" s="214"/>
      <c r="AI64" s="3658"/>
      <c r="AJ64" s="3562"/>
      <c r="AK64" s="3561"/>
      <c r="AL64" s="3562"/>
      <c r="AM64" s="3562"/>
      <c r="AN64" s="3619"/>
      <c r="AO64" s="3562"/>
      <c r="AP64" s="3562"/>
      <c r="AQ64" s="3562"/>
      <c r="AR64" s="3562"/>
      <c r="AS64" s="3562"/>
      <c r="AT64" s="3603"/>
      <c r="AU64" s="204"/>
      <c r="AV64" s="204"/>
      <c r="AW64" s="204"/>
      <c r="AX64" s="204"/>
      <c r="AY64" s="162"/>
      <c r="AZ64" s="162"/>
      <c r="BA64" s="162"/>
      <c r="BB64" s="209"/>
      <c r="BC64" s="209"/>
      <c r="BD64" s="161"/>
      <c r="BE64" s="161"/>
      <c r="BF64" s="161"/>
      <c r="BG64" s="161"/>
      <c r="BH64" s="161"/>
      <c r="BI64" s="161"/>
      <c r="BJ64" s="161"/>
      <c r="BK64" s="161"/>
      <c r="BL64" s="161"/>
      <c r="BM64" s="161"/>
      <c r="BN64" s="161"/>
      <c r="BO64" s="161"/>
      <c r="BP64" s="161"/>
      <c r="BQ64" s="161"/>
    </row>
    <row r="65" spans="1:77">
      <c r="A65" s="162"/>
      <c r="B65" s="213"/>
      <c r="C65" s="212"/>
      <c r="D65" s="3893"/>
      <c r="E65" s="3564"/>
      <c r="F65" s="3564"/>
      <c r="G65" s="3564"/>
      <c r="H65" s="3564"/>
      <c r="I65" s="3564"/>
      <c r="J65" s="3564"/>
      <c r="K65" s="3564"/>
      <c r="L65" s="3564"/>
      <c r="M65" s="3831"/>
      <c r="N65" s="3564"/>
      <c r="O65" s="3564"/>
      <c r="P65" s="3831"/>
      <c r="Q65" s="3564"/>
      <c r="R65" s="3564"/>
      <c r="S65" s="3561"/>
      <c r="T65" s="3562"/>
      <c r="U65" s="3562"/>
      <c r="V65" s="3561"/>
      <c r="W65" s="3562"/>
      <c r="X65" s="3562"/>
      <c r="Y65" s="3562"/>
      <c r="Z65" s="3625"/>
      <c r="AA65" s="3564"/>
      <c r="AB65" s="3565"/>
      <c r="AC65" s="3706"/>
      <c r="AD65" s="3562"/>
      <c r="AE65" s="3562"/>
      <c r="AF65" s="3562"/>
      <c r="AG65" s="211"/>
      <c r="AH65" s="210"/>
      <c r="AI65" s="3658"/>
      <c r="AJ65" s="3562"/>
      <c r="AK65" s="3561"/>
      <c r="AL65" s="3562"/>
      <c r="AM65" s="3562"/>
      <c r="AN65" s="3604"/>
      <c r="AO65" s="3564"/>
      <c r="AP65" s="3564"/>
      <c r="AQ65" s="3564"/>
      <c r="AR65" s="3564"/>
      <c r="AS65" s="3564"/>
      <c r="AT65" s="3567"/>
      <c r="AU65" s="204"/>
      <c r="AV65" s="204"/>
      <c r="AW65" s="204"/>
      <c r="AX65" s="204"/>
      <c r="AY65" s="162"/>
      <c r="AZ65" s="162"/>
      <c r="BA65" s="162"/>
      <c r="BB65" s="209"/>
      <c r="BC65" s="209"/>
      <c r="BD65" s="161"/>
      <c r="BE65" s="161"/>
      <c r="BF65" s="161"/>
      <c r="BG65" s="161"/>
      <c r="BH65" s="161"/>
      <c r="BI65" s="161"/>
      <c r="BJ65" s="161"/>
      <c r="BK65" s="161"/>
      <c r="BL65" s="161"/>
      <c r="BM65" s="161"/>
      <c r="BN65" s="161"/>
      <c r="BO65" s="161"/>
      <c r="BP65" s="161"/>
      <c r="BQ65" s="161"/>
    </row>
    <row r="66" spans="1:77">
      <c r="A66" s="162"/>
      <c r="B66" s="213"/>
      <c r="C66" s="212"/>
      <c r="D66" s="3893"/>
      <c r="E66" s="3564"/>
      <c r="F66" s="3564"/>
      <c r="G66" s="3564"/>
      <c r="H66" s="3564"/>
      <c r="I66" s="3564"/>
      <c r="J66" s="3564"/>
      <c r="K66" s="3564"/>
      <c r="L66" s="3564"/>
      <c r="M66" s="3831"/>
      <c r="N66" s="3564"/>
      <c r="O66" s="3564"/>
      <c r="P66" s="3831"/>
      <c r="Q66" s="3564"/>
      <c r="R66" s="3564"/>
      <c r="S66" s="3561"/>
      <c r="T66" s="3562"/>
      <c r="U66" s="3562"/>
      <c r="V66" s="3561"/>
      <c r="W66" s="3562"/>
      <c r="X66" s="3562"/>
      <c r="Y66" s="3562"/>
      <c r="Z66" s="3625"/>
      <c r="AA66" s="3564"/>
      <c r="AB66" s="3565"/>
      <c r="AC66" s="3706"/>
      <c r="AD66" s="3562"/>
      <c r="AE66" s="3562"/>
      <c r="AF66" s="3562"/>
      <c r="AG66" s="211"/>
      <c r="AH66" s="210"/>
      <c r="AI66" s="3658"/>
      <c r="AJ66" s="3562"/>
      <c r="AK66" s="3561"/>
      <c r="AL66" s="3562"/>
      <c r="AM66" s="3562"/>
      <c r="AN66" s="3604"/>
      <c r="AO66" s="3564"/>
      <c r="AP66" s="3564"/>
      <c r="AQ66" s="3564"/>
      <c r="AR66" s="3564"/>
      <c r="AS66" s="3564"/>
      <c r="AT66" s="3567"/>
      <c r="AU66" s="204"/>
      <c r="AV66" s="204"/>
      <c r="AW66" s="204"/>
      <c r="AX66" s="204"/>
      <c r="AY66" s="162"/>
      <c r="AZ66" s="162"/>
      <c r="BA66" s="162"/>
      <c r="BB66" s="209"/>
      <c r="BC66" s="209"/>
      <c r="BD66" s="161"/>
      <c r="BE66" s="161"/>
      <c r="BF66" s="161"/>
      <c r="BG66" s="161"/>
      <c r="BH66" s="161"/>
      <c r="BI66" s="161"/>
      <c r="BJ66" s="161"/>
      <c r="BK66" s="161"/>
      <c r="BL66" s="161"/>
      <c r="BM66" s="161"/>
      <c r="BN66" s="161"/>
      <c r="BO66" s="161"/>
      <c r="BP66" s="161"/>
      <c r="BQ66" s="161"/>
    </row>
    <row r="67" spans="1:77">
      <c r="A67" s="162"/>
      <c r="B67" s="213"/>
      <c r="C67" s="212"/>
      <c r="D67" s="3893"/>
      <c r="E67" s="3564"/>
      <c r="F67" s="3564"/>
      <c r="G67" s="3564"/>
      <c r="H67" s="3564"/>
      <c r="I67" s="3564"/>
      <c r="J67" s="3564"/>
      <c r="K67" s="3564"/>
      <c r="L67" s="3564"/>
      <c r="M67" s="3831"/>
      <c r="N67" s="3564"/>
      <c r="O67" s="3564"/>
      <c r="P67" s="3831"/>
      <c r="Q67" s="3564"/>
      <c r="R67" s="3564"/>
      <c r="S67" s="3561"/>
      <c r="T67" s="3562"/>
      <c r="U67" s="3562"/>
      <c r="V67" s="3561"/>
      <c r="W67" s="3562"/>
      <c r="X67" s="3562"/>
      <c r="Y67" s="3562"/>
      <c r="Z67" s="3625"/>
      <c r="AA67" s="3564"/>
      <c r="AB67" s="3565"/>
      <c r="AC67" s="3706"/>
      <c r="AD67" s="3562"/>
      <c r="AE67" s="3562"/>
      <c r="AF67" s="3562"/>
      <c r="AG67" s="211"/>
      <c r="AH67" s="210"/>
      <c r="AI67" s="3658"/>
      <c r="AJ67" s="3562"/>
      <c r="AK67" s="3561"/>
      <c r="AL67" s="3562"/>
      <c r="AM67" s="3562"/>
      <c r="AN67" s="3604"/>
      <c r="AO67" s="3564"/>
      <c r="AP67" s="3564"/>
      <c r="AQ67" s="3564"/>
      <c r="AR67" s="3564"/>
      <c r="AS67" s="3564"/>
      <c r="AT67" s="3567"/>
      <c r="AU67" s="204"/>
      <c r="AV67" s="204"/>
      <c r="AW67" s="204"/>
      <c r="AX67" s="204"/>
      <c r="AY67" s="162"/>
      <c r="AZ67" s="162"/>
      <c r="BA67" s="162"/>
      <c r="BB67" s="209"/>
      <c r="BC67" s="209"/>
      <c r="BD67" s="161"/>
      <c r="BE67" s="161"/>
      <c r="BF67" s="161"/>
      <c r="BG67" s="161"/>
      <c r="BH67" s="161"/>
      <c r="BI67" s="161"/>
      <c r="BJ67" s="161"/>
      <c r="BK67" s="161"/>
      <c r="BL67" s="161"/>
      <c r="BM67" s="161"/>
      <c r="BN67" s="161"/>
      <c r="BO67" s="161"/>
      <c r="BP67" s="161"/>
      <c r="BQ67" s="161"/>
    </row>
    <row r="68" spans="1:77" ht="16.5" thickBot="1">
      <c r="A68" s="162"/>
      <c r="B68" s="208"/>
      <c r="C68" s="207"/>
      <c r="D68" s="3921"/>
      <c r="E68" s="3569"/>
      <c r="F68" s="3569"/>
      <c r="G68" s="3569"/>
      <c r="H68" s="3569"/>
      <c r="I68" s="3569"/>
      <c r="J68" s="3569"/>
      <c r="K68" s="3569"/>
      <c r="L68" s="3569"/>
      <c r="M68" s="3830"/>
      <c r="N68" s="3569"/>
      <c r="O68" s="3569"/>
      <c r="P68" s="3830"/>
      <c r="Q68" s="3569"/>
      <c r="R68" s="3569"/>
      <c r="S68" s="3618"/>
      <c r="T68" s="3576"/>
      <c r="U68" s="3576"/>
      <c r="V68" s="3618"/>
      <c r="W68" s="3576"/>
      <c r="X68" s="3576"/>
      <c r="Y68" s="3576"/>
      <c r="Z68" s="3847"/>
      <c r="AA68" s="3569"/>
      <c r="AB68" s="3570"/>
      <c r="AC68" s="3655"/>
      <c r="AD68" s="3576"/>
      <c r="AE68" s="3576"/>
      <c r="AF68" s="3576"/>
      <c r="AG68" s="206"/>
      <c r="AH68" s="205"/>
      <c r="AI68" s="3657"/>
      <c r="AJ68" s="3576"/>
      <c r="AK68" s="3618"/>
      <c r="AL68" s="3576"/>
      <c r="AM68" s="3576"/>
      <c r="AN68" s="3605"/>
      <c r="AO68" s="3569"/>
      <c r="AP68" s="3569"/>
      <c r="AQ68" s="3569"/>
      <c r="AR68" s="3569"/>
      <c r="AS68" s="3569"/>
      <c r="AT68" s="3606"/>
      <c r="AU68" s="204"/>
      <c r="AV68" s="204"/>
      <c r="AW68" s="204"/>
      <c r="AX68" s="204"/>
      <c r="AY68" s="162"/>
      <c r="AZ68" s="162"/>
      <c r="BA68" s="162"/>
      <c r="BB68" s="162"/>
      <c r="BC68" s="162"/>
      <c r="BD68" s="161"/>
      <c r="BE68" s="161"/>
      <c r="BF68" s="161"/>
      <c r="BG68" s="161"/>
      <c r="BH68" s="161"/>
      <c r="BI68" s="161"/>
      <c r="BJ68" s="161"/>
      <c r="BK68" s="161"/>
      <c r="BL68" s="161"/>
      <c r="BM68" s="161"/>
      <c r="BN68" s="161"/>
      <c r="BO68" s="161"/>
      <c r="BP68" s="161"/>
      <c r="BQ68" s="161"/>
    </row>
    <row r="69" spans="1:77" ht="16.5" thickBot="1">
      <c r="A69" s="162"/>
      <c r="B69" s="198"/>
      <c r="C69" s="198"/>
      <c r="D69" s="198"/>
      <c r="E69" s="198"/>
      <c r="F69" s="198"/>
      <c r="G69" s="198"/>
      <c r="H69" s="198"/>
      <c r="I69" s="203"/>
      <c r="J69" s="203"/>
      <c r="K69" s="202"/>
      <c r="L69" s="202"/>
      <c r="M69" s="202"/>
      <c r="N69" s="199"/>
      <c r="O69" s="200" t="str">
        <f ca="1">IFERROR(__xludf.DUMMYFUNCTION("""COMPUTED_VALUE"""),"NONE")</f>
        <v>NONE</v>
      </c>
      <c r="P69" s="200"/>
      <c r="Q69" s="202"/>
      <c r="R69" s="202"/>
      <c r="S69" s="202"/>
      <c r="T69" s="199"/>
      <c r="U69" s="199"/>
      <c r="V69" s="199"/>
      <c r="W69" s="199"/>
      <c r="X69" s="201"/>
      <c r="Y69" s="201"/>
      <c r="Z69" s="201"/>
      <c r="AA69" s="199"/>
      <c r="AB69" s="200"/>
      <c r="AC69" s="199"/>
      <c r="AD69" s="199"/>
      <c r="AE69" s="200"/>
      <c r="AF69" s="199"/>
      <c r="AG69" s="199"/>
      <c r="AH69" s="199"/>
      <c r="AI69" s="198"/>
      <c r="AJ69" s="198"/>
      <c r="AK69" s="198"/>
      <c r="AL69" s="198"/>
      <c r="AM69" s="198"/>
      <c r="AN69" s="198"/>
      <c r="AO69" s="198"/>
      <c r="AP69" s="198"/>
      <c r="AQ69" s="198"/>
      <c r="AR69" s="198"/>
      <c r="AS69" s="198"/>
      <c r="AT69" s="198"/>
      <c r="AU69" s="162"/>
      <c r="AV69" s="162"/>
      <c r="AW69" s="162"/>
      <c r="AX69" s="162"/>
      <c r="AY69" s="162"/>
      <c r="AZ69" s="161"/>
      <c r="BA69" s="161"/>
      <c r="BB69" s="161"/>
      <c r="BC69" s="161"/>
      <c r="BD69" s="161"/>
      <c r="BE69" s="161"/>
      <c r="BF69" s="161"/>
      <c r="BG69" s="161"/>
      <c r="BH69" s="161"/>
      <c r="BI69" s="161"/>
      <c r="BJ69" s="161"/>
      <c r="BK69" s="161"/>
      <c r="BL69" s="161"/>
      <c r="BM69" s="161"/>
      <c r="BN69" s="161"/>
      <c r="BO69" s="161"/>
      <c r="BP69" s="161"/>
      <c r="BQ69" s="161"/>
      <c r="BR69" s="161"/>
      <c r="BS69" s="161"/>
      <c r="BT69" s="161"/>
      <c r="BU69" s="161"/>
      <c r="BV69" s="161"/>
      <c r="BW69" s="161"/>
      <c r="BX69" s="161"/>
      <c r="BY69" s="161"/>
    </row>
    <row r="70" spans="1:77" ht="16.5" thickBot="1">
      <c r="A70" s="162"/>
      <c r="B70" s="3911" t="str">
        <f ca="1">IFERROR(__xludf.DUMMYFUNCTION("""COMPUTED_VALUE"""),"Ammunition")</f>
        <v>Ammunition</v>
      </c>
      <c r="C70" s="3579"/>
      <c r="D70" s="3579"/>
      <c r="E70" s="3579"/>
      <c r="F70" s="3579"/>
      <c r="G70" s="3579"/>
      <c r="H70" s="3580"/>
      <c r="I70" s="3910" t="str">
        <f ca="1">IFERROR(__xludf.DUMMYFUNCTION("""COMPUTED_VALUE"""),"qty")</f>
        <v>qty</v>
      </c>
      <c r="J70" s="3580"/>
      <c r="K70" s="3900" t="str">
        <f ca="1">IFERROR(__xludf.DUMMYFUNCTION("""COMPUTED_VALUE"""),"wgt")</f>
        <v>wgt</v>
      </c>
      <c r="L70" s="3579"/>
      <c r="M70" s="3580"/>
      <c r="N70" s="3829" t="str">
        <f ca="1">IFERROR(__xludf.DUMMYFUNCTION("""COMPUTED_VALUE"""),"Units")</f>
        <v>Units</v>
      </c>
      <c r="O70" s="3579"/>
      <c r="P70" s="3579"/>
      <c r="Q70" s="3579"/>
      <c r="R70" s="3579"/>
      <c r="S70" s="3579"/>
      <c r="T70" s="3579"/>
      <c r="U70" s="3579"/>
      <c r="V70" s="3579"/>
      <c r="W70" s="3579"/>
      <c r="X70" s="3579"/>
      <c r="Y70" s="3579"/>
      <c r="Z70" s="3579"/>
      <c r="AA70" s="3579"/>
      <c r="AB70" s="3579"/>
      <c r="AC70" s="3579"/>
      <c r="AD70" s="3579"/>
      <c r="AE70" s="3579"/>
      <c r="AF70" s="3579"/>
      <c r="AG70" s="3579"/>
      <c r="AH70" s="3579"/>
      <c r="AI70" s="3579"/>
      <c r="AJ70" s="3579"/>
      <c r="AK70" s="3579"/>
      <c r="AL70" s="3579"/>
      <c r="AM70" s="3579"/>
      <c r="AN70" s="3579"/>
      <c r="AO70" s="3579"/>
      <c r="AP70" s="3579"/>
      <c r="AQ70" s="3579"/>
      <c r="AR70" s="3579"/>
      <c r="AS70" s="3579"/>
      <c r="AT70" s="3580"/>
      <c r="AU70" s="162"/>
      <c r="AV70" s="162"/>
      <c r="AW70" s="162"/>
      <c r="AX70" s="162"/>
      <c r="AY70" s="162"/>
      <c r="AZ70" s="162"/>
      <c r="BA70" s="162"/>
      <c r="BB70" s="162"/>
      <c r="BC70" s="162"/>
      <c r="BD70" s="162"/>
      <c r="BE70" s="162"/>
      <c r="BF70" s="162"/>
      <c r="BG70" s="162"/>
      <c r="BH70" s="162"/>
      <c r="BI70" s="162"/>
      <c r="BJ70" s="162"/>
      <c r="BK70" s="162"/>
      <c r="BL70" s="162"/>
      <c r="BM70" s="162"/>
      <c r="BN70" s="162"/>
      <c r="BO70" s="162"/>
      <c r="BP70" s="162"/>
      <c r="BQ70" s="162"/>
      <c r="BR70" s="162"/>
      <c r="BS70" s="162"/>
      <c r="BT70" s="162"/>
      <c r="BU70" s="162"/>
      <c r="BV70" s="162"/>
      <c r="BW70" s="162"/>
      <c r="BX70" s="162"/>
      <c r="BY70" s="162"/>
    </row>
    <row r="71" spans="1:77">
      <c r="A71" s="162"/>
      <c r="B71" s="3912"/>
      <c r="C71" s="3562"/>
      <c r="D71" s="3562"/>
      <c r="E71" s="3562"/>
      <c r="F71" s="3562"/>
      <c r="G71" s="3562"/>
      <c r="H71" s="3594"/>
      <c r="I71" s="3799">
        <f ca="1">IFERROR(__xludf.DUMMYFUNCTION("""COMPUTED_VALUE"""),0)</f>
        <v>0</v>
      </c>
      <c r="J71" s="3594"/>
      <c r="K71" s="3799"/>
      <c r="L71" s="3562"/>
      <c r="M71" s="3594"/>
      <c r="N71" s="197" t="b">
        <f ca="1">IFERROR(__xludf.DUMMYFUNCTION("""COMPUTED_VALUE"""),FALSE)</f>
        <v>0</v>
      </c>
      <c r="O71" s="195" t="b">
        <f ca="1">IFERROR(__xludf.DUMMYFUNCTION("""COMPUTED_VALUE"""),FALSE)</f>
        <v>0</v>
      </c>
      <c r="P71" s="195" t="b">
        <f ca="1">IFERROR(__xludf.DUMMYFUNCTION("""COMPUTED_VALUE"""),FALSE)</f>
        <v>0</v>
      </c>
      <c r="Q71" s="195" t="b">
        <f ca="1">IFERROR(__xludf.DUMMYFUNCTION("""COMPUTED_VALUE"""),FALSE)</f>
        <v>0</v>
      </c>
      <c r="R71" s="195" t="b">
        <f ca="1">IFERROR(__xludf.DUMMYFUNCTION("""COMPUTED_VALUE"""),FALSE)</f>
        <v>0</v>
      </c>
      <c r="S71" s="195" t="b">
        <f ca="1">IFERROR(__xludf.DUMMYFUNCTION("""COMPUTED_VALUE"""),FALSE)</f>
        <v>0</v>
      </c>
      <c r="T71" s="195" t="b">
        <f ca="1">IFERROR(__xludf.DUMMYFUNCTION("""COMPUTED_VALUE"""),FALSE)</f>
        <v>0</v>
      </c>
      <c r="U71" s="195" t="b">
        <f ca="1">IFERROR(__xludf.DUMMYFUNCTION("""COMPUTED_VALUE"""),FALSE)</f>
        <v>0</v>
      </c>
      <c r="V71" s="195" t="b">
        <f ca="1">IFERROR(__xludf.DUMMYFUNCTION("""COMPUTED_VALUE"""),FALSE)</f>
        <v>0</v>
      </c>
      <c r="W71" s="195" t="b">
        <f ca="1">IFERROR(__xludf.DUMMYFUNCTION("""COMPUTED_VALUE"""),FALSE)</f>
        <v>0</v>
      </c>
      <c r="X71" s="195" t="b">
        <f ca="1">IFERROR(__xludf.DUMMYFUNCTION("""COMPUTED_VALUE"""),FALSE)</f>
        <v>0</v>
      </c>
      <c r="Y71" s="195" t="b">
        <f ca="1">IFERROR(__xludf.DUMMYFUNCTION("""COMPUTED_VALUE"""),FALSE)</f>
        <v>0</v>
      </c>
      <c r="Z71" s="195" t="b">
        <f ca="1">IFERROR(__xludf.DUMMYFUNCTION("""COMPUTED_VALUE"""),FALSE)</f>
        <v>0</v>
      </c>
      <c r="AA71" s="195" t="b">
        <f ca="1">IFERROR(__xludf.DUMMYFUNCTION("""COMPUTED_VALUE"""),FALSE)</f>
        <v>0</v>
      </c>
      <c r="AB71" s="195" t="b">
        <f ca="1">IFERROR(__xludf.DUMMYFUNCTION("""COMPUTED_VALUE"""),FALSE)</f>
        <v>0</v>
      </c>
      <c r="AC71" s="195" t="b">
        <f ca="1">IFERROR(__xludf.DUMMYFUNCTION("""COMPUTED_VALUE"""),FALSE)</f>
        <v>0</v>
      </c>
      <c r="AD71" s="195" t="b">
        <f ca="1">IFERROR(__xludf.DUMMYFUNCTION("""COMPUTED_VALUE"""),FALSE)</f>
        <v>0</v>
      </c>
      <c r="AE71" s="195" t="b">
        <f ca="1">IFERROR(__xludf.DUMMYFUNCTION("""COMPUTED_VALUE"""),FALSE)</f>
        <v>0</v>
      </c>
      <c r="AF71" s="195" t="b">
        <f ca="1">IFERROR(__xludf.DUMMYFUNCTION("""COMPUTED_VALUE"""),FALSE)</f>
        <v>0</v>
      </c>
      <c r="AG71" s="196" t="b">
        <f ca="1">IFERROR(__xludf.DUMMYFUNCTION("""COMPUTED_VALUE"""),FALSE)</f>
        <v>0</v>
      </c>
      <c r="AH71" s="195" t="b">
        <f ca="1">IFERROR(__xludf.DUMMYFUNCTION("""COMPUTED_VALUE"""),FALSE)</f>
        <v>0</v>
      </c>
      <c r="AI71" s="195" t="b">
        <f ca="1">IFERROR(__xludf.DUMMYFUNCTION("""COMPUTED_VALUE"""),FALSE)</f>
        <v>0</v>
      </c>
      <c r="AJ71" s="195" t="b">
        <f ca="1">IFERROR(__xludf.DUMMYFUNCTION("""COMPUTED_VALUE"""),FALSE)</f>
        <v>0</v>
      </c>
      <c r="AK71" s="195" t="b">
        <f ca="1">IFERROR(__xludf.DUMMYFUNCTION("""COMPUTED_VALUE"""),FALSE)</f>
        <v>0</v>
      </c>
      <c r="AL71" s="195" t="b">
        <f ca="1">IFERROR(__xludf.DUMMYFUNCTION("""COMPUTED_VALUE"""),FALSE)</f>
        <v>0</v>
      </c>
      <c r="AM71" s="195" t="b">
        <f ca="1">IFERROR(__xludf.DUMMYFUNCTION("""COMPUTED_VALUE"""),FALSE)</f>
        <v>0</v>
      </c>
      <c r="AN71" s="195" t="b">
        <f ca="1">IFERROR(__xludf.DUMMYFUNCTION("""COMPUTED_VALUE"""),FALSE)</f>
        <v>0</v>
      </c>
      <c r="AO71" s="195" t="b">
        <f ca="1">IFERROR(__xludf.DUMMYFUNCTION("""COMPUTED_VALUE"""),FALSE)</f>
        <v>0</v>
      </c>
      <c r="AP71" s="195" t="b">
        <f ca="1">IFERROR(__xludf.DUMMYFUNCTION("""COMPUTED_VALUE"""),FALSE)</f>
        <v>0</v>
      </c>
      <c r="AQ71" s="195" t="b">
        <f ca="1">IFERROR(__xludf.DUMMYFUNCTION("""COMPUTED_VALUE"""),FALSE)</f>
        <v>0</v>
      </c>
      <c r="AR71" s="195" t="b">
        <f ca="1">IFERROR(__xludf.DUMMYFUNCTION("""COMPUTED_VALUE"""),FALSE)</f>
        <v>0</v>
      </c>
      <c r="AS71" s="195" t="b">
        <f ca="1">IFERROR(__xludf.DUMMYFUNCTION("""COMPUTED_VALUE"""),FALSE)</f>
        <v>0</v>
      </c>
      <c r="AT71" s="194" t="b">
        <f ca="1">IFERROR(__xludf.DUMMYFUNCTION("""COMPUTED_VALUE"""),FALSE)</f>
        <v>0</v>
      </c>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row>
    <row r="72" spans="1:77">
      <c r="A72" s="162"/>
      <c r="B72" s="3907"/>
      <c r="C72" s="3564"/>
      <c r="D72" s="3564"/>
      <c r="E72" s="3564"/>
      <c r="F72" s="3564"/>
      <c r="G72" s="3564"/>
      <c r="H72" s="3565"/>
      <c r="I72" s="3799">
        <f ca="1">IFERROR(__xludf.DUMMYFUNCTION("""COMPUTED_VALUE"""),0)</f>
        <v>0</v>
      </c>
      <c r="J72" s="3594"/>
      <c r="K72" s="3620"/>
      <c r="L72" s="3564"/>
      <c r="M72" s="3565"/>
      <c r="N72" s="193" t="b">
        <f ca="1">IFERROR(__xludf.DUMMYFUNCTION("""COMPUTED_VALUE"""),FALSE)</f>
        <v>0</v>
      </c>
      <c r="O72" s="192" t="b">
        <f ca="1">IFERROR(__xludf.DUMMYFUNCTION("""COMPUTED_VALUE"""),FALSE)</f>
        <v>0</v>
      </c>
      <c r="P72" s="192" t="b">
        <f ca="1">IFERROR(__xludf.DUMMYFUNCTION("""COMPUTED_VALUE"""),FALSE)</f>
        <v>0</v>
      </c>
      <c r="Q72" s="192" t="b">
        <f ca="1">IFERROR(__xludf.DUMMYFUNCTION("""COMPUTED_VALUE"""),FALSE)</f>
        <v>0</v>
      </c>
      <c r="R72" s="192" t="b">
        <f ca="1">IFERROR(__xludf.DUMMYFUNCTION("""COMPUTED_VALUE"""),FALSE)</f>
        <v>0</v>
      </c>
      <c r="S72" s="192" t="b">
        <f ca="1">IFERROR(__xludf.DUMMYFUNCTION("""COMPUTED_VALUE"""),FALSE)</f>
        <v>0</v>
      </c>
      <c r="T72" s="192" t="b">
        <f ca="1">IFERROR(__xludf.DUMMYFUNCTION("""COMPUTED_VALUE"""),FALSE)</f>
        <v>0</v>
      </c>
      <c r="U72" s="192" t="b">
        <f ca="1">IFERROR(__xludf.DUMMYFUNCTION("""COMPUTED_VALUE"""),FALSE)</f>
        <v>0</v>
      </c>
      <c r="V72" s="192" t="b">
        <f ca="1">IFERROR(__xludf.DUMMYFUNCTION("""COMPUTED_VALUE"""),FALSE)</f>
        <v>0</v>
      </c>
      <c r="W72" s="192" t="b">
        <f ca="1">IFERROR(__xludf.DUMMYFUNCTION("""COMPUTED_VALUE"""),FALSE)</f>
        <v>0</v>
      </c>
      <c r="X72" s="192" t="b">
        <f ca="1">IFERROR(__xludf.DUMMYFUNCTION("""COMPUTED_VALUE"""),FALSE)</f>
        <v>0</v>
      </c>
      <c r="Y72" s="192" t="b">
        <f ca="1">IFERROR(__xludf.DUMMYFUNCTION("""COMPUTED_VALUE"""),FALSE)</f>
        <v>0</v>
      </c>
      <c r="Z72" s="192" t="b">
        <f ca="1">IFERROR(__xludf.DUMMYFUNCTION("""COMPUTED_VALUE"""),FALSE)</f>
        <v>0</v>
      </c>
      <c r="AA72" s="192" t="b">
        <f ca="1">IFERROR(__xludf.DUMMYFUNCTION("""COMPUTED_VALUE"""),FALSE)</f>
        <v>0</v>
      </c>
      <c r="AB72" s="192" t="b">
        <f ca="1">IFERROR(__xludf.DUMMYFUNCTION("""COMPUTED_VALUE"""),FALSE)</f>
        <v>0</v>
      </c>
      <c r="AC72" s="192" t="b">
        <f ca="1">IFERROR(__xludf.DUMMYFUNCTION("""COMPUTED_VALUE"""),FALSE)</f>
        <v>0</v>
      </c>
      <c r="AD72" s="192" t="b">
        <f ca="1">IFERROR(__xludf.DUMMYFUNCTION("""COMPUTED_VALUE"""),FALSE)</f>
        <v>0</v>
      </c>
      <c r="AE72" s="192" t="b">
        <f ca="1">IFERROR(__xludf.DUMMYFUNCTION("""COMPUTED_VALUE"""),FALSE)</f>
        <v>0</v>
      </c>
      <c r="AF72" s="192" t="b">
        <f ca="1">IFERROR(__xludf.DUMMYFUNCTION("""COMPUTED_VALUE"""),FALSE)</f>
        <v>0</v>
      </c>
      <c r="AG72" s="192" t="b">
        <f ca="1">IFERROR(__xludf.DUMMYFUNCTION("""COMPUTED_VALUE"""),FALSE)</f>
        <v>0</v>
      </c>
      <c r="AH72" s="192" t="b">
        <f ca="1">IFERROR(__xludf.DUMMYFUNCTION("""COMPUTED_VALUE"""),FALSE)</f>
        <v>0</v>
      </c>
      <c r="AI72" s="192" t="b">
        <f ca="1">IFERROR(__xludf.DUMMYFUNCTION("""COMPUTED_VALUE"""),FALSE)</f>
        <v>0</v>
      </c>
      <c r="AJ72" s="192" t="b">
        <f ca="1">IFERROR(__xludf.DUMMYFUNCTION("""COMPUTED_VALUE"""),FALSE)</f>
        <v>0</v>
      </c>
      <c r="AK72" s="192" t="b">
        <f ca="1">IFERROR(__xludf.DUMMYFUNCTION("""COMPUTED_VALUE"""),FALSE)</f>
        <v>0</v>
      </c>
      <c r="AL72" s="192" t="b">
        <f ca="1">IFERROR(__xludf.DUMMYFUNCTION("""COMPUTED_VALUE"""),FALSE)</f>
        <v>0</v>
      </c>
      <c r="AM72" s="192" t="b">
        <f ca="1">IFERROR(__xludf.DUMMYFUNCTION("""COMPUTED_VALUE"""),FALSE)</f>
        <v>0</v>
      </c>
      <c r="AN72" s="192" t="b">
        <f ca="1">IFERROR(__xludf.DUMMYFUNCTION("""COMPUTED_VALUE"""),FALSE)</f>
        <v>0</v>
      </c>
      <c r="AO72" s="192" t="b">
        <f ca="1">IFERROR(__xludf.DUMMYFUNCTION("""COMPUTED_VALUE"""),FALSE)</f>
        <v>0</v>
      </c>
      <c r="AP72" s="192" t="b">
        <f ca="1">IFERROR(__xludf.DUMMYFUNCTION("""COMPUTED_VALUE"""),FALSE)</f>
        <v>0</v>
      </c>
      <c r="AQ72" s="192" t="b">
        <f ca="1">IFERROR(__xludf.DUMMYFUNCTION("""COMPUTED_VALUE"""),FALSE)</f>
        <v>0</v>
      </c>
      <c r="AR72" s="192" t="b">
        <f ca="1">IFERROR(__xludf.DUMMYFUNCTION("""COMPUTED_VALUE"""),FALSE)</f>
        <v>0</v>
      </c>
      <c r="AS72" s="192" t="b">
        <f ca="1">IFERROR(__xludf.DUMMYFUNCTION("""COMPUTED_VALUE"""),FALSE)</f>
        <v>0</v>
      </c>
      <c r="AT72" s="191" t="b">
        <f ca="1">IFERROR(__xludf.DUMMYFUNCTION("""COMPUTED_VALUE"""),FALSE)</f>
        <v>0</v>
      </c>
      <c r="AU72" s="162"/>
      <c r="AV72" s="162"/>
      <c r="AW72" s="162"/>
      <c r="AX72" s="162"/>
      <c r="AY72" s="162"/>
      <c r="AZ72" s="162"/>
      <c r="BA72" s="162"/>
      <c r="BB72" s="161"/>
      <c r="BC72" s="161"/>
      <c r="BD72" s="161"/>
      <c r="BE72" s="161"/>
      <c r="BF72" s="161"/>
      <c r="BG72" s="161"/>
      <c r="BH72" s="161"/>
      <c r="BI72" s="161"/>
      <c r="BJ72" s="161"/>
      <c r="BK72" s="161"/>
      <c r="BL72" s="161"/>
      <c r="BM72" s="161"/>
      <c r="BN72" s="161"/>
      <c r="BO72" s="161"/>
      <c r="BP72" s="161"/>
      <c r="BQ72" s="161"/>
      <c r="BR72" s="161"/>
      <c r="BS72" s="161"/>
      <c r="BT72" s="161"/>
      <c r="BU72" s="161"/>
      <c r="BV72" s="161"/>
      <c r="BW72" s="161"/>
      <c r="BX72" s="161"/>
      <c r="BY72" s="161"/>
    </row>
    <row r="73" spans="1:77">
      <c r="A73" s="162"/>
      <c r="B73" s="3907"/>
      <c r="C73" s="3564"/>
      <c r="D73" s="3564"/>
      <c r="E73" s="3564"/>
      <c r="F73" s="3564"/>
      <c r="G73" s="3564"/>
      <c r="H73" s="3565"/>
      <c r="I73" s="3799">
        <f ca="1">IFERROR(__xludf.DUMMYFUNCTION("""COMPUTED_VALUE"""),0)</f>
        <v>0</v>
      </c>
      <c r="J73" s="3594"/>
      <c r="K73" s="3620"/>
      <c r="L73" s="3564"/>
      <c r="M73" s="3565"/>
      <c r="N73" s="193" t="b">
        <f ca="1">IFERROR(__xludf.DUMMYFUNCTION("""COMPUTED_VALUE"""),FALSE)</f>
        <v>0</v>
      </c>
      <c r="O73" s="192" t="b">
        <f ca="1">IFERROR(__xludf.DUMMYFUNCTION("""COMPUTED_VALUE"""),FALSE)</f>
        <v>0</v>
      </c>
      <c r="P73" s="192" t="b">
        <f ca="1">IFERROR(__xludf.DUMMYFUNCTION("""COMPUTED_VALUE"""),FALSE)</f>
        <v>0</v>
      </c>
      <c r="Q73" s="192" t="b">
        <f ca="1">IFERROR(__xludf.DUMMYFUNCTION("""COMPUTED_VALUE"""),FALSE)</f>
        <v>0</v>
      </c>
      <c r="R73" s="192" t="b">
        <f ca="1">IFERROR(__xludf.DUMMYFUNCTION("""COMPUTED_VALUE"""),FALSE)</f>
        <v>0</v>
      </c>
      <c r="S73" s="192" t="b">
        <f ca="1">IFERROR(__xludf.DUMMYFUNCTION("""COMPUTED_VALUE"""),FALSE)</f>
        <v>0</v>
      </c>
      <c r="T73" s="192" t="b">
        <f ca="1">IFERROR(__xludf.DUMMYFUNCTION("""COMPUTED_VALUE"""),FALSE)</f>
        <v>0</v>
      </c>
      <c r="U73" s="192" t="b">
        <f ca="1">IFERROR(__xludf.DUMMYFUNCTION("""COMPUTED_VALUE"""),FALSE)</f>
        <v>0</v>
      </c>
      <c r="V73" s="192" t="b">
        <f ca="1">IFERROR(__xludf.DUMMYFUNCTION("""COMPUTED_VALUE"""),FALSE)</f>
        <v>0</v>
      </c>
      <c r="W73" s="192" t="b">
        <f ca="1">IFERROR(__xludf.DUMMYFUNCTION("""COMPUTED_VALUE"""),FALSE)</f>
        <v>0</v>
      </c>
      <c r="X73" s="192" t="b">
        <f ca="1">IFERROR(__xludf.DUMMYFUNCTION("""COMPUTED_VALUE"""),FALSE)</f>
        <v>0</v>
      </c>
      <c r="Y73" s="192" t="b">
        <f ca="1">IFERROR(__xludf.DUMMYFUNCTION("""COMPUTED_VALUE"""),FALSE)</f>
        <v>0</v>
      </c>
      <c r="Z73" s="192" t="b">
        <f ca="1">IFERROR(__xludf.DUMMYFUNCTION("""COMPUTED_VALUE"""),FALSE)</f>
        <v>0</v>
      </c>
      <c r="AA73" s="192" t="b">
        <f ca="1">IFERROR(__xludf.DUMMYFUNCTION("""COMPUTED_VALUE"""),FALSE)</f>
        <v>0</v>
      </c>
      <c r="AB73" s="192" t="b">
        <f ca="1">IFERROR(__xludf.DUMMYFUNCTION("""COMPUTED_VALUE"""),FALSE)</f>
        <v>0</v>
      </c>
      <c r="AC73" s="192" t="b">
        <f ca="1">IFERROR(__xludf.DUMMYFUNCTION("""COMPUTED_VALUE"""),FALSE)</f>
        <v>0</v>
      </c>
      <c r="AD73" s="192" t="b">
        <f ca="1">IFERROR(__xludf.DUMMYFUNCTION("""COMPUTED_VALUE"""),FALSE)</f>
        <v>0</v>
      </c>
      <c r="AE73" s="192" t="b">
        <f ca="1">IFERROR(__xludf.DUMMYFUNCTION("""COMPUTED_VALUE"""),FALSE)</f>
        <v>0</v>
      </c>
      <c r="AF73" s="192" t="b">
        <f ca="1">IFERROR(__xludf.DUMMYFUNCTION("""COMPUTED_VALUE"""),FALSE)</f>
        <v>0</v>
      </c>
      <c r="AG73" s="192" t="b">
        <f ca="1">IFERROR(__xludf.DUMMYFUNCTION("""COMPUTED_VALUE"""),FALSE)</f>
        <v>0</v>
      </c>
      <c r="AH73" s="192" t="b">
        <f ca="1">IFERROR(__xludf.DUMMYFUNCTION("""COMPUTED_VALUE"""),FALSE)</f>
        <v>0</v>
      </c>
      <c r="AI73" s="192" t="b">
        <f ca="1">IFERROR(__xludf.DUMMYFUNCTION("""COMPUTED_VALUE"""),FALSE)</f>
        <v>0</v>
      </c>
      <c r="AJ73" s="192" t="b">
        <f ca="1">IFERROR(__xludf.DUMMYFUNCTION("""COMPUTED_VALUE"""),FALSE)</f>
        <v>0</v>
      </c>
      <c r="AK73" s="192" t="b">
        <f ca="1">IFERROR(__xludf.DUMMYFUNCTION("""COMPUTED_VALUE"""),FALSE)</f>
        <v>0</v>
      </c>
      <c r="AL73" s="192" t="b">
        <f ca="1">IFERROR(__xludf.DUMMYFUNCTION("""COMPUTED_VALUE"""),FALSE)</f>
        <v>0</v>
      </c>
      <c r="AM73" s="192" t="b">
        <f ca="1">IFERROR(__xludf.DUMMYFUNCTION("""COMPUTED_VALUE"""),FALSE)</f>
        <v>0</v>
      </c>
      <c r="AN73" s="192" t="b">
        <f ca="1">IFERROR(__xludf.DUMMYFUNCTION("""COMPUTED_VALUE"""),FALSE)</f>
        <v>0</v>
      </c>
      <c r="AO73" s="192" t="b">
        <f ca="1">IFERROR(__xludf.DUMMYFUNCTION("""COMPUTED_VALUE"""),FALSE)</f>
        <v>0</v>
      </c>
      <c r="AP73" s="192" t="b">
        <f ca="1">IFERROR(__xludf.DUMMYFUNCTION("""COMPUTED_VALUE"""),FALSE)</f>
        <v>0</v>
      </c>
      <c r="AQ73" s="192" t="b">
        <f ca="1">IFERROR(__xludf.DUMMYFUNCTION("""COMPUTED_VALUE"""),FALSE)</f>
        <v>0</v>
      </c>
      <c r="AR73" s="192" t="b">
        <f ca="1">IFERROR(__xludf.DUMMYFUNCTION("""COMPUTED_VALUE"""),FALSE)</f>
        <v>0</v>
      </c>
      <c r="AS73" s="192" t="b">
        <f ca="1">IFERROR(__xludf.DUMMYFUNCTION("""COMPUTED_VALUE"""),FALSE)</f>
        <v>0</v>
      </c>
      <c r="AT73" s="191" t="b">
        <f ca="1">IFERROR(__xludf.DUMMYFUNCTION("""COMPUTED_VALUE"""),FALSE)</f>
        <v>0</v>
      </c>
      <c r="AU73" s="162"/>
      <c r="AV73" s="162"/>
      <c r="AW73" s="162"/>
      <c r="AX73" s="162"/>
      <c r="AY73" s="162"/>
      <c r="AZ73" s="162"/>
      <c r="BA73" s="162"/>
      <c r="BB73" s="161"/>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row>
    <row r="74" spans="1:77" ht="16.5" thickBot="1">
      <c r="A74" s="162"/>
      <c r="B74" s="3918"/>
      <c r="C74" s="3569"/>
      <c r="D74" s="3569"/>
      <c r="E74" s="3569"/>
      <c r="F74" s="3569"/>
      <c r="G74" s="3569"/>
      <c r="H74" s="3570"/>
      <c r="I74" s="3904">
        <f ca="1">IFERROR(__xludf.DUMMYFUNCTION("""COMPUTED_VALUE"""),0)</f>
        <v>0</v>
      </c>
      <c r="J74" s="3668"/>
      <c r="K74" s="3652"/>
      <c r="L74" s="3569"/>
      <c r="M74" s="3570"/>
      <c r="N74" s="190" t="b">
        <f ca="1">IFERROR(__xludf.DUMMYFUNCTION("""COMPUTED_VALUE"""),FALSE)</f>
        <v>0</v>
      </c>
      <c r="O74" s="189" t="b">
        <f ca="1">IFERROR(__xludf.DUMMYFUNCTION("""COMPUTED_VALUE"""),FALSE)</f>
        <v>0</v>
      </c>
      <c r="P74" s="189" t="b">
        <f ca="1">IFERROR(__xludf.DUMMYFUNCTION("""COMPUTED_VALUE"""),FALSE)</f>
        <v>0</v>
      </c>
      <c r="Q74" s="189" t="b">
        <f ca="1">IFERROR(__xludf.DUMMYFUNCTION("""COMPUTED_VALUE"""),FALSE)</f>
        <v>0</v>
      </c>
      <c r="R74" s="189" t="b">
        <f ca="1">IFERROR(__xludf.DUMMYFUNCTION("""COMPUTED_VALUE"""),FALSE)</f>
        <v>0</v>
      </c>
      <c r="S74" s="189" t="b">
        <f ca="1">IFERROR(__xludf.DUMMYFUNCTION("""COMPUTED_VALUE"""),FALSE)</f>
        <v>0</v>
      </c>
      <c r="T74" s="189" t="b">
        <f ca="1">IFERROR(__xludf.DUMMYFUNCTION("""COMPUTED_VALUE"""),FALSE)</f>
        <v>0</v>
      </c>
      <c r="U74" s="189" t="b">
        <f ca="1">IFERROR(__xludf.DUMMYFUNCTION("""COMPUTED_VALUE"""),FALSE)</f>
        <v>0</v>
      </c>
      <c r="V74" s="189" t="b">
        <f ca="1">IFERROR(__xludf.DUMMYFUNCTION("""COMPUTED_VALUE"""),FALSE)</f>
        <v>0</v>
      </c>
      <c r="W74" s="189" t="b">
        <f ca="1">IFERROR(__xludf.DUMMYFUNCTION("""COMPUTED_VALUE"""),FALSE)</f>
        <v>0</v>
      </c>
      <c r="X74" s="189" t="b">
        <f ca="1">IFERROR(__xludf.DUMMYFUNCTION("""COMPUTED_VALUE"""),FALSE)</f>
        <v>0</v>
      </c>
      <c r="Y74" s="189" t="b">
        <f ca="1">IFERROR(__xludf.DUMMYFUNCTION("""COMPUTED_VALUE"""),FALSE)</f>
        <v>0</v>
      </c>
      <c r="Z74" s="189" t="b">
        <f ca="1">IFERROR(__xludf.DUMMYFUNCTION("""COMPUTED_VALUE"""),FALSE)</f>
        <v>0</v>
      </c>
      <c r="AA74" s="189" t="b">
        <f ca="1">IFERROR(__xludf.DUMMYFUNCTION("""COMPUTED_VALUE"""),FALSE)</f>
        <v>0</v>
      </c>
      <c r="AB74" s="189" t="b">
        <f ca="1">IFERROR(__xludf.DUMMYFUNCTION("""COMPUTED_VALUE"""),FALSE)</f>
        <v>0</v>
      </c>
      <c r="AC74" s="189" t="b">
        <f ca="1">IFERROR(__xludf.DUMMYFUNCTION("""COMPUTED_VALUE"""),FALSE)</f>
        <v>0</v>
      </c>
      <c r="AD74" s="189" t="b">
        <f ca="1">IFERROR(__xludf.DUMMYFUNCTION("""COMPUTED_VALUE"""),FALSE)</f>
        <v>0</v>
      </c>
      <c r="AE74" s="189" t="b">
        <f ca="1">IFERROR(__xludf.DUMMYFUNCTION("""COMPUTED_VALUE"""),FALSE)</f>
        <v>0</v>
      </c>
      <c r="AF74" s="189" t="b">
        <f ca="1">IFERROR(__xludf.DUMMYFUNCTION("""COMPUTED_VALUE"""),FALSE)</f>
        <v>0</v>
      </c>
      <c r="AG74" s="189" t="b">
        <f ca="1">IFERROR(__xludf.DUMMYFUNCTION("""COMPUTED_VALUE"""),FALSE)</f>
        <v>0</v>
      </c>
      <c r="AH74" s="189" t="b">
        <f ca="1">IFERROR(__xludf.DUMMYFUNCTION("""COMPUTED_VALUE"""),FALSE)</f>
        <v>0</v>
      </c>
      <c r="AI74" s="189" t="b">
        <f ca="1">IFERROR(__xludf.DUMMYFUNCTION("""COMPUTED_VALUE"""),FALSE)</f>
        <v>0</v>
      </c>
      <c r="AJ74" s="189" t="b">
        <f ca="1">IFERROR(__xludf.DUMMYFUNCTION("""COMPUTED_VALUE"""),FALSE)</f>
        <v>0</v>
      </c>
      <c r="AK74" s="189" t="b">
        <f ca="1">IFERROR(__xludf.DUMMYFUNCTION("""COMPUTED_VALUE"""),FALSE)</f>
        <v>0</v>
      </c>
      <c r="AL74" s="189" t="b">
        <f ca="1">IFERROR(__xludf.DUMMYFUNCTION("""COMPUTED_VALUE"""),FALSE)</f>
        <v>0</v>
      </c>
      <c r="AM74" s="189" t="b">
        <f ca="1">IFERROR(__xludf.DUMMYFUNCTION("""COMPUTED_VALUE"""),FALSE)</f>
        <v>0</v>
      </c>
      <c r="AN74" s="189" t="b">
        <f ca="1">IFERROR(__xludf.DUMMYFUNCTION("""COMPUTED_VALUE"""),FALSE)</f>
        <v>0</v>
      </c>
      <c r="AO74" s="189" t="b">
        <f ca="1">IFERROR(__xludf.DUMMYFUNCTION("""COMPUTED_VALUE"""),FALSE)</f>
        <v>0</v>
      </c>
      <c r="AP74" s="189" t="b">
        <f ca="1">IFERROR(__xludf.DUMMYFUNCTION("""COMPUTED_VALUE"""),FALSE)</f>
        <v>0</v>
      </c>
      <c r="AQ74" s="189" t="b">
        <f ca="1">IFERROR(__xludf.DUMMYFUNCTION("""COMPUTED_VALUE"""),FALSE)</f>
        <v>0</v>
      </c>
      <c r="AR74" s="189" t="b">
        <f ca="1">IFERROR(__xludf.DUMMYFUNCTION("""COMPUTED_VALUE"""),FALSE)</f>
        <v>0</v>
      </c>
      <c r="AS74" s="189" t="b">
        <f ca="1">IFERROR(__xludf.DUMMYFUNCTION("""COMPUTED_VALUE"""),FALSE)</f>
        <v>0</v>
      </c>
      <c r="AT74" s="188" t="b">
        <f ca="1">IFERROR(__xludf.DUMMYFUNCTION("""COMPUTED_VALUE"""),FALSE)</f>
        <v>0</v>
      </c>
      <c r="AU74" s="162"/>
      <c r="AV74" s="162"/>
      <c r="AW74" s="162"/>
      <c r="AX74" s="162"/>
      <c r="AY74" s="162"/>
      <c r="AZ74" s="162"/>
      <c r="BA74" s="162"/>
      <c r="BB74" s="161"/>
      <c r="BC74" s="162"/>
      <c r="BD74" s="162"/>
      <c r="BE74" s="162"/>
      <c r="BF74" s="162"/>
      <c r="BG74" s="162"/>
      <c r="BH74" s="162"/>
      <c r="BI74" s="162"/>
      <c r="BJ74" s="162"/>
      <c r="BK74" s="162"/>
      <c r="BL74" s="162"/>
      <c r="BM74" s="162"/>
      <c r="BN74" s="162"/>
      <c r="BO74" s="162"/>
      <c r="BP74" s="162"/>
      <c r="BQ74" s="162"/>
      <c r="BR74" s="162"/>
      <c r="BS74" s="162"/>
      <c r="BT74" s="162"/>
      <c r="BU74" s="162"/>
      <c r="BV74" s="162"/>
      <c r="BW74" s="162"/>
      <c r="BX74" s="162"/>
      <c r="BY74" s="162"/>
    </row>
    <row r="75" spans="1:77" ht="16.5" thickBot="1">
      <c r="A75" s="162"/>
      <c r="B75" s="162"/>
      <c r="C75" s="162"/>
      <c r="D75" s="162"/>
      <c r="E75" s="162"/>
      <c r="F75" s="162"/>
      <c r="G75" s="162"/>
      <c r="H75" s="162"/>
      <c r="I75" s="162"/>
      <c r="J75" s="162"/>
      <c r="K75" s="162"/>
      <c r="L75" s="162"/>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162"/>
      <c r="AT75" s="162"/>
      <c r="AU75" s="162"/>
      <c r="AV75" s="162"/>
      <c r="AW75" s="162"/>
      <c r="AX75" s="162"/>
      <c r="AY75" s="162"/>
      <c r="AZ75" s="162"/>
      <c r="BA75" s="162"/>
      <c r="BB75" s="162"/>
      <c r="BC75" s="162"/>
      <c r="BD75" s="162"/>
      <c r="BE75" s="162"/>
      <c r="BF75" s="162"/>
      <c r="BG75" s="162"/>
      <c r="BH75" s="162"/>
      <c r="BI75" s="162"/>
      <c r="BJ75" s="162"/>
      <c r="BK75" s="162"/>
      <c r="BL75" s="162"/>
      <c r="BM75" s="162"/>
      <c r="BN75" s="162"/>
      <c r="BO75" s="162"/>
      <c r="BP75" s="162"/>
      <c r="BQ75" s="162"/>
      <c r="BR75" s="162"/>
      <c r="BS75" s="162"/>
      <c r="BT75" s="162"/>
      <c r="BU75" s="162"/>
      <c r="BV75" s="162"/>
      <c r="BW75" s="162"/>
      <c r="BX75" s="162"/>
      <c r="BY75" s="162"/>
    </row>
    <row r="76" spans="1:77">
      <c r="A76" s="162"/>
      <c r="B76" s="3914" t="str">
        <f ca="1">IFERROR(__xludf.DUMMYFUNCTION("""COMPUTED_VALUE"""),"Magic Use")</f>
        <v>Magic Use</v>
      </c>
      <c r="C76" s="3908" t="str">
        <f ca="1">IFERROR(__xludf.DUMMYFUNCTION("""COMPUTED_VALUE"""),"Spellcasting Class")</f>
        <v>Spellcasting Class</v>
      </c>
      <c r="D76" s="3573"/>
      <c r="E76" s="3573"/>
      <c r="F76" s="3573"/>
      <c r="G76" s="3573"/>
      <c r="H76" s="3574"/>
      <c r="I76" s="3616" t="str">
        <f ca="1">IFERROR(__xludf.DUMMYFUNCTION("""COMPUTED_VALUE"""),"Magic Ability")</f>
        <v>Magic Ability</v>
      </c>
      <c r="J76" s="3573"/>
      <c r="K76" s="3573"/>
      <c r="L76" s="3574"/>
      <c r="M76" s="3875" t="str">
        <f ca="1">IFERROR(__xludf.DUMMYFUNCTION("""COMPUTED_VALUE"""),"Spell Attack")</f>
        <v>Spell Attack</v>
      </c>
      <c r="N76" s="3573"/>
      <c r="O76" s="3573"/>
      <c r="P76" s="3574"/>
      <c r="Q76" s="3616" t="str">
        <f ca="1">IFERROR(__xludf.DUMMYFUNCTION("""COMPUTED_VALUE"""),"Spell Save DC")</f>
        <v>Spell Save DC</v>
      </c>
      <c r="R76" s="3573"/>
      <c r="S76" s="3573"/>
      <c r="T76" s="3574"/>
      <c r="U76" s="3588" t="str">
        <f ca="1">IFERROR(__xludf.DUMMYFUNCTION("""COMPUTED_VALUE"""),"Casting Level")</f>
        <v>Casting Level</v>
      </c>
      <c r="V76" s="3573"/>
      <c r="W76" s="3573"/>
      <c r="X76" s="3574"/>
      <c r="Y76" s="3616" t="str">
        <f ca="1">IFERROR(__xludf.DUMMYFUNCTION("""COMPUTED_VALUE"""),"Cantrips Known")</f>
        <v>Cantrips Known</v>
      </c>
      <c r="Z76" s="3573"/>
      <c r="AA76" s="3573"/>
      <c r="AB76" s="3574"/>
      <c r="AC76" s="3588" t="str">
        <f ca="1">IFERROR(__xludf.DUMMYFUNCTION("""COMPUTED_VALUE"""),"Spells Known")</f>
        <v>Spells Known</v>
      </c>
      <c r="AD76" s="3573"/>
      <c r="AE76" s="3573"/>
      <c r="AF76" s="3574"/>
      <c r="AG76" s="3616" t="str">
        <f ca="1">IFERROR(__xludf.DUMMYFUNCTION("""COMPUTED_VALUE"""),"Spells Prepared")</f>
        <v>Spells Prepared</v>
      </c>
      <c r="AH76" s="3573"/>
      <c r="AI76" s="3573"/>
      <c r="AJ76" s="3574"/>
      <c r="AK76" s="162"/>
      <c r="AL76" s="187"/>
      <c r="AM76" s="186"/>
      <c r="AN76" s="186"/>
      <c r="AO76" s="186"/>
      <c r="AP76" s="186"/>
      <c r="AQ76" s="186"/>
      <c r="AR76" s="186"/>
      <c r="AS76" s="186"/>
      <c r="AT76" s="185"/>
      <c r="AU76" s="161"/>
      <c r="AV76" s="161"/>
      <c r="AW76" s="161"/>
      <c r="AX76" s="161"/>
      <c r="AY76" s="161"/>
      <c r="AZ76" s="161"/>
      <c r="BA76" s="161"/>
      <c r="BB76" s="161"/>
      <c r="BC76" s="161"/>
      <c r="BD76" s="161"/>
      <c r="BE76" s="161"/>
      <c r="BF76" s="161"/>
      <c r="BG76" s="161"/>
      <c r="BH76" s="161"/>
      <c r="BI76" s="161"/>
      <c r="BJ76" s="161"/>
      <c r="BK76" s="161"/>
      <c r="BL76" s="161"/>
      <c r="BM76" s="161"/>
      <c r="BN76" s="161"/>
      <c r="BO76" s="161"/>
      <c r="BP76" s="161"/>
      <c r="BQ76" s="161"/>
      <c r="BR76" s="161"/>
      <c r="BS76" s="161"/>
      <c r="BT76" s="161"/>
      <c r="BU76" s="161"/>
      <c r="BV76" s="161"/>
      <c r="BW76" s="161"/>
      <c r="BX76" s="161"/>
      <c r="BY76" s="161"/>
    </row>
    <row r="77" spans="1:77" ht="16.5" thickBot="1">
      <c r="A77" s="162"/>
      <c r="B77" s="3648"/>
      <c r="C77" s="3576"/>
      <c r="D77" s="3576"/>
      <c r="E77" s="3576"/>
      <c r="F77" s="3576"/>
      <c r="G77" s="3576"/>
      <c r="H77" s="3577"/>
      <c r="I77" s="3575"/>
      <c r="J77" s="3576"/>
      <c r="K77" s="3576"/>
      <c r="L77" s="3577"/>
      <c r="M77" s="3882" t="str">
        <f ca="1">IFERROR(__xludf.DUMMYFUNCTION("""COMPUTED_VALUE"""),"Bonus")</f>
        <v>Bonus</v>
      </c>
      <c r="N77" s="3576"/>
      <c r="O77" s="3576"/>
      <c r="P77" s="3577"/>
      <c r="Q77" s="3575"/>
      <c r="R77" s="3576"/>
      <c r="S77" s="3576"/>
      <c r="T77" s="3577"/>
      <c r="U77" s="3575"/>
      <c r="V77" s="3576"/>
      <c r="W77" s="3576"/>
      <c r="X77" s="3577"/>
      <c r="Y77" s="3575"/>
      <c r="Z77" s="3576"/>
      <c r="AA77" s="3576"/>
      <c r="AB77" s="3577"/>
      <c r="AC77" s="3575"/>
      <c r="AD77" s="3576"/>
      <c r="AE77" s="3576"/>
      <c r="AF77" s="3577"/>
      <c r="AG77" s="3575"/>
      <c r="AH77" s="3576"/>
      <c r="AI77" s="3576"/>
      <c r="AJ77" s="3577"/>
      <c r="AK77" s="162"/>
      <c r="AL77" s="184"/>
      <c r="AM77" s="183"/>
      <c r="AN77" s="183"/>
      <c r="AO77" s="183"/>
      <c r="AP77" s="183"/>
      <c r="AQ77" s="183"/>
      <c r="AR77" s="183"/>
      <c r="AS77" s="183"/>
      <c r="AT77" s="182"/>
      <c r="AU77" s="161"/>
      <c r="AV77" s="161"/>
      <c r="AW77" s="161"/>
      <c r="AX77" s="161"/>
      <c r="AY77" s="161"/>
      <c r="AZ77" s="161"/>
      <c r="BA77" s="161"/>
      <c r="BB77" s="161"/>
      <c r="BC77" s="161"/>
      <c r="BD77" s="161"/>
      <c r="BE77" s="161"/>
      <c r="BF77" s="161"/>
      <c r="BG77" s="161"/>
      <c r="BH77" s="161"/>
      <c r="BI77" s="161"/>
      <c r="BJ77" s="161"/>
      <c r="BK77" s="161"/>
      <c r="BL77" s="161"/>
      <c r="BM77" s="161"/>
      <c r="BN77" s="161"/>
      <c r="BO77" s="161"/>
      <c r="BP77" s="161"/>
      <c r="BQ77" s="161"/>
      <c r="BR77" s="161"/>
      <c r="BS77" s="161"/>
      <c r="BT77" s="161"/>
      <c r="BU77" s="161"/>
      <c r="BV77" s="161"/>
      <c r="BW77" s="161"/>
      <c r="BX77" s="161"/>
      <c r="BY77" s="161"/>
    </row>
    <row r="78" spans="1:77" ht="16.5" thickBot="1">
      <c r="A78" s="162"/>
      <c r="B78" s="3648"/>
      <c r="C78" s="3909"/>
      <c r="D78" s="3579"/>
      <c r="E78" s="3579"/>
      <c r="F78" s="3579"/>
      <c r="G78" s="3579"/>
      <c r="H78" s="3584"/>
      <c r="I78" s="3811"/>
      <c r="J78" s="3579"/>
      <c r="K78" s="3579"/>
      <c r="L78" s="3584"/>
      <c r="M78" s="3883"/>
      <c r="N78" s="3579"/>
      <c r="O78" s="3579"/>
      <c r="P78" s="3584"/>
      <c r="Q78" s="3583"/>
      <c r="R78" s="3579"/>
      <c r="S78" s="3579"/>
      <c r="T78" s="3584"/>
      <c r="U78" s="3583"/>
      <c r="V78" s="3579"/>
      <c r="W78" s="3579"/>
      <c r="X78" s="3584"/>
      <c r="Y78" s="3583"/>
      <c r="Z78" s="3579"/>
      <c r="AA78" s="3579"/>
      <c r="AB78" s="3584"/>
      <c r="AC78" s="3583"/>
      <c r="AD78" s="3579"/>
      <c r="AE78" s="3579"/>
      <c r="AF78" s="3584"/>
      <c r="AG78" s="3637"/>
      <c r="AH78" s="3579"/>
      <c r="AI78" s="3579"/>
      <c r="AJ78" s="3580"/>
      <c r="AK78" s="162"/>
      <c r="AL78" s="184"/>
      <c r="AM78" s="183"/>
      <c r="AN78" s="183"/>
      <c r="AO78" s="183"/>
      <c r="AP78" s="183"/>
      <c r="AQ78" s="183"/>
      <c r="AR78" s="183"/>
      <c r="AS78" s="183"/>
      <c r="AT78" s="182"/>
      <c r="AU78" s="161"/>
      <c r="AV78" s="161"/>
      <c r="AW78" s="161"/>
      <c r="AX78" s="161"/>
      <c r="AY78" s="161"/>
      <c r="AZ78" s="161"/>
      <c r="BA78" s="161"/>
      <c r="BB78" s="161"/>
      <c r="BC78" s="161"/>
      <c r="BD78" s="161"/>
      <c r="BE78" s="161"/>
      <c r="BF78" s="161"/>
      <c r="BG78" s="161"/>
      <c r="BH78" s="161"/>
      <c r="BI78" s="161"/>
      <c r="BJ78" s="161"/>
      <c r="BK78" s="161"/>
      <c r="BL78" s="161"/>
      <c r="BM78" s="161"/>
      <c r="BN78" s="161"/>
      <c r="BO78" s="161"/>
      <c r="BP78" s="161"/>
      <c r="BQ78" s="161"/>
      <c r="BR78" s="161"/>
      <c r="BS78" s="161"/>
      <c r="BT78" s="161"/>
      <c r="BU78" s="161"/>
      <c r="BV78" s="161"/>
      <c r="BW78" s="161"/>
      <c r="BX78" s="161"/>
      <c r="BY78" s="161"/>
    </row>
    <row r="79" spans="1:77">
      <c r="A79" s="162"/>
      <c r="B79" s="3648"/>
      <c r="C79" s="3903" t="str">
        <f ca="1">IFERROR(__xludf.DUMMYFUNCTION("""COMPUTED_VALUE"""),"Spell Slots")</f>
        <v>Spell Slots</v>
      </c>
      <c r="D79" s="3574"/>
      <c r="E79" s="3581"/>
      <c r="F79" s="3573"/>
      <c r="G79" s="3574"/>
      <c r="H79" s="3581"/>
      <c r="I79" s="3573"/>
      <c r="J79" s="3574"/>
      <c r="K79" s="3581"/>
      <c r="L79" s="3573"/>
      <c r="M79" s="3574"/>
      <c r="N79" s="3581"/>
      <c r="O79" s="3573"/>
      <c r="P79" s="3574"/>
      <c r="Q79" s="3581"/>
      <c r="R79" s="3573"/>
      <c r="S79" s="3574"/>
      <c r="T79" s="3581"/>
      <c r="U79" s="3573"/>
      <c r="V79" s="3574"/>
      <c r="W79" s="3581"/>
      <c r="X79" s="3573"/>
      <c r="Y79" s="3574"/>
      <c r="Z79" s="3581"/>
      <c r="AA79" s="3573"/>
      <c r="AB79" s="3574"/>
      <c r="AC79" s="3581"/>
      <c r="AD79" s="3573"/>
      <c r="AE79" s="3574"/>
      <c r="AF79" s="3640"/>
      <c r="AG79" s="3573"/>
      <c r="AH79" s="3573"/>
      <c r="AI79" s="3573"/>
      <c r="AJ79" s="3574"/>
      <c r="AK79" s="162"/>
      <c r="AL79" s="184"/>
      <c r="AM79" s="183"/>
      <c r="AN79" s="183"/>
      <c r="AO79" s="183"/>
      <c r="AP79" s="183"/>
      <c r="AQ79" s="183"/>
      <c r="AR79" s="183"/>
      <c r="AS79" s="183"/>
      <c r="AT79" s="182"/>
      <c r="AU79" s="161"/>
      <c r="AV79" s="161"/>
      <c r="AW79" s="161"/>
      <c r="AX79" s="161"/>
      <c r="AY79" s="161"/>
      <c r="AZ79" s="161"/>
      <c r="BA79" s="161"/>
      <c r="BB79" s="161"/>
      <c r="BC79" s="161"/>
      <c r="BD79" s="161"/>
      <c r="BE79" s="161"/>
      <c r="BF79" s="161"/>
      <c r="BG79" s="161"/>
      <c r="BH79" s="161"/>
      <c r="BI79" s="161"/>
      <c r="BJ79" s="161"/>
      <c r="BK79" s="161"/>
      <c r="BL79" s="161"/>
      <c r="BM79" s="161"/>
      <c r="BN79" s="161"/>
      <c r="BO79" s="161"/>
      <c r="BP79" s="161"/>
      <c r="BQ79" s="161"/>
      <c r="BR79" s="161"/>
      <c r="BS79" s="161"/>
      <c r="BT79" s="161"/>
      <c r="BU79" s="161"/>
      <c r="BV79" s="161"/>
      <c r="BW79" s="161"/>
      <c r="BX79" s="161"/>
      <c r="BY79" s="161"/>
    </row>
    <row r="80" spans="1:77" ht="16.5" thickBot="1">
      <c r="A80" s="162"/>
      <c r="B80" s="3648"/>
      <c r="C80" s="3756"/>
      <c r="D80" s="3601"/>
      <c r="E80" s="3575"/>
      <c r="F80" s="3576"/>
      <c r="G80" s="3577"/>
      <c r="H80" s="3575"/>
      <c r="I80" s="3576"/>
      <c r="J80" s="3577"/>
      <c r="K80" s="3575"/>
      <c r="L80" s="3576"/>
      <c r="M80" s="3577"/>
      <c r="N80" s="3575"/>
      <c r="O80" s="3576"/>
      <c r="P80" s="3577"/>
      <c r="Q80" s="3575"/>
      <c r="R80" s="3576"/>
      <c r="S80" s="3577"/>
      <c r="T80" s="3575"/>
      <c r="U80" s="3576"/>
      <c r="V80" s="3577"/>
      <c r="W80" s="3575"/>
      <c r="X80" s="3576"/>
      <c r="Y80" s="3577"/>
      <c r="Z80" s="3575"/>
      <c r="AA80" s="3576"/>
      <c r="AB80" s="3577"/>
      <c r="AC80" s="3575"/>
      <c r="AD80" s="3576"/>
      <c r="AE80" s="3577"/>
      <c r="AF80" s="3600"/>
      <c r="AG80" s="2707"/>
      <c r="AH80" s="2707"/>
      <c r="AI80" s="2707"/>
      <c r="AJ80" s="3601"/>
      <c r="AK80" s="162"/>
      <c r="AL80" s="184"/>
      <c r="AM80" s="183"/>
      <c r="AN80" s="183"/>
      <c r="AO80" s="183"/>
      <c r="AP80" s="183"/>
      <c r="AQ80" s="183"/>
      <c r="AR80" s="183"/>
      <c r="AS80" s="183"/>
      <c r="AT80" s="182"/>
      <c r="AU80" s="162"/>
      <c r="AV80" s="162"/>
      <c r="AW80" s="162"/>
      <c r="AX80" s="161"/>
      <c r="AY80" s="161"/>
      <c r="AZ80" s="161"/>
      <c r="BA80" s="161"/>
      <c r="BB80" s="161"/>
      <c r="BC80" s="161"/>
      <c r="BD80" s="161"/>
      <c r="BE80" s="161"/>
      <c r="BF80" s="161"/>
      <c r="BG80" s="161"/>
      <c r="BH80" s="161"/>
      <c r="BI80" s="161"/>
      <c r="BJ80" s="161"/>
      <c r="BK80" s="161"/>
      <c r="BL80" s="161"/>
      <c r="BM80" s="161"/>
      <c r="BN80" s="161"/>
      <c r="BO80" s="161"/>
      <c r="BP80" s="161"/>
      <c r="BQ80" s="161"/>
      <c r="BR80" s="161"/>
      <c r="BS80" s="161"/>
      <c r="BT80" s="161"/>
      <c r="BU80" s="161"/>
      <c r="BV80" s="161"/>
      <c r="BW80" s="161"/>
      <c r="BX80" s="161"/>
      <c r="BY80" s="161"/>
    </row>
    <row r="81" spans="1:77" ht="16.5" thickBot="1">
      <c r="A81" s="162"/>
      <c r="B81" s="3648"/>
      <c r="C81" s="3576"/>
      <c r="D81" s="3577"/>
      <c r="E81" s="3578" t="str">
        <f ca="1">IFERROR(__xludf.DUMMYFUNCTION("""COMPUTED_VALUE"""),"1st")</f>
        <v>1st</v>
      </c>
      <c r="F81" s="3579"/>
      <c r="G81" s="3580"/>
      <c r="H81" s="3611" t="str">
        <f ca="1">IFERROR(__xludf.DUMMYFUNCTION("""COMPUTED_VALUE"""),"2nd")</f>
        <v>2nd</v>
      </c>
      <c r="I81" s="3579"/>
      <c r="J81" s="3580"/>
      <c r="K81" s="3578" t="str">
        <f ca="1">IFERROR(__xludf.DUMMYFUNCTION("""COMPUTED_VALUE"""),"3rd")</f>
        <v>3rd</v>
      </c>
      <c r="L81" s="3579"/>
      <c r="M81" s="3580"/>
      <c r="N81" s="3611" t="str">
        <f ca="1">IFERROR(__xludf.DUMMYFUNCTION("""COMPUTED_VALUE"""),"4th")</f>
        <v>4th</v>
      </c>
      <c r="O81" s="3579"/>
      <c r="P81" s="3580"/>
      <c r="Q81" s="3578" t="str">
        <f ca="1">IFERROR(__xludf.DUMMYFUNCTION("""COMPUTED_VALUE"""),"5th")</f>
        <v>5th</v>
      </c>
      <c r="R81" s="3579"/>
      <c r="S81" s="3580"/>
      <c r="T81" s="3611" t="str">
        <f ca="1">IFERROR(__xludf.DUMMYFUNCTION("""COMPUTED_VALUE"""),"6th")</f>
        <v>6th</v>
      </c>
      <c r="U81" s="3579"/>
      <c r="V81" s="3580"/>
      <c r="W81" s="3617" t="str">
        <f ca="1">IFERROR(__xludf.DUMMYFUNCTION("""COMPUTED_VALUE"""),"7th")</f>
        <v>7th</v>
      </c>
      <c r="X81" s="3579"/>
      <c r="Y81" s="3580"/>
      <c r="Z81" s="3611" t="str">
        <f ca="1">IFERROR(__xludf.DUMMYFUNCTION("""COMPUTED_VALUE"""),"8th")</f>
        <v>8th</v>
      </c>
      <c r="AA81" s="3579"/>
      <c r="AB81" s="3580"/>
      <c r="AC81" s="3578" t="str">
        <f ca="1">IFERROR(__xludf.DUMMYFUNCTION("""COMPUTED_VALUE"""),"9th")</f>
        <v>9th</v>
      </c>
      <c r="AD81" s="3579"/>
      <c r="AE81" s="3580"/>
      <c r="AF81" s="3600"/>
      <c r="AG81" s="2707"/>
      <c r="AH81" s="2707"/>
      <c r="AI81" s="2707"/>
      <c r="AJ81" s="3601"/>
      <c r="AK81" s="162"/>
      <c r="AL81" s="184"/>
      <c r="AM81" s="183"/>
      <c r="AN81" s="183"/>
      <c r="AO81" s="183"/>
      <c r="AP81" s="183"/>
      <c r="AQ81" s="183"/>
      <c r="AR81" s="183"/>
      <c r="AS81" s="183"/>
      <c r="AT81" s="182"/>
      <c r="AU81" s="161"/>
      <c r="AV81" s="161"/>
      <c r="AW81" s="161"/>
      <c r="AX81" s="161"/>
      <c r="AY81" s="161"/>
      <c r="AZ81" s="161"/>
      <c r="BA81" s="161"/>
      <c r="BB81" s="161"/>
      <c r="BC81" s="161"/>
      <c r="BD81" s="161"/>
      <c r="BE81" s="161"/>
      <c r="BF81" s="161"/>
      <c r="BG81" s="161"/>
      <c r="BH81" s="161"/>
      <c r="BI81" s="161"/>
      <c r="BJ81" s="161"/>
      <c r="BK81" s="161"/>
      <c r="BL81" s="161"/>
      <c r="BM81" s="161"/>
      <c r="BN81" s="161"/>
      <c r="BO81" s="161"/>
      <c r="BP81" s="161"/>
      <c r="BQ81" s="161"/>
      <c r="BR81" s="161"/>
      <c r="BS81" s="161"/>
      <c r="BT81" s="161"/>
      <c r="BU81" s="161"/>
      <c r="BV81" s="161"/>
      <c r="BW81" s="161"/>
      <c r="BX81" s="161"/>
      <c r="BY81" s="161"/>
    </row>
    <row r="82" spans="1:77">
      <c r="A82" s="162"/>
      <c r="B82" s="3648"/>
      <c r="C82" s="3906" t="str">
        <f ca="1">IFERROR(__xludf.DUMMYFUNCTION("""COMPUTED_VALUE"""),"Used:")</f>
        <v>Used:</v>
      </c>
      <c r="D82" s="3574"/>
      <c r="E82" s="3572"/>
      <c r="F82" s="3573"/>
      <c r="G82" s="3574"/>
      <c r="H82" s="3572"/>
      <c r="I82" s="3573"/>
      <c r="J82" s="3574"/>
      <c r="K82" s="3572"/>
      <c r="L82" s="3573"/>
      <c r="M82" s="3574"/>
      <c r="N82" s="3572"/>
      <c r="O82" s="3573"/>
      <c r="P82" s="3574"/>
      <c r="Q82" s="3572"/>
      <c r="R82" s="3573"/>
      <c r="S82" s="3574"/>
      <c r="T82" s="3661"/>
      <c r="U82" s="2707"/>
      <c r="V82" s="3601"/>
      <c r="W82" s="3572"/>
      <c r="X82" s="3573"/>
      <c r="Y82" s="3574"/>
      <c r="Z82" s="3572"/>
      <c r="AA82" s="3573"/>
      <c r="AB82" s="3574"/>
      <c r="AC82" s="3572"/>
      <c r="AD82" s="3573"/>
      <c r="AE82" s="3574"/>
      <c r="AF82" s="3600"/>
      <c r="AG82" s="2707"/>
      <c r="AH82" s="2707"/>
      <c r="AI82" s="2707"/>
      <c r="AJ82" s="3601"/>
      <c r="AK82" s="162"/>
      <c r="AL82" s="184"/>
      <c r="AM82" s="183"/>
      <c r="AN82" s="183"/>
      <c r="AO82" s="183"/>
      <c r="AP82" s="183"/>
      <c r="AQ82" s="183"/>
      <c r="AR82" s="183"/>
      <c r="AS82" s="183"/>
      <c r="AT82" s="182"/>
      <c r="AU82" s="161"/>
      <c r="AV82" s="161"/>
      <c r="AW82" s="161"/>
      <c r="AX82" s="161"/>
      <c r="AY82" s="161"/>
      <c r="AZ82" s="161"/>
      <c r="BA82" s="161"/>
      <c r="BB82" s="161"/>
      <c r="BC82" s="161"/>
      <c r="BD82" s="161"/>
      <c r="BE82" s="161"/>
      <c r="BF82" s="161"/>
      <c r="BG82" s="161"/>
      <c r="BH82" s="161"/>
      <c r="BI82" s="161"/>
      <c r="BJ82" s="161"/>
      <c r="BK82" s="161"/>
      <c r="BL82" s="161"/>
      <c r="BM82" s="161"/>
      <c r="BN82" s="161"/>
      <c r="BO82" s="161"/>
      <c r="BP82" s="161"/>
      <c r="BQ82" s="161"/>
      <c r="BR82" s="161"/>
      <c r="BS82" s="161"/>
      <c r="BT82" s="161"/>
      <c r="BU82" s="161"/>
      <c r="BV82" s="161"/>
      <c r="BW82" s="161"/>
      <c r="BX82" s="161"/>
      <c r="BY82" s="161"/>
    </row>
    <row r="83" spans="1:77" ht="26.25" customHeight="1" thickBot="1">
      <c r="A83" s="162"/>
      <c r="B83" s="3649"/>
      <c r="C83" s="3576"/>
      <c r="D83" s="3577"/>
      <c r="E83" s="3575"/>
      <c r="F83" s="3576"/>
      <c r="G83" s="3577"/>
      <c r="H83" s="3575"/>
      <c r="I83" s="3576"/>
      <c r="J83" s="3577"/>
      <c r="K83" s="3575"/>
      <c r="L83" s="3576"/>
      <c r="M83" s="3577"/>
      <c r="N83" s="3575"/>
      <c r="O83" s="3576"/>
      <c r="P83" s="3577"/>
      <c r="Q83" s="3575"/>
      <c r="R83" s="3576"/>
      <c r="S83" s="3577"/>
      <c r="T83" s="3575"/>
      <c r="U83" s="3576"/>
      <c r="V83" s="3577"/>
      <c r="W83" s="3575"/>
      <c r="X83" s="3576"/>
      <c r="Y83" s="3577"/>
      <c r="Z83" s="3575"/>
      <c r="AA83" s="3576"/>
      <c r="AB83" s="3577"/>
      <c r="AC83" s="3575"/>
      <c r="AD83" s="3576"/>
      <c r="AE83" s="3577"/>
      <c r="AF83" s="3575"/>
      <c r="AG83" s="3576"/>
      <c r="AH83" s="3576"/>
      <c r="AI83" s="3576"/>
      <c r="AJ83" s="3577"/>
      <c r="AK83" s="162"/>
      <c r="AL83" s="181"/>
      <c r="AM83" s="180"/>
      <c r="AN83" s="180"/>
      <c r="AO83" s="180"/>
      <c r="AP83" s="180"/>
      <c r="AQ83" s="180"/>
      <c r="AR83" s="180"/>
      <c r="AS83" s="180"/>
      <c r="AT83" s="179"/>
      <c r="AU83" s="161"/>
      <c r="AV83" s="161"/>
      <c r="AW83" s="161"/>
      <c r="AX83" s="161"/>
      <c r="AY83" s="161"/>
      <c r="AZ83" s="161"/>
      <c r="BA83" s="161"/>
      <c r="BB83" s="161"/>
      <c r="BC83" s="161"/>
      <c r="BD83" s="161"/>
      <c r="BE83" s="161"/>
      <c r="BF83" s="161"/>
      <c r="BG83" s="161"/>
      <c r="BH83" s="161"/>
      <c r="BI83" s="161"/>
      <c r="BJ83" s="161"/>
      <c r="BK83" s="161"/>
      <c r="BL83" s="161"/>
      <c r="BM83" s="161"/>
      <c r="BN83" s="161"/>
      <c r="BO83" s="161"/>
      <c r="BP83" s="161"/>
      <c r="BQ83" s="161"/>
      <c r="BR83" s="161"/>
      <c r="BS83" s="161"/>
      <c r="BT83" s="161"/>
      <c r="BU83" s="161"/>
      <c r="BV83" s="161"/>
      <c r="BW83" s="161"/>
      <c r="BX83" s="161"/>
      <c r="BY83" s="161"/>
    </row>
    <row r="84" spans="1:77" ht="16.5" thickBot="1">
      <c r="A84" s="162"/>
      <c r="B84" s="178"/>
      <c r="C84" s="162"/>
      <c r="D84" s="162"/>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77"/>
      <c r="AG84" s="177"/>
      <c r="AH84" s="177"/>
      <c r="AI84" s="177"/>
      <c r="AJ84" s="177"/>
      <c r="AK84" s="162"/>
      <c r="AL84" s="162"/>
      <c r="AM84" s="162"/>
      <c r="AN84" s="162"/>
      <c r="AO84" s="162"/>
      <c r="AP84" s="162"/>
      <c r="AQ84" s="162"/>
      <c r="AR84" s="162"/>
      <c r="AS84" s="162"/>
      <c r="AT84" s="162"/>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row>
    <row r="85" spans="1:77" ht="16.5" thickBot="1">
      <c r="A85" s="162"/>
      <c r="B85" s="3895" t="str">
        <f ca="1">IFERROR(__xludf.DUMMYFUNCTION("""COMPUTED_VALUE"""),"Animal Companion: ")</f>
        <v xml:space="preserve">Animal Companion: </v>
      </c>
      <c r="C85" s="3902" t="str">
        <f ca="1">IFERROR(__xludf.DUMMYFUNCTION("""COMPUTED_VALUE"""),"TYPE/NAME")</f>
        <v>TYPE/NAME</v>
      </c>
      <c r="D85" s="3579"/>
      <c r="E85" s="3579"/>
      <c r="F85" s="3579"/>
      <c r="G85" s="3579"/>
      <c r="H85" s="3579"/>
      <c r="I85" s="3584"/>
      <c r="J85" s="3825" t="str">
        <f ca="1">IFERROR(__xludf.DUMMYFUNCTION("""COMPUTED_VALUE"""),"AC")</f>
        <v>AC</v>
      </c>
      <c r="K85" s="3584"/>
      <c r="L85" s="3899" t="str">
        <f ca="1">IFERROR(__xludf.DUMMYFUNCTION("""COMPUTED_VALUE"""),"HIT DICE")</f>
        <v>HIT DICE</v>
      </c>
      <c r="M85" s="3579"/>
      <c r="N85" s="3579"/>
      <c r="O85" s="3584"/>
      <c r="P85" s="3825" t="str">
        <f ca="1">IFERROR(__xludf.DUMMYFUNCTION("""COMPUTED_VALUE"""),"HP")</f>
        <v>HP</v>
      </c>
      <c r="Q85" s="3579"/>
      <c r="R85" s="3584"/>
      <c r="S85" s="3610" t="str">
        <f ca="1">IFERROR(__xludf.DUMMYFUNCTION("""COMPUTED_VALUE"""),"Wounds")</f>
        <v>Wounds</v>
      </c>
      <c r="T85" s="3579"/>
      <c r="U85" s="3584"/>
      <c r="V85" s="3587" t="str">
        <f ca="1">IFERROR(__xludf.DUMMYFUNCTION("""COMPUTED_VALUE"""),"Speed")</f>
        <v>Speed</v>
      </c>
      <c r="W85" s="3579"/>
      <c r="X85" s="3584"/>
      <c r="Y85" s="3610" t="str">
        <f ca="1">IFERROR(__xludf.DUMMYFUNCTION("""COMPUTED_VALUE"""),"STR")</f>
        <v>STR</v>
      </c>
      <c r="Z85" s="3584"/>
      <c r="AA85" s="3587" t="str">
        <f ca="1">IFERROR(__xludf.DUMMYFUNCTION("""COMPUTED_VALUE"""),"DEX")</f>
        <v>DEX</v>
      </c>
      <c r="AB85" s="3584"/>
      <c r="AC85" s="3610" t="str">
        <f ca="1">IFERROR(__xludf.DUMMYFUNCTION("""COMPUTED_VALUE"""),"CON")</f>
        <v>CON</v>
      </c>
      <c r="AD85" s="3584"/>
      <c r="AE85" s="3587" t="str">
        <f ca="1">IFERROR(__xludf.DUMMYFUNCTION("""COMPUTED_VALUE"""),"INT")</f>
        <v>INT</v>
      </c>
      <c r="AF85" s="3584"/>
      <c r="AG85" s="3610" t="str">
        <f ca="1">IFERROR(__xludf.DUMMYFUNCTION("""COMPUTED_VALUE"""),"WIS")</f>
        <v>WIS</v>
      </c>
      <c r="AH85" s="3584"/>
      <c r="AI85" s="3587" t="str">
        <f ca="1">IFERROR(__xludf.DUMMYFUNCTION("""COMPUTED_VALUE"""),"CHA")</f>
        <v>CHA</v>
      </c>
      <c r="AJ85" s="3584"/>
      <c r="AK85" s="3610" t="str">
        <f ca="1">IFERROR(__xludf.DUMMYFUNCTION("""COMPUTED_VALUE"""),"Perception")</f>
        <v>Perception</v>
      </c>
      <c r="AL85" s="3579"/>
      <c r="AM85" s="3579"/>
      <c r="AN85" s="3584"/>
      <c r="AO85" s="3587" t="str">
        <f ca="1">IFERROR(__xludf.DUMMYFUNCTION("""COMPUTED_VALUE"""),"Senses")</f>
        <v>Senses</v>
      </c>
      <c r="AP85" s="3579"/>
      <c r="AQ85" s="3579"/>
      <c r="AR85" s="3579"/>
      <c r="AS85" s="3579"/>
      <c r="AT85" s="3580"/>
      <c r="AU85" s="162"/>
      <c r="AV85" s="162"/>
      <c r="AW85" s="162"/>
      <c r="AX85" s="162"/>
      <c r="AY85" s="162"/>
      <c r="AZ85" s="162"/>
      <c r="BA85" s="162"/>
      <c r="BB85" s="161"/>
      <c r="BC85" s="161"/>
      <c r="BD85" s="161"/>
      <c r="BE85" s="161"/>
      <c r="BF85" s="161"/>
      <c r="BG85" s="161"/>
      <c r="BH85" s="161"/>
      <c r="BI85" s="161"/>
      <c r="BJ85" s="161"/>
      <c r="BK85" s="161"/>
      <c r="BL85" s="161"/>
      <c r="BM85" s="161"/>
      <c r="BN85" s="161"/>
      <c r="BO85" s="161"/>
      <c r="BP85" s="161"/>
      <c r="BQ85" s="161"/>
      <c r="BR85" s="161"/>
      <c r="BS85" s="161"/>
      <c r="BT85" s="161"/>
      <c r="BU85" s="161"/>
      <c r="BV85" s="161"/>
      <c r="BW85" s="161"/>
      <c r="BX85" s="161"/>
      <c r="BY85" s="161"/>
    </row>
    <row r="86" spans="1:77">
      <c r="A86" s="162"/>
      <c r="B86" s="3648"/>
      <c r="C86" s="3901"/>
      <c r="D86" s="2707"/>
      <c r="E86" s="2707"/>
      <c r="F86" s="2707"/>
      <c r="G86" s="2707"/>
      <c r="H86" s="2707"/>
      <c r="I86" s="3592"/>
      <c r="J86" s="3824"/>
      <c r="K86" s="3592"/>
      <c r="L86" s="3667"/>
      <c r="M86" s="2707"/>
      <c r="N86" s="2707"/>
      <c r="O86" s="3592"/>
      <c r="P86" s="3824"/>
      <c r="Q86" s="2707"/>
      <c r="R86" s="3592"/>
      <c r="S86" s="3591"/>
      <c r="T86" s="2707"/>
      <c r="U86" s="3592"/>
      <c r="V86" s="3591"/>
      <c r="W86" s="2707"/>
      <c r="X86" s="3592"/>
      <c r="Y86" s="3613"/>
      <c r="Z86" s="3586"/>
      <c r="AA86" s="3630"/>
      <c r="AB86" s="3586"/>
      <c r="AC86" s="3630"/>
      <c r="AD86" s="3586"/>
      <c r="AE86" s="3630"/>
      <c r="AF86" s="3586"/>
      <c r="AG86" s="3630"/>
      <c r="AH86" s="3586"/>
      <c r="AI86" s="3630"/>
      <c r="AJ86" s="3623"/>
      <c r="AK86" s="3638"/>
      <c r="AL86" s="2707"/>
      <c r="AM86" s="2707"/>
      <c r="AN86" s="3592"/>
      <c r="AO86" s="3833"/>
      <c r="AP86" s="2707"/>
      <c r="AQ86" s="2707"/>
      <c r="AR86" s="2707"/>
      <c r="AS86" s="2707"/>
      <c r="AT86" s="3601"/>
      <c r="AU86" s="162"/>
      <c r="AV86" s="162"/>
      <c r="AW86" s="162"/>
      <c r="AX86" s="162"/>
      <c r="AY86" s="162"/>
      <c r="AZ86" s="162"/>
      <c r="BA86" s="162"/>
      <c r="BB86" s="161"/>
      <c r="BC86" s="161"/>
      <c r="BD86" s="161"/>
      <c r="BE86" s="161"/>
      <c r="BF86" s="161"/>
      <c r="BG86" s="161"/>
      <c r="BH86" s="161"/>
      <c r="BI86" s="161"/>
      <c r="BJ86" s="161"/>
      <c r="BK86" s="161"/>
      <c r="BL86" s="161"/>
      <c r="BM86" s="161"/>
      <c r="BN86" s="161"/>
      <c r="BO86" s="161"/>
      <c r="BP86" s="161"/>
      <c r="BQ86" s="161"/>
      <c r="BR86" s="161"/>
      <c r="BS86" s="161"/>
      <c r="BT86" s="161"/>
      <c r="BU86" s="161"/>
      <c r="BV86" s="161"/>
      <c r="BW86" s="161"/>
      <c r="BX86" s="161"/>
      <c r="BY86" s="161"/>
    </row>
    <row r="87" spans="1:77" ht="22.5" customHeight="1" thickBot="1">
      <c r="A87" s="162"/>
      <c r="B87" s="3648"/>
      <c r="C87" s="3562"/>
      <c r="D87" s="3562"/>
      <c r="E87" s="3562"/>
      <c r="F87" s="3562"/>
      <c r="G87" s="3562"/>
      <c r="H87" s="3562"/>
      <c r="I87" s="3594"/>
      <c r="J87" s="3593"/>
      <c r="K87" s="3594"/>
      <c r="L87" s="3593"/>
      <c r="M87" s="3562"/>
      <c r="N87" s="3562"/>
      <c r="O87" s="3594"/>
      <c r="P87" s="3593"/>
      <c r="Q87" s="3562"/>
      <c r="R87" s="3594"/>
      <c r="S87" s="3593"/>
      <c r="T87" s="3562"/>
      <c r="U87" s="3594"/>
      <c r="V87" s="3593"/>
      <c r="W87" s="3562"/>
      <c r="X87" s="3594"/>
      <c r="Y87" s="3612">
        <f ca="1">IFERROR(__xludf.DUMMYFUNCTION("""COMPUTED_VALUE"""),-5)</f>
        <v>-5</v>
      </c>
      <c r="Z87" s="3570"/>
      <c r="AA87" s="3631">
        <f ca="1">IFERROR(__xludf.DUMMYFUNCTION("""COMPUTED_VALUE"""),-5)</f>
        <v>-5</v>
      </c>
      <c r="AB87" s="3570"/>
      <c r="AC87" s="3631">
        <f ca="1">IFERROR(__xludf.DUMMYFUNCTION("""COMPUTED_VALUE"""),-5)</f>
        <v>-5</v>
      </c>
      <c r="AD87" s="3570"/>
      <c r="AE87" s="3631">
        <f ca="1">IFERROR(__xludf.DUMMYFUNCTION("""COMPUTED_VALUE"""),-5)</f>
        <v>-5</v>
      </c>
      <c r="AF87" s="3570"/>
      <c r="AG87" s="3631">
        <f ca="1">IFERROR(__xludf.DUMMYFUNCTION("""COMPUTED_VALUE"""),-5)</f>
        <v>-5</v>
      </c>
      <c r="AH87" s="3570"/>
      <c r="AI87" s="3631">
        <f ca="1">IFERROR(__xludf.DUMMYFUNCTION("""COMPUTED_VALUE"""),-5)</f>
        <v>-5</v>
      </c>
      <c r="AJ87" s="3606"/>
      <c r="AK87" s="3562"/>
      <c r="AL87" s="3562"/>
      <c r="AM87" s="3562"/>
      <c r="AN87" s="3594"/>
      <c r="AO87" s="3593"/>
      <c r="AP87" s="3562"/>
      <c r="AQ87" s="3562"/>
      <c r="AR87" s="3562"/>
      <c r="AS87" s="3562"/>
      <c r="AT87" s="3603"/>
      <c r="AU87" s="162"/>
      <c r="AV87" s="162"/>
      <c r="AW87" s="162"/>
      <c r="AX87" s="162"/>
      <c r="AY87" s="162"/>
      <c r="AZ87" s="162"/>
      <c r="BA87" s="162"/>
      <c r="BB87" s="161"/>
      <c r="BC87" s="161"/>
      <c r="BD87" s="161"/>
      <c r="BE87" s="161"/>
      <c r="BF87" s="161"/>
      <c r="BG87" s="161"/>
      <c r="BH87" s="161"/>
      <c r="BI87" s="161"/>
      <c r="BJ87" s="161"/>
      <c r="BK87" s="161"/>
      <c r="BL87" s="161"/>
      <c r="BM87" s="161"/>
      <c r="BN87" s="161"/>
      <c r="BO87" s="161"/>
      <c r="BP87" s="161"/>
      <c r="BQ87" s="161"/>
      <c r="BR87" s="161"/>
      <c r="BS87" s="161"/>
      <c r="BT87" s="161"/>
      <c r="BU87" s="161"/>
      <c r="BV87" s="161"/>
      <c r="BW87" s="161"/>
      <c r="BX87" s="161"/>
      <c r="BY87" s="161"/>
    </row>
    <row r="88" spans="1:77">
      <c r="A88" s="162"/>
      <c r="B88" s="3648"/>
      <c r="C88" s="3664" t="str">
        <f ca="1">IFERROR(__xludf.DUMMYFUNCTION("""COMPUTED_VALUE"""),"Attack:")</f>
        <v>Attack:</v>
      </c>
      <c r="D88" s="3573"/>
      <c r="E88" s="3573"/>
      <c r="F88" s="3574"/>
      <c r="G88" s="3915"/>
      <c r="H88" s="3596"/>
      <c r="I88" s="3596"/>
      <c r="J88" s="3596"/>
      <c r="K88" s="3586"/>
      <c r="L88" s="3870" t="str">
        <f ca="1">IFERROR(__xludf.DUMMYFUNCTION("""COMPUTED_VALUE"""),"Type:")</f>
        <v>Type:</v>
      </c>
      <c r="M88" s="3573"/>
      <c r="N88" s="3574"/>
      <c r="O88" s="3826"/>
      <c r="P88" s="3596"/>
      <c r="Q88" s="3596"/>
      <c r="R88" s="3586"/>
      <c r="S88" s="3664" t="str">
        <f ca="1">IFERROR(__xludf.DUMMYFUNCTION("""COMPUTED_VALUE"""),"Atk Bonus:")</f>
        <v>Atk Bonus:</v>
      </c>
      <c r="T88" s="3573"/>
      <c r="U88" s="3573"/>
      <c r="V88" s="3574"/>
      <c r="W88" s="3585"/>
      <c r="X88" s="3586"/>
      <c r="Y88" s="3639" t="str">
        <f ca="1">IFERROR(__xludf.DUMMYFUNCTION("""COMPUTED_VALUE"""),"Dmg:")</f>
        <v>Dmg:</v>
      </c>
      <c r="Z88" s="3573"/>
      <c r="AA88" s="3574"/>
      <c r="AB88" s="3707"/>
      <c r="AC88" s="3596"/>
      <c r="AD88" s="3596"/>
      <c r="AE88" s="3596"/>
      <c r="AF88" s="3623"/>
      <c r="AG88" s="3664" t="str">
        <f ca="1">IFERROR(__xludf.DUMMYFUNCTION("""COMPUTED_VALUE"""),"Dmg Type:")</f>
        <v>Dmg Type:</v>
      </c>
      <c r="AH88" s="3573"/>
      <c r="AI88" s="3573"/>
      <c r="AJ88" s="3573"/>
      <c r="AK88" s="3595"/>
      <c r="AL88" s="3596"/>
      <c r="AM88" s="3596"/>
      <c r="AN88" s="3596"/>
      <c r="AO88" s="3586"/>
      <c r="AP88" s="3639" t="str">
        <f ca="1">IFERROR(__xludf.DUMMYFUNCTION("""COMPUTED_VALUE"""),"Reach:")</f>
        <v>Reach:</v>
      </c>
      <c r="AQ88" s="3573"/>
      <c r="AR88" s="3574"/>
      <c r="AS88" s="3595"/>
      <c r="AT88" s="3623"/>
      <c r="AU88" s="162"/>
      <c r="AV88" s="162"/>
      <c r="AW88" s="162"/>
      <c r="AX88" s="161"/>
      <c r="AY88" s="162"/>
      <c r="AZ88" s="162"/>
      <c r="BA88" s="162"/>
      <c r="BB88" s="162"/>
      <c r="BC88" s="162"/>
      <c r="BD88" s="162"/>
      <c r="BE88" s="162"/>
      <c r="BF88" s="162"/>
      <c r="BG88" s="162"/>
      <c r="BH88" s="162"/>
      <c r="BI88" s="162"/>
      <c r="BJ88" s="162"/>
      <c r="BK88" s="162"/>
      <c r="BL88" s="162"/>
      <c r="BM88" s="162"/>
      <c r="BN88" s="162"/>
      <c r="BO88" s="162"/>
      <c r="BP88" s="162"/>
      <c r="BQ88" s="162"/>
      <c r="BR88" s="162"/>
      <c r="BS88" s="162"/>
      <c r="BT88" s="162"/>
      <c r="BU88" s="162"/>
      <c r="BV88" s="162"/>
      <c r="BW88" s="162"/>
      <c r="BX88" s="162"/>
      <c r="BY88" s="162"/>
    </row>
    <row r="89" spans="1:77" ht="16.5" thickBot="1">
      <c r="A89" s="162"/>
      <c r="B89" s="3648"/>
      <c r="C89" s="3575"/>
      <c r="D89" s="3576"/>
      <c r="E89" s="3576"/>
      <c r="F89" s="3577"/>
      <c r="G89" s="3892"/>
      <c r="H89" s="3569"/>
      <c r="I89" s="3569"/>
      <c r="J89" s="3569"/>
      <c r="K89" s="3570"/>
      <c r="L89" s="3575"/>
      <c r="M89" s="3576"/>
      <c r="N89" s="3577"/>
      <c r="O89" s="3827"/>
      <c r="P89" s="3569"/>
      <c r="Q89" s="3569"/>
      <c r="R89" s="3570"/>
      <c r="S89" s="3575"/>
      <c r="T89" s="3576"/>
      <c r="U89" s="3576"/>
      <c r="V89" s="3577"/>
      <c r="W89" s="3665"/>
      <c r="X89" s="3570"/>
      <c r="Y89" s="3575"/>
      <c r="Z89" s="3576"/>
      <c r="AA89" s="3577"/>
      <c r="AB89" s="3708" t="str">
        <f ca="1">IFERROR(__xludf.DUMMYFUNCTION("""COMPUTED_VALUE"""),"NONE")</f>
        <v>NONE</v>
      </c>
      <c r="AC89" s="3569"/>
      <c r="AD89" s="3569"/>
      <c r="AE89" s="3569"/>
      <c r="AF89" s="3606"/>
      <c r="AG89" s="3575"/>
      <c r="AH89" s="3576"/>
      <c r="AI89" s="3576"/>
      <c r="AJ89" s="3576"/>
      <c r="AK89" s="3656"/>
      <c r="AL89" s="3569"/>
      <c r="AM89" s="3569"/>
      <c r="AN89" s="3569"/>
      <c r="AO89" s="3570"/>
      <c r="AP89" s="3575"/>
      <c r="AQ89" s="3576"/>
      <c r="AR89" s="3577"/>
      <c r="AS89" s="3656"/>
      <c r="AT89" s="3606"/>
      <c r="AU89" s="162"/>
      <c r="AV89" s="162"/>
      <c r="AW89" s="161"/>
      <c r="AX89" s="162"/>
      <c r="AY89" s="162"/>
      <c r="AZ89" s="162"/>
      <c r="BA89" s="162"/>
      <c r="BB89" s="162"/>
      <c r="BC89" s="162"/>
      <c r="BD89" s="162"/>
      <c r="BE89" s="162"/>
      <c r="BF89" s="162"/>
      <c r="BG89" s="162"/>
      <c r="BH89" s="162"/>
      <c r="BI89" s="162"/>
      <c r="BJ89" s="162"/>
      <c r="BK89" s="162"/>
      <c r="BL89" s="162"/>
      <c r="BM89" s="162"/>
      <c r="BN89" s="162"/>
      <c r="BO89" s="162"/>
      <c r="BP89" s="162"/>
      <c r="BQ89" s="162"/>
      <c r="BR89" s="162"/>
      <c r="BS89" s="162"/>
      <c r="BT89" s="162"/>
      <c r="BU89" s="162"/>
      <c r="BV89" s="162"/>
      <c r="BW89" s="162"/>
      <c r="BX89" s="162"/>
      <c r="BY89" s="162"/>
    </row>
    <row r="90" spans="1:77">
      <c r="A90" s="162"/>
      <c r="B90" s="3648"/>
      <c r="C90" s="3639" t="str">
        <f ca="1">IFERROR(__xludf.DUMMYFUNCTION("""COMPUTED_VALUE"""),"Notes:")</f>
        <v>Notes:</v>
      </c>
      <c r="D90" s="3573"/>
      <c r="E90" s="3574"/>
      <c r="F90" s="3709"/>
      <c r="G90" s="3596"/>
      <c r="H90" s="3596"/>
      <c r="I90" s="3596"/>
      <c r="J90" s="3596"/>
      <c r="K90" s="3596"/>
      <c r="L90" s="3596"/>
      <c r="M90" s="3596"/>
      <c r="N90" s="3596"/>
      <c r="O90" s="3596"/>
      <c r="P90" s="3596"/>
      <c r="Q90" s="3596"/>
      <c r="R90" s="3596"/>
      <c r="S90" s="3596"/>
      <c r="T90" s="3596"/>
      <c r="U90" s="3596"/>
      <c r="V90" s="3596"/>
      <c r="W90" s="3596"/>
      <c r="X90" s="3596"/>
      <c r="Y90" s="3596"/>
      <c r="Z90" s="3596"/>
      <c r="AA90" s="3596"/>
      <c r="AB90" s="3596"/>
      <c r="AC90" s="3596"/>
      <c r="AD90" s="3596"/>
      <c r="AE90" s="3596"/>
      <c r="AF90" s="3596"/>
      <c r="AG90" s="3596"/>
      <c r="AH90" s="3596"/>
      <c r="AI90" s="3596"/>
      <c r="AJ90" s="3596"/>
      <c r="AK90" s="3596"/>
      <c r="AL90" s="3596"/>
      <c r="AM90" s="3596"/>
      <c r="AN90" s="3596"/>
      <c r="AO90" s="3596"/>
      <c r="AP90" s="3596"/>
      <c r="AQ90" s="3596"/>
      <c r="AR90" s="3596"/>
      <c r="AS90" s="3596"/>
      <c r="AT90" s="3623"/>
      <c r="AU90" s="162"/>
      <c r="AV90" s="162"/>
      <c r="AW90" s="162"/>
      <c r="AX90" s="162"/>
      <c r="AY90" s="162"/>
      <c r="AZ90" s="162"/>
      <c r="BA90" s="162"/>
      <c r="BB90" s="162"/>
      <c r="BC90" s="162"/>
      <c r="BD90" s="162"/>
      <c r="BE90" s="162"/>
      <c r="BF90" s="162"/>
      <c r="BG90" s="162"/>
      <c r="BH90" s="162"/>
      <c r="BI90" s="162"/>
      <c r="BJ90" s="162"/>
      <c r="BK90" s="162"/>
      <c r="BL90" s="162"/>
      <c r="BM90" s="162"/>
      <c r="BN90" s="162"/>
      <c r="BO90" s="162"/>
      <c r="BP90" s="162"/>
      <c r="BQ90" s="162"/>
      <c r="BR90" s="162"/>
      <c r="BS90" s="162"/>
      <c r="BT90" s="162"/>
      <c r="BU90" s="162"/>
      <c r="BV90" s="162"/>
      <c r="BW90" s="162"/>
      <c r="BX90" s="162"/>
      <c r="BY90" s="162"/>
    </row>
    <row r="91" spans="1:77" ht="16.5" thickBot="1">
      <c r="A91" s="162"/>
      <c r="B91" s="3649"/>
      <c r="C91" s="3575"/>
      <c r="D91" s="3576"/>
      <c r="E91" s="3577"/>
      <c r="F91" s="3710"/>
      <c r="G91" s="3569"/>
      <c r="H91" s="3569"/>
      <c r="I91" s="3569"/>
      <c r="J91" s="3569"/>
      <c r="K91" s="3569"/>
      <c r="L91" s="3569"/>
      <c r="M91" s="3569"/>
      <c r="N91" s="3569"/>
      <c r="O91" s="3569"/>
      <c r="P91" s="3569"/>
      <c r="Q91" s="3569"/>
      <c r="R91" s="3569"/>
      <c r="S91" s="3569"/>
      <c r="T91" s="3569"/>
      <c r="U91" s="3569"/>
      <c r="V91" s="3569"/>
      <c r="W91" s="3569"/>
      <c r="X91" s="3569"/>
      <c r="Y91" s="3569"/>
      <c r="Z91" s="3569"/>
      <c r="AA91" s="3569"/>
      <c r="AB91" s="3569"/>
      <c r="AC91" s="3569"/>
      <c r="AD91" s="3569"/>
      <c r="AE91" s="3569"/>
      <c r="AF91" s="3569"/>
      <c r="AG91" s="3569"/>
      <c r="AH91" s="3569"/>
      <c r="AI91" s="3569"/>
      <c r="AJ91" s="3569"/>
      <c r="AK91" s="3569"/>
      <c r="AL91" s="3569"/>
      <c r="AM91" s="3569"/>
      <c r="AN91" s="3569"/>
      <c r="AO91" s="3569"/>
      <c r="AP91" s="3569"/>
      <c r="AQ91" s="3569"/>
      <c r="AR91" s="3569"/>
      <c r="AS91" s="3569"/>
      <c r="AT91" s="3606"/>
      <c r="AU91" s="162"/>
      <c r="AV91" s="162"/>
      <c r="AW91" s="162"/>
      <c r="AX91" s="162"/>
      <c r="AY91" s="162"/>
      <c r="AZ91" s="162"/>
      <c r="BA91" s="162"/>
      <c r="BB91" s="162"/>
      <c r="BC91" s="162"/>
      <c r="BD91" s="162"/>
      <c r="BE91" s="162"/>
      <c r="BF91" s="162"/>
      <c r="BG91" s="162"/>
      <c r="BH91" s="162"/>
      <c r="BI91" s="162"/>
      <c r="BJ91" s="162"/>
      <c r="BK91" s="162"/>
      <c r="BL91" s="162"/>
      <c r="BM91" s="162"/>
      <c r="BN91" s="162"/>
      <c r="BO91" s="162"/>
      <c r="BP91" s="162"/>
      <c r="BQ91" s="162"/>
      <c r="BR91" s="162"/>
      <c r="BS91" s="162"/>
      <c r="BT91" s="162"/>
      <c r="BU91" s="162"/>
      <c r="BV91" s="162"/>
      <c r="BW91" s="162"/>
      <c r="BX91" s="162"/>
      <c r="BY91" s="162"/>
    </row>
    <row r="92" spans="1:77" ht="16.5" thickBot="1">
      <c r="A92" s="162"/>
      <c r="B92" s="162"/>
      <c r="C92" s="162"/>
      <c r="D92" s="162"/>
      <c r="E92" s="162"/>
      <c r="F92" s="162"/>
      <c r="G92" s="162"/>
      <c r="H92" s="162"/>
      <c r="I92" s="162"/>
      <c r="J92" s="162"/>
      <c r="K92" s="162"/>
      <c r="L92" s="162"/>
      <c r="M92" s="162"/>
      <c r="N92" s="162"/>
      <c r="O92" s="162"/>
      <c r="P92" s="162"/>
      <c r="Q92" s="162"/>
      <c r="R92" s="162"/>
      <c r="S92" s="162"/>
      <c r="T92" s="162"/>
      <c r="U92" s="162"/>
      <c r="V92" s="162"/>
      <c r="W92" s="162"/>
      <c r="X92" s="162"/>
      <c r="Y92" s="162"/>
      <c r="Z92" s="162"/>
      <c r="AA92" s="162"/>
      <c r="AB92" s="162"/>
      <c r="AC92" s="162"/>
      <c r="AD92" s="162"/>
      <c r="AE92" s="162"/>
      <c r="AF92" s="162"/>
      <c r="AG92" s="162"/>
      <c r="AH92" s="162"/>
      <c r="AI92" s="162"/>
      <c r="AJ92" s="162"/>
      <c r="AK92" s="162"/>
      <c r="AL92" s="162"/>
      <c r="AM92" s="162"/>
      <c r="AN92" s="162"/>
      <c r="AO92" s="162"/>
      <c r="AP92" s="162"/>
      <c r="AQ92" s="162"/>
      <c r="AR92" s="162"/>
      <c r="AS92" s="162"/>
      <c r="AT92" s="162"/>
      <c r="AU92" s="162"/>
      <c r="AV92" s="162"/>
      <c r="AW92" s="162"/>
      <c r="AX92" s="162"/>
      <c r="AY92" s="162"/>
      <c r="AZ92" s="162"/>
      <c r="BA92" s="162"/>
      <c r="BB92" s="162"/>
      <c r="BC92" s="162"/>
      <c r="BD92" s="162"/>
      <c r="BE92" s="162"/>
      <c r="BF92" s="162"/>
      <c r="BG92" s="162"/>
      <c r="BH92" s="162"/>
      <c r="BI92" s="162"/>
      <c r="BJ92" s="162"/>
      <c r="BK92" s="162"/>
      <c r="BL92" s="162"/>
      <c r="BM92" s="162"/>
      <c r="BN92" s="162"/>
      <c r="BO92" s="162"/>
      <c r="BP92" s="162"/>
      <c r="BQ92" s="162"/>
      <c r="BR92" s="162"/>
      <c r="BS92" s="162"/>
      <c r="BT92" s="162"/>
      <c r="BU92" s="162"/>
      <c r="BV92" s="162"/>
      <c r="BW92" s="162"/>
      <c r="BX92" s="162"/>
      <c r="BY92" s="162"/>
    </row>
    <row r="93" spans="1:77" ht="16.5" thickBot="1">
      <c r="A93" s="162"/>
      <c r="B93" s="3894" t="str">
        <f ca="1">IFERROR(__xludf.DUMMYFUNCTION("""COMPUTED_VALUE"""),"Traits - Features - Feats - Abilities:")</f>
        <v>Traits - Features - Feats - Abilities:</v>
      </c>
      <c r="C93" s="3718" t="str">
        <f ca="1">IFERROR(__xludf.DUMMYFUNCTION("""COMPUTED_VALUE"""),"Name")</f>
        <v>Name</v>
      </c>
      <c r="D93" s="3579"/>
      <c r="E93" s="3579"/>
      <c r="F93" s="3579"/>
      <c r="G93" s="3579"/>
      <c r="H93" s="3579"/>
      <c r="I93" s="3579"/>
      <c r="J93" s="3579"/>
      <c r="K93" s="3580"/>
      <c r="L93" s="3589" t="str">
        <f ca="1">IFERROR(__xludf.DUMMYFUNCTION("""COMPUTED_VALUE"""),"Level")</f>
        <v>Level</v>
      </c>
      <c r="M93" s="3579"/>
      <c r="N93" s="3580"/>
      <c r="O93" s="3900" t="str">
        <f ca="1">IFERROR(__xludf.DUMMYFUNCTION("""COMPUTED_VALUE"""),"Uses")</f>
        <v>Uses</v>
      </c>
      <c r="P93" s="3579"/>
      <c r="Q93" s="3580"/>
      <c r="R93" s="3589" t="str">
        <f ca="1">IFERROR(__xludf.DUMMYFUNCTION("""COMPUTED_VALUE"""),"Recovery")</f>
        <v>Recovery</v>
      </c>
      <c r="S93" s="3579"/>
      <c r="T93" s="3579"/>
      <c r="U93" s="3580"/>
      <c r="V93" s="3626" t="str">
        <f ca="1">IFERROR(__xludf.DUMMYFUNCTION("""COMPUTED_VALUE"""),"Action Type")</f>
        <v>Action Type</v>
      </c>
      <c r="W93" s="3579"/>
      <c r="X93" s="3579"/>
      <c r="Y93" s="3579"/>
      <c r="Z93" s="3579"/>
      <c r="AA93" s="3590" t="str">
        <f ca="1">IFERROR(__xludf.DUMMYFUNCTION("""COMPUTED_VALUE"""),"Notes")</f>
        <v>Notes</v>
      </c>
      <c r="AB93" s="3579"/>
      <c r="AC93" s="3579"/>
      <c r="AD93" s="3579"/>
      <c r="AE93" s="3579"/>
      <c r="AF93" s="3579"/>
      <c r="AG93" s="3579"/>
      <c r="AH93" s="3579"/>
      <c r="AI93" s="3579"/>
      <c r="AJ93" s="3579"/>
      <c r="AK93" s="3579"/>
      <c r="AL93" s="3579"/>
      <c r="AM93" s="3579"/>
      <c r="AN93" s="3579"/>
      <c r="AO93" s="3579"/>
      <c r="AP93" s="3579"/>
      <c r="AQ93" s="3579"/>
      <c r="AR93" s="3579"/>
      <c r="AS93" s="3579"/>
      <c r="AT93" s="3580"/>
      <c r="AU93" s="162"/>
      <c r="AV93" s="162"/>
      <c r="AW93" s="162"/>
      <c r="AX93" s="162"/>
      <c r="AY93" s="162"/>
      <c r="AZ93" s="162"/>
      <c r="BA93" s="162"/>
      <c r="BB93" s="162"/>
      <c r="BC93" s="162"/>
      <c r="BD93" s="162"/>
      <c r="BE93" s="162"/>
      <c r="BF93" s="162"/>
      <c r="BG93" s="162"/>
      <c r="BH93" s="162"/>
      <c r="BI93" s="162"/>
      <c r="BJ93" s="162"/>
      <c r="BK93" s="162"/>
      <c r="BL93" s="162"/>
      <c r="BM93" s="162"/>
      <c r="BN93" s="162"/>
      <c r="BO93" s="162"/>
      <c r="BP93" s="162"/>
      <c r="BQ93" s="162"/>
      <c r="BR93" s="162"/>
      <c r="BS93" s="162"/>
      <c r="BT93" s="162"/>
      <c r="BU93" s="162"/>
      <c r="BV93" s="162"/>
      <c r="BW93" s="162"/>
      <c r="BX93" s="162"/>
      <c r="BY93" s="162"/>
    </row>
    <row r="94" spans="1:77">
      <c r="A94" s="162"/>
      <c r="B94" s="3601"/>
      <c r="C94" s="3896"/>
      <c r="D94" s="3562"/>
      <c r="E94" s="3562"/>
      <c r="F94" s="3562"/>
      <c r="G94" s="3562"/>
      <c r="H94" s="3562"/>
      <c r="I94" s="3562"/>
      <c r="J94" s="3562"/>
      <c r="K94" s="3594"/>
      <c r="L94" s="3881"/>
      <c r="M94" s="3562"/>
      <c r="N94" s="3594"/>
      <c r="O94" s="3871"/>
      <c r="P94" s="3564"/>
      <c r="Q94" s="3565"/>
      <c r="R94" s="3563"/>
      <c r="S94" s="3564"/>
      <c r="T94" s="3564"/>
      <c r="U94" s="3565"/>
      <c r="V94" s="3563"/>
      <c r="W94" s="3564"/>
      <c r="X94" s="3564"/>
      <c r="Y94" s="3564"/>
      <c r="Z94" s="3565"/>
      <c r="AA94" s="3619"/>
      <c r="AB94" s="3562"/>
      <c r="AC94" s="3562"/>
      <c r="AD94" s="3562"/>
      <c r="AE94" s="3562"/>
      <c r="AF94" s="3562"/>
      <c r="AG94" s="3562"/>
      <c r="AH94" s="3562"/>
      <c r="AI94" s="3562"/>
      <c r="AJ94" s="3562"/>
      <c r="AK94" s="3562"/>
      <c r="AL94" s="3562"/>
      <c r="AM94" s="3562"/>
      <c r="AN94" s="3562"/>
      <c r="AO94" s="3562"/>
      <c r="AP94" s="3562"/>
      <c r="AQ94" s="3562"/>
      <c r="AR94" s="3562"/>
      <c r="AS94" s="3562"/>
      <c r="AT94" s="3603"/>
      <c r="AU94" s="162"/>
      <c r="AV94" s="162"/>
      <c r="AW94" s="162"/>
      <c r="AX94" s="162"/>
      <c r="AY94" s="162"/>
      <c r="AZ94" s="162"/>
      <c r="BA94" s="162"/>
      <c r="BB94" s="162"/>
      <c r="BC94" s="162"/>
      <c r="BD94" s="162"/>
      <c r="BE94" s="162"/>
      <c r="BF94" s="162"/>
      <c r="BG94" s="162"/>
      <c r="BH94" s="162"/>
      <c r="BI94" s="162"/>
      <c r="BJ94" s="162"/>
      <c r="BK94" s="162"/>
      <c r="BL94" s="162"/>
      <c r="BM94" s="162"/>
      <c r="BN94" s="162"/>
      <c r="BO94" s="162"/>
      <c r="BP94" s="162"/>
      <c r="BQ94" s="162"/>
      <c r="BR94" s="162"/>
      <c r="BS94" s="162"/>
      <c r="BT94" s="162"/>
      <c r="BU94" s="162"/>
      <c r="BV94" s="162"/>
      <c r="BW94" s="162"/>
      <c r="BX94" s="162"/>
      <c r="BY94" s="162"/>
    </row>
    <row r="95" spans="1:77">
      <c r="A95" s="162"/>
      <c r="B95" s="3601"/>
      <c r="C95" s="3865"/>
      <c r="D95" s="3564"/>
      <c r="E95" s="3564"/>
      <c r="F95" s="3564"/>
      <c r="G95" s="3564"/>
      <c r="H95" s="3564"/>
      <c r="I95" s="3564"/>
      <c r="J95" s="3564"/>
      <c r="K95" s="3565"/>
      <c r="L95" s="3871"/>
      <c r="M95" s="3564"/>
      <c r="N95" s="3565"/>
      <c r="O95" s="3871"/>
      <c r="P95" s="3564"/>
      <c r="Q95" s="3565"/>
      <c r="R95" s="3563"/>
      <c r="S95" s="3564"/>
      <c r="T95" s="3564"/>
      <c r="U95" s="3565"/>
      <c r="V95" s="3563"/>
      <c r="W95" s="3564"/>
      <c r="X95" s="3564"/>
      <c r="Y95" s="3564"/>
      <c r="Z95" s="3565"/>
      <c r="AA95" s="3604"/>
      <c r="AB95" s="3564"/>
      <c r="AC95" s="3564"/>
      <c r="AD95" s="3564"/>
      <c r="AE95" s="3564"/>
      <c r="AF95" s="3564"/>
      <c r="AG95" s="3564"/>
      <c r="AH95" s="3564"/>
      <c r="AI95" s="3564"/>
      <c r="AJ95" s="3564"/>
      <c r="AK95" s="3564"/>
      <c r="AL95" s="3564"/>
      <c r="AM95" s="3564"/>
      <c r="AN95" s="3564"/>
      <c r="AO95" s="3564"/>
      <c r="AP95" s="3564"/>
      <c r="AQ95" s="3564"/>
      <c r="AR95" s="3564"/>
      <c r="AS95" s="3564"/>
      <c r="AT95" s="3567"/>
      <c r="AU95" s="162"/>
      <c r="AV95" s="162"/>
      <c r="AW95" s="162"/>
      <c r="AX95" s="162"/>
      <c r="AY95" s="162"/>
      <c r="AZ95" s="162"/>
      <c r="BA95" s="162"/>
      <c r="BB95" s="162"/>
      <c r="BC95" s="162"/>
      <c r="BD95" s="162"/>
      <c r="BE95" s="162"/>
      <c r="BF95" s="162"/>
      <c r="BG95" s="162"/>
      <c r="BH95" s="162"/>
      <c r="BI95" s="162"/>
      <c r="BJ95" s="162"/>
      <c r="BK95" s="162"/>
      <c r="BL95" s="162"/>
      <c r="BM95" s="162"/>
      <c r="BN95" s="162"/>
      <c r="BO95" s="162"/>
      <c r="BP95" s="162"/>
      <c r="BQ95" s="162"/>
      <c r="BR95" s="162"/>
      <c r="BS95" s="162"/>
      <c r="BT95" s="162"/>
      <c r="BU95" s="162"/>
      <c r="BV95" s="162"/>
      <c r="BW95" s="162"/>
      <c r="BX95" s="162"/>
      <c r="BY95" s="162"/>
    </row>
    <row r="96" spans="1:77">
      <c r="A96" s="162"/>
      <c r="B96" s="3601"/>
      <c r="C96" s="3865"/>
      <c r="D96" s="3564"/>
      <c r="E96" s="3564"/>
      <c r="F96" s="3564"/>
      <c r="G96" s="3564"/>
      <c r="H96" s="3564"/>
      <c r="I96" s="3564"/>
      <c r="J96" s="3564"/>
      <c r="K96" s="3565"/>
      <c r="L96" s="3871"/>
      <c r="M96" s="3564"/>
      <c r="N96" s="3565"/>
      <c r="O96" s="3871"/>
      <c r="P96" s="3564"/>
      <c r="Q96" s="3565"/>
      <c r="R96" s="3563"/>
      <c r="S96" s="3564"/>
      <c r="T96" s="3564"/>
      <c r="U96" s="3565"/>
      <c r="V96" s="3563"/>
      <c r="W96" s="3564"/>
      <c r="X96" s="3564"/>
      <c r="Y96" s="3564"/>
      <c r="Z96" s="3565"/>
      <c r="AA96" s="3604"/>
      <c r="AB96" s="3564"/>
      <c r="AC96" s="3564"/>
      <c r="AD96" s="3564"/>
      <c r="AE96" s="3564"/>
      <c r="AF96" s="3564"/>
      <c r="AG96" s="3564"/>
      <c r="AH96" s="3564"/>
      <c r="AI96" s="3564"/>
      <c r="AJ96" s="3564"/>
      <c r="AK96" s="3564"/>
      <c r="AL96" s="3564"/>
      <c r="AM96" s="3564"/>
      <c r="AN96" s="3564"/>
      <c r="AO96" s="3564"/>
      <c r="AP96" s="3564"/>
      <c r="AQ96" s="3564"/>
      <c r="AR96" s="3564"/>
      <c r="AS96" s="3564"/>
      <c r="AT96" s="3567"/>
      <c r="AU96" s="162"/>
      <c r="AV96" s="162"/>
      <c r="AW96" s="162"/>
      <c r="AX96" s="162"/>
      <c r="AY96" s="162"/>
      <c r="AZ96" s="162"/>
      <c r="BA96" s="162"/>
      <c r="BB96" s="162"/>
      <c r="BC96" s="162"/>
      <c r="BD96" s="162"/>
      <c r="BE96" s="162"/>
      <c r="BF96" s="162"/>
      <c r="BG96" s="162"/>
      <c r="BH96" s="162"/>
      <c r="BI96" s="162"/>
      <c r="BJ96" s="162"/>
      <c r="BK96" s="162"/>
      <c r="BL96" s="162"/>
      <c r="BM96" s="162"/>
      <c r="BN96" s="162"/>
      <c r="BO96" s="162"/>
      <c r="BP96" s="162"/>
      <c r="BQ96" s="162"/>
      <c r="BR96" s="162"/>
      <c r="BS96" s="162"/>
      <c r="BT96" s="162"/>
      <c r="BU96" s="162"/>
      <c r="BV96" s="162"/>
      <c r="BW96" s="162"/>
      <c r="BX96" s="162"/>
      <c r="BY96" s="162"/>
    </row>
    <row r="97" spans="1:77">
      <c r="A97" s="162"/>
      <c r="B97" s="3601"/>
      <c r="C97" s="3865"/>
      <c r="D97" s="3564"/>
      <c r="E97" s="3564"/>
      <c r="F97" s="3564"/>
      <c r="G97" s="3564"/>
      <c r="H97" s="3564"/>
      <c r="I97" s="3564"/>
      <c r="J97" s="3564"/>
      <c r="K97" s="3565"/>
      <c r="L97" s="3871"/>
      <c r="M97" s="3564"/>
      <c r="N97" s="3565"/>
      <c r="O97" s="3871"/>
      <c r="P97" s="3564"/>
      <c r="Q97" s="3565"/>
      <c r="R97" s="3563"/>
      <c r="S97" s="3564"/>
      <c r="T97" s="3564"/>
      <c r="U97" s="3565"/>
      <c r="V97" s="3563"/>
      <c r="W97" s="3564"/>
      <c r="X97" s="3564"/>
      <c r="Y97" s="3564"/>
      <c r="Z97" s="3565"/>
      <c r="AA97" s="3619"/>
      <c r="AB97" s="3562"/>
      <c r="AC97" s="3562"/>
      <c r="AD97" s="3562"/>
      <c r="AE97" s="3562"/>
      <c r="AF97" s="3562"/>
      <c r="AG97" s="3562"/>
      <c r="AH97" s="3562"/>
      <c r="AI97" s="3562"/>
      <c r="AJ97" s="3562"/>
      <c r="AK97" s="3562"/>
      <c r="AL97" s="3562"/>
      <c r="AM97" s="3562"/>
      <c r="AN97" s="3562"/>
      <c r="AO97" s="3562"/>
      <c r="AP97" s="3562"/>
      <c r="AQ97" s="3562"/>
      <c r="AR97" s="3562"/>
      <c r="AS97" s="3562"/>
      <c r="AT97" s="3603"/>
      <c r="AU97" s="162"/>
      <c r="AV97" s="162"/>
      <c r="AW97" s="162"/>
      <c r="AX97" s="162"/>
      <c r="AY97" s="162"/>
      <c r="AZ97" s="162"/>
      <c r="BA97" s="162"/>
      <c r="BB97" s="162"/>
      <c r="BC97" s="162"/>
      <c r="BD97" s="162"/>
      <c r="BE97" s="162"/>
      <c r="BF97" s="162"/>
      <c r="BG97" s="162"/>
      <c r="BH97" s="162"/>
      <c r="BI97" s="162"/>
      <c r="BJ97" s="162"/>
      <c r="BK97" s="162"/>
      <c r="BL97" s="162"/>
      <c r="BM97" s="162"/>
      <c r="BN97" s="162"/>
      <c r="BO97" s="162"/>
      <c r="BP97" s="162"/>
      <c r="BQ97" s="162"/>
      <c r="BR97" s="162"/>
      <c r="BS97" s="162"/>
      <c r="BT97" s="162"/>
      <c r="BU97" s="162"/>
      <c r="BV97" s="162"/>
      <c r="BW97" s="162"/>
      <c r="BX97" s="162"/>
      <c r="BY97" s="162"/>
    </row>
    <row r="98" spans="1:77">
      <c r="A98" s="162"/>
      <c r="B98" s="3601"/>
      <c r="C98" s="3865"/>
      <c r="D98" s="3564"/>
      <c r="E98" s="3564"/>
      <c r="F98" s="3564"/>
      <c r="G98" s="3564"/>
      <c r="H98" s="3564"/>
      <c r="I98" s="3564"/>
      <c r="J98" s="3564"/>
      <c r="K98" s="3565"/>
      <c r="L98" s="3871"/>
      <c r="M98" s="3564"/>
      <c r="N98" s="3565"/>
      <c r="O98" s="3871"/>
      <c r="P98" s="3564"/>
      <c r="Q98" s="3565"/>
      <c r="R98" s="3563"/>
      <c r="S98" s="3564"/>
      <c r="T98" s="3564"/>
      <c r="U98" s="3565"/>
      <c r="V98" s="3563"/>
      <c r="W98" s="3564"/>
      <c r="X98" s="3564"/>
      <c r="Y98" s="3564"/>
      <c r="Z98" s="3565"/>
      <c r="AA98" s="3619"/>
      <c r="AB98" s="3562"/>
      <c r="AC98" s="3562"/>
      <c r="AD98" s="3562"/>
      <c r="AE98" s="3562"/>
      <c r="AF98" s="3562"/>
      <c r="AG98" s="3562"/>
      <c r="AH98" s="3562"/>
      <c r="AI98" s="3562"/>
      <c r="AJ98" s="3562"/>
      <c r="AK98" s="3562"/>
      <c r="AL98" s="3562"/>
      <c r="AM98" s="3562"/>
      <c r="AN98" s="3562"/>
      <c r="AO98" s="3562"/>
      <c r="AP98" s="3562"/>
      <c r="AQ98" s="3562"/>
      <c r="AR98" s="3562"/>
      <c r="AS98" s="3562"/>
      <c r="AT98" s="3603"/>
      <c r="AU98" s="162"/>
      <c r="AV98" s="162"/>
      <c r="AW98" s="162"/>
      <c r="AX98" s="162"/>
      <c r="AY98" s="162"/>
      <c r="AZ98" s="162"/>
      <c r="BA98" s="162"/>
      <c r="BB98" s="162"/>
      <c r="BC98" s="162"/>
      <c r="BD98" s="162"/>
      <c r="BE98" s="162"/>
      <c r="BF98" s="162"/>
      <c r="BG98" s="162"/>
      <c r="BH98" s="162"/>
      <c r="BI98" s="162"/>
      <c r="BJ98" s="162"/>
      <c r="BK98" s="162"/>
      <c r="BL98" s="162"/>
      <c r="BM98" s="162"/>
      <c r="BN98" s="162"/>
      <c r="BO98" s="162"/>
      <c r="BP98" s="162"/>
      <c r="BQ98" s="162"/>
      <c r="BR98" s="162"/>
      <c r="BS98" s="162"/>
      <c r="BT98" s="162"/>
      <c r="BU98" s="162"/>
      <c r="BV98" s="162"/>
      <c r="BW98" s="162"/>
      <c r="BX98" s="162"/>
      <c r="BY98" s="162"/>
    </row>
    <row r="99" spans="1:77">
      <c r="A99" s="162"/>
      <c r="B99" s="3601"/>
      <c r="C99" s="3865"/>
      <c r="D99" s="3564"/>
      <c r="E99" s="3564"/>
      <c r="F99" s="3564"/>
      <c r="G99" s="3564"/>
      <c r="H99" s="3564"/>
      <c r="I99" s="3564"/>
      <c r="J99" s="3564"/>
      <c r="K99" s="3565"/>
      <c r="L99" s="3871"/>
      <c r="M99" s="3564"/>
      <c r="N99" s="3565"/>
      <c r="O99" s="3871"/>
      <c r="P99" s="3564"/>
      <c r="Q99" s="3565"/>
      <c r="R99" s="3563"/>
      <c r="S99" s="3564"/>
      <c r="T99" s="3564"/>
      <c r="U99" s="3565"/>
      <c r="V99" s="3563"/>
      <c r="W99" s="3564"/>
      <c r="X99" s="3564"/>
      <c r="Y99" s="3564"/>
      <c r="Z99" s="3565"/>
      <c r="AA99" s="3604"/>
      <c r="AB99" s="3564"/>
      <c r="AC99" s="3564"/>
      <c r="AD99" s="3564"/>
      <c r="AE99" s="3564"/>
      <c r="AF99" s="3564"/>
      <c r="AG99" s="3564"/>
      <c r="AH99" s="3564"/>
      <c r="AI99" s="3564"/>
      <c r="AJ99" s="3564"/>
      <c r="AK99" s="3564"/>
      <c r="AL99" s="3564"/>
      <c r="AM99" s="3564"/>
      <c r="AN99" s="3564"/>
      <c r="AO99" s="3564"/>
      <c r="AP99" s="3564"/>
      <c r="AQ99" s="3564"/>
      <c r="AR99" s="3564"/>
      <c r="AS99" s="3564"/>
      <c r="AT99" s="3567"/>
      <c r="AU99" s="162"/>
      <c r="AV99" s="162"/>
      <c r="AW99" s="162"/>
      <c r="AX99" s="162"/>
      <c r="AY99" s="162"/>
      <c r="AZ99" s="162"/>
      <c r="BA99" s="162"/>
      <c r="BB99" s="162"/>
      <c r="BC99" s="162"/>
      <c r="BD99" s="162"/>
      <c r="BE99" s="162"/>
      <c r="BF99" s="162"/>
      <c r="BG99" s="162"/>
      <c r="BH99" s="162"/>
      <c r="BI99" s="162"/>
      <c r="BJ99" s="162"/>
      <c r="BK99" s="162"/>
      <c r="BL99" s="162"/>
      <c r="BM99" s="162"/>
      <c r="BN99" s="162"/>
      <c r="BO99" s="162"/>
      <c r="BP99" s="162"/>
      <c r="BQ99" s="162"/>
      <c r="BR99" s="162"/>
      <c r="BS99" s="162"/>
      <c r="BT99" s="162"/>
      <c r="BU99" s="162"/>
      <c r="BV99" s="162"/>
      <c r="BW99" s="162"/>
      <c r="BX99" s="162"/>
      <c r="BY99" s="162"/>
    </row>
    <row r="100" spans="1:77">
      <c r="A100" s="162"/>
      <c r="B100" s="3601"/>
      <c r="C100" s="3865"/>
      <c r="D100" s="3564"/>
      <c r="E100" s="3564"/>
      <c r="F100" s="3564"/>
      <c r="G100" s="3564"/>
      <c r="H100" s="3564"/>
      <c r="I100" s="3564"/>
      <c r="J100" s="3564"/>
      <c r="K100" s="3565"/>
      <c r="L100" s="3871"/>
      <c r="M100" s="3564"/>
      <c r="N100" s="3565"/>
      <c r="O100" s="3871"/>
      <c r="P100" s="3564"/>
      <c r="Q100" s="3565"/>
      <c r="R100" s="3563"/>
      <c r="S100" s="3564"/>
      <c r="T100" s="3564"/>
      <c r="U100" s="3565"/>
      <c r="V100" s="3563"/>
      <c r="W100" s="3564"/>
      <c r="X100" s="3564"/>
      <c r="Y100" s="3564"/>
      <c r="Z100" s="3565"/>
      <c r="AA100" s="3604"/>
      <c r="AB100" s="3564"/>
      <c r="AC100" s="3564"/>
      <c r="AD100" s="3564"/>
      <c r="AE100" s="3564"/>
      <c r="AF100" s="3564"/>
      <c r="AG100" s="3564"/>
      <c r="AH100" s="3564"/>
      <c r="AI100" s="3564"/>
      <c r="AJ100" s="3564"/>
      <c r="AK100" s="3564"/>
      <c r="AL100" s="3564"/>
      <c r="AM100" s="3564"/>
      <c r="AN100" s="3564"/>
      <c r="AO100" s="3564"/>
      <c r="AP100" s="3564"/>
      <c r="AQ100" s="3564"/>
      <c r="AR100" s="3564"/>
      <c r="AS100" s="3564"/>
      <c r="AT100" s="3567"/>
      <c r="AU100" s="162"/>
      <c r="AV100" s="162"/>
      <c r="AW100" s="162"/>
      <c r="AX100" s="162"/>
      <c r="AY100" s="162"/>
      <c r="AZ100" s="162"/>
      <c r="BA100" s="162"/>
      <c r="BB100" s="162"/>
      <c r="BC100" s="162"/>
      <c r="BD100" s="162"/>
      <c r="BE100" s="162"/>
      <c r="BF100" s="162"/>
      <c r="BG100" s="162"/>
      <c r="BH100" s="162"/>
      <c r="BI100" s="162"/>
      <c r="BJ100" s="162"/>
      <c r="BK100" s="162"/>
      <c r="BL100" s="162"/>
      <c r="BM100" s="162"/>
      <c r="BN100" s="162"/>
      <c r="BO100" s="162"/>
      <c r="BP100" s="162"/>
      <c r="BQ100" s="162"/>
      <c r="BR100" s="162"/>
      <c r="BS100" s="162"/>
      <c r="BT100" s="162"/>
      <c r="BU100" s="162"/>
      <c r="BV100" s="162"/>
      <c r="BW100" s="162"/>
      <c r="BX100" s="162"/>
      <c r="BY100" s="162"/>
    </row>
    <row r="101" spans="1:77">
      <c r="A101" s="162"/>
      <c r="B101" s="3601"/>
      <c r="C101" s="3865"/>
      <c r="D101" s="3564"/>
      <c r="E101" s="3564"/>
      <c r="F101" s="3564"/>
      <c r="G101" s="3564"/>
      <c r="H101" s="3564"/>
      <c r="I101" s="3564"/>
      <c r="J101" s="3564"/>
      <c r="K101" s="3565"/>
      <c r="L101" s="3871"/>
      <c r="M101" s="3564"/>
      <c r="N101" s="3565"/>
      <c r="O101" s="3871"/>
      <c r="P101" s="3564"/>
      <c r="Q101" s="3565"/>
      <c r="R101" s="3563"/>
      <c r="S101" s="3564"/>
      <c r="T101" s="3564"/>
      <c r="U101" s="3565"/>
      <c r="V101" s="3563"/>
      <c r="W101" s="3564"/>
      <c r="X101" s="3564"/>
      <c r="Y101" s="3564"/>
      <c r="Z101" s="3565"/>
      <c r="AA101" s="3604"/>
      <c r="AB101" s="3564"/>
      <c r="AC101" s="3564"/>
      <c r="AD101" s="3564"/>
      <c r="AE101" s="3564"/>
      <c r="AF101" s="3564"/>
      <c r="AG101" s="3564"/>
      <c r="AH101" s="3564"/>
      <c r="AI101" s="3564"/>
      <c r="AJ101" s="3564"/>
      <c r="AK101" s="3564"/>
      <c r="AL101" s="3564"/>
      <c r="AM101" s="3564"/>
      <c r="AN101" s="3564"/>
      <c r="AO101" s="3564"/>
      <c r="AP101" s="3564"/>
      <c r="AQ101" s="3564"/>
      <c r="AR101" s="3564"/>
      <c r="AS101" s="3564"/>
      <c r="AT101" s="3567"/>
      <c r="AU101" s="162"/>
      <c r="AV101" s="162"/>
      <c r="AW101" s="162"/>
      <c r="AX101" s="162"/>
      <c r="AY101" s="162"/>
      <c r="AZ101" s="162"/>
      <c r="BA101" s="162"/>
      <c r="BB101" s="162"/>
      <c r="BC101" s="162"/>
      <c r="BD101" s="162"/>
      <c r="BE101" s="162"/>
      <c r="BF101" s="162"/>
      <c r="BG101" s="162"/>
      <c r="BH101" s="162"/>
      <c r="BI101" s="162"/>
      <c r="BJ101" s="162"/>
      <c r="BK101" s="162"/>
      <c r="BL101" s="162"/>
      <c r="BM101" s="162"/>
      <c r="BN101" s="162"/>
      <c r="BO101" s="162"/>
      <c r="BP101" s="162"/>
      <c r="BQ101" s="162"/>
      <c r="BR101" s="162"/>
      <c r="BS101" s="162"/>
      <c r="BT101" s="162"/>
      <c r="BU101" s="162"/>
      <c r="BV101" s="162"/>
      <c r="BW101" s="162"/>
      <c r="BX101" s="162"/>
      <c r="BY101" s="162"/>
    </row>
    <row r="102" spans="1:77">
      <c r="A102" s="162"/>
      <c r="B102" s="3601"/>
      <c r="C102" s="3865"/>
      <c r="D102" s="3564"/>
      <c r="E102" s="3564"/>
      <c r="F102" s="3564"/>
      <c r="G102" s="3564"/>
      <c r="H102" s="3564"/>
      <c r="I102" s="3564"/>
      <c r="J102" s="3564"/>
      <c r="K102" s="3565"/>
      <c r="L102" s="3871"/>
      <c r="M102" s="3564"/>
      <c r="N102" s="3565"/>
      <c r="O102" s="3871"/>
      <c r="P102" s="3564"/>
      <c r="Q102" s="3565"/>
      <c r="R102" s="3563"/>
      <c r="S102" s="3564"/>
      <c r="T102" s="3564"/>
      <c r="U102" s="3565"/>
      <c r="V102" s="3563"/>
      <c r="W102" s="3564"/>
      <c r="X102" s="3564"/>
      <c r="Y102" s="3564"/>
      <c r="Z102" s="3565"/>
      <c r="AA102" s="3604"/>
      <c r="AB102" s="3564"/>
      <c r="AC102" s="3564"/>
      <c r="AD102" s="3564"/>
      <c r="AE102" s="3564"/>
      <c r="AF102" s="3564"/>
      <c r="AG102" s="3564"/>
      <c r="AH102" s="3564"/>
      <c r="AI102" s="3564"/>
      <c r="AJ102" s="3564"/>
      <c r="AK102" s="3564"/>
      <c r="AL102" s="3564"/>
      <c r="AM102" s="3564"/>
      <c r="AN102" s="3564"/>
      <c r="AO102" s="3564"/>
      <c r="AP102" s="3564"/>
      <c r="AQ102" s="3564"/>
      <c r="AR102" s="3564"/>
      <c r="AS102" s="3564"/>
      <c r="AT102" s="3567"/>
      <c r="AU102" s="162"/>
      <c r="AV102" s="162"/>
      <c r="AW102" s="162"/>
      <c r="AX102" s="162"/>
      <c r="AY102" s="162"/>
      <c r="AZ102" s="162"/>
      <c r="BA102" s="162"/>
      <c r="BB102" s="162"/>
      <c r="BC102" s="162"/>
      <c r="BD102" s="162"/>
      <c r="BE102" s="162"/>
      <c r="BF102" s="162"/>
      <c r="BG102" s="162"/>
      <c r="BH102" s="162"/>
      <c r="BI102" s="162"/>
      <c r="BJ102" s="162"/>
      <c r="BK102" s="162"/>
      <c r="BL102" s="162"/>
      <c r="BM102" s="162"/>
      <c r="BN102" s="162"/>
      <c r="BO102" s="162"/>
      <c r="BP102" s="162"/>
      <c r="BQ102" s="162"/>
      <c r="BR102" s="162"/>
      <c r="BS102" s="162"/>
      <c r="BT102" s="162"/>
      <c r="BU102" s="162"/>
      <c r="BV102" s="162"/>
      <c r="BW102" s="162"/>
      <c r="BX102" s="162"/>
      <c r="BY102" s="162"/>
    </row>
    <row r="103" spans="1:77">
      <c r="A103" s="162"/>
      <c r="B103" s="3601"/>
      <c r="C103" s="3865"/>
      <c r="D103" s="3564"/>
      <c r="E103" s="3564"/>
      <c r="F103" s="3564"/>
      <c r="G103" s="3564"/>
      <c r="H103" s="3564"/>
      <c r="I103" s="3564"/>
      <c r="J103" s="3564"/>
      <c r="K103" s="3565"/>
      <c r="L103" s="3871"/>
      <c r="M103" s="3564"/>
      <c r="N103" s="3565"/>
      <c r="O103" s="3871"/>
      <c r="P103" s="3564"/>
      <c r="Q103" s="3565"/>
      <c r="R103" s="3563"/>
      <c r="S103" s="3564"/>
      <c r="T103" s="3564"/>
      <c r="U103" s="3565"/>
      <c r="V103" s="3563"/>
      <c r="W103" s="3564"/>
      <c r="X103" s="3564"/>
      <c r="Y103" s="3564"/>
      <c r="Z103" s="3565"/>
      <c r="AA103" s="3604"/>
      <c r="AB103" s="3564"/>
      <c r="AC103" s="3564"/>
      <c r="AD103" s="3564"/>
      <c r="AE103" s="3564"/>
      <c r="AF103" s="3564"/>
      <c r="AG103" s="3564"/>
      <c r="AH103" s="3564"/>
      <c r="AI103" s="3564"/>
      <c r="AJ103" s="3564"/>
      <c r="AK103" s="3564"/>
      <c r="AL103" s="3564"/>
      <c r="AM103" s="3564"/>
      <c r="AN103" s="3564"/>
      <c r="AO103" s="3564"/>
      <c r="AP103" s="3564"/>
      <c r="AQ103" s="3564"/>
      <c r="AR103" s="3564"/>
      <c r="AS103" s="3564"/>
      <c r="AT103" s="3567"/>
      <c r="AU103" s="162"/>
      <c r="AV103" s="162"/>
      <c r="AW103" s="162"/>
      <c r="AX103" s="162"/>
      <c r="AY103" s="162"/>
      <c r="AZ103" s="162"/>
      <c r="BA103" s="162"/>
      <c r="BB103" s="162"/>
      <c r="BC103" s="162"/>
      <c r="BD103" s="162"/>
      <c r="BE103" s="162"/>
      <c r="BF103" s="162"/>
      <c r="BG103" s="162"/>
      <c r="BH103" s="162"/>
      <c r="BI103" s="162"/>
      <c r="BJ103" s="162"/>
      <c r="BK103" s="162"/>
      <c r="BL103" s="162"/>
      <c r="BM103" s="162"/>
      <c r="BN103" s="162"/>
      <c r="BO103" s="162"/>
      <c r="BP103" s="162"/>
      <c r="BQ103" s="162"/>
      <c r="BR103" s="162"/>
      <c r="BS103" s="162"/>
      <c r="BT103" s="162"/>
      <c r="BU103" s="162"/>
      <c r="BV103" s="162"/>
      <c r="BW103" s="162"/>
      <c r="BX103" s="162"/>
      <c r="BY103" s="162"/>
    </row>
    <row r="104" spans="1:77">
      <c r="A104" s="162"/>
      <c r="B104" s="3601"/>
      <c r="C104" s="3865"/>
      <c r="D104" s="3564"/>
      <c r="E104" s="3564"/>
      <c r="F104" s="3564"/>
      <c r="G104" s="3564"/>
      <c r="H104" s="3564"/>
      <c r="I104" s="3564"/>
      <c r="J104" s="3564"/>
      <c r="K104" s="3565"/>
      <c r="L104" s="3871"/>
      <c r="M104" s="3564"/>
      <c r="N104" s="3565"/>
      <c r="O104" s="3871"/>
      <c r="P104" s="3564"/>
      <c r="Q104" s="3565"/>
      <c r="R104" s="3563"/>
      <c r="S104" s="3564"/>
      <c r="T104" s="3564"/>
      <c r="U104" s="3565"/>
      <c r="V104" s="3563"/>
      <c r="W104" s="3564"/>
      <c r="X104" s="3564"/>
      <c r="Y104" s="3564"/>
      <c r="Z104" s="3565"/>
      <c r="AA104" s="3604"/>
      <c r="AB104" s="3564"/>
      <c r="AC104" s="3564"/>
      <c r="AD104" s="3564"/>
      <c r="AE104" s="3564"/>
      <c r="AF104" s="3564"/>
      <c r="AG104" s="3564"/>
      <c r="AH104" s="3564"/>
      <c r="AI104" s="3564"/>
      <c r="AJ104" s="3564"/>
      <c r="AK104" s="3564"/>
      <c r="AL104" s="3564"/>
      <c r="AM104" s="3564"/>
      <c r="AN104" s="3564"/>
      <c r="AO104" s="3564"/>
      <c r="AP104" s="3564"/>
      <c r="AQ104" s="3564"/>
      <c r="AR104" s="3564"/>
      <c r="AS104" s="3564"/>
      <c r="AT104" s="3567"/>
      <c r="AU104" s="162"/>
      <c r="AV104" s="162"/>
      <c r="AW104" s="162"/>
      <c r="AX104" s="162"/>
      <c r="AY104" s="162"/>
      <c r="AZ104" s="162"/>
      <c r="BA104" s="162"/>
      <c r="BB104" s="162"/>
      <c r="BC104" s="162"/>
      <c r="BD104" s="162"/>
      <c r="BE104" s="162"/>
      <c r="BF104" s="162"/>
      <c r="BG104" s="162"/>
      <c r="BH104" s="162"/>
      <c r="BI104" s="162"/>
      <c r="BJ104" s="162"/>
      <c r="BK104" s="162"/>
      <c r="BL104" s="162"/>
      <c r="BM104" s="162"/>
      <c r="BN104" s="162"/>
      <c r="BO104" s="162"/>
      <c r="BP104" s="162"/>
      <c r="BQ104" s="162"/>
      <c r="BR104" s="162"/>
      <c r="BS104" s="162"/>
      <c r="BT104" s="162"/>
      <c r="BU104" s="162"/>
      <c r="BV104" s="162"/>
      <c r="BW104" s="162"/>
      <c r="BX104" s="162"/>
      <c r="BY104" s="162"/>
    </row>
    <row r="105" spans="1:77">
      <c r="A105" s="162"/>
      <c r="B105" s="3601"/>
      <c r="C105" s="3865"/>
      <c r="D105" s="3564"/>
      <c r="E105" s="3564"/>
      <c r="F105" s="3564"/>
      <c r="G105" s="3564"/>
      <c r="H105" s="3564"/>
      <c r="I105" s="3564"/>
      <c r="J105" s="3564"/>
      <c r="K105" s="3565"/>
      <c r="L105" s="3871"/>
      <c r="M105" s="3564"/>
      <c r="N105" s="3565"/>
      <c r="O105" s="3871"/>
      <c r="P105" s="3564"/>
      <c r="Q105" s="3565"/>
      <c r="R105" s="3563"/>
      <c r="S105" s="3564"/>
      <c r="T105" s="3564"/>
      <c r="U105" s="3565"/>
      <c r="V105" s="3563"/>
      <c r="W105" s="3564"/>
      <c r="X105" s="3564"/>
      <c r="Y105" s="3564"/>
      <c r="Z105" s="3565"/>
      <c r="AA105" s="3604"/>
      <c r="AB105" s="3564"/>
      <c r="AC105" s="3564"/>
      <c r="AD105" s="3564"/>
      <c r="AE105" s="3564"/>
      <c r="AF105" s="3564"/>
      <c r="AG105" s="3564"/>
      <c r="AH105" s="3564"/>
      <c r="AI105" s="3564"/>
      <c r="AJ105" s="3564"/>
      <c r="AK105" s="3564"/>
      <c r="AL105" s="3564"/>
      <c r="AM105" s="3564"/>
      <c r="AN105" s="3564"/>
      <c r="AO105" s="3564"/>
      <c r="AP105" s="3564"/>
      <c r="AQ105" s="3564"/>
      <c r="AR105" s="3564"/>
      <c r="AS105" s="3564"/>
      <c r="AT105" s="3567"/>
      <c r="AU105" s="162"/>
      <c r="AV105" s="162"/>
      <c r="AW105" s="162"/>
      <c r="AX105" s="162"/>
      <c r="AY105" s="162"/>
      <c r="AZ105" s="162"/>
      <c r="BA105" s="162"/>
      <c r="BB105" s="162"/>
      <c r="BC105" s="162"/>
      <c r="BD105" s="162"/>
      <c r="BE105" s="162"/>
      <c r="BF105" s="162"/>
      <c r="BG105" s="162"/>
      <c r="BH105" s="162"/>
      <c r="BI105" s="162"/>
      <c r="BJ105" s="162"/>
      <c r="BK105" s="162"/>
      <c r="BL105" s="162"/>
      <c r="BM105" s="162"/>
      <c r="BN105" s="162"/>
      <c r="BO105" s="162"/>
      <c r="BP105" s="162"/>
      <c r="BQ105" s="162"/>
      <c r="BR105" s="162"/>
      <c r="BS105" s="162"/>
      <c r="BT105" s="162"/>
      <c r="BU105" s="162"/>
      <c r="BV105" s="162"/>
      <c r="BW105" s="162"/>
      <c r="BX105" s="162"/>
      <c r="BY105" s="162"/>
    </row>
    <row r="106" spans="1:77">
      <c r="A106" s="162"/>
      <c r="B106" s="3601"/>
      <c r="C106" s="3865"/>
      <c r="D106" s="3564"/>
      <c r="E106" s="3564"/>
      <c r="F106" s="3564"/>
      <c r="G106" s="3564"/>
      <c r="H106" s="3564"/>
      <c r="I106" s="3564"/>
      <c r="J106" s="3564"/>
      <c r="K106" s="3565"/>
      <c r="L106" s="3871"/>
      <c r="M106" s="3564"/>
      <c r="N106" s="3565"/>
      <c r="O106" s="3871"/>
      <c r="P106" s="3564"/>
      <c r="Q106" s="3565"/>
      <c r="R106" s="3563"/>
      <c r="S106" s="3564"/>
      <c r="T106" s="3564"/>
      <c r="U106" s="3565"/>
      <c r="V106" s="3563"/>
      <c r="W106" s="3564"/>
      <c r="X106" s="3564"/>
      <c r="Y106" s="3564"/>
      <c r="Z106" s="3565"/>
      <c r="AA106" s="3604"/>
      <c r="AB106" s="3564"/>
      <c r="AC106" s="3564"/>
      <c r="AD106" s="3564"/>
      <c r="AE106" s="3564"/>
      <c r="AF106" s="3564"/>
      <c r="AG106" s="3564"/>
      <c r="AH106" s="3564"/>
      <c r="AI106" s="3564"/>
      <c r="AJ106" s="3564"/>
      <c r="AK106" s="3564"/>
      <c r="AL106" s="3564"/>
      <c r="AM106" s="3564"/>
      <c r="AN106" s="3564"/>
      <c r="AO106" s="3564"/>
      <c r="AP106" s="3564"/>
      <c r="AQ106" s="3564"/>
      <c r="AR106" s="3564"/>
      <c r="AS106" s="3564"/>
      <c r="AT106" s="3567"/>
      <c r="AU106" s="162"/>
      <c r="AV106" s="162"/>
      <c r="AW106" s="162"/>
      <c r="AX106" s="162"/>
      <c r="AY106" s="162"/>
      <c r="AZ106" s="162"/>
      <c r="BA106" s="162"/>
      <c r="BB106" s="162"/>
      <c r="BC106" s="162"/>
      <c r="BD106" s="162"/>
      <c r="BE106" s="162"/>
      <c r="BF106" s="162"/>
      <c r="BG106" s="162"/>
      <c r="BH106" s="162"/>
      <c r="BI106" s="162"/>
      <c r="BJ106" s="162"/>
      <c r="BK106" s="162"/>
      <c r="BL106" s="162"/>
      <c r="BM106" s="162"/>
      <c r="BN106" s="162"/>
      <c r="BO106" s="162"/>
      <c r="BP106" s="162"/>
      <c r="BQ106" s="162"/>
      <c r="BR106" s="162"/>
      <c r="BS106" s="162"/>
      <c r="BT106" s="162"/>
      <c r="BU106" s="162"/>
      <c r="BV106" s="162"/>
      <c r="BW106" s="162"/>
      <c r="BX106" s="162"/>
      <c r="BY106" s="162"/>
    </row>
    <row r="107" spans="1:77">
      <c r="A107" s="162"/>
      <c r="B107" s="3601"/>
      <c r="C107" s="3865"/>
      <c r="D107" s="3564"/>
      <c r="E107" s="3564"/>
      <c r="F107" s="3564"/>
      <c r="G107" s="3564"/>
      <c r="H107" s="3564"/>
      <c r="I107" s="3564"/>
      <c r="J107" s="3564"/>
      <c r="K107" s="3565"/>
      <c r="L107" s="3871"/>
      <c r="M107" s="3564"/>
      <c r="N107" s="3565"/>
      <c r="O107" s="3871"/>
      <c r="P107" s="3564"/>
      <c r="Q107" s="3565"/>
      <c r="R107" s="3563"/>
      <c r="S107" s="3564"/>
      <c r="T107" s="3564"/>
      <c r="U107" s="3565"/>
      <c r="V107" s="3563"/>
      <c r="W107" s="3564"/>
      <c r="X107" s="3564"/>
      <c r="Y107" s="3564"/>
      <c r="Z107" s="3565"/>
      <c r="AA107" s="3604"/>
      <c r="AB107" s="3564"/>
      <c r="AC107" s="3564"/>
      <c r="AD107" s="3564"/>
      <c r="AE107" s="3564"/>
      <c r="AF107" s="3564"/>
      <c r="AG107" s="3564"/>
      <c r="AH107" s="3564"/>
      <c r="AI107" s="3564"/>
      <c r="AJ107" s="3564"/>
      <c r="AK107" s="3564"/>
      <c r="AL107" s="3564"/>
      <c r="AM107" s="3564"/>
      <c r="AN107" s="3564"/>
      <c r="AO107" s="3564"/>
      <c r="AP107" s="3564"/>
      <c r="AQ107" s="3564"/>
      <c r="AR107" s="3564"/>
      <c r="AS107" s="3564"/>
      <c r="AT107" s="3567"/>
      <c r="AU107" s="162"/>
      <c r="AV107" s="162"/>
      <c r="AW107" s="162"/>
      <c r="AX107" s="162"/>
      <c r="AY107" s="162"/>
      <c r="AZ107" s="162"/>
      <c r="BA107" s="162"/>
      <c r="BB107" s="162"/>
      <c r="BC107" s="162"/>
      <c r="BD107" s="162"/>
      <c r="BE107" s="162"/>
      <c r="BF107" s="162"/>
      <c r="BG107" s="162"/>
      <c r="BH107" s="162"/>
      <c r="BI107" s="162"/>
      <c r="BJ107" s="162"/>
      <c r="BK107" s="162"/>
      <c r="BL107" s="162"/>
      <c r="BM107" s="162"/>
      <c r="BN107" s="162"/>
      <c r="BO107" s="162"/>
      <c r="BP107" s="162"/>
      <c r="BQ107" s="162"/>
      <c r="BR107" s="162"/>
      <c r="BS107" s="162"/>
      <c r="BT107" s="162"/>
      <c r="BU107" s="162"/>
      <c r="BV107" s="162"/>
      <c r="BW107" s="162"/>
      <c r="BX107" s="162"/>
      <c r="BY107" s="162"/>
    </row>
    <row r="108" spans="1:77">
      <c r="A108" s="162"/>
      <c r="B108" s="3601"/>
      <c r="C108" s="3865"/>
      <c r="D108" s="3564"/>
      <c r="E108" s="3564"/>
      <c r="F108" s="3564"/>
      <c r="G108" s="3564"/>
      <c r="H108" s="3564"/>
      <c r="I108" s="3564"/>
      <c r="J108" s="3564"/>
      <c r="K108" s="3565"/>
      <c r="L108" s="3871"/>
      <c r="M108" s="3564"/>
      <c r="N108" s="3565"/>
      <c r="O108" s="3871"/>
      <c r="P108" s="3564"/>
      <c r="Q108" s="3565"/>
      <c r="R108" s="3563"/>
      <c r="S108" s="3564"/>
      <c r="T108" s="3564"/>
      <c r="U108" s="3565"/>
      <c r="V108" s="3563"/>
      <c r="W108" s="3564"/>
      <c r="X108" s="3564"/>
      <c r="Y108" s="3564"/>
      <c r="Z108" s="3565"/>
      <c r="AA108" s="3604"/>
      <c r="AB108" s="3564"/>
      <c r="AC108" s="3564"/>
      <c r="AD108" s="3564"/>
      <c r="AE108" s="3564"/>
      <c r="AF108" s="3564"/>
      <c r="AG108" s="3564"/>
      <c r="AH108" s="3564"/>
      <c r="AI108" s="3564"/>
      <c r="AJ108" s="3564"/>
      <c r="AK108" s="3564"/>
      <c r="AL108" s="3564"/>
      <c r="AM108" s="3564"/>
      <c r="AN108" s="3564"/>
      <c r="AO108" s="3564"/>
      <c r="AP108" s="3564"/>
      <c r="AQ108" s="3564"/>
      <c r="AR108" s="3564"/>
      <c r="AS108" s="3564"/>
      <c r="AT108" s="3567"/>
      <c r="AU108" s="162"/>
      <c r="AV108" s="162"/>
      <c r="AW108" s="162"/>
      <c r="AX108" s="162"/>
      <c r="AY108" s="162"/>
      <c r="AZ108" s="162"/>
      <c r="BA108" s="162"/>
      <c r="BB108" s="162"/>
      <c r="BC108" s="162"/>
      <c r="BD108" s="162"/>
      <c r="BE108" s="162"/>
      <c r="BF108" s="162"/>
      <c r="BG108" s="162"/>
      <c r="BH108" s="162"/>
      <c r="BI108" s="162"/>
      <c r="BJ108" s="162"/>
      <c r="BK108" s="162"/>
      <c r="BL108" s="162"/>
      <c r="BM108" s="162"/>
      <c r="BN108" s="162"/>
      <c r="BO108" s="162"/>
      <c r="BP108" s="162"/>
      <c r="BQ108" s="162"/>
      <c r="BR108" s="162"/>
      <c r="BS108" s="162"/>
      <c r="BT108" s="162"/>
      <c r="BU108" s="162"/>
      <c r="BV108" s="162"/>
      <c r="BW108" s="162"/>
      <c r="BX108" s="162"/>
      <c r="BY108" s="162"/>
    </row>
    <row r="109" spans="1:77">
      <c r="A109" s="162"/>
      <c r="B109" s="3601"/>
      <c r="C109" s="3865"/>
      <c r="D109" s="3564"/>
      <c r="E109" s="3564"/>
      <c r="F109" s="3564"/>
      <c r="G109" s="3564"/>
      <c r="H109" s="3564"/>
      <c r="I109" s="3564"/>
      <c r="J109" s="3564"/>
      <c r="K109" s="3565"/>
      <c r="L109" s="3871"/>
      <c r="M109" s="3564"/>
      <c r="N109" s="3565"/>
      <c r="O109" s="3871"/>
      <c r="P109" s="3564"/>
      <c r="Q109" s="3565"/>
      <c r="R109" s="3563"/>
      <c r="S109" s="3564"/>
      <c r="T109" s="3564"/>
      <c r="U109" s="3565"/>
      <c r="V109" s="3563"/>
      <c r="W109" s="3564"/>
      <c r="X109" s="3564"/>
      <c r="Y109" s="3564"/>
      <c r="Z109" s="3565"/>
      <c r="AA109" s="3604"/>
      <c r="AB109" s="3564"/>
      <c r="AC109" s="3564"/>
      <c r="AD109" s="3564"/>
      <c r="AE109" s="3564"/>
      <c r="AF109" s="3564"/>
      <c r="AG109" s="3564"/>
      <c r="AH109" s="3564"/>
      <c r="AI109" s="3564"/>
      <c r="AJ109" s="3564"/>
      <c r="AK109" s="3564"/>
      <c r="AL109" s="3564"/>
      <c r="AM109" s="3564"/>
      <c r="AN109" s="3564"/>
      <c r="AO109" s="3564"/>
      <c r="AP109" s="3564"/>
      <c r="AQ109" s="3564"/>
      <c r="AR109" s="3564"/>
      <c r="AS109" s="3564"/>
      <c r="AT109" s="3567"/>
      <c r="AU109" s="162"/>
      <c r="AV109" s="162"/>
      <c r="AW109" s="162"/>
      <c r="AX109" s="162"/>
      <c r="AY109" s="162"/>
      <c r="AZ109" s="162"/>
      <c r="BA109" s="162"/>
      <c r="BB109" s="162"/>
      <c r="BC109" s="162"/>
      <c r="BD109" s="162"/>
      <c r="BE109" s="162"/>
      <c r="BF109" s="162"/>
      <c r="BG109" s="162"/>
      <c r="BH109" s="162"/>
      <c r="BI109" s="162"/>
      <c r="BJ109" s="162"/>
      <c r="BK109" s="162"/>
      <c r="BL109" s="162"/>
      <c r="BM109" s="162"/>
      <c r="BN109" s="162"/>
      <c r="BO109" s="162"/>
      <c r="BP109" s="162"/>
      <c r="BQ109" s="162"/>
      <c r="BR109" s="162"/>
      <c r="BS109" s="162"/>
      <c r="BT109" s="162"/>
      <c r="BU109" s="162"/>
      <c r="BV109" s="162"/>
      <c r="BW109" s="162"/>
      <c r="BX109" s="162"/>
      <c r="BY109" s="162"/>
    </row>
    <row r="110" spans="1:77">
      <c r="A110" s="162"/>
      <c r="B110" s="3601"/>
      <c r="C110" s="3865"/>
      <c r="D110" s="3564"/>
      <c r="E110" s="3564"/>
      <c r="F110" s="3564"/>
      <c r="G110" s="3564"/>
      <c r="H110" s="3564"/>
      <c r="I110" s="3564"/>
      <c r="J110" s="3564"/>
      <c r="K110" s="3565"/>
      <c r="L110" s="3871"/>
      <c r="M110" s="3564"/>
      <c r="N110" s="3565"/>
      <c r="O110" s="3871"/>
      <c r="P110" s="3564"/>
      <c r="Q110" s="3565"/>
      <c r="R110" s="3563"/>
      <c r="S110" s="3564"/>
      <c r="T110" s="3564"/>
      <c r="U110" s="3565"/>
      <c r="V110" s="3563"/>
      <c r="W110" s="3564"/>
      <c r="X110" s="3564"/>
      <c r="Y110" s="3564"/>
      <c r="Z110" s="3565"/>
      <c r="AA110" s="3604"/>
      <c r="AB110" s="3564"/>
      <c r="AC110" s="3564"/>
      <c r="AD110" s="3564"/>
      <c r="AE110" s="3564"/>
      <c r="AF110" s="3564"/>
      <c r="AG110" s="3564"/>
      <c r="AH110" s="3564"/>
      <c r="AI110" s="3564"/>
      <c r="AJ110" s="3564"/>
      <c r="AK110" s="3564"/>
      <c r="AL110" s="3564"/>
      <c r="AM110" s="3564"/>
      <c r="AN110" s="3564"/>
      <c r="AO110" s="3564"/>
      <c r="AP110" s="3564"/>
      <c r="AQ110" s="3564"/>
      <c r="AR110" s="3564"/>
      <c r="AS110" s="3564"/>
      <c r="AT110" s="3567"/>
      <c r="AU110" s="162"/>
      <c r="AV110" s="162"/>
      <c r="AW110" s="162"/>
      <c r="AX110" s="162"/>
      <c r="AY110" s="162"/>
      <c r="AZ110" s="162"/>
      <c r="BA110" s="162"/>
      <c r="BB110" s="162"/>
      <c r="BC110" s="162"/>
      <c r="BD110" s="162"/>
      <c r="BE110" s="162"/>
      <c r="BF110" s="162"/>
      <c r="BG110" s="162"/>
      <c r="BH110" s="162"/>
      <c r="BI110" s="162"/>
      <c r="BJ110" s="162"/>
      <c r="BK110" s="162"/>
      <c r="BL110" s="162"/>
      <c r="BM110" s="162"/>
      <c r="BN110" s="162"/>
      <c r="BO110" s="162"/>
      <c r="BP110" s="162"/>
      <c r="BQ110" s="162"/>
      <c r="BR110" s="162"/>
      <c r="BS110" s="162"/>
      <c r="BT110" s="162"/>
      <c r="BU110" s="162"/>
      <c r="BV110" s="162"/>
      <c r="BW110" s="162"/>
      <c r="BX110" s="162"/>
      <c r="BY110" s="162"/>
    </row>
    <row r="111" spans="1:77">
      <c r="A111" s="162"/>
      <c r="B111" s="3601"/>
      <c r="C111" s="3865"/>
      <c r="D111" s="3564"/>
      <c r="E111" s="3564"/>
      <c r="F111" s="3564"/>
      <c r="G111" s="3564"/>
      <c r="H111" s="3564"/>
      <c r="I111" s="3564"/>
      <c r="J111" s="3564"/>
      <c r="K111" s="3565"/>
      <c r="L111" s="3871"/>
      <c r="M111" s="3564"/>
      <c r="N111" s="3565"/>
      <c r="O111" s="3871"/>
      <c r="P111" s="3564"/>
      <c r="Q111" s="3565"/>
      <c r="R111" s="3563"/>
      <c r="S111" s="3564"/>
      <c r="T111" s="3564"/>
      <c r="U111" s="3565"/>
      <c r="V111" s="3563"/>
      <c r="W111" s="3564"/>
      <c r="X111" s="3564"/>
      <c r="Y111" s="3564"/>
      <c r="Z111" s="3565"/>
      <c r="AA111" s="3604"/>
      <c r="AB111" s="3564"/>
      <c r="AC111" s="3564"/>
      <c r="AD111" s="3564"/>
      <c r="AE111" s="3564"/>
      <c r="AF111" s="3564"/>
      <c r="AG111" s="3564"/>
      <c r="AH111" s="3564"/>
      <c r="AI111" s="3564"/>
      <c r="AJ111" s="3564"/>
      <c r="AK111" s="3564"/>
      <c r="AL111" s="3564"/>
      <c r="AM111" s="3564"/>
      <c r="AN111" s="3564"/>
      <c r="AO111" s="3564"/>
      <c r="AP111" s="3564"/>
      <c r="AQ111" s="3564"/>
      <c r="AR111" s="3564"/>
      <c r="AS111" s="3564"/>
      <c r="AT111" s="3567"/>
      <c r="AU111" s="162"/>
      <c r="AV111" s="162"/>
      <c r="AW111" s="162"/>
      <c r="AX111" s="162"/>
      <c r="AY111" s="162"/>
      <c r="AZ111" s="162"/>
      <c r="BA111" s="162"/>
      <c r="BB111" s="162"/>
      <c r="BC111" s="162"/>
      <c r="BD111" s="162"/>
      <c r="BE111" s="162"/>
      <c r="BF111" s="162"/>
      <c r="BG111" s="162"/>
      <c r="BH111" s="162"/>
      <c r="BI111" s="162"/>
      <c r="BJ111" s="162"/>
      <c r="BK111" s="162"/>
      <c r="BL111" s="162"/>
      <c r="BM111" s="162"/>
      <c r="BN111" s="162"/>
      <c r="BO111" s="162"/>
      <c r="BP111" s="162"/>
      <c r="BQ111" s="162"/>
      <c r="BR111" s="162"/>
      <c r="BS111" s="162"/>
      <c r="BT111" s="162"/>
      <c r="BU111" s="162"/>
      <c r="BV111" s="162"/>
      <c r="BW111" s="162"/>
      <c r="BX111" s="162"/>
      <c r="BY111" s="162"/>
    </row>
    <row r="112" spans="1:77">
      <c r="A112" s="162"/>
      <c r="B112" s="3601"/>
      <c r="C112" s="3865"/>
      <c r="D112" s="3564"/>
      <c r="E112" s="3564"/>
      <c r="F112" s="3564"/>
      <c r="G112" s="3564"/>
      <c r="H112" s="3564"/>
      <c r="I112" s="3564"/>
      <c r="J112" s="3564"/>
      <c r="K112" s="3565"/>
      <c r="L112" s="3871"/>
      <c r="M112" s="3564"/>
      <c r="N112" s="3565"/>
      <c r="O112" s="3871"/>
      <c r="P112" s="3564"/>
      <c r="Q112" s="3565"/>
      <c r="R112" s="3563"/>
      <c r="S112" s="3564"/>
      <c r="T112" s="3564"/>
      <c r="U112" s="3565"/>
      <c r="V112" s="3563"/>
      <c r="W112" s="3564"/>
      <c r="X112" s="3564"/>
      <c r="Y112" s="3564"/>
      <c r="Z112" s="3565"/>
      <c r="AA112" s="3604"/>
      <c r="AB112" s="3564"/>
      <c r="AC112" s="3564"/>
      <c r="AD112" s="3564"/>
      <c r="AE112" s="3564"/>
      <c r="AF112" s="3564"/>
      <c r="AG112" s="3564"/>
      <c r="AH112" s="3564"/>
      <c r="AI112" s="3564"/>
      <c r="AJ112" s="3564"/>
      <c r="AK112" s="3564"/>
      <c r="AL112" s="3564"/>
      <c r="AM112" s="3564"/>
      <c r="AN112" s="3564"/>
      <c r="AO112" s="3564"/>
      <c r="AP112" s="3564"/>
      <c r="AQ112" s="3564"/>
      <c r="AR112" s="3564"/>
      <c r="AS112" s="3564"/>
      <c r="AT112" s="3567"/>
      <c r="AU112" s="162"/>
      <c r="AV112" s="162"/>
      <c r="AW112" s="162"/>
      <c r="AX112" s="162"/>
      <c r="AY112" s="162"/>
      <c r="AZ112" s="162"/>
      <c r="BA112" s="162"/>
      <c r="BB112" s="162"/>
      <c r="BC112" s="162"/>
      <c r="BD112" s="162"/>
      <c r="BE112" s="162"/>
      <c r="BF112" s="162"/>
      <c r="BG112" s="162"/>
      <c r="BH112" s="162"/>
      <c r="BI112" s="162"/>
      <c r="BJ112" s="162"/>
      <c r="BK112" s="162"/>
      <c r="BL112" s="162"/>
      <c r="BM112" s="162"/>
      <c r="BN112" s="162"/>
      <c r="BO112" s="162"/>
      <c r="BP112" s="162"/>
      <c r="BQ112" s="162"/>
      <c r="BR112" s="162"/>
      <c r="BS112" s="162"/>
      <c r="BT112" s="162"/>
      <c r="BU112" s="162"/>
      <c r="BV112" s="162"/>
      <c r="BW112" s="162"/>
      <c r="BX112" s="162"/>
      <c r="BY112" s="162"/>
    </row>
    <row r="113" spans="1:77">
      <c r="A113" s="162"/>
      <c r="B113" s="3601"/>
      <c r="C113" s="3865"/>
      <c r="D113" s="3564"/>
      <c r="E113" s="3564"/>
      <c r="F113" s="3564"/>
      <c r="G113" s="3564"/>
      <c r="H113" s="3564"/>
      <c r="I113" s="3564"/>
      <c r="J113" s="3564"/>
      <c r="K113" s="3565"/>
      <c r="L113" s="3871"/>
      <c r="M113" s="3564"/>
      <c r="N113" s="3565"/>
      <c r="O113" s="3871"/>
      <c r="P113" s="3564"/>
      <c r="Q113" s="3565"/>
      <c r="R113" s="3563"/>
      <c r="S113" s="3564"/>
      <c r="T113" s="3564"/>
      <c r="U113" s="3565"/>
      <c r="V113" s="3563"/>
      <c r="W113" s="3564"/>
      <c r="X113" s="3564"/>
      <c r="Y113" s="3564"/>
      <c r="Z113" s="3565"/>
      <c r="AA113" s="3604"/>
      <c r="AB113" s="3564"/>
      <c r="AC113" s="3564"/>
      <c r="AD113" s="3564"/>
      <c r="AE113" s="3564"/>
      <c r="AF113" s="3564"/>
      <c r="AG113" s="3564"/>
      <c r="AH113" s="3564"/>
      <c r="AI113" s="3564"/>
      <c r="AJ113" s="3564"/>
      <c r="AK113" s="3564"/>
      <c r="AL113" s="3564"/>
      <c r="AM113" s="3564"/>
      <c r="AN113" s="3564"/>
      <c r="AO113" s="3564"/>
      <c r="AP113" s="3564"/>
      <c r="AQ113" s="3564"/>
      <c r="AR113" s="3564"/>
      <c r="AS113" s="3564"/>
      <c r="AT113" s="3567"/>
      <c r="AU113" s="162"/>
      <c r="AV113" s="162"/>
      <c r="AW113" s="162"/>
      <c r="AX113" s="162"/>
      <c r="AY113" s="162"/>
      <c r="AZ113" s="162"/>
      <c r="BA113" s="162"/>
      <c r="BB113" s="162"/>
      <c r="BC113" s="162"/>
      <c r="BD113" s="162"/>
      <c r="BE113" s="162"/>
      <c r="BF113" s="162"/>
      <c r="BG113" s="162"/>
      <c r="BH113" s="162"/>
      <c r="BI113" s="162"/>
      <c r="BJ113" s="162"/>
      <c r="BK113" s="162"/>
      <c r="BL113" s="162"/>
      <c r="BM113" s="162"/>
      <c r="BN113" s="162"/>
      <c r="BO113" s="162"/>
      <c r="BP113" s="162"/>
      <c r="BQ113" s="162"/>
      <c r="BR113" s="162"/>
      <c r="BS113" s="162"/>
      <c r="BT113" s="162"/>
      <c r="BU113" s="162"/>
      <c r="BV113" s="162"/>
      <c r="BW113" s="162"/>
      <c r="BX113" s="162"/>
      <c r="BY113" s="162"/>
    </row>
    <row r="114" spans="1:77">
      <c r="A114" s="162"/>
      <c r="B114" s="3601"/>
      <c r="C114" s="3865"/>
      <c r="D114" s="3564"/>
      <c r="E114" s="3564"/>
      <c r="F114" s="3564"/>
      <c r="G114" s="3564"/>
      <c r="H114" s="3564"/>
      <c r="I114" s="3564"/>
      <c r="J114" s="3564"/>
      <c r="K114" s="3565"/>
      <c r="L114" s="3871"/>
      <c r="M114" s="3564"/>
      <c r="N114" s="3565"/>
      <c r="O114" s="3871"/>
      <c r="P114" s="3564"/>
      <c r="Q114" s="3565"/>
      <c r="R114" s="3563"/>
      <c r="S114" s="3564"/>
      <c r="T114" s="3564"/>
      <c r="U114" s="3565"/>
      <c r="V114" s="3563"/>
      <c r="W114" s="3564"/>
      <c r="X114" s="3564"/>
      <c r="Y114" s="3564"/>
      <c r="Z114" s="3565"/>
      <c r="AA114" s="3604"/>
      <c r="AB114" s="3564"/>
      <c r="AC114" s="3564"/>
      <c r="AD114" s="3564"/>
      <c r="AE114" s="3564"/>
      <c r="AF114" s="3564"/>
      <c r="AG114" s="3564"/>
      <c r="AH114" s="3564"/>
      <c r="AI114" s="3564"/>
      <c r="AJ114" s="3564"/>
      <c r="AK114" s="3564"/>
      <c r="AL114" s="3564"/>
      <c r="AM114" s="3564"/>
      <c r="AN114" s="3564"/>
      <c r="AO114" s="3564"/>
      <c r="AP114" s="3564"/>
      <c r="AQ114" s="3564"/>
      <c r="AR114" s="3564"/>
      <c r="AS114" s="3564"/>
      <c r="AT114" s="3567"/>
      <c r="AU114" s="162"/>
      <c r="AV114" s="162"/>
      <c r="AW114" s="162"/>
      <c r="AX114" s="162"/>
      <c r="AY114" s="162"/>
      <c r="AZ114" s="162"/>
      <c r="BA114" s="162"/>
      <c r="BB114" s="162"/>
      <c r="BC114" s="162"/>
      <c r="BD114" s="162"/>
      <c r="BE114" s="162"/>
      <c r="BF114" s="162"/>
      <c r="BG114" s="162"/>
      <c r="BH114" s="162"/>
      <c r="BI114" s="162"/>
      <c r="BJ114" s="162"/>
      <c r="BK114" s="162"/>
      <c r="BL114" s="162"/>
      <c r="BM114" s="162"/>
      <c r="BN114" s="162"/>
      <c r="BO114" s="162"/>
      <c r="BP114" s="162"/>
      <c r="BQ114" s="162"/>
      <c r="BR114" s="162"/>
      <c r="BS114" s="162"/>
      <c r="BT114" s="162"/>
      <c r="BU114" s="162"/>
      <c r="BV114" s="162"/>
      <c r="BW114" s="162"/>
      <c r="BX114" s="162"/>
      <c r="BY114" s="162"/>
    </row>
    <row r="115" spans="1:77">
      <c r="A115" s="162"/>
      <c r="B115" s="3601"/>
      <c r="C115" s="3865"/>
      <c r="D115" s="3564"/>
      <c r="E115" s="3564"/>
      <c r="F115" s="3564"/>
      <c r="G115" s="3564"/>
      <c r="H115" s="3564"/>
      <c r="I115" s="3564"/>
      <c r="J115" s="3564"/>
      <c r="K115" s="3565"/>
      <c r="L115" s="3871"/>
      <c r="M115" s="3564"/>
      <c r="N115" s="3565"/>
      <c r="O115" s="3871"/>
      <c r="P115" s="3564"/>
      <c r="Q115" s="3565"/>
      <c r="R115" s="3563"/>
      <c r="S115" s="3564"/>
      <c r="T115" s="3564"/>
      <c r="U115" s="3565"/>
      <c r="V115" s="3563"/>
      <c r="W115" s="3564"/>
      <c r="X115" s="3564"/>
      <c r="Y115" s="3564"/>
      <c r="Z115" s="3565"/>
      <c r="AA115" s="3604"/>
      <c r="AB115" s="3564"/>
      <c r="AC115" s="3564"/>
      <c r="AD115" s="3564"/>
      <c r="AE115" s="3564"/>
      <c r="AF115" s="3564"/>
      <c r="AG115" s="3564"/>
      <c r="AH115" s="3564"/>
      <c r="AI115" s="3564"/>
      <c r="AJ115" s="3564"/>
      <c r="AK115" s="3564"/>
      <c r="AL115" s="3564"/>
      <c r="AM115" s="3564"/>
      <c r="AN115" s="3564"/>
      <c r="AO115" s="3564"/>
      <c r="AP115" s="3564"/>
      <c r="AQ115" s="3564"/>
      <c r="AR115" s="3564"/>
      <c r="AS115" s="3564"/>
      <c r="AT115" s="3567"/>
      <c r="AU115" s="162"/>
      <c r="AV115" s="162"/>
      <c r="AW115" s="162"/>
      <c r="AX115" s="162"/>
      <c r="AY115" s="162"/>
      <c r="AZ115" s="162"/>
      <c r="BA115" s="162"/>
      <c r="BB115" s="162"/>
      <c r="BC115" s="162"/>
      <c r="BD115" s="162"/>
      <c r="BE115" s="162"/>
      <c r="BF115" s="162"/>
      <c r="BG115" s="162"/>
      <c r="BH115" s="162"/>
      <c r="BI115" s="162"/>
      <c r="BJ115" s="162"/>
      <c r="BK115" s="162"/>
      <c r="BL115" s="162"/>
      <c r="BM115" s="162"/>
      <c r="BN115" s="162"/>
      <c r="BO115" s="162"/>
      <c r="BP115" s="162"/>
      <c r="BQ115" s="162"/>
      <c r="BR115" s="162"/>
      <c r="BS115" s="162"/>
      <c r="BT115" s="162"/>
      <c r="BU115" s="162"/>
      <c r="BV115" s="162"/>
      <c r="BW115" s="162"/>
      <c r="BX115" s="162"/>
      <c r="BY115" s="162"/>
    </row>
    <row r="116" spans="1:77">
      <c r="A116" s="162"/>
      <c r="B116" s="3601"/>
      <c r="C116" s="3865"/>
      <c r="D116" s="3564"/>
      <c r="E116" s="3564"/>
      <c r="F116" s="3564"/>
      <c r="G116" s="3564"/>
      <c r="H116" s="3564"/>
      <c r="I116" s="3564"/>
      <c r="J116" s="3564"/>
      <c r="K116" s="3565"/>
      <c r="L116" s="3871"/>
      <c r="M116" s="3564"/>
      <c r="N116" s="3565"/>
      <c r="O116" s="3871"/>
      <c r="P116" s="3564"/>
      <c r="Q116" s="3565"/>
      <c r="R116" s="3563"/>
      <c r="S116" s="3564"/>
      <c r="T116" s="3564"/>
      <c r="U116" s="3565"/>
      <c r="V116" s="3563"/>
      <c r="W116" s="3564"/>
      <c r="X116" s="3564"/>
      <c r="Y116" s="3564"/>
      <c r="Z116" s="3565"/>
      <c r="AA116" s="3604"/>
      <c r="AB116" s="3564"/>
      <c r="AC116" s="3564"/>
      <c r="AD116" s="3564"/>
      <c r="AE116" s="3564"/>
      <c r="AF116" s="3564"/>
      <c r="AG116" s="3564"/>
      <c r="AH116" s="3564"/>
      <c r="AI116" s="3564"/>
      <c r="AJ116" s="3564"/>
      <c r="AK116" s="3564"/>
      <c r="AL116" s="3564"/>
      <c r="AM116" s="3564"/>
      <c r="AN116" s="3564"/>
      <c r="AO116" s="3564"/>
      <c r="AP116" s="3564"/>
      <c r="AQ116" s="3564"/>
      <c r="AR116" s="3564"/>
      <c r="AS116" s="3564"/>
      <c r="AT116" s="3567"/>
      <c r="AU116" s="162"/>
      <c r="AV116" s="162"/>
      <c r="AW116" s="162"/>
      <c r="AX116" s="162"/>
      <c r="AY116" s="162"/>
      <c r="AZ116" s="162"/>
      <c r="BA116" s="162"/>
      <c r="BB116" s="162"/>
      <c r="BC116" s="162"/>
      <c r="BD116" s="162"/>
      <c r="BE116" s="162"/>
      <c r="BF116" s="162"/>
      <c r="BG116" s="162"/>
      <c r="BH116" s="162"/>
      <c r="BI116" s="162"/>
      <c r="BJ116" s="162"/>
      <c r="BK116" s="162"/>
      <c r="BL116" s="162"/>
      <c r="BM116" s="162"/>
      <c r="BN116" s="162"/>
      <c r="BO116" s="162"/>
      <c r="BP116" s="162"/>
      <c r="BQ116" s="162"/>
      <c r="BR116" s="162"/>
      <c r="BS116" s="162"/>
      <c r="BT116" s="162"/>
      <c r="BU116" s="162"/>
      <c r="BV116" s="162"/>
      <c r="BW116" s="162"/>
      <c r="BX116" s="162"/>
      <c r="BY116" s="162"/>
    </row>
    <row r="117" spans="1:77">
      <c r="A117" s="162"/>
      <c r="B117" s="3601"/>
      <c r="C117" s="3865"/>
      <c r="D117" s="3564"/>
      <c r="E117" s="3564"/>
      <c r="F117" s="3564"/>
      <c r="G117" s="3564"/>
      <c r="H117" s="3564"/>
      <c r="I117" s="3564"/>
      <c r="J117" s="3564"/>
      <c r="K117" s="3565"/>
      <c r="L117" s="3871"/>
      <c r="M117" s="3564"/>
      <c r="N117" s="3565"/>
      <c r="O117" s="3871"/>
      <c r="P117" s="3564"/>
      <c r="Q117" s="3565"/>
      <c r="R117" s="3563"/>
      <c r="S117" s="3564"/>
      <c r="T117" s="3564"/>
      <c r="U117" s="3565"/>
      <c r="V117" s="3563"/>
      <c r="W117" s="3564"/>
      <c r="X117" s="3564"/>
      <c r="Y117" s="3564"/>
      <c r="Z117" s="3565"/>
      <c r="AA117" s="3604"/>
      <c r="AB117" s="3564"/>
      <c r="AC117" s="3564"/>
      <c r="AD117" s="3564"/>
      <c r="AE117" s="3564"/>
      <c r="AF117" s="3564"/>
      <c r="AG117" s="3564"/>
      <c r="AH117" s="3564"/>
      <c r="AI117" s="3564"/>
      <c r="AJ117" s="3564"/>
      <c r="AK117" s="3564"/>
      <c r="AL117" s="3564"/>
      <c r="AM117" s="3564"/>
      <c r="AN117" s="3564"/>
      <c r="AO117" s="3564"/>
      <c r="AP117" s="3564"/>
      <c r="AQ117" s="3564"/>
      <c r="AR117" s="3564"/>
      <c r="AS117" s="3564"/>
      <c r="AT117" s="3567"/>
      <c r="AU117" s="162"/>
      <c r="AV117" s="162"/>
      <c r="AW117" s="162"/>
      <c r="AX117" s="162"/>
      <c r="AY117" s="162"/>
      <c r="AZ117" s="162"/>
      <c r="BA117" s="162"/>
      <c r="BB117" s="162"/>
      <c r="BC117" s="162"/>
      <c r="BD117" s="162"/>
      <c r="BE117" s="162"/>
      <c r="BF117" s="162"/>
      <c r="BG117" s="162"/>
      <c r="BH117" s="162"/>
      <c r="BI117" s="162"/>
      <c r="BJ117" s="162"/>
      <c r="BK117" s="162"/>
      <c r="BL117" s="162"/>
      <c r="BM117" s="162"/>
      <c r="BN117" s="162"/>
      <c r="BO117" s="162"/>
      <c r="BP117" s="162"/>
      <c r="BQ117" s="162"/>
      <c r="BR117" s="162"/>
      <c r="BS117" s="162"/>
      <c r="BT117" s="162"/>
      <c r="BU117" s="162"/>
      <c r="BV117" s="162"/>
      <c r="BW117" s="162"/>
      <c r="BX117" s="162"/>
      <c r="BY117" s="162"/>
    </row>
    <row r="118" spans="1:77">
      <c r="A118" s="162"/>
      <c r="B118" s="3601"/>
      <c r="C118" s="3865"/>
      <c r="D118" s="3564"/>
      <c r="E118" s="3564"/>
      <c r="F118" s="3564"/>
      <c r="G118" s="3564"/>
      <c r="H118" s="3564"/>
      <c r="I118" s="3564"/>
      <c r="J118" s="3564"/>
      <c r="K118" s="3565"/>
      <c r="L118" s="3871"/>
      <c r="M118" s="3564"/>
      <c r="N118" s="3565"/>
      <c r="O118" s="3871"/>
      <c r="P118" s="3564"/>
      <c r="Q118" s="3565"/>
      <c r="R118" s="3563"/>
      <c r="S118" s="3564"/>
      <c r="T118" s="3564"/>
      <c r="U118" s="3565"/>
      <c r="V118" s="3563"/>
      <c r="W118" s="3564"/>
      <c r="X118" s="3564"/>
      <c r="Y118" s="3564"/>
      <c r="Z118" s="3565"/>
      <c r="AA118" s="3604"/>
      <c r="AB118" s="3564"/>
      <c r="AC118" s="3564"/>
      <c r="AD118" s="3564"/>
      <c r="AE118" s="3564"/>
      <c r="AF118" s="3564"/>
      <c r="AG118" s="3564"/>
      <c r="AH118" s="3564"/>
      <c r="AI118" s="3564"/>
      <c r="AJ118" s="3564"/>
      <c r="AK118" s="3564"/>
      <c r="AL118" s="3564"/>
      <c r="AM118" s="3564"/>
      <c r="AN118" s="3564"/>
      <c r="AO118" s="3564"/>
      <c r="AP118" s="3564"/>
      <c r="AQ118" s="3564"/>
      <c r="AR118" s="3564"/>
      <c r="AS118" s="3564"/>
      <c r="AT118" s="3567"/>
      <c r="AU118" s="162"/>
      <c r="AV118" s="162"/>
      <c r="AW118" s="162"/>
      <c r="AX118" s="162"/>
      <c r="AY118" s="162"/>
      <c r="AZ118" s="162"/>
      <c r="BA118" s="162"/>
      <c r="BB118" s="162"/>
      <c r="BC118" s="162"/>
      <c r="BD118" s="162"/>
      <c r="BE118" s="162"/>
      <c r="BF118" s="162"/>
      <c r="BG118" s="162"/>
      <c r="BH118" s="162"/>
      <c r="BI118" s="162"/>
      <c r="BJ118" s="162"/>
      <c r="BK118" s="162"/>
      <c r="BL118" s="162"/>
      <c r="BM118" s="162"/>
      <c r="BN118" s="162"/>
      <c r="BO118" s="162"/>
      <c r="BP118" s="162"/>
      <c r="BQ118" s="162"/>
      <c r="BR118" s="162"/>
      <c r="BS118" s="162"/>
      <c r="BT118" s="162"/>
      <c r="BU118" s="162"/>
      <c r="BV118" s="162"/>
      <c r="BW118" s="162"/>
      <c r="BX118" s="162"/>
      <c r="BY118" s="162"/>
    </row>
    <row r="119" spans="1:77">
      <c r="A119" s="162"/>
      <c r="B119" s="3601"/>
      <c r="C119" s="3865"/>
      <c r="D119" s="3564"/>
      <c r="E119" s="3564"/>
      <c r="F119" s="3564"/>
      <c r="G119" s="3564"/>
      <c r="H119" s="3564"/>
      <c r="I119" s="3564"/>
      <c r="J119" s="3564"/>
      <c r="K119" s="3565"/>
      <c r="L119" s="3871"/>
      <c r="M119" s="3564"/>
      <c r="N119" s="3565"/>
      <c r="O119" s="3871"/>
      <c r="P119" s="3564"/>
      <c r="Q119" s="3565"/>
      <c r="R119" s="3563"/>
      <c r="S119" s="3564"/>
      <c r="T119" s="3564"/>
      <c r="U119" s="3565"/>
      <c r="V119" s="3563"/>
      <c r="W119" s="3564"/>
      <c r="X119" s="3564"/>
      <c r="Y119" s="3564"/>
      <c r="Z119" s="3565"/>
      <c r="AA119" s="3604"/>
      <c r="AB119" s="3564"/>
      <c r="AC119" s="3564"/>
      <c r="AD119" s="3564"/>
      <c r="AE119" s="3564"/>
      <c r="AF119" s="3564"/>
      <c r="AG119" s="3564"/>
      <c r="AH119" s="3564"/>
      <c r="AI119" s="3564"/>
      <c r="AJ119" s="3564"/>
      <c r="AK119" s="3564"/>
      <c r="AL119" s="3564"/>
      <c r="AM119" s="3564"/>
      <c r="AN119" s="3564"/>
      <c r="AO119" s="3564"/>
      <c r="AP119" s="3564"/>
      <c r="AQ119" s="3564"/>
      <c r="AR119" s="3564"/>
      <c r="AS119" s="3564"/>
      <c r="AT119" s="3567"/>
      <c r="AU119" s="162"/>
      <c r="AV119" s="162"/>
      <c r="AW119" s="162"/>
      <c r="AX119" s="162"/>
      <c r="AY119" s="162"/>
      <c r="AZ119" s="162"/>
      <c r="BA119" s="162"/>
      <c r="BB119" s="162"/>
      <c r="BC119" s="162"/>
      <c r="BD119" s="162"/>
      <c r="BE119" s="162"/>
      <c r="BF119" s="162"/>
      <c r="BG119" s="162"/>
      <c r="BH119" s="162"/>
      <c r="BI119" s="162"/>
      <c r="BJ119" s="162"/>
      <c r="BK119" s="162"/>
      <c r="BL119" s="162"/>
      <c r="BM119" s="162"/>
      <c r="BN119" s="162"/>
      <c r="BO119" s="162"/>
      <c r="BP119" s="162"/>
      <c r="BQ119" s="162"/>
      <c r="BR119" s="162"/>
      <c r="BS119" s="162"/>
      <c r="BT119" s="162"/>
      <c r="BU119" s="162"/>
      <c r="BV119" s="162"/>
      <c r="BW119" s="162"/>
      <c r="BX119" s="162"/>
      <c r="BY119" s="162"/>
    </row>
    <row r="120" spans="1:77" ht="16.5" thickBot="1">
      <c r="A120" s="162"/>
      <c r="B120" s="3601"/>
      <c r="C120" s="3891"/>
      <c r="D120" s="3569"/>
      <c r="E120" s="3569"/>
      <c r="F120" s="3569"/>
      <c r="G120" s="3569"/>
      <c r="H120" s="3569"/>
      <c r="I120" s="3569"/>
      <c r="J120" s="3569"/>
      <c r="K120" s="3570"/>
      <c r="L120" s="3886"/>
      <c r="M120" s="3569"/>
      <c r="N120" s="3570"/>
      <c r="O120" s="3886"/>
      <c r="P120" s="3569"/>
      <c r="Q120" s="3570"/>
      <c r="R120" s="3568"/>
      <c r="S120" s="3569"/>
      <c r="T120" s="3569"/>
      <c r="U120" s="3570"/>
      <c r="V120" s="3568"/>
      <c r="W120" s="3569"/>
      <c r="X120" s="3569"/>
      <c r="Y120" s="3569"/>
      <c r="Z120" s="3570"/>
      <c r="AA120" s="3605"/>
      <c r="AB120" s="3569"/>
      <c r="AC120" s="3569"/>
      <c r="AD120" s="3569"/>
      <c r="AE120" s="3569"/>
      <c r="AF120" s="3569"/>
      <c r="AG120" s="3569"/>
      <c r="AH120" s="3569"/>
      <c r="AI120" s="3569"/>
      <c r="AJ120" s="3569"/>
      <c r="AK120" s="3569"/>
      <c r="AL120" s="3569"/>
      <c r="AM120" s="3569"/>
      <c r="AN120" s="3569"/>
      <c r="AO120" s="3569"/>
      <c r="AP120" s="3569"/>
      <c r="AQ120" s="3569"/>
      <c r="AR120" s="3569"/>
      <c r="AS120" s="3569"/>
      <c r="AT120" s="3606"/>
      <c r="AU120" s="162"/>
      <c r="AV120" s="162"/>
      <c r="AW120" s="162"/>
      <c r="AX120" s="162"/>
      <c r="AY120" s="162"/>
      <c r="AZ120" s="162"/>
      <c r="BA120" s="162"/>
      <c r="BB120" s="162"/>
      <c r="BC120" s="162"/>
      <c r="BD120" s="162"/>
      <c r="BE120" s="162"/>
      <c r="BF120" s="162"/>
      <c r="BG120" s="162"/>
      <c r="BH120" s="162"/>
      <c r="BI120" s="162"/>
      <c r="BJ120" s="162"/>
      <c r="BK120" s="162"/>
      <c r="BL120" s="162"/>
      <c r="BM120" s="162"/>
      <c r="BN120" s="162"/>
      <c r="BO120" s="162"/>
      <c r="BP120" s="162"/>
      <c r="BQ120" s="162"/>
      <c r="BR120" s="162"/>
      <c r="BS120" s="162"/>
      <c r="BT120" s="162"/>
      <c r="BU120" s="162"/>
      <c r="BV120" s="162"/>
      <c r="BW120" s="162"/>
      <c r="BX120" s="162"/>
      <c r="BY120" s="162"/>
    </row>
    <row r="121" spans="1:77" ht="16.5" thickBot="1">
      <c r="A121" s="162"/>
      <c r="B121" s="162"/>
      <c r="C121" s="162"/>
      <c r="D121" s="162"/>
      <c r="E121" s="162"/>
      <c r="F121" s="162"/>
      <c r="G121" s="162"/>
      <c r="H121" s="162"/>
      <c r="I121" s="162"/>
      <c r="J121" s="162"/>
      <c r="K121" s="162"/>
      <c r="L121" s="162"/>
      <c r="M121" s="162"/>
      <c r="N121" s="162"/>
      <c r="O121" s="162"/>
      <c r="P121" s="162"/>
      <c r="Q121" s="162"/>
      <c r="R121" s="162"/>
      <c r="S121" s="162"/>
      <c r="T121" s="162"/>
      <c r="U121" s="162"/>
      <c r="V121" s="162"/>
      <c r="W121" s="162"/>
      <c r="X121" s="162"/>
      <c r="Y121" s="162"/>
      <c r="Z121" s="162"/>
      <c r="AA121" s="162"/>
      <c r="AB121" s="162"/>
      <c r="AC121" s="162"/>
      <c r="AD121" s="162"/>
      <c r="AE121" s="162"/>
      <c r="AF121" s="162"/>
      <c r="AG121" s="162"/>
      <c r="AH121" s="162"/>
      <c r="AI121" s="162"/>
      <c r="AJ121" s="162"/>
      <c r="AK121" s="162"/>
      <c r="AL121" s="162"/>
      <c r="AM121" s="162"/>
      <c r="AN121" s="162"/>
      <c r="AO121" s="162"/>
      <c r="AP121" s="162"/>
      <c r="AQ121" s="162"/>
      <c r="AR121" s="162"/>
      <c r="AS121" s="162"/>
      <c r="AT121" s="162"/>
      <c r="AU121" s="162"/>
      <c r="AV121" s="162"/>
      <c r="AW121" s="162"/>
      <c r="AX121" s="162"/>
      <c r="AY121" s="162"/>
      <c r="AZ121" s="162"/>
      <c r="BA121" s="162"/>
      <c r="BB121" s="162"/>
      <c r="BC121" s="162"/>
      <c r="BD121" s="162"/>
      <c r="BE121" s="162"/>
      <c r="BF121" s="162"/>
      <c r="BG121" s="162"/>
      <c r="BH121" s="162"/>
      <c r="BI121" s="162"/>
      <c r="BJ121" s="162"/>
      <c r="BK121" s="162"/>
      <c r="BL121" s="162"/>
      <c r="BM121" s="162"/>
      <c r="BN121" s="162"/>
      <c r="BO121" s="162"/>
      <c r="BP121" s="162"/>
      <c r="BQ121" s="162"/>
      <c r="BR121" s="162"/>
      <c r="BS121" s="162"/>
      <c r="BT121" s="162"/>
      <c r="BU121" s="162"/>
      <c r="BV121" s="162"/>
      <c r="BW121" s="162"/>
      <c r="BX121" s="162"/>
      <c r="BY121" s="162"/>
    </row>
    <row r="122" spans="1:77" ht="16.5" thickBot="1">
      <c r="A122" s="162"/>
      <c r="B122" s="3647" t="str">
        <f ca="1">IFERROR(__xludf.DUMMYFUNCTION("""COMPUTED_VALUE"""),"Appearance")</f>
        <v>Appearance</v>
      </c>
      <c r="C122" s="3862" t="str">
        <f ca="1">IFERROR(__xludf.DUMMYFUNCTION("""COMPUTED_VALUE"""),"Gender")</f>
        <v>Gender</v>
      </c>
      <c r="D122" s="3579"/>
      <c r="E122" s="3579"/>
      <c r="F122" s="3580"/>
      <c r="G122" s="3877"/>
      <c r="H122" s="3596"/>
      <c r="I122" s="3596"/>
      <c r="J122" s="3596"/>
      <c r="K122" s="3596"/>
      <c r="L122" s="3623"/>
      <c r="M122" s="169"/>
      <c r="N122" s="3647" t="str">
        <f ca="1">IFERROR(__xludf.DUMMYFUNCTION("""COMPUTED_VALUE"""),"Personality")</f>
        <v>Personality</v>
      </c>
      <c r="O122" s="3868" t="str">
        <f ca="1">IFERROR(__xludf.DUMMYFUNCTION("""COMPUTED_VALUE"""),"Personality Traits")</f>
        <v>Personality Traits</v>
      </c>
      <c r="P122" s="3573"/>
      <c r="Q122" s="3573"/>
      <c r="R122" s="3573"/>
      <c r="S122" s="3573"/>
      <c r="T122" s="3573"/>
      <c r="U122" s="3573"/>
      <c r="V122" s="3574"/>
      <c r="W122" s="3700"/>
      <c r="X122" s="3596"/>
      <c r="Y122" s="3596"/>
      <c r="Z122" s="3596"/>
      <c r="AA122" s="3596"/>
      <c r="AB122" s="3596"/>
      <c r="AC122" s="3596"/>
      <c r="AD122" s="3596"/>
      <c r="AE122" s="3596"/>
      <c r="AF122" s="3596"/>
      <c r="AG122" s="3623"/>
      <c r="AH122" s="176"/>
      <c r="AI122" s="3643" t="str">
        <f ca="1">IFERROR(__xludf.DUMMYFUNCTION("""COMPUTED_VALUE"""),"Encumberance")</f>
        <v>Encumberance</v>
      </c>
      <c r="AJ122" s="3579"/>
      <c r="AK122" s="3579"/>
      <c r="AL122" s="3579"/>
      <c r="AM122" s="3579"/>
      <c r="AN122" s="3579"/>
      <c r="AO122" s="3579"/>
      <c r="AP122" s="3579"/>
      <c r="AQ122" s="3579"/>
      <c r="AR122" s="3579"/>
      <c r="AS122" s="3579"/>
      <c r="AT122" s="3580"/>
      <c r="AU122" s="162"/>
      <c r="AV122" s="162"/>
      <c r="AW122" s="162"/>
      <c r="AX122" s="161"/>
      <c r="AY122" s="161"/>
      <c r="AZ122" s="161"/>
      <c r="BA122" s="161"/>
      <c r="BB122" s="161"/>
      <c r="BC122" s="161"/>
      <c r="BD122" s="161"/>
      <c r="BE122" s="161"/>
      <c r="BF122" s="161"/>
      <c r="BG122" s="161"/>
      <c r="BH122" s="161"/>
      <c r="BI122" s="161"/>
      <c r="BJ122" s="161"/>
      <c r="BK122" s="161"/>
      <c r="BL122" s="161"/>
      <c r="BM122" s="161"/>
      <c r="BN122" s="161"/>
      <c r="BO122" s="161"/>
      <c r="BP122" s="161"/>
      <c r="BQ122" s="161"/>
      <c r="BR122" s="161"/>
      <c r="BS122" s="161"/>
      <c r="BT122" s="161"/>
      <c r="BU122" s="161"/>
      <c r="BV122" s="161"/>
      <c r="BW122" s="161"/>
      <c r="BX122" s="161"/>
      <c r="BY122" s="161"/>
    </row>
    <row r="123" spans="1:77" ht="16.5" thickBot="1">
      <c r="A123" s="162"/>
      <c r="B123" s="3648"/>
      <c r="C123" s="3873" t="str">
        <f ca="1">IFERROR(__xludf.DUMMYFUNCTION("""COMPUTED_VALUE"""),"Age")</f>
        <v>Age</v>
      </c>
      <c r="D123" s="3579"/>
      <c r="E123" s="3579"/>
      <c r="F123" s="3580"/>
      <c r="G123" s="3878"/>
      <c r="H123" s="3564"/>
      <c r="I123" s="3564"/>
      <c r="J123" s="3564"/>
      <c r="K123" s="3564"/>
      <c r="L123" s="3567"/>
      <c r="M123" s="169"/>
      <c r="N123" s="3648"/>
      <c r="O123" s="3575"/>
      <c r="P123" s="3576"/>
      <c r="Q123" s="3576"/>
      <c r="R123" s="3576"/>
      <c r="S123" s="3576"/>
      <c r="T123" s="3576"/>
      <c r="U123" s="3576"/>
      <c r="V123" s="3577"/>
      <c r="W123" s="3863"/>
      <c r="X123" s="3564"/>
      <c r="Y123" s="3564"/>
      <c r="Z123" s="3564"/>
      <c r="AA123" s="3564"/>
      <c r="AB123" s="3564"/>
      <c r="AC123" s="3564"/>
      <c r="AD123" s="3564"/>
      <c r="AE123" s="3564"/>
      <c r="AF123" s="3564"/>
      <c r="AG123" s="3567"/>
      <c r="AH123" s="175"/>
      <c r="AI123" s="3582" t="str">
        <f ca="1">IFERROR(__xludf.DUMMYFUNCTION("""COMPUTED_VALUE"""),"Weight Carried:")</f>
        <v>Weight Carried:</v>
      </c>
      <c r="AJ123" s="3573"/>
      <c r="AK123" s="3573"/>
      <c r="AL123" s="3573"/>
      <c r="AM123" s="3573"/>
      <c r="AN123" s="3574"/>
      <c r="AO123" s="3641"/>
      <c r="AP123" s="3573"/>
      <c r="AQ123" s="3573"/>
      <c r="AR123" s="3573"/>
      <c r="AS123" s="3573"/>
      <c r="AT123" s="3574"/>
      <c r="AU123" s="162"/>
      <c r="AV123" s="162"/>
      <c r="AW123" s="162"/>
      <c r="AX123" s="161"/>
      <c r="AY123" s="161"/>
      <c r="AZ123" s="161"/>
      <c r="BA123" s="161"/>
      <c r="BB123" s="161"/>
      <c r="BC123" s="161"/>
      <c r="BD123" s="161"/>
      <c r="BE123" s="161"/>
      <c r="BF123" s="161"/>
      <c r="BG123" s="161"/>
      <c r="BH123" s="161"/>
      <c r="BI123" s="161"/>
      <c r="BJ123" s="161"/>
      <c r="BK123" s="161"/>
      <c r="BL123" s="161"/>
      <c r="BM123" s="161"/>
      <c r="BN123" s="161"/>
      <c r="BO123" s="161"/>
      <c r="BP123" s="161"/>
      <c r="BQ123" s="161"/>
      <c r="BR123" s="161"/>
      <c r="BS123" s="161"/>
      <c r="BT123" s="161"/>
      <c r="BU123" s="161"/>
      <c r="BV123" s="161"/>
      <c r="BW123" s="161"/>
      <c r="BX123" s="161"/>
      <c r="BY123" s="161"/>
    </row>
    <row r="124" spans="1:77" ht="16.5" thickBot="1">
      <c r="A124" s="162"/>
      <c r="B124" s="3648"/>
      <c r="C124" s="3862" t="str">
        <f ca="1">IFERROR(__xludf.DUMMYFUNCTION("""COMPUTED_VALUE"""),"Height")</f>
        <v>Height</v>
      </c>
      <c r="D124" s="3579"/>
      <c r="E124" s="3579"/>
      <c r="F124" s="3580"/>
      <c r="G124" s="3876"/>
      <c r="H124" s="3564"/>
      <c r="I124" s="3564"/>
      <c r="J124" s="3564"/>
      <c r="K124" s="3564"/>
      <c r="L124" s="3567"/>
      <c r="M124" s="169"/>
      <c r="N124" s="3648"/>
      <c r="O124" s="3874" t="str">
        <f ca="1">IFERROR(__xludf.DUMMYFUNCTION("""COMPUTED_VALUE"""),"Ideal")</f>
        <v>Ideal</v>
      </c>
      <c r="P124" s="3573"/>
      <c r="Q124" s="3574"/>
      <c r="R124" s="3627"/>
      <c r="S124" s="2707"/>
      <c r="T124" s="2707"/>
      <c r="U124" s="2707"/>
      <c r="V124" s="2707"/>
      <c r="W124" s="2707"/>
      <c r="X124" s="2707"/>
      <c r="Y124" s="2707"/>
      <c r="Z124" s="2707"/>
      <c r="AA124" s="2707"/>
      <c r="AB124" s="2707"/>
      <c r="AC124" s="2707"/>
      <c r="AD124" s="2707"/>
      <c r="AE124" s="2707"/>
      <c r="AF124" s="2707"/>
      <c r="AG124" s="3601"/>
      <c r="AH124" s="174"/>
      <c r="AI124" s="3575"/>
      <c r="AJ124" s="3576"/>
      <c r="AK124" s="3576"/>
      <c r="AL124" s="3576"/>
      <c r="AM124" s="3576"/>
      <c r="AN124" s="3577"/>
      <c r="AO124" s="3575"/>
      <c r="AP124" s="3576"/>
      <c r="AQ124" s="3576"/>
      <c r="AR124" s="3576"/>
      <c r="AS124" s="3576"/>
      <c r="AT124" s="3577"/>
      <c r="AU124" s="162"/>
      <c r="AV124" s="162"/>
      <c r="AW124" s="162"/>
      <c r="AX124" s="161"/>
      <c r="AY124" s="161"/>
      <c r="AZ124" s="161"/>
      <c r="BA124" s="161"/>
      <c r="BB124" s="161"/>
      <c r="BC124" s="161"/>
      <c r="BD124" s="161"/>
      <c r="BE124" s="161"/>
      <c r="BF124" s="161"/>
      <c r="BG124" s="161"/>
      <c r="BH124" s="161"/>
      <c r="BI124" s="161"/>
      <c r="BJ124" s="161"/>
      <c r="BK124" s="161"/>
      <c r="BL124" s="161"/>
      <c r="BM124" s="161"/>
      <c r="BN124" s="161"/>
      <c r="BO124" s="161"/>
      <c r="BP124" s="161"/>
      <c r="BQ124" s="161"/>
      <c r="BR124" s="161"/>
      <c r="BS124" s="161"/>
      <c r="BT124" s="161"/>
      <c r="BU124" s="161"/>
      <c r="BV124" s="161"/>
      <c r="BW124" s="161"/>
      <c r="BX124" s="161"/>
      <c r="BY124" s="161"/>
    </row>
    <row r="125" spans="1:77" ht="16.5" thickBot="1">
      <c r="A125" s="162"/>
      <c r="B125" s="3648"/>
      <c r="C125" s="3873" t="str">
        <f ca="1">IFERROR(__xludf.DUMMYFUNCTION("""COMPUTED_VALUE"""),"Weight")</f>
        <v>Weight</v>
      </c>
      <c r="D125" s="3579"/>
      <c r="E125" s="3579"/>
      <c r="F125" s="3580"/>
      <c r="G125" s="3879"/>
      <c r="H125" s="3598"/>
      <c r="I125" s="3598"/>
      <c r="J125" s="3598"/>
      <c r="K125" s="3598"/>
      <c r="L125" s="3599"/>
      <c r="M125" s="169"/>
      <c r="N125" s="3648"/>
      <c r="O125" s="3575"/>
      <c r="P125" s="3576"/>
      <c r="Q125" s="3577"/>
      <c r="R125" s="3602"/>
      <c r="S125" s="3562"/>
      <c r="T125" s="3562"/>
      <c r="U125" s="3562"/>
      <c r="V125" s="3562"/>
      <c r="W125" s="3562"/>
      <c r="X125" s="3562"/>
      <c r="Y125" s="3562"/>
      <c r="Z125" s="3562"/>
      <c r="AA125" s="3562"/>
      <c r="AB125" s="3562"/>
      <c r="AC125" s="3562"/>
      <c r="AD125" s="3562"/>
      <c r="AE125" s="3562"/>
      <c r="AF125" s="3562"/>
      <c r="AG125" s="3603"/>
      <c r="AH125" s="174"/>
      <c r="AI125" s="3614" t="str">
        <f ca="1">IFERROR(__xludf.DUMMYFUNCTION("""COMPUTED_VALUE"""),"Light")</f>
        <v>Light</v>
      </c>
      <c r="AJ125" s="3579"/>
      <c r="AK125" s="3579"/>
      <c r="AL125" s="3579"/>
      <c r="AM125" s="3615" t="str">
        <f ca="1">IFERROR(__xludf.DUMMYFUNCTION("""COMPUTED_VALUE"""),"Medium")</f>
        <v>Medium</v>
      </c>
      <c r="AN125" s="3579"/>
      <c r="AO125" s="3579"/>
      <c r="AP125" s="3579"/>
      <c r="AQ125" s="3614" t="str">
        <f ca="1">IFERROR(__xludf.DUMMYFUNCTION("""COMPUTED_VALUE"""),"Heavy")</f>
        <v>Heavy</v>
      </c>
      <c r="AR125" s="3579"/>
      <c r="AS125" s="3579"/>
      <c r="AT125" s="3580"/>
      <c r="AU125" s="162"/>
      <c r="AV125" s="162"/>
      <c r="AW125" s="162"/>
      <c r="AX125" s="161"/>
      <c r="AY125" s="161"/>
      <c r="AZ125" s="161"/>
      <c r="BA125" s="161"/>
      <c r="BB125" s="161"/>
      <c r="BC125" s="161"/>
      <c r="BD125" s="161"/>
      <c r="BE125" s="161"/>
      <c r="BF125" s="161"/>
      <c r="BG125" s="161"/>
      <c r="BH125" s="161"/>
      <c r="BI125" s="161"/>
      <c r="BJ125" s="161"/>
      <c r="BK125" s="161"/>
      <c r="BL125" s="161"/>
      <c r="BM125" s="161"/>
      <c r="BN125" s="161"/>
      <c r="BO125" s="161"/>
      <c r="BP125" s="161"/>
      <c r="BQ125" s="161"/>
      <c r="BR125" s="161"/>
      <c r="BS125" s="161"/>
      <c r="BT125" s="161"/>
      <c r="BU125" s="161"/>
      <c r="BV125" s="161"/>
      <c r="BW125" s="161"/>
      <c r="BX125" s="161"/>
      <c r="BY125" s="161"/>
    </row>
    <row r="126" spans="1:77" ht="16.5" thickBot="1">
      <c r="A126" s="162"/>
      <c r="B126" s="3648"/>
      <c r="C126" s="3862" t="str">
        <f ca="1">IFERROR(__xludf.DUMMYFUNCTION("""COMPUTED_VALUE"""),"Skin Color")</f>
        <v>Skin Color</v>
      </c>
      <c r="D126" s="3579"/>
      <c r="E126" s="3579"/>
      <c r="F126" s="3579"/>
      <c r="G126" s="3580"/>
      <c r="H126" s="3876"/>
      <c r="I126" s="3564"/>
      <c r="J126" s="3564"/>
      <c r="K126" s="3564"/>
      <c r="L126" s="3567"/>
      <c r="M126" s="169"/>
      <c r="N126" s="3648"/>
      <c r="O126" s="3868" t="str">
        <f ca="1">IFERROR(__xludf.DUMMYFUNCTION("""COMPUTED_VALUE"""),"Bond")</f>
        <v>Bond</v>
      </c>
      <c r="P126" s="3573"/>
      <c r="Q126" s="3574"/>
      <c r="R126" s="3597"/>
      <c r="S126" s="3598"/>
      <c r="T126" s="3598"/>
      <c r="U126" s="3598"/>
      <c r="V126" s="3598"/>
      <c r="W126" s="3598"/>
      <c r="X126" s="3598"/>
      <c r="Y126" s="3598"/>
      <c r="Z126" s="3598"/>
      <c r="AA126" s="3598"/>
      <c r="AB126" s="3598"/>
      <c r="AC126" s="3598"/>
      <c r="AD126" s="3598"/>
      <c r="AE126" s="3598"/>
      <c r="AF126" s="3598"/>
      <c r="AG126" s="3599"/>
      <c r="AH126" s="172"/>
      <c r="AI126" s="3642"/>
      <c r="AJ126" s="3579"/>
      <c r="AK126" s="3579"/>
      <c r="AL126" s="3579"/>
      <c r="AM126" s="3642"/>
      <c r="AN126" s="3579"/>
      <c r="AO126" s="3579"/>
      <c r="AP126" s="3579"/>
      <c r="AQ126" s="3642"/>
      <c r="AR126" s="3579"/>
      <c r="AS126" s="3579"/>
      <c r="AT126" s="3580"/>
      <c r="AU126" s="162"/>
      <c r="AV126" s="162"/>
      <c r="AW126" s="162"/>
      <c r="AX126" s="161"/>
      <c r="AY126" s="161"/>
      <c r="AZ126" s="161"/>
      <c r="BA126" s="161"/>
      <c r="BB126" s="161"/>
      <c r="BC126" s="161"/>
      <c r="BD126" s="161"/>
      <c r="BE126" s="161"/>
      <c r="BF126" s="161"/>
      <c r="BG126" s="161"/>
      <c r="BH126" s="161"/>
      <c r="BI126" s="161"/>
      <c r="BJ126" s="161"/>
      <c r="BK126" s="161"/>
      <c r="BL126" s="161"/>
      <c r="BM126" s="161"/>
      <c r="BN126" s="161"/>
      <c r="BO126" s="161"/>
      <c r="BP126" s="161"/>
      <c r="BQ126" s="161"/>
      <c r="BR126" s="161"/>
      <c r="BS126" s="161"/>
      <c r="BT126" s="161"/>
      <c r="BU126" s="161"/>
      <c r="BV126" s="161"/>
      <c r="BW126" s="161"/>
      <c r="BX126" s="161"/>
      <c r="BY126" s="161"/>
    </row>
    <row r="127" spans="1:77" ht="16.5" thickBot="1">
      <c r="A127" s="162"/>
      <c r="B127" s="3648"/>
      <c r="C127" s="3873" t="str">
        <f ca="1">IFERROR(__xludf.DUMMYFUNCTION("""COMPUTED_VALUE"""),"Hair Color")</f>
        <v>Hair Color</v>
      </c>
      <c r="D127" s="3579"/>
      <c r="E127" s="3579"/>
      <c r="F127" s="3579"/>
      <c r="G127" s="3580"/>
      <c r="H127" s="3876"/>
      <c r="I127" s="3564"/>
      <c r="J127" s="3564"/>
      <c r="K127" s="3564"/>
      <c r="L127" s="3567"/>
      <c r="M127" s="169"/>
      <c r="N127" s="3648"/>
      <c r="O127" s="3575"/>
      <c r="P127" s="3576"/>
      <c r="Q127" s="3577"/>
      <c r="R127" s="3602"/>
      <c r="S127" s="3562"/>
      <c r="T127" s="3562"/>
      <c r="U127" s="3562"/>
      <c r="V127" s="3562"/>
      <c r="W127" s="3562"/>
      <c r="X127" s="3562"/>
      <c r="Y127" s="3562"/>
      <c r="Z127" s="3562"/>
      <c r="AA127" s="3562"/>
      <c r="AB127" s="3562"/>
      <c r="AC127" s="3562"/>
      <c r="AD127" s="3562"/>
      <c r="AE127" s="3562"/>
      <c r="AF127" s="3562"/>
      <c r="AG127" s="3603"/>
      <c r="AH127" s="173"/>
      <c r="AI127" s="172"/>
      <c r="AJ127" s="172"/>
      <c r="AK127" s="172"/>
      <c r="AL127" s="172"/>
      <c r="AM127" s="172"/>
      <c r="AN127" s="172"/>
      <c r="AO127" s="172"/>
      <c r="AP127" s="172"/>
      <c r="AQ127" s="172"/>
      <c r="AR127" s="172"/>
      <c r="AS127" s="172"/>
      <c r="AT127" s="172"/>
      <c r="AU127" s="162"/>
      <c r="AV127" s="162"/>
      <c r="AW127" s="162"/>
      <c r="AX127" s="162"/>
      <c r="AY127" s="162"/>
      <c r="AZ127" s="162"/>
      <c r="BA127" s="162"/>
      <c r="BB127" s="162"/>
      <c r="BC127" s="162"/>
      <c r="BD127" s="162"/>
      <c r="BE127" s="162"/>
      <c r="BF127" s="162"/>
      <c r="BG127" s="162"/>
      <c r="BH127" s="162"/>
      <c r="BI127" s="162"/>
      <c r="BJ127" s="162"/>
      <c r="BK127" s="162"/>
      <c r="BL127" s="162"/>
      <c r="BM127" s="162"/>
      <c r="BN127" s="162"/>
      <c r="BO127" s="162"/>
      <c r="BP127" s="162"/>
      <c r="BQ127" s="162"/>
      <c r="BR127" s="162"/>
      <c r="BS127" s="162"/>
      <c r="BT127" s="162"/>
      <c r="BU127" s="162"/>
      <c r="BV127" s="162"/>
      <c r="BW127" s="162"/>
      <c r="BX127" s="162"/>
      <c r="BY127" s="162"/>
    </row>
    <row r="128" spans="1:77" ht="16.5" thickBot="1">
      <c r="A128" s="162"/>
      <c r="B128" s="3648"/>
      <c r="C128" s="3862" t="str">
        <f ca="1">IFERROR(__xludf.DUMMYFUNCTION("""COMPUTED_VALUE"""),"Eye Color")</f>
        <v>Eye Color</v>
      </c>
      <c r="D128" s="3579"/>
      <c r="E128" s="3579"/>
      <c r="F128" s="3579"/>
      <c r="G128" s="3580"/>
      <c r="H128" s="3880"/>
      <c r="I128" s="3569"/>
      <c r="J128" s="3569"/>
      <c r="K128" s="3569"/>
      <c r="L128" s="3606"/>
      <c r="M128" s="169"/>
      <c r="N128" s="3648"/>
      <c r="O128" s="3874" t="str">
        <f ca="1">IFERROR(__xludf.DUMMYFUNCTION("""COMPUTED_VALUE"""),"Flaw")</f>
        <v>Flaw</v>
      </c>
      <c r="P128" s="3573"/>
      <c r="Q128" s="3574"/>
      <c r="R128" s="3597"/>
      <c r="S128" s="3598"/>
      <c r="T128" s="3598"/>
      <c r="U128" s="3598"/>
      <c r="V128" s="3598"/>
      <c r="W128" s="3598"/>
      <c r="X128" s="3598"/>
      <c r="Y128" s="3598"/>
      <c r="Z128" s="3598"/>
      <c r="AA128" s="3598"/>
      <c r="AB128" s="3598"/>
      <c r="AC128" s="3598"/>
      <c r="AD128" s="3598"/>
      <c r="AE128" s="3598"/>
      <c r="AF128" s="3598"/>
      <c r="AG128" s="3599"/>
      <c r="AH128" s="173"/>
      <c r="AI128" s="172"/>
      <c r="AJ128" s="172"/>
      <c r="AK128" s="172"/>
      <c r="AL128" s="172"/>
      <c r="AM128" s="172"/>
      <c r="AN128" s="172"/>
      <c r="AO128" s="172"/>
      <c r="AP128" s="172"/>
      <c r="AQ128" s="172"/>
      <c r="AR128" s="172"/>
      <c r="AS128" s="172"/>
      <c r="AT128" s="172"/>
      <c r="AU128" s="162"/>
      <c r="AV128" s="162"/>
      <c r="AW128" s="162"/>
      <c r="AX128" s="162"/>
      <c r="AY128" s="162"/>
      <c r="AZ128" s="162"/>
      <c r="BA128" s="162"/>
      <c r="BB128" s="162"/>
      <c r="BC128" s="162"/>
      <c r="BD128" s="162"/>
      <c r="BE128" s="162"/>
      <c r="BF128" s="162"/>
      <c r="BG128" s="162"/>
      <c r="BH128" s="162"/>
      <c r="BI128" s="162"/>
      <c r="BJ128" s="162"/>
      <c r="BK128" s="162"/>
      <c r="BL128" s="162"/>
      <c r="BM128" s="162"/>
      <c r="BN128" s="162"/>
      <c r="BO128" s="162"/>
      <c r="BP128" s="162"/>
      <c r="BQ128" s="162"/>
      <c r="BR128" s="162"/>
      <c r="BS128" s="162"/>
      <c r="BT128" s="162"/>
      <c r="BU128" s="162"/>
      <c r="BV128" s="162"/>
      <c r="BW128" s="162"/>
      <c r="BX128" s="162"/>
      <c r="BY128" s="162"/>
    </row>
    <row r="129" spans="1:77" ht="16.5" thickBot="1">
      <c r="A129" s="162"/>
      <c r="B129" s="3648"/>
      <c r="C129" s="3872" t="str">
        <f ca="1">IFERROR(__xludf.DUMMYFUNCTION("""COMPUTED_VALUE"""),"Distinguishing Marks")</f>
        <v>Distinguishing Marks</v>
      </c>
      <c r="D129" s="3579"/>
      <c r="E129" s="3579"/>
      <c r="F129" s="3579"/>
      <c r="G129" s="3579"/>
      <c r="H129" s="3579"/>
      <c r="I129" s="3579"/>
      <c r="J129" s="3579"/>
      <c r="K129" s="3579"/>
      <c r="L129" s="3580"/>
      <c r="M129" s="169"/>
      <c r="N129" s="3648"/>
      <c r="O129" s="3600"/>
      <c r="P129" s="3756"/>
      <c r="Q129" s="3601"/>
      <c r="R129" s="3600"/>
      <c r="S129" s="2707"/>
      <c r="T129" s="2707"/>
      <c r="U129" s="2707"/>
      <c r="V129" s="2707"/>
      <c r="W129" s="2707"/>
      <c r="X129" s="2707"/>
      <c r="Y129" s="2707"/>
      <c r="Z129" s="2707"/>
      <c r="AA129" s="2707"/>
      <c r="AB129" s="2707"/>
      <c r="AC129" s="2707"/>
      <c r="AD129" s="2707"/>
      <c r="AE129" s="2707"/>
      <c r="AF129" s="2707"/>
      <c r="AG129" s="3601"/>
      <c r="AH129" s="173"/>
      <c r="AI129" s="172"/>
      <c r="AJ129" s="172"/>
      <c r="AK129" s="172"/>
      <c r="AL129" s="172"/>
      <c r="AM129" s="172"/>
      <c r="AN129" s="172"/>
      <c r="AO129" s="172"/>
      <c r="AP129" s="172"/>
      <c r="AQ129" s="172"/>
      <c r="AR129" s="172"/>
      <c r="AS129" s="172"/>
      <c r="AT129" s="172"/>
      <c r="AU129" s="162"/>
      <c r="AV129" s="162"/>
      <c r="AW129" s="162"/>
      <c r="AX129" s="162"/>
      <c r="AY129" s="162"/>
      <c r="AZ129" s="162"/>
      <c r="BA129" s="162"/>
      <c r="BB129" s="162"/>
      <c r="BC129" s="162"/>
      <c r="BD129" s="162"/>
      <c r="BE129" s="162"/>
      <c r="BF129" s="162"/>
      <c r="BG129" s="162"/>
      <c r="BH129" s="162"/>
      <c r="BI129" s="162"/>
      <c r="BJ129" s="162"/>
      <c r="BK129" s="162"/>
      <c r="BL129" s="162"/>
      <c r="BM129" s="162"/>
      <c r="BN129" s="162"/>
      <c r="BO129" s="162"/>
      <c r="BP129" s="162"/>
      <c r="BQ129" s="162"/>
      <c r="BR129" s="162"/>
      <c r="BS129" s="162"/>
      <c r="BT129" s="162"/>
      <c r="BU129" s="162"/>
      <c r="BV129" s="162"/>
      <c r="BW129" s="162"/>
      <c r="BX129" s="162"/>
      <c r="BY129" s="162"/>
    </row>
    <row r="130" spans="1:77">
      <c r="A130" s="162"/>
      <c r="B130" s="3648"/>
      <c r="C130" s="3650"/>
      <c r="D130" s="3573"/>
      <c r="E130" s="3573"/>
      <c r="F130" s="3573"/>
      <c r="G130" s="3573"/>
      <c r="H130" s="3573"/>
      <c r="I130" s="3573"/>
      <c r="J130" s="3573"/>
      <c r="K130" s="3573"/>
      <c r="L130" s="3574"/>
      <c r="M130" s="169"/>
      <c r="N130" s="3648"/>
      <c r="O130" s="3887" t="str">
        <f ca="1">IFERROR(__xludf.DUMMYFUNCTION("""COMPUTED_VALUE"""),"Background Feature")</f>
        <v>Background Feature</v>
      </c>
      <c r="P130" s="3573"/>
      <c r="Q130" s="3573"/>
      <c r="R130" s="3573"/>
      <c r="S130" s="3573"/>
      <c r="T130" s="3574"/>
      <c r="U130" s="3597"/>
      <c r="V130" s="3598"/>
      <c r="W130" s="3598"/>
      <c r="X130" s="3598"/>
      <c r="Y130" s="3598"/>
      <c r="Z130" s="3598"/>
      <c r="AA130" s="3598"/>
      <c r="AB130" s="3598"/>
      <c r="AC130" s="3598"/>
      <c r="AD130" s="3598"/>
      <c r="AE130" s="3598"/>
      <c r="AF130" s="3598"/>
      <c r="AG130" s="3599"/>
      <c r="AH130" s="173"/>
      <c r="AI130" s="172"/>
      <c r="AJ130" s="172"/>
      <c r="AK130" s="172"/>
      <c r="AL130" s="172"/>
      <c r="AM130" s="172"/>
      <c r="AN130" s="172"/>
      <c r="AO130" s="172"/>
      <c r="AP130" s="172"/>
      <c r="AQ130" s="172"/>
      <c r="AR130" s="172"/>
      <c r="AS130" s="172"/>
      <c r="AT130" s="172"/>
      <c r="AU130" s="162"/>
      <c r="AV130" s="162"/>
      <c r="AW130" s="162"/>
      <c r="AX130" s="162"/>
      <c r="AY130" s="162"/>
      <c r="AZ130" s="162"/>
      <c r="BA130" s="162"/>
      <c r="BB130" s="162"/>
      <c r="BC130" s="162"/>
      <c r="BD130" s="162"/>
      <c r="BE130" s="162"/>
      <c r="BF130" s="162"/>
      <c r="BG130" s="162"/>
      <c r="BH130" s="162"/>
      <c r="BI130" s="162"/>
      <c r="BJ130" s="162"/>
      <c r="BK130" s="162"/>
      <c r="BL130" s="162"/>
      <c r="BM130" s="162"/>
      <c r="BN130" s="162"/>
      <c r="BO130" s="162"/>
      <c r="BP130" s="162"/>
      <c r="BQ130" s="162"/>
      <c r="BR130" s="162"/>
      <c r="BS130" s="162"/>
      <c r="BT130" s="162"/>
      <c r="BU130" s="162"/>
      <c r="BV130" s="162"/>
      <c r="BW130" s="162"/>
      <c r="BX130" s="162"/>
      <c r="BY130" s="162"/>
    </row>
    <row r="131" spans="1:77" ht="16.5" thickBot="1">
      <c r="A131" s="162"/>
      <c r="B131" s="3648"/>
      <c r="C131" s="3600"/>
      <c r="D131" s="2707"/>
      <c r="E131" s="2707"/>
      <c r="F131" s="2707"/>
      <c r="G131" s="2707"/>
      <c r="H131" s="2707"/>
      <c r="I131" s="2707"/>
      <c r="J131" s="2707"/>
      <c r="K131" s="2707"/>
      <c r="L131" s="3601"/>
      <c r="M131" s="169"/>
      <c r="N131" s="3648"/>
      <c r="O131" s="3575"/>
      <c r="P131" s="3576"/>
      <c r="Q131" s="3576"/>
      <c r="R131" s="3576"/>
      <c r="S131" s="3576"/>
      <c r="T131" s="3577"/>
      <c r="U131" s="3602"/>
      <c r="V131" s="3562"/>
      <c r="W131" s="3562"/>
      <c r="X131" s="3562"/>
      <c r="Y131" s="3562"/>
      <c r="Z131" s="3562"/>
      <c r="AA131" s="3562"/>
      <c r="AB131" s="3562"/>
      <c r="AC131" s="3562"/>
      <c r="AD131" s="3562"/>
      <c r="AE131" s="3562"/>
      <c r="AF131" s="3562"/>
      <c r="AG131" s="3603"/>
      <c r="AH131" s="173"/>
      <c r="AI131" s="172"/>
      <c r="AJ131" s="172"/>
      <c r="AK131" s="172"/>
      <c r="AL131" s="172"/>
      <c r="AM131" s="172"/>
      <c r="AN131" s="172"/>
      <c r="AO131" s="172"/>
      <c r="AP131" s="172"/>
      <c r="AQ131" s="172"/>
      <c r="AR131" s="172"/>
      <c r="AS131" s="172"/>
      <c r="AT131" s="172"/>
      <c r="AU131" s="162"/>
      <c r="AV131" s="162"/>
      <c r="AW131" s="162"/>
      <c r="AX131" s="162"/>
      <c r="AY131" s="162"/>
      <c r="AZ131" s="162"/>
      <c r="BA131" s="162"/>
      <c r="BB131" s="162"/>
      <c r="BC131" s="162"/>
      <c r="BD131" s="162"/>
      <c r="BE131" s="162"/>
      <c r="BF131" s="162"/>
      <c r="BG131" s="162"/>
      <c r="BH131" s="162"/>
      <c r="BI131" s="162"/>
      <c r="BJ131" s="162"/>
      <c r="BK131" s="162"/>
      <c r="BL131" s="162"/>
      <c r="BM131" s="162"/>
      <c r="BN131" s="162"/>
      <c r="BO131" s="162"/>
      <c r="BP131" s="162"/>
      <c r="BQ131" s="162"/>
      <c r="BR131" s="162"/>
      <c r="BS131" s="162"/>
      <c r="BT131" s="162"/>
      <c r="BU131" s="162"/>
      <c r="BV131" s="162"/>
      <c r="BW131" s="162"/>
      <c r="BX131" s="162"/>
      <c r="BY131" s="162"/>
    </row>
    <row r="132" spans="1:77" ht="16.5" thickBot="1">
      <c r="A132" s="162"/>
      <c r="B132" s="3649"/>
      <c r="C132" s="3575"/>
      <c r="D132" s="3576"/>
      <c r="E132" s="3576"/>
      <c r="F132" s="3576"/>
      <c r="G132" s="3576"/>
      <c r="H132" s="3576"/>
      <c r="I132" s="3576"/>
      <c r="J132" s="3576"/>
      <c r="K132" s="3576"/>
      <c r="L132" s="3577"/>
      <c r="M132" s="169"/>
      <c r="N132" s="3649"/>
      <c r="O132" s="3869" t="str">
        <f ca="1">IFERROR(__xludf.DUMMYFUNCTION("""COMPUTED_VALUE"""),"Notes")</f>
        <v>Notes</v>
      </c>
      <c r="P132" s="3579"/>
      <c r="Q132" s="3579"/>
      <c r="R132" s="3580"/>
      <c r="S132" s="3699"/>
      <c r="T132" s="3576"/>
      <c r="U132" s="3576"/>
      <c r="V132" s="3576"/>
      <c r="W132" s="3576"/>
      <c r="X132" s="3576"/>
      <c r="Y132" s="3576"/>
      <c r="Z132" s="3576"/>
      <c r="AA132" s="3576"/>
      <c r="AB132" s="3576"/>
      <c r="AC132" s="3576"/>
      <c r="AD132" s="3576"/>
      <c r="AE132" s="3576"/>
      <c r="AF132" s="3576"/>
      <c r="AG132" s="3577"/>
      <c r="AH132" s="171"/>
      <c r="AI132" s="170"/>
      <c r="AJ132" s="170"/>
      <c r="AK132" s="170"/>
      <c r="AL132" s="170"/>
      <c r="AM132" s="170"/>
      <c r="AN132" s="170"/>
      <c r="AO132" s="170"/>
      <c r="AP132" s="170"/>
      <c r="AQ132" s="170"/>
      <c r="AR132" s="170"/>
      <c r="AS132" s="170"/>
      <c r="AT132" s="170"/>
      <c r="AU132" s="162"/>
      <c r="AV132" s="162"/>
      <c r="AW132" s="162"/>
      <c r="AX132" s="162"/>
      <c r="AY132" s="162"/>
      <c r="AZ132" s="162"/>
      <c r="BA132" s="162"/>
      <c r="BB132" s="162"/>
      <c r="BC132" s="162"/>
      <c r="BD132" s="162"/>
      <c r="BE132" s="162"/>
      <c r="BF132" s="162"/>
      <c r="BG132" s="162"/>
      <c r="BH132" s="162"/>
      <c r="BI132" s="162"/>
      <c r="BJ132" s="162"/>
      <c r="BK132" s="162"/>
      <c r="BL132" s="162"/>
      <c r="BM132" s="162"/>
      <c r="BN132" s="162"/>
      <c r="BO132" s="162"/>
      <c r="BP132" s="162"/>
      <c r="BQ132" s="162"/>
      <c r="BR132" s="162"/>
      <c r="BS132" s="162"/>
      <c r="BT132" s="162"/>
      <c r="BU132" s="162"/>
      <c r="BV132" s="162"/>
      <c r="BW132" s="162"/>
      <c r="BX132" s="162"/>
      <c r="BY132" s="162"/>
    </row>
    <row r="133" spans="1:77" ht="16.5" thickBot="1">
      <c r="A133" s="162"/>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D133" s="169"/>
      <c r="AE133" s="169"/>
      <c r="AF133" s="169"/>
      <c r="AG133" s="169"/>
      <c r="AH133" s="169"/>
      <c r="AI133" s="169"/>
      <c r="AJ133" s="169"/>
      <c r="AK133" s="169"/>
      <c r="AL133" s="169"/>
      <c r="AM133" s="169"/>
      <c r="AN133" s="169"/>
      <c r="AO133" s="169"/>
      <c r="AP133" s="169"/>
      <c r="AQ133" s="169"/>
      <c r="AR133" s="169"/>
      <c r="AS133" s="169"/>
      <c r="AT133" s="169"/>
      <c r="AU133" s="162"/>
      <c r="AV133" s="162"/>
      <c r="AW133" s="162"/>
      <c r="AX133" s="162"/>
      <c r="AY133" s="162"/>
      <c r="AZ133" s="162"/>
      <c r="BA133" s="162"/>
      <c r="BB133" s="162"/>
      <c r="BC133" s="162"/>
      <c r="BD133" s="162"/>
      <c r="BE133" s="162"/>
      <c r="BF133" s="162"/>
      <c r="BG133" s="162"/>
      <c r="BH133" s="162"/>
      <c r="BI133" s="162"/>
      <c r="BJ133" s="162"/>
      <c r="BK133" s="162"/>
      <c r="BL133" s="162"/>
      <c r="BM133" s="162"/>
      <c r="BN133" s="162"/>
      <c r="BO133" s="162"/>
      <c r="BP133" s="162"/>
      <c r="BQ133" s="162"/>
      <c r="BR133" s="162"/>
      <c r="BS133" s="162"/>
      <c r="BT133" s="162"/>
      <c r="BU133" s="162"/>
      <c r="BV133" s="162"/>
      <c r="BW133" s="162"/>
      <c r="BX133" s="162"/>
      <c r="BY133" s="162"/>
    </row>
    <row r="134" spans="1:77" ht="16.5" thickBot="1">
      <c r="A134" s="162"/>
      <c r="B134" s="3646" t="str">
        <f ca="1">IFERROR(__xludf.DUMMYFUNCTION("""COMPUTED_VALUE"""),"Notes")</f>
        <v>Notes</v>
      </c>
      <c r="C134" s="3579"/>
      <c r="D134" s="3579"/>
      <c r="E134" s="3579"/>
      <c r="F134" s="3579"/>
      <c r="G134" s="3579"/>
      <c r="H134" s="3579"/>
      <c r="I134" s="3579"/>
      <c r="J134" s="3579"/>
      <c r="K134" s="3579"/>
      <c r="L134" s="3579"/>
      <c r="M134" s="3579"/>
      <c r="N134" s="3579"/>
      <c r="O134" s="3579"/>
      <c r="P134" s="3579"/>
      <c r="Q134" s="3579"/>
      <c r="R134" s="3579"/>
      <c r="S134" s="3579"/>
      <c r="T134" s="3579"/>
      <c r="U134" s="3579"/>
      <c r="V134" s="3580"/>
      <c r="W134" s="169"/>
      <c r="X134" s="3718" t="str">
        <f ca="1">IFERROR(__xludf.DUMMYFUNCTION("""COMPUTED_VALUE"""),"Equipment")</f>
        <v>Equipment</v>
      </c>
      <c r="Y134" s="3579"/>
      <c r="Z134" s="3579"/>
      <c r="AA134" s="3579"/>
      <c r="AB134" s="3579"/>
      <c r="AC134" s="3584"/>
      <c r="AD134" s="3622" t="str">
        <f ca="1">IFERROR(__xludf.DUMMYFUNCTION("""COMPUTED_VALUE"""),"qty")</f>
        <v>qty</v>
      </c>
      <c r="AE134" s="3584"/>
      <c r="AF134" s="3624" t="str">
        <f ca="1">IFERROR(__xludf.DUMMYFUNCTION("""COMPUTED_VALUE"""),"wgt")</f>
        <v>wgt</v>
      </c>
      <c r="AG134" s="3579"/>
      <c r="AH134" s="3580"/>
      <c r="AI134" s="169"/>
      <c r="AJ134" s="3718" t="str">
        <f ca="1">IFERROR(__xludf.DUMMYFUNCTION("""COMPUTED_VALUE"""),"Equipment")</f>
        <v>Equipment</v>
      </c>
      <c r="AK134" s="3579"/>
      <c r="AL134" s="3579"/>
      <c r="AM134" s="3579"/>
      <c r="AN134" s="3579"/>
      <c r="AO134" s="3584"/>
      <c r="AP134" s="3622" t="str">
        <f ca="1">IFERROR(__xludf.DUMMYFUNCTION("""COMPUTED_VALUE"""),"qty")</f>
        <v>qty</v>
      </c>
      <c r="AQ134" s="3584"/>
      <c r="AR134" s="3624" t="str">
        <f ca="1">IFERROR(__xludf.DUMMYFUNCTION("""COMPUTED_VALUE"""),"wgt")</f>
        <v>wgt</v>
      </c>
      <c r="AS134" s="3579"/>
      <c r="AT134" s="3580"/>
      <c r="AU134" s="162"/>
      <c r="AV134" s="162"/>
      <c r="AW134" s="162"/>
      <c r="AX134" s="162"/>
      <c r="AY134" s="162"/>
      <c r="AZ134" s="162"/>
      <c r="BA134" s="162"/>
      <c r="BB134" s="162"/>
      <c r="BC134" s="162"/>
      <c r="BD134" s="162"/>
      <c r="BE134" s="162"/>
      <c r="BF134" s="162"/>
      <c r="BG134" s="162"/>
      <c r="BH134" s="162"/>
      <c r="BI134" s="162"/>
      <c r="BJ134" s="162"/>
      <c r="BK134" s="162"/>
      <c r="BL134" s="162"/>
      <c r="BM134" s="162"/>
      <c r="BN134" s="162"/>
      <c r="BO134" s="162"/>
      <c r="BP134" s="162"/>
      <c r="BQ134" s="162"/>
      <c r="BR134" s="162"/>
      <c r="BS134" s="162"/>
      <c r="BT134" s="162"/>
      <c r="BU134" s="162"/>
      <c r="BV134" s="162"/>
      <c r="BW134" s="162"/>
      <c r="BX134" s="162"/>
      <c r="BY134" s="162"/>
    </row>
    <row r="135" spans="1:77">
      <c r="A135" s="162"/>
      <c r="B135" s="3645"/>
      <c r="C135" s="3573"/>
      <c r="D135" s="3573"/>
      <c r="E135" s="3573"/>
      <c r="F135" s="3573"/>
      <c r="G135" s="3573"/>
      <c r="H135" s="3573"/>
      <c r="I135" s="3573"/>
      <c r="J135" s="3573"/>
      <c r="K135" s="3573"/>
      <c r="L135" s="3573"/>
      <c r="M135" s="3573"/>
      <c r="N135" s="3573"/>
      <c r="O135" s="3573"/>
      <c r="P135" s="3573"/>
      <c r="Q135" s="3573"/>
      <c r="R135" s="3573"/>
      <c r="S135" s="3573"/>
      <c r="T135" s="3573"/>
      <c r="U135" s="3573"/>
      <c r="V135" s="3574"/>
      <c r="W135" s="168"/>
      <c r="X135" s="3719"/>
      <c r="Y135" s="3596"/>
      <c r="Z135" s="3596"/>
      <c r="AA135" s="3596"/>
      <c r="AB135" s="3596"/>
      <c r="AC135" s="3586"/>
      <c r="AD135" s="3621"/>
      <c r="AE135" s="3586"/>
      <c r="AF135" s="3621"/>
      <c r="AG135" s="3596"/>
      <c r="AH135" s="3623"/>
      <c r="AI135" s="168"/>
      <c r="AJ135" s="3719"/>
      <c r="AK135" s="3596"/>
      <c r="AL135" s="3596"/>
      <c r="AM135" s="3596"/>
      <c r="AN135" s="3596"/>
      <c r="AO135" s="3586"/>
      <c r="AP135" s="3621"/>
      <c r="AQ135" s="3586"/>
      <c r="AR135" s="3621"/>
      <c r="AS135" s="3596"/>
      <c r="AT135" s="3623"/>
      <c r="AU135" s="162"/>
      <c r="AV135" s="162"/>
      <c r="AW135" s="162"/>
      <c r="AX135" s="162"/>
      <c r="AY135" s="162"/>
      <c r="AZ135" s="162"/>
      <c r="BA135" s="162"/>
      <c r="BB135" s="162"/>
      <c r="BC135" s="162"/>
      <c r="BD135" s="162"/>
      <c r="BE135" s="162"/>
      <c r="BF135" s="162"/>
      <c r="BG135" s="162"/>
      <c r="BH135" s="162"/>
      <c r="BI135" s="162"/>
      <c r="BJ135" s="162"/>
      <c r="BK135" s="162"/>
      <c r="BL135" s="162"/>
      <c r="BM135" s="162"/>
      <c r="BN135" s="162"/>
      <c r="BO135" s="162"/>
      <c r="BP135" s="162"/>
      <c r="BQ135" s="162"/>
      <c r="BR135" s="162"/>
      <c r="BS135" s="162"/>
      <c r="BT135" s="162"/>
      <c r="BU135" s="162"/>
      <c r="BV135" s="162"/>
      <c r="BW135" s="162"/>
      <c r="BX135" s="162"/>
      <c r="BY135" s="162"/>
    </row>
    <row r="136" spans="1:77">
      <c r="A136" s="162"/>
      <c r="B136" s="3602"/>
      <c r="C136" s="3562"/>
      <c r="D136" s="3562"/>
      <c r="E136" s="3562"/>
      <c r="F136" s="3562"/>
      <c r="G136" s="3562"/>
      <c r="H136" s="3562"/>
      <c r="I136" s="3562"/>
      <c r="J136" s="3562"/>
      <c r="K136" s="3562"/>
      <c r="L136" s="3562"/>
      <c r="M136" s="3562"/>
      <c r="N136" s="3562"/>
      <c r="O136" s="3562"/>
      <c r="P136" s="3562"/>
      <c r="Q136" s="3562"/>
      <c r="R136" s="3562"/>
      <c r="S136" s="3562"/>
      <c r="T136" s="3562"/>
      <c r="U136" s="3562"/>
      <c r="V136" s="3603"/>
      <c r="W136" s="168"/>
      <c r="X136" s="3571"/>
      <c r="Y136" s="3564"/>
      <c r="Z136" s="3564"/>
      <c r="AA136" s="3564"/>
      <c r="AB136" s="3564"/>
      <c r="AC136" s="3565"/>
      <c r="AD136" s="3566"/>
      <c r="AE136" s="3565"/>
      <c r="AF136" s="3566"/>
      <c r="AG136" s="3564"/>
      <c r="AH136" s="3567"/>
      <c r="AI136" s="168"/>
      <c r="AJ136" s="3571"/>
      <c r="AK136" s="3564"/>
      <c r="AL136" s="3564"/>
      <c r="AM136" s="3564"/>
      <c r="AN136" s="3564"/>
      <c r="AO136" s="3565"/>
      <c r="AP136" s="3566"/>
      <c r="AQ136" s="3565"/>
      <c r="AR136" s="3566"/>
      <c r="AS136" s="3564"/>
      <c r="AT136" s="3567"/>
      <c r="AU136" s="162"/>
      <c r="AV136" s="162"/>
      <c r="AW136" s="162"/>
      <c r="AX136" s="162"/>
      <c r="AY136" s="162"/>
      <c r="AZ136" s="162"/>
      <c r="BA136" s="162"/>
      <c r="BB136" s="162"/>
      <c r="BC136" s="162"/>
      <c r="BD136" s="162"/>
      <c r="BE136" s="162"/>
      <c r="BF136" s="162"/>
      <c r="BG136" s="162"/>
      <c r="BH136" s="162"/>
      <c r="BI136" s="162"/>
      <c r="BJ136" s="162"/>
      <c r="BK136" s="162"/>
      <c r="BL136" s="162"/>
      <c r="BM136" s="162"/>
      <c r="BN136" s="162"/>
      <c r="BO136" s="162"/>
      <c r="BP136" s="162"/>
      <c r="BQ136" s="162"/>
      <c r="BR136" s="162"/>
      <c r="BS136" s="162"/>
      <c r="BT136" s="162"/>
      <c r="BU136" s="162"/>
      <c r="BV136" s="162"/>
      <c r="BW136" s="162"/>
      <c r="BX136" s="162"/>
      <c r="BY136" s="162"/>
    </row>
    <row r="137" spans="1:77">
      <c r="A137" s="162"/>
      <c r="B137" s="3644"/>
      <c r="C137" s="3598"/>
      <c r="D137" s="3598"/>
      <c r="E137" s="3598"/>
      <c r="F137" s="3598"/>
      <c r="G137" s="3598"/>
      <c r="H137" s="3598"/>
      <c r="I137" s="3598"/>
      <c r="J137" s="3598"/>
      <c r="K137" s="3598"/>
      <c r="L137" s="3598"/>
      <c r="M137" s="3598"/>
      <c r="N137" s="3598"/>
      <c r="O137" s="3598"/>
      <c r="P137" s="3598"/>
      <c r="Q137" s="3598"/>
      <c r="R137" s="3598"/>
      <c r="S137" s="3598"/>
      <c r="T137" s="3598"/>
      <c r="U137" s="3598"/>
      <c r="V137" s="3599"/>
      <c r="W137" s="168"/>
      <c r="X137" s="3571"/>
      <c r="Y137" s="3564"/>
      <c r="Z137" s="3564"/>
      <c r="AA137" s="3564"/>
      <c r="AB137" s="3564"/>
      <c r="AC137" s="3565"/>
      <c r="AD137" s="3566"/>
      <c r="AE137" s="3565"/>
      <c r="AF137" s="3566"/>
      <c r="AG137" s="3564"/>
      <c r="AH137" s="3567"/>
      <c r="AI137" s="168"/>
      <c r="AJ137" s="3571"/>
      <c r="AK137" s="3564"/>
      <c r="AL137" s="3564"/>
      <c r="AM137" s="3564"/>
      <c r="AN137" s="3564"/>
      <c r="AO137" s="3565"/>
      <c r="AP137" s="3566"/>
      <c r="AQ137" s="3565"/>
      <c r="AR137" s="3566"/>
      <c r="AS137" s="3564"/>
      <c r="AT137" s="3567"/>
      <c r="AU137" s="162"/>
      <c r="AV137" s="162"/>
      <c r="AW137" s="162"/>
      <c r="AX137" s="162"/>
      <c r="AY137" s="162"/>
      <c r="AZ137" s="162"/>
      <c r="BA137" s="162"/>
      <c r="BB137" s="162"/>
      <c r="BC137" s="162"/>
      <c r="BD137" s="162"/>
      <c r="BE137" s="162"/>
      <c r="BF137" s="162"/>
      <c r="BG137" s="162"/>
      <c r="BH137" s="162"/>
      <c r="BI137" s="162"/>
      <c r="BJ137" s="162"/>
      <c r="BK137" s="162"/>
      <c r="BL137" s="162"/>
      <c r="BM137" s="162"/>
      <c r="BN137" s="162"/>
      <c r="BO137" s="162"/>
      <c r="BP137" s="162"/>
      <c r="BQ137" s="162"/>
      <c r="BR137" s="162"/>
      <c r="BS137" s="162"/>
      <c r="BT137" s="162"/>
      <c r="BU137" s="162"/>
      <c r="BV137" s="162"/>
      <c r="BW137" s="162"/>
      <c r="BX137" s="162"/>
      <c r="BY137" s="162"/>
    </row>
    <row r="138" spans="1:77">
      <c r="A138" s="162"/>
      <c r="B138" s="3602"/>
      <c r="C138" s="3562"/>
      <c r="D138" s="3562"/>
      <c r="E138" s="3562"/>
      <c r="F138" s="3562"/>
      <c r="G138" s="3562"/>
      <c r="H138" s="3562"/>
      <c r="I138" s="3562"/>
      <c r="J138" s="3562"/>
      <c r="K138" s="3562"/>
      <c r="L138" s="3562"/>
      <c r="M138" s="3562"/>
      <c r="N138" s="3562"/>
      <c r="O138" s="3562"/>
      <c r="P138" s="3562"/>
      <c r="Q138" s="3562"/>
      <c r="R138" s="3562"/>
      <c r="S138" s="3562"/>
      <c r="T138" s="3562"/>
      <c r="U138" s="3562"/>
      <c r="V138" s="3603"/>
      <c r="W138" s="168"/>
      <c r="X138" s="3571"/>
      <c r="Y138" s="3564"/>
      <c r="Z138" s="3564"/>
      <c r="AA138" s="3564"/>
      <c r="AB138" s="3564"/>
      <c r="AC138" s="3565"/>
      <c r="AD138" s="3566"/>
      <c r="AE138" s="3565"/>
      <c r="AF138" s="3566"/>
      <c r="AG138" s="3564"/>
      <c r="AH138" s="3567"/>
      <c r="AI138" s="168"/>
      <c r="AJ138" s="3571"/>
      <c r="AK138" s="3564"/>
      <c r="AL138" s="3564"/>
      <c r="AM138" s="3564"/>
      <c r="AN138" s="3564"/>
      <c r="AO138" s="3565"/>
      <c r="AP138" s="3566"/>
      <c r="AQ138" s="3565"/>
      <c r="AR138" s="3566"/>
      <c r="AS138" s="3564"/>
      <c r="AT138" s="3567"/>
      <c r="AU138" s="162"/>
      <c r="AV138" s="162"/>
      <c r="AW138" s="162"/>
      <c r="AX138" s="162"/>
      <c r="AY138" s="162"/>
      <c r="AZ138" s="162"/>
      <c r="BA138" s="162"/>
      <c r="BB138" s="162"/>
      <c r="BC138" s="162"/>
      <c r="BD138" s="162"/>
      <c r="BE138" s="162"/>
      <c r="BF138" s="162"/>
      <c r="BG138" s="162"/>
      <c r="BH138" s="162"/>
      <c r="BI138" s="162"/>
      <c r="BJ138" s="162"/>
      <c r="BK138" s="162"/>
      <c r="BL138" s="162"/>
      <c r="BM138" s="162"/>
      <c r="BN138" s="162"/>
      <c r="BO138" s="162"/>
      <c r="BP138" s="162"/>
      <c r="BQ138" s="162"/>
      <c r="BR138" s="162"/>
      <c r="BS138" s="162"/>
      <c r="BT138" s="162"/>
      <c r="BU138" s="162"/>
      <c r="BV138" s="162"/>
      <c r="BW138" s="162"/>
      <c r="BX138" s="162"/>
      <c r="BY138" s="162"/>
    </row>
    <row r="139" spans="1:77">
      <c r="A139" s="162"/>
      <c r="B139" s="3644"/>
      <c r="C139" s="3598"/>
      <c r="D139" s="3598"/>
      <c r="E139" s="3598"/>
      <c r="F139" s="3598"/>
      <c r="G139" s="3598"/>
      <c r="H139" s="3598"/>
      <c r="I139" s="3598"/>
      <c r="J139" s="3598"/>
      <c r="K139" s="3598"/>
      <c r="L139" s="3598"/>
      <c r="M139" s="3598"/>
      <c r="N139" s="3598"/>
      <c r="O139" s="3598"/>
      <c r="P139" s="3598"/>
      <c r="Q139" s="3598"/>
      <c r="R139" s="3598"/>
      <c r="S139" s="3598"/>
      <c r="T139" s="3598"/>
      <c r="U139" s="3598"/>
      <c r="V139" s="3599"/>
      <c r="W139" s="168"/>
      <c r="X139" s="3571"/>
      <c r="Y139" s="3564"/>
      <c r="Z139" s="3564"/>
      <c r="AA139" s="3564"/>
      <c r="AB139" s="3564"/>
      <c r="AC139" s="3565"/>
      <c r="AD139" s="3566"/>
      <c r="AE139" s="3565"/>
      <c r="AF139" s="3566"/>
      <c r="AG139" s="3564"/>
      <c r="AH139" s="3567"/>
      <c r="AI139" s="168"/>
      <c r="AJ139" s="3571"/>
      <c r="AK139" s="3564"/>
      <c r="AL139" s="3564"/>
      <c r="AM139" s="3564"/>
      <c r="AN139" s="3564"/>
      <c r="AO139" s="3565"/>
      <c r="AP139" s="3566"/>
      <c r="AQ139" s="3565"/>
      <c r="AR139" s="3566"/>
      <c r="AS139" s="3564"/>
      <c r="AT139" s="3567"/>
      <c r="AU139" s="162"/>
      <c r="AV139" s="162"/>
      <c r="AW139" s="162"/>
      <c r="AX139" s="162"/>
      <c r="AY139" s="162"/>
      <c r="AZ139" s="162"/>
      <c r="BA139" s="162"/>
      <c r="BB139" s="162"/>
      <c r="BC139" s="162"/>
      <c r="BD139" s="162"/>
      <c r="BE139" s="162"/>
      <c r="BF139" s="162"/>
      <c r="BG139" s="162"/>
      <c r="BH139" s="162"/>
      <c r="BI139" s="162"/>
      <c r="BJ139" s="162"/>
      <c r="BK139" s="162"/>
      <c r="BL139" s="162"/>
      <c r="BM139" s="162"/>
      <c r="BN139" s="162"/>
      <c r="BO139" s="162"/>
      <c r="BP139" s="162"/>
      <c r="BQ139" s="162"/>
      <c r="BR139" s="162"/>
      <c r="BS139" s="162"/>
      <c r="BT139" s="162"/>
      <c r="BU139" s="162"/>
      <c r="BV139" s="162"/>
      <c r="BW139" s="162"/>
      <c r="BX139" s="162"/>
      <c r="BY139" s="162"/>
    </row>
    <row r="140" spans="1:77">
      <c r="A140" s="162"/>
      <c r="B140" s="3602"/>
      <c r="C140" s="3562"/>
      <c r="D140" s="3562"/>
      <c r="E140" s="3562"/>
      <c r="F140" s="3562"/>
      <c r="G140" s="3562"/>
      <c r="H140" s="3562"/>
      <c r="I140" s="3562"/>
      <c r="J140" s="3562"/>
      <c r="K140" s="3562"/>
      <c r="L140" s="3562"/>
      <c r="M140" s="3562"/>
      <c r="N140" s="3562"/>
      <c r="O140" s="3562"/>
      <c r="P140" s="3562"/>
      <c r="Q140" s="3562"/>
      <c r="R140" s="3562"/>
      <c r="S140" s="3562"/>
      <c r="T140" s="3562"/>
      <c r="U140" s="3562"/>
      <c r="V140" s="3603"/>
      <c r="W140" s="168"/>
      <c r="X140" s="3571"/>
      <c r="Y140" s="3564"/>
      <c r="Z140" s="3564"/>
      <c r="AA140" s="3564"/>
      <c r="AB140" s="3564"/>
      <c r="AC140" s="3565"/>
      <c r="AD140" s="3566"/>
      <c r="AE140" s="3565"/>
      <c r="AF140" s="3566"/>
      <c r="AG140" s="3564"/>
      <c r="AH140" s="3567"/>
      <c r="AI140" s="168"/>
      <c r="AJ140" s="3571"/>
      <c r="AK140" s="3564"/>
      <c r="AL140" s="3564"/>
      <c r="AM140" s="3564"/>
      <c r="AN140" s="3564"/>
      <c r="AO140" s="3565"/>
      <c r="AP140" s="3566"/>
      <c r="AQ140" s="3565"/>
      <c r="AR140" s="3566"/>
      <c r="AS140" s="3564"/>
      <c r="AT140" s="3567"/>
      <c r="AU140" s="162"/>
      <c r="AV140" s="162"/>
      <c r="AW140" s="162"/>
      <c r="AX140" s="162"/>
      <c r="AY140" s="162"/>
      <c r="AZ140" s="162"/>
      <c r="BA140" s="162"/>
      <c r="BB140" s="162"/>
      <c r="BC140" s="162"/>
      <c r="BD140" s="162"/>
      <c r="BE140" s="162"/>
      <c r="BF140" s="162"/>
      <c r="BG140" s="162"/>
      <c r="BH140" s="162"/>
      <c r="BI140" s="162"/>
      <c r="BJ140" s="162"/>
      <c r="BK140" s="162"/>
      <c r="BL140" s="162"/>
      <c r="BM140" s="162"/>
      <c r="BN140" s="162"/>
      <c r="BO140" s="162"/>
      <c r="BP140" s="162"/>
      <c r="BQ140" s="162"/>
      <c r="BR140" s="162"/>
      <c r="BS140" s="162"/>
      <c r="BT140" s="162"/>
      <c r="BU140" s="162"/>
      <c r="BV140" s="162"/>
      <c r="BW140" s="162"/>
      <c r="BX140" s="162"/>
      <c r="BY140" s="162"/>
    </row>
    <row r="141" spans="1:77">
      <c r="A141" s="162"/>
      <c r="B141" s="3861"/>
      <c r="C141" s="2707"/>
      <c r="D141" s="2707"/>
      <c r="E141" s="2707"/>
      <c r="F141" s="2707"/>
      <c r="G141" s="2707"/>
      <c r="H141" s="2707"/>
      <c r="I141" s="2707"/>
      <c r="J141" s="2707"/>
      <c r="K141" s="2707"/>
      <c r="L141" s="2707"/>
      <c r="M141" s="2707"/>
      <c r="N141" s="2707"/>
      <c r="O141" s="2707"/>
      <c r="P141" s="2707"/>
      <c r="Q141" s="2707"/>
      <c r="R141" s="2707"/>
      <c r="S141" s="2707"/>
      <c r="T141" s="2707"/>
      <c r="U141" s="2707"/>
      <c r="V141" s="3601"/>
      <c r="W141" s="168"/>
      <c r="X141" s="3571"/>
      <c r="Y141" s="3564"/>
      <c r="Z141" s="3564"/>
      <c r="AA141" s="3564"/>
      <c r="AB141" s="3564"/>
      <c r="AC141" s="3565"/>
      <c r="AD141" s="3566"/>
      <c r="AE141" s="3565"/>
      <c r="AF141" s="3566"/>
      <c r="AG141" s="3564"/>
      <c r="AH141" s="3567"/>
      <c r="AI141" s="168"/>
      <c r="AJ141" s="3571"/>
      <c r="AK141" s="3564"/>
      <c r="AL141" s="3564"/>
      <c r="AM141" s="3564"/>
      <c r="AN141" s="3564"/>
      <c r="AO141" s="3565"/>
      <c r="AP141" s="3566"/>
      <c r="AQ141" s="3565"/>
      <c r="AR141" s="3566"/>
      <c r="AS141" s="3564"/>
      <c r="AT141" s="3567"/>
      <c r="AU141" s="162"/>
      <c r="AV141" s="162"/>
      <c r="AW141" s="162"/>
      <c r="AX141" s="162"/>
      <c r="AY141" s="162"/>
      <c r="AZ141" s="162"/>
      <c r="BA141" s="162"/>
      <c r="BB141" s="162"/>
      <c r="BC141" s="162"/>
      <c r="BD141" s="162"/>
      <c r="BE141" s="162"/>
      <c r="BF141" s="162"/>
      <c r="BG141" s="162"/>
      <c r="BH141" s="162"/>
      <c r="BI141" s="162"/>
      <c r="BJ141" s="162"/>
      <c r="BK141" s="162"/>
      <c r="BL141" s="162"/>
      <c r="BM141" s="162"/>
      <c r="BN141" s="162"/>
      <c r="BO141" s="162"/>
      <c r="BP141" s="162"/>
      <c r="BQ141" s="162"/>
      <c r="BR141" s="162"/>
      <c r="BS141" s="162"/>
      <c r="BT141" s="162"/>
      <c r="BU141" s="162"/>
      <c r="BV141" s="162"/>
      <c r="BW141" s="162"/>
      <c r="BX141" s="162"/>
      <c r="BY141" s="162"/>
    </row>
    <row r="142" spans="1:77">
      <c r="A142" s="162"/>
      <c r="B142" s="3600"/>
      <c r="C142" s="2707"/>
      <c r="D142" s="2707"/>
      <c r="E142" s="2707"/>
      <c r="F142" s="2707"/>
      <c r="G142" s="2707"/>
      <c r="H142" s="2707"/>
      <c r="I142" s="2707"/>
      <c r="J142" s="2707"/>
      <c r="K142" s="2707"/>
      <c r="L142" s="2707"/>
      <c r="M142" s="2707"/>
      <c r="N142" s="2707"/>
      <c r="O142" s="2707"/>
      <c r="P142" s="2707"/>
      <c r="Q142" s="2707"/>
      <c r="R142" s="2707"/>
      <c r="S142" s="2707"/>
      <c r="T142" s="2707"/>
      <c r="U142" s="2707"/>
      <c r="V142" s="3601"/>
      <c r="W142" s="168"/>
      <c r="X142" s="3571"/>
      <c r="Y142" s="3564"/>
      <c r="Z142" s="3564"/>
      <c r="AA142" s="3564"/>
      <c r="AB142" s="3564"/>
      <c r="AC142" s="3565"/>
      <c r="AD142" s="3566"/>
      <c r="AE142" s="3565"/>
      <c r="AF142" s="3566"/>
      <c r="AG142" s="3564"/>
      <c r="AH142" s="3567"/>
      <c r="AI142" s="168"/>
      <c r="AJ142" s="3571"/>
      <c r="AK142" s="3564"/>
      <c r="AL142" s="3564"/>
      <c r="AM142" s="3564"/>
      <c r="AN142" s="3564"/>
      <c r="AO142" s="3565"/>
      <c r="AP142" s="3566"/>
      <c r="AQ142" s="3565"/>
      <c r="AR142" s="3566"/>
      <c r="AS142" s="3564"/>
      <c r="AT142" s="3567"/>
      <c r="AU142" s="162"/>
      <c r="AV142" s="162"/>
      <c r="AW142" s="162"/>
      <c r="AX142" s="162"/>
      <c r="AY142" s="162"/>
      <c r="AZ142" s="162"/>
      <c r="BA142" s="162"/>
      <c r="BB142" s="162"/>
      <c r="BC142" s="162"/>
      <c r="BD142" s="162"/>
      <c r="BE142" s="162"/>
      <c r="BF142" s="162"/>
      <c r="BG142" s="162"/>
      <c r="BH142" s="162"/>
      <c r="BI142" s="162"/>
      <c r="BJ142" s="162"/>
      <c r="BK142" s="162"/>
      <c r="BL142" s="162"/>
      <c r="BM142" s="162"/>
      <c r="BN142" s="162"/>
      <c r="BO142" s="162"/>
      <c r="BP142" s="162"/>
      <c r="BQ142" s="162"/>
      <c r="BR142" s="162"/>
      <c r="BS142" s="162"/>
      <c r="BT142" s="162"/>
      <c r="BU142" s="162"/>
      <c r="BV142" s="162"/>
      <c r="BW142" s="162"/>
      <c r="BX142" s="162"/>
      <c r="BY142" s="162"/>
    </row>
    <row r="143" spans="1:77">
      <c r="A143" s="162"/>
      <c r="B143" s="3644"/>
      <c r="C143" s="3598"/>
      <c r="D143" s="3598"/>
      <c r="E143" s="3598"/>
      <c r="F143" s="3598"/>
      <c r="G143" s="3598"/>
      <c r="H143" s="3598"/>
      <c r="I143" s="3598"/>
      <c r="J143" s="3598"/>
      <c r="K143" s="3598"/>
      <c r="L143" s="3598"/>
      <c r="M143" s="3598"/>
      <c r="N143" s="3598"/>
      <c r="O143" s="3598"/>
      <c r="P143" s="3598"/>
      <c r="Q143" s="3598"/>
      <c r="R143" s="3598"/>
      <c r="S143" s="3598"/>
      <c r="T143" s="3598"/>
      <c r="U143" s="3598"/>
      <c r="V143" s="3599"/>
      <c r="W143" s="168"/>
      <c r="X143" s="3571"/>
      <c r="Y143" s="3564"/>
      <c r="Z143" s="3564"/>
      <c r="AA143" s="3564"/>
      <c r="AB143" s="3564"/>
      <c r="AC143" s="3565"/>
      <c r="AD143" s="3566"/>
      <c r="AE143" s="3565"/>
      <c r="AF143" s="3566"/>
      <c r="AG143" s="3564"/>
      <c r="AH143" s="3567"/>
      <c r="AI143" s="168"/>
      <c r="AJ143" s="3571"/>
      <c r="AK143" s="3564"/>
      <c r="AL143" s="3564"/>
      <c r="AM143" s="3564"/>
      <c r="AN143" s="3564"/>
      <c r="AO143" s="3565"/>
      <c r="AP143" s="3566"/>
      <c r="AQ143" s="3565"/>
      <c r="AR143" s="3566"/>
      <c r="AS143" s="3564"/>
      <c r="AT143" s="3567"/>
      <c r="AU143" s="162"/>
      <c r="AV143" s="162"/>
      <c r="AW143" s="162"/>
      <c r="AX143" s="162"/>
      <c r="AY143" s="162"/>
      <c r="AZ143" s="162"/>
      <c r="BA143" s="162"/>
      <c r="BB143" s="162"/>
      <c r="BC143" s="162"/>
      <c r="BD143" s="162"/>
      <c r="BE143" s="162"/>
      <c r="BF143" s="162"/>
      <c r="BG143" s="162"/>
      <c r="BH143" s="162"/>
      <c r="BI143" s="162"/>
      <c r="BJ143" s="162"/>
      <c r="BK143" s="162"/>
      <c r="BL143" s="162"/>
      <c r="BM143" s="162"/>
      <c r="BN143" s="162"/>
      <c r="BO143" s="162"/>
      <c r="BP143" s="162"/>
      <c r="BQ143" s="162"/>
      <c r="BR143" s="162"/>
      <c r="BS143" s="162"/>
      <c r="BT143" s="162"/>
      <c r="BU143" s="162"/>
      <c r="BV143" s="162"/>
      <c r="BW143" s="162"/>
      <c r="BX143" s="162"/>
      <c r="BY143" s="162"/>
    </row>
    <row r="144" spans="1:77">
      <c r="A144" s="162"/>
      <c r="B144" s="3602"/>
      <c r="C144" s="3562"/>
      <c r="D144" s="3562"/>
      <c r="E144" s="3562"/>
      <c r="F144" s="3562"/>
      <c r="G144" s="3562"/>
      <c r="H144" s="3562"/>
      <c r="I144" s="3562"/>
      <c r="J144" s="3562"/>
      <c r="K144" s="3562"/>
      <c r="L144" s="3562"/>
      <c r="M144" s="3562"/>
      <c r="N144" s="3562"/>
      <c r="O144" s="3562"/>
      <c r="P144" s="3562"/>
      <c r="Q144" s="3562"/>
      <c r="R144" s="3562"/>
      <c r="S144" s="3562"/>
      <c r="T144" s="3562"/>
      <c r="U144" s="3562"/>
      <c r="V144" s="3603"/>
      <c r="W144" s="168"/>
      <c r="X144" s="3571"/>
      <c r="Y144" s="3564"/>
      <c r="Z144" s="3564"/>
      <c r="AA144" s="3564"/>
      <c r="AB144" s="3564"/>
      <c r="AC144" s="3565"/>
      <c r="AD144" s="3566"/>
      <c r="AE144" s="3565"/>
      <c r="AF144" s="3566"/>
      <c r="AG144" s="3564"/>
      <c r="AH144" s="3567"/>
      <c r="AI144" s="168"/>
      <c r="AJ144" s="3571"/>
      <c r="AK144" s="3564"/>
      <c r="AL144" s="3564"/>
      <c r="AM144" s="3564"/>
      <c r="AN144" s="3564"/>
      <c r="AO144" s="3565"/>
      <c r="AP144" s="3566"/>
      <c r="AQ144" s="3565"/>
      <c r="AR144" s="3566"/>
      <c r="AS144" s="3564"/>
      <c r="AT144" s="3567"/>
      <c r="AU144" s="162"/>
      <c r="AV144" s="162"/>
      <c r="AW144" s="162"/>
      <c r="AX144" s="162"/>
      <c r="AY144" s="162"/>
      <c r="AZ144" s="162"/>
      <c r="BA144" s="162"/>
      <c r="BB144" s="162"/>
      <c r="BC144" s="162"/>
      <c r="BD144" s="162"/>
      <c r="BE144" s="162"/>
      <c r="BF144" s="162"/>
      <c r="BG144" s="162"/>
      <c r="BH144" s="162"/>
      <c r="BI144" s="162"/>
      <c r="BJ144" s="162"/>
      <c r="BK144" s="162"/>
      <c r="BL144" s="162"/>
      <c r="BM144" s="162"/>
      <c r="BN144" s="162"/>
      <c r="BO144" s="162"/>
      <c r="BP144" s="162"/>
      <c r="BQ144" s="162"/>
      <c r="BR144" s="162"/>
      <c r="BS144" s="162"/>
      <c r="BT144" s="162"/>
      <c r="BU144" s="162"/>
      <c r="BV144" s="162"/>
      <c r="BW144" s="162"/>
      <c r="BX144" s="162"/>
      <c r="BY144" s="162"/>
    </row>
    <row r="145" spans="1:77">
      <c r="A145" s="162"/>
      <c r="B145" s="3644"/>
      <c r="C145" s="3598"/>
      <c r="D145" s="3598"/>
      <c r="E145" s="3598"/>
      <c r="F145" s="3598"/>
      <c r="G145" s="3598"/>
      <c r="H145" s="3598"/>
      <c r="I145" s="3598"/>
      <c r="J145" s="3598"/>
      <c r="K145" s="3598"/>
      <c r="L145" s="3598"/>
      <c r="M145" s="3598"/>
      <c r="N145" s="3598"/>
      <c r="O145" s="3598"/>
      <c r="P145" s="3598"/>
      <c r="Q145" s="3598"/>
      <c r="R145" s="3598"/>
      <c r="S145" s="3598"/>
      <c r="T145" s="3598"/>
      <c r="U145" s="3598"/>
      <c r="V145" s="3599"/>
      <c r="W145" s="168"/>
      <c r="X145" s="3571"/>
      <c r="Y145" s="3564"/>
      <c r="Z145" s="3564"/>
      <c r="AA145" s="3564"/>
      <c r="AB145" s="3564"/>
      <c r="AC145" s="3565"/>
      <c r="AD145" s="3566"/>
      <c r="AE145" s="3565"/>
      <c r="AF145" s="3566"/>
      <c r="AG145" s="3564"/>
      <c r="AH145" s="3567"/>
      <c r="AI145" s="168"/>
      <c r="AJ145" s="3571"/>
      <c r="AK145" s="3564"/>
      <c r="AL145" s="3564"/>
      <c r="AM145" s="3564"/>
      <c r="AN145" s="3564"/>
      <c r="AO145" s="3565"/>
      <c r="AP145" s="3566"/>
      <c r="AQ145" s="3565"/>
      <c r="AR145" s="3566"/>
      <c r="AS145" s="3564"/>
      <c r="AT145" s="3567"/>
      <c r="AU145" s="162"/>
      <c r="AV145" s="162"/>
      <c r="AW145" s="162"/>
      <c r="AX145" s="162"/>
      <c r="AY145" s="162"/>
      <c r="AZ145" s="162"/>
      <c r="BA145" s="162"/>
      <c r="BB145" s="162"/>
      <c r="BC145" s="162"/>
      <c r="BD145" s="162"/>
      <c r="BE145" s="162"/>
      <c r="BF145" s="162"/>
      <c r="BG145" s="162"/>
      <c r="BH145" s="162"/>
      <c r="BI145" s="162"/>
      <c r="BJ145" s="162"/>
      <c r="BK145" s="162"/>
      <c r="BL145" s="162"/>
      <c r="BM145" s="162"/>
      <c r="BN145" s="162"/>
      <c r="BO145" s="162"/>
      <c r="BP145" s="162"/>
      <c r="BQ145" s="162"/>
      <c r="BR145" s="162"/>
      <c r="BS145" s="162"/>
      <c r="BT145" s="162"/>
      <c r="BU145" s="162"/>
      <c r="BV145" s="162"/>
      <c r="BW145" s="162"/>
      <c r="BX145" s="162"/>
      <c r="BY145" s="162"/>
    </row>
    <row r="146" spans="1:77">
      <c r="A146" s="162"/>
      <c r="B146" s="3602"/>
      <c r="C146" s="3562"/>
      <c r="D146" s="3562"/>
      <c r="E146" s="3562"/>
      <c r="F146" s="3562"/>
      <c r="G146" s="3562"/>
      <c r="H146" s="3562"/>
      <c r="I146" s="3562"/>
      <c r="J146" s="3562"/>
      <c r="K146" s="3562"/>
      <c r="L146" s="3562"/>
      <c r="M146" s="3562"/>
      <c r="N146" s="3562"/>
      <c r="O146" s="3562"/>
      <c r="P146" s="3562"/>
      <c r="Q146" s="3562"/>
      <c r="R146" s="3562"/>
      <c r="S146" s="3562"/>
      <c r="T146" s="3562"/>
      <c r="U146" s="3562"/>
      <c r="V146" s="3603"/>
      <c r="W146" s="168"/>
      <c r="X146" s="3571"/>
      <c r="Y146" s="3564"/>
      <c r="Z146" s="3564"/>
      <c r="AA146" s="3564"/>
      <c r="AB146" s="3564"/>
      <c r="AC146" s="3565"/>
      <c r="AD146" s="3566"/>
      <c r="AE146" s="3565"/>
      <c r="AF146" s="3566"/>
      <c r="AG146" s="3564"/>
      <c r="AH146" s="3567"/>
      <c r="AI146" s="168"/>
      <c r="AJ146" s="3571"/>
      <c r="AK146" s="3564"/>
      <c r="AL146" s="3564"/>
      <c r="AM146" s="3564"/>
      <c r="AN146" s="3564"/>
      <c r="AO146" s="3565"/>
      <c r="AP146" s="3566"/>
      <c r="AQ146" s="3565"/>
      <c r="AR146" s="3566"/>
      <c r="AS146" s="3564"/>
      <c r="AT146" s="3567"/>
      <c r="AU146" s="162"/>
      <c r="AV146" s="162"/>
      <c r="AW146" s="162"/>
      <c r="AX146" s="162"/>
      <c r="AY146" s="162"/>
      <c r="AZ146" s="162"/>
      <c r="BA146" s="162"/>
      <c r="BB146" s="162"/>
      <c r="BC146" s="162"/>
      <c r="BD146" s="162"/>
      <c r="BE146" s="162"/>
      <c r="BF146" s="162"/>
      <c r="BG146" s="162"/>
      <c r="BH146" s="162"/>
      <c r="BI146" s="162"/>
      <c r="BJ146" s="162"/>
      <c r="BK146" s="162"/>
      <c r="BL146" s="162"/>
      <c r="BM146" s="162"/>
      <c r="BN146" s="162"/>
      <c r="BO146" s="162"/>
      <c r="BP146" s="162"/>
      <c r="BQ146" s="162"/>
      <c r="BR146" s="162"/>
      <c r="BS146" s="162"/>
      <c r="BT146" s="162"/>
      <c r="BU146" s="162"/>
      <c r="BV146" s="162"/>
      <c r="BW146" s="162"/>
      <c r="BX146" s="162"/>
      <c r="BY146" s="162"/>
    </row>
    <row r="147" spans="1:77">
      <c r="A147" s="162"/>
      <c r="B147" s="3644"/>
      <c r="C147" s="3598"/>
      <c r="D147" s="3598"/>
      <c r="E147" s="3598"/>
      <c r="F147" s="3598"/>
      <c r="G147" s="3598"/>
      <c r="H147" s="3598"/>
      <c r="I147" s="3598"/>
      <c r="J147" s="3598"/>
      <c r="K147" s="3598"/>
      <c r="L147" s="3598"/>
      <c r="M147" s="3598"/>
      <c r="N147" s="3598"/>
      <c r="O147" s="3598"/>
      <c r="P147" s="3598"/>
      <c r="Q147" s="3598"/>
      <c r="R147" s="3598"/>
      <c r="S147" s="3598"/>
      <c r="T147" s="3598"/>
      <c r="U147" s="3598"/>
      <c r="V147" s="3599"/>
      <c r="W147" s="168"/>
      <c r="X147" s="3571"/>
      <c r="Y147" s="3564"/>
      <c r="Z147" s="3564"/>
      <c r="AA147" s="3564"/>
      <c r="AB147" s="3564"/>
      <c r="AC147" s="3565"/>
      <c r="AD147" s="3566"/>
      <c r="AE147" s="3565"/>
      <c r="AF147" s="3566"/>
      <c r="AG147" s="3564"/>
      <c r="AH147" s="3567"/>
      <c r="AI147" s="168"/>
      <c r="AJ147" s="3571"/>
      <c r="AK147" s="3564"/>
      <c r="AL147" s="3564"/>
      <c r="AM147" s="3564"/>
      <c r="AN147" s="3564"/>
      <c r="AO147" s="3565"/>
      <c r="AP147" s="3566"/>
      <c r="AQ147" s="3565"/>
      <c r="AR147" s="3566"/>
      <c r="AS147" s="3564"/>
      <c r="AT147" s="3567"/>
      <c r="AU147" s="162"/>
      <c r="AV147" s="162"/>
      <c r="AW147" s="162"/>
      <c r="AX147" s="162"/>
      <c r="AY147" s="162"/>
      <c r="AZ147" s="162"/>
      <c r="BA147" s="162"/>
      <c r="BB147" s="162"/>
      <c r="BC147" s="162"/>
      <c r="BD147" s="162"/>
      <c r="BE147" s="162"/>
      <c r="BF147" s="162"/>
      <c r="BG147" s="162"/>
      <c r="BH147" s="162"/>
      <c r="BI147" s="162"/>
      <c r="BJ147" s="162"/>
      <c r="BK147" s="162"/>
      <c r="BL147" s="162"/>
      <c r="BM147" s="162"/>
      <c r="BN147" s="162"/>
      <c r="BO147" s="162"/>
      <c r="BP147" s="162"/>
      <c r="BQ147" s="162"/>
      <c r="BR147" s="162"/>
      <c r="BS147" s="162"/>
      <c r="BT147" s="162"/>
      <c r="BU147" s="162"/>
      <c r="BV147" s="162"/>
      <c r="BW147" s="162"/>
      <c r="BX147" s="162"/>
      <c r="BY147" s="162"/>
    </row>
    <row r="148" spans="1:77">
      <c r="A148" s="162"/>
      <c r="B148" s="3602"/>
      <c r="C148" s="3562"/>
      <c r="D148" s="3562"/>
      <c r="E148" s="3562"/>
      <c r="F148" s="3562"/>
      <c r="G148" s="3562"/>
      <c r="H148" s="3562"/>
      <c r="I148" s="3562"/>
      <c r="J148" s="3562"/>
      <c r="K148" s="3562"/>
      <c r="L148" s="3562"/>
      <c r="M148" s="3562"/>
      <c r="N148" s="3562"/>
      <c r="O148" s="3562"/>
      <c r="P148" s="3562"/>
      <c r="Q148" s="3562"/>
      <c r="R148" s="3562"/>
      <c r="S148" s="3562"/>
      <c r="T148" s="3562"/>
      <c r="U148" s="3562"/>
      <c r="V148" s="3603"/>
      <c r="W148" s="168"/>
      <c r="X148" s="3571"/>
      <c r="Y148" s="3564"/>
      <c r="Z148" s="3564"/>
      <c r="AA148" s="3564"/>
      <c r="AB148" s="3564"/>
      <c r="AC148" s="3565"/>
      <c r="AD148" s="3566"/>
      <c r="AE148" s="3565"/>
      <c r="AF148" s="3566"/>
      <c r="AG148" s="3564"/>
      <c r="AH148" s="3567"/>
      <c r="AI148" s="168"/>
      <c r="AJ148" s="3571"/>
      <c r="AK148" s="3564"/>
      <c r="AL148" s="3564"/>
      <c r="AM148" s="3564"/>
      <c r="AN148" s="3564"/>
      <c r="AO148" s="3565"/>
      <c r="AP148" s="3566"/>
      <c r="AQ148" s="3565"/>
      <c r="AR148" s="3566"/>
      <c r="AS148" s="3564"/>
      <c r="AT148" s="3567"/>
      <c r="AU148" s="162"/>
      <c r="AV148" s="162"/>
      <c r="AW148" s="162"/>
      <c r="AX148" s="162"/>
      <c r="AY148" s="162"/>
      <c r="AZ148" s="162"/>
      <c r="BA148" s="162"/>
      <c r="BB148" s="162"/>
      <c r="BC148" s="162"/>
      <c r="BD148" s="162"/>
      <c r="BE148" s="162"/>
      <c r="BF148" s="162"/>
      <c r="BG148" s="162"/>
      <c r="BH148" s="162"/>
      <c r="BI148" s="162"/>
      <c r="BJ148" s="162"/>
      <c r="BK148" s="162"/>
      <c r="BL148" s="162"/>
      <c r="BM148" s="162"/>
      <c r="BN148" s="162"/>
      <c r="BO148" s="162"/>
      <c r="BP148" s="162"/>
      <c r="BQ148" s="162"/>
      <c r="BR148" s="162"/>
      <c r="BS148" s="162"/>
      <c r="BT148" s="162"/>
      <c r="BU148" s="162"/>
      <c r="BV148" s="162"/>
      <c r="BW148" s="162"/>
      <c r="BX148" s="162"/>
      <c r="BY148" s="162"/>
    </row>
    <row r="149" spans="1:77">
      <c r="A149" s="162"/>
      <c r="B149" s="3644"/>
      <c r="C149" s="3598"/>
      <c r="D149" s="3598"/>
      <c r="E149" s="3598"/>
      <c r="F149" s="3598"/>
      <c r="G149" s="3598"/>
      <c r="H149" s="3598"/>
      <c r="I149" s="3598"/>
      <c r="J149" s="3598"/>
      <c r="K149" s="3598"/>
      <c r="L149" s="3598"/>
      <c r="M149" s="3598"/>
      <c r="N149" s="3598"/>
      <c r="O149" s="3598"/>
      <c r="P149" s="3598"/>
      <c r="Q149" s="3598"/>
      <c r="R149" s="3598"/>
      <c r="S149" s="3598"/>
      <c r="T149" s="3598"/>
      <c r="U149" s="3598"/>
      <c r="V149" s="3599"/>
      <c r="W149" s="168"/>
      <c r="X149" s="3571"/>
      <c r="Y149" s="3564"/>
      <c r="Z149" s="3564"/>
      <c r="AA149" s="3564"/>
      <c r="AB149" s="3564"/>
      <c r="AC149" s="3565"/>
      <c r="AD149" s="3566"/>
      <c r="AE149" s="3565"/>
      <c r="AF149" s="3566"/>
      <c r="AG149" s="3564"/>
      <c r="AH149" s="3567"/>
      <c r="AI149" s="168"/>
      <c r="AJ149" s="3571"/>
      <c r="AK149" s="3564"/>
      <c r="AL149" s="3564"/>
      <c r="AM149" s="3564"/>
      <c r="AN149" s="3564"/>
      <c r="AO149" s="3565"/>
      <c r="AP149" s="3566"/>
      <c r="AQ149" s="3565"/>
      <c r="AR149" s="3566"/>
      <c r="AS149" s="3564"/>
      <c r="AT149" s="3567"/>
      <c r="AU149" s="162"/>
      <c r="AV149" s="162"/>
      <c r="AW149" s="162"/>
      <c r="AX149" s="162"/>
      <c r="AY149" s="162"/>
      <c r="AZ149" s="162"/>
      <c r="BA149" s="162"/>
      <c r="BB149" s="162"/>
      <c r="BC149" s="162"/>
      <c r="BD149" s="162"/>
      <c r="BE149" s="162"/>
      <c r="BF149" s="162"/>
      <c r="BG149" s="162"/>
      <c r="BH149" s="162"/>
      <c r="BI149" s="162"/>
      <c r="BJ149" s="162"/>
      <c r="BK149" s="162"/>
      <c r="BL149" s="162"/>
      <c r="BM149" s="162"/>
      <c r="BN149" s="162"/>
      <c r="BO149" s="162"/>
      <c r="BP149" s="162"/>
      <c r="BQ149" s="162"/>
      <c r="BR149" s="162"/>
      <c r="BS149" s="162"/>
      <c r="BT149" s="162"/>
      <c r="BU149" s="162"/>
      <c r="BV149" s="162"/>
      <c r="BW149" s="162"/>
      <c r="BX149" s="162"/>
      <c r="BY149" s="162"/>
    </row>
    <row r="150" spans="1:77">
      <c r="A150" s="162"/>
      <c r="B150" s="3602"/>
      <c r="C150" s="3562"/>
      <c r="D150" s="3562"/>
      <c r="E150" s="3562"/>
      <c r="F150" s="3562"/>
      <c r="G150" s="3562"/>
      <c r="H150" s="3562"/>
      <c r="I150" s="3562"/>
      <c r="J150" s="3562"/>
      <c r="K150" s="3562"/>
      <c r="L150" s="3562"/>
      <c r="M150" s="3562"/>
      <c r="N150" s="3562"/>
      <c r="O150" s="3562"/>
      <c r="P150" s="3562"/>
      <c r="Q150" s="3562"/>
      <c r="R150" s="3562"/>
      <c r="S150" s="3562"/>
      <c r="T150" s="3562"/>
      <c r="U150" s="3562"/>
      <c r="V150" s="3603"/>
      <c r="W150" s="168"/>
      <c r="X150" s="3571"/>
      <c r="Y150" s="3564"/>
      <c r="Z150" s="3564"/>
      <c r="AA150" s="3564"/>
      <c r="AB150" s="3564"/>
      <c r="AC150" s="3565"/>
      <c r="AD150" s="3566"/>
      <c r="AE150" s="3565"/>
      <c r="AF150" s="3566"/>
      <c r="AG150" s="3564"/>
      <c r="AH150" s="3567"/>
      <c r="AI150" s="168"/>
      <c r="AJ150" s="3571"/>
      <c r="AK150" s="3564"/>
      <c r="AL150" s="3564"/>
      <c r="AM150" s="3564"/>
      <c r="AN150" s="3564"/>
      <c r="AO150" s="3565"/>
      <c r="AP150" s="3566"/>
      <c r="AQ150" s="3565"/>
      <c r="AR150" s="3566"/>
      <c r="AS150" s="3564"/>
      <c r="AT150" s="3567"/>
      <c r="AU150" s="162"/>
      <c r="AV150" s="162"/>
      <c r="AW150" s="162"/>
      <c r="AX150" s="162"/>
      <c r="AY150" s="162"/>
      <c r="AZ150" s="162"/>
      <c r="BA150" s="162"/>
      <c r="BB150" s="162"/>
      <c r="BC150" s="162"/>
      <c r="BD150" s="162"/>
      <c r="BE150" s="162"/>
      <c r="BF150" s="162"/>
      <c r="BG150" s="162"/>
      <c r="BH150" s="162"/>
      <c r="BI150" s="162"/>
      <c r="BJ150" s="162"/>
      <c r="BK150" s="162"/>
      <c r="BL150" s="162"/>
      <c r="BM150" s="162"/>
      <c r="BN150" s="162"/>
      <c r="BO150" s="162"/>
      <c r="BP150" s="162"/>
      <c r="BQ150" s="162"/>
      <c r="BR150" s="162"/>
      <c r="BS150" s="162"/>
      <c r="BT150" s="162"/>
      <c r="BU150" s="162"/>
      <c r="BV150" s="162"/>
      <c r="BW150" s="162"/>
      <c r="BX150" s="162"/>
      <c r="BY150" s="162"/>
    </row>
    <row r="151" spans="1:77">
      <c r="A151" s="162"/>
      <c r="B151" s="3644"/>
      <c r="C151" s="3598"/>
      <c r="D151" s="3598"/>
      <c r="E151" s="3598"/>
      <c r="F151" s="3598"/>
      <c r="G151" s="3598"/>
      <c r="H151" s="3598"/>
      <c r="I151" s="3598"/>
      <c r="J151" s="3598"/>
      <c r="K151" s="3598"/>
      <c r="L151" s="3598"/>
      <c r="M151" s="3598"/>
      <c r="N151" s="3598"/>
      <c r="O151" s="3598"/>
      <c r="P151" s="3598"/>
      <c r="Q151" s="3598"/>
      <c r="R151" s="3598"/>
      <c r="S151" s="3598"/>
      <c r="T151" s="3598"/>
      <c r="U151" s="3598"/>
      <c r="V151" s="3599"/>
      <c r="W151" s="168"/>
      <c r="X151" s="3571"/>
      <c r="Y151" s="3564"/>
      <c r="Z151" s="3564"/>
      <c r="AA151" s="3564"/>
      <c r="AB151" s="3564"/>
      <c r="AC151" s="3565"/>
      <c r="AD151" s="3566"/>
      <c r="AE151" s="3565"/>
      <c r="AF151" s="3566"/>
      <c r="AG151" s="3564"/>
      <c r="AH151" s="3567"/>
      <c r="AI151" s="168"/>
      <c r="AJ151" s="3571"/>
      <c r="AK151" s="3564"/>
      <c r="AL151" s="3564"/>
      <c r="AM151" s="3564"/>
      <c r="AN151" s="3564"/>
      <c r="AO151" s="3565"/>
      <c r="AP151" s="3566"/>
      <c r="AQ151" s="3565"/>
      <c r="AR151" s="3566"/>
      <c r="AS151" s="3564"/>
      <c r="AT151" s="3567"/>
      <c r="AU151" s="162"/>
      <c r="AV151" s="162"/>
      <c r="AW151" s="162"/>
      <c r="AX151" s="162"/>
      <c r="AY151" s="162"/>
      <c r="AZ151" s="162"/>
      <c r="BA151" s="162"/>
      <c r="BB151" s="162"/>
      <c r="BC151" s="162"/>
      <c r="BD151" s="162"/>
      <c r="BE151" s="162"/>
      <c r="BF151" s="162"/>
      <c r="BG151" s="162"/>
      <c r="BH151" s="162"/>
      <c r="BI151" s="162"/>
      <c r="BJ151" s="162"/>
      <c r="BK151" s="162"/>
      <c r="BL151" s="162"/>
      <c r="BM151" s="162"/>
      <c r="BN151" s="162"/>
      <c r="BO151" s="162"/>
      <c r="BP151" s="162"/>
      <c r="BQ151" s="162"/>
      <c r="BR151" s="162"/>
      <c r="BS151" s="162"/>
      <c r="BT151" s="162"/>
      <c r="BU151" s="162"/>
      <c r="BV151" s="162"/>
      <c r="BW151" s="162"/>
      <c r="BX151" s="162"/>
      <c r="BY151" s="162"/>
    </row>
    <row r="152" spans="1:77">
      <c r="A152" s="162"/>
      <c r="B152" s="3602"/>
      <c r="C152" s="3562"/>
      <c r="D152" s="3562"/>
      <c r="E152" s="3562"/>
      <c r="F152" s="3562"/>
      <c r="G152" s="3562"/>
      <c r="H152" s="3562"/>
      <c r="I152" s="3562"/>
      <c r="J152" s="3562"/>
      <c r="K152" s="3562"/>
      <c r="L152" s="3562"/>
      <c r="M152" s="3562"/>
      <c r="N152" s="3562"/>
      <c r="O152" s="3562"/>
      <c r="P152" s="3562"/>
      <c r="Q152" s="3562"/>
      <c r="R152" s="3562"/>
      <c r="S152" s="3562"/>
      <c r="T152" s="3562"/>
      <c r="U152" s="3562"/>
      <c r="V152" s="3603"/>
      <c r="W152" s="168"/>
      <c r="X152" s="3571"/>
      <c r="Y152" s="3564"/>
      <c r="Z152" s="3564"/>
      <c r="AA152" s="3564"/>
      <c r="AB152" s="3564"/>
      <c r="AC152" s="3565"/>
      <c r="AD152" s="3566"/>
      <c r="AE152" s="3565"/>
      <c r="AF152" s="3566"/>
      <c r="AG152" s="3564"/>
      <c r="AH152" s="3567"/>
      <c r="AI152" s="168"/>
      <c r="AJ152" s="3571"/>
      <c r="AK152" s="3564"/>
      <c r="AL152" s="3564"/>
      <c r="AM152" s="3564"/>
      <c r="AN152" s="3564"/>
      <c r="AO152" s="3565"/>
      <c r="AP152" s="3566"/>
      <c r="AQ152" s="3565"/>
      <c r="AR152" s="3566"/>
      <c r="AS152" s="3564"/>
      <c r="AT152" s="3567"/>
      <c r="AU152" s="162"/>
      <c r="AV152" s="162"/>
      <c r="AW152" s="162"/>
      <c r="AX152" s="162"/>
      <c r="AY152" s="162"/>
      <c r="AZ152" s="162"/>
      <c r="BA152" s="162"/>
      <c r="BB152" s="162"/>
      <c r="BC152" s="162"/>
      <c r="BD152" s="162"/>
      <c r="BE152" s="162"/>
      <c r="BF152" s="162"/>
      <c r="BG152" s="162"/>
      <c r="BH152" s="162"/>
      <c r="BI152" s="162"/>
      <c r="BJ152" s="162"/>
      <c r="BK152" s="162"/>
      <c r="BL152" s="162"/>
      <c r="BM152" s="162"/>
      <c r="BN152" s="162"/>
      <c r="BO152" s="162"/>
      <c r="BP152" s="162"/>
      <c r="BQ152" s="162"/>
      <c r="BR152" s="162"/>
      <c r="BS152" s="162"/>
      <c r="BT152" s="162"/>
      <c r="BU152" s="162"/>
      <c r="BV152" s="162"/>
      <c r="BW152" s="162"/>
      <c r="BX152" s="162"/>
      <c r="BY152" s="162"/>
    </row>
    <row r="153" spans="1:77">
      <c r="A153" s="162"/>
      <c r="B153" s="3644"/>
      <c r="C153" s="3598"/>
      <c r="D153" s="3598"/>
      <c r="E153" s="3598"/>
      <c r="F153" s="3598"/>
      <c r="G153" s="3598"/>
      <c r="H153" s="3598"/>
      <c r="I153" s="3598"/>
      <c r="J153" s="3598"/>
      <c r="K153" s="3598"/>
      <c r="L153" s="3598"/>
      <c r="M153" s="3598"/>
      <c r="N153" s="3598"/>
      <c r="O153" s="3598"/>
      <c r="P153" s="3598"/>
      <c r="Q153" s="3598"/>
      <c r="R153" s="3598"/>
      <c r="S153" s="3598"/>
      <c r="T153" s="3598"/>
      <c r="U153" s="3598"/>
      <c r="V153" s="3599"/>
      <c r="W153" s="168"/>
      <c r="X153" s="3571"/>
      <c r="Y153" s="3564"/>
      <c r="Z153" s="3564"/>
      <c r="AA153" s="3564"/>
      <c r="AB153" s="3564"/>
      <c r="AC153" s="3565"/>
      <c r="AD153" s="3566"/>
      <c r="AE153" s="3565"/>
      <c r="AF153" s="3566"/>
      <c r="AG153" s="3564"/>
      <c r="AH153" s="3567"/>
      <c r="AI153" s="168"/>
      <c r="AJ153" s="3571"/>
      <c r="AK153" s="3564"/>
      <c r="AL153" s="3564"/>
      <c r="AM153" s="3564"/>
      <c r="AN153" s="3564"/>
      <c r="AO153" s="3565"/>
      <c r="AP153" s="3566"/>
      <c r="AQ153" s="3565"/>
      <c r="AR153" s="3566"/>
      <c r="AS153" s="3564"/>
      <c r="AT153" s="3567"/>
      <c r="AU153" s="162"/>
      <c r="AV153" s="162"/>
      <c r="AW153" s="162"/>
      <c r="AX153" s="162"/>
      <c r="AY153" s="162"/>
      <c r="AZ153" s="162"/>
      <c r="BA153" s="162"/>
      <c r="BB153" s="162"/>
      <c r="BC153" s="162"/>
      <c r="BD153" s="162"/>
      <c r="BE153" s="162"/>
      <c r="BF153" s="162"/>
      <c r="BG153" s="162"/>
      <c r="BH153" s="162"/>
      <c r="BI153" s="162"/>
      <c r="BJ153" s="162"/>
      <c r="BK153" s="162"/>
      <c r="BL153" s="162"/>
      <c r="BM153" s="162"/>
      <c r="BN153" s="162"/>
      <c r="BO153" s="162"/>
      <c r="BP153" s="162"/>
      <c r="BQ153" s="162"/>
      <c r="BR153" s="162"/>
      <c r="BS153" s="162"/>
      <c r="BT153" s="162"/>
      <c r="BU153" s="162"/>
      <c r="BV153" s="162"/>
      <c r="BW153" s="162"/>
      <c r="BX153" s="162"/>
      <c r="BY153" s="162"/>
    </row>
    <row r="154" spans="1:77" ht="16.5" thickBot="1">
      <c r="A154" s="162"/>
      <c r="B154" s="3575"/>
      <c r="C154" s="3576"/>
      <c r="D154" s="3576"/>
      <c r="E154" s="3576"/>
      <c r="F154" s="3576"/>
      <c r="G154" s="3576"/>
      <c r="H154" s="3576"/>
      <c r="I154" s="3576"/>
      <c r="J154" s="3576"/>
      <c r="K154" s="3576"/>
      <c r="L154" s="3576"/>
      <c r="M154" s="3576"/>
      <c r="N154" s="3576"/>
      <c r="O154" s="3576"/>
      <c r="P154" s="3576"/>
      <c r="Q154" s="3576"/>
      <c r="R154" s="3576"/>
      <c r="S154" s="3576"/>
      <c r="T154" s="3576"/>
      <c r="U154" s="3576"/>
      <c r="V154" s="3577"/>
      <c r="W154" s="168"/>
      <c r="X154" s="3716"/>
      <c r="Y154" s="3569"/>
      <c r="Z154" s="3569"/>
      <c r="AA154" s="3569"/>
      <c r="AB154" s="3569"/>
      <c r="AC154" s="3570"/>
      <c r="AD154" s="3712"/>
      <c r="AE154" s="3570"/>
      <c r="AF154" s="3712"/>
      <c r="AG154" s="3569"/>
      <c r="AH154" s="3606"/>
      <c r="AI154" s="168"/>
      <c r="AJ154" s="3716"/>
      <c r="AK154" s="3569"/>
      <c r="AL154" s="3569"/>
      <c r="AM154" s="3569"/>
      <c r="AN154" s="3569"/>
      <c r="AO154" s="3570"/>
      <c r="AP154" s="3712"/>
      <c r="AQ154" s="3570"/>
      <c r="AR154" s="3712"/>
      <c r="AS154" s="3569"/>
      <c r="AT154" s="3606"/>
      <c r="AU154" s="162"/>
      <c r="AV154" s="162"/>
      <c r="AW154" s="162"/>
      <c r="AX154" s="162"/>
      <c r="AY154" s="162"/>
      <c r="AZ154" s="162"/>
      <c r="BA154" s="162"/>
      <c r="BB154" s="162"/>
      <c r="BC154" s="162"/>
      <c r="BD154" s="162"/>
      <c r="BE154" s="162"/>
      <c r="BF154" s="162"/>
      <c r="BG154" s="162"/>
      <c r="BH154" s="162"/>
      <c r="BI154" s="162"/>
      <c r="BJ154" s="162"/>
      <c r="BK154" s="162"/>
      <c r="BL154" s="162"/>
      <c r="BM154" s="162"/>
      <c r="BN154" s="162"/>
      <c r="BO154" s="162"/>
      <c r="BP154" s="162"/>
      <c r="BQ154" s="162"/>
      <c r="BR154" s="162"/>
      <c r="BS154" s="162"/>
      <c r="BT154" s="162"/>
      <c r="BU154" s="162"/>
      <c r="BV154" s="162"/>
      <c r="BW154" s="162"/>
      <c r="BX154" s="162"/>
      <c r="BY154" s="162"/>
    </row>
    <row r="155" spans="1:77" ht="16.5" thickBot="1">
      <c r="A155" s="162"/>
      <c r="B155" s="3856"/>
      <c r="C155" s="2707"/>
      <c r="D155" s="2707"/>
      <c r="E155" s="2707"/>
      <c r="F155" s="2707"/>
      <c r="G155" s="2707"/>
      <c r="H155" s="2707"/>
      <c r="I155" s="2707"/>
      <c r="J155" s="2707"/>
      <c r="K155" s="2707"/>
      <c r="L155" s="3864"/>
      <c r="M155" s="2707"/>
      <c r="N155" s="2707"/>
      <c r="O155" s="3717"/>
      <c r="P155" s="2707"/>
      <c r="Q155" s="2707"/>
      <c r="R155" s="3717"/>
      <c r="S155" s="2707"/>
      <c r="T155" s="2707"/>
      <c r="U155" s="2707"/>
      <c r="V155" s="3717"/>
      <c r="W155" s="2707"/>
      <c r="X155" s="2707"/>
      <c r="Y155" s="3717"/>
      <c r="Z155" s="2707"/>
      <c r="AA155" s="2707"/>
      <c r="AB155" s="3717"/>
      <c r="AC155" s="2707"/>
      <c r="AD155" s="2707"/>
      <c r="AE155" s="2707"/>
      <c r="AF155" s="3717"/>
      <c r="AG155" s="2707"/>
      <c r="AH155" s="2707"/>
      <c r="AI155" s="3717"/>
      <c r="AJ155" s="2707"/>
      <c r="AK155" s="2707"/>
      <c r="AL155" s="3717"/>
      <c r="AM155" s="2707"/>
      <c r="AN155" s="2707"/>
      <c r="AO155" s="2707"/>
      <c r="AP155" s="2707"/>
      <c r="AQ155" s="3717"/>
      <c r="AR155" s="2707"/>
      <c r="AS155" s="2707"/>
      <c r="AT155" s="3717"/>
      <c r="AU155" s="2707"/>
      <c r="AV155" s="2707"/>
      <c r="AW155" s="3717"/>
      <c r="AX155" s="2707"/>
      <c r="AY155" s="2707"/>
      <c r="AZ155" s="2707"/>
      <c r="BA155" s="2707"/>
      <c r="BB155" s="3738"/>
      <c r="BC155" s="2707"/>
      <c r="BD155" s="167"/>
      <c r="BE155" s="167"/>
      <c r="BF155" s="167"/>
      <c r="BG155" s="167"/>
      <c r="BH155" s="167"/>
      <c r="BI155" s="167"/>
      <c r="BJ155" s="167"/>
      <c r="BK155" s="167"/>
      <c r="BL155" s="167"/>
      <c r="BM155" s="167"/>
      <c r="BN155" s="167"/>
      <c r="BO155" s="167"/>
      <c r="BP155" s="167"/>
      <c r="BQ155" s="167"/>
      <c r="BR155" s="167"/>
      <c r="BS155" s="167"/>
      <c r="BT155" s="167"/>
      <c r="BU155" s="167"/>
      <c r="BV155" s="167"/>
      <c r="BW155" s="167"/>
      <c r="BX155" s="167"/>
      <c r="BY155" s="167"/>
    </row>
    <row r="156" spans="1:77" ht="16.5" thickBot="1">
      <c r="A156" s="166"/>
      <c r="B156" s="3854" t="str">
        <f ca="1">IFERROR(__xludf.DUMMYFUNCTION("""COMPUTED_VALUE"""),"Spell")</f>
        <v>Spell</v>
      </c>
      <c r="C156" s="3714"/>
      <c r="D156" s="3714"/>
      <c r="E156" s="3714"/>
      <c r="F156" s="3714"/>
      <c r="G156" s="3714"/>
      <c r="H156" s="3714"/>
      <c r="I156" s="3714"/>
      <c r="J156" s="3715"/>
      <c r="K156" s="3855" t="str">
        <f ca="1">IFERROR(__xludf.DUMMYFUNCTION("""COMPUTED_VALUE"""),"Level")</f>
        <v>Level</v>
      </c>
      <c r="L156" s="3714"/>
      <c r="M156" s="3713" t="str">
        <f ca="1">IFERROR(__xludf.DUMMYFUNCTION("""COMPUTED_VALUE"""),"Cast. Time")</f>
        <v>Cast. Time</v>
      </c>
      <c r="N156" s="3714"/>
      <c r="O156" s="3714"/>
      <c r="P156" s="3714"/>
      <c r="Q156" s="3713" t="str">
        <f ca="1">IFERROR(__xludf.DUMMYFUNCTION("""COMPUTED_VALUE"""),"Range")</f>
        <v>Range</v>
      </c>
      <c r="R156" s="3714"/>
      <c r="S156" s="3714"/>
      <c r="T156" s="3715"/>
      <c r="U156" s="3866" t="str">
        <f ca="1">IFERROR(__xludf.DUMMYFUNCTION("""COMPUTED_VALUE"""),"Ritual")</f>
        <v>Ritual</v>
      </c>
      <c r="V156" s="3867"/>
      <c r="W156" s="3867"/>
      <c r="X156" s="3713" t="str">
        <f ca="1">IFERROR(__xludf.DUMMYFUNCTION("""COMPUTED_VALUE"""),"Target/Area")</f>
        <v>Target/Area</v>
      </c>
      <c r="Y156" s="3714"/>
      <c r="Z156" s="3714"/>
      <c r="AA156" s="3715"/>
      <c r="AB156" s="3857" t="str">
        <f ca="1">IFERROR(__xludf.DUMMYFUNCTION("""COMPUTED_VALUE"""),"Cons.")</f>
        <v>Cons.</v>
      </c>
      <c r="AC156" s="3714"/>
      <c r="AD156" s="3714"/>
      <c r="AE156" s="3713" t="str">
        <f ca="1">IFERROR(__xludf.DUMMYFUNCTION("""COMPUTED_VALUE"""),"Duration")</f>
        <v>Duration</v>
      </c>
      <c r="AF156" s="3714"/>
      <c r="AG156" s="3715"/>
      <c r="AH156" s="3713" t="str">
        <f ca="1">IFERROR(__xludf.DUMMYFUNCTION("""COMPUTED_VALUE"""),"Atk/Sav")</f>
        <v>Atk/Sav</v>
      </c>
      <c r="AI156" s="3714"/>
      <c r="AJ156" s="3715"/>
      <c r="AK156" s="3713" t="str">
        <f ca="1">IFERROR(__xludf.DUMMYFUNCTION("""COMPUTED_VALUE"""),"Damage Type")</f>
        <v>Damage Type</v>
      </c>
      <c r="AL156" s="3714"/>
      <c r="AM156" s="3714"/>
      <c r="AN156" s="3714"/>
      <c r="AO156" s="3715"/>
      <c r="AP156" s="3857" t="str">
        <f ca="1">IFERROR(__xludf.DUMMYFUNCTION("""COMPUTED_VALUE"""),"Damage/Heal")</f>
        <v>Damage/Heal</v>
      </c>
      <c r="AQ156" s="3714"/>
      <c r="AR156" s="3714"/>
      <c r="AS156" s="3714"/>
      <c r="AT156" s="3714"/>
      <c r="AU156" s="3715"/>
      <c r="AV156" s="3859" t="str">
        <f ca="1">IFERROR(__xludf.DUMMYFUNCTION("""COMPUTED_VALUE"""),"Additional Detail")</f>
        <v>Additional Detail</v>
      </c>
      <c r="AW156" s="3714"/>
      <c r="AX156" s="3714"/>
      <c r="AY156" s="3714"/>
      <c r="AZ156" s="3714"/>
      <c r="BA156" s="3714"/>
      <c r="BB156" s="3714"/>
      <c r="BC156" s="3714"/>
      <c r="BD156" s="3714"/>
      <c r="BE156" s="3714"/>
      <c r="BF156" s="3714"/>
      <c r="BG156" s="3714"/>
      <c r="BH156" s="3714"/>
      <c r="BI156" s="3714"/>
      <c r="BJ156" s="3714"/>
      <c r="BK156" s="3714"/>
      <c r="BL156" s="3860"/>
      <c r="BM156" s="165"/>
      <c r="BN156" s="165"/>
      <c r="BO156" s="165"/>
      <c r="BP156" s="165"/>
      <c r="BQ156" s="165"/>
      <c r="BR156" s="165"/>
      <c r="BS156" s="165"/>
      <c r="BT156" s="165"/>
      <c r="BU156" s="165"/>
      <c r="BV156" s="165"/>
      <c r="BW156" s="165"/>
      <c r="BX156" s="165"/>
      <c r="BY156" s="165"/>
    </row>
    <row r="157" spans="1:77">
      <c r="A157" s="164"/>
      <c r="B157" s="3853"/>
      <c r="C157" s="2707"/>
      <c r="D157" s="2707"/>
      <c r="E157" s="2707"/>
      <c r="F157" s="2707"/>
      <c r="G157" s="2707"/>
      <c r="H157" s="2707"/>
      <c r="I157" s="2707"/>
      <c r="J157" s="3705"/>
      <c r="K157" s="3704"/>
      <c r="L157" s="2707"/>
      <c r="M157" s="3704"/>
      <c r="N157" s="2707"/>
      <c r="O157" s="2707"/>
      <c r="P157" s="3705"/>
      <c r="Q157" s="3704"/>
      <c r="R157" s="2707"/>
      <c r="S157" s="2707"/>
      <c r="T157" s="3705"/>
      <c r="U157" s="3704"/>
      <c r="V157" s="2707"/>
      <c r="W157" s="3705"/>
      <c r="X157" s="3704"/>
      <c r="Y157" s="2707"/>
      <c r="Z157" s="2707"/>
      <c r="AA157" s="3705"/>
      <c r="AB157" s="3711"/>
      <c r="AC157" s="2707"/>
      <c r="AD157" s="2707"/>
      <c r="AE157" s="3704"/>
      <c r="AF157" s="2707"/>
      <c r="AG157" s="3705"/>
      <c r="AH157" s="3704"/>
      <c r="AI157" s="2707"/>
      <c r="AJ157" s="3705"/>
      <c r="AK157" s="3704"/>
      <c r="AL157" s="2707"/>
      <c r="AM157" s="2707"/>
      <c r="AN157" s="2707"/>
      <c r="AO157" s="3705"/>
      <c r="AP157" s="3711"/>
      <c r="AQ157" s="2707"/>
      <c r="AR157" s="2707"/>
      <c r="AS157" s="2707"/>
      <c r="AT157" s="2707"/>
      <c r="AU157" s="3705"/>
      <c r="AV157" s="3741"/>
      <c r="AW157" s="2707"/>
      <c r="AX157" s="2707"/>
      <c r="AY157" s="2707"/>
      <c r="AZ157" s="2707"/>
      <c r="BA157" s="2707"/>
      <c r="BB157" s="2707"/>
      <c r="BC157" s="2707"/>
      <c r="BD157" s="2707"/>
      <c r="BE157" s="2707"/>
      <c r="BF157" s="2707"/>
      <c r="BG157" s="2707"/>
      <c r="BH157" s="2707"/>
      <c r="BI157" s="2707"/>
      <c r="BJ157" s="2707"/>
      <c r="BK157" s="2707"/>
      <c r="BL157" s="3740"/>
    </row>
    <row r="158" spans="1:77">
      <c r="A158" s="164"/>
      <c r="B158" s="3858"/>
      <c r="C158" s="2707"/>
      <c r="D158" s="2707"/>
      <c r="E158" s="2707"/>
      <c r="F158" s="2707"/>
      <c r="G158" s="2707"/>
      <c r="H158" s="2707"/>
      <c r="I158" s="2707"/>
      <c r="J158" s="3703"/>
      <c r="K158" s="3702"/>
      <c r="L158" s="2707"/>
      <c r="M158" s="3702"/>
      <c r="N158" s="2707"/>
      <c r="O158" s="2707"/>
      <c r="P158" s="3703"/>
      <c r="Q158" s="3702"/>
      <c r="R158" s="2707"/>
      <c r="S158" s="2707"/>
      <c r="T158" s="3703"/>
      <c r="U158" s="3702"/>
      <c r="V158" s="2707"/>
      <c r="W158" s="3703"/>
      <c r="X158" s="3702"/>
      <c r="Y158" s="2707"/>
      <c r="Z158" s="2707"/>
      <c r="AA158" s="3703"/>
      <c r="AB158" s="3734"/>
      <c r="AC158" s="2707"/>
      <c r="AD158" s="2707"/>
      <c r="AE158" s="3702"/>
      <c r="AF158" s="2707"/>
      <c r="AG158" s="3703"/>
      <c r="AH158" s="3702"/>
      <c r="AI158" s="2707"/>
      <c r="AJ158" s="3703"/>
      <c r="AK158" s="3702"/>
      <c r="AL158" s="2707"/>
      <c r="AM158" s="2707"/>
      <c r="AN158" s="2707"/>
      <c r="AO158" s="3703"/>
      <c r="AP158" s="3734"/>
      <c r="AQ158" s="2707"/>
      <c r="AR158" s="2707"/>
      <c r="AS158" s="2707"/>
      <c r="AT158" s="2707"/>
      <c r="AU158" s="3703"/>
      <c r="AV158" s="3849"/>
      <c r="AW158" s="2707"/>
      <c r="AX158" s="2707"/>
      <c r="AY158" s="2707"/>
      <c r="AZ158" s="2707"/>
      <c r="BA158" s="2707"/>
      <c r="BB158" s="2707"/>
      <c r="BC158" s="2707"/>
      <c r="BD158" s="2707"/>
      <c r="BE158" s="2707"/>
      <c r="BF158" s="2707"/>
      <c r="BG158" s="2707"/>
      <c r="BH158" s="2707"/>
      <c r="BI158" s="2707"/>
      <c r="BJ158" s="2707"/>
      <c r="BK158" s="2707"/>
      <c r="BL158" s="3737"/>
    </row>
    <row r="159" spans="1:77">
      <c r="A159" s="164"/>
      <c r="B159" s="3853"/>
      <c r="C159" s="2707"/>
      <c r="D159" s="2707"/>
      <c r="E159" s="2707"/>
      <c r="F159" s="2707"/>
      <c r="G159" s="2707"/>
      <c r="H159" s="2707"/>
      <c r="I159" s="2707"/>
      <c r="J159" s="3705"/>
      <c r="K159" s="3704"/>
      <c r="L159" s="2707"/>
      <c r="M159" s="3704"/>
      <c r="N159" s="2707"/>
      <c r="O159" s="2707"/>
      <c r="P159" s="3705"/>
      <c r="Q159" s="3704"/>
      <c r="R159" s="2707"/>
      <c r="S159" s="2707"/>
      <c r="T159" s="3705"/>
      <c r="U159" s="3704"/>
      <c r="V159" s="2707"/>
      <c r="W159" s="3705"/>
      <c r="X159" s="3704"/>
      <c r="Y159" s="2707"/>
      <c r="Z159" s="2707"/>
      <c r="AA159" s="3705"/>
      <c r="AB159" s="3711"/>
      <c r="AC159" s="2707"/>
      <c r="AD159" s="2707"/>
      <c r="AE159" s="3704"/>
      <c r="AF159" s="2707"/>
      <c r="AG159" s="3705"/>
      <c r="AH159" s="3704"/>
      <c r="AI159" s="2707"/>
      <c r="AJ159" s="3705"/>
      <c r="AK159" s="3704"/>
      <c r="AL159" s="2707"/>
      <c r="AM159" s="2707"/>
      <c r="AN159" s="2707"/>
      <c r="AO159" s="3705"/>
      <c r="AP159" s="3711"/>
      <c r="AQ159" s="2707"/>
      <c r="AR159" s="2707"/>
      <c r="AS159" s="2707"/>
      <c r="AT159" s="2707"/>
      <c r="AU159" s="3705"/>
      <c r="AV159" s="3741"/>
      <c r="AW159" s="2707"/>
      <c r="AX159" s="2707"/>
      <c r="AY159" s="2707"/>
      <c r="AZ159" s="2707"/>
      <c r="BA159" s="2707"/>
      <c r="BB159" s="2707"/>
      <c r="BC159" s="2707"/>
      <c r="BD159" s="2707"/>
      <c r="BE159" s="2707"/>
      <c r="BF159" s="2707"/>
      <c r="BG159" s="2707"/>
      <c r="BH159" s="2707"/>
      <c r="BI159" s="2707"/>
      <c r="BJ159" s="2707"/>
      <c r="BK159" s="2707"/>
      <c r="BL159" s="3740"/>
    </row>
    <row r="160" spans="1:77">
      <c r="A160" s="164"/>
      <c r="B160" s="3858"/>
      <c r="C160" s="2707"/>
      <c r="D160" s="2707"/>
      <c r="E160" s="2707"/>
      <c r="F160" s="2707"/>
      <c r="G160" s="2707"/>
      <c r="H160" s="2707"/>
      <c r="I160" s="2707"/>
      <c r="J160" s="3703"/>
      <c r="K160" s="3702"/>
      <c r="L160" s="2707"/>
      <c r="M160" s="3702"/>
      <c r="N160" s="2707"/>
      <c r="O160" s="2707"/>
      <c r="P160" s="3703"/>
      <c r="Q160" s="3702"/>
      <c r="R160" s="2707"/>
      <c r="S160" s="2707"/>
      <c r="T160" s="3703"/>
      <c r="U160" s="3702"/>
      <c r="V160" s="2707"/>
      <c r="W160" s="3703"/>
      <c r="X160" s="3702"/>
      <c r="Y160" s="2707"/>
      <c r="Z160" s="2707"/>
      <c r="AA160" s="3703"/>
      <c r="AB160" s="3734"/>
      <c r="AC160" s="2707"/>
      <c r="AD160" s="2707"/>
      <c r="AE160" s="3702"/>
      <c r="AF160" s="2707"/>
      <c r="AG160" s="3703"/>
      <c r="AH160" s="3702"/>
      <c r="AI160" s="2707"/>
      <c r="AJ160" s="3703"/>
      <c r="AK160" s="3702"/>
      <c r="AL160" s="2707"/>
      <c r="AM160" s="2707"/>
      <c r="AN160" s="2707"/>
      <c r="AO160" s="3703"/>
      <c r="AP160" s="3734"/>
      <c r="AQ160" s="2707"/>
      <c r="AR160" s="2707"/>
      <c r="AS160" s="2707"/>
      <c r="AT160" s="2707"/>
      <c r="AU160" s="3703"/>
      <c r="AV160" s="3849"/>
      <c r="AW160" s="2707"/>
      <c r="AX160" s="2707"/>
      <c r="AY160" s="2707"/>
      <c r="AZ160" s="2707"/>
      <c r="BA160" s="2707"/>
      <c r="BB160" s="2707"/>
      <c r="BC160" s="2707"/>
      <c r="BD160" s="2707"/>
      <c r="BE160" s="2707"/>
      <c r="BF160" s="2707"/>
      <c r="BG160" s="2707"/>
      <c r="BH160" s="2707"/>
      <c r="BI160" s="2707"/>
      <c r="BJ160" s="2707"/>
      <c r="BK160" s="2707"/>
      <c r="BL160" s="3737"/>
    </row>
    <row r="161" spans="1:64">
      <c r="A161" s="164"/>
      <c r="B161" s="3853"/>
      <c r="C161" s="2707"/>
      <c r="D161" s="2707"/>
      <c r="E161" s="2707"/>
      <c r="F161" s="2707"/>
      <c r="G161" s="2707"/>
      <c r="H161" s="2707"/>
      <c r="I161" s="2707"/>
      <c r="J161" s="3705"/>
      <c r="K161" s="3704"/>
      <c r="L161" s="2707"/>
      <c r="M161" s="3704"/>
      <c r="N161" s="2707"/>
      <c r="O161" s="2707"/>
      <c r="P161" s="3705"/>
      <c r="Q161" s="3704"/>
      <c r="R161" s="2707"/>
      <c r="S161" s="2707"/>
      <c r="T161" s="3705"/>
      <c r="U161" s="3704"/>
      <c r="V161" s="2707"/>
      <c r="W161" s="3705"/>
      <c r="X161" s="3704"/>
      <c r="Y161" s="2707"/>
      <c r="Z161" s="2707"/>
      <c r="AA161" s="3705"/>
      <c r="AB161" s="3711"/>
      <c r="AC161" s="2707"/>
      <c r="AD161" s="2707"/>
      <c r="AE161" s="3704"/>
      <c r="AF161" s="2707"/>
      <c r="AG161" s="3705"/>
      <c r="AH161" s="3704"/>
      <c r="AI161" s="2707"/>
      <c r="AJ161" s="3705"/>
      <c r="AK161" s="3704"/>
      <c r="AL161" s="2707"/>
      <c r="AM161" s="2707"/>
      <c r="AN161" s="2707"/>
      <c r="AO161" s="3705"/>
      <c r="AP161" s="3711"/>
      <c r="AQ161" s="2707"/>
      <c r="AR161" s="2707"/>
      <c r="AS161" s="2707"/>
      <c r="AT161" s="2707"/>
      <c r="AU161" s="3705"/>
      <c r="AV161" s="3741"/>
      <c r="AW161" s="2707"/>
      <c r="AX161" s="2707"/>
      <c r="AY161" s="2707"/>
      <c r="AZ161" s="2707"/>
      <c r="BA161" s="2707"/>
      <c r="BB161" s="2707"/>
      <c r="BC161" s="2707"/>
      <c r="BD161" s="2707"/>
      <c r="BE161" s="2707"/>
      <c r="BF161" s="2707"/>
      <c r="BG161" s="2707"/>
      <c r="BH161" s="2707"/>
      <c r="BI161" s="2707"/>
      <c r="BJ161" s="2707"/>
      <c r="BK161" s="2707"/>
      <c r="BL161" s="3740"/>
    </row>
    <row r="162" spans="1:64">
      <c r="A162" s="164"/>
      <c r="B162" s="3858"/>
      <c r="C162" s="2707"/>
      <c r="D162" s="2707"/>
      <c r="E162" s="2707"/>
      <c r="F162" s="2707"/>
      <c r="G162" s="2707"/>
      <c r="H162" s="2707"/>
      <c r="I162" s="2707"/>
      <c r="J162" s="3703"/>
      <c r="K162" s="3702"/>
      <c r="L162" s="2707"/>
      <c r="M162" s="3702"/>
      <c r="N162" s="2707"/>
      <c r="O162" s="2707"/>
      <c r="P162" s="3703"/>
      <c r="Q162" s="3702"/>
      <c r="R162" s="2707"/>
      <c r="S162" s="2707"/>
      <c r="T162" s="3703"/>
      <c r="U162" s="3702"/>
      <c r="V162" s="2707"/>
      <c r="W162" s="3703"/>
      <c r="X162" s="3702"/>
      <c r="Y162" s="2707"/>
      <c r="Z162" s="2707"/>
      <c r="AA162" s="3703"/>
      <c r="AB162" s="3734"/>
      <c r="AC162" s="2707"/>
      <c r="AD162" s="2707"/>
      <c r="AE162" s="3702"/>
      <c r="AF162" s="2707"/>
      <c r="AG162" s="3703"/>
      <c r="AH162" s="3702"/>
      <c r="AI162" s="2707"/>
      <c r="AJ162" s="3703"/>
      <c r="AK162" s="3702"/>
      <c r="AL162" s="2707"/>
      <c r="AM162" s="2707"/>
      <c r="AN162" s="2707"/>
      <c r="AO162" s="3703"/>
      <c r="AP162" s="3734"/>
      <c r="AQ162" s="2707"/>
      <c r="AR162" s="2707"/>
      <c r="AS162" s="2707"/>
      <c r="AT162" s="2707"/>
      <c r="AU162" s="3703"/>
      <c r="AV162" s="3849"/>
      <c r="AW162" s="2707"/>
      <c r="AX162" s="2707"/>
      <c r="AY162" s="2707"/>
      <c r="AZ162" s="2707"/>
      <c r="BA162" s="2707"/>
      <c r="BB162" s="2707"/>
      <c r="BC162" s="2707"/>
      <c r="BD162" s="2707"/>
      <c r="BE162" s="2707"/>
      <c r="BF162" s="2707"/>
      <c r="BG162" s="2707"/>
      <c r="BH162" s="2707"/>
      <c r="BI162" s="2707"/>
      <c r="BJ162" s="2707"/>
      <c r="BK162" s="2707"/>
      <c r="BL162" s="3737"/>
    </row>
    <row r="163" spans="1:64">
      <c r="A163" s="164"/>
      <c r="B163" s="3853"/>
      <c r="C163" s="2707"/>
      <c r="D163" s="2707"/>
      <c r="E163" s="2707"/>
      <c r="F163" s="2707"/>
      <c r="G163" s="2707"/>
      <c r="H163" s="2707"/>
      <c r="I163" s="2707"/>
      <c r="J163" s="3705"/>
      <c r="K163" s="3704"/>
      <c r="L163" s="2707"/>
      <c r="M163" s="3704"/>
      <c r="N163" s="2707"/>
      <c r="O163" s="2707"/>
      <c r="P163" s="3705"/>
      <c r="Q163" s="3704"/>
      <c r="R163" s="2707"/>
      <c r="S163" s="2707"/>
      <c r="T163" s="3705"/>
      <c r="U163" s="3704"/>
      <c r="V163" s="2707"/>
      <c r="W163" s="3705"/>
      <c r="X163" s="3704"/>
      <c r="Y163" s="2707"/>
      <c r="Z163" s="2707"/>
      <c r="AA163" s="3705"/>
      <c r="AB163" s="3711"/>
      <c r="AC163" s="2707"/>
      <c r="AD163" s="2707"/>
      <c r="AE163" s="3704"/>
      <c r="AF163" s="2707"/>
      <c r="AG163" s="3705"/>
      <c r="AH163" s="3704"/>
      <c r="AI163" s="2707"/>
      <c r="AJ163" s="3705"/>
      <c r="AK163" s="3704"/>
      <c r="AL163" s="2707"/>
      <c r="AM163" s="2707"/>
      <c r="AN163" s="2707"/>
      <c r="AO163" s="3705"/>
      <c r="AP163" s="3711"/>
      <c r="AQ163" s="2707"/>
      <c r="AR163" s="2707"/>
      <c r="AS163" s="2707"/>
      <c r="AT163" s="2707"/>
      <c r="AU163" s="3705"/>
      <c r="AV163" s="3741"/>
      <c r="AW163" s="2707"/>
      <c r="AX163" s="2707"/>
      <c r="AY163" s="2707"/>
      <c r="AZ163" s="2707"/>
      <c r="BA163" s="2707"/>
      <c r="BB163" s="2707"/>
      <c r="BC163" s="2707"/>
      <c r="BD163" s="2707"/>
      <c r="BE163" s="2707"/>
      <c r="BF163" s="2707"/>
      <c r="BG163" s="2707"/>
      <c r="BH163" s="2707"/>
      <c r="BI163" s="2707"/>
      <c r="BJ163" s="2707"/>
      <c r="BK163" s="2707"/>
      <c r="BL163" s="3740"/>
    </row>
    <row r="164" spans="1:64">
      <c r="A164" s="164"/>
      <c r="B164" s="3858"/>
      <c r="C164" s="2707"/>
      <c r="D164" s="2707"/>
      <c r="E164" s="2707"/>
      <c r="F164" s="2707"/>
      <c r="G164" s="2707"/>
      <c r="H164" s="2707"/>
      <c r="I164" s="2707"/>
      <c r="J164" s="3703"/>
      <c r="K164" s="3702"/>
      <c r="L164" s="2707"/>
      <c r="M164" s="3702"/>
      <c r="N164" s="2707"/>
      <c r="O164" s="2707"/>
      <c r="P164" s="3703"/>
      <c r="Q164" s="3702"/>
      <c r="R164" s="2707"/>
      <c r="S164" s="2707"/>
      <c r="T164" s="3703"/>
      <c r="U164" s="3702"/>
      <c r="V164" s="2707"/>
      <c r="W164" s="3703"/>
      <c r="X164" s="3702"/>
      <c r="Y164" s="2707"/>
      <c r="Z164" s="2707"/>
      <c r="AA164" s="3703"/>
      <c r="AB164" s="3734"/>
      <c r="AC164" s="2707"/>
      <c r="AD164" s="2707"/>
      <c r="AE164" s="3702"/>
      <c r="AF164" s="2707"/>
      <c r="AG164" s="3703"/>
      <c r="AH164" s="3702"/>
      <c r="AI164" s="2707"/>
      <c r="AJ164" s="3703"/>
      <c r="AK164" s="3702"/>
      <c r="AL164" s="2707"/>
      <c r="AM164" s="2707"/>
      <c r="AN164" s="2707"/>
      <c r="AO164" s="3703"/>
      <c r="AP164" s="3734"/>
      <c r="AQ164" s="2707"/>
      <c r="AR164" s="2707"/>
      <c r="AS164" s="2707"/>
      <c r="AT164" s="2707"/>
      <c r="AU164" s="3703"/>
      <c r="AV164" s="3849"/>
      <c r="AW164" s="2707"/>
      <c r="AX164" s="2707"/>
      <c r="AY164" s="2707"/>
      <c r="AZ164" s="2707"/>
      <c r="BA164" s="2707"/>
      <c r="BB164" s="2707"/>
      <c r="BC164" s="2707"/>
      <c r="BD164" s="2707"/>
      <c r="BE164" s="2707"/>
      <c r="BF164" s="2707"/>
      <c r="BG164" s="2707"/>
      <c r="BH164" s="2707"/>
      <c r="BI164" s="2707"/>
      <c r="BJ164" s="2707"/>
      <c r="BK164" s="2707"/>
      <c r="BL164" s="3737"/>
    </row>
    <row r="165" spans="1:64">
      <c r="A165" s="164"/>
      <c r="B165" s="3853"/>
      <c r="C165" s="2707"/>
      <c r="D165" s="2707"/>
      <c r="E165" s="2707"/>
      <c r="F165" s="2707"/>
      <c r="G165" s="2707"/>
      <c r="H165" s="2707"/>
      <c r="I165" s="2707"/>
      <c r="J165" s="3705"/>
      <c r="K165" s="3704"/>
      <c r="L165" s="2707"/>
      <c r="M165" s="3704"/>
      <c r="N165" s="2707"/>
      <c r="O165" s="2707"/>
      <c r="P165" s="3705"/>
      <c r="Q165" s="3704"/>
      <c r="R165" s="2707"/>
      <c r="S165" s="2707"/>
      <c r="T165" s="3705"/>
      <c r="U165" s="3704"/>
      <c r="V165" s="2707"/>
      <c r="W165" s="3705"/>
      <c r="X165" s="3704"/>
      <c r="Y165" s="2707"/>
      <c r="Z165" s="2707"/>
      <c r="AA165" s="3705"/>
      <c r="AB165" s="3711"/>
      <c r="AC165" s="2707"/>
      <c r="AD165" s="2707"/>
      <c r="AE165" s="3704"/>
      <c r="AF165" s="2707"/>
      <c r="AG165" s="3705"/>
      <c r="AH165" s="3704"/>
      <c r="AI165" s="2707"/>
      <c r="AJ165" s="3705"/>
      <c r="AK165" s="3704"/>
      <c r="AL165" s="2707"/>
      <c r="AM165" s="2707"/>
      <c r="AN165" s="2707"/>
      <c r="AO165" s="3705"/>
      <c r="AP165" s="3711"/>
      <c r="AQ165" s="2707"/>
      <c r="AR165" s="2707"/>
      <c r="AS165" s="2707"/>
      <c r="AT165" s="2707"/>
      <c r="AU165" s="3705"/>
      <c r="AV165" s="3741"/>
      <c r="AW165" s="2707"/>
      <c r="AX165" s="2707"/>
      <c r="AY165" s="2707"/>
      <c r="AZ165" s="2707"/>
      <c r="BA165" s="2707"/>
      <c r="BB165" s="2707"/>
      <c r="BC165" s="2707"/>
      <c r="BD165" s="2707"/>
      <c r="BE165" s="2707"/>
      <c r="BF165" s="2707"/>
      <c r="BG165" s="2707"/>
      <c r="BH165" s="2707"/>
      <c r="BI165" s="2707"/>
      <c r="BJ165" s="2707"/>
      <c r="BK165" s="2707"/>
      <c r="BL165" s="3740"/>
    </row>
    <row r="166" spans="1:64">
      <c r="A166" s="164"/>
      <c r="B166" s="3858"/>
      <c r="C166" s="2707"/>
      <c r="D166" s="2707"/>
      <c r="E166" s="2707"/>
      <c r="F166" s="2707"/>
      <c r="G166" s="2707"/>
      <c r="H166" s="2707"/>
      <c r="I166" s="2707"/>
      <c r="J166" s="3703"/>
      <c r="K166" s="3702"/>
      <c r="L166" s="2707"/>
      <c r="M166" s="3702"/>
      <c r="N166" s="2707"/>
      <c r="O166" s="2707"/>
      <c r="P166" s="3703"/>
      <c r="Q166" s="3702"/>
      <c r="R166" s="2707"/>
      <c r="S166" s="2707"/>
      <c r="T166" s="3703"/>
      <c r="U166" s="3702"/>
      <c r="V166" s="2707"/>
      <c r="W166" s="3703"/>
      <c r="X166" s="3702"/>
      <c r="Y166" s="2707"/>
      <c r="Z166" s="2707"/>
      <c r="AA166" s="3703"/>
      <c r="AB166" s="3734"/>
      <c r="AC166" s="2707"/>
      <c r="AD166" s="2707"/>
      <c r="AE166" s="3702"/>
      <c r="AF166" s="2707"/>
      <c r="AG166" s="3703"/>
      <c r="AH166" s="3702"/>
      <c r="AI166" s="2707"/>
      <c r="AJ166" s="3703"/>
      <c r="AK166" s="3702"/>
      <c r="AL166" s="2707"/>
      <c r="AM166" s="2707"/>
      <c r="AN166" s="2707"/>
      <c r="AO166" s="3703"/>
      <c r="AP166" s="3734"/>
      <c r="AQ166" s="2707"/>
      <c r="AR166" s="2707"/>
      <c r="AS166" s="2707"/>
      <c r="AT166" s="2707"/>
      <c r="AU166" s="3703"/>
      <c r="AV166" s="3849"/>
      <c r="AW166" s="2707"/>
      <c r="AX166" s="2707"/>
      <c r="AY166" s="2707"/>
      <c r="AZ166" s="2707"/>
      <c r="BA166" s="2707"/>
      <c r="BB166" s="2707"/>
      <c r="BC166" s="2707"/>
      <c r="BD166" s="2707"/>
      <c r="BE166" s="2707"/>
      <c r="BF166" s="2707"/>
      <c r="BG166" s="2707"/>
      <c r="BH166" s="2707"/>
      <c r="BI166" s="2707"/>
      <c r="BJ166" s="2707"/>
      <c r="BK166" s="2707"/>
      <c r="BL166" s="3737"/>
    </row>
    <row r="167" spans="1:64">
      <c r="A167" s="164"/>
      <c r="B167" s="3853"/>
      <c r="C167" s="2707"/>
      <c r="D167" s="2707"/>
      <c r="E167" s="2707"/>
      <c r="F167" s="2707"/>
      <c r="G167" s="2707"/>
      <c r="H167" s="2707"/>
      <c r="I167" s="2707"/>
      <c r="J167" s="3705"/>
      <c r="K167" s="3704"/>
      <c r="L167" s="2707"/>
      <c r="M167" s="3704"/>
      <c r="N167" s="2707"/>
      <c r="O167" s="2707"/>
      <c r="P167" s="3705"/>
      <c r="Q167" s="3704"/>
      <c r="R167" s="2707"/>
      <c r="S167" s="2707"/>
      <c r="T167" s="3705"/>
      <c r="U167" s="3704"/>
      <c r="V167" s="2707"/>
      <c r="W167" s="3705"/>
      <c r="X167" s="3704"/>
      <c r="Y167" s="2707"/>
      <c r="Z167" s="2707"/>
      <c r="AA167" s="3705"/>
      <c r="AB167" s="3711"/>
      <c r="AC167" s="2707"/>
      <c r="AD167" s="2707"/>
      <c r="AE167" s="3704"/>
      <c r="AF167" s="2707"/>
      <c r="AG167" s="3705"/>
      <c r="AH167" s="3704"/>
      <c r="AI167" s="2707"/>
      <c r="AJ167" s="3705"/>
      <c r="AK167" s="3704"/>
      <c r="AL167" s="2707"/>
      <c r="AM167" s="2707"/>
      <c r="AN167" s="2707"/>
      <c r="AO167" s="3705"/>
      <c r="AP167" s="3711"/>
      <c r="AQ167" s="2707"/>
      <c r="AR167" s="2707"/>
      <c r="AS167" s="2707"/>
      <c r="AT167" s="2707"/>
      <c r="AU167" s="3705"/>
      <c r="AV167" s="3741"/>
      <c r="AW167" s="2707"/>
      <c r="AX167" s="2707"/>
      <c r="AY167" s="2707"/>
      <c r="AZ167" s="2707"/>
      <c r="BA167" s="2707"/>
      <c r="BB167" s="2707"/>
      <c r="BC167" s="2707"/>
      <c r="BD167" s="2707"/>
      <c r="BE167" s="2707"/>
      <c r="BF167" s="2707"/>
      <c r="BG167" s="2707"/>
      <c r="BH167" s="2707"/>
      <c r="BI167" s="2707"/>
      <c r="BJ167" s="2707"/>
      <c r="BK167" s="2707"/>
      <c r="BL167" s="3740"/>
    </row>
    <row r="168" spans="1:64">
      <c r="A168" s="164"/>
      <c r="B168" s="3858"/>
      <c r="C168" s="2707"/>
      <c r="D168" s="2707"/>
      <c r="E168" s="2707"/>
      <c r="F168" s="2707"/>
      <c r="G168" s="2707"/>
      <c r="H168" s="2707"/>
      <c r="I168" s="2707"/>
      <c r="J168" s="3703"/>
      <c r="K168" s="3702"/>
      <c r="L168" s="2707"/>
      <c r="M168" s="3702"/>
      <c r="N168" s="2707"/>
      <c r="O168" s="2707"/>
      <c r="P168" s="3703"/>
      <c r="Q168" s="3702"/>
      <c r="R168" s="2707"/>
      <c r="S168" s="2707"/>
      <c r="T168" s="3703"/>
      <c r="U168" s="3702"/>
      <c r="V168" s="2707"/>
      <c r="W168" s="3703"/>
      <c r="X168" s="3702"/>
      <c r="Y168" s="2707"/>
      <c r="Z168" s="2707"/>
      <c r="AA168" s="3703"/>
      <c r="AB168" s="3734"/>
      <c r="AC168" s="2707"/>
      <c r="AD168" s="2707"/>
      <c r="AE168" s="3702"/>
      <c r="AF168" s="2707"/>
      <c r="AG168" s="3703"/>
      <c r="AH168" s="3702"/>
      <c r="AI168" s="2707"/>
      <c r="AJ168" s="3703"/>
      <c r="AK168" s="3702"/>
      <c r="AL168" s="2707"/>
      <c r="AM168" s="2707"/>
      <c r="AN168" s="2707"/>
      <c r="AO168" s="3703"/>
      <c r="AP168" s="3734"/>
      <c r="AQ168" s="2707"/>
      <c r="AR168" s="2707"/>
      <c r="AS168" s="2707"/>
      <c r="AT168" s="2707"/>
      <c r="AU168" s="3703"/>
      <c r="AV168" s="3849"/>
      <c r="AW168" s="2707"/>
      <c r="AX168" s="2707"/>
      <c r="AY168" s="2707"/>
      <c r="AZ168" s="2707"/>
      <c r="BA168" s="2707"/>
      <c r="BB168" s="2707"/>
      <c r="BC168" s="2707"/>
      <c r="BD168" s="2707"/>
      <c r="BE168" s="2707"/>
      <c r="BF168" s="2707"/>
      <c r="BG168" s="2707"/>
      <c r="BH168" s="2707"/>
      <c r="BI168" s="2707"/>
      <c r="BJ168" s="2707"/>
      <c r="BK168" s="2707"/>
      <c r="BL168" s="3737"/>
    </row>
    <row r="169" spans="1:64">
      <c r="A169" s="164"/>
      <c r="B169" s="3853"/>
      <c r="C169" s="2707"/>
      <c r="D169" s="2707"/>
      <c r="E169" s="2707"/>
      <c r="F169" s="2707"/>
      <c r="G169" s="2707"/>
      <c r="H169" s="2707"/>
      <c r="I169" s="2707"/>
      <c r="J169" s="3705"/>
      <c r="K169" s="3704"/>
      <c r="L169" s="2707"/>
      <c r="M169" s="3704"/>
      <c r="N169" s="2707"/>
      <c r="O169" s="2707"/>
      <c r="P169" s="3705"/>
      <c r="Q169" s="3704"/>
      <c r="R169" s="2707"/>
      <c r="S169" s="2707"/>
      <c r="T169" s="3705"/>
      <c r="U169" s="3704"/>
      <c r="V169" s="2707"/>
      <c r="W169" s="3705"/>
      <c r="X169" s="3704"/>
      <c r="Y169" s="2707"/>
      <c r="Z169" s="2707"/>
      <c r="AA169" s="3705"/>
      <c r="AB169" s="3711"/>
      <c r="AC169" s="2707"/>
      <c r="AD169" s="2707"/>
      <c r="AE169" s="3704"/>
      <c r="AF169" s="2707"/>
      <c r="AG169" s="3705"/>
      <c r="AH169" s="3704"/>
      <c r="AI169" s="2707"/>
      <c r="AJ169" s="3705"/>
      <c r="AK169" s="3704"/>
      <c r="AL169" s="2707"/>
      <c r="AM169" s="2707"/>
      <c r="AN169" s="2707"/>
      <c r="AO169" s="3705"/>
      <c r="AP169" s="3711"/>
      <c r="AQ169" s="2707"/>
      <c r="AR169" s="2707"/>
      <c r="AS169" s="2707"/>
      <c r="AT169" s="2707"/>
      <c r="AU169" s="3705"/>
      <c r="AV169" s="3741"/>
      <c r="AW169" s="2707"/>
      <c r="AX169" s="2707"/>
      <c r="AY169" s="2707"/>
      <c r="AZ169" s="2707"/>
      <c r="BA169" s="2707"/>
      <c r="BB169" s="2707"/>
      <c r="BC169" s="2707"/>
      <c r="BD169" s="2707"/>
      <c r="BE169" s="2707"/>
      <c r="BF169" s="2707"/>
      <c r="BG169" s="2707"/>
      <c r="BH169" s="2707"/>
      <c r="BI169" s="2707"/>
      <c r="BJ169" s="2707"/>
      <c r="BK169" s="2707"/>
      <c r="BL169" s="3740"/>
    </row>
    <row r="170" spans="1:64">
      <c r="A170" s="164"/>
      <c r="B170" s="3858"/>
      <c r="C170" s="2707"/>
      <c r="D170" s="2707"/>
      <c r="E170" s="2707"/>
      <c r="F170" s="2707"/>
      <c r="G170" s="2707"/>
      <c r="H170" s="2707"/>
      <c r="I170" s="2707"/>
      <c r="J170" s="3703"/>
      <c r="K170" s="3702"/>
      <c r="L170" s="2707"/>
      <c r="M170" s="3702"/>
      <c r="N170" s="2707"/>
      <c r="O170" s="2707"/>
      <c r="P170" s="3703"/>
      <c r="Q170" s="3702"/>
      <c r="R170" s="2707"/>
      <c r="S170" s="2707"/>
      <c r="T170" s="3703"/>
      <c r="U170" s="3702"/>
      <c r="V170" s="2707"/>
      <c r="W170" s="3703"/>
      <c r="X170" s="3702"/>
      <c r="Y170" s="2707"/>
      <c r="Z170" s="2707"/>
      <c r="AA170" s="3703"/>
      <c r="AB170" s="3734"/>
      <c r="AC170" s="2707"/>
      <c r="AD170" s="2707"/>
      <c r="AE170" s="3702"/>
      <c r="AF170" s="2707"/>
      <c r="AG170" s="3703"/>
      <c r="AH170" s="3702"/>
      <c r="AI170" s="2707"/>
      <c r="AJ170" s="3703"/>
      <c r="AK170" s="3702"/>
      <c r="AL170" s="2707"/>
      <c r="AM170" s="2707"/>
      <c r="AN170" s="2707"/>
      <c r="AO170" s="3703"/>
      <c r="AP170" s="3734"/>
      <c r="AQ170" s="2707"/>
      <c r="AR170" s="2707"/>
      <c r="AS170" s="2707"/>
      <c r="AT170" s="2707"/>
      <c r="AU170" s="3703"/>
      <c r="AV170" s="3849"/>
      <c r="AW170" s="2707"/>
      <c r="AX170" s="2707"/>
      <c r="AY170" s="2707"/>
      <c r="AZ170" s="2707"/>
      <c r="BA170" s="2707"/>
      <c r="BB170" s="2707"/>
      <c r="BC170" s="2707"/>
      <c r="BD170" s="2707"/>
      <c r="BE170" s="2707"/>
      <c r="BF170" s="2707"/>
      <c r="BG170" s="2707"/>
      <c r="BH170" s="2707"/>
      <c r="BI170" s="2707"/>
      <c r="BJ170" s="2707"/>
      <c r="BK170" s="2707"/>
      <c r="BL170" s="3737"/>
    </row>
    <row r="171" spans="1:64">
      <c r="A171" s="164"/>
      <c r="B171" s="3853"/>
      <c r="C171" s="2707"/>
      <c r="D171" s="2707"/>
      <c r="E171" s="2707"/>
      <c r="F171" s="2707"/>
      <c r="G171" s="2707"/>
      <c r="H171" s="2707"/>
      <c r="I171" s="2707"/>
      <c r="J171" s="3705"/>
      <c r="K171" s="3704"/>
      <c r="L171" s="2707"/>
      <c r="M171" s="3704"/>
      <c r="N171" s="2707"/>
      <c r="O171" s="2707"/>
      <c r="P171" s="3705"/>
      <c r="Q171" s="3704"/>
      <c r="R171" s="2707"/>
      <c r="S171" s="2707"/>
      <c r="T171" s="3705"/>
      <c r="U171" s="3704"/>
      <c r="V171" s="2707"/>
      <c r="W171" s="3705"/>
      <c r="X171" s="3704"/>
      <c r="Y171" s="2707"/>
      <c r="Z171" s="2707"/>
      <c r="AA171" s="3705"/>
      <c r="AB171" s="3711"/>
      <c r="AC171" s="2707"/>
      <c r="AD171" s="2707"/>
      <c r="AE171" s="3704"/>
      <c r="AF171" s="2707"/>
      <c r="AG171" s="3705"/>
      <c r="AH171" s="3704"/>
      <c r="AI171" s="2707"/>
      <c r="AJ171" s="3705"/>
      <c r="AK171" s="3704"/>
      <c r="AL171" s="2707"/>
      <c r="AM171" s="2707"/>
      <c r="AN171" s="2707"/>
      <c r="AO171" s="3705"/>
      <c r="AP171" s="3711"/>
      <c r="AQ171" s="2707"/>
      <c r="AR171" s="2707"/>
      <c r="AS171" s="2707"/>
      <c r="AT171" s="2707"/>
      <c r="AU171" s="3705"/>
      <c r="AV171" s="3852"/>
      <c r="AW171" s="2707"/>
      <c r="AX171" s="2707"/>
      <c r="AY171" s="2707"/>
      <c r="AZ171" s="2707"/>
      <c r="BA171" s="2707"/>
      <c r="BB171" s="2707"/>
      <c r="BC171" s="2707"/>
      <c r="BD171" s="2707"/>
      <c r="BE171" s="2707"/>
      <c r="BF171" s="2707"/>
      <c r="BG171" s="2707"/>
      <c r="BH171" s="2707"/>
      <c r="BI171" s="2707"/>
      <c r="BJ171" s="2707"/>
      <c r="BK171" s="2707"/>
      <c r="BL171" s="3740"/>
    </row>
    <row r="172" spans="1:64">
      <c r="A172" s="164"/>
      <c r="B172" s="3858"/>
      <c r="C172" s="2707"/>
      <c r="D172" s="2707"/>
      <c r="E172" s="2707"/>
      <c r="F172" s="2707"/>
      <c r="G172" s="2707"/>
      <c r="H172" s="2707"/>
      <c r="I172" s="2707"/>
      <c r="J172" s="3703"/>
      <c r="K172" s="3702"/>
      <c r="L172" s="2707"/>
      <c r="M172" s="3702"/>
      <c r="N172" s="2707"/>
      <c r="O172" s="2707"/>
      <c r="P172" s="3703"/>
      <c r="Q172" s="3702"/>
      <c r="R172" s="2707"/>
      <c r="S172" s="2707"/>
      <c r="T172" s="3703"/>
      <c r="U172" s="3702"/>
      <c r="V172" s="2707"/>
      <c r="W172" s="3703"/>
      <c r="X172" s="3702"/>
      <c r="Y172" s="2707"/>
      <c r="Z172" s="2707"/>
      <c r="AA172" s="3703"/>
      <c r="AB172" s="3734"/>
      <c r="AC172" s="2707"/>
      <c r="AD172" s="2707"/>
      <c r="AE172" s="3702"/>
      <c r="AF172" s="2707"/>
      <c r="AG172" s="3703"/>
      <c r="AH172" s="3702"/>
      <c r="AI172" s="2707"/>
      <c r="AJ172" s="3703"/>
      <c r="AK172" s="3702"/>
      <c r="AL172" s="2707"/>
      <c r="AM172" s="2707"/>
      <c r="AN172" s="2707"/>
      <c r="AO172" s="3703"/>
      <c r="AP172" s="3734"/>
      <c r="AQ172" s="2707"/>
      <c r="AR172" s="2707"/>
      <c r="AS172" s="2707"/>
      <c r="AT172" s="2707"/>
      <c r="AU172" s="3703"/>
      <c r="AV172" s="3849"/>
      <c r="AW172" s="2707"/>
      <c r="AX172" s="2707"/>
      <c r="AY172" s="2707"/>
      <c r="AZ172" s="2707"/>
      <c r="BA172" s="2707"/>
      <c r="BB172" s="2707"/>
      <c r="BC172" s="2707"/>
      <c r="BD172" s="2707"/>
      <c r="BE172" s="2707"/>
      <c r="BF172" s="2707"/>
      <c r="BG172" s="2707"/>
      <c r="BH172" s="2707"/>
      <c r="BI172" s="2707"/>
      <c r="BJ172" s="2707"/>
      <c r="BK172" s="2707"/>
      <c r="BL172" s="3737"/>
    </row>
    <row r="173" spans="1:64">
      <c r="A173" s="164"/>
      <c r="B173" s="3853"/>
      <c r="C173" s="2707"/>
      <c r="D173" s="2707"/>
      <c r="E173" s="2707"/>
      <c r="F173" s="2707"/>
      <c r="G173" s="2707"/>
      <c r="H173" s="2707"/>
      <c r="I173" s="2707"/>
      <c r="J173" s="3705"/>
      <c r="K173" s="3704"/>
      <c r="L173" s="2707"/>
      <c r="M173" s="3704"/>
      <c r="N173" s="2707"/>
      <c r="O173" s="2707"/>
      <c r="P173" s="3705"/>
      <c r="Q173" s="3704"/>
      <c r="R173" s="2707"/>
      <c r="S173" s="2707"/>
      <c r="T173" s="3705"/>
      <c r="U173" s="3704"/>
      <c r="V173" s="2707"/>
      <c r="W173" s="3705"/>
      <c r="X173" s="3704"/>
      <c r="Y173" s="2707"/>
      <c r="Z173" s="2707"/>
      <c r="AA173" s="3705"/>
      <c r="AB173" s="3711"/>
      <c r="AC173" s="2707"/>
      <c r="AD173" s="2707"/>
      <c r="AE173" s="3704"/>
      <c r="AF173" s="2707"/>
      <c r="AG173" s="3705"/>
      <c r="AH173" s="3704"/>
      <c r="AI173" s="2707"/>
      <c r="AJ173" s="3705"/>
      <c r="AK173" s="3704"/>
      <c r="AL173" s="2707"/>
      <c r="AM173" s="2707"/>
      <c r="AN173" s="2707"/>
      <c r="AO173" s="3705"/>
      <c r="AP173" s="3711"/>
      <c r="AQ173" s="2707"/>
      <c r="AR173" s="2707"/>
      <c r="AS173" s="2707"/>
      <c r="AT173" s="2707"/>
      <c r="AU173" s="3705"/>
      <c r="AV173" s="3741"/>
      <c r="AW173" s="2707"/>
      <c r="AX173" s="2707"/>
      <c r="AY173" s="2707"/>
      <c r="AZ173" s="2707"/>
      <c r="BA173" s="2707"/>
      <c r="BB173" s="2707"/>
      <c r="BC173" s="2707"/>
      <c r="BD173" s="2707"/>
      <c r="BE173" s="2707"/>
      <c r="BF173" s="2707"/>
      <c r="BG173" s="2707"/>
      <c r="BH173" s="2707"/>
      <c r="BI173" s="2707"/>
      <c r="BJ173" s="2707"/>
      <c r="BK173" s="2707"/>
      <c r="BL173" s="3740"/>
    </row>
    <row r="174" spans="1:64">
      <c r="A174" s="164"/>
      <c r="B174" s="3858"/>
      <c r="C174" s="2707"/>
      <c r="D174" s="2707"/>
      <c r="E174" s="2707"/>
      <c r="F174" s="2707"/>
      <c r="G174" s="2707"/>
      <c r="H174" s="2707"/>
      <c r="I174" s="2707"/>
      <c r="J174" s="3703"/>
      <c r="K174" s="3702"/>
      <c r="L174" s="2707"/>
      <c r="M174" s="3702"/>
      <c r="N174" s="2707"/>
      <c r="O174" s="2707"/>
      <c r="P174" s="3703"/>
      <c r="Q174" s="3702"/>
      <c r="R174" s="2707"/>
      <c r="S174" s="2707"/>
      <c r="T174" s="3703"/>
      <c r="U174" s="3702"/>
      <c r="V174" s="2707"/>
      <c r="W174" s="3703"/>
      <c r="X174" s="3702"/>
      <c r="Y174" s="2707"/>
      <c r="Z174" s="2707"/>
      <c r="AA174" s="3703"/>
      <c r="AB174" s="3734"/>
      <c r="AC174" s="2707"/>
      <c r="AD174" s="2707"/>
      <c r="AE174" s="3702"/>
      <c r="AF174" s="2707"/>
      <c r="AG174" s="3703"/>
      <c r="AH174" s="3702"/>
      <c r="AI174" s="2707"/>
      <c r="AJ174" s="3703"/>
      <c r="AK174" s="3702"/>
      <c r="AL174" s="2707"/>
      <c r="AM174" s="2707"/>
      <c r="AN174" s="2707"/>
      <c r="AO174" s="3703"/>
      <c r="AP174" s="3734"/>
      <c r="AQ174" s="2707"/>
      <c r="AR174" s="2707"/>
      <c r="AS174" s="2707"/>
      <c r="AT174" s="2707"/>
      <c r="AU174" s="3703"/>
      <c r="AV174" s="3849"/>
      <c r="AW174" s="2707"/>
      <c r="AX174" s="2707"/>
      <c r="AY174" s="2707"/>
      <c r="AZ174" s="2707"/>
      <c r="BA174" s="2707"/>
      <c r="BB174" s="2707"/>
      <c r="BC174" s="2707"/>
      <c r="BD174" s="2707"/>
      <c r="BE174" s="2707"/>
      <c r="BF174" s="2707"/>
      <c r="BG174" s="2707"/>
      <c r="BH174" s="2707"/>
      <c r="BI174" s="2707"/>
      <c r="BJ174" s="2707"/>
      <c r="BK174" s="2707"/>
      <c r="BL174" s="3737"/>
    </row>
    <row r="175" spans="1:64">
      <c r="A175" s="164"/>
      <c r="B175" s="3853"/>
      <c r="C175" s="2707"/>
      <c r="D175" s="2707"/>
      <c r="E175" s="2707"/>
      <c r="F175" s="2707"/>
      <c r="G175" s="2707"/>
      <c r="H175" s="2707"/>
      <c r="I175" s="2707"/>
      <c r="J175" s="3705"/>
      <c r="K175" s="3704"/>
      <c r="L175" s="2707"/>
      <c r="M175" s="3704"/>
      <c r="N175" s="2707"/>
      <c r="O175" s="2707"/>
      <c r="P175" s="3705"/>
      <c r="Q175" s="3704"/>
      <c r="R175" s="2707"/>
      <c r="S175" s="2707"/>
      <c r="T175" s="3705"/>
      <c r="U175" s="3704"/>
      <c r="V175" s="2707"/>
      <c r="W175" s="3705"/>
      <c r="X175" s="3704"/>
      <c r="Y175" s="2707"/>
      <c r="Z175" s="2707"/>
      <c r="AA175" s="3705"/>
      <c r="AB175" s="3711"/>
      <c r="AC175" s="2707"/>
      <c r="AD175" s="2707"/>
      <c r="AE175" s="3704"/>
      <c r="AF175" s="2707"/>
      <c r="AG175" s="3705"/>
      <c r="AH175" s="3704"/>
      <c r="AI175" s="2707"/>
      <c r="AJ175" s="3705"/>
      <c r="AK175" s="3704"/>
      <c r="AL175" s="2707"/>
      <c r="AM175" s="2707"/>
      <c r="AN175" s="2707"/>
      <c r="AO175" s="3705"/>
      <c r="AP175" s="3711"/>
      <c r="AQ175" s="2707"/>
      <c r="AR175" s="2707"/>
      <c r="AS175" s="2707"/>
      <c r="AT175" s="2707"/>
      <c r="AU175" s="3705"/>
      <c r="AV175" s="3741"/>
      <c r="AW175" s="2707"/>
      <c r="AX175" s="2707"/>
      <c r="AY175" s="2707"/>
      <c r="AZ175" s="2707"/>
      <c r="BA175" s="2707"/>
      <c r="BB175" s="2707"/>
      <c r="BC175" s="2707"/>
      <c r="BD175" s="2707"/>
      <c r="BE175" s="2707"/>
      <c r="BF175" s="2707"/>
      <c r="BG175" s="2707"/>
      <c r="BH175" s="2707"/>
      <c r="BI175" s="2707"/>
      <c r="BJ175" s="2707"/>
      <c r="BK175" s="2707"/>
      <c r="BL175" s="3740"/>
    </row>
    <row r="176" spans="1:64">
      <c r="A176" s="164"/>
      <c r="B176" s="3858"/>
      <c r="C176" s="2707"/>
      <c r="D176" s="2707"/>
      <c r="E176" s="2707"/>
      <c r="F176" s="2707"/>
      <c r="G176" s="2707"/>
      <c r="H176" s="2707"/>
      <c r="I176" s="2707"/>
      <c r="J176" s="3703"/>
      <c r="K176" s="3702"/>
      <c r="L176" s="2707"/>
      <c r="M176" s="3702"/>
      <c r="N176" s="2707"/>
      <c r="O176" s="2707"/>
      <c r="P176" s="3703"/>
      <c r="Q176" s="3702"/>
      <c r="R176" s="2707"/>
      <c r="S176" s="2707"/>
      <c r="T176" s="3703"/>
      <c r="U176" s="3702"/>
      <c r="V176" s="2707"/>
      <c r="W176" s="3703"/>
      <c r="X176" s="3702"/>
      <c r="Y176" s="2707"/>
      <c r="Z176" s="2707"/>
      <c r="AA176" s="3703"/>
      <c r="AB176" s="3734"/>
      <c r="AC176" s="2707"/>
      <c r="AD176" s="2707"/>
      <c r="AE176" s="3702"/>
      <c r="AF176" s="2707"/>
      <c r="AG176" s="3703"/>
      <c r="AH176" s="3702"/>
      <c r="AI176" s="2707"/>
      <c r="AJ176" s="3703"/>
      <c r="AK176" s="3702"/>
      <c r="AL176" s="2707"/>
      <c r="AM176" s="2707"/>
      <c r="AN176" s="2707"/>
      <c r="AO176" s="3703"/>
      <c r="AP176" s="3734"/>
      <c r="AQ176" s="2707"/>
      <c r="AR176" s="2707"/>
      <c r="AS176" s="2707"/>
      <c r="AT176" s="2707"/>
      <c r="AU176" s="3703"/>
      <c r="AV176" s="3849"/>
      <c r="AW176" s="2707"/>
      <c r="AX176" s="2707"/>
      <c r="AY176" s="2707"/>
      <c r="AZ176" s="2707"/>
      <c r="BA176" s="2707"/>
      <c r="BB176" s="2707"/>
      <c r="BC176" s="2707"/>
      <c r="BD176" s="2707"/>
      <c r="BE176" s="2707"/>
      <c r="BF176" s="2707"/>
      <c r="BG176" s="2707"/>
      <c r="BH176" s="2707"/>
      <c r="BI176" s="2707"/>
      <c r="BJ176" s="2707"/>
      <c r="BK176" s="2707"/>
      <c r="BL176" s="3737"/>
    </row>
    <row r="177" spans="1:64">
      <c r="A177" s="164"/>
      <c r="B177" s="3853"/>
      <c r="C177" s="2707"/>
      <c r="D177" s="2707"/>
      <c r="E177" s="2707"/>
      <c r="F177" s="2707"/>
      <c r="G177" s="2707"/>
      <c r="H177" s="2707"/>
      <c r="I177" s="2707"/>
      <c r="J177" s="3705"/>
      <c r="K177" s="3704"/>
      <c r="L177" s="2707"/>
      <c r="M177" s="3704"/>
      <c r="N177" s="2707"/>
      <c r="O177" s="2707"/>
      <c r="P177" s="3705"/>
      <c r="Q177" s="3704"/>
      <c r="R177" s="2707"/>
      <c r="S177" s="2707"/>
      <c r="T177" s="3705"/>
      <c r="U177" s="3704"/>
      <c r="V177" s="2707"/>
      <c r="W177" s="3705"/>
      <c r="X177" s="3704"/>
      <c r="Y177" s="2707"/>
      <c r="Z177" s="2707"/>
      <c r="AA177" s="3705"/>
      <c r="AB177" s="3711"/>
      <c r="AC177" s="2707"/>
      <c r="AD177" s="2707"/>
      <c r="AE177" s="3704"/>
      <c r="AF177" s="2707"/>
      <c r="AG177" s="3705"/>
      <c r="AH177" s="3704"/>
      <c r="AI177" s="2707"/>
      <c r="AJ177" s="3705"/>
      <c r="AK177" s="3704"/>
      <c r="AL177" s="2707"/>
      <c r="AM177" s="2707"/>
      <c r="AN177" s="2707"/>
      <c r="AO177" s="3705"/>
      <c r="AP177" s="3711"/>
      <c r="AQ177" s="2707"/>
      <c r="AR177" s="2707"/>
      <c r="AS177" s="2707"/>
      <c r="AT177" s="2707"/>
      <c r="AU177" s="3705"/>
      <c r="AV177" s="3741"/>
      <c r="AW177" s="2707"/>
      <c r="AX177" s="2707"/>
      <c r="AY177" s="2707"/>
      <c r="AZ177" s="2707"/>
      <c r="BA177" s="2707"/>
      <c r="BB177" s="2707"/>
      <c r="BC177" s="2707"/>
      <c r="BD177" s="2707"/>
      <c r="BE177" s="2707"/>
      <c r="BF177" s="2707"/>
      <c r="BG177" s="2707"/>
      <c r="BH177" s="2707"/>
      <c r="BI177" s="2707"/>
      <c r="BJ177" s="2707"/>
      <c r="BK177" s="2707"/>
      <c r="BL177" s="3740"/>
    </row>
    <row r="178" spans="1:64">
      <c r="A178" s="164"/>
      <c r="B178" s="3858"/>
      <c r="C178" s="2707"/>
      <c r="D178" s="2707"/>
      <c r="E178" s="2707"/>
      <c r="F178" s="2707"/>
      <c r="G178" s="2707"/>
      <c r="H178" s="2707"/>
      <c r="I178" s="2707"/>
      <c r="J178" s="3703"/>
      <c r="K178" s="3702"/>
      <c r="L178" s="2707"/>
      <c r="M178" s="3702"/>
      <c r="N178" s="2707"/>
      <c r="O178" s="2707"/>
      <c r="P178" s="3703"/>
      <c r="Q178" s="3702"/>
      <c r="R178" s="2707"/>
      <c r="S178" s="2707"/>
      <c r="T178" s="3703"/>
      <c r="U178" s="3702"/>
      <c r="V178" s="2707"/>
      <c r="W178" s="3703"/>
      <c r="X178" s="3702"/>
      <c r="Y178" s="2707"/>
      <c r="Z178" s="2707"/>
      <c r="AA178" s="3703"/>
      <c r="AB178" s="3734"/>
      <c r="AC178" s="2707"/>
      <c r="AD178" s="2707"/>
      <c r="AE178" s="3702"/>
      <c r="AF178" s="2707"/>
      <c r="AG178" s="3703"/>
      <c r="AH178" s="3702"/>
      <c r="AI178" s="2707"/>
      <c r="AJ178" s="3703"/>
      <c r="AK178" s="3702"/>
      <c r="AL178" s="2707"/>
      <c r="AM178" s="2707"/>
      <c r="AN178" s="2707"/>
      <c r="AO178" s="3703"/>
      <c r="AP178" s="3734"/>
      <c r="AQ178" s="2707"/>
      <c r="AR178" s="2707"/>
      <c r="AS178" s="2707"/>
      <c r="AT178" s="2707"/>
      <c r="AU178" s="3703"/>
      <c r="AV178" s="3849"/>
      <c r="AW178" s="2707"/>
      <c r="AX178" s="2707"/>
      <c r="AY178" s="2707"/>
      <c r="AZ178" s="2707"/>
      <c r="BA178" s="2707"/>
      <c r="BB178" s="2707"/>
      <c r="BC178" s="2707"/>
      <c r="BD178" s="2707"/>
      <c r="BE178" s="2707"/>
      <c r="BF178" s="2707"/>
      <c r="BG178" s="2707"/>
      <c r="BH178" s="2707"/>
      <c r="BI178" s="2707"/>
      <c r="BJ178" s="2707"/>
      <c r="BK178" s="2707"/>
      <c r="BL178" s="3737"/>
    </row>
    <row r="179" spans="1:64">
      <c r="A179" s="164"/>
      <c r="B179" s="3853"/>
      <c r="C179" s="2707"/>
      <c r="D179" s="2707"/>
      <c r="E179" s="2707"/>
      <c r="F179" s="2707"/>
      <c r="G179" s="2707"/>
      <c r="H179" s="2707"/>
      <c r="I179" s="2707"/>
      <c r="J179" s="3705"/>
      <c r="K179" s="3704"/>
      <c r="L179" s="2707"/>
      <c r="M179" s="3704"/>
      <c r="N179" s="2707"/>
      <c r="O179" s="2707"/>
      <c r="P179" s="3705"/>
      <c r="Q179" s="3704"/>
      <c r="R179" s="2707"/>
      <c r="S179" s="2707"/>
      <c r="T179" s="3705"/>
      <c r="U179" s="3704"/>
      <c r="V179" s="2707"/>
      <c r="W179" s="3705"/>
      <c r="X179" s="3704"/>
      <c r="Y179" s="2707"/>
      <c r="Z179" s="2707"/>
      <c r="AA179" s="3705"/>
      <c r="AB179" s="3711"/>
      <c r="AC179" s="2707"/>
      <c r="AD179" s="2707"/>
      <c r="AE179" s="3704"/>
      <c r="AF179" s="2707"/>
      <c r="AG179" s="3705"/>
      <c r="AH179" s="3704"/>
      <c r="AI179" s="2707"/>
      <c r="AJ179" s="3705"/>
      <c r="AK179" s="3704"/>
      <c r="AL179" s="2707"/>
      <c r="AM179" s="2707"/>
      <c r="AN179" s="2707"/>
      <c r="AO179" s="3705"/>
      <c r="AP179" s="3711"/>
      <c r="AQ179" s="2707"/>
      <c r="AR179" s="2707"/>
      <c r="AS179" s="2707"/>
      <c r="AT179" s="2707"/>
      <c r="AU179" s="3705"/>
      <c r="AV179" s="3741"/>
      <c r="AW179" s="2707"/>
      <c r="AX179" s="2707"/>
      <c r="AY179" s="2707"/>
      <c r="AZ179" s="2707"/>
      <c r="BA179" s="2707"/>
      <c r="BB179" s="2707"/>
      <c r="BC179" s="2707"/>
      <c r="BD179" s="2707"/>
      <c r="BE179" s="2707"/>
      <c r="BF179" s="2707"/>
      <c r="BG179" s="2707"/>
      <c r="BH179" s="2707"/>
      <c r="BI179" s="2707"/>
      <c r="BJ179" s="2707"/>
      <c r="BK179" s="2707"/>
      <c r="BL179" s="3740"/>
    </row>
    <row r="180" spans="1:64">
      <c r="A180" s="164"/>
      <c r="B180" s="3858"/>
      <c r="C180" s="2707"/>
      <c r="D180" s="2707"/>
      <c r="E180" s="2707"/>
      <c r="F180" s="2707"/>
      <c r="G180" s="2707"/>
      <c r="H180" s="2707"/>
      <c r="I180" s="2707"/>
      <c r="J180" s="3703"/>
      <c r="K180" s="3702"/>
      <c r="L180" s="2707"/>
      <c r="M180" s="3702"/>
      <c r="N180" s="2707"/>
      <c r="O180" s="2707"/>
      <c r="P180" s="3703"/>
      <c r="Q180" s="3702"/>
      <c r="R180" s="2707"/>
      <c r="S180" s="2707"/>
      <c r="T180" s="3703"/>
      <c r="U180" s="3702"/>
      <c r="V180" s="2707"/>
      <c r="W180" s="3703"/>
      <c r="X180" s="3702"/>
      <c r="Y180" s="2707"/>
      <c r="Z180" s="2707"/>
      <c r="AA180" s="3703"/>
      <c r="AB180" s="3734"/>
      <c r="AC180" s="2707"/>
      <c r="AD180" s="2707"/>
      <c r="AE180" s="3702"/>
      <c r="AF180" s="2707"/>
      <c r="AG180" s="3703"/>
      <c r="AH180" s="3702"/>
      <c r="AI180" s="2707"/>
      <c r="AJ180" s="3703"/>
      <c r="AK180" s="3702"/>
      <c r="AL180" s="2707"/>
      <c r="AM180" s="2707"/>
      <c r="AN180" s="2707"/>
      <c r="AO180" s="3703"/>
      <c r="AP180" s="3734"/>
      <c r="AQ180" s="2707"/>
      <c r="AR180" s="2707"/>
      <c r="AS180" s="2707"/>
      <c r="AT180" s="2707"/>
      <c r="AU180" s="3703"/>
      <c r="AV180" s="3849"/>
      <c r="AW180" s="2707"/>
      <c r="AX180" s="2707"/>
      <c r="AY180" s="2707"/>
      <c r="AZ180" s="2707"/>
      <c r="BA180" s="2707"/>
      <c r="BB180" s="2707"/>
      <c r="BC180" s="2707"/>
      <c r="BD180" s="2707"/>
      <c r="BE180" s="2707"/>
      <c r="BF180" s="2707"/>
      <c r="BG180" s="2707"/>
      <c r="BH180" s="2707"/>
      <c r="BI180" s="2707"/>
      <c r="BJ180" s="2707"/>
      <c r="BK180" s="2707"/>
      <c r="BL180" s="3737"/>
    </row>
    <row r="181" spans="1:64">
      <c r="A181" s="164"/>
      <c r="B181" s="3853"/>
      <c r="C181" s="2707"/>
      <c r="D181" s="2707"/>
      <c r="E181" s="2707"/>
      <c r="F181" s="2707"/>
      <c r="G181" s="2707"/>
      <c r="H181" s="2707"/>
      <c r="I181" s="2707"/>
      <c r="J181" s="3705"/>
      <c r="K181" s="3704"/>
      <c r="L181" s="2707"/>
      <c r="M181" s="3704"/>
      <c r="N181" s="2707"/>
      <c r="O181" s="2707"/>
      <c r="P181" s="3705"/>
      <c r="Q181" s="3704"/>
      <c r="R181" s="2707"/>
      <c r="S181" s="2707"/>
      <c r="T181" s="3705"/>
      <c r="U181" s="3704"/>
      <c r="V181" s="2707"/>
      <c r="W181" s="3705"/>
      <c r="X181" s="3704"/>
      <c r="Y181" s="2707"/>
      <c r="Z181" s="2707"/>
      <c r="AA181" s="3705"/>
      <c r="AB181" s="3711"/>
      <c r="AC181" s="2707"/>
      <c r="AD181" s="2707"/>
      <c r="AE181" s="3704"/>
      <c r="AF181" s="2707"/>
      <c r="AG181" s="3705"/>
      <c r="AH181" s="3704"/>
      <c r="AI181" s="2707"/>
      <c r="AJ181" s="3705"/>
      <c r="AK181" s="3704"/>
      <c r="AL181" s="2707"/>
      <c r="AM181" s="2707"/>
      <c r="AN181" s="2707"/>
      <c r="AO181" s="3705"/>
      <c r="AP181" s="3711"/>
      <c r="AQ181" s="2707"/>
      <c r="AR181" s="2707"/>
      <c r="AS181" s="2707"/>
      <c r="AT181" s="2707"/>
      <c r="AU181" s="3705"/>
      <c r="AV181" s="3741"/>
      <c r="AW181" s="2707"/>
      <c r="AX181" s="2707"/>
      <c r="AY181" s="2707"/>
      <c r="AZ181" s="2707"/>
      <c r="BA181" s="2707"/>
      <c r="BB181" s="2707"/>
      <c r="BC181" s="2707"/>
      <c r="BD181" s="2707"/>
      <c r="BE181" s="2707"/>
      <c r="BF181" s="2707"/>
      <c r="BG181" s="2707"/>
      <c r="BH181" s="2707"/>
      <c r="BI181" s="2707"/>
      <c r="BJ181" s="2707"/>
      <c r="BK181" s="2707"/>
      <c r="BL181" s="3740"/>
    </row>
    <row r="182" spans="1:64">
      <c r="A182" s="164"/>
      <c r="B182" s="3858"/>
      <c r="C182" s="2707"/>
      <c r="D182" s="2707"/>
      <c r="E182" s="2707"/>
      <c r="F182" s="2707"/>
      <c r="G182" s="2707"/>
      <c r="H182" s="2707"/>
      <c r="I182" s="2707"/>
      <c r="J182" s="3703"/>
      <c r="K182" s="3702"/>
      <c r="L182" s="2707"/>
      <c r="M182" s="3702"/>
      <c r="N182" s="2707"/>
      <c r="O182" s="2707"/>
      <c r="P182" s="3703"/>
      <c r="Q182" s="3702"/>
      <c r="R182" s="2707"/>
      <c r="S182" s="2707"/>
      <c r="T182" s="3703"/>
      <c r="U182" s="3702"/>
      <c r="V182" s="2707"/>
      <c r="W182" s="3703"/>
      <c r="X182" s="3702"/>
      <c r="Y182" s="2707"/>
      <c r="Z182" s="2707"/>
      <c r="AA182" s="3703"/>
      <c r="AB182" s="3734"/>
      <c r="AC182" s="2707"/>
      <c r="AD182" s="2707"/>
      <c r="AE182" s="3702"/>
      <c r="AF182" s="2707"/>
      <c r="AG182" s="3703"/>
      <c r="AH182" s="3702"/>
      <c r="AI182" s="2707"/>
      <c r="AJ182" s="3703"/>
      <c r="AK182" s="3702"/>
      <c r="AL182" s="2707"/>
      <c r="AM182" s="2707"/>
      <c r="AN182" s="2707"/>
      <c r="AO182" s="3703"/>
      <c r="AP182" s="3734"/>
      <c r="AQ182" s="2707"/>
      <c r="AR182" s="2707"/>
      <c r="AS182" s="2707"/>
      <c r="AT182" s="2707"/>
      <c r="AU182" s="3703"/>
      <c r="AV182" s="3849"/>
      <c r="AW182" s="2707"/>
      <c r="AX182" s="2707"/>
      <c r="AY182" s="2707"/>
      <c r="AZ182" s="2707"/>
      <c r="BA182" s="2707"/>
      <c r="BB182" s="2707"/>
      <c r="BC182" s="2707"/>
      <c r="BD182" s="2707"/>
      <c r="BE182" s="2707"/>
      <c r="BF182" s="2707"/>
      <c r="BG182" s="2707"/>
      <c r="BH182" s="2707"/>
      <c r="BI182" s="2707"/>
      <c r="BJ182" s="2707"/>
      <c r="BK182" s="2707"/>
      <c r="BL182" s="3737"/>
    </row>
    <row r="183" spans="1:64">
      <c r="A183" s="164"/>
      <c r="B183" s="3853"/>
      <c r="C183" s="2707"/>
      <c r="D183" s="2707"/>
      <c r="E183" s="2707"/>
      <c r="F183" s="2707"/>
      <c r="G183" s="2707"/>
      <c r="H183" s="2707"/>
      <c r="I183" s="2707"/>
      <c r="J183" s="3705"/>
      <c r="K183" s="3704"/>
      <c r="L183" s="2707"/>
      <c r="M183" s="3704"/>
      <c r="N183" s="2707"/>
      <c r="O183" s="2707"/>
      <c r="P183" s="3705"/>
      <c r="Q183" s="3704"/>
      <c r="R183" s="2707"/>
      <c r="S183" s="2707"/>
      <c r="T183" s="3705"/>
      <c r="U183" s="3704"/>
      <c r="V183" s="2707"/>
      <c r="W183" s="3705"/>
      <c r="X183" s="3704"/>
      <c r="Y183" s="2707"/>
      <c r="Z183" s="2707"/>
      <c r="AA183" s="3705"/>
      <c r="AB183" s="3711"/>
      <c r="AC183" s="2707"/>
      <c r="AD183" s="2707"/>
      <c r="AE183" s="3704"/>
      <c r="AF183" s="2707"/>
      <c r="AG183" s="3705"/>
      <c r="AH183" s="3704"/>
      <c r="AI183" s="2707"/>
      <c r="AJ183" s="3705"/>
      <c r="AK183" s="3704"/>
      <c r="AL183" s="2707"/>
      <c r="AM183" s="2707"/>
      <c r="AN183" s="2707"/>
      <c r="AO183" s="3705"/>
      <c r="AP183" s="3711"/>
      <c r="AQ183" s="2707"/>
      <c r="AR183" s="2707"/>
      <c r="AS183" s="2707"/>
      <c r="AT183" s="2707"/>
      <c r="AU183" s="3705"/>
      <c r="AV183" s="3741"/>
      <c r="AW183" s="2707"/>
      <c r="AX183" s="2707"/>
      <c r="AY183" s="2707"/>
      <c r="AZ183" s="2707"/>
      <c r="BA183" s="2707"/>
      <c r="BB183" s="2707"/>
      <c r="BC183" s="2707"/>
      <c r="BD183" s="2707"/>
      <c r="BE183" s="2707"/>
      <c r="BF183" s="2707"/>
      <c r="BG183" s="2707"/>
      <c r="BH183" s="2707"/>
      <c r="BI183" s="2707"/>
      <c r="BJ183" s="2707"/>
      <c r="BK183" s="2707"/>
      <c r="BL183" s="3740"/>
    </row>
    <row r="184" spans="1:64">
      <c r="A184" s="164"/>
      <c r="B184" s="3858"/>
      <c r="C184" s="2707"/>
      <c r="D184" s="2707"/>
      <c r="E184" s="2707"/>
      <c r="F184" s="2707"/>
      <c r="G184" s="2707"/>
      <c r="H184" s="2707"/>
      <c r="I184" s="2707"/>
      <c r="J184" s="3703"/>
      <c r="K184" s="3702"/>
      <c r="L184" s="2707"/>
      <c r="M184" s="3702"/>
      <c r="N184" s="2707"/>
      <c r="O184" s="2707"/>
      <c r="P184" s="3703"/>
      <c r="Q184" s="3702"/>
      <c r="R184" s="2707"/>
      <c r="S184" s="2707"/>
      <c r="T184" s="3703"/>
      <c r="U184" s="3702"/>
      <c r="V184" s="2707"/>
      <c r="W184" s="3703"/>
      <c r="X184" s="3702"/>
      <c r="Y184" s="2707"/>
      <c r="Z184" s="2707"/>
      <c r="AA184" s="3703"/>
      <c r="AB184" s="3734"/>
      <c r="AC184" s="2707"/>
      <c r="AD184" s="2707"/>
      <c r="AE184" s="3702"/>
      <c r="AF184" s="2707"/>
      <c r="AG184" s="3703"/>
      <c r="AH184" s="3702"/>
      <c r="AI184" s="2707"/>
      <c r="AJ184" s="3703"/>
      <c r="AK184" s="3702"/>
      <c r="AL184" s="2707"/>
      <c r="AM184" s="2707"/>
      <c r="AN184" s="2707"/>
      <c r="AO184" s="3703"/>
      <c r="AP184" s="3734"/>
      <c r="AQ184" s="2707"/>
      <c r="AR184" s="2707"/>
      <c r="AS184" s="2707"/>
      <c r="AT184" s="2707"/>
      <c r="AU184" s="3703"/>
      <c r="AV184" s="3849"/>
      <c r="AW184" s="2707"/>
      <c r="AX184" s="2707"/>
      <c r="AY184" s="2707"/>
      <c r="AZ184" s="2707"/>
      <c r="BA184" s="2707"/>
      <c r="BB184" s="2707"/>
      <c r="BC184" s="2707"/>
      <c r="BD184" s="2707"/>
      <c r="BE184" s="2707"/>
      <c r="BF184" s="2707"/>
      <c r="BG184" s="2707"/>
      <c r="BH184" s="2707"/>
      <c r="BI184" s="2707"/>
      <c r="BJ184" s="2707"/>
      <c r="BK184" s="2707"/>
      <c r="BL184" s="3737"/>
    </row>
    <row r="185" spans="1:64">
      <c r="A185" s="164"/>
      <c r="B185" s="3853"/>
      <c r="C185" s="2707"/>
      <c r="D185" s="2707"/>
      <c r="E185" s="2707"/>
      <c r="F185" s="2707"/>
      <c r="G185" s="2707"/>
      <c r="H185" s="2707"/>
      <c r="I185" s="2707"/>
      <c r="J185" s="3705"/>
      <c r="K185" s="3704"/>
      <c r="L185" s="2707"/>
      <c r="M185" s="3704"/>
      <c r="N185" s="2707"/>
      <c r="O185" s="2707"/>
      <c r="P185" s="3705"/>
      <c r="Q185" s="3704"/>
      <c r="R185" s="2707"/>
      <c r="S185" s="2707"/>
      <c r="T185" s="3705"/>
      <c r="U185" s="3704"/>
      <c r="V185" s="2707"/>
      <c r="W185" s="3705"/>
      <c r="X185" s="3704"/>
      <c r="Y185" s="2707"/>
      <c r="Z185" s="2707"/>
      <c r="AA185" s="3705"/>
      <c r="AB185" s="3711"/>
      <c r="AC185" s="2707"/>
      <c r="AD185" s="2707"/>
      <c r="AE185" s="3704"/>
      <c r="AF185" s="2707"/>
      <c r="AG185" s="3705"/>
      <c r="AH185" s="3704"/>
      <c r="AI185" s="2707"/>
      <c r="AJ185" s="3705"/>
      <c r="AK185" s="3704"/>
      <c r="AL185" s="2707"/>
      <c r="AM185" s="2707"/>
      <c r="AN185" s="2707"/>
      <c r="AO185" s="3705"/>
      <c r="AP185" s="3711"/>
      <c r="AQ185" s="2707"/>
      <c r="AR185" s="2707"/>
      <c r="AS185" s="2707"/>
      <c r="AT185" s="2707"/>
      <c r="AU185" s="3705"/>
      <c r="AV185" s="3741"/>
      <c r="AW185" s="2707"/>
      <c r="AX185" s="2707"/>
      <c r="AY185" s="2707"/>
      <c r="AZ185" s="2707"/>
      <c r="BA185" s="2707"/>
      <c r="BB185" s="2707"/>
      <c r="BC185" s="2707"/>
      <c r="BD185" s="2707"/>
      <c r="BE185" s="2707"/>
      <c r="BF185" s="2707"/>
      <c r="BG185" s="2707"/>
      <c r="BH185" s="2707"/>
      <c r="BI185" s="2707"/>
      <c r="BJ185" s="2707"/>
      <c r="BK185" s="2707"/>
      <c r="BL185" s="3740"/>
    </row>
    <row r="186" spans="1:64">
      <c r="A186" s="164"/>
      <c r="B186" s="3858"/>
      <c r="C186" s="2707"/>
      <c r="D186" s="2707"/>
      <c r="E186" s="2707"/>
      <c r="F186" s="2707"/>
      <c r="G186" s="2707"/>
      <c r="H186" s="2707"/>
      <c r="I186" s="2707"/>
      <c r="J186" s="3703"/>
      <c r="K186" s="3702"/>
      <c r="L186" s="2707"/>
      <c r="M186" s="3702"/>
      <c r="N186" s="2707"/>
      <c r="O186" s="2707"/>
      <c r="P186" s="3703"/>
      <c r="Q186" s="3702"/>
      <c r="R186" s="2707"/>
      <c r="S186" s="2707"/>
      <c r="T186" s="3703"/>
      <c r="U186" s="3702"/>
      <c r="V186" s="2707"/>
      <c r="W186" s="3703"/>
      <c r="X186" s="3702"/>
      <c r="Y186" s="2707"/>
      <c r="Z186" s="2707"/>
      <c r="AA186" s="3703"/>
      <c r="AB186" s="3734"/>
      <c r="AC186" s="2707"/>
      <c r="AD186" s="2707"/>
      <c r="AE186" s="3702"/>
      <c r="AF186" s="2707"/>
      <c r="AG186" s="3703"/>
      <c r="AH186" s="3702"/>
      <c r="AI186" s="2707"/>
      <c r="AJ186" s="3703"/>
      <c r="AK186" s="3702"/>
      <c r="AL186" s="2707"/>
      <c r="AM186" s="2707"/>
      <c r="AN186" s="2707"/>
      <c r="AO186" s="3703"/>
      <c r="AP186" s="3734"/>
      <c r="AQ186" s="2707"/>
      <c r="AR186" s="2707"/>
      <c r="AS186" s="2707"/>
      <c r="AT186" s="2707"/>
      <c r="AU186" s="3703"/>
      <c r="AV186" s="3849"/>
      <c r="AW186" s="2707"/>
      <c r="AX186" s="2707"/>
      <c r="AY186" s="2707"/>
      <c r="AZ186" s="2707"/>
      <c r="BA186" s="2707"/>
      <c r="BB186" s="2707"/>
      <c r="BC186" s="2707"/>
      <c r="BD186" s="2707"/>
      <c r="BE186" s="2707"/>
      <c r="BF186" s="2707"/>
      <c r="BG186" s="2707"/>
      <c r="BH186" s="2707"/>
      <c r="BI186" s="2707"/>
      <c r="BJ186" s="2707"/>
      <c r="BK186" s="2707"/>
      <c r="BL186" s="3737"/>
    </row>
    <row r="187" spans="1:64">
      <c r="A187" s="164"/>
      <c r="B187" s="3853"/>
      <c r="C187" s="2707"/>
      <c r="D187" s="2707"/>
      <c r="E187" s="2707"/>
      <c r="F187" s="2707"/>
      <c r="G187" s="2707"/>
      <c r="H187" s="2707"/>
      <c r="I187" s="2707"/>
      <c r="J187" s="3705"/>
      <c r="K187" s="3704"/>
      <c r="L187" s="2707"/>
      <c r="M187" s="3704"/>
      <c r="N187" s="2707"/>
      <c r="O187" s="2707"/>
      <c r="P187" s="3705"/>
      <c r="Q187" s="3704"/>
      <c r="R187" s="2707"/>
      <c r="S187" s="2707"/>
      <c r="T187" s="3705"/>
      <c r="U187" s="3704"/>
      <c r="V187" s="2707"/>
      <c r="W187" s="3705"/>
      <c r="X187" s="3704"/>
      <c r="Y187" s="2707"/>
      <c r="Z187" s="2707"/>
      <c r="AA187" s="3705"/>
      <c r="AB187" s="3711"/>
      <c r="AC187" s="2707"/>
      <c r="AD187" s="2707"/>
      <c r="AE187" s="3704"/>
      <c r="AF187" s="2707"/>
      <c r="AG187" s="3705"/>
      <c r="AH187" s="3704"/>
      <c r="AI187" s="2707"/>
      <c r="AJ187" s="3705"/>
      <c r="AK187" s="3704"/>
      <c r="AL187" s="2707"/>
      <c r="AM187" s="2707"/>
      <c r="AN187" s="2707"/>
      <c r="AO187" s="3705"/>
      <c r="AP187" s="3711"/>
      <c r="AQ187" s="2707"/>
      <c r="AR187" s="2707"/>
      <c r="AS187" s="2707"/>
      <c r="AT187" s="2707"/>
      <c r="AU187" s="3705"/>
      <c r="AV187" s="3741"/>
      <c r="AW187" s="2707"/>
      <c r="AX187" s="2707"/>
      <c r="AY187" s="2707"/>
      <c r="AZ187" s="2707"/>
      <c r="BA187" s="2707"/>
      <c r="BB187" s="2707"/>
      <c r="BC187" s="2707"/>
      <c r="BD187" s="2707"/>
      <c r="BE187" s="2707"/>
      <c r="BF187" s="2707"/>
      <c r="BG187" s="2707"/>
      <c r="BH187" s="2707"/>
      <c r="BI187" s="2707"/>
      <c r="BJ187" s="2707"/>
      <c r="BK187" s="2707"/>
      <c r="BL187" s="3740"/>
    </row>
    <row r="188" spans="1:64">
      <c r="A188" s="164"/>
      <c r="B188" s="3858"/>
      <c r="C188" s="2707"/>
      <c r="D188" s="2707"/>
      <c r="E188" s="2707"/>
      <c r="F188" s="2707"/>
      <c r="G188" s="2707"/>
      <c r="H188" s="2707"/>
      <c r="I188" s="2707"/>
      <c r="J188" s="3703"/>
      <c r="K188" s="3702"/>
      <c r="L188" s="2707"/>
      <c r="M188" s="3702"/>
      <c r="N188" s="2707"/>
      <c r="O188" s="2707"/>
      <c r="P188" s="3703"/>
      <c r="Q188" s="3702"/>
      <c r="R188" s="2707"/>
      <c r="S188" s="2707"/>
      <c r="T188" s="3703"/>
      <c r="U188" s="3702"/>
      <c r="V188" s="2707"/>
      <c r="W188" s="3703"/>
      <c r="X188" s="3702"/>
      <c r="Y188" s="2707"/>
      <c r="Z188" s="2707"/>
      <c r="AA188" s="3703"/>
      <c r="AB188" s="3734"/>
      <c r="AC188" s="2707"/>
      <c r="AD188" s="2707"/>
      <c r="AE188" s="3702"/>
      <c r="AF188" s="2707"/>
      <c r="AG188" s="3703"/>
      <c r="AH188" s="3702"/>
      <c r="AI188" s="2707"/>
      <c r="AJ188" s="3703"/>
      <c r="AK188" s="3702"/>
      <c r="AL188" s="2707"/>
      <c r="AM188" s="2707"/>
      <c r="AN188" s="2707"/>
      <c r="AO188" s="3703"/>
      <c r="AP188" s="3734"/>
      <c r="AQ188" s="2707"/>
      <c r="AR188" s="2707"/>
      <c r="AS188" s="2707"/>
      <c r="AT188" s="2707"/>
      <c r="AU188" s="3703"/>
      <c r="AV188" s="3849"/>
      <c r="AW188" s="2707"/>
      <c r="AX188" s="2707"/>
      <c r="AY188" s="2707"/>
      <c r="AZ188" s="2707"/>
      <c r="BA188" s="2707"/>
      <c r="BB188" s="2707"/>
      <c r="BC188" s="2707"/>
      <c r="BD188" s="2707"/>
      <c r="BE188" s="2707"/>
      <c r="BF188" s="2707"/>
      <c r="BG188" s="2707"/>
      <c r="BH188" s="2707"/>
      <c r="BI188" s="2707"/>
      <c r="BJ188" s="2707"/>
      <c r="BK188" s="2707"/>
      <c r="BL188" s="3737"/>
    </row>
    <row r="189" spans="1:64">
      <c r="A189" s="164"/>
      <c r="B189" s="3853"/>
      <c r="C189" s="2707"/>
      <c r="D189" s="2707"/>
      <c r="E189" s="2707"/>
      <c r="F189" s="2707"/>
      <c r="G189" s="2707"/>
      <c r="H189" s="2707"/>
      <c r="I189" s="2707"/>
      <c r="J189" s="3705"/>
      <c r="K189" s="3704"/>
      <c r="L189" s="2707"/>
      <c r="M189" s="3704"/>
      <c r="N189" s="2707"/>
      <c r="O189" s="2707"/>
      <c r="P189" s="3705"/>
      <c r="Q189" s="3704"/>
      <c r="R189" s="2707"/>
      <c r="S189" s="2707"/>
      <c r="T189" s="3705"/>
      <c r="U189" s="3704"/>
      <c r="V189" s="2707"/>
      <c r="W189" s="3705"/>
      <c r="X189" s="3704"/>
      <c r="Y189" s="2707"/>
      <c r="Z189" s="2707"/>
      <c r="AA189" s="3705"/>
      <c r="AB189" s="3711"/>
      <c r="AC189" s="2707"/>
      <c r="AD189" s="2707"/>
      <c r="AE189" s="3704"/>
      <c r="AF189" s="2707"/>
      <c r="AG189" s="3705"/>
      <c r="AH189" s="3704"/>
      <c r="AI189" s="2707"/>
      <c r="AJ189" s="3705"/>
      <c r="AK189" s="3704"/>
      <c r="AL189" s="2707"/>
      <c r="AM189" s="2707"/>
      <c r="AN189" s="2707"/>
      <c r="AO189" s="3705"/>
      <c r="AP189" s="3711"/>
      <c r="AQ189" s="2707"/>
      <c r="AR189" s="2707"/>
      <c r="AS189" s="2707"/>
      <c r="AT189" s="2707"/>
      <c r="AU189" s="3705"/>
      <c r="AV189" s="3741"/>
      <c r="AW189" s="2707"/>
      <c r="AX189" s="2707"/>
      <c r="AY189" s="2707"/>
      <c r="AZ189" s="2707"/>
      <c r="BA189" s="2707"/>
      <c r="BB189" s="2707"/>
      <c r="BC189" s="2707"/>
      <c r="BD189" s="2707"/>
      <c r="BE189" s="2707"/>
      <c r="BF189" s="2707"/>
      <c r="BG189" s="2707"/>
      <c r="BH189" s="2707"/>
      <c r="BI189" s="2707"/>
      <c r="BJ189" s="2707"/>
      <c r="BK189" s="2707"/>
      <c r="BL189" s="3740"/>
    </row>
    <row r="190" spans="1:64">
      <c r="A190" s="164"/>
      <c r="B190" s="3858"/>
      <c r="C190" s="2707"/>
      <c r="D190" s="2707"/>
      <c r="E190" s="2707"/>
      <c r="F190" s="2707"/>
      <c r="G190" s="2707"/>
      <c r="H190" s="2707"/>
      <c r="I190" s="2707"/>
      <c r="J190" s="3703"/>
      <c r="K190" s="3702"/>
      <c r="L190" s="2707"/>
      <c r="M190" s="3702"/>
      <c r="N190" s="2707"/>
      <c r="O190" s="2707"/>
      <c r="P190" s="3703"/>
      <c r="Q190" s="3702"/>
      <c r="R190" s="2707"/>
      <c r="S190" s="2707"/>
      <c r="T190" s="3703"/>
      <c r="U190" s="3702"/>
      <c r="V190" s="2707"/>
      <c r="W190" s="3703"/>
      <c r="X190" s="3702"/>
      <c r="Y190" s="2707"/>
      <c r="Z190" s="2707"/>
      <c r="AA190" s="3703"/>
      <c r="AB190" s="3734"/>
      <c r="AC190" s="2707"/>
      <c r="AD190" s="2707"/>
      <c r="AE190" s="3702"/>
      <c r="AF190" s="2707"/>
      <c r="AG190" s="3703"/>
      <c r="AH190" s="3702"/>
      <c r="AI190" s="2707"/>
      <c r="AJ190" s="3703"/>
      <c r="AK190" s="3702"/>
      <c r="AL190" s="2707"/>
      <c r="AM190" s="2707"/>
      <c r="AN190" s="2707"/>
      <c r="AO190" s="3703"/>
      <c r="AP190" s="3734"/>
      <c r="AQ190" s="2707"/>
      <c r="AR190" s="2707"/>
      <c r="AS190" s="2707"/>
      <c r="AT190" s="2707"/>
      <c r="AU190" s="3703"/>
      <c r="AV190" s="3849"/>
      <c r="AW190" s="2707"/>
      <c r="AX190" s="2707"/>
      <c r="AY190" s="2707"/>
      <c r="AZ190" s="2707"/>
      <c r="BA190" s="2707"/>
      <c r="BB190" s="2707"/>
      <c r="BC190" s="2707"/>
      <c r="BD190" s="2707"/>
      <c r="BE190" s="2707"/>
      <c r="BF190" s="2707"/>
      <c r="BG190" s="2707"/>
      <c r="BH190" s="2707"/>
      <c r="BI190" s="2707"/>
      <c r="BJ190" s="2707"/>
      <c r="BK190" s="2707"/>
      <c r="BL190" s="3737"/>
    </row>
    <row r="191" spans="1:64">
      <c r="A191" s="164"/>
      <c r="B191" s="3853"/>
      <c r="C191" s="2707"/>
      <c r="D191" s="2707"/>
      <c r="E191" s="2707"/>
      <c r="F191" s="2707"/>
      <c r="G191" s="2707"/>
      <c r="H191" s="2707"/>
      <c r="I191" s="2707"/>
      <c r="J191" s="3705"/>
      <c r="K191" s="3704"/>
      <c r="L191" s="2707"/>
      <c r="M191" s="3704"/>
      <c r="N191" s="2707"/>
      <c r="O191" s="2707"/>
      <c r="P191" s="3705"/>
      <c r="Q191" s="3704"/>
      <c r="R191" s="2707"/>
      <c r="S191" s="2707"/>
      <c r="T191" s="3705"/>
      <c r="U191" s="3704"/>
      <c r="V191" s="2707"/>
      <c r="W191" s="3705"/>
      <c r="X191" s="3704"/>
      <c r="Y191" s="2707"/>
      <c r="Z191" s="2707"/>
      <c r="AA191" s="3705"/>
      <c r="AB191" s="3711"/>
      <c r="AC191" s="2707"/>
      <c r="AD191" s="2707"/>
      <c r="AE191" s="3704"/>
      <c r="AF191" s="2707"/>
      <c r="AG191" s="3705"/>
      <c r="AH191" s="3704"/>
      <c r="AI191" s="2707"/>
      <c r="AJ191" s="3705"/>
      <c r="AK191" s="3704"/>
      <c r="AL191" s="2707"/>
      <c r="AM191" s="2707"/>
      <c r="AN191" s="2707"/>
      <c r="AO191" s="3705"/>
      <c r="AP191" s="3711"/>
      <c r="AQ191" s="2707"/>
      <c r="AR191" s="2707"/>
      <c r="AS191" s="2707"/>
      <c r="AT191" s="2707"/>
      <c r="AU191" s="3705"/>
      <c r="AV191" s="3741"/>
      <c r="AW191" s="2707"/>
      <c r="AX191" s="2707"/>
      <c r="AY191" s="2707"/>
      <c r="AZ191" s="2707"/>
      <c r="BA191" s="2707"/>
      <c r="BB191" s="2707"/>
      <c r="BC191" s="2707"/>
      <c r="BD191" s="2707"/>
      <c r="BE191" s="2707"/>
      <c r="BF191" s="2707"/>
      <c r="BG191" s="2707"/>
      <c r="BH191" s="2707"/>
      <c r="BI191" s="2707"/>
      <c r="BJ191" s="2707"/>
      <c r="BK191" s="2707"/>
      <c r="BL191" s="3740"/>
    </row>
    <row r="192" spans="1:64">
      <c r="A192" s="162"/>
      <c r="B192" s="3884"/>
      <c r="C192" s="2707"/>
      <c r="D192" s="2707"/>
      <c r="E192" s="2707"/>
      <c r="F192" s="2707"/>
      <c r="G192" s="2707"/>
      <c r="H192" s="2707"/>
      <c r="I192" s="2707"/>
      <c r="J192" s="3703"/>
      <c r="K192" s="3732"/>
      <c r="L192" s="2707"/>
      <c r="M192" s="3732"/>
      <c r="N192" s="2707"/>
      <c r="O192" s="2707"/>
      <c r="P192" s="3703"/>
      <c r="Q192" s="3732"/>
      <c r="R192" s="2707"/>
      <c r="S192" s="2707"/>
      <c r="T192" s="3703"/>
      <c r="U192" s="3732"/>
      <c r="V192" s="2707"/>
      <c r="W192" s="3703"/>
      <c r="X192" s="3732"/>
      <c r="Y192" s="2707"/>
      <c r="Z192" s="2707"/>
      <c r="AA192" s="3703"/>
      <c r="AB192" s="3742"/>
      <c r="AC192" s="2707"/>
      <c r="AD192" s="2707"/>
      <c r="AE192" s="3732"/>
      <c r="AF192" s="2707"/>
      <c r="AG192" s="3703"/>
      <c r="AH192" s="3732"/>
      <c r="AI192" s="2707"/>
      <c r="AJ192" s="3703"/>
      <c r="AK192" s="3732"/>
      <c r="AL192" s="2707"/>
      <c r="AM192" s="2707"/>
      <c r="AN192" s="2707"/>
      <c r="AO192" s="3703"/>
      <c r="AP192" s="3742"/>
      <c r="AQ192" s="2707"/>
      <c r="AR192" s="2707"/>
      <c r="AS192" s="2707"/>
      <c r="AT192" s="2707"/>
      <c r="AU192" s="3703"/>
      <c r="AV192" s="3736"/>
      <c r="AW192" s="2707"/>
      <c r="AX192" s="2707"/>
      <c r="AY192" s="2707"/>
      <c r="AZ192" s="2707"/>
      <c r="BA192" s="2707"/>
      <c r="BB192" s="2707"/>
      <c r="BC192" s="2707"/>
      <c r="BD192" s="2707"/>
      <c r="BE192" s="2707"/>
      <c r="BF192" s="2707"/>
      <c r="BG192" s="2707"/>
      <c r="BH192" s="2707"/>
      <c r="BI192" s="2707"/>
      <c r="BJ192" s="2707"/>
      <c r="BK192" s="2707"/>
      <c r="BL192" s="3737"/>
    </row>
    <row r="193" spans="1:64">
      <c r="A193" s="162"/>
      <c r="B193" s="3889"/>
      <c r="C193" s="2707"/>
      <c r="D193" s="2707"/>
      <c r="E193" s="2707"/>
      <c r="F193" s="2707"/>
      <c r="G193" s="2707"/>
      <c r="H193" s="2707"/>
      <c r="I193" s="2707"/>
      <c r="J193" s="3705"/>
      <c r="K193" s="3731"/>
      <c r="L193" s="2707"/>
      <c r="M193" s="3731"/>
      <c r="N193" s="2707"/>
      <c r="O193" s="2707"/>
      <c r="P193" s="3705"/>
      <c r="Q193" s="3731"/>
      <c r="R193" s="2707"/>
      <c r="S193" s="2707"/>
      <c r="T193" s="3705"/>
      <c r="U193" s="3731"/>
      <c r="V193" s="2707"/>
      <c r="W193" s="3705"/>
      <c r="X193" s="3731"/>
      <c r="Y193" s="2707"/>
      <c r="Z193" s="2707"/>
      <c r="AA193" s="3705"/>
      <c r="AB193" s="3733"/>
      <c r="AC193" s="2707"/>
      <c r="AD193" s="2707"/>
      <c r="AE193" s="3731"/>
      <c r="AF193" s="2707"/>
      <c r="AG193" s="3705"/>
      <c r="AH193" s="3731"/>
      <c r="AI193" s="2707"/>
      <c r="AJ193" s="3705"/>
      <c r="AK193" s="3731"/>
      <c r="AL193" s="2707"/>
      <c r="AM193" s="2707"/>
      <c r="AN193" s="2707"/>
      <c r="AO193" s="3705"/>
      <c r="AP193" s="3733"/>
      <c r="AQ193" s="2707"/>
      <c r="AR193" s="2707"/>
      <c r="AS193" s="2707"/>
      <c r="AT193" s="2707"/>
      <c r="AU193" s="3705"/>
      <c r="AV193" s="3739"/>
      <c r="AW193" s="2707"/>
      <c r="AX193" s="2707"/>
      <c r="AY193" s="2707"/>
      <c r="AZ193" s="2707"/>
      <c r="BA193" s="2707"/>
      <c r="BB193" s="2707"/>
      <c r="BC193" s="2707"/>
      <c r="BD193" s="2707"/>
      <c r="BE193" s="2707"/>
      <c r="BF193" s="2707"/>
      <c r="BG193" s="2707"/>
      <c r="BH193" s="2707"/>
      <c r="BI193" s="2707"/>
      <c r="BJ193" s="2707"/>
      <c r="BK193" s="2707"/>
      <c r="BL193" s="3740"/>
    </row>
    <row r="194" spans="1:64">
      <c r="A194" s="162"/>
      <c r="B194" s="3721"/>
      <c r="C194" s="2707"/>
      <c r="D194" s="2707"/>
      <c r="E194" s="2707"/>
      <c r="F194" s="2707"/>
      <c r="G194" s="2707"/>
      <c r="H194" s="2707"/>
      <c r="I194" s="2707"/>
      <c r="J194" s="3703"/>
      <c r="K194" s="3728"/>
      <c r="L194" s="2707"/>
      <c r="M194" s="3728"/>
      <c r="N194" s="2707"/>
      <c r="O194" s="2707"/>
      <c r="P194" s="3703"/>
      <c r="Q194" s="3728"/>
      <c r="R194" s="2707"/>
      <c r="S194" s="2707"/>
      <c r="T194" s="3703"/>
      <c r="U194" s="3728"/>
      <c r="V194" s="2707"/>
      <c r="W194" s="3703"/>
      <c r="X194" s="3728"/>
      <c r="Y194" s="2707"/>
      <c r="Z194" s="2707"/>
      <c r="AA194" s="3703"/>
      <c r="AB194" s="3744"/>
      <c r="AC194" s="2707"/>
      <c r="AD194" s="2707"/>
      <c r="AE194" s="3728"/>
      <c r="AF194" s="2707"/>
      <c r="AG194" s="3703"/>
      <c r="AH194" s="3728"/>
      <c r="AI194" s="2707"/>
      <c r="AJ194" s="3703"/>
      <c r="AK194" s="3728"/>
      <c r="AL194" s="2707"/>
      <c r="AM194" s="2707"/>
      <c r="AN194" s="2707"/>
      <c r="AO194" s="3703"/>
      <c r="AP194" s="3744"/>
      <c r="AQ194" s="2707"/>
      <c r="AR194" s="2707"/>
      <c r="AS194" s="2707"/>
      <c r="AT194" s="2707"/>
      <c r="AU194" s="3703"/>
      <c r="AV194" s="3745"/>
      <c r="AW194" s="2707"/>
      <c r="AX194" s="2707"/>
      <c r="AY194" s="2707"/>
      <c r="AZ194" s="2707"/>
      <c r="BA194" s="2707"/>
      <c r="BB194" s="2707"/>
      <c r="BC194" s="2707"/>
      <c r="BD194" s="2707"/>
      <c r="BE194" s="2707"/>
      <c r="BF194" s="2707"/>
      <c r="BG194" s="2707"/>
      <c r="BH194" s="2707"/>
      <c r="BI194" s="2707"/>
      <c r="BJ194" s="2707"/>
      <c r="BK194" s="2707"/>
      <c r="BL194" s="3737"/>
    </row>
    <row r="195" spans="1:64">
      <c r="A195" s="162"/>
      <c r="B195" s="3720"/>
      <c r="C195" s="2707"/>
      <c r="D195" s="2707"/>
      <c r="E195" s="2707"/>
      <c r="F195" s="2707"/>
      <c r="G195" s="2707"/>
      <c r="H195" s="2707"/>
      <c r="I195" s="2707"/>
      <c r="J195" s="3705"/>
      <c r="K195" s="3722"/>
      <c r="L195" s="2707"/>
      <c r="M195" s="3722"/>
      <c r="N195" s="2707"/>
      <c r="O195" s="2707"/>
      <c r="P195" s="3705"/>
      <c r="Q195" s="3722"/>
      <c r="R195" s="2707"/>
      <c r="S195" s="2707"/>
      <c r="T195" s="3705"/>
      <c r="U195" s="3722"/>
      <c r="V195" s="2707"/>
      <c r="W195" s="3705"/>
      <c r="X195" s="3722"/>
      <c r="Y195" s="2707"/>
      <c r="Z195" s="2707"/>
      <c r="AA195" s="3705"/>
      <c r="AB195" s="3735"/>
      <c r="AC195" s="2707"/>
      <c r="AD195" s="2707"/>
      <c r="AE195" s="3722"/>
      <c r="AF195" s="2707"/>
      <c r="AG195" s="3705"/>
      <c r="AH195" s="3722"/>
      <c r="AI195" s="2707"/>
      <c r="AJ195" s="3705"/>
      <c r="AK195" s="3722"/>
      <c r="AL195" s="2707"/>
      <c r="AM195" s="2707"/>
      <c r="AN195" s="2707"/>
      <c r="AO195" s="3705"/>
      <c r="AP195" s="3735"/>
      <c r="AQ195" s="2707"/>
      <c r="AR195" s="2707"/>
      <c r="AS195" s="2707"/>
      <c r="AT195" s="2707"/>
      <c r="AU195" s="3705"/>
      <c r="AV195" s="3746"/>
      <c r="AW195" s="2707"/>
      <c r="AX195" s="2707"/>
      <c r="AY195" s="2707"/>
      <c r="AZ195" s="2707"/>
      <c r="BA195" s="2707"/>
      <c r="BB195" s="2707"/>
      <c r="BC195" s="2707"/>
      <c r="BD195" s="2707"/>
      <c r="BE195" s="2707"/>
      <c r="BF195" s="2707"/>
      <c r="BG195" s="2707"/>
      <c r="BH195" s="2707"/>
      <c r="BI195" s="2707"/>
      <c r="BJ195" s="2707"/>
      <c r="BK195" s="2707"/>
      <c r="BL195" s="3740"/>
    </row>
    <row r="196" spans="1:64">
      <c r="A196" s="162"/>
      <c r="B196" s="3885"/>
      <c r="C196" s="2707"/>
      <c r="D196" s="2707"/>
      <c r="E196" s="2707"/>
      <c r="F196" s="2707"/>
      <c r="G196" s="2707"/>
      <c r="H196" s="2707"/>
      <c r="I196" s="2707"/>
      <c r="J196" s="3703"/>
      <c r="K196" s="3888"/>
      <c r="L196" s="2707"/>
      <c r="M196" s="3888"/>
      <c r="N196" s="2707"/>
      <c r="O196" s="2707"/>
      <c r="P196" s="3703"/>
      <c r="Q196" s="3848"/>
      <c r="R196" s="2707"/>
      <c r="S196" s="2707"/>
      <c r="T196" s="3703"/>
      <c r="U196" s="3848"/>
      <c r="V196" s="2707"/>
      <c r="W196" s="3703"/>
      <c r="X196" s="3848"/>
      <c r="Y196" s="2707"/>
      <c r="Z196" s="2707"/>
      <c r="AA196" s="3703"/>
      <c r="AB196" s="3851"/>
      <c r="AC196" s="2707"/>
      <c r="AD196" s="2707"/>
      <c r="AE196" s="3848"/>
      <c r="AF196" s="2707"/>
      <c r="AG196" s="3703"/>
      <c r="AH196" s="3848"/>
      <c r="AI196" s="2707"/>
      <c r="AJ196" s="3703"/>
      <c r="AK196" s="3848"/>
      <c r="AL196" s="2707"/>
      <c r="AM196" s="2707"/>
      <c r="AN196" s="2707"/>
      <c r="AO196" s="3703"/>
      <c r="AP196" s="3851"/>
      <c r="AQ196" s="2707"/>
      <c r="AR196" s="2707"/>
      <c r="AS196" s="2707"/>
      <c r="AT196" s="2707"/>
      <c r="AU196" s="3703"/>
      <c r="AV196" s="3850"/>
      <c r="AW196" s="2707"/>
      <c r="AX196" s="2707"/>
      <c r="AY196" s="2707"/>
      <c r="AZ196" s="2707"/>
      <c r="BA196" s="2707"/>
      <c r="BB196" s="2707"/>
      <c r="BC196" s="2707"/>
      <c r="BD196" s="2707"/>
      <c r="BE196" s="2707"/>
      <c r="BF196" s="2707"/>
      <c r="BG196" s="2707"/>
      <c r="BH196" s="2707"/>
      <c r="BI196" s="2707"/>
      <c r="BJ196" s="2707"/>
      <c r="BK196" s="2707"/>
      <c r="BL196" s="3737"/>
    </row>
    <row r="197" spans="1:64">
      <c r="A197" s="162"/>
      <c r="B197" s="3730"/>
      <c r="C197" s="2707"/>
      <c r="D197" s="2707"/>
      <c r="E197" s="2707"/>
      <c r="F197" s="2707"/>
      <c r="G197" s="2707"/>
      <c r="H197" s="2707"/>
      <c r="I197" s="2707"/>
      <c r="J197" s="3705"/>
      <c r="K197" s="3731"/>
      <c r="L197" s="2707"/>
      <c r="M197" s="3731"/>
      <c r="N197" s="2707"/>
      <c r="O197" s="2707"/>
      <c r="P197" s="3705"/>
      <c r="Q197" s="3731"/>
      <c r="R197" s="2707"/>
      <c r="S197" s="2707"/>
      <c r="T197" s="3705"/>
      <c r="U197" s="3731"/>
      <c r="V197" s="2707"/>
      <c r="W197" s="3705"/>
      <c r="X197" s="3731"/>
      <c r="Y197" s="2707"/>
      <c r="Z197" s="2707"/>
      <c r="AA197" s="3705"/>
      <c r="AB197" s="3733"/>
      <c r="AC197" s="2707"/>
      <c r="AD197" s="2707"/>
      <c r="AE197" s="3731"/>
      <c r="AF197" s="2707"/>
      <c r="AG197" s="3705"/>
      <c r="AH197" s="3731"/>
      <c r="AI197" s="2707"/>
      <c r="AJ197" s="3705"/>
      <c r="AK197" s="3731"/>
      <c r="AL197" s="2707"/>
      <c r="AM197" s="2707"/>
      <c r="AN197" s="2707"/>
      <c r="AO197" s="3705"/>
      <c r="AP197" s="3733"/>
      <c r="AQ197" s="2707"/>
      <c r="AR197" s="2707"/>
      <c r="AS197" s="2707"/>
      <c r="AT197" s="2707"/>
      <c r="AU197" s="3705"/>
      <c r="AV197" s="3739"/>
      <c r="AW197" s="2707"/>
      <c r="AX197" s="2707"/>
      <c r="AY197" s="2707"/>
      <c r="AZ197" s="2707"/>
      <c r="BA197" s="2707"/>
      <c r="BB197" s="2707"/>
      <c r="BC197" s="2707"/>
      <c r="BD197" s="2707"/>
      <c r="BE197" s="2707"/>
      <c r="BF197" s="2707"/>
      <c r="BG197" s="2707"/>
      <c r="BH197" s="2707"/>
      <c r="BI197" s="2707"/>
      <c r="BJ197" s="2707"/>
      <c r="BK197" s="2707"/>
      <c r="BL197" s="3740"/>
    </row>
    <row r="198" spans="1:64">
      <c r="A198" s="162"/>
      <c r="B198" s="3729"/>
      <c r="C198" s="2707"/>
      <c r="D198" s="2707"/>
      <c r="E198" s="2707"/>
      <c r="F198" s="2707"/>
      <c r="G198" s="2707"/>
      <c r="H198" s="2707"/>
      <c r="I198" s="2707"/>
      <c r="J198" s="3703"/>
      <c r="K198" s="3732"/>
      <c r="L198" s="2707"/>
      <c r="M198" s="3732"/>
      <c r="N198" s="2707"/>
      <c r="O198" s="2707"/>
      <c r="P198" s="3703"/>
      <c r="Q198" s="3732"/>
      <c r="R198" s="2707"/>
      <c r="S198" s="2707"/>
      <c r="T198" s="3703"/>
      <c r="U198" s="3732"/>
      <c r="V198" s="2707"/>
      <c r="W198" s="3703"/>
      <c r="X198" s="3732"/>
      <c r="Y198" s="2707"/>
      <c r="Z198" s="2707"/>
      <c r="AA198" s="3703"/>
      <c r="AB198" s="3742"/>
      <c r="AC198" s="2707"/>
      <c r="AD198" s="2707"/>
      <c r="AE198" s="3732"/>
      <c r="AF198" s="2707"/>
      <c r="AG198" s="3703"/>
      <c r="AH198" s="3732"/>
      <c r="AI198" s="2707"/>
      <c r="AJ198" s="3703"/>
      <c r="AK198" s="3732"/>
      <c r="AL198" s="2707"/>
      <c r="AM198" s="2707"/>
      <c r="AN198" s="2707"/>
      <c r="AO198" s="3703"/>
      <c r="AP198" s="3742"/>
      <c r="AQ198" s="2707"/>
      <c r="AR198" s="2707"/>
      <c r="AS198" s="2707"/>
      <c r="AT198" s="2707"/>
      <c r="AU198" s="3703"/>
      <c r="AV198" s="3736"/>
      <c r="AW198" s="2707"/>
      <c r="AX198" s="2707"/>
      <c r="AY198" s="2707"/>
      <c r="AZ198" s="2707"/>
      <c r="BA198" s="2707"/>
      <c r="BB198" s="2707"/>
      <c r="BC198" s="2707"/>
      <c r="BD198" s="2707"/>
      <c r="BE198" s="2707"/>
      <c r="BF198" s="2707"/>
      <c r="BG198" s="2707"/>
      <c r="BH198" s="2707"/>
      <c r="BI198" s="2707"/>
      <c r="BJ198" s="2707"/>
      <c r="BK198" s="2707"/>
      <c r="BL198" s="3737"/>
    </row>
    <row r="199" spans="1:64">
      <c r="A199" s="162"/>
      <c r="B199" s="3730"/>
      <c r="C199" s="2707"/>
      <c r="D199" s="2707"/>
      <c r="E199" s="2707"/>
      <c r="F199" s="2707"/>
      <c r="G199" s="2707"/>
      <c r="H199" s="2707"/>
      <c r="I199" s="2707"/>
      <c r="J199" s="3705"/>
      <c r="K199" s="3731"/>
      <c r="L199" s="2707"/>
      <c r="M199" s="3731"/>
      <c r="N199" s="2707"/>
      <c r="O199" s="2707"/>
      <c r="P199" s="3705"/>
      <c r="Q199" s="3731"/>
      <c r="R199" s="2707"/>
      <c r="S199" s="2707"/>
      <c r="T199" s="3705"/>
      <c r="U199" s="3731"/>
      <c r="V199" s="2707"/>
      <c r="W199" s="3705"/>
      <c r="X199" s="3731"/>
      <c r="Y199" s="2707"/>
      <c r="Z199" s="2707"/>
      <c r="AA199" s="3705"/>
      <c r="AB199" s="3733"/>
      <c r="AC199" s="2707"/>
      <c r="AD199" s="2707"/>
      <c r="AE199" s="3731"/>
      <c r="AF199" s="2707"/>
      <c r="AG199" s="3705"/>
      <c r="AH199" s="3731"/>
      <c r="AI199" s="2707"/>
      <c r="AJ199" s="3705"/>
      <c r="AK199" s="3731"/>
      <c r="AL199" s="2707"/>
      <c r="AM199" s="2707"/>
      <c r="AN199" s="2707"/>
      <c r="AO199" s="3705"/>
      <c r="AP199" s="3733"/>
      <c r="AQ199" s="2707"/>
      <c r="AR199" s="2707"/>
      <c r="AS199" s="2707"/>
      <c r="AT199" s="2707"/>
      <c r="AU199" s="3705"/>
      <c r="AV199" s="3739"/>
      <c r="AW199" s="2707"/>
      <c r="AX199" s="2707"/>
      <c r="AY199" s="2707"/>
      <c r="AZ199" s="2707"/>
      <c r="BA199" s="2707"/>
      <c r="BB199" s="2707"/>
      <c r="BC199" s="2707"/>
      <c r="BD199" s="2707"/>
      <c r="BE199" s="2707"/>
      <c r="BF199" s="2707"/>
      <c r="BG199" s="2707"/>
      <c r="BH199" s="2707"/>
      <c r="BI199" s="2707"/>
      <c r="BJ199" s="2707"/>
      <c r="BK199" s="2707"/>
      <c r="BL199" s="3740"/>
    </row>
    <row r="200" spans="1:64">
      <c r="A200" s="162"/>
      <c r="B200" s="3729"/>
      <c r="C200" s="2707"/>
      <c r="D200" s="2707"/>
      <c r="E200" s="2707"/>
      <c r="F200" s="2707"/>
      <c r="G200" s="2707"/>
      <c r="H200" s="2707"/>
      <c r="I200" s="2707"/>
      <c r="J200" s="3703"/>
      <c r="K200" s="3732"/>
      <c r="L200" s="2707"/>
      <c r="M200" s="3732"/>
      <c r="N200" s="2707"/>
      <c r="O200" s="2707"/>
      <c r="P200" s="3703"/>
      <c r="Q200" s="3732"/>
      <c r="R200" s="2707"/>
      <c r="S200" s="2707"/>
      <c r="T200" s="3703"/>
      <c r="U200" s="3732"/>
      <c r="V200" s="2707"/>
      <c r="W200" s="3703"/>
      <c r="X200" s="3732"/>
      <c r="Y200" s="2707"/>
      <c r="Z200" s="2707"/>
      <c r="AA200" s="3703"/>
      <c r="AB200" s="3742"/>
      <c r="AC200" s="2707"/>
      <c r="AD200" s="2707"/>
      <c r="AE200" s="3732"/>
      <c r="AF200" s="2707"/>
      <c r="AG200" s="3703"/>
      <c r="AH200" s="3732"/>
      <c r="AI200" s="2707"/>
      <c r="AJ200" s="3703"/>
      <c r="AK200" s="3732"/>
      <c r="AL200" s="2707"/>
      <c r="AM200" s="2707"/>
      <c r="AN200" s="2707"/>
      <c r="AO200" s="3703"/>
      <c r="AP200" s="3742"/>
      <c r="AQ200" s="2707"/>
      <c r="AR200" s="2707"/>
      <c r="AS200" s="2707"/>
      <c r="AT200" s="2707"/>
      <c r="AU200" s="3703"/>
      <c r="AV200" s="3736"/>
      <c r="AW200" s="2707"/>
      <c r="AX200" s="2707"/>
      <c r="AY200" s="2707"/>
      <c r="AZ200" s="2707"/>
      <c r="BA200" s="2707"/>
      <c r="BB200" s="2707"/>
      <c r="BC200" s="2707"/>
      <c r="BD200" s="2707"/>
      <c r="BE200" s="2707"/>
      <c r="BF200" s="2707"/>
      <c r="BG200" s="2707"/>
      <c r="BH200" s="2707"/>
      <c r="BI200" s="2707"/>
      <c r="BJ200" s="2707"/>
      <c r="BK200" s="2707"/>
      <c r="BL200" s="3737"/>
    </row>
    <row r="201" spans="1:64">
      <c r="A201" s="162"/>
      <c r="B201" s="3730"/>
      <c r="C201" s="2707"/>
      <c r="D201" s="2707"/>
      <c r="E201" s="2707"/>
      <c r="F201" s="2707"/>
      <c r="G201" s="2707"/>
      <c r="H201" s="2707"/>
      <c r="I201" s="2707"/>
      <c r="J201" s="3705"/>
      <c r="K201" s="3731"/>
      <c r="L201" s="2707"/>
      <c r="M201" s="3731"/>
      <c r="N201" s="2707"/>
      <c r="O201" s="2707"/>
      <c r="P201" s="3705"/>
      <c r="Q201" s="3731"/>
      <c r="R201" s="2707"/>
      <c r="S201" s="2707"/>
      <c r="T201" s="3705"/>
      <c r="U201" s="3731"/>
      <c r="V201" s="2707"/>
      <c r="W201" s="3705"/>
      <c r="X201" s="3731"/>
      <c r="Y201" s="2707"/>
      <c r="Z201" s="2707"/>
      <c r="AA201" s="3705"/>
      <c r="AB201" s="3733"/>
      <c r="AC201" s="2707"/>
      <c r="AD201" s="2707"/>
      <c r="AE201" s="3731"/>
      <c r="AF201" s="2707"/>
      <c r="AG201" s="3705"/>
      <c r="AH201" s="3731"/>
      <c r="AI201" s="2707"/>
      <c r="AJ201" s="3705"/>
      <c r="AK201" s="3731"/>
      <c r="AL201" s="2707"/>
      <c r="AM201" s="2707"/>
      <c r="AN201" s="2707"/>
      <c r="AO201" s="3705"/>
      <c r="AP201" s="3733"/>
      <c r="AQ201" s="2707"/>
      <c r="AR201" s="2707"/>
      <c r="AS201" s="2707"/>
      <c r="AT201" s="2707"/>
      <c r="AU201" s="3705"/>
      <c r="AV201" s="3739"/>
      <c r="AW201" s="2707"/>
      <c r="AX201" s="2707"/>
      <c r="AY201" s="2707"/>
      <c r="AZ201" s="2707"/>
      <c r="BA201" s="2707"/>
      <c r="BB201" s="2707"/>
      <c r="BC201" s="2707"/>
      <c r="BD201" s="2707"/>
      <c r="BE201" s="2707"/>
      <c r="BF201" s="2707"/>
      <c r="BG201" s="2707"/>
      <c r="BH201" s="2707"/>
      <c r="BI201" s="2707"/>
      <c r="BJ201" s="2707"/>
      <c r="BK201" s="2707"/>
      <c r="BL201" s="3740"/>
    </row>
    <row r="202" spans="1:64">
      <c r="A202" s="162"/>
      <c r="B202" s="3729"/>
      <c r="C202" s="2707"/>
      <c r="D202" s="2707"/>
      <c r="E202" s="2707"/>
      <c r="F202" s="2707"/>
      <c r="G202" s="2707"/>
      <c r="H202" s="2707"/>
      <c r="I202" s="2707"/>
      <c r="J202" s="3703"/>
      <c r="K202" s="3732"/>
      <c r="L202" s="2707"/>
      <c r="M202" s="3732"/>
      <c r="N202" s="2707"/>
      <c r="O202" s="2707"/>
      <c r="P202" s="3703"/>
      <c r="Q202" s="3732"/>
      <c r="R202" s="2707"/>
      <c r="S202" s="2707"/>
      <c r="T202" s="3703"/>
      <c r="U202" s="3732"/>
      <c r="V202" s="2707"/>
      <c r="W202" s="3703"/>
      <c r="X202" s="3732"/>
      <c r="Y202" s="2707"/>
      <c r="Z202" s="2707"/>
      <c r="AA202" s="3703"/>
      <c r="AB202" s="3742"/>
      <c r="AC202" s="2707"/>
      <c r="AD202" s="2707"/>
      <c r="AE202" s="3732"/>
      <c r="AF202" s="2707"/>
      <c r="AG202" s="3703"/>
      <c r="AH202" s="3732"/>
      <c r="AI202" s="2707"/>
      <c r="AJ202" s="3703"/>
      <c r="AK202" s="3732"/>
      <c r="AL202" s="2707"/>
      <c r="AM202" s="2707"/>
      <c r="AN202" s="2707"/>
      <c r="AO202" s="3703"/>
      <c r="AP202" s="3742"/>
      <c r="AQ202" s="2707"/>
      <c r="AR202" s="2707"/>
      <c r="AS202" s="2707"/>
      <c r="AT202" s="2707"/>
      <c r="AU202" s="3703"/>
      <c r="AV202" s="3736"/>
      <c r="AW202" s="2707"/>
      <c r="AX202" s="2707"/>
      <c r="AY202" s="2707"/>
      <c r="AZ202" s="2707"/>
      <c r="BA202" s="2707"/>
      <c r="BB202" s="2707"/>
      <c r="BC202" s="2707"/>
      <c r="BD202" s="2707"/>
      <c r="BE202" s="2707"/>
      <c r="BF202" s="2707"/>
      <c r="BG202" s="2707"/>
      <c r="BH202" s="2707"/>
      <c r="BI202" s="2707"/>
      <c r="BJ202" s="2707"/>
      <c r="BK202" s="2707"/>
      <c r="BL202" s="3737"/>
    </row>
    <row r="203" spans="1:64">
      <c r="A203" s="162"/>
      <c r="B203" s="3730"/>
      <c r="C203" s="2707"/>
      <c r="D203" s="2707"/>
      <c r="E203" s="2707"/>
      <c r="F203" s="2707"/>
      <c r="G203" s="2707"/>
      <c r="H203" s="2707"/>
      <c r="I203" s="2707"/>
      <c r="J203" s="3705"/>
      <c r="K203" s="3731"/>
      <c r="L203" s="2707"/>
      <c r="M203" s="3731"/>
      <c r="N203" s="2707"/>
      <c r="O203" s="2707"/>
      <c r="P203" s="3705"/>
      <c r="Q203" s="3731"/>
      <c r="R203" s="2707"/>
      <c r="S203" s="2707"/>
      <c r="T203" s="3705"/>
      <c r="U203" s="3731"/>
      <c r="V203" s="2707"/>
      <c r="W203" s="3705"/>
      <c r="X203" s="3731"/>
      <c r="Y203" s="2707"/>
      <c r="Z203" s="2707"/>
      <c r="AA203" s="3705"/>
      <c r="AB203" s="3733"/>
      <c r="AC203" s="2707"/>
      <c r="AD203" s="2707"/>
      <c r="AE203" s="3731"/>
      <c r="AF203" s="2707"/>
      <c r="AG203" s="3705"/>
      <c r="AH203" s="3731"/>
      <c r="AI203" s="2707"/>
      <c r="AJ203" s="3705"/>
      <c r="AK203" s="3731"/>
      <c r="AL203" s="2707"/>
      <c r="AM203" s="2707"/>
      <c r="AN203" s="2707"/>
      <c r="AO203" s="3705"/>
      <c r="AP203" s="3733"/>
      <c r="AQ203" s="2707"/>
      <c r="AR203" s="2707"/>
      <c r="AS203" s="2707"/>
      <c r="AT203" s="2707"/>
      <c r="AU203" s="3705"/>
      <c r="AV203" s="3739"/>
      <c r="AW203" s="2707"/>
      <c r="AX203" s="2707"/>
      <c r="AY203" s="2707"/>
      <c r="AZ203" s="2707"/>
      <c r="BA203" s="2707"/>
      <c r="BB203" s="2707"/>
      <c r="BC203" s="2707"/>
      <c r="BD203" s="2707"/>
      <c r="BE203" s="2707"/>
      <c r="BF203" s="2707"/>
      <c r="BG203" s="2707"/>
      <c r="BH203" s="2707"/>
      <c r="BI203" s="2707"/>
      <c r="BJ203" s="2707"/>
      <c r="BK203" s="2707"/>
      <c r="BL203" s="3740"/>
    </row>
    <row r="204" spans="1:64">
      <c r="A204" s="162"/>
      <c r="B204" s="3729"/>
      <c r="C204" s="2707"/>
      <c r="D204" s="2707"/>
      <c r="E204" s="2707"/>
      <c r="F204" s="2707"/>
      <c r="G204" s="2707"/>
      <c r="H204" s="2707"/>
      <c r="I204" s="2707"/>
      <c r="J204" s="3703"/>
      <c r="K204" s="3732"/>
      <c r="L204" s="2707"/>
      <c r="M204" s="3732"/>
      <c r="N204" s="2707"/>
      <c r="O204" s="2707"/>
      <c r="P204" s="3703"/>
      <c r="Q204" s="3732"/>
      <c r="R204" s="2707"/>
      <c r="S204" s="2707"/>
      <c r="T204" s="3703"/>
      <c r="U204" s="3732"/>
      <c r="V204" s="2707"/>
      <c r="W204" s="3703"/>
      <c r="X204" s="3732"/>
      <c r="Y204" s="2707"/>
      <c r="Z204" s="2707"/>
      <c r="AA204" s="3703"/>
      <c r="AB204" s="3742"/>
      <c r="AC204" s="2707"/>
      <c r="AD204" s="2707"/>
      <c r="AE204" s="3732"/>
      <c r="AF204" s="2707"/>
      <c r="AG204" s="3703"/>
      <c r="AH204" s="3732"/>
      <c r="AI204" s="2707"/>
      <c r="AJ204" s="3703"/>
      <c r="AK204" s="3732"/>
      <c r="AL204" s="2707"/>
      <c r="AM204" s="2707"/>
      <c r="AN204" s="2707"/>
      <c r="AO204" s="3703"/>
      <c r="AP204" s="3742"/>
      <c r="AQ204" s="2707"/>
      <c r="AR204" s="2707"/>
      <c r="AS204" s="2707"/>
      <c r="AT204" s="2707"/>
      <c r="AU204" s="3703"/>
      <c r="AV204" s="3736"/>
      <c r="AW204" s="2707"/>
      <c r="AX204" s="2707"/>
      <c r="AY204" s="2707"/>
      <c r="AZ204" s="2707"/>
      <c r="BA204" s="2707"/>
      <c r="BB204" s="2707"/>
      <c r="BC204" s="2707"/>
      <c r="BD204" s="2707"/>
      <c r="BE204" s="2707"/>
      <c r="BF204" s="2707"/>
      <c r="BG204" s="2707"/>
      <c r="BH204" s="2707"/>
      <c r="BI204" s="2707"/>
      <c r="BJ204" s="2707"/>
      <c r="BK204" s="2707"/>
      <c r="BL204" s="3737"/>
    </row>
    <row r="205" spans="1:64">
      <c r="A205" s="162"/>
      <c r="B205" s="3730"/>
      <c r="C205" s="2707"/>
      <c r="D205" s="2707"/>
      <c r="E205" s="2707"/>
      <c r="F205" s="2707"/>
      <c r="G205" s="2707"/>
      <c r="H205" s="2707"/>
      <c r="I205" s="2707"/>
      <c r="J205" s="3705"/>
      <c r="K205" s="3731"/>
      <c r="L205" s="2707"/>
      <c r="M205" s="3731"/>
      <c r="N205" s="2707"/>
      <c r="O205" s="2707"/>
      <c r="P205" s="3705"/>
      <c r="Q205" s="3731"/>
      <c r="R205" s="2707"/>
      <c r="S205" s="2707"/>
      <c r="T205" s="3705"/>
      <c r="U205" s="3731"/>
      <c r="V205" s="2707"/>
      <c r="W205" s="3705"/>
      <c r="X205" s="3731"/>
      <c r="Y205" s="2707"/>
      <c r="Z205" s="2707"/>
      <c r="AA205" s="3705"/>
      <c r="AB205" s="3733"/>
      <c r="AC205" s="2707"/>
      <c r="AD205" s="2707"/>
      <c r="AE205" s="3731"/>
      <c r="AF205" s="2707"/>
      <c r="AG205" s="3705"/>
      <c r="AH205" s="3731"/>
      <c r="AI205" s="2707"/>
      <c r="AJ205" s="3705"/>
      <c r="AK205" s="3731"/>
      <c r="AL205" s="2707"/>
      <c r="AM205" s="2707"/>
      <c r="AN205" s="2707"/>
      <c r="AO205" s="3705"/>
      <c r="AP205" s="3733"/>
      <c r="AQ205" s="2707"/>
      <c r="AR205" s="2707"/>
      <c r="AS205" s="2707"/>
      <c r="AT205" s="2707"/>
      <c r="AU205" s="3705"/>
      <c r="AV205" s="3739"/>
      <c r="AW205" s="2707"/>
      <c r="AX205" s="2707"/>
      <c r="AY205" s="2707"/>
      <c r="AZ205" s="2707"/>
      <c r="BA205" s="2707"/>
      <c r="BB205" s="2707"/>
      <c r="BC205" s="2707"/>
      <c r="BD205" s="2707"/>
      <c r="BE205" s="2707"/>
      <c r="BF205" s="2707"/>
      <c r="BG205" s="2707"/>
      <c r="BH205" s="2707"/>
      <c r="BI205" s="2707"/>
      <c r="BJ205" s="2707"/>
      <c r="BK205" s="2707"/>
      <c r="BL205" s="3740"/>
    </row>
    <row r="206" spans="1:64">
      <c r="A206" s="162"/>
      <c r="B206" s="3729"/>
      <c r="C206" s="2707"/>
      <c r="D206" s="2707"/>
      <c r="E206" s="2707"/>
      <c r="F206" s="2707"/>
      <c r="G206" s="2707"/>
      <c r="H206" s="2707"/>
      <c r="I206" s="2707"/>
      <c r="J206" s="3703"/>
      <c r="K206" s="3732"/>
      <c r="L206" s="2707"/>
      <c r="M206" s="3732"/>
      <c r="N206" s="2707"/>
      <c r="O206" s="2707"/>
      <c r="P206" s="3703"/>
      <c r="Q206" s="3732"/>
      <c r="R206" s="2707"/>
      <c r="S206" s="2707"/>
      <c r="T206" s="3703"/>
      <c r="U206" s="3732"/>
      <c r="V206" s="2707"/>
      <c r="W206" s="3703"/>
      <c r="X206" s="3732"/>
      <c r="Y206" s="2707"/>
      <c r="Z206" s="2707"/>
      <c r="AA206" s="3703"/>
      <c r="AB206" s="3742"/>
      <c r="AC206" s="2707"/>
      <c r="AD206" s="2707"/>
      <c r="AE206" s="3732"/>
      <c r="AF206" s="2707"/>
      <c r="AG206" s="3703"/>
      <c r="AH206" s="3732"/>
      <c r="AI206" s="2707"/>
      <c r="AJ206" s="3703"/>
      <c r="AK206" s="3732"/>
      <c r="AL206" s="2707"/>
      <c r="AM206" s="2707"/>
      <c r="AN206" s="2707"/>
      <c r="AO206" s="3703"/>
      <c r="AP206" s="3742"/>
      <c r="AQ206" s="2707"/>
      <c r="AR206" s="2707"/>
      <c r="AS206" s="2707"/>
      <c r="AT206" s="2707"/>
      <c r="AU206" s="3703"/>
      <c r="AV206" s="3736"/>
      <c r="AW206" s="2707"/>
      <c r="AX206" s="2707"/>
      <c r="AY206" s="2707"/>
      <c r="AZ206" s="2707"/>
      <c r="BA206" s="2707"/>
      <c r="BB206" s="2707"/>
      <c r="BC206" s="2707"/>
      <c r="BD206" s="2707"/>
      <c r="BE206" s="2707"/>
      <c r="BF206" s="2707"/>
      <c r="BG206" s="2707"/>
      <c r="BH206" s="2707"/>
      <c r="BI206" s="2707"/>
      <c r="BJ206" s="2707"/>
      <c r="BK206" s="2707"/>
      <c r="BL206" s="3737"/>
    </row>
    <row r="207" spans="1:64">
      <c r="A207" s="162"/>
      <c r="B207" s="3730"/>
      <c r="C207" s="2707"/>
      <c r="D207" s="2707"/>
      <c r="E207" s="2707"/>
      <c r="F207" s="2707"/>
      <c r="G207" s="2707"/>
      <c r="H207" s="2707"/>
      <c r="I207" s="2707"/>
      <c r="J207" s="3705"/>
      <c r="K207" s="3731"/>
      <c r="L207" s="2707"/>
      <c r="M207" s="3731"/>
      <c r="N207" s="2707"/>
      <c r="O207" s="2707"/>
      <c r="P207" s="3705"/>
      <c r="Q207" s="3731"/>
      <c r="R207" s="2707"/>
      <c r="S207" s="2707"/>
      <c r="T207" s="3705"/>
      <c r="U207" s="3731"/>
      <c r="V207" s="2707"/>
      <c r="W207" s="3705"/>
      <c r="X207" s="3731"/>
      <c r="Y207" s="2707"/>
      <c r="Z207" s="2707"/>
      <c r="AA207" s="3705"/>
      <c r="AB207" s="3733"/>
      <c r="AC207" s="2707"/>
      <c r="AD207" s="2707"/>
      <c r="AE207" s="3731"/>
      <c r="AF207" s="2707"/>
      <c r="AG207" s="3705"/>
      <c r="AH207" s="3731"/>
      <c r="AI207" s="2707"/>
      <c r="AJ207" s="3705"/>
      <c r="AK207" s="3731"/>
      <c r="AL207" s="2707"/>
      <c r="AM207" s="2707"/>
      <c r="AN207" s="2707"/>
      <c r="AO207" s="3705"/>
      <c r="AP207" s="3733"/>
      <c r="AQ207" s="2707"/>
      <c r="AR207" s="2707"/>
      <c r="AS207" s="2707"/>
      <c r="AT207" s="2707"/>
      <c r="AU207" s="3705"/>
      <c r="AV207" s="3739"/>
      <c r="AW207" s="2707"/>
      <c r="AX207" s="2707"/>
      <c r="AY207" s="2707"/>
      <c r="AZ207" s="2707"/>
      <c r="BA207" s="2707"/>
      <c r="BB207" s="2707"/>
      <c r="BC207" s="2707"/>
      <c r="BD207" s="2707"/>
      <c r="BE207" s="2707"/>
      <c r="BF207" s="2707"/>
      <c r="BG207" s="2707"/>
      <c r="BH207" s="2707"/>
      <c r="BI207" s="2707"/>
      <c r="BJ207" s="2707"/>
      <c r="BK207" s="2707"/>
      <c r="BL207" s="3740"/>
    </row>
    <row r="208" spans="1:64">
      <c r="A208" s="162"/>
      <c r="B208" s="3729"/>
      <c r="C208" s="2707"/>
      <c r="D208" s="2707"/>
      <c r="E208" s="2707"/>
      <c r="F208" s="2707"/>
      <c r="G208" s="2707"/>
      <c r="H208" s="2707"/>
      <c r="I208" s="2707"/>
      <c r="J208" s="3703"/>
      <c r="K208" s="3732"/>
      <c r="L208" s="2707"/>
      <c r="M208" s="3732"/>
      <c r="N208" s="2707"/>
      <c r="O208" s="2707"/>
      <c r="P208" s="3703"/>
      <c r="Q208" s="3732"/>
      <c r="R208" s="2707"/>
      <c r="S208" s="2707"/>
      <c r="T208" s="3703"/>
      <c r="U208" s="3732"/>
      <c r="V208" s="2707"/>
      <c r="W208" s="3703"/>
      <c r="X208" s="3732"/>
      <c r="Y208" s="2707"/>
      <c r="Z208" s="2707"/>
      <c r="AA208" s="3703"/>
      <c r="AB208" s="3742"/>
      <c r="AC208" s="2707"/>
      <c r="AD208" s="2707"/>
      <c r="AE208" s="3732"/>
      <c r="AF208" s="2707"/>
      <c r="AG208" s="3703"/>
      <c r="AH208" s="3732"/>
      <c r="AI208" s="2707"/>
      <c r="AJ208" s="3703"/>
      <c r="AK208" s="3732"/>
      <c r="AL208" s="2707"/>
      <c r="AM208" s="2707"/>
      <c r="AN208" s="2707"/>
      <c r="AO208" s="3703"/>
      <c r="AP208" s="3742"/>
      <c r="AQ208" s="2707"/>
      <c r="AR208" s="2707"/>
      <c r="AS208" s="2707"/>
      <c r="AT208" s="2707"/>
      <c r="AU208" s="3703"/>
      <c r="AV208" s="3736"/>
      <c r="AW208" s="2707"/>
      <c r="AX208" s="2707"/>
      <c r="AY208" s="2707"/>
      <c r="AZ208" s="2707"/>
      <c r="BA208" s="2707"/>
      <c r="BB208" s="2707"/>
      <c r="BC208" s="2707"/>
      <c r="BD208" s="2707"/>
      <c r="BE208" s="2707"/>
      <c r="BF208" s="2707"/>
      <c r="BG208" s="2707"/>
      <c r="BH208" s="2707"/>
      <c r="BI208" s="2707"/>
      <c r="BJ208" s="2707"/>
      <c r="BK208" s="2707"/>
      <c r="BL208" s="3737"/>
    </row>
    <row r="209" spans="1:64">
      <c r="A209" s="162"/>
      <c r="B209" s="3730"/>
      <c r="C209" s="2707"/>
      <c r="D209" s="2707"/>
      <c r="E209" s="2707"/>
      <c r="F209" s="2707"/>
      <c r="G209" s="2707"/>
      <c r="H209" s="2707"/>
      <c r="I209" s="2707"/>
      <c r="J209" s="3705"/>
      <c r="K209" s="3731"/>
      <c r="L209" s="2707"/>
      <c r="M209" s="3731"/>
      <c r="N209" s="2707"/>
      <c r="O209" s="2707"/>
      <c r="P209" s="3705"/>
      <c r="Q209" s="3731"/>
      <c r="R209" s="2707"/>
      <c r="S209" s="2707"/>
      <c r="T209" s="3705"/>
      <c r="U209" s="3731"/>
      <c r="V209" s="2707"/>
      <c r="W209" s="3705"/>
      <c r="X209" s="3731"/>
      <c r="Y209" s="2707"/>
      <c r="Z209" s="2707"/>
      <c r="AA209" s="3705"/>
      <c r="AB209" s="3733"/>
      <c r="AC209" s="2707"/>
      <c r="AD209" s="2707"/>
      <c r="AE209" s="3731"/>
      <c r="AF209" s="2707"/>
      <c r="AG209" s="3705"/>
      <c r="AH209" s="3731"/>
      <c r="AI209" s="2707"/>
      <c r="AJ209" s="3705"/>
      <c r="AK209" s="3731"/>
      <c r="AL209" s="2707"/>
      <c r="AM209" s="2707"/>
      <c r="AN209" s="2707"/>
      <c r="AO209" s="3705"/>
      <c r="AP209" s="3733"/>
      <c r="AQ209" s="2707"/>
      <c r="AR209" s="2707"/>
      <c r="AS209" s="2707"/>
      <c r="AT209" s="2707"/>
      <c r="AU209" s="3705"/>
      <c r="AV209" s="3739"/>
      <c r="AW209" s="2707"/>
      <c r="AX209" s="2707"/>
      <c r="AY209" s="2707"/>
      <c r="AZ209" s="2707"/>
      <c r="BA209" s="2707"/>
      <c r="BB209" s="2707"/>
      <c r="BC209" s="2707"/>
      <c r="BD209" s="2707"/>
      <c r="BE209" s="2707"/>
      <c r="BF209" s="2707"/>
      <c r="BG209" s="2707"/>
      <c r="BH209" s="2707"/>
      <c r="BI209" s="2707"/>
      <c r="BJ209" s="2707"/>
      <c r="BK209" s="2707"/>
      <c r="BL209" s="3740"/>
    </row>
    <row r="210" spans="1:64">
      <c r="A210" s="162"/>
      <c r="B210" s="3729"/>
      <c r="C210" s="2707"/>
      <c r="D210" s="2707"/>
      <c r="E210" s="2707"/>
      <c r="F210" s="2707"/>
      <c r="G210" s="2707"/>
      <c r="H210" s="2707"/>
      <c r="I210" s="2707"/>
      <c r="J210" s="3703"/>
      <c r="K210" s="3732"/>
      <c r="L210" s="2707"/>
      <c r="M210" s="3732"/>
      <c r="N210" s="2707"/>
      <c r="O210" s="2707"/>
      <c r="P210" s="3703"/>
      <c r="Q210" s="3732"/>
      <c r="R210" s="2707"/>
      <c r="S210" s="2707"/>
      <c r="T210" s="3703"/>
      <c r="U210" s="3732"/>
      <c r="V210" s="2707"/>
      <c r="W210" s="3703"/>
      <c r="X210" s="3732"/>
      <c r="Y210" s="2707"/>
      <c r="Z210" s="2707"/>
      <c r="AA210" s="3703"/>
      <c r="AB210" s="3742"/>
      <c r="AC210" s="2707"/>
      <c r="AD210" s="2707"/>
      <c r="AE210" s="3732"/>
      <c r="AF210" s="2707"/>
      <c r="AG210" s="3703"/>
      <c r="AH210" s="3732"/>
      <c r="AI210" s="2707"/>
      <c r="AJ210" s="3703"/>
      <c r="AK210" s="3732"/>
      <c r="AL210" s="2707"/>
      <c r="AM210" s="2707"/>
      <c r="AN210" s="2707"/>
      <c r="AO210" s="3703"/>
      <c r="AP210" s="3742"/>
      <c r="AQ210" s="2707"/>
      <c r="AR210" s="2707"/>
      <c r="AS210" s="2707"/>
      <c r="AT210" s="2707"/>
      <c r="AU210" s="3703"/>
      <c r="AV210" s="3736"/>
      <c r="AW210" s="2707"/>
      <c r="AX210" s="2707"/>
      <c r="AY210" s="2707"/>
      <c r="AZ210" s="2707"/>
      <c r="BA210" s="2707"/>
      <c r="BB210" s="2707"/>
      <c r="BC210" s="2707"/>
      <c r="BD210" s="2707"/>
      <c r="BE210" s="2707"/>
      <c r="BF210" s="2707"/>
      <c r="BG210" s="2707"/>
      <c r="BH210" s="2707"/>
      <c r="BI210" s="2707"/>
      <c r="BJ210" s="2707"/>
      <c r="BK210" s="2707"/>
      <c r="BL210" s="3737"/>
    </row>
    <row r="211" spans="1:64">
      <c r="A211" s="162"/>
      <c r="B211" s="3730"/>
      <c r="C211" s="2707"/>
      <c r="D211" s="2707"/>
      <c r="E211" s="2707"/>
      <c r="F211" s="2707"/>
      <c r="G211" s="2707"/>
      <c r="H211" s="2707"/>
      <c r="I211" s="2707"/>
      <c r="J211" s="3705"/>
      <c r="K211" s="3731"/>
      <c r="L211" s="2707"/>
      <c r="M211" s="3731"/>
      <c r="N211" s="2707"/>
      <c r="O211" s="2707"/>
      <c r="P211" s="3705"/>
      <c r="Q211" s="3731"/>
      <c r="R211" s="2707"/>
      <c r="S211" s="2707"/>
      <c r="T211" s="3705"/>
      <c r="U211" s="3731"/>
      <c r="V211" s="2707"/>
      <c r="W211" s="3705"/>
      <c r="X211" s="3731"/>
      <c r="Y211" s="2707"/>
      <c r="Z211" s="2707"/>
      <c r="AA211" s="3705"/>
      <c r="AB211" s="3733"/>
      <c r="AC211" s="2707"/>
      <c r="AD211" s="2707"/>
      <c r="AE211" s="3731"/>
      <c r="AF211" s="2707"/>
      <c r="AG211" s="3705"/>
      <c r="AH211" s="3731"/>
      <c r="AI211" s="2707"/>
      <c r="AJ211" s="3705"/>
      <c r="AK211" s="3731"/>
      <c r="AL211" s="2707"/>
      <c r="AM211" s="2707"/>
      <c r="AN211" s="2707"/>
      <c r="AO211" s="3705"/>
      <c r="AP211" s="3733"/>
      <c r="AQ211" s="2707"/>
      <c r="AR211" s="2707"/>
      <c r="AS211" s="2707"/>
      <c r="AT211" s="2707"/>
      <c r="AU211" s="3705"/>
      <c r="AV211" s="3739"/>
      <c r="AW211" s="2707"/>
      <c r="AX211" s="2707"/>
      <c r="AY211" s="2707"/>
      <c r="AZ211" s="2707"/>
      <c r="BA211" s="2707"/>
      <c r="BB211" s="2707"/>
      <c r="BC211" s="2707"/>
      <c r="BD211" s="2707"/>
      <c r="BE211" s="2707"/>
      <c r="BF211" s="2707"/>
      <c r="BG211" s="2707"/>
      <c r="BH211" s="2707"/>
      <c r="BI211" s="2707"/>
      <c r="BJ211" s="2707"/>
      <c r="BK211" s="2707"/>
      <c r="BL211" s="3740"/>
    </row>
    <row r="212" spans="1:64">
      <c r="A212" s="162"/>
      <c r="B212" s="3729"/>
      <c r="C212" s="2707"/>
      <c r="D212" s="2707"/>
      <c r="E212" s="2707"/>
      <c r="F212" s="2707"/>
      <c r="G212" s="2707"/>
      <c r="H212" s="2707"/>
      <c r="I212" s="2707"/>
      <c r="J212" s="3703"/>
      <c r="K212" s="3732"/>
      <c r="L212" s="2707"/>
      <c r="M212" s="3732"/>
      <c r="N212" s="2707"/>
      <c r="O212" s="2707"/>
      <c r="P212" s="3703"/>
      <c r="Q212" s="3732"/>
      <c r="R212" s="2707"/>
      <c r="S212" s="2707"/>
      <c r="T212" s="3703"/>
      <c r="U212" s="3732"/>
      <c r="V212" s="2707"/>
      <c r="W212" s="3703"/>
      <c r="X212" s="3732"/>
      <c r="Y212" s="2707"/>
      <c r="Z212" s="2707"/>
      <c r="AA212" s="3703"/>
      <c r="AB212" s="3742"/>
      <c r="AC212" s="2707"/>
      <c r="AD212" s="2707"/>
      <c r="AE212" s="3732"/>
      <c r="AF212" s="2707"/>
      <c r="AG212" s="3703"/>
      <c r="AH212" s="3732"/>
      <c r="AI212" s="2707"/>
      <c r="AJ212" s="3703"/>
      <c r="AK212" s="3732"/>
      <c r="AL212" s="2707"/>
      <c r="AM212" s="2707"/>
      <c r="AN212" s="2707"/>
      <c r="AO212" s="3703"/>
      <c r="AP212" s="3742"/>
      <c r="AQ212" s="2707"/>
      <c r="AR212" s="2707"/>
      <c r="AS212" s="2707"/>
      <c r="AT212" s="2707"/>
      <c r="AU212" s="3703"/>
      <c r="AV212" s="3736"/>
      <c r="AW212" s="2707"/>
      <c r="AX212" s="2707"/>
      <c r="AY212" s="2707"/>
      <c r="AZ212" s="2707"/>
      <c r="BA212" s="2707"/>
      <c r="BB212" s="2707"/>
      <c r="BC212" s="2707"/>
      <c r="BD212" s="2707"/>
      <c r="BE212" s="2707"/>
      <c r="BF212" s="2707"/>
      <c r="BG212" s="2707"/>
      <c r="BH212" s="2707"/>
      <c r="BI212" s="2707"/>
      <c r="BJ212" s="2707"/>
      <c r="BK212" s="2707"/>
      <c r="BL212" s="3737"/>
    </row>
    <row r="213" spans="1:64">
      <c r="A213" s="162"/>
      <c r="B213" s="3730"/>
      <c r="C213" s="2707"/>
      <c r="D213" s="2707"/>
      <c r="E213" s="2707"/>
      <c r="F213" s="2707"/>
      <c r="G213" s="2707"/>
      <c r="H213" s="2707"/>
      <c r="I213" s="2707"/>
      <c r="J213" s="3705"/>
      <c r="K213" s="3731"/>
      <c r="L213" s="2707"/>
      <c r="M213" s="3731"/>
      <c r="N213" s="2707"/>
      <c r="O213" s="2707"/>
      <c r="P213" s="3705"/>
      <c r="Q213" s="3731"/>
      <c r="R213" s="2707"/>
      <c r="S213" s="2707"/>
      <c r="T213" s="3705"/>
      <c r="U213" s="3731"/>
      <c r="V213" s="2707"/>
      <c r="W213" s="3705"/>
      <c r="X213" s="3731"/>
      <c r="Y213" s="2707"/>
      <c r="Z213" s="2707"/>
      <c r="AA213" s="3705"/>
      <c r="AB213" s="3733"/>
      <c r="AC213" s="2707"/>
      <c r="AD213" s="2707"/>
      <c r="AE213" s="3731"/>
      <c r="AF213" s="2707"/>
      <c r="AG213" s="3705"/>
      <c r="AH213" s="3731"/>
      <c r="AI213" s="2707"/>
      <c r="AJ213" s="3705"/>
      <c r="AK213" s="3731"/>
      <c r="AL213" s="2707"/>
      <c r="AM213" s="2707"/>
      <c r="AN213" s="2707"/>
      <c r="AO213" s="3705"/>
      <c r="AP213" s="3733"/>
      <c r="AQ213" s="2707"/>
      <c r="AR213" s="2707"/>
      <c r="AS213" s="2707"/>
      <c r="AT213" s="2707"/>
      <c r="AU213" s="3705"/>
      <c r="AV213" s="3739"/>
      <c r="AW213" s="2707"/>
      <c r="AX213" s="2707"/>
      <c r="AY213" s="2707"/>
      <c r="AZ213" s="2707"/>
      <c r="BA213" s="2707"/>
      <c r="BB213" s="2707"/>
      <c r="BC213" s="2707"/>
      <c r="BD213" s="2707"/>
      <c r="BE213" s="2707"/>
      <c r="BF213" s="2707"/>
      <c r="BG213" s="2707"/>
      <c r="BH213" s="2707"/>
      <c r="BI213" s="2707"/>
      <c r="BJ213" s="2707"/>
      <c r="BK213" s="2707"/>
      <c r="BL213" s="3740"/>
    </row>
    <row r="214" spans="1:64">
      <c r="A214" s="162"/>
      <c r="B214" s="3729"/>
      <c r="C214" s="2707"/>
      <c r="D214" s="2707"/>
      <c r="E214" s="2707"/>
      <c r="F214" s="2707"/>
      <c r="G214" s="2707"/>
      <c r="H214" s="2707"/>
      <c r="I214" s="2707"/>
      <c r="J214" s="3703"/>
      <c r="K214" s="3732"/>
      <c r="L214" s="2707"/>
      <c r="M214" s="3732"/>
      <c r="N214" s="2707"/>
      <c r="O214" s="2707"/>
      <c r="P214" s="3703"/>
      <c r="Q214" s="3732"/>
      <c r="R214" s="2707"/>
      <c r="S214" s="2707"/>
      <c r="T214" s="3703"/>
      <c r="U214" s="3732"/>
      <c r="V214" s="2707"/>
      <c r="W214" s="3703"/>
      <c r="X214" s="3732"/>
      <c r="Y214" s="2707"/>
      <c r="Z214" s="2707"/>
      <c r="AA214" s="3703"/>
      <c r="AB214" s="3742"/>
      <c r="AC214" s="2707"/>
      <c r="AD214" s="2707"/>
      <c r="AE214" s="3732"/>
      <c r="AF214" s="2707"/>
      <c r="AG214" s="3703"/>
      <c r="AH214" s="3732"/>
      <c r="AI214" s="2707"/>
      <c r="AJ214" s="3703"/>
      <c r="AK214" s="3732"/>
      <c r="AL214" s="2707"/>
      <c r="AM214" s="2707"/>
      <c r="AN214" s="2707"/>
      <c r="AO214" s="3703"/>
      <c r="AP214" s="3742"/>
      <c r="AQ214" s="2707"/>
      <c r="AR214" s="2707"/>
      <c r="AS214" s="2707"/>
      <c r="AT214" s="2707"/>
      <c r="AU214" s="3703"/>
      <c r="AV214" s="3736"/>
      <c r="AW214" s="2707"/>
      <c r="AX214" s="2707"/>
      <c r="AY214" s="2707"/>
      <c r="AZ214" s="2707"/>
      <c r="BA214" s="2707"/>
      <c r="BB214" s="2707"/>
      <c r="BC214" s="2707"/>
      <c r="BD214" s="2707"/>
      <c r="BE214" s="2707"/>
      <c r="BF214" s="2707"/>
      <c r="BG214" s="2707"/>
      <c r="BH214" s="2707"/>
      <c r="BI214" s="2707"/>
      <c r="BJ214" s="2707"/>
      <c r="BK214" s="2707"/>
      <c r="BL214" s="3737"/>
    </row>
    <row r="215" spans="1:64">
      <c r="A215" s="162"/>
      <c r="B215" s="3730"/>
      <c r="C215" s="2707"/>
      <c r="D215" s="2707"/>
      <c r="E215" s="2707"/>
      <c r="F215" s="2707"/>
      <c r="G215" s="2707"/>
      <c r="H215" s="2707"/>
      <c r="I215" s="2707"/>
      <c r="J215" s="3705"/>
      <c r="K215" s="3731"/>
      <c r="L215" s="2707"/>
      <c r="M215" s="3731"/>
      <c r="N215" s="2707"/>
      <c r="O215" s="2707"/>
      <c r="P215" s="3705"/>
      <c r="Q215" s="3731"/>
      <c r="R215" s="2707"/>
      <c r="S215" s="2707"/>
      <c r="T215" s="3705"/>
      <c r="U215" s="3731"/>
      <c r="V215" s="2707"/>
      <c r="W215" s="3705"/>
      <c r="X215" s="3731"/>
      <c r="Y215" s="2707"/>
      <c r="Z215" s="2707"/>
      <c r="AA215" s="3705"/>
      <c r="AB215" s="3733"/>
      <c r="AC215" s="2707"/>
      <c r="AD215" s="2707"/>
      <c r="AE215" s="3731"/>
      <c r="AF215" s="2707"/>
      <c r="AG215" s="3705"/>
      <c r="AH215" s="3731"/>
      <c r="AI215" s="2707"/>
      <c r="AJ215" s="3705"/>
      <c r="AK215" s="3731"/>
      <c r="AL215" s="2707"/>
      <c r="AM215" s="2707"/>
      <c r="AN215" s="2707"/>
      <c r="AO215" s="3705"/>
      <c r="AP215" s="3733"/>
      <c r="AQ215" s="2707"/>
      <c r="AR215" s="2707"/>
      <c r="AS215" s="2707"/>
      <c r="AT215" s="2707"/>
      <c r="AU215" s="3705"/>
      <c r="AV215" s="3739"/>
      <c r="AW215" s="2707"/>
      <c r="AX215" s="2707"/>
      <c r="AY215" s="2707"/>
      <c r="AZ215" s="2707"/>
      <c r="BA215" s="2707"/>
      <c r="BB215" s="2707"/>
      <c r="BC215" s="2707"/>
      <c r="BD215" s="2707"/>
      <c r="BE215" s="2707"/>
      <c r="BF215" s="2707"/>
      <c r="BG215" s="2707"/>
      <c r="BH215" s="2707"/>
      <c r="BI215" s="2707"/>
      <c r="BJ215" s="2707"/>
      <c r="BK215" s="2707"/>
      <c r="BL215" s="3740"/>
    </row>
    <row r="216" spans="1:64">
      <c r="A216" s="162"/>
      <c r="B216" s="3729"/>
      <c r="C216" s="2707"/>
      <c r="D216" s="2707"/>
      <c r="E216" s="2707"/>
      <c r="F216" s="2707"/>
      <c r="G216" s="2707"/>
      <c r="H216" s="2707"/>
      <c r="I216" s="2707"/>
      <c r="J216" s="3703"/>
      <c r="K216" s="3732"/>
      <c r="L216" s="2707"/>
      <c r="M216" s="3732"/>
      <c r="N216" s="2707"/>
      <c r="O216" s="2707"/>
      <c r="P216" s="3703"/>
      <c r="Q216" s="3732"/>
      <c r="R216" s="2707"/>
      <c r="S216" s="2707"/>
      <c r="T216" s="3703"/>
      <c r="U216" s="3732"/>
      <c r="V216" s="2707"/>
      <c r="W216" s="3703"/>
      <c r="X216" s="3732"/>
      <c r="Y216" s="2707"/>
      <c r="Z216" s="2707"/>
      <c r="AA216" s="3703"/>
      <c r="AB216" s="3742"/>
      <c r="AC216" s="2707"/>
      <c r="AD216" s="2707"/>
      <c r="AE216" s="3732"/>
      <c r="AF216" s="2707"/>
      <c r="AG216" s="3703"/>
      <c r="AH216" s="3732"/>
      <c r="AI216" s="2707"/>
      <c r="AJ216" s="3703"/>
      <c r="AK216" s="3732"/>
      <c r="AL216" s="2707"/>
      <c r="AM216" s="2707"/>
      <c r="AN216" s="2707"/>
      <c r="AO216" s="3703"/>
      <c r="AP216" s="3742"/>
      <c r="AQ216" s="2707"/>
      <c r="AR216" s="2707"/>
      <c r="AS216" s="2707"/>
      <c r="AT216" s="2707"/>
      <c r="AU216" s="3703"/>
      <c r="AV216" s="3736"/>
      <c r="AW216" s="2707"/>
      <c r="AX216" s="2707"/>
      <c r="AY216" s="2707"/>
      <c r="AZ216" s="2707"/>
      <c r="BA216" s="2707"/>
      <c r="BB216" s="2707"/>
      <c r="BC216" s="2707"/>
      <c r="BD216" s="2707"/>
      <c r="BE216" s="2707"/>
      <c r="BF216" s="2707"/>
      <c r="BG216" s="2707"/>
      <c r="BH216" s="2707"/>
      <c r="BI216" s="2707"/>
      <c r="BJ216" s="2707"/>
      <c r="BK216" s="2707"/>
      <c r="BL216" s="3737"/>
    </row>
    <row r="217" spans="1:64">
      <c r="A217" s="162"/>
      <c r="B217" s="3730"/>
      <c r="C217" s="2707"/>
      <c r="D217" s="2707"/>
      <c r="E217" s="2707"/>
      <c r="F217" s="2707"/>
      <c r="G217" s="2707"/>
      <c r="H217" s="2707"/>
      <c r="I217" s="2707"/>
      <c r="J217" s="3705"/>
      <c r="K217" s="3731"/>
      <c r="L217" s="2707"/>
      <c r="M217" s="3731"/>
      <c r="N217" s="2707"/>
      <c r="O217" s="2707"/>
      <c r="P217" s="3705"/>
      <c r="Q217" s="3731"/>
      <c r="R217" s="2707"/>
      <c r="S217" s="2707"/>
      <c r="T217" s="3705"/>
      <c r="U217" s="3731"/>
      <c r="V217" s="2707"/>
      <c r="W217" s="3705"/>
      <c r="X217" s="3731"/>
      <c r="Y217" s="2707"/>
      <c r="Z217" s="2707"/>
      <c r="AA217" s="3705"/>
      <c r="AB217" s="3733"/>
      <c r="AC217" s="2707"/>
      <c r="AD217" s="2707"/>
      <c r="AE217" s="3731"/>
      <c r="AF217" s="2707"/>
      <c r="AG217" s="3705"/>
      <c r="AH217" s="3731"/>
      <c r="AI217" s="2707"/>
      <c r="AJ217" s="3705"/>
      <c r="AK217" s="3731"/>
      <c r="AL217" s="2707"/>
      <c r="AM217" s="2707"/>
      <c r="AN217" s="2707"/>
      <c r="AO217" s="3705"/>
      <c r="AP217" s="3733"/>
      <c r="AQ217" s="2707"/>
      <c r="AR217" s="2707"/>
      <c r="AS217" s="2707"/>
      <c r="AT217" s="2707"/>
      <c r="AU217" s="3705"/>
      <c r="AV217" s="3739"/>
      <c r="AW217" s="2707"/>
      <c r="AX217" s="2707"/>
      <c r="AY217" s="2707"/>
      <c r="AZ217" s="2707"/>
      <c r="BA217" s="2707"/>
      <c r="BB217" s="2707"/>
      <c r="BC217" s="2707"/>
      <c r="BD217" s="2707"/>
      <c r="BE217" s="2707"/>
      <c r="BF217" s="2707"/>
      <c r="BG217" s="2707"/>
      <c r="BH217" s="2707"/>
      <c r="BI217" s="2707"/>
      <c r="BJ217" s="2707"/>
      <c r="BK217" s="2707"/>
      <c r="BL217" s="3740"/>
    </row>
    <row r="218" spans="1:64">
      <c r="A218" s="162"/>
      <c r="B218" s="3729"/>
      <c r="C218" s="2707"/>
      <c r="D218" s="2707"/>
      <c r="E218" s="2707"/>
      <c r="F218" s="2707"/>
      <c r="G218" s="2707"/>
      <c r="H218" s="2707"/>
      <c r="I218" s="2707"/>
      <c r="J218" s="3703"/>
      <c r="K218" s="3732"/>
      <c r="L218" s="2707"/>
      <c r="M218" s="3732"/>
      <c r="N218" s="2707"/>
      <c r="O218" s="2707"/>
      <c r="P218" s="3703"/>
      <c r="Q218" s="3732"/>
      <c r="R218" s="2707"/>
      <c r="S218" s="2707"/>
      <c r="T218" s="3703"/>
      <c r="U218" s="3732"/>
      <c r="V218" s="2707"/>
      <c r="W218" s="3703"/>
      <c r="X218" s="3732"/>
      <c r="Y218" s="2707"/>
      <c r="Z218" s="2707"/>
      <c r="AA218" s="3703"/>
      <c r="AB218" s="3742"/>
      <c r="AC218" s="2707"/>
      <c r="AD218" s="2707"/>
      <c r="AE218" s="3732"/>
      <c r="AF218" s="2707"/>
      <c r="AG218" s="3703"/>
      <c r="AH218" s="3732"/>
      <c r="AI218" s="2707"/>
      <c r="AJ218" s="3703"/>
      <c r="AK218" s="3732"/>
      <c r="AL218" s="2707"/>
      <c r="AM218" s="2707"/>
      <c r="AN218" s="2707"/>
      <c r="AO218" s="3703"/>
      <c r="AP218" s="3742"/>
      <c r="AQ218" s="2707"/>
      <c r="AR218" s="2707"/>
      <c r="AS218" s="2707"/>
      <c r="AT218" s="2707"/>
      <c r="AU218" s="3703"/>
      <c r="AV218" s="3736"/>
      <c r="AW218" s="2707"/>
      <c r="AX218" s="2707"/>
      <c r="AY218" s="2707"/>
      <c r="AZ218" s="2707"/>
      <c r="BA218" s="2707"/>
      <c r="BB218" s="2707"/>
      <c r="BC218" s="2707"/>
      <c r="BD218" s="2707"/>
      <c r="BE218" s="2707"/>
      <c r="BF218" s="2707"/>
      <c r="BG218" s="2707"/>
      <c r="BH218" s="2707"/>
      <c r="BI218" s="2707"/>
      <c r="BJ218" s="2707"/>
      <c r="BK218" s="2707"/>
      <c r="BL218" s="3737"/>
    </row>
    <row r="219" spans="1:64">
      <c r="A219" s="162"/>
      <c r="B219" s="3730"/>
      <c r="C219" s="2707"/>
      <c r="D219" s="2707"/>
      <c r="E219" s="2707"/>
      <c r="F219" s="2707"/>
      <c r="G219" s="2707"/>
      <c r="H219" s="2707"/>
      <c r="I219" s="2707"/>
      <c r="J219" s="3705"/>
      <c r="K219" s="3731"/>
      <c r="L219" s="2707"/>
      <c r="M219" s="3731"/>
      <c r="N219" s="2707"/>
      <c r="O219" s="2707"/>
      <c r="P219" s="3705"/>
      <c r="Q219" s="3731"/>
      <c r="R219" s="2707"/>
      <c r="S219" s="2707"/>
      <c r="T219" s="3705"/>
      <c r="U219" s="3731"/>
      <c r="V219" s="2707"/>
      <c r="W219" s="3705"/>
      <c r="X219" s="3731"/>
      <c r="Y219" s="2707"/>
      <c r="Z219" s="2707"/>
      <c r="AA219" s="3705"/>
      <c r="AB219" s="3733"/>
      <c r="AC219" s="2707"/>
      <c r="AD219" s="2707"/>
      <c r="AE219" s="3731"/>
      <c r="AF219" s="2707"/>
      <c r="AG219" s="3705"/>
      <c r="AH219" s="3731"/>
      <c r="AI219" s="2707"/>
      <c r="AJ219" s="3705"/>
      <c r="AK219" s="3731"/>
      <c r="AL219" s="2707"/>
      <c r="AM219" s="2707"/>
      <c r="AN219" s="2707"/>
      <c r="AO219" s="3705"/>
      <c r="AP219" s="3733"/>
      <c r="AQ219" s="2707"/>
      <c r="AR219" s="2707"/>
      <c r="AS219" s="2707"/>
      <c r="AT219" s="2707"/>
      <c r="AU219" s="3705"/>
      <c r="AV219" s="3739"/>
      <c r="AW219" s="2707"/>
      <c r="AX219" s="2707"/>
      <c r="AY219" s="2707"/>
      <c r="AZ219" s="2707"/>
      <c r="BA219" s="2707"/>
      <c r="BB219" s="2707"/>
      <c r="BC219" s="2707"/>
      <c r="BD219" s="2707"/>
      <c r="BE219" s="2707"/>
      <c r="BF219" s="2707"/>
      <c r="BG219" s="2707"/>
      <c r="BH219" s="2707"/>
      <c r="BI219" s="2707"/>
      <c r="BJ219" s="2707"/>
      <c r="BK219" s="2707"/>
      <c r="BL219" s="3740"/>
    </row>
    <row r="220" spans="1:64">
      <c r="A220" s="162"/>
      <c r="B220" s="3729"/>
      <c r="C220" s="2707"/>
      <c r="D220" s="2707"/>
      <c r="E220" s="2707"/>
      <c r="F220" s="2707"/>
      <c r="G220" s="2707"/>
      <c r="H220" s="2707"/>
      <c r="I220" s="2707"/>
      <c r="J220" s="3703"/>
      <c r="K220" s="3732"/>
      <c r="L220" s="2707"/>
      <c r="M220" s="3732"/>
      <c r="N220" s="2707"/>
      <c r="O220" s="2707"/>
      <c r="P220" s="3703"/>
      <c r="Q220" s="3732"/>
      <c r="R220" s="2707"/>
      <c r="S220" s="2707"/>
      <c r="T220" s="3703"/>
      <c r="U220" s="3732"/>
      <c r="V220" s="2707"/>
      <c r="W220" s="3703"/>
      <c r="X220" s="3732"/>
      <c r="Y220" s="2707"/>
      <c r="Z220" s="2707"/>
      <c r="AA220" s="3703"/>
      <c r="AB220" s="3742"/>
      <c r="AC220" s="2707"/>
      <c r="AD220" s="2707"/>
      <c r="AE220" s="3732"/>
      <c r="AF220" s="2707"/>
      <c r="AG220" s="3703"/>
      <c r="AH220" s="3732"/>
      <c r="AI220" s="2707"/>
      <c r="AJ220" s="3703"/>
      <c r="AK220" s="3732"/>
      <c r="AL220" s="2707"/>
      <c r="AM220" s="2707"/>
      <c r="AN220" s="2707"/>
      <c r="AO220" s="3703"/>
      <c r="AP220" s="3742"/>
      <c r="AQ220" s="2707"/>
      <c r="AR220" s="2707"/>
      <c r="AS220" s="2707"/>
      <c r="AT220" s="2707"/>
      <c r="AU220" s="3703"/>
      <c r="AV220" s="3736"/>
      <c r="AW220" s="2707"/>
      <c r="AX220" s="2707"/>
      <c r="AY220" s="2707"/>
      <c r="AZ220" s="2707"/>
      <c r="BA220" s="2707"/>
      <c r="BB220" s="2707"/>
      <c r="BC220" s="2707"/>
      <c r="BD220" s="2707"/>
      <c r="BE220" s="2707"/>
      <c r="BF220" s="2707"/>
      <c r="BG220" s="2707"/>
      <c r="BH220" s="2707"/>
      <c r="BI220" s="2707"/>
      <c r="BJ220" s="2707"/>
      <c r="BK220" s="2707"/>
      <c r="BL220" s="3737"/>
    </row>
    <row r="221" spans="1:64">
      <c r="A221" s="162"/>
      <c r="B221" s="3730"/>
      <c r="C221" s="2707"/>
      <c r="D221" s="2707"/>
      <c r="E221" s="2707"/>
      <c r="F221" s="2707"/>
      <c r="G221" s="2707"/>
      <c r="H221" s="2707"/>
      <c r="I221" s="2707"/>
      <c r="J221" s="3705"/>
      <c r="K221" s="3731"/>
      <c r="L221" s="2707"/>
      <c r="M221" s="3731"/>
      <c r="N221" s="2707"/>
      <c r="O221" s="2707"/>
      <c r="P221" s="3705"/>
      <c r="Q221" s="3731"/>
      <c r="R221" s="2707"/>
      <c r="S221" s="2707"/>
      <c r="T221" s="3705"/>
      <c r="U221" s="3731"/>
      <c r="V221" s="2707"/>
      <c r="W221" s="3705"/>
      <c r="X221" s="3731"/>
      <c r="Y221" s="2707"/>
      <c r="Z221" s="2707"/>
      <c r="AA221" s="3705"/>
      <c r="AB221" s="3733"/>
      <c r="AC221" s="2707"/>
      <c r="AD221" s="2707"/>
      <c r="AE221" s="3731"/>
      <c r="AF221" s="2707"/>
      <c r="AG221" s="3705"/>
      <c r="AH221" s="3731"/>
      <c r="AI221" s="2707"/>
      <c r="AJ221" s="3705"/>
      <c r="AK221" s="3731"/>
      <c r="AL221" s="2707"/>
      <c r="AM221" s="2707"/>
      <c r="AN221" s="2707"/>
      <c r="AO221" s="3705"/>
      <c r="AP221" s="3733"/>
      <c r="AQ221" s="2707"/>
      <c r="AR221" s="2707"/>
      <c r="AS221" s="2707"/>
      <c r="AT221" s="2707"/>
      <c r="AU221" s="3705"/>
      <c r="AV221" s="3739"/>
      <c r="AW221" s="2707"/>
      <c r="AX221" s="2707"/>
      <c r="AY221" s="2707"/>
      <c r="AZ221" s="2707"/>
      <c r="BA221" s="2707"/>
      <c r="BB221" s="2707"/>
      <c r="BC221" s="2707"/>
      <c r="BD221" s="2707"/>
      <c r="BE221" s="2707"/>
      <c r="BF221" s="2707"/>
      <c r="BG221" s="2707"/>
      <c r="BH221" s="2707"/>
      <c r="BI221" s="2707"/>
      <c r="BJ221" s="2707"/>
      <c r="BK221" s="2707"/>
      <c r="BL221" s="3740"/>
    </row>
    <row r="222" spans="1:64">
      <c r="A222" s="162"/>
      <c r="B222" s="3729"/>
      <c r="C222" s="2707"/>
      <c r="D222" s="2707"/>
      <c r="E222" s="2707"/>
      <c r="F222" s="2707"/>
      <c r="G222" s="2707"/>
      <c r="H222" s="2707"/>
      <c r="I222" s="2707"/>
      <c r="J222" s="3703"/>
      <c r="K222" s="3732"/>
      <c r="L222" s="2707"/>
      <c r="M222" s="3732"/>
      <c r="N222" s="2707"/>
      <c r="O222" s="2707"/>
      <c r="P222" s="3703"/>
      <c r="Q222" s="3732"/>
      <c r="R222" s="2707"/>
      <c r="S222" s="2707"/>
      <c r="T222" s="3703"/>
      <c r="U222" s="3732"/>
      <c r="V222" s="2707"/>
      <c r="W222" s="3703"/>
      <c r="X222" s="3732"/>
      <c r="Y222" s="2707"/>
      <c r="Z222" s="2707"/>
      <c r="AA222" s="3703"/>
      <c r="AB222" s="3742"/>
      <c r="AC222" s="2707"/>
      <c r="AD222" s="2707"/>
      <c r="AE222" s="3732"/>
      <c r="AF222" s="2707"/>
      <c r="AG222" s="3703"/>
      <c r="AH222" s="3732"/>
      <c r="AI222" s="2707"/>
      <c r="AJ222" s="3703"/>
      <c r="AK222" s="3732"/>
      <c r="AL222" s="2707"/>
      <c r="AM222" s="2707"/>
      <c r="AN222" s="2707"/>
      <c r="AO222" s="3703"/>
      <c r="AP222" s="3742"/>
      <c r="AQ222" s="2707"/>
      <c r="AR222" s="2707"/>
      <c r="AS222" s="2707"/>
      <c r="AT222" s="2707"/>
      <c r="AU222" s="3703"/>
      <c r="AV222" s="3736"/>
      <c r="AW222" s="2707"/>
      <c r="AX222" s="2707"/>
      <c r="AY222" s="2707"/>
      <c r="AZ222" s="2707"/>
      <c r="BA222" s="2707"/>
      <c r="BB222" s="2707"/>
      <c r="BC222" s="2707"/>
      <c r="BD222" s="2707"/>
      <c r="BE222" s="2707"/>
      <c r="BF222" s="2707"/>
      <c r="BG222" s="2707"/>
      <c r="BH222" s="2707"/>
      <c r="BI222" s="2707"/>
      <c r="BJ222" s="2707"/>
      <c r="BK222" s="2707"/>
      <c r="BL222" s="3737"/>
    </row>
    <row r="223" spans="1:64">
      <c r="A223" s="162"/>
      <c r="B223" s="3730"/>
      <c r="C223" s="2707"/>
      <c r="D223" s="2707"/>
      <c r="E223" s="2707"/>
      <c r="F223" s="2707"/>
      <c r="G223" s="2707"/>
      <c r="H223" s="2707"/>
      <c r="I223" s="2707"/>
      <c r="J223" s="3705"/>
      <c r="K223" s="3731"/>
      <c r="L223" s="2707"/>
      <c r="M223" s="3731"/>
      <c r="N223" s="2707"/>
      <c r="O223" s="2707"/>
      <c r="P223" s="3705"/>
      <c r="Q223" s="3731"/>
      <c r="R223" s="2707"/>
      <c r="S223" s="2707"/>
      <c r="T223" s="3705"/>
      <c r="U223" s="3731"/>
      <c r="V223" s="2707"/>
      <c r="W223" s="3705"/>
      <c r="X223" s="3731"/>
      <c r="Y223" s="2707"/>
      <c r="Z223" s="2707"/>
      <c r="AA223" s="3705"/>
      <c r="AB223" s="3733"/>
      <c r="AC223" s="2707"/>
      <c r="AD223" s="2707"/>
      <c r="AE223" s="3731"/>
      <c r="AF223" s="2707"/>
      <c r="AG223" s="3705"/>
      <c r="AH223" s="3731"/>
      <c r="AI223" s="2707"/>
      <c r="AJ223" s="3705"/>
      <c r="AK223" s="3731"/>
      <c r="AL223" s="2707"/>
      <c r="AM223" s="2707"/>
      <c r="AN223" s="2707"/>
      <c r="AO223" s="3705"/>
      <c r="AP223" s="3733"/>
      <c r="AQ223" s="2707"/>
      <c r="AR223" s="2707"/>
      <c r="AS223" s="2707"/>
      <c r="AT223" s="2707"/>
      <c r="AU223" s="3705"/>
      <c r="AV223" s="3739"/>
      <c r="AW223" s="2707"/>
      <c r="AX223" s="2707"/>
      <c r="AY223" s="2707"/>
      <c r="AZ223" s="2707"/>
      <c r="BA223" s="2707"/>
      <c r="BB223" s="2707"/>
      <c r="BC223" s="2707"/>
      <c r="BD223" s="2707"/>
      <c r="BE223" s="2707"/>
      <c r="BF223" s="2707"/>
      <c r="BG223" s="2707"/>
      <c r="BH223" s="2707"/>
      <c r="BI223" s="2707"/>
      <c r="BJ223" s="2707"/>
      <c r="BK223" s="2707"/>
      <c r="BL223" s="3740"/>
    </row>
    <row r="224" spans="1:64">
      <c r="A224" s="162"/>
      <c r="B224" s="3729"/>
      <c r="C224" s="2707"/>
      <c r="D224" s="2707"/>
      <c r="E224" s="2707"/>
      <c r="F224" s="2707"/>
      <c r="G224" s="2707"/>
      <c r="H224" s="2707"/>
      <c r="I224" s="2707"/>
      <c r="J224" s="3703"/>
      <c r="K224" s="3732"/>
      <c r="L224" s="2707"/>
      <c r="M224" s="3732"/>
      <c r="N224" s="2707"/>
      <c r="O224" s="2707"/>
      <c r="P224" s="3703"/>
      <c r="Q224" s="3732"/>
      <c r="R224" s="2707"/>
      <c r="S224" s="2707"/>
      <c r="T224" s="3703"/>
      <c r="U224" s="3732"/>
      <c r="V224" s="2707"/>
      <c r="W224" s="3703"/>
      <c r="X224" s="3732"/>
      <c r="Y224" s="2707"/>
      <c r="Z224" s="2707"/>
      <c r="AA224" s="3703"/>
      <c r="AB224" s="3742"/>
      <c r="AC224" s="2707"/>
      <c r="AD224" s="2707"/>
      <c r="AE224" s="3732"/>
      <c r="AF224" s="2707"/>
      <c r="AG224" s="3703"/>
      <c r="AH224" s="3732"/>
      <c r="AI224" s="2707"/>
      <c r="AJ224" s="3703"/>
      <c r="AK224" s="3732"/>
      <c r="AL224" s="2707"/>
      <c r="AM224" s="2707"/>
      <c r="AN224" s="2707"/>
      <c r="AO224" s="3703"/>
      <c r="AP224" s="3742"/>
      <c r="AQ224" s="2707"/>
      <c r="AR224" s="2707"/>
      <c r="AS224" s="2707"/>
      <c r="AT224" s="2707"/>
      <c r="AU224" s="3703"/>
      <c r="AV224" s="3736"/>
      <c r="AW224" s="2707"/>
      <c r="AX224" s="2707"/>
      <c r="AY224" s="2707"/>
      <c r="AZ224" s="2707"/>
      <c r="BA224" s="2707"/>
      <c r="BB224" s="2707"/>
      <c r="BC224" s="2707"/>
      <c r="BD224" s="2707"/>
      <c r="BE224" s="2707"/>
      <c r="BF224" s="2707"/>
      <c r="BG224" s="2707"/>
      <c r="BH224" s="2707"/>
      <c r="BI224" s="2707"/>
      <c r="BJ224" s="2707"/>
      <c r="BK224" s="2707"/>
      <c r="BL224" s="3737"/>
    </row>
    <row r="225" spans="1:64">
      <c r="A225" s="162"/>
      <c r="B225" s="3730"/>
      <c r="C225" s="2707"/>
      <c r="D225" s="2707"/>
      <c r="E225" s="2707"/>
      <c r="F225" s="2707"/>
      <c r="G225" s="2707"/>
      <c r="H225" s="2707"/>
      <c r="I225" s="2707"/>
      <c r="J225" s="3705"/>
      <c r="K225" s="3731"/>
      <c r="L225" s="2707"/>
      <c r="M225" s="3731"/>
      <c r="N225" s="2707"/>
      <c r="O225" s="2707"/>
      <c r="P225" s="3705"/>
      <c r="Q225" s="3731"/>
      <c r="R225" s="2707"/>
      <c r="S225" s="2707"/>
      <c r="T225" s="3705"/>
      <c r="U225" s="3731"/>
      <c r="V225" s="2707"/>
      <c r="W225" s="3705"/>
      <c r="X225" s="3731"/>
      <c r="Y225" s="2707"/>
      <c r="Z225" s="2707"/>
      <c r="AA225" s="3705"/>
      <c r="AB225" s="3733"/>
      <c r="AC225" s="2707"/>
      <c r="AD225" s="2707"/>
      <c r="AE225" s="3731"/>
      <c r="AF225" s="2707"/>
      <c r="AG225" s="3705"/>
      <c r="AH225" s="3731"/>
      <c r="AI225" s="2707"/>
      <c r="AJ225" s="3705"/>
      <c r="AK225" s="3731"/>
      <c r="AL225" s="2707"/>
      <c r="AM225" s="2707"/>
      <c r="AN225" s="2707"/>
      <c r="AO225" s="3705"/>
      <c r="AP225" s="3733"/>
      <c r="AQ225" s="2707"/>
      <c r="AR225" s="2707"/>
      <c r="AS225" s="2707"/>
      <c r="AT225" s="2707"/>
      <c r="AU225" s="3705"/>
      <c r="AV225" s="3739"/>
      <c r="AW225" s="2707"/>
      <c r="AX225" s="2707"/>
      <c r="AY225" s="2707"/>
      <c r="AZ225" s="2707"/>
      <c r="BA225" s="2707"/>
      <c r="BB225" s="2707"/>
      <c r="BC225" s="2707"/>
      <c r="BD225" s="2707"/>
      <c r="BE225" s="2707"/>
      <c r="BF225" s="2707"/>
      <c r="BG225" s="2707"/>
      <c r="BH225" s="2707"/>
      <c r="BI225" s="2707"/>
      <c r="BJ225" s="2707"/>
      <c r="BK225" s="2707"/>
      <c r="BL225" s="3740"/>
    </row>
    <row r="226" spans="1:64">
      <c r="A226" s="162"/>
      <c r="B226" s="3729"/>
      <c r="C226" s="2707"/>
      <c r="D226" s="2707"/>
      <c r="E226" s="2707"/>
      <c r="F226" s="2707"/>
      <c r="G226" s="2707"/>
      <c r="H226" s="2707"/>
      <c r="I226" s="2707"/>
      <c r="J226" s="3703"/>
      <c r="K226" s="3732"/>
      <c r="L226" s="2707"/>
      <c r="M226" s="3732"/>
      <c r="N226" s="2707"/>
      <c r="O226" s="2707"/>
      <c r="P226" s="3703"/>
      <c r="Q226" s="3732"/>
      <c r="R226" s="2707"/>
      <c r="S226" s="2707"/>
      <c r="T226" s="3703"/>
      <c r="U226" s="3732"/>
      <c r="V226" s="2707"/>
      <c r="W226" s="3703"/>
      <c r="X226" s="3732"/>
      <c r="Y226" s="2707"/>
      <c r="Z226" s="2707"/>
      <c r="AA226" s="3703"/>
      <c r="AB226" s="3742"/>
      <c r="AC226" s="2707"/>
      <c r="AD226" s="2707"/>
      <c r="AE226" s="3732"/>
      <c r="AF226" s="2707"/>
      <c r="AG226" s="3703"/>
      <c r="AH226" s="3732"/>
      <c r="AI226" s="2707"/>
      <c r="AJ226" s="3703"/>
      <c r="AK226" s="3732"/>
      <c r="AL226" s="2707"/>
      <c r="AM226" s="2707"/>
      <c r="AN226" s="2707"/>
      <c r="AO226" s="3703"/>
      <c r="AP226" s="3742"/>
      <c r="AQ226" s="2707"/>
      <c r="AR226" s="2707"/>
      <c r="AS226" s="2707"/>
      <c r="AT226" s="2707"/>
      <c r="AU226" s="3703"/>
      <c r="AV226" s="3736"/>
      <c r="AW226" s="2707"/>
      <c r="AX226" s="2707"/>
      <c r="AY226" s="2707"/>
      <c r="AZ226" s="2707"/>
      <c r="BA226" s="2707"/>
      <c r="BB226" s="2707"/>
      <c r="BC226" s="2707"/>
      <c r="BD226" s="2707"/>
      <c r="BE226" s="2707"/>
      <c r="BF226" s="2707"/>
      <c r="BG226" s="2707"/>
      <c r="BH226" s="2707"/>
      <c r="BI226" s="2707"/>
      <c r="BJ226" s="2707"/>
      <c r="BK226" s="2707"/>
      <c r="BL226" s="3737"/>
    </row>
    <row r="227" spans="1:64">
      <c r="A227" s="162"/>
      <c r="B227" s="3730"/>
      <c r="C227" s="2707"/>
      <c r="D227" s="2707"/>
      <c r="E227" s="2707"/>
      <c r="F227" s="2707"/>
      <c r="G227" s="2707"/>
      <c r="H227" s="2707"/>
      <c r="I227" s="2707"/>
      <c r="J227" s="3705"/>
      <c r="K227" s="3731"/>
      <c r="L227" s="2707"/>
      <c r="M227" s="3731"/>
      <c r="N227" s="2707"/>
      <c r="O227" s="2707"/>
      <c r="P227" s="3705"/>
      <c r="Q227" s="3731"/>
      <c r="R227" s="2707"/>
      <c r="S227" s="2707"/>
      <c r="T227" s="3705"/>
      <c r="U227" s="3731"/>
      <c r="V227" s="2707"/>
      <c r="W227" s="3705"/>
      <c r="X227" s="3731"/>
      <c r="Y227" s="2707"/>
      <c r="Z227" s="2707"/>
      <c r="AA227" s="3705"/>
      <c r="AB227" s="3733"/>
      <c r="AC227" s="2707"/>
      <c r="AD227" s="2707"/>
      <c r="AE227" s="3731"/>
      <c r="AF227" s="2707"/>
      <c r="AG227" s="3705"/>
      <c r="AH227" s="3731"/>
      <c r="AI227" s="2707"/>
      <c r="AJ227" s="3705"/>
      <c r="AK227" s="3731"/>
      <c r="AL227" s="2707"/>
      <c r="AM227" s="2707"/>
      <c r="AN227" s="2707"/>
      <c r="AO227" s="3705"/>
      <c r="AP227" s="3733"/>
      <c r="AQ227" s="2707"/>
      <c r="AR227" s="2707"/>
      <c r="AS227" s="2707"/>
      <c r="AT227" s="2707"/>
      <c r="AU227" s="3705"/>
      <c r="AV227" s="3739"/>
      <c r="AW227" s="2707"/>
      <c r="AX227" s="2707"/>
      <c r="AY227" s="2707"/>
      <c r="AZ227" s="2707"/>
      <c r="BA227" s="2707"/>
      <c r="BB227" s="2707"/>
      <c r="BC227" s="2707"/>
      <c r="BD227" s="2707"/>
      <c r="BE227" s="2707"/>
      <c r="BF227" s="2707"/>
      <c r="BG227" s="2707"/>
      <c r="BH227" s="2707"/>
      <c r="BI227" s="2707"/>
      <c r="BJ227" s="2707"/>
      <c r="BK227" s="2707"/>
      <c r="BL227" s="3740"/>
    </row>
    <row r="228" spans="1:64">
      <c r="A228" s="162"/>
      <c r="B228" s="3729"/>
      <c r="C228" s="2707"/>
      <c r="D228" s="2707"/>
      <c r="E228" s="2707"/>
      <c r="F228" s="2707"/>
      <c r="G228" s="2707"/>
      <c r="H228" s="2707"/>
      <c r="I228" s="2707"/>
      <c r="J228" s="3703"/>
      <c r="K228" s="3732"/>
      <c r="L228" s="2707"/>
      <c r="M228" s="3732"/>
      <c r="N228" s="2707"/>
      <c r="O228" s="2707"/>
      <c r="P228" s="3703"/>
      <c r="Q228" s="3732"/>
      <c r="R228" s="2707"/>
      <c r="S228" s="2707"/>
      <c r="T228" s="3703"/>
      <c r="U228" s="3732"/>
      <c r="V228" s="2707"/>
      <c r="W228" s="3703"/>
      <c r="X228" s="3732"/>
      <c r="Y228" s="2707"/>
      <c r="Z228" s="2707"/>
      <c r="AA228" s="3703"/>
      <c r="AB228" s="3742"/>
      <c r="AC228" s="2707"/>
      <c r="AD228" s="2707"/>
      <c r="AE228" s="3732"/>
      <c r="AF228" s="2707"/>
      <c r="AG228" s="3703"/>
      <c r="AH228" s="3732"/>
      <c r="AI228" s="2707"/>
      <c r="AJ228" s="3703"/>
      <c r="AK228" s="3732"/>
      <c r="AL228" s="2707"/>
      <c r="AM228" s="2707"/>
      <c r="AN228" s="2707"/>
      <c r="AO228" s="3703"/>
      <c r="AP228" s="3742"/>
      <c r="AQ228" s="2707"/>
      <c r="AR228" s="2707"/>
      <c r="AS228" s="2707"/>
      <c r="AT228" s="2707"/>
      <c r="AU228" s="3703"/>
      <c r="AV228" s="3736"/>
      <c r="AW228" s="2707"/>
      <c r="AX228" s="2707"/>
      <c r="AY228" s="2707"/>
      <c r="AZ228" s="2707"/>
      <c r="BA228" s="2707"/>
      <c r="BB228" s="2707"/>
      <c r="BC228" s="2707"/>
      <c r="BD228" s="2707"/>
      <c r="BE228" s="2707"/>
      <c r="BF228" s="2707"/>
      <c r="BG228" s="2707"/>
      <c r="BH228" s="2707"/>
      <c r="BI228" s="2707"/>
      <c r="BJ228" s="2707"/>
      <c r="BK228" s="2707"/>
      <c r="BL228" s="3737"/>
    </row>
    <row r="229" spans="1:64">
      <c r="A229" s="162"/>
      <c r="B229" s="3730"/>
      <c r="C229" s="2707"/>
      <c r="D229" s="2707"/>
      <c r="E229" s="2707"/>
      <c r="F229" s="2707"/>
      <c r="G229" s="2707"/>
      <c r="H229" s="2707"/>
      <c r="I229" s="2707"/>
      <c r="J229" s="3705"/>
      <c r="K229" s="3731"/>
      <c r="L229" s="2707"/>
      <c r="M229" s="3731"/>
      <c r="N229" s="2707"/>
      <c r="O229" s="2707"/>
      <c r="P229" s="3705"/>
      <c r="Q229" s="3731"/>
      <c r="R229" s="2707"/>
      <c r="S229" s="2707"/>
      <c r="T229" s="3705"/>
      <c r="U229" s="3731"/>
      <c r="V229" s="2707"/>
      <c r="W229" s="3705"/>
      <c r="X229" s="3731"/>
      <c r="Y229" s="2707"/>
      <c r="Z229" s="2707"/>
      <c r="AA229" s="3705"/>
      <c r="AB229" s="3733"/>
      <c r="AC229" s="2707"/>
      <c r="AD229" s="2707"/>
      <c r="AE229" s="3731"/>
      <c r="AF229" s="2707"/>
      <c r="AG229" s="3705"/>
      <c r="AH229" s="3731"/>
      <c r="AI229" s="2707"/>
      <c r="AJ229" s="3705"/>
      <c r="AK229" s="3731"/>
      <c r="AL229" s="2707"/>
      <c r="AM229" s="2707"/>
      <c r="AN229" s="2707"/>
      <c r="AO229" s="3705"/>
      <c r="AP229" s="3733"/>
      <c r="AQ229" s="2707"/>
      <c r="AR229" s="2707"/>
      <c r="AS229" s="2707"/>
      <c r="AT229" s="2707"/>
      <c r="AU229" s="3705"/>
      <c r="AV229" s="3739"/>
      <c r="AW229" s="2707"/>
      <c r="AX229" s="2707"/>
      <c r="AY229" s="2707"/>
      <c r="AZ229" s="2707"/>
      <c r="BA229" s="2707"/>
      <c r="BB229" s="2707"/>
      <c r="BC229" s="2707"/>
      <c r="BD229" s="2707"/>
      <c r="BE229" s="2707"/>
      <c r="BF229" s="2707"/>
      <c r="BG229" s="2707"/>
      <c r="BH229" s="2707"/>
      <c r="BI229" s="2707"/>
      <c r="BJ229" s="2707"/>
      <c r="BK229" s="2707"/>
      <c r="BL229" s="3740"/>
    </row>
    <row r="230" spans="1:64">
      <c r="A230" s="162"/>
      <c r="B230" s="3729"/>
      <c r="C230" s="2707"/>
      <c r="D230" s="2707"/>
      <c r="E230" s="2707"/>
      <c r="F230" s="2707"/>
      <c r="G230" s="2707"/>
      <c r="H230" s="2707"/>
      <c r="I230" s="2707"/>
      <c r="J230" s="3703"/>
      <c r="K230" s="3732"/>
      <c r="L230" s="2707"/>
      <c r="M230" s="3732"/>
      <c r="N230" s="2707"/>
      <c r="O230" s="2707"/>
      <c r="P230" s="3703"/>
      <c r="Q230" s="3732"/>
      <c r="R230" s="2707"/>
      <c r="S230" s="2707"/>
      <c r="T230" s="3703"/>
      <c r="U230" s="3732"/>
      <c r="V230" s="2707"/>
      <c r="W230" s="3703"/>
      <c r="X230" s="3732"/>
      <c r="Y230" s="2707"/>
      <c r="Z230" s="2707"/>
      <c r="AA230" s="3703"/>
      <c r="AB230" s="3742"/>
      <c r="AC230" s="2707"/>
      <c r="AD230" s="2707"/>
      <c r="AE230" s="3732"/>
      <c r="AF230" s="2707"/>
      <c r="AG230" s="3703"/>
      <c r="AH230" s="3732"/>
      <c r="AI230" s="2707"/>
      <c r="AJ230" s="3703"/>
      <c r="AK230" s="3732"/>
      <c r="AL230" s="2707"/>
      <c r="AM230" s="2707"/>
      <c r="AN230" s="2707"/>
      <c r="AO230" s="3703"/>
      <c r="AP230" s="3742"/>
      <c r="AQ230" s="2707"/>
      <c r="AR230" s="2707"/>
      <c r="AS230" s="2707"/>
      <c r="AT230" s="2707"/>
      <c r="AU230" s="3703"/>
      <c r="AV230" s="3736"/>
      <c r="AW230" s="2707"/>
      <c r="AX230" s="2707"/>
      <c r="AY230" s="2707"/>
      <c r="AZ230" s="2707"/>
      <c r="BA230" s="2707"/>
      <c r="BB230" s="2707"/>
      <c r="BC230" s="2707"/>
      <c r="BD230" s="2707"/>
      <c r="BE230" s="2707"/>
      <c r="BF230" s="2707"/>
      <c r="BG230" s="2707"/>
      <c r="BH230" s="2707"/>
      <c r="BI230" s="2707"/>
      <c r="BJ230" s="2707"/>
      <c r="BK230" s="2707"/>
      <c r="BL230" s="3737"/>
    </row>
    <row r="231" spans="1:64">
      <c r="A231" s="162"/>
      <c r="B231" s="3730"/>
      <c r="C231" s="2707"/>
      <c r="D231" s="2707"/>
      <c r="E231" s="2707"/>
      <c r="F231" s="2707"/>
      <c r="G231" s="2707"/>
      <c r="H231" s="2707"/>
      <c r="I231" s="2707"/>
      <c r="J231" s="3705"/>
      <c r="K231" s="3731"/>
      <c r="L231" s="2707"/>
      <c r="M231" s="3731"/>
      <c r="N231" s="2707"/>
      <c r="O231" s="2707"/>
      <c r="P231" s="3705"/>
      <c r="Q231" s="3731"/>
      <c r="R231" s="2707"/>
      <c r="S231" s="2707"/>
      <c r="T231" s="3705"/>
      <c r="U231" s="3731"/>
      <c r="V231" s="2707"/>
      <c r="W231" s="3705"/>
      <c r="X231" s="3731"/>
      <c r="Y231" s="2707"/>
      <c r="Z231" s="2707"/>
      <c r="AA231" s="3705"/>
      <c r="AB231" s="3733"/>
      <c r="AC231" s="2707"/>
      <c r="AD231" s="2707"/>
      <c r="AE231" s="3731"/>
      <c r="AF231" s="2707"/>
      <c r="AG231" s="3705"/>
      <c r="AH231" s="3731"/>
      <c r="AI231" s="2707"/>
      <c r="AJ231" s="3705"/>
      <c r="AK231" s="3731"/>
      <c r="AL231" s="2707"/>
      <c r="AM231" s="2707"/>
      <c r="AN231" s="2707"/>
      <c r="AO231" s="3705"/>
      <c r="AP231" s="3733"/>
      <c r="AQ231" s="2707"/>
      <c r="AR231" s="2707"/>
      <c r="AS231" s="2707"/>
      <c r="AT231" s="2707"/>
      <c r="AU231" s="3705"/>
      <c r="AV231" s="3739"/>
      <c r="AW231" s="2707"/>
      <c r="AX231" s="2707"/>
      <c r="AY231" s="2707"/>
      <c r="AZ231" s="2707"/>
      <c r="BA231" s="2707"/>
      <c r="BB231" s="2707"/>
      <c r="BC231" s="2707"/>
      <c r="BD231" s="2707"/>
      <c r="BE231" s="2707"/>
      <c r="BF231" s="2707"/>
      <c r="BG231" s="2707"/>
      <c r="BH231" s="2707"/>
      <c r="BI231" s="2707"/>
      <c r="BJ231" s="2707"/>
      <c r="BK231" s="2707"/>
      <c r="BL231" s="3740"/>
    </row>
    <row r="232" spans="1:64">
      <c r="A232" s="162"/>
      <c r="B232" s="3729"/>
      <c r="C232" s="2707"/>
      <c r="D232" s="2707"/>
      <c r="E232" s="2707"/>
      <c r="F232" s="2707"/>
      <c r="G232" s="2707"/>
      <c r="H232" s="2707"/>
      <c r="I232" s="2707"/>
      <c r="J232" s="3703"/>
      <c r="K232" s="3732"/>
      <c r="L232" s="2707"/>
      <c r="M232" s="3732"/>
      <c r="N232" s="2707"/>
      <c r="O232" s="2707"/>
      <c r="P232" s="3703"/>
      <c r="Q232" s="3732"/>
      <c r="R232" s="2707"/>
      <c r="S232" s="2707"/>
      <c r="T232" s="3703"/>
      <c r="U232" s="3732"/>
      <c r="V232" s="2707"/>
      <c r="W232" s="3703"/>
      <c r="X232" s="3732"/>
      <c r="Y232" s="2707"/>
      <c r="Z232" s="2707"/>
      <c r="AA232" s="3703"/>
      <c r="AB232" s="3742"/>
      <c r="AC232" s="2707"/>
      <c r="AD232" s="2707"/>
      <c r="AE232" s="3732"/>
      <c r="AF232" s="2707"/>
      <c r="AG232" s="3703"/>
      <c r="AH232" s="3732"/>
      <c r="AI232" s="2707"/>
      <c r="AJ232" s="3703"/>
      <c r="AK232" s="3732"/>
      <c r="AL232" s="2707"/>
      <c r="AM232" s="2707"/>
      <c r="AN232" s="2707"/>
      <c r="AO232" s="3703"/>
      <c r="AP232" s="3742"/>
      <c r="AQ232" s="2707"/>
      <c r="AR232" s="2707"/>
      <c r="AS232" s="2707"/>
      <c r="AT232" s="2707"/>
      <c r="AU232" s="3703"/>
      <c r="AV232" s="3736"/>
      <c r="AW232" s="2707"/>
      <c r="AX232" s="2707"/>
      <c r="AY232" s="2707"/>
      <c r="AZ232" s="2707"/>
      <c r="BA232" s="2707"/>
      <c r="BB232" s="2707"/>
      <c r="BC232" s="2707"/>
      <c r="BD232" s="2707"/>
      <c r="BE232" s="2707"/>
      <c r="BF232" s="2707"/>
      <c r="BG232" s="2707"/>
      <c r="BH232" s="2707"/>
      <c r="BI232" s="2707"/>
      <c r="BJ232" s="2707"/>
      <c r="BK232" s="2707"/>
      <c r="BL232" s="3737"/>
    </row>
    <row r="233" spans="1:64">
      <c r="A233" s="162"/>
      <c r="B233" s="3730"/>
      <c r="C233" s="2707"/>
      <c r="D233" s="2707"/>
      <c r="E233" s="2707"/>
      <c r="F233" s="2707"/>
      <c r="G233" s="2707"/>
      <c r="H233" s="2707"/>
      <c r="I233" s="2707"/>
      <c r="J233" s="3705"/>
      <c r="K233" s="3731"/>
      <c r="L233" s="2707"/>
      <c r="M233" s="3731"/>
      <c r="N233" s="2707"/>
      <c r="O233" s="2707"/>
      <c r="P233" s="3705"/>
      <c r="Q233" s="3731"/>
      <c r="R233" s="2707"/>
      <c r="S233" s="2707"/>
      <c r="T233" s="3705"/>
      <c r="U233" s="3731"/>
      <c r="V233" s="2707"/>
      <c r="W233" s="3705"/>
      <c r="X233" s="3731"/>
      <c r="Y233" s="2707"/>
      <c r="Z233" s="2707"/>
      <c r="AA233" s="3705"/>
      <c r="AB233" s="3733"/>
      <c r="AC233" s="2707"/>
      <c r="AD233" s="2707"/>
      <c r="AE233" s="3731"/>
      <c r="AF233" s="2707"/>
      <c r="AG233" s="3705"/>
      <c r="AH233" s="3731"/>
      <c r="AI233" s="2707"/>
      <c r="AJ233" s="3705"/>
      <c r="AK233" s="3731"/>
      <c r="AL233" s="2707"/>
      <c r="AM233" s="2707"/>
      <c r="AN233" s="2707"/>
      <c r="AO233" s="3705"/>
      <c r="AP233" s="3733"/>
      <c r="AQ233" s="2707"/>
      <c r="AR233" s="2707"/>
      <c r="AS233" s="2707"/>
      <c r="AT233" s="2707"/>
      <c r="AU233" s="3705"/>
      <c r="AV233" s="3739"/>
      <c r="AW233" s="2707"/>
      <c r="AX233" s="2707"/>
      <c r="AY233" s="2707"/>
      <c r="AZ233" s="2707"/>
      <c r="BA233" s="2707"/>
      <c r="BB233" s="2707"/>
      <c r="BC233" s="2707"/>
      <c r="BD233" s="2707"/>
      <c r="BE233" s="2707"/>
      <c r="BF233" s="2707"/>
      <c r="BG233" s="2707"/>
      <c r="BH233" s="2707"/>
      <c r="BI233" s="2707"/>
      <c r="BJ233" s="2707"/>
      <c r="BK233" s="2707"/>
      <c r="BL233" s="3740"/>
    </row>
    <row r="234" spans="1:64">
      <c r="A234" s="162"/>
      <c r="B234" s="3721"/>
      <c r="C234" s="2707"/>
      <c r="D234" s="2707"/>
      <c r="E234" s="2707"/>
      <c r="F234" s="2707"/>
      <c r="G234" s="2707"/>
      <c r="H234" s="2707"/>
      <c r="I234" s="2707"/>
      <c r="J234" s="3703"/>
      <c r="K234" s="3728"/>
      <c r="L234" s="2707"/>
      <c r="M234" s="3728"/>
      <c r="N234" s="2707"/>
      <c r="O234" s="2707"/>
      <c r="P234" s="3703"/>
      <c r="Q234" s="3728"/>
      <c r="R234" s="2707"/>
      <c r="S234" s="2707"/>
      <c r="T234" s="3703"/>
      <c r="U234" s="3728"/>
      <c r="V234" s="2707"/>
      <c r="W234" s="3703"/>
      <c r="X234" s="3728"/>
      <c r="Y234" s="2707"/>
      <c r="Z234" s="2707"/>
      <c r="AA234" s="3703"/>
      <c r="AB234" s="3744"/>
      <c r="AC234" s="2707"/>
      <c r="AD234" s="2707"/>
      <c r="AE234" s="3728"/>
      <c r="AF234" s="2707"/>
      <c r="AG234" s="3703"/>
      <c r="AH234" s="3728"/>
      <c r="AI234" s="2707"/>
      <c r="AJ234" s="3703"/>
      <c r="AK234" s="3728"/>
      <c r="AL234" s="2707"/>
      <c r="AM234" s="2707"/>
      <c r="AN234" s="2707"/>
      <c r="AO234" s="3703"/>
      <c r="AP234" s="3744"/>
      <c r="AQ234" s="2707"/>
      <c r="AR234" s="2707"/>
      <c r="AS234" s="2707"/>
      <c r="AT234" s="2707"/>
      <c r="AU234" s="3703"/>
      <c r="AV234" s="3745"/>
      <c r="AW234" s="2707"/>
      <c r="AX234" s="2707"/>
      <c r="AY234" s="2707"/>
      <c r="AZ234" s="2707"/>
      <c r="BA234" s="2707"/>
      <c r="BB234" s="2707"/>
      <c r="BC234" s="2707"/>
      <c r="BD234" s="2707"/>
      <c r="BE234" s="2707"/>
      <c r="BF234" s="2707"/>
      <c r="BG234" s="2707"/>
      <c r="BH234" s="2707"/>
      <c r="BI234" s="2707"/>
      <c r="BJ234" s="2707"/>
      <c r="BK234" s="2707"/>
      <c r="BL234" s="3737"/>
    </row>
    <row r="235" spans="1:64">
      <c r="A235" s="162"/>
      <c r="B235" s="3720"/>
      <c r="C235" s="2707"/>
      <c r="D235" s="2707"/>
      <c r="E235" s="2707"/>
      <c r="F235" s="2707"/>
      <c r="G235" s="2707"/>
      <c r="H235" s="2707"/>
      <c r="I235" s="2707"/>
      <c r="J235" s="3705"/>
      <c r="K235" s="3722"/>
      <c r="L235" s="2707"/>
      <c r="M235" s="3722"/>
      <c r="N235" s="2707"/>
      <c r="O235" s="2707"/>
      <c r="P235" s="3705"/>
      <c r="Q235" s="3722"/>
      <c r="R235" s="2707"/>
      <c r="S235" s="2707"/>
      <c r="T235" s="3705"/>
      <c r="U235" s="3722"/>
      <c r="V235" s="2707"/>
      <c r="W235" s="3705"/>
      <c r="X235" s="3722"/>
      <c r="Y235" s="2707"/>
      <c r="Z235" s="2707"/>
      <c r="AA235" s="3705"/>
      <c r="AB235" s="3735"/>
      <c r="AC235" s="2707"/>
      <c r="AD235" s="2707"/>
      <c r="AE235" s="3722"/>
      <c r="AF235" s="2707"/>
      <c r="AG235" s="3705"/>
      <c r="AH235" s="3722"/>
      <c r="AI235" s="2707"/>
      <c r="AJ235" s="3705"/>
      <c r="AK235" s="3722"/>
      <c r="AL235" s="2707"/>
      <c r="AM235" s="2707"/>
      <c r="AN235" s="2707"/>
      <c r="AO235" s="3705"/>
      <c r="AP235" s="3735"/>
      <c r="AQ235" s="2707"/>
      <c r="AR235" s="2707"/>
      <c r="AS235" s="2707"/>
      <c r="AT235" s="2707"/>
      <c r="AU235" s="3705"/>
      <c r="AV235" s="3746"/>
      <c r="AW235" s="2707"/>
      <c r="AX235" s="2707"/>
      <c r="AY235" s="2707"/>
      <c r="AZ235" s="2707"/>
      <c r="BA235" s="2707"/>
      <c r="BB235" s="2707"/>
      <c r="BC235" s="2707"/>
      <c r="BD235" s="2707"/>
      <c r="BE235" s="2707"/>
      <c r="BF235" s="2707"/>
      <c r="BG235" s="2707"/>
      <c r="BH235" s="2707"/>
      <c r="BI235" s="2707"/>
      <c r="BJ235" s="2707"/>
      <c r="BK235" s="2707"/>
      <c r="BL235" s="3740"/>
    </row>
    <row r="236" spans="1:64">
      <c r="A236" s="162"/>
      <c r="B236" s="3721"/>
      <c r="C236" s="2707"/>
      <c r="D236" s="2707"/>
      <c r="E236" s="2707"/>
      <c r="F236" s="2707"/>
      <c r="G236" s="2707"/>
      <c r="H236" s="2707"/>
      <c r="I236" s="2707"/>
      <c r="J236" s="3703"/>
      <c r="K236" s="3728"/>
      <c r="L236" s="2707"/>
      <c r="M236" s="3728"/>
      <c r="N236" s="2707"/>
      <c r="O236" s="2707"/>
      <c r="P236" s="3703"/>
      <c r="Q236" s="3728"/>
      <c r="R236" s="2707"/>
      <c r="S236" s="2707"/>
      <c r="T236" s="3703"/>
      <c r="U236" s="3728"/>
      <c r="V236" s="2707"/>
      <c r="W236" s="3703"/>
      <c r="X236" s="3728"/>
      <c r="Y236" s="2707"/>
      <c r="Z236" s="2707"/>
      <c r="AA236" s="3703"/>
      <c r="AB236" s="3744"/>
      <c r="AC236" s="2707"/>
      <c r="AD236" s="2707"/>
      <c r="AE236" s="3728"/>
      <c r="AF236" s="2707"/>
      <c r="AG236" s="3703"/>
      <c r="AH236" s="3728"/>
      <c r="AI236" s="2707"/>
      <c r="AJ236" s="3703"/>
      <c r="AK236" s="3728"/>
      <c r="AL236" s="2707"/>
      <c r="AM236" s="2707"/>
      <c r="AN236" s="2707"/>
      <c r="AO236" s="3703"/>
      <c r="AP236" s="3744"/>
      <c r="AQ236" s="2707"/>
      <c r="AR236" s="2707"/>
      <c r="AS236" s="2707"/>
      <c r="AT236" s="2707"/>
      <c r="AU236" s="3703"/>
      <c r="AV236" s="3745"/>
      <c r="AW236" s="2707"/>
      <c r="AX236" s="2707"/>
      <c r="AY236" s="2707"/>
      <c r="AZ236" s="2707"/>
      <c r="BA236" s="2707"/>
      <c r="BB236" s="2707"/>
      <c r="BC236" s="2707"/>
      <c r="BD236" s="2707"/>
      <c r="BE236" s="2707"/>
      <c r="BF236" s="2707"/>
      <c r="BG236" s="2707"/>
      <c r="BH236" s="2707"/>
      <c r="BI236" s="2707"/>
      <c r="BJ236" s="2707"/>
      <c r="BK236" s="2707"/>
      <c r="BL236" s="3737"/>
    </row>
    <row r="237" spans="1:64">
      <c r="A237" s="162"/>
      <c r="B237" s="3720"/>
      <c r="C237" s="2707"/>
      <c r="D237" s="2707"/>
      <c r="E237" s="2707"/>
      <c r="F237" s="2707"/>
      <c r="G237" s="2707"/>
      <c r="H237" s="2707"/>
      <c r="I237" s="2707"/>
      <c r="J237" s="3705"/>
      <c r="K237" s="3722"/>
      <c r="L237" s="2707"/>
      <c r="M237" s="3722"/>
      <c r="N237" s="2707"/>
      <c r="O237" s="2707"/>
      <c r="P237" s="3705"/>
      <c r="Q237" s="3722"/>
      <c r="R237" s="2707"/>
      <c r="S237" s="2707"/>
      <c r="T237" s="3705"/>
      <c r="U237" s="3722"/>
      <c r="V237" s="2707"/>
      <c r="W237" s="3705"/>
      <c r="X237" s="3722"/>
      <c r="Y237" s="2707"/>
      <c r="Z237" s="2707"/>
      <c r="AA237" s="3705"/>
      <c r="AB237" s="3735"/>
      <c r="AC237" s="2707"/>
      <c r="AD237" s="2707"/>
      <c r="AE237" s="3722"/>
      <c r="AF237" s="2707"/>
      <c r="AG237" s="3705"/>
      <c r="AH237" s="3722"/>
      <c r="AI237" s="2707"/>
      <c r="AJ237" s="3705"/>
      <c r="AK237" s="3722"/>
      <c r="AL237" s="2707"/>
      <c r="AM237" s="2707"/>
      <c r="AN237" s="2707"/>
      <c r="AO237" s="3705"/>
      <c r="AP237" s="3735"/>
      <c r="AQ237" s="2707"/>
      <c r="AR237" s="2707"/>
      <c r="AS237" s="2707"/>
      <c r="AT237" s="2707"/>
      <c r="AU237" s="3705"/>
      <c r="AV237" s="3746"/>
      <c r="AW237" s="2707"/>
      <c r="AX237" s="2707"/>
      <c r="AY237" s="2707"/>
      <c r="AZ237" s="2707"/>
      <c r="BA237" s="2707"/>
      <c r="BB237" s="2707"/>
      <c r="BC237" s="2707"/>
      <c r="BD237" s="2707"/>
      <c r="BE237" s="2707"/>
      <c r="BF237" s="2707"/>
      <c r="BG237" s="2707"/>
      <c r="BH237" s="2707"/>
      <c r="BI237" s="2707"/>
      <c r="BJ237" s="2707"/>
      <c r="BK237" s="2707"/>
      <c r="BL237" s="3740"/>
    </row>
    <row r="238" spans="1:64">
      <c r="A238" s="162"/>
      <c r="B238" s="3721"/>
      <c r="C238" s="2707"/>
      <c r="D238" s="2707"/>
      <c r="E238" s="2707"/>
      <c r="F238" s="2707"/>
      <c r="G238" s="2707"/>
      <c r="H238" s="2707"/>
      <c r="I238" s="2707"/>
      <c r="J238" s="3703"/>
      <c r="K238" s="3728"/>
      <c r="L238" s="2707"/>
      <c r="M238" s="3728"/>
      <c r="N238" s="2707"/>
      <c r="O238" s="2707"/>
      <c r="P238" s="3703"/>
      <c r="Q238" s="3728"/>
      <c r="R238" s="2707"/>
      <c r="S238" s="2707"/>
      <c r="T238" s="3703"/>
      <c r="U238" s="3728"/>
      <c r="V238" s="2707"/>
      <c r="W238" s="3703"/>
      <c r="X238" s="3728"/>
      <c r="Y238" s="2707"/>
      <c r="Z238" s="2707"/>
      <c r="AA238" s="3703"/>
      <c r="AB238" s="3744"/>
      <c r="AC238" s="2707"/>
      <c r="AD238" s="2707"/>
      <c r="AE238" s="3728"/>
      <c r="AF238" s="2707"/>
      <c r="AG238" s="3703"/>
      <c r="AH238" s="3728"/>
      <c r="AI238" s="2707"/>
      <c r="AJ238" s="3703"/>
      <c r="AK238" s="3728"/>
      <c r="AL238" s="2707"/>
      <c r="AM238" s="2707"/>
      <c r="AN238" s="2707"/>
      <c r="AO238" s="3703"/>
      <c r="AP238" s="3744"/>
      <c r="AQ238" s="2707"/>
      <c r="AR238" s="2707"/>
      <c r="AS238" s="2707"/>
      <c r="AT238" s="2707"/>
      <c r="AU238" s="3703"/>
      <c r="AV238" s="3745"/>
      <c r="AW238" s="2707"/>
      <c r="AX238" s="2707"/>
      <c r="AY238" s="2707"/>
      <c r="AZ238" s="2707"/>
      <c r="BA238" s="2707"/>
      <c r="BB238" s="2707"/>
      <c r="BC238" s="2707"/>
      <c r="BD238" s="2707"/>
      <c r="BE238" s="2707"/>
      <c r="BF238" s="2707"/>
      <c r="BG238" s="2707"/>
      <c r="BH238" s="2707"/>
      <c r="BI238" s="2707"/>
      <c r="BJ238" s="2707"/>
      <c r="BK238" s="2707"/>
      <c r="BL238" s="3737"/>
    </row>
    <row r="239" spans="1:64">
      <c r="A239" s="162"/>
      <c r="B239" s="3720"/>
      <c r="C239" s="2707"/>
      <c r="D239" s="2707"/>
      <c r="E239" s="2707"/>
      <c r="F239" s="2707"/>
      <c r="G239" s="2707"/>
      <c r="H239" s="2707"/>
      <c r="I239" s="2707"/>
      <c r="J239" s="3705"/>
      <c r="K239" s="3722"/>
      <c r="L239" s="2707"/>
      <c r="M239" s="3722"/>
      <c r="N239" s="2707"/>
      <c r="O239" s="2707"/>
      <c r="P239" s="3705"/>
      <c r="Q239" s="3722"/>
      <c r="R239" s="2707"/>
      <c r="S239" s="2707"/>
      <c r="T239" s="3705"/>
      <c r="U239" s="3722"/>
      <c r="V239" s="2707"/>
      <c r="W239" s="3705"/>
      <c r="X239" s="3722"/>
      <c r="Y239" s="2707"/>
      <c r="Z239" s="2707"/>
      <c r="AA239" s="3705"/>
      <c r="AB239" s="3735"/>
      <c r="AC239" s="2707"/>
      <c r="AD239" s="2707"/>
      <c r="AE239" s="3722"/>
      <c r="AF239" s="2707"/>
      <c r="AG239" s="3705"/>
      <c r="AH239" s="3722"/>
      <c r="AI239" s="2707"/>
      <c r="AJ239" s="3705"/>
      <c r="AK239" s="3722"/>
      <c r="AL239" s="2707"/>
      <c r="AM239" s="2707"/>
      <c r="AN239" s="2707"/>
      <c r="AO239" s="3705"/>
      <c r="AP239" s="3735"/>
      <c r="AQ239" s="2707"/>
      <c r="AR239" s="2707"/>
      <c r="AS239" s="2707"/>
      <c r="AT239" s="2707"/>
      <c r="AU239" s="3705"/>
      <c r="AV239" s="3746"/>
      <c r="AW239" s="2707"/>
      <c r="AX239" s="2707"/>
      <c r="AY239" s="2707"/>
      <c r="AZ239" s="2707"/>
      <c r="BA239" s="2707"/>
      <c r="BB239" s="2707"/>
      <c r="BC239" s="2707"/>
      <c r="BD239" s="2707"/>
      <c r="BE239" s="2707"/>
      <c r="BF239" s="2707"/>
      <c r="BG239" s="2707"/>
      <c r="BH239" s="2707"/>
      <c r="BI239" s="2707"/>
      <c r="BJ239" s="2707"/>
      <c r="BK239" s="2707"/>
      <c r="BL239" s="3740"/>
    </row>
    <row r="240" spans="1:64">
      <c r="A240" s="162"/>
      <c r="B240" s="3721"/>
      <c r="C240" s="2707"/>
      <c r="D240" s="2707"/>
      <c r="E240" s="2707"/>
      <c r="F240" s="2707"/>
      <c r="G240" s="2707"/>
      <c r="H240" s="2707"/>
      <c r="I240" s="2707"/>
      <c r="J240" s="3703"/>
      <c r="K240" s="3728"/>
      <c r="L240" s="2707"/>
      <c r="M240" s="3728"/>
      <c r="N240" s="2707"/>
      <c r="O240" s="2707"/>
      <c r="P240" s="3703"/>
      <c r="Q240" s="3728"/>
      <c r="R240" s="2707"/>
      <c r="S240" s="2707"/>
      <c r="T240" s="3703"/>
      <c r="U240" s="3728"/>
      <c r="V240" s="2707"/>
      <c r="W240" s="3703"/>
      <c r="X240" s="3728"/>
      <c r="Y240" s="2707"/>
      <c r="Z240" s="2707"/>
      <c r="AA240" s="3703"/>
      <c r="AB240" s="3744"/>
      <c r="AC240" s="2707"/>
      <c r="AD240" s="2707"/>
      <c r="AE240" s="3728"/>
      <c r="AF240" s="2707"/>
      <c r="AG240" s="3703"/>
      <c r="AH240" s="3728"/>
      <c r="AI240" s="2707"/>
      <c r="AJ240" s="3703"/>
      <c r="AK240" s="3728"/>
      <c r="AL240" s="2707"/>
      <c r="AM240" s="2707"/>
      <c r="AN240" s="2707"/>
      <c r="AO240" s="3703"/>
      <c r="AP240" s="3744"/>
      <c r="AQ240" s="2707"/>
      <c r="AR240" s="2707"/>
      <c r="AS240" s="2707"/>
      <c r="AT240" s="2707"/>
      <c r="AU240" s="3703"/>
      <c r="AV240" s="3745"/>
      <c r="AW240" s="2707"/>
      <c r="AX240" s="2707"/>
      <c r="AY240" s="2707"/>
      <c r="AZ240" s="2707"/>
      <c r="BA240" s="2707"/>
      <c r="BB240" s="2707"/>
      <c r="BC240" s="2707"/>
      <c r="BD240" s="2707"/>
      <c r="BE240" s="2707"/>
      <c r="BF240" s="2707"/>
      <c r="BG240" s="2707"/>
      <c r="BH240" s="2707"/>
      <c r="BI240" s="2707"/>
      <c r="BJ240" s="2707"/>
      <c r="BK240" s="2707"/>
      <c r="BL240" s="3737"/>
    </row>
    <row r="241" spans="1:77">
      <c r="A241" s="162"/>
      <c r="B241" s="3720"/>
      <c r="C241" s="2707"/>
      <c r="D241" s="2707"/>
      <c r="E241" s="2707"/>
      <c r="F241" s="2707"/>
      <c r="G241" s="2707"/>
      <c r="H241" s="2707"/>
      <c r="I241" s="2707"/>
      <c r="J241" s="3705"/>
      <c r="K241" s="3722"/>
      <c r="L241" s="2707"/>
      <c r="M241" s="3722"/>
      <c r="N241" s="2707"/>
      <c r="O241" s="2707"/>
      <c r="P241" s="3705"/>
      <c r="Q241" s="3722"/>
      <c r="R241" s="2707"/>
      <c r="S241" s="2707"/>
      <c r="T241" s="3705"/>
      <c r="U241" s="3722"/>
      <c r="V241" s="2707"/>
      <c r="W241" s="3705"/>
      <c r="X241" s="3722"/>
      <c r="Y241" s="2707"/>
      <c r="Z241" s="2707"/>
      <c r="AA241" s="3705"/>
      <c r="AB241" s="3735"/>
      <c r="AC241" s="2707"/>
      <c r="AD241" s="2707"/>
      <c r="AE241" s="3722"/>
      <c r="AF241" s="2707"/>
      <c r="AG241" s="3705"/>
      <c r="AH241" s="3722"/>
      <c r="AI241" s="2707"/>
      <c r="AJ241" s="3705"/>
      <c r="AK241" s="3722"/>
      <c r="AL241" s="2707"/>
      <c r="AM241" s="2707"/>
      <c r="AN241" s="2707"/>
      <c r="AO241" s="3705"/>
      <c r="AP241" s="3735"/>
      <c r="AQ241" s="2707"/>
      <c r="AR241" s="2707"/>
      <c r="AS241" s="2707"/>
      <c r="AT241" s="2707"/>
      <c r="AU241" s="3705"/>
      <c r="AV241" s="3746"/>
      <c r="AW241" s="2707"/>
      <c r="AX241" s="2707"/>
      <c r="AY241" s="2707"/>
      <c r="AZ241" s="2707"/>
      <c r="BA241" s="2707"/>
      <c r="BB241" s="2707"/>
      <c r="BC241" s="2707"/>
      <c r="BD241" s="2707"/>
      <c r="BE241" s="2707"/>
      <c r="BF241" s="2707"/>
      <c r="BG241" s="2707"/>
      <c r="BH241" s="2707"/>
      <c r="BI241" s="2707"/>
      <c r="BJ241" s="2707"/>
      <c r="BK241" s="2707"/>
      <c r="BL241" s="3740"/>
    </row>
    <row r="242" spans="1:77">
      <c r="A242" s="162"/>
      <c r="B242" s="3721"/>
      <c r="C242" s="2707"/>
      <c r="D242" s="2707"/>
      <c r="E242" s="2707"/>
      <c r="F242" s="2707"/>
      <c r="G242" s="2707"/>
      <c r="H242" s="2707"/>
      <c r="I242" s="2707"/>
      <c r="J242" s="3703"/>
      <c r="K242" s="3728"/>
      <c r="L242" s="2707"/>
      <c r="M242" s="3728"/>
      <c r="N242" s="2707"/>
      <c r="O242" s="2707"/>
      <c r="P242" s="3703"/>
      <c r="Q242" s="3728"/>
      <c r="R242" s="2707"/>
      <c r="S242" s="2707"/>
      <c r="T242" s="3703"/>
      <c r="U242" s="3728"/>
      <c r="V242" s="2707"/>
      <c r="W242" s="3703"/>
      <c r="X242" s="3728"/>
      <c r="Y242" s="2707"/>
      <c r="Z242" s="2707"/>
      <c r="AA242" s="3703"/>
      <c r="AB242" s="3744"/>
      <c r="AC242" s="2707"/>
      <c r="AD242" s="2707"/>
      <c r="AE242" s="3728"/>
      <c r="AF242" s="2707"/>
      <c r="AG242" s="3703"/>
      <c r="AH242" s="3728"/>
      <c r="AI242" s="2707"/>
      <c r="AJ242" s="3703"/>
      <c r="AK242" s="3728"/>
      <c r="AL242" s="2707"/>
      <c r="AM242" s="2707"/>
      <c r="AN242" s="2707"/>
      <c r="AO242" s="3703"/>
      <c r="AP242" s="3744"/>
      <c r="AQ242" s="2707"/>
      <c r="AR242" s="2707"/>
      <c r="AS242" s="2707"/>
      <c r="AT242" s="2707"/>
      <c r="AU242" s="3703"/>
      <c r="AV242" s="3745"/>
      <c r="AW242" s="2707"/>
      <c r="AX242" s="2707"/>
      <c r="AY242" s="2707"/>
      <c r="AZ242" s="2707"/>
      <c r="BA242" s="2707"/>
      <c r="BB242" s="2707"/>
      <c r="BC242" s="2707"/>
      <c r="BD242" s="2707"/>
      <c r="BE242" s="2707"/>
      <c r="BF242" s="2707"/>
      <c r="BG242" s="2707"/>
      <c r="BH242" s="2707"/>
      <c r="BI242" s="2707"/>
      <c r="BJ242" s="2707"/>
      <c r="BK242" s="2707"/>
      <c r="BL242" s="3737"/>
    </row>
    <row r="243" spans="1:77">
      <c r="A243" s="162"/>
      <c r="B243" s="3720"/>
      <c r="C243" s="2707"/>
      <c r="D243" s="2707"/>
      <c r="E243" s="2707"/>
      <c r="F243" s="2707"/>
      <c r="G243" s="2707"/>
      <c r="H243" s="2707"/>
      <c r="I243" s="2707"/>
      <c r="J243" s="3705"/>
      <c r="K243" s="3722"/>
      <c r="L243" s="2707"/>
      <c r="M243" s="3722"/>
      <c r="N243" s="2707"/>
      <c r="O243" s="2707"/>
      <c r="P243" s="3705"/>
      <c r="Q243" s="3722"/>
      <c r="R243" s="2707"/>
      <c r="S243" s="2707"/>
      <c r="T243" s="3705"/>
      <c r="U243" s="3722"/>
      <c r="V243" s="2707"/>
      <c r="W243" s="3705"/>
      <c r="X243" s="3722"/>
      <c r="Y243" s="2707"/>
      <c r="Z243" s="2707"/>
      <c r="AA243" s="3705"/>
      <c r="AB243" s="3735"/>
      <c r="AC243" s="2707"/>
      <c r="AD243" s="2707"/>
      <c r="AE243" s="3722"/>
      <c r="AF243" s="2707"/>
      <c r="AG243" s="3705"/>
      <c r="AH243" s="3722"/>
      <c r="AI243" s="2707"/>
      <c r="AJ243" s="3705"/>
      <c r="AK243" s="3722"/>
      <c r="AL243" s="2707"/>
      <c r="AM243" s="2707"/>
      <c r="AN243" s="2707"/>
      <c r="AO243" s="3705"/>
      <c r="AP243" s="3735"/>
      <c r="AQ243" s="2707"/>
      <c r="AR243" s="2707"/>
      <c r="AS243" s="2707"/>
      <c r="AT243" s="2707"/>
      <c r="AU243" s="3705"/>
      <c r="AV243" s="3746"/>
      <c r="AW243" s="2707"/>
      <c r="AX243" s="2707"/>
      <c r="AY243" s="2707"/>
      <c r="AZ243" s="2707"/>
      <c r="BA243" s="2707"/>
      <c r="BB243" s="2707"/>
      <c r="BC243" s="2707"/>
      <c r="BD243" s="2707"/>
      <c r="BE243" s="2707"/>
      <c r="BF243" s="2707"/>
      <c r="BG243" s="2707"/>
      <c r="BH243" s="2707"/>
      <c r="BI243" s="2707"/>
      <c r="BJ243" s="2707"/>
      <c r="BK243" s="2707"/>
      <c r="BL243" s="3740"/>
    </row>
    <row r="244" spans="1:77">
      <c r="A244" s="162"/>
      <c r="B244" s="3721"/>
      <c r="C244" s="2707"/>
      <c r="D244" s="2707"/>
      <c r="E244" s="2707"/>
      <c r="F244" s="2707"/>
      <c r="G244" s="2707"/>
      <c r="H244" s="2707"/>
      <c r="I244" s="2707"/>
      <c r="J244" s="3703"/>
      <c r="K244" s="3728"/>
      <c r="L244" s="2707"/>
      <c r="M244" s="3728"/>
      <c r="N244" s="2707"/>
      <c r="O244" s="2707"/>
      <c r="P244" s="3703"/>
      <c r="Q244" s="3728"/>
      <c r="R244" s="2707"/>
      <c r="S244" s="2707"/>
      <c r="T244" s="3703"/>
      <c r="U244" s="3728"/>
      <c r="V244" s="2707"/>
      <c r="W244" s="3703"/>
      <c r="X244" s="3728"/>
      <c r="Y244" s="2707"/>
      <c r="Z244" s="2707"/>
      <c r="AA244" s="3703"/>
      <c r="AB244" s="3744"/>
      <c r="AC244" s="2707"/>
      <c r="AD244" s="2707"/>
      <c r="AE244" s="3728"/>
      <c r="AF244" s="2707"/>
      <c r="AG244" s="3703"/>
      <c r="AH244" s="3728"/>
      <c r="AI244" s="2707"/>
      <c r="AJ244" s="3703"/>
      <c r="AK244" s="3728"/>
      <c r="AL244" s="2707"/>
      <c r="AM244" s="2707"/>
      <c r="AN244" s="2707"/>
      <c r="AO244" s="3703"/>
      <c r="AP244" s="3744"/>
      <c r="AQ244" s="2707"/>
      <c r="AR244" s="2707"/>
      <c r="AS244" s="2707"/>
      <c r="AT244" s="2707"/>
      <c r="AU244" s="3703"/>
      <c r="AV244" s="3745"/>
      <c r="AW244" s="2707"/>
      <c r="AX244" s="2707"/>
      <c r="AY244" s="2707"/>
      <c r="AZ244" s="2707"/>
      <c r="BA244" s="2707"/>
      <c r="BB244" s="2707"/>
      <c r="BC244" s="2707"/>
      <c r="BD244" s="2707"/>
      <c r="BE244" s="2707"/>
      <c r="BF244" s="2707"/>
      <c r="BG244" s="2707"/>
      <c r="BH244" s="2707"/>
      <c r="BI244" s="2707"/>
      <c r="BJ244" s="2707"/>
      <c r="BK244" s="2707"/>
      <c r="BL244" s="3737"/>
    </row>
    <row r="245" spans="1:77">
      <c r="A245" s="162"/>
      <c r="B245" s="3720"/>
      <c r="C245" s="2707"/>
      <c r="D245" s="2707"/>
      <c r="E245" s="2707"/>
      <c r="F245" s="2707"/>
      <c r="G245" s="2707"/>
      <c r="H245" s="2707"/>
      <c r="I245" s="2707"/>
      <c r="J245" s="3705"/>
      <c r="K245" s="3722"/>
      <c r="L245" s="2707"/>
      <c r="M245" s="3722"/>
      <c r="N245" s="2707"/>
      <c r="O245" s="2707"/>
      <c r="P245" s="3705"/>
      <c r="Q245" s="3722"/>
      <c r="R245" s="2707"/>
      <c r="S245" s="2707"/>
      <c r="T245" s="3705"/>
      <c r="U245" s="3722"/>
      <c r="V245" s="2707"/>
      <c r="W245" s="3705"/>
      <c r="X245" s="3722"/>
      <c r="Y245" s="2707"/>
      <c r="Z245" s="2707"/>
      <c r="AA245" s="3705"/>
      <c r="AB245" s="3735"/>
      <c r="AC245" s="2707"/>
      <c r="AD245" s="2707"/>
      <c r="AE245" s="3722"/>
      <c r="AF245" s="2707"/>
      <c r="AG245" s="3705"/>
      <c r="AH245" s="3722"/>
      <c r="AI245" s="2707"/>
      <c r="AJ245" s="3705"/>
      <c r="AK245" s="3722"/>
      <c r="AL245" s="2707"/>
      <c r="AM245" s="2707"/>
      <c r="AN245" s="2707"/>
      <c r="AO245" s="3705"/>
      <c r="AP245" s="3735"/>
      <c r="AQ245" s="2707"/>
      <c r="AR245" s="2707"/>
      <c r="AS245" s="2707"/>
      <c r="AT245" s="2707"/>
      <c r="AU245" s="3705"/>
      <c r="AV245" s="3746"/>
      <c r="AW245" s="2707"/>
      <c r="AX245" s="2707"/>
      <c r="AY245" s="2707"/>
      <c r="AZ245" s="2707"/>
      <c r="BA245" s="2707"/>
      <c r="BB245" s="2707"/>
      <c r="BC245" s="2707"/>
      <c r="BD245" s="2707"/>
      <c r="BE245" s="2707"/>
      <c r="BF245" s="2707"/>
      <c r="BG245" s="2707"/>
      <c r="BH245" s="2707"/>
      <c r="BI245" s="2707"/>
      <c r="BJ245" s="2707"/>
      <c r="BK245" s="2707"/>
      <c r="BL245" s="3740"/>
    </row>
    <row r="246" spans="1:77">
      <c r="A246" s="162"/>
      <c r="B246" s="3721"/>
      <c r="C246" s="2707"/>
      <c r="D246" s="2707"/>
      <c r="E246" s="2707"/>
      <c r="F246" s="2707"/>
      <c r="G246" s="2707"/>
      <c r="H246" s="2707"/>
      <c r="I246" s="2707"/>
      <c r="J246" s="3703"/>
      <c r="K246" s="3728"/>
      <c r="L246" s="2707"/>
      <c r="M246" s="3728"/>
      <c r="N246" s="2707"/>
      <c r="O246" s="2707"/>
      <c r="P246" s="3703"/>
      <c r="Q246" s="3728"/>
      <c r="R246" s="2707"/>
      <c r="S246" s="2707"/>
      <c r="T246" s="3703"/>
      <c r="U246" s="3728"/>
      <c r="V246" s="2707"/>
      <c r="W246" s="3703"/>
      <c r="X246" s="3728"/>
      <c r="Y246" s="2707"/>
      <c r="Z246" s="2707"/>
      <c r="AA246" s="3703"/>
      <c r="AB246" s="3744"/>
      <c r="AC246" s="2707"/>
      <c r="AD246" s="2707"/>
      <c r="AE246" s="3728"/>
      <c r="AF246" s="2707"/>
      <c r="AG246" s="3703"/>
      <c r="AH246" s="3728"/>
      <c r="AI246" s="2707"/>
      <c r="AJ246" s="3703"/>
      <c r="AK246" s="3728"/>
      <c r="AL246" s="2707"/>
      <c r="AM246" s="2707"/>
      <c r="AN246" s="2707"/>
      <c r="AO246" s="3703"/>
      <c r="AP246" s="3744"/>
      <c r="AQ246" s="2707"/>
      <c r="AR246" s="2707"/>
      <c r="AS246" s="2707"/>
      <c r="AT246" s="2707"/>
      <c r="AU246" s="3703"/>
      <c r="AV246" s="3745"/>
      <c r="AW246" s="2707"/>
      <c r="AX246" s="2707"/>
      <c r="AY246" s="2707"/>
      <c r="AZ246" s="2707"/>
      <c r="BA246" s="2707"/>
      <c r="BB246" s="2707"/>
      <c r="BC246" s="2707"/>
      <c r="BD246" s="2707"/>
      <c r="BE246" s="2707"/>
      <c r="BF246" s="2707"/>
      <c r="BG246" s="2707"/>
      <c r="BH246" s="2707"/>
      <c r="BI246" s="2707"/>
      <c r="BJ246" s="2707"/>
      <c r="BK246" s="2707"/>
      <c r="BL246" s="3737"/>
    </row>
    <row r="247" spans="1:77">
      <c r="A247" s="162"/>
      <c r="B247" s="3720"/>
      <c r="C247" s="2707"/>
      <c r="D247" s="2707"/>
      <c r="E247" s="2707"/>
      <c r="F247" s="2707"/>
      <c r="G247" s="2707"/>
      <c r="H247" s="2707"/>
      <c r="I247" s="2707"/>
      <c r="J247" s="3705"/>
      <c r="K247" s="3722"/>
      <c r="L247" s="2707"/>
      <c r="M247" s="3722"/>
      <c r="N247" s="2707"/>
      <c r="O247" s="2707"/>
      <c r="P247" s="3705"/>
      <c r="Q247" s="3722"/>
      <c r="R247" s="2707"/>
      <c r="S247" s="2707"/>
      <c r="T247" s="3705"/>
      <c r="U247" s="3722"/>
      <c r="V247" s="2707"/>
      <c r="W247" s="3705"/>
      <c r="X247" s="3722"/>
      <c r="Y247" s="2707"/>
      <c r="Z247" s="2707"/>
      <c r="AA247" s="3705"/>
      <c r="AB247" s="3735"/>
      <c r="AC247" s="2707"/>
      <c r="AD247" s="2707"/>
      <c r="AE247" s="3722"/>
      <c r="AF247" s="2707"/>
      <c r="AG247" s="3705"/>
      <c r="AH247" s="3722"/>
      <c r="AI247" s="2707"/>
      <c r="AJ247" s="3705"/>
      <c r="AK247" s="3722"/>
      <c r="AL247" s="2707"/>
      <c r="AM247" s="2707"/>
      <c r="AN247" s="2707"/>
      <c r="AO247" s="3705"/>
      <c r="AP247" s="3735"/>
      <c r="AQ247" s="2707"/>
      <c r="AR247" s="2707"/>
      <c r="AS247" s="2707"/>
      <c r="AT247" s="2707"/>
      <c r="AU247" s="3705"/>
      <c r="AV247" s="3746"/>
      <c r="AW247" s="2707"/>
      <c r="AX247" s="2707"/>
      <c r="AY247" s="2707"/>
      <c r="AZ247" s="2707"/>
      <c r="BA247" s="2707"/>
      <c r="BB247" s="2707"/>
      <c r="BC247" s="2707"/>
      <c r="BD247" s="2707"/>
      <c r="BE247" s="2707"/>
      <c r="BF247" s="2707"/>
      <c r="BG247" s="2707"/>
      <c r="BH247" s="2707"/>
      <c r="BI247" s="2707"/>
      <c r="BJ247" s="2707"/>
      <c r="BK247" s="2707"/>
      <c r="BL247" s="3740"/>
    </row>
    <row r="248" spans="1:77" ht="16.5" thickBot="1">
      <c r="A248" s="162"/>
      <c r="B248" s="3724"/>
      <c r="C248" s="3725"/>
      <c r="D248" s="3725"/>
      <c r="E248" s="3725"/>
      <c r="F248" s="3725"/>
      <c r="G248" s="3725"/>
      <c r="H248" s="3725"/>
      <c r="I248" s="3725"/>
      <c r="J248" s="3726"/>
      <c r="K248" s="3727"/>
      <c r="L248" s="3725"/>
      <c r="M248" s="3727"/>
      <c r="N248" s="3725"/>
      <c r="O248" s="3725"/>
      <c r="P248" s="3726"/>
      <c r="Q248" s="3727"/>
      <c r="R248" s="3725"/>
      <c r="S248" s="3725"/>
      <c r="T248" s="3726"/>
      <c r="U248" s="3727"/>
      <c r="V248" s="3725"/>
      <c r="W248" s="3726"/>
      <c r="X248" s="3727"/>
      <c r="Y248" s="3725"/>
      <c r="Z248" s="3725"/>
      <c r="AA248" s="3726"/>
      <c r="AB248" s="3747"/>
      <c r="AC248" s="3725"/>
      <c r="AD248" s="3725"/>
      <c r="AE248" s="3727"/>
      <c r="AF248" s="3725"/>
      <c r="AG248" s="3726"/>
      <c r="AH248" s="3727"/>
      <c r="AI248" s="3725"/>
      <c r="AJ248" s="3726"/>
      <c r="AK248" s="3727"/>
      <c r="AL248" s="3725"/>
      <c r="AM248" s="3725"/>
      <c r="AN248" s="3725"/>
      <c r="AO248" s="3726"/>
      <c r="AP248" s="3747"/>
      <c r="AQ248" s="3725"/>
      <c r="AR248" s="3725"/>
      <c r="AS248" s="3725"/>
      <c r="AT248" s="3725"/>
      <c r="AU248" s="3726"/>
      <c r="AV248" s="3748"/>
      <c r="AW248" s="3725"/>
      <c r="AX248" s="3725"/>
      <c r="AY248" s="3725"/>
      <c r="AZ248" s="3725"/>
      <c r="BA248" s="3725"/>
      <c r="BB248" s="3725"/>
      <c r="BC248" s="3725"/>
      <c r="BD248" s="3725"/>
      <c r="BE248" s="3725"/>
      <c r="BF248" s="3725"/>
      <c r="BG248" s="3725"/>
      <c r="BH248" s="3725"/>
      <c r="BI248" s="3725"/>
      <c r="BJ248" s="3725"/>
      <c r="BK248" s="3725"/>
      <c r="BL248" s="3749"/>
    </row>
    <row r="249" spans="1:77">
      <c r="A249" s="162"/>
      <c r="B249" s="3723"/>
      <c r="C249" s="2707"/>
      <c r="D249" s="2707"/>
      <c r="E249" s="2707"/>
      <c r="F249" s="2707"/>
      <c r="G249" s="2707"/>
      <c r="H249" s="2707"/>
      <c r="I249" s="2707"/>
      <c r="J249" s="2707"/>
      <c r="K249" s="3723"/>
      <c r="L249" s="2707"/>
      <c r="M249" s="2707"/>
      <c r="N249" s="3723"/>
      <c r="O249" s="2707"/>
      <c r="P249" s="2707"/>
      <c r="Q249" s="3723"/>
      <c r="R249" s="2707"/>
      <c r="S249" s="2707"/>
      <c r="T249" s="2707"/>
      <c r="U249" s="3723"/>
      <c r="V249" s="2707"/>
      <c r="W249" s="2707"/>
      <c r="X249" s="3723"/>
      <c r="Y249" s="2707"/>
      <c r="Z249" s="2707"/>
      <c r="AA249" s="3723"/>
      <c r="AB249" s="2707"/>
      <c r="AC249" s="2707"/>
      <c r="AD249" s="2707"/>
      <c r="AE249" s="3723"/>
      <c r="AF249" s="2707"/>
      <c r="AG249" s="2707"/>
      <c r="AH249" s="3723"/>
      <c r="AI249" s="2707"/>
      <c r="AJ249" s="2707"/>
      <c r="AK249" s="3723"/>
      <c r="AL249" s="2707"/>
      <c r="AM249" s="2707"/>
      <c r="AN249" s="2707"/>
      <c r="AO249" s="2707"/>
      <c r="AP249" s="3723"/>
      <c r="AQ249" s="2707"/>
      <c r="AR249" s="2707"/>
      <c r="AS249" s="2707"/>
      <c r="AT249" s="2707"/>
      <c r="AU249" s="2707"/>
      <c r="AV249" s="3743"/>
      <c r="AW249" s="2707"/>
      <c r="AX249" s="2707"/>
      <c r="AY249" s="2707"/>
      <c r="AZ249" s="2707"/>
      <c r="BA249" s="2707"/>
      <c r="BB249" s="2707"/>
      <c r="BC249" s="2707"/>
      <c r="BD249" s="2707"/>
      <c r="BE249" s="2707"/>
      <c r="BF249" s="2707"/>
      <c r="BG249" s="2707"/>
      <c r="BH249" s="2707"/>
      <c r="BI249" s="2707"/>
      <c r="BJ249" s="2707"/>
      <c r="BK249" s="2707"/>
      <c r="BL249" s="2707"/>
    </row>
    <row r="250" spans="1:77">
      <c r="A250" s="162"/>
      <c r="B250" s="3723"/>
      <c r="C250" s="2707"/>
      <c r="D250" s="2707"/>
      <c r="E250" s="2707"/>
      <c r="F250" s="2707"/>
      <c r="G250" s="2707"/>
      <c r="H250" s="2707"/>
      <c r="I250" s="2707"/>
      <c r="J250" s="2707"/>
      <c r="K250" s="3723"/>
      <c r="L250" s="2707"/>
      <c r="M250" s="2707"/>
      <c r="N250" s="3723"/>
      <c r="O250" s="2707"/>
      <c r="P250" s="2707"/>
      <c r="Q250" s="3723"/>
      <c r="R250" s="2707"/>
      <c r="S250" s="2707"/>
      <c r="T250" s="2707"/>
      <c r="U250" s="3723"/>
      <c r="V250" s="2707"/>
      <c r="W250" s="2707"/>
      <c r="X250" s="3723"/>
      <c r="Y250" s="2707"/>
      <c r="Z250" s="2707"/>
      <c r="AA250" s="3723"/>
      <c r="AB250" s="2707"/>
      <c r="AC250" s="2707"/>
      <c r="AD250" s="2707"/>
      <c r="AE250" s="3723"/>
      <c r="AF250" s="2707"/>
      <c r="AG250" s="2707"/>
      <c r="AH250" s="3723"/>
      <c r="AI250" s="2707"/>
      <c r="AJ250" s="2707"/>
      <c r="AK250" s="3723"/>
      <c r="AL250" s="2707"/>
      <c r="AM250" s="2707"/>
      <c r="AN250" s="2707"/>
      <c r="AO250" s="2707"/>
      <c r="AP250" s="3723"/>
      <c r="AQ250" s="2707"/>
      <c r="AR250" s="2707"/>
      <c r="AS250" s="2707"/>
      <c r="AT250" s="2707"/>
      <c r="AU250" s="2707"/>
      <c r="AV250" s="3743"/>
      <c r="AW250" s="2707"/>
      <c r="AX250" s="2707"/>
      <c r="AY250" s="2707"/>
      <c r="AZ250" s="2707"/>
      <c r="BA250" s="2707"/>
      <c r="BB250" s="2707"/>
      <c r="BC250" s="2707"/>
      <c r="BD250" s="2707"/>
      <c r="BE250" s="2707"/>
      <c r="BF250" s="2707"/>
      <c r="BG250" s="2707"/>
      <c r="BH250" s="2707"/>
      <c r="BI250" s="2707"/>
      <c r="BJ250" s="2707"/>
      <c r="BK250" s="2707"/>
      <c r="BL250" s="2707"/>
    </row>
    <row r="251" spans="1:77">
      <c r="A251" s="162"/>
      <c r="B251" s="3723"/>
      <c r="C251" s="2707"/>
      <c r="D251" s="2707"/>
      <c r="E251" s="2707"/>
      <c r="F251" s="2707"/>
      <c r="G251" s="2707"/>
      <c r="H251" s="2707"/>
      <c r="I251" s="2707"/>
      <c r="J251" s="2707"/>
      <c r="K251" s="3723"/>
      <c r="L251" s="2707"/>
      <c r="M251" s="2707"/>
      <c r="N251" s="3723"/>
      <c r="O251" s="2707"/>
      <c r="P251" s="2707"/>
      <c r="Q251" s="3723"/>
      <c r="R251" s="2707"/>
      <c r="S251" s="2707"/>
      <c r="T251" s="2707"/>
      <c r="U251" s="3723"/>
      <c r="V251" s="2707"/>
      <c r="W251" s="2707"/>
      <c r="X251" s="3723"/>
      <c r="Y251" s="2707"/>
      <c r="Z251" s="2707"/>
      <c r="AA251" s="3723"/>
      <c r="AB251" s="2707"/>
      <c r="AC251" s="2707"/>
      <c r="AD251" s="2707"/>
      <c r="AE251" s="3723"/>
      <c r="AF251" s="2707"/>
      <c r="AG251" s="2707"/>
      <c r="AH251" s="3723"/>
      <c r="AI251" s="2707"/>
      <c r="AJ251" s="2707"/>
      <c r="AK251" s="3723"/>
      <c r="AL251" s="2707"/>
      <c r="AM251" s="2707"/>
      <c r="AN251" s="2707"/>
      <c r="AO251" s="2707"/>
      <c r="AP251" s="3723"/>
      <c r="AQ251" s="2707"/>
      <c r="AR251" s="2707"/>
      <c r="AS251" s="2707"/>
      <c r="AT251" s="2707"/>
      <c r="AU251" s="2707"/>
      <c r="AV251" s="3743"/>
      <c r="AW251" s="2707"/>
      <c r="AX251" s="2707"/>
      <c r="AY251" s="2707"/>
      <c r="AZ251" s="2707"/>
      <c r="BA251" s="2707"/>
      <c r="BB251" s="2707"/>
      <c r="BC251" s="2707"/>
      <c r="BD251" s="2707"/>
      <c r="BE251" s="2707"/>
      <c r="BF251" s="2707"/>
      <c r="BG251" s="2707"/>
      <c r="BH251" s="2707"/>
      <c r="BI251" s="2707"/>
      <c r="BJ251" s="2707"/>
      <c r="BK251" s="2707"/>
      <c r="BL251" s="2707"/>
    </row>
    <row r="252" spans="1:77">
      <c r="A252" s="162"/>
      <c r="B252" s="162"/>
      <c r="C252" s="3723"/>
      <c r="D252" s="2707"/>
      <c r="E252" s="2707"/>
      <c r="F252" s="2707"/>
      <c r="G252" s="2707"/>
      <c r="H252" s="2707"/>
      <c r="I252" s="2707"/>
      <c r="J252" s="2707"/>
      <c r="K252" s="2707"/>
      <c r="L252" s="162"/>
      <c r="M252" s="162"/>
      <c r="N252" s="162"/>
      <c r="O252" s="162"/>
      <c r="P252" s="162"/>
      <c r="Q252" s="162"/>
      <c r="R252" s="162"/>
      <c r="S252" s="162"/>
      <c r="T252" s="162"/>
      <c r="U252" s="162"/>
      <c r="V252" s="162"/>
      <c r="W252" s="162"/>
      <c r="X252" s="162"/>
      <c r="Y252" s="162"/>
      <c r="Z252" s="162"/>
      <c r="AA252" s="162"/>
      <c r="AB252" s="162"/>
      <c r="AC252" s="162"/>
      <c r="AD252" s="162"/>
      <c r="AE252" s="162"/>
      <c r="AF252" s="162"/>
      <c r="AG252" s="162"/>
      <c r="AH252" s="162"/>
      <c r="AI252" s="162"/>
      <c r="AJ252" s="162"/>
      <c r="AK252" s="162"/>
      <c r="AL252" s="162"/>
      <c r="AM252" s="162"/>
      <c r="AN252" s="162"/>
      <c r="AO252" s="162"/>
      <c r="AP252" s="162"/>
      <c r="AQ252" s="162"/>
      <c r="AR252" s="162"/>
      <c r="AS252" s="162"/>
      <c r="AT252" s="161"/>
      <c r="AU252" s="161"/>
      <c r="AV252" s="161"/>
      <c r="AW252" s="3743"/>
      <c r="AX252" s="2707"/>
      <c r="AY252" s="2707"/>
      <c r="AZ252" s="2707"/>
      <c r="BA252" s="2707"/>
      <c r="BB252" s="2707"/>
      <c r="BC252" s="2707"/>
      <c r="BD252" s="2707"/>
      <c r="BE252" s="2707"/>
      <c r="BF252" s="2707"/>
      <c r="BG252" s="2707"/>
      <c r="BH252" s="2707"/>
      <c r="BI252" s="2707"/>
      <c r="BJ252" s="2707"/>
      <c r="BK252" s="2707"/>
      <c r="BL252" s="2707"/>
      <c r="BM252" s="2707"/>
      <c r="BN252" s="163"/>
      <c r="BO252" s="163"/>
      <c r="BP252" s="163"/>
      <c r="BQ252" s="163"/>
      <c r="BR252" s="163"/>
      <c r="BS252" s="163"/>
      <c r="BT252" s="163"/>
      <c r="BU252" s="163"/>
      <c r="BV252" s="163"/>
      <c r="BW252" s="163"/>
      <c r="BX252" s="163"/>
      <c r="BY252" s="163"/>
    </row>
    <row r="253" spans="1:77">
      <c r="A253" s="162"/>
      <c r="B253" s="162"/>
      <c r="C253" s="3723"/>
      <c r="D253" s="2707"/>
      <c r="E253" s="2707"/>
      <c r="F253" s="2707"/>
      <c r="G253" s="2707"/>
      <c r="H253" s="2707"/>
      <c r="I253" s="2707"/>
      <c r="J253" s="2707"/>
      <c r="K253" s="2707"/>
      <c r="L253" s="162"/>
      <c r="M253" s="162"/>
      <c r="N253" s="162"/>
      <c r="O253" s="162"/>
      <c r="P253" s="162"/>
      <c r="Q253" s="162"/>
      <c r="R253" s="162"/>
      <c r="S253" s="162"/>
      <c r="T253" s="162"/>
      <c r="U253" s="162"/>
      <c r="V253" s="162"/>
      <c r="W253" s="162"/>
      <c r="X253" s="162"/>
      <c r="Y253" s="162"/>
      <c r="Z253" s="162"/>
      <c r="AA253" s="162"/>
      <c r="AB253" s="162"/>
      <c r="AC253" s="162"/>
      <c r="AD253" s="162"/>
      <c r="AE253" s="162"/>
      <c r="AF253" s="162"/>
      <c r="AG253" s="162"/>
      <c r="AH253" s="162"/>
      <c r="AI253" s="162"/>
      <c r="AJ253" s="162"/>
      <c r="AK253" s="162"/>
      <c r="AL253" s="162"/>
      <c r="AM253" s="162"/>
      <c r="AN253" s="162"/>
      <c r="AO253" s="162"/>
      <c r="AP253" s="162"/>
      <c r="AQ253" s="162"/>
      <c r="AR253" s="162"/>
      <c r="AS253" s="162"/>
      <c r="AT253" s="161"/>
      <c r="AU253" s="161"/>
      <c r="AV253" s="161"/>
      <c r="AW253" s="3743"/>
      <c r="AX253" s="2707"/>
      <c r="AY253" s="2707"/>
      <c r="AZ253" s="2707"/>
      <c r="BA253" s="2707"/>
      <c r="BB253" s="2707"/>
      <c r="BC253" s="2707"/>
      <c r="BD253" s="2707"/>
      <c r="BE253" s="2707"/>
      <c r="BF253" s="2707"/>
      <c r="BG253" s="2707"/>
      <c r="BH253" s="2707"/>
      <c r="BI253" s="2707"/>
      <c r="BJ253" s="2707"/>
      <c r="BK253" s="2707"/>
      <c r="BL253" s="2707"/>
      <c r="BM253" s="2707"/>
      <c r="BN253" s="163"/>
      <c r="BO253" s="163"/>
      <c r="BP253" s="163"/>
      <c r="BQ253" s="163"/>
      <c r="BR253" s="163"/>
      <c r="BS253" s="163"/>
      <c r="BT253" s="163"/>
      <c r="BU253" s="163"/>
      <c r="BV253" s="163"/>
      <c r="BW253" s="163"/>
      <c r="BX253" s="163"/>
      <c r="BY253" s="163"/>
    </row>
    <row r="254" spans="1:77">
      <c r="A254" s="162"/>
      <c r="B254" s="162"/>
      <c r="C254" s="3723"/>
      <c r="D254" s="2707"/>
      <c r="E254" s="2707"/>
      <c r="F254" s="2707"/>
      <c r="G254" s="2707"/>
      <c r="H254" s="2707"/>
      <c r="I254" s="2707"/>
      <c r="J254" s="2707"/>
      <c r="K254" s="2707"/>
      <c r="L254" s="162"/>
      <c r="M254" s="162"/>
      <c r="N254" s="162"/>
      <c r="O254" s="162"/>
      <c r="P254" s="162"/>
      <c r="Q254" s="162"/>
      <c r="R254" s="162"/>
      <c r="S254" s="162"/>
      <c r="T254" s="162"/>
      <c r="U254" s="162"/>
      <c r="V254" s="162"/>
      <c r="W254" s="162"/>
      <c r="X254" s="162"/>
      <c r="Y254" s="162"/>
      <c r="Z254" s="162"/>
      <c r="AA254" s="162"/>
      <c r="AB254" s="162"/>
      <c r="AC254" s="162"/>
      <c r="AD254" s="162"/>
      <c r="AE254" s="162"/>
      <c r="AF254" s="162"/>
      <c r="AG254" s="162"/>
      <c r="AH254" s="162"/>
      <c r="AI254" s="162"/>
      <c r="AJ254" s="162"/>
      <c r="AK254" s="162"/>
      <c r="AL254" s="162"/>
      <c r="AM254" s="162"/>
      <c r="AN254" s="162"/>
      <c r="AO254" s="162"/>
      <c r="AP254" s="162"/>
      <c r="AQ254" s="162"/>
      <c r="AR254" s="162"/>
      <c r="AS254" s="162"/>
      <c r="AT254" s="161"/>
      <c r="AU254" s="161"/>
      <c r="AV254" s="161"/>
      <c r="AW254" s="3743"/>
      <c r="AX254" s="2707"/>
      <c r="AY254" s="2707"/>
      <c r="AZ254" s="2707"/>
      <c r="BA254" s="2707"/>
      <c r="BB254" s="2707"/>
      <c r="BC254" s="2707"/>
      <c r="BD254" s="2707"/>
      <c r="BE254" s="2707"/>
      <c r="BF254" s="2707"/>
      <c r="BG254" s="2707"/>
      <c r="BH254" s="2707"/>
      <c r="BI254" s="2707"/>
      <c r="BJ254" s="2707"/>
      <c r="BK254" s="2707"/>
      <c r="BL254" s="2707"/>
      <c r="BM254" s="2707"/>
      <c r="BN254" s="163"/>
      <c r="BO254" s="163"/>
      <c r="BP254" s="163"/>
      <c r="BQ254" s="163"/>
      <c r="BR254" s="163"/>
      <c r="BS254" s="163"/>
      <c r="BT254" s="163"/>
      <c r="BU254" s="163"/>
      <c r="BV254" s="163"/>
      <c r="BW254" s="163"/>
      <c r="BX254" s="163"/>
      <c r="BY254" s="163"/>
    </row>
    <row r="255" spans="1:77">
      <c r="A255" s="162"/>
      <c r="B255" s="162"/>
      <c r="C255" s="3723"/>
      <c r="D255" s="2707"/>
      <c r="E255" s="2707"/>
      <c r="F255" s="2707"/>
      <c r="G255" s="2707"/>
      <c r="H255" s="2707"/>
      <c r="I255" s="2707"/>
      <c r="J255" s="2707"/>
      <c r="K255" s="2707"/>
      <c r="L255" s="162"/>
      <c r="M255" s="162"/>
      <c r="N255" s="162"/>
      <c r="O255" s="162"/>
      <c r="P255" s="162"/>
      <c r="Q255" s="162"/>
      <c r="R255" s="162"/>
      <c r="S255" s="162"/>
      <c r="T255" s="162"/>
      <c r="U255" s="162"/>
      <c r="V255" s="162"/>
      <c r="W255" s="162"/>
      <c r="X255" s="162"/>
      <c r="Y255" s="162"/>
      <c r="Z255" s="162"/>
      <c r="AA255" s="162"/>
      <c r="AB255" s="162"/>
      <c r="AC255" s="162"/>
      <c r="AD255" s="162"/>
      <c r="AE255" s="162"/>
      <c r="AF255" s="162"/>
      <c r="AG255" s="162"/>
      <c r="AH255" s="162"/>
      <c r="AI255" s="162"/>
      <c r="AJ255" s="162"/>
      <c r="AK255" s="162"/>
      <c r="AL255" s="162"/>
      <c r="AM255" s="162"/>
      <c r="AN255" s="162"/>
      <c r="AO255" s="162"/>
      <c r="AP255" s="162"/>
      <c r="AQ255" s="162"/>
      <c r="AR255" s="162"/>
      <c r="AS255" s="162"/>
      <c r="AT255" s="161"/>
      <c r="AU255" s="161"/>
      <c r="AV255" s="161"/>
      <c r="AW255" s="3743"/>
      <c r="AX255" s="2707"/>
      <c r="AY255" s="2707"/>
      <c r="AZ255" s="2707"/>
      <c r="BA255" s="2707"/>
      <c r="BB255" s="2707"/>
      <c r="BC255" s="2707"/>
      <c r="BD255" s="2707"/>
      <c r="BE255" s="2707"/>
      <c r="BF255" s="2707"/>
      <c r="BG255" s="2707"/>
      <c r="BH255" s="2707"/>
      <c r="BI255" s="2707"/>
      <c r="BJ255" s="2707"/>
      <c r="BK255" s="2707"/>
      <c r="BL255" s="2707"/>
      <c r="BM255" s="2707"/>
      <c r="BN255" s="163"/>
      <c r="BO255" s="163"/>
      <c r="BP255" s="163"/>
      <c r="BQ255" s="163"/>
      <c r="BR255" s="163"/>
      <c r="BS255" s="163"/>
      <c r="BT255" s="163"/>
      <c r="BU255" s="163"/>
      <c r="BV255" s="163"/>
      <c r="BW255" s="163"/>
      <c r="BX255" s="163"/>
      <c r="BY255" s="163"/>
    </row>
    <row r="256" spans="1:77">
      <c r="A256" s="162"/>
      <c r="B256" s="162"/>
      <c r="C256" s="3723"/>
      <c r="D256" s="2707"/>
      <c r="E256" s="2707"/>
      <c r="F256" s="2707"/>
      <c r="G256" s="2707"/>
      <c r="H256" s="2707"/>
      <c r="I256" s="2707"/>
      <c r="J256" s="2707"/>
      <c r="K256" s="2707"/>
      <c r="L256" s="162"/>
      <c r="M256" s="162"/>
      <c r="N256" s="162"/>
      <c r="O256" s="162"/>
      <c r="P256" s="162"/>
      <c r="Q256" s="162"/>
      <c r="R256" s="162"/>
      <c r="S256" s="162"/>
      <c r="T256" s="162"/>
      <c r="U256" s="162"/>
      <c r="V256" s="162"/>
      <c r="W256" s="162"/>
      <c r="X256" s="162"/>
      <c r="Y256" s="162"/>
      <c r="Z256" s="162"/>
      <c r="AA256" s="162"/>
      <c r="AB256" s="162"/>
      <c r="AC256" s="162"/>
      <c r="AD256" s="162"/>
      <c r="AE256" s="162"/>
      <c r="AF256" s="162"/>
      <c r="AG256" s="162"/>
      <c r="AH256" s="162"/>
      <c r="AI256" s="162"/>
      <c r="AJ256" s="162"/>
      <c r="AK256" s="162"/>
      <c r="AL256" s="162"/>
      <c r="AM256" s="162"/>
      <c r="AN256" s="162"/>
      <c r="AO256" s="162"/>
      <c r="AP256" s="162"/>
      <c r="AQ256" s="162"/>
      <c r="AR256" s="162"/>
      <c r="AS256" s="162"/>
      <c r="AT256" s="161"/>
      <c r="AU256" s="161"/>
      <c r="AV256" s="161"/>
      <c r="AW256" s="3743"/>
      <c r="AX256" s="2707"/>
      <c r="AY256" s="2707"/>
      <c r="AZ256" s="2707"/>
      <c r="BA256" s="2707"/>
      <c r="BB256" s="2707"/>
      <c r="BC256" s="2707"/>
      <c r="BD256" s="2707"/>
      <c r="BE256" s="2707"/>
      <c r="BF256" s="2707"/>
      <c r="BG256" s="2707"/>
      <c r="BH256" s="2707"/>
      <c r="BI256" s="2707"/>
      <c r="BJ256" s="2707"/>
      <c r="BK256" s="2707"/>
      <c r="BL256" s="2707"/>
      <c r="BM256" s="2707"/>
      <c r="BN256" s="163"/>
      <c r="BO256" s="163"/>
      <c r="BP256" s="163"/>
      <c r="BQ256" s="163"/>
      <c r="BR256" s="163"/>
      <c r="BS256" s="163"/>
      <c r="BT256" s="163"/>
      <c r="BU256" s="163"/>
      <c r="BV256" s="163"/>
      <c r="BW256" s="163"/>
      <c r="BX256" s="163"/>
      <c r="BY256" s="163"/>
    </row>
    <row r="257" spans="1:77">
      <c r="A257" s="162"/>
      <c r="B257" s="162"/>
      <c r="C257" s="3723"/>
      <c r="D257" s="2707"/>
      <c r="E257" s="2707"/>
      <c r="F257" s="2707"/>
      <c r="G257" s="2707"/>
      <c r="H257" s="2707"/>
      <c r="I257" s="2707"/>
      <c r="J257" s="2707"/>
      <c r="K257" s="2707"/>
      <c r="L257" s="162"/>
      <c r="M257" s="162"/>
      <c r="N257" s="162"/>
      <c r="O257" s="162"/>
      <c r="P257" s="162"/>
      <c r="Q257" s="162"/>
      <c r="R257" s="162"/>
      <c r="S257" s="162"/>
      <c r="T257" s="162"/>
      <c r="U257" s="162"/>
      <c r="V257" s="162"/>
      <c r="W257" s="162"/>
      <c r="X257" s="162"/>
      <c r="Y257" s="162"/>
      <c r="Z257" s="162"/>
      <c r="AA257" s="162"/>
      <c r="AB257" s="162"/>
      <c r="AC257" s="162"/>
      <c r="AD257" s="162"/>
      <c r="AE257" s="162"/>
      <c r="AF257" s="162"/>
      <c r="AG257" s="162"/>
      <c r="AH257" s="162"/>
      <c r="AI257" s="162"/>
      <c r="AJ257" s="162"/>
      <c r="AK257" s="162"/>
      <c r="AL257" s="162"/>
      <c r="AM257" s="162"/>
      <c r="AN257" s="162"/>
      <c r="AO257" s="162"/>
      <c r="AP257" s="162"/>
      <c r="AQ257" s="162"/>
      <c r="AR257" s="162"/>
      <c r="AS257" s="162"/>
      <c r="AT257" s="161"/>
      <c r="AU257" s="161"/>
      <c r="AV257" s="161"/>
      <c r="AW257" s="3743"/>
      <c r="AX257" s="2707"/>
      <c r="AY257" s="2707"/>
      <c r="AZ257" s="2707"/>
      <c r="BA257" s="2707"/>
      <c r="BB257" s="2707"/>
      <c r="BC257" s="2707"/>
      <c r="BD257" s="2707"/>
      <c r="BE257" s="2707"/>
      <c r="BF257" s="2707"/>
      <c r="BG257" s="2707"/>
      <c r="BH257" s="2707"/>
      <c r="BI257" s="2707"/>
      <c r="BJ257" s="2707"/>
      <c r="BK257" s="2707"/>
      <c r="BL257" s="2707"/>
      <c r="BM257" s="2707"/>
      <c r="BN257" s="163"/>
      <c r="BO257" s="163"/>
      <c r="BP257" s="163"/>
      <c r="BQ257" s="163"/>
      <c r="BR257" s="163"/>
      <c r="BS257" s="163"/>
      <c r="BT257" s="163"/>
      <c r="BU257" s="163"/>
      <c r="BV257" s="163"/>
      <c r="BW257" s="163"/>
      <c r="BX257" s="163"/>
      <c r="BY257" s="163"/>
    </row>
    <row r="258" spans="1:77">
      <c r="A258" s="162"/>
      <c r="B258" s="162"/>
      <c r="C258" s="3723"/>
      <c r="D258" s="2707"/>
      <c r="E258" s="2707"/>
      <c r="F258" s="2707"/>
      <c r="G258" s="2707"/>
      <c r="H258" s="2707"/>
      <c r="I258" s="2707"/>
      <c r="J258" s="2707"/>
      <c r="K258" s="2707"/>
      <c r="L258" s="162"/>
      <c r="M258" s="162"/>
      <c r="N258" s="162"/>
      <c r="O258" s="162"/>
      <c r="P258" s="162"/>
      <c r="Q258" s="162"/>
      <c r="R258" s="162"/>
      <c r="S258" s="162"/>
      <c r="T258" s="162"/>
      <c r="U258" s="162"/>
      <c r="V258" s="162"/>
      <c r="W258" s="162"/>
      <c r="X258" s="162"/>
      <c r="Y258" s="162"/>
      <c r="Z258" s="162"/>
      <c r="AA258" s="162"/>
      <c r="AB258" s="162"/>
      <c r="AC258" s="162"/>
      <c r="AD258" s="162"/>
      <c r="AE258" s="162"/>
      <c r="AF258" s="162"/>
      <c r="AG258" s="162"/>
      <c r="AH258" s="162"/>
      <c r="AI258" s="162"/>
      <c r="AJ258" s="162"/>
      <c r="AK258" s="162"/>
      <c r="AL258" s="162"/>
      <c r="AM258" s="162"/>
      <c r="AN258" s="162"/>
      <c r="AO258" s="162"/>
      <c r="AP258" s="162"/>
      <c r="AQ258" s="162"/>
      <c r="AR258" s="162"/>
      <c r="AS258" s="162"/>
      <c r="AT258" s="161"/>
      <c r="AU258" s="161"/>
      <c r="AV258" s="161"/>
      <c r="AW258" s="3743"/>
      <c r="AX258" s="2707"/>
      <c r="AY258" s="2707"/>
      <c r="AZ258" s="2707"/>
      <c r="BA258" s="2707"/>
      <c r="BB258" s="2707"/>
      <c r="BC258" s="2707"/>
      <c r="BD258" s="2707"/>
      <c r="BE258" s="2707"/>
      <c r="BF258" s="2707"/>
      <c r="BG258" s="2707"/>
      <c r="BH258" s="2707"/>
      <c r="BI258" s="2707"/>
      <c r="BJ258" s="2707"/>
      <c r="BK258" s="2707"/>
      <c r="BL258" s="2707"/>
      <c r="BM258" s="2707"/>
      <c r="BN258" s="163"/>
      <c r="BO258" s="163"/>
      <c r="BP258" s="163"/>
      <c r="BQ258" s="163"/>
      <c r="BR258" s="163"/>
      <c r="BS258" s="163"/>
      <c r="BT258" s="163"/>
      <c r="BU258" s="163"/>
      <c r="BV258" s="163"/>
      <c r="BW258" s="163"/>
      <c r="BX258" s="163"/>
      <c r="BY258" s="163"/>
    </row>
    <row r="259" spans="1:77">
      <c r="A259" s="162"/>
      <c r="B259" s="162"/>
      <c r="C259" s="3723"/>
      <c r="D259" s="2707"/>
      <c r="E259" s="2707"/>
      <c r="F259" s="2707"/>
      <c r="G259" s="2707"/>
      <c r="H259" s="2707"/>
      <c r="I259" s="2707"/>
      <c r="J259" s="2707"/>
      <c r="K259" s="2707"/>
      <c r="L259" s="162"/>
      <c r="M259" s="162"/>
      <c r="N259" s="162"/>
      <c r="O259" s="162"/>
      <c r="P259" s="162"/>
      <c r="Q259" s="162"/>
      <c r="R259" s="162"/>
      <c r="S259" s="162"/>
      <c r="T259" s="162"/>
      <c r="U259" s="162"/>
      <c r="V259" s="162"/>
      <c r="W259" s="162"/>
      <c r="X259" s="162"/>
      <c r="Y259" s="162"/>
      <c r="Z259" s="162"/>
      <c r="AA259" s="162"/>
      <c r="AB259" s="162"/>
      <c r="AC259" s="162"/>
      <c r="AD259" s="162"/>
      <c r="AE259" s="162"/>
      <c r="AF259" s="162"/>
      <c r="AG259" s="162"/>
      <c r="AH259" s="162"/>
      <c r="AI259" s="162"/>
      <c r="AJ259" s="162"/>
      <c r="AK259" s="162"/>
      <c r="AL259" s="162"/>
      <c r="AM259" s="162"/>
      <c r="AN259" s="162"/>
      <c r="AO259" s="162"/>
      <c r="AP259" s="162"/>
      <c r="AQ259" s="162"/>
      <c r="AR259" s="162"/>
      <c r="AS259" s="162"/>
      <c r="AT259" s="161"/>
      <c r="AU259" s="161"/>
      <c r="AV259" s="161"/>
      <c r="AW259" s="3743"/>
      <c r="AX259" s="2707"/>
      <c r="AY259" s="2707"/>
      <c r="AZ259" s="2707"/>
      <c r="BA259" s="2707"/>
      <c r="BB259" s="2707"/>
      <c r="BC259" s="2707"/>
      <c r="BD259" s="2707"/>
      <c r="BE259" s="2707"/>
      <c r="BF259" s="2707"/>
      <c r="BG259" s="2707"/>
      <c r="BH259" s="2707"/>
      <c r="BI259" s="2707"/>
      <c r="BJ259" s="2707"/>
      <c r="BK259" s="2707"/>
      <c r="BL259" s="2707"/>
      <c r="BM259" s="2707"/>
      <c r="BN259" s="163"/>
      <c r="BO259" s="163"/>
      <c r="BP259" s="163"/>
      <c r="BQ259" s="163"/>
      <c r="BR259" s="163"/>
      <c r="BS259" s="163"/>
      <c r="BT259" s="163"/>
      <c r="BU259" s="163"/>
      <c r="BV259" s="163"/>
      <c r="BW259" s="163"/>
      <c r="BX259" s="163"/>
      <c r="BY259" s="163"/>
    </row>
    <row r="260" spans="1:77">
      <c r="A260" s="162"/>
      <c r="B260" s="162"/>
      <c r="C260" s="3723"/>
      <c r="D260" s="2707"/>
      <c r="E260" s="2707"/>
      <c r="F260" s="2707"/>
      <c r="G260" s="2707"/>
      <c r="H260" s="2707"/>
      <c r="I260" s="2707"/>
      <c r="J260" s="2707"/>
      <c r="K260" s="2707"/>
      <c r="L260" s="162"/>
      <c r="M260" s="162"/>
      <c r="N260" s="162"/>
      <c r="O260" s="162"/>
      <c r="P260" s="162"/>
      <c r="Q260" s="162"/>
      <c r="R260" s="162"/>
      <c r="S260" s="162"/>
      <c r="T260" s="162"/>
      <c r="U260" s="162"/>
      <c r="V260" s="162"/>
      <c r="W260" s="162"/>
      <c r="X260" s="162"/>
      <c r="Y260" s="162"/>
      <c r="Z260" s="162"/>
      <c r="AA260" s="162"/>
      <c r="AB260" s="162"/>
      <c r="AC260" s="162"/>
      <c r="AD260" s="162"/>
      <c r="AE260" s="162"/>
      <c r="AF260" s="162"/>
      <c r="AG260" s="162"/>
      <c r="AH260" s="162"/>
      <c r="AI260" s="162"/>
      <c r="AJ260" s="162"/>
      <c r="AK260" s="162"/>
      <c r="AL260" s="162"/>
      <c r="AM260" s="162"/>
      <c r="AN260" s="162"/>
      <c r="AO260" s="162"/>
      <c r="AP260" s="162"/>
      <c r="AQ260" s="162"/>
      <c r="AR260" s="162"/>
      <c r="AS260" s="162"/>
      <c r="AT260" s="161"/>
      <c r="AU260" s="161"/>
      <c r="AV260" s="161"/>
      <c r="AW260" s="3743"/>
      <c r="AX260" s="2707"/>
      <c r="AY260" s="2707"/>
      <c r="AZ260" s="2707"/>
      <c r="BA260" s="2707"/>
      <c r="BB260" s="2707"/>
      <c r="BC260" s="2707"/>
      <c r="BD260" s="2707"/>
      <c r="BE260" s="2707"/>
      <c r="BF260" s="2707"/>
      <c r="BG260" s="2707"/>
      <c r="BH260" s="2707"/>
      <c r="BI260" s="2707"/>
      <c r="BJ260" s="2707"/>
      <c r="BK260" s="2707"/>
      <c r="BL260" s="2707"/>
      <c r="BM260" s="2707"/>
      <c r="BN260" s="163"/>
      <c r="BO260" s="163"/>
      <c r="BP260" s="163"/>
      <c r="BQ260" s="163"/>
      <c r="BR260" s="163"/>
      <c r="BS260" s="163"/>
      <c r="BT260" s="163"/>
      <c r="BU260" s="163"/>
      <c r="BV260" s="163"/>
      <c r="BW260" s="163"/>
      <c r="BX260" s="163"/>
      <c r="BY260" s="163"/>
    </row>
    <row r="261" spans="1:77">
      <c r="A261" s="162"/>
      <c r="B261" s="162"/>
      <c r="C261" s="3723"/>
      <c r="D261" s="2707"/>
      <c r="E261" s="2707"/>
      <c r="F261" s="2707"/>
      <c r="G261" s="2707"/>
      <c r="H261" s="2707"/>
      <c r="I261" s="2707"/>
      <c r="J261" s="2707"/>
      <c r="K261" s="2707"/>
      <c r="L261" s="162"/>
      <c r="M261" s="162"/>
      <c r="N261" s="162"/>
      <c r="O261" s="162"/>
      <c r="P261" s="162"/>
      <c r="Q261" s="162"/>
      <c r="R261" s="162"/>
      <c r="S261" s="162"/>
      <c r="T261" s="162"/>
      <c r="U261" s="162"/>
      <c r="V261" s="162"/>
      <c r="W261" s="162"/>
      <c r="X261" s="162"/>
      <c r="Y261" s="162"/>
      <c r="Z261" s="162"/>
      <c r="AA261" s="162"/>
      <c r="AB261" s="162"/>
      <c r="AC261" s="162"/>
      <c r="AD261" s="162"/>
      <c r="AE261" s="162"/>
      <c r="AF261" s="162"/>
      <c r="AG261" s="162"/>
      <c r="AH261" s="162"/>
      <c r="AI261" s="162"/>
      <c r="AJ261" s="162"/>
      <c r="AK261" s="162"/>
      <c r="AL261" s="162"/>
      <c r="AM261" s="162"/>
      <c r="AN261" s="162"/>
      <c r="AO261" s="162"/>
      <c r="AP261" s="162"/>
      <c r="AQ261" s="162"/>
      <c r="AR261" s="162"/>
      <c r="AS261" s="162"/>
      <c r="AT261" s="161"/>
      <c r="AU261" s="161"/>
      <c r="AV261" s="161"/>
      <c r="AW261" s="3743"/>
      <c r="AX261" s="2707"/>
      <c r="AY261" s="2707"/>
      <c r="AZ261" s="2707"/>
      <c r="BA261" s="2707"/>
      <c r="BB261" s="2707"/>
      <c r="BC261" s="2707"/>
      <c r="BD261" s="2707"/>
      <c r="BE261" s="2707"/>
      <c r="BF261" s="2707"/>
      <c r="BG261" s="2707"/>
      <c r="BH261" s="2707"/>
      <c r="BI261" s="2707"/>
      <c r="BJ261" s="2707"/>
      <c r="BK261" s="2707"/>
      <c r="BL261" s="2707"/>
      <c r="BM261" s="2707"/>
      <c r="BN261" s="163"/>
      <c r="BO261" s="163"/>
      <c r="BP261" s="163"/>
      <c r="BQ261" s="163"/>
      <c r="BR261" s="163"/>
      <c r="BS261" s="163"/>
      <c r="BT261" s="163"/>
      <c r="BU261" s="163"/>
      <c r="BV261" s="163"/>
      <c r="BW261" s="163"/>
      <c r="BX261" s="163"/>
      <c r="BY261" s="163"/>
    </row>
    <row r="262" spans="1:77">
      <c r="A262" s="162"/>
      <c r="B262" s="162"/>
      <c r="C262" s="3723"/>
      <c r="D262" s="2707"/>
      <c r="E262" s="2707"/>
      <c r="F262" s="2707"/>
      <c r="G262" s="2707"/>
      <c r="H262" s="2707"/>
      <c r="I262" s="2707"/>
      <c r="J262" s="2707"/>
      <c r="K262" s="2707"/>
      <c r="L262" s="162"/>
      <c r="M262" s="162"/>
      <c r="N262" s="162"/>
      <c r="O262" s="162"/>
      <c r="P262" s="162"/>
      <c r="Q262" s="162"/>
      <c r="R262" s="162"/>
      <c r="S262" s="162"/>
      <c r="T262" s="162"/>
      <c r="U262" s="162"/>
      <c r="V262" s="162"/>
      <c r="W262" s="162"/>
      <c r="X262" s="162"/>
      <c r="Y262" s="162"/>
      <c r="Z262" s="162"/>
      <c r="AA262" s="162"/>
      <c r="AB262" s="162"/>
      <c r="AC262" s="162"/>
      <c r="AD262" s="162"/>
      <c r="AE262" s="162"/>
      <c r="AF262" s="162"/>
      <c r="AG262" s="162"/>
      <c r="AH262" s="162"/>
      <c r="AI262" s="162"/>
      <c r="AJ262" s="162"/>
      <c r="AK262" s="162"/>
      <c r="AL262" s="162"/>
      <c r="AM262" s="162"/>
      <c r="AN262" s="162"/>
      <c r="AO262" s="162"/>
      <c r="AP262" s="162"/>
      <c r="AQ262" s="162"/>
      <c r="AR262" s="162"/>
      <c r="AS262" s="162"/>
      <c r="AT262" s="161"/>
      <c r="AU262" s="161"/>
      <c r="AV262" s="161"/>
      <c r="AW262" s="3743"/>
      <c r="AX262" s="2707"/>
      <c r="AY262" s="2707"/>
      <c r="AZ262" s="2707"/>
      <c r="BA262" s="2707"/>
      <c r="BB262" s="2707"/>
      <c r="BC262" s="2707"/>
      <c r="BD262" s="2707"/>
      <c r="BE262" s="2707"/>
      <c r="BF262" s="2707"/>
      <c r="BG262" s="2707"/>
      <c r="BH262" s="2707"/>
      <c r="BI262" s="2707"/>
      <c r="BJ262" s="2707"/>
      <c r="BK262" s="2707"/>
      <c r="BL262" s="2707"/>
      <c r="BM262" s="2707"/>
      <c r="BN262" s="163"/>
      <c r="BO262" s="163"/>
      <c r="BP262" s="163"/>
      <c r="BQ262" s="163"/>
      <c r="BR262" s="163"/>
      <c r="BS262" s="163"/>
      <c r="BT262" s="163"/>
      <c r="BU262" s="163"/>
      <c r="BV262" s="163"/>
      <c r="BW262" s="163"/>
      <c r="BX262" s="163"/>
      <c r="BY262" s="163"/>
    </row>
    <row r="263" spans="1:77">
      <c r="A263" s="162"/>
      <c r="B263" s="162"/>
      <c r="C263" s="3723"/>
      <c r="D263" s="2707"/>
      <c r="E263" s="2707"/>
      <c r="F263" s="2707"/>
      <c r="G263" s="2707"/>
      <c r="H263" s="2707"/>
      <c r="I263" s="2707"/>
      <c r="J263" s="2707"/>
      <c r="K263" s="2707"/>
      <c r="L263" s="162"/>
      <c r="M263" s="162"/>
      <c r="N263" s="162"/>
      <c r="O263" s="162"/>
      <c r="P263" s="162"/>
      <c r="Q263" s="162"/>
      <c r="R263" s="162"/>
      <c r="S263" s="162"/>
      <c r="T263" s="162"/>
      <c r="U263" s="162"/>
      <c r="V263" s="162"/>
      <c r="W263" s="162"/>
      <c r="X263" s="162"/>
      <c r="Y263" s="162"/>
      <c r="Z263" s="162"/>
      <c r="AA263" s="162"/>
      <c r="AB263" s="162"/>
      <c r="AC263" s="162"/>
      <c r="AD263" s="162"/>
      <c r="AE263" s="162"/>
      <c r="AF263" s="162"/>
      <c r="AG263" s="162"/>
      <c r="AH263" s="162"/>
      <c r="AI263" s="162"/>
      <c r="AJ263" s="162"/>
      <c r="AK263" s="162"/>
      <c r="AL263" s="162"/>
      <c r="AM263" s="162"/>
      <c r="AN263" s="162"/>
      <c r="AO263" s="162"/>
      <c r="AP263" s="162"/>
      <c r="AQ263" s="162"/>
      <c r="AR263" s="162"/>
      <c r="AS263" s="162"/>
      <c r="AT263" s="161"/>
      <c r="AU263" s="161"/>
      <c r="AV263" s="161"/>
      <c r="AW263" s="3743"/>
      <c r="AX263" s="2707"/>
      <c r="AY263" s="2707"/>
      <c r="AZ263" s="2707"/>
      <c r="BA263" s="2707"/>
      <c r="BB263" s="2707"/>
      <c r="BC263" s="2707"/>
      <c r="BD263" s="2707"/>
      <c r="BE263" s="2707"/>
      <c r="BF263" s="2707"/>
      <c r="BG263" s="2707"/>
      <c r="BH263" s="2707"/>
      <c r="BI263" s="2707"/>
      <c r="BJ263" s="2707"/>
      <c r="BK263" s="2707"/>
      <c r="BL263" s="2707"/>
      <c r="BM263" s="2707"/>
      <c r="BN263" s="163"/>
      <c r="BO263" s="163"/>
      <c r="BP263" s="163"/>
      <c r="BQ263" s="163"/>
      <c r="BR263" s="163"/>
      <c r="BS263" s="163"/>
      <c r="BT263" s="163"/>
      <c r="BU263" s="163"/>
      <c r="BV263" s="163"/>
      <c r="BW263" s="163"/>
      <c r="BX263" s="163"/>
      <c r="BY263" s="163"/>
    </row>
    <row r="264" spans="1:77">
      <c r="A264" s="162"/>
      <c r="B264" s="162"/>
      <c r="C264" s="3723"/>
      <c r="D264" s="2707"/>
      <c r="E264" s="2707"/>
      <c r="F264" s="2707"/>
      <c r="G264" s="2707"/>
      <c r="H264" s="2707"/>
      <c r="I264" s="2707"/>
      <c r="J264" s="2707"/>
      <c r="K264" s="2707"/>
      <c r="L264" s="162"/>
      <c r="M264" s="162"/>
      <c r="N264" s="162"/>
      <c r="O264" s="162"/>
      <c r="P264" s="162"/>
      <c r="Q264" s="162"/>
      <c r="R264" s="162"/>
      <c r="S264" s="162"/>
      <c r="T264" s="162"/>
      <c r="U264" s="162"/>
      <c r="V264" s="162"/>
      <c r="W264" s="162"/>
      <c r="X264" s="162"/>
      <c r="Y264" s="162"/>
      <c r="Z264" s="162"/>
      <c r="AA264" s="162"/>
      <c r="AB264" s="162"/>
      <c r="AC264" s="162"/>
      <c r="AD264" s="162"/>
      <c r="AE264" s="162"/>
      <c r="AF264" s="162"/>
      <c r="AG264" s="162"/>
      <c r="AH264" s="162"/>
      <c r="AI264" s="162"/>
      <c r="AJ264" s="162"/>
      <c r="AK264" s="162"/>
      <c r="AL264" s="162"/>
      <c r="AM264" s="162"/>
      <c r="AN264" s="162"/>
      <c r="AO264" s="162"/>
      <c r="AP264" s="162"/>
      <c r="AQ264" s="162"/>
      <c r="AR264" s="162"/>
      <c r="AS264" s="162"/>
      <c r="AT264" s="161"/>
      <c r="AU264" s="161"/>
      <c r="AV264" s="161"/>
      <c r="AW264" s="3743"/>
      <c r="AX264" s="2707"/>
      <c r="AY264" s="2707"/>
      <c r="AZ264" s="2707"/>
      <c r="BA264" s="2707"/>
      <c r="BB264" s="2707"/>
      <c r="BC264" s="2707"/>
      <c r="BD264" s="2707"/>
      <c r="BE264" s="2707"/>
      <c r="BF264" s="2707"/>
      <c r="BG264" s="2707"/>
      <c r="BH264" s="2707"/>
      <c r="BI264" s="2707"/>
      <c r="BJ264" s="2707"/>
      <c r="BK264" s="2707"/>
      <c r="BL264" s="2707"/>
      <c r="BM264" s="2707"/>
      <c r="BN264" s="163"/>
      <c r="BO264" s="163"/>
      <c r="BP264" s="163"/>
      <c r="BQ264" s="163"/>
      <c r="BR264" s="163"/>
      <c r="BS264" s="163"/>
      <c r="BT264" s="163"/>
      <c r="BU264" s="163"/>
      <c r="BV264" s="163"/>
      <c r="BW264" s="163"/>
      <c r="BX264" s="163"/>
      <c r="BY264" s="163"/>
    </row>
    <row r="265" spans="1:77">
      <c r="A265" s="162"/>
      <c r="B265" s="162"/>
      <c r="C265" s="3723"/>
      <c r="D265" s="2707"/>
      <c r="E265" s="2707"/>
      <c r="F265" s="2707"/>
      <c r="G265" s="2707"/>
      <c r="H265" s="2707"/>
      <c r="I265" s="2707"/>
      <c r="J265" s="2707"/>
      <c r="K265" s="2707"/>
      <c r="L265" s="162"/>
      <c r="M265" s="162"/>
      <c r="N265" s="162"/>
      <c r="O265" s="162"/>
      <c r="P265" s="162"/>
      <c r="Q265" s="162"/>
      <c r="R265" s="162"/>
      <c r="S265" s="162"/>
      <c r="T265" s="162"/>
      <c r="U265" s="162"/>
      <c r="V265" s="162"/>
      <c r="W265" s="162"/>
      <c r="X265" s="162"/>
      <c r="Y265" s="162"/>
      <c r="Z265" s="162"/>
      <c r="AA265" s="162"/>
      <c r="AB265" s="162"/>
      <c r="AC265" s="162"/>
      <c r="AD265" s="162"/>
      <c r="AE265" s="162"/>
      <c r="AF265" s="162"/>
      <c r="AG265" s="162"/>
      <c r="AH265" s="162"/>
      <c r="AI265" s="162"/>
      <c r="AJ265" s="162"/>
      <c r="AK265" s="162"/>
      <c r="AL265" s="162"/>
      <c r="AM265" s="162"/>
      <c r="AN265" s="162"/>
      <c r="AO265" s="162"/>
      <c r="AP265" s="162"/>
      <c r="AQ265" s="162"/>
      <c r="AR265" s="162"/>
      <c r="AS265" s="162"/>
      <c r="AT265" s="161"/>
      <c r="AU265" s="161"/>
      <c r="AV265" s="161"/>
      <c r="AW265" s="3743"/>
      <c r="AX265" s="2707"/>
      <c r="AY265" s="2707"/>
      <c r="AZ265" s="2707"/>
      <c r="BA265" s="2707"/>
      <c r="BB265" s="2707"/>
      <c r="BC265" s="2707"/>
      <c r="BD265" s="2707"/>
      <c r="BE265" s="2707"/>
      <c r="BF265" s="2707"/>
      <c r="BG265" s="2707"/>
      <c r="BH265" s="2707"/>
      <c r="BI265" s="2707"/>
      <c r="BJ265" s="2707"/>
      <c r="BK265" s="2707"/>
      <c r="BL265" s="2707"/>
      <c r="BM265" s="2707"/>
      <c r="BN265" s="163"/>
      <c r="BO265" s="163"/>
      <c r="BP265" s="163"/>
      <c r="BQ265" s="163"/>
      <c r="BR265" s="163"/>
      <c r="BS265" s="163"/>
      <c r="BT265" s="163"/>
      <c r="BU265" s="163"/>
      <c r="BV265" s="163"/>
      <c r="BW265" s="163"/>
      <c r="BX265" s="163"/>
      <c r="BY265" s="163"/>
    </row>
    <row r="266" spans="1:77">
      <c r="A266" s="162"/>
      <c r="B266" s="162"/>
      <c r="C266" s="3723"/>
      <c r="D266" s="2707"/>
      <c r="E266" s="2707"/>
      <c r="F266" s="2707"/>
      <c r="G266" s="2707"/>
      <c r="H266" s="2707"/>
      <c r="I266" s="2707"/>
      <c r="J266" s="2707"/>
      <c r="K266" s="2707"/>
      <c r="L266" s="162"/>
      <c r="M266" s="162"/>
      <c r="N266" s="162"/>
      <c r="O266" s="162"/>
      <c r="P266" s="162"/>
      <c r="Q266" s="162"/>
      <c r="R266" s="162"/>
      <c r="S266" s="162"/>
      <c r="T266" s="162"/>
      <c r="U266" s="162"/>
      <c r="V266" s="162"/>
      <c r="W266" s="162"/>
      <c r="X266" s="162"/>
      <c r="Y266" s="162"/>
      <c r="Z266" s="162"/>
      <c r="AA266" s="162"/>
      <c r="AB266" s="162"/>
      <c r="AC266" s="162"/>
      <c r="AD266" s="162"/>
      <c r="AE266" s="162"/>
      <c r="AF266" s="162"/>
      <c r="AG266" s="162"/>
      <c r="AH266" s="162"/>
      <c r="AI266" s="162"/>
      <c r="AJ266" s="162"/>
      <c r="AK266" s="162"/>
      <c r="AL266" s="162"/>
      <c r="AM266" s="162"/>
      <c r="AN266" s="162"/>
      <c r="AO266" s="162"/>
      <c r="AP266" s="162"/>
      <c r="AQ266" s="162"/>
      <c r="AR266" s="162"/>
      <c r="AS266" s="162"/>
      <c r="AT266" s="161"/>
      <c r="AU266" s="161"/>
      <c r="AV266" s="161"/>
      <c r="AW266" s="3743"/>
      <c r="AX266" s="2707"/>
      <c r="AY266" s="2707"/>
      <c r="AZ266" s="2707"/>
      <c r="BA266" s="2707"/>
      <c r="BB266" s="2707"/>
      <c r="BC266" s="2707"/>
      <c r="BD266" s="2707"/>
      <c r="BE266" s="2707"/>
      <c r="BF266" s="2707"/>
      <c r="BG266" s="2707"/>
      <c r="BH266" s="2707"/>
      <c r="BI266" s="2707"/>
      <c r="BJ266" s="2707"/>
      <c r="BK266" s="2707"/>
      <c r="BL266" s="2707"/>
      <c r="BM266" s="2707"/>
      <c r="BN266" s="163"/>
      <c r="BO266" s="163"/>
      <c r="BP266" s="163"/>
      <c r="BQ266" s="163"/>
      <c r="BR266" s="163"/>
      <c r="BS266" s="163"/>
      <c r="BT266" s="163"/>
      <c r="BU266" s="163"/>
      <c r="BV266" s="163"/>
      <c r="BW266" s="163"/>
      <c r="BX266" s="163"/>
      <c r="BY266" s="163"/>
    </row>
    <row r="267" spans="1:77">
      <c r="A267" s="162"/>
      <c r="B267" s="162"/>
      <c r="C267" s="3723"/>
      <c r="D267" s="2707"/>
      <c r="E267" s="2707"/>
      <c r="F267" s="2707"/>
      <c r="G267" s="2707"/>
      <c r="H267" s="2707"/>
      <c r="I267" s="2707"/>
      <c r="J267" s="2707"/>
      <c r="K267" s="2707"/>
      <c r="L267" s="162"/>
      <c r="M267" s="162"/>
      <c r="N267" s="162"/>
      <c r="O267" s="162"/>
      <c r="P267" s="162"/>
      <c r="Q267" s="162"/>
      <c r="R267" s="162"/>
      <c r="S267" s="162"/>
      <c r="T267" s="162"/>
      <c r="U267" s="162"/>
      <c r="V267" s="162"/>
      <c r="W267" s="162"/>
      <c r="X267" s="162"/>
      <c r="Y267" s="162"/>
      <c r="Z267" s="162"/>
      <c r="AA267" s="162"/>
      <c r="AB267" s="162"/>
      <c r="AC267" s="162"/>
      <c r="AD267" s="162"/>
      <c r="AE267" s="162"/>
      <c r="AF267" s="162"/>
      <c r="AG267" s="162"/>
      <c r="AH267" s="162"/>
      <c r="AI267" s="162"/>
      <c r="AJ267" s="162"/>
      <c r="AK267" s="162"/>
      <c r="AL267" s="162"/>
      <c r="AM267" s="162"/>
      <c r="AN267" s="162"/>
      <c r="AO267" s="162"/>
      <c r="AP267" s="162"/>
      <c r="AQ267" s="162"/>
      <c r="AR267" s="162"/>
      <c r="AS267" s="162"/>
      <c r="AT267" s="161"/>
      <c r="AU267" s="161"/>
      <c r="AV267" s="161"/>
      <c r="AW267" s="3743"/>
      <c r="AX267" s="2707"/>
      <c r="AY267" s="2707"/>
      <c r="AZ267" s="2707"/>
      <c r="BA267" s="2707"/>
      <c r="BB267" s="2707"/>
      <c r="BC267" s="2707"/>
      <c r="BD267" s="2707"/>
      <c r="BE267" s="2707"/>
      <c r="BF267" s="2707"/>
      <c r="BG267" s="2707"/>
      <c r="BH267" s="2707"/>
      <c r="BI267" s="2707"/>
      <c r="BJ267" s="2707"/>
      <c r="BK267" s="2707"/>
      <c r="BL267" s="2707"/>
      <c r="BM267" s="2707"/>
      <c r="BN267" s="163"/>
      <c r="BO267" s="163"/>
      <c r="BP267" s="163"/>
      <c r="BQ267" s="163"/>
      <c r="BR267" s="163"/>
      <c r="BS267" s="163"/>
      <c r="BT267" s="163"/>
      <c r="BU267" s="163"/>
      <c r="BV267" s="163"/>
      <c r="BW267" s="163"/>
      <c r="BX267" s="163"/>
      <c r="BY267" s="163"/>
    </row>
    <row r="268" spans="1:77">
      <c r="A268" s="162"/>
      <c r="B268" s="162"/>
      <c r="C268" s="3723"/>
      <c r="D268" s="2707"/>
      <c r="E268" s="2707"/>
      <c r="F268" s="2707"/>
      <c r="G268" s="2707"/>
      <c r="H268" s="2707"/>
      <c r="I268" s="2707"/>
      <c r="J268" s="2707"/>
      <c r="K268" s="2707"/>
      <c r="L268" s="162"/>
      <c r="M268" s="162"/>
      <c r="N268" s="162"/>
      <c r="O268" s="162"/>
      <c r="P268" s="162"/>
      <c r="Q268" s="162"/>
      <c r="R268" s="162"/>
      <c r="S268" s="162"/>
      <c r="T268" s="162"/>
      <c r="U268" s="162"/>
      <c r="V268" s="162"/>
      <c r="W268" s="162"/>
      <c r="X268" s="162"/>
      <c r="Y268" s="162"/>
      <c r="Z268" s="162"/>
      <c r="AA268" s="162"/>
      <c r="AB268" s="162"/>
      <c r="AC268" s="162"/>
      <c r="AD268" s="162"/>
      <c r="AE268" s="162"/>
      <c r="AF268" s="162"/>
      <c r="AG268" s="162"/>
      <c r="AH268" s="162"/>
      <c r="AI268" s="162"/>
      <c r="AJ268" s="162"/>
      <c r="AK268" s="162"/>
      <c r="AL268" s="162"/>
      <c r="AM268" s="162"/>
      <c r="AN268" s="162"/>
      <c r="AO268" s="162"/>
      <c r="AP268" s="162"/>
      <c r="AQ268" s="162"/>
      <c r="AR268" s="162"/>
      <c r="AS268" s="162"/>
      <c r="AT268" s="161"/>
      <c r="AU268" s="161"/>
      <c r="AV268" s="161"/>
      <c r="AW268" s="3743"/>
      <c r="AX268" s="2707"/>
      <c r="AY268" s="2707"/>
      <c r="AZ268" s="2707"/>
      <c r="BA268" s="2707"/>
      <c r="BB268" s="2707"/>
      <c r="BC268" s="2707"/>
      <c r="BD268" s="2707"/>
      <c r="BE268" s="2707"/>
      <c r="BF268" s="2707"/>
      <c r="BG268" s="2707"/>
      <c r="BH268" s="2707"/>
      <c r="BI268" s="2707"/>
      <c r="BJ268" s="2707"/>
      <c r="BK268" s="2707"/>
      <c r="BL268" s="2707"/>
      <c r="BM268" s="2707"/>
      <c r="BN268" s="163"/>
      <c r="BO268" s="163"/>
      <c r="BP268" s="163"/>
      <c r="BQ268" s="163"/>
      <c r="BR268" s="163"/>
      <c r="BS268" s="163"/>
      <c r="BT268" s="163"/>
      <c r="BU268" s="163"/>
      <c r="BV268" s="163"/>
      <c r="BW268" s="163"/>
      <c r="BX268" s="163"/>
      <c r="BY268" s="163"/>
    </row>
    <row r="269" spans="1:77">
      <c r="A269" s="162"/>
      <c r="B269" s="162"/>
      <c r="C269" s="3723"/>
      <c r="D269" s="2707"/>
      <c r="E269" s="2707"/>
      <c r="F269" s="2707"/>
      <c r="G269" s="2707"/>
      <c r="H269" s="2707"/>
      <c r="I269" s="2707"/>
      <c r="J269" s="2707"/>
      <c r="K269" s="2707"/>
      <c r="L269" s="162"/>
      <c r="M269" s="162"/>
      <c r="N269" s="162"/>
      <c r="O269" s="162"/>
      <c r="P269" s="162"/>
      <c r="Q269" s="162"/>
      <c r="R269" s="162"/>
      <c r="S269" s="162"/>
      <c r="T269" s="162"/>
      <c r="U269" s="162"/>
      <c r="V269" s="162"/>
      <c r="W269" s="162"/>
      <c r="X269" s="162"/>
      <c r="Y269" s="162"/>
      <c r="Z269" s="162"/>
      <c r="AA269" s="162"/>
      <c r="AB269" s="162"/>
      <c r="AC269" s="162"/>
      <c r="AD269" s="162"/>
      <c r="AE269" s="162"/>
      <c r="AF269" s="162"/>
      <c r="AG269" s="162"/>
      <c r="AH269" s="162"/>
      <c r="AI269" s="162"/>
      <c r="AJ269" s="162"/>
      <c r="AK269" s="162"/>
      <c r="AL269" s="162"/>
      <c r="AM269" s="162"/>
      <c r="AN269" s="162"/>
      <c r="AO269" s="162"/>
      <c r="AP269" s="162"/>
      <c r="AQ269" s="162"/>
      <c r="AR269" s="162"/>
      <c r="AS269" s="162"/>
      <c r="AT269" s="161"/>
      <c r="AU269" s="161"/>
      <c r="AV269" s="161"/>
      <c r="AW269" s="3743"/>
      <c r="AX269" s="2707"/>
      <c r="AY269" s="2707"/>
      <c r="AZ269" s="2707"/>
      <c r="BA269" s="2707"/>
      <c r="BB269" s="2707"/>
      <c r="BC269" s="2707"/>
      <c r="BD269" s="2707"/>
      <c r="BE269" s="2707"/>
      <c r="BF269" s="2707"/>
      <c r="BG269" s="2707"/>
      <c r="BH269" s="2707"/>
      <c r="BI269" s="2707"/>
      <c r="BJ269" s="2707"/>
      <c r="BK269" s="2707"/>
      <c r="BL269" s="2707"/>
      <c r="BM269" s="2707"/>
      <c r="BN269" s="163"/>
      <c r="BO269" s="163"/>
      <c r="BP269" s="163"/>
      <c r="BQ269" s="163"/>
      <c r="BR269" s="163"/>
      <c r="BS269" s="163"/>
      <c r="BT269" s="163"/>
      <c r="BU269" s="163"/>
      <c r="BV269" s="163"/>
      <c r="BW269" s="163"/>
      <c r="BX269" s="163"/>
      <c r="BY269" s="163"/>
    </row>
    <row r="270" spans="1:77">
      <c r="A270" s="162"/>
      <c r="B270" s="162"/>
      <c r="C270" s="3723"/>
      <c r="D270" s="2707"/>
      <c r="E270" s="2707"/>
      <c r="F270" s="2707"/>
      <c r="G270" s="2707"/>
      <c r="H270" s="2707"/>
      <c r="I270" s="2707"/>
      <c r="J270" s="2707"/>
      <c r="K270" s="2707"/>
      <c r="L270" s="162"/>
      <c r="M270" s="162"/>
      <c r="N270" s="162"/>
      <c r="O270" s="162"/>
      <c r="P270" s="162"/>
      <c r="Q270" s="162"/>
      <c r="R270" s="162"/>
      <c r="S270" s="162"/>
      <c r="T270" s="162"/>
      <c r="U270" s="162"/>
      <c r="V270" s="162"/>
      <c r="W270" s="162"/>
      <c r="X270" s="162"/>
      <c r="Y270" s="162"/>
      <c r="Z270" s="162"/>
      <c r="AA270" s="162"/>
      <c r="AB270" s="162"/>
      <c r="AC270" s="162"/>
      <c r="AD270" s="162"/>
      <c r="AE270" s="162"/>
      <c r="AF270" s="162"/>
      <c r="AG270" s="162"/>
      <c r="AH270" s="162"/>
      <c r="AI270" s="162"/>
      <c r="AJ270" s="162"/>
      <c r="AK270" s="162"/>
      <c r="AL270" s="162"/>
      <c r="AM270" s="162"/>
      <c r="AN270" s="162"/>
      <c r="AO270" s="162"/>
      <c r="AP270" s="162"/>
      <c r="AQ270" s="162"/>
      <c r="AR270" s="162"/>
      <c r="AS270" s="162"/>
      <c r="AT270" s="161"/>
      <c r="AU270" s="161"/>
      <c r="AV270" s="161"/>
      <c r="AW270" s="3743"/>
      <c r="AX270" s="2707"/>
      <c r="AY270" s="2707"/>
      <c r="AZ270" s="2707"/>
      <c r="BA270" s="2707"/>
      <c r="BB270" s="2707"/>
      <c r="BC270" s="2707"/>
      <c r="BD270" s="2707"/>
      <c r="BE270" s="2707"/>
      <c r="BF270" s="2707"/>
      <c r="BG270" s="2707"/>
      <c r="BH270" s="2707"/>
      <c r="BI270" s="2707"/>
      <c r="BJ270" s="2707"/>
      <c r="BK270" s="2707"/>
      <c r="BL270" s="2707"/>
      <c r="BM270" s="2707"/>
      <c r="BN270" s="163"/>
      <c r="BO270" s="163"/>
      <c r="BP270" s="163"/>
      <c r="BQ270" s="163"/>
      <c r="BR270" s="163"/>
      <c r="BS270" s="163"/>
      <c r="BT270" s="163"/>
      <c r="BU270" s="163"/>
      <c r="BV270" s="163"/>
      <c r="BW270" s="163"/>
      <c r="BX270" s="163"/>
      <c r="BY270" s="163"/>
    </row>
    <row r="271" spans="1:77">
      <c r="A271" s="162"/>
      <c r="B271" s="162"/>
      <c r="C271" s="3723"/>
      <c r="D271" s="2707"/>
      <c r="E271" s="2707"/>
      <c r="F271" s="2707"/>
      <c r="G271" s="2707"/>
      <c r="H271" s="2707"/>
      <c r="I271" s="2707"/>
      <c r="J271" s="2707"/>
      <c r="K271" s="2707"/>
      <c r="L271" s="162"/>
      <c r="M271" s="162"/>
      <c r="N271" s="162"/>
      <c r="O271" s="162"/>
      <c r="P271" s="162"/>
      <c r="Q271" s="162"/>
      <c r="R271" s="162"/>
      <c r="S271" s="162"/>
      <c r="T271" s="162"/>
      <c r="U271" s="162"/>
      <c r="V271" s="162"/>
      <c r="W271" s="162"/>
      <c r="X271" s="162"/>
      <c r="Y271" s="162"/>
      <c r="Z271" s="162"/>
      <c r="AA271" s="162"/>
      <c r="AB271" s="162"/>
      <c r="AC271" s="162"/>
      <c r="AD271" s="162"/>
      <c r="AE271" s="162"/>
      <c r="AF271" s="162"/>
      <c r="AG271" s="162"/>
      <c r="AH271" s="162"/>
      <c r="AI271" s="162"/>
      <c r="AJ271" s="162"/>
      <c r="AK271" s="162"/>
      <c r="AL271" s="162"/>
      <c r="AM271" s="162"/>
      <c r="AN271" s="162"/>
      <c r="AO271" s="162"/>
      <c r="AP271" s="162"/>
      <c r="AQ271" s="162"/>
      <c r="AR271" s="162"/>
      <c r="AS271" s="162"/>
      <c r="AT271" s="161"/>
      <c r="AU271" s="161"/>
      <c r="AV271" s="161"/>
      <c r="AW271" s="3743"/>
      <c r="AX271" s="2707"/>
      <c r="AY271" s="2707"/>
      <c r="AZ271" s="2707"/>
      <c r="BA271" s="2707"/>
      <c r="BB271" s="2707"/>
      <c r="BC271" s="2707"/>
      <c r="BD271" s="2707"/>
      <c r="BE271" s="2707"/>
      <c r="BF271" s="2707"/>
      <c r="BG271" s="2707"/>
      <c r="BH271" s="2707"/>
      <c r="BI271" s="2707"/>
      <c r="BJ271" s="2707"/>
      <c r="BK271" s="2707"/>
      <c r="BL271" s="2707"/>
      <c r="BM271" s="2707"/>
      <c r="BN271" s="163"/>
      <c r="BO271" s="163"/>
      <c r="BP271" s="163"/>
      <c r="BQ271" s="163"/>
      <c r="BR271" s="163"/>
      <c r="BS271" s="163"/>
      <c r="BT271" s="163"/>
      <c r="BU271" s="163"/>
      <c r="BV271" s="163"/>
      <c r="BW271" s="163"/>
      <c r="BX271" s="163"/>
      <c r="BY271" s="163"/>
    </row>
    <row r="272" spans="1:77">
      <c r="A272" s="162"/>
      <c r="B272" s="162"/>
      <c r="C272" s="3723"/>
      <c r="D272" s="2707"/>
      <c r="E272" s="2707"/>
      <c r="F272" s="2707"/>
      <c r="G272" s="2707"/>
      <c r="H272" s="2707"/>
      <c r="I272" s="2707"/>
      <c r="J272" s="2707"/>
      <c r="K272" s="2707"/>
      <c r="L272" s="162"/>
      <c r="M272" s="162"/>
      <c r="N272" s="162"/>
      <c r="O272" s="162"/>
      <c r="P272" s="162"/>
      <c r="Q272" s="162"/>
      <c r="R272" s="162"/>
      <c r="S272" s="162"/>
      <c r="T272" s="162"/>
      <c r="U272" s="162"/>
      <c r="V272" s="162"/>
      <c r="W272" s="162"/>
      <c r="X272" s="162"/>
      <c r="Y272" s="162"/>
      <c r="Z272" s="162"/>
      <c r="AA272" s="162"/>
      <c r="AB272" s="162"/>
      <c r="AC272" s="162"/>
      <c r="AD272" s="162"/>
      <c r="AE272" s="162"/>
      <c r="AF272" s="162"/>
      <c r="AG272" s="162"/>
      <c r="AH272" s="162"/>
      <c r="AI272" s="162"/>
      <c r="AJ272" s="162"/>
      <c r="AK272" s="162"/>
      <c r="AL272" s="162"/>
      <c r="AM272" s="162"/>
      <c r="AN272" s="162"/>
      <c r="AO272" s="162"/>
      <c r="AP272" s="162"/>
      <c r="AQ272" s="162"/>
      <c r="AR272" s="162"/>
      <c r="AS272" s="162"/>
      <c r="AT272" s="161"/>
      <c r="AU272" s="161"/>
      <c r="AV272" s="161"/>
      <c r="AW272" s="3743"/>
      <c r="AX272" s="2707"/>
      <c r="AY272" s="2707"/>
      <c r="AZ272" s="2707"/>
      <c r="BA272" s="2707"/>
      <c r="BB272" s="2707"/>
      <c r="BC272" s="2707"/>
      <c r="BD272" s="2707"/>
      <c r="BE272" s="2707"/>
      <c r="BF272" s="2707"/>
      <c r="BG272" s="2707"/>
      <c r="BH272" s="2707"/>
      <c r="BI272" s="2707"/>
      <c r="BJ272" s="2707"/>
      <c r="BK272" s="2707"/>
      <c r="BL272" s="2707"/>
      <c r="BM272" s="2707"/>
      <c r="BN272" s="163"/>
      <c r="BO272" s="163"/>
      <c r="BP272" s="163"/>
      <c r="BQ272" s="163"/>
      <c r="BR272" s="163"/>
      <c r="BS272" s="163"/>
      <c r="BT272" s="163"/>
      <c r="BU272" s="163"/>
      <c r="BV272" s="163"/>
      <c r="BW272" s="163"/>
      <c r="BX272" s="163"/>
      <c r="BY272" s="163"/>
    </row>
    <row r="273" spans="1:77">
      <c r="A273" s="162"/>
      <c r="B273" s="162"/>
      <c r="C273" s="3723"/>
      <c r="D273" s="2707"/>
      <c r="E273" s="2707"/>
      <c r="F273" s="2707"/>
      <c r="G273" s="2707"/>
      <c r="H273" s="2707"/>
      <c r="I273" s="2707"/>
      <c r="J273" s="2707"/>
      <c r="K273" s="2707"/>
      <c r="L273" s="162"/>
      <c r="M273" s="162"/>
      <c r="N273" s="162"/>
      <c r="O273" s="162"/>
      <c r="P273" s="162"/>
      <c r="Q273" s="162"/>
      <c r="R273" s="162"/>
      <c r="S273" s="162"/>
      <c r="T273" s="162"/>
      <c r="U273" s="162"/>
      <c r="V273" s="162"/>
      <c r="W273" s="162"/>
      <c r="X273" s="162"/>
      <c r="Y273" s="162"/>
      <c r="Z273" s="162"/>
      <c r="AA273" s="162"/>
      <c r="AB273" s="162"/>
      <c r="AC273" s="162"/>
      <c r="AD273" s="162"/>
      <c r="AE273" s="162"/>
      <c r="AF273" s="162"/>
      <c r="AG273" s="162"/>
      <c r="AH273" s="162"/>
      <c r="AI273" s="162"/>
      <c r="AJ273" s="162"/>
      <c r="AK273" s="162"/>
      <c r="AL273" s="162"/>
      <c r="AM273" s="162"/>
      <c r="AN273" s="162"/>
      <c r="AO273" s="162"/>
      <c r="AP273" s="162"/>
      <c r="AQ273" s="162"/>
      <c r="AR273" s="162"/>
      <c r="AS273" s="162"/>
      <c r="AT273" s="161"/>
      <c r="AU273" s="161"/>
      <c r="AV273" s="161"/>
      <c r="AW273" s="3743"/>
      <c r="AX273" s="2707"/>
      <c r="AY273" s="2707"/>
      <c r="AZ273" s="2707"/>
      <c r="BA273" s="2707"/>
      <c r="BB273" s="2707"/>
      <c r="BC273" s="2707"/>
      <c r="BD273" s="2707"/>
      <c r="BE273" s="2707"/>
      <c r="BF273" s="2707"/>
      <c r="BG273" s="2707"/>
      <c r="BH273" s="2707"/>
      <c r="BI273" s="2707"/>
      <c r="BJ273" s="2707"/>
      <c r="BK273" s="2707"/>
      <c r="BL273" s="2707"/>
      <c r="BM273" s="2707"/>
      <c r="BN273" s="163"/>
      <c r="BO273" s="163"/>
      <c r="BP273" s="163"/>
      <c r="BQ273" s="163"/>
      <c r="BR273" s="163"/>
      <c r="BS273" s="163"/>
      <c r="BT273" s="163"/>
      <c r="BU273" s="163"/>
      <c r="BV273" s="163"/>
      <c r="BW273" s="163"/>
      <c r="BX273" s="163"/>
      <c r="BY273" s="163"/>
    </row>
    <row r="274" spans="1:77">
      <c r="A274" s="162"/>
      <c r="B274" s="162"/>
      <c r="C274" s="3723"/>
      <c r="D274" s="2707"/>
      <c r="E274" s="2707"/>
      <c r="F274" s="2707"/>
      <c r="G274" s="2707"/>
      <c r="H274" s="2707"/>
      <c r="I274" s="2707"/>
      <c r="J274" s="2707"/>
      <c r="K274" s="2707"/>
      <c r="L274" s="162"/>
      <c r="M274" s="162"/>
      <c r="N274" s="162"/>
      <c r="O274" s="162"/>
      <c r="P274" s="162"/>
      <c r="Q274" s="162"/>
      <c r="R274" s="162"/>
      <c r="S274" s="162"/>
      <c r="T274" s="162"/>
      <c r="U274" s="162"/>
      <c r="V274" s="162"/>
      <c r="W274" s="162"/>
      <c r="X274" s="162"/>
      <c r="Y274" s="162"/>
      <c r="Z274" s="162"/>
      <c r="AA274" s="162"/>
      <c r="AB274" s="162"/>
      <c r="AC274" s="162"/>
      <c r="AD274" s="162"/>
      <c r="AE274" s="162"/>
      <c r="AF274" s="162"/>
      <c r="AG274" s="162"/>
      <c r="AH274" s="162"/>
      <c r="AI274" s="162"/>
      <c r="AJ274" s="162"/>
      <c r="AK274" s="162"/>
      <c r="AL274" s="162"/>
      <c r="AM274" s="162"/>
      <c r="AN274" s="162"/>
      <c r="AO274" s="162"/>
      <c r="AP274" s="162"/>
      <c r="AQ274" s="162"/>
      <c r="AR274" s="162"/>
      <c r="AS274" s="162"/>
      <c r="AT274" s="161"/>
      <c r="AU274" s="161"/>
      <c r="AV274" s="161"/>
      <c r="AW274" s="3743"/>
      <c r="AX274" s="2707"/>
      <c r="AY274" s="2707"/>
      <c r="AZ274" s="2707"/>
      <c r="BA274" s="2707"/>
      <c r="BB274" s="2707"/>
      <c r="BC274" s="2707"/>
      <c r="BD274" s="2707"/>
      <c r="BE274" s="2707"/>
      <c r="BF274" s="2707"/>
      <c r="BG274" s="2707"/>
      <c r="BH274" s="2707"/>
      <c r="BI274" s="2707"/>
      <c r="BJ274" s="2707"/>
      <c r="BK274" s="2707"/>
      <c r="BL274" s="2707"/>
      <c r="BM274" s="2707"/>
      <c r="BN274" s="163"/>
      <c r="BO274" s="163"/>
      <c r="BP274" s="163"/>
      <c r="BQ274" s="163"/>
      <c r="BR274" s="163"/>
      <c r="BS274" s="163"/>
      <c r="BT274" s="163"/>
      <c r="BU274" s="163"/>
      <c r="BV274" s="163"/>
      <c r="BW274" s="163"/>
      <c r="BX274" s="163"/>
      <c r="BY274" s="163"/>
    </row>
    <row r="275" spans="1:77">
      <c r="A275" s="162"/>
      <c r="B275" s="162"/>
      <c r="C275" s="3723"/>
      <c r="D275" s="2707"/>
      <c r="E275" s="2707"/>
      <c r="F275" s="2707"/>
      <c r="G275" s="2707"/>
      <c r="H275" s="2707"/>
      <c r="I275" s="2707"/>
      <c r="J275" s="2707"/>
      <c r="K275" s="2707"/>
      <c r="L275" s="162"/>
      <c r="M275" s="162"/>
      <c r="N275" s="162"/>
      <c r="O275" s="162"/>
      <c r="P275" s="162"/>
      <c r="Q275" s="162"/>
      <c r="R275" s="162"/>
      <c r="S275" s="162"/>
      <c r="T275" s="162"/>
      <c r="U275" s="162"/>
      <c r="V275" s="162"/>
      <c r="W275" s="162"/>
      <c r="X275" s="162"/>
      <c r="Y275" s="162"/>
      <c r="Z275" s="162"/>
      <c r="AA275" s="162"/>
      <c r="AB275" s="162"/>
      <c r="AC275" s="162"/>
      <c r="AD275" s="162"/>
      <c r="AE275" s="162"/>
      <c r="AF275" s="162"/>
      <c r="AG275" s="162"/>
      <c r="AH275" s="162"/>
      <c r="AI275" s="162"/>
      <c r="AJ275" s="162"/>
      <c r="AK275" s="162"/>
      <c r="AL275" s="162"/>
      <c r="AM275" s="162"/>
      <c r="AN275" s="162"/>
      <c r="AO275" s="162"/>
      <c r="AP275" s="162"/>
      <c r="AQ275" s="162"/>
      <c r="AR275" s="162"/>
      <c r="AS275" s="162"/>
      <c r="AT275" s="161"/>
      <c r="AU275" s="161"/>
      <c r="AV275" s="161"/>
      <c r="AW275" s="3743"/>
      <c r="AX275" s="2707"/>
      <c r="AY275" s="2707"/>
      <c r="AZ275" s="2707"/>
      <c r="BA275" s="2707"/>
      <c r="BB275" s="2707"/>
      <c r="BC275" s="2707"/>
      <c r="BD275" s="2707"/>
      <c r="BE275" s="2707"/>
      <c r="BF275" s="2707"/>
      <c r="BG275" s="2707"/>
      <c r="BH275" s="2707"/>
      <c r="BI275" s="2707"/>
      <c r="BJ275" s="2707"/>
      <c r="BK275" s="2707"/>
      <c r="BL275" s="2707"/>
      <c r="BM275" s="2707"/>
      <c r="BN275" s="163"/>
      <c r="BO275" s="163"/>
      <c r="BP275" s="163"/>
      <c r="BQ275" s="163"/>
      <c r="BR275" s="163"/>
      <c r="BS275" s="163"/>
      <c r="BT275" s="163"/>
      <c r="BU275" s="163"/>
      <c r="BV275" s="163"/>
      <c r="BW275" s="163"/>
      <c r="BX275" s="163"/>
      <c r="BY275" s="163"/>
    </row>
    <row r="276" spans="1:77">
      <c r="A276" s="162"/>
      <c r="B276" s="162"/>
      <c r="C276" s="3723"/>
      <c r="D276" s="2707"/>
      <c r="E276" s="2707"/>
      <c r="F276" s="2707"/>
      <c r="G276" s="2707"/>
      <c r="H276" s="2707"/>
      <c r="I276" s="2707"/>
      <c r="J276" s="2707"/>
      <c r="K276" s="2707"/>
      <c r="L276" s="162"/>
      <c r="M276" s="162"/>
      <c r="N276" s="162"/>
      <c r="O276" s="162"/>
      <c r="P276" s="162"/>
      <c r="Q276" s="162"/>
      <c r="R276" s="162"/>
      <c r="S276" s="162"/>
      <c r="T276" s="162"/>
      <c r="U276" s="162"/>
      <c r="V276" s="162"/>
      <c r="W276" s="162"/>
      <c r="X276" s="162"/>
      <c r="Y276" s="162"/>
      <c r="Z276" s="162"/>
      <c r="AA276" s="162"/>
      <c r="AB276" s="162"/>
      <c r="AC276" s="162"/>
      <c r="AD276" s="162"/>
      <c r="AE276" s="162"/>
      <c r="AF276" s="162"/>
      <c r="AG276" s="162"/>
      <c r="AH276" s="162"/>
      <c r="AI276" s="162"/>
      <c r="AJ276" s="162"/>
      <c r="AK276" s="162"/>
      <c r="AL276" s="162"/>
      <c r="AM276" s="162"/>
      <c r="AN276" s="162"/>
      <c r="AO276" s="162"/>
      <c r="AP276" s="162"/>
      <c r="AQ276" s="162"/>
      <c r="AR276" s="162"/>
      <c r="AS276" s="162"/>
      <c r="AT276" s="161"/>
      <c r="AU276" s="161"/>
      <c r="AV276" s="161"/>
      <c r="AW276" s="3743"/>
      <c r="AX276" s="2707"/>
      <c r="AY276" s="2707"/>
      <c r="AZ276" s="2707"/>
      <c r="BA276" s="2707"/>
      <c r="BB276" s="2707"/>
      <c r="BC276" s="2707"/>
      <c r="BD276" s="2707"/>
      <c r="BE276" s="2707"/>
      <c r="BF276" s="2707"/>
      <c r="BG276" s="2707"/>
      <c r="BH276" s="2707"/>
      <c r="BI276" s="2707"/>
      <c r="BJ276" s="2707"/>
      <c r="BK276" s="2707"/>
      <c r="BL276" s="2707"/>
      <c r="BM276" s="2707"/>
      <c r="BN276" s="163"/>
      <c r="BO276" s="163"/>
      <c r="BP276" s="163"/>
      <c r="BQ276" s="163"/>
      <c r="BR276" s="163"/>
      <c r="BS276" s="163"/>
      <c r="BT276" s="163"/>
      <c r="BU276" s="163"/>
      <c r="BV276" s="163"/>
      <c r="BW276" s="163"/>
      <c r="BX276" s="163"/>
      <c r="BY276" s="163"/>
    </row>
    <row r="277" spans="1:77">
      <c r="A277" s="162"/>
      <c r="B277" s="162"/>
      <c r="C277" s="3723"/>
      <c r="D277" s="2707"/>
      <c r="E277" s="2707"/>
      <c r="F277" s="2707"/>
      <c r="G277" s="2707"/>
      <c r="H277" s="2707"/>
      <c r="I277" s="2707"/>
      <c r="J277" s="2707"/>
      <c r="K277" s="2707"/>
      <c r="L277" s="162"/>
      <c r="M277" s="162"/>
      <c r="N277" s="162"/>
      <c r="O277" s="162"/>
      <c r="P277" s="162"/>
      <c r="Q277" s="162"/>
      <c r="R277" s="162"/>
      <c r="S277" s="162"/>
      <c r="T277" s="162"/>
      <c r="U277" s="162"/>
      <c r="V277" s="162"/>
      <c r="W277" s="162"/>
      <c r="X277" s="162"/>
      <c r="Y277" s="162"/>
      <c r="Z277" s="162"/>
      <c r="AA277" s="162"/>
      <c r="AB277" s="162"/>
      <c r="AC277" s="162"/>
      <c r="AD277" s="162"/>
      <c r="AE277" s="162"/>
      <c r="AF277" s="162"/>
      <c r="AG277" s="162"/>
      <c r="AH277" s="162"/>
      <c r="AI277" s="162"/>
      <c r="AJ277" s="162"/>
      <c r="AK277" s="162"/>
      <c r="AL277" s="162"/>
      <c r="AM277" s="162"/>
      <c r="AN277" s="162"/>
      <c r="AO277" s="162"/>
      <c r="AP277" s="162"/>
      <c r="AQ277" s="162"/>
      <c r="AR277" s="162"/>
      <c r="AS277" s="162"/>
      <c r="AT277" s="161"/>
      <c r="AU277" s="161"/>
      <c r="AV277" s="161"/>
      <c r="AW277" s="3743"/>
      <c r="AX277" s="2707"/>
      <c r="AY277" s="2707"/>
      <c r="AZ277" s="2707"/>
      <c r="BA277" s="2707"/>
      <c r="BB277" s="2707"/>
      <c r="BC277" s="2707"/>
      <c r="BD277" s="2707"/>
      <c r="BE277" s="2707"/>
      <c r="BF277" s="2707"/>
      <c r="BG277" s="2707"/>
      <c r="BH277" s="2707"/>
      <c r="BI277" s="2707"/>
      <c r="BJ277" s="2707"/>
      <c r="BK277" s="2707"/>
      <c r="BL277" s="2707"/>
      <c r="BM277" s="2707"/>
      <c r="BN277" s="163"/>
      <c r="BO277" s="163"/>
      <c r="BP277" s="163"/>
      <c r="BQ277" s="163"/>
      <c r="BR277" s="163"/>
      <c r="BS277" s="163"/>
      <c r="BT277" s="163"/>
      <c r="BU277" s="163"/>
      <c r="BV277" s="163"/>
      <c r="BW277" s="163"/>
      <c r="BX277" s="163"/>
      <c r="BY277" s="163"/>
    </row>
    <row r="278" spans="1:77">
      <c r="A278" s="162"/>
      <c r="B278" s="162"/>
      <c r="C278" s="3723"/>
      <c r="D278" s="2707"/>
      <c r="E278" s="2707"/>
      <c r="F278" s="2707"/>
      <c r="G278" s="2707"/>
      <c r="H278" s="2707"/>
      <c r="I278" s="2707"/>
      <c r="J278" s="2707"/>
      <c r="K278" s="2707"/>
      <c r="L278" s="162"/>
      <c r="M278" s="162"/>
      <c r="N278" s="162"/>
      <c r="O278" s="162"/>
      <c r="P278" s="162"/>
      <c r="Q278" s="162"/>
      <c r="R278" s="162"/>
      <c r="S278" s="162"/>
      <c r="T278" s="162"/>
      <c r="U278" s="162"/>
      <c r="V278" s="162"/>
      <c r="W278" s="162"/>
      <c r="X278" s="162"/>
      <c r="Y278" s="162"/>
      <c r="Z278" s="162"/>
      <c r="AA278" s="162"/>
      <c r="AB278" s="162"/>
      <c r="AC278" s="162"/>
      <c r="AD278" s="162"/>
      <c r="AE278" s="162"/>
      <c r="AF278" s="162"/>
      <c r="AG278" s="162"/>
      <c r="AH278" s="162"/>
      <c r="AI278" s="162"/>
      <c r="AJ278" s="162"/>
      <c r="AK278" s="162"/>
      <c r="AL278" s="162"/>
      <c r="AM278" s="162"/>
      <c r="AN278" s="162"/>
      <c r="AO278" s="162"/>
      <c r="AP278" s="162"/>
      <c r="AQ278" s="162"/>
      <c r="AR278" s="162"/>
      <c r="AS278" s="162"/>
      <c r="AT278" s="161"/>
      <c r="AU278" s="161"/>
      <c r="AV278" s="161"/>
      <c r="AW278" s="3743"/>
      <c r="AX278" s="2707"/>
      <c r="AY278" s="2707"/>
      <c r="AZ278" s="2707"/>
      <c r="BA278" s="2707"/>
      <c r="BB278" s="2707"/>
      <c r="BC278" s="2707"/>
      <c r="BD278" s="2707"/>
      <c r="BE278" s="2707"/>
      <c r="BF278" s="2707"/>
      <c r="BG278" s="2707"/>
      <c r="BH278" s="2707"/>
      <c r="BI278" s="2707"/>
      <c r="BJ278" s="2707"/>
      <c r="BK278" s="2707"/>
      <c r="BL278" s="2707"/>
      <c r="BM278" s="2707"/>
      <c r="BN278" s="163"/>
      <c r="BO278" s="163"/>
      <c r="BP278" s="163"/>
      <c r="BQ278" s="163"/>
      <c r="BR278" s="163"/>
      <c r="BS278" s="163"/>
      <c r="BT278" s="163"/>
      <c r="BU278" s="163"/>
      <c r="BV278" s="163"/>
      <c r="BW278" s="163"/>
      <c r="BX278" s="163"/>
      <c r="BY278" s="163"/>
    </row>
    <row r="279" spans="1:77">
      <c r="A279" s="162"/>
      <c r="B279" s="162"/>
      <c r="C279" s="3723"/>
      <c r="D279" s="2707"/>
      <c r="E279" s="2707"/>
      <c r="F279" s="2707"/>
      <c r="G279" s="2707"/>
      <c r="H279" s="2707"/>
      <c r="I279" s="2707"/>
      <c r="J279" s="2707"/>
      <c r="K279" s="2707"/>
      <c r="L279" s="162"/>
      <c r="M279" s="162"/>
      <c r="N279" s="162"/>
      <c r="O279" s="162"/>
      <c r="P279" s="162"/>
      <c r="Q279" s="162"/>
      <c r="R279" s="162"/>
      <c r="S279" s="162"/>
      <c r="T279" s="162"/>
      <c r="U279" s="162"/>
      <c r="V279" s="162"/>
      <c r="W279" s="162"/>
      <c r="X279" s="162"/>
      <c r="Y279" s="162"/>
      <c r="Z279" s="162"/>
      <c r="AA279" s="162"/>
      <c r="AB279" s="162"/>
      <c r="AC279" s="162"/>
      <c r="AD279" s="162"/>
      <c r="AE279" s="162"/>
      <c r="AF279" s="162"/>
      <c r="AG279" s="162"/>
      <c r="AH279" s="162"/>
      <c r="AI279" s="162"/>
      <c r="AJ279" s="162"/>
      <c r="AK279" s="162"/>
      <c r="AL279" s="162"/>
      <c r="AM279" s="162"/>
      <c r="AN279" s="162"/>
      <c r="AO279" s="162"/>
      <c r="AP279" s="162"/>
      <c r="AQ279" s="162"/>
      <c r="AR279" s="162"/>
      <c r="AS279" s="162"/>
      <c r="AT279" s="161"/>
      <c r="AU279" s="161"/>
      <c r="AV279" s="161"/>
      <c r="AW279" s="3743"/>
      <c r="AX279" s="2707"/>
      <c r="AY279" s="2707"/>
      <c r="AZ279" s="2707"/>
      <c r="BA279" s="2707"/>
      <c r="BB279" s="2707"/>
      <c r="BC279" s="2707"/>
      <c r="BD279" s="2707"/>
      <c r="BE279" s="2707"/>
      <c r="BF279" s="2707"/>
      <c r="BG279" s="2707"/>
      <c r="BH279" s="2707"/>
      <c r="BI279" s="2707"/>
      <c r="BJ279" s="2707"/>
      <c r="BK279" s="2707"/>
      <c r="BL279" s="2707"/>
      <c r="BM279" s="2707"/>
      <c r="BN279" s="163"/>
      <c r="BO279" s="163"/>
      <c r="BP279" s="163"/>
      <c r="BQ279" s="163"/>
      <c r="BR279" s="163"/>
      <c r="BS279" s="163"/>
      <c r="BT279" s="163"/>
      <c r="BU279" s="163"/>
      <c r="BV279" s="163"/>
      <c r="BW279" s="163"/>
      <c r="BX279" s="163"/>
      <c r="BY279" s="163"/>
    </row>
    <row r="280" spans="1:77">
      <c r="A280" s="162"/>
      <c r="B280" s="162"/>
      <c r="C280" s="3723"/>
      <c r="D280" s="2707"/>
      <c r="E280" s="2707"/>
      <c r="F280" s="2707"/>
      <c r="G280" s="2707"/>
      <c r="H280" s="2707"/>
      <c r="I280" s="2707"/>
      <c r="J280" s="2707"/>
      <c r="K280" s="2707"/>
      <c r="L280" s="162"/>
      <c r="M280" s="162"/>
      <c r="N280" s="162"/>
      <c r="O280" s="162"/>
      <c r="P280" s="162"/>
      <c r="Q280" s="162"/>
      <c r="R280" s="162"/>
      <c r="S280" s="162"/>
      <c r="T280" s="162"/>
      <c r="U280" s="162"/>
      <c r="V280" s="162"/>
      <c r="W280" s="162"/>
      <c r="X280" s="162"/>
      <c r="Y280" s="162"/>
      <c r="Z280" s="162"/>
      <c r="AA280" s="162"/>
      <c r="AB280" s="162"/>
      <c r="AC280" s="162"/>
      <c r="AD280" s="162"/>
      <c r="AE280" s="162"/>
      <c r="AF280" s="162"/>
      <c r="AG280" s="162"/>
      <c r="AH280" s="162"/>
      <c r="AI280" s="162"/>
      <c r="AJ280" s="162"/>
      <c r="AK280" s="162"/>
      <c r="AL280" s="162"/>
      <c r="AM280" s="162"/>
      <c r="AN280" s="162"/>
      <c r="AO280" s="162"/>
      <c r="AP280" s="162"/>
      <c r="AQ280" s="162"/>
      <c r="AR280" s="162"/>
      <c r="AS280" s="162"/>
      <c r="AT280" s="161"/>
      <c r="AU280" s="161"/>
      <c r="AV280" s="161"/>
      <c r="AW280" s="3743"/>
      <c r="AX280" s="2707"/>
      <c r="AY280" s="2707"/>
      <c r="AZ280" s="2707"/>
      <c r="BA280" s="2707"/>
      <c r="BB280" s="2707"/>
      <c r="BC280" s="2707"/>
      <c r="BD280" s="2707"/>
      <c r="BE280" s="2707"/>
      <c r="BF280" s="2707"/>
      <c r="BG280" s="2707"/>
      <c r="BH280" s="2707"/>
      <c r="BI280" s="2707"/>
      <c r="BJ280" s="2707"/>
      <c r="BK280" s="2707"/>
      <c r="BL280" s="2707"/>
      <c r="BM280" s="2707"/>
      <c r="BN280" s="163"/>
      <c r="BO280" s="163"/>
      <c r="BP280" s="163"/>
      <c r="BQ280" s="163"/>
      <c r="BR280" s="163"/>
      <c r="BS280" s="163"/>
      <c r="BT280" s="163"/>
      <c r="BU280" s="163"/>
      <c r="BV280" s="163"/>
      <c r="BW280" s="163"/>
      <c r="BX280" s="163"/>
      <c r="BY280" s="163"/>
    </row>
    <row r="281" spans="1:77">
      <c r="A281" s="162"/>
      <c r="B281" s="162"/>
      <c r="C281" s="3723"/>
      <c r="D281" s="2707"/>
      <c r="E281" s="2707"/>
      <c r="F281" s="2707"/>
      <c r="G281" s="2707"/>
      <c r="H281" s="2707"/>
      <c r="I281" s="2707"/>
      <c r="J281" s="2707"/>
      <c r="K281" s="2707"/>
      <c r="L281" s="162"/>
      <c r="M281" s="162"/>
      <c r="N281" s="162"/>
      <c r="O281" s="162"/>
      <c r="P281" s="162"/>
      <c r="Q281" s="162"/>
      <c r="R281" s="162"/>
      <c r="S281" s="162"/>
      <c r="T281" s="162"/>
      <c r="U281" s="162"/>
      <c r="V281" s="162"/>
      <c r="W281" s="162"/>
      <c r="X281" s="162"/>
      <c r="Y281" s="162"/>
      <c r="Z281" s="162"/>
      <c r="AA281" s="162"/>
      <c r="AB281" s="162"/>
      <c r="AC281" s="162"/>
      <c r="AD281" s="162"/>
      <c r="AE281" s="162"/>
      <c r="AF281" s="162"/>
      <c r="AG281" s="162"/>
      <c r="AH281" s="162"/>
      <c r="AI281" s="162"/>
      <c r="AJ281" s="162"/>
      <c r="AK281" s="162"/>
      <c r="AL281" s="162"/>
      <c r="AM281" s="162"/>
      <c r="AN281" s="162"/>
      <c r="AO281" s="162"/>
      <c r="AP281" s="162"/>
      <c r="AQ281" s="162"/>
      <c r="AR281" s="162"/>
      <c r="AS281" s="162"/>
      <c r="AT281" s="161"/>
      <c r="AU281" s="161"/>
      <c r="AV281" s="161"/>
      <c r="AW281" s="3743"/>
      <c r="AX281" s="2707"/>
      <c r="AY281" s="2707"/>
      <c r="AZ281" s="2707"/>
      <c r="BA281" s="2707"/>
      <c r="BB281" s="2707"/>
      <c r="BC281" s="2707"/>
      <c r="BD281" s="2707"/>
      <c r="BE281" s="2707"/>
      <c r="BF281" s="2707"/>
      <c r="BG281" s="2707"/>
      <c r="BH281" s="2707"/>
      <c r="BI281" s="2707"/>
      <c r="BJ281" s="2707"/>
      <c r="BK281" s="2707"/>
      <c r="BL281" s="2707"/>
      <c r="BM281" s="2707"/>
      <c r="BN281" s="163"/>
      <c r="BO281" s="163"/>
      <c r="BP281" s="163"/>
      <c r="BQ281" s="163"/>
      <c r="BR281" s="163"/>
      <c r="BS281" s="163"/>
      <c r="BT281" s="163"/>
      <c r="BU281" s="163"/>
      <c r="BV281" s="163"/>
      <c r="BW281" s="163"/>
      <c r="BX281" s="163"/>
      <c r="BY281" s="163"/>
    </row>
    <row r="282" spans="1:77">
      <c r="A282" s="162"/>
      <c r="B282" s="162"/>
      <c r="C282" s="3723"/>
      <c r="D282" s="2707"/>
      <c r="E282" s="2707"/>
      <c r="F282" s="2707"/>
      <c r="G282" s="2707"/>
      <c r="H282" s="2707"/>
      <c r="I282" s="2707"/>
      <c r="J282" s="2707"/>
      <c r="K282" s="2707"/>
      <c r="L282" s="162"/>
      <c r="M282" s="162"/>
      <c r="N282" s="162"/>
      <c r="O282" s="162"/>
      <c r="P282" s="162"/>
      <c r="Q282" s="162"/>
      <c r="R282" s="162"/>
      <c r="S282" s="162"/>
      <c r="T282" s="162"/>
      <c r="U282" s="162"/>
      <c r="V282" s="162"/>
      <c r="W282" s="162"/>
      <c r="X282" s="162"/>
      <c r="Y282" s="162"/>
      <c r="Z282" s="162"/>
      <c r="AA282" s="162"/>
      <c r="AB282" s="162"/>
      <c r="AC282" s="162"/>
      <c r="AD282" s="162"/>
      <c r="AE282" s="162"/>
      <c r="AF282" s="162"/>
      <c r="AG282" s="162"/>
      <c r="AH282" s="162"/>
      <c r="AI282" s="162"/>
      <c r="AJ282" s="162"/>
      <c r="AK282" s="162"/>
      <c r="AL282" s="162"/>
      <c r="AM282" s="162"/>
      <c r="AN282" s="162"/>
      <c r="AO282" s="162"/>
      <c r="AP282" s="162"/>
      <c r="AQ282" s="162"/>
      <c r="AR282" s="162"/>
      <c r="AS282" s="162"/>
      <c r="AT282" s="161"/>
      <c r="AU282" s="161"/>
      <c r="AV282" s="161"/>
      <c r="AW282" s="3743"/>
      <c r="AX282" s="2707"/>
      <c r="AY282" s="2707"/>
      <c r="AZ282" s="2707"/>
      <c r="BA282" s="2707"/>
      <c r="BB282" s="2707"/>
      <c r="BC282" s="2707"/>
      <c r="BD282" s="2707"/>
      <c r="BE282" s="2707"/>
      <c r="BF282" s="2707"/>
      <c r="BG282" s="2707"/>
      <c r="BH282" s="2707"/>
      <c r="BI282" s="2707"/>
      <c r="BJ282" s="2707"/>
      <c r="BK282" s="2707"/>
      <c r="BL282" s="2707"/>
      <c r="BM282" s="2707"/>
      <c r="BN282" s="163"/>
      <c r="BO282" s="163"/>
      <c r="BP282" s="163"/>
      <c r="BQ282" s="163"/>
      <c r="BR282" s="163"/>
      <c r="BS282" s="163"/>
      <c r="BT282" s="163"/>
      <c r="BU282" s="163"/>
      <c r="BV282" s="163"/>
      <c r="BW282" s="163"/>
      <c r="BX282" s="163"/>
      <c r="BY282" s="163"/>
    </row>
    <row r="283" spans="1:77">
      <c r="A283" s="162"/>
      <c r="B283" s="162"/>
      <c r="C283" s="3723"/>
      <c r="D283" s="2707"/>
      <c r="E283" s="2707"/>
      <c r="F283" s="2707"/>
      <c r="G283" s="2707"/>
      <c r="H283" s="2707"/>
      <c r="I283" s="2707"/>
      <c r="J283" s="2707"/>
      <c r="K283" s="2707"/>
      <c r="L283" s="162"/>
      <c r="M283" s="162"/>
      <c r="N283" s="162"/>
      <c r="O283" s="162"/>
      <c r="P283" s="162"/>
      <c r="Q283" s="162"/>
      <c r="R283" s="162"/>
      <c r="S283" s="162"/>
      <c r="T283" s="162"/>
      <c r="U283" s="162"/>
      <c r="V283" s="162"/>
      <c r="W283" s="162"/>
      <c r="X283" s="162"/>
      <c r="Y283" s="162"/>
      <c r="Z283" s="162"/>
      <c r="AA283" s="162"/>
      <c r="AB283" s="162"/>
      <c r="AC283" s="162"/>
      <c r="AD283" s="162"/>
      <c r="AE283" s="162"/>
      <c r="AF283" s="162"/>
      <c r="AG283" s="162"/>
      <c r="AH283" s="162"/>
      <c r="AI283" s="162"/>
      <c r="AJ283" s="162"/>
      <c r="AK283" s="162"/>
      <c r="AL283" s="162"/>
      <c r="AM283" s="162"/>
      <c r="AN283" s="162"/>
      <c r="AO283" s="162"/>
      <c r="AP283" s="162"/>
      <c r="AQ283" s="162"/>
      <c r="AR283" s="162"/>
      <c r="AS283" s="162"/>
      <c r="AT283" s="161"/>
      <c r="AU283" s="161"/>
      <c r="AV283" s="161"/>
      <c r="AW283" s="3743"/>
      <c r="AX283" s="2707"/>
      <c r="AY283" s="2707"/>
      <c r="AZ283" s="2707"/>
      <c r="BA283" s="2707"/>
      <c r="BB283" s="2707"/>
      <c r="BC283" s="2707"/>
      <c r="BD283" s="2707"/>
      <c r="BE283" s="2707"/>
      <c r="BF283" s="2707"/>
      <c r="BG283" s="2707"/>
      <c r="BH283" s="2707"/>
      <c r="BI283" s="2707"/>
      <c r="BJ283" s="2707"/>
      <c r="BK283" s="2707"/>
      <c r="BL283" s="2707"/>
      <c r="BM283" s="2707"/>
      <c r="BN283" s="163"/>
      <c r="BO283" s="163"/>
      <c r="BP283" s="163"/>
      <c r="BQ283" s="163"/>
      <c r="BR283" s="163"/>
      <c r="BS283" s="163"/>
      <c r="BT283" s="163"/>
      <c r="BU283" s="163"/>
      <c r="BV283" s="163"/>
      <c r="BW283" s="163"/>
      <c r="BX283" s="163"/>
      <c r="BY283" s="163"/>
    </row>
    <row r="284" spans="1:77">
      <c r="A284" s="162"/>
      <c r="B284" s="162"/>
      <c r="C284" s="3723"/>
      <c r="D284" s="2707"/>
      <c r="E284" s="2707"/>
      <c r="F284" s="2707"/>
      <c r="G284" s="2707"/>
      <c r="H284" s="2707"/>
      <c r="I284" s="2707"/>
      <c r="J284" s="2707"/>
      <c r="K284" s="2707"/>
      <c r="L284" s="162"/>
      <c r="M284" s="162"/>
      <c r="N284" s="162"/>
      <c r="O284" s="162"/>
      <c r="P284" s="162"/>
      <c r="Q284" s="162"/>
      <c r="R284" s="162"/>
      <c r="S284" s="162"/>
      <c r="T284" s="162"/>
      <c r="U284" s="162"/>
      <c r="V284" s="162"/>
      <c r="W284" s="162"/>
      <c r="X284" s="162"/>
      <c r="Y284" s="162"/>
      <c r="Z284" s="162"/>
      <c r="AA284" s="162"/>
      <c r="AB284" s="162"/>
      <c r="AC284" s="162"/>
      <c r="AD284" s="162"/>
      <c r="AE284" s="162"/>
      <c r="AF284" s="162"/>
      <c r="AG284" s="162"/>
      <c r="AH284" s="162"/>
      <c r="AI284" s="162"/>
      <c r="AJ284" s="162"/>
      <c r="AK284" s="162"/>
      <c r="AL284" s="162"/>
      <c r="AM284" s="162"/>
      <c r="AN284" s="162"/>
      <c r="AO284" s="162"/>
      <c r="AP284" s="162"/>
      <c r="AQ284" s="162"/>
      <c r="AR284" s="162"/>
      <c r="AS284" s="162"/>
      <c r="AT284" s="161"/>
      <c r="AU284" s="161"/>
      <c r="AV284" s="161"/>
      <c r="AW284" s="3743"/>
      <c r="AX284" s="2707"/>
      <c r="AY284" s="2707"/>
      <c r="AZ284" s="2707"/>
      <c r="BA284" s="2707"/>
      <c r="BB284" s="2707"/>
      <c r="BC284" s="2707"/>
      <c r="BD284" s="2707"/>
      <c r="BE284" s="2707"/>
      <c r="BF284" s="2707"/>
      <c r="BG284" s="2707"/>
      <c r="BH284" s="2707"/>
      <c r="BI284" s="2707"/>
      <c r="BJ284" s="2707"/>
      <c r="BK284" s="2707"/>
      <c r="BL284" s="2707"/>
      <c r="BM284" s="2707"/>
      <c r="BN284" s="163"/>
      <c r="BO284" s="163"/>
      <c r="BP284" s="163"/>
      <c r="BQ284" s="163"/>
      <c r="BR284" s="163"/>
      <c r="BS284" s="163"/>
      <c r="BT284" s="163"/>
      <c r="BU284" s="163"/>
      <c r="BV284" s="163"/>
      <c r="BW284" s="163"/>
      <c r="BX284" s="163"/>
      <c r="BY284" s="163"/>
    </row>
    <row r="285" spans="1:77">
      <c r="A285" s="162"/>
      <c r="B285" s="162"/>
      <c r="C285" s="3723"/>
      <c r="D285" s="2707"/>
      <c r="E285" s="2707"/>
      <c r="F285" s="2707"/>
      <c r="G285" s="2707"/>
      <c r="H285" s="2707"/>
      <c r="I285" s="2707"/>
      <c r="J285" s="2707"/>
      <c r="K285" s="2707"/>
      <c r="L285" s="162"/>
      <c r="M285" s="162"/>
      <c r="N285" s="162"/>
      <c r="O285" s="162"/>
      <c r="P285" s="162"/>
      <c r="Q285" s="162"/>
      <c r="R285" s="162"/>
      <c r="S285" s="162"/>
      <c r="T285" s="162"/>
      <c r="U285" s="162"/>
      <c r="V285" s="162"/>
      <c r="W285" s="162"/>
      <c r="X285" s="162"/>
      <c r="Y285" s="162"/>
      <c r="Z285" s="162"/>
      <c r="AA285" s="162"/>
      <c r="AB285" s="162"/>
      <c r="AC285" s="162"/>
      <c r="AD285" s="162"/>
      <c r="AE285" s="162"/>
      <c r="AF285" s="162"/>
      <c r="AG285" s="162"/>
      <c r="AH285" s="162"/>
      <c r="AI285" s="162"/>
      <c r="AJ285" s="162"/>
      <c r="AK285" s="162"/>
      <c r="AL285" s="162"/>
      <c r="AM285" s="162"/>
      <c r="AN285" s="162"/>
      <c r="AO285" s="162"/>
      <c r="AP285" s="162"/>
      <c r="AQ285" s="162"/>
      <c r="AR285" s="162"/>
      <c r="AS285" s="162"/>
      <c r="AT285" s="161"/>
      <c r="AU285" s="161"/>
      <c r="AV285" s="161"/>
      <c r="AW285" s="3743"/>
      <c r="AX285" s="2707"/>
      <c r="AY285" s="2707"/>
      <c r="AZ285" s="2707"/>
      <c r="BA285" s="2707"/>
      <c r="BB285" s="2707"/>
      <c r="BC285" s="2707"/>
      <c r="BD285" s="2707"/>
      <c r="BE285" s="2707"/>
      <c r="BF285" s="2707"/>
      <c r="BG285" s="2707"/>
      <c r="BH285" s="2707"/>
      <c r="BI285" s="2707"/>
      <c r="BJ285" s="2707"/>
      <c r="BK285" s="2707"/>
      <c r="BL285" s="2707"/>
      <c r="BM285" s="2707"/>
      <c r="BN285" s="163"/>
      <c r="BO285" s="163"/>
      <c r="BP285" s="163"/>
      <c r="BQ285" s="163"/>
      <c r="BR285" s="163"/>
      <c r="BS285" s="163"/>
      <c r="BT285" s="163"/>
      <c r="BU285" s="163"/>
      <c r="BV285" s="163"/>
      <c r="BW285" s="163"/>
      <c r="BX285" s="163"/>
      <c r="BY285" s="163"/>
    </row>
    <row r="286" spans="1:77">
      <c r="A286" s="162"/>
      <c r="B286" s="162"/>
      <c r="C286" s="3723"/>
      <c r="D286" s="2707"/>
      <c r="E286" s="2707"/>
      <c r="F286" s="2707"/>
      <c r="G286" s="2707"/>
      <c r="H286" s="2707"/>
      <c r="I286" s="2707"/>
      <c r="J286" s="2707"/>
      <c r="K286" s="2707"/>
      <c r="L286" s="162"/>
      <c r="M286" s="162"/>
      <c r="N286" s="162"/>
      <c r="O286" s="162"/>
      <c r="P286" s="162"/>
      <c r="Q286" s="162"/>
      <c r="R286" s="162"/>
      <c r="S286" s="162"/>
      <c r="T286" s="162"/>
      <c r="U286" s="162"/>
      <c r="V286" s="162"/>
      <c r="W286" s="162"/>
      <c r="X286" s="162"/>
      <c r="Y286" s="162"/>
      <c r="Z286" s="162"/>
      <c r="AA286" s="162"/>
      <c r="AB286" s="162"/>
      <c r="AC286" s="162"/>
      <c r="AD286" s="162"/>
      <c r="AE286" s="162"/>
      <c r="AF286" s="162"/>
      <c r="AG286" s="162"/>
      <c r="AH286" s="162"/>
      <c r="AI286" s="162"/>
      <c r="AJ286" s="162"/>
      <c r="AK286" s="162"/>
      <c r="AL286" s="162"/>
      <c r="AM286" s="162"/>
      <c r="AN286" s="162"/>
      <c r="AO286" s="162"/>
      <c r="AP286" s="162"/>
      <c r="AQ286" s="162"/>
      <c r="AR286" s="162"/>
      <c r="AS286" s="162"/>
      <c r="AT286" s="161"/>
      <c r="AU286" s="161"/>
      <c r="AV286" s="161"/>
      <c r="AW286" s="3743"/>
      <c r="AX286" s="2707"/>
      <c r="AY286" s="2707"/>
      <c r="AZ286" s="2707"/>
      <c r="BA286" s="2707"/>
      <c r="BB286" s="2707"/>
      <c r="BC286" s="2707"/>
      <c r="BD286" s="2707"/>
      <c r="BE286" s="2707"/>
      <c r="BF286" s="2707"/>
      <c r="BG286" s="2707"/>
      <c r="BH286" s="2707"/>
      <c r="BI286" s="2707"/>
      <c r="BJ286" s="2707"/>
      <c r="BK286" s="2707"/>
      <c r="BL286" s="2707"/>
      <c r="BM286" s="2707"/>
      <c r="BN286" s="163"/>
      <c r="BO286" s="163"/>
      <c r="BP286" s="163"/>
      <c r="BQ286" s="163"/>
      <c r="BR286" s="163"/>
      <c r="BS286" s="163"/>
      <c r="BT286" s="163"/>
      <c r="BU286" s="163"/>
      <c r="BV286" s="163"/>
      <c r="BW286" s="163"/>
      <c r="BX286" s="163"/>
      <c r="BY286" s="163"/>
    </row>
    <row r="287" spans="1:77">
      <c r="A287" s="162"/>
      <c r="B287" s="162"/>
      <c r="C287" s="3723"/>
      <c r="D287" s="2707"/>
      <c r="E287" s="2707"/>
      <c r="F287" s="2707"/>
      <c r="G287" s="2707"/>
      <c r="H287" s="2707"/>
      <c r="I287" s="2707"/>
      <c r="J287" s="2707"/>
      <c r="K287" s="2707"/>
      <c r="L287" s="162"/>
      <c r="M287" s="162"/>
      <c r="N287" s="162"/>
      <c r="O287" s="162"/>
      <c r="P287" s="162"/>
      <c r="Q287" s="162"/>
      <c r="R287" s="162"/>
      <c r="S287" s="162"/>
      <c r="T287" s="162"/>
      <c r="U287" s="162"/>
      <c r="V287" s="162"/>
      <c r="W287" s="162"/>
      <c r="X287" s="162"/>
      <c r="Y287" s="162"/>
      <c r="Z287" s="162"/>
      <c r="AA287" s="162"/>
      <c r="AB287" s="162"/>
      <c r="AC287" s="162"/>
      <c r="AD287" s="162"/>
      <c r="AE287" s="162"/>
      <c r="AF287" s="162"/>
      <c r="AG287" s="162"/>
      <c r="AH287" s="162"/>
      <c r="AI287" s="162"/>
      <c r="AJ287" s="162"/>
      <c r="AK287" s="162"/>
      <c r="AL287" s="162"/>
      <c r="AM287" s="162"/>
      <c r="AN287" s="162"/>
      <c r="AO287" s="162"/>
      <c r="AP287" s="162"/>
      <c r="AQ287" s="162"/>
      <c r="AR287" s="162"/>
      <c r="AS287" s="162"/>
      <c r="AT287" s="161"/>
      <c r="AU287" s="161"/>
      <c r="AV287" s="161"/>
      <c r="AW287" s="3743"/>
      <c r="AX287" s="2707"/>
      <c r="AY287" s="2707"/>
      <c r="AZ287" s="2707"/>
      <c r="BA287" s="2707"/>
      <c r="BB287" s="2707"/>
      <c r="BC287" s="2707"/>
      <c r="BD287" s="2707"/>
      <c r="BE287" s="2707"/>
      <c r="BF287" s="2707"/>
      <c r="BG287" s="2707"/>
      <c r="BH287" s="2707"/>
      <c r="BI287" s="2707"/>
      <c r="BJ287" s="2707"/>
      <c r="BK287" s="2707"/>
      <c r="BL287" s="2707"/>
      <c r="BM287" s="2707"/>
      <c r="BN287" s="163"/>
      <c r="BO287" s="163"/>
      <c r="BP287" s="163"/>
      <c r="BQ287" s="163"/>
      <c r="BR287" s="163"/>
      <c r="BS287" s="163"/>
      <c r="BT287" s="163"/>
      <c r="BU287" s="163"/>
      <c r="BV287" s="163"/>
      <c r="BW287" s="163"/>
      <c r="BX287" s="163"/>
      <c r="BY287" s="163"/>
    </row>
    <row r="288" spans="1:77">
      <c r="A288" s="162"/>
      <c r="B288" s="162"/>
      <c r="C288" s="3723"/>
      <c r="D288" s="2707"/>
      <c r="E288" s="2707"/>
      <c r="F288" s="2707"/>
      <c r="G288" s="2707"/>
      <c r="H288" s="2707"/>
      <c r="I288" s="2707"/>
      <c r="J288" s="2707"/>
      <c r="K288" s="2707"/>
      <c r="L288" s="162"/>
      <c r="M288" s="162"/>
      <c r="N288" s="162"/>
      <c r="O288" s="162"/>
      <c r="P288" s="162"/>
      <c r="Q288" s="162"/>
      <c r="R288" s="162"/>
      <c r="S288" s="162"/>
      <c r="T288" s="162"/>
      <c r="U288" s="162"/>
      <c r="V288" s="162"/>
      <c r="W288" s="162"/>
      <c r="X288" s="162"/>
      <c r="Y288" s="162"/>
      <c r="Z288" s="162"/>
      <c r="AA288" s="162"/>
      <c r="AB288" s="162"/>
      <c r="AC288" s="162"/>
      <c r="AD288" s="162"/>
      <c r="AE288" s="162"/>
      <c r="AF288" s="162"/>
      <c r="AG288" s="162"/>
      <c r="AH288" s="162"/>
      <c r="AI288" s="162"/>
      <c r="AJ288" s="162"/>
      <c r="AK288" s="162"/>
      <c r="AL288" s="162"/>
      <c r="AM288" s="162"/>
      <c r="AN288" s="162"/>
      <c r="AO288" s="162"/>
      <c r="AP288" s="162"/>
      <c r="AQ288" s="162"/>
      <c r="AR288" s="162"/>
      <c r="AS288" s="162"/>
      <c r="AT288" s="161"/>
      <c r="AU288" s="161"/>
      <c r="AV288" s="161"/>
      <c r="AW288" s="3743"/>
      <c r="AX288" s="2707"/>
      <c r="AY288" s="2707"/>
      <c r="AZ288" s="2707"/>
      <c r="BA288" s="2707"/>
      <c r="BB288" s="2707"/>
      <c r="BC288" s="2707"/>
      <c r="BD288" s="2707"/>
      <c r="BE288" s="2707"/>
      <c r="BF288" s="2707"/>
      <c r="BG288" s="2707"/>
      <c r="BH288" s="2707"/>
      <c r="BI288" s="2707"/>
      <c r="BJ288" s="2707"/>
      <c r="BK288" s="2707"/>
      <c r="BL288" s="2707"/>
      <c r="BM288" s="2707"/>
      <c r="BN288" s="163"/>
      <c r="BO288" s="163"/>
      <c r="BP288" s="163"/>
      <c r="BQ288" s="163"/>
      <c r="BR288" s="163"/>
      <c r="BS288" s="163"/>
      <c r="BT288" s="163"/>
      <c r="BU288" s="163"/>
      <c r="BV288" s="163"/>
      <c r="BW288" s="163"/>
      <c r="BX288" s="163"/>
      <c r="BY288" s="163"/>
    </row>
    <row r="289" spans="1:77">
      <c r="A289" s="162"/>
      <c r="B289" s="162"/>
      <c r="C289" s="3723"/>
      <c r="D289" s="2707"/>
      <c r="E289" s="2707"/>
      <c r="F289" s="2707"/>
      <c r="G289" s="2707"/>
      <c r="H289" s="2707"/>
      <c r="I289" s="2707"/>
      <c r="J289" s="2707"/>
      <c r="K289" s="2707"/>
      <c r="L289" s="162"/>
      <c r="M289" s="162"/>
      <c r="N289" s="162"/>
      <c r="O289" s="162"/>
      <c r="P289" s="162"/>
      <c r="Q289" s="162"/>
      <c r="R289" s="162"/>
      <c r="S289" s="162"/>
      <c r="T289" s="162"/>
      <c r="U289" s="162"/>
      <c r="V289" s="162"/>
      <c r="W289" s="162"/>
      <c r="X289" s="162"/>
      <c r="Y289" s="162"/>
      <c r="Z289" s="162"/>
      <c r="AA289" s="162"/>
      <c r="AB289" s="162"/>
      <c r="AC289" s="162"/>
      <c r="AD289" s="162"/>
      <c r="AE289" s="162"/>
      <c r="AF289" s="162"/>
      <c r="AG289" s="162"/>
      <c r="AH289" s="162"/>
      <c r="AI289" s="162"/>
      <c r="AJ289" s="162"/>
      <c r="AK289" s="162"/>
      <c r="AL289" s="162"/>
      <c r="AM289" s="162"/>
      <c r="AN289" s="162"/>
      <c r="AO289" s="162"/>
      <c r="AP289" s="162"/>
      <c r="AQ289" s="162"/>
      <c r="AR289" s="162"/>
      <c r="AS289" s="162"/>
      <c r="AT289" s="161"/>
      <c r="AU289" s="161"/>
      <c r="AV289" s="161"/>
      <c r="AW289" s="3743"/>
      <c r="AX289" s="2707"/>
      <c r="AY289" s="2707"/>
      <c r="AZ289" s="2707"/>
      <c r="BA289" s="2707"/>
      <c r="BB289" s="2707"/>
      <c r="BC289" s="2707"/>
      <c r="BD289" s="2707"/>
      <c r="BE289" s="2707"/>
      <c r="BF289" s="2707"/>
      <c r="BG289" s="2707"/>
      <c r="BH289" s="2707"/>
      <c r="BI289" s="2707"/>
      <c r="BJ289" s="2707"/>
      <c r="BK289" s="2707"/>
      <c r="BL289" s="2707"/>
      <c r="BM289" s="2707"/>
      <c r="BN289" s="163"/>
      <c r="BO289" s="163"/>
      <c r="BP289" s="163"/>
      <c r="BQ289" s="163"/>
      <c r="BR289" s="163"/>
      <c r="BS289" s="163"/>
      <c r="BT289" s="163"/>
      <c r="BU289" s="163"/>
      <c r="BV289" s="163"/>
      <c r="BW289" s="163"/>
      <c r="BX289" s="163"/>
      <c r="BY289" s="163"/>
    </row>
    <row r="290" spans="1:77">
      <c r="A290" s="162"/>
      <c r="B290" s="162"/>
      <c r="C290" s="3723"/>
      <c r="D290" s="2707"/>
      <c r="E290" s="2707"/>
      <c r="F290" s="2707"/>
      <c r="G290" s="2707"/>
      <c r="H290" s="2707"/>
      <c r="I290" s="2707"/>
      <c r="J290" s="2707"/>
      <c r="K290" s="2707"/>
      <c r="L290" s="162"/>
      <c r="M290" s="162"/>
      <c r="N290" s="162"/>
      <c r="O290" s="162"/>
      <c r="P290" s="162"/>
      <c r="Q290" s="162"/>
      <c r="R290" s="162"/>
      <c r="S290" s="162"/>
      <c r="T290" s="162"/>
      <c r="U290" s="162"/>
      <c r="V290" s="162"/>
      <c r="W290" s="162"/>
      <c r="X290" s="162"/>
      <c r="Y290" s="162"/>
      <c r="Z290" s="162"/>
      <c r="AA290" s="162"/>
      <c r="AB290" s="162"/>
      <c r="AC290" s="162"/>
      <c r="AD290" s="162"/>
      <c r="AE290" s="162"/>
      <c r="AF290" s="162"/>
      <c r="AG290" s="162"/>
      <c r="AH290" s="162"/>
      <c r="AI290" s="162"/>
      <c r="AJ290" s="162"/>
      <c r="AK290" s="162"/>
      <c r="AL290" s="162"/>
      <c r="AM290" s="162"/>
      <c r="AN290" s="162"/>
      <c r="AO290" s="162"/>
      <c r="AP290" s="162"/>
      <c r="AQ290" s="162"/>
      <c r="AR290" s="162"/>
      <c r="AS290" s="162"/>
      <c r="AT290" s="161"/>
      <c r="AU290" s="161"/>
      <c r="AV290" s="161"/>
      <c r="AW290" s="3743"/>
      <c r="AX290" s="2707"/>
      <c r="AY290" s="2707"/>
      <c r="AZ290" s="2707"/>
      <c r="BA290" s="2707"/>
      <c r="BB290" s="2707"/>
      <c r="BC290" s="2707"/>
      <c r="BD290" s="2707"/>
      <c r="BE290" s="2707"/>
      <c r="BF290" s="2707"/>
      <c r="BG290" s="2707"/>
      <c r="BH290" s="2707"/>
      <c r="BI290" s="2707"/>
      <c r="BJ290" s="2707"/>
      <c r="BK290" s="2707"/>
      <c r="BL290" s="2707"/>
      <c r="BM290" s="2707"/>
      <c r="BN290" s="163"/>
      <c r="BO290" s="163"/>
      <c r="BP290" s="163"/>
      <c r="BQ290" s="163"/>
      <c r="BR290" s="163"/>
      <c r="BS290" s="163"/>
      <c r="BT290" s="163"/>
      <c r="BU290" s="163"/>
      <c r="BV290" s="163"/>
      <c r="BW290" s="163"/>
      <c r="BX290" s="163"/>
      <c r="BY290" s="163"/>
    </row>
    <row r="291" spans="1:77">
      <c r="A291" s="162"/>
      <c r="B291" s="162"/>
      <c r="C291" s="3723"/>
      <c r="D291" s="2707"/>
      <c r="E291" s="2707"/>
      <c r="F291" s="2707"/>
      <c r="G291" s="2707"/>
      <c r="H291" s="2707"/>
      <c r="I291" s="2707"/>
      <c r="J291" s="2707"/>
      <c r="K291" s="2707"/>
      <c r="L291" s="162"/>
      <c r="M291" s="162"/>
      <c r="N291" s="162"/>
      <c r="O291" s="162"/>
      <c r="P291" s="162"/>
      <c r="Q291" s="162"/>
      <c r="R291" s="162"/>
      <c r="S291" s="162"/>
      <c r="T291" s="162"/>
      <c r="U291" s="162"/>
      <c r="V291" s="162"/>
      <c r="W291" s="162"/>
      <c r="X291" s="162"/>
      <c r="Y291" s="162"/>
      <c r="Z291" s="162"/>
      <c r="AA291" s="162"/>
      <c r="AB291" s="162"/>
      <c r="AC291" s="162"/>
      <c r="AD291" s="162"/>
      <c r="AE291" s="162"/>
      <c r="AF291" s="162"/>
      <c r="AG291" s="162"/>
      <c r="AH291" s="162"/>
      <c r="AI291" s="162"/>
      <c r="AJ291" s="162"/>
      <c r="AK291" s="162"/>
      <c r="AL291" s="162"/>
      <c r="AM291" s="162"/>
      <c r="AN291" s="162"/>
      <c r="AO291" s="162"/>
      <c r="AP291" s="162"/>
      <c r="AQ291" s="162"/>
      <c r="AR291" s="162"/>
      <c r="AS291" s="162"/>
      <c r="AT291" s="161"/>
      <c r="AU291" s="161"/>
      <c r="AV291" s="161"/>
      <c r="AW291" s="3743"/>
      <c r="AX291" s="2707"/>
      <c r="AY291" s="2707"/>
      <c r="AZ291" s="2707"/>
      <c r="BA291" s="2707"/>
      <c r="BB291" s="2707"/>
      <c r="BC291" s="2707"/>
      <c r="BD291" s="2707"/>
      <c r="BE291" s="2707"/>
      <c r="BF291" s="2707"/>
      <c r="BG291" s="2707"/>
      <c r="BH291" s="2707"/>
      <c r="BI291" s="2707"/>
      <c r="BJ291" s="2707"/>
      <c r="BK291" s="2707"/>
      <c r="BL291" s="2707"/>
      <c r="BM291" s="2707"/>
      <c r="BN291" s="163"/>
      <c r="BO291" s="163"/>
      <c r="BP291" s="163"/>
      <c r="BQ291" s="163"/>
      <c r="BR291" s="163"/>
      <c r="BS291" s="163"/>
      <c r="BT291" s="163"/>
      <c r="BU291" s="163"/>
      <c r="BV291" s="163"/>
      <c r="BW291" s="163"/>
      <c r="BX291" s="163"/>
      <c r="BY291" s="163"/>
    </row>
    <row r="292" spans="1:77">
      <c r="A292" s="162"/>
      <c r="B292" s="162"/>
      <c r="C292" s="3723"/>
      <c r="D292" s="2707"/>
      <c r="E292" s="2707"/>
      <c r="F292" s="2707"/>
      <c r="G292" s="2707"/>
      <c r="H292" s="2707"/>
      <c r="I292" s="2707"/>
      <c r="J292" s="2707"/>
      <c r="K292" s="2707"/>
      <c r="L292" s="162"/>
      <c r="M292" s="162"/>
      <c r="N292" s="162"/>
      <c r="O292" s="162"/>
      <c r="P292" s="162"/>
      <c r="Q292" s="162"/>
      <c r="R292" s="162"/>
      <c r="S292" s="162"/>
      <c r="T292" s="162"/>
      <c r="U292" s="162"/>
      <c r="V292" s="162"/>
      <c r="W292" s="162"/>
      <c r="X292" s="162"/>
      <c r="Y292" s="162"/>
      <c r="Z292" s="162"/>
      <c r="AA292" s="162"/>
      <c r="AB292" s="162"/>
      <c r="AC292" s="162"/>
      <c r="AD292" s="162"/>
      <c r="AE292" s="162"/>
      <c r="AF292" s="162"/>
      <c r="AG292" s="162"/>
      <c r="AH292" s="162"/>
      <c r="AI292" s="162"/>
      <c r="AJ292" s="162"/>
      <c r="AK292" s="162"/>
      <c r="AL292" s="162"/>
      <c r="AM292" s="162"/>
      <c r="AN292" s="162"/>
      <c r="AO292" s="162"/>
      <c r="AP292" s="162"/>
      <c r="AQ292" s="162"/>
      <c r="AR292" s="162"/>
      <c r="AS292" s="162"/>
      <c r="AT292" s="161"/>
      <c r="AU292" s="161"/>
      <c r="AV292" s="161"/>
      <c r="AW292" s="3743"/>
      <c r="AX292" s="2707"/>
      <c r="AY292" s="2707"/>
      <c r="AZ292" s="2707"/>
      <c r="BA292" s="2707"/>
      <c r="BB292" s="2707"/>
      <c r="BC292" s="2707"/>
      <c r="BD292" s="2707"/>
      <c r="BE292" s="2707"/>
      <c r="BF292" s="2707"/>
      <c r="BG292" s="2707"/>
      <c r="BH292" s="2707"/>
      <c r="BI292" s="2707"/>
      <c r="BJ292" s="2707"/>
      <c r="BK292" s="2707"/>
      <c r="BL292" s="2707"/>
      <c r="BM292" s="2707"/>
      <c r="BN292" s="163"/>
      <c r="BO292" s="163"/>
      <c r="BP292" s="163"/>
      <c r="BQ292" s="163"/>
      <c r="BR292" s="163"/>
      <c r="BS292" s="163"/>
      <c r="BT292" s="163"/>
      <c r="BU292" s="163"/>
      <c r="BV292" s="163"/>
      <c r="BW292" s="163"/>
      <c r="BX292" s="163"/>
      <c r="BY292" s="163"/>
    </row>
    <row r="293" spans="1:77">
      <c r="A293" s="162"/>
      <c r="B293" s="162"/>
      <c r="C293" s="3723"/>
      <c r="D293" s="2707"/>
      <c r="E293" s="2707"/>
      <c r="F293" s="2707"/>
      <c r="G293" s="2707"/>
      <c r="H293" s="2707"/>
      <c r="I293" s="2707"/>
      <c r="J293" s="2707"/>
      <c r="K293" s="2707"/>
      <c r="L293" s="162"/>
      <c r="M293" s="162"/>
      <c r="N293" s="162"/>
      <c r="O293" s="162"/>
      <c r="P293" s="162"/>
      <c r="Q293" s="162"/>
      <c r="R293" s="162"/>
      <c r="S293" s="162"/>
      <c r="T293" s="162"/>
      <c r="U293" s="162"/>
      <c r="V293" s="162"/>
      <c r="W293" s="162"/>
      <c r="X293" s="162"/>
      <c r="Y293" s="162"/>
      <c r="Z293" s="162"/>
      <c r="AA293" s="162"/>
      <c r="AB293" s="162"/>
      <c r="AC293" s="162"/>
      <c r="AD293" s="162"/>
      <c r="AE293" s="162"/>
      <c r="AF293" s="162"/>
      <c r="AG293" s="162"/>
      <c r="AH293" s="162"/>
      <c r="AI293" s="162"/>
      <c r="AJ293" s="162"/>
      <c r="AK293" s="162"/>
      <c r="AL293" s="162"/>
      <c r="AM293" s="162"/>
      <c r="AN293" s="162"/>
      <c r="AO293" s="162"/>
      <c r="AP293" s="162"/>
      <c r="AQ293" s="162"/>
      <c r="AR293" s="162"/>
      <c r="AS293" s="162"/>
      <c r="AT293" s="161"/>
      <c r="AU293" s="161"/>
      <c r="AV293" s="161"/>
      <c r="AW293" s="3743"/>
      <c r="AX293" s="2707"/>
      <c r="AY293" s="2707"/>
      <c r="AZ293" s="2707"/>
      <c r="BA293" s="2707"/>
      <c r="BB293" s="2707"/>
      <c r="BC293" s="2707"/>
      <c r="BD293" s="2707"/>
      <c r="BE293" s="2707"/>
      <c r="BF293" s="2707"/>
      <c r="BG293" s="2707"/>
      <c r="BH293" s="2707"/>
      <c r="BI293" s="2707"/>
      <c r="BJ293" s="2707"/>
      <c r="BK293" s="2707"/>
      <c r="BL293" s="2707"/>
      <c r="BM293" s="2707"/>
      <c r="BN293" s="163"/>
      <c r="BO293" s="163"/>
      <c r="BP293" s="163"/>
      <c r="BQ293" s="163"/>
      <c r="BR293" s="163"/>
      <c r="BS293" s="163"/>
      <c r="BT293" s="163"/>
      <c r="BU293" s="163"/>
      <c r="BV293" s="163"/>
      <c r="BW293" s="163"/>
      <c r="BX293" s="163"/>
      <c r="BY293" s="163"/>
    </row>
    <row r="294" spans="1:77">
      <c r="A294" s="162"/>
      <c r="B294" s="162"/>
      <c r="C294" s="3723"/>
      <c r="D294" s="2707"/>
      <c r="E294" s="2707"/>
      <c r="F294" s="2707"/>
      <c r="G294" s="2707"/>
      <c r="H294" s="2707"/>
      <c r="I294" s="2707"/>
      <c r="J294" s="2707"/>
      <c r="K294" s="2707"/>
      <c r="L294" s="162"/>
      <c r="M294" s="162"/>
      <c r="N294" s="162"/>
      <c r="O294" s="162"/>
      <c r="P294" s="162"/>
      <c r="Q294" s="162"/>
      <c r="R294" s="162"/>
      <c r="S294" s="162"/>
      <c r="T294" s="162"/>
      <c r="U294" s="162"/>
      <c r="V294" s="162"/>
      <c r="W294" s="162"/>
      <c r="X294" s="162"/>
      <c r="Y294" s="162"/>
      <c r="Z294" s="162"/>
      <c r="AA294" s="162"/>
      <c r="AB294" s="162"/>
      <c r="AC294" s="162"/>
      <c r="AD294" s="162"/>
      <c r="AE294" s="162"/>
      <c r="AF294" s="162"/>
      <c r="AG294" s="162"/>
      <c r="AH294" s="162"/>
      <c r="AI294" s="162"/>
      <c r="AJ294" s="162"/>
      <c r="AK294" s="162"/>
      <c r="AL294" s="162"/>
      <c r="AM294" s="162"/>
      <c r="AN294" s="162"/>
      <c r="AO294" s="162"/>
      <c r="AP294" s="162"/>
      <c r="AQ294" s="162"/>
      <c r="AR294" s="162"/>
      <c r="AS294" s="162"/>
      <c r="AT294" s="161"/>
      <c r="AU294" s="161"/>
      <c r="AV294" s="161"/>
      <c r="AW294" s="3743"/>
      <c r="AX294" s="2707"/>
      <c r="AY294" s="2707"/>
      <c r="AZ294" s="2707"/>
      <c r="BA294" s="2707"/>
      <c r="BB294" s="2707"/>
      <c r="BC294" s="2707"/>
      <c r="BD294" s="2707"/>
      <c r="BE294" s="2707"/>
      <c r="BF294" s="2707"/>
      <c r="BG294" s="2707"/>
      <c r="BH294" s="2707"/>
      <c r="BI294" s="2707"/>
      <c r="BJ294" s="2707"/>
      <c r="BK294" s="2707"/>
      <c r="BL294" s="2707"/>
      <c r="BM294" s="2707"/>
      <c r="BN294" s="163"/>
      <c r="BO294" s="163"/>
      <c r="BP294" s="163"/>
      <c r="BQ294" s="163"/>
      <c r="BR294" s="163"/>
      <c r="BS294" s="163"/>
      <c r="BT294" s="163"/>
      <c r="BU294" s="163"/>
      <c r="BV294" s="163"/>
      <c r="BW294" s="163"/>
      <c r="BX294" s="163"/>
      <c r="BY294" s="163"/>
    </row>
    <row r="295" spans="1:77">
      <c r="A295" s="162"/>
      <c r="B295" s="162"/>
      <c r="C295" s="3723"/>
      <c r="D295" s="2707"/>
      <c r="E295" s="2707"/>
      <c r="F295" s="2707"/>
      <c r="G295" s="2707"/>
      <c r="H295" s="2707"/>
      <c r="I295" s="2707"/>
      <c r="J295" s="2707"/>
      <c r="K295" s="2707"/>
      <c r="L295" s="162"/>
      <c r="M295" s="162"/>
      <c r="N295" s="162"/>
      <c r="O295" s="162"/>
      <c r="P295" s="162"/>
      <c r="Q295" s="162"/>
      <c r="R295" s="162"/>
      <c r="S295" s="162"/>
      <c r="T295" s="162"/>
      <c r="U295" s="162"/>
      <c r="V295" s="162"/>
      <c r="W295" s="162"/>
      <c r="X295" s="162"/>
      <c r="Y295" s="162"/>
      <c r="Z295" s="162"/>
      <c r="AA295" s="162"/>
      <c r="AB295" s="162"/>
      <c r="AC295" s="162"/>
      <c r="AD295" s="162"/>
      <c r="AE295" s="162"/>
      <c r="AF295" s="162"/>
      <c r="AG295" s="162"/>
      <c r="AH295" s="162"/>
      <c r="AI295" s="162"/>
      <c r="AJ295" s="162"/>
      <c r="AK295" s="162"/>
      <c r="AL295" s="162"/>
      <c r="AM295" s="162"/>
      <c r="AN295" s="162"/>
      <c r="AO295" s="162"/>
      <c r="AP295" s="162"/>
      <c r="AQ295" s="162"/>
      <c r="AR295" s="162"/>
      <c r="AS295" s="162"/>
      <c r="AT295" s="161"/>
      <c r="AU295" s="161"/>
      <c r="AV295" s="161"/>
      <c r="AW295" s="3743"/>
      <c r="AX295" s="2707"/>
      <c r="AY295" s="2707"/>
      <c r="AZ295" s="2707"/>
      <c r="BA295" s="2707"/>
      <c r="BB295" s="2707"/>
      <c r="BC295" s="2707"/>
      <c r="BD295" s="2707"/>
      <c r="BE295" s="2707"/>
      <c r="BF295" s="2707"/>
      <c r="BG295" s="2707"/>
      <c r="BH295" s="2707"/>
      <c r="BI295" s="2707"/>
      <c r="BJ295" s="2707"/>
      <c r="BK295" s="2707"/>
      <c r="BL295" s="2707"/>
      <c r="BM295" s="2707"/>
      <c r="BN295" s="163"/>
      <c r="BO295" s="163"/>
      <c r="BP295" s="163"/>
      <c r="BQ295" s="163"/>
      <c r="BR295" s="163"/>
      <c r="BS295" s="163"/>
      <c r="BT295" s="163"/>
      <c r="BU295" s="163"/>
      <c r="BV295" s="163"/>
      <c r="BW295" s="163"/>
      <c r="BX295" s="163"/>
      <c r="BY295" s="163"/>
    </row>
    <row r="296" spans="1:77">
      <c r="A296" s="162"/>
      <c r="B296" s="162"/>
      <c r="C296" s="3723"/>
      <c r="D296" s="2707"/>
      <c r="E296" s="2707"/>
      <c r="F296" s="2707"/>
      <c r="G296" s="2707"/>
      <c r="H296" s="2707"/>
      <c r="I296" s="2707"/>
      <c r="J296" s="2707"/>
      <c r="K296" s="2707"/>
      <c r="L296" s="162"/>
      <c r="M296" s="162"/>
      <c r="N296" s="162"/>
      <c r="O296" s="162"/>
      <c r="P296" s="162"/>
      <c r="Q296" s="162"/>
      <c r="R296" s="162"/>
      <c r="S296" s="162"/>
      <c r="T296" s="162"/>
      <c r="U296" s="162"/>
      <c r="V296" s="162"/>
      <c r="W296" s="162"/>
      <c r="X296" s="162"/>
      <c r="Y296" s="162"/>
      <c r="Z296" s="162"/>
      <c r="AA296" s="162"/>
      <c r="AB296" s="162"/>
      <c r="AC296" s="162"/>
      <c r="AD296" s="162"/>
      <c r="AE296" s="162"/>
      <c r="AF296" s="162"/>
      <c r="AG296" s="162"/>
      <c r="AH296" s="162"/>
      <c r="AI296" s="162"/>
      <c r="AJ296" s="162"/>
      <c r="AK296" s="162"/>
      <c r="AL296" s="162"/>
      <c r="AM296" s="162"/>
      <c r="AN296" s="162"/>
      <c r="AO296" s="162"/>
      <c r="AP296" s="162"/>
      <c r="AQ296" s="162"/>
      <c r="AR296" s="162"/>
      <c r="AS296" s="162"/>
      <c r="AT296" s="161"/>
      <c r="AU296" s="161"/>
      <c r="AV296" s="161"/>
      <c r="AW296" s="3743"/>
      <c r="AX296" s="2707"/>
      <c r="AY296" s="2707"/>
      <c r="AZ296" s="2707"/>
      <c r="BA296" s="2707"/>
      <c r="BB296" s="2707"/>
      <c r="BC296" s="2707"/>
      <c r="BD296" s="2707"/>
      <c r="BE296" s="2707"/>
      <c r="BF296" s="2707"/>
      <c r="BG296" s="2707"/>
      <c r="BH296" s="2707"/>
      <c r="BI296" s="2707"/>
      <c r="BJ296" s="2707"/>
      <c r="BK296" s="2707"/>
      <c r="BL296" s="2707"/>
      <c r="BM296" s="2707"/>
      <c r="BN296" s="163"/>
      <c r="BO296" s="163"/>
      <c r="BP296" s="163"/>
      <c r="BQ296" s="163"/>
      <c r="BR296" s="163"/>
      <c r="BS296" s="163"/>
      <c r="BT296" s="163"/>
      <c r="BU296" s="163"/>
      <c r="BV296" s="163"/>
      <c r="BW296" s="163"/>
      <c r="BX296" s="163"/>
      <c r="BY296" s="163"/>
    </row>
    <row r="297" spans="1:77">
      <c r="A297" s="162"/>
      <c r="B297" s="162"/>
      <c r="C297" s="3723"/>
      <c r="D297" s="2707"/>
      <c r="E297" s="2707"/>
      <c r="F297" s="2707"/>
      <c r="G297" s="2707"/>
      <c r="H297" s="2707"/>
      <c r="I297" s="2707"/>
      <c r="J297" s="2707"/>
      <c r="K297" s="2707"/>
      <c r="L297" s="162"/>
      <c r="M297" s="162"/>
      <c r="N297" s="162"/>
      <c r="O297" s="162"/>
      <c r="P297" s="162"/>
      <c r="Q297" s="162"/>
      <c r="R297" s="162"/>
      <c r="S297" s="162"/>
      <c r="T297" s="162"/>
      <c r="U297" s="162"/>
      <c r="V297" s="162"/>
      <c r="W297" s="162"/>
      <c r="X297" s="162"/>
      <c r="Y297" s="162"/>
      <c r="Z297" s="162"/>
      <c r="AA297" s="162"/>
      <c r="AB297" s="162"/>
      <c r="AC297" s="162"/>
      <c r="AD297" s="162"/>
      <c r="AE297" s="162"/>
      <c r="AF297" s="162"/>
      <c r="AG297" s="162"/>
      <c r="AH297" s="162"/>
      <c r="AI297" s="162"/>
      <c r="AJ297" s="162"/>
      <c r="AK297" s="162"/>
      <c r="AL297" s="162"/>
      <c r="AM297" s="162"/>
      <c r="AN297" s="162"/>
      <c r="AO297" s="162"/>
      <c r="AP297" s="162"/>
      <c r="AQ297" s="162"/>
      <c r="AR297" s="162"/>
      <c r="AS297" s="162"/>
      <c r="AT297" s="161"/>
      <c r="AU297" s="161"/>
      <c r="AV297" s="161"/>
      <c r="AW297" s="3743"/>
      <c r="AX297" s="2707"/>
      <c r="AY297" s="2707"/>
      <c r="AZ297" s="2707"/>
      <c r="BA297" s="2707"/>
      <c r="BB297" s="2707"/>
      <c r="BC297" s="2707"/>
      <c r="BD297" s="2707"/>
      <c r="BE297" s="2707"/>
      <c r="BF297" s="2707"/>
      <c r="BG297" s="2707"/>
      <c r="BH297" s="2707"/>
      <c r="BI297" s="2707"/>
      <c r="BJ297" s="2707"/>
      <c r="BK297" s="2707"/>
      <c r="BL297" s="2707"/>
      <c r="BM297" s="2707"/>
      <c r="BN297" s="163"/>
      <c r="BO297" s="163"/>
      <c r="BP297" s="163"/>
      <c r="BQ297" s="163"/>
      <c r="BR297" s="163"/>
      <c r="BS297" s="163"/>
      <c r="BT297" s="163"/>
      <c r="BU297" s="163"/>
      <c r="BV297" s="163"/>
      <c r="BW297" s="163"/>
      <c r="BX297" s="163"/>
      <c r="BY297" s="163"/>
    </row>
    <row r="298" spans="1:77">
      <c r="A298" s="162"/>
      <c r="B298" s="162"/>
      <c r="C298" s="3723"/>
      <c r="D298" s="2707"/>
      <c r="E298" s="2707"/>
      <c r="F298" s="2707"/>
      <c r="G298" s="2707"/>
      <c r="H298" s="2707"/>
      <c r="I298" s="2707"/>
      <c r="J298" s="2707"/>
      <c r="K298" s="2707"/>
      <c r="L298" s="162"/>
      <c r="M298" s="162"/>
      <c r="N298" s="162"/>
      <c r="O298" s="162"/>
      <c r="P298" s="162"/>
      <c r="Q298" s="162"/>
      <c r="R298" s="162"/>
      <c r="S298" s="162"/>
      <c r="T298" s="162"/>
      <c r="U298" s="162"/>
      <c r="V298" s="162"/>
      <c r="W298" s="162"/>
      <c r="X298" s="162"/>
      <c r="Y298" s="162"/>
      <c r="Z298" s="162"/>
      <c r="AA298" s="162"/>
      <c r="AB298" s="162"/>
      <c r="AC298" s="162"/>
      <c r="AD298" s="162"/>
      <c r="AE298" s="162"/>
      <c r="AF298" s="162"/>
      <c r="AG298" s="162"/>
      <c r="AH298" s="162"/>
      <c r="AI298" s="162"/>
      <c r="AJ298" s="162"/>
      <c r="AK298" s="162"/>
      <c r="AL298" s="162"/>
      <c r="AM298" s="162"/>
      <c r="AN298" s="162"/>
      <c r="AO298" s="162"/>
      <c r="AP298" s="162"/>
      <c r="AQ298" s="162"/>
      <c r="AR298" s="162"/>
      <c r="AS298" s="162"/>
      <c r="AT298" s="161"/>
      <c r="AU298" s="161"/>
      <c r="AV298" s="161"/>
      <c r="AW298" s="3743"/>
      <c r="AX298" s="2707"/>
      <c r="AY298" s="2707"/>
      <c r="AZ298" s="2707"/>
      <c r="BA298" s="2707"/>
      <c r="BB298" s="2707"/>
      <c r="BC298" s="2707"/>
      <c r="BD298" s="2707"/>
      <c r="BE298" s="2707"/>
      <c r="BF298" s="2707"/>
      <c r="BG298" s="2707"/>
      <c r="BH298" s="2707"/>
      <c r="BI298" s="2707"/>
      <c r="BJ298" s="2707"/>
      <c r="BK298" s="2707"/>
      <c r="BL298" s="2707"/>
      <c r="BM298" s="2707"/>
      <c r="BN298" s="163"/>
      <c r="BO298" s="163"/>
      <c r="BP298" s="163"/>
      <c r="BQ298" s="163"/>
      <c r="BR298" s="163"/>
      <c r="BS298" s="163"/>
      <c r="BT298" s="163"/>
      <c r="BU298" s="163"/>
      <c r="BV298" s="163"/>
      <c r="BW298" s="163"/>
      <c r="BX298" s="163"/>
      <c r="BY298" s="163"/>
    </row>
    <row r="299" spans="1:77">
      <c r="A299" s="162"/>
      <c r="B299" s="162"/>
      <c r="C299" s="3723"/>
      <c r="D299" s="2707"/>
      <c r="E299" s="2707"/>
      <c r="F299" s="2707"/>
      <c r="G299" s="2707"/>
      <c r="H299" s="2707"/>
      <c r="I299" s="2707"/>
      <c r="J299" s="2707"/>
      <c r="K299" s="2707"/>
      <c r="L299" s="162"/>
      <c r="M299" s="162"/>
      <c r="N299" s="162"/>
      <c r="O299" s="162"/>
      <c r="P299" s="162"/>
      <c r="Q299" s="162"/>
      <c r="R299" s="162"/>
      <c r="S299" s="162"/>
      <c r="T299" s="162"/>
      <c r="U299" s="162"/>
      <c r="V299" s="162"/>
      <c r="W299" s="162"/>
      <c r="X299" s="162"/>
      <c r="Y299" s="162"/>
      <c r="Z299" s="162"/>
      <c r="AA299" s="162"/>
      <c r="AB299" s="162"/>
      <c r="AC299" s="162"/>
      <c r="AD299" s="162"/>
      <c r="AE299" s="162"/>
      <c r="AF299" s="162"/>
      <c r="AG299" s="162"/>
      <c r="AH299" s="162"/>
      <c r="AI299" s="162"/>
      <c r="AJ299" s="162"/>
      <c r="AK299" s="162"/>
      <c r="AL299" s="162"/>
      <c r="AM299" s="162"/>
      <c r="AN299" s="162"/>
      <c r="AO299" s="162"/>
      <c r="AP299" s="162"/>
      <c r="AQ299" s="162"/>
      <c r="AR299" s="162"/>
      <c r="AS299" s="162"/>
      <c r="AT299" s="161"/>
      <c r="AU299" s="161"/>
      <c r="AV299" s="161"/>
      <c r="AW299" s="3743"/>
      <c r="AX299" s="2707"/>
      <c r="AY299" s="2707"/>
      <c r="AZ299" s="2707"/>
      <c r="BA299" s="2707"/>
      <c r="BB299" s="2707"/>
      <c r="BC299" s="2707"/>
      <c r="BD299" s="2707"/>
      <c r="BE299" s="2707"/>
      <c r="BF299" s="2707"/>
      <c r="BG299" s="2707"/>
      <c r="BH299" s="2707"/>
      <c r="BI299" s="2707"/>
      <c r="BJ299" s="2707"/>
      <c r="BK299" s="2707"/>
      <c r="BL299" s="2707"/>
      <c r="BM299" s="2707"/>
      <c r="BN299" s="163"/>
      <c r="BO299" s="163"/>
      <c r="BP299" s="163"/>
      <c r="BQ299" s="163"/>
      <c r="BR299" s="163"/>
      <c r="BS299" s="163"/>
      <c r="BT299" s="163"/>
      <c r="BU299" s="163"/>
      <c r="BV299" s="163"/>
      <c r="BW299" s="163"/>
      <c r="BX299" s="163"/>
      <c r="BY299" s="163"/>
    </row>
    <row r="300" spans="1:77">
      <c r="A300" s="162"/>
      <c r="B300" s="162"/>
      <c r="C300" s="3723"/>
      <c r="D300" s="2707"/>
      <c r="E300" s="2707"/>
      <c r="F300" s="2707"/>
      <c r="G300" s="2707"/>
      <c r="H300" s="2707"/>
      <c r="I300" s="2707"/>
      <c r="J300" s="2707"/>
      <c r="K300" s="2707"/>
      <c r="L300" s="162"/>
      <c r="M300" s="162"/>
      <c r="N300" s="162"/>
      <c r="O300" s="162"/>
      <c r="P300" s="162"/>
      <c r="Q300" s="162"/>
      <c r="R300" s="162"/>
      <c r="S300" s="162"/>
      <c r="T300" s="162"/>
      <c r="U300" s="162"/>
      <c r="V300" s="162"/>
      <c r="W300" s="162"/>
      <c r="X300" s="162"/>
      <c r="Y300" s="162"/>
      <c r="Z300" s="162"/>
      <c r="AA300" s="162"/>
      <c r="AB300" s="162"/>
      <c r="AC300" s="162"/>
      <c r="AD300" s="162"/>
      <c r="AE300" s="162"/>
      <c r="AF300" s="162"/>
      <c r="AG300" s="162"/>
      <c r="AH300" s="162"/>
      <c r="AI300" s="162"/>
      <c r="AJ300" s="162"/>
      <c r="AK300" s="162"/>
      <c r="AL300" s="162"/>
      <c r="AM300" s="162"/>
      <c r="AN300" s="162"/>
      <c r="AO300" s="162"/>
      <c r="AP300" s="162"/>
      <c r="AQ300" s="162"/>
      <c r="AR300" s="162"/>
      <c r="AS300" s="162"/>
      <c r="AT300" s="161"/>
      <c r="AU300" s="161"/>
      <c r="AV300" s="161"/>
      <c r="AW300" s="3743"/>
      <c r="AX300" s="2707"/>
      <c r="AY300" s="2707"/>
      <c r="AZ300" s="2707"/>
      <c r="BA300" s="2707"/>
      <c r="BB300" s="2707"/>
      <c r="BC300" s="2707"/>
      <c r="BD300" s="2707"/>
      <c r="BE300" s="2707"/>
      <c r="BF300" s="2707"/>
      <c r="BG300" s="2707"/>
      <c r="BH300" s="2707"/>
      <c r="BI300" s="2707"/>
      <c r="BJ300" s="2707"/>
      <c r="BK300" s="2707"/>
      <c r="BL300" s="2707"/>
      <c r="BM300" s="2707"/>
      <c r="BN300" s="163"/>
      <c r="BO300" s="163"/>
      <c r="BP300" s="163"/>
      <c r="BQ300" s="163"/>
      <c r="BR300" s="163"/>
      <c r="BS300" s="163"/>
      <c r="BT300" s="163"/>
      <c r="BU300" s="163"/>
      <c r="BV300" s="163"/>
      <c r="BW300" s="163"/>
      <c r="BX300" s="163"/>
      <c r="BY300" s="163"/>
    </row>
    <row r="301" spans="1:77">
      <c r="A301" s="162"/>
      <c r="B301" s="162"/>
      <c r="C301" s="3723"/>
      <c r="D301" s="2707"/>
      <c r="E301" s="2707"/>
      <c r="F301" s="2707"/>
      <c r="G301" s="2707"/>
      <c r="H301" s="2707"/>
      <c r="I301" s="2707"/>
      <c r="J301" s="2707"/>
      <c r="K301" s="2707"/>
      <c r="L301" s="162"/>
      <c r="M301" s="162"/>
      <c r="N301" s="162"/>
      <c r="O301" s="162"/>
      <c r="P301" s="162"/>
      <c r="Q301" s="162"/>
      <c r="R301" s="162"/>
      <c r="S301" s="162"/>
      <c r="T301" s="162"/>
      <c r="U301" s="162"/>
      <c r="V301" s="162"/>
      <c r="W301" s="162"/>
      <c r="X301" s="162"/>
      <c r="Y301" s="162"/>
      <c r="Z301" s="162"/>
      <c r="AA301" s="162"/>
      <c r="AB301" s="162"/>
      <c r="AC301" s="162"/>
      <c r="AD301" s="162"/>
      <c r="AE301" s="162"/>
      <c r="AF301" s="162"/>
      <c r="AG301" s="162"/>
      <c r="AH301" s="162"/>
      <c r="AI301" s="162"/>
      <c r="AJ301" s="162"/>
      <c r="AK301" s="162"/>
      <c r="AL301" s="162"/>
      <c r="AM301" s="162"/>
      <c r="AN301" s="162"/>
      <c r="AO301" s="162"/>
      <c r="AP301" s="162"/>
      <c r="AQ301" s="162"/>
      <c r="AR301" s="162"/>
      <c r="AS301" s="162"/>
      <c r="AT301" s="161"/>
      <c r="AU301" s="161"/>
      <c r="AV301" s="161"/>
      <c r="AW301" s="3743"/>
      <c r="AX301" s="2707"/>
      <c r="AY301" s="2707"/>
      <c r="AZ301" s="2707"/>
      <c r="BA301" s="2707"/>
      <c r="BB301" s="2707"/>
      <c r="BC301" s="2707"/>
      <c r="BD301" s="2707"/>
      <c r="BE301" s="2707"/>
      <c r="BF301" s="2707"/>
      <c r="BG301" s="2707"/>
      <c r="BH301" s="2707"/>
      <c r="BI301" s="2707"/>
      <c r="BJ301" s="2707"/>
      <c r="BK301" s="2707"/>
      <c r="BL301" s="2707"/>
      <c r="BM301" s="2707"/>
      <c r="BN301" s="163"/>
      <c r="BO301" s="163"/>
      <c r="BP301" s="163"/>
      <c r="BQ301" s="163"/>
      <c r="BR301" s="163"/>
      <c r="BS301" s="163"/>
      <c r="BT301" s="163"/>
      <c r="BU301" s="163"/>
      <c r="BV301" s="163"/>
      <c r="BW301" s="163"/>
      <c r="BX301" s="163"/>
      <c r="BY301" s="163"/>
    </row>
    <row r="302" spans="1:77">
      <c r="A302" s="162"/>
      <c r="B302" s="162"/>
      <c r="C302" s="162"/>
      <c r="D302" s="162"/>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c r="AC302" s="162"/>
      <c r="AD302" s="162"/>
      <c r="AE302" s="162"/>
      <c r="AF302" s="162"/>
      <c r="AG302" s="162"/>
      <c r="AH302" s="162"/>
      <c r="AI302" s="162"/>
      <c r="AJ302" s="162"/>
      <c r="AK302" s="162"/>
      <c r="AL302" s="162"/>
      <c r="AM302" s="162"/>
      <c r="AN302" s="162"/>
      <c r="AO302" s="162"/>
      <c r="AP302" s="162"/>
      <c r="AQ302" s="162"/>
      <c r="AR302" s="162"/>
      <c r="AS302" s="162"/>
      <c r="AT302" s="161"/>
      <c r="AU302" s="161"/>
      <c r="AV302" s="161"/>
      <c r="AW302" s="161"/>
      <c r="AX302" s="161"/>
      <c r="AY302" s="161"/>
      <c r="AZ302" s="161"/>
      <c r="BA302" s="161"/>
      <c r="BB302" s="161"/>
      <c r="BC302" s="161"/>
      <c r="BD302" s="161"/>
      <c r="BE302" s="161"/>
      <c r="BF302" s="161"/>
      <c r="BG302" s="161"/>
      <c r="BH302" s="161"/>
      <c r="BI302" s="161"/>
      <c r="BJ302" s="161"/>
      <c r="BK302" s="161"/>
      <c r="BL302" s="161"/>
      <c r="BM302" s="161"/>
      <c r="BN302" s="161"/>
      <c r="BO302" s="161"/>
      <c r="BP302" s="161"/>
      <c r="BQ302" s="161"/>
      <c r="BR302" s="161"/>
      <c r="BS302" s="161"/>
      <c r="BT302" s="161"/>
      <c r="BU302" s="161"/>
      <c r="BV302" s="161"/>
      <c r="BW302" s="161"/>
      <c r="BX302" s="161"/>
      <c r="BY302" s="161"/>
    </row>
    <row r="303" spans="1:77">
      <c r="A303" s="162"/>
      <c r="B303" s="162"/>
      <c r="C303" s="162"/>
      <c r="D303" s="162"/>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c r="AC303" s="162"/>
      <c r="AD303" s="162"/>
      <c r="AE303" s="162"/>
      <c r="AF303" s="162"/>
      <c r="AG303" s="162"/>
      <c r="AH303" s="162"/>
      <c r="AI303" s="162"/>
      <c r="AJ303" s="162"/>
      <c r="AK303" s="162"/>
      <c r="AL303" s="162"/>
      <c r="AM303" s="162"/>
      <c r="AN303" s="162"/>
      <c r="AO303" s="162"/>
      <c r="AP303" s="162"/>
      <c r="AQ303" s="162"/>
      <c r="AR303" s="162"/>
      <c r="AS303" s="162"/>
      <c r="AT303" s="161"/>
      <c r="AU303" s="161"/>
      <c r="AV303" s="161"/>
      <c r="AW303" s="161"/>
      <c r="AX303" s="161"/>
      <c r="AY303" s="161"/>
      <c r="AZ303" s="161"/>
      <c r="BA303" s="161"/>
      <c r="BB303" s="161"/>
      <c r="BC303" s="161"/>
      <c r="BD303" s="161"/>
      <c r="BE303" s="161"/>
      <c r="BF303" s="161"/>
      <c r="BG303" s="161"/>
      <c r="BH303" s="161"/>
      <c r="BI303" s="161"/>
      <c r="BJ303" s="161"/>
      <c r="BK303" s="161"/>
      <c r="BL303" s="161"/>
      <c r="BM303" s="161"/>
      <c r="BN303" s="161"/>
      <c r="BO303" s="161"/>
      <c r="BP303" s="161"/>
      <c r="BQ303" s="161"/>
      <c r="BR303" s="161"/>
      <c r="BS303" s="161"/>
      <c r="BT303" s="161"/>
      <c r="BU303" s="161"/>
      <c r="BV303" s="161"/>
      <c r="BW303" s="161"/>
      <c r="BX303" s="161"/>
      <c r="BY303" s="161"/>
    </row>
    <row r="304" spans="1:77">
      <c r="A304" s="162"/>
      <c r="B304" s="162"/>
      <c r="C304" s="162"/>
      <c r="D304" s="162"/>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c r="AC304" s="162"/>
      <c r="AD304" s="162"/>
      <c r="AE304" s="162"/>
      <c r="AF304" s="162"/>
      <c r="AG304" s="162"/>
      <c r="AH304" s="162"/>
      <c r="AI304" s="162"/>
      <c r="AJ304" s="162"/>
      <c r="AK304" s="162"/>
      <c r="AL304" s="162"/>
      <c r="AM304" s="162"/>
      <c r="AN304" s="162"/>
      <c r="AO304" s="162"/>
      <c r="AP304" s="162"/>
      <c r="AQ304" s="162"/>
      <c r="AR304" s="162"/>
      <c r="AS304" s="162"/>
      <c r="AT304" s="161"/>
      <c r="AU304" s="161"/>
      <c r="AV304" s="161"/>
      <c r="AW304" s="161"/>
      <c r="AX304" s="161"/>
      <c r="AY304" s="161"/>
      <c r="AZ304" s="161"/>
      <c r="BA304" s="161"/>
      <c r="BB304" s="161"/>
      <c r="BC304" s="161"/>
      <c r="BD304" s="161"/>
      <c r="BE304" s="161"/>
      <c r="BF304" s="161"/>
      <c r="BG304" s="161"/>
      <c r="BH304" s="161"/>
      <c r="BI304" s="161"/>
      <c r="BJ304" s="161"/>
      <c r="BK304" s="161"/>
      <c r="BL304" s="161"/>
      <c r="BM304" s="161"/>
      <c r="BN304" s="161"/>
      <c r="BO304" s="161"/>
      <c r="BP304" s="161"/>
      <c r="BQ304" s="161"/>
      <c r="BR304" s="161"/>
      <c r="BS304" s="161"/>
      <c r="BT304" s="161"/>
      <c r="BU304" s="161"/>
      <c r="BV304" s="161"/>
      <c r="BW304" s="161"/>
      <c r="BX304" s="161"/>
      <c r="BY304" s="161"/>
    </row>
    <row r="305" spans="1:77">
      <c r="A305" s="162"/>
      <c r="B305" s="162"/>
      <c r="C305" s="162"/>
      <c r="D305" s="162"/>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c r="AC305" s="162"/>
      <c r="AD305" s="162"/>
      <c r="AE305" s="162"/>
      <c r="AF305" s="162"/>
      <c r="AG305" s="162"/>
      <c r="AH305" s="162"/>
      <c r="AI305" s="162"/>
      <c r="AJ305" s="162"/>
      <c r="AK305" s="162"/>
      <c r="AL305" s="162"/>
      <c r="AM305" s="162"/>
      <c r="AN305" s="162"/>
      <c r="AO305" s="162"/>
      <c r="AP305" s="162"/>
      <c r="AQ305" s="162"/>
      <c r="AR305" s="162"/>
      <c r="AS305" s="162"/>
      <c r="AT305" s="161"/>
      <c r="AU305" s="161"/>
      <c r="AV305" s="161"/>
      <c r="AW305" s="161"/>
      <c r="AX305" s="161"/>
      <c r="AY305" s="161"/>
      <c r="AZ305" s="161"/>
      <c r="BA305" s="161"/>
      <c r="BB305" s="161"/>
      <c r="BC305" s="161"/>
      <c r="BD305" s="161"/>
      <c r="BE305" s="161"/>
      <c r="BF305" s="161"/>
      <c r="BG305" s="161"/>
      <c r="BH305" s="161"/>
      <c r="BI305" s="161"/>
      <c r="BJ305" s="161"/>
      <c r="BK305" s="161"/>
      <c r="BL305" s="161"/>
      <c r="BM305" s="161"/>
      <c r="BN305" s="161"/>
      <c r="BO305" s="161"/>
      <c r="BP305" s="161"/>
      <c r="BQ305" s="161"/>
      <c r="BR305" s="161"/>
      <c r="BS305" s="161"/>
      <c r="BT305" s="161"/>
      <c r="BU305" s="161"/>
      <c r="BV305" s="161"/>
      <c r="BW305" s="161"/>
      <c r="BX305" s="161"/>
      <c r="BY305" s="161"/>
    </row>
    <row r="306" spans="1:77">
      <c r="A306" s="162"/>
      <c r="B306" s="162"/>
      <c r="C306" s="162"/>
      <c r="D306" s="162"/>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c r="AC306" s="162"/>
      <c r="AD306" s="162"/>
      <c r="AE306" s="162"/>
      <c r="AF306" s="162"/>
      <c r="AG306" s="162"/>
      <c r="AH306" s="162"/>
      <c r="AI306" s="162"/>
      <c r="AJ306" s="162"/>
      <c r="AK306" s="162"/>
      <c r="AL306" s="162"/>
      <c r="AM306" s="162"/>
      <c r="AN306" s="162"/>
      <c r="AO306" s="162"/>
      <c r="AP306" s="162"/>
      <c r="AQ306" s="162"/>
      <c r="AR306" s="162"/>
      <c r="AS306" s="162"/>
      <c r="AT306" s="161"/>
      <c r="AU306" s="161"/>
      <c r="AV306" s="161"/>
      <c r="AW306" s="161"/>
      <c r="AX306" s="161"/>
      <c r="AY306" s="161"/>
      <c r="AZ306" s="161"/>
      <c r="BA306" s="161"/>
      <c r="BB306" s="161"/>
      <c r="BC306" s="161"/>
      <c r="BD306" s="161"/>
      <c r="BE306" s="161"/>
      <c r="BF306" s="161"/>
      <c r="BG306" s="161"/>
      <c r="BH306" s="161"/>
      <c r="BI306" s="161"/>
      <c r="BJ306" s="161"/>
      <c r="BK306" s="161"/>
      <c r="BL306" s="161"/>
      <c r="BM306" s="161"/>
      <c r="BN306" s="161"/>
      <c r="BO306" s="161"/>
      <c r="BP306" s="161"/>
      <c r="BQ306" s="161"/>
      <c r="BR306" s="161"/>
      <c r="BS306" s="161"/>
      <c r="BT306" s="161"/>
      <c r="BU306" s="161"/>
      <c r="BV306" s="161"/>
      <c r="BW306" s="161"/>
      <c r="BX306" s="161"/>
      <c r="BY306" s="161"/>
    </row>
    <row r="307" spans="1:77">
      <c r="A307" s="162"/>
      <c r="B307" s="162"/>
      <c r="C307" s="162"/>
      <c r="D307" s="162"/>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c r="AC307" s="162"/>
      <c r="AD307" s="162"/>
      <c r="AE307" s="162"/>
      <c r="AF307" s="162"/>
      <c r="AG307" s="162"/>
      <c r="AH307" s="162"/>
      <c r="AI307" s="162"/>
      <c r="AJ307" s="162"/>
      <c r="AK307" s="162"/>
      <c r="AL307" s="162"/>
      <c r="AM307" s="162"/>
      <c r="AN307" s="162"/>
      <c r="AO307" s="162"/>
      <c r="AP307" s="162"/>
      <c r="AQ307" s="162"/>
      <c r="AR307" s="162"/>
      <c r="AS307" s="162"/>
      <c r="AT307" s="161"/>
      <c r="AU307" s="161"/>
      <c r="AV307" s="161"/>
      <c r="AW307" s="161"/>
      <c r="AX307" s="161"/>
      <c r="AY307" s="161"/>
      <c r="AZ307" s="161"/>
      <c r="BA307" s="161"/>
      <c r="BB307" s="161"/>
      <c r="BC307" s="161"/>
      <c r="BD307" s="161"/>
      <c r="BE307" s="161"/>
      <c r="BF307" s="161"/>
      <c r="BG307" s="161"/>
      <c r="BH307" s="161"/>
      <c r="BI307" s="161"/>
      <c r="BJ307" s="161"/>
      <c r="BK307" s="161"/>
      <c r="BL307" s="161"/>
      <c r="BM307" s="161"/>
      <c r="BN307" s="161"/>
      <c r="BO307" s="161"/>
      <c r="BP307" s="161"/>
      <c r="BQ307" s="161"/>
      <c r="BR307" s="161"/>
      <c r="BS307" s="161"/>
      <c r="BT307" s="161"/>
      <c r="BU307" s="161"/>
      <c r="BV307" s="161"/>
      <c r="BW307" s="161"/>
      <c r="BX307" s="161"/>
      <c r="BY307" s="161"/>
    </row>
    <row r="308" spans="1:77">
      <c r="A308" s="162"/>
      <c r="B308" s="162"/>
      <c r="C308" s="162"/>
      <c r="D308" s="162"/>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c r="AC308" s="162"/>
      <c r="AD308" s="162"/>
      <c r="AE308" s="162"/>
      <c r="AF308" s="162"/>
      <c r="AG308" s="162"/>
      <c r="AH308" s="162"/>
      <c r="AI308" s="162"/>
      <c r="AJ308" s="162"/>
      <c r="AK308" s="162"/>
      <c r="AL308" s="162"/>
      <c r="AM308" s="162"/>
      <c r="AN308" s="162"/>
      <c r="AO308" s="162"/>
      <c r="AP308" s="162"/>
      <c r="AQ308" s="162"/>
      <c r="AR308" s="162"/>
      <c r="AS308" s="162"/>
      <c r="AT308" s="161"/>
      <c r="AU308" s="161"/>
      <c r="AV308" s="161"/>
      <c r="AW308" s="161"/>
      <c r="AX308" s="161"/>
      <c r="AY308" s="161"/>
      <c r="AZ308" s="161"/>
      <c r="BA308" s="161"/>
      <c r="BB308" s="161"/>
      <c r="BC308" s="161"/>
      <c r="BD308" s="161"/>
      <c r="BE308" s="161"/>
      <c r="BF308" s="161"/>
      <c r="BG308" s="161"/>
      <c r="BH308" s="161"/>
      <c r="BI308" s="161"/>
      <c r="BJ308" s="161"/>
      <c r="BK308" s="161"/>
      <c r="BL308" s="161"/>
      <c r="BM308" s="161"/>
      <c r="BN308" s="161"/>
      <c r="BO308" s="161"/>
      <c r="BP308" s="161"/>
      <c r="BQ308" s="161"/>
      <c r="BR308" s="161"/>
      <c r="BS308" s="161"/>
      <c r="BT308" s="161"/>
      <c r="BU308" s="161"/>
      <c r="BV308" s="161"/>
      <c r="BW308" s="161"/>
      <c r="BX308" s="161"/>
      <c r="BY308" s="161"/>
    </row>
    <row r="309" spans="1:77">
      <c r="A309" s="162"/>
      <c r="B309" s="162"/>
      <c r="C309" s="162"/>
      <c r="D309" s="162"/>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c r="AC309" s="162"/>
      <c r="AD309" s="162"/>
      <c r="AE309" s="162"/>
      <c r="AF309" s="162"/>
      <c r="AG309" s="162"/>
      <c r="AH309" s="162"/>
      <c r="AI309" s="162"/>
      <c r="AJ309" s="162"/>
      <c r="AK309" s="162"/>
      <c r="AL309" s="162"/>
      <c r="AM309" s="162"/>
      <c r="AN309" s="162"/>
      <c r="AO309" s="162"/>
      <c r="AP309" s="162"/>
      <c r="AQ309" s="162"/>
      <c r="AR309" s="162"/>
      <c r="AS309" s="162"/>
      <c r="AT309" s="161"/>
      <c r="AU309" s="161"/>
      <c r="AV309" s="161"/>
      <c r="AW309" s="161"/>
      <c r="AX309" s="161"/>
      <c r="AY309" s="161"/>
      <c r="AZ309" s="161"/>
      <c r="BA309" s="161"/>
      <c r="BB309" s="161"/>
      <c r="BC309" s="161"/>
      <c r="BD309" s="161"/>
      <c r="BE309" s="161"/>
      <c r="BF309" s="161"/>
      <c r="BG309" s="161"/>
      <c r="BH309" s="161"/>
      <c r="BI309" s="161"/>
      <c r="BJ309" s="161"/>
      <c r="BK309" s="161"/>
      <c r="BL309" s="161"/>
      <c r="BM309" s="161"/>
      <c r="BN309" s="161"/>
      <c r="BO309" s="161"/>
      <c r="BP309" s="161"/>
      <c r="BQ309" s="161"/>
      <c r="BR309" s="161"/>
      <c r="BS309" s="161"/>
      <c r="BT309" s="161"/>
      <c r="BU309" s="161"/>
      <c r="BV309" s="161"/>
      <c r="BW309" s="161"/>
      <c r="BX309" s="161"/>
      <c r="BY309" s="161"/>
    </row>
    <row r="310" spans="1:77">
      <c r="A310" s="162"/>
      <c r="B310" s="162"/>
      <c r="C310" s="162"/>
      <c r="D310" s="162"/>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c r="AC310" s="162"/>
      <c r="AD310" s="162"/>
      <c r="AE310" s="162"/>
      <c r="AF310" s="162"/>
      <c r="AG310" s="162"/>
      <c r="AH310" s="162"/>
      <c r="AI310" s="162"/>
      <c r="AJ310" s="162"/>
      <c r="AK310" s="162"/>
      <c r="AL310" s="162"/>
      <c r="AM310" s="162"/>
      <c r="AN310" s="162"/>
      <c r="AO310" s="162"/>
      <c r="AP310" s="162"/>
      <c r="AQ310" s="162"/>
      <c r="AR310" s="162"/>
      <c r="AS310" s="162"/>
      <c r="AT310" s="161"/>
      <c r="AU310" s="161"/>
      <c r="AV310" s="161"/>
      <c r="AW310" s="161"/>
      <c r="AX310" s="161"/>
      <c r="AY310" s="161"/>
      <c r="AZ310" s="161"/>
      <c r="BA310" s="161"/>
      <c r="BB310" s="161"/>
      <c r="BC310" s="161"/>
      <c r="BD310" s="161"/>
      <c r="BE310" s="161"/>
      <c r="BF310" s="161"/>
      <c r="BG310" s="161"/>
      <c r="BH310" s="161"/>
      <c r="BI310" s="161"/>
      <c r="BJ310" s="161"/>
      <c r="BK310" s="161"/>
      <c r="BL310" s="161"/>
      <c r="BM310" s="161"/>
      <c r="BN310" s="161"/>
      <c r="BO310" s="161"/>
      <c r="BP310" s="161"/>
      <c r="BQ310" s="161"/>
      <c r="BR310" s="161"/>
      <c r="BS310" s="161"/>
      <c r="BT310" s="161"/>
      <c r="BU310" s="161"/>
      <c r="BV310" s="161"/>
      <c r="BW310" s="161"/>
      <c r="BX310" s="161"/>
      <c r="BY310" s="161"/>
    </row>
    <row r="311" spans="1:77">
      <c r="A311" s="162"/>
      <c r="B311" s="162"/>
      <c r="C311" s="162"/>
      <c r="D311" s="162"/>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c r="AC311" s="162"/>
      <c r="AD311" s="162"/>
      <c r="AE311" s="162"/>
      <c r="AF311" s="162"/>
      <c r="AG311" s="162"/>
      <c r="AH311" s="162"/>
      <c r="AI311" s="162"/>
      <c r="AJ311" s="162"/>
      <c r="AK311" s="162"/>
      <c r="AL311" s="162"/>
      <c r="AM311" s="162"/>
      <c r="AN311" s="162"/>
      <c r="AO311" s="162"/>
      <c r="AP311" s="162"/>
      <c r="AQ311" s="162"/>
      <c r="AR311" s="162"/>
      <c r="AS311" s="162"/>
      <c r="AT311" s="161"/>
      <c r="AU311" s="161"/>
      <c r="AV311" s="161"/>
      <c r="AW311" s="161"/>
      <c r="AX311" s="161"/>
      <c r="AY311" s="161"/>
      <c r="AZ311" s="161"/>
      <c r="BA311" s="161"/>
      <c r="BB311" s="161"/>
      <c r="BC311" s="161"/>
      <c r="BD311" s="161"/>
      <c r="BE311" s="161"/>
      <c r="BF311" s="161"/>
      <c r="BG311" s="161"/>
      <c r="BH311" s="161"/>
      <c r="BI311" s="161"/>
      <c r="BJ311" s="161"/>
      <c r="BK311" s="161"/>
      <c r="BL311" s="161"/>
      <c r="BM311" s="161"/>
      <c r="BN311" s="161"/>
      <c r="BO311" s="161"/>
      <c r="BP311" s="161"/>
      <c r="BQ311" s="161"/>
      <c r="BR311" s="161"/>
      <c r="BS311" s="161"/>
      <c r="BT311" s="161"/>
      <c r="BU311" s="161"/>
      <c r="BV311" s="161"/>
      <c r="BW311" s="161"/>
      <c r="BX311" s="161"/>
      <c r="BY311" s="161"/>
    </row>
    <row r="312" spans="1:77">
      <c r="A312" s="162"/>
      <c r="B312" s="162"/>
      <c r="C312" s="162"/>
      <c r="D312" s="162"/>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c r="AC312" s="162"/>
      <c r="AD312" s="162"/>
      <c r="AE312" s="162"/>
      <c r="AF312" s="162"/>
      <c r="AG312" s="162"/>
      <c r="AH312" s="162"/>
      <c r="AI312" s="162"/>
      <c r="AJ312" s="162"/>
      <c r="AK312" s="162"/>
      <c r="AL312" s="162"/>
      <c r="AM312" s="162"/>
      <c r="AN312" s="162"/>
      <c r="AO312" s="162"/>
      <c r="AP312" s="162"/>
      <c r="AQ312" s="162"/>
      <c r="AR312" s="162"/>
      <c r="AS312" s="162"/>
      <c r="AT312" s="161"/>
      <c r="AU312" s="161"/>
      <c r="AV312" s="161"/>
      <c r="AW312" s="161"/>
      <c r="AX312" s="161"/>
      <c r="AY312" s="161"/>
      <c r="AZ312" s="161"/>
      <c r="BA312" s="161"/>
      <c r="BB312" s="161"/>
      <c r="BC312" s="161"/>
      <c r="BD312" s="161"/>
      <c r="BE312" s="161"/>
      <c r="BF312" s="161"/>
      <c r="BG312" s="161"/>
      <c r="BH312" s="161"/>
      <c r="BI312" s="161"/>
      <c r="BJ312" s="161"/>
      <c r="BK312" s="161"/>
      <c r="BL312" s="161"/>
      <c r="BM312" s="161"/>
      <c r="BN312" s="161"/>
      <c r="BO312" s="161"/>
      <c r="BP312" s="161"/>
      <c r="BQ312" s="161"/>
      <c r="BR312" s="161"/>
      <c r="BS312" s="161"/>
      <c r="BT312" s="161"/>
      <c r="BU312" s="161"/>
      <c r="BV312" s="161"/>
      <c r="BW312" s="161"/>
      <c r="BX312" s="161"/>
      <c r="BY312" s="161"/>
    </row>
    <row r="313" spans="1:77">
      <c r="A313" s="162"/>
      <c r="B313" s="162"/>
      <c r="C313" s="162"/>
      <c r="D313" s="162"/>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c r="AC313" s="162"/>
      <c r="AD313" s="162"/>
      <c r="AE313" s="162"/>
      <c r="AF313" s="162"/>
      <c r="AG313" s="162"/>
      <c r="AH313" s="162"/>
      <c r="AI313" s="162"/>
      <c r="AJ313" s="162"/>
      <c r="AK313" s="162"/>
      <c r="AL313" s="162"/>
      <c r="AM313" s="162"/>
      <c r="AN313" s="162"/>
      <c r="AO313" s="162"/>
      <c r="AP313" s="162"/>
      <c r="AQ313" s="162"/>
      <c r="AR313" s="162"/>
      <c r="AS313" s="162"/>
      <c r="AT313" s="161"/>
      <c r="AU313" s="161"/>
      <c r="AV313" s="161"/>
      <c r="AW313" s="161"/>
      <c r="AX313" s="161"/>
      <c r="AY313" s="161"/>
      <c r="AZ313" s="161"/>
      <c r="BA313" s="161"/>
      <c r="BB313" s="161"/>
      <c r="BC313" s="161"/>
      <c r="BD313" s="161"/>
      <c r="BE313" s="161"/>
      <c r="BF313" s="161"/>
      <c r="BG313" s="161"/>
      <c r="BH313" s="161"/>
      <c r="BI313" s="161"/>
      <c r="BJ313" s="161"/>
      <c r="BK313" s="161"/>
      <c r="BL313" s="161"/>
      <c r="BM313" s="161"/>
      <c r="BN313" s="161"/>
      <c r="BO313" s="161"/>
      <c r="BP313" s="161"/>
      <c r="BQ313" s="161"/>
      <c r="BR313" s="161"/>
      <c r="BS313" s="161"/>
      <c r="BT313" s="161"/>
      <c r="BU313" s="161"/>
      <c r="BV313" s="161"/>
      <c r="BW313" s="161"/>
      <c r="BX313" s="161"/>
      <c r="BY313" s="161"/>
    </row>
    <row r="314" spans="1:77">
      <c r="A314" s="162"/>
      <c r="B314" s="162"/>
      <c r="C314" s="162"/>
      <c r="D314" s="162"/>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c r="AC314" s="162"/>
      <c r="AD314" s="162"/>
      <c r="AE314" s="162"/>
      <c r="AF314" s="162"/>
      <c r="AG314" s="162"/>
      <c r="AH314" s="162"/>
      <c r="AI314" s="162"/>
      <c r="AJ314" s="162"/>
      <c r="AK314" s="162"/>
      <c r="AL314" s="162"/>
      <c r="AM314" s="162"/>
      <c r="AN314" s="162"/>
      <c r="AO314" s="162"/>
      <c r="AP314" s="162"/>
      <c r="AQ314" s="162"/>
      <c r="AR314" s="162"/>
      <c r="AS314" s="162"/>
      <c r="AT314" s="161"/>
      <c r="AU314" s="161"/>
      <c r="AV314" s="161"/>
      <c r="AW314" s="161"/>
      <c r="AX314" s="161"/>
      <c r="AY314" s="161"/>
      <c r="AZ314" s="161"/>
      <c r="BA314" s="161"/>
      <c r="BB314" s="161"/>
      <c r="BC314" s="161"/>
      <c r="BD314" s="161"/>
      <c r="BE314" s="161"/>
      <c r="BF314" s="161"/>
      <c r="BG314" s="161"/>
      <c r="BH314" s="161"/>
      <c r="BI314" s="161"/>
      <c r="BJ314" s="161"/>
      <c r="BK314" s="161"/>
      <c r="BL314" s="161"/>
      <c r="BM314" s="161"/>
      <c r="BN314" s="161"/>
      <c r="BO314" s="161"/>
      <c r="BP314" s="161"/>
      <c r="BQ314" s="161"/>
      <c r="BR314" s="161"/>
      <c r="BS314" s="161"/>
      <c r="BT314" s="161"/>
      <c r="BU314" s="161"/>
      <c r="BV314" s="161"/>
      <c r="BW314" s="161"/>
      <c r="BX314" s="161"/>
      <c r="BY314" s="161"/>
    </row>
    <row r="315" spans="1:77">
      <c r="A315" s="162"/>
      <c r="B315" s="162"/>
      <c r="C315" s="162"/>
      <c r="D315" s="162"/>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c r="AC315" s="162"/>
      <c r="AD315" s="162"/>
      <c r="AE315" s="162"/>
      <c r="AF315" s="162"/>
      <c r="AG315" s="162"/>
      <c r="AH315" s="162"/>
      <c r="AI315" s="162"/>
      <c r="AJ315" s="162"/>
      <c r="AK315" s="162"/>
      <c r="AL315" s="162"/>
      <c r="AM315" s="162"/>
      <c r="AN315" s="162"/>
      <c r="AO315" s="162"/>
      <c r="AP315" s="162"/>
      <c r="AQ315" s="162"/>
      <c r="AR315" s="162"/>
      <c r="AS315" s="162"/>
      <c r="AT315" s="161"/>
      <c r="AU315" s="161"/>
      <c r="AV315" s="161"/>
      <c r="AW315" s="161"/>
      <c r="AX315" s="161"/>
      <c r="AY315" s="161"/>
      <c r="AZ315" s="161"/>
      <c r="BA315" s="161"/>
      <c r="BB315" s="161"/>
      <c r="BC315" s="161"/>
      <c r="BD315" s="161"/>
      <c r="BE315" s="161"/>
      <c r="BF315" s="161"/>
      <c r="BG315" s="161"/>
      <c r="BH315" s="161"/>
      <c r="BI315" s="161"/>
      <c r="BJ315" s="161"/>
      <c r="BK315" s="161"/>
      <c r="BL315" s="161"/>
      <c r="BM315" s="161"/>
      <c r="BN315" s="161"/>
      <c r="BO315" s="161"/>
      <c r="BP315" s="161"/>
      <c r="BQ315" s="161"/>
      <c r="BR315" s="161"/>
      <c r="BS315" s="161"/>
      <c r="BT315" s="161"/>
      <c r="BU315" s="161"/>
      <c r="BV315" s="161"/>
      <c r="BW315" s="161"/>
      <c r="BX315" s="161"/>
      <c r="BY315" s="161"/>
    </row>
    <row r="316" spans="1:77">
      <c r="A316" s="162"/>
      <c r="B316" s="162"/>
      <c r="C316" s="162"/>
      <c r="D316" s="162"/>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c r="AC316" s="162"/>
      <c r="AD316" s="162"/>
      <c r="AE316" s="162"/>
      <c r="AF316" s="162"/>
      <c r="AG316" s="162"/>
      <c r="AH316" s="162"/>
      <c r="AI316" s="162"/>
      <c r="AJ316" s="162"/>
      <c r="AK316" s="162"/>
      <c r="AL316" s="162"/>
      <c r="AM316" s="162"/>
      <c r="AN316" s="162"/>
      <c r="AO316" s="162"/>
      <c r="AP316" s="162"/>
      <c r="AQ316" s="162"/>
      <c r="AR316" s="162"/>
      <c r="AS316" s="162"/>
      <c r="AT316" s="161"/>
      <c r="AU316" s="161"/>
      <c r="AV316" s="161"/>
      <c r="AW316" s="161"/>
      <c r="AX316" s="161"/>
      <c r="AY316" s="161"/>
      <c r="AZ316" s="161"/>
      <c r="BA316" s="161"/>
      <c r="BB316" s="161"/>
      <c r="BC316" s="161"/>
      <c r="BD316" s="161"/>
      <c r="BE316" s="161"/>
      <c r="BF316" s="161"/>
      <c r="BG316" s="161"/>
      <c r="BH316" s="161"/>
      <c r="BI316" s="161"/>
      <c r="BJ316" s="161"/>
      <c r="BK316" s="161"/>
      <c r="BL316" s="161"/>
      <c r="BM316" s="161"/>
      <c r="BN316" s="161"/>
      <c r="BO316" s="161"/>
      <c r="BP316" s="161"/>
      <c r="BQ316" s="161"/>
      <c r="BR316" s="161"/>
      <c r="BS316" s="161"/>
      <c r="BT316" s="161"/>
      <c r="BU316" s="161"/>
      <c r="BV316" s="161"/>
      <c r="BW316" s="161"/>
      <c r="BX316" s="161"/>
      <c r="BY316" s="161"/>
    </row>
    <row r="317" spans="1:77">
      <c r="A317" s="162"/>
      <c r="B317" s="162"/>
      <c r="C317" s="162"/>
      <c r="D317" s="162"/>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c r="AC317" s="162"/>
      <c r="AD317" s="162"/>
      <c r="AE317" s="162"/>
      <c r="AF317" s="162"/>
      <c r="AG317" s="162"/>
      <c r="AH317" s="162"/>
      <c r="AI317" s="162"/>
      <c r="AJ317" s="162"/>
      <c r="AK317" s="162"/>
      <c r="AL317" s="162"/>
      <c r="AM317" s="162"/>
      <c r="AN317" s="162"/>
      <c r="AO317" s="162"/>
      <c r="AP317" s="162"/>
      <c r="AQ317" s="162"/>
      <c r="AR317" s="162"/>
      <c r="AS317" s="162"/>
      <c r="AT317" s="161"/>
      <c r="AU317" s="161"/>
      <c r="AV317" s="161"/>
      <c r="AW317" s="161"/>
      <c r="AX317" s="161"/>
      <c r="AY317" s="161"/>
      <c r="AZ317" s="161"/>
      <c r="BA317" s="161"/>
      <c r="BB317" s="161"/>
      <c r="BC317" s="161"/>
      <c r="BD317" s="161"/>
      <c r="BE317" s="161"/>
      <c r="BF317" s="161"/>
      <c r="BG317" s="161"/>
      <c r="BH317" s="161"/>
      <c r="BI317" s="161"/>
      <c r="BJ317" s="161"/>
      <c r="BK317" s="161"/>
      <c r="BL317" s="161"/>
      <c r="BM317" s="161"/>
      <c r="BN317" s="161"/>
      <c r="BO317" s="161"/>
      <c r="BP317" s="161"/>
      <c r="BQ317" s="161"/>
      <c r="BR317" s="161"/>
      <c r="BS317" s="161"/>
      <c r="BT317" s="161"/>
      <c r="BU317" s="161"/>
      <c r="BV317" s="161"/>
      <c r="BW317" s="161"/>
      <c r="BX317" s="161"/>
      <c r="BY317" s="161"/>
    </row>
    <row r="318" spans="1:77">
      <c r="A318" s="162"/>
      <c r="B318" s="162"/>
      <c r="C318" s="162"/>
      <c r="D318" s="162"/>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c r="AC318" s="162"/>
      <c r="AD318" s="162"/>
      <c r="AE318" s="162"/>
      <c r="AF318" s="162"/>
      <c r="AG318" s="162"/>
      <c r="AH318" s="162"/>
      <c r="AI318" s="162"/>
      <c r="AJ318" s="162"/>
      <c r="AK318" s="162"/>
      <c r="AL318" s="162"/>
      <c r="AM318" s="162"/>
      <c r="AN318" s="162"/>
      <c r="AO318" s="162"/>
      <c r="AP318" s="162"/>
      <c r="AQ318" s="162"/>
      <c r="AR318" s="162"/>
      <c r="AS318" s="162"/>
      <c r="AT318" s="161"/>
      <c r="AU318" s="161"/>
      <c r="AV318" s="161"/>
      <c r="AW318" s="161"/>
      <c r="AX318" s="161"/>
      <c r="AY318" s="161"/>
      <c r="AZ318" s="161"/>
      <c r="BA318" s="161"/>
      <c r="BB318" s="161"/>
      <c r="BC318" s="161"/>
      <c r="BD318" s="161"/>
      <c r="BE318" s="161"/>
      <c r="BF318" s="161"/>
      <c r="BG318" s="161"/>
      <c r="BH318" s="161"/>
      <c r="BI318" s="161"/>
      <c r="BJ318" s="161"/>
      <c r="BK318" s="161"/>
      <c r="BL318" s="161"/>
      <c r="BM318" s="161"/>
      <c r="BN318" s="161"/>
      <c r="BO318" s="161"/>
      <c r="BP318" s="161"/>
      <c r="BQ318" s="161"/>
      <c r="BR318" s="161"/>
      <c r="BS318" s="161"/>
      <c r="BT318" s="161"/>
      <c r="BU318" s="161"/>
      <c r="BV318" s="161"/>
      <c r="BW318" s="161"/>
      <c r="BX318" s="161"/>
      <c r="BY318" s="161"/>
    </row>
    <row r="319" spans="1:77">
      <c r="A319" s="162"/>
      <c r="B319" s="162"/>
      <c r="C319" s="162"/>
      <c r="D319" s="162"/>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c r="AC319" s="162"/>
      <c r="AD319" s="162"/>
      <c r="AE319" s="162"/>
      <c r="AF319" s="162"/>
      <c r="AG319" s="162"/>
      <c r="AH319" s="162"/>
      <c r="AI319" s="162"/>
      <c r="AJ319" s="162"/>
      <c r="AK319" s="162"/>
      <c r="AL319" s="162"/>
      <c r="AM319" s="162"/>
      <c r="AN319" s="162"/>
      <c r="AO319" s="162"/>
      <c r="AP319" s="162"/>
      <c r="AQ319" s="162"/>
      <c r="AR319" s="162"/>
      <c r="AS319" s="162"/>
      <c r="AT319" s="161"/>
      <c r="AU319" s="161"/>
      <c r="AV319" s="161"/>
      <c r="AW319" s="161"/>
      <c r="AX319" s="161"/>
      <c r="AY319" s="161"/>
      <c r="AZ319" s="161"/>
      <c r="BA319" s="161"/>
      <c r="BB319" s="161"/>
      <c r="BC319" s="161"/>
      <c r="BD319" s="161"/>
      <c r="BE319" s="161"/>
      <c r="BF319" s="161"/>
      <c r="BG319" s="161"/>
      <c r="BH319" s="161"/>
      <c r="BI319" s="161"/>
      <c r="BJ319" s="161"/>
      <c r="BK319" s="161"/>
      <c r="BL319" s="161"/>
      <c r="BM319" s="161"/>
      <c r="BN319" s="161"/>
      <c r="BO319" s="161"/>
      <c r="BP319" s="161"/>
      <c r="BQ319" s="161"/>
      <c r="BR319" s="161"/>
      <c r="BS319" s="161"/>
      <c r="BT319" s="161"/>
      <c r="BU319" s="161"/>
      <c r="BV319" s="161"/>
      <c r="BW319" s="161"/>
      <c r="BX319" s="161"/>
      <c r="BY319" s="161"/>
    </row>
    <row r="320" spans="1:77">
      <c r="A320" s="162"/>
      <c r="B320" s="162"/>
      <c r="C320" s="162"/>
      <c r="D320" s="162"/>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c r="AC320" s="162"/>
      <c r="AD320" s="162"/>
      <c r="AE320" s="162"/>
      <c r="AF320" s="162"/>
      <c r="AG320" s="162"/>
      <c r="AH320" s="162"/>
      <c r="AI320" s="162"/>
      <c r="AJ320" s="162"/>
      <c r="AK320" s="162"/>
      <c r="AL320" s="162"/>
      <c r="AM320" s="162"/>
      <c r="AN320" s="162"/>
      <c r="AO320" s="162"/>
      <c r="AP320" s="162"/>
      <c r="AQ320" s="162"/>
      <c r="AR320" s="162"/>
      <c r="AS320" s="162"/>
      <c r="AT320" s="161"/>
      <c r="AU320" s="161"/>
      <c r="AV320" s="161"/>
      <c r="AW320" s="161"/>
      <c r="AX320" s="161"/>
      <c r="AY320" s="161"/>
      <c r="AZ320" s="161"/>
      <c r="BA320" s="161"/>
      <c r="BB320" s="161"/>
      <c r="BC320" s="161"/>
      <c r="BD320" s="161"/>
      <c r="BE320" s="161"/>
      <c r="BF320" s="161"/>
      <c r="BG320" s="161"/>
      <c r="BH320" s="161"/>
      <c r="BI320" s="161"/>
      <c r="BJ320" s="161"/>
      <c r="BK320" s="161"/>
      <c r="BL320" s="161"/>
      <c r="BM320" s="161"/>
      <c r="BN320" s="161"/>
      <c r="BO320" s="161"/>
      <c r="BP320" s="161"/>
      <c r="BQ320" s="161"/>
      <c r="BR320" s="161"/>
      <c r="BS320" s="161"/>
      <c r="BT320" s="161"/>
      <c r="BU320" s="161"/>
      <c r="BV320" s="161"/>
      <c r="BW320" s="161"/>
      <c r="BX320" s="161"/>
      <c r="BY320" s="161"/>
    </row>
    <row r="321" spans="1:77">
      <c r="A321" s="162"/>
      <c r="B321" s="162"/>
      <c r="C321" s="162"/>
      <c r="D321" s="162"/>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c r="AC321" s="162"/>
      <c r="AD321" s="162"/>
      <c r="AE321" s="162"/>
      <c r="AF321" s="162"/>
      <c r="AG321" s="162"/>
      <c r="AH321" s="162"/>
      <c r="AI321" s="162"/>
      <c r="AJ321" s="162"/>
      <c r="AK321" s="162"/>
      <c r="AL321" s="162"/>
      <c r="AM321" s="162"/>
      <c r="AN321" s="162"/>
      <c r="AO321" s="162"/>
      <c r="AP321" s="162"/>
      <c r="AQ321" s="162"/>
      <c r="AR321" s="162"/>
      <c r="AS321" s="162"/>
      <c r="AT321" s="161"/>
      <c r="AU321" s="161"/>
      <c r="AV321" s="161"/>
      <c r="AW321" s="161"/>
      <c r="AX321" s="161"/>
      <c r="AY321" s="161"/>
      <c r="AZ321" s="161"/>
      <c r="BA321" s="161"/>
      <c r="BB321" s="161"/>
      <c r="BC321" s="161"/>
      <c r="BD321" s="161"/>
      <c r="BE321" s="161"/>
      <c r="BF321" s="161"/>
      <c r="BG321" s="161"/>
      <c r="BH321" s="161"/>
      <c r="BI321" s="161"/>
      <c r="BJ321" s="161"/>
      <c r="BK321" s="161"/>
      <c r="BL321" s="161"/>
      <c r="BM321" s="161"/>
      <c r="BN321" s="161"/>
      <c r="BO321" s="161"/>
      <c r="BP321" s="161"/>
      <c r="BQ321" s="161"/>
      <c r="BR321" s="161"/>
      <c r="BS321" s="161"/>
      <c r="BT321" s="161"/>
      <c r="BU321" s="161"/>
      <c r="BV321" s="161"/>
      <c r="BW321" s="161"/>
      <c r="BX321" s="161"/>
      <c r="BY321" s="161"/>
    </row>
    <row r="322" spans="1:77">
      <c r="A322" s="162"/>
      <c r="B322" s="162"/>
      <c r="C322" s="162"/>
      <c r="D322" s="162"/>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c r="AC322" s="162"/>
      <c r="AD322" s="162"/>
      <c r="AE322" s="162"/>
      <c r="AF322" s="162"/>
      <c r="AG322" s="162"/>
      <c r="AH322" s="162"/>
      <c r="AI322" s="162"/>
      <c r="AJ322" s="162"/>
      <c r="AK322" s="162"/>
      <c r="AL322" s="162"/>
      <c r="AM322" s="162"/>
      <c r="AN322" s="162"/>
      <c r="AO322" s="162"/>
      <c r="AP322" s="162"/>
      <c r="AQ322" s="162"/>
      <c r="AR322" s="162"/>
      <c r="AS322" s="162"/>
      <c r="AT322" s="161"/>
      <c r="AU322" s="161"/>
      <c r="AV322" s="161"/>
      <c r="AW322" s="161"/>
      <c r="AX322" s="161"/>
      <c r="AY322" s="161"/>
      <c r="AZ322" s="161"/>
      <c r="BA322" s="161"/>
      <c r="BB322" s="161"/>
      <c r="BC322" s="161"/>
      <c r="BD322" s="161"/>
      <c r="BE322" s="161"/>
      <c r="BF322" s="161"/>
      <c r="BG322" s="161"/>
      <c r="BH322" s="161"/>
      <c r="BI322" s="161"/>
      <c r="BJ322" s="161"/>
      <c r="BK322" s="161"/>
      <c r="BL322" s="161"/>
      <c r="BM322" s="161"/>
      <c r="BN322" s="161"/>
      <c r="BO322" s="161"/>
      <c r="BP322" s="161"/>
      <c r="BQ322" s="161"/>
      <c r="BR322" s="161"/>
      <c r="BS322" s="161"/>
      <c r="BT322" s="161"/>
      <c r="BU322" s="161"/>
      <c r="BV322" s="161"/>
      <c r="BW322" s="161"/>
      <c r="BX322" s="161"/>
      <c r="BY322" s="161"/>
    </row>
    <row r="323" spans="1:77">
      <c r="A323" s="162"/>
      <c r="B323" s="162"/>
      <c r="C323" s="162"/>
      <c r="D323" s="162"/>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c r="AC323" s="162"/>
      <c r="AD323" s="162"/>
      <c r="AE323" s="162"/>
      <c r="AF323" s="162"/>
      <c r="AG323" s="162"/>
      <c r="AH323" s="162"/>
      <c r="AI323" s="162"/>
      <c r="AJ323" s="162"/>
      <c r="AK323" s="162"/>
      <c r="AL323" s="162"/>
      <c r="AM323" s="162"/>
      <c r="AN323" s="162"/>
      <c r="AO323" s="162"/>
      <c r="AP323" s="162"/>
      <c r="AQ323" s="162"/>
      <c r="AR323" s="162"/>
      <c r="AS323" s="162"/>
      <c r="AT323" s="161"/>
      <c r="AU323" s="161"/>
      <c r="AV323" s="161"/>
      <c r="AW323" s="161"/>
      <c r="AX323" s="161"/>
      <c r="AY323" s="161"/>
      <c r="AZ323" s="161"/>
      <c r="BA323" s="161"/>
      <c r="BB323" s="161"/>
      <c r="BC323" s="161"/>
      <c r="BD323" s="161"/>
      <c r="BE323" s="161"/>
      <c r="BF323" s="161"/>
      <c r="BG323" s="161"/>
      <c r="BH323" s="161"/>
      <c r="BI323" s="161"/>
      <c r="BJ323" s="161"/>
      <c r="BK323" s="161"/>
      <c r="BL323" s="161"/>
      <c r="BM323" s="161"/>
      <c r="BN323" s="161"/>
      <c r="BO323" s="161"/>
      <c r="BP323" s="161"/>
      <c r="BQ323" s="161"/>
      <c r="BR323" s="161"/>
      <c r="BS323" s="161"/>
      <c r="BT323" s="161"/>
      <c r="BU323" s="161"/>
      <c r="BV323" s="161"/>
      <c r="BW323" s="161"/>
      <c r="BX323" s="161"/>
      <c r="BY323" s="161"/>
    </row>
    <row r="324" spans="1:77">
      <c r="A324" s="162"/>
      <c r="B324" s="162"/>
      <c r="C324" s="162"/>
      <c r="D324" s="162"/>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c r="AC324" s="162"/>
      <c r="AD324" s="162"/>
      <c r="AE324" s="162"/>
      <c r="AF324" s="162"/>
      <c r="AG324" s="162"/>
      <c r="AH324" s="162"/>
      <c r="AI324" s="162"/>
      <c r="AJ324" s="162"/>
      <c r="AK324" s="162"/>
      <c r="AL324" s="162"/>
      <c r="AM324" s="162"/>
      <c r="AN324" s="162"/>
      <c r="AO324" s="162"/>
      <c r="AP324" s="162"/>
      <c r="AQ324" s="162"/>
      <c r="AR324" s="162"/>
      <c r="AS324" s="162"/>
      <c r="AT324" s="161"/>
      <c r="AU324" s="161"/>
      <c r="AV324" s="161"/>
      <c r="AW324" s="161"/>
      <c r="AX324" s="161"/>
      <c r="AY324" s="161"/>
      <c r="AZ324" s="161"/>
      <c r="BA324" s="161"/>
      <c r="BB324" s="161"/>
      <c r="BC324" s="161"/>
      <c r="BD324" s="161"/>
      <c r="BE324" s="161"/>
      <c r="BF324" s="161"/>
      <c r="BG324" s="161"/>
      <c r="BH324" s="161"/>
      <c r="BI324" s="161"/>
      <c r="BJ324" s="161"/>
      <c r="BK324" s="161"/>
      <c r="BL324" s="161"/>
      <c r="BM324" s="161"/>
      <c r="BN324" s="161"/>
      <c r="BO324" s="161"/>
      <c r="BP324" s="161"/>
      <c r="BQ324" s="161"/>
      <c r="BR324" s="161"/>
      <c r="BS324" s="161"/>
      <c r="BT324" s="161"/>
      <c r="BU324" s="161"/>
      <c r="BV324" s="161"/>
      <c r="BW324" s="161"/>
      <c r="BX324" s="161"/>
      <c r="BY324" s="161"/>
    </row>
    <row r="325" spans="1:77">
      <c r="A325" s="162"/>
      <c r="B325" s="162"/>
      <c r="C325" s="162"/>
      <c r="D325" s="162"/>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c r="AC325" s="162"/>
      <c r="AD325" s="162"/>
      <c r="AE325" s="162"/>
      <c r="AF325" s="162"/>
      <c r="AG325" s="162"/>
      <c r="AH325" s="162"/>
      <c r="AI325" s="162"/>
      <c r="AJ325" s="162"/>
      <c r="AK325" s="162"/>
      <c r="AL325" s="162"/>
      <c r="AM325" s="162"/>
      <c r="AN325" s="162"/>
      <c r="AO325" s="162"/>
      <c r="AP325" s="162"/>
      <c r="AQ325" s="162"/>
      <c r="AR325" s="162"/>
      <c r="AS325" s="162"/>
      <c r="AT325" s="161"/>
      <c r="AU325" s="161"/>
      <c r="AV325" s="161"/>
      <c r="AW325" s="161"/>
      <c r="AX325" s="161"/>
      <c r="AY325" s="161"/>
      <c r="AZ325" s="161"/>
      <c r="BA325" s="161"/>
      <c r="BB325" s="161"/>
      <c r="BC325" s="161"/>
      <c r="BD325" s="161"/>
      <c r="BE325" s="161"/>
      <c r="BF325" s="161"/>
      <c r="BG325" s="161"/>
      <c r="BH325" s="161"/>
      <c r="BI325" s="161"/>
      <c r="BJ325" s="161"/>
      <c r="BK325" s="161"/>
      <c r="BL325" s="161"/>
      <c r="BM325" s="161"/>
      <c r="BN325" s="161"/>
      <c r="BO325" s="161"/>
      <c r="BP325" s="161"/>
      <c r="BQ325" s="161"/>
      <c r="BR325" s="161"/>
      <c r="BS325" s="161"/>
      <c r="BT325" s="161"/>
      <c r="BU325" s="161"/>
      <c r="BV325" s="161"/>
      <c r="BW325" s="161"/>
      <c r="BX325" s="161"/>
      <c r="BY325" s="161"/>
    </row>
    <row r="326" spans="1:77">
      <c r="A326" s="162"/>
      <c r="B326" s="162"/>
      <c r="C326" s="162"/>
      <c r="D326" s="162"/>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c r="AC326" s="162"/>
      <c r="AD326" s="162"/>
      <c r="AE326" s="162"/>
      <c r="AF326" s="162"/>
      <c r="AG326" s="162"/>
      <c r="AH326" s="162"/>
      <c r="AI326" s="162"/>
      <c r="AJ326" s="162"/>
      <c r="AK326" s="162"/>
      <c r="AL326" s="162"/>
      <c r="AM326" s="162"/>
      <c r="AN326" s="162"/>
      <c r="AO326" s="162"/>
      <c r="AP326" s="162"/>
      <c r="AQ326" s="162"/>
      <c r="AR326" s="162"/>
      <c r="AS326" s="162"/>
      <c r="AT326" s="161"/>
      <c r="AU326" s="161"/>
      <c r="AV326" s="161"/>
      <c r="AW326" s="161"/>
      <c r="AX326" s="161"/>
      <c r="AY326" s="161"/>
      <c r="AZ326" s="161"/>
      <c r="BA326" s="161"/>
      <c r="BB326" s="161"/>
      <c r="BC326" s="161"/>
      <c r="BD326" s="161"/>
      <c r="BE326" s="161"/>
      <c r="BF326" s="161"/>
      <c r="BG326" s="161"/>
      <c r="BH326" s="161"/>
      <c r="BI326" s="161"/>
      <c r="BJ326" s="161"/>
      <c r="BK326" s="161"/>
      <c r="BL326" s="161"/>
      <c r="BM326" s="161"/>
      <c r="BN326" s="161"/>
      <c r="BO326" s="161"/>
      <c r="BP326" s="161"/>
      <c r="BQ326" s="161"/>
      <c r="BR326" s="161"/>
      <c r="BS326" s="161"/>
      <c r="BT326" s="161"/>
      <c r="BU326" s="161"/>
      <c r="BV326" s="161"/>
      <c r="BW326" s="161"/>
      <c r="BX326" s="161"/>
      <c r="BY326" s="161"/>
    </row>
    <row r="327" spans="1:77">
      <c r="A327" s="162"/>
      <c r="B327" s="162"/>
      <c r="C327" s="162"/>
      <c r="D327" s="162"/>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c r="AC327" s="162"/>
      <c r="AD327" s="162"/>
      <c r="AE327" s="162"/>
      <c r="AF327" s="162"/>
      <c r="AG327" s="162"/>
      <c r="AH327" s="162"/>
      <c r="AI327" s="162"/>
      <c r="AJ327" s="162"/>
      <c r="AK327" s="162"/>
      <c r="AL327" s="162"/>
      <c r="AM327" s="162"/>
      <c r="AN327" s="162"/>
      <c r="AO327" s="162"/>
      <c r="AP327" s="162"/>
      <c r="AQ327" s="162"/>
      <c r="AR327" s="162"/>
      <c r="AS327" s="162"/>
      <c r="AT327" s="161"/>
      <c r="AU327" s="161"/>
      <c r="AV327" s="161"/>
      <c r="AW327" s="161"/>
      <c r="AX327" s="161"/>
      <c r="AY327" s="161"/>
      <c r="AZ327" s="161"/>
      <c r="BA327" s="161"/>
      <c r="BB327" s="161"/>
      <c r="BC327" s="161"/>
      <c r="BD327" s="161"/>
      <c r="BE327" s="161"/>
      <c r="BF327" s="161"/>
      <c r="BG327" s="161"/>
      <c r="BH327" s="161"/>
      <c r="BI327" s="161"/>
      <c r="BJ327" s="161"/>
      <c r="BK327" s="161"/>
      <c r="BL327" s="161"/>
      <c r="BM327" s="161"/>
      <c r="BN327" s="161"/>
      <c r="BO327" s="161"/>
      <c r="BP327" s="161"/>
      <c r="BQ327" s="161"/>
      <c r="BR327" s="161"/>
      <c r="BS327" s="161"/>
      <c r="BT327" s="161"/>
      <c r="BU327" s="161"/>
      <c r="BV327" s="161"/>
      <c r="BW327" s="161"/>
      <c r="BX327" s="161"/>
      <c r="BY327" s="161"/>
    </row>
    <row r="328" spans="1:77">
      <c r="A328" s="162"/>
      <c r="B328" s="162"/>
      <c r="C328" s="162"/>
      <c r="D328" s="162"/>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c r="AC328" s="162"/>
      <c r="AD328" s="162"/>
      <c r="AE328" s="162"/>
      <c r="AF328" s="162"/>
      <c r="AG328" s="162"/>
      <c r="AH328" s="162"/>
      <c r="AI328" s="162"/>
      <c r="AJ328" s="162"/>
      <c r="AK328" s="162"/>
      <c r="AL328" s="162"/>
      <c r="AM328" s="162"/>
      <c r="AN328" s="162"/>
      <c r="AO328" s="162"/>
      <c r="AP328" s="162"/>
      <c r="AQ328" s="162"/>
      <c r="AR328" s="162"/>
      <c r="AS328" s="162"/>
      <c r="AT328" s="161"/>
      <c r="AU328" s="161"/>
      <c r="AV328" s="161"/>
      <c r="AW328" s="161"/>
      <c r="AX328" s="161"/>
      <c r="AY328" s="161"/>
      <c r="AZ328" s="161"/>
      <c r="BA328" s="161"/>
      <c r="BB328" s="161"/>
      <c r="BC328" s="161"/>
      <c r="BD328" s="161"/>
      <c r="BE328" s="161"/>
      <c r="BF328" s="161"/>
      <c r="BG328" s="161"/>
      <c r="BH328" s="161"/>
      <c r="BI328" s="161"/>
      <c r="BJ328" s="161"/>
      <c r="BK328" s="161"/>
      <c r="BL328" s="161"/>
      <c r="BM328" s="161"/>
      <c r="BN328" s="161"/>
      <c r="BO328" s="161"/>
      <c r="BP328" s="161"/>
      <c r="BQ328" s="161"/>
      <c r="BR328" s="161"/>
      <c r="BS328" s="161"/>
      <c r="BT328" s="161"/>
      <c r="BU328" s="161"/>
      <c r="BV328" s="161"/>
      <c r="BW328" s="161"/>
      <c r="BX328" s="161"/>
      <c r="BY328" s="161"/>
    </row>
    <row r="329" spans="1:77">
      <c r="A329" s="162"/>
      <c r="B329" s="162"/>
      <c r="C329" s="162"/>
      <c r="D329" s="162"/>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c r="AC329" s="162"/>
      <c r="AD329" s="162"/>
      <c r="AE329" s="162"/>
      <c r="AF329" s="162"/>
      <c r="AG329" s="162"/>
      <c r="AH329" s="162"/>
      <c r="AI329" s="162"/>
      <c r="AJ329" s="162"/>
      <c r="AK329" s="162"/>
      <c r="AL329" s="162"/>
      <c r="AM329" s="162"/>
      <c r="AN329" s="162"/>
      <c r="AO329" s="162"/>
      <c r="AP329" s="162"/>
      <c r="AQ329" s="162"/>
      <c r="AR329" s="162"/>
      <c r="AS329" s="162"/>
      <c r="AT329" s="161"/>
      <c r="AU329" s="161"/>
      <c r="AV329" s="161"/>
      <c r="AW329" s="161"/>
      <c r="AX329" s="161"/>
      <c r="AY329" s="161"/>
      <c r="AZ329" s="161"/>
      <c r="BA329" s="161"/>
      <c r="BB329" s="161"/>
      <c r="BC329" s="161"/>
      <c r="BD329" s="161"/>
      <c r="BE329" s="161"/>
      <c r="BF329" s="161"/>
      <c r="BG329" s="161"/>
      <c r="BH329" s="161"/>
      <c r="BI329" s="161"/>
      <c r="BJ329" s="161"/>
      <c r="BK329" s="161"/>
      <c r="BL329" s="161"/>
      <c r="BM329" s="161"/>
      <c r="BN329" s="161"/>
      <c r="BO329" s="161"/>
      <c r="BP329" s="161"/>
      <c r="BQ329" s="161"/>
      <c r="BR329" s="161"/>
      <c r="BS329" s="161"/>
      <c r="BT329" s="161"/>
      <c r="BU329" s="161"/>
      <c r="BV329" s="161"/>
      <c r="BW329" s="161"/>
      <c r="BX329" s="161"/>
      <c r="BY329" s="161"/>
    </row>
    <row r="330" spans="1:77">
      <c r="A330" s="162"/>
      <c r="B330" s="162"/>
      <c r="C330" s="162"/>
      <c r="D330" s="162"/>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c r="AC330" s="162"/>
      <c r="AD330" s="162"/>
      <c r="AE330" s="162"/>
      <c r="AF330" s="162"/>
      <c r="AG330" s="162"/>
      <c r="AH330" s="162"/>
      <c r="AI330" s="162"/>
      <c r="AJ330" s="162"/>
      <c r="AK330" s="162"/>
      <c r="AL330" s="162"/>
      <c r="AM330" s="162"/>
      <c r="AN330" s="162"/>
      <c r="AO330" s="162"/>
      <c r="AP330" s="162"/>
      <c r="AQ330" s="162"/>
      <c r="AR330" s="162"/>
      <c r="AS330" s="162"/>
      <c r="AT330" s="161"/>
      <c r="AU330" s="161"/>
      <c r="AV330" s="161"/>
      <c r="AW330" s="161"/>
      <c r="AX330" s="161"/>
      <c r="AY330" s="161"/>
      <c r="AZ330" s="161"/>
      <c r="BA330" s="161"/>
      <c r="BB330" s="161"/>
      <c r="BC330" s="161"/>
      <c r="BD330" s="161"/>
      <c r="BE330" s="161"/>
      <c r="BF330" s="161"/>
      <c r="BG330" s="161"/>
      <c r="BH330" s="161"/>
      <c r="BI330" s="161"/>
      <c r="BJ330" s="161"/>
      <c r="BK330" s="161"/>
      <c r="BL330" s="161"/>
      <c r="BM330" s="161"/>
      <c r="BN330" s="161"/>
      <c r="BO330" s="161"/>
      <c r="BP330" s="161"/>
      <c r="BQ330" s="161"/>
      <c r="BR330" s="161"/>
      <c r="BS330" s="161"/>
      <c r="BT330" s="161"/>
      <c r="BU330" s="161"/>
      <c r="BV330" s="161"/>
      <c r="BW330" s="161"/>
      <c r="BX330" s="161"/>
      <c r="BY330" s="161"/>
    </row>
    <row r="331" spans="1:77">
      <c r="A331" s="162"/>
      <c r="B331" s="162"/>
      <c r="C331" s="162"/>
      <c r="D331" s="162"/>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c r="AC331" s="162"/>
      <c r="AD331" s="162"/>
      <c r="AE331" s="162"/>
      <c r="AF331" s="162"/>
      <c r="AG331" s="162"/>
      <c r="AH331" s="162"/>
      <c r="AI331" s="162"/>
      <c r="AJ331" s="162"/>
      <c r="AK331" s="162"/>
      <c r="AL331" s="162"/>
      <c r="AM331" s="162"/>
      <c r="AN331" s="162"/>
      <c r="AO331" s="162"/>
      <c r="AP331" s="162"/>
      <c r="AQ331" s="162"/>
      <c r="AR331" s="162"/>
      <c r="AS331" s="162"/>
      <c r="AT331" s="161"/>
      <c r="AU331" s="161"/>
      <c r="AV331" s="161"/>
      <c r="AW331" s="161"/>
      <c r="AX331" s="161"/>
      <c r="AY331" s="161"/>
      <c r="AZ331" s="161"/>
      <c r="BA331" s="161"/>
      <c r="BB331" s="161"/>
      <c r="BC331" s="161"/>
      <c r="BD331" s="161"/>
      <c r="BE331" s="161"/>
      <c r="BF331" s="161"/>
      <c r="BG331" s="161"/>
      <c r="BH331" s="161"/>
      <c r="BI331" s="161"/>
      <c r="BJ331" s="161"/>
      <c r="BK331" s="161"/>
      <c r="BL331" s="161"/>
      <c r="BM331" s="161"/>
      <c r="BN331" s="161"/>
      <c r="BO331" s="161"/>
      <c r="BP331" s="161"/>
      <c r="BQ331" s="161"/>
      <c r="BR331" s="161"/>
      <c r="BS331" s="161"/>
      <c r="BT331" s="161"/>
      <c r="BU331" s="161"/>
      <c r="BV331" s="161"/>
      <c r="BW331" s="161"/>
      <c r="BX331" s="161"/>
      <c r="BY331" s="161"/>
    </row>
    <row r="332" spans="1:77">
      <c r="A332" s="162"/>
      <c r="B332" s="162"/>
      <c r="C332" s="162"/>
      <c r="D332" s="162"/>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c r="AC332" s="162"/>
      <c r="AD332" s="162"/>
      <c r="AE332" s="162"/>
      <c r="AF332" s="162"/>
      <c r="AG332" s="162"/>
      <c r="AH332" s="162"/>
      <c r="AI332" s="162"/>
      <c r="AJ332" s="162"/>
      <c r="AK332" s="162"/>
      <c r="AL332" s="162"/>
      <c r="AM332" s="162"/>
      <c r="AN332" s="162"/>
      <c r="AO332" s="162"/>
      <c r="AP332" s="162"/>
      <c r="AQ332" s="162"/>
      <c r="AR332" s="162"/>
      <c r="AS332" s="162"/>
      <c r="AT332" s="161"/>
      <c r="AU332" s="161"/>
      <c r="AV332" s="161"/>
      <c r="AW332" s="161"/>
      <c r="AX332" s="161"/>
      <c r="AY332" s="161"/>
      <c r="AZ332" s="161"/>
      <c r="BA332" s="161"/>
      <c r="BB332" s="161"/>
      <c r="BC332" s="161"/>
      <c r="BD332" s="161"/>
      <c r="BE332" s="161"/>
      <c r="BF332" s="161"/>
      <c r="BG332" s="161"/>
      <c r="BH332" s="161"/>
      <c r="BI332" s="161"/>
      <c r="BJ332" s="161"/>
      <c r="BK332" s="161"/>
      <c r="BL332" s="161"/>
      <c r="BM332" s="161"/>
      <c r="BN332" s="161"/>
      <c r="BO332" s="161"/>
      <c r="BP332" s="161"/>
      <c r="BQ332" s="161"/>
      <c r="BR332" s="161"/>
      <c r="BS332" s="161"/>
      <c r="BT332" s="161"/>
      <c r="BU332" s="161"/>
      <c r="BV332" s="161"/>
      <c r="BW332" s="161"/>
      <c r="BX332" s="161"/>
      <c r="BY332" s="161"/>
    </row>
    <row r="333" spans="1:77">
      <c r="A333" s="162"/>
      <c r="B333" s="162"/>
      <c r="C333" s="162"/>
      <c r="D333" s="162"/>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c r="AC333" s="162"/>
      <c r="AD333" s="162"/>
      <c r="AE333" s="162"/>
      <c r="AF333" s="162"/>
      <c r="AG333" s="162"/>
      <c r="AH333" s="162"/>
      <c r="AI333" s="162"/>
      <c r="AJ333" s="162"/>
      <c r="AK333" s="162"/>
      <c r="AL333" s="162"/>
      <c r="AM333" s="162"/>
      <c r="AN333" s="162"/>
      <c r="AO333" s="162"/>
      <c r="AP333" s="162"/>
      <c r="AQ333" s="162"/>
      <c r="AR333" s="162"/>
      <c r="AS333" s="162"/>
      <c r="AT333" s="161"/>
      <c r="AU333" s="161"/>
      <c r="AV333" s="161"/>
      <c r="AW333" s="161"/>
      <c r="AX333" s="161"/>
      <c r="AY333" s="161"/>
      <c r="AZ333" s="161"/>
      <c r="BA333" s="161"/>
      <c r="BB333" s="161"/>
      <c r="BC333" s="161"/>
      <c r="BD333" s="161"/>
      <c r="BE333" s="161"/>
      <c r="BF333" s="161"/>
      <c r="BG333" s="161"/>
      <c r="BH333" s="161"/>
      <c r="BI333" s="161"/>
      <c r="BJ333" s="161"/>
      <c r="BK333" s="161"/>
      <c r="BL333" s="161"/>
      <c r="BM333" s="161"/>
      <c r="BN333" s="161"/>
      <c r="BO333" s="161"/>
      <c r="BP333" s="161"/>
      <c r="BQ333" s="161"/>
      <c r="BR333" s="161"/>
      <c r="BS333" s="161"/>
      <c r="BT333" s="161"/>
      <c r="BU333" s="161"/>
      <c r="BV333" s="161"/>
      <c r="BW333" s="161"/>
      <c r="BX333" s="161"/>
      <c r="BY333" s="161"/>
    </row>
    <row r="334" spans="1:77">
      <c r="A334" s="162"/>
      <c r="B334" s="162"/>
      <c r="C334" s="162"/>
      <c r="D334" s="162"/>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c r="AC334" s="162"/>
      <c r="AD334" s="162"/>
      <c r="AE334" s="162"/>
      <c r="AF334" s="162"/>
      <c r="AG334" s="162"/>
      <c r="AH334" s="162"/>
      <c r="AI334" s="162"/>
      <c r="AJ334" s="162"/>
      <c r="AK334" s="162"/>
      <c r="AL334" s="162"/>
      <c r="AM334" s="162"/>
      <c r="AN334" s="162"/>
      <c r="AO334" s="162"/>
      <c r="AP334" s="162"/>
      <c r="AQ334" s="162"/>
      <c r="AR334" s="162"/>
      <c r="AS334" s="162"/>
      <c r="AT334" s="161"/>
      <c r="AU334" s="161"/>
      <c r="AV334" s="161"/>
      <c r="AW334" s="161"/>
      <c r="AX334" s="161"/>
      <c r="AY334" s="161"/>
      <c r="AZ334" s="161"/>
      <c r="BA334" s="161"/>
      <c r="BB334" s="161"/>
      <c r="BC334" s="161"/>
      <c r="BD334" s="161"/>
      <c r="BE334" s="161"/>
      <c r="BF334" s="161"/>
      <c r="BG334" s="161"/>
      <c r="BH334" s="161"/>
      <c r="BI334" s="161"/>
      <c r="BJ334" s="161"/>
      <c r="BK334" s="161"/>
      <c r="BL334" s="161"/>
      <c r="BM334" s="161"/>
      <c r="BN334" s="161"/>
      <c r="BO334" s="161"/>
      <c r="BP334" s="161"/>
      <c r="BQ334" s="161"/>
      <c r="BR334" s="161"/>
      <c r="BS334" s="161"/>
      <c r="BT334" s="161"/>
      <c r="BU334" s="161"/>
      <c r="BV334" s="161"/>
      <c r="BW334" s="161"/>
      <c r="BX334" s="161"/>
      <c r="BY334" s="161"/>
    </row>
    <row r="335" spans="1:77">
      <c r="A335" s="162"/>
      <c r="B335" s="162"/>
      <c r="C335" s="162"/>
      <c r="D335" s="162"/>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c r="AC335" s="162"/>
      <c r="AD335" s="162"/>
      <c r="AE335" s="162"/>
      <c r="AF335" s="162"/>
      <c r="AG335" s="162"/>
      <c r="AH335" s="162"/>
      <c r="AI335" s="162"/>
      <c r="AJ335" s="162"/>
      <c r="AK335" s="162"/>
      <c r="AL335" s="162"/>
      <c r="AM335" s="162"/>
      <c r="AN335" s="162"/>
      <c r="AO335" s="162"/>
      <c r="AP335" s="162"/>
      <c r="AQ335" s="162"/>
      <c r="AR335" s="162"/>
      <c r="AS335" s="162"/>
      <c r="AT335" s="161"/>
      <c r="AU335" s="161"/>
      <c r="AV335" s="161"/>
      <c r="AW335" s="161"/>
      <c r="AX335" s="161"/>
      <c r="AY335" s="161"/>
      <c r="AZ335" s="161"/>
      <c r="BA335" s="161"/>
      <c r="BB335" s="161"/>
      <c r="BC335" s="161"/>
      <c r="BD335" s="161"/>
      <c r="BE335" s="161"/>
      <c r="BF335" s="161"/>
      <c r="BG335" s="161"/>
      <c r="BH335" s="161"/>
      <c r="BI335" s="161"/>
      <c r="BJ335" s="161"/>
      <c r="BK335" s="161"/>
      <c r="BL335" s="161"/>
      <c r="BM335" s="161"/>
      <c r="BN335" s="161"/>
      <c r="BO335" s="161"/>
      <c r="BP335" s="161"/>
      <c r="BQ335" s="161"/>
      <c r="BR335" s="161"/>
      <c r="BS335" s="161"/>
      <c r="BT335" s="161"/>
      <c r="BU335" s="161"/>
      <c r="BV335" s="161"/>
      <c r="BW335" s="161"/>
      <c r="BX335" s="161"/>
      <c r="BY335" s="161"/>
    </row>
    <row r="336" spans="1:77">
      <c r="A336" s="162"/>
      <c r="B336" s="162"/>
      <c r="C336" s="162"/>
      <c r="D336" s="162"/>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c r="AC336" s="162"/>
      <c r="AD336" s="162"/>
      <c r="AE336" s="162"/>
      <c r="AF336" s="162"/>
      <c r="AG336" s="162"/>
      <c r="AH336" s="162"/>
      <c r="AI336" s="162"/>
      <c r="AJ336" s="162"/>
      <c r="AK336" s="162"/>
      <c r="AL336" s="162"/>
      <c r="AM336" s="162"/>
      <c r="AN336" s="162"/>
      <c r="AO336" s="162"/>
      <c r="AP336" s="162"/>
      <c r="AQ336" s="162"/>
      <c r="AR336" s="162"/>
      <c r="AS336" s="162"/>
      <c r="AT336" s="161"/>
      <c r="AU336" s="161"/>
      <c r="AV336" s="161"/>
      <c r="AW336" s="161"/>
      <c r="AX336" s="161"/>
      <c r="AY336" s="161"/>
      <c r="AZ336" s="161"/>
      <c r="BA336" s="161"/>
      <c r="BB336" s="161"/>
      <c r="BC336" s="161"/>
      <c r="BD336" s="161"/>
      <c r="BE336" s="161"/>
      <c r="BF336" s="161"/>
      <c r="BG336" s="161"/>
      <c r="BH336" s="161"/>
      <c r="BI336" s="161"/>
      <c r="BJ336" s="161"/>
      <c r="BK336" s="161"/>
      <c r="BL336" s="161"/>
      <c r="BM336" s="161"/>
      <c r="BN336" s="161"/>
      <c r="BO336" s="161"/>
      <c r="BP336" s="161"/>
      <c r="BQ336" s="161"/>
      <c r="BR336" s="161"/>
      <c r="BS336" s="161"/>
      <c r="BT336" s="161"/>
      <c r="BU336" s="161"/>
      <c r="BV336" s="161"/>
      <c r="BW336" s="161"/>
      <c r="BX336" s="161"/>
      <c r="BY336" s="161"/>
    </row>
    <row r="337" spans="1:77">
      <c r="A337" s="162"/>
      <c r="B337" s="162"/>
      <c r="C337" s="162"/>
      <c r="D337" s="162"/>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c r="AC337" s="162"/>
      <c r="AD337" s="162"/>
      <c r="AE337" s="162"/>
      <c r="AF337" s="162"/>
      <c r="AG337" s="162"/>
      <c r="AH337" s="162"/>
      <c r="AI337" s="162"/>
      <c r="AJ337" s="162"/>
      <c r="AK337" s="162"/>
      <c r="AL337" s="162"/>
      <c r="AM337" s="162"/>
      <c r="AN337" s="162"/>
      <c r="AO337" s="162"/>
      <c r="AP337" s="162"/>
      <c r="AQ337" s="162"/>
      <c r="AR337" s="162"/>
      <c r="AS337" s="162"/>
      <c r="AT337" s="161"/>
      <c r="AU337" s="161"/>
      <c r="AV337" s="161"/>
      <c r="AW337" s="161"/>
      <c r="AX337" s="161"/>
      <c r="AY337" s="161"/>
      <c r="AZ337" s="161"/>
      <c r="BA337" s="161"/>
      <c r="BB337" s="161"/>
      <c r="BC337" s="161"/>
      <c r="BD337" s="161"/>
      <c r="BE337" s="161"/>
      <c r="BF337" s="161"/>
      <c r="BG337" s="161"/>
      <c r="BH337" s="161"/>
      <c r="BI337" s="161"/>
      <c r="BJ337" s="161"/>
      <c r="BK337" s="161"/>
      <c r="BL337" s="161"/>
      <c r="BM337" s="161"/>
      <c r="BN337" s="161"/>
      <c r="BO337" s="161"/>
      <c r="BP337" s="161"/>
      <c r="BQ337" s="161"/>
      <c r="BR337" s="161"/>
      <c r="BS337" s="161"/>
      <c r="BT337" s="161"/>
      <c r="BU337" s="161"/>
      <c r="BV337" s="161"/>
      <c r="BW337" s="161"/>
      <c r="BX337" s="161"/>
      <c r="BY337" s="161"/>
    </row>
    <row r="338" spans="1:77">
      <c r="A338" s="162"/>
      <c r="B338" s="162"/>
      <c r="C338" s="162"/>
      <c r="D338" s="162"/>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c r="AC338" s="162"/>
      <c r="AD338" s="162"/>
      <c r="AE338" s="162"/>
      <c r="AF338" s="162"/>
      <c r="AG338" s="162"/>
      <c r="AH338" s="162"/>
      <c r="AI338" s="162"/>
      <c r="AJ338" s="162"/>
      <c r="AK338" s="162"/>
      <c r="AL338" s="162"/>
      <c r="AM338" s="162"/>
      <c r="AN338" s="162"/>
      <c r="AO338" s="162"/>
      <c r="AP338" s="162"/>
      <c r="AQ338" s="162"/>
      <c r="AR338" s="162"/>
      <c r="AS338" s="162"/>
      <c r="AT338" s="161"/>
      <c r="AU338" s="161"/>
      <c r="AV338" s="161"/>
      <c r="AW338" s="161"/>
      <c r="AX338" s="161"/>
      <c r="AY338" s="161"/>
      <c r="AZ338" s="161"/>
      <c r="BA338" s="161"/>
      <c r="BB338" s="161"/>
      <c r="BC338" s="161"/>
      <c r="BD338" s="161"/>
      <c r="BE338" s="161"/>
      <c r="BF338" s="161"/>
      <c r="BG338" s="161"/>
      <c r="BH338" s="161"/>
      <c r="BI338" s="161"/>
      <c r="BJ338" s="161"/>
      <c r="BK338" s="161"/>
      <c r="BL338" s="161"/>
      <c r="BM338" s="161"/>
      <c r="BN338" s="161"/>
      <c r="BO338" s="161"/>
      <c r="BP338" s="161"/>
      <c r="BQ338" s="161"/>
      <c r="BR338" s="161"/>
      <c r="BS338" s="161"/>
      <c r="BT338" s="161"/>
      <c r="BU338" s="161"/>
      <c r="BV338" s="161"/>
      <c r="BW338" s="161"/>
      <c r="BX338" s="161"/>
      <c r="BY338" s="161"/>
    </row>
    <row r="339" spans="1:77">
      <c r="A339" s="162"/>
      <c r="B339" s="162"/>
      <c r="C339" s="162"/>
      <c r="D339" s="162"/>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c r="AC339" s="162"/>
      <c r="AD339" s="162"/>
      <c r="AE339" s="162"/>
      <c r="AF339" s="162"/>
      <c r="AG339" s="162"/>
      <c r="AH339" s="162"/>
      <c r="AI339" s="162"/>
      <c r="AJ339" s="162"/>
      <c r="AK339" s="162"/>
      <c r="AL339" s="162"/>
      <c r="AM339" s="162"/>
      <c r="AN339" s="162"/>
      <c r="AO339" s="162"/>
      <c r="AP339" s="162"/>
      <c r="AQ339" s="162"/>
      <c r="AR339" s="162"/>
      <c r="AS339" s="162"/>
      <c r="AT339" s="161"/>
      <c r="AU339" s="161"/>
      <c r="AV339" s="161"/>
      <c r="AW339" s="161"/>
      <c r="AX339" s="161"/>
      <c r="AY339" s="161"/>
      <c r="AZ339" s="161"/>
      <c r="BA339" s="161"/>
      <c r="BB339" s="161"/>
      <c r="BC339" s="161"/>
      <c r="BD339" s="161"/>
      <c r="BE339" s="161"/>
      <c r="BF339" s="161"/>
      <c r="BG339" s="161"/>
      <c r="BH339" s="161"/>
      <c r="BI339" s="161"/>
      <c r="BJ339" s="161"/>
      <c r="BK339" s="161"/>
      <c r="BL339" s="161"/>
      <c r="BM339" s="161"/>
      <c r="BN339" s="161"/>
      <c r="BO339" s="161"/>
      <c r="BP339" s="161"/>
      <c r="BQ339" s="161"/>
      <c r="BR339" s="161"/>
      <c r="BS339" s="161"/>
      <c r="BT339" s="161"/>
      <c r="BU339" s="161"/>
      <c r="BV339" s="161"/>
      <c r="BW339" s="161"/>
      <c r="BX339" s="161"/>
      <c r="BY339" s="161"/>
    </row>
    <row r="340" spans="1:77">
      <c r="A340" s="162"/>
      <c r="B340" s="162"/>
      <c r="C340" s="162"/>
      <c r="D340" s="162"/>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c r="AC340" s="162"/>
      <c r="AD340" s="162"/>
      <c r="AE340" s="162"/>
      <c r="AF340" s="162"/>
      <c r="AG340" s="162"/>
      <c r="AH340" s="162"/>
      <c r="AI340" s="162"/>
      <c r="AJ340" s="162"/>
      <c r="AK340" s="162"/>
      <c r="AL340" s="162"/>
      <c r="AM340" s="162"/>
      <c r="AN340" s="162"/>
      <c r="AO340" s="162"/>
      <c r="AP340" s="162"/>
      <c r="AQ340" s="162"/>
      <c r="AR340" s="162"/>
      <c r="AS340" s="162"/>
      <c r="AT340" s="161"/>
      <c r="AU340" s="161"/>
      <c r="AV340" s="161"/>
      <c r="AW340" s="161"/>
      <c r="AX340" s="161"/>
      <c r="AY340" s="161"/>
      <c r="AZ340" s="161"/>
      <c r="BA340" s="161"/>
      <c r="BB340" s="161"/>
      <c r="BC340" s="161"/>
      <c r="BD340" s="161"/>
      <c r="BE340" s="161"/>
      <c r="BF340" s="161"/>
      <c r="BG340" s="161"/>
      <c r="BH340" s="161"/>
      <c r="BI340" s="161"/>
      <c r="BJ340" s="161"/>
      <c r="BK340" s="161"/>
      <c r="BL340" s="161"/>
      <c r="BM340" s="161"/>
      <c r="BN340" s="161"/>
      <c r="BO340" s="161"/>
      <c r="BP340" s="161"/>
      <c r="BQ340" s="161"/>
      <c r="BR340" s="161"/>
      <c r="BS340" s="161"/>
      <c r="BT340" s="161"/>
      <c r="BU340" s="161"/>
      <c r="BV340" s="161"/>
      <c r="BW340" s="161"/>
      <c r="BX340" s="161"/>
      <c r="BY340" s="161"/>
    </row>
    <row r="341" spans="1:77">
      <c r="A341" s="162"/>
      <c r="B341" s="162"/>
      <c r="C341" s="162"/>
      <c r="D341" s="162"/>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c r="AC341" s="162"/>
      <c r="AD341" s="162"/>
      <c r="AE341" s="162"/>
      <c r="AF341" s="162"/>
      <c r="AG341" s="162"/>
      <c r="AH341" s="162"/>
      <c r="AI341" s="162"/>
      <c r="AJ341" s="162"/>
      <c r="AK341" s="162"/>
      <c r="AL341" s="162"/>
      <c r="AM341" s="162"/>
      <c r="AN341" s="162"/>
      <c r="AO341" s="162"/>
      <c r="AP341" s="162"/>
      <c r="AQ341" s="162"/>
      <c r="AR341" s="162"/>
      <c r="AS341" s="162"/>
      <c r="AT341" s="161"/>
      <c r="AU341" s="161"/>
      <c r="AV341" s="161"/>
      <c r="AW341" s="161"/>
      <c r="AX341" s="161"/>
      <c r="AY341" s="161"/>
      <c r="AZ341" s="161"/>
      <c r="BA341" s="161"/>
      <c r="BB341" s="161"/>
      <c r="BC341" s="161"/>
      <c r="BD341" s="161"/>
      <c r="BE341" s="161"/>
      <c r="BF341" s="161"/>
      <c r="BG341" s="161"/>
      <c r="BH341" s="161"/>
      <c r="BI341" s="161"/>
      <c r="BJ341" s="161"/>
      <c r="BK341" s="161"/>
      <c r="BL341" s="161"/>
      <c r="BM341" s="161"/>
      <c r="BN341" s="161"/>
      <c r="BO341" s="161"/>
      <c r="BP341" s="161"/>
      <c r="BQ341" s="161"/>
      <c r="BR341" s="161"/>
      <c r="BS341" s="161"/>
      <c r="BT341" s="161"/>
      <c r="BU341" s="161"/>
      <c r="BV341" s="161"/>
      <c r="BW341" s="161"/>
      <c r="BX341" s="161"/>
      <c r="BY341" s="161"/>
    </row>
    <row r="342" spans="1:77">
      <c r="A342" s="162"/>
      <c r="B342" s="162"/>
      <c r="C342" s="162"/>
      <c r="D342" s="162"/>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c r="AC342" s="162"/>
      <c r="AD342" s="162"/>
      <c r="AE342" s="162"/>
      <c r="AF342" s="162"/>
      <c r="AG342" s="162"/>
      <c r="AH342" s="162"/>
      <c r="AI342" s="162"/>
      <c r="AJ342" s="162"/>
      <c r="AK342" s="162"/>
      <c r="AL342" s="162"/>
      <c r="AM342" s="162"/>
      <c r="AN342" s="162"/>
      <c r="AO342" s="162"/>
      <c r="AP342" s="162"/>
      <c r="AQ342" s="162"/>
      <c r="AR342" s="162"/>
      <c r="AS342" s="162"/>
      <c r="AT342" s="161"/>
      <c r="AU342" s="161"/>
      <c r="AV342" s="161"/>
      <c r="AW342" s="161"/>
      <c r="AX342" s="161"/>
      <c r="AY342" s="161"/>
      <c r="AZ342" s="161"/>
      <c r="BA342" s="161"/>
      <c r="BB342" s="161"/>
      <c r="BC342" s="161"/>
      <c r="BD342" s="161"/>
      <c r="BE342" s="161"/>
      <c r="BF342" s="161"/>
      <c r="BG342" s="161"/>
      <c r="BH342" s="161"/>
      <c r="BI342" s="161"/>
      <c r="BJ342" s="161"/>
      <c r="BK342" s="161"/>
      <c r="BL342" s="161"/>
      <c r="BM342" s="161"/>
      <c r="BN342" s="161"/>
      <c r="BO342" s="161"/>
      <c r="BP342" s="161"/>
      <c r="BQ342" s="161"/>
      <c r="BR342" s="161"/>
      <c r="BS342" s="161"/>
      <c r="BT342" s="161"/>
      <c r="BU342" s="161"/>
      <c r="BV342" s="161"/>
      <c r="BW342" s="161"/>
      <c r="BX342" s="161"/>
      <c r="BY342" s="161"/>
    </row>
    <row r="343" spans="1:77">
      <c r="A343" s="162"/>
      <c r="B343" s="162"/>
      <c r="C343" s="162"/>
      <c r="D343" s="162"/>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c r="AC343" s="162"/>
      <c r="AD343" s="162"/>
      <c r="AE343" s="162"/>
      <c r="AF343" s="162"/>
      <c r="AG343" s="162"/>
      <c r="AH343" s="162"/>
      <c r="AI343" s="162"/>
      <c r="AJ343" s="162"/>
      <c r="AK343" s="162"/>
      <c r="AL343" s="162"/>
      <c r="AM343" s="162"/>
      <c r="AN343" s="162"/>
      <c r="AO343" s="162"/>
      <c r="AP343" s="162"/>
      <c r="AQ343" s="162"/>
      <c r="AR343" s="162"/>
      <c r="AS343" s="162"/>
      <c r="AT343" s="161"/>
      <c r="AU343" s="161"/>
      <c r="AV343" s="161"/>
      <c r="AW343" s="161"/>
      <c r="AX343" s="161"/>
      <c r="AY343" s="161"/>
      <c r="AZ343" s="161"/>
      <c r="BA343" s="161"/>
      <c r="BB343" s="161"/>
      <c r="BC343" s="161"/>
      <c r="BD343" s="161"/>
      <c r="BE343" s="161"/>
      <c r="BF343" s="161"/>
      <c r="BG343" s="161"/>
      <c r="BH343" s="161"/>
      <c r="BI343" s="161"/>
      <c r="BJ343" s="161"/>
      <c r="BK343" s="161"/>
      <c r="BL343" s="161"/>
      <c r="BM343" s="161"/>
      <c r="BN343" s="161"/>
      <c r="BO343" s="161"/>
      <c r="BP343" s="161"/>
      <c r="BQ343" s="161"/>
      <c r="BR343" s="161"/>
      <c r="BS343" s="161"/>
      <c r="BT343" s="161"/>
      <c r="BU343" s="161"/>
      <c r="BV343" s="161"/>
      <c r="BW343" s="161"/>
      <c r="BX343" s="161"/>
      <c r="BY343" s="161"/>
    </row>
    <row r="344" spans="1:77">
      <c r="A344" s="162"/>
      <c r="B344" s="162"/>
      <c r="C344" s="162"/>
      <c r="D344" s="162"/>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c r="AC344" s="162"/>
      <c r="AD344" s="162"/>
      <c r="AE344" s="162"/>
      <c r="AF344" s="162"/>
      <c r="AG344" s="162"/>
      <c r="AH344" s="162"/>
      <c r="AI344" s="162"/>
      <c r="AJ344" s="162"/>
      <c r="AK344" s="162"/>
      <c r="AL344" s="162"/>
      <c r="AM344" s="162"/>
      <c r="AN344" s="162"/>
      <c r="AO344" s="162"/>
      <c r="AP344" s="162"/>
      <c r="AQ344" s="162"/>
      <c r="AR344" s="162"/>
      <c r="AS344" s="162"/>
      <c r="AT344" s="161"/>
      <c r="AU344" s="161"/>
      <c r="AV344" s="161"/>
      <c r="AW344" s="161"/>
      <c r="AX344" s="161"/>
      <c r="AY344" s="161"/>
      <c r="AZ344" s="161"/>
      <c r="BA344" s="161"/>
      <c r="BB344" s="161"/>
      <c r="BC344" s="161"/>
      <c r="BD344" s="161"/>
      <c r="BE344" s="161"/>
      <c r="BF344" s="161"/>
      <c r="BG344" s="161"/>
      <c r="BH344" s="161"/>
      <c r="BI344" s="161"/>
      <c r="BJ344" s="161"/>
      <c r="BK344" s="161"/>
      <c r="BL344" s="161"/>
      <c r="BM344" s="161"/>
      <c r="BN344" s="161"/>
      <c r="BO344" s="161"/>
      <c r="BP344" s="161"/>
      <c r="BQ344" s="161"/>
      <c r="BR344" s="161"/>
      <c r="BS344" s="161"/>
      <c r="BT344" s="161"/>
      <c r="BU344" s="161"/>
      <c r="BV344" s="161"/>
      <c r="BW344" s="161"/>
      <c r="BX344" s="161"/>
      <c r="BY344" s="161"/>
    </row>
    <row r="345" spans="1:77">
      <c r="A345" s="162"/>
      <c r="B345" s="162"/>
      <c r="C345" s="162"/>
      <c r="D345" s="162"/>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c r="AC345" s="162"/>
      <c r="AD345" s="162"/>
      <c r="AE345" s="162"/>
      <c r="AF345" s="162"/>
      <c r="AG345" s="162"/>
      <c r="AH345" s="162"/>
      <c r="AI345" s="162"/>
      <c r="AJ345" s="162"/>
      <c r="AK345" s="162"/>
      <c r="AL345" s="162"/>
      <c r="AM345" s="162"/>
      <c r="AN345" s="162"/>
      <c r="AO345" s="162"/>
      <c r="AP345" s="162"/>
      <c r="AQ345" s="162"/>
      <c r="AR345" s="162"/>
      <c r="AS345" s="162"/>
      <c r="AT345" s="161"/>
      <c r="AU345" s="161"/>
      <c r="AV345" s="161"/>
      <c r="AW345" s="161"/>
      <c r="AX345" s="161"/>
      <c r="AY345" s="161"/>
      <c r="AZ345" s="161"/>
      <c r="BA345" s="161"/>
      <c r="BB345" s="161"/>
      <c r="BC345" s="161"/>
      <c r="BD345" s="161"/>
      <c r="BE345" s="161"/>
      <c r="BF345" s="161"/>
      <c r="BG345" s="161"/>
      <c r="BH345" s="161"/>
      <c r="BI345" s="161"/>
      <c r="BJ345" s="161"/>
      <c r="BK345" s="161"/>
      <c r="BL345" s="161"/>
      <c r="BM345" s="161"/>
      <c r="BN345" s="161"/>
      <c r="BO345" s="161"/>
      <c r="BP345" s="161"/>
      <c r="BQ345" s="161"/>
      <c r="BR345" s="161"/>
      <c r="BS345" s="161"/>
      <c r="BT345" s="161"/>
      <c r="BU345" s="161"/>
      <c r="BV345" s="161"/>
      <c r="BW345" s="161"/>
      <c r="BX345" s="161"/>
      <c r="BY345" s="161"/>
    </row>
    <row r="346" spans="1:77">
      <c r="A346" s="162"/>
      <c r="B346" s="162"/>
      <c r="C346" s="162"/>
      <c r="D346" s="162"/>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c r="AC346" s="162"/>
      <c r="AD346" s="162"/>
      <c r="AE346" s="162"/>
      <c r="AF346" s="162"/>
      <c r="AG346" s="162"/>
      <c r="AH346" s="162"/>
      <c r="AI346" s="162"/>
      <c r="AJ346" s="162"/>
      <c r="AK346" s="162"/>
      <c r="AL346" s="162"/>
      <c r="AM346" s="162"/>
      <c r="AN346" s="162"/>
      <c r="AO346" s="162"/>
      <c r="AP346" s="162"/>
      <c r="AQ346" s="162"/>
      <c r="AR346" s="162"/>
      <c r="AS346" s="162"/>
      <c r="AT346" s="161"/>
      <c r="AU346" s="161"/>
      <c r="AV346" s="161"/>
      <c r="AW346" s="161"/>
      <c r="AX346" s="161"/>
      <c r="AY346" s="161"/>
      <c r="AZ346" s="161"/>
      <c r="BA346" s="161"/>
      <c r="BB346" s="161"/>
      <c r="BC346" s="161"/>
      <c r="BD346" s="161"/>
      <c r="BE346" s="161"/>
      <c r="BF346" s="161"/>
      <c r="BG346" s="161"/>
      <c r="BH346" s="161"/>
      <c r="BI346" s="161"/>
      <c r="BJ346" s="161"/>
      <c r="BK346" s="161"/>
      <c r="BL346" s="161"/>
      <c r="BM346" s="161"/>
      <c r="BN346" s="161"/>
      <c r="BO346" s="161"/>
      <c r="BP346" s="161"/>
      <c r="BQ346" s="161"/>
      <c r="BR346" s="161"/>
      <c r="BS346" s="161"/>
      <c r="BT346" s="161"/>
      <c r="BU346" s="161"/>
      <c r="BV346" s="161"/>
      <c r="BW346" s="161"/>
      <c r="BX346" s="161"/>
      <c r="BY346" s="161"/>
    </row>
    <row r="347" spans="1:77">
      <c r="A347" s="162"/>
      <c r="B347" s="162"/>
      <c r="C347" s="162"/>
      <c r="D347" s="162"/>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c r="AC347" s="162"/>
      <c r="AD347" s="162"/>
      <c r="AE347" s="162"/>
      <c r="AF347" s="162"/>
      <c r="AG347" s="162"/>
      <c r="AH347" s="162"/>
      <c r="AI347" s="162"/>
      <c r="AJ347" s="162"/>
      <c r="AK347" s="162"/>
      <c r="AL347" s="162"/>
      <c r="AM347" s="162"/>
      <c r="AN347" s="162"/>
      <c r="AO347" s="162"/>
      <c r="AP347" s="162"/>
      <c r="AQ347" s="162"/>
      <c r="AR347" s="162"/>
      <c r="AS347" s="162"/>
      <c r="AT347" s="161"/>
      <c r="AU347" s="161"/>
      <c r="AV347" s="161"/>
      <c r="AW347" s="161"/>
      <c r="AX347" s="161"/>
      <c r="AY347" s="161"/>
      <c r="AZ347" s="161"/>
      <c r="BA347" s="161"/>
      <c r="BB347" s="161"/>
      <c r="BC347" s="161"/>
      <c r="BD347" s="161"/>
      <c r="BE347" s="161"/>
      <c r="BF347" s="161"/>
      <c r="BG347" s="161"/>
      <c r="BH347" s="161"/>
      <c r="BI347" s="161"/>
      <c r="BJ347" s="161"/>
      <c r="BK347" s="161"/>
      <c r="BL347" s="161"/>
      <c r="BM347" s="161"/>
      <c r="BN347" s="161"/>
      <c r="BO347" s="161"/>
      <c r="BP347" s="161"/>
      <c r="BQ347" s="161"/>
      <c r="BR347" s="161"/>
      <c r="BS347" s="161"/>
      <c r="BT347" s="161"/>
      <c r="BU347" s="161"/>
      <c r="BV347" s="161"/>
      <c r="BW347" s="161"/>
      <c r="BX347" s="161"/>
      <c r="BY347" s="161"/>
    </row>
    <row r="348" spans="1:77">
      <c r="A348" s="162"/>
      <c r="B348" s="162"/>
      <c r="C348" s="162"/>
      <c r="D348" s="162"/>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c r="AC348" s="162"/>
      <c r="AD348" s="162"/>
      <c r="AE348" s="162"/>
      <c r="AF348" s="162"/>
      <c r="AG348" s="162"/>
      <c r="AH348" s="162"/>
      <c r="AI348" s="162"/>
      <c r="AJ348" s="162"/>
      <c r="AK348" s="162"/>
      <c r="AL348" s="162"/>
      <c r="AM348" s="162"/>
      <c r="AN348" s="162"/>
      <c r="AO348" s="162"/>
      <c r="AP348" s="162"/>
      <c r="AQ348" s="162"/>
      <c r="AR348" s="162"/>
      <c r="AS348" s="162"/>
      <c r="AT348" s="161"/>
      <c r="AU348" s="161"/>
      <c r="AV348" s="161"/>
      <c r="AW348" s="161"/>
      <c r="AX348" s="161"/>
      <c r="AY348" s="161"/>
      <c r="AZ348" s="161"/>
      <c r="BA348" s="161"/>
      <c r="BB348" s="161"/>
      <c r="BC348" s="161"/>
      <c r="BD348" s="161"/>
      <c r="BE348" s="161"/>
      <c r="BF348" s="161"/>
      <c r="BG348" s="161"/>
      <c r="BH348" s="161"/>
      <c r="BI348" s="161"/>
      <c r="BJ348" s="161"/>
      <c r="BK348" s="161"/>
      <c r="BL348" s="161"/>
      <c r="BM348" s="161"/>
      <c r="BN348" s="161"/>
      <c r="BO348" s="161"/>
      <c r="BP348" s="161"/>
      <c r="BQ348" s="161"/>
      <c r="BR348" s="161"/>
      <c r="BS348" s="161"/>
      <c r="BT348" s="161"/>
      <c r="BU348" s="161"/>
      <c r="BV348" s="161"/>
      <c r="BW348" s="161"/>
      <c r="BX348" s="161"/>
      <c r="BY348" s="161"/>
    </row>
    <row r="349" spans="1:77">
      <c r="A349" s="162"/>
      <c r="B349" s="162"/>
      <c r="C349" s="162"/>
      <c r="D349" s="162"/>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c r="AC349" s="162"/>
      <c r="AD349" s="162"/>
      <c r="AE349" s="162"/>
      <c r="AF349" s="162"/>
      <c r="AG349" s="162"/>
      <c r="AH349" s="162"/>
      <c r="AI349" s="162"/>
      <c r="AJ349" s="162"/>
      <c r="AK349" s="162"/>
      <c r="AL349" s="162"/>
      <c r="AM349" s="162"/>
      <c r="AN349" s="162"/>
      <c r="AO349" s="162"/>
      <c r="AP349" s="162"/>
      <c r="AQ349" s="162"/>
      <c r="AR349" s="162"/>
      <c r="AS349" s="162"/>
      <c r="AT349" s="161"/>
      <c r="AU349" s="161"/>
      <c r="AV349" s="161"/>
      <c r="AW349" s="161"/>
      <c r="AX349" s="161"/>
      <c r="AY349" s="161"/>
      <c r="AZ349" s="161"/>
      <c r="BA349" s="161"/>
      <c r="BB349" s="161"/>
      <c r="BC349" s="161"/>
      <c r="BD349" s="161"/>
      <c r="BE349" s="161"/>
      <c r="BF349" s="161"/>
      <c r="BG349" s="161"/>
      <c r="BH349" s="161"/>
      <c r="BI349" s="161"/>
      <c r="BJ349" s="161"/>
      <c r="BK349" s="161"/>
      <c r="BL349" s="161"/>
      <c r="BM349" s="161"/>
      <c r="BN349" s="161"/>
      <c r="BO349" s="161"/>
      <c r="BP349" s="161"/>
      <c r="BQ349" s="161"/>
      <c r="BR349" s="161"/>
      <c r="BS349" s="161"/>
      <c r="BT349" s="161"/>
      <c r="BU349" s="161"/>
      <c r="BV349" s="161"/>
      <c r="BW349" s="161"/>
      <c r="BX349" s="161"/>
      <c r="BY349" s="161"/>
    </row>
    <row r="350" spans="1:77">
      <c r="A350" s="162"/>
      <c r="B350" s="162"/>
      <c r="C350" s="162"/>
      <c r="D350" s="162"/>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c r="AC350" s="162"/>
      <c r="AD350" s="162"/>
      <c r="AE350" s="162"/>
      <c r="AF350" s="162"/>
      <c r="AG350" s="162"/>
      <c r="AH350" s="162"/>
      <c r="AI350" s="162"/>
      <c r="AJ350" s="162"/>
      <c r="AK350" s="162"/>
      <c r="AL350" s="162"/>
      <c r="AM350" s="162"/>
      <c r="AN350" s="162"/>
      <c r="AO350" s="162"/>
      <c r="AP350" s="162"/>
      <c r="AQ350" s="162"/>
      <c r="AR350" s="162"/>
      <c r="AS350" s="162"/>
      <c r="AT350" s="161"/>
      <c r="AU350" s="161"/>
      <c r="AV350" s="161"/>
      <c r="AW350" s="161"/>
      <c r="AX350" s="161"/>
      <c r="AY350" s="161"/>
      <c r="AZ350" s="161"/>
      <c r="BA350" s="161"/>
      <c r="BB350" s="161"/>
      <c r="BC350" s="161"/>
      <c r="BD350" s="161"/>
      <c r="BE350" s="161"/>
      <c r="BF350" s="161"/>
      <c r="BG350" s="161"/>
      <c r="BH350" s="161"/>
      <c r="BI350" s="161"/>
      <c r="BJ350" s="161"/>
      <c r="BK350" s="161"/>
      <c r="BL350" s="161"/>
      <c r="BM350" s="161"/>
      <c r="BN350" s="161"/>
      <c r="BO350" s="161"/>
      <c r="BP350" s="161"/>
      <c r="BQ350" s="161"/>
      <c r="BR350" s="161"/>
      <c r="BS350" s="161"/>
      <c r="BT350" s="161"/>
      <c r="BU350" s="161"/>
      <c r="BV350" s="161"/>
      <c r="BW350" s="161"/>
      <c r="BX350" s="161"/>
      <c r="BY350" s="161"/>
    </row>
    <row r="351" spans="1:77">
      <c r="A351" s="162"/>
      <c r="B351" s="162"/>
      <c r="C351" s="162"/>
      <c r="D351" s="162"/>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c r="AC351" s="162"/>
      <c r="AD351" s="162"/>
      <c r="AE351" s="162"/>
      <c r="AF351" s="162"/>
      <c r="AG351" s="162"/>
      <c r="AH351" s="162"/>
      <c r="AI351" s="162"/>
      <c r="AJ351" s="162"/>
      <c r="AK351" s="162"/>
      <c r="AL351" s="162"/>
      <c r="AM351" s="162"/>
      <c r="AN351" s="162"/>
      <c r="AO351" s="162"/>
      <c r="AP351" s="162"/>
      <c r="AQ351" s="162"/>
      <c r="AR351" s="162"/>
      <c r="AS351" s="162"/>
      <c r="AT351" s="161"/>
      <c r="AU351" s="161"/>
      <c r="AV351" s="161"/>
      <c r="AW351" s="161"/>
      <c r="AX351" s="161"/>
      <c r="AY351" s="161"/>
      <c r="AZ351" s="161"/>
      <c r="BA351" s="161"/>
      <c r="BB351" s="161"/>
      <c r="BC351" s="161"/>
      <c r="BD351" s="161"/>
      <c r="BE351" s="161"/>
      <c r="BF351" s="161"/>
      <c r="BG351" s="161"/>
      <c r="BH351" s="161"/>
      <c r="BI351" s="161"/>
      <c r="BJ351" s="161"/>
      <c r="BK351" s="161"/>
      <c r="BL351" s="161"/>
      <c r="BM351" s="161"/>
      <c r="BN351" s="161"/>
      <c r="BO351" s="161"/>
      <c r="BP351" s="161"/>
      <c r="BQ351" s="161"/>
      <c r="BR351" s="161"/>
      <c r="BS351" s="161"/>
      <c r="BT351" s="161"/>
      <c r="BU351" s="161"/>
      <c r="BV351" s="161"/>
      <c r="BW351" s="161"/>
      <c r="BX351" s="161"/>
      <c r="BY351" s="161"/>
    </row>
    <row r="352" spans="1:77">
      <c r="A352" s="162"/>
      <c r="B352" s="162"/>
      <c r="C352" s="162"/>
      <c r="D352" s="162"/>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c r="AC352" s="162"/>
      <c r="AD352" s="162"/>
      <c r="AE352" s="162"/>
      <c r="AF352" s="162"/>
      <c r="AG352" s="162"/>
      <c r="AH352" s="162"/>
      <c r="AI352" s="162"/>
      <c r="AJ352" s="162"/>
      <c r="AK352" s="162"/>
      <c r="AL352" s="162"/>
      <c r="AM352" s="162"/>
      <c r="AN352" s="162"/>
      <c r="AO352" s="162"/>
      <c r="AP352" s="162"/>
      <c r="AQ352" s="162"/>
      <c r="AR352" s="162"/>
      <c r="AS352" s="162"/>
      <c r="AT352" s="161"/>
      <c r="AU352" s="161"/>
      <c r="AV352" s="161"/>
      <c r="AW352" s="161"/>
      <c r="AX352" s="161"/>
      <c r="AY352" s="161"/>
      <c r="AZ352" s="161"/>
      <c r="BA352" s="161"/>
      <c r="BB352" s="161"/>
      <c r="BC352" s="161"/>
      <c r="BD352" s="161"/>
      <c r="BE352" s="161"/>
      <c r="BF352" s="161"/>
      <c r="BG352" s="161"/>
      <c r="BH352" s="161"/>
      <c r="BI352" s="161"/>
      <c r="BJ352" s="161"/>
      <c r="BK352" s="161"/>
      <c r="BL352" s="161"/>
      <c r="BM352" s="161"/>
      <c r="BN352" s="161"/>
      <c r="BO352" s="161"/>
      <c r="BP352" s="161"/>
      <c r="BQ352" s="161"/>
      <c r="BR352" s="161"/>
      <c r="BS352" s="161"/>
      <c r="BT352" s="161"/>
      <c r="BU352" s="161"/>
      <c r="BV352" s="161"/>
      <c r="BW352" s="161"/>
      <c r="BX352" s="161"/>
      <c r="BY352" s="161"/>
    </row>
    <row r="353" spans="1:77">
      <c r="A353" s="162"/>
      <c r="B353" s="162"/>
      <c r="C353" s="162"/>
      <c r="D353" s="162"/>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c r="AC353" s="162"/>
      <c r="AD353" s="162"/>
      <c r="AE353" s="162"/>
      <c r="AF353" s="162"/>
      <c r="AG353" s="162"/>
      <c r="AH353" s="162"/>
      <c r="AI353" s="162"/>
      <c r="AJ353" s="162"/>
      <c r="AK353" s="162"/>
      <c r="AL353" s="162"/>
      <c r="AM353" s="162"/>
      <c r="AN353" s="162"/>
      <c r="AO353" s="162"/>
      <c r="AP353" s="162"/>
      <c r="AQ353" s="162"/>
      <c r="AR353" s="162"/>
      <c r="AS353" s="162"/>
      <c r="AT353" s="161"/>
      <c r="AU353" s="161"/>
      <c r="AV353" s="161"/>
      <c r="AW353" s="161"/>
      <c r="AX353" s="161"/>
      <c r="AY353" s="161"/>
      <c r="AZ353" s="161"/>
      <c r="BA353" s="161"/>
      <c r="BB353" s="161"/>
      <c r="BC353" s="161"/>
      <c r="BD353" s="161"/>
      <c r="BE353" s="161"/>
      <c r="BF353" s="161"/>
      <c r="BG353" s="161"/>
      <c r="BH353" s="161"/>
      <c r="BI353" s="161"/>
      <c r="BJ353" s="161"/>
      <c r="BK353" s="161"/>
      <c r="BL353" s="161"/>
      <c r="BM353" s="161"/>
      <c r="BN353" s="161"/>
      <c r="BO353" s="161"/>
      <c r="BP353" s="161"/>
      <c r="BQ353" s="161"/>
      <c r="BR353" s="161"/>
      <c r="BS353" s="161"/>
      <c r="BT353" s="161"/>
      <c r="BU353" s="161"/>
      <c r="BV353" s="161"/>
      <c r="BW353" s="161"/>
      <c r="BX353" s="161"/>
      <c r="BY353" s="161"/>
    </row>
    <row r="354" spans="1:77">
      <c r="A354" s="162"/>
      <c r="B354" s="162"/>
      <c r="C354" s="162"/>
      <c r="D354" s="162"/>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c r="AC354" s="162"/>
      <c r="AD354" s="162"/>
      <c r="AE354" s="162"/>
      <c r="AF354" s="162"/>
      <c r="AG354" s="162"/>
      <c r="AH354" s="162"/>
      <c r="AI354" s="162"/>
      <c r="AJ354" s="162"/>
      <c r="AK354" s="162"/>
      <c r="AL354" s="162"/>
      <c r="AM354" s="162"/>
      <c r="AN354" s="162"/>
      <c r="AO354" s="162"/>
      <c r="AP354" s="162"/>
      <c r="AQ354" s="162"/>
      <c r="AR354" s="162"/>
      <c r="AS354" s="162"/>
      <c r="AT354" s="161"/>
      <c r="AU354" s="161"/>
      <c r="AV354" s="161"/>
      <c r="AW354" s="161"/>
      <c r="AX354" s="161"/>
      <c r="AY354" s="161"/>
      <c r="AZ354" s="161"/>
      <c r="BA354" s="161"/>
      <c r="BB354" s="161"/>
      <c r="BC354" s="161"/>
      <c r="BD354" s="161"/>
      <c r="BE354" s="161"/>
      <c r="BF354" s="161"/>
      <c r="BG354" s="161"/>
      <c r="BH354" s="161"/>
      <c r="BI354" s="161"/>
      <c r="BJ354" s="161"/>
      <c r="BK354" s="161"/>
      <c r="BL354" s="161"/>
      <c r="BM354" s="161"/>
      <c r="BN354" s="161"/>
      <c r="BO354" s="161"/>
      <c r="BP354" s="161"/>
      <c r="BQ354" s="161"/>
      <c r="BR354" s="161"/>
      <c r="BS354" s="161"/>
      <c r="BT354" s="161"/>
      <c r="BU354" s="161"/>
      <c r="BV354" s="161"/>
      <c r="BW354" s="161"/>
      <c r="BX354" s="161"/>
      <c r="BY354" s="161"/>
    </row>
    <row r="355" spans="1:77">
      <c r="A355" s="162"/>
      <c r="B355" s="162"/>
      <c r="C355" s="162"/>
      <c r="D355" s="162"/>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c r="AC355" s="162"/>
      <c r="AD355" s="162"/>
      <c r="AE355" s="162"/>
      <c r="AF355" s="162"/>
      <c r="AG355" s="162"/>
      <c r="AH355" s="162"/>
      <c r="AI355" s="162"/>
      <c r="AJ355" s="162"/>
      <c r="AK355" s="162"/>
      <c r="AL355" s="162"/>
      <c r="AM355" s="162"/>
      <c r="AN355" s="162"/>
      <c r="AO355" s="162"/>
      <c r="AP355" s="162"/>
      <c r="AQ355" s="162"/>
      <c r="AR355" s="162"/>
      <c r="AS355" s="162"/>
      <c r="AT355" s="161"/>
      <c r="AU355" s="161"/>
      <c r="AV355" s="161"/>
      <c r="AW355" s="161"/>
      <c r="AX355" s="161"/>
      <c r="AY355" s="161"/>
      <c r="AZ355" s="161"/>
      <c r="BA355" s="161"/>
      <c r="BB355" s="161"/>
      <c r="BC355" s="161"/>
      <c r="BD355" s="161"/>
      <c r="BE355" s="161"/>
      <c r="BF355" s="161"/>
      <c r="BG355" s="161"/>
      <c r="BH355" s="161"/>
      <c r="BI355" s="161"/>
      <c r="BJ355" s="161"/>
      <c r="BK355" s="161"/>
      <c r="BL355" s="161"/>
      <c r="BM355" s="161"/>
      <c r="BN355" s="161"/>
      <c r="BO355" s="161"/>
      <c r="BP355" s="161"/>
      <c r="BQ355" s="161"/>
      <c r="BR355" s="161"/>
      <c r="BS355" s="161"/>
      <c r="BT355" s="161"/>
      <c r="BU355" s="161"/>
      <c r="BV355" s="161"/>
      <c r="BW355" s="161"/>
      <c r="BX355" s="161"/>
      <c r="BY355" s="161"/>
    </row>
    <row r="356" spans="1:77">
      <c r="A356" s="162"/>
      <c r="B356" s="162"/>
      <c r="C356" s="162"/>
      <c r="D356" s="162"/>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c r="AC356" s="162"/>
      <c r="AD356" s="162"/>
      <c r="AE356" s="162"/>
      <c r="AF356" s="162"/>
      <c r="AG356" s="162"/>
      <c r="AH356" s="162"/>
      <c r="AI356" s="162"/>
      <c r="AJ356" s="162"/>
      <c r="AK356" s="162"/>
      <c r="AL356" s="162"/>
      <c r="AM356" s="162"/>
      <c r="AN356" s="162"/>
      <c r="AO356" s="162"/>
      <c r="AP356" s="162"/>
      <c r="AQ356" s="162"/>
      <c r="AR356" s="162"/>
      <c r="AS356" s="162"/>
      <c r="AT356" s="161"/>
      <c r="AU356" s="161"/>
      <c r="AV356" s="161"/>
      <c r="AW356" s="161"/>
      <c r="AX356" s="161"/>
      <c r="AY356" s="161"/>
      <c r="AZ356" s="161"/>
      <c r="BA356" s="161"/>
      <c r="BB356" s="161"/>
      <c r="BC356" s="161"/>
      <c r="BD356" s="161"/>
      <c r="BE356" s="161"/>
      <c r="BF356" s="161"/>
      <c r="BG356" s="161"/>
      <c r="BH356" s="161"/>
      <c r="BI356" s="161"/>
      <c r="BJ356" s="161"/>
      <c r="BK356" s="161"/>
      <c r="BL356" s="161"/>
      <c r="BM356" s="161"/>
      <c r="BN356" s="161"/>
      <c r="BO356" s="161"/>
      <c r="BP356" s="161"/>
      <c r="BQ356" s="161"/>
      <c r="BR356" s="161"/>
      <c r="BS356" s="161"/>
      <c r="BT356" s="161"/>
      <c r="BU356" s="161"/>
      <c r="BV356" s="161"/>
      <c r="BW356" s="161"/>
      <c r="BX356" s="161"/>
      <c r="BY356" s="161"/>
    </row>
    <row r="357" spans="1:77">
      <c r="A357" s="162"/>
      <c r="B357" s="162"/>
      <c r="C357" s="162"/>
      <c r="D357" s="162"/>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c r="AC357" s="162"/>
      <c r="AD357" s="162"/>
      <c r="AE357" s="162"/>
      <c r="AF357" s="162"/>
      <c r="AG357" s="162"/>
      <c r="AH357" s="162"/>
      <c r="AI357" s="162"/>
      <c r="AJ357" s="162"/>
      <c r="AK357" s="162"/>
      <c r="AL357" s="162"/>
      <c r="AM357" s="162"/>
      <c r="AN357" s="162"/>
      <c r="AO357" s="162"/>
      <c r="AP357" s="162"/>
      <c r="AQ357" s="162"/>
      <c r="AR357" s="162"/>
      <c r="AS357" s="162"/>
      <c r="AT357" s="161"/>
      <c r="AU357" s="161"/>
      <c r="AV357" s="161"/>
      <c r="AW357" s="161"/>
      <c r="AX357" s="161"/>
      <c r="AY357" s="161"/>
      <c r="AZ357" s="161"/>
      <c r="BA357" s="161"/>
      <c r="BB357" s="161"/>
      <c r="BC357" s="161"/>
      <c r="BD357" s="161"/>
      <c r="BE357" s="161"/>
      <c r="BF357" s="161"/>
      <c r="BG357" s="161"/>
      <c r="BH357" s="161"/>
      <c r="BI357" s="161"/>
      <c r="BJ357" s="161"/>
      <c r="BK357" s="161"/>
      <c r="BL357" s="161"/>
      <c r="BM357" s="161"/>
      <c r="BN357" s="161"/>
      <c r="BO357" s="161"/>
      <c r="BP357" s="161"/>
      <c r="BQ357" s="161"/>
      <c r="BR357" s="161"/>
      <c r="BS357" s="161"/>
      <c r="BT357" s="161"/>
      <c r="BU357" s="161"/>
      <c r="BV357" s="161"/>
      <c r="BW357" s="161"/>
      <c r="BX357" s="161"/>
      <c r="BY357" s="161"/>
    </row>
    <row r="358" spans="1:77">
      <c r="A358" s="162"/>
      <c r="B358" s="162"/>
      <c r="C358" s="162"/>
      <c r="D358" s="162"/>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c r="AC358" s="162"/>
      <c r="AD358" s="162"/>
      <c r="AE358" s="162"/>
      <c r="AF358" s="162"/>
      <c r="AG358" s="162"/>
      <c r="AH358" s="162"/>
      <c r="AI358" s="162"/>
      <c r="AJ358" s="162"/>
      <c r="AK358" s="162"/>
      <c r="AL358" s="162"/>
      <c r="AM358" s="162"/>
      <c r="AN358" s="162"/>
      <c r="AO358" s="162"/>
      <c r="AP358" s="162"/>
      <c r="AQ358" s="162"/>
      <c r="AR358" s="162"/>
      <c r="AS358" s="162"/>
      <c r="AT358" s="161"/>
      <c r="AU358" s="161"/>
      <c r="AV358" s="161"/>
      <c r="AW358" s="161"/>
      <c r="AX358" s="161"/>
      <c r="AY358" s="161"/>
      <c r="AZ358" s="161"/>
      <c r="BA358" s="161"/>
      <c r="BB358" s="161"/>
      <c r="BC358" s="161"/>
      <c r="BD358" s="161"/>
      <c r="BE358" s="161"/>
      <c r="BF358" s="161"/>
      <c r="BG358" s="161"/>
      <c r="BH358" s="161"/>
      <c r="BI358" s="161"/>
      <c r="BJ358" s="161"/>
      <c r="BK358" s="161"/>
      <c r="BL358" s="161"/>
      <c r="BM358" s="161"/>
      <c r="BN358" s="161"/>
      <c r="BO358" s="161"/>
      <c r="BP358" s="161"/>
      <c r="BQ358" s="161"/>
      <c r="BR358" s="161"/>
      <c r="BS358" s="161"/>
      <c r="BT358" s="161"/>
      <c r="BU358" s="161"/>
      <c r="BV358" s="161"/>
      <c r="BW358" s="161"/>
      <c r="BX358" s="161"/>
      <c r="BY358" s="161"/>
    </row>
    <row r="359" spans="1:77">
      <c r="A359" s="162"/>
      <c r="B359" s="162"/>
      <c r="C359" s="162"/>
      <c r="D359" s="162"/>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c r="AC359" s="162"/>
      <c r="AD359" s="162"/>
      <c r="AE359" s="162"/>
      <c r="AF359" s="162"/>
      <c r="AG359" s="162"/>
      <c r="AH359" s="162"/>
      <c r="AI359" s="162"/>
      <c r="AJ359" s="162"/>
      <c r="AK359" s="162"/>
      <c r="AL359" s="162"/>
      <c r="AM359" s="162"/>
      <c r="AN359" s="162"/>
      <c r="AO359" s="162"/>
      <c r="AP359" s="162"/>
      <c r="AQ359" s="162"/>
      <c r="AR359" s="162"/>
      <c r="AS359" s="162"/>
      <c r="AT359" s="161"/>
      <c r="AU359" s="161"/>
      <c r="AV359" s="161"/>
      <c r="AW359" s="161"/>
      <c r="AX359" s="161"/>
      <c r="AY359" s="161"/>
      <c r="AZ359" s="161"/>
      <c r="BA359" s="161"/>
      <c r="BB359" s="161"/>
      <c r="BC359" s="161"/>
      <c r="BD359" s="161"/>
      <c r="BE359" s="161"/>
      <c r="BF359" s="161"/>
      <c r="BG359" s="161"/>
      <c r="BH359" s="161"/>
      <c r="BI359" s="161"/>
      <c r="BJ359" s="161"/>
      <c r="BK359" s="161"/>
      <c r="BL359" s="161"/>
      <c r="BM359" s="161"/>
      <c r="BN359" s="161"/>
      <c r="BO359" s="161"/>
      <c r="BP359" s="161"/>
      <c r="BQ359" s="161"/>
      <c r="BR359" s="161"/>
      <c r="BS359" s="161"/>
      <c r="BT359" s="161"/>
      <c r="BU359" s="161"/>
      <c r="BV359" s="161"/>
      <c r="BW359" s="161"/>
      <c r="BX359" s="161"/>
      <c r="BY359" s="161"/>
    </row>
    <row r="360" spans="1:77">
      <c r="A360" s="162"/>
      <c r="B360" s="162"/>
      <c r="C360" s="162"/>
      <c r="D360" s="162"/>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c r="AC360" s="162"/>
      <c r="AD360" s="162"/>
      <c r="AE360" s="162"/>
      <c r="AF360" s="162"/>
      <c r="AG360" s="162"/>
      <c r="AH360" s="162"/>
      <c r="AI360" s="162"/>
      <c r="AJ360" s="162"/>
      <c r="AK360" s="162"/>
      <c r="AL360" s="162"/>
      <c r="AM360" s="162"/>
      <c r="AN360" s="162"/>
      <c r="AO360" s="162"/>
      <c r="AP360" s="162"/>
      <c r="AQ360" s="162"/>
      <c r="AR360" s="162"/>
      <c r="AS360" s="162"/>
      <c r="AT360" s="161"/>
      <c r="AU360" s="161"/>
      <c r="AV360" s="161"/>
      <c r="AW360" s="161"/>
      <c r="AX360" s="161"/>
      <c r="AY360" s="161"/>
      <c r="AZ360" s="161"/>
      <c r="BA360" s="161"/>
      <c r="BB360" s="161"/>
      <c r="BC360" s="161"/>
      <c r="BD360" s="161"/>
      <c r="BE360" s="161"/>
      <c r="BF360" s="161"/>
      <c r="BG360" s="161"/>
      <c r="BH360" s="161"/>
      <c r="BI360" s="161"/>
      <c r="BJ360" s="161"/>
      <c r="BK360" s="161"/>
      <c r="BL360" s="161"/>
      <c r="BM360" s="161"/>
      <c r="BN360" s="161"/>
      <c r="BO360" s="161"/>
      <c r="BP360" s="161"/>
      <c r="BQ360" s="161"/>
      <c r="BR360" s="161"/>
      <c r="BS360" s="161"/>
      <c r="BT360" s="161"/>
      <c r="BU360" s="161"/>
      <c r="BV360" s="161"/>
      <c r="BW360" s="161"/>
      <c r="BX360" s="161"/>
      <c r="BY360" s="161"/>
    </row>
    <row r="361" spans="1:77">
      <c r="A361" s="162"/>
      <c r="B361" s="162"/>
      <c r="C361" s="162"/>
      <c r="D361" s="162"/>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c r="AC361" s="162"/>
      <c r="AD361" s="162"/>
      <c r="AE361" s="162"/>
      <c r="AF361" s="162"/>
      <c r="AG361" s="162"/>
      <c r="AH361" s="162"/>
      <c r="AI361" s="162"/>
      <c r="AJ361" s="162"/>
      <c r="AK361" s="162"/>
      <c r="AL361" s="162"/>
      <c r="AM361" s="162"/>
      <c r="AN361" s="162"/>
      <c r="AO361" s="162"/>
      <c r="AP361" s="162"/>
      <c r="AQ361" s="162"/>
      <c r="AR361" s="162"/>
      <c r="AS361" s="162"/>
      <c r="AT361" s="161"/>
      <c r="AU361" s="161"/>
      <c r="AV361" s="161"/>
      <c r="AW361" s="161"/>
      <c r="AX361" s="161"/>
      <c r="AY361" s="161"/>
      <c r="AZ361" s="161"/>
      <c r="BA361" s="161"/>
      <c r="BB361" s="161"/>
      <c r="BC361" s="161"/>
      <c r="BD361" s="161"/>
      <c r="BE361" s="161"/>
      <c r="BF361" s="161"/>
      <c r="BG361" s="161"/>
      <c r="BH361" s="161"/>
      <c r="BI361" s="161"/>
      <c r="BJ361" s="161"/>
      <c r="BK361" s="161"/>
      <c r="BL361" s="161"/>
      <c r="BM361" s="161"/>
      <c r="BN361" s="161"/>
      <c r="BO361" s="161"/>
      <c r="BP361" s="161"/>
      <c r="BQ361" s="161"/>
      <c r="BR361" s="161"/>
      <c r="BS361" s="161"/>
      <c r="BT361" s="161"/>
      <c r="BU361" s="161"/>
      <c r="BV361" s="161"/>
      <c r="BW361" s="161"/>
      <c r="BX361" s="161"/>
      <c r="BY361" s="161"/>
    </row>
    <row r="362" spans="1:77">
      <c r="A362" s="162"/>
      <c r="B362" s="162"/>
      <c r="C362" s="162"/>
      <c r="D362" s="162"/>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c r="AC362" s="162"/>
      <c r="AD362" s="162"/>
      <c r="AE362" s="162"/>
      <c r="AF362" s="162"/>
      <c r="AG362" s="162"/>
      <c r="AH362" s="162"/>
      <c r="AI362" s="162"/>
      <c r="AJ362" s="162"/>
      <c r="AK362" s="162"/>
      <c r="AL362" s="162"/>
      <c r="AM362" s="162"/>
      <c r="AN362" s="162"/>
      <c r="AO362" s="162"/>
      <c r="AP362" s="162"/>
      <c r="AQ362" s="162"/>
      <c r="AR362" s="162"/>
      <c r="AS362" s="162"/>
      <c r="AT362" s="161"/>
      <c r="AU362" s="161"/>
      <c r="AV362" s="161"/>
      <c r="AW362" s="161"/>
      <c r="AX362" s="161"/>
      <c r="AY362" s="161"/>
      <c r="AZ362" s="161"/>
      <c r="BA362" s="161"/>
      <c r="BB362" s="161"/>
      <c r="BC362" s="161"/>
      <c r="BD362" s="161"/>
      <c r="BE362" s="161"/>
      <c r="BF362" s="161"/>
      <c r="BG362" s="161"/>
      <c r="BH362" s="161"/>
      <c r="BI362" s="161"/>
      <c r="BJ362" s="161"/>
      <c r="BK362" s="161"/>
      <c r="BL362" s="161"/>
      <c r="BM362" s="161"/>
      <c r="BN362" s="161"/>
      <c r="BO362" s="161"/>
      <c r="BP362" s="161"/>
      <c r="BQ362" s="161"/>
      <c r="BR362" s="161"/>
      <c r="BS362" s="161"/>
      <c r="BT362" s="161"/>
      <c r="BU362" s="161"/>
      <c r="BV362" s="161"/>
      <c r="BW362" s="161"/>
      <c r="BX362" s="161"/>
      <c r="BY362" s="161"/>
    </row>
    <row r="363" spans="1:77">
      <c r="A363" s="162"/>
      <c r="B363" s="162"/>
      <c r="C363" s="162"/>
      <c r="D363" s="162"/>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c r="AC363" s="162"/>
      <c r="AD363" s="162"/>
      <c r="AE363" s="162"/>
      <c r="AF363" s="162"/>
      <c r="AG363" s="162"/>
      <c r="AH363" s="162"/>
      <c r="AI363" s="162"/>
      <c r="AJ363" s="162"/>
      <c r="AK363" s="162"/>
      <c r="AL363" s="162"/>
      <c r="AM363" s="162"/>
      <c r="AN363" s="162"/>
      <c r="AO363" s="162"/>
      <c r="AP363" s="162"/>
      <c r="AQ363" s="162"/>
      <c r="AR363" s="162"/>
      <c r="AS363" s="162"/>
      <c r="AT363" s="161"/>
      <c r="AU363" s="161"/>
      <c r="AV363" s="161"/>
      <c r="AW363" s="161"/>
      <c r="AX363" s="161"/>
      <c r="AY363" s="161"/>
      <c r="AZ363" s="161"/>
      <c r="BA363" s="161"/>
      <c r="BB363" s="161"/>
      <c r="BC363" s="161"/>
      <c r="BD363" s="161"/>
      <c r="BE363" s="161"/>
      <c r="BF363" s="161"/>
      <c r="BG363" s="161"/>
      <c r="BH363" s="161"/>
      <c r="BI363" s="161"/>
      <c r="BJ363" s="161"/>
      <c r="BK363" s="161"/>
      <c r="BL363" s="161"/>
      <c r="BM363" s="161"/>
      <c r="BN363" s="161"/>
      <c r="BO363" s="161"/>
      <c r="BP363" s="161"/>
      <c r="BQ363" s="161"/>
      <c r="BR363" s="161"/>
      <c r="BS363" s="161"/>
      <c r="BT363" s="161"/>
      <c r="BU363" s="161"/>
      <c r="BV363" s="161"/>
      <c r="BW363" s="161"/>
      <c r="BX363" s="161"/>
      <c r="BY363" s="161"/>
    </row>
    <row r="364" spans="1:77">
      <c r="A364" s="162"/>
      <c r="B364" s="162"/>
      <c r="C364" s="162"/>
      <c r="D364" s="162"/>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c r="AC364" s="162"/>
      <c r="AD364" s="162"/>
      <c r="AE364" s="162"/>
      <c r="AF364" s="162"/>
      <c r="AG364" s="162"/>
      <c r="AH364" s="162"/>
      <c r="AI364" s="162"/>
      <c r="AJ364" s="162"/>
      <c r="AK364" s="162"/>
      <c r="AL364" s="162"/>
      <c r="AM364" s="162"/>
      <c r="AN364" s="162"/>
      <c r="AO364" s="162"/>
      <c r="AP364" s="162"/>
      <c r="AQ364" s="162"/>
      <c r="AR364" s="162"/>
      <c r="AS364" s="162"/>
      <c r="AT364" s="161"/>
      <c r="AU364" s="161"/>
      <c r="AV364" s="161"/>
      <c r="AW364" s="161"/>
      <c r="AX364" s="161"/>
      <c r="AY364" s="161"/>
      <c r="AZ364" s="161"/>
      <c r="BA364" s="161"/>
      <c r="BB364" s="161"/>
      <c r="BC364" s="161"/>
      <c r="BD364" s="161"/>
      <c r="BE364" s="161"/>
      <c r="BF364" s="161"/>
      <c r="BG364" s="161"/>
      <c r="BH364" s="161"/>
      <c r="BI364" s="161"/>
      <c r="BJ364" s="161"/>
      <c r="BK364" s="161"/>
      <c r="BL364" s="161"/>
      <c r="BM364" s="161"/>
      <c r="BN364" s="161"/>
      <c r="BO364" s="161"/>
      <c r="BP364" s="161"/>
      <c r="BQ364" s="161"/>
      <c r="BR364" s="161"/>
      <c r="BS364" s="161"/>
      <c r="BT364" s="161"/>
      <c r="BU364" s="161"/>
      <c r="BV364" s="161"/>
      <c r="BW364" s="161"/>
      <c r="BX364" s="161"/>
      <c r="BY364" s="161"/>
    </row>
    <row r="365" spans="1:77">
      <c r="A365" s="162"/>
      <c r="B365" s="162"/>
      <c r="C365" s="162"/>
      <c r="D365" s="162"/>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c r="AC365" s="162"/>
      <c r="AD365" s="162"/>
      <c r="AE365" s="162"/>
      <c r="AF365" s="162"/>
      <c r="AG365" s="162"/>
      <c r="AH365" s="162"/>
      <c r="AI365" s="162"/>
      <c r="AJ365" s="162"/>
      <c r="AK365" s="162"/>
      <c r="AL365" s="162"/>
      <c r="AM365" s="162"/>
      <c r="AN365" s="162"/>
      <c r="AO365" s="162"/>
      <c r="AP365" s="162"/>
      <c r="AQ365" s="162"/>
      <c r="AR365" s="162"/>
      <c r="AS365" s="162"/>
      <c r="AT365" s="161"/>
      <c r="AU365" s="161"/>
      <c r="AV365" s="161"/>
      <c r="AW365" s="161"/>
      <c r="AX365" s="161"/>
      <c r="AY365" s="161"/>
      <c r="AZ365" s="161"/>
      <c r="BA365" s="161"/>
      <c r="BB365" s="161"/>
      <c r="BC365" s="161"/>
      <c r="BD365" s="161"/>
      <c r="BE365" s="161"/>
      <c r="BF365" s="161"/>
      <c r="BG365" s="161"/>
      <c r="BH365" s="161"/>
      <c r="BI365" s="161"/>
      <c r="BJ365" s="161"/>
      <c r="BK365" s="161"/>
      <c r="BL365" s="161"/>
      <c r="BM365" s="161"/>
      <c r="BN365" s="161"/>
      <c r="BO365" s="161"/>
      <c r="BP365" s="161"/>
      <c r="BQ365" s="161"/>
      <c r="BR365" s="161"/>
      <c r="BS365" s="161"/>
      <c r="BT365" s="161"/>
      <c r="BU365" s="161"/>
      <c r="BV365" s="161"/>
      <c r="BW365" s="161"/>
      <c r="BX365" s="161"/>
      <c r="BY365" s="161"/>
    </row>
    <row r="366" spans="1:77">
      <c r="A366" s="162"/>
      <c r="B366" s="162"/>
      <c r="C366" s="162"/>
      <c r="D366" s="162"/>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c r="AC366" s="162"/>
      <c r="AD366" s="162"/>
      <c r="AE366" s="162"/>
      <c r="AF366" s="162"/>
      <c r="AG366" s="162"/>
      <c r="AH366" s="162"/>
      <c r="AI366" s="162"/>
      <c r="AJ366" s="162"/>
      <c r="AK366" s="162"/>
      <c r="AL366" s="162"/>
      <c r="AM366" s="162"/>
      <c r="AN366" s="162"/>
      <c r="AO366" s="162"/>
      <c r="AP366" s="162"/>
      <c r="AQ366" s="162"/>
      <c r="AR366" s="162"/>
      <c r="AS366" s="162"/>
      <c r="AT366" s="161"/>
      <c r="AU366" s="161"/>
      <c r="AV366" s="161"/>
      <c r="AW366" s="161"/>
      <c r="AX366" s="161"/>
      <c r="AY366" s="161"/>
      <c r="AZ366" s="161"/>
      <c r="BA366" s="161"/>
      <c r="BB366" s="161"/>
      <c r="BC366" s="161"/>
      <c r="BD366" s="161"/>
      <c r="BE366" s="161"/>
      <c r="BF366" s="161"/>
      <c r="BG366" s="161"/>
      <c r="BH366" s="161"/>
      <c r="BI366" s="161"/>
      <c r="BJ366" s="161"/>
      <c r="BK366" s="161"/>
      <c r="BL366" s="161"/>
      <c r="BM366" s="161"/>
      <c r="BN366" s="161"/>
      <c r="BO366" s="161"/>
      <c r="BP366" s="161"/>
      <c r="BQ366" s="161"/>
      <c r="BR366" s="161"/>
      <c r="BS366" s="161"/>
      <c r="BT366" s="161"/>
      <c r="BU366" s="161"/>
      <c r="BV366" s="161"/>
      <c r="BW366" s="161"/>
      <c r="BX366" s="161"/>
      <c r="BY366" s="161"/>
    </row>
    <row r="367" spans="1:77">
      <c r="A367" s="162"/>
      <c r="B367" s="162"/>
      <c r="C367" s="162"/>
      <c r="D367" s="162"/>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c r="AC367" s="162"/>
      <c r="AD367" s="162"/>
      <c r="AE367" s="162"/>
      <c r="AF367" s="162"/>
      <c r="AG367" s="162"/>
      <c r="AH367" s="162"/>
      <c r="AI367" s="162"/>
      <c r="AJ367" s="162"/>
      <c r="AK367" s="162"/>
      <c r="AL367" s="162"/>
      <c r="AM367" s="162"/>
      <c r="AN367" s="162"/>
      <c r="AO367" s="162"/>
      <c r="AP367" s="162"/>
      <c r="AQ367" s="162"/>
      <c r="AR367" s="162"/>
      <c r="AS367" s="162"/>
      <c r="AT367" s="161"/>
      <c r="AU367" s="161"/>
      <c r="AV367" s="161"/>
      <c r="AW367" s="161"/>
      <c r="AX367" s="161"/>
      <c r="AY367" s="161"/>
      <c r="AZ367" s="161"/>
      <c r="BA367" s="161"/>
      <c r="BB367" s="161"/>
      <c r="BC367" s="161"/>
      <c r="BD367" s="161"/>
      <c r="BE367" s="161"/>
      <c r="BF367" s="161"/>
      <c r="BG367" s="161"/>
      <c r="BH367" s="161"/>
      <c r="BI367" s="161"/>
      <c r="BJ367" s="161"/>
      <c r="BK367" s="161"/>
      <c r="BL367" s="161"/>
      <c r="BM367" s="161"/>
      <c r="BN367" s="161"/>
      <c r="BO367" s="161"/>
      <c r="BP367" s="161"/>
      <c r="BQ367" s="161"/>
      <c r="BR367" s="161"/>
      <c r="BS367" s="161"/>
      <c r="BT367" s="161"/>
      <c r="BU367" s="161"/>
      <c r="BV367" s="161"/>
      <c r="BW367" s="161"/>
      <c r="BX367" s="161"/>
      <c r="BY367" s="161"/>
    </row>
    <row r="368" spans="1:77">
      <c r="A368" s="162"/>
      <c r="B368" s="162"/>
      <c r="C368" s="162"/>
      <c r="D368" s="162"/>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c r="AC368" s="162"/>
      <c r="AD368" s="162"/>
      <c r="AE368" s="162"/>
      <c r="AF368" s="162"/>
      <c r="AG368" s="162"/>
      <c r="AH368" s="162"/>
      <c r="AI368" s="162"/>
      <c r="AJ368" s="162"/>
      <c r="AK368" s="162"/>
      <c r="AL368" s="162"/>
      <c r="AM368" s="162"/>
      <c r="AN368" s="162"/>
      <c r="AO368" s="162"/>
      <c r="AP368" s="162"/>
      <c r="AQ368" s="162"/>
      <c r="AR368" s="162"/>
      <c r="AS368" s="162"/>
      <c r="AT368" s="161"/>
      <c r="AU368" s="161"/>
      <c r="AV368" s="161"/>
      <c r="AW368" s="161"/>
      <c r="AX368" s="161"/>
      <c r="AY368" s="161"/>
      <c r="AZ368" s="161"/>
      <c r="BA368" s="161"/>
      <c r="BB368" s="161"/>
      <c r="BC368" s="161"/>
      <c r="BD368" s="161"/>
      <c r="BE368" s="161"/>
      <c r="BF368" s="161"/>
      <c r="BG368" s="161"/>
      <c r="BH368" s="161"/>
      <c r="BI368" s="161"/>
      <c r="BJ368" s="161"/>
      <c r="BK368" s="161"/>
      <c r="BL368" s="161"/>
      <c r="BM368" s="161"/>
      <c r="BN368" s="161"/>
      <c r="BO368" s="161"/>
      <c r="BP368" s="161"/>
      <c r="BQ368" s="161"/>
      <c r="BR368" s="161"/>
      <c r="BS368" s="161"/>
      <c r="BT368" s="161"/>
      <c r="BU368" s="161"/>
      <c r="BV368" s="161"/>
      <c r="BW368" s="161"/>
      <c r="BX368" s="161"/>
      <c r="BY368" s="161"/>
    </row>
    <row r="369" spans="1:77">
      <c r="A369" s="162"/>
      <c r="B369" s="162"/>
      <c r="C369" s="162"/>
      <c r="D369" s="162"/>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c r="AC369" s="162"/>
      <c r="AD369" s="162"/>
      <c r="AE369" s="162"/>
      <c r="AF369" s="162"/>
      <c r="AG369" s="162"/>
      <c r="AH369" s="162"/>
      <c r="AI369" s="162"/>
      <c r="AJ369" s="162"/>
      <c r="AK369" s="162"/>
      <c r="AL369" s="162"/>
      <c r="AM369" s="162"/>
      <c r="AN369" s="162"/>
      <c r="AO369" s="162"/>
      <c r="AP369" s="162"/>
      <c r="AQ369" s="162"/>
      <c r="AR369" s="162"/>
      <c r="AS369" s="162"/>
      <c r="AT369" s="161"/>
      <c r="AU369" s="161"/>
      <c r="AV369" s="161"/>
      <c r="AW369" s="161"/>
      <c r="AX369" s="161"/>
      <c r="AY369" s="161"/>
      <c r="AZ369" s="161"/>
      <c r="BA369" s="161"/>
      <c r="BB369" s="161"/>
      <c r="BC369" s="161"/>
      <c r="BD369" s="161"/>
      <c r="BE369" s="161"/>
      <c r="BF369" s="161"/>
      <c r="BG369" s="161"/>
      <c r="BH369" s="161"/>
      <c r="BI369" s="161"/>
      <c r="BJ369" s="161"/>
      <c r="BK369" s="161"/>
      <c r="BL369" s="161"/>
      <c r="BM369" s="161"/>
      <c r="BN369" s="161"/>
      <c r="BO369" s="161"/>
      <c r="BP369" s="161"/>
      <c r="BQ369" s="161"/>
      <c r="BR369" s="161"/>
      <c r="BS369" s="161"/>
      <c r="BT369" s="161"/>
      <c r="BU369" s="161"/>
      <c r="BV369" s="161"/>
      <c r="BW369" s="161"/>
      <c r="BX369" s="161"/>
      <c r="BY369" s="161"/>
    </row>
    <row r="370" spans="1:77">
      <c r="A370" s="162"/>
      <c r="B370" s="162"/>
      <c r="C370" s="162"/>
      <c r="D370" s="162"/>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c r="AC370" s="162"/>
      <c r="AD370" s="162"/>
      <c r="AE370" s="162"/>
      <c r="AF370" s="162"/>
      <c r="AG370" s="162"/>
      <c r="AH370" s="162"/>
      <c r="AI370" s="162"/>
      <c r="AJ370" s="162"/>
      <c r="AK370" s="162"/>
      <c r="AL370" s="162"/>
      <c r="AM370" s="162"/>
      <c r="AN370" s="162"/>
      <c r="AO370" s="162"/>
      <c r="AP370" s="162"/>
      <c r="AQ370" s="162"/>
      <c r="AR370" s="162"/>
      <c r="AS370" s="162"/>
      <c r="AT370" s="161"/>
      <c r="AU370" s="161"/>
      <c r="AV370" s="161"/>
      <c r="AW370" s="161"/>
      <c r="AX370" s="161"/>
      <c r="AY370" s="161"/>
      <c r="AZ370" s="161"/>
      <c r="BA370" s="161"/>
      <c r="BB370" s="161"/>
      <c r="BC370" s="161"/>
      <c r="BD370" s="161"/>
      <c r="BE370" s="161"/>
      <c r="BF370" s="161"/>
      <c r="BG370" s="161"/>
      <c r="BH370" s="161"/>
      <c r="BI370" s="161"/>
      <c r="BJ370" s="161"/>
      <c r="BK370" s="161"/>
      <c r="BL370" s="161"/>
      <c r="BM370" s="161"/>
      <c r="BN370" s="161"/>
      <c r="BO370" s="161"/>
      <c r="BP370" s="161"/>
      <c r="BQ370" s="161"/>
      <c r="BR370" s="161"/>
      <c r="BS370" s="161"/>
      <c r="BT370" s="161"/>
      <c r="BU370" s="161"/>
      <c r="BV370" s="161"/>
      <c r="BW370" s="161"/>
      <c r="BX370" s="161"/>
      <c r="BY370" s="161"/>
    </row>
    <row r="371" spans="1:77">
      <c r="A371" s="162"/>
      <c r="B371" s="162"/>
      <c r="C371" s="162"/>
      <c r="D371" s="162"/>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c r="AC371" s="162"/>
      <c r="AD371" s="162"/>
      <c r="AE371" s="162"/>
      <c r="AF371" s="162"/>
      <c r="AG371" s="162"/>
      <c r="AH371" s="162"/>
      <c r="AI371" s="162"/>
      <c r="AJ371" s="162"/>
      <c r="AK371" s="162"/>
      <c r="AL371" s="162"/>
      <c r="AM371" s="162"/>
      <c r="AN371" s="162"/>
      <c r="AO371" s="162"/>
      <c r="AP371" s="162"/>
      <c r="AQ371" s="162"/>
      <c r="AR371" s="162"/>
      <c r="AS371" s="162"/>
      <c r="AT371" s="161"/>
      <c r="AU371" s="161"/>
      <c r="AV371" s="161"/>
      <c r="AW371" s="161"/>
      <c r="AX371" s="161"/>
      <c r="AY371" s="161"/>
      <c r="AZ371" s="161"/>
      <c r="BA371" s="161"/>
      <c r="BB371" s="161"/>
      <c r="BC371" s="161"/>
      <c r="BD371" s="161"/>
      <c r="BE371" s="161"/>
      <c r="BF371" s="161"/>
      <c r="BG371" s="161"/>
      <c r="BH371" s="161"/>
      <c r="BI371" s="161"/>
      <c r="BJ371" s="161"/>
      <c r="BK371" s="161"/>
      <c r="BL371" s="161"/>
      <c r="BM371" s="161"/>
      <c r="BN371" s="161"/>
      <c r="BO371" s="161"/>
      <c r="BP371" s="161"/>
      <c r="BQ371" s="161"/>
      <c r="BR371" s="161"/>
      <c r="BS371" s="161"/>
      <c r="BT371" s="161"/>
      <c r="BU371" s="161"/>
      <c r="BV371" s="161"/>
      <c r="BW371" s="161"/>
      <c r="BX371" s="161"/>
      <c r="BY371" s="161"/>
    </row>
    <row r="372" spans="1:77">
      <c r="A372" s="162"/>
      <c r="B372" s="162"/>
      <c r="C372" s="162"/>
      <c r="D372" s="162"/>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c r="AC372" s="162"/>
      <c r="AD372" s="162"/>
      <c r="AE372" s="162"/>
      <c r="AF372" s="162"/>
      <c r="AG372" s="162"/>
      <c r="AH372" s="162"/>
      <c r="AI372" s="162"/>
      <c r="AJ372" s="162"/>
      <c r="AK372" s="162"/>
      <c r="AL372" s="162"/>
      <c r="AM372" s="162"/>
      <c r="AN372" s="162"/>
      <c r="AO372" s="162"/>
      <c r="AP372" s="162"/>
      <c r="AQ372" s="162"/>
      <c r="AR372" s="162"/>
      <c r="AS372" s="162"/>
      <c r="AT372" s="161"/>
      <c r="AU372" s="161"/>
      <c r="AV372" s="161"/>
      <c r="AW372" s="161"/>
      <c r="AX372" s="161"/>
      <c r="AY372" s="161"/>
      <c r="AZ372" s="161"/>
      <c r="BA372" s="161"/>
      <c r="BB372" s="161"/>
      <c r="BC372" s="161"/>
      <c r="BD372" s="161"/>
      <c r="BE372" s="161"/>
      <c r="BF372" s="161"/>
      <c r="BG372" s="161"/>
      <c r="BH372" s="161"/>
      <c r="BI372" s="161"/>
      <c r="BJ372" s="161"/>
      <c r="BK372" s="161"/>
      <c r="BL372" s="161"/>
      <c r="BM372" s="161"/>
      <c r="BN372" s="161"/>
      <c r="BO372" s="161"/>
      <c r="BP372" s="161"/>
      <c r="BQ372" s="161"/>
      <c r="BR372" s="161"/>
      <c r="BS372" s="161"/>
      <c r="BT372" s="161"/>
      <c r="BU372" s="161"/>
      <c r="BV372" s="161"/>
      <c r="BW372" s="161"/>
      <c r="BX372" s="161"/>
      <c r="BY372" s="161"/>
    </row>
    <row r="373" spans="1:77">
      <c r="A373" s="162"/>
      <c r="B373" s="162"/>
      <c r="C373" s="162"/>
      <c r="D373" s="162"/>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c r="AC373" s="162"/>
      <c r="AD373" s="162"/>
      <c r="AE373" s="162"/>
      <c r="AF373" s="162"/>
      <c r="AG373" s="162"/>
      <c r="AH373" s="162"/>
      <c r="AI373" s="162"/>
      <c r="AJ373" s="162"/>
      <c r="AK373" s="162"/>
      <c r="AL373" s="162"/>
      <c r="AM373" s="162"/>
      <c r="AN373" s="162"/>
      <c r="AO373" s="162"/>
      <c r="AP373" s="162"/>
      <c r="AQ373" s="162"/>
      <c r="AR373" s="162"/>
      <c r="AS373" s="162"/>
      <c r="AT373" s="161"/>
      <c r="AU373" s="161"/>
      <c r="AV373" s="161"/>
      <c r="AW373" s="161"/>
      <c r="AX373" s="161"/>
      <c r="AY373" s="161"/>
      <c r="AZ373" s="161"/>
      <c r="BA373" s="161"/>
      <c r="BB373" s="161"/>
      <c r="BC373" s="161"/>
      <c r="BD373" s="161"/>
      <c r="BE373" s="161"/>
      <c r="BF373" s="161"/>
      <c r="BG373" s="161"/>
      <c r="BH373" s="161"/>
      <c r="BI373" s="161"/>
      <c r="BJ373" s="161"/>
      <c r="BK373" s="161"/>
      <c r="BL373" s="161"/>
      <c r="BM373" s="161"/>
      <c r="BN373" s="161"/>
      <c r="BO373" s="161"/>
      <c r="BP373" s="161"/>
      <c r="BQ373" s="161"/>
      <c r="BR373" s="161"/>
      <c r="BS373" s="161"/>
      <c r="BT373" s="161"/>
      <c r="BU373" s="161"/>
      <c r="BV373" s="161"/>
      <c r="BW373" s="161"/>
      <c r="BX373" s="161"/>
      <c r="BY373" s="161"/>
    </row>
    <row r="374" spans="1:77">
      <c r="A374" s="162"/>
      <c r="B374" s="162"/>
      <c r="C374" s="162"/>
      <c r="D374" s="162"/>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c r="AC374" s="162"/>
      <c r="AD374" s="162"/>
      <c r="AE374" s="162"/>
      <c r="AF374" s="162"/>
      <c r="AG374" s="162"/>
      <c r="AH374" s="162"/>
      <c r="AI374" s="162"/>
      <c r="AJ374" s="162"/>
      <c r="AK374" s="162"/>
      <c r="AL374" s="162"/>
      <c r="AM374" s="162"/>
      <c r="AN374" s="162"/>
      <c r="AO374" s="162"/>
      <c r="AP374" s="162"/>
      <c r="AQ374" s="162"/>
      <c r="AR374" s="162"/>
      <c r="AS374" s="162"/>
      <c r="AT374" s="161"/>
      <c r="AU374" s="161"/>
      <c r="AV374" s="161"/>
      <c r="AW374" s="161"/>
      <c r="AX374" s="161"/>
      <c r="AY374" s="161"/>
      <c r="AZ374" s="161"/>
      <c r="BA374" s="161"/>
      <c r="BB374" s="161"/>
      <c r="BC374" s="161"/>
      <c r="BD374" s="161"/>
      <c r="BE374" s="161"/>
      <c r="BF374" s="161"/>
      <c r="BG374" s="161"/>
      <c r="BH374" s="161"/>
      <c r="BI374" s="161"/>
      <c r="BJ374" s="161"/>
      <c r="BK374" s="161"/>
      <c r="BL374" s="161"/>
      <c r="BM374" s="161"/>
      <c r="BN374" s="161"/>
      <c r="BO374" s="161"/>
      <c r="BP374" s="161"/>
      <c r="BQ374" s="161"/>
      <c r="BR374" s="161"/>
      <c r="BS374" s="161"/>
      <c r="BT374" s="161"/>
      <c r="BU374" s="161"/>
      <c r="BV374" s="161"/>
      <c r="BW374" s="161"/>
      <c r="BX374" s="161"/>
      <c r="BY374" s="161"/>
    </row>
    <row r="375" spans="1:77">
      <c r="A375" s="162"/>
      <c r="B375" s="162"/>
      <c r="C375" s="162"/>
      <c r="D375" s="162"/>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c r="AC375" s="162"/>
      <c r="AD375" s="162"/>
      <c r="AE375" s="162"/>
      <c r="AF375" s="162"/>
      <c r="AG375" s="162"/>
      <c r="AH375" s="162"/>
      <c r="AI375" s="162"/>
      <c r="AJ375" s="162"/>
      <c r="AK375" s="162"/>
      <c r="AL375" s="162"/>
      <c r="AM375" s="162"/>
      <c r="AN375" s="162"/>
      <c r="AO375" s="162"/>
      <c r="AP375" s="162"/>
      <c r="AQ375" s="162"/>
      <c r="AR375" s="162"/>
      <c r="AS375" s="162"/>
      <c r="AT375" s="161"/>
      <c r="AU375" s="161"/>
      <c r="AV375" s="161"/>
      <c r="AW375" s="161"/>
      <c r="AX375" s="161"/>
      <c r="AY375" s="161"/>
      <c r="AZ375" s="161"/>
      <c r="BA375" s="161"/>
      <c r="BB375" s="161"/>
      <c r="BC375" s="161"/>
      <c r="BD375" s="161"/>
      <c r="BE375" s="161"/>
      <c r="BF375" s="161"/>
      <c r="BG375" s="161"/>
      <c r="BH375" s="161"/>
      <c r="BI375" s="161"/>
      <c r="BJ375" s="161"/>
      <c r="BK375" s="161"/>
      <c r="BL375" s="161"/>
      <c r="BM375" s="161"/>
      <c r="BN375" s="161"/>
      <c r="BO375" s="161"/>
      <c r="BP375" s="161"/>
      <c r="BQ375" s="161"/>
      <c r="BR375" s="161"/>
      <c r="BS375" s="161"/>
      <c r="BT375" s="161"/>
      <c r="BU375" s="161"/>
      <c r="BV375" s="161"/>
      <c r="BW375" s="161"/>
      <c r="BX375" s="161"/>
      <c r="BY375" s="161"/>
    </row>
    <row r="376" spans="1:77">
      <c r="A376" s="162"/>
      <c r="B376" s="162"/>
      <c r="C376" s="162"/>
      <c r="D376" s="162"/>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c r="AC376" s="162"/>
      <c r="AD376" s="162"/>
      <c r="AE376" s="162"/>
      <c r="AF376" s="162"/>
      <c r="AG376" s="162"/>
      <c r="AH376" s="162"/>
      <c r="AI376" s="162"/>
      <c r="AJ376" s="162"/>
      <c r="AK376" s="162"/>
      <c r="AL376" s="162"/>
      <c r="AM376" s="162"/>
      <c r="AN376" s="162"/>
      <c r="AO376" s="162"/>
      <c r="AP376" s="162"/>
      <c r="AQ376" s="162"/>
      <c r="AR376" s="162"/>
      <c r="AS376" s="162"/>
      <c r="AT376" s="161"/>
      <c r="AU376" s="161"/>
      <c r="AV376" s="161"/>
      <c r="AW376" s="161"/>
      <c r="AX376" s="161"/>
      <c r="AY376" s="161"/>
      <c r="AZ376" s="161"/>
      <c r="BA376" s="161"/>
      <c r="BB376" s="161"/>
      <c r="BC376" s="161"/>
      <c r="BD376" s="161"/>
      <c r="BE376" s="161"/>
      <c r="BF376" s="161"/>
      <c r="BG376" s="161"/>
      <c r="BH376" s="161"/>
      <c r="BI376" s="161"/>
      <c r="BJ376" s="161"/>
      <c r="BK376" s="161"/>
      <c r="BL376" s="161"/>
      <c r="BM376" s="161"/>
      <c r="BN376" s="161"/>
      <c r="BO376" s="161"/>
      <c r="BP376" s="161"/>
      <c r="BQ376" s="161"/>
      <c r="BR376" s="161"/>
      <c r="BS376" s="161"/>
      <c r="BT376" s="161"/>
      <c r="BU376" s="161"/>
      <c r="BV376" s="161"/>
      <c r="BW376" s="161"/>
      <c r="BX376" s="161"/>
      <c r="BY376" s="161"/>
    </row>
    <row r="377" spans="1:77">
      <c r="A377" s="162"/>
      <c r="B377" s="162"/>
      <c r="C377" s="162"/>
      <c r="D377" s="162"/>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c r="AC377" s="162"/>
      <c r="AD377" s="162"/>
      <c r="AE377" s="162"/>
      <c r="AF377" s="162"/>
      <c r="AG377" s="162"/>
      <c r="AH377" s="162"/>
      <c r="AI377" s="162"/>
      <c r="AJ377" s="162"/>
      <c r="AK377" s="162"/>
      <c r="AL377" s="162"/>
      <c r="AM377" s="162"/>
      <c r="AN377" s="162"/>
      <c r="AO377" s="162"/>
      <c r="AP377" s="162"/>
      <c r="AQ377" s="162"/>
      <c r="AR377" s="162"/>
      <c r="AS377" s="162"/>
      <c r="AT377" s="161"/>
      <c r="AU377" s="161"/>
      <c r="AV377" s="161"/>
      <c r="AW377" s="161"/>
      <c r="AX377" s="161"/>
      <c r="AY377" s="161"/>
      <c r="AZ377" s="161"/>
      <c r="BA377" s="161"/>
      <c r="BB377" s="161"/>
      <c r="BC377" s="161"/>
      <c r="BD377" s="161"/>
      <c r="BE377" s="161"/>
      <c r="BF377" s="161"/>
      <c r="BG377" s="161"/>
      <c r="BH377" s="161"/>
      <c r="BI377" s="161"/>
      <c r="BJ377" s="161"/>
      <c r="BK377" s="161"/>
      <c r="BL377" s="161"/>
      <c r="BM377" s="161"/>
      <c r="BN377" s="161"/>
      <c r="BO377" s="161"/>
      <c r="BP377" s="161"/>
      <c r="BQ377" s="161"/>
      <c r="BR377" s="161"/>
      <c r="BS377" s="161"/>
      <c r="BT377" s="161"/>
      <c r="BU377" s="161"/>
      <c r="BV377" s="161"/>
      <c r="BW377" s="161"/>
      <c r="BX377" s="161"/>
      <c r="BY377" s="161"/>
    </row>
    <row r="378" spans="1:77">
      <c r="A378" s="162"/>
      <c r="B378" s="162"/>
      <c r="C378" s="162"/>
      <c r="D378" s="162"/>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c r="AC378" s="162"/>
      <c r="AD378" s="162"/>
      <c r="AE378" s="162"/>
      <c r="AF378" s="162"/>
      <c r="AG378" s="162"/>
      <c r="AH378" s="162"/>
      <c r="AI378" s="162"/>
      <c r="AJ378" s="162"/>
      <c r="AK378" s="162"/>
      <c r="AL378" s="162"/>
      <c r="AM378" s="162"/>
      <c r="AN378" s="162"/>
      <c r="AO378" s="162"/>
      <c r="AP378" s="162"/>
      <c r="AQ378" s="162"/>
      <c r="AR378" s="162"/>
      <c r="AS378" s="162"/>
      <c r="AT378" s="161"/>
      <c r="AU378" s="161"/>
      <c r="AV378" s="161"/>
      <c r="AW378" s="161"/>
      <c r="AX378" s="161"/>
      <c r="AY378" s="161"/>
      <c r="AZ378" s="161"/>
      <c r="BA378" s="161"/>
      <c r="BB378" s="161"/>
      <c r="BC378" s="161"/>
      <c r="BD378" s="161"/>
      <c r="BE378" s="161"/>
      <c r="BF378" s="161"/>
      <c r="BG378" s="161"/>
      <c r="BH378" s="161"/>
      <c r="BI378" s="161"/>
      <c r="BJ378" s="161"/>
      <c r="BK378" s="161"/>
      <c r="BL378" s="161"/>
      <c r="BM378" s="161"/>
      <c r="BN378" s="161"/>
      <c r="BO378" s="161"/>
      <c r="BP378" s="161"/>
      <c r="BQ378" s="161"/>
      <c r="BR378" s="161"/>
      <c r="BS378" s="161"/>
      <c r="BT378" s="161"/>
      <c r="BU378" s="161"/>
      <c r="BV378" s="161"/>
      <c r="BW378" s="161"/>
      <c r="BX378" s="161"/>
      <c r="BY378" s="161"/>
    </row>
    <row r="379" spans="1:77">
      <c r="A379" s="162"/>
      <c r="B379" s="162"/>
      <c r="C379" s="162"/>
      <c r="D379" s="162"/>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c r="AC379" s="162"/>
      <c r="AD379" s="162"/>
      <c r="AE379" s="162"/>
      <c r="AF379" s="162"/>
      <c r="AG379" s="162"/>
      <c r="AH379" s="162"/>
      <c r="AI379" s="162"/>
      <c r="AJ379" s="162"/>
      <c r="AK379" s="162"/>
      <c r="AL379" s="162"/>
      <c r="AM379" s="162"/>
      <c r="AN379" s="162"/>
      <c r="AO379" s="162"/>
      <c r="AP379" s="162"/>
      <c r="AQ379" s="162"/>
      <c r="AR379" s="162"/>
      <c r="AS379" s="162"/>
      <c r="AT379" s="161"/>
      <c r="AU379" s="161"/>
      <c r="AV379" s="161"/>
      <c r="AW379" s="161"/>
      <c r="AX379" s="161"/>
      <c r="AY379" s="161"/>
      <c r="AZ379" s="161"/>
      <c r="BA379" s="161"/>
      <c r="BB379" s="161"/>
      <c r="BC379" s="161"/>
      <c r="BD379" s="161"/>
      <c r="BE379" s="161"/>
      <c r="BF379" s="161"/>
      <c r="BG379" s="161"/>
      <c r="BH379" s="161"/>
      <c r="BI379" s="161"/>
      <c r="BJ379" s="161"/>
      <c r="BK379" s="161"/>
      <c r="BL379" s="161"/>
      <c r="BM379" s="161"/>
      <c r="BN379" s="161"/>
      <c r="BO379" s="161"/>
      <c r="BP379" s="161"/>
      <c r="BQ379" s="161"/>
      <c r="BR379" s="161"/>
      <c r="BS379" s="161"/>
      <c r="BT379" s="161"/>
      <c r="BU379" s="161"/>
      <c r="BV379" s="161"/>
      <c r="BW379" s="161"/>
      <c r="BX379" s="161"/>
      <c r="BY379" s="161"/>
    </row>
    <row r="380" spans="1:77">
      <c r="A380" s="162"/>
      <c r="B380" s="162"/>
      <c r="C380" s="162"/>
      <c r="D380" s="162"/>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c r="AC380" s="162"/>
      <c r="AD380" s="162"/>
      <c r="AE380" s="162"/>
      <c r="AF380" s="162"/>
      <c r="AG380" s="162"/>
      <c r="AH380" s="162"/>
      <c r="AI380" s="162"/>
      <c r="AJ380" s="162"/>
      <c r="AK380" s="162"/>
      <c r="AL380" s="162"/>
      <c r="AM380" s="162"/>
      <c r="AN380" s="162"/>
      <c r="AO380" s="162"/>
      <c r="AP380" s="162"/>
      <c r="AQ380" s="162"/>
      <c r="AR380" s="162"/>
      <c r="AS380" s="162"/>
      <c r="AT380" s="161"/>
      <c r="AU380" s="161"/>
      <c r="AV380" s="161"/>
      <c r="AW380" s="161"/>
      <c r="AX380" s="161"/>
      <c r="AY380" s="161"/>
      <c r="AZ380" s="161"/>
      <c r="BA380" s="161"/>
      <c r="BB380" s="161"/>
      <c r="BC380" s="161"/>
      <c r="BD380" s="161"/>
      <c r="BE380" s="161"/>
      <c r="BF380" s="161"/>
      <c r="BG380" s="161"/>
      <c r="BH380" s="161"/>
      <c r="BI380" s="161"/>
      <c r="BJ380" s="161"/>
      <c r="BK380" s="161"/>
      <c r="BL380" s="161"/>
      <c r="BM380" s="161"/>
      <c r="BN380" s="161"/>
      <c r="BO380" s="161"/>
      <c r="BP380" s="161"/>
      <c r="BQ380" s="161"/>
      <c r="BR380" s="161"/>
      <c r="BS380" s="161"/>
      <c r="BT380" s="161"/>
      <c r="BU380" s="161"/>
      <c r="BV380" s="161"/>
      <c r="BW380" s="161"/>
      <c r="BX380" s="161"/>
      <c r="BY380" s="161"/>
    </row>
    <row r="381" spans="1:77">
      <c r="A381" s="162"/>
      <c r="B381" s="162"/>
      <c r="C381" s="162"/>
      <c r="D381" s="162"/>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c r="AC381" s="162"/>
      <c r="AD381" s="162"/>
      <c r="AE381" s="162"/>
      <c r="AF381" s="162"/>
      <c r="AG381" s="162"/>
      <c r="AH381" s="162"/>
      <c r="AI381" s="162"/>
      <c r="AJ381" s="162"/>
      <c r="AK381" s="162"/>
      <c r="AL381" s="162"/>
      <c r="AM381" s="162"/>
      <c r="AN381" s="162"/>
      <c r="AO381" s="162"/>
      <c r="AP381" s="162"/>
      <c r="AQ381" s="162"/>
      <c r="AR381" s="162"/>
      <c r="AS381" s="162"/>
      <c r="AT381" s="161"/>
      <c r="AU381" s="161"/>
      <c r="AV381" s="161"/>
      <c r="AW381" s="161"/>
      <c r="AX381" s="161"/>
      <c r="AY381" s="161"/>
      <c r="AZ381" s="161"/>
      <c r="BA381" s="161"/>
      <c r="BB381" s="161"/>
      <c r="BC381" s="161"/>
      <c r="BD381" s="161"/>
      <c r="BE381" s="161"/>
      <c r="BF381" s="161"/>
      <c r="BG381" s="161"/>
      <c r="BH381" s="161"/>
      <c r="BI381" s="161"/>
      <c r="BJ381" s="161"/>
      <c r="BK381" s="161"/>
      <c r="BL381" s="161"/>
      <c r="BM381" s="161"/>
      <c r="BN381" s="161"/>
      <c r="BO381" s="161"/>
      <c r="BP381" s="161"/>
      <c r="BQ381" s="161"/>
      <c r="BR381" s="161"/>
      <c r="BS381" s="161"/>
      <c r="BT381" s="161"/>
      <c r="BU381" s="161"/>
      <c r="BV381" s="161"/>
      <c r="BW381" s="161"/>
      <c r="BX381" s="161"/>
      <c r="BY381" s="161"/>
    </row>
    <row r="382" spans="1:77">
      <c r="A382" s="162"/>
      <c r="B382" s="162"/>
      <c r="C382" s="162"/>
      <c r="D382" s="162"/>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c r="AC382" s="162"/>
      <c r="AD382" s="162"/>
      <c r="AE382" s="162"/>
      <c r="AF382" s="162"/>
      <c r="AG382" s="162"/>
      <c r="AH382" s="162"/>
      <c r="AI382" s="162"/>
      <c r="AJ382" s="162"/>
      <c r="AK382" s="162"/>
      <c r="AL382" s="162"/>
      <c r="AM382" s="162"/>
      <c r="AN382" s="162"/>
      <c r="AO382" s="162"/>
      <c r="AP382" s="162"/>
      <c r="AQ382" s="162"/>
      <c r="AR382" s="162"/>
      <c r="AS382" s="162"/>
      <c r="AT382" s="161"/>
      <c r="AU382" s="161"/>
      <c r="AV382" s="161"/>
      <c r="AW382" s="161"/>
      <c r="AX382" s="161"/>
      <c r="AY382" s="161"/>
      <c r="AZ382" s="161"/>
      <c r="BA382" s="161"/>
      <c r="BB382" s="161"/>
      <c r="BC382" s="161"/>
      <c r="BD382" s="161"/>
      <c r="BE382" s="161"/>
      <c r="BF382" s="161"/>
      <c r="BG382" s="161"/>
      <c r="BH382" s="161"/>
      <c r="BI382" s="161"/>
      <c r="BJ382" s="161"/>
      <c r="BK382" s="161"/>
      <c r="BL382" s="161"/>
      <c r="BM382" s="161"/>
      <c r="BN382" s="161"/>
      <c r="BO382" s="161"/>
      <c r="BP382" s="161"/>
      <c r="BQ382" s="161"/>
      <c r="BR382" s="161"/>
      <c r="BS382" s="161"/>
      <c r="BT382" s="161"/>
      <c r="BU382" s="161"/>
      <c r="BV382" s="161"/>
      <c r="BW382" s="161"/>
      <c r="BX382" s="161"/>
      <c r="BY382" s="161"/>
    </row>
    <row r="383" spans="1:77">
      <c r="A383" s="162"/>
      <c r="B383" s="162"/>
      <c r="C383" s="162"/>
      <c r="D383" s="162"/>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c r="AC383" s="162"/>
      <c r="AD383" s="162"/>
      <c r="AE383" s="162"/>
      <c r="AF383" s="162"/>
      <c r="AG383" s="162"/>
      <c r="AH383" s="162"/>
      <c r="AI383" s="162"/>
      <c r="AJ383" s="162"/>
      <c r="AK383" s="162"/>
      <c r="AL383" s="162"/>
      <c r="AM383" s="162"/>
      <c r="AN383" s="162"/>
      <c r="AO383" s="162"/>
      <c r="AP383" s="162"/>
      <c r="AQ383" s="162"/>
      <c r="AR383" s="162"/>
      <c r="AS383" s="162"/>
      <c r="AT383" s="161"/>
      <c r="AU383" s="161"/>
      <c r="AV383" s="161"/>
      <c r="AW383" s="161"/>
      <c r="AX383" s="161"/>
      <c r="AY383" s="161"/>
      <c r="AZ383" s="161"/>
      <c r="BA383" s="161"/>
      <c r="BB383" s="161"/>
      <c r="BC383" s="161"/>
      <c r="BD383" s="161"/>
      <c r="BE383" s="161"/>
      <c r="BF383" s="161"/>
      <c r="BG383" s="161"/>
      <c r="BH383" s="161"/>
      <c r="BI383" s="161"/>
      <c r="BJ383" s="161"/>
      <c r="BK383" s="161"/>
      <c r="BL383" s="161"/>
      <c r="BM383" s="161"/>
      <c r="BN383" s="161"/>
      <c r="BO383" s="161"/>
      <c r="BP383" s="161"/>
      <c r="BQ383" s="161"/>
      <c r="BR383" s="161"/>
      <c r="BS383" s="161"/>
      <c r="BT383" s="161"/>
      <c r="BU383" s="161"/>
      <c r="BV383" s="161"/>
      <c r="BW383" s="161"/>
      <c r="BX383" s="161"/>
      <c r="BY383" s="161"/>
    </row>
    <row r="384" spans="1:77">
      <c r="A384" s="162"/>
      <c r="B384" s="162"/>
      <c r="C384" s="162"/>
      <c r="D384" s="162"/>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c r="AC384" s="162"/>
      <c r="AD384" s="162"/>
      <c r="AE384" s="162"/>
      <c r="AF384" s="162"/>
      <c r="AG384" s="162"/>
      <c r="AH384" s="162"/>
      <c r="AI384" s="162"/>
      <c r="AJ384" s="162"/>
      <c r="AK384" s="162"/>
      <c r="AL384" s="162"/>
      <c r="AM384" s="162"/>
      <c r="AN384" s="162"/>
      <c r="AO384" s="162"/>
      <c r="AP384" s="162"/>
      <c r="AQ384" s="162"/>
      <c r="AR384" s="162"/>
      <c r="AS384" s="162"/>
      <c r="AT384" s="161"/>
      <c r="AU384" s="161"/>
      <c r="AV384" s="161"/>
      <c r="AW384" s="161"/>
      <c r="AX384" s="161"/>
      <c r="AY384" s="161"/>
      <c r="AZ384" s="161"/>
      <c r="BA384" s="161"/>
      <c r="BB384" s="161"/>
      <c r="BC384" s="161"/>
      <c r="BD384" s="161"/>
      <c r="BE384" s="161"/>
      <c r="BF384" s="161"/>
      <c r="BG384" s="161"/>
      <c r="BH384" s="161"/>
      <c r="BI384" s="161"/>
      <c r="BJ384" s="161"/>
      <c r="BK384" s="161"/>
      <c r="BL384" s="161"/>
      <c r="BM384" s="161"/>
      <c r="BN384" s="161"/>
      <c r="BO384" s="161"/>
      <c r="BP384" s="161"/>
      <c r="BQ384" s="161"/>
      <c r="BR384" s="161"/>
      <c r="BS384" s="161"/>
      <c r="BT384" s="161"/>
      <c r="BU384" s="161"/>
      <c r="BV384" s="161"/>
      <c r="BW384" s="161"/>
      <c r="BX384" s="161"/>
      <c r="BY384" s="161"/>
    </row>
    <row r="385" spans="1:77">
      <c r="A385" s="162"/>
      <c r="B385" s="162"/>
      <c r="C385" s="162"/>
      <c r="D385" s="162"/>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c r="AC385" s="162"/>
      <c r="AD385" s="162"/>
      <c r="AE385" s="162"/>
      <c r="AF385" s="162"/>
      <c r="AG385" s="162"/>
      <c r="AH385" s="162"/>
      <c r="AI385" s="162"/>
      <c r="AJ385" s="162"/>
      <c r="AK385" s="162"/>
      <c r="AL385" s="162"/>
      <c r="AM385" s="162"/>
      <c r="AN385" s="162"/>
      <c r="AO385" s="162"/>
      <c r="AP385" s="162"/>
      <c r="AQ385" s="162"/>
      <c r="AR385" s="162"/>
      <c r="AS385" s="162"/>
      <c r="AT385" s="161"/>
      <c r="AU385" s="161"/>
      <c r="AV385" s="161"/>
      <c r="AW385" s="161"/>
      <c r="AX385" s="161"/>
      <c r="AY385" s="161"/>
      <c r="AZ385" s="161"/>
      <c r="BA385" s="161"/>
      <c r="BB385" s="161"/>
      <c r="BC385" s="161"/>
      <c r="BD385" s="161"/>
      <c r="BE385" s="161"/>
      <c r="BF385" s="161"/>
      <c r="BG385" s="161"/>
      <c r="BH385" s="161"/>
      <c r="BI385" s="161"/>
      <c r="BJ385" s="161"/>
      <c r="BK385" s="161"/>
      <c r="BL385" s="161"/>
      <c r="BM385" s="161"/>
      <c r="BN385" s="161"/>
      <c r="BO385" s="161"/>
      <c r="BP385" s="161"/>
      <c r="BQ385" s="161"/>
      <c r="BR385" s="161"/>
      <c r="BS385" s="161"/>
      <c r="BT385" s="161"/>
      <c r="BU385" s="161"/>
      <c r="BV385" s="161"/>
      <c r="BW385" s="161"/>
      <c r="BX385" s="161"/>
      <c r="BY385" s="161"/>
    </row>
    <row r="386" spans="1:77">
      <c r="A386" s="162"/>
      <c r="B386" s="162"/>
      <c r="C386" s="162"/>
      <c r="D386" s="162"/>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c r="AC386" s="162"/>
      <c r="AD386" s="162"/>
      <c r="AE386" s="162"/>
      <c r="AF386" s="162"/>
      <c r="AG386" s="162"/>
      <c r="AH386" s="162"/>
      <c r="AI386" s="162"/>
      <c r="AJ386" s="162"/>
      <c r="AK386" s="162"/>
      <c r="AL386" s="162"/>
      <c r="AM386" s="162"/>
      <c r="AN386" s="162"/>
      <c r="AO386" s="162"/>
      <c r="AP386" s="162"/>
      <c r="AQ386" s="162"/>
      <c r="AR386" s="162"/>
      <c r="AS386" s="162"/>
      <c r="AT386" s="161"/>
      <c r="AU386" s="161"/>
      <c r="AV386" s="161"/>
      <c r="AW386" s="161"/>
      <c r="AX386" s="161"/>
      <c r="AY386" s="161"/>
      <c r="AZ386" s="161"/>
      <c r="BA386" s="161"/>
      <c r="BB386" s="161"/>
      <c r="BC386" s="161"/>
      <c r="BD386" s="161"/>
      <c r="BE386" s="161"/>
      <c r="BF386" s="161"/>
      <c r="BG386" s="161"/>
      <c r="BH386" s="161"/>
      <c r="BI386" s="161"/>
      <c r="BJ386" s="161"/>
      <c r="BK386" s="161"/>
      <c r="BL386" s="161"/>
      <c r="BM386" s="161"/>
      <c r="BN386" s="161"/>
      <c r="BO386" s="161"/>
      <c r="BP386" s="161"/>
      <c r="BQ386" s="161"/>
      <c r="BR386" s="161"/>
      <c r="BS386" s="161"/>
      <c r="BT386" s="161"/>
      <c r="BU386" s="161"/>
      <c r="BV386" s="161"/>
      <c r="BW386" s="161"/>
      <c r="BX386" s="161"/>
      <c r="BY386" s="161"/>
    </row>
    <row r="387" spans="1:77">
      <c r="A387" s="162"/>
      <c r="B387" s="162"/>
      <c r="C387" s="162"/>
      <c r="D387" s="162"/>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c r="AC387" s="162"/>
      <c r="AD387" s="162"/>
      <c r="AE387" s="162"/>
      <c r="AF387" s="162"/>
      <c r="AG387" s="162"/>
      <c r="AH387" s="162"/>
      <c r="AI387" s="162"/>
      <c r="AJ387" s="162"/>
      <c r="AK387" s="162"/>
      <c r="AL387" s="162"/>
      <c r="AM387" s="162"/>
      <c r="AN387" s="162"/>
      <c r="AO387" s="162"/>
      <c r="AP387" s="162"/>
      <c r="AQ387" s="162"/>
      <c r="AR387" s="162"/>
      <c r="AS387" s="162"/>
      <c r="AT387" s="161"/>
      <c r="AU387" s="161"/>
      <c r="AV387" s="161"/>
      <c r="AW387" s="161"/>
      <c r="AX387" s="161"/>
      <c r="AY387" s="161"/>
      <c r="AZ387" s="161"/>
      <c r="BA387" s="161"/>
      <c r="BB387" s="161"/>
      <c r="BC387" s="161"/>
      <c r="BD387" s="161"/>
      <c r="BE387" s="161"/>
      <c r="BF387" s="161"/>
      <c r="BG387" s="161"/>
      <c r="BH387" s="161"/>
      <c r="BI387" s="161"/>
      <c r="BJ387" s="161"/>
      <c r="BK387" s="161"/>
      <c r="BL387" s="161"/>
      <c r="BM387" s="161"/>
      <c r="BN387" s="161"/>
      <c r="BO387" s="161"/>
      <c r="BP387" s="161"/>
      <c r="BQ387" s="161"/>
      <c r="BR387" s="161"/>
      <c r="BS387" s="161"/>
      <c r="BT387" s="161"/>
      <c r="BU387" s="161"/>
      <c r="BV387" s="161"/>
      <c r="BW387" s="161"/>
      <c r="BX387" s="161"/>
      <c r="BY387" s="161"/>
    </row>
    <row r="388" spans="1:77">
      <c r="A388" s="162"/>
      <c r="B388" s="162"/>
      <c r="C388" s="162"/>
      <c r="D388" s="162"/>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c r="AC388" s="162"/>
      <c r="AD388" s="162"/>
      <c r="AE388" s="162"/>
      <c r="AF388" s="162"/>
      <c r="AG388" s="162"/>
      <c r="AH388" s="162"/>
      <c r="AI388" s="162"/>
      <c r="AJ388" s="162"/>
      <c r="AK388" s="162"/>
      <c r="AL388" s="162"/>
      <c r="AM388" s="162"/>
      <c r="AN388" s="162"/>
      <c r="AO388" s="162"/>
      <c r="AP388" s="162"/>
      <c r="AQ388" s="162"/>
      <c r="AR388" s="162"/>
      <c r="AS388" s="162"/>
      <c r="AT388" s="161"/>
      <c r="AU388" s="161"/>
      <c r="AV388" s="161"/>
      <c r="AW388" s="161"/>
      <c r="AX388" s="161"/>
      <c r="AY388" s="161"/>
      <c r="AZ388" s="161"/>
      <c r="BA388" s="161"/>
      <c r="BB388" s="161"/>
      <c r="BC388" s="161"/>
      <c r="BD388" s="161"/>
      <c r="BE388" s="161"/>
      <c r="BF388" s="161"/>
      <c r="BG388" s="161"/>
      <c r="BH388" s="161"/>
      <c r="BI388" s="161"/>
      <c r="BJ388" s="161"/>
      <c r="BK388" s="161"/>
      <c r="BL388" s="161"/>
      <c r="BM388" s="161"/>
      <c r="BN388" s="161"/>
      <c r="BO388" s="161"/>
      <c r="BP388" s="161"/>
      <c r="BQ388" s="161"/>
      <c r="BR388" s="161"/>
      <c r="BS388" s="161"/>
      <c r="BT388" s="161"/>
      <c r="BU388" s="161"/>
      <c r="BV388" s="161"/>
      <c r="BW388" s="161"/>
      <c r="BX388" s="161"/>
      <c r="BY388" s="161"/>
    </row>
    <row r="389" spans="1:77">
      <c r="A389" s="162"/>
      <c r="B389" s="162"/>
      <c r="C389" s="162"/>
      <c r="D389" s="162"/>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c r="AC389" s="162"/>
      <c r="AD389" s="162"/>
      <c r="AE389" s="162"/>
      <c r="AF389" s="162"/>
      <c r="AG389" s="162"/>
      <c r="AH389" s="162"/>
      <c r="AI389" s="162"/>
      <c r="AJ389" s="162"/>
      <c r="AK389" s="162"/>
      <c r="AL389" s="162"/>
      <c r="AM389" s="162"/>
      <c r="AN389" s="162"/>
      <c r="AO389" s="162"/>
      <c r="AP389" s="162"/>
      <c r="AQ389" s="162"/>
      <c r="AR389" s="162"/>
      <c r="AS389" s="162"/>
      <c r="AT389" s="161"/>
      <c r="AU389" s="161"/>
      <c r="AV389" s="161"/>
      <c r="AW389" s="161"/>
      <c r="AX389" s="161"/>
      <c r="AY389" s="161"/>
      <c r="AZ389" s="161"/>
      <c r="BA389" s="161"/>
      <c r="BB389" s="161"/>
      <c r="BC389" s="161"/>
      <c r="BD389" s="161"/>
      <c r="BE389" s="161"/>
      <c r="BF389" s="161"/>
      <c r="BG389" s="161"/>
      <c r="BH389" s="161"/>
      <c r="BI389" s="161"/>
      <c r="BJ389" s="161"/>
      <c r="BK389" s="161"/>
      <c r="BL389" s="161"/>
      <c r="BM389" s="161"/>
      <c r="BN389" s="161"/>
      <c r="BO389" s="161"/>
      <c r="BP389" s="161"/>
      <c r="BQ389" s="161"/>
      <c r="BR389" s="161"/>
      <c r="BS389" s="161"/>
      <c r="BT389" s="161"/>
      <c r="BU389" s="161"/>
      <c r="BV389" s="161"/>
      <c r="BW389" s="161"/>
      <c r="BX389" s="161"/>
      <c r="BY389" s="161"/>
    </row>
    <row r="390" spans="1:77">
      <c r="A390" s="162"/>
      <c r="B390" s="162"/>
      <c r="C390" s="162"/>
      <c r="D390" s="162"/>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c r="AC390" s="162"/>
      <c r="AD390" s="162"/>
      <c r="AE390" s="162"/>
      <c r="AF390" s="162"/>
      <c r="AG390" s="162"/>
      <c r="AH390" s="162"/>
      <c r="AI390" s="162"/>
      <c r="AJ390" s="162"/>
      <c r="AK390" s="162"/>
      <c r="AL390" s="162"/>
      <c r="AM390" s="162"/>
      <c r="AN390" s="162"/>
      <c r="AO390" s="162"/>
      <c r="AP390" s="162"/>
      <c r="AQ390" s="162"/>
      <c r="AR390" s="162"/>
      <c r="AS390" s="162"/>
      <c r="AT390" s="161"/>
      <c r="AU390" s="161"/>
      <c r="AV390" s="161"/>
      <c r="AW390" s="161"/>
      <c r="AX390" s="161"/>
      <c r="AY390" s="161"/>
      <c r="AZ390" s="161"/>
      <c r="BA390" s="161"/>
      <c r="BB390" s="161"/>
      <c r="BC390" s="161"/>
      <c r="BD390" s="161"/>
      <c r="BE390" s="161"/>
      <c r="BF390" s="161"/>
      <c r="BG390" s="161"/>
      <c r="BH390" s="161"/>
      <c r="BI390" s="161"/>
      <c r="BJ390" s="161"/>
      <c r="BK390" s="161"/>
      <c r="BL390" s="161"/>
      <c r="BM390" s="161"/>
      <c r="BN390" s="161"/>
      <c r="BO390" s="161"/>
      <c r="BP390" s="161"/>
      <c r="BQ390" s="161"/>
      <c r="BR390" s="161"/>
      <c r="BS390" s="161"/>
      <c r="BT390" s="161"/>
      <c r="BU390" s="161"/>
      <c r="BV390" s="161"/>
      <c r="BW390" s="161"/>
      <c r="BX390" s="161"/>
      <c r="BY390" s="161"/>
    </row>
    <row r="391" spans="1:77">
      <c r="A391" s="162"/>
      <c r="B391" s="162"/>
      <c r="C391" s="162"/>
      <c r="D391" s="162"/>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c r="AC391" s="162"/>
      <c r="AD391" s="162"/>
      <c r="AE391" s="162"/>
      <c r="AF391" s="162"/>
      <c r="AG391" s="162"/>
      <c r="AH391" s="162"/>
      <c r="AI391" s="162"/>
      <c r="AJ391" s="162"/>
      <c r="AK391" s="162"/>
      <c r="AL391" s="162"/>
      <c r="AM391" s="162"/>
      <c r="AN391" s="162"/>
      <c r="AO391" s="162"/>
      <c r="AP391" s="162"/>
      <c r="AQ391" s="162"/>
      <c r="AR391" s="162"/>
      <c r="AS391" s="162"/>
      <c r="AT391" s="161"/>
      <c r="AU391" s="161"/>
      <c r="AV391" s="161"/>
      <c r="AW391" s="161"/>
      <c r="AX391" s="161"/>
      <c r="AY391" s="161"/>
      <c r="AZ391" s="161"/>
      <c r="BA391" s="161"/>
      <c r="BB391" s="161"/>
      <c r="BC391" s="161"/>
      <c r="BD391" s="161"/>
      <c r="BE391" s="161"/>
      <c r="BF391" s="161"/>
      <c r="BG391" s="161"/>
      <c r="BH391" s="161"/>
      <c r="BI391" s="161"/>
      <c r="BJ391" s="161"/>
      <c r="BK391" s="161"/>
      <c r="BL391" s="161"/>
      <c r="BM391" s="161"/>
      <c r="BN391" s="161"/>
      <c r="BO391" s="161"/>
      <c r="BP391" s="161"/>
      <c r="BQ391" s="161"/>
      <c r="BR391" s="161"/>
      <c r="BS391" s="161"/>
      <c r="BT391" s="161"/>
      <c r="BU391" s="161"/>
      <c r="BV391" s="161"/>
      <c r="BW391" s="161"/>
      <c r="BX391" s="161"/>
      <c r="BY391" s="161"/>
    </row>
    <row r="392" spans="1:77">
      <c r="A392" s="162"/>
      <c r="B392" s="162"/>
      <c r="C392" s="162"/>
      <c r="D392" s="162"/>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c r="AC392" s="162"/>
      <c r="AD392" s="162"/>
      <c r="AE392" s="162"/>
      <c r="AF392" s="162"/>
      <c r="AG392" s="162"/>
      <c r="AH392" s="162"/>
      <c r="AI392" s="162"/>
      <c r="AJ392" s="162"/>
      <c r="AK392" s="162"/>
      <c r="AL392" s="162"/>
      <c r="AM392" s="162"/>
      <c r="AN392" s="162"/>
      <c r="AO392" s="162"/>
      <c r="AP392" s="162"/>
      <c r="AQ392" s="162"/>
      <c r="AR392" s="162"/>
      <c r="AS392" s="162"/>
      <c r="AT392" s="161"/>
      <c r="AU392" s="161"/>
      <c r="AV392" s="161"/>
      <c r="AW392" s="161"/>
      <c r="AX392" s="161"/>
      <c r="AY392" s="161"/>
      <c r="AZ392" s="161"/>
      <c r="BA392" s="161"/>
      <c r="BB392" s="161"/>
      <c r="BC392" s="161"/>
      <c r="BD392" s="161"/>
      <c r="BE392" s="161"/>
      <c r="BF392" s="161"/>
      <c r="BG392" s="161"/>
      <c r="BH392" s="161"/>
      <c r="BI392" s="161"/>
      <c r="BJ392" s="161"/>
      <c r="BK392" s="161"/>
      <c r="BL392" s="161"/>
      <c r="BM392" s="161"/>
      <c r="BN392" s="161"/>
      <c r="BO392" s="161"/>
      <c r="BP392" s="161"/>
      <c r="BQ392" s="161"/>
      <c r="BR392" s="161"/>
      <c r="BS392" s="161"/>
      <c r="BT392" s="161"/>
      <c r="BU392" s="161"/>
      <c r="BV392" s="161"/>
      <c r="BW392" s="161"/>
      <c r="BX392" s="161"/>
      <c r="BY392" s="161"/>
    </row>
    <row r="393" spans="1:77">
      <c r="A393" s="162"/>
      <c r="B393" s="162"/>
      <c r="C393" s="162"/>
      <c r="D393" s="162"/>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c r="AC393" s="162"/>
      <c r="AD393" s="162"/>
      <c r="AE393" s="162"/>
      <c r="AF393" s="162"/>
      <c r="AG393" s="162"/>
      <c r="AH393" s="162"/>
      <c r="AI393" s="162"/>
      <c r="AJ393" s="162"/>
      <c r="AK393" s="162"/>
      <c r="AL393" s="162"/>
      <c r="AM393" s="162"/>
      <c r="AN393" s="162"/>
      <c r="AO393" s="162"/>
      <c r="AP393" s="162"/>
      <c r="AQ393" s="162"/>
      <c r="AR393" s="162"/>
      <c r="AS393" s="162"/>
      <c r="AT393" s="161"/>
      <c r="AU393" s="161"/>
      <c r="AV393" s="161"/>
      <c r="AW393" s="161"/>
      <c r="AX393" s="161"/>
      <c r="AY393" s="161"/>
      <c r="AZ393" s="161"/>
      <c r="BA393" s="161"/>
      <c r="BB393" s="161"/>
      <c r="BC393" s="161"/>
      <c r="BD393" s="161"/>
      <c r="BE393" s="161"/>
      <c r="BF393" s="161"/>
      <c r="BG393" s="161"/>
      <c r="BH393" s="161"/>
      <c r="BI393" s="161"/>
      <c r="BJ393" s="161"/>
      <c r="BK393" s="161"/>
      <c r="BL393" s="161"/>
      <c r="BM393" s="161"/>
      <c r="BN393" s="161"/>
      <c r="BO393" s="161"/>
      <c r="BP393" s="161"/>
      <c r="BQ393" s="161"/>
      <c r="BR393" s="161"/>
      <c r="BS393" s="161"/>
      <c r="BT393" s="161"/>
      <c r="BU393" s="161"/>
      <c r="BV393" s="161"/>
      <c r="BW393" s="161"/>
      <c r="BX393" s="161"/>
      <c r="BY393" s="161"/>
    </row>
    <row r="394" spans="1:77">
      <c r="A394" s="162"/>
      <c r="B394" s="162"/>
      <c r="C394" s="162"/>
      <c r="D394" s="162"/>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c r="AC394" s="162"/>
      <c r="AD394" s="162"/>
      <c r="AE394" s="162"/>
      <c r="AF394" s="162"/>
      <c r="AG394" s="162"/>
      <c r="AH394" s="162"/>
      <c r="AI394" s="162"/>
      <c r="AJ394" s="162"/>
      <c r="AK394" s="162"/>
      <c r="AL394" s="162"/>
      <c r="AM394" s="162"/>
      <c r="AN394" s="162"/>
      <c r="AO394" s="162"/>
      <c r="AP394" s="162"/>
      <c r="AQ394" s="162"/>
      <c r="AR394" s="162"/>
      <c r="AS394" s="162"/>
      <c r="AT394" s="161"/>
      <c r="AU394" s="161"/>
      <c r="AV394" s="161"/>
      <c r="AW394" s="161"/>
      <c r="AX394" s="161"/>
      <c r="AY394" s="161"/>
      <c r="AZ394" s="161"/>
      <c r="BA394" s="161"/>
      <c r="BB394" s="161"/>
      <c r="BC394" s="161"/>
      <c r="BD394" s="161"/>
      <c r="BE394" s="161"/>
      <c r="BF394" s="161"/>
      <c r="BG394" s="161"/>
      <c r="BH394" s="161"/>
      <c r="BI394" s="161"/>
      <c r="BJ394" s="161"/>
      <c r="BK394" s="161"/>
      <c r="BL394" s="161"/>
      <c r="BM394" s="161"/>
      <c r="BN394" s="161"/>
      <c r="BO394" s="161"/>
      <c r="BP394" s="161"/>
      <c r="BQ394" s="161"/>
      <c r="BR394" s="161"/>
      <c r="BS394" s="161"/>
      <c r="BT394" s="161"/>
      <c r="BU394" s="161"/>
      <c r="BV394" s="161"/>
      <c r="BW394" s="161"/>
      <c r="BX394" s="161"/>
      <c r="BY394" s="161"/>
    </row>
    <row r="395" spans="1:77">
      <c r="A395" s="162"/>
      <c r="B395" s="162"/>
      <c r="C395" s="162"/>
      <c r="D395" s="162"/>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c r="AC395" s="162"/>
      <c r="AD395" s="162"/>
      <c r="AE395" s="162"/>
      <c r="AF395" s="162"/>
      <c r="AG395" s="162"/>
      <c r="AH395" s="162"/>
      <c r="AI395" s="162"/>
      <c r="AJ395" s="162"/>
      <c r="AK395" s="162"/>
      <c r="AL395" s="162"/>
      <c r="AM395" s="162"/>
      <c r="AN395" s="162"/>
      <c r="AO395" s="162"/>
      <c r="AP395" s="162"/>
      <c r="AQ395" s="162"/>
      <c r="AR395" s="162"/>
      <c r="AS395" s="162"/>
      <c r="AT395" s="161"/>
      <c r="AU395" s="161"/>
      <c r="AV395" s="161"/>
      <c r="AW395" s="161"/>
      <c r="AX395" s="161"/>
      <c r="AY395" s="161"/>
      <c r="AZ395" s="161"/>
      <c r="BA395" s="161"/>
      <c r="BB395" s="161"/>
      <c r="BC395" s="161"/>
      <c r="BD395" s="161"/>
      <c r="BE395" s="161"/>
      <c r="BF395" s="161"/>
      <c r="BG395" s="161"/>
      <c r="BH395" s="161"/>
      <c r="BI395" s="161"/>
      <c r="BJ395" s="161"/>
      <c r="BK395" s="161"/>
      <c r="BL395" s="161"/>
      <c r="BM395" s="161"/>
      <c r="BN395" s="161"/>
      <c r="BO395" s="161"/>
      <c r="BP395" s="161"/>
      <c r="BQ395" s="161"/>
      <c r="BR395" s="161"/>
      <c r="BS395" s="161"/>
      <c r="BT395" s="161"/>
      <c r="BU395" s="161"/>
      <c r="BV395" s="161"/>
      <c r="BW395" s="161"/>
      <c r="BX395" s="161"/>
      <c r="BY395" s="161"/>
    </row>
    <row r="396" spans="1:77">
      <c r="A396" s="162"/>
      <c r="B396" s="162"/>
      <c r="C396" s="162"/>
      <c r="D396" s="162"/>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c r="AC396" s="162"/>
      <c r="AD396" s="162"/>
      <c r="AE396" s="162"/>
      <c r="AF396" s="162"/>
      <c r="AG396" s="162"/>
      <c r="AH396" s="162"/>
      <c r="AI396" s="162"/>
      <c r="AJ396" s="162"/>
      <c r="AK396" s="162"/>
      <c r="AL396" s="162"/>
      <c r="AM396" s="162"/>
      <c r="AN396" s="162"/>
      <c r="AO396" s="162"/>
      <c r="AP396" s="162"/>
      <c r="AQ396" s="162"/>
      <c r="AR396" s="162"/>
      <c r="AS396" s="162"/>
      <c r="AT396" s="161"/>
      <c r="AU396" s="161"/>
      <c r="AV396" s="161"/>
      <c r="AW396" s="161"/>
      <c r="AX396" s="161"/>
      <c r="AY396" s="161"/>
      <c r="AZ396" s="161"/>
      <c r="BA396" s="161"/>
      <c r="BB396" s="161"/>
      <c r="BC396" s="161"/>
      <c r="BD396" s="161"/>
      <c r="BE396" s="161"/>
      <c r="BF396" s="161"/>
      <c r="BG396" s="161"/>
      <c r="BH396" s="161"/>
      <c r="BI396" s="161"/>
      <c r="BJ396" s="161"/>
      <c r="BK396" s="161"/>
      <c r="BL396" s="161"/>
      <c r="BM396" s="161"/>
      <c r="BN396" s="161"/>
      <c r="BO396" s="161"/>
      <c r="BP396" s="161"/>
      <c r="BQ396" s="161"/>
      <c r="BR396" s="161"/>
      <c r="BS396" s="161"/>
      <c r="BT396" s="161"/>
      <c r="BU396" s="161"/>
      <c r="BV396" s="161"/>
      <c r="BW396" s="161"/>
      <c r="BX396" s="161"/>
      <c r="BY396" s="161"/>
    </row>
    <row r="397" spans="1:77">
      <c r="A397" s="162"/>
      <c r="B397" s="162"/>
      <c r="C397" s="162"/>
      <c r="D397" s="162"/>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c r="AC397" s="162"/>
      <c r="AD397" s="162"/>
      <c r="AE397" s="162"/>
      <c r="AF397" s="162"/>
      <c r="AG397" s="162"/>
      <c r="AH397" s="162"/>
      <c r="AI397" s="162"/>
      <c r="AJ397" s="162"/>
      <c r="AK397" s="162"/>
      <c r="AL397" s="162"/>
      <c r="AM397" s="162"/>
      <c r="AN397" s="162"/>
      <c r="AO397" s="162"/>
      <c r="AP397" s="162"/>
      <c r="AQ397" s="162"/>
      <c r="AR397" s="162"/>
      <c r="AS397" s="162"/>
      <c r="AT397" s="161"/>
      <c r="AU397" s="161"/>
      <c r="AV397" s="161"/>
      <c r="AW397" s="161"/>
      <c r="AX397" s="161"/>
      <c r="AY397" s="161"/>
      <c r="AZ397" s="161"/>
      <c r="BA397" s="161"/>
      <c r="BB397" s="161"/>
      <c r="BC397" s="161"/>
      <c r="BD397" s="161"/>
      <c r="BE397" s="161"/>
      <c r="BF397" s="161"/>
      <c r="BG397" s="161"/>
      <c r="BH397" s="161"/>
      <c r="BI397" s="161"/>
      <c r="BJ397" s="161"/>
      <c r="BK397" s="161"/>
      <c r="BL397" s="161"/>
      <c r="BM397" s="161"/>
      <c r="BN397" s="161"/>
      <c r="BO397" s="161"/>
      <c r="BP397" s="161"/>
      <c r="BQ397" s="161"/>
      <c r="BR397" s="161"/>
      <c r="BS397" s="161"/>
      <c r="BT397" s="161"/>
      <c r="BU397" s="161"/>
      <c r="BV397" s="161"/>
      <c r="BW397" s="161"/>
      <c r="BX397" s="161"/>
      <c r="BY397" s="161"/>
    </row>
    <row r="398" spans="1:77">
      <c r="A398" s="162"/>
      <c r="B398" s="162"/>
      <c r="C398" s="162"/>
      <c r="D398" s="162"/>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c r="AC398" s="162"/>
      <c r="AD398" s="162"/>
      <c r="AE398" s="162"/>
      <c r="AF398" s="162"/>
      <c r="AG398" s="162"/>
      <c r="AH398" s="162"/>
      <c r="AI398" s="162"/>
      <c r="AJ398" s="162"/>
      <c r="AK398" s="162"/>
      <c r="AL398" s="162"/>
      <c r="AM398" s="162"/>
      <c r="AN398" s="162"/>
      <c r="AO398" s="162"/>
      <c r="AP398" s="162"/>
      <c r="AQ398" s="162"/>
      <c r="AR398" s="162"/>
      <c r="AS398" s="162"/>
      <c r="AT398" s="161"/>
      <c r="AU398" s="161"/>
      <c r="AV398" s="161"/>
      <c r="AW398" s="161"/>
      <c r="AX398" s="161"/>
      <c r="AY398" s="161"/>
      <c r="AZ398" s="161"/>
      <c r="BA398" s="161"/>
      <c r="BB398" s="161"/>
      <c r="BC398" s="161"/>
      <c r="BD398" s="161"/>
      <c r="BE398" s="161"/>
      <c r="BF398" s="161"/>
      <c r="BG398" s="161"/>
      <c r="BH398" s="161"/>
      <c r="BI398" s="161"/>
      <c r="BJ398" s="161"/>
      <c r="BK398" s="161"/>
      <c r="BL398" s="161"/>
      <c r="BM398" s="161"/>
      <c r="BN398" s="161"/>
      <c r="BO398" s="161"/>
      <c r="BP398" s="161"/>
      <c r="BQ398" s="161"/>
      <c r="BR398" s="161"/>
      <c r="BS398" s="161"/>
      <c r="BT398" s="161"/>
      <c r="BU398" s="161"/>
      <c r="BV398" s="161"/>
      <c r="BW398" s="161"/>
      <c r="BX398" s="161"/>
      <c r="BY398" s="161"/>
    </row>
    <row r="399" spans="1:77">
      <c r="A399" s="162"/>
      <c r="B399" s="162"/>
      <c r="C399" s="162"/>
      <c r="D399" s="162"/>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c r="AC399" s="162"/>
      <c r="AD399" s="162"/>
      <c r="AE399" s="162"/>
      <c r="AF399" s="162"/>
      <c r="AG399" s="162"/>
      <c r="AH399" s="162"/>
      <c r="AI399" s="162"/>
      <c r="AJ399" s="162"/>
      <c r="AK399" s="162"/>
      <c r="AL399" s="162"/>
      <c r="AM399" s="162"/>
      <c r="AN399" s="162"/>
      <c r="AO399" s="162"/>
      <c r="AP399" s="162"/>
      <c r="AQ399" s="162"/>
      <c r="AR399" s="162"/>
      <c r="AS399" s="162"/>
      <c r="AT399" s="161"/>
      <c r="AU399" s="161"/>
      <c r="AV399" s="161"/>
      <c r="AW399" s="161"/>
      <c r="AX399" s="161"/>
      <c r="AY399" s="161"/>
      <c r="AZ399" s="161"/>
      <c r="BA399" s="161"/>
      <c r="BB399" s="161"/>
      <c r="BC399" s="161"/>
      <c r="BD399" s="161"/>
      <c r="BE399" s="161"/>
      <c r="BF399" s="161"/>
      <c r="BG399" s="161"/>
      <c r="BH399" s="161"/>
      <c r="BI399" s="161"/>
      <c r="BJ399" s="161"/>
      <c r="BK399" s="161"/>
      <c r="BL399" s="161"/>
      <c r="BM399" s="161"/>
      <c r="BN399" s="161"/>
      <c r="BO399" s="161"/>
      <c r="BP399" s="161"/>
      <c r="BQ399" s="161"/>
      <c r="BR399" s="161"/>
      <c r="BS399" s="161"/>
      <c r="BT399" s="161"/>
      <c r="BU399" s="161"/>
      <c r="BV399" s="161"/>
      <c r="BW399" s="161"/>
      <c r="BX399" s="161"/>
      <c r="BY399" s="161"/>
    </row>
    <row r="400" spans="1:77">
      <c r="A400" s="162"/>
      <c r="B400" s="162"/>
      <c r="C400" s="162"/>
      <c r="D400" s="162"/>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c r="AC400" s="162"/>
      <c r="AD400" s="162"/>
      <c r="AE400" s="162"/>
      <c r="AF400" s="162"/>
      <c r="AG400" s="162"/>
      <c r="AH400" s="162"/>
      <c r="AI400" s="162"/>
      <c r="AJ400" s="162"/>
      <c r="AK400" s="162"/>
      <c r="AL400" s="162"/>
      <c r="AM400" s="162"/>
      <c r="AN400" s="162"/>
      <c r="AO400" s="162"/>
      <c r="AP400" s="162"/>
      <c r="AQ400" s="162"/>
      <c r="AR400" s="162"/>
      <c r="AS400" s="162"/>
      <c r="AT400" s="161"/>
      <c r="AU400" s="161"/>
      <c r="AV400" s="161"/>
      <c r="AW400" s="161"/>
      <c r="AX400" s="161"/>
      <c r="AY400" s="161"/>
      <c r="AZ400" s="161"/>
      <c r="BA400" s="161"/>
      <c r="BB400" s="161"/>
      <c r="BC400" s="161"/>
      <c r="BD400" s="161"/>
      <c r="BE400" s="161"/>
      <c r="BF400" s="161"/>
      <c r="BG400" s="161"/>
      <c r="BH400" s="161"/>
      <c r="BI400" s="161"/>
      <c r="BJ400" s="161"/>
      <c r="BK400" s="161"/>
      <c r="BL400" s="161"/>
      <c r="BM400" s="161"/>
      <c r="BN400" s="161"/>
      <c r="BO400" s="161"/>
      <c r="BP400" s="161"/>
      <c r="BQ400" s="161"/>
      <c r="BR400" s="161"/>
      <c r="BS400" s="161"/>
      <c r="BT400" s="161"/>
      <c r="BU400" s="161"/>
      <c r="BV400" s="161"/>
      <c r="BW400" s="161"/>
      <c r="BX400" s="161"/>
      <c r="BY400" s="161"/>
    </row>
    <row r="401" spans="1:77">
      <c r="A401" s="162"/>
      <c r="B401" s="162"/>
      <c r="C401" s="162"/>
      <c r="D401" s="162"/>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c r="AC401" s="162"/>
      <c r="AD401" s="162"/>
      <c r="AE401" s="162"/>
      <c r="AF401" s="162"/>
      <c r="AG401" s="162"/>
      <c r="AH401" s="162"/>
      <c r="AI401" s="162"/>
      <c r="AJ401" s="162"/>
      <c r="AK401" s="162"/>
      <c r="AL401" s="162"/>
      <c r="AM401" s="162"/>
      <c r="AN401" s="162"/>
      <c r="AO401" s="162"/>
      <c r="AP401" s="162"/>
      <c r="AQ401" s="162"/>
      <c r="AR401" s="162"/>
      <c r="AS401" s="162"/>
      <c r="AT401" s="161"/>
      <c r="AU401" s="161"/>
      <c r="AV401" s="161"/>
      <c r="AW401" s="161"/>
      <c r="AX401" s="161"/>
      <c r="AY401" s="161"/>
      <c r="AZ401" s="161"/>
      <c r="BA401" s="161"/>
      <c r="BB401" s="161"/>
      <c r="BC401" s="161"/>
      <c r="BD401" s="161"/>
      <c r="BE401" s="161"/>
      <c r="BF401" s="161"/>
      <c r="BG401" s="161"/>
      <c r="BH401" s="161"/>
      <c r="BI401" s="161"/>
      <c r="BJ401" s="161"/>
      <c r="BK401" s="161"/>
      <c r="BL401" s="161"/>
      <c r="BM401" s="161"/>
      <c r="BN401" s="161"/>
      <c r="BO401" s="161"/>
      <c r="BP401" s="161"/>
      <c r="BQ401" s="161"/>
      <c r="BR401" s="161"/>
      <c r="BS401" s="161"/>
      <c r="BT401" s="161"/>
      <c r="BU401" s="161"/>
      <c r="BV401" s="161"/>
      <c r="BW401" s="161"/>
      <c r="BX401" s="161"/>
      <c r="BY401" s="161"/>
    </row>
    <row r="402" spans="1:77">
      <c r="A402" s="162"/>
      <c r="B402" s="162"/>
      <c r="C402" s="162"/>
      <c r="D402" s="162"/>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c r="AC402" s="162"/>
      <c r="AD402" s="162"/>
      <c r="AE402" s="162"/>
      <c r="AF402" s="162"/>
      <c r="AG402" s="162"/>
      <c r="AH402" s="162"/>
      <c r="AI402" s="162"/>
      <c r="AJ402" s="162"/>
      <c r="AK402" s="162"/>
      <c r="AL402" s="162"/>
      <c r="AM402" s="162"/>
      <c r="AN402" s="162"/>
      <c r="AO402" s="162"/>
      <c r="AP402" s="162"/>
      <c r="AQ402" s="162"/>
      <c r="AR402" s="162"/>
      <c r="AS402" s="162"/>
      <c r="AT402" s="161"/>
      <c r="AU402" s="161"/>
      <c r="AV402" s="161"/>
      <c r="AW402" s="161"/>
      <c r="AX402" s="161"/>
      <c r="AY402" s="161"/>
      <c r="AZ402" s="161"/>
      <c r="BA402" s="161"/>
      <c r="BB402" s="161"/>
      <c r="BC402" s="161"/>
      <c r="BD402" s="161"/>
      <c r="BE402" s="161"/>
      <c r="BF402" s="161"/>
      <c r="BG402" s="161"/>
      <c r="BH402" s="161"/>
      <c r="BI402" s="161"/>
      <c r="BJ402" s="161"/>
      <c r="BK402" s="161"/>
      <c r="BL402" s="161"/>
      <c r="BM402" s="161"/>
      <c r="BN402" s="161"/>
      <c r="BO402" s="161"/>
      <c r="BP402" s="161"/>
      <c r="BQ402" s="161"/>
      <c r="BR402" s="161"/>
      <c r="BS402" s="161"/>
      <c r="BT402" s="161"/>
      <c r="BU402" s="161"/>
      <c r="BV402" s="161"/>
      <c r="BW402" s="161"/>
      <c r="BX402" s="161"/>
      <c r="BY402" s="161"/>
    </row>
    <row r="403" spans="1:77">
      <c r="A403" s="162"/>
      <c r="B403" s="162"/>
      <c r="C403" s="162"/>
      <c r="D403" s="162"/>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c r="AC403" s="162"/>
      <c r="AD403" s="162"/>
      <c r="AE403" s="162"/>
      <c r="AF403" s="162"/>
      <c r="AG403" s="162"/>
      <c r="AH403" s="162"/>
      <c r="AI403" s="162"/>
      <c r="AJ403" s="162"/>
      <c r="AK403" s="162"/>
      <c r="AL403" s="162"/>
      <c r="AM403" s="162"/>
      <c r="AN403" s="162"/>
      <c r="AO403" s="162"/>
      <c r="AP403" s="162"/>
      <c r="AQ403" s="162"/>
      <c r="AR403" s="162"/>
      <c r="AS403" s="162"/>
      <c r="AT403" s="161"/>
      <c r="AU403" s="161"/>
      <c r="AV403" s="161"/>
      <c r="AW403" s="161"/>
      <c r="AX403" s="161"/>
      <c r="AY403" s="161"/>
      <c r="AZ403" s="161"/>
      <c r="BA403" s="161"/>
      <c r="BB403" s="161"/>
      <c r="BC403" s="161"/>
      <c r="BD403" s="161"/>
      <c r="BE403" s="161"/>
      <c r="BF403" s="161"/>
      <c r="BG403" s="161"/>
      <c r="BH403" s="161"/>
      <c r="BI403" s="161"/>
      <c r="BJ403" s="161"/>
      <c r="BK403" s="161"/>
      <c r="BL403" s="161"/>
      <c r="BM403" s="161"/>
      <c r="BN403" s="161"/>
      <c r="BO403" s="161"/>
      <c r="BP403" s="161"/>
      <c r="BQ403" s="161"/>
      <c r="BR403" s="161"/>
      <c r="BS403" s="161"/>
      <c r="BT403" s="161"/>
      <c r="BU403" s="161"/>
      <c r="BV403" s="161"/>
      <c r="BW403" s="161"/>
      <c r="BX403" s="161"/>
      <c r="BY403" s="161"/>
    </row>
    <row r="404" spans="1:77">
      <c r="A404" s="162"/>
      <c r="B404" s="162"/>
      <c r="C404" s="162"/>
      <c r="D404" s="162"/>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c r="AC404" s="162"/>
      <c r="AD404" s="162"/>
      <c r="AE404" s="162"/>
      <c r="AF404" s="162"/>
      <c r="AG404" s="162"/>
      <c r="AH404" s="162"/>
      <c r="AI404" s="162"/>
      <c r="AJ404" s="162"/>
      <c r="AK404" s="162"/>
      <c r="AL404" s="162"/>
      <c r="AM404" s="162"/>
      <c r="AN404" s="162"/>
      <c r="AO404" s="162"/>
      <c r="AP404" s="162"/>
      <c r="AQ404" s="162"/>
      <c r="AR404" s="162"/>
      <c r="AS404" s="162"/>
      <c r="AT404" s="161"/>
      <c r="AU404" s="161"/>
      <c r="AV404" s="161"/>
      <c r="AW404" s="161"/>
      <c r="AX404" s="161"/>
      <c r="AY404" s="161"/>
      <c r="AZ404" s="161"/>
      <c r="BA404" s="161"/>
      <c r="BB404" s="161"/>
      <c r="BC404" s="161"/>
      <c r="BD404" s="161"/>
      <c r="BE404" s="161"/>
      <c r="BF404" s="161"/>
      <c r="BG404" s="161"/>
      <c r="BH404" s="161"/>
      <c r="BI404" s="161"/>
      <c r="BJ404" s="161"/>
      <c r="BK404" s="161"/>
      <c r="BL404" s="161"/>
      <c r="BM404" s="161"/>
      <c r="BN404" s="161"/>
      <c r="BO404" s="161"/>
      <c r="BP404" s="161"/>
      <c r="BQ404" s="161"/>
      <c r="BR404" s="161"/>
      <c r="BS404" s="161"/>
      <c r="BT404" s="161"/>
      <c r="BU404" s="161"/>
      <c r="BV404" s="161"/>
      <c r="BW404" s="161"/>
      <c r="BX404" s="161"/>
      <c r="BY404" s="161"/>
    </row>
    <row r="405" spans="1:77">
      <c r="A405" s="162"/>
      <c r="B405" s="162"/>
      <c r="C405" s="162"/>
      <c r="D405" s="162"/>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c r="AC405" s="162"/>
      <c r="AD405" s="162"/>
      <c r="AE405" s="162"/>
      <c r="AF405" s="162"/>
      <c r="AG405" s="162"/>
      <c r="AH405" s="162"/>
      <c r="AI405" s="162"/>
      <c r="AJ405" s="162"/>
      <c r="AK405" s="162"/>
      <c r="AL405" s="162"/>
      <c r="AM405" s="162"/>
      <c r="AN405" s="162"/>
      <c r="AO405" s="162"/>
      <c r="AP405" s="162"/>
      <c r="AQ405" s="162"/>
      <c r="AR405" s="162"/>
      <c r="AS405" s="162"/>
      <c r="AT405" s="161"/>
      <c r="AU405" s="161"/>
      <c r="AV405" s="161"/>
      <c r="AW405" s="161"/>
      <c r="AX405" s="161"/>
      <c r="AY405" s="161"/>
      <c r="AZ405" s="161"/>
      <c r="BA405" s="161"/>
      <c r="BB405" s="161"/>
      <c r="BC405" s="161"/>
      <c r="BD405" s="161"/>
      <c r="BE405" s="161"/>
      <c r="BF405" s="161"/>
      <c r="BG405" s="161"/>
      <c r="BH405" s="161"/>
      <c r="BI405" s="161"/>
      <c r="BJ405" s="161"/>
      <c r="BK405" s="161"/>
      <c r="BL405" s="161"/>
      <c r="BM405" s="161"/>
      <c r="BN405" s="161"/>
      <c r="BO405" s="161"/>
      <c r="BP405" s="161"/>
      <c r="BQ405" s="161"/>
      <c r="BR405" s="161"/>
      <c r="BS405" s="161"/>
      <c r="BT405" s="161"/>
      <c r="BU405" s="161"/>
      <c r="BV405" s="161"/>
      <c r="BW405" s="161"/>
      <c r="BX405" s="161"/>
      <c r="BY405" s="161"/>
    </row>
    <row r="406" spans="1:77">
      <c r="A406" s="162"/>
      <c r="B406" s="162"/>
      <c r="C406" s="162"/>
      <c r="D406" s="162"/>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c r="AC406" s="162"/>
      <c r="AD406" s="162"/>
      <c r="AE406" s="162"/>
      <c r="AF406" s="162"/>
      <c r="AG406" s="162"/>
      <c r="AH406" s="162"/>
      <c r="AI406" s="162"/>
      <c r="AJ406" s="162"/>
      <c r="AK406" s="162"/>
      <c r="AL406" s="162"/>
      <c r="AM406" s="162"/>
      <c r="AN406" s="162"/>
      <c r="AO406" s="162"/>
      <c r="AP406" s="162"/>
      <c r="AQ406" s="162"/>
      <c r="AR406" s="162"/>
      <c r="AS406" s="162"/>
      <c r="AT406" s="161"/>
      <c r="AU406" s="161"/>
      <c r="AV406" s="161"/>
      <c r="AW406" s="161"/>
      <c r="AX406" s="161"/>
      <c r="AY406" s="161"/>
      <c r="AZ406" s="161"/>
      <c r="BA406" s="161"/>
      <c r="BB406" s="161"/>
      <c r="BC406" s="161"/>
      <c r="BD406" s="161"/>
      <c r="BE406" s="161"/>
      <c r="BF406" s="161"/>
      <c r="BG406" s="161"/>
      <c r="BH406" s="161"/>
      <c r="BI406" s="161"/>
      <c r="BJ406" s="161"/>
      <c r="BK406" s="161"/>
      <c r="BL406" s="161"/>
      <c r="BM406" s="161"/>
      <c r="BN406" s="161"/>
      <c r="BO406" s="161"/>
      <c r="BP406" s="161"/>
      <c r="BQ406" s="161"/>
      <c r="BR406" s="161"/>
      <c r="BS406" s="161"/>
      <c r="BT406" s="161"/>
      <c r="BU406" s="161"/>
      <c r="BV406" s="161"/>
      <c r="BW406" s="161"/>
      <c r="BX406" s="161"/>
      <c r="BY406" s="161"/>
    </row>
    <row r="407" spans="1:77">
      <c r="A407" s="162"/>
      <c r="B407" s="162"/>
      <c r="C407" s="162"/>
      <c r="D407" s="162"/>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c r="AC407" s="162"/>
      <c r="AD407" s="162"/>
      <c r="AE407" s="162"/>
      <c r="AF407" s="162"/>
      <c r="AG407" s="162"/>
      <c r="AH407" s="162"/>
      <c r="AI407" s="162"/>
      <c r="AJ407" s="162"/>
      <c r="AK407" s="162"/>
      <c r="AL407" s="162"/>
      <c r="AM407" s="162"/>
      <c r="AN407" s="162"/>
      <c r="AO407" s="162"/>
      <c r="AP407" s="162"/>
      <c r="AQ407" s="162"/>
      <c r="AR407" s="162"/>
      <c r="AS407" s="162"/>
      <c r="AT407" s="161"/>
      <c r="AU407" s="161"/>
      <c r="AV407" s="161"/>
      <c r="AW407" s="161"/>
      <c r="AX407" s="161"/>
      <c r="AY407" s="161"/>
      <c r="AZ407" s="161"/>
      <c r="BA407" s="161"/>
      <c r="BB407" s="161"/>
      <c r="BC407" s="161"/>
      <c r="BD407" s="161"/>
      <c r="BE407" s="161"/>
      <c r="BF407" s="161"/>
      <c r="BG407" s="161"/>
      <c r="BH407" s="161"/>
      <c r="BI407" s="161"/>
      <c r="BJ407" s="161"/>
      <c r="BK407" s="161"/>
      <c r="BL407" s="161"/>
      <c r="BM407" s="161"/>
      <c r="BN407" s="161"/>
      <c r="BO407" s="161"/>
      <c r="BP407" s="161"/>
      <c r="BQ407" s="161"/>
      <c r="BR407" s="161"/>
      <c r="BS407" s="161"/>
      <c r="BT407" s="161"/>
      <c r="BU407" s="161"/>
      <c r="BV407" s="161"/>
      <c r="BW407" s="161"/>
      <c r="BX407" s="161"/>
      <c r="BY407" s="161"/>
    </row>
    <row r="408" spans="1:77">
      <c r="A408" s="162"/>
      <c r="B408" s="162"/>
      <c r="C408" s="162"/>
      <c r="D408" s="162"/>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c r="AC408" s="162"/>
      <c r="AD408" s="162"/>
      <c r="AE408" s="162"/>
      <c r="AF408" s="162"/>
      <c r="AG408" s="162"/>
      <c r="AH408" s="162"/>
      <c r="AI408" s="162"/>
      <c r="AJ408" s="162"/>
      <c r="AK408" s="162"/>
      <c r="AL408" s="162"/>
      <c r="AM408" s="162"/>
      <c r="AN408" s="162"/>
      <c r="AO408" s="162"/>
      <c r="AP408" s="162"/>
      <c r="AQ408" s="162"/>
      <c r="AR408" s="162"/>
      <c r="AS408" s="162"/>
      <c r="AT408" s="161"/>
      <c r="AU408" s="161"/>
      <c r="AV408" s="161"/>
      <c r="AW408" s="161"/>
      <c r="AX408" s="161"/>
      <c r="AY408" s="161"/>
      <c r="AZ408" s="161"/>
      <c r="BA408" s="161"/>
      <c r="BB408" s="161"/>
      <c r="BC408" s="161"/>
      <c r="BD408" s="161"/>
      <c r="BE408" s="161"/>
      <c r="BF408" s="161"/>
      <c r="BG408" s="161"/>
      <c r="BH408" s="161"/>
      <c r="BI408" s="161"/>
      <c r="BJ408" s="161"/>
      <c r="BK408" s="161"/>
      <c r="BL408" s="161"/>
      <c r="BM408" s="161"/>
      <c r="BN408" s="161"/>
      <c r="BO408" s="161"/>
      <c r="BP408" s="161"/>
      <c r="BQ408" s="161"/>
      <c r="BR408" s="161"/>
      <c r="BS408" s="161"/>
      <c r="BT408" s="161"/>
      <c r="BU408" s="161"/>
      <c r="BV408" s="161"/>
      <c r="BW408" s="161"/>
      <c r="BX408" s="161"/>
      <c r="BY408" s="161"/>
    </row>
    <row r="409" spans="1:77">
      <c r="A409" s="162"/>
      <c r="B409" s="162"/>
      <c r="C409" s="162"/>
      <c r="D409" s="162"/>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c r="AC409" s="162"/>
      <c r="AD409" s="162"/>
      <c r="AE409" s="162"/>
      <c r="AF409" s="162"/>
      <c r="AG409" s="162"/>
      <c r="AH409" s="162"/>
      <c r="AI409" s="162"/>
      <c r="AJ409" s="162"/>
      <c r="AK409" s="162"/>
      <c r="AL409" s="162"/>
      <c r="AM409" s="162"/>
      <c r="AN409" s="162"/>
      <c r="AO409" s="162"/>
      <c r="AP409" s="162"/>
      <c r="AQ409" s="162"/>
      <c r="AR409" s="162"/>
      <c r="AS409" s="162"/>
      <c r="AT409" s="161"/>
      <c r="AU409" s="161"/>
      <c r="AV409" s="161"/>
      <c r="AW409" s="161"/>
      <c r="AX409" s="161"/>
      <c r="AY409" s="161"/>
      <c r="AZ409" s="161"/>
      <c r="BA409" s="161"/>
      <c r="BB409" s="161"/>
      <c r="BC409" s="161"/>
      <c r="BD409" s="161"/>
      <c r="BE409" s="161"/>
      <c r="BF409" s="161"/>
      <c r="BG409" s="161"/>
      <c r="BH409" s="161"/>
      <c r="BI409" s="161"/>
      <c r="BJ409" s="161"/>
      <c r="BK409" s="161"/>
      <c r="BL409" s="161"/>
      <c r="BM409" s="161"/>
      <c r="BN409" s="161"/>
      <c r="BO409" s="161"/>
      <c r="BP409" s="161"/>
      <c r="BQ409" s="161"/>
      <c r="BR409" s="161"/>
      <c r="BS409" s="161"/>
      <c r="BT409" s="161"/>
      <c r="BU409" s="161"/>
      <c r="BV409" s="161"/>
      <c r="BW409" s="161"/>
      <c r="BX409" s="161"/>
      <c r="BY409" s="161"/>
    </row>
    <row r="410" spans="1:77">
      <c r="A410" s="162"/>
      <c r="B410" s="162"/>
      <c r="C410" s="162"/>
      <c r="D410" s="162"/>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c r="AC410" s="162"/>
      <c r="AD410" s="162"/>
      <c r="AE410" s="162"/>
      <c r="AF410" s="162"/>
      <c r="AG410" s="162"/>
      <c r="AH410" s="162"/>
      <c r="AI410" s="162"/>
      <c r="AJ410" s="162"/>
      <c r="AK410" s="162"/>
      <c r="AL410" s="162"/>
      <c r="AM410" s="162"/>
      <c r="AN410" s="162"/>
      <c r="AO410" s="162"/>
      <c r="AP410" s="162"/>
      <c r="AQ410" s="162"/>
      <c r="AR410" s="162"/>
      <c r="AS410" s="162"/>
      <c r="AT410" s="161"/>
      <c r="AU410" s="161"/>
      <c r="AV410" s="161"/>
      <c r="AW410" s="161"/>
      <c r="AX410" s="161"/>
      <c r="AY410" s="161"/>
      <c r="AZ410" s="161"/>
      <c r="BA410" s="161"/>
      <c r="BB410" s="161"/>
      <c r="BC410" s="161"/>
      <c r="BD410" s="161"/>
      <c r="BE410" s="161"/>
      <c r="BF410" s="161"/>
      <c r="BG410" s="161"/>
      <c r="BH410" s="161"/>
      <c r="BI410" s="161"/>
      <c r="BJ410" s="161"/>
      <c r="BK410" s="161"/>
      <c r="BL410" s="161"/>
      <c r="BM410" s="161"/>
      <c r="BN410" s="161"/>
      <c r="BO410" s="161"/>
      <c r="BP410" s="161"/>
      <c r="BQ410" s="161"/>
      <c r="BR410" s="161"/>
      <c r="BS410" s="161"/>
      <c r="BT410" s="161"/>
      <c r="BU410" s="161"/>
      <c r="BV410" s="161"/>
      <c r="BW410" s="161"/>
      <c r="BX410" s="161"/>
      <c r="BY410" s="161"/>
    </row>
    <row r="411" spans="1:77">
      <c r="A411" s="162"/>
      <c r="B411" s="162"/>
      <c r="C411" s="162"/>
      <c r="D411" s="162"/>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c r="AC411" s="162"/>
      <c r="AD411" s="162"/>
      <c r="AE411" s="162"/>
      <c r="AF411" s="162"/>
      <c r="AG411" s="162"/>
      <c r="AH411" s="162"/>
      <c r="AI411" s="162"/>
      <c r="AJ411" s="162"/>
      <c r="AK411" s="162"/>
      <c r="AL411" s="162"/>
      <c r="AM411" s="162"/>
      <c r="AN411" s="162"/>
      <c r="AO411" s="162"/>
      <c r="AP411" s="162"/>
      <c r="AQ411" s="162"/>
      <c r="AR411" s="162"/>
      <c r="AS411" s="162"/>
      <c r="AT411" s="161"/>
      <c r="AU411" s="161"/>
      <c r="AV411" s="161"/>
      <c r="AW411" s="161"/>
      <c r="AX411" s="161"/>
      <c r="AY411" s="161"/>
      <c r="AZ411" s="161"/>
      <c r="BA411" s="161"/>
      <c r="BB411" s="161"/>
      <c r="BC411" s="161"/>
      <c r="BD411" s="161"/>
      <c r="BE411" s="161"/>
      <c r="BF411" s="161"/>
      <c r="BG411" s="161"/>
      <c r="BH411" s="161"/>
      <c r="BI411" s="161"/>
      <c r="BJ411" s="161"/>
      <c r="BK411" s="161"/>
      <c r="BL411" s="161"/>
      <c r="BM411" s="161"/>
      <c r="BN411" s="161"/>
      <c r="BO411" s="161"/>
      <c r="BP411" s="161"/>
      <c r="BQ411" s="161"/>
      <c r="BR411" s="161"/>
      <c r="BS411" s="161"/>
      <c r="BT411" s="161"/>
      <c r="BU411" s="161"/>
      <c r="BV411" s="161"/>
      <c r="BW411" s="161"/>
      <c r="BX411" s="161"/>
      <c r="BY411" s="161"/>
    </row>
    <row r="412" spans="1:77">
      <c r="A412" s="162"/>
      <c r="B412" s="162"/>
      <c r="C412" s="162"/>
      <c r="D412" s="162"/>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c r="AC412" s="162"/>
      <c r="AD412" s="162"/>
      <c r="AE412" s="162"/>
      <c r="AF412" s="162"/>
      <c r="AG412" s="162"/>
      <c r="AH412" s="162"/>
      <c r="AI412" s="162"/>
      <c r="AJ412" s="162"/>
      <c r="AK412" s="162"/>
      <c r="AL412" s="162"/>
      <c r="AM412" s="162"/>
      <c r="AN412" s="162"/>
      <c r="AO412" s="162"/>
      <c r="AP412" s="162"/>
      <c r="AQ412" s="162"/>
      <c r="AR412" s="162"/>
      <c r="AS412" s="162"/>
      <c r="AT412" s="161"/>
      <c r="AU412" s="161"/>
      <c r="AV412" s="161"/>
      <c r="AW412" s="161"/>
      <c r="AX412" s="161"/>
      <c r="AY412" s="161"/>
      <c r="AZ412" s="161"/>
      <c r="BA412" s="161"/>
      <c r="BB412" s="161"/>
      <c r="BC412" s="161"/>
      <c r="BD412" s="161"/>
      <c r="BE412" s="161"/>
      <c r="BF412" s="161"/>
      <c r="BG412" s="161"/>
      <c r="BH412" s="161"/>
      <c r="BI412" s="161"/>
      <c r="BJ412" s="161"/>
      <c r="BK412" s="161"/>
      <c r="BL412" s="161"/>
      <c r="BM412" s="161"/>
      <c r="BN412" s="161"/>
      <c r="BO412" s="161"/>
      <c r="BP412" s="161"/>
      <c r="BQ412" s="161"/>
      <c r="BR412" s="161"/>
      <c r="BS412" s="161"/>
      <c r="BT412" s="161"/>
      <c r="BU412" s="161"/>
      <c r="BV412" s="161"/>
      <c r="BW412" s="161"/>
      <c r="BX412" s="161"/>
      <c r="BY412" s="161"/>
    </row>
    <row r="413" spans="1:77">
      <c r="A413" s="162"/>
      <c r="B413" s="162"/>
      <c r="C413" s="162"/>
      <c r="D413" s="162"/>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c r="AC413" s="162"/>
      <c r="AD413" s="162"/>
      <c r="AE413" s="162"/>
      <c r="AF413" s="162"/>
      <c r="AG413" s="162"/>
      <c r="AH413" s="162"/>
      <c r="AI413" s="162"/>
      <c r="AJ413" s="162"/>
      <c r="AK413" s="162"/>
      <c r="AL413" s="162"/>
      <c r="AM413" s="162"/>
      <c r="AN413" s="162"/>
      <c r="AO413" s="162"/>
      <c r="AP413" s="162"/>
      <c r="AQ413" s="162"/>
      <c r="AR413" s="162"/>
      <c r="AS413" s="162"/>
      <c r="AT413" s="161"/>
      <c r="AU413" s="161"/>
      <c r="AV413" s="161"/>
      <c r="AW413" s="161"/>
      <c r="AX413" s="161"/>
      <c r="AY413" s="161"/>
      <c r="AZ413" s="161"/>
      <c r="BA413" s="161"/>
      <c r="BB413" s="161"/>
      <c r="BC413" s="161"/>
      <c r="BD413" s="161"/>
      <c r="BE413" s="161"/>
      <c r="BF413" s="161"/>
      <c r="BG413" s="161"/>
      <c r="BH413" s="161"/>
      <c r="BI413" s="161"/>
      <c r="BJ413" s="161"/>
      <c r="BK413" s="161"/>
      <c r="BL413" s="161"/>
      <c r="BM413" s="161"/>
      <c r="BN413" s="161"/>
      <c r="BO413" s="161"/>
      <c r="BP413" s="161"/>
      <c r="BQ413" s="161"/>
      <c r="BR413" s="161"/>
      <c r="BS413" s="161"/>
      <c r="BT413" s="161"/>
      <c r="BU413" s="161"/>
      <c r="BV413" s="161"/>
      <c r="BW413" s="161"/>
      <c r="BX413" s="161"/>
      <c r="BY413" s="161"/>
    </row>
    <row r="414" spans="1:77">
      <c r="A414" s="162"/>
      <c r="B414" s="162"/>
      <c r="C414" s="162"/>
      <c r="D414" s="162"/>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c r="AC414" s="162"/>
      <c r="AD414" s="162"/>
      <c r="AE414" s="162"/>
      <c r="AF414" s="162"/>
      <c r="AG414" s="162"/>
      <c r="AH414" s="162"/>
      <c r="AI414" s="162"/>
      <c r="AJ414" s="162"/>
      <c r="AK414" s="162"/>
      <c r="AL414" s="162"/>
      <c r="AM414" s="162"/>
      <c r="AN414" s="162"/>
      <c r="AO414" s="162"/>
      <c r="AP414" s="162"/>
      <c r="AQ414" s="162"/>
      <c r="AR414" s="162"/>
      <c r="AS414" s="162"/>
      <c r="AT414" s="161"/>
      <c r="AU414" s="161"/>
      <c r="AV414" s="161"/>
      <c r="AW414" s="161"/>
      <c r="AX414" s="161"/>
      <c r="AY414" s="161"/>
      <c r="AZ414" s="161"/>
      <c r="BA414" s="161"/>
      <c r="BB414" s="161"/>
      <c r="BC414" s="161"/>
      <c r="BD414" s="161"/>
      <c r="BE414" s="161"/>
      <c r="BF414" s="161"/>
      <c r="BG414" s="161"/>
      <c r="BH414" s="161"/>
      <c r="BI414" s="161"/>
      <c r="BJ414" s="161"/>
      <c r="BK414" s="161"/>
      <c r="BL414" s="161"/>
      <c r="BM414" s="161"/>
      <c r="BN414" s="161"/>
      <c r="BO414" s="161"/>
      <c r="BP414" s="161"/>
      <c r="BQ414" s="161"/>
      <c r="BR414" s="161"/>
      <c r="BS414" s="161"/>
      <c r="BT414" s="161"/>
      <c r="BU414" s="161"/>
      <c r="BV414" s="161"/>
      <c r="BW414" s="161"/>
      <c r="BX414" s="161"/>
      <c r="BY414" s="161"/>
    </row>
    <row r="415" spans="1:77">
      <c r="A415" s="162"/>
      <c r="B415" s="162"/>
      <c r="C415" s="162"/>
      <c r="D415" s="162"/>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c r="AC415" s="162"/>
      <c r="AD415" s="162"/>
      <c r="AE415" s="162"/>
      <c r="AF415" s="162"/>
      <c r="AG415" s="162"/>
      <c r="AH415" s="162"/>
      <c r="AI415" s="162"/>
      <c r="AJ415" s="162"/>
      <c r="AK415" s="162"/>
      <c r="AL415" s="162"/>
      <c r="AM415" s="162"/>
      <c r="AN415" s="162"/>
      <c r="AO415" s="162"/>
      <c r="AP415" s="162"/>
      <c r="AQ415" s="162"/>
      <c r="AR415" s="162"/>
      <c r="AS415" s="162"/>
      <c r="AT415" s="161"/>
      <c r="AU415" s="161"/>
      <c r="AV415" s="161"/>
      <c r="AW415" s="161"/>
      <c r="AX415" s="161"/>
      <c r="AY415" s="161"/>
      <c r="AZ415" s="161"/>
      <c r="BA415" s="161"/>
      <c r="BB415" s="161"/>
      <c r="BC415" s="161"/>
      <c r="BD415" s="161"/>
      <c r="BE415" s="161"/>
      <c r="BF415" s="161"/>
      <c r="BG415" s="161"/>
      <c r="BH415" s="161"/>
      <c r="BI415" s="161"/>
      <c r="BJ415" s="161"/>
      <c r="BK415" s="161"/>
      <c r="BL415" s="161"/>
      <c r="BM415" s="161"/>
      <c r="BN415" s="161"/>
      <c r="BO415" s="161"/>
      <c r="BP415" s="161"/>
      <c r="BQ415" s="161"/>
      <c r="BR415" s="161"/>
      <c r="BS415" s="161"/>
      <c r="BT415" s="161"/>
      <c r="BU415" s="161"/>
      <c r="BV415" s="161"/>
      <c r="BW415" s="161"/>
      <c r="BX415" s="161"/>
      <c r="BY415" s="161"/>
    </row>
    <row r="416" spans="1:77">
      <c r="A416" s="162"/>
      <c r="B416" s="162"/>
      <c r="C416" s="162"/>
      <c r="D416" s="162"/>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c r="AC416" s="162"/>
      <c r="AD416" s="162"/>
      <c r="AE416" s="162"/>
      <c r="AF416" s="162"/>
      <c r="AG416" s="162"/>
      <c r="AH416" s="162"/>
      <c r="AI416" s="162"/>
      <c r="AJ416" s="162"/>
      <c r="AK416" s="162"/>
      <c r="AL416" s="162"/>
      <c r="AM416" s="162"/>
      <c r="AN416" s="162"/>
      <c r="AO416" s="162"/>
      <c r="AP416" s="162"/>
      <c r="AQ416" s="162"/>
      <c r="AR416" s="162"/>
      <c r="AS416" s="162"/>
      <c r="AT416" s="161"/>
      <c r="AU416" s="161"/>
      <c r="AV416" s="161"/>
      <c r="AW416" s="161"/>
      <c r="AX416" s="161"/>
      <c r="AY416" s="161"/>
      <c r="AZ416" s="161"/>
      <c r="BA416" s="161"/>
      <c r="BB416" s="161"/>
      <c r="BC416" s="161"/>
      <c r="BD416" s="161"/>
      <c r="BE416" s="161"/>
      <c r="BF416" s="161"/>
      <c r="BG416" s="161"/>
      <c r="BH416" s="161"/>
      <c r="BI416" s="161"/>
      <c r="BJ416" s="161"/>
      <c r="BK416" s="161"/>
      <c r="BL416" s="161"/>
      <c r="BM416" s="161"/>
      <c r="BN416" s="161"/>
      <c r="BO416" s="161"/>
      <c r="BP416" s="161"/>
      <c r="BQ416" s="161"/>
      <c r="BR416" s="161"/>
      <c r="BS416" s="161"/>
      <c r="BT416" s="161"/>
      <c r="BU416" s="161"/>
      <c r="BV416" s="161"/>
      <c r="BW416" s="161"/>
      <c r="BX416" s="161"/>
      <c r="BY416" s="161"/>
    </row>
    <row r="417" spans="1:77">
      <c r="A417" s="162"/>
      <c r="B417" s="162"/>
      <c r="C417" s="162"/>
      <c r="D417" s="162"/>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c r="AC417" s="162"/>
      <c r="AD417" s="162"/>
      <c r="AE417" s="162"/>
      <c r="AF417" s="162"/>
      <c r="AG417" s="162"/>
      <c r="AH417" s="162"/>
      <c r="AI417" s="162"/>
      <c r="AJ417" s="162"/>
      <c r="AK417" s="162"/>
      <c r="AL417" s="162"/>
      <c r="AM417" s="162"/>
      <c r="AN417" s="162"/>
      <c r="AO417" s="162"/>
      <c r="AP417" s="162"/>
      <c r="AQ417" s="162"/>
      <c r="AR417" s="162"/>
      <c r="AS417" s="162"/>
      <c r="AT417" s="161"/>
      <c r="AU417" s="161"/>
      <c r="AV417" s="161"/>
      <c r="AW417" s="161"/>
      <c r="AX417" s="161"/>
      <c r="AY417" s="161"/>
      <c r="AZ417" s="161"/>
      <c r="BA417" s="161"/>
      <c r="BB417" s="161"/>
      <c r="BC417" s="161"/>
      <c r="BD417" s="161"/>
      <c r="BE417" s="161"/>
      <c r="BF417" s="161"/>
      <c r="BG417" s="161"/>
      <c r="BH417" s="161"/>
      <c r="BI417" s="161"/>
      <c r="BJ417" s="161"/>
      <c r="BK417" s="161"/>
      <c r="BL417" s="161"/>
      <c r="BM417" s="161"/>
      <c r="BN417" s="161"/>
      <c r="BO417" s="161"/>
      <c r="BP417" s="161"/>
      <c r="BQ417" s="161"/>
      <c r="BR417" s="161"/>
      <c r="BS417" s="161"/>
      <c r="BT417" s="161"/>
      <c r="BU417" s="161"/>
      <c r="BV417" s="161"/>
      <c r="BW417" s="161"/>
      <c r="BX417" s="161"/>
      <c r="BY417" s="161"/>
    </row>
    <row r="418" spans="1:77">
      <c r="A418" s="162"/>
      <c r="B418" s="162"/>
      <c r="C418" s="162"/>
      <c r="D418" s="162"/>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c r="AC418" s="162"/>
      <c r="AD418" s="162"/>
      <c r="AE418" s="162"/>
      <c r="AF418" s="162"/>
      <c r="AG418" s="162"/>
      <c r="AH418" s="162"/>
      <c r="AI418" s="162"/>
      <c r="AJ418" s="162"/>
      <c r="AK418" s="162"/>
      <c r="AL418" s="162"/>
      <c r="AM418" s="162"/>
      <c r="AN418" s="162"/>
      <c r="AO418" s="162"/>
      <c r="AP418" s="162"/>
      <c r="AQ418" s="162"/>
      <c r="AR418" s="162"/>
      <c r="AS418" s="162"/>
      <c r="AT418" s="161"/>
      <c r="AU418" s="161"/>
      <c r="AV418" s="161"/>
      <c r="AW418" s="161"/>
      <c r="AX418" s="161"/>
      <c r="AY418" s="161"/>
      <c r="AZ418" s="161"/>
      <c r="BA418" s="161"/>
      <c r="BB418" s="161"/>
      <c r="BC418" s="161"/>
      <c r="BD418" s="161"/>
      <c r="BE418" s="161"/>
      <c r="BF418" s="161"/>
      <c r="BG418" s="161"/>
      <c r="BH418" s="161"/>
      <c r="BI418" s="161"/>
      <c r="BJ418" s="161"/>
      <c r="BK418" s="161"/>
      <c r="BL418" s="161"/>
      <c r="BM418" s="161"/>
      <c r="BN418" s="161"/>
      <c r="BO418" s="161"/>
      <c r="BP418" s="161"/>
      <c r="BQ418" s="161"/>
      <c r="BR418" s="161"/>
      <c r="BS418" s="161"/>
      <c r="BT418" s="161"/>
      <c r="BU418" s="161"/>
      <c r="BV418" s="161"/>
      <c r="BW418" s="161"/>
      <c r="BX418" s="161"/>
      <c r="BY418" s="161"/>
    </row>
    <row r="419" spans="1:77">
      <c r="A419" s="162"/>
      <c r="B419" s="162"/>
      <c r="C419" s="162"/>
      <c r="D419" s="162"/>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c r="AC419" s="162"/>
      <c r="AD419" s="162"/>
      <c r="AE419" s="162"/>
      <c r="AF419" s="162"/>
      <c r="AG419" s="162"/>
      <c r="AH419" s="162"/>
      <c r="AI419" s="162"/>
      <c r="AJ419" s="162"/>
      <c r="AK419" s="162"/>
      <c r="AL419" s="162"/>
      <c r="AM419" s="162"/>
      <c r="AN419" s="162"/>
      <c r="AO419" s="162"/>
      <c r="AP419" s="162"/>
      <c r="AQ419" s="162"/>
      <c r="AR419" s="162"/>
      <c r="AS419" s="162"/>
      <c r="AT419" s="161"/>
      <c r="AU419" s="161"/>
      <c r="AV419" s="161"/>
      <c r="AW419" s="161"/>
      <c r="AX419" s="161"/>
      <c r="AY419" s="161"/>
      <c r="AZ419" s="161"/>
      <c r="BA419" s="161"/>
      <c r="BB419" s="161"/>
      <c r="BC419" s="161"/>
      <c r="BD419" s="161"/>
      <c r="BE419" s="161"/>
      <c r="BF419" s="161"/>
      <c r="BG419" s="161"/>
      <c r="BH419" s="161"/>
      <c r="BI419" s="161"/>
      <c r="BJ419" s="161"/>
      <c r="BK419" s="161"/>
      <c r="BL419" s="161"/>
      <c r="BM419" s="161"/>
      <c r="BN419" s="161"/>
      <c r="BO419" s="161"/>
      <c r="BP419" s="161"/>
      <c r="BQ419" s="161"/>
      <c r="BR419" s="161"/>
      <c r="BS419" s="161"/>
      <c r="BT419" s="161"/>
      <c r="BU419" s="161"/>
      <c r="BV419" s="161"/>
      <c r="BW419" s="161"/>
      <c r="BX419" s="161"/>
      <c r="BY419" s="161"/>
    </row>
    <row r="420" spans="1:77">
      <c r="A420" s="162"/>
      <c r="B420" s="162"/>
      <c r="C420" s="162"/>
      <c r="D420" s="162"/>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c r="AC420" s="162"/>
      <c r="AD420" s="162"/>
      <c r="AE420" s="162"/>
      <c r="AF420" s="162"/>
      <c r="AG420" s="162"/>
      <c r="AH420" s="162"/>
      <c r="AI420" s="162"/>
      <c r="AJ420" s="162"/>
      <c r="AK420" s="162"/>
      <c r="AL420" s="162"/>
      <c r="AM420" s="162"/>
      <c r="AN420" s="162"/>
      <c r="AO420" s="162"/>
      <c r="AP420" s="162"/>
      <c r="AQ420" s="162"/>
      <c r="AR420" s="162"/>
      <c r="AS420" s="162"/>
      <c r="AT420" s="161"/>
      <c r="AU420" s="161"/>
      <c r="AV420" s="161"/>
      <c r="AW420" s="161"/>
      <c r="AX420" s="161"/>
      <c r="AY420" s="161"/>
      <c r="AZ420" s="161"/>
      <c r="BA420" s="161"/>
      <c r="BB420" s="161"/>
      <c r="BC420" s="161"/>
      <c r="BD420" s="161"/>
      <c r="BE420" s="161"/>
      <c r="BF420" s="161"/>
      <c r="BG420" s="161"/>
      <c r="BH420" s="161"/>
      <c r="BI420" s="161"/>
      <c r="BJ420" s="161"/>
      <c r="BK420" s="161"/>
      <c r="BL420" s="161"/>
      <c r="BM420" s="161"/>
      <c r="BN420" s="161"/>
      <c r="BO420" s="161"/>
      <c r="BP420" s="161"/>
      <c r="BQ420" s="161"/>
      <c r="BR420" s="161"/>
      <c r="BS420" s="161"/>
      <c r="BT420" s="161"/>
      <c r="BU420" s="161"/>
      <c r="BV420" s="161"/>
      <c r="BW420" s="161"/>
      <c r="BX420" s="161"/>
      <c r="BY420" s="161"/>
    </row>
    <row r="421" spans="1:77">
      <c r="A421" s="162"/>
      <c r="B421" s="162"/>
      <c r="C421" s="162"/>
      <c r="D421" s="162"/>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c r="AC421" s="162"/>
      <c r="AD421" s="162"/>
      <c r="AE421" s="162"/>
      <c r="AF421" s="162"/>
      <c r="AG421" s="162"/>
      <c r="AH421" s="162"/>
      <c r="AI421" s="162"/>
      <c r="AJ421" s="162"/>
      <c r="AK421" s="162"/>
      <c r="AL421" s="162"/>
      <c r="AM421" s="162"/>
      <c r="AN421" s="162"/>
      <c r="AO421" s="162"/>
      <c r="AP421" s="162"/>
      <c r="AQ421" s="162"/>
      <c r="AR421" s="162"/>
      <c r="AS421" s="162"/>
      <c r="AT421" s="161"/>
      <c r="AU421" s="161"/>
      <c r="AV421" s="161"/>
      <c r="AW421" s="161"/>
      <c r="AX421" s="161"/>
      <c r="AY421" s="161"/>
      <c r="AZ421" s="161"/>
      <c r="BA421" s="161"/>
      <c r="BB421" s="161"/>
      <c r="BC421" s="161"/>
      <c r="BD421" s="161"/>
      <c r="BE421" s="161"/>
      <c r="BF421" s="161"/>
      <c r="BG421" s="161"/>
      <c r="BH421" s="161"/>
      <c r="BI421" s="161"/>
      <c r="BJ421" s="161"/>
      <c r="BK421" s="161"/>
      <c r="BL421" s="161"/>
      <c r="BM421" s="161"/>
      <c r="BN421" s="161"/>
      <c r="BO421" s="161"/>
      <c r="BP421" s="161"/>
      <c r="BQ421" s="161"/>
      <c r="BR421" s="161"/>
      <c r="BS421" s="161"/>
      <c r="BT421" s="161"/>
      <c r="BU421" s="161"/>
      <c r="BV421" s="161"/>
      <c r="BW421" s="161"/>
      <c r="BX421" s="161"/>
      <c r="BY421" s="161"/>
    </row>
    <row r="422" spans="1:77">
      <c r="A422" s="162"/>
      <c r="B422" s="162"/>
      <c r="C422" s="162"/>
      <c r="D422" s="162"/>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c r="AC422" s="162"/>
      <c r="AD422" s="162"/>
      <c r="AE422" s="162"/>
      <c r="AF422" s="162"/>
      <c r="AG422" s="162"/>
      <c r="AH422" s="162"/>
      <c r="AI422" s="162"/>
      <c r="AJ422" s="162"/>
      <c r="AK422" s="162"/>
      <c r="AL422" s="162"/>
      <c r="AM422" s="162"/>
      <c r="AN422" s="162"/>
      <c r="AO422" s="162"/>
      <c r="AP422" s="162"/>
      <c r="AQ422" s="162"/>
      <c r="AR422" s="162"/>
      <c r="AS422" s="162"/>
      <c r="AT422" s="161"/>
      <c r="AU422" s="161"/>
      <c r="AV422" s="161"/>
      <c r="AW422" s="161"/>
      <c r="AX422" s="161"/>
      <c r="AY422" s="161"/>
      <c r="AZ422" s="161"/>
      <c r="BA422" s="161"/>
      <c r="BB422" s="161"/>
      <c r="BC422" s="161"/>
      <c r="BD422" s="161"/>
      <c r="BE422" s="161"/>
      <c r="BF422" s="161"/>
      <c r="BG422" s="161"/>
      <c r="BH422" s="161"/>
      <c r="BI422" s="161"/>
      <c r="BJ422" s="161"/>
      <c r="BK422" s="161"/>
      <c r="BL422" s="161"/>
      <c r="BM422" s="161"/>
      <c r="BN422" s="161"/>
      <c r="BO422" s="161"/>
      <c r="BP422" s="161"/>
      <c r="BQ422" s="161"/>
      <c r="BR422" s="161"/>
      <c r="BS422" s="161"/>
      <c r="BT422" s="161"/>
      <c r="BU422" s="161"/>
      <c r="BV422" s="161"/>
      <c r="BW422" s="161"/>
      <c r="BX422" s="161"/>
      <c r="BY422" s="161"/>
    </row>
    <row r="423" spans="1:77">
      <c r="A423" s="162"/>
      <c r="B423" s="162"/>
      <c r="C423" s="162"/>
      <c r="D423" s="162"/>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c r="AC423" s="162"/>
      <c r="AD423" s="162"/>
      <c r="AE423" s="162"/>
      <c r="AF423" s="162"/>
      <c r="AG423" s="162"/>
      <c r="AH423" s="162"/>
      <c r="AI423" s="162"/>
      <c r="AJ423" s="162"/>
      <c r="AK423" s="162"/>
      <c r="AL423" s="162"/>
      <c r="AM423" s="162"/>
      <c r="AN423" s="162"/>
      <c r="AO423" s="162"/>
      <c r="AP423" s="162"/>
      <c r="AQ423" s="162"/>
      <c r="AR423" s="162"/>
      <c r="AS423" s="162"/>
      <c r="AT423" s="161"/>
      <c r="AU423" s="161"/>
      <c r="AV423" s="161"/>
      <c r="AW423" s="161"/>
      <c r="AX423" s="161"/>
      <c r="AY423" s="161"/>
      <c r="AZ423" s="161"/>
      <c r="BA423" s="161"/>
      <c r="BB423" s="161"/>
      <c r="BC423" s="161"/>
      <c r="BD423" s="161"/>
      <c r="BE423" s="161"/>
      <c r="BF423" s="161"/>
      <c r="BG423" s="161"/>
      <c r="BH423" s="161"/>
      <c r="BI423" s="161"/>
      <c r="BJ423" s="161"/>
      <c r="BK423" s="161"/>
      <c r="BL423" s="161"/>
      <c r="BM423" s="161"/>
      <c r="BN423" s="161"/>
      <c r="BO423" s="161"/>
      <c r="BP423" s="161"/>
      <c r="BQ423" s="161"/>
      <c r="BR423" s="161"/>
      <c r="BS423" s="161"/>
      <c r="BT423" s="161"/>
      <c r="BU423" s="161"/>
      <c r="BV423" s="161"/>
      <c r="BW423" s="161"/>
      <c r="BX423" s="161"/>
      <c r="BY423" s="161"/>
    </row>
    <row r="424" spans="1:77">
      <c r="A424" s="162"/>
      <c r="B424" s="162"/>
      <c r="C424" s="162"/>
      <c r="D424" s="162"/>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c r="AC424" s="162"/>
      <c r="AD424" s="162"/>
      <c r="AE424" s="162"/>
      <c r="AF424" s="162"/>
      <c r="AG424" s="162"/>
      <c r="AH424" s="162"/>
      <c r="AI424" s="162"/>
      <c r="AJ424" s="162"/>
      <c r="AK424" s="162"/>
      <c r="AL424" s="162"/>
      <c r="AM424" s="162"/>
      <c r="AN424" s="162"/>
      <c r="AO424" s="162"/>
      <c r="AP424" s="162"/>
      <c r="AQ424" s="162"/>
      <c r="AR424" s="162"/>
      <c r="AS424" s="162"/>
      <c r="AT424" s="161"/>
      <c r="AU424" s="161"/>
      <c r="AV424" s="161"/>
      <c r="AW424" s="161"/>
      <c r="AX424" s="161"/>
      <c r="AY424" s="161"/>
      <c r="AZ424" s="161"/>
      <c r="BA424" s="161"/>
      <c r="BB424" s="161"/>
      <c r="BC424" s="161"/>
      <c r="BD424" s="161"/>
      <c r="BE424" s="161"/>
      <c r="BF424" s="161"/>
      <c r="BG424" s="161"/>
      <c r="BH424" s="161"/>
      <c r="BI424" s="161"/>
      <c r="BJ424" s="161"/>
      <c r="BK424" s="161"/>
      <c r="BL424" s="161"/>
      <c r="BM424" s="161"/>
      <c r="BN424" s="161"/>
      <c r="BO424" s="161"/>
      <c r="BP424" s="161"/>
      <c r="BQ424" s="161"/>
      <c r="BR424" s="161"/>
      <c r="BS424" s="161"/>
      <c r="BT424" s="161"/>
      <c r="BU424" s="161"/>
      <c r="BV424" s="161"/>
      <c r="BW424" s="161"/>
      <c r="BX424" s="161"/>
      <c r="BY424" s="161"/>
    </row>
    <row r="425" spans="1:77">
      <c r="A425" s="162"/>
      <c r="B425" s="162"/>
      <c r="C425" s="162"/>
      <c r="D425" s="162"/>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c r="AC425" s="162"/>
      <c r="AD425" s="162"/>
      <c r="AE425" s="162"/>
      <c r="AF425" s="162"/>
      <c r="AG425" s="162"/>
      <c r="AH425" s="162"/>
      <c r="AI425" s="162"/>
      <c r="AJ425" s="162"/>
      <c r="AK425" s="162"/>
      <c r="AL425" s="162"/>
      <c r="AM425" s="162"/>
      <c r="AN425" s="162"/>
      <c r="AO425" s="162"/>
      <c r="AP425" s="162"/>
      <c r="AQ425" s="162"/>
      <c r="AR425" s="162"/>
      <c r="AS425" s="162"/>
      <c r="AT425" s="161"/>
      <c r="AU425" s="161"/>
      <c r="AV425" s="161"/>
      <c r="AW425" s="161"/>
      <c r="AX425" s="161"/>
      <c r="AY425" s="161"/>
      <c r="AZ425" s="161"/>
      <c r="BA425" s="161"/>
      <c r="BB425" s="161"/>
      <c r="BC425" s="161"/>
      <c r="BD425" s="161"/>
      <c r="BE425" s="161"/>
      <c r="BF425" s="161"/>
      <c r="BG425" s="161"/>
      <c r="BH425" s="161"/>
      <c r="BI425" s="161"/>
      <c r="BJ425" s="161"/>
      <c r="BK425" s="161"/>
      <c r="BL425" s="161"/>
      <c r="BM425" s="161"/>
      <c r="BN425" s="161"/>
      <c r="BO425" s="161"/>
      <c r="BP425" s="161"/>
      <c r="BQ425" s="161"/>
      <c r="BR425" s="161"/>
      <c r="BS425" s="161"/>
      <c r="BT425" s="161"/>
      <c r="BU425" s="161"/>
      <c r="BV425" s="161"/>
      <c r="BW425" s="161"/>
      <c r="BX425" s="161"/>
      <c r="BY425" s="161"/>
    </row>
    <row r="426" spans="1:77">
      <c r="A426" s="162"/>
      <c r="B426" s="162"/>
      <c r="C426" s="162"/>
      <c r="D426" s="162"/>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c r="AC426" s="162"/>
      <c r="AD426" s="162"/>
      <c r="AE426" s="162"/>
      <c r="AF426" s="162"/>
      <c r="AG426" s="162"/>
      <c r="AH426" s="162"/>
      <c r="AI426" s="162"/>
      <c r="AJ426" s="162"/>
      <c r="AK426" s="162"/>
      <c r="AL426" s="162"/>
      <c r="AM426" s="162"/>
      <c r="AN426" s="162"/>
      <c r="AO426" s="162"/>
      <c r="AP426" s="162"/>
      <c r="AQ426" s="162"/>
      <c r="AR426" s="162"/>
      <c r="AS426" s="162"/>
      <c r="AT426" s="161"/>
      <c r="AU426" s="161"/>
      <c r="AV426" s="161"/>
      <c r="AW426" s="161"/>
      <c r="AX426" s="161"/>
      <c r="AY426" s="161"/>
      <c r="AZ426" s="161"/>
      <c r="BA426" s="161"/>
      <c r="BB426" s="161"/>
      <c r="BC426" s="161"/>
      <c r="BD426" s="161"/>
      <c r="BE426" s="161"/>
      <c r="BF426" s="161"/>
      <c r="BG426" s="161"/>
      <c r="BH426" s="161"/>
      <c r="BI426" s="161"/>
      <c r="BJ426" s="161"/>
      <c r="BK426" s="161"/>
      <c r="BL426" s="161"/>
      <c r="BM426" s="161"/>
      <c r="BN426" s="161"/>
      <c r="BO426" s="161"/>
      <c r="BP426" s="161"/>
      <c r="BQ426" s="161"/>
      <c r="BR426" s="161"/>
      <c r="BS426" s="161"/>
      <c r="BT426" s="161"/>
      <c r="BU426" s="161"/>
      <c r="BV426" s="161"/>
      <c r="BW426" s="161"/>
      <c r="BX426" s="161"/>
      <c r="BY426" s="161"/>
    </row>
    <row r="427" spans="1:77">
      <c r="A427" s="162"/>
      <c r="B427" s="162"/>
      <c r="C427" s="162"/>
      <c r="D427" s="162"/>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c r="AC427" s="162"/>
      <c r="AD427" s="162"/>
      <c r="AE427" s="162"/>
      <c r="AF427" s="162"/>
      <c r="AG427" s="162"/>
      <c r="AH427" s="162"/>
      <c r="AI427" s="162"/>
      <c r="AJ427" s="162"/>
      <c r="AK427" s="162"/>
      <c r="AL427" s="162"/>
      <c r="AM427" s="162"/>
      <c r="AN427" s="162"/>
      <c r="AO427" s="162"/>
      <c r="AP427" s="162"/>
      <c r="AQ427" s="162"/>
      <c r="AR427" s="162"/>
      <c r="AS427" s="162"/>
      <c r="AT427" s="161"/>
      <c r="AU427" s="161"/>
      <c r="AV427" s="161"/>
      <c r="AW427" s="161"/>
      <c r="AX427" s="161"/>
      <c r="AY427" s="161"/>
      <c r="AZ427" s="161"/>
      <c r="BA427" s="161"/>
      <c r="BB427" s="161"/>
      <c r="BC427" s="161"/>
      <c r="BD427" s="161"/>
      <c r="BE427" s="161"/>
      <c r="BF427" s="161"/>
      <c r="BG427" s="161"/>
      <c r="BH427" s="161"/>
      <c r="BI427" s="161"/>
      <c r="BJ427" s="161"/>
      <c r="BK427" s="161"/>
      <c r="BL427" s="161"/>
      <c r="BM427" s="161"/>
      <c r="BN427" s="161"/>
      <c r="BO427" s="161"/>
      <c r="BP427" s="161"/>
      <c r="BQ427" s="161"/>
      <c r="BR427" s="161"/>
      <c r="BS427" s="161"/>
      <c r="BT427" s="161"/>
      <c r="BU427" s="161"/>
      <c r="BV427" s="161"/>
      <c r="BW427" s="161"/>
      <c r="BX427" s="161"/>
      <c r="BY427" s="161"/>
    </row>
    <row r="428" spans="1:77">
      <c r="A428" s="162"/>
      <c r="B428" s="162"/>
      <c r="C428" s="162"/>
      <c r="D428" s="162"/>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c r="AC428" s="162"/>
      <c r="AD428" s="162"/>
      <c r="AE428" s="162"/>
      <c r="AF428" s="162"/>
      <c r="AG428" s="162"/>
      <c r="AH428" s="162"/>
      <c r="AI428" s="162"/>
      <c r="AJ428" s="162"/>
      <c r="AK428" s="162"/>
      <c r="AL428" s="162"/>
      <c r="AM428" s="162"/>
      <c r="AN428" s="162"/>
      <c r="AO428" s="162"/>
      <c r="AP428" s="162"/>
      <c r="AQ428" s="162"/>
      <c r="AR428" s="162"/>
      <c r="AS428" s="162"/>
      <c r="AT428" s="161"/>
      <c r="AU428" s="161"/>
      <c r="AV428" s="161"/>
      <c r="AW428" s="161"/>
      <c r="AX428" s="161"/>
      <c r="AY428" s="161"/>
      <c r="AZ428" s="161"/>
      <c r="BA428" s="161"/>
      <c r="BB428" s="161"/>
      <c r="BC428" s="161"/>
      <c r="BD428" s="161"/>
      <c r="BE428" s="161"/>
      <c r="BF428" s="161"/>
      <c r="BG428" s="161"/>
      <c r="BH428" s="161"/>
      <c r="BI428" s="161"/>
      <c r="BJ428" s="161"/>
      <c r="BK428" s="161"/>
      <c r="BL428" s="161"/>
      <c r="BM428" s="161"/>
      <c r="BN428" s="161"/>
      <c r="BO428" s="161"/>
      <c r="BP428" s="161"/>
      <c r="BQ428" s="161"/>
      <c r="BR428" s="161"/>
      <c r="BS428" s="161"/>
      <c r="BT428" s="161"/>
      <c r="BU428" s="161"/>
      <c r="BV428" s="161"/>
      <c r="BW428" s="161"/>
      <c r="BX428" s="161"/>
      <c r="BY428" s="161"/>
    </row>
    <row r="429" spans="1:77">
      <c r="A429" s="162"/>
      <c r="B429" s="162"/>
      <c r="C429" s="162"/>
      <c r="D429" s="162"/>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c r="AC429" s="162"/>
      <c r="AD429" s="162"/>
      <c r="AE429" s="162"/>
      <c r="AF429" s="162"/>
      <c r="AG429" s="162"/>
      <c r="AH429" s="162"/>
      <c r="AI429" s="162"/>
      <c r="AJ429" s="162"/>
      <c r="AK429" s="162"/>
      <c r="AL429" s="162"/>
      <c r="AM429" s="162"/>
      <c r="AN429" s="162"/>
      <c r="AO429" s="162"/>
      <c r="AP429" s="162"/>
      <c r="AQ429" s="162"/>
      <c r="AR429" s="162"/>
      <c r="AS429" s="162"/>
      <c r="AT429" s="161"/>
      <c r="AU429" s="161"/>
      <c r="AV429" s="161"/>
      <c r="AW429" s="161"/>
      <c r="AX429" s="161"/>
      <c r="AY429" s="161"/>
      <c r="AZ429" s="161"/>
      <c r="BA429" s="161"/>
      <c r="BB429" s="161"/>
      <c r="BC429" s="161"/>
      <c r="BD429" s="161"/>
      <c r="BE429" s="161"/>
      <c r="BF429" s="161"/>
      <c r="BG429" s="161"/>
      <c r="BH429" s="161"/>
      <c r="BI429" s="161"/>
      <c r="BJ429" s="161"/>
      <c r="BK429" s="161"/>
      <c r="BL429" s="161"/>
      <c r="BM429" s="161"/>
      <c r="BN429" s="161"/>
      <c r="BO429" s="161"/>
      <c r="BP429" s="161"/>
      <c r="BQ429" s="161"/>
      <c r="BR429" s="161"/>
      <c r="BS429" s="161"/>
      <c r="BT429" s="161"/>
      <c r="BU429" s="161"/>
      <c r="BV429" s="161"/>
      <c r="BW429" s="161"/>
      <c r="BX429" s="161"/>
      <c r="BY429" s="161"/>
    </row>
    <row r="430" spans="1:77">
      <c r="A430" s="162"/>
      <c r="B430" s="162"/>
      <c r="C430" s="162"/>
      <c r="D430" s="162"/>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c r="AC430" s="162"/>
      <c r="AD430" s="162"/>
      <c r="AE430" s="162"/>
      <c r="AF430" s="162"/>
      <c r="AG430" s="162"/>
      <c r="AH430" s="162"/>
      <c r="AI430" s="162"/>
      <c r="AJ430" s="162"/>
      <c r="AK430" s="162"/>
      <c r="AL430" s="162"/>
      <c r="AM430" s="162"/>
      <c r="AN430" s="162"/>
      <c r="AO430" s="162"/>
      <c r="AP430" s="162"/>
      <c r="AQ430" s="162"/>
      <c r="AR430" s="162"/>
      <c r="AS430" s="162"/>
      <c r="AT430" s="161"/>
      <c r="AU430" s="161"/>
      <c r="AV430" s="161"/>
      <c r="AW430" s="161"/>
      <c r="AX430" s="161"/>
      <c r="AY430" s="161"/>
      <c r="AZ430" s="161"/>
      <c r="BA430" s="161"/>
      <c r="BB430" s="161"/>
      <c r="BC430" s="161"/>
      <c r="BD430" s="161"/>
      <c r="BE430" s="161"/>
      <c r="BF430" s="161"/>
      <c r="BG430" s="161"/>
      <c r="BH430" s="161"/>
      <c r="BI430" s="161"/>
      <c r="BJ430" s="161"/>
      <c r="BK430" s="161"/>
      <c r="BL430" s="161"/>
      <c r="BM430" s="161"/>
      <c r="BN430" s="161"/>
      <c r="BO430" s="161"/>
      <c r="BP430" s="161"/>
      <c r="BQ430" s="161"/>
      <c r="BR430" s="161"/>
      <c r="BS430" s="161"/>
      <c r="BT430" s="161"/>
      <c r="BU430" s="161"/>
      <c r="BV430" s="161"/>
      <c r="BW430" s="161"/>
      <c r="BX430" s="161"/>
      <c r="BY430" s="161"/>
    </row>
    <row r="431" spans="1:77">
      <c r="A431" s="162"/>
      <c r="B431" s="162"/>
      <c r="C431" s="162"/>
      <c r="D431" s="162"/>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c r="AC431" s="162"/>
      <c r="AD431" s="162"/>
      <c r="AE431" s="162"/>
      <c r="AF431" s="162"/>
      <c r="AG431" s="162"/>
      <c r="AH431" s="162"/>
      <c r="AI431" s="162"/>
      <c r="AJ431" s="162"/>
      <c r="AK431" s="162"/>
      <c r="AL431" s="162"/>
      <c r="AM431" s="162"/>
      <c r="AN431" s="162"/>
      <c r="AO431" s="162"/>
      <c r="AP431" s="162"/>
      <c r="AQ431" s="162"/>
      <c r="AR431" s="162"/>
      <c r="AS431" s="162"/>
      <c r="AT431" s="161"/>
      <c r="AU431" s="161"/>
      <c r="AV431" s="161"/>
      <c r="AW431" s="161"/>
      <c r="AX431" s="161"/>
      <c r="AY431" s="161"/>
      <c r="AZ431" s="161"/>
      <c r="BA431" s="161"/>
      <c r="BB431" s="161"/>
      <c r="BC431" s="161"/>
      <c r="BD431" s="161"/>
      <c r="BE431" s="161"/>
      <c r="BF431" s="161"/>
      <c r="BG431" s="161"/>
      <c r="BH431" s="161"/>
      <c r="BI431" s="161"/>
      <c r="BJ431" s="161"/>
      <c r="BK431" s="161"/>
      <c r="BL431" s="161"/>
      <c r="BM431" s="161"/>
      <c r="BN431" s="161"/>
      <c r="BO431" s="161"/>
      <c r="BP431" s="161"/>
      <c r="BQ431" s="161"/>
      <c r="BR431" s="161"/>
      <c r="BS431" s="161"/>
      <c r="BT431" s="161"/>
      <c r="BU431" s="161"/>
      <c r="BV431" s="161"/>
      <c r="BW431" s="161"/>
      <c r="BX431" s="161"/>
      <c r="BY431" s="161"/>
    </row>
    <row r="432" spans="1:77">
      <c r="A432" s="162"/>
      <c r="B432" s="162"/>
      <c r="C432" s="162"/>
      <c r="D432" s="162"/>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c r="AC432" s="162"/>
      <c r="AD432" s="162"/>
      <c r="AE432" s="162"/>
      <c r="AF432" s="162"/>
      <c r="AG432" s="162"/>
      <c r="AH432" s="162"/>
      <c r="AI432" s="162"/>
      <c r="AJ432" s="162"/>
      <c r="AK432" s="162"/>
      <c r="AL432" s="162"/>
      <c r="AM432" s="162"/>
      <c r="AN432" s="162"/>
      <c r="AO432" s="162"/>
      <c r="AP432" s="162"/>
      <c r="AQ432" s="162"/>
      <c r="AR432" s="162"/>
      <c r="AS432" s="162"/>
      <c r="AT432" s="161"/>
      <c r="AU432" s="161"/>
      <c r="AV432" s="161"/>
      <c r="AW432" s="161"/>
      <c r="AX432" s="161"/>
      <c r="AY432" s="161"/>
      <c r="AZ432" s="161"/>
      <c r="BA432" s="161"/>
      <c r="BB432" s="161"/>
      <c r="BC432" s="161"/>
      <c r="BD432" s="161"/>
      <c r="BE432" s="161"/>
      <c r="BF432" s="161"/>
      <c r="BG432" s="161"/>
      <c r="BH432" s="161"/>
      <c r="BI432" s="161"/>
      <c r="BJ432" s="161"/>
      <c r="BK432" s="161"/>
      <c r="BL432" s="161"/>
      <c r="BM432" s="161"/>
      <c r="BN432" s="161"/>
      <c r="BO432" s="161"/>
      <c r="BP432" s="161"/>
      <c r="BQ432" s="161"/>
      <c r="BR432" s="161"/>
      <c r="BS432" s="161"/>
      <c r="BT432" s="161"/>
      <c r="BU432" s="161"/>
      <c r="BV432" s="161"/>
      <c r="BW432" s="161"/>
      <c r="BX432" s="161"/>
      <c r="BY432" s="161"/>
    </row>
    <row r="433" spans="1:77">
      <c r="A433" s="162"/>
      <c r="B433" s="162"/>
      <c r="C433" s="162"/>
      <c r="D433" s="162"/>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c r="AC433" s="162"/>
      <c r="AD433" s="162"/>
      <c r="AE433" s="162"/>
      <c r="AF433" s="162"/>
      <c r="AG433" s="162"/>
      <c r="AH433" s="162"/>
      <c r="AI433" s="162"/>
      <c r="AJ433" s="162"/>
      <c r="AK433" s="162"/>
      <c r="AL433" s="162"/>
      <c r="AM433" s="162"/>
      <c r="AN433" s="162"/>
      <c r="AO433" s="162"/>
      <c r="AP433" s="162"/>
      <c r="AQ433" s="162"/>
      <c r="AR433" s="162"/>
      <c r="AS433" s="162"/>
      <c r="AT433" s="161"/>
      <c r="AU433" s="161"/>
      <c r="AV433" s="161"/>
      <c r="AW433" s="161"/>
      <c r="AX433" s="161"/>
      <c r="AY433" s="161"/>
      <c r="AZ433" s="161"/>
      <c r="BA433" s="161"/>
      <c r="BB433" s="161"/>
      <c r="BC433" s="161"/>
      <c r="BD433" s="161"/>
      <c r="BE433" s="161"/>
      <c r="BF433" s="161"/>
      <c r="BG433" s="161"/>
      <c r="BH433" s="161"/>
      <c r="BI433" s="161"/>
      <c r="BJ433" s="161"/>
      <c r="BK433" s="161"/>
      <c r="BL433" s="161"/>
      <c r="BM433" s="161"/>
      <c r="BN433" s="161"/>
      <c r="BO433" s="161"/>
      <c r="BP433" s="161"/>
      <c r="BQ433" s="161"/>
      <c r="BR433" s="161"/>
      <c r="BS433" s="161"/>
      <c r="BT433" s="161"/>
      <c r="BU433" s="161"/>
      <c r="BV433" s="161"/>
      <c r="BW433" s="161"/>
      <c r="BX433" s="161"/>
      <c r="BY433" s="161"/>
    </row>
    <row r="434" spans="1:77">
      <c r="A434" s="162"/>
      <c r="B434" s="162"/>
      <c r="C434" s="162"/>
      <c r="D434" s="162"/>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c r="AC434" s="162"/>
      <c r="AD434" s="162"/>
      <c r="AE434" s="162"/>
      <c r="AF434" s="162"/>
      <c r="AG434" s="162"/>
      <c r="AH434" s="162"/>
      <c r="AI434" s="162"/>
      <c r="AJ434" s="162"/>
      <c r="AK434" s="162"/>
      <c r="AL434" s="162"/>
      <c r="AM434" s="162"/>
      <c r="AN434" s="162"/>
      <c r="AO434" s="162"/>
      <c r="AP434" s="162"/>
      <c r="AQ434" s="162"/>
      <c r="AR434" s="162"/>
      <c r="AS434" s="162"/>
      <c r="AT434" s="161"/>
      <c r="AU434" s="161"/>
      <c r="AV434" s="161"/>
      <c r="AW434" s="161"/>
      <c r="AX434" s="161"/>
      <c r="AY434" s="161"/>
      <c r="AZ434" s="161"/>
      <c r="BA434" s="161"/>
      <c r="BB434" s="161"/>
      <c r="BC434" s="161"/>
      <c r="BD434" s="161"/>
      <c r="BE434" s="161"/>
      <c r="BF434" s="161"/>
      <c r="BG434" s="161"/>
      <c r="BH434" s="161"/>
      <c r="BI434" s="161"/>
      <c r="BJ434" s="161"/>
      <c r="BK434" s="161"/>
      <c r="BL434" s="161"/>
      <c r="BM434" s="161"/>
      <c r="BN434" s="161"/>
      <c r="BO434" s="161"/>
      <c r="BP434" s="161"/>
      <c r="BQ434" s="161"/>
      <c r="BR434" s="161"/>
      <c r="BS434" s="161"/>
      <c r="BT434" s="161"/>
      <c r="BU434" s="161"/>
      <c r="BV434" s="161"/>
      <c r="BW434" s="161"/>
      <c r="BX434" s="161"/>
      <c r="BY434" s="161"/>
    </row>
    <row r="435" spans="1:77">
      <c r="A435" s="162"/>
      <c r="B435" s="162"/>
      <c r="C435" s="162"/>
      <c r="D435" s="162"/>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c r="AC435" s="162"/>
      <c r="AD435" s="162"/>
      <c r="AE435" s="162"/>
      <c r="AF435" s="162"/>
      <c r="AG435" s="162"/>
      <c r="AH435" s="162"/>
      <c r="AI435" s="162"/>
      <c r="AJ435" s="162"/>
      <c r="AK435" s="162"/>
      <c r="AL435" s="162"/>
      <c r="AM435" s="162"/>
      <c r="AN435" s="162"/>
      <c r="AO435" s="162"/>
      <c r="AP435" s="162"/>
      <c r="AQ435" s="162"/>
      <c r="AR435" s="162"/>
      <c r="AS435" s="162"/>
      <c r="AT435" s="161"/>
      <c r="AU435" s="161"/>
      <c r="AV435" s="161"/>
      <c r="AW435" s="161"/>
      <c r="AX435" s="161"/>
      <c r="AY435" s="161"/>
      <c r="AZ435" s="161"/>
      <c r="BA435" s="161"/>
      <c r="BB435" s="161"/>
      <c r="BC435" s="161"/>
      <c r="BD435" s="161"/>
      <c r="BE435" s="161"/>
      <c r="BF435" s="161"/>
      <c r="BG435" s="161"/>
      <c r="BH435" s="161"/>
      <c r="BI435" s="161"/>
      <c r="BJ435" s="161"/>
      <c r="BK435" s="161"/>
      <c r="BL435" s="161"/>
      <c r="BM435" s="161"/>
      <c r="BN435" s="161"/>
      <c r="BO435" s="161"/>
      <c r="BP435" s="161"/>
      <c r="BQ435" s="161"/>
      <c r="BR435" s="161"/>
      <c r="BS435" s="161"/>
      <c r="BT435" s="161"/>
      <c r="BU435" s="161"/>
      <c r="BV435" s="161"/>
      <c r="BW435" s="161"/>
      <c r="BX435" s="161"/>
      <c r="BY435" s="161"/>
    </row>
    <row r="436" spans="1:77">
      <c r="A436" s="162"/>
      <c r="B436" s="162"/>
      <c r="C436" s="162"/>
      <c r="D436" s="162"/>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c r="AC436" s="162"/>
      <c r="AD436" s="162"/>
      <c r="AE436" s="162"/>
      <c r="AF436" s="162"/>
      <c r="AG436" s="162"/>
      <c r="AH436" s="162"/>
      <c r="AI436" s="162"/>
      <c r="AJ436" s="162"/>
      <c r="AK436" s="162"/>
      <c r="AL436" s="162"/>
      <c r="AM436" s="162"/>
      <c r="AN436" s="162"/>
      <c r="AO436" s="162"/>
      <c r="AP436" s="162"/>
      <c r="AQ436" s="162"/>
      <c r="AR436" s="162"/>
      <c r="AS436" s="162"/>
      <c r="AT436" s="161"/>
      <c r="AU436" s="161"/>
      <c r="AV436" s="161"/>
      <c r="AW436" s="161"/>
      <c r="AX436" s="161"/>
      <c r="AY436" s="161"/>
      <c r="AZ436" s="161"/>
      <c r="BA436" s="161"/>
      <c r="BB436" s="161"/>
      <c r="BC436" s="161"/>
      <c r="BD436" s="161"/>
      <c r="BE436" s="161"/>
      <c r="BF436" s="161"/>
      <c r="BG436" s="161"/>
      <c r="BH436" s="161"/>
      <c r="BI436" s="161"/>
      <c r="BJ436" s="161"/>
      <c r="BK436" s="161"/>
      <c r="BL436" s="161"/>
      <c r="BM436" s="161"/>
      <c r="BN436" s="161"/>
      <c r="BO436" s="161"/>
      <c r="BP436" s="161"/>
      <c r="BQ436" s="161"/>
      <c r="BR436" s="161"/>
      <c r="BS436" s="161"/>
      <c r="BT436" s="161"/>
      <c r="BU436" s="161"/>
      <c r="BV436" s="161"/>
      <c r="BW436" s="161"/>
      <c r="BX436" s="161"/>
      <c r="BY436" s="161"/>
    </row>
    <row r="437" spans="1:77">
      <c r="A437" s="162"/>
      <c r="B437" s="162"/>
      <c r="C437" s="162"/>
      <c r="D437" s="162"/>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c r="AC437" s="162"/>
      <c r="AD437" s="162"/>
      <c r="AE437" s="162"/>
      <c r="AF437" s="162"/>
      <c r="AG437" s="162"/>
      <c r="AH437" s="162"/>
      <c r="AI437" s="162"/>
      <c r="AJ437" s="162"/>
      <c r="AK437" s="162"/>
      <c r="AL437" s="162"/>
      <c r="AM437" s="162"/>
      <c r="AN437" s="162"/>
      <c r="AO437" s="162"/>
      <c r="AP437" s="162"/>
      <c r="AQ437" s="162"/>
      <c r="AR437" s="162"/>
      <c r="AS437" s="162"/>
      <c r="AT437" s="161"/>
      <c r="AU437" s="161"/>
      <c r="AV437" s="161"/>
      <c r="AW437" s="161"/>
      <c r="AX437" s="161"/>
      <c r="AY437" s="161"/>
      <c r="AZ437" s="161"/>
      <c r="BA437" s="161"/>
      <c r="BB437" s="161"/>
      <c r="BC437" s="161"/>
      <c r="BD437" s="161"/>
      <c r="BE437" s="161"/>
      <c r="BF437" s="161"/>
      <c r="BG437" s="161"/>
      <c r="BH437" s="161"/>
      <c r="BI437" s="161"/>
      <c r="BJ437" s="161"/>
      <c r="BK437" s="161"/>
      <c r="BL437" s="161"/>
      <c r="BM437" s="161"/>
      <c r="BN437" s="161"/>
      <c r="BO437" s="161"/>
      <c r="BP437" s="161"/>
      <c r="BQ437" s="161"/>
      <c r="BR437" s="161"/>
      <c r="BS437" s="161"/>
      <c r="BT437" s="161"/>
      <c r="BU437" s="161"/>
      <c r="BV437" s="161"/>
      <c r="BW437" s="161"/>
      <c r="BX437" s="161"/>
      <c r="BY437" s="161"/>
    </row>
    <row r="438" spans="1:77">
      <c r="A438" s="162"/>
      <c r="B438" s="162"/>
      <c r="C438" s="162"/>
      <c r="D438" s="162"/>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c r="AC438" s="162"/>
      <c r="AD438" s="162"/>
      <c r="AE438" s="162"/>
      <c r="AF438" s="162"/>
      <c r="AG438" s="162"/>
      <c r="AH438" s="162"/>
      <c r="AI438" s="162"/>
      <c r="AJ438" s="162"/>
      <c r="AK438" s="162"/>
      <c r="AL438" s="162"/>
      <c r="AM438" s="162"/>
      <c r="AN438" s="162"/>
      <c r="AO438" s="162"/>
      <c r="AP438" s="162"/>
      <c r="AQ438" s="162"/>
      <c r="AR438" s="162"/>
      <c r="AS438" s="162"/>
      <c r="AT438" s="161"/>
      <c r="AU438" s="161"/>
      <c r="AV438" s="161"/>
      <c r="AW438" s="161"/>
      <c r="AX438" s="161"/>
      <c r="AY438" s="161"/>
      <c r="AZ438" s="161"/>
      <c r="BA438" s="161"/>
      <c r="BB438" s="161"/>
      <c r="BC438" s="161"/>
      <c r="BD438" s="161"/>
      <c r="BE438" s="161"/>
      <c r="BF438" s="161"/>
      <c r="BG438" s="161"/>
      <c r="BH438" s="161"/>
      <c r="BI438" s="161"/>
      <c r="BJ438" s="161"/>
      <c r="BK438" s="161"/>
      <c r="BL438" s="161"/>
      <c r="BM438" s="161"/>
      <c r="BN438" s="161"/>
      <c r="BO438" s="161"/>
      <c r="BP438" s="161"/>
      <c r="BQ438" s="161"/>
      <c r="BR438" s="161"/>
      <c r="BS438" s="161"/>
      <c r="BT438" s="161"/>
      <c r="BU438" s="161"/>
      <c r="BV438" s="161"/>
      <c r="BW438" s="161"/>
      <c r="BX438" s="161"/>
      <c r="BY438" s="161"/>
    </row>
    <row r="439" spans="1:77">
      <c r="A439" s="162"/>
      <c r="B439" s="162"/>
      <c r="C439" s="162"/>
      <c r="D439" s="162"/>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c r="AC439" s="162"/>
      <c r="AD439" s="162"/>
      <c r="AE439" s="162"/>
      <c r="AF439" s="162"/>
      <c r="AG439" s="162"/>
      <c r="AH439" s="162"/>
      <c r="AI439" s="162"/>
      <c r="AJ439" s="162"/>
      <c r="AK439" s="162"/>
      <c r="AL439" s="162"/>
      <c r="AM439" s="162"/>
      <c r="AN439" s="162"/>
      <c r="AO439" s="162"/>
      <c r="AP439" s="162"/>
      <c r="AQ439" s="162"/>
      <c r="AR439" s="162"/>
      <c r="AS439" s="162"/>
      <c r="AT439" s="161"/>
      <c r="AU439" s="161"/>
      <c r="AV439" s="161"/>
      <c r="AW439" s="161"/>
      <c r="AX439" s="161"/>
      <c r="AY439" s="161"/>
      <c r="AZ439" s="161"/>
      <c r="BA439" s="161"/>
      <c r="BB439" s="161"/>
      <c r="BC439" s="161"/>
      <c r="BD439" s="161"/>
      <c r="BE439" s="161"/>
      <c r="BF439" s="161"/>
      <c r="BG439" s="161"/>
      <c r="BH439" s="161"/>
      <c r="BI439" s="161"/>
      <c r="BJ439" s="161"/>
      <c r="BK439" s="161"/>
      <c r="BL439" s="161"/>
      <c r="BM439" s="161"/>
      <c r="BN439" s="161"/>
      <c r="BO439" s="161"/>
      <c r="BP439" s="161"/>
      <c r="BQ439" s="161"/>
      <c r="BR439" s="161"/>
      <c r="BS439" s="161"/>
      <c r="BT439" s="161"/>
      <c r="BU439" s="161"/>
      <c r="BV439" s="161"/>
      <c r="BW439" s="161"/>
      <c r="BX439" s="161"/>
      <c r="BY439" s="161"/>
    </row>
    <row r="440" spans="1:77">
      <c r="A440" s="162"/>
      <c r="B440" s="162"/>
      <c r="C440" s="162"/>
      <c r="D440" s="162"/>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c r="AC440" s="162"/>
      <c r="AD440" s="162"/>
      <c r="AE440" s="162"/>
      <c r="AF440" s="162"/>
      <c r="AG440" s="162"/>
      <c r="AH440" s="162"/>
      <c r="AI440" s="162"/>
      <c r="AJ440" s="162"/>
      <c r="AK440" s="162"/>
      <c r="AL440" s="162"/>
      <c r="AM440" s="162"/>
      <c r="AN440" s="162"/>
      <c r="AO440" s="162"/>
      <c r="AP440" s="162"/>
      <c r="AQ440" s="162"/>
      <c r="AR440" s="162"/>
      <c r="AS440" s="162"/>
      <c r="AT440" s="161"/>
      <c r="AU440" s="161"/>
      <c r="AV440" s="161"/>
      <c r="AW440" s="161"/>
      <c r="AX440" s="161"/>
      <c r="AY440" s="161"/>
      <c r="AZ440" s="161"/>
      <c r="BA440" s="161"/>
      <c r="BB440" s="161"/>
      <c r="BC440" s="161"/>
      <c r="BD440" s="161"/>
      <c r="BE440" s="161"/>
      <c r="BF440" s="161"/>
      <c r="BG440" s="161"/>
      <c r="BH440" s="161"/>
      <c r="BI440" s="161"/>
      <c r="BJ440" s="161"/>
      <c r="BK440" s="161"/>
      <c r="BL440" s="161"/>
      <c r="BM440" s="161"/>
      <c r="BN440" s="161"/>
      <c r="BO440" s="161"/>
      <c r="BP440" s="161"/>
      <c r="BQ440" s="161"/>
      <c r="BR440" s="161"/>
      <c r="BS440" s="161"/>
      <c r="BT440" s="161"/>
      <c r="BU440" s="161"/>
      <c r="BV440" s="161"/>
      <c r="BW440" s="161"/>
      <c r="BX440" s="161"/>
      <c r="BY440" s="161"/>
    </row>
    <row r="441" spans="1:77">
      <c r="A441" s="162"/>
      <c r="B441" s="162"/>
      <c r="C441" s="162"/>
      <c r="D441" s="162"/>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c r="AC441" s="162"/>
      <c r="AD441" s="162"/>
      <c r="AE441" s="162"/>
      <c r="AF441" s="162"/>
      <c r="AG441" s="162"/>
      <c r="AH441" s="162"/>
      <c r="AI441" s="162"/>
      <c r="AJ441" s="162"/>
      <c r="AK441" s="162"/>
      <c r="AL441" s="162"/>
      <c r="AM441" s="162"/>
      <c r="AN441" s="162"/>
      <c r="AO441" s="162"/>
      <c r="AP441" s="162"/>
      <c r="AQ441" s="162"/>
      <c r="AR441" s="162"/>
      <c r="AS441" s="162"/>
      <c r="AT441" s="161"/>
      <c r="AU441" s="161"/>
      <c r="AV441" s="161"/>
      <c r="AW441" s="161"/>
      <c r="AX441" s="161"/>
      <c r="AY441" s="161"/>
      <c r="AZ441" s="161"/>
      <c r="BA441" s="161"/>
      <c r="BB441" s="161"/>
      <c r="BC441" s="161"/>
      <c r="BD441" s="161"/>
      <c r="BE441" s="161"/>
      <c r="BF441" s="161"/>
      <c r="BG441" s="161"/>
      <c r="BH441" s="161"/>
      <c r="BI441" s="161"/>
      <c r="BJ441" s="161"/>
      <c r="BK441" s="161"/>
      <c r="BL441" s="161"/>
      <c r="BM441" s="161"/>
      <c r="BN441" s="161"/>
      <c r="BO441" s="161"/>
      <c r="BP441" s="161"/>
      <c r="BQ441" s="161"/>
      <c r="BR441" s="161"/>
      <c r="BS441" s="161"/>
      <c r="BT441" s="161"/>
      <c r="BU441" s="161"/>
      <c r="BV441" s="161"/>
      <c r="BW441" s="161"/>
      <c r="BX441" s="161"/>
      <c r="BY441" s="161"/>
    </row>
    <row r="442" spans="1:77">
      <c r="A442" s="162"/>
      <c r="B442" s="162"/>
      <c r="C442" s="162"/>
      <c r="D442" s="162"/>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c r="AC442" s="162"/>
      <c r="AD442" s="162"/>
      <c r="AE442" s="162"/>
      <c r="AF442" s="162"/>
      <c r="AG442" s="162"/>
      <c r="AH442" s="162"/>
      <c r="AI442" s="162"/>
      <c r="AJ442" s="162"/>
      <c r="AK442" s="162"/>
      <c r="AL442" s="162"/>
      <c r="AM442" s="162"/>
      <c r="AN442" s="162"/>
      <c r="AO442" s="162"/>
      <c r="AP442" s="162"/>
      <c r="AQ442" s="162"/>
      <c r="AR442" s="162"/>
      <c r="AS442" s="162"/>
      <c r="AT442" s="161"/>
      <c r="AU442" s="161"/>
      <c r="AV442" s="161"/>
      <c r="AW442" s="161"/>
      <c r="AX442" s="161"/>
      <c r="AY442" s="161"/>
      <c r="AZ442" s="161"/>
      <c r="BA442" s="161"/>
      <c r="BB442" s="161"/>
      <c r="BC442" s="161"/>
      <c r="BD442" s="161"/>
      <c r="BE442" s="161"/>
      <c r="BF442" s="161"/>
      <c r="BG442" s="161"/>
      <c r="BH442" s="161"/>
      <c r="BI442" s="161"/>
      <c r="BJ442" s="161"/>
      <c r="BK442" s="161"/>
      <c r="BL442" s="161"/>
      <c r="BM442" s="161"/>
      <c r="BN442" s="161"/>
      <c r="BO442" s="161"/>
      <c r="BP442" s="161"/>
      <c r="BQ442" s="161"/>
      <c r="BR442" s="161"/>
      <c r="BS442" s="161"/>
      <c r="BT442" s="161"/>
      <c r="BU442" s="161"/>
      <c r="BV442" s="161"/>
      <c r="BW442" s="161"/>
      <c r="BX442" s="161"/>
      <c r="BY442" s="161"/>
    </row>
    <row r="443" spans="1:77">
      <c r="A443" s="162"/>
      <c r="B443" s="162"/>
      <c r="C443" s="162"/>
      <c r="D443" s="162"/>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c r="AC443" s="162"/>
      <c r="AD443" s="162"/>
      <c r="AE443" s="162"/>
      <c r="AF443" s="162"/>
      <c r="AG443" s="162"/>
      <c r="AH443" s="162"/>
      <c r="AI443" s="162"/>
      <c r="AJ443" s="162"/>
      <c r="AK443" s="162"/>
      <c r="AL443" s="162"/>
      <c r="AM443" s="162"/>
      <c r="AN443" s="162"/>
      <c r="AO443" s="162"/>
      <c r="AP443" s="162"/>
      <c r="AQ443" s="162"/>
      <c r="AR443" s="162"/>
      <c r="AS443" s="162"/>
      <c r="AT443" s="161"/>
      <c r="AU443" s="161"/>
      <c r="AV443" s="161"/>
      <c r="AW443" s="161"/>
      <c r="AX443" s="161"/>
      <c r="AY443" s="161"/>
      <c r="AZ443" s="161"/>
      <c r="BA443" s="161"/>
      <c r="BB443" s="161"/>
      <c r="BC443" s="161"/>
      <c r="BD443" s="161"/>
      <c r="BE443" s="161"/>
      <c r="BF443" s="161"/>
      <c r="BG443" s="161"/>
      <c r="BH443" s="161"/>
      <c r="BI443" s="161"/>
      <c r="BJ443" s="161"/>
      <c r="BK443" s="161"/>
      <c r="BL443" s="161"/>
      <c r="BM443" s="161"/>
      <c r="BN443" s="161"/>
      <c r="BO443" s="161"/>
      <c r="BP443" s="161"/>
      <c r="BQ443" s="161"/>
      <c r="BR443" s="161"/>
      <c r="BS443" s="161"/>
      <c r="BT443" s="161"/>
      <c r="BU443" s="161"/>
      <c r="BV443" s="161"/>
      <c r="BW443" s="161"/>
      <c r="BX443" s="161"/>
      <c r="BY443" s="161"/>
    </row>
    <row r="444" spans="1:77">
      <c r="A444" s="162"/>
      <c r="B444" s="162"/>
      <c r="C444" s="162"/>
      <c r="D444" s="162"/>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c r="AC444" s="162"/>
      <c r="AD444" s="162"/>
      <c r="AE444" s="162"/>
      <c r="AF444" s="162"/>
      <c r="AG444" s="162"/>
      <c r="AH444" s="162"/>
      <c r="AI444" s="162"/>
      <c r="AJ444" s="162"/>
      <c r="AK444" s="162"/>
      <c r="AL444" s="162"/>
      <c r="AM444" s="162"/>
      <c r="AN444" s="162"/>
      <c r="AO444" s="162"/>
      <c r="AP444" s="162"/>
      <c r="AQ444" s="162"/>
      <c r="AR444" s="162"/>
      <c r="AS444" s="162"/>
      <c r="AT444" s="161"/>
      <c r="AU444" s="161"/>
      <c r="AV444" s="161"/>
      <c r="AW444" s="161"/>
      <c r="AX444" s="161"/>
      <c r="AY444" s="161"/>
      <c r="AZ444" s="161"/>
      <c r="BA444" s="161"/>
      <c r="BB444" s="161"/>
      <c r="BC444" s="161"/>
      <c r="BD444" s="161"/>
      <c r="BE444" s="161"/>
      <c r="BF444" s="161"/>
      <c r="BG444" s="161"/>
      <c r="BH444" s="161"/>
      <c r="BI444" s="161"/>
      <c r="BJ444" s="161"/>
      <c r="BK444" s="161"/>
      <c r="BL444" s="161"/>
      <c r="BM444" s="161"/>
      <c r="BN444" s="161"/>
      <c r="BO444" s="161"/>
      <c r="BP444" s="161"/>
      <c r="BQ444" s="161"/>
      <c r="BR444" s="161"/>
      <c r="BS444" s="161"/>
      <c r="BT444" s="161"/>
      <c r="BU444" s="161"/>
      <c r="BV444" s="161"/>
      <c r="BW444" s="161"/>
      <c r="BX444" s="161"/>
      <c r="BY444" s="161"/>
    </row>
    <row r="445" spans="1:77">
      <c r="A445" s="162"/>
      <c r="B445" s="162"/>
      <c r="C445" s="162"/>
      <c r="D445" s="162"/>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c r="AC445" s="162"/>
      <c r="AD445" s="162"/>
      <c r="AE445" s="162"/>
      <c r="AF445" s="162"/>
      <c r="AG445" s="162"/>
      <c r="AH445" s="162"/>
      <c r="AI445" s="162"/>
      <c r="AJ445" s="162"/>
      <c r="AK445" s="162"/>
      <c r="AL445" s="162"/>
      <c r="AM445" s="162"/>
      <c r="AN445" s="162"/>
      <c r="AO445" s="162"/>
      <c r="AP445" s="162"/>
      <c r="AQ445" s="162"/>
      <c r="AR445" s="162"/>
      <c r="AS445" s="162"/>
      <c r="AT445" s="161"/>
      <c r="AU445" s="161"/>
      <c r="AV445" s="161"/>
      <c r="AW445" s="161"/>
      <c r="AX445" s="161"/>
      <c r="AY445" s="161"/>
      <c r="AZ445" s="161"/>
      <c r="BA445" s="161"/>
      <c r="BB445" s="161"/>
      <c r="BC445" s="161"/>
      <c r="BD445" s="161"/>
      <c r="BE445" s="161"/>
      <c r="BF445" s="161"/>
      <c r="BG445" s="161"/>
      <c r="BH445" s="161"/>
      <c r="BI445" s="161"/>
      <c r="BJ445" s="161"/>
      <c r="BK445" s="161"/>
      <c r="BL445" s="161"/>
      <c r="BM445" s="161"/>
      <c r="BN445" s="161"/>
      <c r="BO445" s="161"/>
      <c r="BP445" s="161"/>
      <c r="BQ445" s="161"/>
      <c r="BR445" s="161"/>
      <c r="BS445" s="161"/>
      <c r="BT445" s="161"/>
      <c r="BU445" s="161"/>
      <c r="BV445" s="161"/>
      <c r="BW445" s="161"/>
      <c r="BX445" s="161"/>
      <c r="BY445" s="161"/>
    </row>
    <row r="446" spans="1:77">
      <c r="A446" s="162"/>
      <c r="B446" s="162"/>
      <c r="C446" s="162"/>
      <c r="D446" s="162"/>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c r="AC446" s="162"/>
      <c r="AD446" s="162"/>
      <c r="AE446" s="162"/>
      <c r="AF446" s="162"/>
      <c r="AG446" s="162"/>
      <c r="AH446" s="162"/>
      <c r="AI446" s="162"/>
      <c r="AJ446" s="162"/>
      <c r="AK446" s="162"/>
      <c r="AL446" s="162"/>
      <c r="AM446" s="162"/>
      <c r="AN446" s="162"/>
      <c r="AO446" s="162"/>
      <c r="AP446" s="162"/>
      <c r="AQ446" s="162"/>
      <c r="AR446" s="162"/>
      <c r="AS446" s="162"/>
      <c r="AT446" s="161"/>
      <c r="AU446" s="161"/>
      <c r="AV446" s="161"/>
      <c r="AW446" s="161"/>
      <c r="AX446" s="161"/>
      <c r="AY446" s="161"/>
      <c r="AZ446" s="161"/>
      <c r="BA446" s="161"/>
      <c r="BB446" s="161"/>
      <c r="BC446" s="161"/>
      <c r="BD446" s="161"/>
      <c r="BE446" s="161"/>
      <c r="BF446" s="161"/>
      <c r="BG446" s="161"/>
      <c r="BH446" s="161"/>
      <c r="BI446" s="161"/>
      <c r="BJ446" s="161"/>
      <c r="BK446" s="161"/>
      <c r="BL446" s="161"/>
      <c r="BM446" s="161"/>
      <c r="BN446" s="161"/>
      <c r="BO446" s="161"/>
      <c r="BP446" s="161"/>
      <c r="BQ446" s="161"/>
      <c r="BR446" s="161"/>
      <c r="BS446" s="161"/>
      <c r="BT446" s="161"/>
      <c r="BU446" s="161"/>
      <c r="BV446" s="161"/>
      <c r="BW446" s="161"/>
      <c r="BX446" s="161"/>
      <c r="BY446" s="161"/>
    </row>
    <row r="447" spans="1:77">
      <c r="A447" s="162"/>
      <c r="B447" s="162"/>
      <c r="C447" s="162"/>
      <c r="D447" s="162"/>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c r="AC447" s="162"/>
      <c r="AD447" s="162"/>
      <c r="AE447" s="162"/>
      <c r="AF447" s="162"/>
      <c r="AG447" s="162"/>
      <c r="AH447" s="162"/>
      <c r="AI447" s="162"/>
      <c r="AJ447" s="162"/>
      <c r="AK447" s="162"/>
      <c r="AL447" s="162"/>
      <c r="AM447" s="162"/>
      <c r="AN447" s="162"/>
      <c r="AO447" s="162"/>
      <c r="AP447" s="162"/>
      <c r="AQ447" s="162"/>
      <c r="AR447" s="162"/>
      <c r="AS447" s="162"/>
      <c r="AT447" s="161"/>
      <c r="AU447" s="161"/>
      <c r="AV447" s="161"/>
      <c r="AW447" s="161"/>
      <c r="AX447" s="161"/>
      <c r="AY447" s="161"/>
      <c r="AZ447" s="161"/>
      <c r="BA447" s="161"/>
      <c r="BB447" s="161"/>
      <c r="BC447" s="161"/>
      <c r="BD447" s="161"/>
      <c r="BE447" s="161"/>
      <c r="BF447" s="161"/>
      <c r="BG447" s="161"/>
      <c r="BH447" s="161"/>
      <c r="BI447" s="161"/>
      <c r="BJ447" s="161"/>
      <c r="BK447" s="161"/>
      <c r="BL447" s="161"/>
      <c r="BM447" s="161"/>
      <c r="BN447" s="161"/>
      <c r="BO447" s="161"/>
      <c r="BP447" s="161"/>
      <c r="BQ447" s="161"/>
      <c r="BR447" s="161"/>
      <c r="BS447" s="161"/>
      <c r="BT447" s="161"/>
      <c r="BU447" s="161"/>
      <c r="BV447" s="161"/>
      <c r="BW447" s="161"/>
      <c r="BX447" s="161"/>
      <c r="BY447" s="161"/>
    </row>
    <row r="448" spans="1:77">
      <c r="A448" s="162"/>
      <c r="B448" s="162"/>
      <c r="C448" s="162"/>
      <c r="D448" s="162"/>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c r="AC448" s="162"/>
      <c r="AD448" s="162"/>
      <c r="AE448" s="162"/>
      <c r="AF448" s="162"/>
      <c r="AG448" s="162"/>
      <c r="AH448" s="162"/>
      <c r="AI448" s="162"/>
      <c r="AJ448" s="162"/>
      <c r="AK448" s="162"/>
      <c r="AL448" s="162"/>
      <c r="AM448" s="162"/>
      <c r="AN448" s="162"/>
      <c r="AO448" s="162"/>
      <c r="AP448" s="162"/>
      <c r="AQ448" s="162"/>
      <c r="AR448" s="162"/>
      <c r="AS448" s="162"/>
      <c r="AT448" s="161"/>
      <c r="AU448" s="161"/>
      <c r="AV448" s="161"/>
      <c r="AW448" s="161"/>
      <c r="AX448" s="161"/>
      <c r="AY448" s="161"/>
      <c r="AZ448" s="161"/>
      <c r="BA448" s="161"/>
      <c r="BB448" s="161"/>
      <c r="BC448" s="161"/>
      <c r="BD448" s="161"/>
      <c r="BE448" s="161"/>
      <c r="BF448" s="161"/>
      <c r="BG448" s="161"/>
      <c r="BH448" s="161"/>
      <c r="BI448" s="161"/>
      <c r="BJ448" s="161"/>
      <c r="BK448" s="161"/>
      <c r="BL448" s="161"/>
      <c r="BM448" s="161"/>
      <c r="BN448" s="161"/>
      <c r="BO448" s="161"/>
      <c r="BP448" s="161"/>
      <c r="BQ448" s="161"/>
      <c r="BR448" s="161"/>
      <c r="BS448" s="161"/>
      <c r="BT448" s="161"/>
      <c r="BU448" s="161"/>
      <c r="BV448" s="161"/>
      <c r="BW448" s="161"/>
      <c r="BX448" s="161"/>
      <c r="BY448" s="161"/>
    </row>
    <row r="449" spans="1:77">
      <c r="A449" s="162"/>
      <c r="B449" s="162"/>
      <c r="C449" s="162"/>
      <c r="D449" s="162"/>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c r="AC449" s="162"/>
      <c r="AD449" s="162"/>
      <c r="AE449" s="162"/>
      <c r="AF449" s="162"/>
      <c r="AG449" s="162"/>
      <c r="AH449" s="162"/>
      <c r="AI449" s="162"/>
      <c r="AJ449" s="162"/>
      <c r="AK449" s="162"/>
      <c r="AL449" s="162"/>
      <c r="AM449" s="162"/>
      <c r="AN449" s="162"/>
      <c r="AO449" s="162"/>
      <c r="AP449" s="162"/>
      <c r="AQ449" s="162"/>
      <c r="AR449" s="162"/>
      <c r="AS449" s="162"/>
      <c r="AT449" s="161"/>
      <c r="AU449" s="161"/>
      <c r="AV449" s="161"/>
      <c r="AW449" s="161"/>
      <c r="AX449" s="161"/>
      <c r="AY449" s="161"/>
      <c r="AZ449" s="161"/>
      <c r="BA449" s="161"/>
      <c r="BB449" s="161"/>
      <c r="BC449" s="161"/>
      <c r="BD449" s="161"/>
      <c r="BE449" s="161"/>
      <c r="BF449" s="161"/>
      <c r="BG449" s="161"/>
      <c r="BH449" s="161"/>
      <c r="BI449" s="161"/>
      <c r="BJ449" s="161"/>
      <c r="BK449" s="161"/>
      <c r="BL449" s="161"/>
      <c r="BM449" s="161"/>
      <c r="BN449" s="161"/>
      <c r="BO449" s="161"/>
      <c r="BP449" s="161"/>
      <c r="BQ449" s="161"/>
      <c r="BR449" s="161"/>
      <c r="BS449" s="161"/>
      <c r="BT449" s="161"/>
      <c r="BU449" s="161"/>
      <c r="BV449" s="161"/>
      <c r="BW449" s="161"/>
      <c r="BX449" s="161"/>
      <c r="BY449" s="161"/>
    </row>
    <row r="450" spans="1:77">
      <c r="A450" s="162"/>
      <c r="B450" s="162"/>
      <c r="C450" s="162"/>
      <c r="D450" s="162"/>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c r="AC450" s="162"/>
      <c r="AD450" s="162"/>
      <c r="AE450" s="162"/>
      <c r="AF450" s="162"/>
      <c r="AG450" s="162"/>
      <c r="AH450" s="162"/>
      <c r="AI450" s="162"/>
      <c r="AJ450" s="162"/>
      <c r="AK450" s="162"/>
      <c r="AL450" s="162"/>
      <c r="AM450" s="162"/>
      <c r="AN450" s="162"/>
      <c r="AO450" s="162"/>
      <c r="AP450" s="162"/>
      <c r="AQ450" s="162"/>
      <c r="AR450" s="162"/>
      <c r="AS450" s="162"/>
      <c r="AT450" s="161"/>
      <c r="AU450" s="161"/>
      <c r="AV450" s="161"/>
      <c r="AW450" s="161"/>
      <c r="AX450" s="161"/>
      <c r="AY450" s="161"/>
      <c r="AZ450" s="161"/>
      <c r="BA450" s="161"/>
      <c r="BB450" s="161"/>
      <c r="BC450" s="161"/>
      <c r="BD450" s="161"/>
      <c r="BE450" s="161"/>
      <c r="BF450" s="161"/>
      <c r="BG450" s="161"/>
      <c r="BH450" s="161"/>
      <c r="BI450" s="161"/>
      <c r="BJ450" s="161"/>
      <c r="BK450" s="161"/>
      <c r="BL450" s="161"/>
      <c r="BM450" s="161"/>
      <c r="BN450" s="161"/>
      <c r="BO450" s="161"/>
      <c r="BP450" s="161"/>
      <c r="BQ450" s="161"/>
      <c r="BR450" s="161"/>
      <c r="BS450" s="161"/>
      <c r="BT450" s="161"/>
      <c r="BU450" s="161"/>
      <c r="BV450" s="161"/>
      <c r="BW450" s="161"/>
      <c r="BX450" s="161"/>
      <c r="BY450" s="161"/>
    </row>
    <row r="451" spans="1:77">
      <c r="A451" s="162"/>
      <c r="B451" s="162"/>
      <c r="C451" s="162"/>
      <c r="D451" s="162"/>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c r="AC451" s="162"/>
      <c r="AD451" s="162"/>
      <c r="AE451" s="162"/>
      <c r="AF451" s="162"/>
      <c r="AG451" s="162"/>
      <c r="AH451" s="162"/>
      <c r="AI451" s="162"/>
      <c r="AJ451" s="162"/>
      <c r="AK451" s="162"/>
      <c r="AL451" s="162"/>
      <c r="AM451" s="162"/>
      <c r="AN451" s="162"/>
      <c r="AO451" s="162"/>
      <c r="AP451" s="162"/>
      <c r="AQ451" s="162"/>
      <c r="AR451" s="162"/>
      <c r="AS451" s="162"/>
      <c r="AT451" s="161"/>
      <c r="AU451" s="161"/>
      <c r="AV451" s="161"/>
      <c r="AW451" s="161"/>
      <c r="AX451" s="161"/>
      <c r="AY451" s="161"/>
      <c r="AZ451" s="161"/>
      <c r="BA451" s="161"/>
      <c r="BB451" s="161"/>
      <c r="BC451" s="161"/>
      <c r="BD451" s="161"/>
      <c r="BE451" s="161"/>
      <c r="BF451" s="161"/>
      <c r="BG451" s="161"/>
      <c r="BH451" s="161"/>
      <c r="BI451" s="161"/>
      <c r="BJ451" s="161"/>
      <c r="BK451" s="161"/>
      <c r="BL451" s="161"/>
      <c r="BM451" s="161"/>
      <c r="BN451" s="161"/>
      <c r="BO451" s="161"/>
      <c r="BP451" s="161"/>
      <c r="BQ451" s="161"/>
      <c r="BR451" s="161"/>
      <c r="BS451" s="161"/>
      <c r="BT451" s="161"/>
      <c r="BU451" s="161"/>
      <c r="BV451" s="161"/>
      <c r="BW451" s="161"/>
      <c r="BX451" s="161"/>
      <c r="BY451" s="161"/>
    </row>
    <row r="452" spans="1:77">
      <c r="A452" s="162"/>
      <c r="B452" s="162"/>
      <c r="C452" s="162"/>
      <c r="D452" s="162"/>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c r="AC452" s="162"/>
      <c r="AD452" s="162"/>
      <c r="AE452" s="162"/>
      <c r="AF452" s="162"/>
      <c r="AG452" s="162"/>
      <c r="AH452" s="162"/>
      <c r="AI452" s="162"/>
      <c r="AJ452" s="162"/>
      <c r="AK452" s="162"/>
      <c r="AL452" s="162"/>
      <c r="AM452" s="162"/>
      <c r="AN452" s="162"/>
      <c r="AO452" s="162"/>
      <c r="AP452" s="162"/>
      <c r="AQ452" s="162"/>
      <c r="AR452" s="162"/>
      <c r="AS452" s="162"/>
      <c r="AT452" s="161"/>
      <c r="AU452" s="161"/>
      <c r="AV452" s="161"/>
      <c r="AW452" s="161"/>
      <c r="AX452" s="161"/>
      <c r="AY452" s="161"/>
      <c r="AZ452" s="161"/>
      <c r="BA452" s="161"/>
      <c r="BB452" s="161"/>
      <c r="BC452" s="161"/>
      <c r="BD452" s="161"/>
      <c r="BE452" s="161"/>
      <c r="BF452" s="161"/>
      <c r="BG452" s="161"/>
      <c r="BH452" s="161"/>
      <c r="BI452" s="161"/>
      <c r="BJ452" s="161"/>
      <c r="BK452" s="161"/>
      <c r="BL452" s="161"/>
      <c r="BM452" s="161"/>
      <c r="BN452" s="161"/>
      <c r="BO452" s="161"/>
      <c r="BP452" s="161"/>
      <c r="BQ452" s="161"/>
      <c r="BR452" s="161"/>
      <c r="BS452" s="161"/>
      <c r="BT452" s="161"/>
      <c r="BU452" s="161"/>
      <c r="BV452" s="161"/>
      <c r="BW452" s="161"/>
      <c r="BX452" s="161"/>
      <c r="BY452" s="161"/>
    </row>
    <row r="453" spans="1:77">
      <c r="A453" s="162"/>
      <c r="B453" s="162"/>
      <c r="C453" s="162"/>
      <c r="D453" s="162"/>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c r="AC453" s="162"/>
      <c r="AD453" s="162"/>
      <c r="AE453" s="162"/>
      <c r="AF453" s="162"/>
      <c r="AG453" s="162"/>
      <c r="AH453" s="162"/>
      <c r="AI453" s="162"/>
      <c r="AJ453" s="162"/>
      <c r="AK453" s="162"/>
      <c r="AL453" s="162"/>
      <c r="AM453" s="162"/>
      <c r="AN453" s="162"/>
      <c r="AO453" s="162"/>
      <c r="AP453" s="162"/>
      <c r="AQ453" s="162"/>
      <c r="AR453" s="162"/>
      <c r="AS453" s="162"/>
      <c r="AT453" s="161"/>
      <c r="AU453" s="161"/>
      <c r="AV453" s="161"/>
      <c r="AW453" s="161"/>
      <c r="AX453" s="161"/>
      <c r="AY453" s="161"/>
      <c r="AZ453" s="161"/>
      <c r="BA453" s="161"/>
      <c r="BB453" s="161"/>
      <c r="BC453" s="161"/>
      <c r="BD453" s="161"/>
      <c r="BE453" s="161"/>
      <c r="BF453" s="161"/>
      <c r="BG453" s="161"/>
      <c r="BH453" s="161"/>
      <c r="BI453" s="161"/>
      <c r="BJ453" s="161"/>
      <c r="BK453" s="161"/>
      <c r="BL453" s="161"/>
      <c r="BM453" s="161"/>
      <c r="BN453" s="161"/>
      <c r="BO453" s="161"/>
      <c r="BP453" s="161"/>
      <c r="BQ453" s="161"/>
      <c r="BR453" s="161"/>
      <c r="BS453" s="161"/>
      <c r="BT453" s="161"/>
      <c r="BU453" s="161"/>
      <c r="BV453" s="161"/>
      <c r="BW453" s="161"/>
      <c r="BX453" s="161"/>
      <c r="BY453" s="161"/>
    </row>
    <row r="454" spans="1:77">
      <c r="A454" s="162"/>
      <c r="B454" s="162"/>
      <c r="C454" s="162"/>
      <c r="D454" s="162"/>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c r="AC454" s="162"/>
      <c r="AD454" s="162"/>
      <c r="AE454" s="162"/>
      <c r="AF454" s="162"/>
      <c r="AG454" s="162"/>
      <c r="AH454" s="162"/>
      <c r="AI454" s="162"/>
      <c r="AJ454" s="162"/>
      <c r="AK454" s="162"/>
      <c r="AL454" s="162"/>
      <c r="AM454" s="162"/>
      <c r="AN454" s="162"/>
      <c r="AO454" s="162"/>
      <c r="AP454" s="162"/>
      <c r="AQ454" s="162"/>
      <c r="AR454" s="162"/>
      <c r="AS454" s="162"/>
      <c r="AT454" s="161"/>
      <c r="AU454" s="161"/>
      <c r="AV454" s="161"/>
      <c r="AW454" s="161"/>
      <c r="AX454" s="161"/>
      <c r="AY454" s="161"/>
      <c r="AZ454" s="161"/>
      <c r="BA454" s="161"/>
      <c r="BB454" s="161"/>
      <c r="BC454" s="161"/>
      <c r="BD454" s="161"/>
      <c r="BE454" s="161"/>
      <c r="BF454" s="161"/>
      <c r="BG454" s="161"/>
      <c r="BH454" s="161"/>
      <c r="BI454" s="161"/>
      <c r="BJ454" s="161"/>
      <c r="BK454" s="161"/>
      <c r="BL454" s="161"/>
      <c r="BM454" s="161"/>
      <c r="BN454" s="161"/>
      <c r="BO454" s="161"/>
      <c r="BP454" s="161"/>
      <c r="BQ454" s="161"/>
      <c r="BR454" s="161"/>
      <c r="BS454" s="161"/>
      <c r="BT454" s="161"/>
      <c r="BU454" s="161"/>
      <c r="BV454" s="161"/>
      <c r="BW454" s="161"/>
      <c r="BX454" s="161"/>
      <c r="BY454" s="161"/>
    </row>
    <row r="455" spans="1:77">
      <c r="A455" s="162"/>
      <c r="B455" s="162"/>
      <c r="C455" s="162"/>
      <c r="D455" s="162"/>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c r="AC455" s="162"/>
      <c r="AD455" s="162"/>
      <c r="AE455" s="162"/>
      <c r="AF455" s="162"/>
      <c r="AG455" s="162"/>
      <c r="AH455" s="162"/>
      <c r="AI455" s="162"/>
      <c r="AJ455" s="162"/>
      <c r="AK455" s="162"/>
      <c r="AL455" s="162"/>
      <c r="AM455" s="162"/>
      <c r="AN455" s="162"/>
      <c r="AO455" s="162"/>
      <c r="AP455" s="162"/>
      <c r="AQ455" s="162"/>
      <c r="AR455" s="162"/>
      <c r="AS455" s="162"/>
      <c r="AT455" s="161"/>
      <c r="AU455" s="161"/>
      <c r="AV455" s="161"/>
      <c r="AW455" s="161"/>
      <c r="AX455" s="161"/>
      <c r="AY455" s="161"/>
      <c r="AZ455" s="161"/>
      <c r="BA455" s="161"/>
      <c r="BB455" s="161"/>
      <c r="BC455" s="161"/>
      <c r="BD455" s="161"/>
      <c r="BE455" s="161"/>
      <c r="BF455" s="161"/>
      <c r="BG455" s="161"/>
      <c r="BH455" s="161"/>
      <c r="BI455" s="161"/>
      <c r="BJ455" s="161"/>
      <c r="BK455" s="161"/>
      <c r="BL455" s="161"/>
      <c r="BM455" s="161"/>
      <c r="BN455" s="161"/>
      <c r="BO455" s="161"/>
      <c r="BP455" s="161"/>
      <c r="BQ455" s="161"/>
      <c r="BR455" s="161"/>
      <c r="BS455" s="161"/>
      <c r="BT455" s="161"/>
      <c r="BU455" s="161"/>
      <c r="BV455" s="161"/>
      <c r="BW455" s="161"/>
      <c r="BX455" s="161"/>
      <c r="BY455" s="161"/>
    </row>
    <row r="456" spans="1:77">
      <c r="A456" s="162"/>
      <c r="B456" s="162"/>
      <c r="C456" s="162"/>
      <c r="D456" s="162"/>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c r="AC456" s="162"/>
      <c r="AD456" s="162"/>
      <c r="AE456" s="162"/>
      <c r="AF456" s="162"/>
      <c r="AG456" s="162"/>
      <c r="AH456" s="162"/>
      <c r="AI456" s="162"/>
      <c r="AJ456" s="162"/>
      <c r="AK456" s="162"/>
      <c r="AL456" s="162"/>
      <c r="AM456" s="162"/>
      <c r="AN456" s="162"/>
      <c r="AO456" s="162"/>
      <c r="AP456" s="162"/>
      <c r="AQ456" s="162"/>
      <c r="AR456" s="162"/>
      <c r="AS456" s="162"/>
      <c r="AT456" s="161"/>
      <c r="AU456" s="161"/>
      <c r="AV456" s="161"/>
      <c r="AW456" s="161"/>
      <c r="AX456" s="161"/>
      <c r="AY456" s="161"/>
      <c r="AZ456" s="161"/>
      <c r="BA456" s="161"/>
      <c r="BB456" s="161"/>
      <c r="BC456" s="161"/>
      <c r="BD456" s="161"/>
      <c r="BE456" s="161"/>
      <c r="BF456" s="161"/>
      <c r="BG456" s="161"/>
      <c r="BH456" s="161"/>
      <c r="BI456" s="161"/>
      <c r="BJ456" s="161"/>
      <c r="BK456" s="161"/>
      <c r="BL456" s="161"/>
      <c r="BM456" s="161"/>
      <c r="BN456" s="161"/>
      <c r="BO456" s="161"/>
      <c r="BP456" s="161"/>
      <c r="BQ456" s="161"/>
      <c r="BR456" s="161"/>
      <c r="BS456" s="161"/>
      <c r="BT456" s="161"/>
      <c r="BU456" s="161"/>
      <c r="BV456" s="161"/>
      <c r="BW456" s="161"/>
      <c r="BX456" s="161"/>
      <c r="BY456" s="161"/>
    </row>
    <row r="457" spans="1:77">
      <c r="A457" s="162"/>
      <c r="B457" s="162"/>
      <c r="C457" s="162"/>
      <c r="D457" s="162"/>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c r="AC457" s="162"/>
      <c r="AD457" s="162"/>
      <c r="AE457" s="162"/>
      <c r="AF457" s="162"/>
      <c r="AG457" s="162"/>
      <c r="AH457" s="162"/>
      <c r="AI457" s="162"/>
      <c r="AJ457" s="162"/>
      <c r="AK457" s="162"/>
      <c r="AL457" s="162"/>
      <c r="AM457" s="162"/>
      <c r="AN457" s="162"/>
      <c r="AO457" s="162"/>
      <c r="AP457" s="162"/>
      <c r="AQ457" s="162"/>
      <c r="AR457" s="162"/>
      <c r="AS457" s="162"/>
      <c r="AT457" s="161"/>
      <c r="AU457" s="161"/>
      <c r="AV457" s="161"/>
      <c r="AW457" s="161"/>
      <c r="AX457" s="161"/>
      <c r="AY457" s="161"/>
      <c r="AZ457" s="161"/>
      <c r="BA457" s="161"/>
      <c r="BB457" s="161"/>
      <c r="BC457" s="161"/>
      <c r="BD457" s="161"/>
      <c r="BE457" s="161"/>
      <c r="BF457" s="161"/>
      <c r="BG457" s="161"/>
      <c r="BH457" s="161"/>
      <c r="BI457" s="161"/>
      <c r="BJ457" s="161"/>
      <c r="BK457" s="161"/>
      <c r="BL457" s="161"/>
      <c r="BM457" s="161"/>
      <c r="BN457" s="161"/>
      <c r="BO457" s="161"/>
      <c r="BP457" s="161"/>
      <c r="BQ457" s="161"/>
      <c r="BR457" s="161"/>
      <c r="BS457" s="161"/>
      <c r="BT457" s="161"/>
      <c r="BU457" s="161"/>
      <c r="BV457" s="161"/>
      <c r="BW457" s="161"/>
      <c r="BX457" s="161"/>
      <c r="BY457" s="161"/>
    </row>
    <row r="458" spans="1:77">
      <c r="A458" s="162"/>
      <c r="B458" s="162"/>
      <c r="C458" s="162"/>
      <c r="D458" s="162"/>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c r="AC458" s="162"/>
      <c r="AD458" s="162"/>
      <c r="AE458" s="162"/>
      <c r="AF458" s="162"/>
      <c r="AG458" s="162"/>
      <c r="AH458" s="162"/>
      <c r="AI458" s="162"/>
      <c r="AJ458" s="162"/>
      <c r="AK458" s="162"/>
      <c r="AL458" s="162"/>
      <c r="AM458" s="162"/>
      <c r="AN458" s="162"/>
      <c r="AO458" s="162"/>
      <c r="AP458" s="162"/>
      <c r="AQ458" s="162"/>
      <c r="AR458" s="162"/>
      <c r="AS458" s="162"/>
      <c r="AT458" s="161"/>
      <c r="AU458" s="161"/>
      <c r="AV458" s="161"/>
      <c r="AW458" s="161"/>
      <c r="AX458" s="161"/>
      <c r="AY458" s="161"/>
      <c r="AZ458" s="161"/>
      <c r="BA458" s="161"/>
      <c r="BB458" s="161"/>
      <c r="BC458" s="161"/>
      <c r="BD458" s="161"/>
      <c r="BE458" s="161"/>
      <c r="BF458" s="161"/>
      <c r="BG458" s="161"/>
      <c r="BH458" s="161"/>
      <c r="BI458" s="161"/>
      <c r="BJ458" s="161"/>
      <c r="BK458" s="161"/>
      <c r="BL458" s="161"/>
      <c r="BM458" s="161"/>
      <c r="BN458" s="161"/>
      <c r="BO458" s="161"/>
      <c r="BP458" s="161"/>
      <c r="BQ458" s="161"/>
      <c r="BR458" s="161"/>
      <c r="BS458" s="161"/>
      <c r="BT458" s="161"/>
      <c r="BU458" s="161"/>
      <c r="BV458" s="161"/>
      <c r="BW458" s="161"/>
      <c r="BX458" s="161"/>
      <c r="BY458" s="161"/>
    </row>
    <row r="459" spans="1:77">
      <c r="A459" s="162"/>
      <c r="B459" s="162"/>
      <c r="C459" s="162"/>
      <c r="D459" s="162"/>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c r="AC459" s="162"/>
      <c r="AD459" s="162"/>
      <c r="AE459" s="162"/>
      <c r="AF459" s="162"/>
      <c r="AG459" s="162"/>
      <c r="AH459" s="162"/>
      <c r="AI459" s="162"/>
      <c r="AJ459" s="162"/>
      <c r="AK459" s="162"/>
      <c r="AL459" s="162"/>
      <c r="AM459" s="162"/>
      <c r="AN459" s="162"/>
      <c r="AO459" s="162"/>
      <c r="AP459" s="162"/>
      <c r="AQ459" s="162"/>
      <c r="AR459" s="162"/>
      <c r="AS459" s="162"/>
      <c r="AT459" s="161"/>
      <c r="AU459" s="161"/>
      <c r="AV459" s="161"/>
      <c r="AW459" s="161"/>
      <c r="AX459" s="161"/>
      <c r="AY459" s="161"/>
      <c r="AZ459" s="161"/>
      <c r="BA459" s="161"/>
      <c r="BB459" s="161"/>
      <c r="BC459" s="161"/>
      <c r="BD459" s="161"/>
      <c r="BE459" s="161"/>
      <c r="BF459" s="161"/>
      <c r="BG459" s="161"/>
      <c r="BH459" s="161"/>
      <c r="BI459" s="161"/>
      <c r="BJ459" s="161"/>
      <c r="BK459" s="161"/>
      <c r="BL459" s="161"/>
      <c r="BM459" s="161"/>
      <c r="BN459" s="161"/>
      <c r="BO459" s="161"/>
      <c r="BP459" s="161"/>
      <c r="BQ459" s="161"/>
      <c r="BR459" s="161"/>
      <c r="BS459" s="161"/>
      <c r="BT459" s="161"/>
      <c r="BU459" s="161"/>
      <c r="BV459" s="161"/>
      <c r="BW459" s="161"/>
      <c r="BX459" s="161"/>
      <c r="BY459" s="161"/>
    </row>
    <row r="460" spans="1:77">
      <c r="A460" s="162"/>
      <c r="B460" s="162"/>
      <c r="C460" s="162"/>
      <c r="D460" s="162"/>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c r="AC460" s="162"/>
      <c r="AD460" s="162"/>
      <c r="AE460" s="162"/>
      <c r="AF460" s="162"/>
      <c r="AG460" s="162"/>
      <c r="AH460" s="162"/>
      <c r="AI460" s="162"/>
      <c r="AJ460" s="162"/>
      <c r="AK460" s="162"/>
      <c r="AL460" s="162"/>
      <c r="AM460" s="162"/>
      <c r="AN460" s="162"/>
      <c r="AO460" s="162"/>
      <c r="AP460" s="162"/>
      <c r="AQ460" s="162"/>
      <c r="AR460" s="162"/>
      <c r="AS460" s="162"/>
      <c r="AT460" s="161"/>
      <c r="AU460" s="161"/>
      <c r="AV460" s="161"/>
      <c r="AW460" s="161"/>
      <c r="AX460" s="161"/>
      <c r="AY460" s="161"/>
      <c r="AZ460" s="161"/>
      <c r="BA460" s="161"/>
      <c r="BB460" s="161"/>
      <c r="BC460" s="161"/>
      <c r="BD460" s="161"/>
      <c r="BE460" s="161"/>
      <c r="BF460" s="161"/>
      <c r="BG460" s="161"/>
      <c r="BH460" s="161"/>
      <c r="BI460" s="161"/>
      <c r="BJ460" s="161"/>
      <c r="BK460" s="161"/>
      <c r="BL460" s="161"/>
      <c r="BM460" s="161"/>
      <c r="BN460" s="161"/>
      <c r="BO460" s="161"/>
      <c r="BP460" s="161"/>
      <c r="BQ460" s="161"/>
      <c r="BR460" s="161"/>
      <c r="BS460" s="161"/>
      <c r="BT460" s="161"/>
      <c r="BU460" s="161"/>
      <c r="BV460" s="161"/>
      <c r="BW460" s="161"/>
      <c r="BX460" s="161"/>
      <c r="BY460" s="161"/>
    </row>
    <row r="461" spans="1:77">
      <c r="A461" s="162"/>
      <c r="B461" s="162"/>
      <c r="C461" s="162"/>
      <c r="D461" s="162"/>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c r="AC461" s="162"/>
      <c r="AD461" s="162"/>
      <c r="AE461" s="162"/>
      <c r="AF461" s="162"/>
      <c r="AG461" s="162"/>
      <c r="AH461" s="162"/>
      <c r="AI461" s="162"/>
      <c r="AJ461" s="162"/>
      <c r="AK461" s="162"/>
      <c r="AL461" s="162"/>
      <c r="AM461" s="162"/>
      <c r="AN461" s="162"/>
      <c r="AO461" s="162"/>
      <c r="AP461" s="162"/>
      <c r="AQ461" s="162"/>
      <c r="AR461" s="162"/>
      <c r="AS461" s="162"/>
      <c r="AT461" s="161"/>
      <c r="AU461" s="161"/>
      <c r="AV461" s="161"/>
      <c r="AW461" s="161"/>
      <c r="AX461" s="161"/>
      <c r="AY461" s="161"/>
      <c r="AZ461" s="161"/>
      <c r="BA461" s="161"/>
      <c r="BB461" s="161"/>
      <c r="BC461" s="161"/>
      <c r="BD461" s="161"/>
      <c r="BE461" s="161"/>
      <c r="BF461" s="161"/>
      <c r="BG461" s="161"/>
      <c r="BH461" s="161"/>
      <c r="BI461" s="161"/>
      <c r="BJ461" s="161"/>
      <c r="BK461" s="161"/>
      <c r="BL461" s="161"/>
      <c r="BM461" s="161"/>
      <c r="BN461" s="161"/>
      <c r="BO461" s="161"/>
      <c r="BP461" s="161"/>
      <c r="BQ461" s="161"/>
      <c r="BR461" s="161"/>
      <c r="BS461" s="161"/>
      <c r="BT461" s="161"/>
      <c r="BU461" s="161"/>
      <c r="BV461" s="161"/>
      <c r="BW461" s="161"/>
      <c r="BX461" s="161"/>
      <c r="BY461" s="161"/>
    </row>
    <row r="462" spans="1:77">
      <c r="A462" s="162"/>
      <c r="B462" s="162"/>
      <c r="C462" s="162"/>
      <c r="D462" s="162"/>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c r="AC462" s="162"/>
      <c r="AD462" s="162"/>
      <c r="AE462" s="162"/>
      <c r="AF462" s="162"/>
      <c r="AG462" s="162"/>
      <c r="AH462" s="162"/>
      <c r="AI462" s="162"/>
      <c r="AJ462" s="162"/>
      <c r="AK462" s="162"/>
      <c r="AL462" s="162"/>
      <c r="AM462" s="162"/>
      <c r="AN462" s="162"/>
      <c r="AO462" s="162"/>
      <c r="AP462" s="162"/>
      <c r="AQ462" s="162"/>
      <c r="AR462" s="162"/>
      <c r="AS462" s="162"/>
      <c r="AT462" s="161"/>
      <c r="AU462" s="161"/>
      <c r="AV462" s="161"/>
      <c r="AW462" s="161"/>
      <c r="AX462" s="161"/>
      <c r="AY462" s="161"/>
      <c r="AZ462" s="161"/>
      <c r="BA462" s="161"/>
      <c r="BB462" s="161"/>
      <c r="BC462" s="161"/>
      <c r="BD462" s="161"/>
      <c r="BE462" s="161"/>
      <c r="BF462" s="161"/>
      <c r="BG462" s="161"/>
      <c r="BH462" s="161"/>
      <c r="BI462" s="161"/>
      <c r="BJ462" s="161"/>
      <c r="BK462" s="161"/>
      <c r="BL462" s="161"/>
      <c r="BM462" s="161"/>
      <c r="BN462" s="161"/>
      <c r="BO462" s="161"/>
      <c r="BP462" s="161"/>
      <c r="BQ462" s="161"/>
      <c r="BR462" s="161"/>
      <c r="BS462" s="161"/>
      <c r="BT462" s="161"/>
      <c r="BU462" s="161"/>
      <c r="BV462" s="161"/>
      <c r="BW462" s="161"/>
      <c r="BX462" s="161"/>
      <c r="BY462" s="161"/>
    </row>
    <row r="463" spans="1:77">
      <c r="A463" s="162"/>
      <c r="B463" s="162"/>
      <c r="C463" s="162"/>
      <c r="D463" s="162"/>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c r="AC463" s="162"/>
      <c r="AD463" s="162"/>
      <c r="AE463" s="162"/>
      <c r="AF463" s="162"/>
      <c r="AG463" s="162"/>
      <c r="AH463" s="162"/>
      <c r="AI463" s="162"/>
      <c r="AJ463" s="162"/>
      <c r="AK463" s="162"/>
      <c r="AL463" s="162"/>
      <c r="AM463" s="162"/>
      <c r="AN463" s="162"/>
      <c r="AO463" s="162"/>
      <c r="AP463" s="162"/>
      <c r="AQ463" s="162"/>
      <c r="AR463" s="162"/>
      <c r="AS463" s="162"/>
      <c r="AT463" s="161"/>
      <c r="AU463" s="161"/>
      <c r="AV463" s="161"/>
      <c r="AW463" s="161"/>
      <c r="AX463" s="161"/>
      <c r="AY463" s="161"/>
      <c r="AZ463" s="161"/>
      <c r="BA463" s="161"/>
      <c r="BB463" s="161"/>
      <c r="BC463" s="161"/>
      <c r="BD463" s="161"/>
      <c r="BE463" s="161"/>
      <c r="BF463" s="161"/>
      <c r="BG463" s="161"/>
      <c r="BH463" s="161"/>
      <c r="BI463" s="161"/>
      <c r="BJ463" s="161"/>
      <c r="BK463" s="161"/>
      <c r="BL463" s="161"/>
      <c r="BM463" s="161"/>
      <c r="BN463" s="161"/>
      <c r="BO463" s="161"/>
      <c r="BP463" s="161"/>
      <c r="BQ463" s="161"/>
      <c r="BR463" s="161"/>
      <c r="BS463" s="161"/>
      <c r="BT463" s="161"/>
      <c r="BU463" s="161"/>
      <c r="BV463" s="161"/>
      <c r="BW463" s="161"/>
      <c r="BX463" s="161"/>
      <c r="BY463" s="161"/>
    </row>
    <row r="464" spans="1:77">
      <c r="A464" s="162"/>
      <c r="B464" s="162"/>
      <c r="C464" s="162"/>
      <c r="D464" s="162"/>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c r="AC464" s="162"/>
      <c r="AD464" s="162"/>
      <c r="AE464" s="162"/>
      <c r="AF464" s="162"/>
      <c r="AG464" s="162"/>
      <c r="AH464" s="162"/>
      <c r="AI464" s="162"/>
      <c r="AJ464" s="162"/>
      <c r="AK464" s="162"/>
      <c r="AL464" s="162"/>
      <c r="AM464" s="162"/>
      <c r="AN464" s="162"/>
      <c r="AO464" s="162"/>
      <c r="AP464" s="162"/>
      <c r="AQ464" s="162"/>
      <c r="AR464" s="162"/>
      <c r="AS464" s="162"/>
      <c r="AT464" s="161"/>
      <c r="AU464" s="161"/>
      <c r="AV464" s="161"/>
      <c r="AW464" s="161"/>
      <c r="AX464" s="161"/>
      <c r="AY464" s="161"/>
      <c r="AZ464" s="161"/>
      <c r="BA464" s="161"/>
      <c r="BB464" s="161"/>
      <c r="BC464" s="161"/>
      <c r="BD464" s="161"/>
      <c r="BE464" s="161"/>
      <c r="BF464" s="161"/>
      <c r="BG464" s="161"/>
      <c r="BH464" s="161"/>
      <c r="BI464" s="161"/>
      <c r="BJ464" s="161"/>
      <c r="BK464" s="161"/>
      <c r="BL464" s="161"/>
      <c r="BM464" s="161"/>
      <c r="BN464" s="161"/>
      <c r="BO464" s="161"/>
      <c r="BP464" s="161"/>
      <c r="BQ464" s="161"/>
      <c r="BR464" s="161"/>
      <c r="BS464" s="161"/>
      <c r="BT464" s="161"/>
      <c r="BU464" s="161"/>
      <c r="BV464" s="161"/>
      <c r="BW464" s="161"/>
      <c r="BX464" s="161"/>
      <c r="BY464" s="161"/>
    </row>
    <row r="465" spans="1:77">
      <c r="A465" s="162"/>
      <c r="B465" s="162"/>
      <c r="C465" s="162"/>
      <c r="D465" s="162"/>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c r="AC465" s="162"/>
      <c r="AD465" s="162"/>
      <c r="AE465" s="162"/>
      <c r="AF465" s="162"/>
      <c r="AG465" s="162"/>
      <c r="AH465" s="162"/>
      <c r="AI465" s="162"/>
      <c r="AJ465" s="162"/>
      <c r="AK465" s="162"/>
      <c r="AL465" s="162"/>
      <c r="AM465" s="162"/>
      <c r="AN465" s="162"/>
      <c r="AO465" s="162"/>
      <c r="AP465" s="162"/>
      <c r="AQ465" s="162"/>
      <c r="AR465" s="162"/>
      <c r="AS465" s="162"/>
      <c r="AT465" s="161"/>
      <c r="AU465" s="161"/>
      <c r="AV465" s="161"/>
      <c r="AW465" s="161"/>
      <c r="AX465" s="161"/>
      <c r="AY465" s="161"/>
      <c r="AZ465" s="161"/>
      <c r="BA465" s="161"/>
      <c r="BB465" s="161"/>
      <c r="BC465" s="161"/>
      <c r="BD465" s="161"/>
      <c r="BE465" s="161"/>
      <c r="BF465" s="161"/>
      <c r="BG465" s="161"/>
      <c r="BH465" s="161"/>
      <c r="BI465" s="161"/>
      <c r="BJ465" s="161"/>
      <c r="BK465" s="161"/>
      <c r="BL465" s="161"/>
      <c r="BM465" s="161"/>
      <c r="BN465" s="161"/>
      <c r="BO465" s="161"/>
      <c r="BP465" s="161"/>
      <c r="BQ465" s="161"/>
      <c r="BR465" s="161"/>
      <c r="BS465" s="161"/>
      <c r="BT465" s="161"/>
      <c r="BU465" s="161"/>
      <c r="BV465" s="161"/>
      <c r="BW465" s="161"/>
      <c r="BX465" s="161"/>
      <c r="BY465" s="161"/>
    </row>
    <row r="466" spans="1:77">
      <c r="A466" s="162"/>
      <c r="B466" s="162"/>
      <c r="C466" s="162"/>
      <c r="D466" s="162"/>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c r="AC466" s="162"/>
      <c r="AD466" s="162"/>
      <c r="AE466" s="162"/>
      <c r="AF466" s="162"/>
      <c r="AG466" s="162"/>
      <c r="AH466" s="162"/>
      <c r="AI466" s="162"/>
      <c r="AJ466" s="162"/>
      <c r="AK466" s="162"/>
      <c r="AL466" s="162"/>
      <c r="AM466" s="162"/>
      <c r="AN466" s="162"/>
      <c r="AO466" s="162"/>
      <c r="AP466" s="162"/>
      <c r="AQ466" s="162"/>
      <c r="AR466" s="162"/>
      <c r="AS466" s="162"/>
      <c r="AT466" s="161"/>
      <c r="AU466" s="161"/>
      <c r="AV466" s="161"/>
      <c r="AW466" s="161"/>
      <c r="AX466" s="161"/>
      <c r="AY466" s="161"/>
      <c r="AZ466" s="161"/>
      <c r="BA466" s="161"/>
      <c r="BB466" s="161"/>
      <c r="BC466" s="161"/>
      <c r="BD466" s="161"/>
      <c r="BE466" s="161"/>
      <c r="BF466" s="161"/>
      <c r="BG466" s="161"/>
      <c r="BH466" s="161"/>
      <c r="BI466" s="161"/>
      <c r="BJ466" s="161"/>
      <c r="BK466" s="161"/>
      <c r="BL466" s="161"/>
      <c r="BM466" s="161"/>
      <c r="BN466" s="161"/>
      <c r="BO466" s="161"/>
      <c r="BP466" s="161"/>
      <c r="BQ466" s="161"/>
      <c r="BR466" s="161"/>
      <c r="BS466" s="161"/>
      <c r="BT466" s="161"/>
      <c r="BU466" s="161"/>
      <c r="BV466" s="161"/>
      <c r="BW466" s="161"/>
      <c r="BX466" s="161"/>
      <c r="BY466" s="161"/>
    </row>
    <row r="467" spans="1:77">
      <c r="A467" s="162"/>
      <c r="B467" s="162"/>
      <c r="C467" s="162"/>
      <c r="D467" s="162"/>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c r="AC467" s="162"/>
      <c r="AD467" s="162"/>
      <c r="AE467" s="162"/>
      <c r="AF467" s="162"/>
      <c r="AG467" s="162"/>
      <c r="AH467" s="162"/>
      <c r="AI467" s="162"/>
      <c r="AJ467" s="162"/>
      <c r="AK467" s="162"/>
      <c r="AL467" s="162"/>
      <c r="AM467" s="162"/>
      <c r="AN467" s="162"/>
      <c r="AO467" s="162"/>
      <c r="AP467" s="162"/>
      <c r="AQ467" s="162"/>
      <c r="AR467" s="162"/>
      <c r="AS467" s="162"/>
      <c r="AT467" s="161"/>
      <c r="AU467" s="161"/>
      <c r="AV467" s="161"/>
      <c r="AW467" s="161"/>
      <c r="AX467" s="161"/>
      <c r="AY467" s="161"/>
      <c r="AZ467" s="161"/>
      <c r="BA467" s="161"/>
      <c r="BB467" s="161"/>
      <c r="BC467" s="161"/>
      <c r="BD467" s="161"/>
      <c r="BE467" s="161"/>
      <c r="BF467" s="161"/>
      <c r="BG467" s="161"/>
      <c r="BH467" s="161"/>
      <c r="BI467" s="161"/>
      <c r="BJ467" s="161"/>
      <c r="BK467" s="161"/>
      <c r="BL467" s="161"/>
      <c r="BM467" s="161"/>
      <c r="BN467" s="161"/>
      <c r="BO467" s="161"/>
      <c r="BP467" s="161"/>
      <c r="BQ467" s="161"/>
      <c r="BR467" s="161"/>
      <c r="BS467" s="161"/>
      <c r="BT467" s="161"/>
      <c r="BU467" s="161"/>
      <c r="BV467" s="161"/>
      <c r="BW467" s="161"/>
      <c r="BX467" s="161"/>
      <c r="BY467" s="161"/>
    </row>
    <row r="468" spans="1:77">
      <c r="A468" s="162"/>
      <c r="B468" s="162"/>
      <c r="C468" s="162"/>
      <c r="D468" s="162"/>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c r="AC468" s="162"/>
      <c r="AD468" s="162"/>
      <c r="AE468" s="162"/>
      <c r="AF468" s="162"/>
      <c r="AG468" s="162"/>
      <c r="AH468" s="162"/>
      <c r="AI468" s="162"/>
      <c r="AJ468" s="162"/>
      <c r="AK468" s="162"/>
      <c r="AL468" s="162"/>
      <c r="AM468" s="162"/>
      <c r="AN468" s="162"/>
      <c r="AO468" s="162"/>
      <c r="AP468" s="162"/>
      <c r="AQ468" s="162"/>
      <c r="AR468" s="162"/>
      <c r="AS468" s="162"/>
      <c r="AT468" s="161"/>
      <c r="AU468" s="161"/>
      <c r="AV468" s="161"/>
      <c r="AW468" s="161"/>
      <c r="AX468" s="161"/>
      <c r="AY468" s="161"/>
      <c r="AZ468" s="161"/>
      <c r="BA468" s="161"/>
      <c r="BB468" s="161"/>
      <c r="BC468" s="161"/>
      <c r="BD468" s="161"/>
      <c r="BE468" s="161"/>
      <c r="BF468" s="161"/>
      <c r="BG468" s="161"/>
      <c r="BH468" s="161"/>
      <c r="BI468" s="161"/>
      <c r="BJ468" s="161"/>
      <c r="BK468" s="161"/>
      <c r="BL468" s="161"/>
      <c r="BM468" s="161"/>
      <c r="BN468" s="161"/>
      <c r="BO468" s="161"/>
      <c r="BP468" s="161"/>
      <c r="BQ468" s="161"/>
      <c r="BR468" s="161"/>
      <c r="BS468" s="161"/>
      <c r="BT468" s="161"/>
      <c r="BU468" s="161"/>
      <c r="BV468" s="161"/>
      <c r="BW468" s="161"/>
      <c r="BX468" s="161"/>
      <c r="BY468" s="161"/>
    </row>
    <row r="469" spans="1:77">
      <c r="A469" s="162"/>
      <c r="B469" s="162"/>
      <c r="C469" s="162"/>
      <c r="D469" s="162"/>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c r="AC469" s="162"/>
      <c r="AD469" s="162"/>
      <c r="AE469" s="162"/>
      <c r="AF469" s="162"/>
      <c r="AG469" s="162"/>
      <c r="AH469" s="162"/>
      <c r="AI469" s="162"/>
      <c r="AJ469" s="162"/>
      <c r="AK469" s="162"/>
      <c r="AL469" s="162"/>
      <c r="AM469" s="162"/>
      <c r="AN469" s="162"/>
      <c r="AO469" s="162"/>
      <c r="AP469" s="162"/>
      <c r="AQ469" s="162"/>
      <c r="AR469" s="162"/>
      <c r="AS469" s="162"/>
      <c r="AT469" s="161"/>
      <c r="AU469" s="161"/>
      <c r="AV469" s="161"/>
      <c r="AW469" s="161"/>
      <c r="AX469" s="161"/>
      <c r="AY469" s="161"/>
      <c r="AZ469" s="161"/>
      <c r="BA469" s="161"/>
      <c r="BB469" s="161"/>
      <c r="BC469" s="161"/>
      <c r="BD469" s="161"/>
      <c r="BE469" s="161"/>
      <c r="BF469" s="161"/>
      <c r="BG469" s="161"/>
      <c r="BH469" s="161"/>
      <c r="BI469" s="161"/>
      <c r="BJ469" s="161"/>
      <c r="BK469" s="161"/>
      <c r="BL469" s="161"/>
      <c r="BM469" s="161"/>
      <c r="BN469" s="161"/>
      <c r="BO469" s="161"/>
      <c r="BP469" s="161"/>
      <c r="BQ469" s="161"/>
      <c r="BR469" s="161"/>
      <c r="BS469" s="161"/>
      <c r="BT469" s="161"/>
      <c r="BU469" s="161"/>
      <c r="BV469" s="161"/>
      <c r="BW469" s="161"/>
      <c r="BX469" s="161"/>
      <c r="BY469" s="161"/>
    </row>
    <row r="470" spans="1:77">
      <c r="A470" s="162"/>
      <c r="B470" s="162"/>
      <c r="C470" s="162"/>
      <c r="D470" s="162"/>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c r="AC470" s="162"/>
      <c r="AD470" s="162"/>
      <c r="AE470" s="162"/>
      <c r="AF470" s="162"/>
      <c r="AG470" s="162"/>
      <c r="AH470" s="162"/>
      <c r="AI470" s="162"/>
      <c r="AJ470" s="162"/>
      <c r="AK470" s="162"/>
      <c r="AL470" s="162"/>
      <c r="AM470" s="162"/>
      <c r="AN470" s="162"/>
      <c r="AO470" s="162"/>
      <c r="AP470" s="162"/>
      <c r="AQ470" s="162"/>
      <c r="AR470" s="162"/>
      <c r="AS470" s="162"/>
      <c r="AT470" s="161"/>
      <c r="AU470" s="161"/>
      <c r="AV470" s="161"/>
      <c r="AW470" s="161"/>
      <c r="AX470" s="161"/>
      <c r="AY470" s="161"/>
      <c r="AZ470" s="161"/>
      <c r="BA470" s="161"/>
      <c r="BB470" s="161"/>
      <c r="BC470" s="161"/>
      <c r="BD470" s="161"/>
      <c r="BE470" s="161"/>
      <c r="BF470" s="161"/>
      <c r="BG470" s="161"/>
      <c r="BH470" s="161"/>
      <c r="BI470" s="161"/>
      <c r="BJ470" s="161"/>
      <c r="BK470" s="161"/>
      <c r="BL470" s="161"/>
      <c r="BM470" s="161"/>
      <c r="BN470" s="161"/>
      <c r="BO470" s="161"/>
      <c r="BP470" s="161"/>
      <c r="BQ470" s="161"/>
      <c r="BR470" s="161"/>
      <c r="BS470" s="161"/>
      <c r="BT470" s="161"/>
      <c r="BU470" s="161"/>
      <c r="BV470" s="161"/>
      <c r="BW470" s="161"/>
      <c r="BX470" s="161"/>
      <c r="BY470" s="161"/>
    </row>
    <row r="471" spans="1:77">
      <c r="A471" s="162"/>
      <c r="B471" s="162"/>
      <c r="C471" s="162"/>
      <c r="D471" s="162"/>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c r="AC471" s="162"/>
      <c r="AD471" s="162"/>
      <c r="AE471" s="162"/>
      <c r="AF471" s="162"/>
      <c r="AG471" s="162"/>
      <c r="AH471" s="162"/>
      <c r="AI471" s="162"/>
      <c r="AJ471" s="162"/>
      <c r="AK471" s="162"/>
      <c r="AL471" s="162"/>
      <c r="AM471" s="162"/>
      <c r="AN471" s="162"/>
      <c r="AO471" s="162"/>
      <c r="AP471" s="162"/>
      <c r="AQ471" s="162"/>
      <c r="AR471" s="162"/>
      <c r="AS471" s="162"/>
      <c r="AT471" s="161"/>
      <c r="AU471" s="161"/>
      <c r="AV471" s="161"/>
      <c r="AW471" s="161"/>
      <c r="AX471" s="161"/>
      <c r="AY471" s="161"/>
      <c r="AZ471" s="161"/>
      <c r="BA471" s="161"/>
      <c r="BB471" s="161"/>
      <c r="BC471" s="161"/>
      <c r="BD471" s="161"/>
      <c r="BE471" s="161"/>
      <c r="BF471" s="161"/>
      <c r="BG471" s="161"/>
      <c r="BH471" s="161"/>
      <c r="BI471" s="161"/>
      <c r="BJ471" s="161"/>
      <c r="BK471" s="161"/>
      <c r="BL471" s="161"/>
      <c r="BM471" s="161"/>
      <c r="BN471" s="161"/>
      <c r="BO471" s="161"/>
      <c r="BP471" s="161"/>
      <c r="BQ471" s="161"/>
      <c r="BR471" s="161"/>
      <c r="BS471" s="161"/>
      <c r="BT471" s="161"/>
      <c r="BU471" s="161"/>
      <c r="BV471" s="161"/>
      <c r="BW471" s="161"/>
      <c r="BX471" s="161"/>
      <c r="BY471" s="161"/>
    </row>
    <row r="472" spans="1:77">
      <c r="A472" s="162"/>
      <c r="B472" s="162"/>
      <c r="C472" s="162"/>
      <c r="D472" s="162"/>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c r="AC472" s="162"/>
      <c r="AD472" s="162"/>
      <c r="AE472" s="162"/>
      <c r="AF472" s="162"/>
      <c r="AG472" s="162"/>
      <c r="AH472" s="162"/>
      <c r="AI472" s="162"/>
      <c r="AJ472" s="162"/>
      <c r="AK472" s="162"/>
      <c r="AL472" s="162"/>
      <c r="AM472" s="162"/>
      <c r="AN472" s="162"/>
      <c r="AO472" s="162"/>
      <c r="AP472" s="162"/>
      <c r="AQ472" s="162"/>
      <c r="AR472" s="162"/>
      <c r="AS472" s="162"/>
      <c r="AT472" s="161"/>
      <c r="AU472" s="161"/>
      <c r="AV472" s="161"/>
      <c r="AW472" s="161"/>
      <c r="AX472" s="161"/>
      <c r="AY472" s="161"/>
      <c r="AZ472" s="161"/>
      <c r="BA472" s="161"/>
      <c r="BB472" s="161"/>
      <c r="BC472" s="161"/>
      <c r="BD472" s="161"/>
      <c r="BE472" s="161"/>
      <c r="BF472" s="161"/>
      <c r="BG472" s="161"/>
      <c r="BH472" s="161"/>
      <c r="BI472" s="161"/>
      <c r="BJ472" s="161"/>
      <c r="BK472" s="161"/>
      <c r="BL472" s="161"/>
      <c r="BM472" s="161"/>
      <c r="BN472" s="161"/>
      <c r="BO472" s="161"/>
      <c r="BP472" s="161"/>
      <c r="BQ472" s="161"/>
      <c r="BR472" s="161"/>
      <c r="BS472" s="161"/>
      <c r="BT472" s="161"/>
      <c r="BU472" s="161"/>
      <c r="BV472" s="161"/>
      <c r="BW472" s="161"/>
      <c r="BX472" s="161"/>
      <c r="BY472" s="161"/>
    </row>
    <row r="473" spans="1:77">
      <c r="A473" s="162"/>
      <c r="B473" s="162"/>
      <c r="C473" s="162"/>
      <c r="D473" s="162"/>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c r="AC473" s="162"/>
      <c r="AD473" s="162"/>
      <c r="AE473" s="162"/>
      <c r="AF473" s="162"/>
      <c r="AG473" s="162"/>
      <c r="AH473" s="162"/>
      <c r="AI473" s="162"/>
      <c r="AJ473" s="162"/>
      <c r="AK473" s="162"/>
      <c r="AL473" s="162"/>
      <c r="AM473" s="162"/>
      <c r="AN473" s="162"/>
      <c r="AO473" s="162"/>
      <c r="AP473" s="162"/>
      <c r="AQ473" s="162"/>
      <c r="AR473" s="162"/>
      <c r="AS473" s="162"/>
      <c r="AT473" s="161"/>
      <c r="AU473" s="161"/>
      <c r="AV473" s="161"/>
      <c r="AW473" s="161"/>
      <c r="AX473" s="161"/>
      <c r="AY473" s="161"/>
      <c r="AZ473" s="161"/>
      <c r="BA473" s="161"/>
      <c r="BB473" s="161"/>
      <c r="BC473" s="161"/>
      <c r="BD473" s="161"/>
      <c r="BE473" s="161"/>
      <c r="BF473" s="161"/>
      <c r="BG473" s="161"/>
      <c r="BH473" s="161"/>
      <c r="BI473" s="161"/>
      <c r="BJ473" s="161"/>
      <c r="BK473" s="161"/>
      <c r="BL473" s="161"/>
      <c r="BM473" s="161"/>
      <c r="BN473" s="161"/>
      <c r="BO473" s="161"/>
      <c r="BP473" s="161"/>
      <c r="BQ473" s="161"/>
      <c r="BR473" s="161"/>
      <c r="BS473" s="161"/>
      <c r="BT473" s="161"/>
      <c r="BU473" s="161"/>
      <c r="BV473" s="161"/>
      <c r="BW473" s="161"/>
      <c r="BX473" s="161"/>
      <c r="BY473" s="161"/>
    </row>
    <row r="474" spans="1:77">
      <c r="A474" s="162"/>
      <c r="B474" s="162"/>
      <c r="C474" s="162"/>
      <c r="D474" s="162"/>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c r="AC474" s="162"/>
      <c r="AD474" s="162"/>
      <c r="AE474" s="162"/>
      <c r="AF474" s="162"/>
      <c r="AG474" s="162"/>
      <c r="AH474" s="162"/>
      <c r="AI474" s="162"/>
      <c r="AJ474" s="162"/>
      <c r="AK474" s="162"/>
      <c r="AL474" s="162"/>
      <c r="AM474" s="162"/>
      <c r="AN474" s="162"/>
      <c r="AO474" s="162"/>
      <c r="AP474" s="162"/>
      <c r="AQ474" s="162"/>
      <c r="AR474" s="162"/>
      <c r="AS474" s="162"/>
      <c r="AT474" s="161"/>
      <c r="AU474" s="161"/>
      <c r="AV474" s="161"/>
      <c r="AW474" s="161"/>
      <c r="AX474" s="161"/>
      <c r="AY474" s="161"/>
      <c r="AZ474" s="161"/>
      <c r="BA474" s="161"/>
      <c r="BB474" s="161"/>
      <c r="BC474" s="161"/>
      <c r="BD474" s="161"/>
      <c r="BE474" s="161"/>
      <c r="BF474" s="161"/>
      <c r="BG474" s="161"/>
      <c r="BH474" s="161"/>
      <c r="BI474" s="161"/>
      <c r="BJ474" s="161"/>
      <c r="BK474" s="161"/>
      <c r="BL474" s="161"/>
      <c r="BM474" s="161"/>
      <c r="BN474" s="161"/>
      <c r="BO474" s="161"/>
      <c r="BP474" s="161"/>
      <c r="BQ474" s="161"/>
      <c r="BR474" s="161"/>
      <c r="BS474" s="161"/>
      <c r="BT474" s="161"/>
      <c r="BU474" s="161"/>
      <c r="BV474" s="161"/>
      <c r="BW474" s="161"/>
      <c r="BX474" s="161"/>
      <c r="BY474" s="161"/>
    </row>
    <row r="475" spans="1:77">
      <c r="A475" s="162"/>
      <c r="B475" s="162"/>
      <c r="C475" s="162"/>
      <c r="D475" s="162"/>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c r="AC475" s="162"/>
      <c r="AD475" s="162"/>
      <c r="AE475" s="162"/>
      <c r="AF475" s="162"/>
      <c r="AG475" s="162"/>
      <c r="AH475" s="162"/>
      <c r="AI475" s="162"/>
      <c r="AJ475" s="162"/>
      <c r="AK475" s="162"/>
      <c r="AL475" s="162"/>
      <c r="AM475" s="162"/>
      <c r="AN475" s="162"/>
      <c r="AO475" s="162"/>
      <c r="AP475" s="162"/>
      <c r="AQ475" s="162"/>
      <c r="AR475" s="162"/>
      <c r="AS475" s="162"/>
      <c r="AT475" s="161"/>
      <c r="AU475" s="161"/>
      <c r="AV475" s="161"/>
      <c r="AW475" s="161"/>
      <c r="AX475" s="161"/>
      <c r="AY475" s="161"/>
      <c r="AZ475" s="161"/>
      <c r="BA475" s="161"/>
      <c r="BB475" s="161"/>
      <c r="BC475" s="161"/>
      <c r="BD475" s="161"/>
      <c r="BE475" s="161"/>
      <c r="BF475" s="161"/>
      <c r="BG475" s="161"/>
      <c r="BH475" s="161"/>
      <c r="BI475" s="161"/>
      <c r="BJ475" s="161"/>
      <c r="BK475" s="161"/>
      <c r="BL475" s="161"/>
      <c r="BM475" s="161"/>
      <c r="BN475" s="161"/>
      <c r="BO475" s="161"/>
      <c r="BP475" s="161"/>
      <c r="BQ475" s="161"/>
      <c r="BR475" s="161"/>
      <c r="BS475" s="161"/>
      <c r="BT475" s="161"/>
      <c r="BU475" s="161"/>
      <c r="BV475" s="161"/>
      <c r="BW475" s="161"/>
      <c r="BX475" s="161"/>
      <c r="BY475" s="161"/>
    </row>
    <row r="476" spans="1:77">
      <c r="A476" s="162"/>
      <c r="B476" s="162"/>
      <c r="C476" s="162"/>
      <c r="D476" s="162"/>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c r="AC476" s="162"/>
      <c r="AD476" s="162"/>
      <c r="AE476" s="162"/>
      <c r="AF476" s="162"/>
      <c r="AG476" s="162"/>
      <c r="AH476" s="162"/>
      <c r="AI476" s="162"/>
      <c r="AJ476" s="162"/>
      <c r="AK476" s="162"/>
      <c r="AL476" s="162"/>
      <c r="AM476" s="162"/>
      <c r="AN476" s="162"/>
      <c r="AO476" s="162"/>
      <c r="AP476" s="162"/>
      <c r="AQ476" s="162"/>
      <c r="AR476" s="162"/>
      <c r="AS476" s="162"/>
      <c r="AT476" s="161"/>
      <c r="AU476" s="161"/>
      <c r="AV476" s="161"/>
      <c r="AW476" s="161"/>
      <c r="AX476" s="161"/>
      <c r="AY476" s="161"/>
      <c r="AZ476" s="161"/>
      <c r="BA476" s="161"/>
      <c r="BB476" s="161"/>
      <c r="BC476" s="161"/>
      <c r="BD476" s="161"/>
      <c r="BE476" s="161"/>
      <c r="BF476" s="161"/>
      <c r="BG476" s="161"/>
      <c r="BH476" s="161"/>
      <c r="BI476" s="161"/>
      <c r="BJ476" s="161"/>
      <c r="BK476" s="161"/>
      <c r="BL476" s="161"/>
      <c r="BM476" s="161"/>
      <c r="BN476" s="161"/>
      <c r="BO476" s="161"/>
      <c r="BP476" s="161"/>
      <c r="BQ476" s="161"/>
      <c r="BR476" s="161"/>
      <c r="BS476" s="161"/>
      <c r="BT476" s="161"/>
      <c r="BU476" s="161"/>
      <c r="BV476" s="161"/>
      <c r="BW476" s="161"/>
      <c r="BX476" s="161"/>
      <c r="BY476" s="161"/>
    </row>
    <row r="477" spans="1:77">
      <c r="A477" s="162"/>
      <c r="B477" s="162"/>
      <c r="C477" s="162"/>
      <c r="D477" s="162"/>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c r="AC477" s="162"/>
      <c r="AD477" s="162"/>
      <c r="AE477" s="162"/>
      <c r="AF477" s="162"/>
      <c r="AG477" s="162"/>
      <c r="AH477" s="162"/>
      <c r="AI477" s="162"/>
      <c r="AJ477" s="162"/>
      <c r="AK477" s="162"/>
      <c r="AL477" s="162"/>
      <c r="AM477" s="162"/>
      <c r="AN477" s="162"/>
      <c r="AO477" s="162"/>
      <c r="AP477" s="162"/>
      <c r="AQ477" s="162"/>
      <c r="AR477" s="162"/>
      <c r="AS477" s="162"/>
      <c r="AT477" s="161"/>
      <c r="AU477" s="161"/>
      <c r="AV477" s="161"/>
      <c r="AW477" s="161"/>
      <c r="AX477" s="161"/>
      <c r="AY477" s="161"/>
      <c r="AZ477" s="161"/>
      <c r="BA477" s="161"/>
      <c r="BB477" s="161"/>
      <c r="BC477" s="161"/>
      <c r="BD477" s="161"/>
      <c r="BE477" s="161"/>
      <c r="BF477" s="161"/>
      <c r="BG477" s="161"/>
      <c r="BH477" s="161"/>
      <c r="BI477" s="161"/>
      <c r="BJ477" s="161"/>
      <c r="BK477" s="161"/>
      <c r="BL477" s="161"/>
      <c r="BM477" s="161"/>
      <c r="BN477" s="161"/>
      <c r="BO477" s="161"/>
      <c r="BP477" s="161"/>
      <c r="BQ477" s="161"/>
      <c r="BR477" s="161"/>
      <c r="BS477" s="161"/>
      <c r="BT477" s="161"/>
      <c r="BU477" s="161"/>
      <c r="BV477" s="161"/>
      <c r="BW477" s="161"/>
      <c r="BX477" s="161"/>
      <c r="BY477" s="161"/>
    </row>
    <row r="478" spans="1:77">
      <c r="A478" s="162"/>
      <c r="B478" s="162"/>
      <c r="C478" s="162"/>
      <c r="D478" s="162"/>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c r="AC478" s="162"/>
      <c r="AD478" s="162"/>
      <c r="AE478" s="162"/>
      <c r="AF478" s="162"/>
      <c r="AG478" s="162"/>
      <c r="AH478" s="162"/>
      <c r="AI478" s="162"/>
      <c r="AJ478" s="162"/>
      <c r="AK478" s="162"/>
      <c r="AL478" s="162"/>
      <c r="AM478" s="162"/>
      <c r="AN478" s="162"/>
      <c r="AO478" s="162"/>
      <c r="AP478" s="162"/>
      <c r="AQ478" s="162"/>
      <c r="AR478" s="162"/>
      <c r="AS478" s="162"/>
      <c r="AT478" s="161"/>
      <c r="AU478" s="161"/>
      <c r="AV478" s="161"/>
      <c r="AW478" s="161"/>
      <c r="AX478" s="161"/>
      <c r="AY478" s="161"/>
      <c r="AZ478" s="161"/>
      <c r="BA478" s="161"/>
      <c r="BB478" s="161"/>
      <c r="BC478" s="161"/>
      <c r="BD478" s="161"/>
      <c r="BE478" s="161"/>
      <c r="BF478" s="161"/>
      <c r="BG478" s="161"/>
      <c r="BH478" s="161"/>
      <c r="BI478" s="161"/>
      <c r="BJ478" s="161"/>
      <c r="BK478" s="161"/>
      <c r="BL478" s="161"/>
      <c r="BM478" s="161"/>
      <c r="BN478" s="161"/>
      <c r="BO478" s="161"/>
      <c r="BP478" s="161"/>
      <c r="BQ478" s="161"/>
      <c r="BR478" s="161"/>
      <c r="BS478" s="161"/>
      <c r="BT478" s="161"/>
      <c r="BU478" s="161"/>
      <c r="BV478" s="161"/>
      <c r="BW478" s="161"/>
      <c r="BX478" s="161"/>
      <c r="BY478" s="161"/>
    </row>
    <row r="479" spans="1:77">
      <c r="A479" s="162"/>
      <c r="B479" s="162"/>
      <c r="C479" s="162"/>
      <c r="D479" s="162"/>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c r="AC479" s="162"/>
      <c r="AD479" s="162"/>
      <c r="AE479" s="162"/>
      <c r="AF479" s="162"/>
      <c r="AG479" s="162"/>
      <c r="AH479" s="162"/>
      <c r="AI479" s="162"/>
      <c r="AJ479" s="162"/>
      <c r="AK479" s="162"/>
      <c r="AL479" s="162"/>
      <c r="AM479" s="162"/>
      <c r="AN479" s="162"/>
      <c r="AO479" s="162"/>
      <c r="AP479" s="162"/>
      <c r="AQ479" s="162"/>
      <c r="AR479" s="162"/>
      <c r="AS479" s="162"/>
      <c r="AT479" s="161"/>
      <c r="AU479" s="161"/>
      <c r="AV479" s="161"/>
      <c r="AW479" s="161"/>
      <c r="AX479" s="161"/>
      <c r="AY479" s="161"/>
      <c r="AZ479" s="161"/>
      <c r="BA479" s="161"/>
      <c r="BB479" s="161"/>
      <c r="BC479" s="161"/>
      <c r="BD479" s="161"/>
      <c r="BE479" s="161"/>
      <c r="BF479" s="161"/>
      <c r="BG479" s="161"/>
      <c r="BH479" s="161"/>
      <c r="BI479" s="161"/>
      <c r="BJ479" s="161"/>
      <c r="BK479" s="161"/>
      <c r="BL479" s="161"/>
      <c r="BM479" s="161"/>
      <c r="BN479" s="161"/>
      <c r="BO479" s="161"/>
      <c r="BP479" s="161"/>
      <c r="BQ479" s="161"/>
      <c r="BR479" s="161"/>
      <c r="BS479" s="161"/>
      <c r="BT479" s="161"/>
      <c r="BU479" s="161"/>
      <c r="BV479" s="161"/>
      <c r="BW479" s="161"/>
      <c r="BX479" s="161"/>
      <c r="BY479" s="161"/>
    </row>
    <row r="480" spans="1:77">
      <c r="A480" s="162"/>
      <c r="B480" s="162"/>
      <c r="C480" s="162"/>
      <c r="D480" s="162"/>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c r="AC480" s="162"/>
      <c r="AD480" s="162"/>
      <c r="AE480" s="162"/>
      <c r="AF480" s="162"/>
      <c r="AG480" s="162"/>
      <c r="AH480" s="162"/>
      <c r="AI480" s="162"/>
      <c r="AJ480" s="162"/>
      <c r="AK480" s="162"/>
      <c r="AL480" s="162"/>
      <c r="AM480" s="162"/>
      <c r="AN480" s="162"/>
      <c r="AO480" s="162"/>
      <c r="AP480" s="162"/>
      <c r="AQ480" s="162"/>
      <c r="AR480" s="162"/>
      <c r="AS480" s="162"/>
      <c r="AT480" s="161"/>
      <c r="AU480" s="161"/>
      <c r="AV480" s="161"/>
      <c r="AW480" s="161"/>
      <c r="AX480" s="161"/>
      <c r="AY480" s="161"/>
      <c r="AZ480" s="161"/>
      <c r="BA480" s="161"/>
      <c r="BB480" s="161"/>
      <c r="BC480" s="161"/>
      <c r="BD480" s="161"/>
      <c r="BE480" s="161"/>
      <c r="BF480" s="161"/>
      <c r="BG480" s="161"/>
      <c r="BH480" s="161"/>
      <c r="BI480" s="161"/>
      <c r="BJ480" s="161"/>
      <c r="BK480" s="161"/>
      <c r="BL480" s="161"/>
      <c r="BM480" s="161"/>
      <c r="BN480" s="161"/>
      <c r="BO480" s="161"/>
      <c r="BP480" s="161"/>
      <c r="BQ480" s="161"/>
      <c r="BR480" s="161"/>
      <c r="BS480" s="161"/>
      <c r="BT480" s="161"/>
      <c r="BU480" s="161"/>
      <c r="BV480" s="161"/>
      <c r="BW480" s="161"/>
      <c r="BX480" s="161"/>
      <c r="BY480" s="161"/>
    </row>
    <row r="481" spans="1:77">
      <c r="A481" s="162"/>
      <c r="B481" s="162"/>
      <c r="C481" s="162"/>
      <c r="D481" s="162"/>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c r="AC481" s="162"/>
      <c r="AD481" s="162"/>
      <c r="AE481" s="162"/>
      <c r="AF481" s="162"/>
      <c r="AG481" s="162"/>
      <c r="AH481" s="162"/>
      <c r="AI481" s="162"/>
      <c r="AJ481" s="162"/>
      <c r="AK481" s="162"/>
      <c r="AL481" s="162"/>
      <c r="AM481" s="162"/>
      <c r="AN481" s="162"/>
      <c r="AO481" s="162"/>
      <c r="AP481" s="162"/>
      <c r="AQ481" s="162"/>
      <c r="AR481" s="162"/>
      <c r="AS481" s="162"/>
      <c r="AT481" s="161"/>
      <c r="AU481" s="161"/>
      <c r="AV481" s="161"/>
      <c r="AW481" s="161"/>
      <c r="AX481" s="161"/>
      <c r="AY481" s="161"/>
      <c r="AZ481" s="161"/>
      <c r="BA481" s="161"/>
      <c r="BB481" s="161"/>
      <c r="BC481" s="161"/>
      <c r="BD481" s="161"/>
      <c r="BE481" s="161"/>
      <c r="BF481" s="161"/>
      <c r="BG481" s="161"/>
      <c r="BH481" s="161"/>
      <c r="BI481" s="161"/>
      <c r="BJ481" s="161"/>
      <c r="BK481" s="161"/>
      <c r="BL481" s="161"/>
      <c r="BM481" s="161"/>
      <c r="BN481" s="161"/>
      <c r="BO481" s="161"/>
      <c r="BP481" s="161"/>
      <c r="BQ481" s="161"/>
      <c r="BR481" s="161"/>
      <c r="BS481" s="161"/>
      <c r="BT481" s="161"/>
      <c r="BU481" s="161"/>
      <c r="BV481" s="161"/>
      <c r="BW481" s="161"/>
      <c r="BX481" s="161"/>
      <c r="BY481" s="161"/>
    </row>
    <row r="482" spans="1:77">
      <c r="A482" s="162"/>
      <c r="B482" s="162"/>
      <c r="C482" s="162"/>
      <c r="D482" s="162"/>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c r="AC482" s="162"/>
      <c r="AD482" s="162"/>
      <c r="AE482" s="162"/>
      <c r="AF482" s="162"/>
      <c r="AG482" s="162"/>
      <c r="AH482" s="162"/>
      <c r="AI482" s="162"/>
      <c r="AJ482" s="162"/>
      <c r="AK482" s="162"/>
      <c r="AL482" s="162"/>
      <c r="AM482" s="162"/>
      <c r="AN482" s="162"/>
      <c r="AO482" s="162"/>
      <c r="AP482" s="162"/>
      <c r="AQ482" s="162"/>
      <c r="AR482" s="162"/>
      <c r="AS482" s="162"/>
      <c r="AT482" s="161"/>
      <c r="AU482" s="161"/>
      <c r="AV482" s="161"/>
      <c r="AW482" s="161"/>
      <c r="AX482" s="161"/>
      <c r="AY482" s="161"/>
      <c r="AZ482" s="161"/>
      <c r="BA482" s="161"/>
      <c r="BB482" s="161"/>
      <c r="BC482" s="161"/>
      <c r="BD482" s="161"/>
      <c r="BE482" s="161"/>
      <c r="BF482" s="161"/>
      <c r="BG482" s="161"/>
      <c r="BH482" s="161"/>
      <c r="BI482" s="161"/>
      <c r="BJ482" s="161"/>
      <c r="BK482" s="161"/>
      <c r="BL482" s="161"/>
      <c r="BM482" s="161"/>
      <c r="BN482" s="161"/>
      <c r="BO482" s="161"/>
      <c r="BP482" s="161"/>
      <c r="BQ482" s="161"/>
      <c r="BR482" s="161"/>
      <c r="BS482" s="161"/>
      <c r="BT482" s="161"/>
      <c r="BU482" s="161"/>
      <c r="BV482" s="161"/>
      <c r="BW482" s="161"/>
      <c r="BX482" s="161"/>
      <c r="BY482" s="161"/>
    </row>
    <row r="483" spans="1:77">
      <c r="A483" s="162"/>
      <c r="B483" s="162"/>
      <c r="C483" s="162"/>
      <c r="D483" s="162"/>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c r="AC483" s="162"/>
      <c r="AD483" s="162"/>
      <c r="AE483" s="162"/>
      <c r="AF483" s="162"/>
      <c r="AG483" s="162"/>
      <c r="AH483" s="162"/>
      <c r="AI483" s="162"/>
      <c r="AJ483" s="162"/>
      <c r="AK483" s="162"/>
      <c r="AL483" s="162"/>
      <c r="AM483" s="162"/>
      <c r="AN483" s="162"/>
      <c r="AO483" s="162"/>
      <c r="AP483" s="162"/>
      <c r="AQ483" s="162"/>
      <c r="AR483" s="162"/>
      <c r="AS483" s="162"/>
      <c r="AT483" s="161"/>
      <c r="AU483" s="161"/>
      <c r="AV483" s="161"/>
      <c r="AW483" s="161"/>
      <c r="AX483" s="161"/>
      <c r="AY483" s="161"/>
      <c r="AZ483" s="161"/>
      <c r="BA483" s="161"/>
      <c r="BB483" s="161"/>
      <c r="BC483" s="161"/>
      <c r="BD483" s="161"/>
      <c r="BE483" s="161"/>
      <c r="BF483" s="161"/>
      <c r="BG483" s="161"/>
      <c r="BH483" s="161"/>
      <c r="BI483" s="161"/>
      <c r="BJ483" s="161"/>
      <c r="BK483" s="161"/>
      <c r="BL483" s="161"/>
      <c r="BM483" s="161"/>
      <c r="BN483" s="161"/>
      <c r="BO483" s="161"/>
      <c r="BP483" s="161"/>
      <c r="BQ483" s="161"/>
      <c r="BR483" s="161"/>
      <c r="BS483" s="161"/>
      <c r="BT483" s="161"/>
      <c r="BU483" s="161"/>
      <c r="BV483" s="161"/>
      <c r="BW483" s="161"/>
      <c r="BX483" s="161"/>
      <c r="BY483" s="161"/>
    </row>
    <row r="484" spans="1:77">
      <c r="A484" s="162"/>
      <c r="B484" s="162"/>
      <c r="C484" s="162"/>
      <c r="D484" s="162"/>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c r="AC484" s="162"/>
      <c r="AD484" s="162"/>
      <c r="AE484" s="162"/>
      <c r="AF484" s="162"/>
      <c r="AG484" s="162"/>
      <c r="AH484" s="162"/>
      <c r="AI484" s="162"/>
      <c r="AJ484" s="162"/>
      <c r="AK484" s="162"/>
      <c r="AL484" s="162"/>
      <c r="AM484" s="162"/>
      <c r="AN484" s="162"/>
      <c r="AO484" s="162"/>
      <c r="AP484" s="162"/>
      <c r="AQ484" s="162"/>
      <c r="AR484" s="162"/>
      <c r="AS484" s="162"/>
      <c r="AT484" s="161"/>
      <c r="AU484" s="161"/>
      <c r="AV484" s="161"/>
      <c r="AW484" s="161"/>
      <c r="AX484" s="161"/>
      <c r="AY484" s="161"/>
      <c r="AZ484" s="161"/>
      <c r="BA484" s="161"/>
      <c r="BB484" s="161"/>
      <c r="BC484" s="161"/>
      <c r="BD484" s="161"/>
      <c r="BE484" s="161"/>
      <c r="BF484" s="161"/>
      <c r="BG484" s="161"/>
      <c r="BH484" s="161"/>
      <c r="BI484" s="161"/>
      <c r="BJ484" s="161"/>
      <c r="BK484" s="161"/>
      <c r="BL484" s="161"/>
      <c r="BM484" s="161"/>
      <c r="BN484" s="161"/>
      <c r="BO484" s="161"/>
      <c r="BP484" s="161"/>
      <c r="BQ484" s="161"/>
      <c r="BR484" s="161"/>
      <c r="BS484" s="161"/>
      <c r="BT484" s="161"/>
      <c r="BU484" s="161"/>
      <c r="BV484" s="161"/>
      <c r="BW484" s="161"/>
      <c r="BX484" s="161"/>
      <c r="BY484" s="161"/>
    </row>
    <row r="485" spans="1:77">
      <c r="A485" s="162"/>
      <c r="B485" s="162"/>
      <c r="C485" s="162"/>
      <c r="D485" s="162"/>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c r="AC485" s="162"/>
      <c r="AD485" s="162"/>
      <c r="AE485" s="162"/>
      <c r="AF485" s="162"/>
      <c r="AG485" s="162"/>
      <c r="AH485" s="162"/>
      <c r="AI485" s="162"/>
      <c r="AJ485" s="162"/>
      <c r="AK485" s="162"/>
      <c r="AL485" s="162"/>
      <c r="AM485" s="162"/>
      <c r="AN485" s="162"/>
      <c r="AO485" s="162"/>
      <c r="AP485" s="162"/>
      <c r="AQ485" s="162"/>
      <c r="AR485" s="162"/>
      <c r="AS485" s="162"/>
      <c r="AT485" s="161"/>
      <c r="AU485" s="161"/>
      <c r="AV485" s="161"/>
      <c r="AW485" s="161"/>
      <c r="AX485" s="161"/>
      <c r="AY485" s="161"/>
      <c r="AZ485" s="161"/>
      <c r="BA485" s="161"/>
      <c r="BB485" s="161"/>
      <c r="BC485" s="161"/>
      <c r="BD485" s="161"/>
      <c r="BE485" s="161"/>
      <c r="BF485" s="161"/>
      <c r="BG485" s="161"/>
      <c r="BH485" s="161"/>
      <c r="BI485" s="161"/>
      <c r="BJ485" s="161"/>
      <c r="BK485" s="161"/>
      <c r="BL485" s="161"/>
      <c r="BM485" s="161"/>
      <c r="BN485" s="161"/>
      <c r="BO485" s="161"/>
      <c r="BP485" s="161"/>
      <c r="BQ485" s="161"/>
      <c r="BR485" s="161"/>
      <c r="BS485" s="161"/>
      <c r="BT485" s="161"/>
      <c r="BU485" s="161"/>
      <c r="BV485" s="161"/>
      <c r="BW485" s="161"/>
      <c r="BX485" s="161"/>
      <c r="BY485" s="161"/>
    </row>
    <row r="486" spans="1:77">
      <c r="A486" s="162"/>
      <c r="B486" s="162"/>
      <c r="C486" s="162"/>
      <c r="D486" s="162"/>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c r="AC486" s="162"/>
      <c r="AD486" s="162"/>
      <c r="AE486" s="162"/>
      <c r="AF486" s="162"/>
      <c r="AG486" s="162"/>
      <c r="AH486" s="162"/>
      <c r="AI486" s="162"/>
      <c r="AJ486" s="162"/>
      <c r="AK486" s="162"/>
      <c r="AL486" s="162"/>
      <c r="AM486" s="162"/>
      <c r="AN486" s="162"/>
      <c r="AO486" s="162"/>
      <c r="AP486" s="162"/>
      <c r="AQ486" s="162"/>
      <c r="AR486" s="162"/>
      <c r="AS486" s="162"/>
      <c r="AT486" s="161"/>
      <c r="AU486" s="161"/>
      <c r="AV486" s="161"/>
      <c r="AW486" s="161"/>
      <c r="AX486" s="161"/>
      <c r="AY486" s="161"/>
      <c r="AZ486" s="161"/>
      <c r="BA486" s="161"/>
      <c r="BB486" s="161"/>
      <c r="BC486" s="161"/>
      <c r="BD486" s="161"/>
      <c r="BE486" s="161"/>
      <c r="BF486" s="161"/>
      <c r="BG486" s="161"/>
      <c r="BH486" s="161"/>
      <c r="BI486" s="161"/>
      <c r="BJ486" s="161"/>
      <c r="BK486" s="161"/>
      <c r="BL486" s="161"/>
      <c r="BM486" s="161"/>
      <c r="BN486" s="161"/>
      <c r="BO486" s="161"/>
      <c r="BP486" s="161"/>
      <c r="BQ486" s="161"/>
      <c r="BR486" s="161"/>
      <c r="BS486" s="161"/>
      <c r="BT486" s="161"/>
      <c r="BU486" s="161"/>
      <c r="BV486" s="161"/>
      <c r="BW486" s="161"/>
      <c r="BX486" s="161"/>
      <c r="BY486" s="161"/>
    </row>
    <row r="487" spans="1:77">
      <c r="A487" s="162"/>
      <c r="B487" s="162"/>
      <c r="C487" s="162"/>
      <c r="D487" s="162"/>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c r="AC487" s="162"/>
      <c r="AD487" s="162"/>
      <c r="AE487" s="162"/>
      <c r="AF487" s="162"/>
      <c r="AG487" s="162"/>
      <c r="AH487" s="162"/>
      <c r="AI487" s="162"/>
      <c r="AJ487" s="162"/>
      <c r="AK487" s="162"/>
      <c r="AL487" s="162"/>
      <c r="AM487" s="162"/>
      <c r="AN487" s="162"/>
      <c r="AO487" s="162"/>
      <c r="AP487" s="162"/>
      <c r="AQ487" s="162"/>
      <c r="AR487" s="162"/>
      <c r="AS487" s="162"/>
      <c r="AT487" s="161"/>
      <c r="AU487" s="161"/>
      <c r="AV487" s="161"/>
      <c r="AW487" s="161"/>
      <c r="AX487" s="161"/>
      <c r="AY487" s="161"/>
      <c r="AZ487" s="161"/>
      <c r="BA487" s="161"/>
      <c r="BB487" s="161"/>
      <c r="BC487" s="161"/>
      <c r="BD487" s="161"/>
      <c r="BE487" s="161"/>
      <c r="BF487" s="161"/>
      <c r="BG487" s="161"/>
      <c r="BH487" s="161"/>
      <c r="BI487" s="161"/>
      <c r="BJ487" s="161"/>
      <c r="BK487" s="161"/>
      <c r="BL487" s="161"/>
      <c r="BM487" s="161"/>
      <c r="BN487" s="161"/>
      <c r="BO487" s="161"/>
      <c r="BP487" s="161"/>
      <c r="BQ487" s="161"/>
      <c r="BR487" s="161"/>
      <c r="BS487" s="161"/>
      <c r="BT487" s="161"/>
      <c r="BU487" s="161"/>
      <c r="BV487" s="161"/>
      <c r="BW487" s="161"/>
      <c r="BX487" s="161"/>
      <c r="BY487" s="161"/>
    </row>
    <row r="488" spans="1:77">
      <c r="A488" s="162"/>
      <c r="B488" s="162"/>
      <c r="C488" s="162"/>
      <c r="D488" s="162"/>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c r="AC488" s="162"/>
      <c r="AD488" s="162"/>
      <c r="AE488" s="162"/>
      <c r="AF488" s="162"/>
      <c r="AG488" s="162"/>
      <c r="AH488" s="162"/>
      <c r="AI488" s="162"/>
      <c r="AJ488" s="162"/>
      <c r="AK488" s="162"/>
      <c r="AL488" s="162"/>
      <c r="AM488" s="162"/>
      <c r="AN488" s="162"/>
      <c r="AO488" s="162"/>
      <c r="AP488" s="162"/>
      <c r="AQ488" s="162"/>
      <c r="AR488" s="162"/>
      <c r="AS488" s="162"/>
      <c r="AT488" s="161"/>
      <c r="AU488" s="161"/>
      <c r="AV488" s="161"/>
      <c r="AW488" s="161"/>
      <c r="AX488" s="161"/>
      <c r="AY488" s="161"/>
      <c r="AZ488" s="161"/>
      <c r="BA488" s="161"/>
      <c r="BB488" s="161"/>
      <c r="BC488" s="161"/>
      <c r="BD488" s="161"/>
      <c r="BE488" s="161"/>
      <c r="BF488" s="161"/>
      <c r="BG488" s="161"/>
      <c r="BH488" s="161"/>
      <c r="BI488" s="161"/>
      <c r="BJ488" s="161"/>
      <c r="BK488" s="161"/>
      <c r="BL488" s="161"/>
      <c r="BM488" s="161"/>
      <c r="BN488" s="161"/>
      <c r="BO488" s="161"/>
      <c r="BP488" s="161"/>
      <c r="BQ488" s="161"/>
      <c r="BR488" s="161"/>
      <c r="BS488" s="161"/>
      <c r="BT488" s="161"/>
      <c r="BU488" s="161"/>
      <c r="BV488" s="161"/>
      <c r="BW488" s="161"/>
      <c r="BX488" s="161"/>
      <c r="BY488" s="161"/>
    </row>
    <row r="489" spans="1:77">
      <c r="A489" s="162"/>
      <c r="B489" s="162"/>
      <c r="C489" s="162"/>
      <c r="D489" s="162"/>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c r="AC489" s="162"/>
      <c r="AD489" s="162"/>
      <c r="AE489" s="162"/>
      <c r="AF489" s="162"/>
      <c r="AG489" s="162"/>
      <c r="AH489" s="162"/>
      <c r="AI489" s="162"/>
      <c r="AJ489" s="162"/>
      <c r="AK489" s="162"/>
      <c r="AL489" s="162"/>
      <c r="AM489" s="162"/>
      <c r="AN489" s="162"/>
      <c r="AO489" s="162"/>
      <c r="AP489" s="162"/>
      <c r="AQ489" s="162"/>
      <c r="AR489" s="162"/>
      <c r="AS489" s="162"/>
      <c r="AT489" s="161"/>
      <c r="AU489" s="161"/>
      <c r="AV489" s="161"/>
      <c r="AW489" s="161"/>
      <c r="AX489" s="161"/>
      <c r="AY489" s="161"/>
      <c r="AZ489" s="161"/>
      <c r="BA489" s="161"/>
      <c r="BB489" s="161"/>
      <c r="BC489" s="161"/>
      <c r="BD489" s="161"/>
      <c r="BE489" s="161"/>
      <c r="BF489" s="161"/>
      <c r="BG489" s="161"/>
      <c r="BH489" s="161"/>
      <c r="BI489" s="161"/>
      <c r="BJ489" s="161"/>
      <c r="BK489" s="161"/>
      <c r="BL489" s="161"/>
      <c r="BM489" s="161"/>
      <c r="BN489" s="161"/>
      <c r="BO489" s="161"/>
      <c r="BP489" s="161"/>
      <c r="BQ489" s="161"/>
      <c r="BR489" s="161"/>
      <c r="BS489" s="161"/>
      <c r="BT489" s="161"/>
      <c r="BU489" s="161"/>
      <c r="BV489" s="161"/>
      <c r="BW489" s="161"/>
      <c r="BX489" s="161"/>
      <c r="BY489" s="161"/>
    </row>
    <row r="490" spans="1:77">
      <c r="A490" s="162"/>
      <c r="B490" s="162"/>
      <c r="C490" s="162"/>
      <c r="D490" s="162"/>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c r="AC490" s="162"/>
      <c r="AD490" s="162"/>
      <c r="AE490" s="162"/>
      <c r="AF490" s="162"/>
      <c r="AG490" s="162"/>
      <c r="AH490" s="162"/>
      <c r="AI490" s="162"/>
      <c r="AJ490" s="162"/>
      <c r="AK490" s="162"/>
      <c r="AL490" s="162"/>
      <c r="AM490" s="162"/>
      <c r="AN490" s="162"/>
      <c r="AO490" s="162"/>
      <c r="AP490" s="162"/>
      <c r="AQ490" s="162"/>
      <c r="AR490" s="162"/>
      <c r="AS490" s="162"/>
      <c r="AT490" s="161"/>
      <c r="AU490" s="161"/>
      <c r="AV490" s="161"/>
      <c r="AW490" s="161"/>
      <c r="AX490" s="161"/>
      <c r="AY490" s="161"/>
      <c r="AZ490" s="161"/>
      <c r="BA490" s="161"/>
      <c r="BB490" s="161"/>
      <c r="BC490" s="161"/>
      <c r="BD490" s="161"/>
      <c r="BE490" s="161"/>
      <c r="BF490" s="161"/>
      <c r="BG490" s="161"/>
      <c r="BH490" s="161"/>
      <c r="BI490" s="161"/>
      <c r="BJ490" s="161"/>
      <c r="BK490" s="161"/>
      <c r="BL490" s="161"/>
      <c r="BM490" s="161"/>
      <c r="BN490" s="161"/>
      <c r="BO490" s="161"/>
      <c r="BP490" s="161"/>
      <c r="BQ490" s="161"/>
      <c r="BR490" s="161"/>
      <c r="BS490" s="161"/>
      <c r="BT490" s="161"/>
      <c r="BU490" s="161"/>
      <c r="BV490" s="161"/>
      <c r="BW490" s="161"/>
      <c r="BX490" s="161"/>
      <c r="BY490" s="161"/>
    </row>
    <row r="491" spans="1:77">
      <c r="A491" s="162"/>
      <c r="B491" s="162"/>
      <c r="C491" s="162"/>
      <c r="D491" s="162"/>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c r="AC491" s="162"/>
      <c r="AD491" s="162"/>
      <c r="AE491" s="162"/>
      <c r="AF491" s="162"/>
      <c r="AG491" s="162"/>
      <c r="AH491" s="162"/>
      <c r="AI491" s="162"/>
      <c r="AJ491" s="162"/>
      <c r="AK491" s="162"/>
      <c r="AL491" s="162"/>
      <c r="AM491" s="162"/>
      <c r="AN491" s="162"/>
      <c r="AO491" s="162"/>
      <c r="AP491" s="162"/>
      <c r="AQ491" s="162"/>
      <c r="AR491" s="162"/>
      <c r="AS491" s="162"/>
      <c r="AT491" s="161"/>
      <c r="AU491" s="161"/>
      <c r="AV491" s="161"/>
      <c r="AW491" s="161"/>
      <c r="AX491" s="161"/>
      <c r="AY491" s="161"/>
      <c r="AZ491" s="161"/>
      <c r="BA491" s="161"/>
      <c r="BB491" s="161"/>
      <c r="BC491" s="161"/>
      <c r="BD491" s="161"/>
      <c r="BE491" s="161"/>
      <c r="BF491" s="161"/>
      <c r="BG491" s="161"/>
      <c r="BH491" s="161"/>
      <c r="BI491" s="161"/>
      <c r="BJ491" s="161"/>
      <c r="BK491" s="161"/>
      <c r="BL491" s="161"/>
      <c r="BM491" s="161"/>
      <c r="BN491" s="161"/>
      <c r="BO491" s="161"/>
      <c r="BP491" s="161"/>
      <c r="BQ491" s="161"/>
      <c r="BR491" s="161"/>
      <c r="BS491" s="161"/>
      <c r="BT491" s="161"/>
      <c r="BU491" s="161"/>
      <c r="BV491" s="161"/>
      <c r="BW491" s="161"/>
      <c r="BX491" s="161"/>
      <c r="BY491" s="161"/>
    </row>
    <row r="492" spans="1:77">
      <c r="A492" s="162"/>
      <c r="B492" s="162"/>
      <c r="C492" s="162"/>
      <c r="D492" s="162"/>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c r="AC492" s="162"/>
      <c r="AD492" s="162"/>
      <c r="AE492" s="162"/>
      <c r="AF492" s="162"/>
      <c r="AG492" s="162"/>
      <c r="AH492" s="162"/>
      <c r="AI492" s="162"/>
      <c r="AJ492" s="162"/>
      <c r="AK492" s="162"/>
      <c r="AL492" s="162"/>
      <c r="AM492" s="162"/>
      <c r="AN492" s="162"/>
      <c r="AO492" s="162"/>
      <c r="AP492" s="162"/>
      <c r="AQ492" s="162"/>
      <c r="AR492" s="162"/>
      <c r="AS492" s="162"/>
      <c r="AT492" s="161"/>
      <c r="AU492" s="161"/>
      <c r="AV492" s="161"/>
      <c r="AW492" s="161"/>
      <c r="AX492" s="161"/>
      <c r="AY492" s="161"/>
      <c r="AZ492" s="161"/>
      <c r="BA492" s="161"/>
      <c r="BB492" s="161"/>
      <c r="BC492" s="161"/>
      <c r="BD492" s="161"/>
      <c r="BE492" s="161"/>
      <c r="BF492" s="161"/>
      <c r="BG492" s="161"/>
      <c r="BH492" s="161"/>
      <c r="BI492" s="161"/>
      <c r="BJ492" s="161"/>
      <c r="BK492" s="161"/>
      <c r="BL492" s="161"/>
      <c r="BM492" s="161"/>
      <c r="BN492" s="161"/>
      <c r="BO492" s="161"/>
      <c r="BP492" s="161"/>
      <c r="BQ492" s="161"/>
      <c r="BR492" s="161"/>
      <c r="BS492" s="161"/>
      <c r="BT492" s="161"/>
      <c r="BU492" s="161"/>
      <c r="BV492" s="161"/>
      <c r="BW492" s="161"/>
      <c r="BX492" s="161"/>
      <c r="BY492" s="161"/>
    </row>
    <row r="493" spans="1:77">
      <c r="A493" s="162"/>
      <c r="B493" s="162"/>
      <c r="C493" s="162"/>
      <c r="D493" s="162"/>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c r="AC493" s="162"/>
      <c r="AD493" s="162"/>
      <c r="AE493" s="162"/>
      <c r="AF493" s="162"/>
      <c r="AG493" s="162"/>
      <c r="AH493" s="162"/>
      <c r="AI493" s="162"/>
      <c r="AJ493" s="162"/>
      <c r="AK493" s="162"/>
      <c r="AL493" s="162"/>
      <c r="AM493" s="162"/>
      <c r="AN493" s="162"/>
      <c r="AO493" s="162"/>
      <c r="AP493" s="162"/>
      <c r="AQ493" s="162"/>
      <c r="AR493" s="162"/>
      <c r="AS493" s="162"/>
      <c r="AT493" s="161"/>
      <c r="AU493" s="161"/>
      <c r="AV493" s="161"/>
      <c r="AW493" s="161"/>
      <c r="AX493" s="161"/>
      <c r="AY493" s="161"/>
      <c r="AZ493" s="161"/>
      <c r="BA493" s="161"/>
      <c r="BB493" s="161"/>
      <c r="BC493" s="161"/>
      <c r="BD493" s="161"/>
      <c r="BE493" s="161"/>
      <c r="BF493" s="161"/>
      <c r="BG493" s="161"/>
      <c r="BH493" s="161"/>
      <c r="BI493" s="161"/>
      <c r="BJ493" s="161"/>
      <c r="BK493" s="161"/>
      <c r="BL493" s="161"/>
      <c r="BM493" s="161"/>
      <c r="BN493" s="161"/>
      <c r="BO493" s="161"/>
      <c r="BP493" s="161"/>
      <c r="BQ493" s="161"/>
      <c r="BR493" s="161"/>
      <c r="BS493" s="161"/>
      <c r="BT493" s="161"/>
      <c r="BU493" s="161"/>
      <c r="BV493" s="161"/>
      <c r="BW493" s="161"/>
      <c r="BX493" s="161"/>
      <c r="BY493" s="161"/>
    </row>
    <row r="494" spans="1:77">
      <c r="A494" s="162"/>
      <c r="B494" s="162"/>
      <c r="C494" s="162"/>
      <c r="D494" s="162"/>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c r="AC494" s="162"/>
      <c r="AD494" s="162"/>
      <c r="AE494" s="162"/>
      <c r="AF494" s="162"/>
      <c r="AG494" s="162"/>
      <c r="AH494" s="162"/>
      <c r="AI494" s="162"/>
      <c r="AJ494" s="162"/>
      <c r="AK494" s="162"/>
      <c r="AL494" s="162"/>
      <c r="AM494" s="162"/>
      <c r="AN494" s="162"/>
      <c r="AO494" s="162"/>
      <c r="AP494" s="162"/>
      <c r="AQ494" s="162"/>
      <c r="AR494" s="162"/>
      <c r="AS494" s="162"/>
      <c r="AT494" s="161"/>
      <c r="AU494" s="161"/>
      <c r="AV494" s="161"/>
      <c r="AW494" s="161"/>
      <c r="AX494" s="161"/>
      <c r="AY494" s="161"/>
      <c r="AZ494" s="161"/>
      <c r="BA494" s="161"/>
      <c r="BB494" s="161"/>
      <c r="BC494" s="161"/>
      <c r="BD494" s="161"/>
      <c r="BE494" s="161"/>
      <c r="BF494" s="161"/>
      <c r="BG494" s="161"/>
      <c r="BH494" s="161"/>
      <c r="BI494" s="161"/>
      <c r="BJ494" s="161"/>
      <c r="BK494" s="161"/>
      <c r="BL494" s="161"/>
      <c r="BM494" s="161"/>
      <c r="BN494" s="161"/>
      <c r="BO494" s="161"/>
      <c r="BP494" s="161"/>
      <c r="BQ494" s="161"/>
      <c r="BR494" s="161"/>
      <c r="BS494" s="161"/>
      <c r="BT494" s="161"/>
      <c r="BU494" s="161"/>
      <c r="BV494" s="161"/>
      <c r="BW494" s="161"/>
      <c r="BX494" s="161"/>
      <c r="BY494" s="161"/>
    </row>
    <row r="495" spans="1:77">
      <c r="A495" s="162"/>
      <c r="B495" s="162"/>
      <c r="C495" s="162"/>
      <c r="D495" s="162"/>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c r="AC495" s="162"/>
      <c r="AD495" s="162"/>
      <c r="AE495" s="162"/>
      <c r="AF495" s="162"/>
      <c r="AG495" s="162"/>
      <c r="AH495" s="162"/>
      <c r="AI495" s="162"/>
      <c r="AJ495" s="162"/>
      <c r="AK495" s="162"/>
      <c r="AL495" s="162"/>
      <c r="AM495" s="162"/>
      <c r="AN495" s="162"/>
      <c r="AO495" s="162"/>
      <c r="AP495" s="162"/>
      <c r="AQ495" s="162"/>
      <c r="AR495" s="162"/>
      <c r="AS495" s="162"/>
      <c r="AT495" s="161"/>
      <c r="AU495" s="161"/>
      <c r="AV495" s="161"/>
      <c r="AW495" s="161"/>
      <c r="AX495" s="161"/>
      <c r="AY495" s="161"/>
      <c r="AZ495" s="161"/>
      <c r="BA495" s="161"/>
      <c r="BB495" s="161"/>
      <c r="BC495" s="161"/>
      <c r="BD495" s="161"/>
      <c r="BE495" s="161"/>
      <c r="BF495" s="161"/>
      <c r="BG495" s="161"/>
      <c r="BH495" s="161"/>
      <c r="BI495" s="161"/>
      <c r="BJ495" s="161"/>
      <c r="BK495" s="161"/>
      <c r="BL495" s="161"/>
      <c r="BM495" s="161"/>
      <c r="BN495" s="161"/>
      <c r="BO495" s="161"/>
      <c r="BP495" s="161"/>
      <c r="BQ495" s="161"/>
      <c r="BR495" s="161"/>
      <c r="BS495" s="161"/>
      <c r="BT495" s="161"/>
      <c r="BU495" s="161"/>
      <c r="BV495" s="161"/>
      <c r="BW495" s="161"/>
      <c r="BX495" s="161"/>
      <c r="BY495" s="161"/>
    </row>
    <row r="496" spans="1:77">
      <c r="A496" s="162"/>
      <c r="B496" s="162"/>
      <c r="C496" s="162"/>
      <c r="D496" s="162"/>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c r="AC496" s="162"/>
      <c r="AD496" s="162"/>
      <c r="AE496" s="162"/>
      <c r="AF496" s="162"/>
      <c r="AG496" s="162"/>
      <c r="AH496" s="162"/>
      <c r="AI496" s="162"/>
      <c r="AJ496" s="162"/>
      <c r="AK496" s="162"/>
      <c r="AL496" s="162"/>
      <c r="AM496" s="162"/>
      <c r="AN496" s="162"/>
      <c r="AO496" s="162"/>
      <c r="AP496" s="162"/>
      <c r="AQ496" s="162"/>
      <c r="AR496" s="162"/>
      <c r="AS496" s="162"/>
      <c r="AT496" s="161"/>
      <c r="AU496" s="161"/>
      <c r="AV496" s="161"/>
      <c r="AW496" s="161"/>
      <c r="AX496" s="161"/>
      <c r="AY496" s="161"/>
      <c r="AZ496" s="161"/>
      <c r="BA496" s="161"/>
      <c r="BB496" s="161"/>
      <c r="BC496" s="161"/>
      <c r="BD496" s="161"/>
      <c r="BE496" s="161"/>
      <c r="BF496" s="161"/>
      <c r="BG496" s="161"/>
      <c r="BH496" s="161"/>
      <c r="BI496" s="161"/>
      <c r="BJ496" s="161"/>
      <c r="BK496" s="161"/>
      <c r="BL496" s="161"/>
      <c r="BM496" s="161"/>
      <c r="BN496" s="161"/>
      <c r="BO496" s="161"/>
      <c r="BP496" s="161"/>
      <c r="BQ496" s="161"/>
      <c r="BR496" s="161"/>
      <c r="BS496" s="161"/>
      <c r="BT496" s="161"/>
      <c r="BU496" s="161"/>
      <c r="BV496" s="161"/>
      <c r="BW496" s="161"/>
      <c r="BX496" s="161"/>
      <c r="BY496" s="161"/>
    </row>
    <row r="497" spans="1:77">
      <c r="A497" s="162"/>
      <c r="B497" s="162"/>
      <c r="C497" s="162"/>
      <c r="D497" s="162"/>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c r="AC497" s="162"/>
      <c r="AD497" s="162"/>
      <c r="AE497" s="162"/>
      <c r="AF497" s="162"/>
      <c r="AG497" s="162"/>
      <c r="AH497" s="162"/>
      <c r="AI497" s="162"/>
      <c r="AJ497" s="162"/>
      <c r="AK497" s="162"/>
      <c r="AL497" s="162"/>
      <c r="AM497" s="162"/>
      <c r="AN497" s="162"/>
      <c r="AO497" s="162"/>
      <c r="AP497" s="162"/>
      <c r="AQ497" s="162"/>
      <c r="AR497" s="162"/>
      <c r="AS497" s="162"/>
      <c r="AT497" s="161"/>
      <c r="AU497" s="161"/>
      <c r="AV497" s="161"/>
      <c r="AW497" s="161"/>
      <c r="AX497" s="161"/>
      <c r="AY497" s="161"/>
      <c r="AZ497" s="161"/>
      <c r="BA497" s="161"/>
      <c r="BB497" s="161"/>
      <c r="BC497" s="161"/>
      <c r="BD497" s="161"/>
      <c r="BE497" s="161"/>
      <c r="BF497" s="161"/>
      <c r="BG497" s="161"/>
      <c r="BH497" s="161"/>
      <c r="BI497" s="161"/>
      <c r="BJ497" s="161"/>
      <c r="BK497" s="161"/>
      <c r="BL497" s="161"/>
      <c r="BM497" s="161"/>
      <c r="BN497" s="161"/>
      <c r="BO497" s="161"/>
      <c r="BP497" s="161"/>
      <c r="BQ497" s="161"/>
      <c r="BR497" s="161"/>
      <c r="BS497" s="161"/>
      <c r="BT497" s="161"/>
      <c r="BU497" s="161"/>
      <c r="BV497" s="161"/>
      <c r="BW497" s="161"/>
      <c r="BX497" s="161"/>
      <c r="BY497" s="161"/>
    </row>
    <row r="498" spans="1:77">
      <c r="A498" s="162"/>
      <c r="B498" s="162"/>
      <c r="C498" s="162"/>
      <c r="D498" s="162"/>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c r="AC498" s="162"/>
      <c r="AD498" s="162"/>
      <c r="AE498" s="162"/>
      <c r="AF498" s="162"/>
      <c r="AG498" s="162"/>
      <c r="AH498" s="162"/>
      <c r="AI498" s="162"/>
      <c r="AJ498" s="162"/>
      <c r="AK498" s="162"/>
      <c r="AL498" s="162"/>
      <c r="AM498" s="162"/>
      <c r="AN498" s="162"/>
      <c r="AO498" s="162"/>
      <c r="AP498" s="162"/>
      <c r="AQ498" s="162"/>
      <c r="AR498" s="162"/>
      <c r="AS498" s="162"/>
      <c r="AT498" s="161"/>
      <c r="AU498" s="161"/>
      <c r="AV498" s="161"/>
      <c r="AW498" s="161"/>
      <c r="AX498" s="161"/>
      <c r="AY498" s="161"/>
      <c r="AZ498" s="161"/>
      <c r="BA498" s="161"/>
      <c r="BB498" s="161"/>
      <c r="BC498" s="161"/>
      <c r="BD498" s="161"/>
      <c r="BE498" s="161"/>
      <c r="BF498" s="161"/>
      <c r="BG498" s="161"/>
      <c r="BH498" s="161"/>
      <c r="BI498" s="161"/>
      <c r="BJ498" s="161"/>
      <c r="BK498" s="161"/>
      <c r="BL498" s="161"/>
      <c r="BM498" s="161"/>
      <c r="BN498" s="161"/>
      <c r="BO498" s="161"/>
      <c r="BP498" s="161"/>
      <c r="BQ498" s="161"/>
      <c r="BR498" s="161"/>
      <c r="BS498" s="161"/>
      <c r="BT498" s="161"/>
      <c r="BU498" s="161"/>
      <c r="BV498" s="161"/>
      <c r="BW498" s="161"/>
      <c r="BX498" s="161"/>
      <c r="BY498" s="161"/>
    </row>
    <row r="499" spans="1:77">
      <c r="A499" s="162"/>
      <c r="B499" s="162"/>
      <c r="C499" s="162"/>
      <c r="D499" s="162"/>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c r="AC499" s="162"/>
      <c r="AD499" s="162"/>
      <c r="AE499" s="162"/>
      <c r="AF499" s="162"/>
      <c r="AG499" s="162"/>
      <c r="AH499" s="162"/>
      <c r="AI499" s="162"/>
      <c r="AJ499" s="162"/>
      <c r="AK499" s="162"/>
      <c r="AL499" s="162"/>
      <c r="AM499" s="162"/>
      <c r="AN499" s="162"/>
      <c r="AO499" s="162"/>
      <c r="AP499" s="162"/>
      <c r="AQ499" s="162"/>
      <c r="AR499" s="162"/>
      <c r="AS499" s="162"/>
      <c r="AT499" s="161"/>
      <c r="AU499" s="161"/>
      <c r="AV499" s="161"/>
      <c r="AW499" s="161"/>
      <c r="AX499" s="161"/>
      <c r="AY499" s="161"/>
      <c r="AZ499" s="161"/>
      <c r="BA499" s="161"/>
      <c r="BB499" s="161"/>
      <c r="BC499" s="161"/>
      <c r="BD499" s="161"/>
      <c r="BE499" s="161"/>
      <c r="BF499" s="161"/>
      <c r="BG499" s="161"/>
      <c r="BH499" s="161"/>
      <c r="BI499" s="161"/>
      <c r="BJ499" s="161"/>
      <c r="BK499" s="161"/>
      <c r="BL499" s="161"/>
      <c r="BM499" s="161"/>
      <c r="BN499" s="161"/>
      <c r="BO499" s="161"/>
      <c r="BP499" s="161"/>
      <c r="BQ499" s="161"/>
      <c r="BR499" s="161"/>
      <c r="BS499" s="161"/>
      <c r="BT499" s="161"/>
      <c r="BU499" s="161"/>
      <c r="BV499" s="161"/>
      <c r="BW499" s="161"/>
      <c r="BX499" s="161"/>
      <c r="BY499" s="161"/>
    </row>
    <row r="500" spans="1:77">
      <c r="A500" s="162"/>
      <c r="B500" s="162"/>
      <c r="C500" s="162"/>
      <c r="D500" s="162"/>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c r="AC500" s="162"/>
      <c r="AD500" s="162"/>
      <c r="AE500" s="162"/>
      <c r="AF500" s="162"/>
      <c r="AG500" s="162"/>
      <c r="AH500" s="162"/>
      <c r="AI500" s="162"/>
      <c r="AJ500" s="162"/>
      <c r="AK500" s="162"/>
      <c r="AL500" s="162"/>
      <c r="AM500" s="162"/>
      <c r="AN500" s="162"/>
      <c r="AO500" s="162"/>
      <c r="AP500" s="162"/>
      <c r="AQ500" s="162"/>
      <c r="AR500" s="162"/>
      <c r="AS500" s="162"/>
      <c r="AT500" s="161"/>
      <c r="AU500" s="161"/>
      <c r="AV500" s="161"/>
      <c r="AW500" s="161"/>
      <c r="AX500" s="161"/>
      <c r="AY500" s="161"/>
      <c r="AZ500" s="161"/>
      <c r="BA500" s="161"/>
      <c r="BB500" s="161"/>
      <c r="BC500" s="161"/>
      <c r="BD500" s="161"/>
      <c r="BE500" s="161"/>
      <c r="BF500" s="161"/>
      <c r="BG500" s="161"/>
      <c r="BH500" s="161"/>
      <c r="BI500" s="161"/>
      <c r="BJ500" s="161"/>
      <c r="BK500" s="161"/>
      <c r="BL500" s="161"/>
      <c r="BM500" s="161"/>
      <c r="BN500" s="161"/>
      <c r="BO500" s="161"/>
      <c r="BP500" s="161"/>
      <c r="BQ500" s="161"/>
      <c r="BR500" s="161"/>
      <c r="BS500" s="161"/>
      <c r="BT500" s="161"/>
      <c r="BU500" s="161"/>
      <c r="BV500" s="161"/>
      <c r="BW500" s="161"/>
      <c r="BX500" s="161"/>
      <c r="BY500" s="161"/>
    </row>
    <row r="501" spans="1:77">
      <c r="A501" s="162"/>
      <c r="B501" s="162"/>
      <c r="C501" s="162"/>
      <c r="D501" s="162"/>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c r="AC501" s="162"/>
      <c r="AD501" s="162"/>
      <c r="AE501" s="162"/>
      <c r="AF501" s="162"/>
      <c r="AG501" s="162"/>
      <c r="AH501" s="162"/>
      <c r="AI501" s="162"/>
      <c r="AJ501" s="162"/>
      <c r="AK501" s="162"/>
      <c r="AL501" s="162"/>
      <c r="AM501" s="162"/>
      <c r="AN501" s="162"/>
      <c r="AO501" s="162"/>
      <c r="AP501" s="162"/>
      <c r="AQ501" s="162"/>
      <c r="AR501" s="162"/>
      <c r="AS501" s="162"/>
      <c r="AT501" s="161"/>
      <c r="AU501" s="161"/>
      <c r="AV501" s="161"/>
      <c r="AW501" s="161"/>
      <c r="AX501" s="161"/>
      <c r="AY501" s="161"/>
      <c r="AZ501" s="161"/>
      <c r="BA501" s="161"/>
      <c r="BB501" s="161"/>
      <c r="BC501" s="161"/>
      <c r="BD501" s="161"/>
      <c r="BE501" s="161"/>
      <c r="BF501" s="161"/>
      <c r="BG501" s="161"/>
      <c r="BH501" s="161"/>
      <c r="BI501" s="161"/>
      <c r="BJ501" s="161"/>
      <c r="BK501" s="161"/>
      <c r="BL501" s="161"/>
      <c r="BM501" s="161"/>
      <c r="BN501" s="161"/>
      <c r="BO501" s="161"/>
      <c r="BP501" s="161"/>
      <c r="BQ501" s="161"/>
      <c r="BR501" s="161"/>
      <c r="BS501" s="161"/>
      <c r="BT501" s="161"/>
      <c r="BU501" s="161"/>
      <c r="BV501" s="161"/>
      <c r="BW501" s="161"/>
      <c r="BX501" s="161"/>
      <c r="BY501" s="161"/>
    </row>
    <row r="502" spans="1:77">
      <c r="A502" s="162"/>
      <c r="B502" s="162"/>
      <c r="C502" s="162"/>
      <c r="D502" s="162"/>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c r="AC502" s="162"/>
      <c r="AD502" s="162"/>
      <c r="AE502" s="162"/>
      <c r="AF502" s="162"/>
      <c r="AG502" s="162"/>
      <c r="AH502" s="162"/>
      <c r="AI502" s="162"/>
      <c r="AJ502" s="162"/>
      <c r="AK502" s="162"/>
      <c r="AL502" s="162"/>
      <c r="AM502" s="162"/>
      <c r="AN502" s="162"/>
      <c r="AO502" s="162"/>
      <c r="AP502" s="162"/>
      <c r="AQ502" s="162"/>
      <c r="AR502" s="162"/>
      <c r="AS502" s="162"/>
      <c r="AT502" s="161"/>
      <c r="AU502" s="161"/>
      <c r="AV502" s="161"/>
      <c r="AW502" s="161"/>
      <c r="AX502" s="161"/>
      <c r="AY502" s="161"/>
      <c r="AZ502" s="161"/>
      <c r="BA502" s="161"/>
      <c r="BB502" s="161"/>
      <c r="BC502" s="161"/>
      <c r="BD502" s="161"/>
      <c r="BE502" s="161"/>
      <c r="BF502" s="161"/>
      <c r="BG502" s="161"/>
      <c r="BH502" s="161"/>
      <c r="BI502" s="161"/>
      <c r="BJ502" s="161"/>
      <c r="BK502" s="161"/>
      <c r="BL502" s="161"/>
      <c r="BM502" s="161"/>
      <c r="BN502" s="161"/>
      <c r="BO502" s="161"/>
      <c r="BP502" s="161"/>
      <c r="BQ502" s="161"/>
      <c r="BR502" s="161"/>
      <c r="BS502" s="161"/>
      <c r="BT502" s="161"/>
      <c r="BU502" s="161"/>
      <c r="BV502" s="161"/>
      <c r="BW502" s="161"/>
      <c r="BX502" s="161"/>
      <c r="BY502" s="161"/>
    </row>
    <row r="503" spans="1:77">
      <c r="A503" s="162"/>
      <c r="B503" s="162"/>
      <c r="C503" s="162"/>
      <c r="D503" s="162"/>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c r="AC503" s="162"/>
      <c r="AD503" s="162"/>
      <c r="AE503" s="162"/>
      <c r="AF503" s="162"/>
      <c r="AG503" s="162"/>
      <c r="AH503" s="162"/>
      <c r="AI503" s="162"/>
      <c r="AJ503" s="162"/>
      <c r="AK503" s="162"/>
      <c r="AL503" s="162"/>
      <c r="AM503" s="162"/>
      <c r="AN503" s="162"/>
      <c r="AO503" s="162"/>
      <c r="AP503" s="162"/>
      <c r="AQ503" s="162"/>
      <c r="AR503" s="162"/>
      <c r="AS503" s="162"/>
      <c r="AT503" s="161"/>
      <c r="AU503" s="161"/>
      <c r="AV503" s="161"/>
      <c r="AW503" s="161"/>
      <c r="AX503" s="161"/>
      <c r="AY503" s="161"/>
      <c r="AZ503" s="161"/>
      <c r="BA503" s="161"/>
      <c r="BB503" s="161"/>
      <c r="BC503" s="161"/>
      <c r="BD503" s="161"/>
      <c r="BE503" s="161"/>
      <c r="BF503" s="161"/>
      <c r="BG503" s="161"/>
      <c r="BH503" s="161"/>
      <c r="BI503" s="161"/>
      <c r="BJ503" s="161"/>
      <c r="BK503" s="161"/>
      <c r="BL503" s="161"/>
      <c r="BM503" s="161"/>
      <c r="BN503" s="161"/>
      <c r="BO503" s="161"/>
      <c r="BP503" s="161"/>
      <c r="BQ503" s="161"/>
      <c r="BR503" s="161"/>
      <c r="BS503" s="161"/>
      <c r="BT503" s="161"/>
      <c r="BU503" s="161"/>
      <c r="BV503" s="161"/>
      <c r="BW503" s="161"/>
      <c r="BX503" s="161"/>
      <c r="BY503" s="161"/>
    </row>
    <row r="504" spans="1:77">
      <c r="A504" s="162"/>
      <c r="B504" s="162"/>
      <c r="C504" s="162"/>
      <c r="D504" s="162"/>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c r="AC504" s="162"/>
      <c r="AD504" s="162"/>
      <c r="AE504" s="162"/>
      <c r="AF504" s="162"/>
      <c r="AG504" s="162"/>
      <c r="AH504" s="162"/>
      <c r="AI504" s="162"/>
      <c r="AJ504" s="162"/>
      <c r="AK504" s="162"/>
      <c r="AL504" s="162"/>
      <c r="AM504" s="162"/>
      <c r="AN504" s="162"/>
      <c r="AO504" s="162"/>
      <c r="AP504" s="162"/>
      <c r="AQ504" s="162"/>
      <c r="AR504" s="162"/>
      <c r="AS504" s="162"/>
      <c r="AT504" s="161"/>
      <c r="AU504" s="161"/>
      <c r="AV504" s="161"/>
      <c r="AW504" s="161"/>
      <c r="AX504" s="161"/>
      <c r="AY504" s="161"/>
      <c r="AZ504" s="161"/>
      <c r="BA504" s="161"/>
      <c r="BB504" s="161"/>
      <c r="BC504" s="161"/>
      <c r="BD504" s="161"/>
      <c r="BE504" s="161"/>
      <c r="BF504" s="161"/>
      <c r="BG504" s="161"/>
      <c r="BH504" s="161"/>
      <c r="BI504" s="161"/>
      <c r="BJ504" s="161"/>
      <c r="BK504" s="161"/>
      <c r="BL504" s="161"/>
      <c r="BM504" s="161"/>
      <c r="BN504" s="161"/>
      <c r="BO504" s="161"/>
      <c r="BP504" s="161"/>
      <c r="BQ504" s="161"/>
      <c r="BR504" s="161"/>
      <c r="BS504" s="161"/>
      <c r="BT504" s="161"/>
      <c r="BU504" s="161"/>
      <c r="BV504" s="161"/>
      <c r="BW504" s="161"/>
      <c r="BX504" s="161"/>
      <c r="BY504" s="161"/>
    </row>
    <row r="505" spans="1:77">
      <c r="A505" s="162"/>
      <c r="B505" s="162"/>
      <c r="C505" s="162"/>
      <c r="D505" s="162"/>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c r="AC505" s="162"/>
      <c r="AD505" s="162"/>
      <c r="AE505" s="162"/>
      <c r="AF505" s="162"/>
      <c r="AG505" s="162"/>
      <c r="AH505" s="162"/>
      <c r="AI505" s="162"/>
      <c r="AJ505" s="162"/>
      <c r="AK505" s="162"/>
      <c r="AL505" s="162"/>
      <c r="AM505" s="162"/>
      <c r="AN505" s="162"/>
      <c r="AO505" s="162"/>
      <c r="AP505" s="162"/>
      <c r="AQ505" s="162"/>
      <c r="AR505" s="162"/>
      <c r="AS505" s="162"/>
      <c r="AT505" s="161"/>
      <c r="AU505" s="161"/>
      <c r="AV505" s="161"/>
      <c r="AW505" s="161"/>
      <c r="AX505" s="161"/>
      <c r="AY505" s="161"/>
      <c r="AZ505" s="161"/>
      <c r="BA505" s="161"/>
      <c r="BB505" s="161"/>
      <c r="BC505" s="161"/>
      <c r="BD505" s="161"/>
      <c r="BE505" s="161"/>
      <c r="BF505" s="161"/>
      <c r="BG505" s="161"/>
      <c r="BH505" s="161"/>
      <c r="BI505" s="161"/>
      <c r="BJ505" s="161"/>
      <c r="BK505" s="161"/>
      <c r="BL505" s="161"/>
      <c r="BM505" s="161"/>
      <c r="BN505" s="161"/>
      <c r="BO505" s="161"/>
      <c r="BP505" s="161"/>
      <c r="BQ505" s="161"/>
      <c r="BR505" s="161"/>
      <c r="BS505" s="161"/>
      <c r="BT505" s="161"/>
      <c r="BU505" s="161"/>
      <c r="BV505" s="161"/>
      <c r="BW505" s="161"/>
      <c r="BX505" s="161"/>
      <c r="BY505" s="161"/>
    </row>
    <row r="506" spans="1:77">
      <c r="A506" s="162"/>
      <c r="B506" s="162"/>
      <c r="C506" s="162"/>
      <c r="D506" s="162"/>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c r="AC506" s="162"/>
      <c r="AD506" s="162"/>
      <c r="AE506" s="162"/>
      <c r="AF506" s="162"/>
      <c r="AG506" s="162"/>
      <c r="AH506" s="162"/>
      <c r="AI506" s="162"/>
      <c r="AJ506" s="162"/>
      <c r="AK506" s="162"/>
      <c r="AL506" s="162"/>
      <c r="AM506" s="162"/>
      <c r="AN506" s="162"/>
      <c r="AO506" s="162"/>
      <c r="AP506" s="162"/>
      <c r="AQ506" s="162"/>
      <c r="AR506" s="162"/>
      <c r="AS506" s="162"/>
      <c r="AT506" s="161"/>
      <c r="AU506" s="161"/>
      <c r="AV506" s="161"/>
      <c r="AW506" s="161"/>
      <c r="AX506" s="161"/>
      <c r="AY506" s="161"/>
      <c r="AZ506" s="161"/>
      <c r="BA506" s="161"/>
      <c r="BB506" s="161"/>
      <c r="BC506" s="161"/>
      <c r="BD506" s="161"/>
      <c r="BE506" s="161"/>
      <c r="BF506" s="161"/>
      <c r="BG506" s="161"/>
      <c r="BH506" s="161"/>
      <c r="BI506" s="161"/>
      <c r="BJ506" s="161"/>
      <c r="BK506" s="161"/>
      <c r="BL506" s="161"/>
      <c r="BM506" s="161"/>
      <c r="BN506" s="161"/>
      <c r="BO506" s="161"/>
      <c r="BP506" s="161"/>
      <c r="BQ506" s="161"/>
      <c r="BR506" s="161"/>
      <c r="BS506" s="161"/>
      <c r="BT506" s="161"/>
      <c r="BU506" s="161"/>
      <c r="BV506" s="161"/>
      <c r="BW506" s="161"/>
      <c r="BX506" s="161"/>
      <c r="BY506" s="161"/>
    </row>
    <row r="507" spans="1:77">
      <c r="A507" s="162"/>
      <c r="B507" s="162"/>
      <c r="C507" s="162"/>
      <c r="D507" s="162"/>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c r="AC507" s="162"/>
      <c r="AD507" s="162"/>
      <c r="AE507" s="162"/>
      <c r="AF507" s="162"/>
      <c r="AG507" s="162"/>
      <c r="AH507" s="162"/>
      <c r="AI507" s="162"/>
      <c r="AJ507" s="162"/>
      <c r="AK507" s="162"/>
      <c r="AL507" s="162"/>
      <c r="AM507" s="162"/>
      <c r="AN507" s="162"/>
      <c r="AO507" s="162"/>
      <c r="AP507" s="162"/>
      <c r="AQ507" s="162"/>
      <c r="AR507" s="162"/>
      <c r="AS507" s="162"/>
      <c r="AT507" s="161"/>
      <c r="AU507" s="161"/>
      <c r="AV507" s="161"/>
      <c r="AW507" s="161"/>
      <c r="AX507" s="161"/>
      <c r="AY507" s="161"/>
      <c r="AZ507" s="161"/>
      <c r="BA507" s="161"/>
      <c r="BB507" s="161"/>
      <c r="BC507" s="161"/>
      <c r="BD507" s="161"/>
      <c r="BE507" s="161"/>
      <c r="BF507" s="161"/>
      <c r="BG507" s="161"/>
      <c r="BH507" s="161"/>
      <c r="BI507" s="161"/>
      <c r="BJ507" s="161"/>
      <c r="BK507" s="161"/>
      <c r="BL507" s="161"/>
      <c r="BM507" s="161"/>
      <c r="BN507" s="161"/>
      <c r="BO507" s="161"/>
      <c r="BP507" s="161"/>
      <c r="BQ507" s="161"/>
      <c r="BR507" s="161"/>
      <c r="BS507" s="161"/>
      <c r="BT507" s="161"/>
      <c r="BU507" s="161"/>
      <c r="BV507" s="161"/>
      <c r="BW507" s="161"/>
      <c r="BX507" s="161"/>
      <c r="BY507" s="161"/>
    </row>
    <row r="508" spans="1:77">
      <c r="A508" s="162"/>
      <c r="B508" s="162"/>
      <c r="C508" s="162"/>
      <c r="D508" s="162"/>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c r="AC508" s="162"/>
      <c r="AD508" s="162"/>
      <c r="AE508" s="162"/>
      <c r="AF508" s="162"/>
      <c r="AG508" s="162"/>
      <c r="AH508" s="162"/>
      <c r="AI508" s="162"/>
      <c r="AJ508" s="162"/>
      <c r="AK508" s="162"/>
      <c r="AL508" s="162"/>
      <c r="AM508" s="162"/>
      <c r="AN508" s="162"/>
      <c r="AO508" s="162"/>
      <c r="AP508" s="162"/>
      <c r="AQ508" s="162"/>
      <c r="AR508" s="162"/>
      <c r="AS508" s="162"/>
      <c r="AT508" s="161"/>
      <c r="AU508" s="161"/>
      <c r="AV508" s="161"/>
      <c r="AW508" s="161"/>
      <c r="AX508" s="161"/>
      <c r="AY508" s="161"/>
      <c r="AZ508" s="161"/>
      <c r="BA508" s="161"/>
      <c r="BB508" s="161"/>
      <c r="BC508" s="161"/>
      <c r="BD508" s="161"/>
      <c r="BE508" s="161"/>
      <c r="BF508" s="161"/>
      <c r="BG508" s="161"/>
      <c r="BH508" s="161"/>
      <c r="BI508" s="161"/>
      <c r="BJ508" s="161"/>
      <c r="BK508" s="161"/>
      <c r="BL508" s="161"/>
      <c r="BM508" s="161"/>
      <c r="BN508" s="161"/>
      <c r="BO508" s="161"/>
      <c r="BP508" s="161"/>
      <c r="BQ508" s="161"/>
      <c r="BR508" s="161"/>
      <c r="BS508" s="161"/>
      <c r="BT508" s="161"/>
      <c r="BU508" s="161"/>
      <c r="BV508" s="161"/>
      <c r="BW508" s="161"/>
      <c r="BX508" s="161"/>
      <c r="BY508" s="161"/>
    </row>
    <row r="509" spans="1:77">
      <c r="A509" s="162"/>
      <c r="B509" s="162"/>
      <c r="C509" s="162"/>
      <c r="D509" s="162"/>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c r="AC509" s="162"/>
      <c r="AD509" s="162"/>
      <c r="AE509" s="162"/>
      <c r="AF509" s="162"/>
      <c r="AG509" s="162"/>
      <c r="AH509" s="162"/>
      <c r="AI509" s="162"/>
      <c r="AJ509" s="162"/>
      <c r="AK509" s="162"/>
      <c r="AL509" s="162"/>
      <c r="AM509" s="162"/>
      <c r="AN509" s="162"/>
      <c r="AO509" s="162"/>
      <c r="AP509" s="162"/>
      <c r="AQ509" s="162"/>
      <c r="AR509" s="162"/>
      <c r="AS509" s="162"/>
      <c r="AT509" s="161"/>
      <c r="AU509" s="161"/>
      <c r="AV509" s="161"/>
      <c r="AW509" s="161"/>
      <c r="AX509" s="161"/>
      <c r="AY509" s="161"/>
      <c r="AZ509" s="161"/>
      <c r="BA509" s="161"/>
      <c r="BB509" s="161"/>
      <c r="BC509" s="161"/>
      <c r="BD509" s="161"/>
      <c r="BE509" s="161"/>
      <c r="BF509" s="161"/>
      <c r="BG509" s="161"/>
      <c r="BH509" s="161"/>
      <c r="BI509" s="161"/>
      <c r="BJ509" s="161"/>
      <c r="BK509" s="161"/>
      <c r="BL509" s="161"/>
      <c r="BM509" s="161"/>
      <c r="BN509" s="161"/>
      <c r="BO509" s="161"/>
      <c r="BP509" s="161"/>
      <c r="BQ509" s="161"/>
      <c r="BR509" s="161"/>
      <c r="BS509" s="161"/>
      <c r="BT509" s="161"/>
      <c r="BU509" s="161"/>
      <c r="BV509" s="161"/>
      <c r="BW509" s="161"/>
      <c r="BX509" s="161"/>
      <c r="BY509" s="161"/>
    </row>
    <row r="510" spans="1:77">
      <c r="A510" s="162"/>
      <c r="B510" s="162"/>
      <c r="C510" s="162"/>
      <c r="D510" s="162"/>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c r="AC510" s="162"/>
      <c r="AD510" s="162"/>
      <c r="AE510" s="162"/>
      <c r="AF510" s="162"/>
      <c r="AG510" s="162"/>
      <c r="AH510" s="162"/>
      <c r="AI510" s="162"/>
      <c r="AJ510" s="162"/>
      <c r="AK510" s="162"/>
      <c r="AL510" s="162"/>
      <c r="AM510" s="162"/>
      <c r="AN510" s="162"/>
      <c r="AO510" s="162"/>
      <c r="AP510" s="162"/>
      <c r="AQ510" s="162"/>
      <c r="AR510" s="162"/>
      <c r="AS510" s="162"/>
      <c r="AT510" s="161"/>
      <c r="AU510" s="161"/>
      <c r="AV510" s="161"/>
      <c r="AW510" s="161"/>
      <c r="AX510" s="161"/>
      <c r="AY510" s="161"/>
      <c r="AZ510" s="161"/>
      <c r="BA510" s="161"/>
      <c r="BB510" s="161"/>
      <c r="BC510" s="161"/>
      <c r="BD510" s="161"/>
      <c r="BE510" s="161"/>
      <c r="BF510" s="161"/>
      <c r="BG510" s="161"/>
      <c r="BH510" s="161"/>
      <c r="BI510" s="161"/>
      <c r="BJ510" s="161"/>
      <c r="BK510" s="161"/>
      <c r="BL510" s="161"/>
      <c r="BM510" s="161"/>
      <c r="BN510" s="161"/>
      <c r="BO510" s="161"/>
      <c r="BP510" s="161"/>
      <c r="BQ510" s="161"/>
      <c r="BR510" s="161"/>
      <c r="BS510" s="161"/>
      <c r="BT510" s="161"/>
      <c r="BU510" s="161"/>
      <c r="BV510" s="161"/>
      <c r="BW510" s="161"/>
      <c r="BX510" s="161"/>
      <c r="BY510" s="161"/>
    </row>
    <row r="511" spans="1:77">
      <c r="A511" s="162"/>
      <c r="B511" s="162"/>
      <c r="C511" s="162"/>
      <c r="D511" s="162"/>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c r="AC511" s="162"/>
      <c r="AD511" s="162"/>
      <c r="AE511" s="162"/>
      <c r="AF511" s="162"/>
      <c r="AG511" s="162"/>
      <c r="AH511" s="162"/>
      <c r="AI511" s="162"/>
      <c r="AJ511" s="162"/>
      <c r="AK511" s="162"/>
      <c r="AL511" s="162"/>
      <c r="AM511" s="162"/>
      <c r="AN511" s="162"/>
      <c r="AO511" s="162"/>
      <c r="AP511" s="162"/>
      <c r="AQ511" s="162"/>
      <c r="AR511" s="162"/>
      <c r="AS511" s="162"/>
      <c r="AT511" s="161"/>
      <c r="AU511" s="161"/>
      <c r="AV511" s="161"/>
      <c r="AW511" s="161"/>
      <c r="AX511" s="161"/>
      <c r="AY511" s="161"/>
      <c r="AZ511" s="161"/>
      <c r="BA511" s="161"/>
      <c r="BB511" s="161"/>
      <c r="BC511" s="161"/>
      <c r="BD511" s="161"/>
      <c r="BE511" s="161"/>
      <c r="BF511" s="161"/>
      <c r="BG511" s="161"/>
      <c r="BH511" s="161"/>
      <c r="BI511" s="161"/>
      <c r="BJ511" s="161"/>
      <c r="BK511" s="161"/>
      <c r="BL511" s="161"/>
      <c r="BM511" s="161"/>
      <c r="BN511" s="161"/>
      <c r="BO511" s="161"/>
      <c r="BP511" s="161"/>
      <c r="BQ511" s="161"/>
      <c r="BR511" s="161"/>
      <c r="BS511" s="161"/>
      <c r="BT511" s="161"/>
      <c r="BU511" s="161"/>
      <c r="BV511" s="161"/>
      <c r="BW511" s="161"/>
      <c r="BX511" s="161"/>
      <c r="BY511" s="161"/>
    </row>
    <row r="512" spans="1:77">
      <c r="A512" s="162"/>
      <c r="B512" s="162"/>
      <c r="C512" s="162"/>
      <c r="D512" s="162"/>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c r="AC512" s="162"/>
      <c r="AD512" s="162"/>
      <c r="AE512" s="162"/>
      <c r="AF512" s="162"/>
      <c r="AG512" s="162"/>
      <c r="AH512" s="162"/>
      <c r="AI512" s="162"/>
      <c r="AJ512" s="162"/>
      <c r="AK512" s="162"/>
      <c r="AL512" s="162"/>
      <c r="AM512" s="162"/>
      <c r="AN512" s="162"/>
      <c r="AO512" s="162"/>
      <c r="AP512" s="162"/>
      <c r="AQ512" s="162"/>
      <c r="AR512" s="162"/>
      <c r="AS512" s="162"/>
      <c r="AT512" s="161"/>
      <c r="AU512" s="161"/>
      <c r="AV512" s="161"/>
      <c r="AW512" s="161"/>
      <c r="AX512" s="161"/>
      <c r="AY512" s="161"/>
      <c r="AZ512" s="161"/>
      <c r="BA512" s="161"/>
      <c r="BB512" s="161"/>
      <c r="BC512" s="161"/>
      <c r="BD512" s="161"/>
      <c r="BE512" s="161"/>
      <c r="BF512" s="161"/>
      <c r="BG512" s="161"/>
      <c r="BH512" s="161"/>
      <c r="BI512" s="161"/>
      <c r="BJ512" s="161"/>
      <c r="BK512" s="161"/>
      <c r="BL512" s="161"/>
      <c r="BM512" s="161"/>
      <c r="BN512" s="161"/>
      <c r="BO512" s="161"/>
      <c r="BP512" s="161"/>
      <c r="BQ512" s="161"/>
      <c r="BR512" s="161"/>
      <c r="BS512" s="161"/>
      <c r="BT512" s="161"/>
      <c r="BU512" s="161"/>
      <c r="BV512" s="161"/>
      <c r="BW512" s="161"/>
      <c r="BX512" s="161"/>
      <c r="BY512" s="161"/>
    </row>
    <row r="513" spans="1:77">
      <c r="A513" s="162"/>
      <c r="B513" s="162"/>
      <c r="C513" s="162"/>
      <c r="D513" s="162"/>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c r="AC513" s="162"/>
      <c r="AD513" s="162"/>
      <c r="AE513" s="162"/>
      <c r="AF513" s="162"/>
      <c r="AG513" s="162"/>
      <c r="AH513" s="162"/>
      <c r="AI513" s="162"/>
      <c r="AJ513" s="162"/>
      <c r="AK513" s="162"/>
      <c r="AL513" s="162"/>
      <c r="AM513" s="162"/>
      <c r="AN513" s="162"/>
      <c r="AO513" s="162"/>
      <c r="AP513" s="162"/>
      <c r="AQ513" s="162"/>
      <c r="AR513" s="162"/>
      <c r="AS513" s="162"/>
      <c r="AT513" s="161"/>
      <c r="AU513" s="161"/>
      <c r="AV513" s="161"/>
      <c r="AW513" s="161"/>
      <c r="AX513" s="161"/>
      <c r="AY513" s="161"/>
      <c r="AZ513" s="161"/>
      <c r="BA513" s="161"/>
      <c r="BB513" s="161"/>
      <c r="BC513" s="161"/>
      <c r="BD513" s="161"/>
      <c r="BE513" s="161"/>
      <c r="BF513" s="161"/>
      <c r="BG513" s="161"/>
      <c r="BH513" s="161"/>
      <c r="BI513" s="161"/>
      <c r="BJ513" s="161"/>
      <c r="BK513" s="161"/>
      <c r="BL513" s="161"/>
      <c r="BM513" s="161"/>
      <c r="BN513" s="161"/>
      <c r="BO513" s="161"/>
      <c r="BP513" s="161"/>
      <c r="BQ513" s="161"/>
      <c r="BR513" s="161"/>
      <c r="BS513" s="161"/>
      <c r="BT513" s="161"/>
      <c r="BU513" s="161"/>
      <c r="BV513" s="161"/>
      <c r="BW513" s="161"/>
      <c r="BX513" s="161"/>
      <c r="BY513" s="161"/>
    </row>
    <row r="514" spans="1:77">
      <c r="A514" s="162"/>
      <c r="B514" s="162"/>
      <c r="C514" s="162"/>
      <c r="D514" s="162"/>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c r="AC514" s="162"/>
      <c r="AD514" s="162"/>
      <c r="AE514" s="162"/>
      <c r="AF514" s="162"/>
      <c r="AG514" s="162"/>
      <c r="AH514" s="162"/>
      <c r="AI514" s="162"/>
      <c r="AJ514" s="162"/>
      <c r="AK514" s="162"/>
      <c r="AL514" s="162"/>
      <c r="AM514" s="162"/>
      <c r="AN514" s="162"/>
      <c r="AO514" s="162"/>
      <c r="AP514" s="162"/>
      <c r="AQ514" s="162"/>
      <c r="AR514" s="162"/>
      <c r="AS514" s="162"/>
      <c r="AT514" s="161"/>
      <c r="AU514" s="161"/>
      <c r="AV514" s="161"/>
      <c r="AW514" s="161"/>
      <c r="AX514" s="161"/>
      <c r="AY514" s="161"/>
      <c r="AZ514" s="161"/>
      <c r="BA514" s="161"/>
      <c r="BB514" s="161"/>
      <c r="BC514" s="161"/>
      <c r="BD514" s="161"/>
      <c r="BE514" s="161"/>
      <c r="BF514" s="161"/>
      <c r="BG514" s="161"/>
      <c r="BH514" s="161"/>
      <c r="BI514" s="161"/>
      <c r="BJ514" s="161"/>
      <c r="BK514" s="161"/>
      <c r="BL514" s="161"/>
      <c r="BM514" s="161"/>
      <c r="BN514" s="161"/>
      <c r="BO514" s="161"/>
      <c r="BP514" s="161"/>
      <c r="BQ514" s="161"/>
      <c r="BR514" s="161"/>
      <c r="BS514" s="161"/>
      <c r="BT514" s="161"/>
      <c r="BU514" s="161"/>
      <c r="BV514" s="161"/>
      <c r="BW514" s="161"/>
      <c r="BX514" s="161"/>
      <c r="BY514" s="161"/>
    </row>
    <row r="515" spans="1:77">
      <c r="A515" s="162"/>
      <c r="B515" s="162"/>
      <c r="C515" s="162"/>
      <c r="D515" s="162"/>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c r="AC515" s="162"/>
      <c r="AD515" s="162"/>
      <c r="AE515" s="162"/>
      <c r="AF515" s="162"/>
      <c r="AG515" s="162"/>
      <c r="AH515" s="162"/>
      <c r="AI515" s="162"/>
      <c r="AJ515" s="162"/>
      <c r="AK515" s="162"/>
      <c r="AL515" s="162"/>
      <c r="AM515" s="162"/>
      <c r="AN515" s="162"/>
      <c r="AO515" s="162"/>
      <c r="AP515" s="162"/>
      <c r="AQ515" s="162"/>
      <c r="AR515" s="162"/>
      <c r="AS515" s="162"/>
      <c r="AT515" s="161"/>
      <c r="AU515" s="161"/>
      <c r="AV515" s="161"/>
      <c r="AW515" s="161"/>
      <c r="AX515" s="161"/>
      <c r="AY515" s="161"/>
      <c r="AZ515" s="161"/>
      <c r="BA515" s="161"/>
      <c r="BB515" s="161"/>
      <c r="BC515" s="161"/>
      <c r="BD515" s="161"/>
      <c r="BE515" s="161"/>
      <c r="BF515" s="161"/>
      <c r="BG515" s="161"/>
      <c r="BH515" s="161"/>
      <c r="BI515" s="161"/>
      <c r="BJ515" s="161"/>
      <c r="BK515" s="161"/>
      <c r="BL515" s="161"/>
      <c r="BM515" s="161"/>
      <c r="BN515" s="161"/>
      <c r="BO515" s="161"/>
      <c r="BP515" s="161"/>
      <c r="BQ515" s="161"/>
      <c r="BR515" s="161"/>
      <c r="BS515" s="161"/>
      <c r="BT515" s="161"/>
      <c r="BU515" s="161"/>
      <c r="BV515" s="161"/>
      <c r="BW515" s="161"/>
      <c r="BX515" s="161"/>
      <c r="BY515" s="161"/>
    </row>
    <row r="516" spans="1:77">
      <c r="A516" s="162"/>
      <c r="B516" s="162"/>
      <c r="C516" s="162"/>
      <c r="D516" s="162"/>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c r="AC516" s="162"/>
      <c r="AD516" s="162"/>
      <c r="AE516" s="162"/>
      <c r="AF516" s="162"/>
      <c r="AG516" s="162"/>
      <c r="AH516" s="162"/>
      <c r="AI516" s="162"/>
      <c r="AJ516" s="162"/>
      <c r="AK516" s="162"/>
      <c r="AL516" s="162"/>
      <c r="AM516" s="162"/>
      <c r="AN516" s="162"/>
      <c r="AO516" s="162"/>
      <c r="AP516" s="162"/>
      <c r="AQ516" s="162"/>
      <c r="AR516" s="162"/>
      <c r="AS516" s="162"/>
      <c r="AT516" s="161"/>
      <c r="AU516" s="161"/>
      <c r="AV516" s="161"/>
      <c r="AW516" s="161"/>
      <c r="AX516" s="161"/>
      <c r="AY516" s="161"/>
      <c r="AZ516" s="161"/>
      <c r="BA516" s="161"/>
      <c r="BB516" s="161"/>
      <c r="BC516" s="161"/>
      <c r="BD516" s="161"/>
      <c r="BE516" s="161"/>
      <c r="BF516" s="161"/>
      <c r="BG516" s="161"/>
      <c r="BH516" s="161"/>
      <c r="BI516" s="161"/>
      <c r="BJ516" s="161"/>
      <c r="BK516" s="161"/>
      <c r="BL516" s="161"/>
      <c r="BM516" s="161"/>
      <c r="BN516" s="161"/>
      <c r="BO516" s="161"/>
      <c r="BP516" s="161"/>
      <c r="BQ516" s="161"/>
      <c r="BR516" s="161"/>
      <c r="BS516" s="161"/>
      <c r="BT516" s="161"/>
      <c r="BU516" s="161"/>
      <c r="BV516" s="161"/>
      <c r="BW516" s="161"/>
      <c r="BX516" s="161"/>
      <c r="BY516" s="161"/>
    </row>
    <row r="517" spans="1:77">
      <c r="A517" s="162"/>
      <c r="B517" s="162"/>
      <c r="C517" s="162"/>
      <c r="D517" s="162"/>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c r="AC517" s="162"/>
      <c r="AD517" s="162"/>
      <c r="AE517" s="162"/>
      <c r="AF517" s="162"/>
      <c r="AG517" s="162"/>
      <c r="AH517" s="162"/>
      <c r="AI517" s="162"/>
      <c r="AJ517" s="162"/>
      <c r="AK517" s="162"/>
      <c r="AL517" s="162"/>
      <c r="AM517" s="162"/>
      <c r="AN517" s="162"/>
      <c r="AO517" s="162"/>
      <c r="AP517" s="162"/>
      <c r="AQ517" s="162"/>
      <c r="AR517" s="162"/>
      <c r="AS517" s="162"/>
      <c r="AT517" s="161"/>
      <c r="AU517" s="161"/>
      <c r="AV517" s="161"/>
      <c r="AW517" s="161"/>
      <c r="AX517" s="161"/>
      <c r="AY517" s="161"/>
      <c r="AZ517" s="161"/>
      <c r="BA517" s="161"/>
      <c r="BB517" s="161"/>
      <c r="BC517" s="161"/>
      <c r="BD517" s="161"/>
      <c r="BE517" s="161"/>
      <c r="BF517" s="161"/>
      <c r="BG517" s="161"/>
      <c r="BH517" s="161"/>
      <c r="BI517" s="161"/>
      <c r="BJ517" s="161"/>
      <c r="BK517" s="161"/>
      <c r="BL517" s="161"/>
      <c r="BM517" s="161"/>
      <c r="BN517" s="161"/>
      <c r="BO517" s="161"/>
      <c r="BP517" s="161"/>
      <c r="BQ517" s="161"/>
      <c r="BR517" s="161"/>
      <c r="BS517" s="161"/>
      <c r="BT517" s="161"/>
      <c r="BU517" s="161"/>
      <c r="BV517" s="161"/>
      <c r="BW517" s="161"/>
      <c r="BX517" s="161"/>
      <c r="BY517" s="161"/>
    </row>
    <row r="518" spans="1:77">
      <c r="A518" s="162"/>
      <c r="B518" s="162"/>
      <c r="C518" s="162"/>
      <c r="D518" s="162"/>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c r="AC518" s="162"/>
      <c r="AD518" s="162"/>
      <c r="AE518" s="162"/>
      <c r="AF518" s="162"/>
      <c r="AG518" s="162"/>
      <c r="AH518" s="162"/>
      <c r="AI518" s="162"/>
      <c r="AJ518" s="162"/>
      <c r="AK518" s="162"/>
      <c r="AL518" s="162"/>
      <c r="AM518" s="162"/>
      <c r="AN518" s="162"/>
      <c r="AO518" s="162"/>
      <c r="AP518" s="162"/>
      <c r="AQ518" s="162"/>
      <c r="AR518" s="162"/>
      <c r="AS518" s="162"/>
      <c r="AT518" s="161"/>
      <c r="AU518" s="161"/>
      <c r="AV518" s="161"/>
      <c r="AW518" s="161"/>
      <c r="AX518" s="161"/>
      <c r="AY518" s="161"/>
      <c r="AZ518" s="161"/>
      <c r="BA518" s="161"/>
      <c r="BB518" s="161"/>
      <c r="BC518" s="161"/>
      <c r="BD518" s="161"/>
      <c r="BE518" s="161"/>
      <c r="BF518" s="161"/>
      <c r="BG518" s="161"/>
      <c r="BH518" s="161"/>
      <c r="BI518" s="161"/>
      <c r="BJ518" s="161"/>
      <c r="BK518" s="161"/>
      <c r="BL518" s="161"/>
      <c r="BM518" s="161"/>
      <c r="BN518" s="161"/>
      <c r="BO518" s="161"/>
      <c r="BP518" s="161"/>
      <c r="BQ518" s="161"/>
      <c r="BR518" s="161"/>
      <c r="BS518" s="161"/>
      <c r="BT518" s="161"/>
      <c r="BU518" s="161"/>
      <c r="BV518" s="161"/>
      <c r="BW518" s="161"/>
      <c r="BX518" s="161"/>
      <c r="BY518" s="161"/>
    </row>
    <row r="519" spans="1:77">
      <c r="A519" s="162"/>
      <c r="B519" s="162"/>
      <c r="C519" s="162"/>
      <c r="D519" s="162"/>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c r="AC519" s="162"/>
      <c r="AD519" s="162"/>
      <c r="AE519" s="162"/>
      <c r="AF519" s="162"/>
      <c r="AG519" s="162"/>
      <c r="AH519" s="162"/>
      <c r="AI519" s="162"/>
      <c r="AJ519" s="162"/>
      <c r="AK519" s="162"/>
      <c r="AL519" s="162"/>
      <c r="AM519" s="162"/>
      <c r="AN519" s="162"/>
      <c r="AO519" s="162"/>
      <c r="AP519" s="162"/>
      <c r="AQ519" s="162"/>
      <c r="AR519" s="162"/>
      <c r="AS519" s="162"/>
      <c r="AT519" s="161"/>
      <c r="AU519" s="161"/>
      <c r="AV519" s="161"/>
      <c r="AW519" s="161"/>
      <c r="AX519" s="161"/>
      <c r="AY519" s="161"/>
      <c r="AZ519" s="161"/>
      <c r="BA519" s="161"/>
      <c r="BB519" s="161"/>
      <c r="BC519" s="161"/>
      <c r="BD519" s="161"/>
      <c r="BE519" s="161"/>
      <c r="BF519" s="161"/>
      <c r="BG519" s="161"/>
      <c r="BH519" s="161"/>
      <c r="BI519" s="161"/>
      <c r="BJ519" s="161"/>
      <c r="BK519" s="161"/>
      <c r="BL519" s="161"/>
      <c r="BM519" s="161"/>
      <c r="BN519" s="161"/>
      <c r="BO519" s="161"/>
      <c r="BP519" s="161"/>
      <c r="BQ519" s="161"/>
      <c r="BR519" s="161"/>
      <c r="BS519" s="161"/>
      <c r="BT519" s="161"/>
      <c r="BU519" s="161"/>
      <c r="BV519" s="161"/>
      <c r="BW519" s="161"/>
      <c r="BX519" s="161"/>
      <c r="BY519" s="161"/>
    </row>
    <row r="520" spans="1:77">
      <c r="A520" s="162"/>
      <c r="B520" s="162"/>
      <c r="C520" s="162"/>
      <c r="D520" s="162"/>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c r="AC520" s="162"/>
      <c r="AD520" s="162"/>
      <c r="AE520" s="162"/>
      <c r="AF520" s="162"/>
      <c r="AG520" s="162"/>
      <c r="AH520" s="162"/>
      <c r="AI520" s="162"/>
      <c r="AJ520" s="162"/>
      <c r="AK520" s="162"/>
      <c r="AL520" s="162"/>
      <c r="AM520" s="162"/>
      <c r="AN520" s="162"/>
      <c r="AO520" s="162"/>
      <c r="AP520" s="162"/>
      <c r="AQ520" s="162"/>
      <c r="AR520" s="162"/>
      <c r="AS520" s="162"/>
      <c r="AT520" s="161"/>
      <c r="AU520" s="161"/>
      <c r="AV520" s="161"/>
      <c r="AW520" s="161"/>
      <c r="AX520" s="161"/>
      <c r="AY520" s="161"/>
      <c r="AZ520" s="161"/>
      <c r="BA520" s="161"/>
      <c r="BB520" s="161"/>
      <c r="BC520" s="161"/>
      <c r="BD520" s="161"/>
      <c r="BE520" s="161"/>
      <c r="BF520" s="161"/>
      <c r="BG520" s="161"/>
      <c r="BH520" s="161"/>
      <c r="BI520" s="161"/>
      <c r="BJ520" s="161"/>
      <c r="BK520" s="161"/>
      <c r="BL520" s="161"/>
      <c r="BM520" s="161"/>
      <c r="BN520" s="161"/>
      <c r="BO520" s="161"/>
      <c r="BP520" s="161"/>
      <c r="BQ520" s="161"/>
      <c r="BR520" s="161"/>
      <c r="BS520" s="161"/>
      <c r="BT520" s="161"/>
      <c r="BU520" s="161"/>
      <c r="BV520" s="161"/>
      <c r="BW520" s="161"/>
      <c r="BX520" s="161"/>
      <c r="BY520" s="161"/>
    </row>
    <row r="521" spans="1:77">
      <c r="A521" s="162"/>
      <c r="B521" s="162"/>
      <c r="C521" s="162"/>
      <c r="D521" s="162"/>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c r="AC521" s="162"/>
      <c r="AD521" s="162"/>
      <c r="AE521" s="162"/>
      <c r="AF521" s="162"/>
      <c r="AG521" s="162"/>
      <c r="AH521" s="162"/>
      <c r="AI521" s="162"/>
      <c r="AJ521" s="162"/>
      <c r="AK521" s="162"/>
      <c r="AL521" s="162"/>
      <c r="AM521" s="162"/>
      <c r="AN521" s="162"/>
      <c r="AO521" s="162"/>
      <c r="AP521" s="162"/>
      <c r="AQ521" s="162"/>
      <c r="AR521" s="162"/>
      <c r="AS521" s="162"/>
      <c r="AT521" s="161"/>
      <c r="AU521" s="161"/>
      <c r="AV521" s="161"/>
      <c r="AW521" s="161"/>
      <c r="AX521" s="161"/>
      <c r="AY521" s="161"/>
      <c r="AZ521" s="161"/>
      <c r="BA521" s="161"/>
      <c r="BB521" s="161"/>
      <c r="BC521" s="161"/>
      <c r="BD521" s="161"/>
      <c r="BE521" s="161"/>
      <c r="BF521" s="161"/>
      <c r="BG521" s="161"/>
      <c r="BH521" s="161"/>
      <c r="BI521" s="161"/>
      <c r="BJ521" s="161"/>
      <c r="BK521" s="161"/>
      <c r="BL521" s="161"/>
      <c r="BM521" s="161"/>
      <c r="BN521" s="161"/>
      <c r="BO521" s="161"/>
      <c r="BP521" s="161"/>
      <c r="BQ521" s="161"/>
      <c r="BR521" s="161"/>
      <c r="BS521" s="161"/>
      <c r="BT521" s="161"/>
      <c r="BU521" s="161"/>
      <c r="BV521" s="161"/>
      <c r="BW521" s="161"/>
      <c r="BX521" s="161"/>
      <c r="BY521" s="161"/>
    </row>
    <row r="522" spans="1:77">
      <c r="A522" s="162"/>
      <c r="B522" s="162"/>
      <c r="C522" s="162"/>
      <c r="D522" s="162"/>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c r="AC522" s="162"/>
      <c r="AD522" s="162"/>
      <c r="AE522" s="162"/>
      <c r="AF522" s="162"/>
      <c r="AG522" s="162"/>
      <c r="AH522" s="162"/>
      <c r="AI522" s="162"/>
      <c r="AJ522" s="162"/>
      <c r="AK522" s="162"/>
      <c r="AL522" s="162"/>
      <c r="AM522" s="162"/>
      <c r="AN522" s="162"/>
      <c r="AO522" s="162"/>
      <c r="AP522" s="162"/>
      <c r="AQ522" s="162"/>
      <c r="AR522" s="162"/>
      <c r="AS522" s="162"/>
      <c r="AT522" s="161"/>
      <c r="AU522" s="161"/>
      <c r="AV522" s="161"/>
      <c r="AW522" s="161"/>
      <c r="AX522" s="161"/>
      <c r="AY522" s="161"/>
      <c r="AZ522" s="161"/>
      <c r="BA522" s="161"/>
      <c r="BB522" s="161"/>
      <c r="BC522" s="161"/>
      <c r="BD522" s="161"/>
      <c r="BE522" s="161"/>
      <c r="BF522" s="161"/>
      <c r="BG522" s="161"/>
      <c r="BH522" s="161"/>
      <c r="BI522" s="161"/>
      <c r="BJ522" s="161"/>
      <c r="BK522" s="161"/>
      <c r="BL522" s="161"/>
      <c r="BM522" s="161"/>
      <c r="BN522" s="161"/>
      <c r="BO522" s="161"/>
      <c r="BP522" s="161"/>
      <c r="BQ522" s="161"/>
      <c r="BR522" s="161"/>
      <c r="BS522" s="161"/>
      <c r="BT522" s="161"/>
      <c r="BU522" s="161"/>
      <c r="BV522" s="161"/>
      <c r="BW522" s="161"/>
      <c r="BX522" s="161"/>
      <c r="BY522" s="161"/>
    </row>
    <row r="523" spans="1:77">
      <c r="A523" s="162"/>
      <c r="B523" s="162"/>
      <c r="C523" s="162"/>
      <c r="D523" s="162"/>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c r="AC523" s="162"/>
      <c r="AD523" s="162"/>
      <c r="AE523" s="162"/>
      <c r="AF523" s="162"/>
      <c r="AG523" s="162"/>
      <c r="AH523" s="162"/>
      <c r="AI523" s="162"/>
      <c r="AJ523" s="162"/>
      <c r="AK523" s="162"/>
      <c r="AL523" s="162"/>
      <c r="AM523" s="162"/>
      <c r="AN523" s="162"/>
      <c r="AO523" s="162"/>
      <c r="AP523" s="162"/>
      <c r="AQ523" s="162"/>
      <c r="AR523" s="162"/>
      <c r="AS523" s="162"/>
      <c r="AT523" s="161"/>
      <c r="AU523" s="161"/>
      <c r="AV523" s="161"/>
      <c r="AW523" s="161"/>
      <c r="AX523" s="161"/>
      <c r="AY523" s="161"/>
      <c r="AZ523" s="161"/>
      <c r="BA523" s="161"/>
      <c r="BB523" s="161"/>
      <c r="BC523" s="161"/>
      <c r="BD523" s="161"/>
      <c r="BE523" s="161"/>
      <c r="BF523" s="161"/>
      <c r="BG523" s="161"/>
      <c r="BH523" s="161"/>
      <c r="BI523" s="161"/>
      <c r="BJ523" s="161"/>
      <c r="BK523" s="161"/>
      <c r="BL523" s="161"/>
      <c r="BM523" s="161"/>
      <c r="BN523" s="161"/>
      <c r="BO523" s="161"/>
      <c r="BP523" s="161"/>
      <c r="BQ523" s="161"/>
      <c r="BR523" s="161"/>
      <c r="BS523" s="161"/>
      <c r="BT523" s="161"/>
      <c r="BU523" s="161"/>
      <c r="BV523" s="161"/>
      <c r="BW523" s="161"/>
      <c r="BX523" s="161"/>
      <c r="BY523" s="161"/>
    </row>
    <row r="524" spans="1:77">
      <c r="A524" s="162"/>
      <c r="B524" s="162"/>
      <c r="C524" s="162"/>
      <c r="D524" s="162"/>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c r="AC524" s="162"/>
      <c r="AD524" s="162"/>
      <c r="AE524" s="162"/>
      <c r="AF524" s="162"/>
      <c r="AG524" s="162"/>
      <c r="AH524" s="162"/>
      <c r="AI524" s="162"/>
      <c r="AJ524" s="162"/>
      <c r="AK524" s="162"/>
      <c r="AL524" s="162"/>
      <c r="AM524" s="162"/>
      <c r="AN524" s="162"/>
      <c r="AO524" s="162"/>
      <c r="AP524" s="162"/>
      <c r="AQ524" s="162"/>
      <c r="AR524" s="162"/>
      <c r="AS524" s="162"/>
      <c r="AT524" s="161"/>
      <c r="AU524" s="161"/>
      <c r="AV524" s="161"/>
      <c r="AW524" s="161"/>
      <c r="AX524" s="161"/>
      <c r="AY524" s="161"/>
      <c r="AZ524" s="161"/>
      <c r="BA524" s="161"/>
      <c r="BB524" s="161"/>
      <c r="BC524" s="161"/>
      <c r="BD524" s="161"/>
      <c r="BE524" s="161"/>
      <c r="BF524" s="161"/>
      <c r="BG524" s="161"/>
      <c r="BH524" s="161"/>
      <c r="BI524" s="161"/>
      <c r="BJ524" s="161"/>
      <c r="BK524" s="161"/>
      <c r="BL524" s="161"/>
      <c r="BM524" s="161"/>
      <c r="BN524" s="161"/>
      <c r="BO524" s="161"/>
      <c r="BP524" s="161"/>
      <c r="BQ524" s="161"/>
      <c r="BR524" s="161"/>
      <c r="BS524" s="161"/>
      <c r="BT524" s="161"/>
      <c r="BU524" s="161"/>
      <c r="BV524" s="161"/>
      <c r="BW524" s="161"/>
      <c r="BX524" s="161"/>
      <c r="BY524" s="161"/>
    </row>
    <row r="525" spans="1:77">
      <c r="A525" s="162"/>
      <c r="B525" s="162"/>
      <c r="C525" s="162"/>
      <c r="D525" s="162"/>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c r="AC525" s="162"/>
      <c r="AD525" s="162"/>
      <c r="AE525" s="162"/>
      <c r="AF525" s="162"/>
      <c r="AG525" s="162"/>
      <c r="AH525" s="162"/>
      <c r="AI525" s="162"/>
      <c r="AJ525" s="162"/>
      <c r="AK525" s="162"/>
      <c r="AL525" s="162"/>
      <c r="AM525" s="162"/>
      <c r="AN525" s="162"/>
      <c r="AO525" s="162"/>
      <c r="AP525" s="162"/>
      <c r="AQ525" s="162"/>
      <c r="AR525" s="162"/>
      <c r="AS525" s="162"/>
      <c r="AT525" s="161"/>
      <c r="AU525" s="161"/>
      <c r="AV525" s="161"/>
      <c r="AW525" s="161"/>
      <c r="AX525" s="161"/>
      <c r="AY525" s="161"/>
      <c r="AZ525" s="161"/>
      <c r="BA525" s="161"/>
      <c r="BB525" s="161"/>
      <c r="BC525" s="161"/>
      <c r="BD525" s="161"/>
      <c r="BE525" s="161"/>
      <c r="BF525" s="161"/>
      <c r="BG525" s="161"/>
      <c r="BH525" s="161"/>
      <c r="BI525" s="161"/>
      <c r="BJ525" s="161"/>
      <c r="BK525" s="161"/>
      <c r="BL525" s="161"/>
      <c r="BM525" s="161"/>
      <c r="BN525" s="161"/>
      <c r="BO525" s="161"/>
      <c r="BP525" s="161"/>
      <c r="BQ525" s="161"/>
      <c r="BR525" s="161"/>
      <c r="BS525" s="161"/>
      <c r="BT525" s="161"/>
      <c r="BU525" s="161"/>
      <c r="BV525" s="161"/>
      <c r="BW525" s="161"/>
      <c r="BX525" s="161"/>
      <c r="BY525" s="161"/>
    </row>
    <row r="526" spans="1:77">
      <c r="A526" s="162"/>
      <c r="B526" s="162"/>
      <c r="C526" s="162"/>
      <c r="D526" s="162"/>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c r="AC526" s="162"/>
      <c r="AD526" s="162"/>
      <c r="AE526" s="162"/>
      <c r="AF526" s="162"/>
      <c r="AG526" s="162"/>
      <c r="AH526" s="162"/>
      <c r="AI526" s="162"/>
      <c r="AJ526" s="162"/>
      <c r="AK526" s="162"/>
      <c r="AL526" s="162"/>
      <c r="AM526" s="162"/>
      <c r="AN526" s="162"/>
      <c r="AO526" s="162"/>
      <c r="AP526" s="162"/>
      <c r="AQ526" s="162"/>
      <c r="AR526" s="162"/>
      <c r="AS526" s="162"/>
      <c r="AT526" s="161"/>
      <c r="AU526" s="161"/>
      <c r="AV526" s="161"/>
      <c r="AW526" s="161"/>
      <c r="AX526" s="161"/>
      <c r="AY526" s="161"/>
      <c r="AZ526" s="161"/>
      <c r="BA526" s="161"/>
      <c r="BB526" s="161"/>
      <c r="BC526" s="161"/>
      <c r="BD526" s="161"/>
      <c r="BE526" s="161"/>
      <c r="BF526" s="161"/>
      <c r="BG526" s="161"/>
      <c r="BH526" s="161"/>
      <c r="BI526" s="161"/>
      <c r="BJ526" s="161"/>
      <c r="BK526" s="161"/>
      <c r="BL526" s="161"/>
      <c r="BM526" s="161"/>
      <c r="BN526" s="161"/>
      <c r="BO526" s="161"/>
      <c r="BP526" s="161"/>
      <c r="BQ526" s="161"/>
      <c r="BR526" s="161"/>
      <c r="BS526" s="161"/>
      <c r="BT526" s="161"/>
      <c r="BU526" s="161"/>
      <c r="BV526" s="161"/>
      <c r="BW526" s="161"/>
      <c r="BX526" s="161"/>
      <c r="BY526" s="161"/>
    </row>
    <row r="527" spans="1:77">
      <c r="A527" s="162"/>
      <c r="B527" s="162"/>
      <c r="C527" s="162"/>
      <c r="D527" s="162"/>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c r="AC527" s="162"/>
      <c r="AD527" s="162"/>
      <c r="AE527" s="162"/>
      <c r="AF527" s="162"/>
      <c r="AG527" s="162"/>
      <c r="AH527" s="162"/>
      <c r="AI527" s="162"/>
      <c r="AJ527" s="162"/>
      <c r="AK527" s="162"/>
      <c r="AL527" s="162"/>
      <c r="AM527" s="162"/>
      <c r="AN527" s="162"/>
      <c r="AO527" s="162"/>
      <c r="AP527" s="162"/>
      <c r="AQ527" s="162"/>
      <c r="AR527" s="162"/>
      <c r="AS527" s="162"/>
      <c r="AT527" s="161"/>
      <c r="AU527" s="161"/>
      <c r="AV527" s="161"/>
      <c r="AW527" s="161"/>
      <c r="AX527" s="161"/>
      <c r="AY527" s="161"/>
      <c r="AZ527" s="161"/>
      <c r="BA527" s="161"/>
      <c r="BB527" s="161"/>
      <c r="BC527" s="161"/>
      <c r="BD527" s="161"/>
      <c r="BE527" s="161"/>
      <c r="BF527" s="161"/>
      <c r="BG527" s="161"/>
      <c r="BH527" s="161"/>
      <c r="BI527" s="161"/>
      <c r="BJ527" s="161"/>
      <c r="BK527" s="161"/>
      <c r="BL527" s="161"/>
      <c r="BM527" s="161"/>
      <c r="BN527" s="161"/>
      <c r="BO527" s="161"/>
      <c r="BP527" s="161"/>
      <c r="BQ527" s="161"/>
      <c r="BR527" s="161"/>
      <c r="BS527" s="161"/>
      <c r="BT527" s="161"/>
      <c r="BU527" s="161"/>
      <c r="BV527" s="161"/>
      <c r="BW527" s="161"/>
      <c r="BX527" s="161"/>
      <c r="BY527" s="161"/>
    </row>
    <row r="528" spans="1:77">
      <c r="A528" s="162"/>
      <c r="B528" s="162"/>
      <c r="C528" s="162"/>
      <c r="D528" s="162"/>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c r="AC528" s="162"/>
      <c r="AD528" s="162"/>
      <c r="AE528" s="162"/>
      <c r="AF528" s="162"/>
      <c r="AG528" s="162"/>
      <c r="AH528" s="162"/>
      <c r="AI528" s="162"/>
      <c r="AJ528" s="162"/>
      <c r="AK528" s="162"/>
      <c r="AL528" s="162"/>
      <c r="AM528" s="162"/>
      <c r="AN528" s="162"/>
      <c r="AO528" s="162"/>
      <c r="AP528" s="162"/>
      <c r="AQ528" s="162"/>
      <c r="AR528" s="162"/>
      <c r="AS528" s="162"/>
      <c r="AT528" s="161"/>
      <c r="AU528" s="161"/>
      <c r="AV528" s="161"/>
      <c r="AW528" s="161"/>
      <c r="AX528" s="161"/>
      <c r="AY528" s="161"/>
      <c r="AZ528" s="161"/>
      <c r="BA528" s="161"/>
      <c r="BB528" s="161"/>
      <c r="BC528" s="161"/>
      <c r="BD528" s="161"/>
      <c r="BE528" s="161"/>
      <c r="BF528" s="161"/>
      <c r="BG528" s="161"/>
      <c r="BH528" s="161"/>
      <c r="BI528" s="161"/>
      <c r="BJ528" s="161"/>
      <c r="BK528" s="161"/>
      <c r="BL528" s="161"/>
      <c r="BM528" s="161"/>
      <c r="BN528" s="161"/>
      <c r="BO528" s="161"/>
      <c r="BP528" s="161"/>
      <c r="BQ528" s="161"/>
      <c r="BR528" s="161"/>
      <c r="BS528" s="161"/>
      <c r="BT528" s="161"/>
      <c r="BU528" s="161"/>
      <c r="BV528" s="161"/>
      <c r="BW528" s="161"/>
      <c r="BX528" s="161"/>
      <c r="BY528" s="161"/>
    </row>
    <row r="529" spans="1:77">
      <c r="A529" s="162"/>
      <c r="B529" s="162"/>
      <c r="C529" s="162"/>
      <c r="D529" s="162"/>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c r="AC529" s="162"/>
      <c r="AD529" s="162"/>
      <c r="AE529" s="162"/>
      <c r="AF529" s="162"/>
      <c r="AG529" s="162"/>
      <c r="AH529" s="162"/>
      <c r="AI529" s="162"/>
      <c r="AJ529" s="162"/>
      <c r="AK529" s="162"/>
      <c r="AL529" s="162"/>
      <c r="AM529" s="162"/>
      <c r="AN529" s="162"/>
      <c r="AO529" s="162"/>
      <c r="AP529" s="162"/>
      <c r="AQ529" s="162"/>
      <c r="AR529" s="162"/>
      <c r="AS529" s="162"/>
      <c r="AT529" s="161"/>
      <c r="AU529" s="161"/>
      <c r="AV529" s="161"/>
      <c r="AW529" s="161"/>
      <c r="AX529" s="161"/>
      <c r="AY529" s="161"/>
      <c r="AZ529" s="161"/>
      <c r="BA529" s="161"/>
      <c r="BB529" s="161"/>
      <c r="BC529" s="161"/>
      <c r="BD529" s="161"/>
      <c r="BE529" s="161"/>
      <c r="BF529" s="161"/>
      <c r="BG529" s="161"/>
      <c r="BH529" s="161"/>
      <c r="BI529" s="161"/>
      <c r="BJ529" s="161"/>
      <c r="BK529" s="161"/>
      <c r="BL529" s="161"/>
      <c r="BM529" s="161"/>
      <c r="BN529" s="161"/>
      <c r="BO529" s="161"/>
      <c r="BP529" s="161"/>
      <c r="BQ529" s="161"/>
      <c r="BR529" s="161"/>
      <c r="BS529" s="161"/>
      <c r="BT529" s="161"/>
      <c r="BU529" s="161"/>
      <c r="BV529" s="161"/>
      <c r="BW529" s="161"/>
      <c r="BX529" s="161"/>
      <c r="BY529" s="161"/>
    </row>
    <row r="530" spans="1:77">
      <c r="A530" s="162"/>
      <c r="B530" s="162"/>
      <c r="C530" s="162"/>
      <c r="D530" s="162"/>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c r="AC530" s="162"/>
      <c r="AD530" s="162"/>
      <c r="AE530" s="162"/>
      <c r="AF530" s="162"/>
      <c r="AG530" s="162"/>
      <c r="AH530" s="162"/>
      <c r="AI530" s="162"/>
      <c r="AJ530" s="162"/>
      <c r="AK530" s="162"/>
      <c r="AL530" s="162"/>
      <c r="AM530" s="162"/>
      <c r="AN530" s="162"/>
      <c r="AO530" s="162"/>
      <c r="AP530" s="162"/>
      <c r="AQ530" s="162"/>
      <c r="AR530" s="162"/>
      <c r="AS530" s="162"/>
      <c r="AT530" s="161"/>
      <c r="AU530" s="161"/>
      <c r="AV530" s="161"/>
      <c r="AW530" s="161"/>
      <c r="AX530" s="161"/>
      <c r="AY530" s="161"/>
      <c r="AZ530" s="161"/>
      <c r="BA530" s="161"/>
      <c r="BB530" s="161"/>
      <c r="BC530" s="161"/>
      <c r="BD530" s="161"/>
      <c r="BE530" s="161"/>
      <c r="BF530" s="161"/>
      <c r="BG530" s="161"/>
      <c r="BH530" s="161"/>
      <c r="BI530" s="161"/>
      <c r="BJ530" s="161"/>
      <c r="BK530" s="161"/>
      <c r="BL530" s="161"/>
      <c r="BM530" s="161"/>
      <c r="BN530" s="161"/>
      <c r="BO530" s="161"/>
      <c r="BP530" s="161"/>
      <c r="BQ530" s="161"/>
      <c r="BR530" s="161"/>
      <c r="BS530" s="161"/>
      <c r="BT530" s="161"/>
      <c r="BU530" s="161"/>
      <c r="BV530" s="161"/>
      <c r="BW530" s="161"/>
      <c r="BX530" s="161"/>
      <c r="BY530" s="161"/>
    </row>
    <row r="531" spans="1:77">
      <c r="A531" s="162"/>
      <c r="B531" s="162"/>
      <c r="C531" s="162"/>
      <c r="D531" s="162"/>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c r="AC531" s="162"/>
      <c r="AD531" s="162"/>
      <c r="AE531" s="162"/>
      <c r="AF531" s="162"/>
      <c r="AG531" s="162"/>
      <c r="AH531" s="162"/>
      <c r="AI531" s="162"/>
      <c r="AJ531" s="162"/>
      <c r="AK531" s="162"/>
      <c r="AL531" s="162"/>
      <c r="AM531" s="162"/>
      <c r="AN531" s="162"/>
      <c r="AO531" s="162"/>
      <c r="AP531" s="162"/>
      <c r="AQ531" s="162"/>
      <c r="AR531" s="162"/>
      <c r="AS531" s="162"/>
      <c r="AT531" s="161"/>
      <c r="AU531" s="161"/>
      <c r="AV531" s="161"/>
      <c r="AW531" s="161"/>
      <c r="AX531" s="161"/>
      <c r="AY531" s="161"/>
      <c r="AZ531" s="161"/>
      <c r="BA531" s="161"/>
      <c r="BB531" s="161"/>
      <c r="BC531" s="161"/>
      <c r="BD531" s="161"/>
      <c r="BE531" s="161"/>
      <c r="BF531" s="161"/>
      <c r="BG531" s="161"/>
      <c r="BH531" s="161"/>
      <c r="BI531" s="161"/>
      <c r="BJ531" s="161"/>
      <c r="BK531" s="161"/>
      <c r="BL531" s="161"/>
      <c r="BM531" s="161"/>
      <c r="BN531" s="161"/>
      <c r="BO531" s="161"/>
      <c r="BP531" s="161"/>
      <c r="BQ531" s="161"/>
      <c r="BR531" s="161"/>
      <c r="BS531" s="161"/>
      <c r="BT531" s="161"/>
      <c r="BU531" s="161"/>
      <c r="BV531" s="161"/>
      <c r="BW531" s="161"/>
      <c r="BX531" s="161"/>
      <c r="BY531" s="161"/>
    </row>
    <row r="532" spans="1:77">
      <c r="A532" s="162"/>
      <c r="B532" s="162"/>
      <c r="C532" s="162"/>
      <c r="D532" s="162"/>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c r="AC532" s="162"/>
      <c r="AD532" s="162"/>
      <c r="AE532" s="162"/>
      <c r="AF532" s="162"/>
      <c r="AG532" s="162"/>
      <c r="AH532" s="162"/>
      <c r="AI532" s="162"/>
      <c r="AJ532" s="162"/>
      <c r="AK532" s="162"/>
      <c r="AL532" s="162"/>
      <c r="AM532" s="162"/>
      <c r="AN532" s="162"/>
      <c r="AO532" s="162"/>
      <c r="AP532" s="162"/>
      <c r="AQ532" s="162"/>
      <c r="AR532" s="162"/>
      <c r="AS532" s="162"/>
      <c r="AT532" s="161"/>
      <c r="AU532" s="161"/>
      <c r="AV532" s="161"/>
      <c r="AW532" s="161"/>
      <c r="AX532" s="161"/>
      <c r="AY532" s="161"/>
      <c r="AZ532" s="161"/>
      <c r="BA532" s="161"/>
      <c r="BB532" s="161"/>
      <c r="BC532" s="161"/>
      <c r="BD532" s="161"/>
      <c r="BE532" s="161"/>
      <c r="BF532" s="161"/>
      <c r="BG532" s="161"/>
      <c r="BH532" s="161"/>
      <c r="BI532" s="161"/>
      <c r="BJ532" s="161"/>
      <c r="BK532" s="161"/>
      <c r="BL532" s="161"/>
      <c r="BM532" s="161"/>
      <c r="BN532" s="161"/>
      <c r="BO532" s="161"/>
      <c r="BP532" s="161"/>
      <c r="BQ532" s="161"/>
      <c r="BR532" s="161"/>
      <c r="BS532" s="161"/>
      <c r="BT532" s="161"/>
      <c r="BU532" s="161"/>
      <c r="BV532" s="161"/>
      <c r="BW532" s="161"/>
      <c r="BX532" s="161"/>
      <c r="BY532" s="161"/>
    </row>
    <row r="533" spans="1:77">
      <c r="A533" s="162"/>
      <c r="B533" s="162"/>
      <c r="C533" s="162"/>
      <c r="D533" s="162"/>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c r="AC533" s="162"/>
      <c r="AD533" s="162"/>
      <c r="AE533" s="162"/>
      <c r="AF533" s="162"/>
      <c r="AG533" s="162"/>
      <c r="AH533" s="162"/>
      <c r="AI533" s="162"/>
      <c r="AJ533" s="162"/>
      <c r="AK533" s="162"/>
      <c r="AL533" s="162"/>
      <c r="AM533" s="162"/>
      <c r="AN533" s="162"/>
      <c r="AO533" s="162"/>
      <c r="AP533" s="162"/>
      <c r="AQ533" s="162"/>
      <c r="AR533" s="162"/>
      <c r="AS533" s="162"/>
      <c r="AT533" s="161"/>
      <c r="AU533" s="161"/>
      <c r="AV533" s="161"/>
      <c r="AW533" s="161"/>
      <c r="AX533" s="161"/>
      <c r="AY533" s="161"/>
      <c r="AZ533" s="161"/>
      <c r="BA533" s="161"/>
      <c r="BB533" s="161"/>
      <c r="BC533" s="161"/>
      <c r="BD533" s="161"/>
      <c r="BE533" s="161"/>
      <c r="BF533" s="161"/>
      <c r="BG533" s="161"/>
      <c r="BH533" s="161"/>
      <c r="BI533" s="161"/>
      <c r="BJ533" s="161"/>
      <c r="BK533" s="161"/>
      <c r="BL533" s="161"/>
      <c r="BM533" s="161"/>
      <c r="BN533" s="161"/>
      <c r="BO533" s="161"/>
      <c r="BP533" s="161"/>
      <c r="BQ533" s="161"/>
      <c r="BR533" s="161"/>
      <c r="BS533" s="161"/>
      <c r="BT533" s="161"/>
      <c r="BU533" s="161"/>
      <c r="BV533" s="161"/>
      <c r="BW533" s="161"/>
      <c r="BX533" s="161"/>
      <c r="BY533" s="161"/>
    </row>
    <row r="534" spans="1:77">
      <c r="A534" s="162"/>
      <c r="B534" s="162"/>
      <c r="C534" s="162"/>
      <c r="D534" s="162"/>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c r="AC534" s="162"/>
      <c r="AD534" s="162"/>
      <c r="AE534" s="162"/>
      <c r="AF534" s="162"/>
      <c r="AG534" s="162"/>
      <c r="AH534" s="162"/>
      <c r="AI534" s="162"/>
      <c r="AJ534" s="162"/>
      <c r="AK534" s="162"/>
      <c r="AL534" s="162"/>
      <c r="AM534" s="162"/>
      <c r="AN534" s="162"/>
      <c r="AO534" s="162"/>
      <c r="AP534" s="162"/>
      <c r="AQ534" s="162"/>
      <c r="AR534" s="162"/>
      <c r="AS534" s="162"/>
      <c r="AT534" s="161"/>
      <c r="AU534" s="161"/>
      <c r="AV534" s="161"/>
      <c r="AW534" s="161"/>
      <c r="AX534" s="161"/>
      <c r="AY534" s="161"/>
      <c r="AZ534" s="161"/>
      <c r="BA534" s="161"/>
      <c r="BB534" s="161"/>
      <c r="BC534" s="161"/>
      <c r="BD534" s="161"/>
      <c r="BE534" s="161"/>
      <c r="BF534" s="161"/>
      <c r="BG534" s="161"/>
      <c r="BH534" s="161"/>
      <c r="BI534" s="161"/>
      <c r="BJ534" s="161"/>
      <c r="BK534" s="161"/>
      <c r="BL534" s="161"/>
      <c r="BM534" s="161"/>
      <c r="BN534" s="161"/>
      <c r="BO534" s="161"/>
      <c r="BP534" s="161"/>
      <c r="BQ534" s="161"/>
      <c r="BR534" s="161"/>
      <c r="BS534" s="161"/>
      <c r="BT534" s="161"/>
      <c r="BU534" s="161"/>
      <c r="BV534" s="161"/>
      <c r="BW534" s="161"/>
      <c r="BX534" s="161"/>
      <c r="BY534" s="161"/>
    </row>
    <row r="535" spans="1:77">
      <c r="A535" s="162"/>
      <c r="B535" s="162"/>
      <c r="C535" s="162"/>
      <c r="D535" s="162"/>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c r="AC535" s="162"/>
      <c r="AD535" s="162"/>
      <c r="AE535" s="162"/>
      <c r="AF535" s="162"/>
      <c r="AG535" s="162"/>
      <c r="AH535" s="162"/>
      <c r="AI535" s="162"/>
      <c r="AJ535" s="162"/>
      <c r="AK535" s="162"/>
      <c r="AL535" s="162"/>
      <c r="AM535" s="162"/>
      <c r="AN535" s="162"/>
      <c r="AO535" s="162"/>
      <c r="AP535" s="162"/>
      <c r="AQ535" s="162"/>
      <c r="AR535" s="162"/>
      <c r="AS535" s="162"/>
      <c r="AT535" s="161"/>
      <c r="AU535" s="161"/>
      <c r="AV535" s="161"/>
      <c r="AW535" s="161"/>
      <c r="AX535" s="161"/>
      <c r="AY535" s="161"/>
      <c r="AZ535" s="161"/>
      <c r="BA535" s="161"/>
      <c r="BB535" s="161"/>
      <c r="BC535" s="161"/>
      <c r="BD535" s="161"/>
      <c r="BE535" s="161"/>
      <c r="BF535" s="161"/>
      <c r="BG535" s="161"/>
      <c r="BH535" s="161"/>
      <c r="BI535" s="161"/>
      <c r="BJ535" s="161"/>
      <c r="BK535" s="161"/>
      <c r="BL535" s="161"/>
      <c r="BM535" s="161"/>
      <c r="BN535" s="161"/>
      <c r="BO535" s="161"/>
      <c r="BP535" s="161"/>
      <c r="BQ535" s="161"/>
      <c r="BR535" s="161"/>
      <c r="BS535" s="161"/>
      <c r="BT535" s="161"/>
      <c r="BU535" s="161"/>
      <c r="BV535" s="161"/>
      <c r="BW535" s="161"/>
      <c r="BX535" s="161"/>
      <c r="BY535" s="161"/>
    </row>
    <row r="536" spans="1:77">
      <c r="A536" s="162"/>
      <c r="B536" s="162"/>
      <c r="C536" s="162"/>
      <c r="D536" s="162"/>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c r="AC536" s="162"/>
      <c r="AD536" s="162"/>
      <c r="AE536" s="162"/>
      <c r="AF536" s="162"/>
      <c r="AG536" s="162"/>
      <c r="AH536" s="162"/>
      <c r="AI536" s="162"/>
      <c r="AJ536" s="162"/>
      <c r="AK536" s="162"/>
      <c r="AL536" s="162"/>
      <c r="AM536" s="162"/>
      <c r="AN536" s="162"/>
      <c r="AO536" s="162"/>
      <c r="AP536" s="162"/>
      <c r="AQ536" s="162"/>
      <c r="AR536" s="162"/>
      <c r="AS536" s="162"/>
      <c r="AT536" s="161"/>
      <c r="AU536" s="161"/>
      <c r="AV536" s="161"/>
      <c r="AW536" s="161"/>
      <c r="AX536" s="161"/>
      <c r="AY536" s="161"/>
      <c r="AZ536" s="161"/>
      <c r="BA536" s="161"/>
      <c r="BB536" s="161"/>
      <c r="BC536" s="161"/>
      <c r="BD536" s="161"/>
      <c r="BE536" s="161"/>
      <c r="BF536" s="161"/>
      <c r="BG536" s="161"/>
      <c r="BH536" s="161"/>
      <c r="BI536" s="161"/>
      <c r="BJ536" s="161"/>
      <c r="BK536" s="161"/>
      <c r="BL536" s="161"/>
      <c r="BM536" s="161"/>
      <c r="BN536" s="161"/>
      <c r="BO536" s="161"/>
      <c r="BP536" s="161"/>
      <c r="BQ536" s="161"/>
      <c r="BR536" s="161"/>
      <c r="BS536" s="161"/>
      <c r="BT536" s="161"/>
      <c r="BU536" s="161"/>
      <c r="BV536" s="161"/>
      <c r="BW536" s="161"/>
      <c r="BX536" s="161"/>
      <c r="BY536" s="161"/>
    </row>
    <row r="537" spans="1:77">
      <c r="A537" s="162"/>
      <c r="B537" s="162"/>
      <c r="C537" s="162"/>
      <c r="D537" s="162"/>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c r="AC537" s="162"/>
      <c r="AD537" s="162"/>
      <c r="AE537" s="162"/>
      <c r="AF537" s="162"/>
      <c r="AG537" s="162"/>
      <c r="AH537" s="162"/>
      <c r="AI537" s="162"/>
      <c r="AJ537" s="162"/>
      <c r="AK537" s="162"/>
      <c r="AL537" s="162"/>
      <c r="AM537" s="162"/>
      <c r="AN537" s="162"/>
      <c r="AO537" s="162"/>
      <c r="AP537" s="162"/>
      <c r="AQ537" s="162"/>
      <c r="AR537" s="162"/>
      <c r="AS537" s="162"/>
      <c r="AT537" s="161"/>
      <c r="AU537" s="161"/>
      <c r="AV537" s="161"/>
      <c r="AW537" s="161"/>
      <c r="AX537" s="161"/>
      <c r="AY537" s="161"/>
      <c r="AZ537" s="161"/>
      <c r="BA537" s="161"/>
      <c r="BB537" s="161"/>
      <c r="BC537" s="161"/>
      <c r="BD537" s="161"/>
      <c r="BE537" s="161"/>
      <c r="BF537" s="161"/>
      <c r="BG537" s="161"/>
      <c r="BH537" s="161"/>
      <c r="BI537" s="161"/>
      <c r="BJ537" s="161"/>
      <c r="BK537" s="161"/>
      <c r="BL537" s="161"/>
      <c r="BM537" s="161"/>
      <c r="BN537" s="161"/>
      <c r="BO537" s="161"/>
      <c r="BP537" s="161"/>
      <c r="BQ537" s="161"/>
      <c r="BR537" s="161"/>
      <c r="BS537" s="161"/>
      <c r="BT537" s="161"/>
      <c r="BU537" s="161"/>
      <c r="BV537" s="161"/>
      <c r="BW537" s="161"/>
      <c r="BX537" s="161"/>
      <c r="BY537" s="161"/>
    </row>
    <row r="538" spans="1:77">
      <c r="A538" s="162"/>
      <c r="B538" s="162"/>
      <c r="C538" s="162"/>
      <c r="D538" s="162"/>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c r="AC538" s="162"/>
      <c r="AD538" s="162"/>
      <c r="AE538" s="162"/>
      <c r="AF538" s="162"/>
      <c r="AG538" s="162"/>
      <c r="AH538" s="162"/>
      <c r="AI538" s="162"/>
      <c r="AJ538" s="162"/>
      <c r="AK538" s="162"/>
      <c r="AL538" s="162"/>
      <c r="AM538" s="162"/>
      <c r="AN538" s="162"/>
      <c r="AO538" s="162"/>
      <c r="AP538" s="162"/>
      <c r="AQ538" s="162"/>
      <c r="AR538" s="162"/>
      <c r="AS538" s="162"/>
      <c r="AT538" s="161"/>
      <c r="AU538" s="161"/>
      <c r="AV538" s="161"/>
      <c r="AW538" s="161"/>
      <c r="AX538" s="161"/>
      <c r="AY538" s="161"/>
      <c r="AZ538" s="161"/>
      <c r="BA538" s="161"/>
      <c r="BB538" s="161"/>
      <c r="BC538" s="161"/>
      <c r="BD538" s="161"/>
      <c r="BE538" s="161"/>
      <c r="BF538" s="161"/>
      <c r="BG538" s="161"/>
      <c r="BH538" s="161"/>
      <c r="BI538" s="161"/>
      <c r="BJ538" s="161"/>
      <c r="BK538" s="161"/>
      <c r="BL538" s="161"/>
      <c r="BM538" s="161"/>
      <c r="BN538" s="161"/>
      <c r="BO538" s="161"/>
      <c r="BP538" s="161"/>
      <c r="BQ538" s="161"/>
      <c r="BR538" s="161"/>
      <c r="BS538" s="161"/>
      <c r="BT538" s="161"/>
      <c r="BU538" s="161"/>
      <c r="BV538" s="161"/>
      <c r="BW538" s="161"/>
      <c r="BX538" s="161"/>
      <c r="BY538" s="161"/>
    </row>
    <row r="539" spans="1:77">
      <c r="A539" s="162"/>
      <c r="B539" s="162"/>
      <c r="C539" s="162"/>
      <c r="D539" s="162"/>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c r="AC539" s="162"/>
      <c r="AD539" s="162"/>
      <c r="AE539" s="162"/>
      <c r="AF539" s="162"/>
      <c r="AG539" s="162"/>
      <c r="AH539" s="162"/>
      <c r="AI539" s="162"/>
      <c r="AJ539" s="162"/>
      <c r="AK539" s="162"/>
      <c r="AL539" s="162"/>
      <c r="AM539" s="162"/>
      <c r="AN539" s="162"/>
      <c r="AO539" s="162"/>
      <c r="AP539" s="162"/>
      <c r="AQ539" s="162"/>
      <c r="AR539" s="162"/>
      <c r="AS539" s="162"/>
      <c r="AT539" s="161"/>
      <c r="AU539" s="161"/>
      <c r="AV539" s="161"/>
      <c r="AW539" s="161"/>
      <c r="AX539" s="161"/>
      <c r="AY539" s="161"/>
      <c r="AZ539" s="161"/>
      <c r="BA539" s="161"/>
      <c r="BB539" s="161"/>
      <c r="BC539" s="161"/>
      <c r="BD539" s="161"/>
      <c r="BE539" s="161"/>
      <c r="BF539" s="161"/>
      <c r="BG539" s="161"/>
      <c r="BH539" s="161"/>
      <c r="BI539" s="161"/>
      <c r="BJ539" s="161"/>
      <c r="BK539" s="161"/>
      <c r="BL539" s="161"/>
      <c r="BM539" s="161"/>
      <c r="BN539" s="161"/>
      <c r="BO539" s="161"/>
      <c r="BP539" s="161"/>
      <c r="BQ539" s="161"/>
      <c r="BR539" s="161"/>
      <c r="BS539" s="161"/>
      <c r="BT539" s="161"/>
      <c r="BU539" s="161"/>
      <c r="BV539" s="161"/>
      <c r="BW539" s="161"/>
      <c r="BX539" s="161"/>
      <c r="BY539" s="161"/>
    </row>
    <row r="540" spans="1:77">
      <c r="A540" s="162"/>
      <c r="B540" s="162"/>
      <c r="C540" s="162"/>
      <c r="D540" s="162"/>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c r="AC540" s="162"/>
      <c r="AD540" s="162"/>
      <c r="AE540" s="162"/>
      <c r="AF540" s="162"/>
      <c r="AG540" s="162"/>
      <c r="AH540" s="162"/>
      <c r="AI540" s="162"/>
      <c r="AJ540" s="162"/>
      <c r="AK540" s="162"/>
      <c r="AL540" s="162"/>
      <c r="AM540" s="162"/>
      <c r="AN540" s="162"/>
      <c r="AO540" s="162"/>
      <c r="AP540" s="162"/>
      <c r="AQ540" s="162"/>
      <c r="AR540" s="162"/>
      <c r="AS540" s="162"/>
      <c r="AT540" s="161"/>
      <c r="AU540" s="161"/>
      <c r="AV540" s="161"/>
      <c r="AW540" s="161"/>
      <c r="AX540" s="161"/>
      <c r="AY540" s="161"/>
      <c r="AZ540" s="161"/>
      <c r="BA540" s="161"/>
      <c r="BB540" s="161"/>
      <c r="BC540" s="161"/>
      <c r="BD540" s="161"/>
      <c r="BE540" s="161"/>
      <c r="BF540" s="161"/>
      <c r="BG540" s="161"/>
      <c r="BH540" s="161"/>
      <c r="BI540" s="161"/>
      <c r="BJ540" s="161"/>
      <c r="BK540" s="161"/>
      <c r="BL540" s="161"/>
      <c r="BM540" s="161"/>
      <c r="BN540" s="161"/>
      <c r="BO540" s="161"/>
      <c r="BP540" s="161"/>
      <c r="BQ540" s="161"/>
      <c r="BR540" s="161"/>
      <c r="BS540" s="161"/>
      <c r="BT540" s="161"/>
      <c r="BU540" s="161"/>
      <c r="BV540" s="161"/>
      <c r="BW540" s="161"/>
      <c r="BX540" s="161"/>
      <c r="BY540" s="161"/>
    </row>
    <row r="541" spans="1:77">
      <c r="A541" s="162"/>
      <c r="B541" s="162"/>
      <c r="C541" s="162"/>
      <c r="D541" s="162"/>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c r="AC541" s="162"/>
      <c r="AD541" s="162"/>
      <c r="AE541" s="162"/>
      <c r="AF541" s="162"/>
      <c r="AG541" s="162"/>
      <c r="AH541" s="162"/>
      <c r="AI541" s="162"/>
      <c r="AJ541" s="162"/>
      <c r="AK541" s="162"/>
      <c r="AL541" s="162"/>
      <c r="AM541" s="162"/>
      <c r="AN541" s="162"/>
      <c r="AO541" s="162"/>
      <c r="AP541" s="162"/>
      <c r="AQ541" s="162"/>
      <c r="AR541" s="162"/>
      <c r="AS541" s="162"/>
      <c r="AT541" s="161"/>
      <c r="AU541" s="161"/>
      <c r="AV541" s="161"/>
      <c r="AW541" s="161"/>
      <c r="AX541" s="161"/>
      <c r="AY541" s="161"/>
      <c r="AZ541" s="161"/>
      <c r="BA541" s="161"/>
      <c r="BB541" s="161"/>
      <c r="BC541" s="161"/>
      <c r="BD541" s="161"/>
      <c r="BE541" s="161"/>
      <c r="BF541" s="161"/>
      <c r="BG541" s="161"/>
      <c r="BH541" s="161"/>
      <c r="BI541" s="161"/>
      <c r="BJ541" s="161"/>
      <c r="BK541" s="161"/>
      <c r="BL541" s="161"/>
      <c r="BM541" s="161"/>
      <c r="BN541" s="161"/>
      <c r="BO541" s="161"/>
      <c r="BP541" s="161"/>
      <c r="BQ541" s="161"/>
      <c r="BR541" s="161"/>
      <c r="BS541" s="161"/>
      <c r="BT541" s="161"/>
      <c r="BU541" s="161"/>
      <c r="BV541" s="161"/>
      <c r="BW541" s="161"/>
      <c r="BX541" s="161"/>
      <c r="BY541" s="161"/>
    </row>
    <row r="542" spans="1:77">
      <c r="A542" s="162"/>
      <c r="B542" s="162"/>
      <c r="C542" s="162"/>
      <c r="D542" s="162"/>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c r="AC542" s="162"/>
      <c r="AD542" s="162"/>
      <c r="AE542" s="162"/>
      <c r="AF542" s="162"/>
      <c r="AG542" s="162"/>
      <c r="AH542" s="162"/>
      <c r="AI542" s="162"/>
      <c r="AJ542" s="162"/>
      <c r="AK542" s="162"/>
      <c r="AL542" s="162"/>
      <c r="AM542" s="162"/>
      <c r="AN542" s="162"/>
      <c r="AO542" s="162"/>
      <c r="AP542" s="162"/>
      <c r="AQ542" s="162"/>
      <c r="AR542" s="162"/>
      <c r="AS542" s="162"/>
      <c r="AT542" s="161"/>
      <c r="AU542" s="161"/>
      <c r="AV542" s="161"/>
      <c r="AW542" s="161"/>
      <c r="AX542" s="161"/>
      <c r="AY542" s="161"/>
      <c r="AZ542" s="161"/>
      <c r="BA542" s="161"/>
      <c r="BB542" s="161"/>
      <c r="BC542" s="161"/>
      <c r="BD542" s="161"/>
      <c r="BE542" s="161"/>
      <c r="BF542" s="161"/>
      <c r="BG542" s="161"/>
      <c r="BH542" s="161"/>
      <c r="BI542" s="161"/>
      <c r="BJ542" s="161"/>
      <c r="BK542" s="161"/>
      <c r="BL542" s="161"/>
      <c r="BM542" s="161"/>
      <c r="BN542" s="161"/>
      <c r="BO542" s="161"/>
      <c r="BP542" s="161"/>
      <c r="BQ542" s="161"/>
      <c r="BR542" s="161"/>
      <c r="BS542" s="161"/>
      <c r="BT542" s="161"/>
      <c r="BU542" s="161"/>
      <c r="BV542" s="161"/>
      <c r="BW542" s="161"/>
      <c r="BX542" s="161"/>
      <c r="BY542" s="161"/>
    </row>
    <row r="543" spans="1:77">
      <c r="A543" s="162"/>
      <c r="B543" s="162"/>
      <c r="C543" s="162"/>
      <c r="D543" s="162"/>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c r="AC543" s="162"/>
      <c r="AD543" s="162"/>
      <c r="AE543" s="162"/>
      <c r="AF543" s="162"/>
      <c r="AG543" s="162"/>
      <c r="AH543" s="162"/>
      <c r="AI543" s="162"/>
      <c r="AJ543" s="162"/>
      <c r="AK543" s="162"/>
      <c r="AL543" s="162"/>
      <c r="AM543" s="162"/>
      <c r="AN543" s="162"/>
      <c r="AO543" s="162"/>
      <c r="AP543" s="162"/>
      <c r="AQ543" s="162"/>
      <c r="AR543" s="162"/>
      <c r="AS543" s="162"/>
      <c r="AT543" s="161"/>
      <c r="AU543" s="161"/>
      <c r="AV543" s="161"/>
      <c r="AW543" s="161"/>
      <c r="AX543" s="161"/>
      <c r="AY543" s="161"/>
      <c r="AZ543" s="161"/>
      <c r="BA543" s="161"/>
      <c r="BB543" s="161"/>
      <c r="BC543" s="161"/>
      <c r="BD543" s="161"/>
      <c r="BE543" s="161"/>
      <c r="BF543" s="161"/>
      <c r="BG543" s="161"/>
      <c r="BH543" s="161"/>
      <c r="BI543" s="161"/>
      <c r="BJ543" s="161"/>
      <c r="BK543" s="161"/>
      <c r="BL543" s="161"/>
      <c r="BM543" s="161"/>
      <c r="BN543" s="161"/>
      <c r="BO543" s="161"/>
      <c r="BP543" s="161"/>
      <c r="BQ543" s="161"/>
      <c r="BR543" s="161"/>
      <c r="BS543" s="161"/>
      <c r="BT543" s="161"/>
      <c r="BU543" s="161"/>
      <c r="BV543" s="161"/>
      <c r="BW543" s="161"/>
      <c r="BX543" s="161"/>
      <c r="BY543" s="161"/>
    </row>
    <row r="544" spans="1:77">
      <c r="A544" s="162"/>
      <c r="B544" s="162"/>
      <c r="C544" s="162"/>
      <c r="D544" s="162"/>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c r="AC544" s="162"/>
      <c r="AD544" s="162"/>
      <c r="AE544" s="162"/>
      <c r="AF544" s="162"/>
      <c r="AG544" s="162"/>
      <c r="AH544" s="162"/>
      <c r="AI544" s="162"/>
      <c r="AJ544" s="162"/>
      <c r="AK544" s="162"/>
      <c r="AL544" s="162"/>
      <c r="AM544" s="162"/>
      <c r="AN544" s="162"/>
      <c r="AO544" s="162"/>
      <c r="AP544" s="162"/>
      <c r="AQ544" s="162"/>
      <c r="AR544" s="162"/>
      <c r="AS544" s="162"/>
      <c r="AT544" s="161"/>
      <c r="AU544" s="161"/>
      <c r="AV544" s="161"/>
      <c r="AW544" s="161"/>
      <c r="AX544" s="161"/>
      <c r="AY544" s="161"/>
      <c r="AZ544" s="161"/>
      <c r="BA544" s="161"/>
      <c r="BB544" s="161"/>
      <c r="BC544" s="161"/>
      <c r="BD544" s="161"/>
      <c r="BE544" s="161"/>
      <c r="BF544" s="161"/>
      <c r="BG544" s="161"/>
      <c r="BH544" s="161"/>
      <c r="BI544" s="161"/>
      <c r="BJ544" s="161"/>
      <c r="BK544" s="161"/>
      <c r="BL544" s="161"/>
      <c r="BM544" s="161"/>
      <c r="BN544" s="161"/>
      <c r="BO544" s="161"/>
      <c r="BP544" s="161"/>
      <c r="BQ544" s="161"/>
      <c r="BR544" s="161"/>
      <c r="BS544" s="161"/>
      <c r="BT544" s="161"/>
      <c r="BU544" s="161"/>
      <c r="BV544" s="161"/>
      <c r="BW544" s="161"/>
      <c r="BX544" s="161"/>
      <c r="BY544" s="161"/>
    </row>
    <row r="545" spans="1:77">
      <c r="A545" s="162"/>
      <c r="B545" s="162"/>
      <c r="C545" s="162"/>
      <c r="D545" s="162"/>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c r="AC545" s="162"/>
      <c r="AD545" s="162"/>
      <c r="AE545" s="162"/>
      <c r="AF545" s="162"/>
      <c r="AG545" s="162"/>
      <c r="AH545" s="162"/>
      <c r="AI545" s="162"/>
      <c r="AJ545" s="162"/>
      <c r="AK545" s="162"/>
      <c r="AL545" s="162"/>
      <c r="AM545" s="162"/>
      <c r="AN545" s="162"/>
      <c r="AO545" s="162"/>
      <c r="AP545" s="162"/>
      <c r="AQ545" s="162"/>
      <c r="AR545" s="162"/>
      <c r="AS545" s="162"/>
      <c r="AT545" s="161"/>
      <c r="AU545" s="161"/>
      <c r="AV545" s="161"/>
      <c r="AW545" s="161"/>
      <c r="AX545" s="161"/>
      <c r="AY545" s="161"/>
      <c r="AZ545" s="161"/>
      <c r="BA545" s="161"/>
      <c r="BB545" s="161"/>
      <c r="BC545" s="161"/>
      <c r="BD545" s="161"/>
      <c r="BE545" s="161"/>
      <c r="BF545" s="161"/>
      <c r="BG545" s="161"/>
      <c r="BH545" s="161"/>
      <c r="BI545" s="161"/>
      <c r="BJ545" s="161"/>
      <c r="BK545" s="161"/>
      <c r="BL545" s="161"/>
      <c r="BM545" s="161"/>
      <c r="BN545" s="161"/>
      <c r="BO545" s="161"/>
      <c r="BP545" s="161"/>
      <c r="BQ545" s="161"/>
      <c r="BR545" s="161"/>
      <c r="BS545" s="161"/>
      <c r="BT545" s="161"/>
      <c r="BU545" s="161"/>
      <c r="BV545" s="161"/>
      <c r="BW545" s="161"/>
      <c r="BX545" s="161"/>
      <c r="BY545" s="161"/>
    </row>
    <row r="546" spans="1:77">
      <c r="A546" s="162"/>
      <c r="B546" s="162"/>
      <c r="C546" s="162"/>
      <c r="D546" s="162"/>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c r="AC546" s="162"/>
      <c r="AD546" s="162"/>
      <c r="AE546" s="162"/>
      <c r="AF546" s="162"/>
      <c r="AG546" s="162"/>
      <c r="AH546" s="162"/>
      <c r="AI546" s="162"/>
      <c r="AJ546" s="162"/>
      <c r="AK546" s="162"/>
      <c r="AL546" s="162"/>
      <c r="AM546" s="162"/>
      <c r="AN546" s="162"/>
      <c r="AO546" s="162"/>
      <c r="AP546" s="162"/>
      <c r="AQ546" s="162"/>
      <c r="AR546" s="162"/>
      <c r="AS546" s="162"/>
      <c r="AT546" s="161"/>
      <c r="AU546" s="161"/>
      <c r="AV546" s="161"/>
      <c r="AW546" s="161"/>
      <c r="AX546" s="161"/>
      <c r="AY546" s="161"/>
      <c r="AZ546" s="161"/>
      <c r="BA546" s="161"/>
      <c r="BB546" s="161"/>
      <c r="BC546" s="161"/>
      <c r="BD546" s="161"/>
      <c r="BE546" s="161"/>
      <c r="BF546" s="161"/>
      <c r="BG546" s="161"/>
      <c r="BH546" s="161"/>
      <c r="BI546" s="161"/>
      <c r="BJ546" s="161"/>
      <c r="BK546" s="161"/>
      <c r="BL546" s="161"/>
      <c r="BM546" s="161"/>
      <c r="BN546" s="161"/>
      <c r="BO546" s="161"/>
      <c r="BP546" s="161"/>
      <c r="BQ546" s="161"/>
      <c r="BR546" s="161"/>
      <c r="BS546" s="161"/>
      <c r="BT546" s="161"/>
      <c r="BU546" s="161"/>
      <c r="BV546" s="161"/>
      <c r="BW546" s="161"/>
      <c r="BX546" s="161"/>
      <c r="BY546" s="161"/>
    </row>
    <row r="547" spans="1:77">
      <c r="A547" s="162"/>
      <c r="B547" s="162"/>
      <c r="C547" s="162"/>
      <c r="D547" s="162"/>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c r="AC547" s="162"/>
      <c r="AD547" s="162"/>
      <c r="AE547" s="162"/>
      <c r="AF547" s="162"/>
      <c r="AG547" s="162"/>
      <c r="AH547" s="162"/>
      <c r="AI547" s="162"/>
      <c r="AJ547" s="162"/>
      <c r="AK547" s="162"/>
      <c r="AL547" s="162"/>
      <c r="AM547" s="162"/>
      <c r="AN547" s="162"/>
      <c r="AO547" s="162"/>
      <c r="AP547" s="162"/>
      <c r="AQ547" s="162"/>
      <c r="AR547" s="162"/>
      <c r="AS547" s="162"/>
      <c r="AT547" s="161"/>
      <c r="AU547" s="161"/>
      <c r="AV547" s="161"/>
      <c r="AW547" s="161"/>
      <c r="AX547" s="161"/>
      <c r="AY547" s="161"/>
      <c r="AZ547" s="161"/>
      <c r="BA547" s="161"/>
      <c r="BB547" s="161"/>
      <c r="BC547" s="161"/>
      <c r="BD547" s="161"/>
      <c r="BE547" s="161"/>
      <c r="BF547" s="161"/>
      <c r="BG547" s="161"/>
      <c r="BH547" s="161"/>
      <c r="BI547" s="161"/>
      <c r="BJ547" s="161"/>
      <c r="BK547" s="161"/>
      <c r="BL547" s="161"/>
      <c r="BM547" s="161"/>
      <c r="BN547" s="161"/>
      <c r="BO547" s="161"/>
      <c r="BP547" s="161"/>
      <c r="BQ547" s="161"/>
      <c r="BR547" s="161"/>
      <c r="BS547" s="161"/>
      <c r="BT547" s="161"/>
      <c r="BU547" s="161"/>
      <c r="BV547" s="161"/>
      <c r="BW547" s="161"/>
      <c r="BX547" s="161"/>
      <c r="BY547" s="161"/>
    </row>
    <row r="548" spans="1:77">
      <c r="A548" s="162"/>
      <c r="B548" s="162"/>
      <c r="C548" s="162"/>
      <c r="D548" s="162"/>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c r="AC548" s="162"/>
      <c r="AD548" s="162"/>
      <c r="AE548" s="162"/>
      <c r="AF548" s="162"/>
      <c r="AG548" s="162"/>
      <c r="AH548" s="162"/>
      <c r="AI548" s="162"/>
      <c r="AJ548" s="162"/>
      <c r="AK548" s="162"/>
      <c r="AL548" s="162"/>
      <c r="AM548" s="162"/>
      <c r="AN548" s="162"/>
      <c r="AO548" s="162"/>
      <c r="AP548" s="162"/>
      <c r="AQ548" s="162"/>
      <c r="AR548" s="162"/>
      <c r="AS548" s="162"/>
      <c r="AT548" s="161"/>
      <c r="AU548" s="161"/>
      <c r="AV548" s="161"/>
      <c r="AW548" s="161"/>
      <c r="AX548" s="161"/>
      <c r="AY548" s="161"/>
      <c r="AZ548" s="161"/>
      <c r="BA548" s="161"/>
      <c r="BB548" s="161"/>
      <c r="BC548" s="161"/>
      <c r="BD548" s="161"/>
      <c r="BE548" s="161"/>
      <c r="BF548" s="161"/>
      <c r="BG548" s="161"/>
      <c r="BH548" s="161"/>
      <c r="BI548" s="161"/>
      <c r="BJ548" s="161"/>
      <c r="BK548" s="161"/>
      <c r="BL548" s="161"/>
      <c r="BM548" s="161"/>
      <c r="BN548" s="161"/>
      <c r="BO548" s="161"/>
      <c r="BP548" s="161"/>
      <c r="BQ548" s="161"/>
      <c r="BR548" s="161"/>
      <c r="BS548" s="161"/>
      <c r="BT548" s="161"/>
      <c r="BU548" s="161"/>
      <c r="BV548" s="161"/>
      <c r="BW548" s="161"/>
      <c r="BX548" s="161"/>
      <c r="BY548" s="161"/>
    </row>
    <row r="549" spans="1:77">
      <c r="A549" s="162"/>
      <c r="B549" s="162"/>
      <c r="C549" s="162"/>
      <c r="D549" s="162"/>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c r="AC549" s="162"/>
      <c r="AD549" s="162"/>
      <c r="AE549" s="162"/>
      <c r="AF549" s="162"/>
      <c r="AG549" s="162"/>
      <c r="AH549" s="162"/>
      <c r="AI549" s="162"/>
      <c r="AJ549" s="162"/>
      <c r="AK549" s="162"/>
      <c r="AL549" s="162"/>
      <c r="AM549" s="162"/>
      <c r="AN549" s="162"/>
      <c r="AO549" s="162"/>
      <c r="AP549" s="162"/>
      <c r="AQ549" s="162"/>
      <c r="AR549" s="162"/>
      <c r="AS549" s="162"/>
      <c r="AT549" s="161"/>
      <c r="AU549" s="161"/>
      <c r="AV549" s="161"/>
      <c r="AW549" s="161"/>
      <c r="AX549" s="161"/>
      <c r="AY549" s="161"/>
      <c r="AZ549" s="161"/>
      <c r="BA549" s="161"/>
      <c r="BB549" s="161"/>
      <c r="BC549" s="161"/>
      <c r="BD549" s="161"/>
      <c r="BE549" s="161"/>
      <c r="BF549" s="161"/>
      <c r="BG549" s="161"/>
      <c r="BH549" s="161"/>
      <c r="BI549" s="161"/>
      <c r="BJ549" s="161"/>
      <c r="BK549" s="161"/>
      <c r="BL549" s="161"/>
      <c r="BM549" s="161"/>
      <c r="BN549" s="161"/>
      <c r="BO549" s="161"/>
      <c r="BP549" s="161"/>
      <c r="BQ549" s="161"/>
      <c r="BR549" s="161"/>
      <c r="BS549" s="161"/>
      <c r="BT549" s="161"/>
      <c r="BU549" s="161"/>
      <c r="BV549" s="161"/>
      <c r="BW549" s="161"/>
      <c r="BX549" s="161"/>
      <c r="BY549" s="161"/>
    </row>
    <row r="550" spans="1:77">
      <c r="A550" s="162"/>
      <c r="B550" s="162"/>
      <c r="C550" s="162"/>
      <c r="D550" s="162"/>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c r="AC550" s="162"/>
      <c r="AD550" s="162"/>
      <c r="AE550" s="162"/>
      <c r="AF550" s="162"/>
      <c r="AG550" s="162"/>
      <c r="AH550" s="162"/>
      <c r="AI550" s="162"/>
      <c r="AJ550" s="162"/>
      <c r="AK550" s="162"/>
      <c r="AL550" s="162"/>
      <c r="AM550" s="162"/>
      <c r="AN550" s="162"/>
      <c r="AO550" s="162"/>
      <c r="AP550" s="162"/>
      <c r="AQ550" s="162"/>
      <c r="AR550" s="162"/>
      <c r="AS550" s="162"/>
      <c r="AT550" s="161"/>
      <c r="AU550" s="161"/>
      <c r="AV550" s="161"/>
      <c r="AW550" s="161"/>
      <c r="AX550" s="161"/>
      <c r="AY550" s="161"/>
      <c r="AZ550" s="161"/>
      <c r="BA550" s="161"/>
      <c r="BB550" s="161"/>
      <c r="BC550" s="161"/>
      <c r="BD550" s="161"/>
      <c r="BE550" s="161"/>
      <c r="BF550" s="161"/>
      <c r="BG550" s="161"/>
      <c r="BH550" s="161"/>
      <c r="BI550" s="161"/>
      <c r="BJ550" s="161"/>
      <c r="BK550" s="161"/>
      <c r="BL550" s="161"/>
      <c r="BM550" s="161"/>
      <c r="BN550" s="161"/>
      <c r="BO550" s="161"/>
      <c r="BP550" s="161"/>
      <c r="BQ550" s="161"/>
      <c r="BR550" s="161"/>
      <c r="BS550" s="161"/>
      <c r="BT550" s="161"/>
      <c r="BU550" s="161"/>
      <c r="BV550" s="161"/>
      <c r="BW550" s="161"/>
      <c r="BX550" s="161"/>
      <c r="BY550" s="161"/>
    </row>
    <row r="551" spans="1:77">
      <c r="A551" s="162"/>
      <c r="B551" s="162"/>
      <c r="C551" s="162"/>
      <c r="D551" s="162"/>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c r="AC551" s="162"/>
      <c r="AD551" s="162"/>
      <c r="AE551" s="162"/>
      <c r="AF551" s="162"/>
      <c r="AG551" s="162"/>
      <c r="AH551" s="162"/>
      <c r="AI551" s="162"/>
      <c r="AJ551" s="162"/>
      <c r="AK551" s="162"/>
      <c r="AL551" s="162"/>
      <c r="AM551" s="162"/>
      <c r="AN551" s="162"/>
      <c r="AO551" s="162"/>
      <c r="AP551" s="162"/>
      <c r="AQ551" s="162"/>
      <c r="AR551" s="162"/>
      <c r="AS551" s="162"/>
      <c r="AT551" s="161"/>
      <c r="AU551" s="161"/>
      <c r="AV551" s="161"/>
      <c r="AW551" s="161"/>
      <c r="AX551" s="161"/>
      <c r="AY551" s="161"/>
      <c r="AZ551" s="161"/>
      <c r="BA551" s="161"/>
      <c r="BB551" s="161"/>
      <c r="BC551" s="161"/>
      <c r="BD551" s="161"/>
      <c r="BE551" s="161"/>
      <c r="BF551" s="161"/>
      <c r="BG551" s="161"/>
      <c r="BH551" s="161"/>
      <c r="BI551" s="161"/>
      <c r="BJ551" s="161"/>
      <c r="BK551" s="161"/>
      <c r="BL551" s="161"/>
      <c r="BM551" s="161"/>
      <c r="BN551" s="161"/>
      <c r="BO551" s="161"/>
      <c r="BP551" s="161"/>
      <c r="BQ551" s="161"/>
      <c r="BR551" s="161"/>
      <c r="BS551" s="161"/>
      <c r="BT551" s="161"/>
      <c r="BU551" s="161"/>
      <c r="BV551" s="161"/>
      <c r="BW551" s="161"/>
      <c r="BX551" s="161"/>
      <c r="BY551" s="161"/>
    </row>
    <row r="552" spans="1:77">
      <c r="A552" s="162"/>
      <c r="B552" s="162"/>
      <c r="C552" s="162"/>
      <c r="D552" s="162"/>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c r="AC552" s="162"/>
      <c r="AD552" s="162"/>
      <c r="AE552" s="162"/>
      <c r="AF552" s="162"/>
      <c r="AG552" s="162"/>
      <c r="AH552" s="162"/>
      <c r="AI552" s="162"/>
      <c r="AJ552" s="162"/>
      <c r="AK552" s="162"/>
      <c r="AL552" s="162"/>
      <c r="AM552" s="162"/>
      <c r="AN552" s="162"/>
      <c r="AO552" s="162"/>
      <c r="AP552" s="162"/>
      <c r="AQ552" s="162"/>
      <c r="AR552" s="162"/>
      <c r="AS552" s="162"/>
      <c r="AT552" s="161"/>
      <c r="AU552" s="161"/>
      <c r="AV552" s="161"/>
      <c r="AW552" s="161"/>
      <c r="AX552" s="161"/>
      <c r="AY552" s="161"/>
      <c r="AZ552" s="161"/>
      <c r="BA552" s="161"/>
      <c r="BB552" s="161"/>
      <c r="BC552" s="161"/>
      <c r="BD552" s="161"/>
      <c r="BE552" s="161"/>
      <c r="BF552" s="161"/>
      <c r="BG552" s="161"/>
      <c r="BH552" s="161"/>
      <c r="BI552" s="161"/>
      <c r="BJ552" s="161"/>
      <c r="BK552" s="161"/>
      <c r="BL552" s="161"/>
      <c r="BM552" s="161"/>
      <c r="BN552" s="161"/>
      <c r="BO552" s="161"/>
      <c r="BP552" s="161"/>
      <c r="BQ552" s="161"/>
      <c r="BR552" s="161"/>
      <c r="BS552" s="161"/>
      <c r="BT552" s="161"/>
      <c r="BU552" s="161"/>
      <c r="BV552" s="161"/>
      <c r="BW552" s="161"/>
      <c r="BX552" s="161"/>
      <c r="BY552" s="161"/>
    </row>
    <row r="553" spans="1:77">
      <c r="A553" s="162"/>
      <c r="B553" s="162"/>
      <c r="C553" s="162"/>
      <c r="D553" s="162"/>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c r="AC553" s="162"/>
      <c r="AD553" s="162"/>
      <c r="AE553" s="162"/>
      <c r="AF553" s="162"/>
      <c r="AG553" s="162"/>
      <c r="AH553" s="162"/>
      <c r="AI553" s="162"/>
      <c r="AJ553" s="162"/>
      <c r="AK553" s="162"/>
      <c r="AL553" s="162"/>
      <c r="AM553" s="162"/>
      <c r="AN553" s="162"/>
      <c r="AO553" s="162"/>
      <c r="AP553" s="162"/>
      <c r="AQ553" s="162"/>
      <c r="AR553" s="162"/>
      <c r="AS553" s="162"/>
      <c r="AT553" s="161"/>
      <c r="AU553" s="161"/>
      <c r="AV553" s="161"/>
      <c r="AW553" s="161"/>
      <c r="AX553" s="161"/>
      <c r="AY553" s="161"/>
      <c r="AZ553" s="161"/>
      <c r="BA553" s="161"/>
      <c r="BB553" s="161"/>
      <c r="BC553" s="161"/>
      <c r="BD553" s="161"/>
      <c r="BE553" s="161"/>
      <c r="BF553" s="161"/>
      <c r="BG553" s="161"/>
      <c r="BH553" s="161"/>
      <c r="BI553" s="161"/>
      <c r="BJ553" s="161"/>
      <c r="BK553" s="161"/>
      <c r="BL553" s="161"/>
      <c r="BM553" s="161"/>
      <c r="BN553" s="161"/>
      <c r="BO553" s="161"/>
      <c r="BP553" s="161"/>
      <c r="BQ553" s="161"/>
      <c r="BR553" s="161"/>
      <c r="BS553" s="161"/>
      <c r="BT553" s="161"/>
      <c r="BU553" s="161"/>
      <c r="BV553" s="161"/>
      <c r="BW553" s="161"/>
      <c r="BX553" s="161"/>
      <c r="BY553" s="161"/>
    </row>
    <row r="554" spans="1:77">
      <c r="A554" s="162"/>
      <c r="B554" s="162"/>
      <c r="C554" s="162"/>
      <c r="D554" s="162"/>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c r="AC554" s="162"/>
      <c r="AD554" s="162"/>
      <c r="AE554" s="162"/>
      <c r="AF554" s="162"/>
      <c r="AG554" s="162"/>
      <c r="AH554" s="162"/>
      <c r="AI554" s="162"/>
      <c r="AJ554" s="162"/>
      <c r="AK554" s="162"/>
      <c r="AL554" s="162"/>
      <c r="AM554" s="162"/>
      <c r="AN554" s="162"/>
      <c r="AO554" s="162"/>
      <c r="AP554" s="162"/>
      <c r="AQ554" s="162"/>
      <c r="AR554" s="162"/>
      <c r="AS554" s="162"/>
      <c r="AT554" s="161"/>
      <c r="AU554" s="161"/>
      <c r="AV554" s="161"/>
      <c r="AW554" s="161"/>
      <c r="AX554" s="161"/>
      <c r="AY554" s="161"/>
      <c r="AZ554" s="161"/>
      <c r="BA554" s="161"/>
      <c r="BB554" s="161"/>
      <c r="BC554" s="161"/>
      <c r="BD554" s="161"/>
      <c r="BE554" s="161"/>
      <c r="BF554" s="161"/>
      <c r="BG554" s="161"/>
      <c r="BH554" s="161"/>
      <c r="BI554" s="161"/>
      <c r="BJ554" s="161"/>
      <c r="BK554" s="161"/>
      <c r="BL554" s="161"/>
      <c r="BM554" s="161"/>
      <c r="BN554" s="161"/>
      <c r="BO554" s="161"/>
      <c r="BP554" s="161"/>
      <c r="BQ554" s="161"/>
      <c r="BR554" s="161"/>
      <c r="BS554" s="161"/>
      <c r="BT554" s="161"/>
      <c r="BU554" s="161"/>
      <c r="BV554" s="161"/>
      <c r="BW554" s="161"/>
      <c r="BX554" s="161"/>
      <c r="BY554" s="161"/>
    </row>
    <row r="555" spans="1:77">
      <c r="A555" s="162"/>
      <c r="B555" s="162"/>
      <c r="C555" s="162"/>
      <c r="D555" s="162"/>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c r="AC555" s="162"/>
      <c r="AD555" s="162"/>
      <c r="AE555" s="162"/>
      <c r="AF555" s="162"/>
      <c r="AG555" s="162"/>
      <c r="AH555" s="162"/>
      <c r="AI555" s="162"/>
      <c r="AJ555" s="162"/>
      <c r="AK555" s="162"/>
      <c r="AL555" s="162"/>
      <c r="AM555" s="162"/>
      <c r="AN555" s="162"/>
      <c r="AO555" s="162"/>
      <c r="AP555" s="162"/>
      <c r="AQ555" s="162"/>
      <c r="AR555" s="162"/>
      <c r="AS555" s="162"/>
      <c r="AT555" s="161"/>
      <c r="AU555" s="161"/>
      <c r="AV555" s="161"/>
      <c r="AW555" s="161"/>
      <c r="AX555" s="161"/>
      <c r="AY555" s="161"/>
      <c r="AZ555" s="161"/>
      <c r="BA555" s="161"/>
      <c r="BB555" s="161"/>
      <c r="BC555" s="161"/>
      <c r="BD555" s="161"/>
      <c r="BE555" s="161"/>
      <c r="BF555" s="161"/>
      <c r="BG555" s="161"/>
      <c r="BH555" s="161"/>
      <c r="BI555" s="161"/>
      <c r="BJ555" s="161"/>
      <c r="BK555" s="161"/>
      <c r="BL555" s="161"/>
      <c r="BM555" s="161"/>
      <c r="BN555" s="161"/>
      <c r="BO555" s="161"/>
      <c r="BP555" s="161"/>
      <c r="BQ555" s="161"/>
      <c r="BR555" s="161"/>
      <c r="BS555" s="161"/>
      <c r="BT555" s="161"/>
      <c r="BU555" s="161"/>
      <c r="BV555" s="161"/>
      <c r="BW555" s="161"/>
      <c r="BX555" s="161"/>
      <c r="BY555" s="161"/>
    </row>
    <row r="556" spans="1:77">
      <c r="A556" s="162"/>
      <c r="B556" s="162"/>
      <c r="C556" s="162"/>
      <c r="D556" s="162"/>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c r="AC556" s="162"/>
      <c r="AD556" s="162"/>
      <c r="AE556" s="162"/>
      <c r="AF556" s="162"/>
      <c r="AG556" s="162"/>
      <c r="AH556" s="162"/>
      <c r="AI556" s="162"/>
      <c r="AJ556" s="162"/>
      <c r="AK556" s="162"/>
      <c r="AL556" s="162"/>
      <c r="AM556" s="162"/>
      <c r="AN556" s="162"/>
      <c r="AO556" s="162"/>
      <c r="AP556" s="162"/>
      <c r="AQ556" s="162"/>
      <c r="AR556" s="162"/>
      <c r="AS556" s="162"/>
      <c r="AT556" s="161"/>
      <c r="AU556" s="161"/>
      <c r="AV556" s="161"/>
      <c r="AW556" s="161"/>
      <c r="AX556" s="161"/>
      <c r="AY556" s="161"/>
      <c r="AZ556" s="161"/>
      <c r="BA556" s="161"/>
      <c r="BB556" s="161"/>
      <c r="BC556" s="161"/>
      <c r="BD556" s="161"/>
      <c r="BE556" s="161"/>
      <c r="BF556" s="161"/>
      <c r="BG556" s="161"/>
      <c r="BH556" s="161"/>
      <c r="BI556" s="161"/>
      <c r="BJ556" s="161"/>
      <c r="BK556" s="161"/>
      <c r="BL556" s="161"/>
      <c r="BM556" s="161"/>
      <c r="BN556" s="161"/>
      <c r="BO556" s="161"/>
      <c r="BP556" s="161"/>
      <c r="BQ556" s="161"/>
      <c r="BR556" s="161"/>
      <c r="BS556" s="161"/>
      <c r="BT556" s="161"/>
      <c r="BU556" s="161"/>
      <c r="BV556" s="161"/>
      <c r="BW556" s="161"/>
      <c r="BX556" s="161"/>
      <c r="BY556" s="161"/>
    </row>
    <row r="557" spans="1:77">
      <c r="A557" s="162"/>
      <c r="B557" s="162"/>
      <c r="C557" s="162"/>
      <c r="D557" s="162"/>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c r="AC557" s="162"/>
      <c r="AD557" s="162"/>
      <c r="AE557" s="162"/>
      <c r="AF557" s="162"/>
      <c r="AG557" s="162"/>
      <c r="AH557" s="162"/>
      <c r="AI557" s="162"/>
      <c r="AJ557" s="162"/>
      <c r="AK557" s="162"/>
      <c r="AL557" s="162"/>
      <c r="AM557" s="162"/>
      <c r="AN557" s="162"/>
      <c r="AO557" s="162"/>
      <c r="AP557" s="162"/>
      <c r="AQ557" s="162"/>
      <c r="AR557" s="162"/>
      <c r="AS557" s="162"/>
      <c r="AT557" s="161"/>
      <c r="AU557" s="161"/>
      <c r="AV557" s="161"/>
      <c r="AW557" s="161"/>
      <c r="AX557" s="161"/>
      <c r="AY557" s="161"/>
      <c r="AZ557" s="161"/>
      <c r="BA557" s="161"/>
      <c r="BB557" s="161"/>
      <c r="BC557" s="161"/>
      <c r="BD557" s="161"/>
      <c r="BE557" s="161"/>
      <c r="BF557" s="161"/>
      <c r="BG557" s="161"/>
      <c r="BH557" s="161"/>
      <c r="BI557" s="161"/>
      <c r="BJ557" s="161"/>
      <c r="BK557" s="161"/>
      <c r="BL557" s="161"/>
      <c r="BM557" s="161"/>
      <c r="BN557" s="161"/>
      <c r="BO557" s="161"/>
      <c r="BP557" s="161"/>
      <c r="BQ557" s="161"/>
      <c r="BR557" s="161"/>
      <c r="BS557" s="161"/>
      <c r="BT557" s="161"/>
      <c r="BU557" s="161"/>
      <c r="BV557" s="161"/>
      <c r="BW557" s="161"/>
      <c r="BX557" s="161"/>
      <c r="BY557" s="161"/>
    </row>
    <row r="558" spans="1:77">
      <c r="A558" s="162"/>
      <c r="B558" s="162"/>
      <c r="C558" s="162"/>
      <c r="D558" s="162"/>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c r="AC558" s="162"/>
      <c r="AD558" s="162"/>
      <c r="AE558" s="162"/>
      <c r="AF558" s="162"/>
      <c r="AG558" s="162"/>
      <c r="AH558" s="162"/>
      <c r="AI558" s="162"/>
      <c r="AJ558" s="162"/>
      <c r="AK558" s="162"/>
      <c r="AL558" s="162"/>
      <c r="AM558" s="162"/>
      <c r="AN558" s="162"/>
      <c r="AO558" s="162"/>
      <c r="AP558" s="162"/>
      <c r="AQ558" s="162"/>
      <c r="AR558" s="162"/>
      <c r="AS558" s="162"/>
      <c r="AT558" s="161"/>
      <c r="AU558" s="161"/>
      <c r="AV558" s="161"/>
      <c r="AW558" s="161"/>
      <c r="AX558" s="161"/>
      <c r="AY558" s="161"/>
      <c r="AZ558" s="161"/>
      <c r="BA558" s="161"/>
      <c r="BB558" s="161"/>
      <c r="BC558" s="161"/>
      <c r="BD558" s="161"/>
      <c r="BE558" s="161"/>
      <c r="BF558" s="161"/>
      <c r="BG558" s="161"/>
      <c r="BH558" s="161"/>
      <c r="BI558" s="161"/>
      <c r="BJ558" s="161"/>
      <c r="BK558" s="161"/>
      <c r="BL558" s="161"/>
      <c r="BM558" s="161"/>
      <c r="BN558" s="161"/>
      <c r="BO558" s="161"/>
      <c r="BP558" s="161"/>
      <c r="BQ558" s="161"/>
      <c r="BR558" s="161"/>
      <c r="BS558" s="161"/>
      <c r="BT558" s="161"/>
      <c r="BU558" s="161"/>
      <c r="BV558" s="161"/>
      <c r="BW558" s="161"/>
      <c r="BX558" s="161"/>
      <c r="BY558" s="161"/>
    </row>
    <row r="559" spans="1:77">
      <c r="A559" s="162"/>
      <c r="B559" s="162"/>
      <c r="C559" s="162"/>
      <c r="D559" s="162"/>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c r="AC559" s="162"/>
      <c r="AD559" s="162"/>
      <c r="AE559" s="162"/>
      <c r="AF559" s="162"/>
      <c r="AG559" s="162"/>
      <c r="AH559" s="162"/>
      <c r="AI559" s="162"/>
      <c r="AJ559" s="162"/>
      <c r="AK559" s="162"/>
      <c r="AL559" s="162"/>
      <c r="AM559" s="162"/>
      <c r="AN559" s="162"/>
      <c r="AO559" s="162"/>
      <c r="AP559" s="162"/>
      <c r="AQ559" s="162"/>
      <c r="AR559" s="162"/>
      <c r="AS559" s="162"/>
      <c r="AT559" s="161"/>
      <c r="AU559" s="161"/>
      <c r="AV559" s="161"/>
      <c r="AW559" s="161"/>
      <c r="AX559" s="161"/>
      <c r="AY559" s="161"/>
      <c r="AZ559" s="161"/>
      <c r="BA559" s="161"/>
      <c r="BB559" s="161"/>
      <c r="BC559" s="161"/>
      <c r="BD559" s="161"/>
      <c r="BE559" s="161"/>
      <c r="BF559" s="161"/>
      <c r="BG559" s="161"/>
      <c r="BH559" s="161"/>
      <c r="BI559" s="161"/>
      <c r="BJ559" s="161"/>
      <c r="BK559" s="161"/>
      <c r="BL559" s="161"/>
      <c r="BM559" s="161"/>
      <c r="BN559" s="161"/>
      <c r="BO559" s="161"/>
      <c r="BP559" s="161"/>
      <c r="BQ559" s="161"/>
      <c r="BR559" s="161"/>
      <c r="BS559" s="161"/>
      <c r="BT559" s="161"/>
      <c r="BU559" s="161"/>
      <c r="BV559" s="161"/>
      <c r="BW559" s="161"/>
      <c r="BX559" s="161"/>
      <c r="BY559" s="161"/>
    </row>
    <row r="560" spans="1:77">
      <c r="A560" s="162"/>
      <c r="B560" s="162"/>
      <c r="C560" s="162"/>
      <c r="D560" s="162"/>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c r="AC560" s="162"/>
      <c r="AD560" s="162"/>
      <c r="AE560" s="162"/>
      <c r="AF560" s="162"/>
      <c r="AG560" s="162"/>
      <c r="AH560" s="162"/>
      <c r="AI560" s="162"/>
      <c r="AJ560" s="162"/>
      <c r="AK560" s="162"/>
      <c r="AL560" s="162"/>
      <c r="AM560" s="162"/>
      <c r="AN560" s="162"/>
      <c r="AO560" s="162"/>
      <c r="AP560" s="162"/>
      <c r="AQ560" s="162"/>
      <c r="AR560" s="162"/>
      <c r="AS560" s="162"/>
      <c r="AT560" s="161"/>
      <c r="AU560" s="161"/>
      <c r="AV560" s="161"/>
      <c r="AW560" s="161"/>
      <c r="AX560" s="161"/>
      <c r="AY560" s="161"/>
      <c r="AZ560" s="161"/>
      <c r="BA560" s="161"/>
      <c r="BB560" s="161"/>
      <c r="BC560" s="161"/>
      <c r="BD560" s="161"/>
      <c r="BE560" s="161"/>
      <c r="BF560" s="161"/>
      <c r="BG560" s="161"/>
      <c r="BH560" s="161"/>
      <c r="BI560" s="161"/>
      <c r="BJ560" s="161"/>
      <c r="BK560" s="161"/>
      <c r="BL560" s="161"/>
      <c r="BM560" s="161"/>
      <c r="BN560" s="161"/>
      <c r="BO560" s="161"/>
      <c r="BP560" s="161"/>
      <c r="BQ560" s="161"/>
      <c r="BR560" s="161"/>
      <c r="BS560" s="161"/>
      <c r="BT560" s="161"/>
      <c r="BU560" s="161"/>
      <c r="BV560" s="161"/>
      <c r="BW560" s="161"/>
      <c r="BX560" s="161"/>
      <c r="BY560" s="161"/>
    </row>
    <row r="561" spans="1:77">
      <c r="A561" s="162"/>
      <c r="B561" s="162"/>
      <c r="C561" s="162"/>
      <c r="D561" s="162"/>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c r="AC561" s="162"/>
      <c r="AD561" s="162"/>
      <c r="AE561" s="162"/>
      <c r="AF561" s="162"/>
      <c r="AG561" s="162"/>
      <c r="AH561" s="162"/>
      <c r="AI561" s="162"/>
      <c r="AJ561" s="162"/>
      <c r="AK561" s="162"/>
      <c r="AL561" s="162"/>
      <c r="AM561" s="162"/>
      <c r="AN561" s="162"/>
      <c r="AO561" s="162"/>
      <c r="AP561" s="162"/>
      <c r="AQ561" s="162"/>
      <c r="AR561" s="162"/>
      <c r="AS561" s="162"/>
      <c r="AT561" s="161"/>
      <c r="AU561" s="161"/>
      <c r="AV561" s="161"/>
      <c r="AW561" s="161"/>
      <c r="AX561" s="161"/>
      <c r="AY561" s="161"/>
      <c r="AZ561" s="161"/>
      <c r="BA561" s="161"/>
      <c r="BB561" s="161"/>
      <c r="BC561" s="161"/>
      <c r="BD561" s="161"/>
      <c r="BE561" s="161"/>
      <c r="BF561" s="161"/>
      <c r="BG561" s="161"/>
      <c r="BH561" s="161"/>
      <c r="BI561" s="161"/>
      <c r="BJ561" s="161"/>
      <c r="BK561" s="161"/>
      <c r="BL561" s="161"/>
      <c r="BM561" s="161"/>
      <c r="BN561" s="161"/>
      <c r="BO561" s="161"/>
      <c r="BP561" s="161"/>
      <c r="BQ561" s="161"/>
      <c r="BR561" s="161"/>
      <c r="BS561" s="161"/>
      <c r="BT561" s="161"/>
      <c r="BU561" s="161"/>
      <c r="BV561" s="161"/>
      <c r="BW561" s="161"/>
      <c r="BX561" s="161"/>
      <c r="BY561" s="161"/>
    </row>
    <row r="562" spans="1:77">
      <c r="A562" s="162"/>
      <c r="B562" s="162"/>
      <c r="C562" s="162"/>
      <c r="D562" s="162"/>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c r="AC562" s="162"/>
      <c r="AD562" s="162"/>
      <c r="AE562" s="162"/>
      <c r="AF562" s="162"/>
      <c r="AG562" s="162"/>
      <c r="AH562" s="162"/>
      <c r="AI562" s="162"/>
      <c r="AJ562" s="162"/>
      <c r="AK562" s="162"/>
      <c r="AL562" s="162"/>
      <c r="AM562" s="162"/>
      <c r="AN562" s="162"/>
      <c r="AO562" s="162"/>
      <c r="AP562" s="162"/>
      <c r="AQ562" s="162"/>
      <c r="AR562" s="162"/>
      <c r="AS562" s="162"/>
      <c r="AT562" s="161"/>
      <c r="AU562" s="161"/>
      <c r="AV562" s="161"/>
      <c r="AW562" s="161"/>
      <c r="AX562" s="161"/>
      <c r="AY562" s="161"/>
      <c r="AZ562" s="161"/>
      <c r="BA562" s="161"/>
      <c r="BB562" s="161"/>
      <c r="BC562" s="161"/>
      <c r="BD562" s="161"/>
      <c r="BE562" s="161"/>
      <c r="BF562" s="161"/>
      <c r="BG562" s="161"/>
      <c r="BH562" s="161"/>
      <c r="BI562" s="161"/>
      <c r="BJ562" s="161"/>
      <c r="BK562" s="161"/>
      <c r="BL562" s="161"/>
      <c r="BM562" s="161"/>
      <c r="BN562" s="161"/>
      <c r="BO562" s="161"/>
      <c r="BP562" s="161"/>
      <c r="BQ562" s="161"/>
      <c r="BR562" s="161"/>
      <c r="BS562" s="161"/>
      <c r="BT562" s="161"/>
      <c r="BU562" s="161"/>
      <c r="BV562" s="161"/>
      <c r="BW562" s="161"/>
      <c r="BX562" s="161"/>
      <c r="BY562" s="161"/>
    </row>
    <row r="563" spans="1:77">
      <c r="A563" s="162"/>
      <c r="B563" s="162"/>
      <c r="C563" s="162"/>
      <c r="D563" s="162"/>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c r="AC563" s="162"/>
      <c r="AD563" s="162"/>
      <c r="AE563" s="162"/>
      <c r="AF563" s="162"/>
      <c r="AG563" s="162"/>
      <c r="AH563" s="162"/>
      <c r="AI563" s="162"/>
      <c r="AJ563" s="162"/>
      <c r="AK563" s="162"/>
      <c r="AL563" s="162"/>
      <c r="AM563" s="162"/>
      <c r="AN563" s="162"/>
      <c r="AO563" s="162"/>
      <c r="AP563" s="162"/>
      <c r="AQ563" s="162"/>
      <c r="AR563" s="162"/>
      <c r="AS563" s="162"/>
      <c r="AT563" s="161"/>
      <c r="AU563" s="161"/>
      <c r="AV563" s="161"/>
      <c r="AW563" s="161"/>
      <c r="AX563" s="161"/>
      <c r="AY563" s="161"/>
      <c r="AZ563" s="161"/>
      <c r="BA563" s="161"/>
      <c r="BB563" s="161"/>
      <c r="BC563" s="161"/>
      <c r="BD563" s="161"/>
      <c r="BE563" s="161"/>
      <c r="BF563" s="161"/>
      <c r="BG563" s="161"/>
      <c r="BH563" s="161"/>
      <c r="BI563" s="161"/>
      <c r="BJ563" s="161"/>
      <c r="BK563" s="161"/>
      <c r="BL563" s="161"/>
      <c r="BM563" s="161"/>
      <c r="BN563" s="161"/>
      <c r="BO563" s="161"/>
      <c r="BP563" s="161"/>
      <c r="BQ563" s="161"/>
      <c r="BR563" s="161"/>
      <c r="BS563" s="161"/>
      <c r="BT563" s="161"/>
      <c r="BU563" s="161"/>
      <c r="BV563" s="161"/>
      <c r="BW563" s="161"/>
      <c r="BX563" s="161"/>
      <c r="BY563" s="161"/>
    </row>
    <row r="564" spans="1:77">
      <c r="A564" s="162"/>
      <c r="B564" s="162"/>
      <c r="C564" s="162"/>
      <c r="D564" s="162"/>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c r="AC564" s="162"/>
      <c r="AD564" s="162"/>
      <c r="AE564" s="162"/>
      <c r="AF564" s="162"/>
      <c r="AG564" s="162"/>
      <c r="AH564" s="162"/>
      <c r="AI564" s="162"/>
      <c r="AJ564" s="162"/>
      <c r="AK564" s="162"/>
      <c r="AL564" s="162"/>
      <c r="AM564" s="162"/>
      <c r="AN564" s="162"/>
      <c r="AO564" s="162"/>
      <c r="AP564" s="162"/>
      <c r="AQ564" s="162"/>
      <c r="AR564" s="162"/>
      <c r="AS564" s="162"/>
      <c r="AT564" s="161"/>
      <c r="AU564" s="161"/>
      <c r="AV564" s="161"/>
      <c r="AW564" s="161"/>
      <c r="AX564" s="161"/>
      <c r="AY564" s="161"/>
      <c r="AZ564" s="161"/>
      <c r="BA564" s="161"/>
      <c r="BB564" s="161"/>
      <c r="BC564" s="161"/>
      <c r="BD564" s="161"/>
      <c r="BE564" s="161"/>
      <c r="BF564" s="161"/>
      <c r="BG564" s="161"/>
      <c r="BH564" s="161"/>
      <c r="BI564" s="161"/>
      <c r="BJ564" s="161"/>
      <c r="BK564" s="161"/>
      <c r="BL564" s="161"/>
      <c r="BM564" s="161"/>
      <c r="BN564" s="161"/>
      <c r="BO564" s="161"/>
      <c r="BP564" s="161"/>
      <c r="BQ564" s="161"/>
      <c r="BR564" s="161"/>
      <c r="BS564" s="161"/>
      <c r="BT564" s="161"/>
      <c r="BU564" s="161"/>
      <c r="BV564" s="161"/>
      <c r="BW564" s="161"/>
      <c r="BX564" s="161"/>
      <c r="BY564" s="161"/>
    </row>
    <row r="565" spans="1:77">
      <c r="A565" s="162"/>
      <c r="B565" s="162"/>
      <c r="C565" s="162"/>
      <c r="D565" s="162"/>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c r="AC565" s="162"/>
      <c r="AD565" s="162"/>
      <c r="AE565" s="162"/>
      <c r="AF565" s="162"/>
      <c r="AG565" s="162"/>
      <c r="AH565" s="162"/>
      <c r="AI565" s="162"/>
      <c r="AJ565" s="162"/>
      <c r="AK565" s="162"/>
      <c r="AL565" s="162"/>
      <c r="AM565" s="162"/>
      <c r="AN565" s="162"/>
      <c r="AO565" s="162"/>
      <c r="AP565" s="162"/>
      <c r="AQ565" s="162"/>
      <c r="AR565" s="162"/>
      <c r="AS565" s="162"/>
      <c r="AT565" s="161"/>
      <c r="AU565" s="161"/>
      <c r="AV565" s="161"/>
      <c r="AW565" s="161"/>
      <c r="AX565" s="161"/>
      <c r="AY565" s="161"/>
      <c r="AZ565" s="161"/>
      <c r="BA565" s="161"/>
      <c r="BB565" s="161"/>
      <c r="BC565" s="161"/>
      <c r="BD565" s="161"/>
      <c r="BE565" s="161"/>
      <c r="BF565" s="161"/>
      <c r="BG565" s="161"/>
      <c r="BH565" s="161"/>
      <c r="BI565" s="161"/>
      <c r="BJ565" s="161"/>
      <c r="BK565" s="161"/>
      <c r="BL565" s="161"/>
      <c r="BM565" s="161"/>
      <c r="BN565" s="161"/>
      <c r="BO565" s="161"/>
      <c r="BP565" s="161"/>
      <c r="BQ565" s="161"/>
      <c r="BR565" s="161"/>
      <c r="BS565" s="161"/>
      <c r="BT565" s="161"/>
      <c r="BU565" s="161"/>
      <c r="BV565" s="161"/>
      <c r="BW565" s="161"/>
      <c r="BX565" s="161"/>
      <c r="BY565" s="161"/>
    </row>
    <row r="566" spans="1:77">
      <c r="A566" s="162"/>
      <c r="B566" s="162"/>
      <c r="C566" s="162"/>
      <c r="D566" s="162"/>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c r="AC566" s="162"/>
      <c r="AD566" s="162"/>
      <c r="AE566" s="162"/>
      <c r="AF566" s="162"/>
      <c r="AG566" s="162"/>
      <c r="AH566" s="162"/>
      <c r="AI566" s="162"/>
      <c r="AJ566" s="162"/>
      <c r="AK566" s="162"/>
      <c r="AL566" s="162"/>
      <c r="AM566" s="162"/>
      <c r="AN566" s="162"/>
      <c r="AO566" s="162"/>
      <c r="AP566" s="162"/>
      <c r="AQ566" s="162"/>
      <c r="AR566" s="162"/>
      <c r="AS566" s="162"/>
      <c r="AT566" s="161"/>
      <c r="AU566" s="161"/>
      <c r="AV566" s="161"/>
      <c r="AW566" s="161"/>
      <c r="AX566" s="161"/>
      <c r="AY566" s="161"/>
      <c r="AZ566" s="161"/>
      <c r="BA566" s="161"/>
      <c r="BB566" s="161"/>
      <c r="BC566" s="161"/>
      <c r="BD566" s="161"/>
      <c r="BE566" s="161"/>
      <c r="BF566" s="161"/>
      <c r="BG566" s="161"/>
      <c r="BH566" s="161"/>
      <c r="BI566" s="161"/>
      <c r="BJ566" s="161"/>
      <c r="BK566" s="161"/>
      <c r="BL566" s="161"/>
      <c r="BM566" s="161"/>
      <c r="BN566" s="161"/>
      <c r="BO566" s="161"/>
      <c r="BP566" s="161"/>
      <c r="BQ566" s="161"/>
      <c r="BR566" s="161"/>
      <c r="BS566" s="161"/>
      <c r="BT566" s="161"/>
      <c r="BU566" s="161"/>
      <c r="BV566" s="161"/>
      <c r="BW566" s="161"/>
      <c r="BX566" s="161"/>
      <c r="BY566" s="161"/>
    </row>
    <row r="567" spans="1:77">
      <c r="A567" s="162"/>
      <c r="B567" s="162"/>
      <c r="C567" s="162"/>
      <c r="D567" s="162"/>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c r="AC567" s="162"/>
      <c r="AD567" s="162"/>
      <c r="AE567" s="162"/>
      <c r="AF567" s="162"/>
      <c r="AG567" s="162"/>
      <c r="AH567" s="162"/>
      <c r="AI567" s="162"/>
      <c r="AJ567" s="162"/>
      <c r="AK567" s="162"/>
      <c r="AL567" s="162"/>
      <c r="AM567" s="162"/>
      <c r="AN567" s="162"/>
      <c r="AO567" s="162"/>
      <c r="AP567" s="162"/>
      <c r="AQ567" s="162"/>
      <c r="AR567" s="162"/>
      <c r="AS567" s="162"/>
      <c r="AT567" s="161"/>
      <c r="AU567" s="161"/>
      <c r="AV567" s="161"/>
      <c r="AW567" s="161"/>
      <c r="AX567" s="161"/>
      <c r="AY567" s="161"/>
      <c r="AZ567" s="161"/>
      <c r="BA567" s="161"/>
      <c r="BB567" s="161"/>
      <c r="BC567" s="161"/>
      <c r="BD567" s="161"/>
      <c r="BE567" s="161"/>
      <c r="BF567" s="161"/>
      <c r="BG567" s="161"/>
      <c r="BH567" s="161"/>
      <c r="BI567" s="161"/>
      <c r="BJ567" s="161"/>
      <c r="BK567" s="161"/>
      <c r="BL567" s="161"/>
      <c r="BM567" s="161"/>
      <c r="BN567" s="161"/>
      <c r="BO567" s="161"/>
      <c r="BP567" s="161"/>
      <c r="BQ567" s="161"/>
      <c r="BR567" s="161"/>
      <c r="BS567" s="161"/>
      <c r="BT567" s="161"/>
      <c r="BU567" s="161"/>
      <c r="BV567" s="161"/>
      <c r="BW567" s="161"/>
      <c r="BX567" s="161"/>
      <c r="BY567" s="161"/>
    </row>
    <row r="568" spans="1:77">
      <c r="A568" s="162"/>
      <c r="B568" s="162"/>
      <c r="C568" s="162"/>
      <c r="D568" s="162"/>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c r="AC568" s="162"/>
      <c r="AD568" s="162"/>
      <c r="AE568" s="162"/>
      <c r="AF568" s="162"/>
      <c r="AG568" s="162"/>
      <c r="AH568" s="162"/>
      <c r="AI568" s="162"/>
      <c r="AJ568" s="162"/>
      <c r="AK568" s="162"/>
      <c r="AL568" s="162"/>
      <c r="AM568" s="162"/>
      <c r="AN568" s="162"/>
      <c r="AO568" s="162"/>
      <c r="AP568" s="162"/>
      <c r="AQ568" s="162"/>
      <c r="AR568" s="162"/>
      <c r="AS568" s="162"/>
      <c r="AT568" s="161"/>
      <c r="AU568" s="161"/>
      <c r="AV568" s="161"/>
      <c r="AW568" s="161"/>
      <c r="AX568" s="161"/>
      <c r="AY568" s="161"/>
      <c r="AZ568" s="161"/>
      <c r="BA568" s="161"/>
      <c r="BB568" s="161"/>
      <c r="BC568" s="161"/>
      <c r="BD568" s="161"/>
      <c r="BE568" s="161"/>
      <c r="BF568" s="161"/>
      <c r="BG568" s="161"/>
      <c r="BH568" s="161"/>
      <c r="BI568" s="161"/>
      <c r="BJ568" s="161"/>
      <c r="BK568" s="161"/>
      <c r="BL568" s="161"/>
      <c r="BM568" s="161"/>
      <c r="BN568" s="161"/>
      <c r="BO568" s="161"/>
      <c r="BP568" s="161"/>
      <c r="BQ568" s="161"/>
      <c r="BR568" s="161"/>
      <c r="BS568" s="161"/>
      <c r="BT568" s="161"/>
      <c r="BU568" s="161"/>
      <c r="BV568" s="161"/>
      <c r="BW568" s="161"/>
      <c r="BX568" s="161"/>
      <c r="BY568" s="161"/>
    </row>
    <row r="569" spans="1:77">
      <c r="A569" s="162"/>
      <c r="B569" s="162"/>
      <c r="C569" s="162"/>
      <c r="D569" s="162"/>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c r="AC569" s="162"/>
      <c r="AD569" s="162"/>
      <c r="AE569" s="162"/>
      <c r="AF569" s="162"/>
      <c r="AG569" s="162"/>
      <c r="AH569" s="162"/>
      <c r="AI569" s="162"/>
      <c r="AJ569" s="162"/>
      <c r="AK569" s="162"/>
      <c r="AL569" s="162"/>
      <c r="AM569" s="162"/>
      <c r="AN569" s="162"/>
      <c r="AO569" s="162"/>
      <c r="AP569" s="162"/>
      <c r="AQ569" s="162"/>
      <c r="AR569" s="162"/>
      <c r="AS569" s="162"/>
      <c r="AT569" s="161"/>
      <c r="AU569" s="161"/>
      <c r="AV569" s="161"/>
      <c r="AW569" s="161"/>
      <c r="AX569" s="161"/>
      <c r="AY569" s="161"/>
      <c r="AZ569" s="161"/>
      <c r="BA569" s="161"/>
      <c r="BB569" s="161"/>
      <c r="BC569" s="161"/>
      <c r="BD569" s="161"/>
      <c r="BE569" s="161"/>
      <c r="BF569" s="161"/>
      <c r="BG569" s="161"/>
      <c r="BH569" s="161"/>
      <c r="BI569" s="161"/>
      <c r="BJ569" s="161"/>
      <c r="BK569" s="161"/>
      <c r="BL569" s="161"/>
      <c r="BM569" s="161"/>
      <c r="BN569" s="161"/>
      <c r="BO569" s="161"/>
      <c r="BP569" s="161"/>
      <c r="BQ569" s="161"/>
      <c r="BR569" s="161"/>
      <c r="BS569" s="161"/>
      <c r="BT569" s="161"/>
      <c r="BU569" s="161"/>
      <c r="BV569" s="161"/>
      <c r="BW569" s="161"/>
      <c r="BX569" s="161"/>
      <c r="BY569" s="161"/>
    </row>
    <row r="570" spans="1:77">
      <c r="A570" s="162"/>
      <c r="B570" s="162"/>
      <c r="C570" s="162"/>
      <c r="D570" s="162"/>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c r="AC570" s="162"/>
      <c r="AD570" s="162"/>
      <c r="AE570" s="162"/>
      <c r="AF570" s="162"/>
      <c r="AG570" s="162"/>
      <c r="AH570" s="162"/>
      <c r="AI570" s="162"/>
      <c r="AJ570" s="162"/>
      <c r="AK570" s="162"/>
      <c r="AL570" s="162"/>
      <c r="AM570" s="162"/>
      <c r="AN570" s="162"/>
      <c r="AO570" s="162"/>
      <c r="AP570" s="162"/>
      <c r="AQ570" s="162"/>
      <c r="AR570" s="162"/>
      <c r="AS570" s="162"/>
      <c r="AT570" s="161"/>
      <c r="AU570" s="161"/>
      <c r="AV570" s="161"/>
      <c r="AW570" s="161"/>
      <c r="AX570" s="161"/>
      <c r="AY570" s="161"/>
      <c r="AZ570" s="161"/>
      <c r="BA570" s="161"/>
      <c r="BB570" s="161"/>
      <c r="BC570" s="161"/>
      <c r="BD570" s="161"/>
      <c r="BE570" s="161"/>
      <c r="BF570" s="161"/>
      <c r="BG570" s="161"/>
      <c r="BH570" s="161"/>
      <c r="BI570" s="161"/>
      <c r="BJ570" s="161"/>
      <c r="BK570" s="161"/>
      <c r="BL570" s="161"/>
      <c r="BM570" s="161"/>
      <c r="BN570" s="161"/>
      <c r="BO570" s="161"/>
      <c r="BP570" s="161"/>
      <c r="BQ570" s="161"/>
      <c r="BR570" s="161"/>
      <c r="BS570" s="161"/>
      <c r="BT570" s="161"/>
      <c r="BU570" s="161"/>
      <c r="BV570" s="161"/>
      <c r="BW570" s="161"/>
      <c r="BX570" s="161"/>
      <c r="BY570" s="161"/>
    </row>
    <row r="571" spans="1:77">
      <c r="A571" s="162"/>
      <c r="B571" s="162"/>
      <c r="C571" s="162"/>
      <c r="D571" s="162"/>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c r="AC571" s="162"/>
      <c r="AD571" s="162"/>
      <c r="AE571" s="162"/>
      <c r="AF571" s="162"/>
      <c r="AG571" s="162"/>
      <c r="AH571" s="162"/>
      <c r="AI571" s="162"/>
      <c r="AJ571" s="162"/>
      <c r="AK571" s="162"/>
      <c r="AL571" s="162"/>
      <c r="AM571" s="162"/>
      <c r="AN571" s="162"/>
      <c r="AO571" s="162"/>
      <c r="AP571" s="162"/>
      <c r="AQ571" s="162"/>
      <c r="AR571" s="162"/>
      <c r="AS571" s="162"/>
      <c r="AT571" s="161"/>
      <c r="AU571" s="161"/>
      <c r="AV571" s="161"/>
      <c r="AW571" s="161"/>
      <c r="AX571" s="161"/>
      <c r="AY571" s="161"/>
      <c r="AZ571" s="161"/>
      <c r="BA571" s="161"/>
      <c r="BB571" s="161"/>
      <c r="BC571" s="161"/>
      <c r="BD571" s="161"/>
      <c r="BE571" s="161"/>
      <c r="BF571" s="161"/>
      <c r="BG571" s="161"/>
      <c r="BH571" s="161"/>
      <c r="BI571" s="161"/>
      <c r="BJ571" s="161"/>
      <c r="BK571" s="161"/>
      <c r="BL571" s="161"/>
      <c r="BM571" s="161"/>
      <c r="BN571" s="161"/>
      <c r="BO571" s="161"/>
      <c r="BP571" s="161"/>
      <c r="BQ571" s="161"/>
      <c r="BR571" s="161"/>
      <c r="BS571" s="161"/>
      <c r="BT571" s="161"/>
      <c r="BU571" s="161"/>
      <c r="BV571" s="161"/>
      <c r="BW571" s="161"/>
      <c r="BX571" s="161"/>
      <c r="BY571" s="161"/>
    </row>
    <row r="572" spans="1:77">
      <c r="A572" s="162"/>
      <c r="B572" s="162"/>
      <c r="C572" s="162"/>
      <c r="D572" s="162"/>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c r="AC572" s="162"/>
      <c r="AD572" s="162"/>
      <c r="AE572" s="162"/>
      <c r="AF572" s="162"/>
      <c r="AG572" s="162"/>
      <c r="AH572" s="162"/>
      <c r="AI572" s="162"/>
      <c r="AJ572" s="162"/>
      <c r="AK572" s="162"/>
      <c r="AL572" s="162"/>
      <c r="AM572" s="162"/>
      <c r="AN572" s="162"/>
      <c r="AO572" s="162"/>
      <c r="AP572" s="162"/>
      <c r="AQ572" s="162"/>
      <c r="AR572" s="162"/>
      <c r="AS572" s="162"/>
      <c r="AT572" s="161"/>
      <c r="AU572" s="161"/>
      <c r="AV572" s="161"/>
      <c r="AW572" s="161"/>
      <c r="AX572" s="161"/>
      <c r="AY572" s="161"/>
      <c r="AZ572" s="161"/>
      <c r="BA572" s="161"/>
      <c r="BB572" s="161"/>
      <c r="BC572" s="161"/>
      <c r="BD572" s="161"/>
      <c r="BE572" s="161"/>
      <c r="BF572" s="161"/>
      <c r="BG572" s="161"/>
      <c r="BH572" s="161"/>
      <c r="BI572" s="161"/>
      <c r="BJ572" s="161"/>
      <c r="BK572" s="161"/>
      <c r="BL572" s="161"/>
      <c r="BM572" s="161"/>
      <c r="BN572" s="161"/>
      <c r="BO572" s="161"/>
      <c r="BP572" s="161"/>
      <c r="BQ572" s="161"/>
      <c r="BR572" s="161"/>
      <c r="BS572" s="161"/>
      <c r="BT572" s="161"/>
      <c r="BU572" s="161"/>
      <c r="BV572" s="161"/>
      <c r="BW572" s="161"/>
      <c r="BX572" s="161"/>
      <c r="BY572" s="161"/>
    </row>
    <row r="573" spans="1:77">
      <c r="A573" s="162"/>
      <c r="B573" s="162"/>
      <c r="C573" s="162"/>
      <c r="D573" s="162"/>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c r="AC573" s="162"/>
      <c r="AD573" s="162"/>
      <c r="AE573" s="162"/>
      <c r="AF573" s="162"/>
      <c r="AG573" s="162"/>
      <c r="AH573" s="162"/>
      <c r="AI573" s="162"/>
      <c r="AJ573" s="162"/>
      <c r="AK573" s="162"/>
      <c r="AL573" s="162"/>
      <c r="AM573" s="162"/>
      <c r="AN573" s="162"/>
      <c r="AO573" s="162"/>
      <c r="AP573" s="162"/>
      <c r="AQ573" s="162"/>
      <c r="AR573" s="162"/>
      <c r="AS573" s="162"/>
      <c r="AT573" s="161"/>
      <c r="AU573" s="161"/>
      <c r="AV573" s="161"/>
      <c r="AW573" s="161"/>
      <c r="AX573" s="161"/>
      <c r="AY573" s="161"/>
      <c r="AZ573" s="161"/>
      <c r="BA573" s="161"/>
      <c r="BB573" s="161"/>
      <c r="BC573" s="161"/>
      <c r="BD573" s="161"/>
      <c r="BE573" s="161"/>
      <c r="BF573" s="161"/>
      <c r="BG573" s="161"/>
      <c r="BH573" s="161"/>
      <c r="BI573" s="161"/>
      <c r="BJ573" s="161"/>
      <c r="BK573" s="161"/>
      <c r="BL573" s="161"/>
      <c r="BM573" s="161"/>
      <c r="BN573" s="161"/>
      <c r="BO573" s="161"/>
      <c r="BP573" s="161"/>
      <c r="BQ573" s="161"/>
      <c r="BR573" s="161"/>
      <c r="BS573" s="161"/>
      <c r="BT573" s="161"/>
      <c r="BU573" s="161"/>
      <c r="BV573" s="161"/>
      <c r="BW573" s="161"/>
      <c r="BX573" s="161"/>
      <c r="BY573" s="161"/>
    </row>
    <row r="574" spans="1:77">
      <c r="A574" s="162"/>
      <c r="B574" s="162"/>
      <c r="C574" s="162"/>
      <c r="D574" s="162"/>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c r="AC574" s="162"/>
      <c r="AD574" s="162"/>
      <c r="AE574" s="162"/>
      <c r="AF574" s="162"/>
      <c r="AG574" s="162"/>
      <c r="AH574" s="162"/>
      <c r="AI574" s="162"/>
      <c r="AJ574" s="162"/>
      <c r="AK574" s="162"/>
      <c r="AL574" s="162"/>
      <c r="AM574" s="162"/>
      <c r="AN574" s="162"/>
      <c r="AO574" s="162"/>
      <c r="AP574" s="162"/>
      <c r="AQ574" s="162"/>
      <c r="AR574" s="162"/>
      <c r="AS574" s="162"/>
      <c r="AT574" s="161"/>
      <c r="AU574" s="161"/>
      <c r="AV574" s="161"/>
      <c r="AW574" s="161"/>
      <c r="AX574" s="161"/>
      <c r="AY574" s="161"/>
      <c r="AZ574" s="161"/>
      <c r="BA574" s="161"/>
      <c r="BB574" s="161"/>
      <c r="BC574" s="161"/>
      <c r="BD574" s="161"/>
      <c r="BE574" s="161"/>
      <c r="BF574" s="161"/>
      <c r="BG574" s="161"/>
      <c r="BH574" s="161"/>
      <c r="BI574" s="161"/>
      <c r="BJ574" s="161"/>
      <c r="BK574" s="161"/>
      <c r="BL574" s="161"/>
      <c r="BM574" s="161"/>
      <c r="BN574" s="161"/>
      <c r="BO574" s="161"/>
      <c r="BP574" s="161"/>
      <c r="BQ574" s="161"/>
      <c r="BR574" s="161"/>
      <c r="BS574" s="161"/>
      <c r="BT574" s="161"/>
      <c r="BU574" s="161"/>
      <c r="BV574" s="161"/>
      <c r="BW574" s="161"/>
      <c r="BX574" s="161"/>
      <c r="BY574" s="161"/>
    </row>
    <row r="575" spans="1:77">
      <c r="A575" s="162"/>
      <c r="B575" s="162"/>
      <c r="C575" s="162"/>
      <c r="D575" s="162"/>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c r="AC575" s="162"/>
      <c r="AD575" s="162"/>
      <c r="AE575" s="162"/>
      <c r="AF575" s="162"/>
      <c r="AG575" s="162"/>
      <c r="AH575" s="162"/>
      <c r="AI575" s="162"/>
      <c r="AJ575" s="162"/>
      <c r="AK575" s="162"/>
      <c r="AL575" s="162"/>
      <c r="AM575" s="162"/>
      <c r="AN575" s="162"/>
      <c r="AO575" s="162"/>
      <c r="AP575" s="162"/>
      <c r="AQ575" s="162"/>
      <c r="AR575" s="162"/>
      <c r="AS575" s="162"/>
      <c r="AT575" s="161"/>
      <c r="AU575" s="161"/>
      <c r="AV575" s="161"/>
      <c r="AW575" s="161"/>
      <c r="AX575" s="161"/>
      <c r="AY575" s="161"/>
      <c r="AZ575" s="161"/>
      <c r="BA575" s="161"/>
      <c r="BB575" s="161"/>
      <c r="BC575" s="161"/>
      <c r="BD575" s="161"/>
      <c r="BE575" s="161"/>
      <c r="BF575" s="161"/>
      <c r="BG575" s="161"/>
      <c r="BH575" s="161"/>
      <c r="BI575" s="161"/>
      <c r="BJ575" s="161"/>
      <c r="BK575" s="161"/>
      <c r="BL575" s="161"/>
      <c r="BM575" s="161"/>
      <c r="BN575" s="161"/>
      <c r="BO575" s="161"/>
      <c r="BP575" s="161"/>
      <c r="BQ575" s="161"/>
      <c r="BR575" s="161"/>
      <c r="BS575" s="161"/>
      <c r="BT575" s="161"/>
      <c r="BU575" s="161"/>
      <c r="BV575" s="161"/>
      <c r="BW575" s="161"/>
      <c r="BX575" s="161"/>
      <c r="BY575" s="161"/>
    </row>
    <row r="576" spans="1:77">
      <c r="A576" s="162"/>
      <c r="B576" s="162"/>
      <c r="C576" s="162"/>
      <c r="D576" s="162"/>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c r="AC576" s="162"/>
      <c r="AD576" s="162"/>
      <c r="AE576" s="162"/>
      <c r="AF576" s="162"/>
      <c r="AG576" s="162"/>
      <c r="AH576" s="162"/>
      <c r="AI576" s="162"/>
      <c r="AJ576" s="162"/>
      <c r="AK576" s="162"/>
      <c r="AL576" s="162"/>
      <c r="AM576" s="162"/>
      <c r="AN576" s="162"/>
      <c r="AO576" s="162"/>
      <c r="AP576" s="162"/>
      <c r="AQ576" s="162"/>
      <c r="AR576" s="162"/>
      <c r="AS576" s="162"/>
      <c r="AT576" s="161"/>
      <c r="AU576" s="161"/>
      <c r="AV576" s="161"/>
      <c r="AW576" s="161"/>
      <c r="AX576" s="161"/>
      <c r="AY576" s="161"/>
      <c r="AZ576" s="161"/>
      <c r="BA576" s="161"/>
      <c r="BB576" s="161"/>
      <c r="BC576" s="161"/>
      <c r="BD576" s="161"/>
      <c r="BE576" s="161"/>
      <c r="BF576" s="161"/>
      <c r="BG576" s="161"/>
      <c r="BH576" s="161"/>
      <c r="BI576" s="161"/>
      <c r="BJ576" s="161"/>
      <c r="BK576" s="161"/>
      <c r="BL576" s="161"/>
      <c r="BM576" s="161"/>
      <c r="BN576" s="161"/>
      <c r="BO576" s="161"/>
      <c r="BP576" s="161"/>
      <c r="BQ576" s="161"/>
      <c r="BR576" s="161"/>
      <c r="BS576" s="161"/>
      <c r="BT576" s="161"/>
      <c r="BU576" s="161"/>
      <c r="BV576" s="161"/>
      <c r="BW576" s="161"/>
      <c r="BX576" s="161"/>
      <c r="BY576" s="161"/>
    </row>
    <row r="577" spans="1:77">
      <c r="A577" s="162"/>
      <c r="B577" s="162"/>
      <c r="C577" s="162"/>
      <c r="D577" s="162"/>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c r="AC577" s="162"/>
      <c r="AD577" s="162"/>
      <c r="AE577" s="162"/>
      <c r="AF577" s="162"/>
      <c r="AG577" s="162"/>
      <c r="AH577" s="162"/>
      <c r="AI577" s="162"/>
      <c r="AJ577" s="162"/>
      <c r="AK577" s="162"/>
      <c r="AL577" s="162"/>
      <c r="AM577" s="162"/>
      <c r="AN577" s="162"/>
      <c r="AO577" s="162"/>
      <c r="AP577" s="162"/>
      <c r="AQ577" s="162"/>
      <c r="AR577" s="162"/>
      <c r="AS577" s="162"/>
      <c r="AT577" s="161"/>
      <c r="AU577" s="161"/>
      <c r="AV577" s="161"/>
      <c r="AW577" s="161"/>
      <c r="AX577" s="161"/>
      <c r="AY577" s="161"/>
      <c r="AZ577" s="161"/>
      <c r="BA577" s="161"/>
      <c r="BB577" s="161"/>
      <c r="BC577" s="161"/>
      <c r="BD577" s="161"/>
      <c r="BE577" s="161"/>
      <c r="BF577" s="161"/>
      <c r="BG577" s="161"/>
      <c r="BH577" s="161"/>
      <c r="BI577" s="161"/>
      <c r="BJ577" s="161"/>
      <c r="BK577" s="161"/>
      <c r="BL577" s="161"/>
      <c r="BM577" s="161"/>
      <c r="BN577" s="161"/>
      <c r="BO577" s="161"/>
      <c r="BP577" s="161"/>
      <c r="BQ577" s="161"/>
      <c r="BR577" s="161"/>
      <c r="BS577" s="161"/>
      <c r="BT577" s="161"/>
      <c r="BU577" s="161"/>
      <c r="BV577" s="161"/>
      <c r="BW577" s="161"/>
      <c r="BX577" s="161"/>
      <c r="BY577" s="161"/>
    </row>
    <row r="578" spans="1:77">
      <c r="A578" s="162"/>
      <c r="B578" s="162"/>
      <c r="C578" s="162"/>
      <c r="D578" s="162"/>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c r="AC578" s="162"/>
      <c r="AD578" s="162"/>
      <c r="AE578" s="162"/>
      <c r="AF578" s="162"/>
      <c r="AG578" s="162"/>
      <c r="AH578" s="162"/>
      <c r="AI578" s="162"/>
      <c r="AJ578" s="162"/>
      <c r="AK578" s="162"/>
      <c r="AL578" s="162"/>
      <c r="AM578" s="162"/>
      <c r="AN578" s="162"/>
      <c r="AO578" s="162"/>
      <c r="AP578" s="162"/>
      <c r="AQ578" s="162"/>
      <c r="AR578" s="162"/>
      <c r="AS578" s="162"/>
      <c r="AT578" s="161"/>
      <c r="AU578" s="161"/>
      <c r="AV578" s="161"/>
      <c r="AW578" s="161"/>
      <c r="AX578" s="161"/>
      <c r="AY578" s="161"/>
      <c r="AZ578" s="161"/>
      <c r="BA578" s="161"/>
      <c r="BB578" s="161"/>
      <c r="BC578" s="161"/>
      <c r="BD578" s="161"/>
      <c r="BE578" s="161"/>
      <c r="BF578" s="161"/>
      <c r="BG578" s="161"/>
      <c r="BH578" s="161"/>
      <c r="BI578" s="161"/>
      <c r="BJ578" s="161"/>
      <c r="BK578" s="161"/>
      <c r="BL578" s="161"/>
      <c r="BM578" s="161"/>
      <c r="BN578" s="161"/>
      <c r="BO578" s="161"/>
      <c r="BP578" s="161"/>
      <c r="BQ578" s="161"/>
      <c r="BR578" s="161"/>
      <c r="BS578" s="161"/>
      <c r="BT578" s="161"/>
      <c r="BU578" s="161"/>
      <c r="BV578" s="161"/>
      <c r="BW578" s="161"/>
      <c r="BX578" s="161"/>
      <c r="BY578" s="161"/>
    </row>
    <row r="579" spans="1:77">
      <c r="A579" s="162"/>
      <c r="B579" s="162"/>
      <c r="C579" s="162"/>
      <c r="D579" s="162"/>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c r="AC579" s="162"/>
      <c r="AD579" s="162"/>
      <c r="AE579" s="162"/>
      <c r="AF579" s="162"/>
      <c r="AG579" s="162"/>
      <c r="AH579" s="162"/>
      <c r="AI579" s="162"/>
      <c r="AJ579" s="162"/>
      <c r="AK579" s="162"/>
      <c r="AL579" s="162"/>
      <c r="AM579" s="162"/>
      <c r="AN579" s="162"/>
      <c r="AO579" s="162"/>
      <c r="AP579" s="162"/>
      <c r="AQ579" s="162"/>
      <c r="AR579" s="162"/>
      <c r="AS579" s="162"/>
      <c r="AT579" s="161"/>
      <c r="AU579" s="161"/>
      <c r="AV579" s="161"/>
      <c r="AW579" s="161"/>
      <c r="AX579" s="161"/>
      <c r="AY579" s="161"/>
      <c r="AZ579" s="161"/>
      <c r="BA579" s="161"/>
      <c r="BB579" s="161"/>
      <c r="BC579" s="161"/>
      <c r="BD579" s="161"/>
      <c r="BE579" s="161"/>
      <c r="BF579" s="161"/>
      <c r="BG579" s="161"/>
      <c r="BH579" s="161"/>
      <c r="BI579" s="161"/>
      <c r="BJ579" s="161"/>
      <c r="BK579" s="161"/>
      <c r="BL579" s="161"/>
      <c r="BM579" s="161"/>
      <c r="BN579" s="161"/>
      <c r="BO579" s="161"/>
      <c r="BP579" s="161"/>
      <c r="BQ579" s="161"/>
      <c r="BR579" s="161"/>
      <c r="BS579" s="161"/>
      <c r="BT579" s="161"/>
      <c r="BU579" s="161"/>
      <c r="BV579" s="161"/>
      <c r="BW579" s="161"/>
      <c r="BX579" s="161"/>
      <c r="BY579" s="161"/>
    </row>
    <row r="580" spans="1:77">
      <c r="A580" s="162"/>
      <c r="B580" s="162"/>
      <c r="C580" s="162"/>
      <c r="D580" s="162"/>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c r="AC580" s="162"/>
      <c r="AD580" s="162"/>
      <c r="AE580" s="162"/>
      <c r="AF580" s="162"/>
      <c r="AG580" s="162"/>
      <c r="AH580" s="162"/>
      <c r="AI580" s="162"/>
      <c r="AJ580" s="162"/>
      <c r="AK580" s="162"/>
      <c r="AL580" s="162"/>
      <c r="AM580" s="162"/>
      <c r="AN580" s="162"/>
      <c r="AO580" s="162"/>
      <c r="AP580" s="162"/>
      <c r="AQ580" s="162"/>
      <c r="AR580" s="162"/>
      <c r="AS580" s="162"/>
      <c r="AT580" s="161"/>
      <c r="AU580" s="161"/>
      <c r="AV580" s="161"/>
      <c r="AW580" s="161"/>
      <c r="AX580" s="161"/>
      <c r="AY580" s="161"/>
      <c r="AZ580" s="161"/>
      <c r="BA580" s="161"/>
      <c r="BB580" s="161"/>
      <c r="BC580" s="161"/>
      <c r="BD580" s="161"/>
      <c r="BE580" s="161"/>
      <c r="BF580" s="161"/>
      <c r="BG580" s="161"/>
      <c r="BH580" s="161"/>
      <c r="BI580" s="161"/>
      <c r="BJ580" s="161"/>
      <c r="BK580" s="161"/>
      <c r="BL580" s="161"/>
      <c r="BM580" s="161"/>
      <c r="BN580" s="161"/>
      <c r="BO580" s="161"/>
      <c r="BP580" s="161"/>
      <c r="BQ580" s="161"/>
      <c r="BR580" s="161"/>
      <c r="BS580" s="161"/>
      <c r="BT580" s="161"/>
      <c r="BU580" s="161"/>
      <c r="BV580" s="161"/>
      <c r="BW580" s="161"/>
      <c r="BX580" s="161"/>
      <c r="BY580" s="161"/>
    </row>
    <row r="581" spans="1:77">
      <c r="A581" s="162"/>
      <c r="B581" s="162"/>
      <c r="C581" s="162"/>
      <c r="D581" s="162"/>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c r="AC581" s="162"/>
      <c r="AD581" s="162"/>
      <c r="AE581" s="162"/>
      <c r="AF581" s="162"/>
      <c r="AG581" s="162"/>
      <c r="AH581" s="162"/>
      <c r="AI581" s="162"/>
      <c r="AJ581" s="162"/>
      <c r="AK581" s="162"/>
      <c r="AL581" s="162"/>
      <c r="AM581" s="162"/>
      <c r="AN581" s="162"/>
      <c r="AO581" s="162"/>
      <c r="AP581" s="162"/>
      <c r="AQ581" s="162"/>
      <c r="AR581" s="162"/>
      <c r="AS581" s="162"/>
      <c r="AT581" s="161"/>
      <c r="AU581" s="161"/>
      <c r="AV581" s="161"/>
      <c r="AW581" s="161"/>
      <c r="AX581" s="161"/>
      <c r="AY581" s="161"/>
      <c r="AZ581" s="161"/>
      <c r="BA581" s="161"/>
      <c r="BB581" s="161"/>
      <c r="BC581" s="161"/>
      <c r="BD581" s="161"/>
      <c r="BE581" s="161"/>
      <c r="BF581" s="161"/>
      <c r="BG581" s="161"/>
      <c r="BH581" s="161"/>
      <c r="BI581" s="161"/>
      <c r="BJ581" s="161"/>
      <c r="BK581" s="161"/>
      <c r="BL581" s="161"/>
      <c r="BM581" s="161"/>
      <c r="BN581" s="161"/>
      <c r="BO581" s="161"/>
      <c r="BP581" s="161"/>
      <c r="BQ581" s="161"/>
      <c r="BR581" s="161"/>
      <c r="BS581" s="161"/>
      <c r="BT581" s="161"/>
      <c r="BU581" s="161"/>
      <c r="BV581" s="161"/>
      <c r="BW581" s="161"/>
      <c r="BX581" s="161"/>
      <c r="BY581" s="161"/>
    </row>
    <row r="582" spans="1:77">
      <c r="A582" s="162"/>
      <c r="B582" s="162"/>
      <c r="C582" s="162"/>
      <c r="D582" s="162"/>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c r="AC582" s="162"/>
      <c r="AD582" s="162"/>
      <c r="AE582" s="162"/>
      <c r="AF582" s="162"/>
      <c r="AG582" s="162"/>
      <c r="AH582" s="162"/>
      <c r="AI582" s="162"/>
      <c r="AJ582" s="162"/>
      <c r="AK582" s="162"/>
      <c r="AL582" s="162"/>
      <c r="AM582" s="162"/>
      <c r="AN582" s="162"/>
      <c r="AO582" s="162"/>
      <c r="AP582" s="162"/>
      <c r="AQ582" s="162"/>
      <c r="AR582" s="162"/>
      <c r="AS582" s="162"/>
      <c r="AT582" s="161"/>
      <c r="AU582" s="161"/>
      <c r="AV582" s="161"/>
      <c r="AW582" s="161"/>
      <c r="AX582" s="161"/>
      <c r="AY582" s="161"/>
      <c r="AZ582" s="161"/>
      <c r="BA582" s="161"/>
      <c r="BB582" s="161"/>
      <c r="BC582" s="161"/>
      <c r="BD582" s="161"/>
      <c r="BE582" s="161"/>
      <c r="BF582" s="161"/>
      <c r="BG582" s="161"/>
      <c r="BH582" s="161"/>
      <c r="BI582" s="161"/>
      <c r="BJ582" s="161"/>
      <c r="BK582" s="161"/>
      <c r="BL582" s="161"/>
      <c r="BM582" s="161"/>
      <c r="BN582" s="161"/>
      <c r="BO582" s="161"/>
      <c r="BP582" s="161"/>
      <c r="BQ582" s="161"/>
      <c r="BR582" s="161"/>
      <c r="BS582" s="161"/>
      <c r="BT582" s="161"/>
      <c r="BU582" s="161"/>
      <c r="BV582" s="161"/>
      <c r="BW582" s="161"/>
      <c r="BX582" s="161"/>
      <c r="BY582" s="161"/>
    </row>
    <row r="583" spans="1:77">
      <c r="A583" s="162"/>
      <c r="B583" s="162"/>
      <c r="C583" s="162"/>
      <c r="D583" s="162"/>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c r="AC583" s="162"/>
      <c r="AD583" s="162"/>
      <c r="AE583" s="162"/>
      <c r="AF583" s="162"/>
      <c r="AG583" s="162"/>
      <c r="AH583" s="162"/>
      <c r="AI583" s="162"/>
      <c r="AJ583" s="162"/>
      <c r="AK583" s="162"/>
      <c r="AL583" s="162"/>
      <c r="AM583" s="162"/>
      <c r="AN583" s="162"/>
      <c r="AO583" s="162"/>
      <c r="AP583" s="162"/>
      <c r="AQ583" s="162"/>
      <c r="AR583" s="162"/>
      <c r="AS583" s="162"/>
      <c r="AT583" s="161"/>
      <c r="AU583" s="161"/>
      <c r="AV583" s="161"/>
      <c r="AW583" s="161"/>
      <c r="AX583" s="161"/>
      <c r="AY583" s="161"/>
      <c r="AZ583" s="161"/>
      <c r="BA583" s="161"/>
      <c r="BB583" s="161"/>
      <c r="BC583" s="161"/>
      <c r="BD583" s="161"/>
      <c r="BE583" s="161"/>
      <c r="BF583" s="161"/>
      <c r="BG583" s="161"/>
      <c r="BH583" s="161"/>
      <c r="BI583" s="161"/>
      <c r="BJ583" s="161"/>
      <c r="BK583" s="161"/>
      <c r="BL583" s="161"/>
      <c r="BM583" s="161"/>
      <c r="BN583" s="161"/>
      <c r="BO583" s="161"/>
      <c r="BP583" s="161"/>
      <c r="BQ583" s="161"/>
      <c r="BR583" s="161"/>
      <c r="BS583" s="161"/>
      <c r="BT583" s="161"/>
      <c r="BU583" s="161"/>
      <c r="BV583" s="161"/>
      <c r="BW583" s="161"/>
      <c r="BX583" s="161"/>
      <c r="BY583" s="161"/>
    </row>
    <row r="584" spans="1:77">
      <c r="A584" s="162"/>
      <c r="B584" s="162"/>
      <c r="C584" s="162"/>
      <c r="D584" s="162"/>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c r="AC584" s="162"/>
      <c r="AD584" s="162"/>
      <c r="AE584" s="162"/>
      <c r="AF584" s="162"/>
      <c r="AG584" s="162"/>
      <c r="AH584" s="162"/>
      <c r="AI584" s="162"/>
      <c r="AJ584" s="162"/>
      <c r="AK584" s="162"/>
      <c r="AL584" s="162"/>
      <c r="AM584" s="162"/>
      <c r="AN584" s="162"/>
      <c r="AO584" s="162"/>
      <c r="AP584" s="162"/>
      <c r="AQ584" s="162"/>
      <c r="AR584" s="162"/>
      <c r="AS584" s="162"/>
      <c r="AT584" s="161"/>
      <c r="AU584" s="161"/>
      <c r="AV584" s="161"/>
      <c r="AW584" s="161"/>
      <c r="AX584" s="161"/>
      <c r="AY584" s="161"/>
      <c r="AZ584" s="161"/>
      <c r="BA584" s="161"/>
      <c r="BB584" s="161"/>
      <c r="BC584" s="161"/>
      <c r="BD584" s="161"/>
      <c r="BE584" s="161"/>
      <c r="BF584" s="161"/>
      <c r="BG584" s="161"/>
      <c r="BH584" s="161"/>
      <c r="BI584" s="161"/>
      <c r="BJ584" s="161"/>
      <c r="BK584" s="161"/>
      <c r="BL584" s="161"/>
      <c r="BM584" s="161"/>
      <c r="BN584" s="161"/>
      <c r="BO584" s="161"/>
      <c r="BP584" s="161"/>
      <c r="BQ584" s="161"/>
      <c r="BR584" s="161"/>
      <c r="BS584" s="161"/>
      <c r="BT584" s="161"/>
      <c r="BU584" s="161"/>
      <c r="BV584" s="161"/>
      <c r="BW584" s="161"/>
      <c r="BX584" s="161"/>
      <c r="BY584" s="161"/>
    </row>
    <row r="585" spans="1:77">
      <c r="A585" s="162"/>
      <c r="B585" s="162"/>
      <c r="C585" s="162"/>
      <c r="D585" s="162"/>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c r="AC585" s="162"/>
      <c r="AD585" s="162"/>
      <c r="AE585" s="162"/>
      <c r="AF585" s="162"/>
      <c r="AG585" s="162"/>
      <c r="AH585" s="162"/>
      <c r="AI585" s="162"/>
      <c r="AJ585" s="162"/>
      <c r="AK585" s="162"/>
      <c r="AL585" s="162"/>
      <c r="AM585" s="162"/>
      <c r="AN585" s="162"/>
      <c r="AO585" s="162"/>
      <c r="AP585" s="162"/>
      <c r="AQ585" s="162"/>
      <c r="AR585" s="162"/>
      <c r="AS585" s="162"/>
      <c r="AT585" s="161"/>
      <c r="AU585" s="161"/>
      <c r="AV585" s="161"/>
      <c r="AW585" s="161"/>
      <c r="AX585" s="161"/>
      <c r="AY585" s="161"/>
      <c r="AZ585" s="161"/>
      <c r="BA585" s="161"/>
      <c r="BB585" s="161"/>
      <c r="BC585" s="161"/>
      <c r="BD585" s="161"/>
      <c r="BE585" s="161"/>
      <c r="BF585" s="161"/>
      <c r="BG585" s="161"/>
      <c r="BH585" s="161"/>
      <c r="BI585" s="161"/>
      <c r="BJ585" s="161"/>
      <c r="BK585" s="161"/>
      <c r="BL585" s="161"/>
      <c r="BM585" s="161"/>
      <c r="BN585" s="161"/>
      <c r="BO585" s="161"/>
      <c r="BP585" s="161"/>
      <c r="BQ585" s="161"/>
      <c r="BR585" s="161"/>
      <c r="BS585" s="161"/>
      <c r="BT585" s="161"/>
      <c r="BU585" s="161"/>
      <c r="BV585" s="161"/>
      <c r="BW585" s="161"/>
      <c r="BX585" s="161"/>
      <c r="BY585" s="161"/>
    </row>
    <row r="586" spans="1:77">
      <c r="A586" s="162"/>
      <c r="B586" s="162"/>
      <c r="C586" s="162"/>
      <c r="D586" s="162"/>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c r="AC586" s="162"/>
      <c r="AD586" s="162"/>
      <c r="AE586" s="162"/>
      <c r="AF586" s="162"/>
      <c r="AG586" s="162"/>
      <c r="AH586" s="162"/>
      <c r="AI586" s="162"/>
      <c r="AJ586" s="162"/>
      <c r="AK586" s="162"/>
      <c r="AL586" s="162"/>
      <c r="AM586" s="162"/>
      <c r="AN586" s="162"/>
      <c r="AO586" s="162"/>
      <c r="AP586" s="162"/>
      <c r="AQ586" s="162"/>
      <c r="AR586" s="162"/>
      <c r="AS586" s="162"/>
      <c r="AT586" s="161"/>
      <c r="AU586" s="161"/>
      <c r="AV586" s="161"/>
      <c r="AW586" s="161"/>
      <c r="AX586" s="161"/>
      <c r="AY586" s="161"/>
      <c r="AZ586" s="161"/>
      <c r="BA586" s="161"/>
      <c r="BB586" s="161"/>
      <c r="BC586" s="161"/>
      <c r="BD586" s="161"/>
      <c r="BE586" s="161"/>
      <c r="BF586" s="161"/>
      <c r="BG586" s="161"/>
      <c r="BH586" s="161"/>
      <c r="BI586" s="161"/>
      <c r="BJ586" s="161"/>
      <c r="BK586" s="161"/>
      <c r="BL586" s="161"/>
      <c r="BM586" s="161"/>
      <c r="BN586" s="161"/>
      <c r="BO586" s="161"/>
      <c r="BP586" s="161"/>
      <c r="BQ586" s="161"/>
      <c r="BR586" s="161"/>
      <c r="BS586" s="161"/>
      <c r="BT586" s="161"/>
      <c r="BU586" s="161"/>
      <c r="BV586" s="161"/>
      <c r="BW586" s="161"/>
      <c r="BX586" s="161"/>
      <c r="BY586" s="161"/>
    </row>
    <row r="587" spans="1:77">
      <c r="A587" s="162"/>
      <c r="B587" s="162"/>
      <c r="C587" s="162"/>
      <c r="D587" s="162"/>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c r="AC587" s="162"/>
      <c r="AD587" s="162"/>
      <c r="AE587" s="162"/>
      <c r="AF587" s="162"/>
      <c r="AG587" s="162"/>
      <c r="AH587" s="162"/>
      <c r="AI587" s="162"/>
      <c r="AJ587" s="162"/>
      <c r="AK587" s="162"/>
      <c r="AL587" s="162"/>
      <c r="AM587" s="162"/>
      <c r="AN587" s="162"/>
      <c r="AO587" s="162"/>
      <c r="AP587" s="162"/>
      <c r="AQ587" s="162"/>
      <c r="AR587" s="162"/>
      <c r="AS587" s="162"/>
      <c r="AT587" s="161"/>
      <c r="AU587" s="161"/>
      <c r="AV587" s="161"/>
      <c r="AW587" s="161"/>
      <c r="AX587" s="161"/>
      <c r="AY587" s="161"/>
      <c r="AZ587" s="161"/>
      <c r="BA587" s="161"/>
      <c r="BB587" s="161"/>
      <c r="BC587" s="161"/>
      <c r="BD587" s="161"/>
      <c r="BE587" s="161"/>
      <c r="BF587" s="161"/>
      <c r="BG587" s="161"/>
      <c r="BH587" s="161"/>
      <c r="BI587" s="161"/>
      <c r="BJ587" s="161"/>
      <c r="BK587" s="161"/>
      <c r="BL587" s="161"/>
      <c r="BM587" s="161"/>
      <c r="BN587" s="161"/>
      <c r="BO587" s="161"/>
      <c r="BP587" s="161"/>
      <c r="BQ587" s="161"/>
      <c r="BR587" s="161"/>
      <c r="BS587" s="161"/>
      <c r="BT587" s="161"/>
      <c r="BU587" s="161"/>
      <c r="BV587" s="161"/>
      <c r="BW587" s="161"/>
      <c r="BX587" s="161"/>
      <c r="BY587" s="161"/>
    </row>
    <row r="588" spans="1:77">
      <c r="A588" s="162"/>
      <c r="B588" s="162"/>
      <c r="C588" s="162"/>
      <c r="D588" s="162"/>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c r="AC588" s="162"/>
      <c r="AD588" s="162"/>
      <c r="AE588" s="162"/>
      <c r="AF588" s="162"/>
      <c r="AG588" s="162"/>
      <c r="AH588" s="162"/>
      <c r="AI588" s="162"/>
      <c r="AJ588" s="162"/>
      <c r="AK588" s="162"/>
      <c r="AL588" s="162"/>
      <c r="AM588" s="162"/>
      <c r="AN588" s="162"/>
      <c r="AO588" s="162"/>
      <c r="AP588" s="162"/>
      <c r="AQ588" s="162"/>
      <c r="AR588" s="162"/>
      <c r="AS588" s="162"/>
      <c r="AT588" s="161"/>
      <c r="AU588" s="161"/>
      <c r="AV588" s="161"/>
      <c r="AW588" s="161"/>
      <c r="AX588" s="161"/>
      <c r="AY588" s="161"/>
      <c r="AZ588" s="161"/>
      <c r="BA588" s="161"/>
      <c r="BB588" s="161"/>
      <c r="BC588" s="161"/>
      <c r="BD588" s="161"/>
      <c r="BE588" s="161"/>
      <c r="BF588" s="161"/>
      <c r="BG588" s="161"/>
      <c r="BH588" s="161"/>
      <c r="BI588" s="161"/>
      <c r="BJ588" s="161"/>
      <c r="BK588" s="161"/>
      <c r="BL588" s="161"/>
      <c r="BM588" s="161"/>
      <c r="BN588" s="161"/>
      <c r="BO588" s="161"/>
      <c r="BP588" s="161"/>
      <c r="BQ588" s="161"/>
      <c r="BR588" s="161"/>
      <c r="BS588" s="161"/>
      <c r="BT588" s="161"/>
      <c r="BU588" s="161"/>
      <c r="BV588" s="161"/>
      <c r="BW588" s="161"/>
      <c r="BX588" s="161"/>
      <c r="BY588" s="161"/>
    </row>
    <row r="589" spans="1:77">
      <c r="A589" s="162"/>
      <c r="B589" s="162"/>
      <c r="C589" s="162"/>
      <c r="D589" s="162"/>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c r="AC589" s="162"/>
      <c r="AD589" s="162"/>
      <c r="AE589" s="162"/>
      <c r="AF589" s="162"/>
      <c r="AG589" s="162"/>
      <c r="AH589" s="162"/>
      <c r="AI589" s="162"/>
      <c r="AJ589" s="162"/>
      <c r="AK589" s="162"/>
      <c r="AL589" s="162"/>
      <c r="AM589" s="162"/>
      <c r="AN589" s="162"/>
      <c r="AO589" s="162"/>
      <c r="AP589" s="162"/>
      <c r="AQ589" s="162"/>
      <c r="AR589" s="162"/>
      <c r="AS589" s="162"/>
      <c r="AT589" s="161"/>
      <c r="AU589" s="161"/>
      <c r="AV589" s="161"/>
      <c r="AW589" s="161"/>
      <c r="AX589" s="161"/>
      <c r="AY589" s="161"/>
      <c r="AZ589" s="161"/>
      <c r="BA589" s="161"/>
      <c r="BB589" s="161"/>
      <c r="BC589" s="161"/>
      <c r="BD589" s="161"/>
      <c r="BE589" s="161"/>
      <c r="BF589" s="161"/>
      <c r="BG589" s="161"/>
      <c r="BH589" s="161"/>
      <c r="BI589" s="161"/>
      <c r="BJ589" s="161"/>
      <c r="BK589" s="161"/>
      <c r="BL589" s="161"/>
      <c r="BM589" s="161"/>
      <c r="BN589" s="161"/>
      <c r="BO589" s="161"/>
      <c r="BP589" s="161"/>
      <c r="BQ589" s="161"/>
      <c r="BR589" s="161"/>
      <c r="BS589" s="161"/>
      <c r="BT589" s="161"/>
      <c r="BU589" s="161"/>
      <c r="BV589" s="161"/>
      <c r="BW589" s="161"/>
      <c r="BX589" s="161"/>
      <c r="BY589" s="161"/>
    </row>
    <row r="590" spans="1:77">
      <c r="A590" s="162"/>
      <c r="B590" s="162"/>
      <c r="C590" s="162"/>
      <c r="D590" s="162"/>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c r="AC590" s="162"/>
      <c r="AD590" s="162"/>
      <c r="AE590" s="162"/>
      <c r="AF590" s="162"/>
      <c r="AG590" s="162"/>
      <c r="AH590" s="162"/>
      <c r="AI590" s="162"/>
      <c r="AJ590" s="162"/>
      <c r="AK590" s="162"/>
      <c r="AL590" s="162"/>
      <c r="AM590" s="162"/>
      <c r="AN590" s="162"/>
      <c r="AO590" s="162"/>
      <c r="AP590" s="162"/>
      <c r="AQ590" s="162"/>
      <c r="AR590" s="162"/>
      <c r="AS590" s="162"/>
      <c r="AT590" s="161"/>
      <c r="AU590" s="161"/>
      <c r="AV590" s="161"/>
      <c r="AW590" s="161"/>
      <c r="AX590" s="161"/>
      <c r="AY590" s="161"/>
      <c r="AZ590" s="161"/>
      <c r="BA590" s="161"/>
      <c r="BB590" s="161"/>
      <c r="BC590" s="161"/>
      <c r="BD590" s="161"/>
      <c r="BE590" s="161"/>
      <c r="BF590" s="161"/>
      <c r="BG590" s="161"/>
      <c r="BH590" s="161"/>
      <c r="BI590" s="161"/>
      <c r="BJ590" s="161"/>
      <c r="BK590" s="161"/>
      <c r="BL590" s="161"/>
      <c r="BM590" s="161"/>
      <c r="BN590" s="161"/>
      <c r="BO590" s="161"/>
      <c r="BP590" s="161"/>
      <c r="BQ590" s="161"/>
      <c r="BR590" s="161"/>
      <c r="BS590" s="161"/>
      <c r="BT590" s="161"/>
      <c r="BU590" s="161"/>
      <c r="BV590" s="161"/>
      <c r="BW590" s="161"/>
      <c r="BX590" s="161"/>
      <c r="BY590" s="161"/>
    </row>
    <row r="591" spans="1:77">
      <c r="A591" s="162"/>
      <c r="B591" s="162"/>
      <c r="C591" s="162"/>
      <c r="D591" s="162"/>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c r="AC591" s="162"/>
      <c r="AD591" s="162"/>
      <c r="AE591" s="162"/>
      <c r="AF591" s="162"/>
      <c r="AG591" s="162"/>
      <c r="AH591" s="162"/>
      <c r="AI591" s="162"/>
      <c r="AJ591" s="162"/>
      <c r="AK591" s="162"/>
      <c r="AL591" s="162"/>
      <c r="AM591" s="162"/>
      <c r="AN591" s="162"/>
      <c r="AO591" s="162"/>
      <c r="AP591" s="162"/>
      <c r="AQ591" s="162"/>
      <c r="AR591" s="162"/>
      <c r="AS591" s="162"/>
      <c r="AT591" s="161"/>
      <c r="AU591" s="161"/>
      <c r="AV591" s="161"/>
      <c r="AW591" s="161"/>
      <c r="AX591" s="161"/>
      <c r="AY591" s="161"/>
      <c r="AZ591" s="161"/>
      <c r="BA591" s="161"/>
      <c r="BB591" s="161"/>
      <c r="BC591" s="161"/>
      <c r="BD591" s="161"/>
      <c r="BE591" s="161"/>
      <c r="BF591" s="161"/>
      <c r="BG591" s="161"/>
      <c r="BH591" s="161"/>
      <c r="BI591" s="161"/>
      <c r="BJ591" s="161"/>
      <c r="BK591" s="161"/>
      <c r="BL591" s="161"/>
      <c r="BM591" s="161"/>
      <c r="BN591" s="161"/>
      <c r="BO591" s="161"/>
      <c r="BP591" s="161"/>
      <c r="BQ591" s="161"/>
      <c r="BR591" s="161"/>
      <c r="BS591" s="161"/>
      <c r="BT591" s="161"/>
      <c r="BU591" s="161"/>
      <c r="BV591" s="161"/>
      <c r="BW591" s="161"/>
      <c r="BX591" s="161"/>
      <c r="BY591" s="161"/>
    </row>
    <row r="592" spans="1:77">
      <c r="A592" s="162"/>
      <c r="B592" s="162"/>
      <c r="C592" s="162"/>
      <c r="D592" s="162"/>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c r="AC592" s="162"/>
      <c r="AD592" s="162"/>
      <c r="AE592" s="162"/>
      <c r="AF592" s="162"/>
      <c r="AG592" s="162"/>
      <c r="AH592" s="162"/>
      <c r="AI592" s="162"/>
      <c r="AJ592" s="162"/>
      <c r="AK592" s="162"/>
      <c r="AL592" s="162"/>
      <c r="AM592" s="162"/>
      <c r="AN592" s="162"/>
      <c r="AO592" s="162"/>
      <c r="AP592" s="162"/>
      <c r="AQ592" s="162"/>
      <c r="AR592" s="162"/>
      <c r="AS592" s="162"/>
      <c r="AT592" s="161"/>
      <c r="AU592" s="161"/>
      <c r="AV592" s="161"/>
      <c r="AW592" s="161"/>
      <c r="AX592" s="161"/>
      <c r="AY592" s="161"/>
      <c r="AZ592" s="161"/>
      <c r="BA592" s="161"/>
      <c r="BB592" s="161"/>
      <c r="BC592" s="161"/>
      <c r="BD592" s="161"/>
      <c r="BE592" s="161"/>
      <c r="BF592" s="161"/>
      <c r="BG592" s="161"/>
      <c r="BH592" s="161"/>
      <c r="BI592" s="161"/>
      <c r="BJ592" s="161"/>
      <c r="BK592" s="161"/>
      <c r="BL592" s="161"/>
      <c r="BM592" s="161"/>
      <c r="BN592" s="161"/>
      <c r="BO592" s="161"/>
      <c r="BP592" s="161"/>
      <c r="BQ592" s="161"/>
      <c r="BR592" s="161"/>
      <c r="BS592" s="161"/>
      <c r="BT592" s="161"/>
      <c r="BU592" s="161"/>
      <c r="BV592" s="161"/>
      <c r="BW592" s="161"/>
      <c r="BX592" s="161"/>
      <c r="BY592" s="161"/>
    </row>
    <row r="593" spans="1:77">
      <c r="A593" s="162"/>
      <c r="B593" s="162"/>
      <c r="C593" s="162"/>
      <c r="D593" s="162"/>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c r="AC593" s="162"/>
      <c r="AD593" s="162"/>
      <c r="AE593" s="162"/>
      <c r="AF593" s="162"/>
      <c r="AG593" s="162"/>
      <c r="AH593" s="162"/>
      <c r="AI593" s="162"/>
      <c r="AJ593" s="162"/>
      <c r="AK593" s="162"/>
      <c r="AL593" s="162"/>
      <c r="AM593" s="162"/>
      <c r="AN593" s="162"/>
      <c r="AO593" s="162"/>
      <c r="AP593" s="162"/>
      <c r="AQ593" s="162"/>
      <c r="AR593" s="162"/>
      <c r="AS593" s="162"/>
      <c r="AT593" s="161"/>
      <c r="AU593" s="161"/>
      <c r="AV593" s="161"/>
      <c r="AW593" s="161"/>
      <c r="AX593" s="161"/>
      <c r="AY593" s="161"/>
      <c r="AZ593" s="161"/>
      <c r="BA593" s="161"/>
      <c r="BB593" s="161"/>
      <c r="BC593" s="161"/>
      <c r="BD593" s="161"/>
      <c r="BE593" s="161"/>
      <c r="BF593" s="161"/>
      <c r="BG593" s="161"/>
      <c r="BH593" s="161"/>
      <c r="BI593" s="161"/>
      <c r="BJ593" s="161"/>
      <c r="BK593" s="161"/>
      <c r="BL593" s="161"/>
      <c r="BM593" s="161"/>
      <c r="BN593" s="161"/>
      <c r="BO593" s="161"/>
      <c r="BP593" s="161"/>
      <c r="BQ593" s="161"/>
      <c r="BR593" s="161"/>
      <c r="BS593" s="161"/>
      <c r="BT593" s="161"/>
      <c r="BU593" s="161"/>
      <c r="BV593" s="161"/>
      <c r="BW593" s="161"/>
      <c r="BX593" s="161"/>
      <c r="BY593" s="161"/>
    </row>
    <row r="594" spans="1:77">
      <c r="A594" s="162"/>
      <c r="B594" s="162"/>
      <c r="C594" s="162"/>
      <c r="D594" s="162"/>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c r="AC594" s="162"/>
      <c r="AD594" s="162"/>
      <c r="AE594" s="162"/>
      <c r="AF594" s="162"/>
      <c r="AG594" s="162"/>
      <c r="AH594" s="162"/>
      <c r="AI594" s="162"/>
      <c r="AJ594" s="162"/>
      <c r="AK594" s="162"/>
      <c r="AL594" s="162"/>
      <c r="AM594" s="162"/>
      <c r="AN594" s="162"/>
      <c r="AO594" s="162"/>
      <c r="AP594" s="162"/>
      <c r="AQ594" s="162"/>
      <c r="AR594" s="162"/>
      <c r="AS594" s="162"/>
      <c r="AT594" s="161"/>
      <c r="AU594" s="161"/>
      <c r="AV594" s="161"/>
      <c r="AW594" s="161"/>
      <c r="AX594" s="161"/>
      <c r="AY594" s="161"/>
      <c r="AZ594" s="161"/>
      <c r="BA594" s="161"/>
      <c r="BB594" s="161"/>
      <c r="BC594" s="161"/>
      <c r="BD594" s="161"/>
      <c r="BE594" s="161"/>
      <c r="BF594" s="161"/>
      <c r="BG594" s="161"/>
      <c r="BH594" s="161"/>
      <c r="BI594" s="161"/>
      <c r="BJ594" s="161"/>
      <c r="BK594" s="161"/>
      <c r="BL594" s="161"/>
      <c r="BM594" s="161"/>
      <c r="BN594" s="161"/>
      <c r="BO594" s="161"/>
      <c r="BP594" s="161"/>
      <c r="BQ594" s="161"/>
      <c r="BR594" s="161"/>
      <c r="BS594" s="161"/>
      <c r="BT594" s="161"/>
      <c r="BU594" s="161"/>
      <c r="BV594" s="161"/>
      <c r="BW594" s="161"/>
      <c r="BX594" s="161"/>
      <c r="BY594" s="161"/>
    </row>
    <row r="595" spans="1:77">
      <c r="A595" s="162"/>
      <c r="B595" s="162"/>
      <c r="C595" s="162"/>
      <c r="D595" s="162"/>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c r="AC595" s="162"/>
      <c r="AD595" s="162"/>
      <c r="AE595" s="162"/>
      <c r="AF595" s="162"/>
      <c r="AG595" s="162"/>
      <c r="AH595" s="162"/>
      <c r="AI595" s="162"/>
      <c r="AJ595" s="162"/>
      <c r="AK595" s="162"/>
      <c r="AL595" s="162"/>
      <c r="AM595" s="162"/>
      <c r="AN595" s="162"/>
      <c r="AO595" s="162"/>
      <c r="AP595" s="162"/>
      <c r="AQ595" s="162"/>
      <c r="AR595" s="162"/>
      <c r="AS595" s="162"/>
      <c r="AT595" s="161"/>
      <c r="AU595" s="161"/>
      <c r="AV595" s="161"/>
      <c r="AW595" s="161"/>
      <c r="AX595" s="161"/>
      <c r="AY595" s="161"/>
      <c r="AZ595" s="161"/>
      <c r="BA595" s="161"/>
      <c r="BB595" s="161"/>
      <c r="BC595" s="161"/>
      <c r="BD595" s="161"/>
      <c r="BE595" s="161"/>
      <c r="BF595" s="161"/>
      <c r="BG595" s="161"/>
      <c r="BH595" s="161"/>
      <c r="BI595" s="161"/>
      <c r="BJ595" s="161"/>
      <c r="BK595" s="161"/>
      <c r="BL595" s="161"/>
      <c r="BM595" s="161"/>
      <c r="BN595" s="161"/>
      <c r="BO595" s="161"/>
      <c r="BP595" s="161"/>
      <c r="BQ595" s="161"/>
      <c r="BR595" s="161"/>
      <c r="BS595" s="161"/>
      <c r="BT595" s="161"/>
      <c r="BU595" s="161"/>
      <c r="BV595" s="161"/>
      <c r="BW595" s="161"/>
      <c r="BX595" s="161"/>
      <c r="BY595" s="161"/>
    </row>
    <row r="596" spans="1:77">
      <c r="A596" s="162"/>
      <c r="B596" s="162"/>
      <c r="C596" s="162"/>
      <c r="D596" s="162"/>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c r="AC596" s="162"/>
      <c r="AD596" s="162"/>
      <c r="AE596" s="162"/>
      <c r="AF596" s="162"/>
      <c r="AG596" s="162"/>
      <c r="AH596" s="162"/>
      <c r="AI596" s="162"/>
      <c r="AJ596" s="162"/>
      <c r="AK596" s="162"/>
      <c r="AL596" s="162"/>
      <c r="AM596" s="162"/>
      <c r="AN596" s="162"/>
      <c r="AO596" s="162"/>
      <c r="AP596" s="162"/>
      <c r="AQ596" s="162"/>
      <c r="AR596" s="162"/>
      <c r="AS596" s="162"/>
      <c r="AT596" s="161"/>
      <c r="AU596" s="161"/>
      <c r="AV596" s="161"/>
      <c r="AW596" s="161"/>
      <c r="AX596" s="161"/>
      <c r="AY596" s="161"/>
      <c r="AZ596" s="161"/>
      <c r="BA596" s="161"/>
      <c r="BB596" s="161"/>
      <c r="BC596" s="161"/>
      <c r="BD596" s="161"/>
      <c r="BE596" s="161"/>
      <c r="BF596" s="161"/>
      <c r="BG596" s="161"/>
      <c r="BH596" s="161"/>
      <c r="BI596" s="161"/>
      <c r="BJ596" s="161"/>
      <c r="BK596" s="161"/>
      <c r="BL596" s="161"/>
      <c r="BM596" s="161"/>
      <c r="BN596" s="161"/>
      <c r="BO596" s="161"/>
      <c r="BP596" s="161"/>
      <c r="BQ596" s="161"/>
      <c r="BR596" s="161"/>
      <c r="BS596" s="161"/>
      <c r="BT596" s="161"/>
      <c r="BU596" s="161"/>
      <c r="BV596" s="161"/>
      <c r="BW596" s="161"/>
      <c r="BX596" s="161"/>
      <c r="BY596" s="161"/>
    </row>
    <row r="597" spans="1:77">
      <c r="A597" s="162"/>
      <c r="B597" s="162"/>
      <c r="C597" s="162"/>
      <c r="D597" s="162"/>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c r="AC597" s="162"/>
      <c r="AD597" s="162"/>
      <c r="AE597" s="162"/>
      <c r="AF597" s="162"/>
      <c r="AG597" s="162"/>
      <c r="AH597" s="162"/>
      <c r="AI597" s="162"/>
      <c r="AJ597" s="162"/>
      <c r="AK597" s="162"/>
      <c r="AL597" s="162"/>
      <c r="AM597" s="162"/>
      <c r="AN597" s="162"/>
      <c r="AO597" s="162"/>
      <c r="AP597" s="162"/>
      <c r="AQ597" s="162"/>
      <c r="AR597" s="162"/>
      <c r="AS597" s="162"/>
      <c r="AT597" s="161"/>
      <c r="AU597" s="161"/>
      <c r="AV597" s="161"/>
      <c r="AW597" s="161"/>
      <c r="AX597" s="161"/>
      <c r="AY597" s="161"/>
      <c r="AZ597" s="161"/>
      <c r="BA597" s="161"/>
      <c r="BB597" s="161"/>
      <c r="BC597" s="161"/>
      <c r="BD597" s="161"/>
      <c r="BE597" s="161"/>
      <c r="BF597" s="161"/>
      <c r="BG597" s="161"/>
      <c r="BH597" s="161"/>
      <c r="BI597" s="161"/>
      <c r="BJ597" s="161"/>
      <c r="BK597" s="161"/>
      <c r="BL597" s="161"/>
      <c r="BM597" s="161"/>
      <c r="BN597" s="161"/>
      <c r="BO597" s="161"/>
      <c r="BP597" s="161"/>
      <c r="BQ597" s="161"/>
      <c r="BR597" s="161"/>
      <c r="BS597" s="161"/>
      <c r="BT597" s="161"/>
      <c r="BU597" s="161"/>
      <c r="BV597" s="161"/>
      <c r="BW597" s="161"/>
      <c r="BX597" s="161"/>
      <c r="BY597" s="161"/>
    </row>
    <row r="598" spans="1:77">
      <c r="A598" s="162"/>
      <c r="B598" s="162"/>
      <c r="C598" s="162"/>
      <c r="D598" s="162"/>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c r="AC598" s="162"/>
      <c r="AD598" s="162"/>
      <c r="AE598" s="162"/>
      <c r="AF598" s="162"/>
      <c r="AG598" s="162"/>
      <c r="AH598" s="162"/>
      <c r="AI598" s="162"/>
      <c r="AJ598" s="162"/>
      <c r="AK598" s="162"/>
      <c r="AL598" s="162"/>
      <c r="AM598" s="162"/>
      <c r="AN598" s="162"/>
      <c r="AO598" s="162"/>
      <c r="AP598" s="162"/>
      <c r="AQ598" s="162"/>
      <c r="AR598" s="162"/>
      <c r="AS598" s="162"/>
      <c r="AT598" s="161"/>
      <c r="AU598" s="161"/>
      <c r="AV598" s="161"/>
      <c r="AW598" s="161"/>
      <c r="AX598" s="161"/>
      <c r="AY598" s="161"/>
      <c r="AZ598" s="161"/>
      <c r="BA598" s="161"/>
      <c r="BB598" s="161"/>
      <c r="BC598" s="161"/>
      <c r="BD598" s="161"/>
      <c r="BE598" s="161"/>
      <c r="BF598" s="161"/>
      <c r="BG598" s="161"/>
      <c r="BH598" s="161"/>
      <c r="BI598" s="161"/>
      <c r="BJ598" s="161"/>
      <c r="BK598" s="161"/>
      <c r="BL598" s="161"/>
      <c r="BM598" s="161"/>
      <c r="BN598" s="161"/>
      <c r="BO598" s="161"/>
      <c r="BP598" s="161"/>
      <c r="BQ598" s="161"/>
      <c r="BR598" s="161"/>
      <c r="BS598" s="161"/>
      <c r="BT598" s="161"/>
      <c r="BU598" s="161"/>
      <c r="BV598" s="161"/>
      <c r="BW598" s="161"/>
      <c r="BX598" s="161"/>
      <c r="BY598" s="161"/>
    </row>
    <row r="599" spans="1:77">
      <c r="A599" s="162"/>
      <c r="B599" s="162"/>
      <c r="C599" s="162"/>
      <c r="D599" s="162"/>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c r="AC599" s="162"/>
      <c r="AD599" s="162"/>
      <c r="AE599" s="162"/>
      <c r="AF599" s="162"/>
      <c r="AG599" s="162"/>
      <c r="AH599" s="162"/>
      <c r="AI599" s="162"/>
      <c r="AJ599" s="162"/>
      <c r="AK599" s="162"/>
      <c r="AL599" s="162"/>
      <c r="AM599" s="162"/>
      <c r="AN599" s="162"/>
      <c r="AO599" s="162"/>
      <c r="AP599" s="162"/>
      <c r="AQ599" s="162"/>
      <c r="AR599" s="162"/>
      <c r="AS599" s="162"/>
      <c r="AT599" s="161"/>
      <c r="AU599" s="161"/>
      <c r="AV599" s="161"/>
      <c r="AW599" s="161"/>
      <c r="AX599" s="161"/>
      <c r="AY599" s="161"/>
      <c r="AZ599" s="161"/>
      <c r="BA599" s="161"/>
      <c r="BB599" s="161"/>
      <c r="BC599" s="161"/>
      <c r="BD599" s="161"/>
      <c r="BE599" s="161"/>
      <c r="BF599" s="161"/>
      <c r="BG599" s="161"/>
      <c r="BH599" s="161"/>
      <c r="BI599" s="161"/>
      <c r="BJ599" s="161"/>
      <c r="BK599" s="161"/>
      <c r="BL599" s="161"/>
      <c r="BM599" s="161"/>
      <c r="BN599" s="161"/>
      <c r="BO599" s="161"/>
      <c r="BP599" s="161"/>
      <c r="BQ599" s="161"/>
      <c r="BR599" s="161"/>
      <c r="BS599" s="161"/>
      <c r="BT599" s="161"/>
      <c r="BU599" s="161"/>
      <c r="BV599" s="161"/>
      <c r="BW599" s="161"/>
      <c r="BX599" s="161"/>
      <c r="BY599" s="161"/>
    </row>
    <row r="600" spans="1:77">
      <c r="A600" s="162"/>
      <c r="B600" s="162"/>
      <c r="C600" s="162"/>
      <c r="D600" s="162"/>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c r="AC600" s="162"/>
      <c r="AD600" s="162"/>
      <c r="AE600" s="162"/>
      <c r="AF600" s="162"/>
      <c r="AG600" s="162"/>
      <c r="AH600" s="162"/>
      <c r="AI600" s="162"/>
      <c r="AJ600" s="162"/>
      <c r="AK600" s="162"/>
      <c r="AL600" s="162"/>
      <c r="AM600" s="162"/>
      <c r="AN600" s="162"/>
      <c r="AO600" s="162"/>
      <c r="AP600" s="162"/>
      <c r="AQ600" s="162"/>
      <c r="AR600" s="162"/>
      <c r="AS600" s="162"/>
      <c r="AT600" s="161"/>
      <c r="AU600" s="161"/>
      <c r="AV600" s="161"/>
      <c r="AW600" s="161"/>
      <c r="AX600" s="161"/>
      <c r="AY600" s="161"/>
      <c r="AZ600" s="161"/>
      <c r="BA600" s="161"/>
      <c r="BB600" s="161"/>
      <c r="BC600" s="161"/>
      <c r="BD600" s="161"/>
      <c r="BE600" s="161"/>
      <c r="BF600" s="161"/>
      <c r="BG600" s="161"/>
      <c r="BH600" s="161"/>
      <c r="BI600" s="161"/>
      <c r="BJ600" s="161"/>
      <c r="BK600" s="161"/>
      <c r="BL600" s="161"/>
      <c r="BM600" s="161"/>
      <c r="BN600" s="161"/>
      <c r="BO600" s="161"/>
      <c r="BP600" s="161"/>
      <c r="BQ600" s="161"/>
      <c r="BR600" s="161"/>
      <c r="BS600" s="161"/>
      <c r="BT600" s="161"/>
      <c r="BU600" s="161"/>
      <c r="BV600" s="161"/>
      <c r="BW600" s="161"/>
      <c r="BX600" s="161"/>
      <c r="BY600" s="161"/>
    </row>
    <row r="601" spans="1:77">
      <c r="A601" s="162"/>
      <c r="B601" s="162"/>
      <c r="C601" s="162"/>
      <c r="D601" s="162"/>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c r="AC601" s="162"/>
      <c r="AD601" s="162"/>
      <c r="AE601" s="162"/>
      <c r="AF601" s="162"/>
      <c r="AG601" s="162"/>
      <c r="AH601" s="162"/>
      <c r="AI601" s="162"/>
      <c r="AJ601" s="162"/>
      <c r="AK601" s="162"/>
      <c r="AL601" s="162"/>
      <c r="AM601" s="162"/>
      <c r="AN601" s="162"/>
      <c r="AO601" s="162"/>
      <c r="AP601" s="162"/>
      <c r="AQ601" s="162"/>
      <c r="AR601" s="162"/>
      <c r="AS601" s="162"/>
      <c r="AT601" s="161"/>
      <c r="AU601" s="161"/>
      <c r="AV601" s="161"/>
      <c r="AW601" s="161"/>
      <c r="AX601" s="161"/>
      <c r="AY601" s="161"/>
      <c r="AZ601" s="161"/>
      <c r="BA601" s="161"/>
      <c r="BB601" s="161"/>
      <c r="BC601" s="161"/>
      <c r="BD601" s="161"/>
      <c r="BE601" s="161"/>
      <c r="BF601" s="161"/>
      <c r="BG601" s="161"/>
      <c r="BH601" s="161"/>
      <c r="BI601" s="161"/>
      <c r="BJ601" s="161"/>
      <c r="BK601" s="161"/>
      <c r="BL601" s="161"/>
      <c r="BM601" s="161"/>
      <c r="BN601" s="161"/>
      <c r="BO601" s="161"/>
      <c r="BP601" s="161"/>
      <c r="BQ601" s="161"/>
      <c r="BR601" s="161"/>
      <c r="BS601" s="161"/>
      <c r="BT601" s="161"/>
      <c r="BU601" s="161"/>
      <c r="BV601" s="161"/>
      <c r="BW601" s="161"/>
      <c r="BX601" s="161"/>
      <c r="BY601" s="161"/>
    </row>
    <row r="602" spans="1:77">
      <c r="A602" s="162"/>
      <c r="B602" s="162"/>
      <c r="C602" s="162"/>
      <c r="D602" s="162"/>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c r="AC602" s="162"/>
      <c r="AD602" s="162"/>
      <c r="AE602" s="162"/>
      <c r="AF602" s="162"/>
      <c r="AG602" s="162"/>
      <c r="AH602" s="162"/>
      <c r="AI602" s="162"/>
      <c r="AJ602" s="162"/>
      <c r="AK602" s="162"/>
      <c r="AL602" s="162"/>
      <c r="AM602" s="162"/>
      <c r="AN602" s="162"/>
      <c r="AO602" s="162"/>
      <c r="AP602" s="162"/>
      <c r="AQ602" s="162"/>
      <c r="AR602" s="162"/>
      <c r="AS602" s="162"/>
      <c r="AT602" s="161"/>
      <c r="AU602" s="161"/>
      <c r="AV602" s="161"/>
      <c r="AW602" s="161"/>
      <c r="AX602" s="161"/>
      <c r="AY602" s="161"/>
      <c r="AZ602" s="161"/>
      <c r="BA602" s="161"/>
      <c r="BB602" s="161"/>
      <c r="BC602" s="161"/>
      <c r="BD602" s="161"/>
      <c r="BE602" s="161"/>
      <c r="BF602" s="161"/>
      <c r="BG602" s="161"/>
      <c r="BH602" s="161"/>
      <c r="BI602" s="161"/>
      <c r="BJ602" s="161"/>
      <c r="BK602" s="161"/>
      <c r="BL602" s="161"/>
      <c r="BM602" s="161"/>
      <c r="BN602" s="161"/>
      <c r="BO602" s="161"/>
      <c r="BP602" s="161"/>
      <c r="BQ602" s="161"/>
      <c r="BR602" s="161"/>
      <c r="BS602" s="161"/>
      <c r="BT602" s="161"/>
      <c r="BU602" s="161"/>
      <c r="BV602" s="161"/>
      <c r="BW602" s="161"/>
      <c r="BX602" s="161"/>
      <c r="BY602" s="161"/>
    </row>
    <row r="603" spans="1:77">
      <c r="A603" s="162"/>
      <c r="B603" s="162"/>
      <c r="C603" s="162"/>
      <c r="D603" s="162"/>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c r="AC603" s="162"/>
      <c r="AD603" s="162"/>
      <c r="AE603" s="162"/>
      <c r="AF603" s="162"/>
      <c r="AG603" s="162"/>
      <c r="AH603" s="162"/>
      <c r="AI603" s="162"/>
      <c r="AJ603" s="162"/>
      <c r="AK603" s="162"/>
      <c r="AL603" s="162"/>
      <c r="AM603" s="162"/>
      <c r="AN603" s="162"/>
      <c r="AO603" s="162"/>
      <c r="AP603" s="162"/>
      <c r="AQ603" s="162"/>
      <c r="AR603" s="162"/>
      <c r="AS603" s="162"/>
      <c r="AT603" s="161"/>
      <c r="AU603" s="161"/>
      <c r="AV603" s="161"/>
      <c r="AW603" s="161"/>
      <c r="AX603" s="161"/>
      <c r="AY603" s="161"/>
      <c r="AZ603" s="161"/>
      <c r="BA603" s="161"/>
      <c r="BB603" s="161"/>
      <c r="BC603" s="161"/>
      <c r="BD603" s="161"/>
      <c r="BE603" s="161"/>
      <c r="BF603" s="161"/>
      <c r="BG603" s="161"/>
      <c r="BH603" s="161"/>
      <c r="BI603" s="161"/>
      <c r="BJ603" s="161"/>
      <c r="BK603" s="161"/>
      <c r="BL603" s="161"/>
      <c r="BM603" s="161"/>
      <c r="BN603" s="161"/>
      <c r="BO603" s="161"/>
      <c r="BP603" s="161"/>
      <c r="BQ603" s="161"/>
      <c r="BR603" s="161"/>
      <c r="BS603" s="161"/>
      <c r="BT603" s="161"/>
      <c r="BU603" s="161"/>
      <c r="BV603" s="161"/>
      <c r="BW603" s="161"/>
      <c r="BX603" s="161"/>
      <c r="BY603" s="161"/>
    </row>
    <row r="604" spans="1:77">
      <c r="A604" s="162"/>
      <c r="B604" s="162"/>
      <c r="C604" s="162"/>
      <c r="D604" s="162"/>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c r="AC604" s="162"/>
      <c r="AD604" s="162"/>
      <c r="AE604" s="162"/>
      <c r="AF604" s="162"/>
      <c r="AG604" s="162"/>
      <c r="AH604" s="162"/>
      <c r="AI604" s="162"/>
      <c r="AJ604" s="162"/>
      <c r="AK604" s="162"/>
      <c r="AL604" s="162"/>
      <c r="AM604" s="162"/>
      <c r="AN604" s="162"/>
      <c r="AO604" s="162"/>
      <c r="AP604" s="162"/>
      <c r="AQ604" s="162"/>
      <c r="AR604" s="162"/>
      <c r="AS604" s="162"/>
      <c r="AT604" s="161"/>
      <c r="AU604" s="161"/>
      <c r="AV604" s="161"/>
      <c r="AW604" s="161"/>
      <c r="AX604" s="161"/>
      <c r="AY604" s="161"/>
      <c r="AZ604" s="161"/>
      <c r="BA604" s="161"/>
      <c r="BB604" s="161"/>
      <c r="BC604" s="161"/>
      <c r="BD604" s="161"/>
      <c r="BE604" s="161"/>
      <c r="BF604" s="161"/>
      <c r="BG604" s="161"/>
      <c r="BH604" s="161"/>
      <c r="BI604" s="161"/>
      <c r="BJ604" s="161"/>
      <c r="BK604" s="161"/>
      <c r="BL604" s="161"/>
      <c r="BM604" s="161"/>
      <c r="BN604" s="161"/>
      <c r="BO604" s="161"/>
      <c r="BP604" s="161"/>
      <c r="BQ604" s="161"/>
      <c r="BR604" s="161"/>
      <c r="BS604" s="161"/>
      <c r="BT604" s="161"/>
      <c r="BU604" s="161"/>
      <c r="BV604" s="161"/>
      <c r="BW604" s="161"/>
      <c r="BX604" s="161"/>
      <c r="BY604" s="161"/>
    </row>
    <row r="605" spans="1:77">
      <c r="A605" s="162"/>
      <c r="B605" s="162"/>
      <c r="C605" s="162"/>
      <c r="D605" s="162"/>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c r="AC605" s="162"/>
      <c r="AD605" s="162"/>
      <c r="AE605" s="162"/>
      <c r="AF605" s="162"/>
      <c r="AG605" s="162"/>
      <c r="AH605" s="162"/>
      <c r="AI605" s="162"/>
      <c r="AJ605" s="162"/>
      <c r="AK605" s="162"/>
      <c r="AL605" s="162"/>
      <c r="AM605" s="162"/>
      <c r="AN605" s="162"/>
      <c r="AO605" s="162"/>
      <c r="AP605" s="162"/>
      <c r="AQ605" s="162"/>
      <c r="AR605" s="162"/>
      <c r="AS605" s="162"/>
      <c r="AT605" s="161"/>
      <c r="AU605" s="161"/>
      <c r="AV605" s="161"/>
      <c r="AW605" s="161"/>
      <c r="AX605" s="161"/>
      <c r="AY605" s="161"/>
      <c r="AZ605" s="161"/>
      <c r="BA605" s="161"/>
      <c r="BB605" s="161"/>
      <c r="BC605" s="161"/>
      <c r="BD605" s="161"/>
      <c r="BE605" s="161"/>
      <c r="BF605" s="161"/>
      <c r="BG605" s="161"/>
      <c r="BH605" s="161"/>
      <c r="BI605" s="161"/>
      <c r="BJ605" s="161"/>
      <c r="BK605" s="161"/>
      <c r="BL605" s="161"/>
      <c r="BM605" s="161"/>
      <c r="BN605" s="161"/>
      <c r="BO605" s="161"/>
      <c r="BP605" s="161"/>
      <c r="BQ605" s="161"/>
      <c r="BR605" s="161"/>
      <c r="BS605" s="161"/>
      <c r="BT605" s="161"/>
      <c r="BU605" s="161"/>
      <c r="BV605" s="161"/>
      <c r="BW605" s="161"/>
      <c r="BX605" s="161"/>
      <c r="BY605" s="161"/>
    </row>
    <row r="606" spans="1:77">
      <c r="A606" s="162"/>
      <c r="B606" s="162"/>
      <c r="C606" s="162"/>
      <c r="D606" s="162"/>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c r="AC606" s="162"/>
      <c r="AD606" s="162"/>
      <c r="AE606" s="162"/>
      <c r="AF606" s="162"/>
      <c r="AG606" s="162"/>
      <c r="AH606" s="162"/>
      <c r="AI606" s="162"/>
      <c r="AJ606" s="162"/>
      <c r="AK606" s="162"/>
      <c r="AL606" s="162"/>
      <c r="AM606" s="162"/>
      <c r="AN606" s="162"/>
      <c r="AO606" s="162"/>
      <c r="AP606" s="162"/>
      <c r="AQ606" s="162"/>
      <c r="AR606" s="162"/>
      <c r="AS606" s="162"/>
      <c r="AT606" s="161"/>
      <c r="AU606" s="161"/>
      <c r="AV606" s="161"/>
      <c r="AW606" s="161"/>
      <c r="AX606" s="161"/>
      <c r="AY606" s="161"/>
      <c r="AZ606" s="161"/>
      <c r="BA606" s="161"/>
      <c r="BB606" s="161"/>
      <c r="BC606" s="161"/>
      <c r="BD606" s="161"/>
      <c r="BE606" s="161"/>
      <c r="BF606" s="161"/>
      <c r="BG606" s="161"/>
      <c r="BH606" s="161"/>
      <c r="BI606" s="161"/>
      <c r="BJ606" s="161"/>
      <c r="BK606" s="161"/>
      <c r="BL606" s="161"/>
      <c r="BM606" s="161"/>
      <c r="BN606" s="161"/>
      <c r="BO606" s="161"/>
      <c r="BP606" s="161"/>
      <c r="BQ606" s="161"/>
      <c r="BR606" s="161"/>
      <c r="BS606" s="161"/>
      <c r="BT606" s="161"/>
      <c r="BU606" s="161"/>
      <c r="BV606" s="161"/>
      <c r="BW606" s="161"/>
      <c r="BX606" s="161"/>
      <c r="BY606" s="161"/>
    </row>
    <row r="607" spans="1:77">
      <c r="A607" s="162"/>
      <c r="B607" s="162"/>
      <c r="C607" s="162"/>
      <c r="D607" s="162"/>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c r="AC607" s="162"/>
      <c r="AD607" s="162"/>
      <c r="AE607" s="162"/>
      <c r="AF607" s="162"/>
      <c r="AG607" s="162"/>
      <c r="AH607" s="162"/>
      <c r="AI607" s="162"/>
      <c r="AJ607" s="162"/>
      <c r="AK607" s="162"/>
      <c r="AL607" s="162"/>
      <c r="AM607" s="162"/>
      <c r="AN607" s="162"/>
      <c r="AO607" s="162"/>
      <c r="AP607" s="162"/>
      <c r="AQ607" s="162"/>
      <c r="AR607" s="162"/>
      <c r="AS607" s="162"/>
      <c r="AT607" s="161"/>
      <c r="AU607" s="161"/>
      <c r="AV607" s="161"/>
      <c r="AW607" s="161"/>
      <c r="AX607" s="161"/>
      <c r="AY607" s="161"/>
      <c r="AZ607" s="161"/>
      <c r="BA607" s="161"/>
      <c r="BB607" s="161"/>
      <c r="BC607" s="161"/>
      <c r="BD607" s="161"/>
      <c r="BE607" s="161"/>
      <c r="BF607" s="161"/>
      <c r="BG607" s="161"/>
      <c r="BH607" s="161"/>
      <c r="BI607" s="161"/>
      <c r="BJ607" s="161"/>
      <c r="BK607" s="161"/>
      <c r="BL607" s="161"/>
      <c r="BM607" s="161"/>
      <c r="BN607" s="161"/>
      <c r="BO607" s="161"/>
      <c r="BP607" s="161"/>
      <c r="BQ607" s="161"/>
      <c r="BR607" s="161"/>
      <c r="BS607" s="161"/>
      <c r="BT607" s="161"/>
      <c r="BU607" s="161"/>
      <c r="BV607" s="161"/>
      <c r="BW607" s="161"/>
      <c r="BX607" s="161"/>
      <c r="BY607" s="161"/>
    </row>
    <row r="608" spans="1:77">
      <c r="A608" s="162"/>
      <c r="B608" s="162"/>
      <c r="C608" s="162"/>
      <c r="D608" s="162"/>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c r="AC608" s="162"/>
      <c r="AD608" s="162"/>
      <c r="AE608" s="162"/>
      <c r="AF608" s="162"/>
      <c r="AG608" s="162"/>
      <c r="AH608" s="162"/>
      <c r="AI608" s="162"/>
      <c r="AJ608" s="162"/>
      <c r="AK608" s="162"/>
      <c r="AL608" s="162"/>
      <c r="AM608" s="162"/>
      <c r="AN608" s="162"/>
      <c r="AO608" s="162"/>
      <c r="AP608" s="162"/>
      <c r="AQ608" s="162"/>
      <c r="AR608" s="162"/>
      <c r="AS608" s="162"/>
      <c r="AT608" s="161"/>
      <c r="AU608" s="161"/>
      <c r="AV608" s="161"/>
      <c r="AW608" s="161"/>
      <c r="AX608" s="161"/>
      <c r="AY608" s="161"/>
      <c r="AZ608" s="161"/>
      <c r="BA608" s="161"/>
      <c r="BB608" s="161"/>
      <c r="BC608" s="161"/>
      <c r="BD608" s="161"/>
      <c r="BE608" s="161"/>
      <c r="BF608" s="161"/>
      <c r="BG608" s="161"/>
      <c r="BH608" s="161"/>
      <c r="BI608" s="161"/>
      <c r="BJ608" s="161"/>
      <c r="BK608" s="161"/>
      <c r="BL608" s="161"/>
      <c r="BM608" s="161"/>
      <c r="BN608" s="161"/>
      <c r="BO608" s="161"/>
      <c r="BP608" s="161"/>
      <c r="BQ608" s="161"/>
      <c r="BR608" s="161"/>
      <c r="BS608" s="161"/>
      <c r="BT608" s="161"/>
      <c r="BU608" s="161"/>
      <c r="BV608" s="161"/>
      <c r="BW608" s="161"/>
      <c r="BX608" s="161"/>
      <c r="BY608" s="161"/>
    </row>
    <row r="609" spans="1:77">
      <c r="A609" s="162"/>
      <c r="B609" s="162"/>
      <c r="C609" s="162"/>
      <c r="D609" s="162"/>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c r="AC609" s="162"/>
      <c r="AD609" s="162"/>
      <c r="AE609" s="162"/>
      <c r="AF609" s="162"/>
      <c r="AG609" s="162"/>
      <c r="AH609" s="162"/>
      <c r="AI609" s="162"/>
      <c r="AJ609" s="162"/>
      <c r="AK609" s="162"/>
      <c r="AL609" s="162"/>
      <c r="AM609" s="162"/>
      <c r="AN609" s="162"/>
      <c r="AO609" s="162"/>
      <c r="AP609" s="162"/>
      <c r="AQ609" s="162"/>
      <c r="AR609" s="162"/>
      <c r="AS609" s="162"/>
      <c r="AT609" s="161"/>
      <c r="AU609" s="161"/>
      <c r="AV609" s="161"/>
      <c r="AW609" s="161"/>
      <c r="AX609" s="161"/>
      <c r="AY609" s="161"/>
      <c r="AZ609" s="161"/>
      <c r="BA609" s="161"/>
      <c r="BB609" s="161"/>
      <c r="BC609" s="161"/>
      <c r="BD609" s="161"/>
      <c r="BE609" s="161"/>
      <c r="BF609" s="161"/>
      <c r="BG609" s="161"/>
      <c r="BH609" s="161"/>
      <c r="BI609" s="161"/>
      <c r="BJ609" s="161"/>
      <c r="BK609" s="161"/>
      <c r="BL609" s="161"/>
      <c r="BM609" s="161"/>
      <c r="BN609" s="161"/>
      <c r="BO609" s="161"/>
      <c r="BP609" s="161"/>
      <c r="BQ609" s="161"/>
      <c r="BR609" s="161"/>
      <c r="BS609" s="161"/>
      <c r="BT609" s="161"/>
      <c r="BU609" s="161"/>
      <c r="BV609" s="161"/>
      <c r="BW609" s="161"/>
      <c r="BX609" s="161"/>
      <c r="BY609" s="161"/>
    </row>
    <row r="610" spans="1:77">
      <c r="A610" s="162"/>
      <c r="B610" s="162"/>
      <c r="C610" s="162"/>
      <c r="D610" s="162"/>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c r="AC610" s="162"/>
      <c r="AD610" s="162"/>
      <c r="AE610" s="162"/>
      <c r="AF610" s="162"/>
      <c r="AG610" s="162"/>
      <c r="AH610" s="162"/>
      <c r="AI610" s="162"/>
      <c r="AJ610" s="162"/>
      <c r="AK610" s="162"/>
      <c r="AL610" s="162"/>
      <c r="AM610" s="162"/>
      <c r="AN610" s="162"/>
      <c r="AO610" s="162"/>
      <c r="AP610" s="162"/>
      <c r="AQ610" s="162"/>
      <c r="AR610" s="162"/>
      <c r="AS610" s="162"/>
      <c r="AT610" s="161"/>
      <c r="AU610" s="161"/>
      <c r="AV610" s="161"/>
      <c r="AW610" s="161"/>
      <c r="AX610" s="161"/>
      <c r="AY610" s="161"/>
      <c r="AZ610" s="161"/>
      <c r="BA610" s="161"/>
      <c r="BB610" s="161"/>
      <c r="BC610" s="161"/>
      <c r="BD610" s="161"/>
      <c r="BE610" s="161"/>
      <c r="BF610" s="161"/>
      <c r="BG610" s="161"/>
      <c r="BH610" s="161"/>
      <c r="BI610" s="161"/>
      <c r="BJ610" s="161"/>
      <c r="BK610" s="161"/>
      <c r="BL610" s="161"/>
      <c r="BM610" s="161"/>
      <c r="BN610" s="161"/>
      <c r="BO610" s="161"/>
      <c r="BP610" s="161"/>
      <c r="BQ610" s="161"/>
      <c r="BR610" s="161"/>
      <c r="BS610" s="161"/>
      <c r="BT610" s="161"/>
      <c r="BU610" s="161"/>
      <c r="BV610" s="161"/>
      <c r="BW610" s="161"/>
      <c r="BX610" s="161"/>
      <c r="BY610" s="161"/>
    </row>
    <row r="611" spans="1:77">
      <c r="A611" s="162"/>
      <c r="B611" s="162"/>
      <c r="C611" s="162"/>
      <c r="D611" s="162"/>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c r="AC611" s="162"/>
      <c r="AD611" s="162"/>
      <c r="AE611" s="162"/>
      <c r="AF611" s="162"/>
      <c r="AG611" s="162"/>
      <c r="AH611" s="162"/>
      <c r="AI611" s="162"/>
      <c r="AJ611" s="162"/>
      <c r="AK611" s="162"/>
      <c r="AL611" s="162"/>
      <c r="AM611" s="162"/>
      <c r="AN611" s="162"/>
      <c r="AO611" s="162"/>
      <c r="AP611" s="162"/>
      <c r="AQ611" s="162"/>
      <c r="AR611" s="162"/>
      <c r="AS611" s="162"/>
      <c r="AT611" s="161"/>
      <c r="AU611" s="161"/>
      <c r="AV611" s="161"/>
      <c r="AW611" s="161"/>
      <c r="AX611" s="161"/>
      <c r="AY611" s="161"/>
      <c r="AZ611" s="161"/>
      <c r="BA611" s="161"/>
      <c r="BB611" s="161"/>
      <c r="BC611" s="161"/>
      <c r="BD611" s="161"/>
      <c r="BE611" s="161"/>
      <c r="BF611" s="161"/>
      <c r="BG611" s="161"/>
      <c r="BH611" s="161"/>
      <c r="BI611" s="161"/>
      <c r="BJ611" s="161"/>
      <c r="BK611" s="161"/>
      <c r="BL611" s="161"/>
      <c r="BM611" s="161"/>
      <c r="BN611" s="161"/>
      <c r="BO611" s="161"/>
      <c r="BP611" s="161"/>
      <c r="BQ611" s="161"/>
      <c r="BR611" s="161"/>
      <c r="BS611" s="161"/>
      <c r="BT611" s="161"/>
      <c r="BU611" s="161"/>
      <c r="BV611" s="161"/>
      <c r="BW611" s="161"/>
      <c r="BX611" s="161"/>
      <c r="BY611" s="161"/>
    </row>
    <row r="612" spans="1:77">
      <c r="A612" s="162"/>
      <c r="B612" s="162"/>
      <c r="C612" s="162"/>
      <c r="D612" s="162"/>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c r="AC612" s="162"/>
      <c r="AD612" s="162"/>
      <c r="AE612" s="162"/>
      <c r="AF612" s="162"/>
      <c r="AG612" s="162"/>
      <c r="AH612" s="162"/>
      <c r="AI612" s="162"/>
      <c r="AJ612" s="162"/>
      <c r="AK612" s="162"/>
      <c r="AL612" s="162"/>
      <c r="AM612" s="162"/>
      <c r="AN612" s="162"/>
      <c r="AO612" s="162"/>
      <c r="AP612" s="162"/>
      <c r="AQ612" s="162"/>
      <c r="AR612" s="162"/>
      <c r="AS612" s="162"/>
      <c r="AT612" s="161"/>
      <c r="AU612" s="161"/>
      <c r="AV612" s="161"/>
      <c r="AW612" s="161"/>
      <c r="AX612" s="161"/>
      <c r="AY612" s="161"/>
      <c r="AZ612" s="161"/>
      <c r="BA612" s="161"/>
      <c r="BB612" s="161"/>
      <c r="BC612" s="161"/>
      <c r="BD612" s="161"/>
      <c r="BE612" s="161"/>
      <c r="BF612" s="161"/>
      <c r="BG612" s="161"/>
      <c r="BH612" s="161"/>
      <c r="BI612" s="161"/>
      <c r="BJ612" s="161"/>
      <c r="BK612" s="161"/>
      <c r="BL612" s="161"/>
      <c r="BM612" s="161"/>
      <c r="BN612" s="161"/>
      <c r="BO612" s="161"/>
      <c r="BP612" s="161"/>
      <c r="BQ612" s="161"/>
      <c r="BR612" s="161"/>
      <c r="BS612" s="161"/>
      <c r="BT612" s="161"/>
      <c r="BU612" s="161"/>
      <c r="BV612" s="161"/>
      <c r="BW612" s="161"/>
      <c r="BX612" s="161"/>
      <c r="BY612" s="161"/>
    </row>
    <row r="613" spans="1:77">
      <c r="A613" s="162"/>
      <c r="B613" s="162"/>
      <c r="C613" s="162"/>
      <c r="D613" s="162"/>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c r="AC613" s="162"/>
      <c r="AD613" s="162"/>
      <c r="AE613" s="162"/>
      <c r="AF613" s="162"/>
      <c r="AG613" s="162"/>
      <c r="AH613" s="162"/>
      <c r="AI613" s="162"/>
      <c r="AJ613" s="162"/>
      <c r="AK613" s="162"/>
      <c r="AL613" s="162"/>
      <c r="AM613" s="162"/>
      <c r="AN613" s="162"/>
      <c r="AO613" s="162"/>
      <c r="AP613" s="162"/>
      <c r="AQ613" s="162"/>
      <c r="AR613" s="162"/>
      <c r="AS613" s="162"/>
      <c r="AT613" s="161"/>
      <c r="AU613" s="161"/>
      <c r="AV613" s="161"/>
      <c r="AW613" s="161"/>
      <c r="AX613" s="161"/>
      <c r="AY613" s="161"/>
      <c r="AZ613" s="161"/>
      <c r="BA613" s="161"/>
      <c r="BB613" s="161"/>
      <c r="BC613" s="161"/>
      <c r="BD613" s="161"/>
      <c r="BE613" s="161"/>
      <c r="BF613" s="161"/>
      <c r="BG613" s="161"/>
      <c r="BH613" s="161"/>
      <c r="BI613" s="161"/>
      <c r="BJ613" s="161"/>
      <c r="BK613" s="161"/>
      <c r="BL613" s="161"/>
      <c r="BM613" s="161"/>
      <c r="BN613" s="161"/>
      <c r="BO613" s="161"/>
      <c r="BP613" s="161"/>
      <c r="BQ613" s="161"/>
      <c r="BR613" s="161"/>
      <c r="BS613" s="161"/>
      <c r="BT613" s="161"/>
      <c r="BU613" s="161"/>
      <c r="BV613" s="161"/>
      <c r="BW613" s="161"/>
      <c r="BX613" s="161"/>
      <c r="BY613" s="161"/>
    </row>
    <row r="614" spans="1:77">
      <c r="A614" s="162"/>
      <c r="B614" s="162"/>
      <c r="C614" s="162"/>
      <c r="D614" s="162"/>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c r="AC614" s="162"/>
      <c r="AD614" s="162"/>
      <c r="AE614" s="162"/>
      <c r="AF614" s="162"/>
      <c r="AG614" s="162"/>
      <c r="AH614" s="162"/>
      <c r="AI614" s="162"/>
      <c r="AJ614" s="162"/>
      <c r="AK614" s="162"/>
      <c r="AL614" s="162"/>
      <c r="AM614" s="162"/>
      <c r="AN614" s="162"/>
      <c r="AO614" s="162"/>
      <c r="AP614" s="162"/>
      <c r="AQ614" s="162"/>
      <c r="AR614" s="162"/>
      <c r="AS614" s="162"/>
      <c r="AT614" s="161"/>
      <c r="AU614" s="161"/>
      <c r="AV614" s="161"/>
      <c r="AW614" s="161"/>
      <c r="AX614" s="161"/>
      <c r="AY614" s="161"/>
      <c r="AZ614" s="161"/>
      <c r="BA614" s="161"/>
      <c r="BB614" s="161"/>
      <c r="BC614" s="161"/>
      <c r="BD614" s="161"/>
      <c r="BE614" s="161"/>
      <c r="BF614" s="161"/>
      <c r="BG614" s="161"/>
      <c r="BH614" s="161"/>
      <c r="BI614" s="161"/>
      <c r="BJ614" s="161"/>
      <c r="BK614" s="161"/>
      <c r="BL614" s="161"/>
      <c r="BM614" s="161"/>
      <c r="BN614" s="161"/>
      <c r="BO614" s="161"/>
      <c r="BP614" s="161"/>
      <c r="BQ614" s="161"/>
      <c r="BR614" s="161"/>
      <c r="BS614" s="161"/>
      <c r="BT614" s="161"/>
      <c r="BU614" s="161"/>
      <c r="BV614" s="161"/>
      <c r="BW614" s="161"/>
      <c r="BX614" s="161"/>
      <c r="BY614" s="161"/>
    </row>
    <row r="615" spans="1:77">
      <c r="A615" s="162"/>
      <c r="B615" s="162"/>
      <c r="C615" s="162"/>
      <c r="D615" s="162"/>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c r="AC615" s="162"/>
      <c r="AD615" s="162"/>
      <c r="AE615" s="162"/>
      <c r="AF615" s="162"/>
      <c r="AG615" s="162"/>
      <c r="AH615" s="162"/>
      <c r="AI615" s="162"/>
      <c r="AJ615" s="162"/>
      <c r="AK615" s="162"/>
      <c r="AL615" s="162"/>
      <c r="AM615" s="162"/>
      <c r="AN615" s="162"/>
      <c r="AO615" s="162"/>
      <c r="AP615" s="162"/>
      <c r="AQ615" s="162"/>
      <c r="AR615" s="162"/>
      <c r="AS615" s="162"/>
      <c r="AT615" s="161"/>
      <c r="AU615" s="161"/>
      <c r="AV615" s="161"/>
      <c r="AW615" s="161"/>
      <c r="AX615" s="161"/>
      <c r="AY615" s="161"/>
      <c r="AZ615" s="161"/>
      <c r="BA615" s="161"/>
      <c r="BB615" s="161"/>
      <c r="BC615" s="161"/>
      <c r="BD615" s="161"/>
      <c r="BE615" s="161"/>
      <c r="BF615" s="161"/>
      <c r="BG615" s="161"/>
      <c r="BH615" s="161"/>
      <c r="BI615" s="161"/>
      <c r="BJ615" s="161"/>
      <c r="BK615" s="161"/>
      <c r="BL615" s="161"/>
      <c r="BM615" s="161"/>
      <c r="BN615" s="161"/>
      <c r="BO615" s="161"/>
      <c r="BP615" s="161"/>
      <c r="BQ615" s="161"/>
      <c r="BR615" s="161"/>
      <c r="BS615" s="161"/>
      <c r="BT615" s="161"/>
      <c r="BU615" s="161"/>
      <c r="BV615" s="161"/>
      <c r="BW615" s="161"/>
      <c r="BX615" s="161"/>
      <c r="BY615" s="161"/>
    </row>
    <row r="616" spans="1:77">
      <c r="A616" s="162"/>
      <c r="B616" s="162"/>
      <c r="C616" s="162"/>
      <c r="D616" s="162"/>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c r="AC616" s="162"/>
      <c r="AD616" s="162"/>
      <c r="AE616" s="162"/>
      <c r="AF616" s="162"/>
      <c r="AG616" s="162"/>
      <c r="AH616" s="162"/>
      <c r="AI616" s="162"/>
      <c r="AJ616" s="162"/>
      <c r="AK616" s="162"/>
      <c r="AL616" s="162"/>
      <c r="AM616" s="162"/>
      <c r="AN616" s="162"/>
      <c r="AO616" s="162"/>
      <c r="AP616" s="162"/>
      <c r="AQ616" s="162"/>
      <c r="AR616" s="162"/>
      <c r="AS616" s="162"/>
      <c r="AT616" s="161"/>
      <c r="AU616" s="161"/>
      <c r="AV616" s="161"/>
      <c r="AW616" s="161"/>
      <c r="AX616" s="161"/>
      <c r="AY616" s="161"/>
      <c r="AZ616" s="161"/>
      <c r="BA616" s="161"/>
      <c r="BB616" s="161"/>
      <c r="BC616" s="161"/>
      <c r="BD616" s="161"/>
      <c r="BE616" s="161"/>
      <c r="BF616" s="161"/>
      <c r="BG616" s="161"/>
      <c r="BH616" s="161"/>
      <c r="BI616" s="161"/>
      <c r="BJ616" s="161"/>
      <c r="BK616" s="161"/>
      <c r="BL616" s="161"/>
      <c r="BM616" s="161"/>
      <c r="BN616" s="161"/>
      <c r="BO616" s="161"/>
      <c r="BP616" s="161"/>
      <c r="BQ616" s="161"/>
      <c r="BR616" s="161"/>
      <c r="BS616" s="161"/>
      <c r="BT616" s="161"/>
      <c r="BU616" s="161"/>
      <c r="BV616" s="161"/>
      <c r="BW616" s="161"/>
      <c r="BX616" s="161"/>
      <c r="BY616" s="161"/>
    </row>
    <row r="617" spans="1:77">
      <c r="A617" s="162"/>
      <c r="B617" s="162"/>
      <c r="C617" s="162"/>
      <c r="D617" s="162"/>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c r="AC617" s="162"/>
      <c r="AD617" s="162"/>
      <c r="AE617" s="162"/>
      <c r="AF617" s="162"/>
      <c r="AG617" s="162"/>
      <c r="AH617" s="162"/>
      <c r="AI617" s="162"/>
      <c r="AJ617" s="162"/>
      <c r="AK617" s="162"/>
      <c r="AL617" s="162"/>
      <c r="AM617" s="162"/>
      <c r="AN617" s="162"/>
      <c r="AO617" s="162"/>
      <c r="AP617" s="162"/>
      <c r="AQ617" s="162"/>
      <c r="AR617" s="162"/>
      <c r="AS617" s="162"/>
      <c r="AT617" s="161"/>
      <c r="AU617" s="161"/>
      <c r="AV617" s="161"/>
      <c r="AW617" s="161"/>
      <c r="AX617" s="161"/>
      <c r="AY617" s="161"/>
      <c r="AZ617" s="161"/>
      <c r="BA617" s="161"/>
      <c r="BB617" s="161"/>
      <c r="BC617" s="161"/>
      <c r="BD617" s="161"/>
      <c r="BE617" s="161"/>
      <c r="BF617" s="161"/>
      <c r="BG617" s="161"/>
      <c r="BH617" s="161"/>
      <c r="BI617" s="161"/>
      <c r="BJ617" s="161"/>
      <c r="BK617" s="161"/>
      <c r="BL617" s="161"/>
      <c r="BM617" s="161"/>
      <c r="BN617" s="161"/>
      <c r="BO617" s="161"/>
      <c r="BP617" s="161"/>
      <c r="BQ617" s="161"/>
      <c r="BR617" s="161"/>
      <c r="BS617" s="161"/>
      <c r="BT617" s="161"/>
      <c r="BU617" s="161"/>
      <c r="BV617" s="161"/>
      <c r="BW617" s="161"/>
      <c r="BX617" s="161"/>
      <c r="BY617" s="161"/>
    </row>
    <row r="618" spans="1:77">
      <c r="A618" s="162"/>
      <c r="B618" s="162"/>
      <c r="C618" s="162"/>
      <c r="D618" s="162"/>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c r="AC618" s="162"/>
      <c r="AD618" s="162"/>
      <c r="AE618" s="162"/>
      <c r="AF618" s="162"/>
      <c r="AG618" s="162"/>
      <c r="AH618" s="162"/>
      <c r="AI618" s="162"/>
      <c r="AJ618" s="162"/>
      <c r="AK618" s="162"/>
      <c r="AL618" s="162"/>
      <c r="AM618" s="162"/>
      <c r="AN618" s="162"/>
      <c r="AO618" s="162"/>
      <c r="AP618" s="162"/>
      <c r="AQ618" s="162"/>
      <c r="AR618" s="162"/>
      <c r="AS618" s="162"/>
      <c r="AT618" s="161"/>
      <c r="AU618" s="161"/>
      <c r="AV618" s="161"/>
      <c r="AW618" s="161"/>
      <c r="AX618" s="161"/>
      <c r="AY618" s="161"/>
      <c r="AZ618" s="161"/>
      <c r="BA618" s="161"/>
      <c r="BB618" s="161"/>
      <c r="BC618" s="161"/>
      <c r="BD618" s="161"/>
      <c r="BE618" s="161"/>
      <c r="BF618" s="161"/>
      <c r="BG618" s="161"/>
      <c r="BH618" s="161"/>
      <c r="BI618" s="161"/>
      <c r="BJ618" s="161"/>
      <c r="BK618" s="161"/>
      <c r="BL618" s="161"/>
      <c r="BM618" s="161"/>
      <c r="BN618" s="161"/>
      <c r="BO618" s="161"/>
      <c r="BP618" s="161"/>
      <c r="BQ618" s="161"/>
      <c r="BR618" s="161"/>
      <c r="BS618" s="161"/>
      <c r="BT618" s="161"/>
      <c r="BU618" s="161"/>
      <c r="BV618" s="161"/>
      <c r="BW618" s="161"/>
      <c r="BX618" s="161"/>
      <c r="BY618" s="161"/>
    </row>
    <row r="619" spans="1:77">
      <c r="A619" s="162"/>
      <c r="B619" s="162"/>
      <c r="C619" s="162"/>
      <c r="D619" s="162"/>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c r="AC619" s="162"/>
      <c r="AD619" s="162"/>
      <c r="AE619" s="162"/>
      <c r="AF619" s="162"/>
      <c r="AG619" s="162"/>
      <c r="AH619" s="162"/>
      <c r="AI619" s="162"/>
      <c r="AJ619" s="162"/>
      <c r="AK619" s="162"/>
      <c r="AL619" s="162"/>
      <c r="AM619" s="162"/>
      <c r="AN619" s="162"/>
      <c r="AO619" s="162"/>
      <c r="AP619" s="162"/>
      <c r="AQ619" s="162"/>
      <c r="AR619" s="162"/>
      <c r="AS619" s="162"/>
      <c r="AT619" s="161"/>
      <c r="AU619" s="161"/>
      <c r="AV619" s="161"/>
      <c r="AW619" s="161"/>
      <c r="AX619" s="161"/>
      <c r="AY619" s="161"/>
      <c r="AZ619" s="161"/>
      <c r="BA619" s="161"/>
      <c r="BB619" s="161"/>
      <c r="BC619" s="161"/>
      <c r="BD619" s="161"/>
      <c r="BE619" s="161"/>
      <c r="BF619" s="161"/>
      <c r="BG619" s="161"/>
      <c r="BH619" s="161"/>
      <c r="BI619" s="161"/>
      <c r="BJ619" s="161"/>
      <c r="BK619" s="161"/>
      <c r="BL619" s="161"/>
      <c r="BM619" s="161"/>
      <c r="BN619" s="161"/>
      <c r="BO619" s="161"/>
      <c r="BP619" s="161"/>
      <c r="BQ619" s="161"/>
      <c r="BR619" s="161"/>
      <c r="BS619" s="161"/>
      <c r="BT619" s="161"/>
      <c r="BU619" s="161"/>
      <c r="BV619" s="161"/>
      <c r="BW619" s="161"/>
      <c r="BX619" s="161"/>
      <c r="BY619" s="161"/>
    </row>
    <row r="620" spans="1:77">
      <c r="A620" s="162"/>
      <c r="B620" s="162"/>
      <c r="C620" s="162"/>
      <c r="D620" s="162"/>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c r="AC620" s="162"/>
      <c r="AD620" s="162"/>
      <c r="AE620" s="162"/>
      <c r="AF620" s="162"/>
      <c r="AG620" s="162"/>
      <c r="AH620" s="162"/>
      <c r="AI620" s="162"/>
      <c r="AJ620" s="162"/>
      <c r="AK620" s="162"/>
      <c r="AL620" s="162"/>
      <c r="AM620" s="162"/>
      <c r="AN620" s="162"/>
      <c r="AO620" s="162"/>
      <c r="AP620" s="162"/>
      <c r="AQ620" s="162"/>
      <c r="AR620" s="162"/>
      <c r="AS620" s="162"/>
      <c r="AT620" s="161"/>
      <c r="AU620" s="161"/>
      <c r="AV620" s="161"/>
      <c r="AW620" s="161"/>
      <c r="AX620" s="161"/>
      <c r="AY620" s="161"/>
      <c r="AZ620" s="161"/>
      <c r="BA620" s="161"/>
      <c r="BB620" s="161"/>
      <c r="BC620" s="161"/>
      <c r="BD620" s="161"/>
      <c r="BE620" s="161"/>
      <c r="BF620" s="161"/>
      <c r="BG620" s="161"/>
      <c r="BH620" s="161"/>
      <c r="BI620" s="161"/>
      <c r="BJ620" s="161"/>
      <c r="BK620" s="161"/>
      <c r="BL620" s="161"/>
      <c r="BM620" s="161"/>
      <c r="BN620" s="161"/>
      <c r="BO620" s="161"/>
      <c r="BP620" s="161"/>
      <c r="BQ620" s="161"/>
      <c r="BR620" s="161"/>
      <c r="BS620" s="161"/>
      <c r="BT620" s="161"/>
      <c r="BU620" s="161"/>
      <c r="BV620" s="161"/>
      <c r="BW620" s="161"/>
      <c r="BX620" s="161"/>
      <c r="BY620" s="161"/>
    </row>
    <row r="621" spans="1:77">
      <c r="A621" s="162"/>
      <c r="B621" s="162"/>
      <c r="C621" s="162"/>
      <c r="D621" s="162"/>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c r="AC621" s="162"/>
      <c r="AD621" s="162"/>
      <c r="AE621" s="162"/>
      <c r="AF621" s="162"/>
      <c r="AG621" s="162"/>
      <c r="AH621" s="162"/>
      <c r="AI621" s="162"/>
      <c r="AJ621" s="162"/>
      <c r="AK621" s="162"/>
      <c r="AL621" s="162"/>
      <c r="AM621" s="162"/>
      <c r="AN621" s="162"/>
      <c r="AO621" s="162"/>
      <c r="AP621" s="162"/>
      <c r="AQ621" s="162"/>
      <c r="AR621" s="162"/>
      <c r="AS621" s="162"/>
      <c r="AT621" s="161"/>
      <c r="AU621" s="161"/>
      <c r="AV621" s="161"/>
      <c r="AW621" s="161"/>
      <c r="AX621" s="161"/>
      <c r="AY621" s="161"/>
      <c r="AZ621" s="161"/>
      <c r="BA621" s="161"/>
      <c r="BB621" s="161"/>
      <c r="BC621" s="161"/>
      <c r="BD621" s="161"/>
      <c r="BE621" s="161"/>
      <c r="BF621" s="161"/>
      <c r="BG621" s="161"/>
      <c r="BH621" s="161"/>
      <c r="BI621" s="161"/>
      <c r="BJ621" s="161"/>
      <c r="BK621" s="161"/>
      <c r="BL621" s="161"/>
      <c r="BM621" s="161"/>
      <c r="BN621" s="161"/>
      <c r="BO621" s="161"/>
      <c r="BP621" s="161"/>
      <c r="BQ621" s="161"/>
      <c r="BR621" s="161"/>
      <c r="BS621" s="161"/>
      <c r="BT621" s="161"/>
      <c r="BU621" s="161"/>
      <c r="BV621" s="161"/>
      <c r="BW621" s="161"/>
      <c r="BX621" s="161"/>
      <c r="BY621" s="161"/>
    </row>
    <row r="622" spans="1:77">
      <c r="A622" s="162"/>
      <c r="B622" s="162"/>
      <c r="C622" s="162"/>
      <c r="D622" s="162"/>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c r="AC622" s="162"/>
      <c r="AD622" s="162"/>
      <c r="AE622" s="162"/>
      <c r="AF622" s="162"/>
      <c r="AG622" s="162"/>
      <c r="AH622" s="162"/>
      <c r="AI622" s="162"/>
      <c r="AJ622" s="162"/>
      <c r="AK622" s="162"/>
      <c r="AL622" s="162"/>
      <c r="AM622" s="162"/>
      <c r="AN622" s="162"/>
      <c r="AO622" s="162"/>
      <c r="AP622" s="162"/>
      <c r="AQ622" s="162"/>
      <c r="AR622" s="162"/>
      <c r="AS622" s="162"/>
      <c r="AT622" s="161"/>
      <c r="AU622" s="161"/>
      <c r="AV622" s="161"/>
      <c r="AW622" s="161"/>
      <c r="AX622" s="161"/>
      <c r="AY622" s="161"/>
      <c r="AZ622" s="161"/>
      <c r="BA622" s="161"/>
      <c r="BB622" s="161"/>
      <c r="BC622" s="161"/>
      <c r="BD622" s="161"/>
      <c r="BE622" s="161"/>
      <c r="BF622" s="161"/>
      <c r="BG622" s="161"/>
      <c r="BH622" s="161"/>
      <c r="BI622" s="161"/>
      <c r="BJ622" s="161"/>
      <c r="BK622" s="161"/>
      <c r="BL622" s="161"/>
      <c r="BM622" s="161"/>
      <c r="BN622" s="161"/>
      <c r="BO622" s="161"/>
      <c r="BP622" s="161"/>
      <c r="BQ622" s="161"/>
      <c r="BR622" s="161"/>
      <c r="BS622" s="161"/>
      <c r="BT622" s="161"/>
      <c r="BU622" s="161"/>
      <c r="BV622" s="161"/>
      <c r="BW622" s="161"/>
      <c r="BX622" s="161"/>
      <c r="BY622" s="161"/>
    </row>
    <row r="623" spans="1:77">
      <c r="A623" s="162"/>
      <c r="B623" s="162"/>
      <c r="C623" s="162"/>
      <c r="D623" s="162"/>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c r="AC623" s="162"/>
      <c r="AD623" s="162"/>
      <c r="AE623" s="162"/>
      <c r="AF623" s="162"/>
      <c r="AG623" s="162"/>
      <c r="AH623" s="162"/>
      <c r="AI623" s="162"/>
      <c r="AJ623" s="162"/>
      <c r="AK623" s="162"/>
      <c r="AL623" s="162"/>
      <c r="AM623" s="162"/>
      <c r="AN623" s="162"/>
      <c r="AO623" s="162"/>
      <c r="AP623" s="162"/>
      <c r="AQ623" s="162"/>
      <c r="AR623" s="162"/>
      <c r="AS623" s="162"/>
      <c r="AT623" s="161"/>
      <c r="AU623" s="161"/>
      <c r="AV623" s="161"/>
      <c r="AW623" s="161"/>
      <c r="AX623" s="161"/>
      <c r="AY623" s="161"/>
      <c r="AZ623" s="161"/>
      <c r="BA623" s="161"/>
      <c r="BB623" s="161"/>
      <c r="BC623" s="161"/>
      <c r="BD623" s="161"/>
      <c r="BE623" s="161"/>
      <c r="BF623" s="161"/>
      <c r="BG623" s="161"/>
      <c r="BH623" s="161"/>
      <c r="BI623" s="161"/>
      <c r="BJ623" s="161"/>
      <c r="BK623" s="161"/>
      <c r="BL623" s="161"/>
      <c r="BM623" s="161"/>
      <c r="BN623" s="161"/>
      <c r="BO623" s="161"/>
      <c r="BP623" s="161"/>
      <c r="BQ623" s="161"/>
      <c r="BR623" s="161"/>
      <c r="BS623" s="161"/>
      <c r="BT623" s="161"/>
      <c r="BU623" s="161"/>
      <c r="BV623" s="161"/>
      <c r="BW623" s="161"/>
      <c r="BX623" s="161"/>
      <c r="BY623" s="161"/>
    </row>
    <row r="624" spans="1:77">
      <c r="A624" s="162"/>
      <c r="B624" s="162"/>
      <c r="C624" s="162"/>
      <c r="D624" s="162"/>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c r="AC624" s="162"/>
      <c r="AD624" s="162"/>
      <c r="AE624" s="162"/>
      <c r="AF624" s="162"/>
      <c r="AG624" s="162"/>
      <c r="AH624" s="162"/>
      <c r="AI624" s="162"/>
      <c r="AJ624" s="162"/>
      <c r="AK624" s="162"/>
      <c r="AL624" s="162"/>
      <c r="AM624" s="162"/>
      <c r="AN624" s="162"/>
      <c r="AO624" s="162"/>
      <c r="AP624" s="162"/>
      <c r="AQ624" s="162"/>
      <c r="AR624" s="162"/>
      <c r="AS624" s="162"/>
      <c r="AT624" s="161"/>
      <c r="AU624" s="161"/>
      <c r="AV624" s="161"/>
      <c r="AW624" s="161"/>
      <c r="AX624" s="161"/>
      <c r="AY624" s="161"/>
      <c r="AZ624" s="161"/>
      <c r="BA624" s="161"/>
      <c r="BB624" s="161"/>
      <c r="BC624" s="161"/>
      <c r="BD624" s="161"/>
      <c r="BE624" s="161"/>
      <c r="BF624" s="161"/>
      <c r="BG624" s="161"/>
      <c r="BH624" s="161"/>
      <c r="BI624" s="161"/>
      <c r="BJ624" s="161"/>
      <c r="BK624" s="161"/>
      <c r="BL624" s="161"/>
      <c r="BM624" s="161"/>
      <c r="BN624" s="161"/>
      <c r="BO624" s="161"/>
      <c r="BP624" s="161"/>
      <c r="BQ624" s="161"/>
      <c r="BR624" s="161"/>
      <c r="BS624" s="161"/>
      <c r="BT624" s="161"/>
      <c r="BU624" s="161"/>
      <c r="BV624" s="161"/>
      <c r="BW624" s="161"/>
      <c r="BX624" s="161"/>
      <c r="BY624" s="161"/>
    </row>
    <row r="625" spans="1:77">
      <c r="A625" s="162"/>
      <c r="B625" s="162"/>
      <c r="C625" s="162"/>
      <c r="D625" s="162"/>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c r="AC625" s="162"/>
      <c r="AD625" s="162"/>
      <c r="AE625" s="162"/>
      <c r="AF625" s="162"/>
      <c r="AG625" s="162"/>
      <c r="AH625" s="162"/>
      <c r="AI625" s="162"/>
      <c r="AJ625" s="162"/>
      <c r="AK625" s="162"/>
      <c r="AL625" s="162"/>
      <c r="AM625" s="162"/>
      <c r="AN625" s="162"/>
      <c r="AO625" s="162"/>
      <c r="AP625" s="162"/>
      <c r="AQ625" s="162"/>
      <c r="AR625" s="162"/>
      <c r="AS625" s="162"/>
      <c r="AT625" s="161"/>
      <c r="AU625" s="161"/>
      <c r="AV625" s="161"/>
      <c r="AW625" s="161"/>
      <c r="AX625" s="161"/>
      <c r="AY625" s="161"/>
      <c r="AZ625" s="161"/>
      <c r="BA625" s="161"/>
      <c r="BB625" s="161"/>
      <c r="BC625" s="161"/>
      <c r="BD625" s="161"/>
      <c r="BE625" s="161"/>
      <c r="BF625" s="161"/>
      <c r="BG625" s="161"/>
      <c r="BH625" s="161"/>
      <c r="BI625" s="161"/>
      <c r="BJ625" s="161"/>
      <c r="BK625" s="161"/>
      <c r="BL625" s="161"/>
      <c r="BM625" s="161"/>
      <c r="BN625" s="161"/>
      <c r="BO625" s="161"/>
      <c r="BP625" s="161"/>
      <c r="BQ625" s="161"/>
      <c r="BR625" s="161"/>
      <c r="BS625" s="161"/>
      <c r="BT625" s="161"/>
      <c r="BU625" s="161"/>
      <c r="BV625" s="161"/>
      <c r="BW625" s="161"/>
      <c r="BX625" s="161"/>
      <c r="BY625" s="161"/>
    </row>
    <row r="626" spans="1:77">
      <c r="A626" s="162"/>
      <c r="B626" s="162"/>
      <c r="C626" s="162"/>
      <c r="D626" s="162"/>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c r="AC626" s="162"/>
      <c r="AD626" s="162"/>
      <c r="AE626" s="162"/>
      <c r="AF626" s="162"/>
      <c r="AG626" s="162"/>
      <c r="AH626" s="162"/>
      <c r="AI626" s="162"/>
      <c r="AJ626" s="162"/>
      <c r="AK626" s="162"/>
      <c r="AL626" s="162"/>
      <c r="AM626" s="162"/>
      <c r="AN626" s="162"/>
      <c r="AO626" s="162"/>
      <c r="AP626" s="162"/>
      <c r="AQ626" s="162"/>
      <c r="AR626" s="162"/>
      <c r="AS626" s="162"/>
      <c r="AT626" s="161"/>
      <c r="AU626" s="161"/>
      <c r="AV626" s="161"/>
      <c r="AW626" s="161"/>
      <c r="AX626" s="161"/>
      <c r="AY626" s="161"/>
      <c r="AZ626" s="161"/>
      <c r="BA626" s="161"/>
      <c r="BB626" s="161"/>
      <c r="BC626" s="161"/>
      <c r="BD626" s="161"/>
      <c r="BE626" s="161"/>
      <c r="BF626" s="161"/>
      <c r="BG626" s="161"/>
      <c r="BH626" s="161"/>
      <c r="BI626" s="161"/>
      <c r="BJ626" s="161"/>
      <c r="BK626" s="161"/>
      <c r="BL626" s="161"/>
      <c r="BM626" s="161"/>
      <c r="BN626" s="161"/>
      <c r="BO626" s="161"/>
      <c r="BP626" s="161"/>
      <c r="BQ626" s="161"/>
      <c r="BR626" s="161"/>
      <c r="BS626" s="161"/>
      <c r="BT626" s="161"/>
      <c r="BU626" s="161"/>
      <c r="BV626" s="161"/>
      <c r="BW626" s="161"/>
      <c r="BX626" s="161"/>
      <c r="BY626" s="161"/>
    </row>
    <row r="627" spans="1:77">
      <c r="A627" s="162"/>
      <c r="B627" s="162"/>
      <c r="C627" s="162"/>
      <c r="D627" s="162"/>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c r="AC627" s="162"/>
      <c r="AD627" s="162"/>
      <c r="AE627" s="162"/>
      <c r="AF627" s="162"/>
      <c r="AG627" s="162"/>
      <c r="AH627" s="162"/>
      <c r="AI627" s="162"/>
      <c r="AJ627" s="162"/>
      <c r="AK627" s="162"/>
      <c r="AL627" s="162"/>
      <c r="AM627" s="162"/>
      <c r="AN627" s="162"/>
      <c r="AO627" s="162"/>
      <c r="AP627" s="162"/>
      <c r="AQ627" s="162"/>
      <c r="AR627" s="162"/>
      <c r="AS627" s="162"/>
      <c r="AT627" s="161"/>
      <c r="AU627" s="161"/>
      <c r="AV627" s="161"/>
      <c r="AW627" s="161"/>
      <c r="AX627" s="161"/>
      <c r="AY627" s="161"/>
      <c r="AZ627" s="161"/>
      <c r="BA627" s="161"/>
      <c r="BB627" s="161"/>
      <c r="BC627" s="161"/>
      <c r="BD627" s="161"/>
      <c r="BE627" s="161"/>
      <c r="BF627" s="161"/>
      <c r="BG627" s="161"/>
      <c r="BH627" s="161"/>
      <c r="BI627" s="161"/>
      <c r="BJ627" s="161"/>
      <c r="BK627" s="161"/>
      <c r="BL627" s="161"/>
      <c r="BM627" s="161"/>
      <c r="BN627" s="161"/>
      <c r="BO627" s="161"/>
      <c r="BP627" s="161"/>
      <c r="BQ627" s="161"/>
      <c r="BR627" s="161"/>
      <c r="BS627" s="161"/>
      <c r="BT627" s="161"/>
      <c r="BU627" s="161"/>
      <c r="BV627" s="161"/>
      <c r="BW627" s="161"/>
      <c r="BX627" s="161"/>
      <c r="BY627" s="161"/>
    </row>
    <row r="628" spans="1:77">
      <c r="A628" s="162"/>
      <c r="B628" s="162"/>
      <c r="C628" s="162"/>
      <c r="D628" s="162"/>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c r="AC628" s="162"/>
      <c r="AD628" s="162"/>
      <c r="AE628" s="162"/>
      <c r="AF628" s="162"/>
      <c r="AG628" s="162"/>
      <c r="AH628" s="162"/>
      <c r="AI628" s="162"/>
      <c r="AJ628" s="162"/>
      <c r="AK628" s="162"/>
      <c r="AL628" s="162"/>
      <c r="AM628" s="162"/>
      <c r="AN628" s="162"/>
      <c r="AO628" s="162"/>
      <c r="AP628" s="162"/>
      <c r="AQ628" s="162"/>
      <c r="AR628" s="162"/>
      <c r="AS628" s="162"/>
      <c r="AT628" s="161"/>
      <c r="AU628" s="161"/>
      <c r="AV628" s="161"/>
      <c r="AW628" s="161"/>
      <c r="AX628" s="161"/>
      <c r="AY628" s="161"/>
      <c r="AZ628" s="161"/>
      <c r="BA628" s="161"/>
      <c r="BB628" s="161"/>
      <c r="BC628" s="161"/>
      <c r="BD628" s="161"/>
      <c r="BE628" s="161"/>
      <c r="BF628" s="161"/>
      <c r="BG628" s="161"/>
      <c r="BH628" s="161"/>
      <c r="BI628" s="161"/>
      <c r="BJ628" s="161"/>
      <c r="BK628" s="161"/>
      <c r="BL628" s="161"/>
      <c r="BM628" s="161"/>
      <c r="BN628" s="161"/>
      <c r="BO628" s="161"/>
      <c r="BP628" s="161"/>
      <c r="BQ628" s="161"/>
      <c r="BR628" s="161"/>
      <c r="BS628" s="161"/>
      <c r="BT628" s="161"/>
      <c r="BU628" s="161"/>
      <c r="BV628" s="161"/>
      <c r="BW628" s="161"/>
      <c r="BX628" s="161"/>
      <c r="BY628" s="161"/>
    </row>
    <row r="629" spans="1:77">
      <c r="A629" s="162"/>
      <c r="B629" s="162"/>
      <c r="C629" s="162"/>
      <c r="D629" s="162"/>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c r="AC629" s="162"/>
      <c r="AD629" s="162"/>
      <c r="AE629" s="162"/>
      <c r="AF629" s="162"/>
      <c r="AG629" s="162"/>
      <c r="AH629" s="162"/>
      <c r="AI629" s="162"/>
      <c r="AJ629" s="162"/>
      <c r="AK629" s="162"/>
      <c r="AL629" s="162"/>
      <c r="AM629" s="162"/>
      <c r="AN629" s="162"/>
      <c r="AO629" s="162"/>
      <c r="AP629" s="162"/>
      <c r="AQ629" s="162"/>
      <c r="AR629" s="162"/>
      <c r="AS629" s="162"/>
      <c r="AT629" s="161"/>
      <c r="AU629" s="161"/>
      <c r="AV629" s="161"/>
      <c r="AW629" s="161"/>
      <c r="AX629" s="161"/>
      <c r="AY629" s="161"/>
      <c r="AZ629" s="161"/>
      <c r="BA629" s="161"/>
      <c r="BB629" s="161"/>
      <c r="BC629" s="161"/>
      <c r="BD629" s="161"/>
      <c r="BE629" s="161"/>
      <c r="BF629" s="161"/>
      <c r="BG629" s="161"/>
      <c r="BH629" s="161"/>
      <c r="BI629" s="161"/>
      <c r="BJ629" s="161"/>
      <c r="BK629" s="161"/>
      <c r="BL629" s="161"/>
      <c r="BM629" s="161"/>
      <c r="BN629" s="161"/>
      <c r="BO629" s="161"/>
      <c r="BP629" s="161"/>
      <c r="BQ629" s="161"/>
      <c r="BR629" s="161"/>
      <c r="BS629" s="161"/>
      <c r="BT629" s="161"/>
      <c r="BU629" s="161"/>
      <c r="BV629" s="161"/>
      <c r="BW629" s="161"/>
      <c r="BX629" s="161"/>
      <c r="BY629" s="161"/>
    </row>
    <row r="630" spans="1:77">
      <c r="A630" s="162"/>
      <c r="B630" s="162"/>
      <c r="C630" s="162"/>
      <c r="D630" s="162"/>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c r="AC630" s="162"/>
      <c r="AD630" s="162"/>
      <c r="AE630" s="162"/>
      <c r="AF630" s="162"/>
      <c r="AG630" s="162"/>
      <c r="AH630" s="162"/>
      <c r="AI630" s="162"/>
      <c r="AJ630" s="162"/>
      <c r="AK630" s="162"/>
      <c r="AL630" s="162"/>
      <c r="AM630" s="162"/>
      <c r="AN630" s="162"/>
      <c r="AO630" s="162"/>
      <c r="AP630" s="162"/>
      <c r="AQ630" s="162"/>
      <c r="AR630" s="162"/>
      <c r="AS630" s="162"/>
      <c r="AT630" s="161"/>
      <c r="AU630" s="161"/>
      <c r="AV630" s="161"/>
      <c r="AW630" s="161"/>
      <c r="AX630" s="161"/>
      <c r="AY630" s="161"/>
      <c r="AZ630" s="161"/>
      <c r="BA630" s="161"/>
      <c r="BB630" s="161"/>
      <c r="BC630" s="161"/>
      <c r="BD630" s="161"/>
      <c r="BE630" s="161"/>
      <c r="BF630" s="161"/>
      <c r="BG630" s="161"/>
      <c r="BH630" s="161"/>
      <c r="BI630" s="161"/>
      <c r="BJ630" s="161"/>
      <c r="BK630" s="161"/>
      <c r="BL630" s="161"/>
      <c r="BM630" s="161"/>
      <c r="BN630" s="161"/>
      <c r="BO630" s="161"/>
      <c r="BP630" s="161"/>
      <c r="BQ630" s="161"/>
      <c r="BR630" s="161"/>
      <c r="BS630" s="161"/>
      <c r="BT630" s="161"/>
      <c r="BU630" s="161"/>
      <c r="BV630" s="161"/>
      <c r="BW630" s="161"/>
      <c r="BX630" s="161"/>
      <c r="BY630" s="161"/>
    </row>
    <row r="631" spans="1:77">
      <c r="A631" s="162"/>
      <c r="B631" s="162"/>
      <c r="C631" s="162"/>
      <c r="D631" s="162"/>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c r="AC631" s="162"/>
      <c r="AD631" s="162"/>
      <c r="AE631" s="162"/>
      <c r="AF631" s="162"/>
      <c r="AG631" s="162"/>
      <c r="AH631" s="162"/>
      <c r="AI631" s="162"/>
      <c r="AJ631" s="162"/>
      <c r="AK631" s="162"/>
      <c r="AL631" s="162"/>
      <c r="AM631" s="162"/>
      <c r="AN631" s="162"/>
      <c r="AO631" s="162"/>
      <c r="AP631" s="162"/>
      <c r="AQ631" s="162"/>
      <c r="AR631" s="162"/>
      <c r="AS631" s="162"/>
      <c r="AT631" s="161"/>
      <c r="AU631" s="161"/>
      <c r="AV631" s="161"/>
      <c r="AW631" s="161"/>
      <c r="AX631" s="161"/>
      <c r="AY631" s="161"/>
      <c r="AZ631" s="161"/>
      <c r="BA631" s="161"/>
      <c r="BB631" s="161"/>
      <c r="BC631" s="161"/>
      <c r="BD631" s="161"/>
      <c r="BE631" s="161"/>
      <c r="BF631" s="161"/>
      <c r="BG631" s="161"/>
      <c r="BH631" s="161"/>
      <c r="BI631" s="161"/>
      <c r="BJ631" s="161"/>
      <c r="BK631" s="161"/>
      <c r="BL631" s="161"/>
      <c r="BM631" s="161"/>
      <c r="BN631" s="161"/>
      <c r="BO631" s="161"/>
      <c r="BP631" s="161"/>
      <c r="BQ631" s="161"/>
      <c r="BR631" s="161"/>
      <c r="BS631" s="161"/>
      <c r="BT631" s="161"/>
      <c r="BU631" s="161"/>
      <c r="BV631" s="161"/>
      <c r="BW631" s="161"/>
      <c r="BX631" s="161"/>
      <c r="BY631" s="161"/>
    </row>
    <row r="632" spans="1:77">
      <c r="A632" s="162"/>
      <c r="B632" s="162"/>
      <c r="C632" s="162"/>
      <c r="D632" s="162"/>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c r="AC632" s="162"/>
      <c r="AD632" s="162"/>
      <c r="AE632" s="162"/>
      <c r="AF632" s="162"/>
      <c r="AG632" s="162"/>
      <c r="AH632" s="162"/>
      <c r="AI632" s="162"/>
      <c r="AJ632" s="162"/>
      <c r="AK632" s="162"/>
      <c r="AL632" s="162"/>
      <c r="AM632" s="162"/>
      <c r="AN632" s="162"/>
      <c r="AO632" s="162"/>
      <c r="AP632" s="162"/>
      <c r="AQ632" s="162"/>
      <c r="AR632" s="162"/>
      <c r="AS632" s="162"/>
      <c r="AT632" s="161"/>
      <c r="AU632" s="161"/>
      <c r="AV632" s="161"/>
      <c r="AW632" s="161"/>
      <c r="AX632" s="161"/>
      <c r="AY632" s="161"/>
      <c r="AZ632" s="161"/>
      <c r="BA632" s="161"/>
      <c r="BB632" s="161"/>
      <c r="BC632" s="161"/>
      <c r="BD632" s="161"/>
      <c r="BE632" s="161"/>
      <c r="BF632" s="161"/>
      <c r="BG632" s="161"/>
      <c r="BH632" s="161"/>
      <c r="BI632" s="161"/>
      <c r="BJ632" s="161"/>
      <c r="BK632" s="161"/>
      <c r="BL632" s="161"/>
      <c r="BM632" s="161"/>
      <c r="BN632" s="161"/>
      <c r="BO632" s="161"/>
      <c r="BP632" s="161"/>
      <c r="BQ632" s="161"/>
      <c r="BR632" s="161"/>
      <c r="BS632" s="161"/>
      <c r="BT632" s="161"/>
      <c r="BU632" s="161"/>
      <c r="BV632" s="161"/>
      <c r="BW632" s="161"/>
      <c r="BX632" s="161"/>
      <c r="BY632" s="161"/>
    </row>
    <row r="633" spans="1:77">
      <c r="A633" s="162"/>
      <c r="B633" s="162"/>
      <c r="C633" s="162"/>
      <c r="D633" s="162"/>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c r="AC633" s="162"/>
      <c r="AD633" s="162"/>
      <c r="AE633" s="162"/>
      <c r="AF633" s="162"/>
      <c r="AG633" s="162"/>
      <c r="AH633" s="162"/>
      <c r="AI633" s="162"/>
      <c r="AJ633" s="162"/>
      <c r="AK633" s="162"/>
      <c r="AL633" s="162"/>
      <c r="AM633" s="162"/>
      <c r="AN633" s="162"/>
      <c r="AO633" s="162"/>
      <c r="AP633" s="162"/>
      <c r="AQ633" s="162"/>
      <c r="AR633" s="162"/>
      <c r="AS633" s="162"/>
      <c r="AT633" s="161"/>
      <c r="AU633" s="161"/>
      <c r="AV633" s="161"/>
      <c r="AW633" s="161"/>
      <c r="AX633" s="161"/>
      <c r="AY633" s="161"/>
      <c r="AZ633" s="161"/>
      <c r="BA633" s="161"/>
      <c r="BB633" s="161"/>
      <c r="BC633" s="161"/>
      <c r="BD633" s="161"/>
      <c r="BE633" s="161"/>
      <c r="BF633" s="161"/>
      <c r="BG633" s="161"/>
      <c r="BH633" s="161"/>
      <c r="BI633" s="161"/>
      <c r="BJ633" s="161"/>
      <c r="BK633" s="161"/>
      <c r="BL633" s="161"/>
      <c r="BM633" s="161"/>
      <c r="BN633" s="161"/>
      <c r="BO633" s="161"/>
      <c r="BP633" s="161"/>
      <c r="BQ633" s="161"/>
      <c r="BR633" s="161"/>
      <c r="BS633" s="161"/>
      <c r="BT633" s="161"/>
      <c r="BU633" s="161"/>
      <c r="BV633" s="161"/>
      <c r="BW633" s="161"/>
      <c r="BX633" s="161"/>
      <c r="BY633" s="161"/>
    </row>
    <row r="634" spans="1:77">
      <c r="A634" s="162"/>
      <c r="B634" s="162"/>
      <c r="C634" s="162"/>
      <c r="D634" s="162"/>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c r="AC634" s="162"/>
      <c r="AD634" s="162"/>
      <c r="AE634" s="162"/>
      <c r="AF634" s="162"/>
      <c r="AG634" s="162"/>
      <c r="AH634" s="162"/>
      <c r="AI634" s="162"/>
      <c r="AJ634" s="162"/>
      <c r="AK634" s="162"/>
      <c r="AL634" s="162"/>
      <c r="AM634" s="162"/>
      <c r="AN634" s="162"/>
      <c r="AO634" s="162"/>
      <c r="AP634" s="162"/>
      <c r="AQ634" s="162"/>
      <c r="AR634" s="162"/>
      <c r="AS634" s="162"/>
      <c r="AT634" s="161"/>
      <c r="AU634" s="161"/>
      <c r="AV634" s="161"/>
      <c r="AW634" s="161"/>
      <c r="AX634" s="161"/>
      <c r="AY634" s="161"/>
      <c r="AZ634" s="161"/>
      <c r="BA634" s="161"/>
      <c r="BB634" s="161"/>
      <c r="BC634" s="161"/>
      <c r="BD634" s="161"/>
      <c r="BE634" s="161"/>
      <c r="BF634" s="161"/>
      <c r="BG634" s="161"/>
      <c r="BH634" s="161"/>
      <c r="BI634" s="161"/>
      <c r="BJ634" s="161"/>
      <c r="BK634" s="161"/>
      <c r="BL634" s="161"/>
      <c r="BM634" s="161"/>
      <c r="BN634" s="161"/>
      <c r="BO634" s="161"/>
      <c r="BP634" s="161"/>
      <c r="BQ634" s="161"/>
      <c r="BR634" s="161"/>
      <c r="BS634" s="161"/>
      <c r="BT634" s="161"/>
      <c r="BU634" s="161"/>
      <c r="BV634" s="161"/>
      <c r="BW634" s="161"/>
      <c r="BX634" s="161"/>
      <c r="BY634" s="161"/>
    </row>
    <row r="635" spans="1:77">
      <c r="A635" s="162"/>
      <c r="B635" s="162"/>
      <c r="C635" s="162"/>
      <c r="D635" s="162"/>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c r="AC635" s="162"/>
      <c r="AD635" s="162"/>
      <c r="AE635" s="162"/>
      <c r="AF635" s="162"/>
      <c r="AG635" s="162"/>
      <c r="AH635" s="162"/>
      <c r="AI635" s="162"/>
      <c r="AJ635" s="162"/>
      <c r="AK635" s="162"/>
      <c r="AL635" s="162"/>
      <c r="AM635" s="162"/>
      <c r="AN635" s="162"/>
      <c r="AO635" s="162"/>
      <c r="AP635" s="162"/>
      <c r="AQ635" s="162"/>
      <c r="AR635" s="162"/>
      <c r="AS635" s="162"/>
      <c r="AT635" s="161"/>
      <c r="AU635" s="161"/>
      <c r="AV635" s="161"/>
      <c r="AW635" s="161"/>
      <c r="AX635" s="161"/>
      <c r="AY635" s="161"/>
      <c r="AZ635" s="161"/>
      <c r="BA635" s="161"/>
      <c r="BB635" s="161"/>
      <c r="BC635" s="161"/>
      <c r="BD635" s="161"/>
      <c r="BE635" s="161"/>
      <c r="BF635" s="161"/>
      <c r="BG635" s="161"/>
      <c r="BH635" s="161"/>
      <c r="BI635" s="161"/>
      <c r="BJ635" s="161"/>
      <c r="BK635" s="161"/>
      <c r="BL635" s="161"/>
      <c r="BM635" s="161"/>
      <c r="BN635" s="161"/>
      <c r="BO635" s="161"/>
      <c r="BP635" s="161"/>
      <c r="BQ635" s="161"/>
      <c r="BR635" s="161"/>
      <c r="BS635" s="161"/>
      <c r="BT635" s="161"/>
      <c r="BU635" s="161"/>
      <c r="BV635" s="161"/>
      <c r="BW635" s="161"/>
      <c r="BX635" s="161"/>
      <c r="BY635" s="161"/>
    </row>
    <row r="636" spans="1:77">
      <c r="A636" s="162"/>
      <c r="B636" s="162"/>
      <c r="C636" s="162"/>
      <c r="D636" s="162"/>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c r="AC636" s="162"/>
      <c r="AD636" s="162"/>
      <c r="AE636" s="162"/>
      <c r="AF636" s="162"/>
      <c r="AG636" s="162"/>
      <c r="AH636" s="162"/>
      <c r="AI636" s="162"/>
      <c r="AJ636" s="162"/>
      <c r="AK636" s="162"/>
      <c r="AL636" s="162"/>
      <c r="AM636" s="162"/>
      <c r="AN636" s="162"/>
      <c r="AO636" s="162"/>
      <c r="AP636" s="162"/>
      <c r="AQ636" s="162"/>
      <c r="AR636" s="162"/>
      <c r="AS636" s="162"/>
      <c r="AT636" s="161"/>
      <c r="AU636" s="161"/>
      <c r="AV636" s="161"/>
      <c r="AW636" s="161"/>
      <c r="AX636" s="161"/>
      <c r="AY636" s="161"/>
      <c r="AZ636" s="161"/>
      <c r="BA636" s="161"/>
      <c r="BB636" s="161"/>
      <c r="BC636" s="161"/>
      <c r="BD636" s="161"/>
      <c r="BE636" s="161"/>
      <c r="BF636" s="161"/>
      <c r="BG636" s="161"/>
      <c r="BH636" s="161"/>
      <c r="BI636" s="161"/>
      <c r="BJ636" s="161"/>
      <c r="BK636" s="161"/>
      <c r="BL636" s="161"/>
      <c r="BM636" s="161"/>
      <c r="BN636" s="161"/>
      <c r="BO636" s="161"/>
      <c r="BP636" s="161"/>
      <c r="BQ636" s="161"/>
      <c r="BR636" s="161"/>
      <c r="BS636" s="161"/>
      <c r="BT636" s="161"/>
      <c r="BU636" s="161"/>
      <c r="BV636" s="161"/>
      <c r="BW636" s="161"/>
      <c r="BX636" s="161"/>
      <c r="BY636" s="161"/>
    </row>
    <row r="637" spans="1:77">
      <c r="A637" s="162"/>
      <c r="B637" s="162"/>
      <c r="C637" s="162"/>
      <c r="D637" s="162"/>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c r="AC637" s="162"/>
      <c r="AD637" s="162"/>
      <c r="AE637" s="162"/>
      <c r="AF637" s="162"/>
      <c r="AG637" s="162"/>
      <c r="AH637" s="162"/>
      <c r="AI637" s="162"/>
      <c r="AJ637" s="162"/>
      <c r="AK637" s="162"/>
      <c r="AL637" s="162"/>
      <c r="AM637" s="162"/>
      <c r="AN637" s="162"/>
      <c r="AO637" s="162"/>
      <c r="AP637" s="162"/>
      <c r="AQ637" s="162"/>
      <c r="AR637" s="162"/>
      <c r="AS637" s="162"/>
      <c r="AT637" s="161"/>
      <c r="AU637" s="161"/>
      <c r="AV637" s="161"/>
      <c r="AW637" s="161"/>
      <c r="AX637" s="161"/>
      <c r="AY637" s="161"/>
      <c r="AZ637" s="161"/>
      <c r="BA637" s="161"/>
      <c r="BB637" s="161"/>
      <c r="BC637" s="161"/>
      <c r="BD637" s="161"/>
      <c r="BE637" s="161"/>
      <c r="BF637" s="161"/>
      <c r="BG637" s="161"/>
      <c r="BH637" s="161"/>
      <c r="BI637" s="161"/>
      <c r="BJ637" s="161"/>
      <c r="BK637" s="161"/>
      <c r="BL637" s="161"/>
      <c r="BM637" s="161"/>
      <c r="BN637" s="161"/>
      <c r="BO637" s="161"/>
      <c r="BP637" s="161"/>
      <c r="BQ637" s="161"/>
      <c r="BR637" s="161"/>
      <c r="BS637" s="161"/>
      <c r="BT637" s="161"/>
      <c r="BU637" s="161"/>
      <c r="BV637" s="161"/>
      <c r="BW637" s="161"/>
      <c r="BX637" s="161"/>
      <c r="BY637" s="161"/>
    </row>
    <row r="638" spans="1:77">
      <c r="A638" s="162"/>
      <c r="B638" s="162"/>
      <c r="C638" s="162"/>
      <c r="D638" s="162"/>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c r="AC638" s="162"/>
      <c r="AD638" s="162"/>
      <c r="AE638" s="162"/>
      <c r="AF638" s="162"/>
      <c r="AG638" s="162"/>
      <c r="AH638" s="162"/>
      <c r="AI638" s="162"/>
      <c r="AJ638" s="162"/>
      <c r="AK638" s="162"/>
      <c r="AL638" s="162"/>
      <c r="AM638" s="162"/>
      <c r="AN638" s="162"/>
      <c r="AO638" s="162"/>
      <c r="AP638" s="162"/>
      <c r="AQ638" s="162"/>
      <c r="AR638" s="162"/>
      <c r="AS638" s="162"/>
      <c r="AT638" s="161"/>
      <c r="AU638" s="161"/>
      <c r="AV638" s="161"/>
      <c r="AW638" s="161"/>
      <c r="AX638" s="161"/>
      <c r="AY638" s="161"/>
      <c r="AZ638" s="161"/>
      <c r="BA638" s="161"/>
      <c r="BB638" s="161"/>
      <c r="BC638" s="161"/>
      <c r="BD638" s="161"/>
      <c r="BE638" s="161"/>
      <c r="BF638" s="161"/>
      <c r="BG638" s="161"/>
      <c r="BH638" s="161"/>
      <c r="BI638" s="161"/>
      <c r="BJ638" s="161"/>
      <c r="BK638" s="161"/>
      <c r="BL638" s="161"/>
      <c r="BM638" s="161"/>
      <c r="BN638" s="161"/>
      <c r="BO638" s="161"/>
      <c r="BP638" s="161"/>
      <c r="BQ638" s="161"/>
      <c r="BR638" s="161"/>
      <c r="BS638" s="161"/>
      <c r="BT638" s="161"/>
      <c r="BU638" s="161"/>
      <c r="BV638" s="161"/>
      <c r="BW638" s="161"/>
      <c r="BX638" s="161"/>
      <c r="BY638" s="161"/>
    </row>
    <row r="639" spans="1:77">
      <c r="A639" s="162"/>
      <c r="B639" s="162"/>
      <c r="C639" s="162"/>
      <c r="D639" s="162"/>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c r="AC639" s="162"/>
      <c r="AD639" s="162"/>
      <c r="AE639" s="162"/>
      <c r="AF639" s="162"/>
      <c r="AG639" s="162"/>
      <c r="AH639" s="162"/>
      <c r="AI639" s="162"/>
      <c r="AJ639" s="162"/>
      <c r="AK639" s="162"/>
      <c r="AL639" s="162"/>
      <c r="AM639" s="162"/>
      <c r="AN639" s="162"/>
      <c r="AO639" s="162"/>
      <c r="AP639" s="162"/>
      <c r="AQ639" s="162"/>
      <c r="AR639" s="162"/>
      <c r="AS639" s="162"/>
      <c r="AT639" s="161"/>
      <c r="AU639" s="161"/>
      <c r="AV639" s="161"/>
      <c r="AW639" s="161"/>
      <c r="AX639" s="161"/>
      <c r="AY639" s="161"/>
      <c r="AZ639" s="161"/>
      <c r="BA639" s="161"/>
      <c r="BB639" s="161"/>
      <c r="BC639" s="161"/>
      <c r="BD639" s="161"/>
      <c r="BE639" s="161"/>
      <c r="BF639" s="161"/>
      <c r="BG639" s="161"/>
      <c r="BH639" s="161"/>
      <c r="BI639" s="161"/>
      <c r="BJ639" s="161"/>
      <c r="BK639" s="161"/>
      <c r="BL639" s="161"/>
      <c r="BM639" s="161"/>
      <c r="BN639" s="161"/>
      <c r="BO639" s="161"/>
      <c r="BP639" s="161"/>
      <c r="BQ639" s="161"/>
      <c r="BR639" s="161"/>
      <c r="BS639" s="161"/>
      <c r="BT639" s="161"/>
      <c r="BU639" s="161"/>
      <c r="BV639" s="161"/>
      <c r="BW639" s="161"/>
      <c r="BX639" s="161"/>
      <c r="BY639" s="161"/>
    </row>
    <row r="640" spans="1:77">
      <c r="A640" s="162"/>
      <c r="B640" s="162"/>
      <c r="C640" s="162"/>
      <c r="D640" s="162"/>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c r="AC640" s="162"/>
      <c r="AD640" s="162"/>
      <c r="AE640" s="162"/>
      <c r="AF640" s="162"/>
      <c r="AG640" s="162"/>
      <c r="AH640" s="162"/>
      <c r="AI640" s="162"/>
      <c r="AJ640" s="162"/>
      <c r="AK640" s="162"/>
      <c r="AL640" s="162"/>
      <c r="AM640" s="162"/>
      <c r="AN640" s="162"/>
      <c r="AO640" s="162"/>
      <c r="AP640" s="162"/>
      <c r="AQ640" s="162"/>
      <c r="AR640" s="162"/>
      <c r="AS640" s="162"/>
      <c r="AT640" s="161"/>
      <c r="AU640" s="161"/>
      <c r="AV640" s="161"/>
      <c r="AW640" s="161"/>
      <c r="AX640" s="161"/>
      <c r="AY640" s="161"/>
      <c r="AZ640" s="161"/>
      <c r="BA640" s="161"/>
      <c r="BB640" s="161"/>
      <c r="BC640" s="161"/>
      <c r="BD640" s="161"/>
      <c r="BE640" s="161"/>
      <c r="BF640" s="161"/>
      <c r="BG640" s="161"/>
      <c r="BH640" s="161"/>
      <c r="BI640" s="161"/>
      <c r="BJ640" s="161"/>
      <c r="BK640" s="161"/>
      <c r="BL640" s="161"/>
      <c r="BM640" s="161"/>
      <c r="BN640" s="161"/>
      <c r="BO640" s="161"/>
      <c r="BP640" s="161"/>
      <c r="BQ640" s="161"/>
      <c r="BR640" s="161"/>
      <c r="BS640" s="161"/>
      <c r="BT640" s="161"/>
      <c r="BU640" s="161"/>
      <c r="BV640" s="161"/>
      <c r="BW640" s="161"/>
      <c r="BX640" s="161"/>
      <c r="BY640" s="161"/>
    </row>
    <row r="641" spans="1:77">
      <c r="A641" s="162"/>
      <c r="B641" s="162"/>
      <c r="C641" s="162"/>
      <c r="D641" s="162"/>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c r="AC641" s="162"/>
      <c r="AD641" s="162"/>
      <c r="AE641" s="162"/>
      <c r="AF641" s="162"/>
      <c r="AG641" s="162"/>
      <c r="AH641" s="162"/>
      <c r="AI641" s="162"/>
      <c r="AJ641" s="162"/>
      <c r="AK641" s="162"/>
      <c r="AL641" s="162"/>
      <c r="AM641" s="162"/>
      <c r="AN641" s="162"/>
      <c r="AO641" s="162"/>
      <c r="AP641" s="162"/>
      <c r="AQ641" s="162"/>
      <c r="AR641" s="162"/>
      <c r="AS641" s="162"/>
      <c r="AT641" s="161"/>
      <c r="AU641" s="161"/>
      <c r="AV641" s="161"/>
      <c r="AW641" s="161"/>
      <c r="AX641" s="161"/>
      <c r="AY641" s="161"/>
      <c r="AZ641" s="161"/>
      <c r="BA641" s="161"/>
      <c r="BB641" s="161"/>
      <c r="BC641" s="161"/>
      <c r="BD641" s="161"/>
      <c r="BE641" s="161"/>
      <c r="BF641" s="161"/>
      <c r="BG641" s="161"/>
      <c r="BH641" s="161"/>
      <c r="BI641" s="161"/>
      <c r="BJ641" s="161"/>
      <c r="BK641" s="161"/>
      <c r="BL641" s="161"/>
      <c r="BM641" s="161"/>
      <c r="BN641" s="161"/>
      <c r="BO641" s="161"/>
      <c r="BP641" s="161"/>
      <c r="BQ641" s="161"/>
      <c r="BR641" s="161"/>
      <c r="BS641" s="161"/>
      <c r="BT641" s="161"/>
      <c r="BU641" s="161"/>
      <c r="BV641" s="161"/>
      <c r="BW641" s="161"/>
      <c r="BX641" s="161"/>
      <c r="BY641" s="161"/>
    </row>
    <row r="642" spans="1:77">
      <c r="A642" s="162"/>
      <c r="B642" s="162"/>
      <c r="C642" s="162"/>
      <c r="D642" s="162"/>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c r="AC642" s="162"/>
      <c r="AD642" s="162"/>
      <c r="AE642" s="162"/>
      <c r="AF642" s="162"/>
      <c r="AG642" s="162"/>
      <c r="AH642" s="162"/>
      <c r="AI642" s="162"/>
      <c r="AJ642" s="162"/>
      <c r="AK642" s="162"/>
      <c r="AL642" s="162"/>
      <c r="AM642" s="162"/>
      <c r="AN642" s="162"/>
      <c r="AO642" s="162"/>
      <c r="AP642" s="162"/>
      <c r="AQ642" s="162"/>
      <c r="AR642" s="162"/>
      <c r="AS642" s="162"/>
      <c r="AT642" s="161"/>
      <c r="AU642" s="161"/>
      <c r="AV642" s="161"/>
      <c r="AW642" s="161"/>
      <c r="AX642" s="161"/>
      <c r="AY642" s="161"/>
      <c r="AZ642" s="161"/>
      <c r="BA642" s="161"/>
      <c r="BB642" s="161"/>
      <c r="BC642" s="161"/>
      <c r="BD642" s="161"/>
      <c r="BE642" s="161"/>
      <c r="BF642" s="161"/>
      <c r="BG642" s="161"/>
      <c r="BH642" s="161"/>
      <c r="BI642" s="161"/>
      <c r="BJ642" s="161"/>
      <c r="BK642" s="161"/>
      <c r="BL642" s="161"/>
      <c r="BM642" s="161"/>
      <c r="BN642" s="161"/>
      <c r="BO642" s="161"/>
      <c r="BP642" s="161"/>
      <c r="BQ642" s="161"/>
      <c r="BR642" s="161"/>
      <c r="BS642" s="161"/>
      <c r="BT642" s="161"/>
      <c r="BU642" s="161"/>
      <c r="BV642" s="161"/>
      <c r="BW642" s="161"/>
      <c r="BX642" s="161"/>
      <c r="BY642" s="161"/>
    </row>
    <row r="643" spans="1:77">
      <c r="A643" s="162"/>
      <c r="B643" s="162"/>
      <c r="C643" s="162"/>
      <c r="D643" s="162"/>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c r="AC643" s="162"/>
      <c r="AD643" s="162"/>
      <c r="AE643" s="162"/>
      <c r="AF643" s="162"/>
      <c r="AG643" s="162"/>
      <c r="AH643" s="162"/>
      <c r="AI643" s="162"/>
      <c r="AJ643" s="162"/>
      <c r="AK643" s="162"/>
      <c r="AL643" s="162"/>
      <c r="AM643" s="162"/>
      <c r="AN643" s="162"/>
      <c r="AO643" s="162"/>
      <c r="AP643" s="162"/>
      <c r="AQ643" s="162"/>
      <c r="AR643" s="162"/>
      <c r="AS643" s="162"/>
      <c r="AT643" s="161"/>
      <c r="AU643" s="161"/>
      <c r="AV643" s="161"/>
      <c r="AW643" s="161"/>
      <c r="AX643" s="161"/>
      <c r="AY643" s="161"/>
      <c r="AZ643" s="161"/>
      <c r="BA643" s="161"/>
      <c r="BB643" s="161"/>
      <c r="BC643" s="161"/>
      <c r="BD643" s="161"/>
      <c r="BE643" s="161"/>
      <c r="BF643" s="161"/>
      <c r="BG643" s="161"/>
      <c r="BH643" s="161"/>
      <c r="BI643" s="161"/>
      <c r="BJ643" s="161"/>
      <c r="BK643" s="161"/>
      <c r="BL643" s="161"/>
      <c r="BM643" s="161"/>
      <c r="BN643" s="161"/>
      <c r="BO643" s="161"/>
      <c r="BP643" s="161"/>
      <c r="BQ643" s="161"/>
      <c r="BR643" s="161"/>
      <c r="BS643" s="161"/>
      <c r="BT643" s="161"/>
      <c r="BU643" s="161"/>
      <c r="BV643" s="161"/>
      <c r="BW643" s="161"/>
      <c r="BX643" s="161"/>
      <c r="BY643" s="161"/>
    </row>
    <row r="644" spans="1:77">
      <c r="A644" s="162"/>
      <c r="B644" s="162"/>
      <c r="C644" s="162"/>
      <c r="D644" s="162"/>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c r="AC644" s="162"/>
      <c r="AD644" s="162"/>
      <c r="AE644" s="162"/>
      <c r="AF644" s="162"/>
      <c r="AG644" s="162"/>
      <c r="AH644" s="162"/>
      <c r="AI644" s="162"/>
      <c r="AJ644" s="162"/>
      <c r="AK644" s="162"/>
      <c r="AL644" s="162"/>
      <c r="AM644" s="162"/>
      <c r="AN644" s="162"/>
      <c r="AO644" s="162"/>
      <c r="AP644" s="162"/>
      <c r="AQ644" s="162"/>
      <c r="AR644" s="162"/>
      <c r="AS644" s="162"/>
      <c r="AT644" s="161"/>
      <c r="AU644" s="161"/>
      <c r="AV644" s="161"/>
      <c r="AW644" s="161"/>
      <c r="AX644" s="161"/>
      <c r="AY644" s="161"/>
      <c r="AZ644" s="161"/>
      <c r="BA644" s="161"/>
      <c r="BB644" s="161"/>
      <c r="BC644" s="161"/>
      <c r="BD644" s="161"/>
      <c r="BE644" s="161"/>
      <c r="BF644" s="161"/>
      <c r="BG644" s="161"/>
      <c r="BH644" s="161"/>
      <c r="BI644" s="161"/>
      <c r="BJ644" s="161"/>
      <c r="BK644" s="161"/>
      <c r="BL644" s="161"/>
      <c r="BM644" s="161"/>
      <c r="BN644" s="161"/>
      <c r="BO644" s="161"/>
      <c r="BP644" s="161"/>
      <c r="BQ644" s="161"/>
      <c r="BR644" s="161"/>
      <c r="BS644" s="161"/>
      <c r="BT644" s="161"/>
      <c r="BU644" s="161"/>
      <c r="BV644" s="161"/>
      <c r="BW644" s="161"/>
      <c r="BX644" s="161"/>
      <c r="BY644" s="161"/>
    </row>
    <row r="645" spans="1:77">
      <c r="A645" s="162"/>
      <c r="B645" s="162"/>
      <c r="C645" s="162"/>
      <c r="D645" s="162"/>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c r="AC645" s="162"/>
      <c r="AD645" s="162"/>
      <c r="AE645" s="162"/>
      <c r="AF645" s="162"/>
      <c r="AG645" s="162"/>
      <c r="AH645" s="162"/>
      <c r="AI645" s="162"/>
      <c r="AJ645" s="162"/>
      <c r="AK645" s="162"/>
      <c r="AL645" s="162"/>
      <c r="AM645" s="162"/>
      <c r="AN645" s="162"/>
      <c r="AO645" s="162"/>
      <c r="AP645" s="162"/>
      <c r="AQ645" s="162"/>
      <c r="AR645" s="162"/>
      <c r="AS645" s="162"/>
      <c r="AT645" s="161"/>
      <c r="AU645" s="161"/>
      <c r="AV645" s="161"/>
      <c r="AW645" s="161"/>
      <c r="AX645" s="161"/>
      <c r="AY645" s="161"/>
      <c r="AZ645" s="161"/>
      <c r="BA645" s="161"/>
      <c r="BB645" s="161"/>
      <c r="BC645" s="161"/>
      <c r="BD645" s="161"/>
      <c r="BE645" s="161"/>
      <c r="BF645" s="161"/>
      <c r="BG645" s="161"/>
      <c r="BH645" s="161"/>
      <c r="BI645" s="161"/>
      <c r="BJ645" s="161"/>
      <c r="BK645" s="161"/>
      <c r="BL645" s="161"/>
      <c r="BM645" s="161"/>
      <c r="BN645" s="161"/>
      <c r="BO645" s="161"/>
      <c r="BP645" s="161"/>
      <c r="BQ645" s="161"/>
      <c r="BR645" s="161"/>
      <c r="BS645" s="161"/>
      <c r="BT645" s="161"/>
      <c r="BU645" s="161"/>
      <c r="BV645" s="161"/>
      <c r="BW645" s="161"/>
      <c r="BX645" s="161"/>
      <c r="BY645" s="161"/>
    </row>
    <row r="646" spans="1:77">
      <c r="A646" s="162"/>
      <c r="B646" s="162"/>
      <c r="C646" s="162"/>
      <c r="D646" s="162"/>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c r="AC646" s="162"/>
      <c r="AD646" s="162"/>
      <c r="AE646" s="162"/>
      <c r="AF646" s="162"/>
      <c r="AG646" s="162"/>
      <c r="AH646" s="162"/>
      <c r="AI646" s="162"/>
      <c r="AJ646" s="162"/>
      <c r="AK646" s="162"/>
      <c r="AL646" s="162"/>
      <c r="AM646" s="162"/>
      <c r="AN646" s="162"/>
      <c r="AO646" s="162"/>
      <c r="AP646" s="162"/>
      <c r="AQ646" s="162"/>
      <c r="AR646" s="162"/>
      <c r="AS646" s="162"/>
      <c r="AT646" s="161"/>
      <c r="AU646" s="161"/>
      <c r="AV646" s="161"/>
      <c r="AW646" s="161"/>
      <c r="AX646" s="161"/>
      <c r="AY646" s="161"/>
      <c r="AZ646" s="161"/>
      <c r="BA646" s="161"/>
      <c r="BB646" s="161"/>
      <c r="BC646" s="161"/>
      <c r="BD646" s="161"/>
      <c r="BE646" s="161"/>
      <c r="BF646" s="161"/>
      <c r="BG646" s="161"/>
      <c r="BH646" s="161"/>
      <c r="BI646" s="161"/>
      <c r="BJ646" s="161"/>
      <c r="BK646" s="161"/>
      <c r="BL646" s="161"/>
      <c r="BM646" s="161"/>
      <c r="BN646" s="161"/>
      <c r="BO646" s="161"/>
      <c r="BP646" s="161"/>
      <c r="BQ646" s="161"/>
      <c r="BR646" s="161"/>
      <c r="BS646" s="161"/>
      <c r="BT646" s="161"/>
      <c r="BU646" s="161"/>
      <c r="BV646" s="161"/>
      <c r="BW646" s="161"/>
      <c r="BX646" s="161"/>
      <c r="BY646" s="161"/>
    </row>
    <row r="647" spans="1:77">
      <c r="A647" s="162"/>
      <c r="B647" s="162"/>
      <c r="C647" s="162"/>
      <c r="D647" s="162"/>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c r="AC647" s="162"/>
      <c r="AD647" s="162"/>
      <c r="AE647" s="162"/>
      <c r="AF647" s="162"/>
      <c r="AG647" s="162"/>
      <c r="AH647" s="162"/>
      <c r="AI647" s="162"/>
      <c r="AJ647" s="162"/>
      <c r="AK647" s="162"/>
      <c r="AL647" s="162"/>
      <c r="AM647" s="162"/>
      <c r="AN647" s="162"/>
      <c r="AO647" s="162"/>
      <c r="AP647" s="162"/>
      <c r="AQ647" s="162"/>
      <c r="AR647" s="162"/>
      <c r="AS647" s="162"/>
      <c r="AT647" s="161"/>
      <c r="AU647" s="161"/>
      <c r="AV647" s="161"/>
      <c r="AW647" s="161"/>
      <c r="AX647" s="161"/>
      <c r="AY647" s="161"/>
      <c r="AZ647" s="161"/>
      <c r="BA647" s="161"/>
      <c r="BB647" s="161"/>
      <c r="BC647" s="161"/>
      <c r="BD647" s="161"/>
      <c r="BE647" s="161"/>
      <c r="BF647" s="161"/>
      <c r="BG647" s="161"/>
      <c r="BH647" s="161"/>
      <c r="BI647" s="161"/>
      <c r="BJ647" s="161"/>
      <c r="BK647" s="161"/>
      <c r="BL647" s="161"/>
      <c r="BM647" s="161"/>
      <c r="BN647" s="161"/>
      <c r="BO647" s="161"/>
      <c r="BP647" s="161"/>
      <c r="BQ647" s="161"/>
      <c r="BR647" s="161"/>
      <c r="BS647" s="161"/>
      <c r="BT647" s="161"/>
      <c r="BU647" s="161"/>
      <c r="BV647" s="161"/>
      <c r="BW647" s="161"/>
      <c r="BX647" s="161"/>
      <c r="BY647" s="161"/>
    </row>
    <row r="648" spans="1:77">
      <c r="A648" s="162"/>
      <c r="B648" s="162"/>
      <c r="C648" s="162"/>
      <c r="D648" s="162"/>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c r="AC648" s="162"/>
      <c r="AD648" s="162"/>
      <c r="AE648" s="162"/>
      <c r="AF648" s="162"/>
      <c r="AG648" s="162"/>
      <c r="AH648" s="162"/>
      <c r="AI648" s="162"/>
      <c r="AJ648" s="162"/>
      <c r="AK648" s="162"/>
      <c r="AL648" s="162"/>
      <c r="AM648" s="162"/>
      <c r="AN648" s="162"/>
      <c r="AO648" s="162"/>
      <c r="AP648" s="162"/>
      <c r="AQ648" s="162"/>
      <c r="AR648" s="162"/>
      <c r="AS648" s="162"/>
      <c r="AT648" s="161"/>
      <c r="AU648" s="161"/>
      <c r="AV648" s="161"/>
      <c r="AW648" s="161"/>
      <c r="AX648" s="161"/>
      <c r="AY648" s="161"/>
      <c r="AZ648" s="161"/>
      <c r="BA648" s="161"/>
      <c r="BB648" s="161"/>
      <c r="BC648" s="161"/>
      <c r="BD648" s="161"/>
      <c r="BE648" s="161"/>
      <c r="BF648" s="161"/>
      <c r="BG648" s="161"/>
      <c r="BH648" s="161"/>
      <c r="BI648" s="161"/>
      <c r="BJ648" s="161"/>
      <c r="BK648" s="161"/>
      <c r="BL648" s="161"/>
      <c r="BM648" s="161"/>
      <c r="BN648" s="161"/>
      <c r="BO648" s="161"/>
      <c r="BP648" s="161"/>
      <c r="BQ648" s="161"/>
      <c r="BR648" s="161"/>
      <c r="BS648" s="161"/>
      <c r="BT648" s="161"/>
      <c r="BU648" s="161"/>
      <c r="BV648" s="161"/>
      <c r="BW648" s="161"/>
      <c r="BX648" s="161"/>
      <c r="BY648" s="161"/>
    </row>
    <row r="649" spans="1:77">
      <c r="A649" s="162"/>
      <c r="B649" s="162"/>
      <c r="C649" s="162"/>
      <c r="D649" s="162"/>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c r="AC649" s="162"/>
      <c r="AD649" s="162"/>
      <c r="AE649" s="162"/>
      <c r="AF649" s="162"/>
      <c r="AG649" s="162"/>
      <c r="AH649" s="162"/>
      <c r="AI649" s="162"/>
      <c r="AJ649" s="162"/>
      <c r="AK649" s="162"/>
      <c r="AL649" s="162"/>
      <c r="AM649" s="162"/>
      <c r="AN649" s="162"/>
      <c r="AO649" s="162"/>
      <c r="AP649" s="162"/>
      <c r="AQ649" s="162"/>
      <c r="AR649" s="162"/>
      <c r="AS649" s="162"/>
      <c r="AT649" s="161"/>
      <c r="AU649" s="161"/>
      <c r="AV649" s="161"/>
      <c r="AW649" s="161"/>
      <c r="AX649" s="161"/>
      <c r="AY649" s="161"/>
      <c r="AZ649" s="161"/>
      <c r="BA649" s="161"/>
      <c r="BB649" s="161"/>
      <c r="BC649" s="161"/>
      <c r="BD649" s="161"/>
      <c r="BE649" s="161"/>
      <c r="BF649" s="161"/>
      <c r="BG649" s="161"/>
      <c r="BH649" s="161"/>
      <c r="BI649" s="161"/>
      <c r="BJ649" s="161"/>
      <c r="BK649" s="161"/>
      <c r="BL649" s="161"/>
      <c r="BM649" s="161"/>
      <c r="BN649" s="161"/>
      <c r="BO649" s="161"/>
      <c r="BP649" s="161"/>
      <c r="BQ649" s="161"/>
      <c r="BR649" s="161"/>
      <c r="BS649" s="161"/>
      <c r="BT649" s="161"/>
      <c r="BU649" s="161"/>
      <c r="BV649" s="161"/>
      <c r="BW649" s="161"/>
      <c r="BX649" s="161"/>
      <c r="BY649" s="161"/>
    </row>
    <row r="650" spans="1:77">
      <c r="A650" s="162"/>
      <c r="B650" s="162"/>
      <c r="C650" s="162"/>
      <c r="D650" s="162"/>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c r="AC650" s="162"/>
      <c r="AD650" s="162"/>
      <c r="AE650" s="162"/>
      <c r="AF650" s="162"/>
      <c r="AG650" s="162"/>
      <c r="AH650" s="162"/>
      <c r="AI650" s="162"/>
      <c r="AJ650" s="162"/>
      <c r="AK650" s="162"/>
      <c r="AL650" s="162"/>
      <c r="AM650" s="162"/>
      <c r="AN650" s="162"/>
      <c r="AO650" s="162"/>
      <c r="AP650" s="162"/>
      <c r="AQ650" s="162"/>
      <c r="AR650" s="162"/>
      <c r="AS650" s="162"/>
      <c r="AT650" s="161"/>
      <c r="AU650" s="161"/>
      <c r="AV650" s="161"/>
      <c r="AW650" s="161"/>
      <c r="AX650" s="161"/>
      <c r="AY650" s="161"/>
      <c r="AZ650" s="161"/>
      <c r="BA650" s="161"/>
      <c r="BB650" s="161"/>
      <c r="BC650" s="161"/>
      <c r="BD650" s="161"/>
      <c r="BE650" s="161"/>
      <c r="BF650" s="161"/>
      <c r="BG650" s="161"/>
      <c r="BH650" s="161"/>
      <c r="BI650" s="161"/>
      <c r="BJ650" s="161"/>
      <c r="BK650" s="161"/>
      <c r="BL650" s="161"/>
      <c r="BM650" s="161"/>
      <c r="BN650" s="161"/>
      <c r="BO650" s="161"/>
      <c r="BP650" s="161"/>
      <c r="BQ650" s="161"/>
      <c r="BR650" s="161"/>
      <c r="BS650" s="161"/>
      <c r="BT650" s="161"/>
      <c r="BU650" s="161"/>
      <c r="BV650" s="161"/>
      <c r="BW650" s="161"/>
      <c r="BX650" s="161"/>
      <c r="BY650" s="161"/>
    </row>
    <row r="651" spans="1:77">
      <c r="A651" s="162"/>
      <c r="B651" s="162"/>
      <c r="C651" s="162"/>
      <c r="D651" s="162"/>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c r="AC651" s="162"/>
      <c r="AD651" s="162"/>
      <c r="AE651" s="162"/>
      <c r="AF651" s="162"/>
      <c r="AG651" s="162"/>
      <c r="AH651" s="162"/>
      <c r="AI651" s="162"/>
      <c r="AJ651" s="162"/>
      <c r="AK651" s="162"/>
      <c r="AL651" s="162"/>
      <c r="AM651" s="162"/>
      <c r="AN651" s="162"/>
      <c r="AO651" s="162"/>
      <c r="AP651" s="162"/>
      <c r="AQ651" s="162"/>
      <c r="AR651" s="162"/>
      <c r="AS651" s="162"/>
      <c r="AT651" s="161"/>
      <c r="AU651" s="161"/>
      <c r="AV651" s="161"/>
      <c r="AW651" s="161"/>
      <c r="AX651" s="161"/>
      <c r="AY651" s="161"/>
      <c r="AZ651" s="161"/>
      <c r="BA651" s="161"/>
      <c r="BB651" s="161"/>
      <c r="BC651" s="161"/>
      <c r="BD651" s="161"/>
      <c r="BE651" s="161"/>
      <c r="BF651" s="161"/>
      <c r="BG651" s="161"/>
      <c r="BH651" s="161"/>
      <c r="BI651" s="161"/>
      <c r="BJ651" s="161"/>
      <c r="BK651" s="161"/>
      <c r="BL651" s="161"/>
      <c r="BM651" s="161"/>
      <c r="BN651" s="161"/>
      <c r="BO651" s="161"/>
      <c r="BP651" s="161"/>
      <c r="BQ651" s="161"/>
      <c r="BR651" s="161"/>
      <c r="BS651" s="161"/>
      <c r="BT651" s="161"/>
      <c r="BU651" s="161"/>
      <c r="BV651" s="161"/>
      <c r="BW651" s="161"/>
      <c r="BX651" s="161"/>
      <c r="BY651" s="161"/>
    </row>
    <row r="652" spans="1:77">
      <c r="A652" s="162"/>
      <c r="B652" s="162"/>
      <c r="C652" s="162"/>
      <c r="D652" s="162"/>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c r="AC652" s="162"/>
      <c r="AD652" s="162"/>
      <c r="AE652" s="162"/>
      <c r="AF652" s="162"/>
      <c r="AG652" s="162"/>
      <c r="AH652" s="162"/>
      <c r="AI652" s="162"/>
      <c r="AJ652" s="162"/>
      <c r="AK652" s="162"/>
      <c r="AL652" s="162"/>
      <c r="AM652" s="162"/>
      <c r="AN652" s="162"/>
      <c r="AO652" s="162"/>
      <c r="AP652" s="162"/>
      <c r="AQ652" s="162"/>
      <c r="AR652" s="162"/>
      <c r="AS652" s="162"/>
      <c r="AT652" s="161"/>
      <c r="AU652" s="161"/>
      <c r="AV652" s="161"/>
      <c r="AW652" s="161"/>
      <c r="AX652" s="161"/>
      <c r="AY652" s="161"/>
      <c r="AZ652" s="161"/>
      <c r="BA652" s="161"/>
      <c r="BB652" s="161"/>
      <c r="BC652" s="161"/>
      <c r="BD652" s="161"/>
      <c r="BE652" s="161"/>
      <c r="BF652" s="161"/>
      <c r="BG652" s="161"/>
      <c r="BH652" s="161"/>
      <c r="BI652" s="161"/>
      <c r="BJ652" s="161"/>
      <c r="BK652" s="161"/>
      <c r="BL652" s="161"/>
      <c r="BM652" s="161"/>
      <c r="BN652" s="161"/>
      <c r="BO652" s="161"/>
      <c r="BP652" s="161"/>
      <c r="BQ652" s="161"/>
      <c r="BR652" s="161"/>
      <c r="BS652" s="161"/>
      <c r="BT652" s="161"/>
      <c r="BU652" s="161"/>
      <c r="BV652" s="161"/>
      <c r="BW652" s="161"/>
      <c r="BX652" s="161"/>
      <c r="BY652" s="161"/>
    </row>
    <row r="653" spans="1:77">
      <c r="A653" s="162"/>
      <c r="B653" s="162"/>
      <c r="C653" s="162"/>
      <c r="D653" s="162"/>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c r="AC653" s="162"/>
      <c r="AD653" s="162"/>
      <c r="AE653" s="162"/>
      <c r="AF653" s="162"/>
      <c r="AG653" s="162"/>
      <c r="AH653" s="162"/>
      <c r="AI653" s="162"/>
      <c r="AJ653" s="162"/>
      <c r="AK653" s="162"/>
      <c r="AL653" s="162"/>
      <c r="AM653" s="162"/>
      <c r="AN653" s="162"/>
      <c r="AO653" s="162"/>
      <c r="AP653" s="162"/>
      <c r="AQ653" s="162"/>
      <c r="AR653" s="162"/>
      <c r="AS653" s="162"/>
      <c r="AT653" s="161"/>
      <c r="AU653" s="161"/>
      <c r="AV653" s="161"/>
      <c r="AW653" s="161"/>
      <c r="AX653" s="161"/>
      <c r="AY653" s="161"/>
      <c r="AZ653" s="161"/>
      <c r="BA653" s="161"/>
      <c r="BB653" s="161"/>
      <c r="BC653" s="161"/>
      <c r="BD653" s="161"/>
      <c r="BE653" s="161"/>
      <c r="BF653" s="161"/>
      <c r="BG653" s="161"/>
      <c r="BH653" s="161"/>
      <c r="BI653" s="161"/>
      <c r="BJ653" s="161"/>
      <c r="BK653" s="161"/>
      <c r="BL653" s="161"/>
      <c r="BM653" s="161"/>
      <c r="BN653" s="161"/>
      <c r="BO653" s="161"/>
      <c r="BP653" s="161"/>
      <c r="BQ653" s="161"/>
      <c r="BR653" s="161"/>
      <c r="BS653" s="161"/>
      <c r="BT653" s="161"/>
      <c r="BU653" s="161"/>
      <c r="BV653" s="161"/>
      <c r="BW653" s="161"/>
      <c r="BX653" s="161"/>
      <c r="BY653" s="161"/>
    </row>
    <row r="654" spans="1:77">
      <c r="A654" s="162"/>
      <c r="B654" s="162"/>
      <c r="C654" s="162"/>
      <c r="D654" s="162"/>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c r="AC654" s="162"/>
      <c r="AD654" s="162"/>
      <c r="AE654" s="162"/>
      <c r="AF654" s="162"/>
      <c r="AG654" s="162"/>
      <c r="AH654" s="162"/>
      <c r="AI654" s="162"/>
      <c r="AJ654" s="162"/>
      <c r="AK654" s="162"/>
      <c r="AL654" s="162"/>
      <c r="AM654" s="162"/>
      <c r="AN654" s="162"/>
      <c r="AO654" s="162"/>
      <c r="AP654" s="162"/>
      <c r="AQ654" s="162"/>
      <c r="AR654" s="162"/>
      <c r="AS654" s="162"/>
      <c r="AT654" s="161"/>
      <c r="AU654" s="161"/>
      <c r="AV654" s="161"/>
      <c r="AW654" s="161"/>
      <c r="AX654" s="161"/>
      <c r="AY654" s="161"/>
      <c r="AZ654" s="161"/>
      <c r="BA654" s="161"/>
      <c r="BB654" s="161"/>
      <c r="BC654" s="161"/>
      <c r="BD654" s="161"/>
      <c r="BE654" s="161"/>
      <c r="BF654" s="161"/>
      <c r="BG654" s="161"/>
      <c r="BH654" s="161"/>
      <c r="BI654" s="161"/>
      <c r="BJ654" s="161"/>
      <c r="BK654" s="161"/>
      <c r="BL654" s="161"/>
      <c r="BM654" s="161"/>
      <c r="BN654" s="161"/>
      <c r="BO654" s="161"/>
      <c r="BP654" s="161"/>
      <c r="BQ654" s="161"/>
      <c r="BR654" s="161"/>
      <c r="BS654" s="161"/>
      <c r="BT654" s="161"/>
      <c r="BU654" s="161"/>
      <c r="BV654" s="161"/>
      <c r="BW654" s="161"/>
      <c r="BX654" s="161"/>
      <c r="BY654" s="161"/>
    </row>
    <row r="655" spans="1:77">
      <c r="A655" s="162"/>
      <c r="B655" s="162"/>
      <c r="C655" s="162"/>
      <c r="D655" s="162"/>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c r="AC655" s="162"/>
      <c r="AD655" s="162"/>
      <c r="AE655" s="162"/>
      <c r="AF655" s="162"/>
      <c r="AG655" s="162"/>
      <c r="AH655" s="162"/>
      <c r="AI655" s="162"/>
      <c r="AJ655" s="162"/>
      <c r="AK655" s="162"/>
      <c r="AL655" s="162"/>
      <c r="AM655" s="162"/>
      <c r="AN655" s="162"/>
      <c r="AO655" s="162"/>
      <c r="AP655" s="162"/>
      <c r="AQ655" s="162"/>
      <c r="AR655" s="162"/>
      <c r="AS655" s="162"/>
      <c r="AT655" s="161"/>
      <c r="AU655" s="161"/>
      <c r="AV655" s="161"/>
      <c r="AW655" s="161"/>
      <c r="AX655" s="161"/>
      <c r="AY655" s="161"/>
      <c r="AZ655" s="161"/>
      <c r="BA655" s="161"/>
      <c r="BB655" s="161"/>
      <c r="BC655" s="161"/>
      <c r="BD655" s="161"/>
      <c r="BE655" s="161"/>
      <c r="BF655" s="161"/>
      <c r="BG655" s="161"/>
      <c r="BH655" s="161"/>
      <c r="BI655" s="161"/>
      <c r="BJ655" s="161"/>
      <c r="BK655" s="161"/>
      <c r="BL655" s="161"/>
      <c r="BM655" s="161"/>
      <c r="BN655" s="161"/>
      <c r="BO655" s="161"/>
      <c r="BP655" s="161"/>
      <c r="BQ655" s="161"/>
      <c r="BR655" s="161"/>
      <c r="BS655" s="161"/>
      <c r="BT655" s="161"/>
      <c r="BU655" s="161"/>
      <c r="BV655" s="161"/>
      <c r="BW655" s="161"/>
      <c r="BX655" s="161"/>
      <c r="BY655" s="161"/>
    </row>
    <row r="656" spans="1:77">
      <c r="A656" s="162"/>
      <c r="B656" s="162"/>
      <c r="C656" s="162"/>
      <c r="D656" s="162"/>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c r="AC656" s="162"/>
      <c r="AD656" s="162"/>
      <c r="AE656" s="162"/>
      <c r="AF656" s="162"/>
      <c r="AG656" s="162"/>
      <c r="AH656" s="162"/>
      <c r="AI656" s="162"/>
      <c r="AJ656" s="162"/>
      <c r="AK656" s="162"/>
      <c r="AL656" s="162"/>
      <c r="AM656" s="162"/>
      <c r="AN656" s="162"/>
      <c r="AO656" s="162"/>
      <c r="AP656" s="162"/>
      <c r="AQ656" s="162"/>
      <c r="AR656" s="162"/>
      <c r="AS656" s="162"/>
      <c r="AT656" s="161"/>
      <c r="AU656" s="161"/>
      <c r="AV656" s="161"/>
      <c r="AW656" s="161"/>
      <c r="AX656" s="161"/>
      <c r="AY656" s="161"/>
      <c r="AZ656" s="161"/>
      <c r="BA656" s="161"/>
      <c r="BB656" s="161"/>
      <c r="BC656" s="161"/>
      <c r="BD656" s="161"/>
      <c r="BE656" s="161"/>
      <c r="BF656" s="161"/>
      <c r="BG656" s="161"/>
      <c r="BH656" s="161"/>
      <c r="BI656" s="161"/>
      <c r="BJ656" s="161"/>
      <c r="BK656" s="161"/>
      <c r="BL656" s="161"/>
      <c r="BM656" s="161"/>
      <c r="BN656" s="161"/>
      <c r="BO656" s="161"/>
      <c r="BP656" s="161"/>
      <c r="BQ656" s="161"/>
      <c r="BR656" s="161"/>
      <c r="BS656" s="161"/>
      <c r="BT656" s="161"/>
      <c r="BU656" s="161"/>
      <c r="BV656" s="161"/>
      <c r="BW656" s="161"/>
      <c r="BX656" s="161"/>
      <c r="BY656" s="161"/>
    </row>
    <row r="657" spans="1:77">
      <c r="A657" s="162"/>
      <c r="B657" s="162"/>
      <c r="C657" s="162"/>
      <c r="D657" s="162"/>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c r="AC657" s="162"/>
      <c r="AD657" s="162"/>
      <c r="AE657" s="162"/>
      <c r="AF657" s="162"/>
      <c r="AG657" s="162"/>
      <c r="AH657" s="162"/>
      <c r="AI657" s="162"/>
      <c r="AJ657" s="162"/>
      <c r="AK657" s="162"/>
      <c r="AL657" s="162"/>
      <c r="AM657" s="162"/>
      <c r="AN657" s="162"/>
      <c r="AO657" s="162"/>
      <c r="AP657" s="162"/>
      <c r="AQ657" s="162"/>
      <c r="AR657" s="162"/>
      <c r="AS657" s="162"/>
      <c r="AT657" s="161"/>
      <c r="AU657" s="161"/>
      <c r="AV657" s="161"/>
      <c r="AW657" s="161"/>
      <c r="AX657" s="161"/>
      <c r="AY657" s="161"/>
      <c r="AZ657" s="161"/>
      <c r="BA657" s="161"/>
      <c r="BB657" s="161"/>
      <c r="BC657" s="161"/>
      <c r="BD657" s="161"/>
      <c r="BE657" s="161"/>
      <c r="BF657" s="161"/>
      <c r="BG657" s="161"/>
      <c r="BH657" s="161"/>
      <c r="BI657" s="161"/>
      <c r="BJ657" s="161"/>
      <c r="BK657" s="161"/>
      <c r="BL657" s="161"/>
      <c r="BM657" s="161"/>
      <c r="BN657" s="161"/>
      <c r="BO657" s="161"/>
      <c r="BP657" s="161"/>
      <c r="BQ657" s="161"/>
      <c r="BR657" s="161"/>
      <c r="BS657" s="161"/>
      <c r="BT657" s="161"/>
      <c r="BU657" s="161"/>
      <c r="BV657" s="161"/>
      <c r="BW657" s="161"/>
      <c r="BX657" s="161"/>
      <c r="BY657" s="161"/>
    </row>
    <row r="658" spans="1:77">
      <c r="A658" s="162"/>
      <c r="B658" s="162"/>
      <c r="C658" s="162"/>
      <c r="D658" s="162"/>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c r="AC658" s="162"/>
      <c r="AD658" s="162"/>
      <c r="AE658" s="162"/>
      <c r="AF658" s="162"/>
      <c r="AG658" s="162"/>
      <c r="AH658" s="162"/>
      <c r="AI658" s="162"/>
      <c r="AJ658" s="162"/>
      <c r="AK658" s="162"/>
      <c r="AL658" s="162"/>
      <c r="AM658" s="162"/>
      <c r="AN658" s="162"/>
      <c r="AO658" s="162"/>
      <c r="AP658" s="162"/>
      <c r="AQ658" s="162"/>
      <c r="AR658" s="162"/>
      <c r="AS658" s="162"/>
      <c r="AT658" s="161"/>
      <c r="AU658" s="161"/>
      <c r="AV658" s="161"/>
      <c r="AW658" s="161"/>
      <c r="AX658" s="161"/>
      <c r="AY658" s="161"/>
      <c r="AZ658" s="161"/>
      <c r="BA658" s="161"/>
      <c r="BB658" s="161"/>
      <c r="BC658" s="161"/>
      <c r="BD658" s="161"/>
      <c r="BE658" s="161"/>
      <c r="BF658" s="161"/>
      <c r="BG658" s="161"/>
      <c r="BH658" s="161"/>
      <c r="BI658" s="161"/>
      <c r="BJ658" s="161"/>
      <c r="BK658" s="161"/>
      <c r="BL658" s="161"/>
      <c r="BM658" s="161"/>
      <c r="BN658" s="161"/>
      <c r="BO658" s="161"/>
      <c r="BP658" s="161"/>
      <c r="BQ658" s="161"/>
      <c r="BR658" s="161"/>
      <c r="BS658" s="161"/>
      <c r="BT658" s="161"/>
      <c r="BU658" s="161"/>
      <c r="BV658" s="161"/>
      <c r="BW658" s="161"/>
      <c r="BX658" s="161"/>
      <c r="BY658" s="161"/>
    </row>
    <row r="659" spans="1:77">
      <c r="A659" s="162"/>
      <c r="B659" s="162"/>
      <c r="C659" s="162"/>
      <c r="D659" s="162"/>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c r="AC659" s="162"/>
      <c r="AD659" s="162"/>
      <c r="AE659" s="162"/>
      <c r="AF659" s="162"/>
      <c r="AG659" s="162"/>
      <c r="AH659" s="162"/>
      <c r="AI659" s="162"/>
      <c r="AJ659" s="162"/>
      <c r="AK659" s="162"/>
      <c r="AL659" s="162"/>
      <c r="AM659" s="162"/>
      <c r="AN659" s="162"/>
      <c r="AO659" s="162"/>
      <c r="AP659" s="162"/>
      <c r="AQ659" s="162"/>
      <c r="AR659" s="162"/>
      <c r="AS659" s="162"/>
      <c r="AT659" s="161"/>
      <c r="AU659" s="161"/>
      <c r="AV659" s="161"/>
      <c r="AW659" s="161"/>
      <c r="AX659" s="161"/>
      <c r="AY659" s="161"/>
      <c r="AZ659" s="161"/>
      <c r="BA659" s="161"/>
      <c r="BB659" s="161"/>
      <c r="BC659" s="161"/>
      <c r="BD659" s="161"/>
      <c r="BE659" s="161"/>
      <c r="BF659" s="161"/>
      <c r="BG659" s="161"/>
      <c r="BH659" s="161"/>
      <c r="BI659" s="161"/>
      <c r="BJ659" s="161"/>
      <c r="BK659" s="161"/>
      <c r="BL659" s="161"/>
      <c r="BM659" s="161"/>
      <c r="BN659" s="161"/>
      <c r="BO659" s="161"/>
      <c r="BP659" s="161"/>
      <c r="BQ659" s="161"/>
      <c r="BR659" s="161"/>
      <c r="BS659" s="161"/>
      <c r="BT659" s="161"/>
      <c r="BU659" s="161"/>
      <c r="BV659" s="161"/>
      <c r="BW659" s="161"/>
      <c r="BX659" s="161"/>
      <c r="BY659" s="161"/>
    </row>
    <row r="660" spans="1:77">
      <c r="A660" s="162"/>
      <c r="B660" s="162"/>
      <c r="C660" s="162"/>
      <c r="D660" s="162"/>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c r="AC660" s="162"/>
      <c r="AD660" s="162"/>
      <c r="AE660" s="162"/>
      <c r="AF660" s="162"/>
      <c r="AG660" s="162"/>
      <c r="AH660" s="162"/>
      <c r="AI660" s="162"/>
      <c r="AJ660" s="162"/>
      <c r="AK660" s="162"/>
      <c r="AL660" s="162"/>
      <c r="AM660" s="162"/>
      <c r="AN660" s="162"/>
      <c r="AO660" s="162"/>
      <c r="AP660" s="162"/>
      <c r="AQ660" s="162"/>
      <c r="AR660" s="162"/>
      <c r="AS660" s="162"/>
      <c r="AT660" s="161"/>
      <c r="AU660" s="161"/>
      <c r="AV660" s="161"/>
      <c r="AW660" s="161"/>
      <c r="AX660" s="161"/>
      <c r="AY660" s="161"/>
      <c r="AZ660" s="161"/>
      <c r="BA660" s="161"/>
      <c r="BB660" s="161"/>
      <c r="BC660" s="161"/>
      <c r="BD660" s="161"/>
      <c r="BE660" s="161"/>
      <c r="BF660" s="161"/>
      <c r="BG660" s="161"/>
      <c r="BH660" s="161"/>
      <c r="BI660" s="161"/>
      <c r="BJ660" s="161"/>
      <c r="BK660" s="161"/>
      <c r="BL660" s="161"/>
      <c r="BM660" s="161"/>
      <c r="BN660" s="161"/>
      <c r="BO660" s="161"/>
      <c r="BP660" s="161"/>
      <c r="BQ660" s="161"/>
      <c r="BR660" s="161"/>
      <c r="BS660" s="161"/>
      <c r="BT660" s="161"/>
      <c r="BU660" s="161"/>
      <c r="BV660" s="161"/>
      <c r="BW660" s="161"/>
      <c r="BX660" s="161"/>
      <c r="BY660" s="161"/>
    </row>
    <row r="661" spans="1:77">
      <c r="A661" s="162"/>
      <c r="B661" s="162"/>
      <c r="C661" s="162"/>
      <c r="D661" s="162"/>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c r="AC661" s="162"/>
      <c r="AD661" s="162"/>
      <c r="AE661" s="162"/>
      <c r="AF661" s="162"/>
      <c r="AG661" s="162"/>
      <c r="AH661" s="162"/>
      <c r="AI661" s="162"/>
      <c r="AJ661" s="162"/>
      <c r="AK661" s="162"/>
      <c r="AL661" s="162"/>
      <c r="AM661" s="162"/>
      <c r="AN661" s="162"/>
      <c r="AO661" s="162"/>
      <c r="AP661" s="162"/>
      <c r="AQ661" s="162"/>
      <c r="AR661" s="162"/>
      <c r="AS661" s="162"/>
      <c r="AT661" s="161"/>
      <c r="AU661" s="161"/>
      <c r="AV661" s="161"/>
      <c r="AW661" s="161"/>
      <c r="AX661" s="161"/>
      <c r="AY661" s="161"/>
      <c r="AZ661" s="161"/>
      <c r="BA661" s="161"/>
      <c r="BB661" s="161"/>
      <c r="BC661" s="161"/>
      <c r="BD661" s="161"/>
      <c r="BE661" s="161"/>
      <c r="BF661" s="161"/>
      <c r="BG661" s="161"/>
      <c r="BH661" s="161"/>
      <c r="BI661" s="161"/>
      <c r="BJ661" s="161"/>
      <c r="BK661" s="161"/>
      <c r="BL661" s="161"/>
      <c r="BM661" s="161"/>
      <c r="BN661" s="161"/>
      <c r="BO661" s="161"/>
      <c r="BP661" s="161"/>
      <c r="BQ661" s="161"/>
      <c r="BR661" s="161"/>
      <c r="BS661" s="161"/>
      <c r="BT661" s="161"/>
      <c r="BU661" s="161"/>
      <c r="BV661" s="161"/>
      <c r="BW661" s="161"/>
      <c r="BX661" s="161"/>
      <c r="BY661" s="161"/>
    </row>
    <row r="662" spans="1:77">
      <c r="A662" s="162"/>
      <c r="B662" s="162"/>
      <c r="C662" s="162"/>
      <c r="D662" s="162"/>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c r="AC662" s="162"/>
      <c r="AD662" s="162"/>
      <c r="AE662" s="162"/>
      <c r="AF662" s="162"/>
      <c r="AG662" s="162"/>
      <c r="AH662" s="162"/>
      <c r="AI662" s="162"/>
      <c r="AJ662" s="162"/>
      <c r="AK662" s="162"/>
      <c r="AL662" s="162"/>
      <c r="AM662" s="162"/>
      <c r="AN662" s="162"/>
      <c r="AO662" s="162"/>
      <c r="AP662" s="162"/>
      <c r="AQ662" s="162"/>
      <c r="AR662" s="162"/>
      <c r="AS662" s="162"/>
      <c r="AT662" s="161"/>
      <c r="AU662" s="161"/>
      <c r="AV662" s="161"/>
      <c r="AW662" s="161"/>
      <c r="AX662" s="161"/>
      <c r="AY662" s="161"/>
      <c r="AZ662" s="161"/>
      <c r="BA662" s="161"/>
      <c r="BB662" s="161"/>
      <c r="BC662" s="161"/>
      <c r="BD662" s="161"/>
      <c r="BE662" s="161"/>
      <c r="BF662" s="161"/>
      <c r="BG662" s="161"/>
      <c r="BH662" s="161"/>
      <c r="BI662" s="161"/>
      <c r="BJ662" s="161"/>
      <c r="BK662" s="161"/>
      <c r="BL662" s="161"/>
      <c r="BM662" s="161"/>
      <c r="BN662" s="161"/>
      <c r="BO662" s="161"/>
      <c r="BP662" s="161"/>
      <c r="BQ662" s="161"/>
      <c r="BR662" s="161"/>
      <c r="BS662" s="161"/>
      <c r="BT662" s="161"/>
      <c r="BU662" s="161"/>
      <c r="BV662" s="161"/>
      <c r="BW662" s="161"/>
      <c r="BX662" s="161"/>
      <c r="BY662" s="161"/>
    </row>
    <row r="663" spans="1:77">
      <c r="A663" s="162"/>
      <c r="B663" s="162"/>
      <c r="C663" s="162"/>
      <c r="D663" s="162"/>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c r="AC663" s="162"/>
      <c r="AD663" s="162"/>
      <c r="AE663" s="162"/>
      <c r="AF663" s="162"/>
      <c r="AG663" s="162"/>
      <c r="AH663" s="162"/>
      <c r="AI663" s="162"/>
      <c r="AJ663" s="162"/>
      <c r="AK663" s="162"/>
      <c r="AL663" s="162"/>
      <c r="AM663" s="162"/>
      <c r="AN663" s="162"/>
      <c r="AO663" s="162"/>
      <c r="AP663" s="162"/>
      <c r="AQ663" s="162"/>
      <c r="AR663" s="162"/>
      <c r="AS663" s="162"/>
      <c r="AT663" s="161"/>
      <c r="AU663" s="161"/>
      <c r="AV663" s="161"/>
      <c r="AW663" s="161"/>
      <c r="AX663" s="161"/>
      <c r="AY663" s="161"/>
      <c r="AZ663" s="161"/>
      <c r="BA663" s="161"/>
      <c r="BB663" s="161"/>
      <c r="BC663" s="161"/>
      <c r="BD663" s="161"/>
      <c r="BE663" s="161"/>
      <c r="BF663" s="161"/>
      <c r="BG663" s="161"/>
      <c r="BH663" s="161"/>
      <c r="BI663" s="161"/>
      <c r="BJ663" s="161"/>
      <c r="BK663" s="161"/>
      <c r="BL663" s="161"/>
      <c r="BM663" s="161"/>
      <c r="BN663" s="161"/>
      <c r="BO663" s="161"/>
      <c r="BP663" s="161"/>
      <c r="BQ663" s="161"/>
      <c r="BR663" s="161"/>
      <c r="BS663" s="161"/>
      <c r="BT663" s="161"/>
      <c r="BU663" s="161"/>
      <c r="BV663" s="161"/>
      <c r="BW663" s="161"/>
      <c r="BX663" s="161"/>
      <c r="BY663" s="161"/>
    </row>
    <row r="664" spans="1:77">
      <c r="A664" s="162"/>
      <c r="B664" s="162"/>
      <c r="C664" s="162"/>
      <c r="D664" s="162"/>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c r="AC664" s="162"/>
      <c r="AD664" s="162"/>
      <c r="AE664" s="162"/>
      <c r="AF664" s="162"/>
      <c r="AG664" s="162"/>
      <c r="AH664" s="162"/>
      <c r="AI664" s="162"/>
      <c r="AJ664" s="162"/>
      <c r="AK664" s="162"/>
      <c r="AL664" s="162"/>
      <c r="AM664" s="162"/>
      <c r="AN664" s="162"/>
      <c r="AO664" s="162"/>
      <c r="AP664" s="162"/>
      <c r="AQ664" s="162"/>
      <c r="AR664" s="162"/>
      <c r="AS664" s="162"/>
      <c r="AT664" s="161"/>
      <c r="AU664" s="161"/>
      <c r="AV664" s="161"/>
      <c r="AW664" s="161"/>
      <c r="AX664" s="161"/>
      <c r="AY664" s="161"/>
      <c r="AZ664" s="161"/>
      <c r="BA664" s="161"/>
      <c r="BB664" s="161"/>
      <c r="BC664" s="161"/>
      <c r="BD664" s="161"/>
      <c r="BE664" s="161"/>
      <c r="BF664" s="161"/>
      <c r="BG664" s="161"/>
      <c r="BH664" s="161"/>
      <c r="BI664" s="161"/>
      <c r="BJ664" s="161"/>
      <c r="BK664" s="161"/>
      <c r="BL664" s="161"/>
      <c r="BM664" s="161"/>
      <c r="BN664" s="161"/>
      <c r="BO664" s="161"/>
      <c r="BP664" s="161"/>
      <c r="BQ664" s="161"/>
      <c r="BR664" s="161"/>
      <c r="BS664" s="161"/>
      <c r="BT664" s="161"/>
      <c r="BU664" s="161"/>
      <c r="BV664" s="161"/>
      <c r="BW664" s="161"/>
      <c r="BX664" s="161"/>
      <c r="BY664" s="161"/>
    </row>
    <row r="665" spans="1:77">
      <c r="A665" s="162"/>
      <c r="B665" s="162"/>
      <c r="C665" s="162"/>
      <c r="D665" s="162"/>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c r="AC665" s="162"/>
      <c r="AD665" s="162"/>
      <c r="AE665" s="162"/>
      <c r="AF665" s="162"/>
      <c r="AG665" s="162"/>
      <c r="AH665" s="162"/>
      <c r="AI665" s="162"/>
      <c r="AJ665" s="162"/>
      <c r="AK665" s="162"/>
      <c r="AL665" s="162"/>
      <c r="AM665" s="162"/>
      <c r="AN665" s="162"/>
      <c r="AO665" s="162"/>
      <c r="AP665" s="162"/>
      <c r="AQ665" s="162"/>
      <c r="AR665" s="162"/>
      <c r="AS665" s="162"/>
      <c r="AT665" s="161"/>
      <c r="AU665" s="161"/>
      <c r="AV665" s="161"/>
      <c r="AW665" s="161"/>
      <c r="AX665" s="161"/>
      <c r="AY665" s="161"/>
      <c r="AZ665" s="161"/>
      <c r="BA665" s="161"/>
      <c r="BB665" s="161"/>
      <c r="BC665" s="161"/>
      <c r="BD665" s="161"/>
      <c r="BE665" s="161"/>
      <c r="BF665" s="161"/>
      <c r="BG665" s="161"/>
      <c r="BH665" s="161"/>
      <c r="BI665" s="161"/>
      <c r="BJ665" s="161"/>
      <c r="BK665" s="161"/>
      <c r="BL665" s="161"/>
      <c r="BM665" s="161"/>
      <c r="BN665" s="161"/>
      <c r="BO665" s="161"/>
      <c r="BP665" s="161"/>
      <c r="BQ665" s="161"/>
      <c r="BR665" s="161"/>
      <c r="BS665" s="161"/>
      <c r="BT665" s="161"/>
      <c r="BU665" s="161"/>
      <c r="BV665" s="161"/>
      <c r="BW665" s="161"/>
      <c r="BX665" s="161"/>
      <c r="BY665" s="161"/>
    </row>
    <row r="666" spans="1:77">
      <c r="A666" s="162"/>
      <c r="B666" s="162"/>
      <c r="C666" s="162"/>
      <c r="D666" s="162"/>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c r="AC666" s="162"/>
      <c r="AD666" s="162"/>
      <c r="AE666" s="162"/>
      <c r="AF666" s="162"/>
      <c r="AG666" s="162"/>
      <c r="AH666" s="162"/>
      <c r="AI666" s="162"/>
      <c r="AJ666" s="162"/>
      <c r="AK666" s="162"/>
      <c r="AL666" s="162"/>
      <c r="AM666" s="162"/>
      <c r="AN666" s="162"/>
      <c r="AO666" s="162"/>
      <c r="AP666" s="162"/>
      <c r="AQ666" s="162"/>
      <c r="AR666" s="162"/>
      <c r="AS666" s="162"/>
      <c r="AT666" s="161"/>
      <c r="AU666" s="161"/>
      <c r="AV666" s="161"/>
      <c r="AW666" s="161"/>
      <c r="AX666" s="161"/>
      <c r="AY666" s="161"/>
      <c r="AZ666" s="161"/>
      <c r="BA666" s="161"/>
      <c r="BB666" s="161"/>
      <c r="BC666" s="161"/>
      <c r="BD666" s="161"/>
      <c r="BE666" s="161"/>
      <c r="BF666" s="161"/>
      <c r="BG666" s="161"/>
      <c r="BH666" s="161"/>
      <c r="BI666" s="161"/>
      <c r="BJ666" s="161"/>
      <c r="BK666" s="161"/>
      <c r="BL666" s="161"/>
      <c r="BM666" s="161"/>
      <c r="BN666" s="161"/>
      <c r="BO666" s="161"/>
      <c r="BP666" s="161"/>
      <c r="BQ666" s="161"/>
      <c r="BR666" s="161"/>
      <c r="BS666" s="161"/>
      <c r="BT666" s="161"/>
      <c r="BU666" s="161"/>
      <c r="BV666" s="161"/>
      <c r="BW666" s="161"/>
      <c r="BX666" s="161"/>
      <c r="BY666" s="161"/>
    </row>
    <row r="667" spans="1:77">
      <c r="A667" s="162"/>
      <c r="B667" s="162"/>
      <c r="C667" s="162"/>
      <c r="D667" s="162"/>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c r="AC667" s="162"/>
      <c r="AD667" s="162"/>
      <c r="AE667" s="162"/>
      <c r="AF667" s="162"/>
      <c r="AG667" s="162"/>
      <c r="AH667" s="162"/>
      <c r="AI667" s="162"/>
      <c r="AJ667" s="162"/>
      <c r="AK667" s="162"/>
      <c r="AL667" s="162"/>
      <c r="AM667" s="162"/>
      <c r="AN667" s="162"/>
      <c r="AO667" s="162"/>
      <c r="AP667" s="162"/>
      <c r="AQ667" s="162"/>
      <c r="AR667" s="162"/>
      <c r="AS667" s="162"/>
      <c r="AT667" s="161"/>
      <c r="AU667" s="161"/>
      <c r="AV667" s="161"/>
      <c r="AW667" s="161"/>
      <c r="AX667" s="161"/>
      <c r="AY667" s="161"/>
      <c r="AZ667" s="161"/>
      <c r="BA667" s="161"/>
      <c r="BB667" s="161"/>
      <c r="BC667" s="161"/>
      <c r="BD667" s="161"/>
      <c r="BE667" s="161"/>
      <c r="BF667" s="161"/>
      <c r="BG667" s="161"/>
      <c r="BH667" s="161"/>
      <c r="BI667" s="161"/>
      <c r="BJ667" s="161"/>
      <c r="BK667" s="161"/>
      <c r="BL667" s="161"/>
      <c r="BM667" s="161"/>
      <c r="BN667" s="161"/>
      <c r="BO667" s="161"/>
      <c r="BP667" s="161"/>
      <c r="BQ667" s="161"/>
      <c r="BR667" s="161"/>
      <c r="BS667" s="161"/>
      <c r="BT667" s="161"/>
      <c r="BU667" s="161"/>
      <c r="BV667" s="161"/>
      <c r="BW667" s="161"/>
      <c r="BX667" s="161"/>
      <c r="BY667" s="161"/>
    </row>
    <row r="668" spans="1:77">
      <c r="A668" s="162"/>
      <c r="B668" s="162"/>
      <c r="C668" s="162"/>
      <c r="D668" s="162"/>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c r="AC668" s="162"/>
      <c r="AD668" s="162"/>
      <c r="AE668" s="162"/>
      <c r="AF668" s="162"/>
      <c r="AG668" s="162"/>
      <c r="AH668" s="162"/>
      <c r="AI668" s="162"/>
      <c r="AJ668" s="162"/>
      <c r="AK668" s="162"/>
      <c r="AL668" s="162"/>
      <c r="AM668" s="162"/>
      <c r="AN668" s="162"/>
      <c r="AO668" s="162"/>
      <c r="AP668" s="162"/>
      <c r="AQ668" s="162"/>
      <c r="AR668" s="162"/>
      <c r="AS668" s="162"/>
      <c r="AT668" s="161"/>
      <c r="AU668" s="161"/>
      <c r="AV668" s="161"/>
      <c r="AW668" s="161"/>
      <c r="AX668" s="161"/>
      <c r="AY668" s="161"/>
      <c r="AZ668" s="161"/>
      <c r="BA668" s="161"/>
      <c r="BB668" s="161"/>
      <c r="BC668" s="161"/>
      <c r="BD668" s="161"/>
      <c r="BE668" s="161"/>
      <c r="BF668" s="161"/>
      <c r="BG668" s="161"/>
      <c r="BH668" s="161"/>
      <c r="BI668" s="161"/>
      <c r="BJ668" s="161"/>
      <c r="BK668" s="161"/>
      <c r="BL668" s="161"/>
      <c r="BM668" s="161"/>
      <c r="BN668" s="161"/>
      <c r="BO668" s="161"/>
      <c r="BP668" s="161"/>
      <c r="BQ668" s="161"/>
      <c r="BR668" s="161"/>
      <c r="BS668" s="161"/>
      <c r="BT668" s="161"/>
      <c r="BU668" s="161"/>
      <c r="BV668" s="161"/>
      <c r="BW668" s="161"/>
      <c r="BX668" s="161"/>
      <c r="BY668" s="161"/>
    </row>
    <row r="669" spans="1:77">
      <c r="A669" s="162"/>
      <c r="B669" s="162"/>
      <c r="C669" s="162"/>
      <c r="D669" s="162"/>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c r="AC669" s="162"/>
      <c r="AD669" s="162"/>
      <c r="AE669" s="162"/>
      <c r="AF669" s="162"/>
      <c r="AG669" s="162"/>
      <c r="AH669" s="162"/>
      <c r="AI669" s="162"/>
      <c r="AJ669" s="162"/>
      <c r="AK669" s="162"/>
      <c r="AL669" s="162"/>
      <c r="AM669" s="162"/>
      <c r="AN669" s="162"/>
      <c r="AO669" s="162"/>
      <c r="AP669" s="162"/>
      <c r="AQ669" s="162"/>
      <c r="AR669" s="162"/>
      <c r="AS669" s="162"/>
      <c r="AT669" s="161"/>
      <c r="AU669" s="161"/>
      <c r="AV669" s="161"/>
      <c r="AW669" s="161"/>
      <c r="AX669" s="161"/>
      <c r="AY669" s="161"/>
      <c r="AZ669" s="161"/>
      <c r="BA669" s="161"/>
      <c r="BB669" s="161"/>
      <c r="BC669" s="161"/>
      <c r="BD669" s="161"/>
      <c r="BE669" s="161"/>
      <c r="BF669" s="161"/>
      <c r="BG669" s="161"/>
      <c r="BH669" s="161"/>
      <c r="BI669" s="161"/>
      <c r="BJ669" s="161"/>
      <c r="BK669" s="161"/>
      <c r="BL669" s="161"/>
      <c r="BM669" s="161"/>
      <c r="BN669" s="161"/>
      <c r="BO669" s="161"/>
      <c r="BP669" s="161"/>
      <c r="BQ669" s="161"/>
      <c r="BR669" s="161"/>
      <c r="BS669" s="161"/>
      <c r="BT669" s="161"/>
      <c r="BU669" s="161"/>
      <c r="BV669" s="161"/>
      <c r="BW669" s="161"/>
      <c r="BX669" s="161"/>
      <c r="BY669" s="161"/>
    </row>
    <row r="670" spans="1:77">
      <c r="A670" s="162"/>
      <c r="B670" s="162"/>
      <c r="C670" s="162"/>
      <c r="D670" s="162"/>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c r="AC670" s="162"/>
      <c r="AD670" s="162"/>
      <c r="AE670" s="162"/>
      <c r="AF670" s="162"/>
      <c r="AG670" s="162"/>
      <c r="AH670" s="162"/>
      <c r="AI670" s="162"/>
      <c r="AJ670" s="162"/>
      <c r="AK670" s="162"/>
      <c r="AL670" s="162"/>
      <c r="AM670" s="162"/>
      <c r="AN670" s="162"/>
      <c r="AO670" s="162"/>
      <c r="AP670" s="162"/>
      <c r="AQ670" s="162"/>
      <c r="AR670" s="162"/>
      <c r="AS670" s="162"/>
      <c r="AT670" s="161"/>
      <c r="AU670" s="161"/>
      <c r="AV670" s="161"/>
      <c r="AW670" s="161"/>
      <c r="AX670" s="161"/>
      <c r="AY670" s="161"/>
      <c r="AZ670" s="161"/>
      <c r="BA670" s="161"/>
      <c r="BB670" s="161"/>
      <c r="BC670" s="161"/>
      <c r="BD670" s="161"/>
      <c r="BE670" s="161"/>
      <c r="BF670" s="161"/>
      <c r="BG670" s="161"/>
      <c r="BH670" s="161"/>
      <c r="BI670" s="161"/>
      <c r="BJ670" s="161"/>
      <c r="BK670" s="161"/>
      <c r="BL670" s="161"/>
      <c r="BM670" s="161"/>
      <c r="BN670" s="161"/>
      <c r="BO670" s="161"/>
      <c r="BP670" s="161"/>
      <c r="BQ670" s="161"/>
      <c r="BR670" s="161"/>
      <c r="BS670" s="161"/>
      <c r="BT670" s="161"/>
      <c r="BU670" s="161"/>
      <c r="BV670" s="161"/>
      <c r="BW670" s="161"/>
      <c r="BX670" s="161"/>
      <c r="BY670" s="161"/>
    </row>
    <row r="671" spans="1:77">
      <c r="A671" s="162"/>
      <c r="B671" s="162"/>
      <c r="C671" s="162"/>
      <c r="D671" s="162"/>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c r="AC671" s="162"/>
      <c r="AD671" s="162"/>
      <c r="AE671" s="162"/>
      <c r="AF671" s="162"/>
      <c r="AG671" s="162"/>
      <c r="AH671" s="162"/>
      <c r="AI671" s="162"/>
      <c r="AJ671" s="162"/>
      <c r="AK671" s="162"/>
      <c r="AL671" s="162"/>
      <c r="AM671" s="162"/>
      <c r="AN671" s="162"/>
      <c r="AO671" s="162"/>
      <c r="AP671" s="162"/>
      <c r="AQ671" s="162"/>
      <c r="AR671" s="162"/>
      <c r="AS671" s="162"/>
      <c r="AT671" s="161"/>
      <c r="AU671" s="161"/>
      <c r="AV671" s="161"/>
      <c r="AW671" s="161"/>
      <c r="AX671" s="161"/>
      <c r="AY671" s="161"/>
      <c r="AZ671" s="161"/>
      <c r="BA671" s="161"/>
      <c r="BB671" s="161"/>
      <c r="BC671" s="161"/>
      <c r="BD671" s="161"/>
      <c r="BE671" s="161"/>
      <c r="BF671" s="161"/>
      <c r="BG671" s="161"/>
      <c r="BH671" s="161"/>
      <c r="BI671" s="161"/>
      <c r="BJ671" s="161"/>
      <c r="BK671" s="161"/>
      <c r="BL671" s="161"/>
      <c r="BM671" s="161"/>
      <c r="BN671" s="161"/>
      <c r="BO671" s="161"/>
      <c r="BP671" s="161"/>
      <c r="BQ671" s="161"/>
      <c r="BR671" s="161"/>
      <c r="BS671" s="161"/>
      <c r="BT671" s="161"/>
      <c r="BU671" s="161"/>
      <c r="BV671" s="161"/>
      <c r="BW671" s="161"/>
      <c r="BX671" s="161"/>
      <c r="BY671" s="161"/>
    </row>
    <row r="672" spans="1:77">
      <c r="A672" s="162"/>
      <c r="B672" s="162"/>
      <c r="C672" s="162"/>
      <c r="D672" s="162"/>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c r="AC672" s="162"/>
      <c r="AD672" s="162"/>
      <c r="AE672" s="162"/>
      <c r="AF672" s="162"/>
      <c r="AG672" s="162"/>
      <c r="AH672" s="162"/>
      <c r="AI672" s="162"/>
      <c r="AJ672" s="162"/>
      <c r="AK672" s="162"/>
      <c r="AL672" s="162"/>
      <c r="AM672" s="162"/>
      <c r="AN672" s="162"/>
      <c r="AO672" s="162"/>
      <c r="AP672" s="162"/>
      <c r="AQ672" s="162"/>
      <c r="AR672" s="162"/>
      <c r="AS672" s="162"/>
      <c r="AT672" s="161"/>
      <c r="AU672" s="161"/>
      <c r="AV672" s="161"/>
      <c r="AW672" s="161"/>
      <c r="AX672" s="161"/>
      <c r="AY672" s="161"/>
      <c r="AZ672" s="161"/>
      <c r="BA672" s="161"/>
      <c r="BB672" s="161"/>
      <c r="BC672" s="161"/>
      <c r="BD672" s="161"/>
      <c r="BE672" s="161"/>
      <c r="BF672" s="161"/>
      <c r="BG672" s="161"/>
      <c r="BH672" s="161"/>
      <c r="BI672" s="161"/>
      <c r="BJ672" s="161"/>
      <c r="BK672" s="161"/>
      <c r="BL672" s="161"/>
      <c r="BM672" s="161"/>
      <c r="BN672" s="161"/>
      <c r="BO672" s="161"/>
      <c r="BP672" s="161"/>
      <c r="BQ672" s="161"/>
      <c r="BR672" s="161"/>
      <c r="BS672" s="161"/>
      <c r="BT672" s="161"/>
      <c r="BU672" s="161"/>
      <c r="BV672" s="161"/>
      <c r="BW672" s="161"/>
      <c r="BX672" s="161"/>
      <c r="BY672" s="161"/>
    </row>
    <row r="673" spans="1:77">
      <c r="A673" s="162"/>
      <c r="B673" s="162"/>
      <c r="C673" s="162"/>
      <c r="D673" s="162"/>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c r="AC673" s="162"/>
      <c r="AD673" s="162"/>
      <c r="AE673" s="162"/>
      <c r="AF673" s="162"/>
      <c r="AG673" s="162"/>
      <c r="AH673" s="162"/>
      <c r="AI673" s="162"/>
      <c r="AJ673" s="162"/>
      <c r="AK673" s="162"/>
      <c r="AL673" s="162"/>
      <c r="AM673" s="162"/>
      <c r="AN673" s="162"/>
      <c r="AO673" s="162"/>
      <c r="AP673" s="162"/>
      <c r="AQ673" s="162"/>
      <c r="AR673" s="162"/>
      <c r="AS673" s="162"/>
      <c r="AT673" s="161"/>
      <c r="AU673" s="161"/>
      <c r="AV673" s="161"/>
      <c r="AW673" s="161"/>
      <c r="AX673" s="161"/>
      <c r="AY673" s="161"/>
      <c r="AZ673" s="161"/>
      <c r="BA673" s="161"/>
      <c r="BB673" s="161"/>
      <c r="BC673" s="161"/>
      <c r="BD673" s="161"/>
      <c r="BE673" s="161"/>
      <c r="BF673" s="161"/>
      <c r="BG673" s="161"/>
      <c r="BH673" s="161"/>
      <c r="BI673" s="161"/>
      <c r="BJ673" s="161"/>
      <c r="BK673" s="161"/>
      <c r="BL673" s="161"/>
      <c r="BM673" s="161"/>
      <c r="BN673" s="161"/>
      <c r="BO673" s="161"/>
      <c r="BP673" s="161"/>
      <c r="BQ673" s="161"/>
      <c r="BR673" s="161"/>
      <c r="BS673" s="161"/>
      <c r="BT673" s="161"/>
      <c r="BU673" s="161"/>
      <c r="BV673" s="161"/>
      <c r="BW673" s="161"/>
      <c r="BX673" s="161"/>
      <c r="BY673" s="161"/>
    </row>
    <row r="674" spans="1:77">
      <c r="A674" s="162"/>
      <c r="B674" s="162"/>
      <c r="C674" s="162"/>
      <c r="D674" s="162"/>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c r="AC674" s="162"/>
      <c r="AD674" s="162"/>
      <c r="AE674" s="162"/>
      <c r="AF674" s="162"/>
      <c r="AG674" s="162"/>
      <c r="AH674" s="162"/>
      <c r="AI674" s="162"/>
      <c r="AJ674" s="162"/>
      <c r="AK674" s="162"/>
      <c r="AL674" s="162"/>
      <c r="AM674" s="162"/>
      <c r="AN674" s="162"/>
      <c r="AO674" s="162"/>
      <c r="AP674" s="162"/>
      <c r="AQ674" s="162"/>
      <c r="AR674" s="162"/>
      <c r="AS674" s="162"/>
      <c r="AT674" s="161"/>
      <c r="AU674" s="161"/>
      <c r="AV674" s="161"/>
      <c r="AW674" s="161"/>
      <c r="AX674" s="161"/>
      <c r="AY674" s="161"/>
      <c r="AZ674" s="161"/>
      <c r="BA674" s="161"/>
      <c r="BB674" s="161"/>
      <c r="BC674" s="161"/>
      <c r="BD674" s="161"/>
      <c r="BE674" s="161"/>
      <c r="BF674" s="161"/>
      <c r="BG674" s="161"/>
      <c r="BH674" s="161"/>
      <c r="BI674" s="161"/>
      <c r="BJ674" s="161"/>
      <c r="BK674" s="161"/>
      <c r="BL674" s="161"/>
      <c r="BM674" s="161"/>
      <c r="BN674" s="161"/>
      <c r="BO674" s="161"/>
      <c r="BP674" s="161"/>
      <c r="BQ674" s="161"/>
      <c r="BR674" s="161"/>
      <c r="BS674" s="161"/>
      <c r="BT674" s="161"/>
      <c r="BU674" s="161"/>
      <c r="BV674" s="161"/>
      <c r="BW674" s="161"/>
      <c r="BX674" s="161"/>
      <c r="BY674" s="161"/>
    </row>
    <row r="675" spans="1:77">
      <c r="A675" s="162"/>
      <c r="B675" s="162"/>
      <c r="C675" s="162"/>
      <c r="D675" s="162"/>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c r="AC675" s="162"/>
      <c r="AD675" s="162"/>
      <c r="AE675" s="162"/>
      <c r="AF675" s="162"/>
      <c r="AG675" s="162"/>
      <c r="AH675" s="162"/>
      <c r="AI675" s="162"/>
      <c r="AJ675" s="162"/>
      <c r="AK675" s="162"/>
      <c r="AL675" s="162"/>
      <c r="AM675" s="162"/>
      <c r="AN675" s="162"/>
      <c r="AO675" s="162"/>
      <c r="AP675" s="162"/>
      <c r="AQ675" s="162"/>
      <c r="AR675" s="162"/>
      <c r="AS675" s="162"/>
      <c r="AT675" s="161"/>
      <c r="AU675" s="161"/>
      <c r="AV675" s="161"/>
      <c r="AW675" s="161"/>
      <c r="AX675" s="161"/>
      <c r="AY675" s="161"/>
      <c r="AZ675" s="161"/>
      <c r="BA675" s="161"/>
      <c r="BB675" s="161"/>
      <c r="BC675" s="161"/>
      <c r="BD675" s="161"/>
      <c r="BE675" s="161"/>
      <c r="BF675" s="161"/>
      <c r="BG675" s="161"/>
      <c r="BH675" s="161"/>
      <c r="BI675" s="161"/>
      <c r="BJ675" s="161"/>
      <c r="BK675" s="161"/>
      <c r="BL675" s="161"/>
      <c r="BM675" s="161"/>
      <c r="BN675" s="161"/>
      <c r="BO675" s="161"/>
      <c r="BP675" s="161"/>
      <c r="BQ675" s="161"/>
      <c r="BR675" s="161"/>
      <c r="BS675" s="161"/>
      <c r="BT675" s="161"/>
      <c r="BU675" s="161"/>
      <c r="BV675" s="161"/>
      <c r="BW675" s="161"/>
      <c r="BX675" s="161"/>
      <c r="BY675" s="161"/>
    </row>
    <row r="676" spans="1:77">
      <c r="A676" s="162"/>
      <c r="B676" s="162"/>
      <c r="C676" s="162"/>
      <c r="D676" s="162"/>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c r="AC676" s="162"/>
      <c r="AD676" s="162"/>
      <c r="AE676" s="162"/>
      <c r="AF676" s="162"/>
      <c r="AG676" s="162"/>
      <c r="AH676" s="162"/>
      <c r="AI676" s="162"/>
      <c r="AJ676" s="162"/>
      <c r="AK676" s="162"/>
      <c r="AL676" s="162"/>
      <c r="AM676" s="162"/>
      <c r="AN676" s="162"/>
      <c r="AO676" s="162"/>
      <c r="AP676" s="162"/>
      <c r="AQ676" s="162"/>
      <c r="AR676" s="162"/>
      <c r="AS676" s="162"/>
      <c r="AT676" s="161"/>
      <c r="AU676" s="161"/>
      <c r="AV676" s="161"/>
      <c r="AW676" s="161"/>
      <c r="AX676" s="161"/>
      <c r="AY676" s="161"/>
      <c r="AZ676" s="161"/>
      <c r="BA676" s="161"/>
      <c r="BB676" s="161"/>
      <c r="BC676" s="161"/>
      <c r="BD676" s="161"/>
      <c r="BE676" s="161"/>
      <c r="BF676" s="161"/>
      <c r="BG676" s="161"/>
      <c r="BH676" s="161"/>
      <c r="BI676" s="161"/>
      <c r="BJ676" s="161"/>
      <c r="BK676" s="161"/>
      <c r="BL676" s="161"/>
      <c r="BM676" s="161"/>
      <c r="BN676" s="161"/>
      <c r="BO676" s="161"/>
      <c r="BP676" s="161"/>
      <c r="BQ676" s="161"/>
      <c r="BR676" s="161"/>
      <c r="BS676" s="161"/>
      <c r="BT676" s="161"/>
      <c r="BU676" s="161"/>
      <c r="BV676" s="161"/>
      <c r="BW676" s="161"/>
      <c r="BX676" s="161"/>
      <c r="BY676" s="161"/>
    </row>
    <row r="677" spans="1:77">
      <c r="A677" s="162"/>
      <c r="B677" s="162"/>
      <c r="C677" s="162"/>
      <c r="D677" s="162"/>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c r="AC677" s="162"/>
      <c r="AD677" s="162"/>
      <c r="AE677" s="162"/>
      <c r="AF677" s="162"/>
      <c r="AG677" s="162"/>
      <c r="AH677" s="162"/>
      <c r="AI677" s="162"/>
      <c r="AJ677" s="162"/>
      <c r="AK677" s="162"/>
      <c r="AL677" s="162"/>
      <c r="AM677" s="162"/>
      <c r="AN677" s="162"/>
      <c r="AO677" s="162"/>
      <c r="AP677" s="162"/>
      <c r="AQ677" s="162"/>
      <c r="AR677" s="162"/>
      <c r="AS677" s="162"/>
      <c r="AT677" s="161"/>
      <c r="AU677" s="161"/>
      <c r="AV677" s="161"/>
      <c r="AW677" s="161"/>
      <c r="AX677" s="161"/>
      <c r="AY677" s="161"/>
      <c r="AZ677" s="161"/>
      <c r="BA677" s="161"/>
      <c r="BB677" s="161"/>
      <c r="BC677" s="161"/>
      <c r="BD677" s="161"/>
      <c r="BE677" s="161"/>
      <c r="BF677" s="161"/>
      <c r="BG677" s="161"/>
      <c r="BH677" s="161"/>
      <c r="BI677" s="161"/>
      <c r="BJ677" s="161"/>
      <c r="BK677" s="161"/>
      <c r="BL677" s="161"/>
      <c r="BM677" s="161"/>
      <c r="BN677" s="161"/>
      <c r="BO677" s="161"/>
      <c r="BP677" s="161"/>
      <c r="BQ677" s="161"/>
      <c r="BR677" s="161"/>
      <c r="BS677" s="161"/>
      <c r="BT677" s="161"/>
      <c r="BU677" s="161"/>
      <c r="BV677" s="161"/>
      <c r="BW677" s="161"/>
      <c r="BX677" s="161"/>
      <c r="BY677" s="161"/>
    </row>
    <row r="678" spans="1:77">
      <c r="A678" s="162"/>
      <c r="B678" s="162"/>
      <c r="C678" s="162"/>
      <c r="D678" s="162"/>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c r="AC678" s="162"/>
      <c r="AD678" s="162"/>
      <c r="AE678" s="162"/>
      <c r="AF678" s="162"/>
      <c r="AG678" s="162"/>
      <c r="AH678" s="162"/>
      <c r="AI678" s="162"/>
      <c r="AJ678" s="162"/>
      <c r="AK678" s="162"/>
      <c r="AL678" s="162"/>
      <c r="AM678" s="162"/>
      <c r="AN678" s="162"/>
      <c r="AO678" s="162"/>
      <c r="AP678" s="162"/>
      <c r="AQ678" s="162"/>
      <c r="AR678" s="162"/>
      <c r="AS678" s="162"/>
      <c r="AT678" s="161"/>
      <c r="AU678" s="161"/>
      <c r="AV678" s="161"/>
      <c r="AW678" s="161"/>
      <c r="AX678" s="161"/>
      <c r="AY678" s="161"/>
      <c r="AZ678" s="161"/>
      <c r="BA678" s="161"/>
      <c r="BB678" s="161"/>
      <c r="BC678" s="161"/>
      <c r="BD678" s="161"/>
      <c r="BE678" s="161"/>
      <c r="BF678" s="161"/>
      <c r="BG678" s="161"/>
      <c r="BH678" s="161"/>
      <c r="BI678" s="161"/>
      <c r="BJ678" s="161"/>
      <c r="BK678" s="161"/>
      <c r="BL678" s="161"/>
      <c r="BM678" s="161"/>
      <c r="BN678" s="161"/>
      <c r="BO678" s="161"/>
      <c r="BP678" s="161"/>
      <c r="BQ678" s="161"/>
      <c r="BR678" s="161"/>
      <c r="BS678" s="161"/>
      <c r="BT678" s="161"/>
      <c r="BU678" s="161"/>
      <c r="BV678" s="161"/>
      <c r="BW678" s="161"/>
      <c r="BX678" s="161"/>
      <c r="BY678" s="161"/>
    </row>
    <row r="679" spans="1:77">
      <c r="A679" s="162"/>
      <c r="B679" s="162"/>
      <c r="C679" s="162"/>
      <c r="D679" s="162"/>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c r="AC679" s="162"/>
      <c r="AD679" s="162"/>
      <c r="AE679" s="162"/>
      <c r="AF679" s="162"/>
      <c r="AG679" s="162"/>
      <c r="AH679" s="162"/>
      <c r="AI679" s="162"/>
      <c r="AJ679" s="162"/>
      <c r="AK679" s="162"/>
      <c r="AL679" s="162"/>
      <c r="AM679" s="162"/>
      <c r="AN679" s="162"/>
      <c r="AO679" s="162"/>
      <c r="AP679" s="162"/>
      <c r="AQ679" s="162"/>
      <c r="AR679" s="162"/>
      <c r="AS679" s="162"/>
      <c r="AT679" s="161"/>
      <c r="AU679" s="161"/>
      <c r="AV679" s="161"/>
      <c r="AW679" s="161"/>
      <c r="AX679" s="161"/>
      <c r="AY679" s="161"/>
      <c r="AZ679" s="161"/>
      <c r="BA679" s="161"/>
      <c r="BB679" s="161"/>
      <c r="BC679" s="161"/>
      <c r="BD679" s="161"/>
      <c r="BE679" s="161"/>
      <c r="BF679" s="161"/>
      <c r="BG679" s="161"/>
      <c r="BH679" s="161"/>
      <c r="BI679" s="161"/>
      <c r="BJ679" s="161"/>
      <c r="BK679" s="161"/>
      <c r="BL679" s="161"/>
      <c r="BM679" s="161"/>
      <c r="BN679" s="161"/>
      <c r="BO679" s="161"/>
      <c r="BP679" s="161"/>
      <c r="BQ679" s="161"/>
      <c r="BR679" s="161"/>
      <c r="BS679" s="161"/>
      <c r="BT679" s="161"/>
      <c r="BU679" s="161"/>
      <c r="BV679" s="161"/>
      <c r="BW679" s="161"/>
      <c r="BX679" s="161"/>
      <c r="BY679" s="161"/>
    </row>
    <row r="680" spans="1:77">
      <c r="A680" s="162"/>
      <c r="B680" s="162"/>
      <c r="C680" s="162"/>
      <c r="D680" s="162"/>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c r="AC680" s="162"/>
      <c r="AD680" s="162"/>
      <c r="AE680" s="162"/>
      <c r="AF680" s="162"/>
      <c r="AG680" s="162"/>
      <c r="AH680" s="162"/>
      <c r="AI680" s="162"/>
      <c r="AJ680" s="162"/>
      <c r="AK680" s="162"/>
      <c r="AL680" s="162"/>
      <c r="AM680" s="162"/>
      <c r="AN680" s="162"/>
      <c r="AO680" s="162"/>
      <c r="AP680" s="162"/>
      <c r="AQ680" s="162"/>
      <c r="AR680" s="162"/>
      <c r="AS680" s="162"/>
      <c r="AT680" s="161"/>
      <c r="AU680" s="161"/>
      <c r="AV680" s="161"/>
      <c r="AW680" s="161"/>
      <c r="AX680" s="161"/>
      <c r="AY680" s="161"/>
      <c r="AZ680" s="161"/>
      <c r="BA680" s="161"/>
      <c r="BB680" s="161"/>
      <c r="BC680" s="161"/>
      <c r="BD680" s="161"/>
      <c r="BE680" s="161"/>
      <c r="BF680" s="161"/>
      <c r="BG680" s="161"/>
      <c r="BH680" s="161"/>
      <c r="BI680" s="161"/>
      <c r="BJ680" s="161"/>
      <c r="BK680" s="161"/>
      <c r="BL680" s="161"/>
      <c r="BM680" s="161"/>
      <c r="BN680" s="161"/>
      <c r="BO680" s="161"/>
      <c r="BP680" s="161"/>
      <c r="BQ680" s="161"/>
      <c r="BR680" s="161"/>
      <c r="BS680" s="161"/>
      <c r="BT680" s="161"/>
      <c r="BU680" s="161"/>
      <c r="BV680" s="161"/>
      <c r="BW680" s="161"/>
      <c r="BX680" s="161"/>
      <c r="BY680" s="161"/>
    </row>
    <row r="681" spans="1:77">
      <c r="A681" s="162"/>
      <c r="B681" s="162"/>
      <c r="C681" s="162"/>
      <c r="D681" s="162"/>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c r="AC681" s="162"/>
      <c r="AD681" s="162"/>
      <c r="AE681" s="162"/>
      <c r="AF681" s="162"/>
      <c r="AG681" s="162"/>
      <c r="AH681" s="162"/>
      <c r="AI681" s="162"/>
      <c r="AJ681" s="162"/>
      <c r="AK681" s="162"/>
      <c r="AL681" s="162"/>
      <c r="AM681" s="162"/>
      <c r="AN681" s="162"/>
      <c r="AO681" s="162"/>
      <c r="AP681" s="162"/>
      <c r="AQ681" s="162"/>
      <c r="AR681" s="162"/>
      <c r="AS681" s="162"/>
      <c r="AT681" s="161"/>
      <c r="AU681" s="161"/>
      <c r="AV681" s="161"/>
      <c r="AW681" s="161"/>
      <c r="AX681" s="161"/>
      <c r="AY681" s="161"/>
      <c r="AZ681" s="161"/>
      <c r="BA681" s="161"/>
      <c r="BB681" s="161"/>
      <c r="BC681" s="161"/>
      <c r="BD681" s="161"/>
      <c r="BE681" s="161"/>
      <c r="BF681" s="161"/>
      <c r="BG681" s="161"/>
      <c r="BH681" s="161"/>
      <c r="BI681" s="161"/>
      <c r="BJ681" s="161"/>
      <c r="BK681" s="161"/>
      <c r="BL681" s="161"/>
      <c r="BM681" s="161"/>
      <c r="BN681" s="161"/>
      <c r="BO681" s="161"/>
      <c r="BP681" s="161"/>
      <c r="BQ681" s="161"/>
      <c r="BR681" s="161"/>
      <c r="BS681" s="161"/>
      <c r="BT681" s="161"/>
      <c r="BU681" s="161"/>
      <c r="BV681" s="161"/>
      <c r="BW681" s="161"/>
      <c r="BX681" s="161"/>
      <c r="BY681" s="161"/>
    </row>
    <row r="682" spans="1:77">
      <c r="A682" s="162"/>
      <c r="B682" s="162"/>
      <c r="C682" s="162"/>
      <c r="D682" s="162"/>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c r="AC682" s="162"/>
      <c r="AD682" s="162"/>
      <c r="AE682" s="162"/>
      <c r="AF682" s="162"/>
      <c r="AG682" s="162"/>
      <c r="AH682" s="162"/>
      <c r="AI682" s="162"/>
      <c r="AJ682" s="162"/>
      <c r="AK682" s="162"/>
      <c r="AL682" s="162"/>
      <c r="AM682" s="162"/>
      <c r="AN682" s="162"/>
      <c r="AO682" s="162"/>
      <c r="AP682" s="162"/>
      <c r="AQ682" s="162"/>
      <c r="AR682" s="162"/>
      <c r="AS682" s="162"/>
      <c r="AT682" s="161"/>
      <c r="AU682" s="161"/>
      <c r="AV682" s="161"/>
      <c r="AW682" s="161"/>
      <c r="AX682" s="161"/>
      <c r="AY682" s="161"/>
      <c r="AZ682" s="161"/>
      <c r="BA682" s="161"/>
      <c r="BB682" s="161"/>
      <c r="BC682" s="161"/>
      <c r="BD682" s="161"/>
      <c r="BE682" s="161"/>
      <c r="BF682" s="161"/>
      <c r="BG682" s="161"/>
      <c r="BH682" s="161"/>
      <c r="BI682" s="161"/>
      <c r="BJ682" s="161"/>
      <c r="BK682" s="161"/>
      <c r="BL682" s="161"/>
      <c r="BM682" s="161"/>
      <c r="BN682" s="161"/>
      <c r="BO682" s="161"/>
      <c r="BP682" s="161"/>
      <c r="BQ682" s="161"/>
      <c r="BR682" s="161"/>
      <c r="BS682" s="161"/>
      <c r="BT682" s="161"/>
      <c r="BU682" s="161"/>
      <c r="BV682" s="161"/>
      <c r="BW682" s="161"/>
      <c r="BX682" s="161"/>
      <c r="BY682" s="161"/>
    </row>
    <row r="683" spans="1:77">
      <c r="A683" s="162"/>
      <c r="B683" s="162"/>
      <c r="C683" s="162"/>
      <c r="D683" s="162"/>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c r="AC683" s="162"/>
      <c r="AD683" s="162"/>
      <c r="AE683" s="162"/>
      <c r="AF683" s="162"/>
      <c r="AG683" s="162"/>
      <c r="AH683" s="162"/>
      <c r="AI683" s="162"/>
      <c r="AJ683" s="162"/>
      <c r="AK683" s="162"/>
      <c r="AL683" s="162"/>
      <c r="AM683" s="162"/>
      <c r="AN683" s="162"/>
      <c r="AO683" s="162"/>
      <c r="AP683" s="162"/>
      <c r="AQ683" s="162"/>
      <c r="AR683" s="162"/>
      <c r="AS683" s="162"/>
      <c r="AT683" s="161"/>
      <c r="AU683" s="161"/>
      <c r="AV683" s="161"/>
      <c r="AW683" s="161"/>
      <c r="AX683" s="161"/>
      <c r="AY683" s="161"/>
      <c r="AZ683" s="161"/>
      <c r="BA683" s="161"/>
      <c r="BB683" s="161"/>
      <c r="BC683" s="161"/>
      <c r="BD683" s="161"/>
      <c r="BE683" s="161"/>
      <c r="BF683" s="161"/>
      <c r="BG683" s="161"/>
      <c r="BH683" s="161"/>
      <c r="BI683" s="161"/>
      <c r="BJ683" s="161"/>
      <c r="BK683" s="161"/>
      <c r="BL683" s="161"/>
      <c r="BM683" s="161"/>
      <c r="BN683" s="161"/>
      <c r="BO683" s="161"/>
      <c r="BP683" s="161"/>
      <c r="BQ683" s="161"/>
      <c r="BR683" s="161"/>
      <c r="BS683" s="161"/>
      <c r="BT683" s="161"/>
      <c r="BU683" s="161"/>
      <c r="BV683" s="161"/>
      <c r="BW683" s="161"/>
      <c r="BX683" s="161"/>
      <c r="BY683" s="161"/>
    </row>
    <row r="684" spans="1:77">
      <c r="A684" s="162"/>
      <c r="B684" s="162"/>
      <c r="C684" s="162"/>
      <c r="D684" s="162"/>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c r="AC684" s="162"/>
      <c r="AD684" s="162"/>
      <c r="AE684" s="162"/>
      <c r="AF684" s="162"/>
      <c r="AG684" s="162"/>
      <c r="AH684" s="162"/>
      <c r="AI684" s="162"/>
      <c r="AJ684" s="162"/>
      <c r="AK684" s="162"/>
      <c r="AL684" s="162"/>
      <c r="AM684" s="162"/>
      <c r="AN684" s="162"/>
      <c r="AO684" s="162"/>
      <c r="AP684" s="162"/>
      <c r="AQ684" s="162"/>
      <c r="AR684" s="162"/>
      <c r="AS684" s="162"/>
      <c r="AT684" s="161"/>
      <c r="AU684" s="161"/>
      <c r="AV684" s="161"/>
      <c r="AW684" s="161"/>
      <c r="AX684" s="161"/>
      <c r="AY684" s="161"/>
      <c r="AZ684" s="161"/>
      <c r="BA684" s="161"/>
      <c r="BB684" s="161"/>
      <c r="BC684" s="161"/>
      <c r="BD684" s="161"/>
      <c r="BE684" s="161"/>
      <c r="BF684" s="161"/>
      <c r="BG684" s="161"/>
      <c r="BH684" s="161"/>
      <c r="BI684" s="161"/>
      <c r="BJ684" s="161"/>
      <c r="BK684" s="161"/>
      <c r="BL684" s="161"/>
      <c r="BM684" s="161"/>
      <c r="BN684" s="161"/>
      <c r="BO684" s="161"/>
      <c r="BP684" s="161"/>
      <c r="BQ684" s="161"/>
      <c r="BR684" s="161"/>
      <c r="BS684" s="161"/>
      <c r="BT684" s="161"/>
      <c r="BU684" s="161"/>
      <c r="BV684" s="161"/>
      <c r="BW684" s="161"/>
      <c r="BX684" s="161"/>
      <c r="BY684" s="161"/>
    </row>
    <row r="685" spans="1:77">
      <c r="A685" s="162"/>
      <c r="B685" s="162"/>
      <c r="C685" s="162"/>
      <c r="D685" s="162"/>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c r="AC685" s="162"/>
      <c r="AD685" s="162"/>
      <c r="AE685" s="162"/>
      <c r="AF685" s="162"/>
      <c r="AG685" s="162"/>
      <c r="AH685" s="162"/>
      <c r="AI685" s="162"/>
      <c r="AJ685" s="162"/>
      <c r="AK685" s="162"/>
      <c r="AL685" s="162"/>
      <c r="AM685" s="162"/>
      <c r="AN685" s="162"/>
      <c r="AO685" s="162"/>
      <c r="AP685" s="162"/>
      <c r="AQ685" s="162"/>
      <c r="AR685" s="162"/>
      <c r="AS685" s="162"/>
      <c r="AT685" s="161"/>
      <c r="AU685" s="161"/>
      <c r="AV685" s="161"/>
      <c r="AW685" s="161"/>
      <c r="AX685" s="161"/>
      <c r="AY685" s="161"/>
      <c r="AZ685" s="161"/>
      <c r="BA685" s="161"/>
      <c r="BB685" s="161"/>
      <c r="BC685" s="161"/>
      <c r="BD685" s="161"/>
      <c r="BE685" s="161"/>
      <c r="BF685" s="161"/>
      <c r="BG685" s="161"/>
      <c r="BH685" s="161"/>
      <c r="BI685" s="161"/>
      <c r="BJ685" s="161"/>
      <c r="BK685" s="161"/>
      <c r="BL685" s="161"/>
      <c r="BM685" s="161"/>
      <c r="BN685" s="161"/>
      <c r="BO685" s="161"/>
      <c r="BP685" s="161"/>
      <c r="BQ685" s="161"/>
      <c r="BR685" s="161"/>
      <c r="BS685" s="161"/>
      <c r="BT685" s="161"/>
      <c r="BU685" s="161"/>
      <c r="BV685" s="161"/>
      <c r="BW685" s="161"/>
      <c r="BX685" s="161"/>
      <c r="BY685" s="161"/>
    </row>
    <row r="686" spans="1:77">
      <c r="A686" s="162"/>
      <c r="B686" s="162"/>
      <c r="C686" s="162"/>
      <c r="D686" s="162"/>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c r="AC686" s="162"/>
      <c r="AD686" s="162"/>
      <c r="AE686" s="162"/>
      <c r="AF686" s="162"/>
      <c r="AG686" s="162"/>
      <c r="AH686" s="162"/>
      <c r="AI686" s="162"/>
      <c r="AJ686" s="162"/>
      <c r="AK686" s="162"/>
      <c r="AL686" s="162"/>
      <c r="AM686" s="162"/>
      <c r="AN686" s="162"/>
      <c r="AO686" s="162"/>
      <c r="AP686" s="162"/>
      <c r="AQ686" s="162"/>
      <c r="AR686" s="162"/>
      <c r="AS686" s="162"/>
      <c r="AT686" s="161"/>
      <c r="AU686" s="161"/>
      <c r="AV686" s="161"/>
      <c r="AW686" s="161"/>
      <c r="AX686" s="161"/>
      <c r="AY686" s="161"/>
      <c r="AZ686" s="161"/>
      <c r="BA686" s="161"/>
      <c r="BB686" s="161"/>
      <c r="BC686" s="161"/>
      <c r="BD686" s="161"/>
      <c r="BE686" s="161"/>
      <c r="BF686" s="161"/>
      <c r="BG686" s="161"/>
      <c r="BH686" s="161"/>
      <c r="BI686" s="161"/>
      <c r="BJ686" s="161"/>
      <c r="BK686" s="161"/>
      <c r="BL686" s="161"/>
      <c r="BM686" s="161"/>
      <c r="BN686" s="161"/>
      <c r="BO686" s="161"/>
      <c r="BP686" s="161"/>
      <c r="BQ686" s="161"/>
      <c r="BR686" s="161"/>
      <c r="BS686" s="161"/>
      <c r="BT686" s="161"/>
      <c r="BU686" s="161"/>
      <c r="BV686" s="161"/>
      <c r="BW686" s="161"/>
      <c r="BX686" s="161"/>
      <c r="BY686" s="161"/>
    </row>
    <row r="687" spans="1:77">
      <c r="A687" s="162"/>
      <c r="B687" s="162"/>
      <c r="C687" s="162"/>
      <c r="D687" s="162"/>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c r="AC687" s="162"/>
      <c r="AD687" s="162"/>
      <c r="AE687" s="162"/>
      <c r="AF687" s="162"/>
      <c r="AG687" s="162"/>
      <c r="AH687" s="162"/>
      <c r="AI687" s="162"/>
      <c r="AJ687" s="162"/>
      <c r="AK687" s="162"/>
      <c r="AL687" s="162"/>
      <c r="AM687" s="162"/>
      <c r="AN687" s="162"/>
      <c r="AO687" s="162"/>
      <c r="AP687" s="162"/>
      <c r="AQ687" s="162"/>
      <c r="AR687" s="162"/>
      <c r="AS687" s="162"/>
      <c r="AT687" s="161"/>
      <c r="AU687" s="161"/>
      <c r="AV687" s="161"/>
      <c r="AW687" s="161"/>
      <c r="AX687" s="161"/>
      <c r="AY687" s="161"/>
      <c r="AZ687" s="161"/>
      <c r="BA687" s="161"/>
      <c r="BB687" s="161"/>
      <c r="BC687" s="161"/>
      <c r="BD687" s="161"/>
      <c r="BE687" s="161"/>
      <c r="BF687" s="161"/>
      <c r="BG687" s="161"/>
      <c r="BH687" s="161"/>
      <c r="BI687" s="161"/>
      <c r="BJ687" s="161"/>
      <c r="BK687" s="161"/>
      <c r="BL687" s="161"/>
      <c r="BM687" s="161"/>
      <c r="BN687" s="161"/>
      <c r="BO687" s="161"/>
      <c r="BP687" s="161"/>
      <c r="BQ687" s="161"/>
      <c r="BR687" s="161"/>
      <c r="BS687" s="161"/>
      <c r="BT687" s="161"/>
      <c r="BU687" s="161"/>
      <c r="BV687" s="161"/>
      <c r="BW687" s="161"/>
      <c r="BX687" s="161"/>
      <c r="BY687" s="161"/>
    </row>
    <row r="688" spans="1:77">
      <c r="A688" s="162"/>
      <c r="B688" s="162"/>
      <c r="C688" s="162"/>
      <c r="D688" s="162"/>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c r="AC688" s="162"/>
      <c r="AD688" s="162"/>
      <c r="AE688" s="162"/>
      <c r="AF688" s="162"/>
      <c r="AG688" s="162"/>
      <c r="AH688" s="162"/>
      <c r="AI688" s="162"/>
      <c r="AJ688" s="162"/>
      <c r="AK688" s="162"/>
      <c r="AL688" s="162"/>
      <c r="AM688" s="162"/>
      <c r="AN688" s="162"/>
      <c r="AO688" s="162"/>
      <c r="AP688" s="162"/>
      <c r="AQ688" s="162"/>
      <c r="AR688" s="162"/>
      <c r="AS688" s="162"/>
      <c r="AT688" s="161"/>
      <c r="AU688" s="161"/>
      <c r="AV688" s="161"/>
      <c r="AW688" s="161"/>
      <c r="AX688" s="161"/>
      <c r="AY688" s="161"/>
      <c r="AZ688" s="161"/>
      <c r="BA688" s="161"/>
      <c r="BB688" s="161"/>
      <c r="BC688" s="161"/>
      <c r="BD688" s="161"/>
      <c r="BE688" s="161"/>
      <c r="BF688" s="161"/>
      <c r="BG688" s="161"/>
      <c r="BH688" s="161"/>
      <c r="BI688" s="161"/>
      <c r="BJ688" s="161"/>
      <c r="BK688" s="161"/>
      <c r="BL688" s="161"/>
      <c r="BM688" s="161"/>
      <c r="BN688" s="161"/>
      <c r="BO688" s="161"/>
      <c r="BP688" s="161"/>
      <c r="BQ688" s="161"/>
      <c r="BR688" s="161"/>
      <c r="BS688" s="161"/>
      <c r="BT688" s="161"/>
      <c r="BU688" s="161"/>
      <c r="BV688" s="161"/>
      <c r="BW688" s="161"/>
      <c r="BX688" s="161"/>
      <c r="BY688" s="161"/>
    </row>
    <row r="689" spans="1:77">
      <c r="A689" s="162"/>
      <c r="B689" s="162"/>
      <c r="C689" s="162"/>
      <c r="D689" s="162"/>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c r="AC689" s="162"/>
      <c r="AD689" s="162"/>
      <c r="AE689" s="162"/>
      <c r="AF689" s="162"/>
      <c r="AG689" s="162"/>
      <c r="AH689" s="162"/>
      <c r="AI689" s="162"/>
      <c r="AJ689" s="162"/>
      <c r="AK689" s="162"/>
      <c r="AL689" s="162"/>
      <c r="AM689" s="162"/>
      <c r="AN689" s="162"/>
      <c r="AO689" s="162"/>
      <c r="AP689" s="162"/>
      <c r="AQ689" s="162"/>
      <c r="AR689" s="162"/>
      <c r="AS689" s="162"/>
      <c r="AT689" s="161"/>
      <c r="AU689" s="161"/>
      <c r="AV689" s="161"/>
      <c r="AW689" s="161"/>
      <c r="AX689" s="161"/>
      <c r="AY689" s="161"/>
      <c r="AZ689" s="161"/>
      <c r="BA689" s="161"/>
      <c r="BB689" s="161"/>
      <c r="BC689" s="161"/>
      <c r="BD689" s="161"/>
      <c r="BE689" s="161"/>
      <c r="BF689" s="161"/>
      <c r="BG689" s="161"/>
      <c r="BH689" s="161"/>
      <c r="BI689" s="161"/>
      <c r="BJ689" s="161"/>
      <c r="BK689" s="161"/>
      <c r="BL689" s="161"/>
      <c r="BM689" s="161"/>
      <c r="BN689" s="161"/>
      <c r="BO689" s="161"/>
      <c r="BP689" s="161"/>
      <c r="BQ689" s="161"/>
      <c r="BR689" s="161"/>
      <c r="BS689" s="161"/>
      <c r="BT689" s="161"/>
      <c r="BU689" s="161"/>
      <c r="BV689" s="161"/>
      <c r="BW689" s="161"/>
      <c r="BX689" s="161"/>
      <c r="BY689" s="161"/>
    </row>
    <row r="690" spans="1:77">
      <c r="A690" s="162"/>
      <c r="B690" s="162"/>
      <c r="C690" s="162"/>
      <c r="D690" s="162"/>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c r="AC690" s="162"/>
      <c r="AD690" s="162"/>
      <c r="AE690" s="162"/>
      <c r="AF690" s="162"/>
      <c r="AG690" s="162"/>
      <c r="AH690" s="162"/>
      <c r="AI690" s="162"/>
      <c r="AJ690" s="162"/>
      <c r="AK690" s="162"/>
      <c r="AL690" s="162"/>
      <c r="AM690" s="162"/>
      <c r="AN690" s="162"/>
      <c r="AO690" s="162"/>
      <c r="AP690" s="162"/>
      <c r="AQ690" s="162"/>
      <c r="AR690" s="162"/>
      <c r="AS690" s="162"/>
      <c r="AT690" s="161"/>
      <c r="AU690" s="161"/>
      <c r="AV690" s="161"/>
      <c r="AW690" s="161"/>
      <c r="AX690" s="161"/>
      <c r="AY690" s="161"/>
      <c r="AZ690" s="161"/>
      <c r="BA690" s="161"/>
      <c r="BB690" s="161"/>
      <c r="BC690" s="161"/>
      <c r="BD690" s="161"/>
      <c r="BE690" s="161"/>
      <c r="BF690" s="161"/>
      <c r="BG690" s="161"/>
      <c r="BH690" s="161"/>
      <c r="BI690" s="161"/>
      <c r="BJ690" s="161"/>
      <c r="BK690" s="161"/>
      <c r="BL690" s="161"/>
      <c r="BM690" s="161"/>
      <c r="BN690" s="161"/>
      <c r="BO690" s="161"/>
      <c r="BP690" s="161"/>
      <c r="BQ690" s="161"/>
      <c r="BR690" s="161"/>
      <c r="BS690" s="161"/>
      <c r="BT690" s="161"/>
      <c r="BU690" s="161"/>
      <c r="BV690" s="161"/>
      <c r="BW690" s="161"/>
      <c r="BX690" s="161"/>
      <c r="BY690" s="161"/>
    </row>
    <row r="691" spans="1:77">
      <c r="A691" s="162"/>
      <c r="B691" s="162"/>
      <c r="C691" s="162"/>
      <c r="D691" s="162"/>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c r="AC691" s="162"/>
      <c r="AD691" s="162"/>
      <c r="AE691" s="162"/>
      <c r="AF691" s="162"/>
      <c r="AG691" s="162"/>
      <c r="AH691" s="162"/>
      <c r="AI691" s="162"/>
      <c r="AJ691" s="162"/>
      <c r="AK691" s="162"/>
      <c r="AL691" s="162"/>
      <c r="AM691" s="162"/>
      <c r="AN691" s="162"/>
      <c r="AO691" s="162"/>
      <c r="AP691" s="162"/>
      <c r="AQ691" s="162"/>
      <c r="AR691" s="162"/>
      <c r="AS691" s="162"/>
      <c r="AT691" s="161"/>
      <c r="AU691" s="161"/>
      <c r="AV691" s="161"/>
      <c r="AW691" s="161"/>
      <c r="AX691" s="161"/>
      <c r="AY691" s="161"/>
      <c r="AZ691" s="161"/>
      <c r="BA691" s="161"/>
      <c r="BB691" s="161"/>
      <c r="BC691" s="161"/>
      <c r="BD691" s="161"/>
      <c r="BE691" s="161"/>
      <c r="BF691" s="161"/>
      <c r="BG691" s="161"/>
      <c r="BH691" s="161"/>
      <c r="BI691" s="161"/>
      <c r="BJ691" s="161"/>
      <c r="BK691" s="161"/>
      <c r="BL691" s="161"/>
      <c r="BM691" s="161"/>
      <c r="BN691" s="161"/>
      <c r="BO691" s="161"/>
      <c r="BP691" s="161"/>
      <c r="BQ691" s="161"/>
      <c r="BR691" s="161"/>
      <c r="BS691" s="161"/>
      <c r="BT691" s="161"/>
      <c r="BU691" s="161"/>
      <c r="BV691" s="161"/>
      <c r="BW691" s="161"/>
      <c r="BX691" s="161"/>
      <c r="BY691" s="161"/>
    </row>
    <row r="692" spans="1:77">
      <c r="A692" s="162"/>
      <c r="B692" s="162"/>
      <c r="C692" s="162"/>
      <c r="D692" s="162"/>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c r="AC692" s="162"/>
      <c r="AD692" s="162"/>
      <c r="AE692" s="162"/>
      <c r="AF692" s="162"/>
      <c r="AG692" s="162"/>
      <c r="AH692" s="162"/>
      <c r="AI692" s="162"/>
      <c r="AJ692" s="162"/>
      <c r="AK692" s="162"/>
      <c r="AL692" s="162"/>
      <c r="AM692" s="162"/>
      <c r="AN692" s="162"/>
      <c r="AO692" s="162"/>
      <c r="AP692" s="162"/>
      <c r="AQ692" s="162"/>
      <c r="AR692" s="162"/>
      <c r="AS692" s="162"/>
      <c r="AT692" s="161"/>
      <c r="AU692" s="161"/>
      <c r="AV692" s="161"/>
      <c r="AW692" s="161"/>
      <c r="AX692" s="161"/>
      <c r="AY692" s="161"/>
      <c r="AZ692" s="161"/>
      <c r="BA692" s="161"/>
      <c r="BB692" s="161"/>
      <c r="BC692" s="161"/>
      <c r="BD692" s="161"/>
      <c r="BE692" s="161"/>
      <c r="BF692" s="161"/>
      <c r="BG692" s="161"/>
      <c r="BH692" s="161"/>
      <c r="BI692" s="161"/>
      <c r="BJ692" s="161"/>
      <c r="BK692" s="161"/>
      <c r="BL692" s="161"/>
      <c r="BM692" s="161"/>
      <c r="BN692" s="161"/>
      <c r="BO692" s="161"/>
      <c r="BP692" s="161"/>
      <c r="BQ692" s="161"/>
      <c r="BR692" s="161"/>
      <c r="BS692" s="161"/>
      <c r="BT692" s="161"/>
      <c r="BU692" s="161"/>
      <c r="BV692" s="161"/>
      <c r="BW692" s="161"/>
      <c r="BX692" s="161"/>
      <c r="BY692" s="161"/>
    </row>
    <row r="693" spans="1:77">
      <c r="A693" s="162"/>
      <c r="B693" s="162"/>
      <c r="C693" s="162"/>
      <c r="D693" s="162"/>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c r="AC693" s="162"/>
      <c r="AD693" s="162"/>
      <c r="AE693" s="162"/>
      <c r="AF693" s="162"/>
      <c r="AG693" s="162"/>
      <c r="AH693" s="162"/>
      <c r="AI693" s="162"/>
      <c r="AJ693" s="162"/>
      <c r="AK693" s="162"/>
      <c r="AL693" s="162"/>
      <c r="AM693" s="162"/>
      <c r="AN693" s="162"/>
      <c r="AO693" s="162"/>
      <c r="AP693" s="162"/>
      <c r="AQ693" s="162"/>
      <c r="AR693" s="162"/>
      <c r="AS693" s="162"/>
      <c r="AT693" s="161"/>
      <c r="AU693" s="161"/>
      <c r="AV693" s="161"/>
      <c r="AW693" s="161"/>
      <c r="AX693" s="161"/>
      <c r="AY693" s="161"/>
      <c r="AZ693" s="161"/>
      <c r="BA693" s="161"/>
      <c r="BB693" s="161"/>
      <c r="BC693" s="161"/>
      <c r="BD693" s="161"/>
      <c r="BE693" s="161"/>
      <c r="BF693" s="161"/>
      <c r="BG693" s="161"/>
      <c r="BH693" s="161"/>
      <c r="BI693" s="161"/>
      <c r="BJ693" s="161"/>
      <c r="BK693" s="161"/>
      <c r="BL693" s="161"/>
      <c r="BM693" s="161"/>
      <c r="BN693" s="161"/>
      <c r="BO693" s="161"/>
      <c r="BP693" s="161"/>
      <c r="BQ693" s="161"/>
      <c r="BR693" s="161"/>
      <c r="BS693" s="161"/>
      <c r="BT693" s="161"/>
      <c r="BU693" s="161"/>
      <c r="BV693" s="161"/>
      <c r="BW693" s="161"/>
      <c r="BX693" s="161"/>
      <c r="BY693" s="161"/>
    </row>
    <row r="694" spans="1:77">
      <c r="A694" s="162"/>
      <c r="B694" s="162"/>
      <c r="C694" s="162"/>
      <c r="D694" s="162"/>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c r="AC694" s="162"/>
      <c r="AD694" s="162"/>
      <c r="AE694" s="162"/>
      <c r="AF694" s="162"/>
      <c r="AG694" s="162"/>
      <c r="AH694" s="162"/>
      <c r="AI694" s="162"/>
      <c r="AJ694" s="162"/>
      <c r="AK694" s="162"/>
      <c r="AL694" s="162"/>
      <c r="AM694" s="162"/>
      <c r="AN694" s="162"/>
      <c r="AO694" s="162"/>
      <c r="AP694" s="162"/>
      <c r="AQ694" s="162"/>
      <c r="AR694" s="162"/>
      <c r="AS694" s="162"/>
      <c r="AT694" s="161"/>
      <c r="AU694" s="161"/>
      <c r="AV694" s="161"/>
      <c r="AW694" s="161"/>
      <c r="AX694" s="161"/>
      <c r="AY694" s="161"/>
      <c r="AZ694" s="161"/>
      <c r="BA694" s="161"/>
      <c r="BB694" s="161"/>
      <c r="BC694" s="161"/>
      <c r="BD694" s="161"/>
      <c r="BE694" s="161"/>
      <c r="BF694" s="161"/>
      <c r="BG694" s="161"/>
      <c r="BH694" s="161"/>
      <c r="BI694" s="161"/>
      <c r="BJ694" s="161"/>
      <c r="BK694" s="161"/>
      <c r="BL694" s="161"/>
      <c r="BM694" s="161"/>
      <c r="BN694" s="161"/>
      <c r="BO694" s="161"/>
      <c r="BP694" s="161"/>
      <c r="BQ694" s="161"/>
      <c r="BR694" s="161"/>
      <c r="BS694" s="161"/>
      <c r="BT694" s="161"/>
      <c r="BU694" s="161"/>
      <c r="BV694" s="161"/>
      <c r="BW694" s="161"/>
      <c r="BX694" s="161"/>
      <c r="BY694" s="161"/>
    </row>
    <row r="695" spans="1:77">
      <c r="A695" s="162"/>
      <c r="B695" s="162"/>
      <c r="C695" s="162"/>
      <c r="D695" s="162"/>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c r="AC695" s="162"/>
      <c r="AD695" s="162"/>
      <c r="AE695" s="162"/>
      <c r="AF695" s="162"/>
      <c r="AG695" s="162"/>
      <c r="AH695" s="162"/>
      <c r="AI695" s="162"/>
      <c r="AJ695" s="162"/>
      <c r="AK695" s="162"/>
      <c r="AL695" s="162"/>
      <c r="AM695" s="162"/>
      <c r="AN695" s="162"/>
      <c r="AO695" s="162"/>
      <c r="AP695" s="162"/>
      <c r="AQ695" s="162"/>
      <c r="AR695" s="162"/>
      <c r="AS695" s="162"/>
      <c r="AT695" s="161"/>
      <c r="AU695" s="161"/>
      <c r="AV695" s="161"/>
      <c r="AW695" s="161"/>
      <c r="AX695" s="161"/>
      <c r="AY695" s="161"/>
      <c r="AZ695" s="161"/>
      <c r="BA695" s="161"/>
      <c r="BB695" s="161"/>
      <c r="BC695" s="161"/>
      <c r="BD695" s="161"/>
      <c r="BE695" s="161"/>
      <c r="BF695" s="161"/>
      <c r="BG695" s="161"/>
      <c r="BH695" s="161"/>
      <c r="BI695" s="161"/>
      <c r="BJ695" s="161"/>
      <c r="BK695" s="161"/>
      <c r="BL695" s="161"/>
      <c r="BM695" s="161"/>
      <c r="BN695" s="161"/>
      <c r="BO695" s="161"/>
      <c r="BP695" s="161"/>
      <c r="BQ695" s="161"/>
      <c r="BR695" s="161"/>
      <c r="BS695" s="161"/>
      <c r="BT695" s="161"/>
      <c r="BU695" s="161"/>
      <c r="BV695" s="161"/>
      <c r="BW695" s="161"/>
      <c r="BX695" s="161"/>
      <c r="BY695" s="161"/>
    </row>
    <row r="696" spans="1:77">
      <c r="A696" s="162"/>
      <c r="B696" s="162"/>
      <c r="C696" s="162"/>
      <c r="D696" s="162"/>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c r="AC696" s="162"/>
      <c r="AD696" s="162"/>
      <c r="AE696" s="162"/>
      <c r="AF696" s="162"/>
      <c r="AG696" s="162"/>
      <c r="AH696" s="162"/>
      <c r="AI696" s="162"/>
      <c r="AJ696" s="162"/>
      <c r="AK696" s="162"/>
      <c r="AL696" s="162"/>
      <c r="AM696" s="162"/>
      <c r="AN696" s="162"/>
      <c r="AO696" s="162"/>
      <c r="AP696" s="162"/>
      <c r="AQ696" s="162"/>
      <c r="AR696" s="162"/>
      <c r="AS696" s="162"/>
      <c r="AT696" s="161"/>
      <c r="AU696" s="161"/>
      <c r="AV696" s="161"/>
      <c r="AW696" s="161"/>
      <c r="AX696" s="161"/>
      <c r="AY696" s="161"/>
      <c r="AZ696" s="161"/>
      <c r="BA696" s="161"/>
      <c r="BB696" s="161"/>
      <c r="BC696" s="161"/>
      <c r="BD696" s="161"/>
      <c r="BE696" s="161"/>
      <c r="BF696" s="161"/>
      <c r="BG696" s="161"/>
      <c r="BH696" s="161"/>
      <c r="BI696" s="161"/>
      <c r="BJ696" s="161"/>
      <c r="BK696" s="161"/>
      <c r="BL696" s="161"/>
      <c r="BM696" s="161"/>
      <c r="BN696" s="161"/>
      <c r="BO696" s="161"/>
      <c r="BP696" s="161"/>
      <c r="BQ696" s="161"/>
      <c r="BR696" s="161"/>
      <c r="BS696" s="161"/>
      <c r="BT696" s="161"/>
      <c r="BU696" s="161"/>
      <c r="BV696" s="161"/>
      <c r="BW696" s="161"/>
      <c r="BX696" s="161"/>
      <c r="BY696" s="161"/>
    </row>
    <row r="697" spans="1:77">
      <c r="A697" s="162"/>
      <c r="B697" s="162"/>
      <c r="C697" s="162"/>
      <c r="D697" s="162"/>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c r="AC697" s="162"/>
      <c r="AD697" s="162"/>
      <c r="AE697" s="162"/>
      <c r="AF697" s="162"/>
      <c r="AG697" s="162"/>
      <c r="AH697" s="162"/>
      <c r="AI697" s="162"/>
      <c r="AJ697" s="162"/>
      <c r="AK697" s="162"/>
      <c r="AL697" s="162"/>
      <c r="AM697" s="162"/>
      <c r="AN697" s="162"/>
      <c r="AO697" s="162"/>
      <c r="AP697" s="162"/>
      <c r="AQ697" s="162"/>
      <c r="AR697" s="162"/>
      <c r="AS697" s="162"/>
      <c r="AT697" s="161"/>
      <c r="AU697" s="161"/>
      <c r="AV697" s="161"/>
      <c r="AW697" s="161"/>
      <c r="AX697" s="161"/>
      <c r="AY697" s="161"/>
      <c r="AZ697" s="161"/>
      <c r="BA697" s="161"/>
      <c r="BB697" s="161"/>
      <c r="BC697" s="161"/>
      <c r="BD697" s="161"/>
      <c r="BE697" s="161"/>
      <c r="BF697" s="161"/>
      <c r="BG697" s="161"/>
      <c r="BH697" s="161"/>
      <c r="BI697" s="161"/>
      <c r="BJ697" s="161"/>
      <c r="BK697" s="161"/>
      <c r="BL697" s="161"/>
      <c r="BM697" s="161"/>
      <c r="BN697" s="161"/>
      <c r="BO697" s="161"/>
      <c r="BP697" s="161"/>
      <c r="BQ697" s="161"/>
      <c r="BR697" s="161"/>
      <c r="BS697" s="161"/>
      <c r="BT697" s="161"/>
      <c r="BU697" s="161"/>
      <c r="BV697" s="161"/>
      <c r="BW697" s="161"/>
      <c r="BX697" s="161"/>
      <c r="BY697" s="161"/>
    </row>
    <row r="698" spans="1:77">
      <c r="A698" s="162"/>
      <c r="B698" s="162"/>
      <c r="C698" s="162"/>
      <c r="D698" s="162"/>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c r="AC698" s="162"/>
      <c r="AD698" s="162"/>
      <c r="AE698" s="162"/>
      <c r="AF698" s="162"/>
      <c r="AG698" s="162"/>
      <c r="AH698" s="162"/>
      <c r="AI698" s="162"/>
      <c r="AJ698" s="162"/>
      <c r="AK698" s="162"/>
      <c r="AL698" s="162"/>
      <c r="AM698" s="162"/>
      <c r="AN698" s="162"/>
      <c r="AO698" s="162"/>
      <c r="AP698" s="162"/>
      <c r="AQ698" s="162"/>
      <c r="AR698" s="162"/>
      <c r="AS698" s="162"/>
      <c r="AT698" s="161"/>
      <c r="AU698" s="161"/>
      <c r="AV698" s="161"/>
      <c r="AW698" s="161"/>
      <c r="AX698" s="161"/>
      <c r="AY698" s="161"/>
      <c r="AZ698" s="161"/>
      <c r="BA698" s="161"/>
      <c r="BB698" s="161"/>
      <c r="BC698" s="161"/>
      <c r="BD698" s="161"/>
      <c r="BE698" s="161"/>
      <c r="BF698" s="161"/>
      <c r="BG698" s="161"/>
      <c r="BH698" s="161"/>
      <c r="BI698" s="161"/>
      <c r="BJ698" s="161"/>
      <c r="BK698" s="161"/>
      <c r="BL698" s="161"/>
      <c r="BM698" s="161"/>
      <c r="BN698" s="161"/>
      <c r="BO698" s="161"/>
      <c r="BP698" s="161"/>
      <c r="BQ698" s="161"/>
      <c r="BR698" s="161"/>
      <c r="BS698" s="161"/>
      <c r="BT698" s="161"/>
      <c r="BU698" s="161"/>
      <c r="BV698" s="161"/>
      <c r="BW698" s="161"/>
      <c r="BX698" s="161"/>
      <c r="BY698" s="161"/>
    </row>
    <row r="699" spans="1:77">
      <c r="A699" s="162"/>
      <c r="B699" s="162"/>
      <c r="C699" s="162"/>
      <c r="D699" s="162"/>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c r="AC699" s="162"/>
      <c r="AD699" s="162"/>
      <c r="AE699" s="162"/>
      <c r="AF699" s="162"/>
      <c r="AG699" s="162"/>
      <c r="AH699" s="162"/>
      <c r="AI699" s="162"/>
      <c r="AJ699" s="162"/>
      <c r="AK699" s="162"/>
      <c r="AL699" s="162"/>
      <c r="AM699" s="162"/>
      <c r="AN699" s="162"/>
      <c r="AO699" s="162"/>
      <c r="AP699" s="162"/>
      <c r="AQ699" s="162"/>
      <c r="AR699" s="162"/>
      <c r="AS699" s="162"/>
      <c r="AT699" s="161"/>
      <c r="AU699" s="161"/>
      <c r="AV699" s="161"/>
      <c r="AW699" s="161"/>
      <c r="AX699" s="161"/>
      <c r="AY699" s="161"/>
      <c r="AZ699" s="161"/>
      <c r="BA699" s="161"/>
      <c r="BB699" s="161"/>
      <c r="BC699" s="161"/>
      <c r="BD699" s="161"/>
      <c r="BE699" s="161"/>
      <c r="BF699" s="161"/>
      <c r="BG699" s="161"/>
      <c r="BH699" s="161"/>
      <c r="BI699" s="161"/>
      <c r="BJ699" s="161"/>
      <c r="BK699" s="161"/>
      <c r="BL699" s="161"/>
      <c r="BM699" s="161"/>
      <c r="BN699" s="161"/>
      <c r="BO699" s="161"/>
      <c r="BP699" s="161"/>
      <c r="BQ699" s="161"/>
      <c r="BR699" s="161"/>
      <c r="BS699" s="161"/>
      <c r="BT699" s="161"/>
      <c r="BU699" s="161"/>
      <c r="BV699" s="161"/>
      <c r="BW699" s="161"/>
      <c r="BX699" s="161"/>
      <c r="BY699" s="161"/>
    </row>
    <row r="700" spans="1:77">
      <c r="A700" s="162"/>
      <c r="B700" s="162"/>
      <c r="C700" s="162"/>
      <c r="D700" s="162"/>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c r="AC700" s="162"/>
      <c r="AD700" s="162"/>
      <c r="AE700" s="162"/>
      <c r="AF700" s="162"/>
      <c r="AG700" s="162"/>
      <c r="AH700" s="162"/>
      <c r="AI700" s="162"/>
      <c r="AJ700" s="162"/>
      <c r="AK700" s="162"/>
      <c r="AL700" s="162"/>
      <c r="AM700" s="162"/>
      <c r="AN700" s="162"/>
      <c r="AO700" s="162"/>
      <c r="AP700" s="162"/>
      <c r="AQ700" s="162"/>
      <c r="AR700" s="162"/>
      <c r="AS700" s="162"/>
      <c r="AT700" s="161"/>
      <c r="AU700" s="161"/>
      <c r="AV700" s="161"/>
      <c r="AW700" s="161"/>
      <c r="AX700" s="161"/>
      <c r="AY700" s="161"/>
      <c r="AZ700" s="161"/>
      <c r="BA700" s="161"/>
      <c r="BB700" s="161"/>
      <c r="BC700" s="161"/>
      <c r="BD700" s="161"/>
      <c r="BE700" s="161"/>
      <c r="BF700" s="161"/>
      <c r="BG700" s="161"/>
      <c r="BH700" s="161"/>
      <c r="BI700" s="161"/>
      <c r="BJ700" s="161"/>
      <c r="BK700" s="161"/>
      <c r="BL700" s="161"/>
      <c r="BM700" s="161"/>
      <c r="BN700" s="161"/>
      <c r="BO700" s="161"/>
      <c r="BP700" s="161"/>
      <c r="BQ700" s="161"/>
      <c r="BR700" s="161"/>
      <c r="BS700" s="161"/>
      <c r="BT700" s="161"/>
      <c r="BU700" s="161"/>
      <c r="BV700" s="161"/>
      <c r="BW700" s="161"/>
      <c r="BX700" s="161"/>
      <c r="BY700" s="161"/>
    </row>
    <row r="701" spans="1:77">
      <c r="A701" s="162"/>
      <c r="B701" s="162"/>
      <c r="C701" s="162"/>
      <c r="D701" s="162"/>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c r="AC701" s="162"/>
      <c r="AD701" s="162"/>
      <c r="AE701" s="162"/>
      <c r="AF701" s="162"/>
      <c r="AG701" s="162"/>
      <c r="AH701" s="162"/>
      <c r="AI701" s="162"/>
      <c r="AJ701" s="162"/>
      <c r="AK701" s="162"/>
      <c r="AL701" s="162"/>
      <c r="AM701" s="162"/>
      <c r="AN701" s="162"/>
      <c r="AO701" s="162"/>
      <c r="AP701" s="162"/>
      <c r="AQ701" s="162"/>
      <c r="AR701" s="162"/>
      <c r="AS701" s="162"/>
      <c r="AT701" s="161"/>
      <c r="AU701" s="161"/>
      <c r="AV701" s="161"/>
      <c r="AW701" s="161"/>
      <c r="AX701" s="161"/>
      <c r="AY701" s="161"/>
      <c r="AZ701" s="161"/>
      <c r="BA701" s="161"/>
      <c r="BB701" s="161"/>
      <c r="BC701" s="161"/>
      <c r="BD701" s="161"/>
      <c r="BE701" s="161"/>
      <c r="BF701" s="161"/>
      <c r="BG701" s="161"/>
      <c r="BH701" s="161"/>
      <c r="BI701" s="161"/>
      <c r="BJ701" s="161"/>
      <c r="BK701" s="161"/>
      <c r="BL701" s="161"/>
      <c r="BM701" s="161"/>
      <c r="BN701" s="161"/>
      <c r="BO701" s="161"/>
      <c r="BP701" s="161"/>
      <c r="BQ701" s="161"/>
      <c r="BR701" s="161"/>
      <c r="BS701" s="161"/>
      <c r="BT701" s="161"/>
      <c r="BU701" s="161"/>
      <c r="BV701" s="161"/>
      <c r="BW701" s="161"/>
      <c r="BX701" s="161"/>
      <c r="BY701" s="161"/>
    </row>
    <row r="702" spans="1:77">
      <c r="A702" s="162"/>
      <c r="B702" s="162"/>
      <c r="C702" s="162"/>
      <c r="D702" s="162"/>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c r="AC702" s="162"/>
      <c r="AD702" s="162"/>
      <c r="AE702" s="162"/>
      <c r="AF702" s="162"/>
      <c r="AG702" s="162"/>
      <c r="AH702" s="162"/>
      <c r="AI702" s="162"/>
      <c r="AJ702" s="162"/>
      <c r="AK702" s="162"/>
      <c r="AL702" s="162"/>
      <c r="AM702" s="162"/>
      <c r="AN702" s="162"/>
      <c r="AO702" s="162"/>
      <c r="AP702" s="162"/>
      <c r="AQ702" s="162"/>
      <c r="AR702" s="162"/>
      <c r="AS702" s="162"/>
      <c r="AT702" s="161"/>
      <c r="AU702" s="161"/>
      <c r="AV702" s="161"/>
      <c r="AW702" s="161"/>
      <c r="AX702" s="161"/>
      <c r="AY702" s="161"/>
      <c r="AZ702" s="161"/>
      <c r="BA702" s="161"/>
      <c r="BB702" s="161"/>
      <c r="BC702" s="161"/>
      <c r="BD702" s="161"/>
      <c r="BE702" s="161"/>
      <c r="BF702" s="161"/>
      <c r="BG702" s="161"/>
      <c r="BH702" s="161"/>
      <c r="BI702" s="161"/>
      <c r="BJ702" s="161"/>
      <c r="BK702" s="161"/>
      <c r="BL702" s="161"/>
      <c r="BM702" s="161"/>
      <c r="BN702" s="161"/>
      <c r="BO702" s="161"/>
      <c r="BP702" s="161"/>
      <c r="BQ702" s="161"/>
      <c r="BR702" s="161"/>
      <c r="BS702" s="161"/>
      <c r="BT702" s="161"/>
      <c r="BU702" s="161"/>
      <c r="BV702" s="161"/>
      <c r="BW702" s="161"/>
      <c r="BX702" s="161"/>
      <c r="BY702" s="161"/>
    </row>
    <row r="703" spans="1:77">
      <c r="A703" s="162"/>
      <c r="B703" s="162"/>
      <c r="C703" s="162"/>
      <c r="D703" s="162"/>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c r="AC703" s="162"/>
      <c r="AD703" s="162"/>
      <c r="AE703" s="162"/>
      <c r="AF703" s="162"/>
      <c r="AG703" s="162"/>
      <c r="AH703" s="162"/>
      <c r="AI703" s="162"/>
      <c r="AJ703" s="162"/>
      <c r="AK703" s="162"/>
      <c r="AL703" s="162"/>
      <c r="AM703" s="162"/>
      <c r="AN703" s="162"/>
      <c r="AO703" s="162"/>
      <c r="AP703" s="162"/>
      <c r="AQ703" s="162"/>
      <c r="AR703" s="162"/>
      <c r="AS703" s="162"/>
      <c r="AT703" s="161"/>
      <c r="AU703" s="161"/>
      <c r="AV703" s="161"/>
      <c r="AW703" s="161"/>
      <c r="AX703" s="161"/>
      <c r="AY703" s="161"/>
      <c r="AZ703" s="161"/>
      <c r="BA703" s="161"/>
      <c r="BB703" s="161"/>
      <c r="BC703" s="161"/>
      <c r="BD703" s="161"/>
      <c r="BE703" s="161"/>
      <c r="BF703" s="161"/>
      <c r="BG703" s="161"/>
      <c r="BH703" s="161"/>
      <c r="BI703" s="161"/>
      <c r="BJ703" s="161"/>
      <c r="BK703" s="161"/>
      <c r="BL703" s="161"/>
      <c r="BM703" s="161"/>
      <c r="BN703" s="161"/>
      <c r="BO703" s="161"/>
      <c r="BP703" s="161"/>
      <c r="BQ703" s="161"/>
      <c r="BR703" s="161"/>
      <c r="BS703" s="161"/>
      <c r="BT703" s="161"/>
      <c r="BU703" s="161"/>
      <c r="BV703" s="161"/>
      <c r="BW703" s="161"/>
      <c r="BX703" s="161"/>
      <c r="BY703" s="161"/>
    </row>
    <row r="704" spans="1:77">
      <c r="A704" s="162"/>
      <c r="B704" s="162"/>
      <c r="C704" s="162"/>
      <c r="D704" s="162"/>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c r="AC704" s="162"/>
      <c r="AD704" s="162"/>
      <c r="AE704" s="162"/>
      <c r="AF704" s="162"/>
      <c r="AG704" s="162"/>
      <c r="AH704" s="162"/>
      <c r="AI704" s="162"/>
      <c r="AJ704" s="162"/>
      <c r="AK704" s="162"/>
      <c r="AL704" s="162"/>
      <c r="AM704" s="162"/>
      <c r="AN704" s="162"/>
      <c r="AO704" s="162"/>
      <c r="AP704" s="162"/>
      <c r="AQ704" s="162"/>
      <c r="AR704" s="162"/>
      <c r="AS704" s="162"/>
      <c r="AT704" s="161"/>
      <c r="AU704" s="161"/>
      <c r="AV704" s="161"/>
      <c r="AW704" s="161"/>
      <c r="AX704" s="161"/>
      <c r="AY704" s="161"/>
      <c r="AZ704" s="161"/>
      <c r="BA704" s="161"/>
      <c r="BB704" s="161"/>
      <c r="BC704" s="161"/>
      <c r="BD704" s="161"/>
      <c r="BE704" s="161"/>
      <c r="BF704" s="161"/>
      <c r="BG704" s="161"/>
      <c r="BH704" s="161"/>
      <c r="BI704" s="161"/>
      <c r="BJ704" s="161"/>
      <c r="BK704" s="161"/>
      <c r="BL704" s="161"/>
      <c r="BM704" s="161"/>
      <c r="BN704" s="161"/>
      <c r="BO704" s="161"/>
      <c r="BP704" s="161"/>
      <c r="BQ704" s="161"/>
      <c r="BR704" s="161"/>
      <c r="BS704" s="161"/>
      <c r="BT704" s="161"/>
      <c r="BU704" s="161"/>
      <c r="BV704" s="161"/>
      <c r="BW704" s="161"/>
      <c r="BX704" s="161"/>
      <c r="BY704" s="161"/>
    </row>
    <row r="705" spans="1:77">
      <c r="A705" s="162"/>
      <c r="B705" s="162"/>
      <c r="C705" s="162"/>
      <c r="D705" s="162"/>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c r="AC705" s="162"/>
      <c r="AD705" s="162"/>
      <c r="AE705" s="162"/>
      <c r="AF705" s="162"/>
      <c r="AG705" s="162"/>
      <c r="AH705" s="162"/>
      <c r="AI705" s="162"/>
      <c r="AJ705" s="162"/>
      <c r="AK705" s="162"/>
      <c r="AL705" s="162"/>
      <c r="AM705" s="162"/>
      <c r="AN705" s="162"/>
      <c r="AO705" s="162"/>
      <c r="AP705" s="162"/>
      <c r="AQ705" s="162"/>
      <c r="AR705" s="162"/>
      <c r="AS705" s="162"/>
      <c r="AT705" s="161"/>
      <c r="AU705" s="161"/>
      <c r="AV705" s="161"/>
      <c r="AW705" s="161"/>
      <c r="AX705" s="161"/>
      <c r="AY705" s="161"/>
      <c r="AZ705" s="161"/>
      <c r="BA705" s="161"/>
      <c r="BB705" s="161"/>
      <c r="BC705" s="161"/>
      <c r="BD705" s="161"/>
      <c r="BE705" s="161"/>
      <c r="BF705" s="161"/>
      <c r="BG705" s="161"/>
      <c r="BH705" s="161"/>
      <c r="BI705" s="161"/>
      <c r="BJ705" s="161"/>
      <c r="BK705" s="161"/>
      <c r="BL705" s="161"/>
      <c r="BM705" s="161"/>
      <c r="BN705" s="161"/>
      <c r="BO705" s="161"/>
      <c r="BP705" s="161"/>
      <c r="BQ705" s="161"/>
      <c r="BR705" s="161"/>
      <c r="BS705" s="161"/>
      <c r="BT705" s="161"/>
      <c r="BU705" s="161"/>
      <c r="BV705" s="161"/>
      <c r="BW705" s="161"/>
      <c r="BX705" s="161"/>
      <c r="BY705" s="161"/>
    </row>
    <row r="706" spans="1:77">
      <c r="A706" s="162"/>
      <c r="B706" s="162"/>
      <c r="C706" s="162"/>
      <c r="D706" s="162"/>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c r="AC706" s="162"/>
      <c r="AD706" s="162"/>
      <c r="AE706" s="162"/>
      <c r="AF706" s="162"/>
      <c r="AG706" s="162"/>
      <c r="AH706" s="162"/>
      <c r="AI706" s="162"/>
      <c r="AJ706" s="162"/>
      <c r="AK706" s="162"/>
      <c r="AL706" s="162"/>
      <c r="AM706" s="162"/>
      <c r="AN706" s="162"/>
      <c r="AO706" s="162"/>
      <c r="AP706" s="162"/>
      <c r="AQ706" s="162"/>
      <c r="AR706" s="162"/>
      <c r="AS706" s="162"/>
      <c r="AT706" s="161"/>
      <c r="AU706" s="161"/>
      <c r="AV706" s="161"/>
      <c r="AW706" s="161"/>
      <c r="AX706" s="161"/>
      <c r="AY706" s="161"/>
      <c r="AZ706" s="161"/>
      <c r="BA706" s="161"/>
      <c r="BB706" s="161"/>
      <c r="BC706" s="161"/>
      <c r="BD706" s="161"/>
      <c r="BE706" s="161"/>
      <c r="BF706" s="161"/>
      <c r="BG706" s="161"/>
      <c r="BH706" s="161"/>
      <c r="BI706" s="161"/>
      <c r="BJ706" s="161"/>
      <c r="BK706" s="161"/>
      <c r="BL706" s="161"/>
      <c r="BM706" s="161"/>
      <c r="BN706" s="161"/>
      <c r="BO706" s="161"/>
      <c r="BP706" s="161"/>
      <c r="BQ706" s="161"/>
      <c r="BR706" s="161"/>
      <c r="BS706" s="161"/>
      <c r="BT706" s="161"/>
      <c r="BU706" s="161"/>
      <c r="BV706" s="161"/>
      <c r="BW706" s="161"/>
      <c r="BX706" s="161"/>
      <c r="BY706" s="161"/>
    </row>
    <row r="707" spans="1:77">
      <c r="A707" s="162"/>
      <c r="B707" s="162"/>
      <c r="C707" s="162"/>
      <c r="D707" s="162"/>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c r="AC707" s="162"/>
      <c r="AD707" s="162"/>
      <c r="AE707" s="162"/>
      <c r="AF707" s="162"/>
      <c r="AG707" s="162"/>
      <c r="AH707" s="162"/>
      <c r="AI707" s="162"/>
      <c r="AJ707" s="162"/>
      <c r="AK707" s="162"/>
      <c r="AL707" s="162"/>
      <c r="AM707" s="162"/>
      <c r="AN707" s="162"/>
      <c r="AO707" s="162"/>
      <c r="AP707" s="162"/>
      <c r="AQ707" s="162"/>
      <c r="AR707" s="162"/>
      <c r="AS707" s="162"/>
      <c r="AT707" s="161"/>
      <c r="AU707" s="161"/>
      <c r="AV707" s="161"/>
      <c r="AW707" s="161"/>
      <c r="AX707" s="161"/>
      <c r="AY707" s="161"/>
      <c r="AZ707" s="161"/>
      <c r="BA707" s="161"/>
      <c r="BB707" s="161"/>
      <c r="BC707" s="161"/>
      <c r="BD707" s="161"/>
      <c r="BE707" s="161"/>
      <c r="BF707" s="161"/>
      <c r="BG707" s="161"/>
      <c r="BH707" s="161"/>
      <c r="BI707" s="161"/>
      <c r="BJ707" s="161"/>
      <c r="BK707" s="161"/>
      <c r="BL707" s="161"/>
      <c r="BM707" s="161"/>
      <c r="BN707" s="161"/>
      <c r="BO707" s="161"/>
      <c r="BP707" s="161"/>
      <c r="BQ707" s="161"/>
      <c r="BR707" s="161"/>
      <c r="BS707" s="161"/>
      <c r="BT707" s="161"/>
      <c r="BU707" s="161"/>
      <c r="BV707" s="161"/>
      <c r="BW707" s="161"/>
      <c r="BX707" s="161"/>
      <c r="BY707" s="161"/>
    </row>
    <row r="708" spans="1:77">
      <c r="A708" s="162"/>
      <c r="B708" s="162"/>
      <c r="C708" s="162"/>
      <c r="D708" s="162"/>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c r="AC708" s="162"/>
      <c r="AD708" s="162"/>
      <c r="AE708" s="162"/>
      <c r="AF708" s="162"/>
      <c r="AG708" s="162"/>
      <c r="AH708" s="162"/>
      <c r="AI708" s="162"/>
      <c r="AJ708" s="162"/>
      <c r="AK708" s="162"/>
      <c r="AL708" s="162"/>
      <c r="AM708" s="162"/>
      <c r="AN708" s="162"/>
      <c r="AO708" s="162"/>
      <c r="AP708" s="162"/>
      <c r="AQ708" s="162"/>
      <c r="AR708" s="162"/>
      <c r="AS708" s="162"/>
      <c r="AT708" s="161"/>
      <c r="AU708" s="161"/>
      <c r="AV708" s="161"/>
      <c r="AW708" s="161"/>
      <c r="AX708" s="161"/>
      <c r="AY708" s="161"/>
      <c r="AZ708" s="161"/>
      <c r="BA708" s="161"/>
      <c r="BB708" s="161"/>
      <c r="BC708" s="161"/>
      <c r="BD708" s="161"/>
      <c r="BE708" s="161"/>
      <c r="BF708" s="161"/>
      <c r="BG708" s="161"/>
      <c r="BH708" s="161"/>
      <c r="BI708" s="161"/>
      <c r="BJ708" s="161"/>
      <c r="BK708" s="161"/>
      <c r="BL708" s="161"/>
      <c r="BM708" s="161"/>
      <c r="BN708" s="161"/>
      <c r="BO708" s="161"/>
      <c r="BP708" s="161"/>
      <c r="BQ708" s="161"/>
      <c r="BR708" s="161"/>
      <c r="BS708" s="161"/>
      <c r="BT708" s="161"/>
      <c r="BU708" s="161"/>
      <c r="BV708" s="161"/>
      <c r="BW708" s="161"/>
      <c r="BX708" s="161"/>
      <c r="BY708" s="161"/>
    </row>
    <row r="709" spans="1:77">
      <c r="A709" s="162"/>
      <c r="B709" s="162"/>
      <c r="C709" s="162"/>
      <c r="D709" s="162"/>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c r="AC709" s="162"/>
      <c r="AD709" s="162"/>
      <c r="AE709" s="162"/>
      <c r="AF709" s="162"/>
      <c r="AG709" s="162"/>
      <c r="AH709" s="162"/>
      <c r="AI709" s="162"/>
      <c r="AJ709" s="162"/>
      <c r="AK709" s="162"/>
      <c r="AL709" s="162"/>
      <c r="AM709" s="162"/>
      <c r="AN709" s="162"/>
      <c r="AO709" s="162"/>
      <c r="AP709" s="162"/>
      <c r="AQ709" s="162"/>
      <c r="AR709" s="162"/>
      <c r="AS709" s="162"/>
      <c r="AT709" s="161"/>
      <c r="AU709" s="161"/>
      <c r="AV709" s="161"/>
      <c r="AW709" s="161"/>
      <c r="AX709" s="161"/>
      <c r="AY709" s="161"/>
      <c r="AZ709" s="161"/>
      <c r="BA709" s="161"/>
      <c r="BB709" s="161"/>
      <c r="BC709" s="161"/>
      <c r="BD709" s="161"/>
      <c r="BE709" s="161"/>
      <c r="BF709" s="161"/>
      <c r="BG709" s="161"/>
      <c r="BH709" s="161"/>
      <c r="BI709" s="161"/>
      <c r="BJ709" s="161"/>
      <c r="BK709" s="161"/>
      <c r="BL709" s="161"/>
      <c r="BM709" s="161"/>
      <c r="BN709" s="161"/>
      <c r="BO709" s="161"/>
      <c r="BP709" s="161"/>
      <c r="BQ709" s="161"/>
      <c r="BR709" s="161"/>
      <c r="BS709" s="161"/>
      <c r="BT709" s="161"/>
      <c r="BU709" s="161"/>
      <c r="BV709" s="161"/>
      <c r="BW709" s="161"/>
      <c r="BX709" s="161"/>
      <c r="BY709" s="161"/>
    </row>
    <row r="710" spans="1:77">
      <c r="A710" s="162"/>
      <c r="B710" s="162"/>
      <c r="C710" s="162"/>
      <c r="D710" s="162"/>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c r="AC710" s="162"/>
      <c r="AD710" s="162"/>
      <c r="AE710" s="162"/>
      <c r="AF710" s="162"/>
      <c r="AG710" s="162"/>
      <c r="AH710" s="162"/>
      <c r="AI710" s="162"/>
      <c r="AJ710" s="162"/>
      <c r="AK710" s="162"/>
      <c r="AL710" s="162"/>
      <c r="AM710" s="162"/>
      <c r="AN710" s="162"/>
      <c r="AO710" s="162"/>
      <c r="AP710" s="162"/>
      <c r="AQ710" s="162"/>
      <c r="AR710" s="162"/>
      <c r="AS710" s="162"/>
      <c r="AT710" s="161"/>
      <c r="AU710" s="161"/>
      <c r="AV710" s="161"/>
      <c r="AW710" s="161"/>
      <c r="AX710" s="161"/>
      <c r="AY710" s="161"/>
      <c r="AZ710" s="161"/>
      <c r="BA710" s="161"/>
      <c r="BB710" s="161"/>
      <c r="BC710" s="161"/>
      <c r="BD710" s="161"/>
      <c r="BE710" s="161"/>
      <c r="BF710" s="161"/>
      <c r="BG710" s="161"/>
      <c r="BH710" s="161"/>
      <c r="BI710" s="161"/>
      <c r="BJ710" s="161"/>
      <c r="BK710" s="161"/>
      <c r="BL710" s="161"/>
      <c r="BM710" s="161"/>
      <c r="BN710" s="161"/>
      <c r="BO710" s="161"/>
      <c r="BP710" s="161"/>
      <c r="BQ710" s="161"/>
      <c r="BR710" s="161"/>
      <c r="BS710" s="161"/>
      <c r="BT710" s="161"/>
      <c r="BU710" s="161"/>
      <c r="BV710" s="161"/>
      <c r="BW710" s="161"/>
      <c r="BX710" s="161"/>
      <c r="BY710" s="161"/>
    </row>
    <row r="711" spans="1:77">
      <c r="A711" s="162"/>
      <c r="B711" s="162"/>
      <c r="C711" s="162"/>
      <c r="D711" s="162"/>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c r="AC711" s="162"/>
      <c r="AD711" s="162"/>
      <c r="AE711" s="162"/>
      <c r="AF711" s="162"/>
      <c r="AG711" s="162"/>
      <c r="AH711" s="162"/>
      <c r="AI711" s="162"/>
      <c r="AJ711" s="162"/>
      <c r="AK711" s="162"/>
      <c r="AL711" s="162"/>
      <c r="AM711" s="162"/>
      <c r="AN711" s="162"/>
      <c r="AO711" s="162"/>
      <c r="AP711" s="162"/>
      <c r="AQ711" s="162"/>
      <c r="AR711" s="162"/>
      <c r="AS711" s="162"/>
      <c r="AT711" s="161"/>
      <c r="AU711" s="161"/>
      <c r="AV711" s="161"/>
      <c r="AW711" s="161"/>
      <c r="AX711" s="161"/>
      <c r="AY711" s="161"/>
      <c r="AZ711" s="161"/>
      <c r="BA711" s="161"/>
      <c r="BB711" s="161"/>
      <c r="BC711" s="161"/>
      <c r="BD711" s="161"/>
      <c r="BE711" s="161"/>
      <c r="BF711" s="161"/>
      <c r="BG711" s="161"/>
      <c r="BH711" s="161"/>
      <c r="BI711" s="161"/>
      <c r="BJ711" s="161"/>
      <c r="BK711" s="161"/>
      <c r="BL711" s="161"/>
      <c r="BM711" s="161"/>
      <c r="BN711" s="161"/>
      <c r="BO711" s="161"/>
      <c r="BP711" s="161"/>
      <c r="BQ711" s="161"/>
      <c r="BR711" s="161"/>
      <c r="BS711" s="161"/>
      <c r="BT711" s="161"/>
      <c r="BU711" s="161"/>
      <c r="BV711" s="161"/>
      <c r="BW711" s="161"/>
      <c r="BX711" s="161"/>
      <c r="BY711" s="161"/>
    </row>
    <row r="712" spans="1:77">
      <c r="A712" s="162"/>
      <c r="B712" s="162"/>
      <c r="C712" s="162"/>
      <c r="D712" s="162"/>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c r="AC712" s="162"/>
      <c r="AD712" s="162"/>
      <c r="AE712" s="162"/>
      <c r="AF712" s="162"/>
      <c r="AG712" s="162"/>
      <c r="AH712" s="162"/>
      <c r="AI712" s="162"/>
      <c r="AJ712" s="162"/>
      <c r="AK712" s="162"/>
      <c r="AL712" s="162"/>
      <c r="AM712" s="162"/>
      <c r="AN712" s="162"/>
      <c r="AO712" s="162"/>
      <c r="AP712" s="162"/>
      <c r="AQ712" s="162"/>
      <c r="AR712" s="162"/>
      <c r="AS712" s="162"/>
      <c r="AT712" s="161"/>
      <c r="AU712" s="161"/>
      <c r="AV712" s="161"/>
      <c r="AW712" s="161"/>
      <c r="AX712" s="161"/>
      <c r="AY712" s="161"/>
      <c r="AZ712" s="161"/>
      <c r="BA712" s="161"/>
      <c r="BB712" s="161"/>
      <c r="BC712" s="161"/>
      <c r="BD712" s="161"/>
      <c r="BE712" s="161"/>
      <c r="BF712" s="161"/>
      <c r="BG712" s="161"/>
      <c r="BH712" s="161"/>
      <c r="BI712" s="161"/>
      <c r="BJ712" s="161"/>
      <c r="BK712" s="161"/>
      <c r="BL712" s="161"/>
      <c r="BM712" s="161"/>
      <c r="BN712" s="161"/>
      <c r="BO712" s="161"/>
      <c r="BP712" s="161"/>
      <c r="BQ712" s="161"/>
      <c r="BR712" s="161"/>
      <c r="BS712" s="161"/>
      <c r="BT712" s="161"/>
      <c r="BU712" s="161"/>
      <c r="BV712" s="161"/>
      <c r="BW712" s="161"/>
      <c r="BX712" s="161"/>
      <c r="BY712" s="161"/>
    </row>
    <row r="713" spans="1:77">
      <c r="A713" s="162"/>
      <c r="B713" s="162"/>
      <c r="C713" s="162"/>
      <c r="D713" s="162"/>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c r="AC713" s="162"/>
      <c r="AD713" s="162"/>
      <c r="AE713" s="162"/>
      <c r="AF713" s="162"/>
      <c r="AG713" s="162"/>
      <c r="AH713" s="162"/>
      <c r="AI713" s="162"/>
      <c r="AJ713" s="162"/>
      <c r="AK713" s="162"/>
      <c r="AL713" s="162"/>
      <c r="AM713" s="162"/>
      <c r="AN713" s="162"/>
      <c r="AO713" s="162"/>
      <c r="AP713" s="162"/>
      <c r="AQ713" s="162"/>
      <c r="AR713" s="162"/>
      <c r="AS713" s="162"/>
      <c r="AT713" s="161"/>
      <c r="AU713" s="161"/>
      <c r="AV713" s="161"/>
      <c r="AW713" s="161"/>
      <c r="AX713" s="161"/>
      <c r="AY713" s="161"/>
      <c r="AZ713" s="161"/>
      <c r="BA713" s="161"/>
      <c r="BB713" s="161"/>
      <c r="BC713" s="161"/>
      <c r="BD713" s="161"/>
      <c r="BE713" s="161"/>
      <c r="BF713" s="161"/>
      <c r="BG713" s="161"/>
      <c r="BH713" s="161"/>
      <c r="BI713" s="161"/>
      <c r="BJ713" s="161"/>
      <c r="BK713" s="161"/>
      <c r="BL713" s="161"/>
      <c r="BM713" s="161"/>
      <c r="BN713" s="161"/>
      <c r="BO713" s="161"/>
      <c r="BP713" s="161"/>
      <c r="BQ713" s="161"/>
      <c r="BR713" s="161"/>
      <c r="BS713" s="161"/>
      <c r="BT713" s="161"/>
      <c r="BU713" s="161"/>
      <c r="BV713" s="161"/>
      <c r="BW713" s="161"/>
      <c r="BX713" s="161"/>
      <c r="BY713" s="161"/>
    </row>
    <row r="714" spans="1:77">
      <c r="A714" s="162"/>
      <c r="B714" s="162"/>
      <c r="C714" s="162"/>
      <c r="D714" s="162"/>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c r="AC714" s="162"/>
      <c r="AD714" s="162"/>
      <c r="AE714" s="162"/>
      <c r="AF714" s="162"/>
      <c r="AG714" s="162"/>
      <c r="AH714" s="162"/>
      <c r="AI714" s="162"/>
      <c r="AJ714" s="162"/>
      <c r="AK714" s="162"/>
      <c r="AL714" s="162"/>
      <c r="AM714" s="162"/>
      <c r="AN714" s="162"/>
      <c r="AO714" s="162"/>
      <c r="AP714" s="162"/>
      <c r="AQ714" s="162"/>
      <c r="AR714" s="162"/>
      <c r="AS714" s="162"/>
      <c r="AT714" s="161"/>
      <c r="AU714" s="161"/>
      <c r="AV714" s="161"/>
      <c r="AW714" s="161"/>
      <c r="AX714" s="161"/>
      <c r="AY714" s="161"/>
      <c r="AZ714" s="161"/>
      <c r="BA714" s="161"/>
      <c r="BB714" s="161"/>
      <c r="BC714" s="161"/>
      <c r="BD714" s="161"/>
      <c r="BE714" s="161"/>
      <c r="BF714" s="161"/>
      <c r="BG714" s="161"/>
      <c r="BH714" s="161"/>
      <c r="BI714" s="161"/>
      <c r="BJ714" s="161"/>
      <c r="BK714" s="161"/>
      <c r="BL714" s="161"/>
      <c r="BM714" s="161"/>
      <c r="BN714" s="161"/>
      <c r="BO714" s="161"/>
      <c r="BP714" s="161"/>
      <c r="BQ714" s="161"/>
      <c r="BR714" s="161"/>
      <c r="BS714" s="161"/>
      <c r="BT714" s="161"/>
      <c r="BU714" s="161"/>
      <c r="BV714" s="161"/>
      <c r="BW714" s="161"/>
      <c r="BX714" s="161"/>
      <c r="BY714" s="161"/>
    </row>
    <row r="715" spans="1:77">
      <c r="A715" s="162"/>
      <c r="B715" s="162"/>
      <c r="C715" s="162"/>
      <c r="D715" s="162"/>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c r="AC715" s="162"/>
      <c r="AD715" s="162"/>
      <c r="AE715" s="162"/>
      <c r="AF715" s="162"/>
      <c r="AG715" s="162"/>
      <c r="AH715" s="162"/>
      <c r="AI715" s="162"/>
      <c r="AJ715" s="162"/>
      <c r="AK715" s="162"/>
      <c r="AL715" s="162"/>
      <c r="AM715" s="162"/>
      <c r="AN715" s="162"/>
      <c r="AO715" s="162"/>
      <c r="AP715" s="162"/>
      <c r="AQ715" s="162"/>
      <c r="AR715" s="162"/>
      <c r="AS715" s="162"/>
      <c r="AT715" s="161"/>
      <c r="AU715" s="161"/>
      <c r="AV715" s="161"/>
      <c r="AW715" s="161"/>
      <c r="AX715" s="161"/>
      <c r="AY715" s="161"/>
      <c r="AZ715" s="161"/>
      <c r="BA715" s="161"/>
      <c r="BB715" s="161"/>
      <c r="BC715" s="161"/>
      <c r="BD715" s="161"/>
      <c r="BE715" s="161"/>
      <c r="BF715" s="161"/>
      <c r="BG715" s="161"/>
      <c r="BH715" s="161"/>
      <c r="BI715" s="161"/>
      <c r="BJ715" s="161"/>
      <c r="BK715" s="161"/>
      <c r="BL715" s="161"/>
      <c r="BM715" s="161"/>
      <c r="BN715" s="161"/>
      <c r="BO715" s="161"/>
      <c r="BP715" s="161"/>
      <c r="BQ715" s="161"/>
      <c r="BR715" s="161"/>
      <c r="BS715" s="161"/>
      <c r="BT715" s="161"/>
      <c r="BU715" s="161"/>
      <c r="BV715" s="161"/>
      <c r="BW715" s="161"/>
      <c r="BX715" s="161"/>
      <c r="BY715" s="161"/>
    </row>
    <row r="716" spans="1:77">
      <c r="A716" s="162"/>
      <c r="B716" s="162"/>
      <c r="C716" s="162"/>
      <c r="D716" s="162"/>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c r="AC716" s="162"/>
      <c r="AD716" s="162"/>
      <c r="AE716" s="162"/>
      <c r="AF716" s="162"/>
      <c r="AG716" s="162"/>
      <c r="AH716" s="162"/>
      <c r="AI716" s="162"/>
      <c r="AJ716" s="162"/>
      <c r="AK716" s="162"/>
      <c r="AL716" s="162"/>
      <c r="AM716" s="162"/>
      <c r="AN716" s="162"/>
      <c r="AO716" s="162"/>
      <c r="AP716" s="162"/>
      <c r="AQ716" s="162"/>
      <c r="AR716" s="162"/>
      <c r="AS716" s="162"/>
      <c r="AT716" s="161"/>
      <c r="AU716" s="161"/>
      <c r="AV716" s="161"/>
      <c r="AW716" s="161"/>
      <c r="AX716" s="161"/>
      <c r="AY716" s="161"/>
      <c r="AZ716" s="161"/>
      <c r="BA716" s="161"/>
      <c r="BB716" s="161"/>
      <c r="BC716" s="161"/>
      <c r="BD716" s="161"/>
      <c r="BE716" s="161"/>
      <c r="BF716" s="161"/>
      <c r="BG716" s="161"/>
      <c r="BH716" s="161"/>
      <c r="BI716" s="161"/>
      <c r="BJ716" s="161"/>
      <c r="BK716" s="161"/>
      <c r="BL716" s="161"/>
      <c r="BM716" s="161"/>
      <c r="BN716" s="161"/>
      <c r="BO716" s="161"/>
      <c r="BP716" s="161"/>
      <c r="BQ716" s="161"/>
      <c r="BR716" s="161"/>
      <c r="BS716" s="161"/>
      <c r="BT716" s="161"/>
      <c r="BU716" s="161"/>
      <c r="BV716" s="161"/>
      <c r="BW716" s="161"/>
      <c r="BX716" s="161"/>
      <c r="BY716" s="161"/>
    </row>
    <row r="717" spans="1:77">
      <c r="A717" s="162"/>
      <c r="B717" s="162"/>
      <c r="C717" s="162"/>
      <c r="D717" s="162"/>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c r="AC717" s="162"/>
      <c r="AD717" s="162"/>
      <c r="AE717" s="162"/>
      <c r="AF717" s="162"/>
      <c r="AG717" s="162"/>
      <c r="AH717" s="162"/>
      <c r="AI717" s="162"/>
      <c r="AJ717" s="162"/>
      <c r="AK717" s="162"/>
      <c r="AL717" s="162"/>
      <c r="AM717" s="162"/>
      <c r="AN717" s="162"/>
      <c r="AO717" s="162"/>
      <c r="AP717" s="162"/>
      <c r="AQ717" s="162"/>
      <c r="AR717" s="162"/>
      <c r="AS717" s="162"/>
      <c r="AT717" s="161"/>
      <c r="AU717" s="161"/>
      <c r="AV717" s="161"/>
      <c r="AW717" s="161"/>
      <c r="AX717" s="161"/>
      <c r="AY717" s="161"/>
      <c r="AZ717" s="161"/>
      <c r="BA717" s="161"/>
      <c r="BB717" s="161"/>
      <c r="BC717" s="161"/>
      <c r="BD717" s="161"/>
      <c r="BE717" s="161"/>
      <c r="BF717" s="161"/>
      <c r="BG717" s="161"/>
      <c r="BH717" s="161"/>
      <c r="BI717" s="161"/>
      <c r="BJ717" s="161"/>
      <c r="BK717" s="161"/>
      <c r="BL717" s="161"/>
      <c r="BM717" s="161"/>
      <c r="BN717" s="161"/>
      <c r="BO717" s="161"/>
      <c r="BP717" s="161"/>
      <c r="BQ717" s="161"/>
      <c r="BR717" s="161"/>
      <c r="BS717" s="161"/>
      <c r="BT717" s="161"/>
      <c r="BU717" s="161"/>
      <c r="BV717" s="161"/>
      <c r="BW717" s="161"/>
      <c r="BX717" s="161"/>
      <c r="BY717" s="161"/>
    </row>
    <row r="718" spans="1:77">
      <c r="A718" s="162"/>
      <c r="B718" s="162"/>
      <c r="C718" s="162"/>
      <c r="D718" s="162"/>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c r="AC718" s="162"/>
      <c r="AD718" s="162"/>
      <c r="AE718" s="162"/>
      <c r="AF718" s="162"/>
      <c r="AG718" s="162"/>
      <c r="AH718" s="162"/>
      <c r="AI718" s="162"/>
      <c r="AJ718" s="162"/>
      <c r="AK718" s="162"/>
      <c r="AL718" s="162"/>
      <c r="AM718" s="162"/>
      <c r="AN718" s="162"/>
      <c r="AO718" s="162"/>
      <c r="AP718" s="162"/>
      <c r="AQ718" s="162"/>
      <c r="AR718" s="162"/>
      <c r="AS718" s="162"/>
      <c r="AT718" s="161"/>
      <c r="AU718" s="161"/>
      <c r="AV718" s="161"/>
      <c r="AW718" s="161"/>
      <c r="AX718" s="161"/>
      <c r="AY718" s="161"/>
      <c r="AZ718" s="161"/>
      <c r="BA718" s="161"/>
      <c r="BB718" s="161"/>
      <c r="BC718" s="161"/>
      <c r="BD718" s="161"/>
      <c r="BE718" s="161"/>
      <c r="BF718" s="161"/>
      <c r="BG718" s="161"/>
      <c r="BH718" s="161"/>
      <c r="BI718" s="161"/>
      <c r="BJ718" s="161"/>
      <c r="BK718" s="161"/>
      <c r="BL718" s="161"/>
      <c r="BM718" s="161"/>
      <c r="BN718" s="161"/>
      <c r="BO718" s="161"/>
      <c r="BP718" s="161"/>
      <c r="BQ718" s="161"/>
      <c r="BR718" s="161"/>
      <c r="BS718" s="161"/>
      <c r="BT718" s="161"/>
      <c r="BU718" s="161"/>
      <c r="BV718" s="161"/>
      <c r="BW718" s="161"/>
      <c r="BX718" s="161"/>
      <c r="BY718" s="161"/>
    </row>
    <row r="719" spans="1:77">
      <c r="A719" s="162"/>
      <c r="B719" s="162"/>
      <c r="C719" s="162"/>
      <c r="D719" s="162"/>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c r="AC719" s="162"/>
      <c r="AD719" s="162"/>
      <c r="AE719" s="162"/>
      <c r="AF719" s="162"/>
      <c r="AG719" s="162"/>
      <c r="AH719" s="162"/>
      <c r="AI719" s="162"/>
      <c r="AJ719" s="162"/>
      <c r="AK719" s="162"/>
      <c r="AL719" s="162"/>
      <c r="AM719" s="162"/>
      <c r="AN719" s="162"/>
      <c r="AO719" s="162"/>
      <c r="AP719" s="162"/>
      <c r="AQ719" s="162"/>
      <c r="AR719" s="162"/>
      <c r="AS719" s="162"/>
      <c r="AT719" s="161"/>
      <c r="AU719" s="161"/>
      <c r="AV719" s="161"/>
      <c r="AW719" s="161"/>
      <c r="AX719" s="161"/>
      <c r="AY719" s="161"/>
      <c r="AZ719" s="161"/>
      <c r="BA719" s="161"/>
      <c r="BB719" s="161"/>
      <c r="BC719" s="161"/>
      <c r="BD719" s="161"/>
      <c r="BE719" s="161"/>
      <c r="BF719" s="161"/>
      <c r="BG719" s="161"/>
      <c r="BH719" s="161"/>
      <c r="BI719" s="161"/>
      <c r="BJ719" s="161"/>
      <c r="BK719" s="161"/>
      <c r="BL719" s="161"/>
      <c r="BM719" s="161"/>
      <c r="BN719" s="161"/>
      <c r="BO719" s="161"/>
      <c r="BP719" s="161"/>
      <c r="BQ719" s="161"/>
      <c r="BR719" s="161"/>
      <c r="BS719" s="161"/>
      <c r="BT719" s="161"/>
      <c r="BU719" s="161"/>
      <c r="BV719" s="161"/>
      <c r="BW719" s="161"/>
      <c r="BX719" s="161"/>
      <c r="BY719" s="161"/>
    </row>
    <row r="720" spans="1:77">
      <c r="A720" s="162"/>
      <c r="B720" s="162"/>
      <c r="C720" s="162"/>
      <c r="D720" s="162"/>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c r="AC720" s="162"/>
      <c r="AD720" s="162"/>
      <c r="AE720" s="162"/>
      <c r="AF720" s="162"/>
      <c r="AG720" s="162"/>
      <c r="AH720" s="162"/>
      <c r="AI720" s="162"/>
      <c r="AJ720" s="162"/>
      <c r="AK720" s="162"/>
      <c r="AL720" s="162"/>
      <c r="AM720" s="162"/>
      <c r="AN720" s="162"/>
      <c r="AO720" s="162"/>
      <c r="AP720" s="162"/>
      <c r="AQ720" s="162"/>
      <c r="AR720" s="162"/>
      <c r="AS720" s="162"/>
      <c r="AT720" s="161"/>
      <c r="AU720" s="161"/>
      <c r="AV720" s="161"/>
      <c r="AW720" s="161"/>
      <c r="AX720" s="161"/>
      <c r="AY720" s="161"/>
      <c r="AZ720" s="161"/>
      <c r="BA720" s="161"/>
      <c r="BB720" s="161"/>
      <c r="BC720" s="161"/>
      <c r="BD720" s="161"/>
      <c r="BE720" s="161"/>
      <c r="BF720" s="161"/>
      <c r="BG720" s="161"/>
      <c r="BH720" s="161"/>
      <c r="BI720" s="161"/>
      <c r="BJ720" s="161"/>
      <c r="BK720" s="161"/>
      <c r="BL720" s="161"/>
      <c r="BM720" s="161"/>
      <c r="BN720" s="161"/>
      <c r="BO720" s="161"/>
      <c r="BP720" s="161"/>
      <c r="BQ720" s="161"/>
      <c r="BR720" s="161"/>
      <c r="BS720" s="161"/>
      <c r="BT720" s="161"/>
      <c r="BU720" s="161"/>
      <c r="BV720" s="161"/>
      <c r="BW720" s="161"/>
      <c r="BX720" s="161"/>
      <c r="BY720" s="161"/>
    </row>
    <row r="721" spans="1:77">
      <c r="A721" s="162"/>
      <c r="B721" s="162"/>
      <c r="C721" s="162"/>
      <c r="D721" s="162"/>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c r="AC721" s="162"/>
      <c r="AD721" s="162"/>
      <c r="AE721" s="162"/>
      <c r="AF721" s="162"/>
      <c r="AG721" s="162"/>
      <c r="AH721" s="162"/>
      <c r="AI721" s="162"/>
      <c r="AJ721" s="162"/>
      <c r="AK721" s="162"/>
      <c r="AL721" s="162"/>
      <c r="AM721" s="162"/>
      <c r="AN721" s="162"/>
      <c r="AO721" s="162"/>
      <c r="AP721" s="162"/>
      <c r="AQ721" s="162"/>
      <c r="AR721" s="162"/>
      <c r="AS721" s="162"/>
      <c r="AT721" s="161"/>
      <c r="AU721" s="161"/>
      <c r="AV721" s="161"/>
      <c r="AW721" s="161"/>
      <c r="AX721" s="161"/>
      <c r="AY721" s="161"/>
      <c r="AZ721" s="161"/>
      <c r="BA721" s="161"/>
      <c r="BB721" s="161"/>
      <c r="BC721" s="161"/>
      <c r="BD721" s="161"/>
      <c r="BE721" s="161"/>
      <c r="BF721" s="161"/>
      <c r="BG721" s="161"/>
      <c r="BH721" s="161"/>
      <c r="BI721" s="161"/>
      <c r="BJ721" s="161"/>
      <c r="BK721" s="161"/>
      <c r="BL721" s="161"/>
      <c r="BM721" s="161"/>
      <c r="BN721" s="161"/>
      <c r="BO721" s="161"/>
      <c r="BP721" s="161"/>
      <c r="BQ721" s="161"/>
      <c r="BR721" s="161"/>
      <c r="BS721" s="161"/>
      <c r="BT721" s="161"/>
      <c r="BU721" s="161"/>
      <c r="BV721" s="161"/>
      <c r="BW721" s="161"/>
      <c r="BX721" s="161"/>
      <c r="BY721" s="161"/>
    </row>
    <row r="722" spans="1:77">
      <c r="A722" s="162"/>
      <c r="B722" s="162"/>
      <c r="C722" s="162"/>
      <c r="D722" s="162"/>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c r="AC722" s="162"/>
      <c r="AD722" s="162"/>
      <c r="AE722" s="162"/>
      <c r="AF722" s="162"/>
      <c r="AG722" s="162"/>
      <c r="AH722" s="162"/>
      <c r="AI722" s="162"/>
      <c r="AJ722" s="162"/>
      <c r="AK722" s="162"/>
      <c r="AL722" s="162"/>
      <c r="AM722" s="162"/>
      <c r="AN722" s="162"/>
      <c r="AO722" s="162"/>
      <c r="AP722" s="162"/>
      <c r="AQ722" s="162"/>
      <c r="AR722" s="162"/>
      <c r="AS722" s="162"/>
      <c r="AT722" s="161"/>
      <c r="AU722" s="161"/>
      <c r="AV722" s="161"/>
      <c r="AW722" s="161"/>
      <c r="AX722" s="161"/>
      <c r="AY722" s="161"/>
      <c r="AZ722" s="161"/>
      <c r="BA722" s="161"/>
      <c r="BB722" s="161"/>
      <c r="BC722" s="161"/>
      <c r="BD722" s="161"/>
      <c r="BE722" s="161"/>
      <c r="BF722" s="161"/>
      <c r="BG722" s="161"/>
      <c r="BH722" s="161"/>
      <c r="BI722" s="161"/>
      <c r="BJ722" s="161"/>
      <c r="BK722" s="161"/>
      <c r="BL722" s="161"/>
      <c r="BM722" s="161"/>
      <c r="BN722" s="161"/>
      <c r="BO722" s="161"/>
      <c r="BP722" s="161"/>
      <c r="BQ722" s="161"/>
      <c r="BR722" s="161"/>
      <c r="BS722" s="161"/>
      <c r="BT722" s="161"/>
      <c r="BU722" s="161"/>
      <c r="BV722" s="161"/>
      <c r="BW722" s="161"/>
      <c r="BX722" s="161"/>
      <c r="BY722" s="161"/>
    </row>
    <row r="723" spans="1:77">
      <c r="A723" s="162"/>
      <c r="B723" s="162"/>
      <c r="C723" s="162"/>
      <c r="D723" s="162"/>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c r="AC723" s="162"/>
      <c r="AD723" s="162"/>
      <c r="AE723" s="162"/>
      <c r="AF723" s="162"/>
      <c r="AG723" s="162"/>
      <c r="AH723" s="162"/>
      <c r="AI723" s="162"/>
      <c r="AJ723" s="162"/>
      <c r="AK723" s="162"/>
      <c r="AL723" s="162"/>
      <c r="AM723" s="162"/>
      <c r="AN723" s="162"/>
      <c r="AO723" s="162"/>
      <c r="AP723" s="162"/>
      <c r="AQ723" s="162"/>
      <c r="AR723" s="162"/>
      <c r="AS723" s="162"/>
      <c r="AT723" s="161"/>
      <c r="AU723" s="161"/>
      <c r="AV723" s="161"/>
      <c r="AW723" s="161"/>
      <c r="AX723" s="161"/>
      <c r="AY723" s="161"/>
      <c r="AZ723" s="161"/>
      <c r="BA723" s="161"/>
      <c r="BB723" s="161"/>
      <c r="BC723" s="161"/>
      <c r="BD723" s="161"/>
      <c r="BE723" s="161"/>
      <c r="BF723" s="161"/>
      <c r="BG723" s="161"/>
      <c r="BH723" s="161"/>
      <c r="BI723" s="161"/>
      <c r="BJ723" s="161"/>
      <c r="BK723" s="161"/>
      <c r="BL723" s="161"/>
      <c r="BM723" s="161"/>
      <c r="BN723" s="161"/>
      <c r="BO723" s="161"/>
      <c r="BP723" s="161"/>
      <c r="BQ723" s="161"/>
      <c r="BR723" s="161"/>
      <c r="BS723" s="161"/>
      <c r="BT723" s="161"/>
      <c r="BU723" s="161"/>
      <c r="BV723" s="161"/>
      <c r="BW723" s="161"/>
      <c r="BX723" s="161"/>
      <c r="BY723" s="161"/>
    </row>
    <row r="724" spans="1:77">
      <c r="A724" s="162"/>
      <c r="B724" s="162"/>
      <c r="C724" s="162"/>
      <c r="D724" s="162"/>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c r="AC724" s="162"/>
      <c r="AD724" s="162"/>
      <c r="AE724" s="162"/>
      <c r="AF724" s="162"/>
      <c r="AG724" s="162"/>
      <c r="AH724" s="162"/>
      <c r="AI724" s="162"/>
      <c r="AJ724" s="162"/>
      <c r="AK724" s="162"/>
      <c r="AL724" s="162"/>
      <c r="AM724" s="162"/>
      <c r="AN724" s="162"/>
      <c r="AO724" s="162"/>
      <c r="AP724" s="162"/>
      <c r="AQ724" s="162"/>
      <c r="AR724" s="162"/>
      <c r="AS724" s="162"/>
      <c r="AT724" s="161"/>
      <c r="AU724" s="161"/>
      <c r="AV724" s="161"/>
      <c r="AW724" s="161"/>
      <c r="AX724" s="161"/>
      <c r="AY724" s="161"/>
      <c r="AZ724" s="161"/>
      <c r="BA724" s="161"/>
      <c r="BB724" s="161"/>
      <c r="BC724" s="161"/>
      <c r="BD724" s="161"/>
      <c r="BE724" s="161"/>
      <c r="BF724" s="161"/>
      <c r="BG724" s="161"/>
      <c r="BH724" s="161"/>
      <c r="BI724" s="161"/>
      <c r="BJ724" s="161"/>
      <c r="BK724" s="161"/>
      <c r="BL724" s="161"/>
      <c r="BM724" s="161"/>
      <c r="BN724" s="161"/>
      <c r="BO724" s="161"/>
      <c r="BP724" s="161"/>
      <c r="BQ724" s="161"/>
      <c r="BR724" s="161"/>
      <c r="BS724" s="161"/>
      <c r="BT724" s="161"/>
      <c r="BU724" s="161"/>
      <c r="BV724" s="161"/>
      <c r="BW724" s="161"/>
      <c r="BX724" s="161"/>
      <c r="BY724" s="161"/>
    </row>
    <row r="725" spans="1:77">
      <c r="A725" s="162"/>
      <c r="B725" s="162"/>
      <c r="C725" s="162"/>
      <c r="D725" s="162"/>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c r="AC725" s="162"/>
      <c r="AD725" s="162"/>
      <c r="AE725" s="162"/>
      <c r="AF725" s="162"/>
      <c r="AG725" s="162"/>
      <c r="AH725" s="162"/>
      <c r="AI725" s="162"/>
      <c r="AJ725" s="162"/>
      <c r="AK725" s="162"/>
      <c r="AL725" s="162"/>
      <c r="AM725" s="162"/>
      <c r="AN725" s="162"/>
      <c r="AO725" s="162"/>
      <c r="AP725" s="162"/>
      <c r="AQ725" s="162"/>
      <c r="AR725" s="162"/>
      <c r="AS725" s="162"/>
      <c r="AT725" s="161"/>
      <c r="AU725" s="161"/>
      <c r="AV725" s="161"/>
      <c r="AW725" s="161"/>
      <c r="AX725" s="161"/>
      <c r="AY725" s="161"/>
      <c r="AZ725" s="161"/>
      <c r="BA725" s="161"/>
      <c r="BB725" s="161"/>
      <c r="BC725" s="161"/>
      <c r="BD725" s="161"/>
      <c r="BE725" s="161"/>
      <c r="BF725" s="161"/>
      <c r="BG725" s="161"/>
      <c r="BH725" s="161"/>
      <c r="BI725" s="161"/>
      <c r="BJ725" s="161"/>
      <c r="BK725" s="161"/>
      <c r="BL725" s="161"/>
      <c r="BM725" s="161"/>
      <c r="BN725" s="161"/>
      <c r="BO725" s="161"/>
      <c r="BP725" s="161"/>
      <c r="BQ725" s="161"/>
      <c r="BR725" s="161"/>
      <c r="BS725" s="161"/>
      <c r="BT725" s="161"/>
      <c r="BU725" s="161"/>
      <c r="BV725" s="161"/>
      <c r="BW725" s="161"/>
      <c r="BX725" s="161"/>
      <c r="BY725" s="161"/>
    </row>
    <row r="726" spans="1:77">
      <c r="A726" s="162"/>
      <c r="B726" s="162"/>
      <c r="C726" s="162"/>
      <c r="D726" s="162"/>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c r="AC726" s="162"/>
      <c r="AD726" s="162"/>
      <c r="AE726" s="162"/>
      <c r="AF726" s="162"/>
      <c r="AG726" s="162"/>
      <c r="AH726" s="162"/>
      <c r="AI726" s="162"/>
      <c r="AJ726" s="162"/>
      <c r="AK726" s="162"/>
      <c r="AL726" s="162"/>
      <c r="AM726" s="162"/>
      <c r="AN726" s="162"/>
      <c r="AO726" s="162"/>
      <c r="AP726" s="162"/>
      <c r="AQ726" s="162"/>
      <c r="AR726" s="162"/>
      <c r="AS726" s="162"/>
      <c r="AT726" s="161"/>
      <c r="AU726" s="161"/>
      <c r="AV726" s="161"/>
      <c r="AW726" s="161"/>
      <c r="AX726" s="161"/>
      <c r="AY726" s="161"/>
      <c r="AZ726" s="161"/>
      <c r="BA726" s="161"/>
      <c r="BB726" s="161"/>
      <c r="BC726" s="161"/>
      <c r="BD726" s="161"/>
      <c r="BE726" s="161"/>
      <c r="BF726" s="161"/>
      <c r="BG726" s="161"/>
      <c r="BH726" s="161"/>
      <c r="BI726" s="161"/>
      <c r="BJ726" s="161"/>
      <c r="BK726" s="161"/>
      <c r="BL726" s="161"/>
      <c r="BM726" s="161"/>
      <c r="BN726" s="161"/>
      <c r="BO726" s="161"/>
      <c r="BP726" s="161"/>
      <c r="BQ726" s="161"/>
      <c r="BR726" s="161"/>
      <c r="BS726" s="161"/>
      <c r="BT726" s="161"/>
      <c r="BU726" s="161"/>
      <c r="BV726" s="161"/>
      <c r="BW726" s="161"/>
      <c r="BX726" s="161"/>
      <c r="BY726" s="161"/>
    </row>
    <row r="727" spans="1:77">
      <c r="A727" s="162"/>
      <c r="B727" s="162"/>
      <c r="C727" s="162"/>
      <c r="D727" s="162"/>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c r="AC727" s="162"/>
      <c r="AD727" s="162"/>
      <c r="AE727" s="162"/>
      <c r="AF727" s="162"/>
      <c r="AG727" s="162"/>
      <c r="AH727" s="162"/>
      <c r="AI727" s="162"/>
      <c r="AJ727" s="162"/>
      <c r="AK727" s="162"/>
      <c r="AL727" s="162"/>
      <c r="AM727" s="162"/>
      <c r="AN727" s="162"/>
      <c r="AO727" s="162"/>
      <c r="AP727" s="162"/>
      <c r="AQ727" s="162"/>
      <c r="AR727" s="162"/>
      <c r="AS727" s="162"/>
      <c r="AT727" s="161"/>
      <c r="AU727" s="161"/>
      <c r="AV727" s="161"/>
      <c r="AW727" s="161"/>
      <c r="AX727" s="161"/>
      <c r="AY727" s="161"/>
      <c r="AZ727" s="161"/>
      <c r="BA727" s="161"/>
      <c r="BB727" s="161"/>
      <c r="BC727" s="161"/>
      <c r="BD727" s="161"/>
      <c r="BE727" s="161"/>
      <c r="BF727" s="161"/>
      <c r="BG727" s="161"/>
      <c r="BH727" s="161"/>
      <c r="BI727" s="161"/>
      <c r="BJ727" s="161"/>
      <c r="BK727" s="161"/>
      <c r="BL727" s="161"/>
      <c r="BM727" s="161"/>
      <c r="BN727" s="161"/>
      <c r="BO727" s="161"/>
      <c r="BP727" s="161"/>
      <c r="BQ727" s="161"/>
      <c r="BR727" s="161"/>
      <c r="BS727" s="161"/>
      <c r="BT727" s="161"/>
      <c r="BU727" s="161"/>
      <c r="BV727" s="161"/>
      <c r="BW727" s="161"/>
      <c r="BX727" s="161"/>
      <c r="BY727" s="161"/>
    </row>
    <row r="728" spans="1:77">
      <c r="A728" s="162"/>
      <c r="B728" s="162"/>
      <c r="C728" s="162"/>
      <c r="D728" s="162"/>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c r="AC728" s="162"/>
      <c r="AD728" s="162"/>
      <c r="AE728" s="162"/>
      <c r="AF728" s="162"/>
      <c r="AG728" s="162"/>
      <c r="AH728" s="162"/>
      <c r="AI728" s="162"/>
      <c r="AJ728" s="162"/>
      <c r="AK728" s="162"/>
      <c r="AL728" s="162"/>
      <c r="AM728" s="162"/>
      <c r="AN728" s="162"/>
      <c r="AO728" s="162"/>
      <c r="AP728" s="162"/>
      <c r="AQ728" s="162"/>
      <c r="AR728" s="162"/>
      <c r="AS728" s="162"/>
      <c r="AT728" s="161"/>
      <c r="AU728" s="161"/>
      <c r="AV728" s="161"/>
      <c r="AW728" s="161"/>
      <c r="AX728" s="161"/>
      <c r="AY728" s="161"/>
      <c r="AZ728" s="161"/>
      <c r="BA728" s="161"/>
      <c r="BB728" s="161"/>
      <c r="BC728" s="161"/>
      <c r="BD728" s="161"/>
      <c r="BE728" s="161"/>
      <c r="BF728" s="161"/>
      <c r="BG728" s="161"/>
      <c r="BH728" s="161"/>
      <c r="BI728" s="161"/>
      <c r="BJ728" s="161"/>
      <c r="BK728" s="161"/>
      <c r="BL728" s="161"/>
      <c r="BM728" s="161"/>
      <c r="BN728" s="161"/>
      <c r="BO728" s="161"/>
      <c r="BP728" s="161"/>
      <c r="BQ728" s="161"/>
      <c r="BR728" s="161"/>
      <c r="BS728" s="161"/>
      <c r="BT728" s="161"/>
      <c r="BU728" s="161"/>
      <c r="BV728" s="161"/>
      <c r="BW728" s="161"/>
      <c r="BX728" s="161"/>
      <c r="BY728" s="161"/>
    </row>
    <row r="729" spans="1:77">
      <c r="A729" s="162"/>
      <c r="B729" s="162"/>
      <c r="C729" s="162"/>
      <c r="D729" s="162"/>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c r="AC729" s="162"/>
      <c r="AD729" s="162"/>
      <c r="AE729" s="162"/>
      <c r="AF729" s="162"/>
      <c r="AG729" s="162"/>
      <c r="AH729" s="162"/>
      <c r="AI729" s="162"/>
      <c r="AJ729" s="162"/>
      <c r="AK729" s="162"/>
      <c r="AL729" s="162"/>
      <c r="AM729" s="162"/>
      <c r="AN729" s="162"/>
      <c r="AO729" s="162"/>
      <c r="AP729" s="162"/>
      <c r="AQ729" s="162"/>
      <c r="AR729" s="162"/>
      <c r="AS729" s="162"/>
      <c r="AT729" s="161"/>
      <c r="AU729" s="161"/>
      <c r="AV729" s="161"/>
      <c r="AW729" s="161"/>
      <c r="AX729" s="161"/>
      <c r="AY729" s="161"/>
      <c r="AZ729" s="161"/>
      <c r="BA729" s="161"/>
      <c r="BB729" s="161"/>
      <c r="BC729" s="161"/>
      <c r="BD729" s="161"/>
      <c r="BE729" s="161"/>
      <c r="BF729" s="161"/>
      <c r="BG729" s="161"/>
      <c r="BH729" s="161"/>
      <c r="BI729" s="161"/>
      <c r="BJ729" s="161"/>
      <c r="BK729" s="161"/>
      <c r="BL729" s="161"/>
      <c r="BM729" s="161"/>
      <c r="BN729" s="161"/>
      <c r="BO729" s="161"/>
      <c r="BP729" s="161"/>
      <c r="BQ729" s="161"/>
      <c r="BR729" s="161"/>
      <c r="BS729" s="161"/>
      <c r="BT729" s="161"/>
      <c r="BU729" s="161"/>
      <c r="BV729" s="161"/>
      <c r="BW729" s="161"/>
      <c r="BX729" s="161"/>
      <c r="BY729" s="161"/>
    </row>
    <row r="730" spans="1:77">
      <c r="A730" s="162"/>
      <c r="B730" s="162"/>
      <c r="C730" s="162"/>
      <c r="D730" s="162"/>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c r="AC730" s="162"/>
      <c r="AD730" s="162"/>
      <c r="AE730" s="162"/>
      <c r="AF730" s="162"/>
      <c r="AG730" s="162"/>
      <c r="AH730" s="162"/>
      <c r="AI730" s="162"/>
      <c r="AJ730" s="162"/>
      <c r="AK730" s="162"/>
      <c r="AL730" s="162"/>
      <c r="AM730" s="162"/>
      <c r="AN730" s="162"/>
      <c r="AO730" s="162"/>
      <c r="AP730" s="162"/>
      <c r="AQ730" s="162"/>
      <c r="AR730" s="162"/>
      <c r="AS730" s="162"/>
      <c r="AT730" s="161"/>
      <c r="AU730" s="161"/>
      <c r="AV730" s="161"/>
      <c r="AW730" s="161"/>
      <c r="AX730" s="161"/>
      <c r="AY730" s="161"/>
      <c r="AZ730" s="161"/>
      <c r="BA730" s="161"/>
      <c r="BB730" s="161"/>
      <c r="BC730" s="161"/>
      <c r="BD730" s="161"/>
      <c r="BE730" s="161"/>
      <c r="BF730" s="161"/>
      <c r="BG730" s="161"/>
      <c r="BH730" s="161"/>
      <c r="BI730" s="161"/>
      <c r="BJ730" s="161"/>
      <c r="BK730" s="161"/>
      <c r="BL730" s="161"/>
      <c r="BM730" s="161"/>
      <c r="BN730" s="161"/>
      <c r="BO730" s="161"/>
      <c r="BP730" s="161"/>
      <c r="BQ730" s="161"/>
      <c r="BR730" s="161"/>
      <c r="BS730" s="161"/>
      <c r="BT730" s="161"/>
      <c r="BU730" s="161"/>
      <c r="BV730" s="161"/>
      <c r="BW730" s="161"/>
      <c r="BX730" s="161"/>
      <c r="BY730" s="161"/>
    </row>
    <row r="731" spans="1:77">
      <c r="A731" s="162"/>
      <c r="B731" s="162"/>
      <c r="C731" s="162"/>
      <c r="D731" s="162"/>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c r="AC731" s="162"/>
      <c r="AD731" s="162"/>
      <c r="AE731" s="162"/>
      <c r="AF731" s="162"/>
      <c r="AG731" s="162"/>
      <c r="AH731" s="162"/>
      <c r="AI731" s="162"/>
      <c r="AJ731" s="162"/>
      <c r="AK731" s="162"/>
      <c r="AL731" s="162"/>
      <c r="AM731" s="162"/>
      <c r="AN731" s="162"/>
      <c r="AO731" s="162"/>
      <c r="AP731" s="162"/>
      <c r="AQ731" s="162"/>
      <c r="AR731" s="162"/>
      <c r="AS731" s="162"/>
      <c r="AT731" s="161"/>
      <c r="AU731" s="161"/>
      <c r="AV731" s="161"/>
      <c r="AW731" s="161"/>
      <c r="AX731" s="161"/>
      <c r="AY731" s="161"/>
      <c r="AZ731" s="161"/>
      <c r="BA731" s="161"/>
      <c r="BB731" s="161"/>
      <c r="BC731" s="161"/>
      <c r="BD731" s="161"/>
      <c r="BE731" s="161"/>
      <c r="BF731" s="161"/>
      <c r="BG731" s="161"/>
      <c r="BH731" s="161"/>
      <c r="BI731" s="161"/>
      <c r="BJ731" s="161"/>
      <c r="BK731" s="161"/>
      <c r="BL731" s="161"/>
      <c r="BM731" s="161"/>
      <c r="BN731" s="161"/>
      <c r="BO731" s="161"/>
      <c r="BP731" s="161"/>
      <c r="BQ731" s="161"/>
      <c r="BR731" s="161"/>
      <c r="BS731" s="161"/>
      <c r="BT731" s="161"/>
      <c r="BU731" s="161"/>
      <c r="BV731" s="161"/>
      <c r="BW731" s="161"/>
      <c r="BX731" s="161"/>
      <c r="BY731" s="161"/>
    </row>
    <row r="732" spans="1:77">
      <c r="A732" s="162"/>
      <c r="B732" s="162"/>
      <c r="C732" s="162"/>
      <c r="D732" s="162"/>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c r="AC732" s="162"/>
      <c r="AD732" s="162"/>
      <c r="AE732" s="162"/>
      <c r="AF732" s="162"/>
      <c r="AG732" s="162"/>
      <c r="AH732" s="162"/>
      <c r="AI732" s="162"/>
      <c r="AJ732" s="162"/>
      <c r="AK732" s="162"/>
      <c r="AL732" s="162"/>
      <c r="AM732" s="162"/>
      <c r="AN732" s="162"/>
      <c r="AO732" s="162"/>
      <c r="AP732" s="162"/>
      <c r="AQ732" s="162"/>
      <c r="AR732" s="162"/>
      <c r="AS732" s="162"/>
      <c r="AT732" s="161"/>
      <c r="AU732" s="161"/>
      <c r="AV732" s="161"/>
      <c r="AW732" s="161"/>
      <c r="AX732" s="161"/>
      <c r="AY732" s="161"/>
      <c r="AZ732" s="161"/>
      <c r="BA732" s="161"/>
      <c r="BB732" s="161"/>
      <c r="BC732" s="161"/>
      <c r="BD732" s="161"/>
      <c r="BE732" s="161"/>
      <c r="BF732" s="161"/>
      <c r="BG732" s="161"/>
      <c r="BH732" s="161"/>
      <c r="BI732" s="161"/>
      <c r="BJ732" s="161"/>
      <c r="BK732" s="161"/>
      <c r="BL732" s="161"/>
      <c r="BM732" s="161"/>
      <c r="BN732" s="161"/>
      <c r="BO732" s="161"/>
      <c r="BP732" s="161"/>
      <c r="BQ732" s="161"/>
      <c r="BR732" s="161"/>
      <c r="BS732" s="161"/>
      <c r="BT732" s="161"/>
      <c r="BU732" s="161"/>
      <c r="BV732" s="161"/>
      <c r="BW732" s="161"/>
      <c r="BX732" s="161"/>
      <c r="BY732" s="161"/>
    </row>
    <row r="733" spans="1:77">
      <c r="A733" s="162"/>
      <c r="B733" s="162"/>
      <c r="C733" s="162"/>
      <c r="D733" s="162"/>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c r="AC733" s="162"/>
      <c r="AD733" s="162"/>
      <c r="AE733" s="162"/>
      <c r="AF733" s="162"/>
      <c r="AG733" s="162"/>
      <c r="AH733" s="162"/>
      <c r="AI733" s="162"/>
      <c r="AJ733" s="162"/>
      <c r="AK733" s="162"/>
      <c r="AL733" s="162"/>
      <c r="AM733" s="162"/>
      <c r="AN733" s="162"/>
      <c r="AO733" s="162"/>
      <c r="AP733" s="162"/>
      <c r="AQ733" s="162"/>
      <c r="AR733" s="162"/>
      <c r="AS733" s="162"/>
      <c r="AT733" s="161"/>
      <c r="AU733" s="161"/>
      <c r="AV733" s="161"/>
      <c r="AW733" s="161"/>
      <c r="AX733" s="161"/>
      <c r="AY733" s="161"/>
      <c r="AZ733" s="161"/>
      <c r="BA733" s="161"/>
      <c r="BB733" s="161"/>
      <c r="BC733" s="161"/>
      <c r="BD733" s="161"/>
      <c r="BE733" s="161"/>
      <c r="BF733" s="161"/>
      <c r="BG733" s="161"/>
      <c r="BH733" s="161"/>
      <c r="BI733" s="161"/>
      <c r="BJ733" s="161"/>
      <c r="BK733" s="161"/>
      <c r="BL733" s="161"/>
      <c r="BM733" s="161"/>
      <c r="BN733" s="161"/>
      <c r="BO733" s="161"/>
      <c r="BP733" s="161"/>
      <c r="BQ733" s="161"/>
      <c r="BR733" s="161"/>
      <c r="BS733" s="161"/>
      <c r="BT733" s="161"/>
      <c r="BU733" s="161"/>
      <c r="BV733" s="161"/>
      <c r="BW733" s="161"/>
      <c r="BX733" s="161"/>
      <c r="BY733" s="161"/>
    </row>
    <row r="734" spans="1:77">
      <c r="A734" s="162"/>
      <c r="B734" s="162"/>
      <c r="C734" s="162"/>
      <c r="D734" s="162"/>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c r="AC734" s="162"/>
      <c r="AD734" s="162"/>
      <c r="AE734" s="162"/>
      <c r="AF734" s="162"/>
      <c r="AG734" s="162"/>
      <c r="AH734" s="162"/>
      <c r="AI734" s="162"/>
      <c r="AJ734" s="162"/>
      <c r="AK734" s="162"/>
      <c r="AL734" s="162"/>
      <c r="AM734" s="162"/>
      <c r="AN734" s="162"/>
      <c r="AO734" s="162"/>
      <c r="AP734" s="162"/>
      <c r="AQ734" s="162"/>
      <c r="AR734" s="162"/>
      <c r="AS734" s="162"/>
      <c r="AT734" s="161"/>
      <c r="AU734" s="161"/>
      <c r="AV734" s="161"/>
      <c r="AW734" s="161"/>
      <c r="AX734" s="161"/>
      <c r="AY734" s="161"/>
      <c r="AZ734" s="161"/>
      <c r="BA734" s="161"/>
      <c r="BB734" s="161"/>
      <c r="BC734" s="161"/>
      <c r="BD734" s="161"/>
      <c r="BE734" s="161"/>
      <c r="BF734" s="161"/>
      <c r="BG734" s="161"/>
      <c r="BH734" s="161"/>
      <c r="BI734" s="161"/>
      <c r="BJ734" s="161"/>
      <c r="BK734" s="161"/>
      <c r="BL734" s="161"/>
      <c r="BM734" s="161"/>
      <c r="BN734" s="161"/>
      <c r="BO734" s="161"/>
      <c r="BP734" s="161"/>
      <c r="BQ734" s="161"/>
      <c r="BR734" s="161"/>
      <c r="BS734" s="161"/>
      <c r="BT734" s="161"/>
      <c r="BU734" s="161"/>
      <c r="BV734" s="161"/>
      <c r="BW734" s="161"/>
      <c r="BX734" s="161"/>
      <c r="BY734" s="161"/>
    </row>
    <row r="735" spans="1:77">
      <c r="A735" s="162"/>
      <c r="B735" s="162"/>
      <c r="C735" s="162"/>
      <c r="D735" s="162"/>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c r="AC735" s="162"/>
      <c r="AD735" s="162"/>
      <c r="AE735" s="162"/>
      <c r="AF735" s="162"/>
      <c r="AG735" s="162"/>
      <c r="AH735" s="162"/>
      <c r="AI735" s="162"/>
      <c r="AJ735" s="162"/>
      <c r="AK735" s="162"/>
      <c r="AL735" s="162"/>
      <c r="AM735" s="162"/>
      <c r="AN735" s="162"/>
      <c r="AO735" s="162"/>
      <c r="AP735" s="162"/>
      <c r="AQ735" s="162"/>
      <c r="AR735" s="162"/>
      <c r="AS735" s="162"/>
      <c r="AT735" s="161"/>
      <c r="AU735" s="161"/>
      <c r="AV735" s="161"/>
      <c r="AW735" s="161"/>
      <c r="AX735" s="161"/>
      <c r="AY735" s="161"/>
      <c r="AZ735" s="161"/>
      <c r="BA735" s="161"/>
      <c r="BB735" s="161"/>
      <c r="BC735" s="161"/>
      <c r="BD735" s="161"/>
      <c r="BE735" s="161"/>
      <c r="BF735" s="161"/>
      <c r="BG735" s="161"/>
      <c r="BH735" s="161"/>
      <c r="BI735" s="161"/>
      <c r="BJ735" s="161"/>
      <c r="BK735" s="161"/>
      <c r="BL735" s="161"/>
      <c r="BM735" s="161"/>
      <c r="BN735" s="161"/>
      <c r="BO735" s="161"/>
      <c r="BP735" s="161"/>
      <c r="BQ735" s="161"/>
      <c r="BR735" s="161"/>
      <c r="BS735" s="161"/>
      <c r="BT735" s="161"/>
      <c r="BU735" s="161"/>
      <c r="BV735" s="161"/>
      <c r="BW735" s="161"/>
      <c r="BX735" s="161"/>
      <c r="BY735" s="161"/>
    </row>
    <row r="736" spans="1:77">
      <c r="A736" s="162"/>
      <c r="B736" s="162"/>
      <c r="C736" s="162"/>
      <c r="D736" s="162"/>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c r="AC736" s="162"/>
      <c r="AD736" s="162"/>
      <c r="AE736" s="162"/>
      <c r="AF736" s="162"/>
      <c r="AG736" s="162"/>
      <c r="AH736" s="162"/>
      <c r="AI736" s="162"/>
      <c r="AJ736" s="162"/>
      <c r="AK736" s="162"/>
      <c r="AL736" s="162"/>
      <c r="AM736" s="162"/>
      <c r="AN736" s="162"/>
      <c r="AO736" s="162"/>
      <c r="AP736" s="162"/>
      <c r="AQ736" s="162"/>
      <c r="AR736" s="162"/>
      <c r="AS736" s="162"/>
      <c r="AT736" s="161"/>
      <c r="AU736" s="161"/>
      <c r="AV736" s="161"/>
      <c r="AW736" s="161"/>
      <c r="AX736" s="161"/>
      <c r="AY736" s="161"/>
      <c r="AZ736" s="161"/>
      <c r="BA736" s="161"/>
      <c r="BB736" s="161"/>
      <c r="BC736" s="161"/>
      <c r="BD736" s="161"/>
      <c r="BE736" s="161"/>
      <c r="BF736" s="161"/>
      <c r="BG736" s="161"/>
      <c r="BH736" s="161"/>
      <c r="BI736" s="161"/>
      <c r="BJ736" s="161"/>
      <c r="BK736" s="161"/>
      <c r="BL736" s="161"/>
      <c r="BM736" s="161"/>
      <c r="BN736" s="161"/>
      <c r="BO736" s="161"/>
      <c r="BP736" s="161"/>
      <c r="BQ736" s="161"/>
      <c r="BR736" s="161"/>
      <c r="BS736" s="161"/>
      <c r="BT736" s="161"/>
      <c r="BU736" s="161"/>
      <c r="BV736" s="161"/>
      <c r="BW736" s="161"/>
      <c r="BX736" s="161"/>
      <c r="BY736" s="161"/>
    </row>
    <row r="737" spans="1:77">
      <c r="A737" s="162"/>
      <c r="B737" s="162"/>
      <c r="C737" s="162"/>
      <c r="D737" s="162"/>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c r="AC737" s="162"/>
      <c r="AD737" s="162"/>
      <c r="AE737" s="162"/>
      <c r="AF737" s="162"/>
      <c r="AG737" s="162"/>
      <c r="AH737" s="162"/>
      <c r="AI737" s="162"/>
      <c r="AJ737" s="162"/>
      <c r="AK737" s="162"/>
      <c r="AL737" s="162"/>
      <c r="AM737" s="162"/>
      <c r="AN737" s="162"/>
      <c r="AO737" s="162"/>
      <c r="AP737" s="162"/>
      <c r="AQ737" s="162"/>
      <c r="AR737" s="162"/>
      <c r="AS737" s="162"/>
      <c r="AT737" s="161"/>
      <c r="AU737" s="161"/>
      <c r="AV737" s="161"/>
      <c r="AW737" s="161"/>
      <c r="AX737" s="161"/>
      <c r="AY737" s="161"/>
      <c r="AZ737" s="161"/>
      <c r="BA737" s="161"/>
      <c r="BB737" s="161"/>
      <c r="BC737" s="161"/>
      <c r="BD737" s="161"/>
      <c r="BE737" s="161"/>
      <c r="BF737" s="161"/>
      <c r="BG737" s="161"/>
      <c r="BH737" s="161"/>
      <c r="BI737" s="161"/>
      <c r="BJ737" s="161"/>
      <c r="BK737" s="161"/>
      <c r="BL737" s="161"/>
      <c r="BM737" s="161"/>
      <c r="BN737" s="161"/>
      <c r="BO737" s="161"/>
      <c r="BP737" s="161"/>
      <c r="BQ737" s="161"/>
      <c r="BR737" s="161"/>
      <c r="BS737" s="161"/>
      <c r="BT737" s="161"/>
      <c r="BU737" s="161"/>
      <c r="BV737" s="161"/>
      <c r="BW737" s="161"/>
      <c r="BX737" s="161"/>
      <c r="BY737" s="161"/>
    </row>
    <row r="738" spans="1:77">
      <c r="A738" s="162"/>
      <c r="B738" s="162"/>
      <c r="C738" s="162"/>
      <c r="D738" s="162"/>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c r="AC738" s="162"/>
      <c r="AD738" s="162"/>
      <c r="AE738" s="162"/>
      <c r="AF738" s="162"/>
      <c r="AG738" s="162"/>
      <c r="AH738" s="162"/>
      <c r="AI738" s="162"/>
      <c r="AJ738" s="162"/>
      <c r="AK738" s="162"/>
      <c r="AL738" s="162"/>
      <c r="AM738" s="162"/>
      <c r="AN738" s="162"/>
      <c r="AO738" s="162"/>
      <c r="AP738" s="162"/>
      <c r="AQ738" s="162"/>
      <c r="AR738" s="162"/>
      <c r="AS738" s="162"/>
      <c r="AT738" s="161"/>
      <c r="AU738" s="161"/>
      <c r="AV738" s="161"/>
      <c r="AW738" s="161"/>
      <c r="AX738" s="161"/>
      <c r="AY738" s="161"/>
      <c r="AZ738" s="161"/>
      <c r="BA738" s="161"/>
      <c r="BB738" s="161"/>
      <c r="BC738" s="161"/>
      <c r="BD738" s="161"/>
      <c r="BE738" s="161"/>
      <c r="BF738" s="161"/>
      <c r="BG738" s="161"/>
      <c r="BH738" s="161"/>
      <c r="BI738" s="161"/>
      <c r="BJ738" s="161"/>
      <c r="BK738" s="161"/>
      <c r="BL738" s="161"/>
      <c r="BM738" s="161"/>
      <c r="BN738" s="161"/>
      <c r="BO738" s="161"/>
      <c r="BP738" s="161"/>
      <c r="BQ738" s="161"/>
      <c r="BR738" s="161"/>
      <c r="BS738" s="161"/>
      <c r="BT738" s="161"/>
      <c r="BU738" s="161"/>
      <c r="BV738" s="161"/>
      <c r="BW738" s="161"/>
      <c r="BX738" s="161"/>
      <c r="BY738" s="161"/>
    </row>
    <row r="739" spans="1:77">
      <c r="A739" s="162"/>
      <c r="B739" s="162"/>
      <c r="C739" s="162"/>
      <c r="D739" s="162"/>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c r="AC739" s="162"/>
      <c r="AD739" s="162"/>
      <c r="AE739" s="162"/>
      <c r="AF739" s="162"/>
      <c r="AG739" s="162"/>
      <c r="AH739" s="162"/>
      <c r="AI739" s="162"/>
      <c r="AJ739" s="162"/>
      <c r="AK739" s="162"/>
      <c r="AL739" s="162"/>
      <c r="AM739" s="162"/>
      <c r="AN739" s="162"/>
      <c r="AO739" s="162"/>
      <c r="AP739" s="162"/>
      <c r="AQ739" s="162"/>
      <c r="AR739" s="162"/>
      <c r="AS739" s="162"/>
      <c r="AT739" s="161"/>
      <c r="AU739" s="161"/>
      <c r="AV739" s="161"/>
      <c r="AW739" s="161"/>
      <c r="AX739" s="161"/>
      <c r="AY739" s="161"/>
      <c r="AZ739" s="161"/>
      <c r="BA739" s="161"/>
      <c r="BB739" s="161"/>
      <c r="BC739" s="161"/>
      <c r="BD739" s="161"/>
      <c r="BE739" s="161"/>
      <c r="BF739" s="161"/>
      <c r="BG739" s="161"/>
      <c r="BH739" s="161"/>
      <c r="BI739" s="161"/>
      <c r="BJ739" s="161"/>
      <c r="BK739" s="161"/>
      <c r="BL739" s="161"/>
      <c r="BM739" s="161"/>
      <c r="BN739" s="161"/>
      <c r="BO739" s="161"/>
      <c r="BP739" s="161"/>
      <c r="BQ739" s="161"/>
      <c r="BR739" s="161"/>
      <c r="BS739" s="161"/>
      <c r="BT739" s="161"/>
      <c r="BU739" s="161"/>
      <c r="BV739" s="161"/>
      <c r="BW739" s="161"/>
      <c r="BX739" s="161"/>
      <c r="BY739" s="161"/>
    </row>
    <row r="740" spans="1:77">
      <c r="A740" s="162"/>
      <c r="B740" s="162"/>
      <c r="C740" s="162"/>
      <c r="D740" s="162"/>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c r="AC740" s="162"/>
      <c r="AD740" s="162"/>
      <c r="AE740" s="162"/>
      <c r="AF740" s="162"/>
      <c r="AG740" s="162"/>
      <c r="AH740" s="162"/>
      <c r="AI740" s="162"/>
      <c r="AJ740" s="162"/>
      <c r="AK740" s="162"/>
      <c r="AL740" s="162"/>
      <c r="AM740" s="162"/>
      <c r="AN740" s="162"/>
      <c r="AO740" s="162"/>
      <c r="AP740" s="162"/>
      <c r="AQ740" s="162"/>
      <c r="AR740" s="162"/>
      <c r="AS740" s="162"/>
      <c r="AT740" s="161"/>
      <c r="AU740" s="161"/>
      <c r="AV740" s="161"/>
      <c r="AW740" s="161"/>
      <c r="AX740" s="161"/>
      <c r="AY740" s="161"/>
      <c r="AZ740" s="161"/>
      <c r="BA740" s="161"/>
      <c r="BB740" s="161"/>
      <c r="BC740" s="161"/>
      <c r="BD740" s="161"/>
      <c r="BE740" s="161"/>
      <c r="BF740" s="161"/>
      <c r="BG740" s="161"/>
      <c r="BH740" s="161"/>
      <c r="BI740" s="161"/>
      <c r="BJ740" s="161"/>
      <c r="BK740" s="161"/>
      <c r="BL740" s="161"/>
      <c r="BM740" s="161"/>
      <c r="BN740" s="161"/>
      <c r="BO740" s="161"/>
      <c r="BP740" s="161"/>
      <c r="BQ740" s="161"/>
      <c r="BR740" s="161"/>
      <c r="BS740" s="161"/>
      <c r="BT740" s="161"/>
      <c r="BU740" s="161"/>
      <c r="BV740" s="161"/>
      <c r="BW740" s="161"/>
      <c r="BX740" s="161"/>
      <c r="BY740" s="161"/>
    </row>
    <row r="741" spans="1:77">
      <c r="A741" s="162"/>
      <c r="B741" s="162"/>
      <c r="C741" s="162"/>
      <c r="D741" s="162"/>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c r="AC741" s="162"/>
      <c r="AD741" s="162"/>
      <c r="AE741" s="162"/>
      <c r="AF741" s="162"/>
      <c r="AG741" s="162"/>
      <c r="AH741" s="162"/>
      <c r="AI741" s="162"/>
      <c r="AJ741" s="162"/>
      <c r="AK741" s="162"/>
      <c r="AL741" s="162"/>
      <c r="AM741" s="162"/>
      <c r="AN741" s="162"/>
      <c r="AO741" s="162"/>
      <c r="AP741" s="162"/>
      <c r="AQ741" s="162"/>
      <c r="AR741" s="162"/>
      <c r="AS741" s="162"/>
      <c r="AT741" s="161"/>
      <c r="AU741" s="161"/>
      <c r="AV741" s="161"/>
      <c r="AW741" s="161"/>
      <c r="AX741" s="161"/>
      <c r="AY741" s="161"/>
      <c r="AZ741" s="161"/>
      <c r="BA741" s="161"/>
      <c r="BB741" s="161"/>
      <c r="BC741" s="161"/>
      <c r="BD741" s="161"/>
      <c r="BE741" s="161"/>
      <c r="BF741" s="161"/>
      <c r="BG741" s="161"/>
      <c r="BH741" s="161"/>
      <c r="BI741" s="161"/>
      <c r="BJ741" s="161"/>
      <c r="BK741" s="161"/>
      <c r="BL741" s="161"/>
      <c r="BM741" s="161"/>
      <c r="BN741" s="161"/>
      <c r="BO741" s="161"/>
      <c r="BP741" s="161"/>
      <c r="BQ741" s="161"/>
      <c r="BR741" s="161"/>
      <c r="BS741" s="161"/>
      <c r="BT741" s="161"/>
      <c r="BU741" s="161"/>
      <c r="BV741" s="161"/>
      <c r="BW741" s="161"/>
      <c r="BX741" s="161"/>
      <c r="BY741" s="161"/>
    </row>
    <row r="742" spans="1:77">
      <c r="A742" s="162"/>
      <c r="B742" s="162"/>
      <c r="C742" s="162"/>
      <c r="D742" s="162"/>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c r="AC742" s="162"/>
      <c r="AD742" s="162"/>
      <c r="AE742" s="162"/>
      <c r="AF742" s="162"/>
      <c r="AG742" s="162"/>
      <c r="AH742" s="162"/>
      <c r="AI742" s="162"/>
      <c r="AJ742" s="162"/>
      <c r="AK742" s="162"/>
      <c r="AL742" s="162"/>
      <c r="AM742" s="162"/>
      <c r="AN742" s="162"/>
      <c r="AO742" s="162"/>
      <c r="AP742" s="162"/>
      <c r="AQ742" s="162"/>
      <c r="AR742" s="162"/>
      <c r="AS742" s="162"/>
      <c r="AT742" s="161"/>
      <c r="AU742" s="161"/>
      <c r="AV742" s="161"/>
      <c r="AW742" s="161"/>
      <c r="AX742" s="161"/>
      <c r="AY742" s="161"/>
      <c r="AZ742" s="161"/>
      <c r="BA742" s="161"/>
      <c r="BB742" s="161"/>
      <c r="BC742" s="161"/>
      <c r="BD742" s="161"/>
      <c r="BE742" s="161"/>
      <c r="BF742" s="161"/>
      <c r="BG742" s="161"/>
      <c r="BH742" s="161"/>
      <c r="BI742" s="161"/>
      <c r="BJ742" s="161"/>
      <c r="BK742" s="161"/>
      <c r="BL742" s="161"/>
      <c r="BM742" s="161"/>
      <c r="BN742" s="161"/>
      <c r="BO742" s="161"/>
      <c r="BP742" s="161"/>
      <c r="BQ742" s="161"/>
      <c r="BR742" s="161"/>
      <c r="BS742" s="161"/>
      <c r="BT742" s="161"/>
      <c r="BU742" s="161"/>
      <c r="BV742" s="161"/>
      <c r="BW742" s="161"/>
      <c r="BX742" s="161"/>
      <c r="BY742" s="161"/>
    </row>
    <row r="743" spans="1:77">
      <c r="A743" s="162"/>
      <c r="B743" s="162"/>
      <c r="C743" s="162"/>
      <c r="D743" s="162"/>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c r="AC743" s="162"/>
      <c r="AD743" s="162"/>
      <c r="AE743" s="162"/>
      <c r="AF743" s="162"/>
      <c r="AG743" s="162"/>
      <c r="AH743" s="162"/>
      <c r="AI743" s="162"/>
      <c r="AJ743" s="162"/>
      <c r="AK743" s="162"/>
      <c r="AL743" s="162"/>
      <c r="AM743" s="162"/>
      <c r="AN743" s="162"/>
      <c r="AO743" s="162"/>
      <c r="AP743" s="162"/>
      <c r="AQ743" s="162"/>
      <c r="AR743" s="162"/>
      <c r="AS743" s="162"/>
      <c r="AT743" s="161"/>
      <c r="AU743" s="161"/>
      <c r="AV743" s="161"/>
      <c r="AW743" s="161"/>
      <c r="AX743" s="161"/>
      <c r="AY743" s="161"/>
      <c r="AZ743" s="161"/>
      <c r="BA743" s="161"/>
      <c r="BB743" s="161"/>
      <c r="BC743" s="161"/>
      <c r="BD743" s="161"/>
      <c r="BE743" s="161"/>
      <c r="BF743" s="161"/>
      <c r="BG743" s="161"/>
      <c r="BH743" s="161"/>
      <c r="BI743" s="161"/>
      <c r="BJ743" s="161"/>
      <c r="BK743" s="161"/>
      <c r="BL743" s="161"/>
      <c r="BM743" s="161"/>
      <c r="BN743" s="161"/>
      <c r="BO743" s="161"/>
      <c r="BP743" s="161"/>
      <c r="BQ743" s="161"/>
      <c r="BR743" s="161"/>
      <c r="BS743" s="161"/>
      <c r="BT743" s="161"/>
      <c r="BU743" s="161"/>
      <c r="BV743" s="161"/>
      <c r="BW743" s="161"/>
      <c r="BX743" s="161"/>
      <c r="BY743" s="161"/>
    </row>
    <row r="744" spans="1:77">
      <c r="A744" s="162"/>
      <c r="B744" s="162"/>
      <c r="C744" s="162"/>
      <c r="D744" s="162"/>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c r="AC744" s="162"/>
      <c r="AD744" s="162"/>
      <c r="AE744" s="162"/>
      <c r="AF744" s="162"/>
      <c r="AG744" s="162"/>
      <c r="AH744" s="162"/>
      <c r="AI744" s="162"/>
      <c r="AJ744" s="162"/>
      <c r="AK744" s="162"/>
      <c r="AL744" s="162"/>
      <c r="AM744" s="162"/>
      <c r="AN744" s="162"/>
      <c r="AO744" s="162"/>
      <c r="AP744" s="162"/>
      <c r="AQ744" s="162"/>
      <c r="AR744" s="162"/>
      <c r="AS744" s="162"/>
      <c r="AT744" s="161"/>
      <c r="AU744" s="161"/>
      <c r="AV744" s="161"/>
      <c r="AW744" s="161"/>
      <c r="AX744" s="161"/>
      <c r="AY744" s="161"/>
      <c r="AZ744" s="161"/>
      <c r="BA744" s="161"/>
      <c r="BB744" s="161"/>
      <c r="BC744" s="161"/>
      <c r="BD744" s="161"/>
      <c r="BE744" s="161"/>
      <c r="BF744" s="161"/>
      <c r="BG744" s="161"/>
      <c r="BH744" s="161"/>
      <c r="BI744" s="161"/>
      <c r="BJ744" s="161"/>
      <c r="BK744" s="161"/>
      <c r="BL744" s="161"/>
      <c r="BM744" s="161"/>
      <c r="BN744" s="161"/>
      <c r="BO744" s="161"/>
      <c r="BP744" s="161"/>
      <c r="BQ744" s="161"/>
      <c r="BR744" s="161"/>
      <c r="BS744" s="161"/>
      <c r="BT744" s="161"/>
      <c r="BU744" s="161"/>
      <c r="BV744" s="161"/>
      <c r="BW744" s="161"/>
      <c r="BX744" s="161"/>
      <c r="BY744" s="161"/>
    </row>
    <row r="745" spans="1:77">
      <c r="A745" s="162"/>
      <c r="B745" s="162"/>
      <c r="C745" s="162"/>
      <c r="D745" s="162"/>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c r="AC745" s="162"/>
      <c r="AD745" s="162"/>
      <c r="AE745" s="162"/>
      <c r="AF745" s="162"/>
      <c r="AG745" s="162"/>
      <c r="AH745" s="162"/>
      <c r="AI745" s="162"/>
      <c r="AJ745" s="162"/>
      <c r="AK745" s="162"/>
      <c r="AL745" s="162"/>
      <c r="AM745" s="162"/>
      <c r="AN745" s="162"/>
      <c r="AO745" s="162"/>
      <c r="AP745" s="162"/>
      <c r="AQ745" s="162"/>
      <c r="AR745" s="162"/>
      <c r="AS745" s="162"/>
      <c r="AT745" s="161"/>
      <c r="AU745" s="161"/>
      <c r="AV745" s="161"/>
      <c r="AW745" s="161"/>
      <c r="AX745" s="161"/>
      <c r="AY745" s="161"/>
      <c r="AZ745" s="161"/>
      <c r="BA745" s="161"/>
      <c r="BB745" s="161"/>
      <c r="BC745" s="161"/>
      <c r="BD745" s="161"/>
      <c r="BE745" s="161"/>
      <c r="BF745" s="161"/>
      <c r="BG745" s="161"/>
      <c r="BH745" s="161"/>
      <c r="BI745" s="161"/>
      <c r="BJ745" s="161"/>
      <c r="BK745" s="161"/>
      <c r="BL745" s="161"/>
      <c r="BM745" s="161"/>
      <c r="BN745" s="161"/>
      <c r="BO745" s="161"/>
      <c r="BP745" s="161"/>
      <c r="BQ745" s="161"/>
      <c r="BR745" s="161"/>
      <c r="BS745" s="161"/>
      <c r="BT745" s="161"/>
      <c r="BU745" s="161"/>
      <c r="BV745" s="161"/>
      <c r="BW745" s="161"/>
      <c r="BX745" s="161"/>
      <c r="BY745" s="161"/>
    </row>
    <row r="746" spans="1:77">
      <c r="A746" s="162"/>
      <c r="B746" s="162"/>
      <c r="C746" s="162"/>
      <c r="D746" s="162"/>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c r="AC746" s="162"/>
      <c r="AD746" s="162"/>
      <c r="AE746" s="162"/>
      <c r="AF746" s="162"/>
      <c r="AG746" s="162"/>
      <c r="AH746" s="162"/>
      <c r="AI746" s="162"/>
      <c r="AJ746" s="162"/>
      <c r="AK746" s="162"/>
      <c r="AL746" s="162"/>
      <c r="AM746" s="162"/>
      <c r="AN746" s="162"/>
      <c r="AO746" s="162"/>
      <c r="AP746" s="162"/>
      <c r="AQ746" s="162"/>
      <c r="AR746" s="162"/>
      <c r="AS746" s="162"/>
      <c r="AT746" s="161"/>
      <c r="AU746" s="161"/>
      <c r="AV746" s="161"/>
      <c r="AW746" s="161"/>
      <c r="AX746" s="161"/>
      <c r="AY746" s="161"/>
      <c r="AZ746" s="161"/>
      <c r="BA746" s="161"/>
      <c r="BB746" s="161"/>
      <c r="BC746" s="161"/>
      <c r="BD746" s="161"/>
      <c r="BE746" s="161"/>
      <c r="BF746" s="161"/>
      <c r="BG746" s="161"/>
      <c r="BH746" s="161"/>
      <c r="BI746" s="161"/>
      <c r="BJ746" s="161"/>
      <c r="BK746" s="161"/>
      <c r="BL746" s="161"/>
      <c r="BM746" s="161"/>
      <c r="BN746" s="161"/>
      <c r="BO746" s="161"/>
      <c r="BP746" s="161"/>
      <c r="BQ746" s="161"/>
      <c r="BR746" s="161"/>
      <c r="BS746" s="161"/>
      <c r="BT746" s="161"/>
      <c r="BU746" s="161"/>
      <c r="BV746" s="161"/>
      <c r="BW746" s="161"/>
      <c r="BX746" s="161"/>
      <c r="BY746" s="161"/>
    </row>
    <row r="747" spans="1:77">
      <c r="A747" s="162"/>
      <c r="B747" s="162"/>
      <c r="C747" s="162"/>
      <c r="D747" s="162"/>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c r="AC747" s="162"/>
      <c r="AD747" s="162"/>
      <c r="AE747" s="162"/>
      <c r="AF747" s="162"/>
      <c r="AG747" s="162"/>
      <c r="AH747" s="162"/>
      <c r="AI747" s="162"/>
      <c r="AJ747" s="162"/>
      <c r="AK747" s="162"/>
      <c r="AL747" s="162"/>
      <c r="AM747" s="162"/>
      <c r="AN747" s="162"/>
      <c r="AO747" s="162"/>
      <c r="AP747" s="162"/>
      <c r="AQ747" s="162"/>
      <c r="AR747" s="162"/>
      <c r="AS747" s="162"/>
      <c r="AT747" s="161"/>
      <c r="AU747" s="161"/>
      <c r="AV747" s="161"/>
      <c r="AW747" s="161"/>
      <c r="AX747" s="161"/>
      <c r="AY747" s="161"/>
      <c r="AZ747" s="161"/>
      <c r="BA747" s="161"/>
      <c r="BB747" s="161"/>
      <c r="BC747" s="161"/>
      <c r="BD747" s="161"/>
      <c r="BE747" s="161"/>
      <c r="BF747" s="161"/>
      <c r="BG747" s="161"/>
      <c r="BH747" s="161"/>
      <c r="BI747" s="161"/>
      <c r="BJ747" s="161"/>
      <c r="BK747" s="161"/>
      <c r="BL747" s="161"/>
      <c r="BM747" s="161"/>
      <c r="BN747" s="161"/>
      <c r="BO747" s="161"/>
      <c r="BP747" s="161"/>
      <c r="BQ747" s="161"/>
      <c r="BR747" s="161"/>
      <c r="BS747" s="161"/>
      <c r="BT747" s="161"/>
      <c r="BU747" s="161"/>
      <c r="BV747" s="161"/>
      <c r="BW747" s="161"/>
      <c r="BX747" s="161"/>
      <c r="BY747" s="161"/>
    </row>
    <row r="748" spans="1:77">
      <c r="A748" s="162"/>
      <c r="B748" s="162"/>
      <c r="C748" s="162"/>
      <c r="D748" s="162"/>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c r="AC748" s="162"/>
      <c r="AD748" s="162"/>
      <c r="AE748" s="162"/>
      <c r="AF748" s="162"/>
      <c r="AG748" s="162"/>
      <c r="AH748" s="162"/>
      <c r="AI748" s="162"/>
      <c r="AJ748" s="162"/>
      <c r="AK748" s="162"/>
      <c r="AL748" s="162"/>
      <c r="AM748" s="162"/>
      <c r="AN748" s="162"/>
      <c r="AO748" s="162"/>
      <c r="AP748" s="162"/>
      <c r="AQ748" s="162"/>
      <c r="AR748" s="162"/>
      <c r="AS748" s="162"/>
      <c r="AT748" s="161"/>
      <c r="AU748" s="161"/>
      <c r="AV748" s="161"/>
      <c r="AW748" s="161"/>
      <c r="AX748" s="161"/>
      <c r="AY748" s="161"/>
      <c r="AZ748" s="161"/>
      <c r="BA748" s="161"/>
      <c r="BB748" s="161"/>
      <c r="BC748" s="161"/>
      <c r="BD748" s="161"/>
      <c r="BE748" s="161"/>
      <c r="BF748" s="161"/>
      <c r="BG748" s="161"/>
      <c r="BH748" s="161"/>
      <c r="BI748" s="161"/>
      <c r="BJ748" s="161"/>
      <c r="BK748" s="161"/>
      <c r="BL748" s="161"/>
      <c r="BM748" s="161"/>
      <c r="BN748" s="161"/>
      <c r="BO748" s="161"/>
      <c r="BP748" s="161"/>
      <c r="BQ748" s="161"/>
      <c r="BR748" s="161"/>
      <c r="BS748" s="161"/>
      <c r="BT748" s="161"/>
      <c r="BU748" s="161"/>
      <c r="BV748" s="161"/>
      <c r="BW748" s="161"/>
      <c r="BX748" s="161"/>
      <c r="BY748" s="161"/>
    </row>
    <row r="749" spans="1:77">
      <c r="A749" s="162"/>
      <c r="B749" s="162"/>
      <c r="C749" s="162"/>
      <c r="D749" s="162"/>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c r="AC749" s="162"/>
      <c r="AD749" s="162"/>
      <c r="AE749" s="162"/>
      <c r="AF749" s="162"/>
      <c r="AG749" s="162"/>
      <c r="AH749" s="162"/>
      <c r="AI749" s="162"/>
      <c r="AJ749" s="162"/>
      <c r="AK749" s="162"/>
      <c r="AL749" s="162"/>
      <c r="AM749" s="162"/>
      <c r="AN749" s="162"/>
      <c r="AO749" s="162"/>
      <c r="AP749" s="162"/>
      <c r="AQ749" s="162"/>
      <c r="AR749" s="162"/>
      <c r="AS749" s="162"/>
      <c r="AT749" s="161"/>
      <c r="AU749" s="161"/>
      <c r="AV749" s="161"/>
      <c r="AW749" s="161"/>
      <c r="AX749" s="161"/>
      <c r="AY749" s="161"/>
      <c r="AZ749" s="161"/>
      <c r="BA749" s="161"/>
      <c r="BB749" s="161"/>
      <c r="BC749" s="161"/>
      <c r="BD749" s="161"/>
      <c r="BE749" s="161"/>
      <c r="BF749" s="161"/>
      <c r="BG749" s="161"/>
      <c r="BH749" s="161"/>
      <c r="BI749" s="161"/>
      <c r="BJ749" s="161"/>
      <c r="BK749" s="161"/>
      <c r="BL749" s="161"/>
      <c r="BM749" s="161"/>
      <c r="BN749" s="161"/>
      <c r="BO749" s="161"/>
      <c r="BP749" s="161"/>
      <c r="BQ749" s="161"/>
      <c r="BR749" s="161"/>
      <c r="BS749" s="161"/>
      <c r="BT749" s="161"/>
      <c r="BU749" s="161"/>
      <c r="BV749" s="161"/>
      <c r="BW749" s="161"/>
      <c r="BX749" s="161"/>
      <c r="BY749" s="161"/>
    </row>
    <row r="750" spans="1:77">
      <c r="A750" s="162"/>
      <c r="B750" s="162"/>
      <c r="C750" s="162"/>
      <c r="D750" s="162"/>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c r="AC750" s="162"/>
      <c r="AD750" s="162"/>
      <c r="AE750" s="162"/>
      <c r="AF750" s="162"/>
      <c r="AG750" s="162"/>
      <c r="AH750" s="162"/>
      <c r="AI750" s="162"/>
      <c r="AJ750" s="162"/>
      <c r="AK750" s="162"/>
      <c r="AL750" s="162"/>
      <c r="AM750" s="162"/>
      <c r="AN750" s="162"/>
      <c r="AO750" s="162"/>
      <c r="AP750" s="162"/>
      <c r="AQ750" s="162"/>
      <c r="AR750" s="162"/>
      <c r="AS750" s="162"/>
      <c r="AT750" s="161"/>
      <c r="AU750" s="161"/>
      <c r="AV750" s="161"/>
      <c r="AW750" s="161"/>
      <c r="AX750" s="161"/>
      <c r="AY750" s="161"/>
      <c r="AZ750" s="161"/>
      <c r="BA750" s="161"/>
      <c r="BB750" s="161"/>
      <c r="BC750" s="161"/>
      <c r="BD750" s="161"/>
      <c r="BE750" s="161"/>
      <c r="BF750" s="161"/>
      <c r="BG750" s="161"/>
      <c r="BH750" s="161"/>
      <c r="BI750" s="161"/>
      <c r="BJ750" s="161"/>
      <c r="BK750" s="161"/>
      <c r="BL750" s="161"/>
      <c r="BM750" s="161"/>
      <c r="BN750" s="161"/>
      <c r="BO750" s="161"/>
      <c r="BP750" s="161"/>
      <c r="BQ750" s="161"/>
      <c r="BR750" s="161"/>
      <c r="BS750" s="161"/>
      <c r="BT750" s="161"/>
      <c r="BU750" s="161"/>
      <c r="BV750" s="161"/>
      <c r="BW750" s="161"/>
      <c r="BX750" s="161"/>
      <c r="BY750" s="161"/>
    </row>
    <row r="751" spans="1:77">
      <c r="A751" s="162"/>
      <c r="B751" s="162"/>
      <c r="C751" s="162"/>
      <c r="D751" s="162"/>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c r="AC751" s="162"/>
      <c r="AD751" s="162"/>
      <c r="AE751" s="162"/>
      <c r="AF751" s="162"/>
      <c r="AG751" s="162"/>
      <c r="AH751" s="162"/>
      <c r="AI751" s="162"/>
      <c r="AJ751" s="162"/>
      <c r="AK751" s="162"/>
      <c r="AL751" s="162"/>
      <c r="AM751" s="162"/>
      <c r="AN751" s="162"/>
      <c r="AO751" s="162"/>
      <c r="AP751" s="162"/>
      <c r="AQ751" s="162"/>
      <c r="AR751" s="162"/>
      <c r="AS751" s="162"/>
      <c r="AT751" s="161"/>
      <c r="AU751" s="161"/>
      <c r="AV751" s="161"/>
      <c r="AW751" s="161"/>
      <c r="AX751" s="161"/>
      <c r="AY751" s="161"/>
      <c r="AZ751" s="161"/>
      <c r="BA751" s="161"/>
      <c r="BB751" s="161"/>
      <c r="BC751" s="161"/>
      <c r="BD751" s="161"/>
      <c r="BE751" s="161"/>
      <c r="BF751" s="161"/>
      <c r="BG751" s="161"/>
      <c r="BH751" s="161"/>
      <c r="BI751" s="161"/>
      <c r="BJ751" s="161"/>
      <c r="BK751" s="161"/>
      <c r="BL751" s="161"/>
      <c r="BM751" s="161"/>
      <c r="BN751" s="161"/>
      <c r="BO751" s="161"/>
      <c r="BP751" s="161"/>
      <c r="BQ751" s="161"/>
      <c r="BR751" s="161"/>
      <c r="BS751" s="161"/>
      <c r="BT751" s="161"/>
      <c r="BU751" s="161"/>
      <c r="BV751" s="161"/>
      <c r="BW751" s="161"/>
      <c r="BX751" s="161"/>
      <c r="BY751" s="161"/>
    </row>
    <row r="752" spans="1:77">
      <c r="A752" s="162"/>
      <c r="B752" s="162"/>
      <c r="C752" s="162"/>
      <c r="D752" s="162"/>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c r="AC752" s="162"/>
      <c r="AD752" s="162"/>
      <c r="AE752" s="162"/>
      <c r="AF752" s="162"/>
      <c r="AG752" s="162"/>
      <c r="AH752" s="162"/>
      <c r="AI752" s="162"/>
      <c r="AJ752" s="162"/>
      <c r="AK752" s="162"/>
      <c r="AL752" s="162"/>
      <c r="AM752" s="162"/>
      <c r="AN752" s="162"/>
      <c r="AO752" s="162"/>
      <c r="AP752" s="162"/>
      <c r="AQ752" s="162"/>
      <c r="AR752" s="162"/>
      <c r="AS752" s="162"/>
      <c r="AT752" s="161"/>
      <c r="AU752" s="161"/>
      <c r="AV752" s="161"/>
      <c r="AW752" s="161"/>
      <c r="AX752" s="161"/>
      <c r="AY752" s="161"/>
      <c r="AZ752" s="161"/>
      <c r="BA752" s="161"/>
      <c r="BB752" s="161"/>
      <c r="BC752" s="161"/>
      <c r="BD752" s="161"/>
      <c r="BE752" s="161"/>
      <c r="BF752" s="161"/>
      <c r="BG752" s="161"/>
      <c r="BH752" s="161"/>
      <c r="BI752" s="161"/>
      <c r="BJ752" s="161"/>
      <c r="BK752" s="161"/>
      <c r="BL752" s="161"/>
      <c r="BM752" s="161"/>
      <c r="BN752" s="161"/>
      <c r="BO752" s="161"/>
      <c r="BP752" s="161"/>
      <c r="BQ752" s="161"/>
      <c r="BR752" s="161"/>
      <c r="BS752" s="161"/>
      <c r="BT752" s="161"/>
      <c r="BU752" s="161"/>
      <c r="BV752" s="161"/>
      <c r="BW752" s="161"/>
      <c r="BX752" s="161"/>
      <c r="BY752" s="161"/>
    </row>
    <row r="753" spans="1:77">
      <c r="A753" s="162"/>
      <c r="B753" s="162"/>
      <c r="C753" s="162"/>
      <c r="D753" s="162"/>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c r="AC753" s="162"/>
      <c r="AD753" s="162"/>
      <c r="AE753" s="162"/>
      <c r="AF753" s="162"/>
      <c r="AG753" s="162"/>
      <c r="AH753" s="162"/>
      <c r="AI753" s="162"/>
      <c r="AJ753" s="162"/>
      <c r="AK753" s="162"/>
      <c r="AL753" s="162"/>
      <c r="AM753" s="162"/>
      <c r="AN753" s="162"/>
      <c r="AO753" s="162"/>
      <c r="AP753" s="162"/>
      <c r="AQ753" s="162"/>
      <c r="AR753" s="162"/>
      <c r="AS753" s="162"/>
      <c r="AT753" s="161"/>
      <c r="AU753" s="161"/>
      <c r="AV753" s="161"/>
      <c r="AW753" s="161"/>
      <c r="AX753" s="161"/>
      <c r="AY753" s="161"/>
      <c r="AZ753" s="161"/>
      <c r="BA753" s="161"/>
      <c r="BB753" s="161"/>
      <c r="BC753" s="161"/>
      <c r="BD753" s="161"/>
      <c r="BE753" s="161"/>
      <c r="BF753" s="161"/>
      <c r="BG753" s="161"/>
      <c r="BH753" s="161"/>
      <c r="BI753" s="161"/>
      <c r="BJ753" s="161"/>
      <c r="BK753" s="161"/>
      <c r="BL753" s="161"/>
      <c r="BM753" s="161"/>
      <c r="BN753" s="161"/>
      <c r="BO753" s="161"/>
      <c r="BP753" s="161"/>
      <c r="BQ753" s="161"/>
      <c r="BR753" s="161"/>
      <c r="BS753" s="161"/>
      <c r="BT753" s="161"/>
      <c r="BU753" s="161"/>
      <c r="BV753" s="161"/>
      <c r="BW753" s="161"/>
      <c r="BX753" s="161"/>
      <c r="BY753" s="161"/>
    </row>
    <row r="754" spans="1:77">
      <c r="A754" s="162"/>
      <c r="B754" s="162"/>
      <c r="C754" s="162"/>
      <c r="D754" s="162"/>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c r="AC754" s="162"/>
      <c r="AD754" s="162"/>
      <c r="AE754" s="162"/>
      <c r="AF754" s="162"/>
      <c r="AG754" s="162"/>
      <c r="AH754" s="162"/>
      <c r="AI754" s="162"/>
      <c r="AJ754" s="162"/>
      <c r="AK754" s="162"/>
      <c r="AL754" s="162"/>
      <c r="AM754" s="162"/>
      <c r="AN754" s="162"/>
      <c r="AO754" s="162"/>
      <c r="AP754" s="162"/>
      <c r="AQ754" s="162"/>
      <c r="AR754" s="162"/>
      <c r="AS754" s="162"/>
      <c r="AT754" s="161"/>
      <c r="AU754" s="161"/>
      <c r="AV754" s="161"/>
      <c r="AW754" s="161"/>
      <c r="AX754" s="161"/>
      <c r="AY754" s="161"/>
      <c r="AZ754" s="161"/>
      <c r="BA754" s="161"/>
      <c r="BB754" s="161"/>
      <c r="BC754" s="161"/>
      <c r="BD754" s="161"/>
      <c r="BE754" s="161"/>
      <c r="BF754" s="161"/>
      <c r="BG754" s="161"/>
      <c r="BH754" s="161"/>
      <c r="BI754" s="161"/>
      <c r="BJ754" s="161"/>
      <c r="BK754" s="161"/>
      <c r="BL754" s="161"/>
      <c r="BM754" s="161"/>
      <c r="BN754" s="161"/>
      <c r="BO754" s="161"/>
      <c r="BP754" s="161"/>
      <c r="BQ754" s="161"/>
      <c r="BR754" s="161"/>
      <c r="BS754" s="161"/>
      <c r="BT754" s="161"/>
      <c r="BU754" s="161"/>
      <c r="BV754" s="161"/>
      <c r="BW754" s="161"/>
      <c r="BX754" s="161"/>
      <c r="BY754" s="161"/>
    </row>
    <row r="755" spans="1:77">
      <c r="A755" s="162"/>
      <c r="B755" s="162"/>
      <c r="C755" s="162"/>
      <c r="D755" s="162"/>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c r="AC755" s="162"/>
      <c r="AD755" s="162"/>
      <c r="AE755" s="162"/>
      <c r="AF755" s="162"/>
      <c r="AG755" s="162"/>
      <c r="AH755" s="162"/>
      <c r="AI755" s="162"/>
      <c r="AJ755" s="162"/>
      <c r="AK755" s="162"/>
      <c r="AL755" s="162"/>
      <c r="AM755" s="162"/>
      <c r="AN755" s="162"/>
      <c r="AO755" s="162"/>
      <c r="AP755" s="162"/>
      <c r="AQ755" s="162"/>
      <c r="AR755" s="162"/>
      <c r="AS755" s="162"/>
      <c r="AT755" s="161"/>
      <c r="AU755" s="161"/>
      <c r="AV755" s="161"/>
      <c r="AW755" s="161"/>
      <c r="AX755" s="161"/>
      <c r="AY755" s="161"/>
      <c r="AZ755" s="161"/>
      <c r="BA755" s="161"/>
      <c r="BB755" s="161"/>
      <c r="BC755" s="161"/>
      <c r="BD755" s="161"/>
      <c r="BE755" s="161"/>
      <c r="BF755" s="161"/>
      <c r="BG755" s="161"/>
      <c r="BH755" s="161"/>
      <c r="BI755" s="161"/>
      <c r="BJ755" s="161"/>
      <c r="BK755" s="161"/>
      <c r="BL755" s="161"/>
      <c r="BM755" s="161"/>
      <c r="BN755" s="161"/>
      <c r="BO755" s="161"/>
      <c r="BP755" s="161"/>
      <c r="BQ755" s="161"/>
      <c r="BR755" s="161"/>
      <c r="BS755" s="161"/>
      <c r="BT755" s="161"/>
      <c r="BU755" s="161"/>
      <c r="BV755" s="161"/>
      <c r="BW755" s="161"/>
      <c r="BX755" s="161"/>
      <c r="BY755" s="161"/>
    </row>
    <row r="756" spans="1:77">
      <c r="A756" s="162"/>
      <c r="B756" s="162"/>
      <c r="C756" s="162"/>
      <c r="D756" s="162"/>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c r="AC756" s="162"/>
      <c r="AD756" s="162"/>
      <c r="AE756" s="162"/>
      <c r="AF756" s="162"/>
      <c r="AG756" s="162"/>
      <c r="AH756" s="162"/>
      <c r="AI756" s="162"/>
      <c r="AJ756" s="162"/>
      <c r="AK756" s="162"/>
      <c r="AL756" s="162"/>
      <c r="AM756" s="162"/>
      <c r="AN756" s="162"/>
      <c r="AO756" s="162"/>
      <c r="AP756" s="162"/>
      <c r="AQ756" s="162"/>
      <c r="AR756" s="162"/>
      <c r="AS756" s="162"/>
      <c r="AT756" s="161"/>
      <c r="AU756" s="161"/>
      <c r="AV756" s="161"/>
      <c r="AW756" s="161"/>
      <c r="AX756" s="161"/>
      <c r="AY756" s="161"/>
      <c r="AZ756" s="161"/>
      <c r="BA756" s="161"/>
      <c r="BB756" s="161"/>
      <c r="BC756" s="161"/>
      <c r="BD756" s="161"/>
      <c r="BE756" s="161"/>
      <c r="BF756" s="161"/>
      <c r="BG756" s="161"/>
      <c r="BH756" s="161"/>
      <c r="BI756" s="161"/>
      <c r="BJ756" s="161"/>
      <c r="BK756" s="161"/>
      <c r="BL756" s="161"/>
      <c r="BM756" s="161"/>
      <c r="BN756" s="161"/>
      <c r="BO756" s="161"/>
      <c r="BP756" s="161"/>
      <c r="BQ756" s="161"/>
      <c r="BR756" s="161"/>
      <c r="BS756" s="161"/>
      <c r="BT756" s="161"/>
      <c r="BU756" s="161"/>
      <c r="BV756" s="161"/>
      <c r="BW756" s="161"/>
      <c r="BX756" s="161"/>
      <c r="BY756" s="161"/>
    </row>
    <row r="757" spans="1:77">
      <c r="A757" s="162"/>
      <c r="B757" s="162"/>
      <c r="C757" s="162"/>
      <c r="D757" s="162"/>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c r="AC757" s="162"/>
      <c r="AD757" s="162"/>
      <c r="AE757" s="162"/>
      <c r="AF757" s="162"/>
      <c r="AG757" s="162"/>
      <c r="AH757" s="162"/>
      <c r="AI757" s="162"/>
      <c r="AJ757" s="162"/>
      <c r="AK757" s="162"/>
      <c r="AL757" s="162"/>
      <c r="AM757" s="162"/>
      <c r="AN757" s="162"/>
      <c r="AO757" s="162"/>
      <c r="AP757" s="162"/>
      <c r="AQ757" s="162"/>
      <c r="AR757" s="162"/>
      <c r="AS757" s="162"/>
      <c r="AT757" s="161"/>
      <c r="AU757" s="161"/>
      <c r="AV757" s="161"/>
      <c r="AW757" s="161"/>
      <c r="AX757" s="161"/>
      <c r="AY757" s="161"/>
      <c r="AZ757" s="161"/>
      <c r="BA757" s="161"/>
      <c r="BB757" s="161"/>
      <c r="BC757" s="161"/>
      <c r="BD757" s="161"/>
      <c r="BE757" s="161"/>
      <c r="BF757" s="161"/>
      <c r="BG757" s="161"/>
      <c r="BH757" s="161"/>
      <c r="BI757" s="161"/>
      <c r="BJ757" s="161"/>
      <c r="BK757" s="161"/>
      <c r="BL757" s="161"/>
      <c r="BM757" s="161"/>
      <c r="BN757" s="161"/>
      <c r="BO757" s="161"/>
      <c r="BP757" s="161"/>
      <c r="BQ757" s="161"/>
      <c r="BR757" s="161"/>
      <c r="BS757" s="161"/>
      <c r="BT757" s="161"/>
      <c r="BU757" s="161"/>
      <c r="BV757" s="161"/>
      <c r="BW757" s="161"/>
      <c r="BX757" s="161"/>
      <c r="BY757" s="161"/>
    </row>
    <row r="758" spans="1:77">
      <c r="A758" s="162"/>
      <c r="B758" s="162"/>
      <c r="C758" s="162"/>
      <c r="D758" s="162"/>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c r="AC758" s="162"/>
      <c r="AD758" s="162"/>
      <c r="AE758" s="162"/>
      <c r="AF758" s="162"/>
      <c r="AG758" s="162"/>
      <c r="AH758" s="162"/>
      <c r="AI758" s="162"/>
      <c r="AJ758" s="162"/>
      <c r="AK758" s="162"/>
      <c r="AL758" s="162"/>
      <c r="AM758" s="162"/>
      <c r="AN758" s="162"/>
      <c r="AO758" s="162"/>
      <c r="AP758" s="162"/>
      <c r="AQ758" s="162"/>
      <c r="AR758" s="162"/>
      <c r="AS758" s="162"/>
      <c r="AT758" s="161"/>
      <c r="AU758" s="161"/>
      <c r="AV758" s="161"/>
      <c r="AW758" s="161"/>
      <c r="AX758" s="161"/>
      <c r="AY758" s="161"/>
      <c r="AZ758" s="161"/>
      <c r="BA758" s="161"/>
      <c r="BB758" s="161"/>
      <c r="BC758" s="161"/>
      <c r="BD758" s="161"/>
      <c r="BE758" s="161"/>
      <c r="BF758" s="161"/>
      <c r="BG758" s="161"/>
      <c r="BH758" s="161"/>
      <c r="BI758" s="161"/>
      <c r="BJ758" s="161"/>
      <c r="BK758" s="161"/>
      <c r="BL758" s="161"/>
      <c r="BM758" s="161"/>
      <c r="BN758" s="161"/>
      <c r="BO758" s="161"/>
      <c r="BP758" s="161"/>
      <c r="BQ758" s="161"/>
      <c r="BR758" s="161"/>
      <c r="BS758" s="161"/>
      <c r="BT758" s="161"/>
      <c r="BU758" s="161"/>
      <c r="BV758" s="161"/>
      <c r="BW758" s="161"/>
      <c r="BX758" s="161"/>
      <c r="BY758" s="161"/>
    </row>
    <row r="759" spans="1:77">
      <c r="A759" s="162"/>
      <c r="B759" s="162"/>
      <c r="C759" s="162"/>
      <c r="D759" s="162"/>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c r="AC759" s="162"/>
      <c r="AD759" s="162"/>
      <c r="AE759" s="162"/>
      <c r="AF759" s="162"/>
      <c r="AG759" s="162"/>
      <c r="AH759" s="162"/>
      <c r="AI759" s="162"/>
      <c r="AJ759" s="162"/>
      <c r="AK759" s="162"/>
      <c r="AL759" s="162"/>
      <c r="AM759" s="162"/>
      <c r="AN759" s="162"/>
      <c r="AO759" s="162"/>
      <c r="AP759" s="162"/>
      <c r="AQ759" s="162"/>
      <c r="AR759" s="162"/>
      <c r="AS759" s="162"/>
      <c r="AT759" s="161"/>
      <c r="AU759" s="161"/>
      <c r="AV759" s="161"/>
      <c r="AW759" s="161"/>
      <c r="AX759" s="161"/>
      <c r="AY759" s="161"/>
      <c r="AZ759" s="161"/>
      <c r="BA759" s="161"/>
      <c r="BB759" s="161"/>
      <c r="BC759" s="161"/>
      <c r="BD759" s="161"/>
      <c r="BE759" s="161"/>
      <c r="BF759" s="161"/>
      <c r="BG759" s="161"/>
      <c r="BH759" s="161"/>
      <c r="BI759" s="161"/>
      <c r="BJ759" s="161"/>
      <c r="BK759" s="161"/>
      <c r="BL759" s="161"/>
      <c r="BM759" s="161"/>
      <c r="BN759" s="161"/>
      <c r="BO759" s="161"/>
      <c r="BP759" s="161"/>
      <c r="BQ759" s="161"/>
      <c r="BR759" s="161"/>
      <c r="BS759" s="161"/>
      <c r="BT759" s="161"/>
      <c r="BU759" s="161"/>
      <c r="BV759" s="161"/>
      <c r="BW759" s="161"/>
      <c r="BX759" s="161"/>
      <c r="BY759" s="161"/>
    </row>
    <row r="760" spans="1:77">
      <c r="A760" s="162"/>
      <c r="B760" s="162"/>
      <c r="C760" s="162"/>
      <c r="D760" s="162"/>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c r="AC760" s="162"/>
      <c r="AD760" s="162"/>
      <c r="AE760" s="162"/>
      <c r="AF760" s="162"/>
      <c r="AG760" s="162"/>
      <c r="AH760" s="162"/>
      <c r="AI760" s="162"/>
      <c r="AJ760" s="162"/>
      <c r="AK760" s="162"/>
      <c r="AL760" s="162"/>
      <c r="AM760" s="162"/>
      <c r="AN760" s="162"/>
      <c r="AO760" s="162"/>
      <c r="AP760" s="162"/>
      <c r="AQ760" s="162"/>
      <c r="AR760" s="162"/>
      <c r="AS760" s="162"/>
      <c r="AT760" s="161"/>
      <c r="AU760" s="161"/>
      <c r="AV760" s="161"/>
      <c r="AW760" s="161"/>
      <c r="AX760" s="161"/>
      <c r="AY760" s="161"/>
      <c r="AZ760" s="161"/>
      <c r="BA760" s="161"/>
      <c r="BB760" s="161"/>
      <c r="BC760" s="161"/>
      <c r="BD760" s="161"/>
      <c r="BE760" s="161"/>
      <c r="BF760" s="161"/>
      <c r="BG760" s="161"/>
      <c r="BH760" s="161"/>
      <c r="BI760" s="161"/>
      <c r="BJ760" s="161"/>
      <c r="BK760" s="161"/>
      <c r="BL760" s="161"/>
      <c r="BM760" s="161"/>
      <c r="BN760" s="161"/>
      <c r="BO760" s="161"/>
      <c r="BP760" s="161"/>
      <c r="BQ760" s="161"/>
      <c r="BR760" s="161"/>
      <c r="BS760" s="161"/>
      <c r="BT760" s="161"/>
      <c r="BU760" s="161"/>
      <c r="BV760" s="161"/>
      <c r="BW760" s="161"/>
      <c r="BX760" s="161"/>
      <c r="BY760" s="161"/>
    </row>
    <row r="761" spans="1:77">
      <c r="A761" s="162"/>
      <c r="B761" s="162"/>
      <c r="C761" s="162"/>
      <c r="D761" s="162"/>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c r="AC761" s="162"/>
      <c r="AD761" s="162"/>
      <c r="AE761" s="162"/>
      <c r="AF761" s="162"/>
      <c r="AG761" s="162"/>
      <c r="AH761" s="162"/>
      <c r="AI761" s="162"/>
      <c r="AJ761" s="162"/>
      <c r="AK761" s="162"/>
      <c r="AL761" s="162"/>
      <c r="AM761" s="162"/>
      <c r="AN761" s="162"/>
      <c r="AO761" s="162"/>
      <c r="AP761" s="162"/>
      <c r="AQ761" s="162"/>
      <c r="AR761" s="162"/>
      <c r="AS761" s="162"/>
      <c r="AT761" s="161"/>
      <c r="AU761" s="161"/>
      <c r="AV761" s="161"/>
      <c r="AW761" s="161"/>
      <c r="AX761" s="161"/>
      <c r="AY761" s="161"/>
      <c r="AZ761" s="161"/>
      <c r="BA761" s="161"/>
      <c r="BB761" s="161"/>
      <c r="BC761" s="161"/>
      <c r="BD761" s="161"/>
      <c r="BE761" s="161"/>
      <c r="BF761" s="161"/>
      <c r="BG761" s="161"/>
      <c r="BH761" s="161"/>
      <c r="BI761" s="161"/>
      <c r="BJ761" s="161"/>
      <c r="BK761" s="161"/>
      <c r="BL761" s="161"/>
      <c r="BM761" s="161"/>
      <c r="BN761" s="161"/>
      <c r="BO761" s="161"/>
      <c r="BP761" s="161"/>
      <c r="BQ761" s="161"/>
      <c r="BR761" s="161"/>
      <c r="BS761" s="161"/>
      <c r="BT761" s="161"/>
      <c r="BU761" s="161"/>
      <c r="BV761" s="161"/>
      <c r="BW761" s="161"/>
      <c r="BX761" s="161"/>
      <c r="BY761" s="161"/>
    </row>
    <row r="762" spans="1:77">
      <c r="A762" s="162"/>
      <c r="B762" s="162"/>
      <c r="C762" s="162"/>
      <c r="D762" s="162"/>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c r="AC762" s="162"/>
      <c r="AD762" s="162"/>
      <c r="AE762" s="162"/>
      <c r="AF762" s="162"/>
      <c r="AG762" s="162"/>
      <c r="AH762" s="162"/>
      <c r="AI762" s="162"/>
      <c r="AJ762" s="162"/>
      <c r="AK762" s="162"/>
      <c r="AL762" s="162"/>
      <c r="AM762" s="162"/>
      <c r="AN762" s="162"/>
      <c r="AO762" s="162"/>
      <c r="AP762" s="162"/>
      <c r="AQ762" s="162"/>
      <c r="AR762" s="162"/>
      <c r="AS762" s="162"/>
      <c r="AT762" s="161"/>
      <c r="AU762" s="161"/>
      <c r="AV762" s="161"/>
      <c r="AW762" s="161"/>
      <c r="AX762" s="161"/>
      <c r="AY762" s="161"/>
      <c r="AZ762" s="161"/>
      <c r="BA762" s="161"/>
      <c r="BB762" s="161"/>
      <c r="BC762" s="161"/>
      <c r="BD762" s="161"/>
      <c r="BE762" s="161"/>
      <c r="BF762" s="161"/>
      <c r="BG762" s="161"/>
      <c r="BH762" s="161"/>
      <c r="BI762" s="161"/>
      <c r="BJ762" s="161"/>
      <c r="BK762" s="161"/>
      <c r="BL762" s="161"/>
      <c r="BM762" s="161"/>
      <c r="BN762" s="161"/>
      <c r="BO762" s="161"/>
      <c r="BP762" s="161"/>
      <c r="BQ762" s="161"/>
      <c r="BR762" s="161"/>
      <c r="BS762" s="161"/>
      <c r="BT762" s="161"/>
      <c r="BU762" s="161"/>
      <c r="BV762" s="161"/>
      <c r="BW762" s="161"/>
      <c r="BX762" s="161"/>
      <c r="BY762" s="161"/>
    </row>
    <row r="763" spans="1:77">
      <c r="A763" s="162"/>
      <c r="B763" s="162"/>
      <c r="C763" s="162"/>
      <c r="D763" s="162"/>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c r="AC763" s="162"/>
      <c r="AD763" s="162"/>
      <c r="AE763" s="162"/>
      <c r="AF763" s="162"/>
      <c r="AG763" s="162"/>
      <c r="AH763" s="162"/>
      <c r="AI763" s="162"/>
      <c r="AJ763" s="162"/>
      <c r="AK763" s="162"/>
      <c r="AL763" s="162"/>
      <c r="AM763" s="162"/>
      <c r="AN763" s="162"/>
      <c r="AO763" s="162"/>
      <c r="AP763" s="162"/>
      <c r="AQ763" s="162"/>
      <c r="AR763" s="162"/>
      <c r="AS763" s="162"/>
      <c r="AT763" s="161"/>
      <c r="AU763" s="161"/>
      <c r="AV763" s="161"/>
      <c r="AW763" s="161"/>
      <c r="AX763" s="161"/>
      <c r="AY763" s="161"/>
      <c r="AZ763" s="161"/>
      <c r="BA763" s="161"/>
      <c r="BB763" s="161"/>
      <c r="BC763" s="161"/>
      <c r="BD763" s="161"/>
      <c r="BE763" s="161"/>
      <c r="BF763" s="161"/>
      <c r="BG763" s="161"/>
      <c r="BH763" s="161"/>
      <c r="BI763" s="161"/>
      <c r="BJ763" s="161"/>
      <c r="BK763" s="161"/>
      <c r="BL763" s="161"/>
      <c r="BM763" s="161"/>
      <c r="BN763" s="161"/>
      <c r="BO763" s="161"/>
      <c r="BP763" s="161"/>
      <c r="BQ763" s="161"/>
      <c r="BR763" s="161"/>
      <c r="BS763" s="161"/>
      <c r="BT763" s="161"/>
      <c r="BU763" s="161"/>
      <c r="BV763" s="161"/>
      <c r="BW763" s="161"/>
      <c r="BX763" s="161"/>
      <c r="BY763" s="161"/>
    </row>
    <row r="764" spans="1:77">
      <c r="A764" s="162"/>
      <c r="B764" s="162"/>
      <c r="C764" s="162"/>
      <c r="D764" s="162"/>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c r="AC764" s="162"/>
      <c r="AD764" s="162"/>
      <c r="AE764" s="162"/>
      <c r="AF764" s="162"/>
      <c r="AG764" s="162"/>
      <c r="AH764" s="162"/>
      <c r="AI764" s="162"/>
      <c r="AJ764" s="162"/>
      <c r="AK764" s="162"/>
      <c r="AL764" s="162"/>
      <c r="AM764" s="162"/>
      <c r="AN764" s="162"/>
      <c r="AO764" s="162"/>
      <c r="AP764" s="162"/>
      <c r="AQ764" s="162"/>
      <c r="AR764" s="162"/>
      <c r="AS764" s="162"/>
      <c r="AT764" s="161"/>
      <c r="AU764" s="161"/>
      <c r="AV764" s="161"/>
      <c r="AW764" s="161"/>
      <c r="AX764" s="161"/>
      <c r="AY764" s="161"/>
      <c r="AZ764" s="161"/>
      <c r="BA764" s="161"/>
      <c r="BB764" s="161"/>
      <c r="BC764" s="161"/>
      <c r="BD764" s="161"/>
      <c r="BE764" s="161"/>
      <c r="BF764" s="161"/>
      <c r="BG764" s="161"/>
      <c r="BH764" s="161"/>
      <c r="BI764" s="161"/>
      <c r="BJ764" s="161"/>
      <c r="BK764" s="161"/>
      <c r="BL764" s="161"/>
      <c r="BM764" s="161"/>
      <c r="BN764" s="161"/>
      <c r="BO764" s="161"/>
      <c r="BP764" s="161"/>
      <c r="BQ764" s="161"/>
      <c r="BR764" s="161"/>
      <c r="BS764" s="161"/>
      <c r="BT764" s="161"/>
      <c r="BU764" s="161"/>
      <c r="BV764" s="161"/>
      <c r="BW764" s="161"/>
      <c r="BX764" s="161"/>
      <c r="BY764" s="161"/>
    </row>
    <row r="765" spans="1:77">
      <c r="A765" s="162"/>
      <c r="B765" s="162"/>
      <c r="C765" s="162"/>
      <c r="D765" s="162"/>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c r="AC765" s="162"/>
      <c r="AD765" s="162"/>
      <c r="AE765" s="162"/>
      <c r="AF765" s="162"/>
      <c r="AG765" s="162"/>
      <c r="AH765" s="162"/>
      <c r="AI765" s="162"/>
      <c r="AJ765" s="162"/>
      <c r="AK765" s="162"/>
      <c r="AL765" s="162"/>
      <c r="AM765" s="162"/>
      <c r="AN765" s="162"/>
      <c r="AO765" s="162"/>
      <c r="AP765" s="162"/>
      <c r="AQ765" s="162"/>
      <c r="AR765" s="162"/>
      <c r="AS765" s="162"/>
      <c r="AT765" s="161"/>
      <c r="AU765" s="161"/>
      <c r="AV765" s="161"/>
      <c r="AW765" s="161"/>
      <c r="AX765" s="161"/>
      <c r="AY765" s="161"/>
      <c r="AZ765" s="161"/>
      <c r="BA765" s="161"/>
      <c r="BB765" s="161"/>
      <c r="BC765" s="161"/>
      <c r="BD765" s="161"/>
      <c r="BE765" s="161"/>
      <c r="BF765" s="161"/>
      <c r="BG765" s="161"/>
      <c r="BH765" s="161"/>
      <c r="BI765" s="161"/>
      <c r="BJ765" s="161"/>
      <c r="BK765" s="161"/>
      <c r="BL765" s="161"/>
      <c r="BM765" s="161"/>
      <c r="BN765" s="161"/>
      <c r="BO765" s="161"/>
      <c r="BP765" s="161"/>
      <c r="BQ765" s="161"/>
      <c r="BR765" s="161"/>
      <c r="BS765" s="161"/>
      <c r="BT765" s="161"/>
      <c r="BU765" s="161"/>
      <c r="BV765" s="161"/>
      <c r="BW765" s="161"/>
      <c r="BX765" s="161"/>
      <c r="BY765" s="161"/>
    </row>
    <row r="766" spans="1:77">
      <c r="A766" s="162"/>
      <c r="B766" s="162"/>
      <c r="C766" s="162"/>
      <c r="D766" s="162"/>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c r="AC766" s="162"/>
      <c r="AD766" s="162"/>
      <c r="AE766" s="162"/>
      <c r="AF766" s="162"/>
      <c r="AG766" s="162"/>
      <c r="AH766" s="162"/>
      <c r="AI766" s="162"/>
      <c r="AJ766" s="162"/>
      <c r="AK766" s="162"/>
      <c r="AL766" s="162"/>
      <c r="AM766" s="162"/>
      <c r="AN766" s="162"/>
      <c r="AO766" s="162"/>
      <c r="AP766" s="162"/>
      <c r="AQ766" s="162"/>
      <c r="AR766" s="162"/>
      <c r="AS766" s="162"/>
      <c r="AT766" s="161"/>
      <c r="AU766" s="161"/>
      <c r="AV766" s="161"/>
      <c r="AW766" s="161"/>
      <c r="AX766" s="161"/>
      <c r="AY766" s="161"/>
      <c r="AZ766" s="161"/>
      <c r="BA766" s="161"/>
      <c r="BB766" s="161"/>
      <c r="BC766" s="161"/>
      <c r="BD766" s="161"/>
      <c r="BE766" s="161"/>
      <c r="BF766" s="161"/>
      <c r="BG766" s="161"/>
      <c r="BH766" s="161"/>
      <c r="BI766" s="161"/>
      <c r="BJ766" s="161"/>
      <c r="BK766" s="161"/>
      <c r="BL766" s="161"/>
      <c r="BM766" s="161"/>
      <c r="BN766" s="161"/>
      <c r="BO766" s="161"/>
      <c r="BP766" s="161"/>
      <c r="BQ766" s="161"/>
      <c r="BR766" s="161"/>
      <c r="BS766" s="161"/>
      <c r="BT766" s="161"/>
      <c r="BU766" s="161"/>
      <c r="BV766" s="161"/>
      <c r="BW766" s="161"/>
      <c r="BX766" s="161"/>
      <c r="BY766" s="161"/>
    </row>
    <row r="767" spans="1:77">
      <c r="A767" s="162"/>
      <c r="B767" s="162"/>
      <c r="C767" s="162"/>
      <c r="D767" s="162"/>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c r="AC767" s="162"/>
      <c r="AD767" s="162"/>
      <c r="AE767" s="162"/>
      <c r="AF767" s="162"/>
      <c r="AG767" s="162"/>
      <c r="AH767" s="162"/>
      <c r="AI767" s="162"/>
      <c r="AJ767" s="162"/>
      <c r="AK767" s="162"/>
      <c r="AL767" s="162"/>
      <c r="AM767" s="162"/>
      <c r="AN767" s="162"/>
      <c r="AO767" s="162"/>
      <c r="AP767" s="162"/>
      <c r="AQ767" s="162"/>
      <c r="AR767" s="162"/>
      <c r="AS767" s="162"/>
      <c r="AT767" s="161"/>
      <c r="AU767" s="161"/>
      <c r="AV767" s="161"/>
      <c r="AW767" s="161"/>
      <c r="AX767" s="161"/>
      <c r="AY767" s="161"/>
      <c r="AZ767" s="161"/>
      <c r="BA767" s="161"/>
      <c r="BB767" s="161"/>
      <c r="BC767" s="161"/>
      <c r="BD767" s="161"/>
      <c r="BE767" s="161"/>
      <c r="BF767" s="161"/>
      <c r="BG767" s="161"/>
      <c r="BH767" s="161"/>
      <c r="BI767" s="161"/>
      <c r="BJ767" s="161"/>
      <c r="BK767" s="161"/>
      <c r="BL767" s="161"/>
      <c r="BM767" s="161"/>
      <c r="BN767" s="161"/>
      <c r="BO767" s="161"/>
      <c r="BP767" s="161"/>
      <c r="BQ767" s="161"/>
      <c r="BR767" s="161"/>
      <c r="BS767" s="161"/>
      <c r="BT767" s="161"/>
      <c r="BU767" s="161"/>
      <c r="BV767" s="161"/>
      <c r="BW767" s="161"/>
      <c r="BX767" s="161"/>
      <c r="BY767" s="161"/>
    </row>
    <row r="768" spans="1:77">
      <c r="A768" s="162"/>
      <c r="B768" s="162"/>
      <c r="C768" s="162"/>
      <c r="D768" s="162"/>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c r="AC768" s="162"/>
      <c r="AD768" s="162"/>
      <c r="AE768" s="162"/>
      <c r="AF768" s="162"/>
      <c r="AG768" s="162"/>
      <c r="AH768" s="162"/>
      <c r="AI768" s="162"/>
      <c r="AJ768" s="162"/>
      <c r="AK768" s="162"/>
      <c r="AL768" s="162"/>
      <c r="AM768" s="162"/>
      <c r="AN768" s="162"/>
      <c r="AO768" s="162"/>
      <c r="AP768" s="162"/>
      <c r="AQ768" s="162"/>
      <c r="AR768" s="162"/>
      <c r="AS768" s="162"/>
      <c r="AT768" s="161"/>
      <c r="AU768" s="161"/>
      <c r="AV768" s="161"/>
      <c r="AW768" s="161"/>
      <c r="AX768" s="161"/>
      <c r="AY768" s="161"/>
      <c r="AZ768" s="161"/>
      <c r="BA768" s="161"/>
      <c r="BB768" s="161"/>
      <c r="BC768" s="161"/>
      <c r="BD768" s="161"/>
      <c r="BE768" s="161"/>
      <c r="BF768" s="161"/>
      <c r="BG768" s="161"/>
      <c r="BH768" s="161"/>
      <c r="BI768" s="161"/>
      <c r="BJ768" s="161"/>
      <c r="BK768" s="161"/>
      <c r="BL768" s="161"/>
      <c r="BM768" s="161"/>
      <c r="BN768" s="161"/>
      <c r="BO768" s="161"/>
      <c r="BP768" s="161"/>
      <c r="BQ768" s="161"/>
      <c r="BR768" s="161"/>
      <c r="BS768" s="161"/>
      <c r="BT768" s="161"/>
      <c r="BU768" s="161"/>
      <c r="BV768" s="161"/>
      <c r="BW768" s="161"/>
      <c r="BX768" s="161"/>
      <c r="BY768" s="161"/>
    </row>
    <row r="769" spans="1:77">
      <c r="A769" s="162"/>
      <c r="B769" s="162"/>
      <c r="C769" s="162"/>
      <c r="D769" s="162"/>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c r="AC769" s="162"/>
      <c r="AD769" s="162"/>
      <c r="AE769" s="162"/>
      <c r="AF769" s="162"/>
      <c r="AG769" s="162"/>
      <c r="AH769" s="162"/>
      <c r="AI769" s="162"/>
      <c r="AJ769" s="162"/>
      <c r="AK769" s="162"/>
      <c r="AL769" s="162"/>
      <c r="AM769" s="162"/>
      <c r="AN769" s="162"/>
      <c r="AO769" s="162"/>
      <c r="AP769" s="162"/>
      <c r="AQ769" s="162"/>
      <c r="AR769" s="162"/>
      <c r="AS769" s="162"/>
      <c r="AT769" s="161"/>
      <c r="AU769" s="161"/>
      <c r="AV769" s="161"/>
      <c r="AW769" s="161"/>
      <c r="AX769" s="161"/>
      <c r="AY769" s="161"/>
      <c r="AZ769" s="161"/>
      <c r="BA769" s="161"/>
      <c r="BB769" s="161"/>
      <c r="BC769" s="161"/>
      <c r="BD769" s="161"/>
      <c r="BE769" s="161"/>
      <c r="BF769" s="161"/>
      <c r="BG769" s="161"/>
      <c r="BH769" s="161"/>
      <c r="BI769" s="161"/>
      <c r="BJ769" s="161"/>
      <c r="BK769" s="161"/>
      <c r="BL769" s="161"/>
      <c r="BM769" s="161"/>
      <c r="BN769" s="161"/>
      <c r="BO769" s="161"/>
      <c r="BP769" s="161"/>
      <c r="BQ769" s="161"/>
      <c r="BR769" s="161"/>
      <c r="BS769" s="161"/>
      <c r="BT769" s="161"/>
      <c r="BU769" s="161"/>
      <c r="BV769" s="161"/>
      <c r="BW769" s="161"/>
      <c r="BX769" s="161"/>
      <c r="BY769" s="161"/>
    </row>
    <row r="770" spans="1:77">
      <c r="A770" s="162"/>
      <c r="B770" s="162"/>
      <c r="C770" s="162"/>
      <c r="D770" s="162"/>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c r="AC770" s="162"/>
      <c r="AD770" s="162"/>
      <c r="AE770" s="162"/>
      <c r="AF770" s="162"/>
      <c r="AG770" s="162"/>
      <c r="AH770" s="162"/>
      <c r="AI770" s="162"/>
      <c r="AJ770" s="162"/>
      <c r="AK770" s="162"/>
      <c r="AL770" s="162"/>
      <c r="AM770" s="162"/>
      <c r="AN770" s="162"/>
      <c r="AO770" s="162"/>
      <c r="AP770" s="162"/>
      <c r="AQ770" s="162"/>
      <c r="AR770" s="162"/>
      <c r="AS770" s="162"/>
      <c r="AT770" s="161"/>
      <c r="AU770" s="161"/>
      <c r="AV770" s="161"/>
      <c r="AW770" s="161"/>
      <c r="AX770" s="161"/>
      <c r="AY770" s="161"/>
      <c r="AZ770" s="161"/>
      <c r="BA770" s="161"/>
      <c r="BB770" s="161"/>
      <c r="BC770" s="161"/>
      <c r="BD770" s="161"/>
      <c r="BE770" s="161"/>
      <c r="BF770" s="161"/>
      <c r="BG770" s="161"/>
      <c r="BH770" s="161"/>
      <c r="BI770" s="161"/>
      <c r="BJ770" s="161"/>
      <c r="BK770" s="161"/>
      <c r="BL770" s="161"/>
      <c r="BM770" s="161"/>
      <c r="BN770" s="161"/>
      <c r="BO770" s="161"/>
      <c r="BP770" s="161"/>
      <c r="BQ770" s="161"/>
      <c r="BR770" s="161"/>
      <c r="BS770" s="161"/>
      <c r="BT770" s="161"/>
      <c r="BU770" s="161"/>
      <c r="BV770" s="161"/>
      <c r="BW770" s="161"/>
      <c r="BX770" s="161"/>
      <c r="BY770" s="161"/>
    </row>
    <row r="771" spans="1:77">
      <c r="A771" s="162"/>
      <c r="B771" s="162"/>
      <c r="C771" s="162"/>
      <c r="D771" s="162"/>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c r="AC771" s="162"/>
      <c r="AD771" s="162"/>
      <c r="AE771" s="162"/>
      <c r="AF771" s="162"/>
      <c r="AG771" s="162"/>
      <c r="AH771" s="162"/>
      <c r="AI771" s="162"/>
      <c r="AJ771" s="162"/>
      <c r="AK771" s="162"/>
      <c r="AL771" s="162"/>
      <c r="AM771" s="162"/>
      <c r="AN771" s="162"/>
      <c r="AO771" s="162"/>
      <c r="AP771" s="162"/>
      <c r="AQ771" s="162"/>
      <c r="AR771" s="162"/>
      <c r="AS771" s="162"/>
      <c r="AT771" s="161"/>
      <c r="AU771" s="161"/>
      <c r="AV771" s="161"/>
      <c r="AW771" s="161"/>
      <c r="AX771" s="161"/>
      <c r="AY771" s="161"/>
      <c r="AZ771" s="161"/>
      <c r="BA771" s="161"/>
      <c r="BB771" s="161"/>
      <c r="BC771" s="161"/>
      <c r="BD771" s="161"/>
      <c r="BE771" s="161"/>
      <c r="BF771" s="161"/>
      <c r="BG771" s="161"/>
      <c r="BH771" s="161"/>
      <c r="BI771" s="161"/>
      <c r="BJ771" s="161"/>
      <c r="BK771" s="161"/>
      <c r="BL771" s="161"/>
      <c r="BM771" s="161"/>
      <c r="BN771" s="161"/>
      <c r="BO771" s="161"/>
      <c r="BP771" s="161"/>
      <c r="BQ771" s="161"/>
      <c r="BR771" s="161"/>
      <c r="BS771" s="161"/>
      <c r="BT771" s="161"/>
      <c r="BU771" s="161"/>
      <c r="BV771" s="161"/>
      <c r="BW771" s="161"/>
      <c r="BX771" s="161"/>
      <c r="BY771" s="161"/>
    </row>
    <row r="772" spans="1:77">
      <c r="A772" s="162"/>
      <c r="B772" s="162"/>
      <c r="C772" s="162"/>
      <c r="D772" s="162"/>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c r="AC772" s="162"/>
      <c r="AD772" s="162"/>
      <c r="AE772" s="162"/>
      <c r="AF772" s="162"/>
      <c r="AG772" s="162"/>
      <c r="AH772" s="162"/>
      <c r="AI772" s="162"/>
      <c r="AJ772" s="162"/>
      <c r="AK772" s="162"/>
      <c r="AL772" s="162"/>
      <c r="AM772" s="162"/>
      <c r="AN772" s="162"/>
      <c r="AO772" s="162"/>
      <c r="AP772" s="162"/>
      <c r="AQ772" s="162"/>
      <c r="AR772" s="162"/>
      <c r="AS772" s="162"/>
      <c r="AT772" s="161"/>
      <c r="AU772" s="161"/>
      <c r="AV772" s="161"/>
      <c r="AW772" s="161"/>
      <c r="AX772" s="161"/>
      <c r="AY772" s="161"/>
      <c r="AZ772" s="161"/>
      <c r="BA772" s="161"/>
      <c r="BB772" s="161"/>
      <c r="BC772" s="161"/>
      <c r="BD772" s="161"/>
      <c r="BE772" s="161"/>
      <c r="BF772" s="161"/>
      <c r="BG772" s="161"/>
      <c r="BH772" s="161"/>
      <c r="BI772" s="161"/>
      <c r="BJ772" s="161"/>
      <c r="BK772" s="161"/>
      <c r="BL772" s="161"/>
      <c r="BM772" s="161"/>
      <c r="BN772" s="161"/>
      <c r="BO772" s="161"/>
      <c r="BP772" s="161"/>
      <c r="BQ772" s="161"/>
      <c r="BR772" s="161"/>
      <c r="BS772" s="161"/>
      <c r="BT772" s="161"/>
      <c r="BU772" s="161"/>
      <c r="BV772" s="161"/>
      <c r="BW772" s="161"/>
      <c r="BX772" s="161"/>
      <c r="BY772" s="161"/>
    </row>
    <row r="773" spans="1:77">
      <c r="A773" s="162"/>
      <c r="B773" s="162"/>
      <c r="C773" s="162"/>
      <c r="D773" s="162"/>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c r="AC773" s="162"/>
      <c r="AD773" s="162"/>
      <c r="AE773" s="162"/>
      <c r="AF773" s="162"/>
      <c r="AG773" s="162"/>
      <c r="AH773" s="162"/>
      <c r="AI773" s="162"/>
      <c r="AJ773" s="162"/>
      <c r="AK773" s="162"/>
      <c r="AL773" s="162"/>
      <c r="AM773" s="162"/>
      <c r="AN773" s="162"/>
      <c r="AO773" s="162"/>
      <c r="AP773" s="162"/>
      <c r="AQ773" s="162"/>
      <c r="AR773" s="162"/>
      <c r="AS773" s="162"/>
      <c r="AT773" s="161"/>
      <c r="AU773" s="161"/>
      <c r="AV773" s="161"/>
      <c r="AW773" s="161"/>
      <c r="AX773" s="161"/>
      <c r="AY773" s="161"/>
      <c r="AZ773" s="161"/>
      <c r="BA773" s="161"/>
      <c r="BB773" s="161"/>
      <c r="BC773" s="161"/>
      <c r="BD773" s="161"/>
      <c r="BE773" s="161"/>
      <c r="BF773" s="161"/>
      <c r="BG773" s="161"/>
      <c r="BH773" s="161"/>
      <c r="BI773" s="161"/>
      <c r="BJ773" s="161"/>
      <c r="BK773" s="161"/>
      <c r="BL773" s="161"/>
      <c r="BM773" s="161"/>
      <c r="BN773" s="161"/>
      <c r="BO773" s="161"/>
      <c r="BP773" s="161"/>
      <c r="BQ773" s="161"/>
      <c r="BR773" s="161"/>
      <c r="BS773" s="161"/>
      <c r="BT773" s="161"/>
      <c r="BU773" s="161"/>
      <c r="BV773" s="161"/>
      <c r="BW773" s="161"/>
      <c r="BX773" s="161"/>
      <c r="BY773" s="161"/>
    </row>
    <row r="774" spans="1:77">
      <c r="A774" s="162"/>
      <c r="B774" s="162"/>
      <c r="C774" s="162"/>
      <c r="D774" s="162"/>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c r="AC774" s="162"/>
      <c r="AD774" s="162"/>
      <c r="AE774" s="162"/>
      <c r="AF774" s="162"/>
      <c r="AG774" s="162"/>
      <c r="AH774" s="162"/>
      <c r="AI774" s="162"/>
      <c r="AJ774" s="162"/>
      <c r="AK774" s="162"/>
      <c r="AL774" s="162"/>
      <c r="AM774" s="162"/>
      <c r="AN774" s="162"/>
      <c r="AO774" s="162"/>
      <c r="AP774" s="162"/>
      <c r="AQ774" s="162"/>
      <c r="AR774" s="162"/>
      <c r="AS774" s="162"/>
      <c r="AT774" s="161"/>
      <c r="AU774" s="161"/>
      <c r="AV774" s="161"/>
      <c r="AW774" s="161"/>
      <c r="AX774" s="161"/>
      <c r="AY774" s="161"/>
      <c r="AZ774" s="161"/>
      <c r="BA774" s="161"/>
      <c r="BB774" s="161"/>
      <c r="BC774" s="161"/>
      <c r="BD774" s="161"/>
      <c r="BE774" s="161"/>
      <c r="BF774" s="161"/>
      <c r="BG774" s="161"/>
      <c r="BH774" s="161"/>
      <c r="BI774" s="161"/>
      <c r="BJ774" s="161"/>
      <c r="BK774" s="161"/>
      <c r="BL774" s="161"/>
      <c r="BM774" s="161"/>
      <c r="BN774" s="161"/>
      <c r="BO774" s="161"/>
      <c r="BP774" s="161"/>
      <c r="BQ774" s="161"/>
      <c r="BR774" s="161"/>
      <c r="BS774" s="161"/>
      <c r="BT774" s="161"/>
      <c r="BU774" s="161"/>
      <c r="BV774" s="161"/>
      <c r="BW774" s="161"/>
      <c r="BX774" s="161"/>
      <c r="BY774" s="161"/>
    </row>
    <row r="775" spans="1:77">
      <c r="A775" s="162"/>
      <c r="B775" s="162"/>
      <c r="C775" s="162"/>
      <c r="D775" s="162"/>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c r="AC775" s="162"/>
      <c r="AD775" s="162"/>
      <c r="AE775" s="162"/>
      <c r="AF775" s="162"/>
      <c r="AG775" s="162"/>
      <c r="AH775" s="162"/>
      <c r="AI775" s="162"/>
      <c r="AJ775" s="162"/>
      <c r="AK775" s="162"/>
      <c r="AL775" s="162"/>
      <c r="AM775" s="162"/>
      <c r="AN775" s="162"/>
      <c r="AO775" s="162"/>
      <c r="AP775" s="162"/>
      <c r="AQ775" s="162"/>
      <c r="AR775" s="162"/>
      <c r="AS775" s="162"/>
      <c r="AT775" s="161"/>
      <c r="AU775" s="161"/>
      <c r="AV775" s="161"/>
      <c r="AW775" s="161"/>
      <c r="AX775" s="161"/>
      <c r="AY775" s="161"/>
      <c r="AZ775" s="161"/>
      <c r="BA775" s="161"/>
      <c r="BB775" s="161"/>
      <c r="BC775" s="161"/>
      <c r="BD775" s="161"/>
      <c r="BE775" s="161"/>
      <c r="BF775" s="161"/>
      <c r="BG775" s="161"/>
      <c r="BH775" s="161"/>
      <c r="BI775" s="161"/>
      <c r="BJ775" s="161"/>
      <c r="BK775" s="161"/>
      <c r="BL775" s="161"/>
      <c r="BM775" s="161"/>
      <c r="BN775" s="161"/>
      <c r="BO775" s="161"/>
      <c r="BP775" s="161"/>
      <c r="BQ775" s="161"/>
      <c r="BR775" s="161"/>
      <c r="BS775" s="161"/>
      <c r="BT775" s="161"/>
      <c r="BU775" s="161"/>
      <c r="BV775" s="161"/>
      <c r="BW775" s="161"/>
      <c r="BX775" s="161"/>
      <c r="BY775" s="161"/>
    </row>
    <row r="776" spans="1:77">
      <c r="A776" s="162"/>
      <c r="B776" s="162"/>
      <c r="C776" s="162"/>
      <c r="D776" s="162"/>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c r="AC776" s="162"/>
      <c r="AD776" s="162"/>
      <c r="AE776" s="162"/>
      <c r="AF776" s="162"/>
      <c r="AG776" s="162"/>
      <c r="AH776" s="162"/>
      <c r="AI776" s="162"/>
      <c r="AJ776" s="162"/>
      <c r="AK776" s="162"/>
      <c r="AL776" s="162"/>
      <c r="AM776" s="162"/>
      <c r="AN776" s="162"/>
      <c r="AO776" s="162"/>
      <c r="AP776" s="162"/>
      <c r="AQ776" s="162"/>
      <c r="AR776" s="162"/>
      <c r="AS776" s="162"/>
      <c r="AT776" s="161"/>
      <c r="AU776" s="161"/>
      <c r="AV776" s="161"/>
      <c r="AW776" s="161"/>
      <c r="AX776" s="161"/>
      <c r="AY776" s="161"/>
      <c r="AZ776" s="161"/>
      <c r="BA776" s="161"/>
      <c r="BB776" s="161"/>
      <c r="BC776" s="161"/>
      <c r="BD776" s="161"/>
      <c r="BE776" s="161"/>
      <c r="BF776" s="161"/>
      <c r="BG776" s="161"/>
      <c r="BH776" s="161"/>
      <c r="BI776" s="161"/>
      <c r="BJ776" s="161"/>
      <c r="BK776" s="161"/>
      <c r="BL776" s="161"/>
      <c r="BM776" s="161"/>
      <c r="BN776" s="161"/>
      <c r="BO776" s="161"/>
      <c r="BP776" s="161"/>
      <c r="BQ776" s="161"/>
      <c r="BR776" s="161"/>
      <c r="BS776" s="161"/>
      <c r="BT776" s="161"/>
      <c r="BU776" s="161"/>
      <c r="BV776" s="161"/>
      <c r="BW776" s="161"/>
      <c r="BX776" s="161"/>
      <c r="BY776" s="161"/>
    </row>
    <row r="777" spans="1:77">
      <c r="A777" s="162"/>
      <c r="B777" s="162"/>
      <c r="C777" s="162"/>
      <c r="D777" s="162"/>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c r="AC777" s="162"/>
      <c r="AD777" s="162"/>
      <c r="AE777" s="162"/>
      <c r="AF777" s="162"/>
      <c r="AG777" s="162"/>
      <c r="AH777" s="162"/>
      <c r="AI777" s="162"/>
      <c r="AJ777" s="162"/>
      <c r="AK777" s="162"/>
      <c r="AL777" s="162"/>
      <c r="AM777" s="162"/>
      <c r="AN777" s="162"/>
      <c r="AO777" s="162"/>
      <c r="AP777" s="162"/>
      <c r="AQ777" s="162"/>
      <c r="AR777" s="162"/>
      <c r="AS777" s="162"/>
      <c r="AT777" s="161"/>
      <c r="AU777" s="161"/>
      <c r="AV777" s="161"/>
      <c r="AW777" s="161"/>
      <c r="AX777" s="161"/>
      <c r="AY777" s="161"/>
      <c r="AZ777" s="161"/>
      <c r="BA777" s="161"/>
      <c r="BB777" s="161"/>
      <c r="BC777" s="161"/>
      <c r="BD777" s="161"/>
      <c r="BE777" s="161"/>
      <c r="BF777" s="161"/>
      <c r="BG777" s="161"/>
      <c r="BH777" s="161"/>
      <c r="BI777" s="161"/>
      <c r="BJ777" s="161"/>
      <c r="BK777" s="161"/>
      <c r="BL777" s="161"/>
      <c r="BM777" s="161"/>
      <c r="BN777" s="161"/>
      <c r="BO777" s="161"/>
      <c r="BP777" s="161"/>
      <c r="BQ777" s="161"/>
      <c r="BR777" s="161"/>
      <c r="BS777" s="161"/>
      <c r="BT777" s="161"/>
      <c r="BU777" s="161"/>
      <c r="BV777" s="161"/>
      <c r="BW777" s="161"/>
      <c r="BX777" s="161"/>
      <c r="BY777" s="161"/>
    </row>
    <row r="778" spans="1:77">
      <c r="A778" s="162"/>
      <c r="B778" s="162"/>
      <c r="C778" s="162"/>
      <c r="D778" s="162"/>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c r="AC778" s="162"/>
      <c r="AD778" s="162"/>
      <c r="AE778" s="162"/>
      <c r="AF778" s="162"/>
      <c r="AG778" s="162"/>
      <c r="AH778" s="162"/>
      <c r="AI778" s="162"/>
      <c r="AJ778" s="162"/>
      <c r="AK778" s="162"/>
      <c r="AL778" s="162"/>
      <c r="AM778" s="162"/>
      <c r="AN778" s="162"/>
      <c r="AO778" s="162"/>
      <c r="AP778" s="162"/>
      <c r="AQ778" s="162"/>
      <c r="AR778" s="162"/>
      <c r="AS778" s="162"/>
      <c r="AT778" s="161"/>
      <c r="AU778" s="161"/>
      <c r="AV778" s="161"/>
      <c r="AW778" s="161"/>
      <c r="AX778" s="161"/>
      <c r="AY778" s="161"/>
      <c r="AZ778" s="161"/>
      <c r="BA778" s="161"/>
      <c r="BB778" s="161"/>
      <c r="BC778" s="161"/>
      <c r="BD778" s="161"/>
      <c r="BE778" s="161"/>
      <c r="BF778" s="161"/>
      <c r="BG778" s="161"/>
      <c r="BH778" s="161"/>
      <c r="BI778" s="161"/>
      <c r="BJ778" s="161"/>
      <c r="BK778" s="161"/>
      <c r="BL778" s="161"/>
      <c r="BM778" s="161"/>
      <c r="BN778" s="161"/>
      <c r="BO778" s="161"/>
      <c r="BP778" s="161"/>
      <c r="BQ778" s="161"/>
      <c r="BR778" s="161"/>
      <c r="BS778" s="161"/>
      <c r="BT778" s="161"/>
      <c r="BU778" s="161"/>
      <c r="BV778" s="161"/>
      <c r="BW778" s="161"/>
      <c r="BX778" s="161"/>
      <c r="BY778" s="161"/>
    </row>
    <row r="779" spans="1:77">
      <c r="A779" s="162"/>
      <c r="B779" s="162"/>
      <c r="C779" s="162"/>
      <c r="D779" s="162"/>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c r="AC779" s="162"/>
      <c r="AD779" s="162"/>
      <c r="AE779" s="162"/>
      <c r="AF779" s="162"/>
      <c r="AG779" s="162"/>
      <c r="AH779" s="162"/>
      <c r="AI779" s="162"/>
      <c r="AJ779" s="162"/>
      <c r="AK779" s="162"/>
      <c r="AL779" s="162"/>
      <c r="AM779" s="162"/>
      <c r="AN779" s="162"/>
      <c r="AO779" s="162"/>
      <c r="AP779" s="162"/>
      <c r="AQ779" s="162"/>
      <c r="AR779" s="162"/>
      <c r="AS779" s="162"/>
      <c r="AT779" s="161"/>
      <c r="AU779" s="161"/>
      <c r="AV779" s="161"/>
      <c r="AW779" s="161"/>
      <c r="AX779" s="161"/>
      <c r="AY779" s="161"/>
      <c r="AZ779" s="161"/>
      <c r="BA779" s="161"/>
      <c r="BB779" s="161"/>
      <c r="BC779" s="161"/>
      <c r="BD779" s="161"/>
      <c r="BE779" s="161"/>
      <c r="BF779" s="161"/>
      <c r="BG779" s="161"/>
      <c r="BH779" s="161"/>
      <c r="BI779" s="161"/>
      <c r="BJ779" s="161"/>
      <c r="BK779" s="161"/>
      <c r="BL779" s="161"/>
      <c r="BM779" s="161"/>
      <c r="BN779" s="161"/>
      <c r="BO779" s="161"/>
      <c r="BP779" s="161"/>
      <c r="BQ779" s="161"/>
      <c r="BR779" s="161"/>
      <c r="BS779" s="161"/>
      <c r="BT779" s="161"/>
      <c r="BU779" s="161"/>
      <c r="BV779" s="161"/>
      <c r="BW779" s="161"/>
      <c r="BX779" s="161"/>
      <c r="BY779" s="161"/>
    </row>
    <row r="780" spans="1:77">
      <c r="A780" s="162"/>
      <c r="B780" s="162"/>
      <c r="C780" s="162"/>
      <c r="D780" s="162"/>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c r="AC780" s="162"/>
      <c r="AD780" s="162"/>
      <c r="AE780" s="162"/>
      <c r="AF780" s="162"/>
      <c r="AG780" s="162"/>
      <c r="AH780" s="162"/>
      <c r="AI780" s="162"/>
      <c r="AJ780" s="162"/>
      <c r="AK780" s="162"/>
      <c r="AL780" s="162"/>
      <c r="AM780" s="162"/>
      <c r="AN780" s="162"/>
      <c r="AO780" s="162"/>
      <c r="AP780" s="162"/>
      <c r="AQ780" s="162"/>
      <c r="AR780" s="162"/>
      <c r="AS780" s="162"/>
      <c r="AT780" s="161"/>
      <c r="AU780" s="161"/>
      <c r="AV780" s="161"/>
      <c r="AW780" s="161"/>
      <c r="AX780" s="161"/>
      <c r="AY780" s="161"/>
      <c r="AZ780" s="161"/>
      <c r="BA780" s="161"/>
      <c r="BB780" s="161"/>
      <c r="BC780" s="161"/>
      <c r="BD780" s="161"/>
      <c r="BE780" s="161"/>
      <c r="BF780" s="161"/>
      <c r="BG780" s="161"/>
      <c r="BH780" s="161"/>
      <c r="BI780" s="161"/>
      <c r="BJ780" s="161"/>
      <c r="BK780" s="161"/>
      <c r="BL780" s="161"/>
      <c r="BM780" s="161"/>
      <c r="BN780" s="161"/>
      <c r="BO780" s="161"/>
      <c r="BP780" s="161"/>
      <c r="BQ780" s="161"/>
      <c r="BR780" s="161"/>
      <c r="BS780" s="161"/>
      <c r="BT780" s="161"/>
      <c r="BU780" s="161"/>
      <c r="BV780" s="161"/>
      <c r="BW780" s="161"/>
      <c r="BX780" s="161"/>
      <c r="BY780" s="161"/>
    </row>
    <row r="781" spans="1:77">
      <c r="A781" s="162"/>
      <c r="B781" s="162"/>
      <c r="C781" s="162"/>
      <c r="D781" s="162"/>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c r="AC781" s="162"/>
      <c r="AD781" s="162"/>
      <c r="AE781" s="162"/>
      <c r="AF781" s="162"/>
      <c r="AG781" s="162"/>
      <c r="AH781" s="162"/>
      <c r="AI781" s="162"/>
      <c r="AJ781" s="162"/>
      <c r="AK781" s="162"/>
      <c r="AL781" s="162"/>
      <c r="AM781" s="162"/>
      <c r="AN781" s="162"/>
      <c r="AO781" s="162"/>
      <c r="AP781" s="162"/>
      <c r="AQ781" s="162"/>
      <c r="AR781" s="162"/>
      <c r="AS781" s="162"/>
      <c r="AT781" s="161"/>
      <c r="AU781" s="161"/>
      <c r="AV781" s="161"/>
      <c r="AW781" s="161"/>
      <c r="AX781" s="161"/>
      <c r="AY781" s="161"/>
      <c r="AZ781" s="161"/>
      <c r="BA781" s="161"/>
      <c r="BB781" s="161"/>
      <c r="BC781" s="161"/>
      <c r="BD781" s="161"/>
      <c r="BE781" s="161"/>
      <c r="BF781" s="161"/>
      <c r="BG781" s="161"/>
      <c r="BH781" s="161"/>
      <c r="BI781" s="161"/>
      <c r="BJ781" s="161"/>
      <c r="BK781" s="161"/>
      <c r="BL781" s="161"/>
      <c r="BM781" s="161"/>
      <c r="BN781" s="161"/>
      <c r="BO781" s="161"/>
      <c r="BP781" s="161"/>
      <c r="BQ781" s="161"/>
      <c r="BR781" s="161"/>
      <c r="BS781" s="161"/>
      <c r="BT781" s="161"/>
      <c r="BU781" s="161"/>
      <c r="BV781" s="161"/>
      <c r="BW781" s="161"/>
      <c r="BX781" s="161"/>
      <c r="BY781" s="161"/>
    </row>
    <row r="782" spans="1:77">
      <c r="A782" s="162"/>
      <c r="B782" s="162"/>
      <c r="C782" s="162"/>
      <c r="D782" s="162"/>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c r="AC782" s="162"/>
      <c r="AD782" s="162"/>
      <c r="AE782" s="162"/>
      <c r="AF782" s="162"/>
      <c r="AG782" s="162"/>
      <c r="AH782" s="162"/>
      <c r="AI782" s="162"/>
      <c r="AJ782" s="162"/>
      <c r="AK782" s="162"/>
      <c r="AL782" s="162"/>
      <c r="AM782" s="162"/>
      <c r="AN782" s="162"/>
      <c r="AO782" s="162"/>
      <c r="AP782" s="162"/>
      <c r="AQ782" s="162"/>
      <c r="AR782" s="162"/>
      <c r="AS782" s="162"/>
      <c r="AT782" s="161"/>
      <c r="AU782" s="161"/>
      <c r="AV782" s="161"/>
      <c r="AW782" s="161"/>
      <c r="AX782" s="161"/>
      <c r="AY782" s="161"/>
      <c r="AZ782" s="161"/>
      <c r="BA782" s="161"/>
      <c r="BB782" s="161"/>
      <c r="BC782" s="161"/>
      <c r="BD782" s="161"/>
      <c r="BE782" s="161"/>
      <c r="BF782" s="161"/>
      <c r="BG782" s="161"/>
      <c r="BH782" s="161"/>
      <c r="BI782" s="161"/>
      <c r="BJ782" s="161"/>
      <c r="BK782" s="161"/>
      <c r="BL782" s="161"/>
      <c r="BM782" s="161"/>
      <c r="BN782" s="161"/>
      <c r="BO782" s="161"/>
      <c r="BP782" s="161"/>
      <c r="BQ782" s="161"/>
      <c r="BR782" s="161"/>
      <c r="BS782" s="161"/>
      <c r="BT782" s="161"/>
      <c r="BU782" s="161"/>
      <c r="BV782" s="161"/>
      <c r="BW782" s="161"/>
      <c r="BX782" s="161"/>
      <c r="BY782" s="161"/>
    </row>
    <row r="783" spans="1:77">
      <c r="A783" s="162"/>
      <c r="B783" s="162"/>
      <c r="C783" s="162"/>
      <c r="D783" s="162"/>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c r="AC783" s="162"/>
      <c r="AD783" s="162"/>
      <c r="AE783" s="162"/>
      <c r="AF783" s="162"/>
      <c r="AG783" s="162"/>
      <c r="AH783" s="162"/>
      <c r="AI783" s="162"/>
      <c r="AJ783" s="162"/>
      <c r="AK783" s="162"/>
      <c r="AL783" s="162"/>
      <c r="AM783" s="162"/>
      <c r="AN783" s="162"/>
      <c r="AO783" s="162"/>
      <c r="AP783" s="162"/>
      <c r="AQ783" s="162"/>
      <c r="AR783" s="162"/>
      <c r="AS783" s="162"/>
      <c r="AT783" s="161"/>
      <c r="AU783" s="161"/>
      <c r="AV783" s="161"/>
      <c r="AW783" s="161"/>
      <c r="AX783" s="161"/>
      <c r="AY783" s="161"/>
      <c r="AZ783" s="161"/>
      <c r="BA783" s="161"/>
      <c r="BB783" s="161"/>
      <c r="BC783" s="161"/>
      <c r="BD783" s="161"/>
      <c r="BE783" s="161"/>
      <c r="BF783" s="161"/>
      <c r="BG783" s="161"/>
      <c r="BH783" s="161"/>
      <c r="BI783" s="161"/>
      <c r="BJ783" s="161"/>
      <c r="BK783" s="161"/>
      <c r="BL783" s="161"/>
      <c r="BM783" s="161"/>
      <c r="BN783" s="161"/>
      <c r="BO783" s="161"/>
      <c r="BP783" s="161"/>
      <c r="BQ783" s="161"/>
      <c r="BR783" s="161"/>
      <c r="BS783" s="161"/>
      <c r="BT783" s="161"/>
      <c r="BU783" s="161"/>
      <c r="BV783" s="161"/>
      <c r="BW783" s="161"/>
      <c r="BX783" s="161"/>
      <c r="BY783" s="161"/>
    </row>
    <row r="784" spans="1:77">
      <c r="A784" s="162"/>
      <c r="B784" s="162"/>
      <c r="C784" s="162"/>
      <c r="D784" s="162"/>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c r="AC784" s="162"/>
      <c r="AD784" s="162"/>
      <c r="AE784" s="162"/>
      <c r="AF784" s="162"/>
      <c r="AG784" s="162"/>
      <c r="AH784" s="162"/>
      <c r="AI784" s="162"/>
      <c r="AJ784" s="162"/>
      <c r="AK784" s="162"/>
      <c r="AL784" s="162"/>
      <c r="AM784" s="162"/>
      <c r="AN784" s="162"/>
      <c r="AO784" s="162"/>
      <c r="AP784" s="162"/>
      <c r="AQ784" s="162"/>
      <c r="AR784" s="162"/>
      <c r="AS784" s="162"/>
      <c r="AT784" s="161"/>
      <c r="AU784" s="161"/>
      <c r="AV784" s="161"/>
      <c r="AW784" s="161"/>
      <c r="AX784" s="161"/>
      <c r="AY784" s="161"/>
      <c r="AZ784" s="161"/>
      <c r="BA784" s="161"/>
      <c r="BB784" s="161"/>
      <c r="BC784" s="161"/>
      <c r="BD784" s="161"/>
      <c r="BE784" s="161"/>
      <c r="BF784" s="161"/>
      <c r="BG784" s="161"/>
      <c r="BH784" s="161"/>
      <c r="BI784" s="161"/>
      <c r="BJ784" s="161"/>
      <c r="BK784" s="161"/>
      <c r="BL784" s="161"/>
      <c r="BM784" s="161"/>
      <c r="BN784" s="161"/>
      <c r="BO784" s="161"/>
      <c r="BP784" s="161"/>
      <c r="BQ784" s="161"/>
      <c r="BR784" s="161"/>
      <c r="BS784" s="161"/>
      <c r="BT784" s="161"/>
      <c r="BU784" s="161"/>
      <c r="BV784" s="161"/>
      <c r="BW784" s="161"/>
      <c r="BX784" s="161"/>
      <c r="BY784" s="161"/>
    </row>
    <row r="785" spans="1:77">
      <c r="A785" s="162"/>
      <c r="B785" s="162"/>
      <c r="C785" s="162"/>
      <c r="D785" s="162"/>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c r="AC785" s="162"/>
      <c r="AD785" s="162"/>
      <c r="AE785" s="162"/>
      <c r="AF785" s="162"/>
      <c r="AG785" s="162"/>
      <c r="AH785" s="162"/>
      <c r="AI785" s="162"/>
      <c r="AJ785" s="162"/>
      <c r="AK785" s="162"/>
      <c r="AL785" s="162"/>
      <c r="AM785" s="162"/>
      <c r="AN785" s="162"/>
      <c r="AO785" s="162"/>
      <c r="AP785" s="162"/>
      <c r="AQ785" s="162"/>
      <c r="AR785" s="162"/>
      <c r="AS785" s="162"/>
      <c r="AT785" s="161"/>
      <c r="AU785" s="161"/>
      <c r="AV785" s="161"/>
      <c r="AW785" s="161"/>
      <c r="AX785" s="161"/>
      <c r="AY785" s="161"/>
      <c r="AZ785" s="161"/>
      <c r="BA785" s="161"/>
      <c r="BB785" s="161"/>
      <c r="BC785" s="161"/>
      <c r="BD785" s="161"/>
      <c r="BE785" s="161"/>
      <c r="BF785" s="161"/>
      <c r="BG785" s="161"/>
      <c r="BH785" s="161"/>
      <c r="BI785" s="161"/>
      <c r="BJ785" s="161"/>
      <c r="BK785" s="161"/>
      <c r="BL785" s="161"/>
      <c r="BM785" s="161"/>
      <c r="BN785" s="161"/>
      <c r="BO785" s="161"/>
      <c r="BP785" s="161"/>
      <c r="BQ785" s="161"/>
      <c r="BR785" s="161"/>
      <c r="BS785" s="161"/>
      <c r="BT785" s="161"/>
      <c r="BU785" s="161"/>
      <c r="BV785" s="161"/>
      <c r="BW785" s="161"/>
      <c r="BX785" s="161"/>
      <c r="BY785" s="161"/>
    </row>
    <row r="786" spans="1:77">
      <c r="A786" s="162"/>
      <c r="B786" s="162"/>
      <c r="C786" s="162"/>
      <c r="D786" s="162"/>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c r="AC786" s="162"/>
      <c r="AD786" s="162"/>
      <c r="AE786" s="162"/>
      <c r="AF786" s="162"/>
      <c r="AG786" s="162"/>
      <c r="AH786" s="162"/>
      <c r="AI786" s="162"/>
      <c r="AJ786" s="162"/>
      <c r="AK786" s="162"/>
      <c r="AL786" s="162"/>
      <c r="AM786" s="162"/>
      <c r="AN786" s="162"/>
      <c r="AO786" s="162"/>
      <c r="AP786" s="162"/>
      <c r="AQ786" s="162"/>
      <c r="AR786" s="162"/>
      <c r="AS786" s="162"/>
      <c r="AT786" s="161"/>
      <c r="AU786" s="161"/>
      <c r="AV786" s="161"/>
      <c r="AW786" s="161"/>
      <c r="AX786" s="161"/>
      <c r="AY786" s="161"/>
      <c r="AZ786" s="161"/>
      <c r="BA786" s="161"/>
      <c r="BB786" s="161"/>
      <c r="BC786" s="161"/>
      <c r="BD786" s="161"/>
      <c r="BE786" s="161"/>
      <c r="BF786" s="161"/>
      <c r="BG786" s="161"/>
      <c r="BH786" s="161"/>
      <c r="BI786" s="161"/>
      <c r="BJ786" s="161"/>
      <c r="BK786" s="161"/>
      <c r="BL786" s="161"/>
      <c r="BM786" s="161"/>
      <c r="BN786" s="161"/>
      <c r="BO786" s="161"/>
      <c r="BP786" s="161"/>
      <c r="BQ786" s="161"/>
      <c r="BR786" s="161"/>
      <c r="BS786" s="161"/>
      <c r="BT786" s="161"/>
      <c r="BU786" s="161"/>
      <c r="BV786" s="161"/>
      <c r="BW786" s="161"/>
      <c r="BX786" s="161"/>
      <c r="BY786" s="161"/>
    </row>
    <row r="787" spans="1:77">
      <c r="A787" s="162"/>
      <c r="B787" s="162"/>
      <c r="C787" s="162"/>
      <c r="D787" s="162"/>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c r="AC787" s="162"/>
      <c r="AD787" s="162"/>
      <c r="AE787" s="162"/>
      <c r="AF787" s="162"/>
      <c r="AG787" s="162"/>
      <c r="AH787" s="162"/>
      <c r="AI787" s="162"/>
      <c r="AJ787" s="162"/>
      <c r="AK787" s="162"/>
      <c r="AL787" s="162"/>
      <c r="AM787" s="162"/>
      <c r="AN787" s="162"/>
      <c r="AO787" s="162"/>
      <c r="AP787" s="162"/>
      <c r="AQ787" s="162"/>
      <c r="AR787" s="162"/>
      <c r="AS787" s="162"/>
      <c r="AT787" s="161"/>
      <c r="AU787" s="161"/>
      <c r="AV787" s="161"/>
      <c r="AW787" s="161"/>
      <c r="AX787" s="161"/>
      <c r="AY787" s="161"/>
      <c r="AZ787" s="161"/>
      <c r="BA787" s="161"/>
      <c r="BB787" s="161"/>
      <c r="BC787" s="161"/>
      <c r="BD787" s="161"/>
      <c r="BE787" s="161"/>
      <c r="BF787" s="161"/>
      <c r="BG787" s="161"/>
      <c r="BH787" s="161"/>
      <c r="BI787" s="161"/>
      <c r="BJ787" s="161"/>
      <c r="BK787" s="161"/>
      <c r="BL787" s="161"/>
      <c r="BM787" s="161"/>
      <c r="BN787" s="161"/>
      <c r="BO787" s="161"/>
      <c r="BP787" s="161"/>
      <c r="BQ787" s="161"/>
      <c r="BR787" s="161"/>
      <c r="BS787" s="161"/>
      <c r="BT787" s="161"/>
      <c r="BU787" s="161"/>
      <c r="BV787" s="161"/>
      <c r="BW787" s="161"/>
      <c r="BX787" s="161"/>
      <c r="BY787" s="161"/>
    </row>
    <row r="788" spans="1:77">
      <c r="A788" s="162"/>
      <c r="B788" s="162"/>
      <c r="C788" s="162"/>
      <c r="D788" s="162"/>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c r="AC788" s="162"/>
      <c r="AD788" s="162"/>
      <c r="AE788" s="162"/>
      <c r="AF788" s="162"/>
      <c r="AG788" s="162"/>
      <c r="AH788" s="162"/>
      <c r="AI788" s="162"/>
      <c r="AJ788" s="162"/>
      <c r="AK788" s="162"/>
      <c r="AL788" s="162"/>
      <c r="AM788" s="162"/>
      <c r="AN788" s="162"/>
      <c r="AO788" s="162"/>
      <c r="AP788" s="162"/>
      <c r="AQ788" s="162"/>
      <c r="AR788" s="162"/>
      <c r="AS788" s="162"/>
      <c r="AT788" s="161"/>
      <c r="AU788" s="161"/>
      <c r="AV788" s="161"/>
      <c r="AW788" s="161"/>
      <c r="AX788" s="161"/>
      <c r="AY788" s="161"/>
      <c r="AZ788" s="161"/>
      <c r="BA788" s="161"/>
      <c r="BB788" s="161"/>
      <c r="BC788" s="161"/>
      <c r="BD788" s="161"/>
      <c r="BE788" s="161"/>
      <c r="BF788" s="161"/>
      <c r="BG788" s="161"/>
      <c r="BH788" s="161"/>
      <c r="BI788" s="161"/>
      <c r="BJ788" s="161"/>
      <c r="BK788" s="161"/>
      <c r="BL788" s="161"/>
      <c r="BM788" s="161"/>
      <c r="BN788" s="161"/>
      <c r="BO788" s="161"/>
      <c r="BP788" s="161"/>
      <c r="BQ788" s="161"/>
      <c r="BR788" s="161"/>
      <c r="BS788" s="161"/>
      <c r="BT788" s="161"/>
      <c r="BU788" s="161"/>
      <c r="BV788" s="161"/>
      <c r="BW788" s="161"/>
      <c r="BX788" s="161"/>
      <c r="BY788" s="161"/>
    </row>
    <row r="789" spans="1:77">
      <c r="A789" s="162"/>
      <c r="B789" s="162"/>
      <c r="C789" s="162"/>
      <c r="D789" s="162"/>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c r="AC789" s="162"/>
      <c r="AD789" s="162"/>
      <c r="AE789" s="162"/>
      <c r="AF789" s="162"/>
      <c r="AG789" s="162"/>
      <c r="AH789" s="162"/>
      <c r="AI789" s="162"/>
      <c r="AJ789" s="162"/>
      <c r="AK789" s="162"/>
      <c r="AL789" s="162"/>
      <c r="AM789" s="162"/>
      <c r="AN789" s="162"/>
      <c r="AO789" s="162"/>
      <c r="AP789" s="162"/>
      <c r="AQ789" s="162"/>
      <c r="AR789" s="162"/>
      <c r="AS789" s="162"/>
      <c r="AT789" s="161"/>
      <c r="AU789" s="161"/>
      <c r="AV789" s="161"/>
      <c r="AW789" s="161"/>
      <c r="AX789" s="161"/>
      <c r="AY789" s="161"/>
      <c r="AZ789" s="161"/>
      <c r="BA789" s="161"/>
      <c r="BB789" s="161"/>
      <c r="BC789" s="161"/>
      <c r="BD789" s="161"/>
      <c r="BE789" s="161"/>
      <c r="BF789" s="161"/>
      <c r="BG789" s="161"/>
      <c r="BH789" s="161"/>
      <c r="BI789" s="161"/>
      <c r="BJ789" s="161"/>
      <c r="BK789" s="161"/>
      <c r="BL789" s="161"/>
      <c r="BM789" s="161"/>
      <c r="BN789" s="161"/>
      <c r="BO789" s="161"/>
      <c r="BP789" s="161"/>
      <c r="BQ789" s="161"/>
      <c r="BR789" s="161"/>
      <c r="BS789" s="161"/>
      <c r="BT789" s="161"/>
      <c r="BU789" s="161"/>
      <c r="BV789" s="161"/>
      <c r="BW789" s="161"/>
      <c r="BX789" s="161"/>
      <c r="BY789" s="161"/>
    </row>
    <row r="790" spans="1:77">
      <c r="A790" s="162"/>
      <c r="B790" s="162"/>
      <c r="C790" s="162"/>
      <c r="D790" s="162"/>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c r="AC790" s="162"/>
      <c r="AD790" s="162"/>
      <c r="AE790" s="162"/>
      <c r="AF790" s="162"/>
      <c r="AG790" s="162"/>
      <c r="AH790" s="162"/>
      <c r="AI790" s="162"/>
      <c r="AJ790" s="162"/>
      <c r="AK790" s="162"/>
      <c r="AL790" s="162"/>
      <c r="AM790" s="162"/>
      <c r="AN790" s="162"/>
      <c r="AO790" s="162"/>
      <c r="AP790" s="162"/>
      <c r="AQ790" s="162"/>
      <c r="AR790" s="162"/>
      <c r="AS790" s="162"/>
      <c r="AT790" s="161"/>
      <c r="AU790" s="161"/>
      <c r="AV790" s="161"/>
      <c r="AW790" s="161"/>
      <c r="AX790" s="161"/>
      <c r="AY790" s="161"/>
      <c r="AZ790" s="161"/>
      <c r="BA790" s="161"/>
      <c r="BB790" s="161"/>
      <c r="BC790" s="161"/>
      <c r="BD790" s="161"/>
      <c r="BE790" s="161"/>
      <c r="BF790" s="161"/>
      <c r="BG790" s="161"/>
      <c r="BH790" s="161"/>
      <c r="BI790" s="161"/>
      <c r="BJ790" s="161"/>
      <c r="BK790" s="161"/>
      <c r="BL790" s="161"/>
      <c r="BM790" s="161"/>
      <c r="BN790" s="161"/>
      <c r="BO790" s="161"/>
      <c r="BP790" s="161"/>
      <c r="BQ790" s="161"/>
      <c r="BR790" s="161"/>
      <c r="BS790" s="161"/>
      <c r="BT790" s="161"/>
      <c r="BU790" s="161"/>
      <c r="BV790" s="161"/>
      <c r="BW790" s="161"/>
      <c r="BX790" s="161"/>
      <c r="BY790" s="161"/>
    </row>
    <row r="791" spans="1:77">
      <c r="A791" s="162"/>
      <c r="B791" s="162"/>
      <c r="C791" s="162"/>
      <c r="D791" s="162"/>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c r="AC791" s="162"/>
      <c r="AD791" s="162"/>
      <c r="AE791" s="162"/>
      <c r="AF791" s="162"/>
      <c r="AG791" s="162"/>
      <c r="AH791" s="162"/>
      <c r="AI791" s="162"/>
      <c r="AJ791" s="162"/>
      <c r="AK791" s="162"/>
      <c r="AL791" s="162"/>
      <c r="AM791" s="162"/>
      <c r="AN791" s="162"/>
      <c r="AO791" s="162"/>
      <c r="AP791" s="162"/>
      <c r="AQ791" s="162"/>
      <c r="AR791" s="162"/>
      <c r="AS791" s="162"/>
      <c r="AT791" s="161"/>
      <c r="AU791" s="161"/>
      <c r="AV791" s="161"/>
      <c r="AW791" s="161"/>
      <c r="AX791" s="161"/>
      <c r="AY791" s="161"/>
      <c r="AZ791" s="161"/>
      <c r="BA791" s="161"/>
      <c r="BB791" s="161"/>
      <c r="BC791" s="161"/>
      <c r="BD791" s="161"/>
      <c r="BE791" s="161"/>
      <c r="BF791" s="161"/>
      <c r="BG791" s="161"/>
      <c r="BH791" s="161"/>
      <c r="BI791" s="161"/>
      <c r="BJ791" s="161"/>
      <c r="BK791" s="161"/>
      <c r="BL791" s="161"/>
      <c r="BM791" s="161"/>
      <c r="BN791" s="161"/>
      <c r="BO791" s="161"/>
      <c r="BP791" s="161"/>
      <c r="BQ791" s="161"/>
      <c r="BR791" s="161"/>
      <c r="BS791" s="161"/>
      <c r="BT791" s="161"/>
      <c r="BU791" s="161"/>
      <c r="BV791" s="161"/>
      <c r="BW791" s="161"/>
      <c r="BX791" s="161"/>
      <c r="BY791" s="161"/>
    </row>
    <row r="792" spans="1:77">
      <c r="A792" s="162"/>
      <c r="B792" s="162"/>
      <c r="C792" s="162"/>
      <c r="D792" s="162"/>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c r="AC792" s="162"/>
      <c r="AD792" s="162"/>
      <c r="AE792" s="162"/>
      <c r="AF792" s="162"/>
      <c r="AG792" s="162"/>
      <c r="AH792" s="162"/>
      <c r="AI792" s="162"/>
      <c r="AJ792" s="162"/>
      <c r="AK792" s="162"/>
      <c r="AL792" s="162"/>
      <c r="AM792" s="162"/>
      <c r="AN792" s="162"/>
      <c r="AO792" s="162"/>
      <c r="AP792" s="162"/>
      <c r="AQ792" s="162"/>
      <c r="AR792" s="162"/>
      <c r="AS792" s="162"/>
      <c r="AT792" s="161"/>
      <c r="AU792" s="161"/>
      <c r="AV792" s="161"/>
      <c r="AW792" s="161"/>
      <c r="AX792" s="161"/>
      <c r="AY792" s="161"/>
      <c r="AZ792" s="161"/>
      <c r="BA792" s="161"/>
      <c r="BB792" s="161"/>
      <c r="BC792" s="161"/>
      <c r="BD792" s="161"/>
      <c r="BE792" s="161"/>
      <c r="BF792" s="161"/>
      <c r="BG792" s="161"/>
      <c r="BH792" s="161"/>
      <c r="BI792" s="161"/>
      <c r="BJ792" s="161"/>
      <c r="BK792" s="161"/>
      <c r="BL792" s="161"/>
      <c r="BM792" s="161"/>
      <c r="BN792" s="161"/>
      <c r="BO792" s="161"/>
      <c r="BP792" s="161"/>
      <c r="BQ792" s="161"/>
      <c r="BR792" s="161"/>
      <c r="BS792" s="161"/>
      <c r="BT792" s="161"/>
      <c r="BU792" s="161"/>
      <c r="BV792" s="161"/>
      <c r="BW792" s="161"/>
      <c r="BX792" s="161"/>
      <c r="BY792" s="161"/>
    </row>
    <row r="793" spans="1:77">
      <c r="A793" s="162"/>
      <c r="B793" s="162"/>
      <c r="C793" s="162"/>
      <c r="D793" s="162"/>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c r="AC793" s="162"/>
      <c r="AD793" s="162"/>
      <c r="AE793" s="162"/>
      <c r="AF793" s="162"/>
      <c r="AG793" s="162"/>
      <c r="AH793" s="162"/>
      <c r="AI793" s="162"/>
      <c r="AJ793" s="162"/>
      <c r="AK793" s="162"/>
      <c r="AL793" s="162"/>
      <c r="AM793" s="162"/>
      <c r="AN793" s="162"/>
      <c r="AO793" s="162"/>
      <c r="AP793" s="162"/>
      <c r="AQ793" s="162"/>
      <c r="AR793" s="162"/>
      <c r="AS793" s="162"/>
      <c r="AT793" s="161"/>
      <c r="AU793" s="161"/>
      <c r="AV793" s="161"/>
      <c r="AW793" s="161"/>
      <c r="AX793" s="161"/>
      <c r="AY793" s="161"/>
      <c r="AZ793" s="161"/>
      <c r="BA793" s="161"/>
      <c r="BB793" s="161"/>
      <c r="BC793" s="161"/>
      <c r="BD793" s="161"/>
      <c r="BE793" s="161"/>
      <c r="BF793" s="161"/>
      <c r="BG793" s="161"/>
      <c r="BH793" s="161"/>
      <c r="BI793" s="161"/>
      <c r="BJ793" s="161"/>
      <c r="BK793" s="161"/>
      <c r="BL793" s="161"/>
      <c r="BM793" s="161"/>
      <c r="BN793" s="161"/>
      <c r="BO793" s="161"/>
      <c r="BP793" s="161"/>
      <c r="BQ793" s="161"/>
      <c r="BR793" s="161"/>
      <c r="BS793" s="161"/>
      <c r="BT793" s="161"/>
      <c r="BU793" s="161"/>
      <c r="BV793" s="161"/>
      <c r="BW793" s="161"/>
      <c r="BX793" s="161"/>
      <c r="BY793" s="161"/>
    </row>
    <row r="794" spans="1:77">
      <c r="A794" s="162"/>
      <c r="B794" s="162"/>
      <c r="C794" s="162"/>
      <c r="D794" s="162"/>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c r="AC794" s="162"/>
      <c r="AD794" s="162"/>
      <c r="AE794" s="162"/>
      <c r="AF794" s="162"/>
      <c r="AG794" s="162"/>
      <c r="AH794" s="162"/>
      <c r="AI794" s="162"/>
      <c r="AJ794" s="162"/>
      <c r="AK794" s="162"/>
      <c r="AL794" s="162"/>
      <c r="AM794" s="162"/>
      <c r="AN794" s="162"/>
      <c r="AO794" s="162"/>
      <c r="AP794" s="162"/>
      <c r="AQ794" s="162"/>
      <c r="AR794" s="162"/>
      <c r="AS794" s="162"/>
      <c r="AT794" s="161"/>
      <c r="AU794" s="161"/>
      <c r="AV794" s="161"/>
      <c r="AW794" s="161"/>
      <c r="AX794" s="161"/>
      <c r="AY794" s="161"/>
      <c r="AZ794" s="161"/>
      <c r="BA794" s="161"/>
      <c r="BB794" s="161"/>
      <c r="BC794" s="161"/>
      <c r="BD794" s="161"/>
      <c r="BE794" s="161"/>
      <c r="BF794" s="161"/>
      <c r="BG794" s="161"/>
      <c r="BH794" s="161"/>
      <c r="BI794" s="161"/>
      <c r="BJ794" s="161"/>
      <c r="BK794" s="161"/>
      <c r="BL794" s="161"/>
      <c r="BM794" s="161"/>
      <c r="BN794" s="161"/>
      <c r="BO794" s="161"/>
      <c r="BP794" s="161"/>
      <c r="BQ794" s="161"/>
      <c r="BR794" s="161"/>
      <c r="BS794" s="161"/>
      <c r="BT794" s="161"/>
      <c r="BU794" s="161"/>
      <c r="BV794" s="161"/>
      <c r="BW794" s="161"/>
      <c r="BX794" s="161"/>
      <c r="BY794" s="161"/>
    </row>
    <row r="795" spans="1:77">
      <c r="A795" s="162"/>
      <c r="B795" s="162"/>
      <c r="C795" s="162"/>
      <c r="D795" s="162"/>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c r="AC795" s="162"/>
      <c r="AD795" s="162"/>
      <c r="AE795" s="162"/>
      <c r="AF795" s="162"/>
      <c r="AG795" s="162"/>
      <c r="AH795" s="162"/>
      <c r="AI795" s="162"/>
      <c r="AJ795" s="162"/>
      <c r="AK795" s="162"/>
      <c r="AL795" s="162"/>
      <c r="AM795" s="162"/>
      <c r="AN795" s="162"/>
      <c r="AO795" s="162"/>
      <c r="AP795" s="162"/>
      <c r="AQ795" s="162"/>
      <c r="AR795" s="162"/>
      <c r="AS795" s="162"/>
      <c r="AT795" s="161"/>
      <c r="AU795" s="161"/>
      <c r="AV795" s="161"/>
      <c r="AW795" s="161"/>
      <c r="AX795" s="161"/>
      <c r="AY795" s="161"/>
      <c r="AZ795" s="161"/>
      <c r="BA795" s="161"/>
      <c r="BB795" s="161"/>
      <c r="BC795" s="161"/>
      <c r="BD795" s="161"/>
      <c r="BE795" s="161"/>
      <c r="BF795" s="161"/>
      <c r="BG795" s="161"/>
      <c r="BH795" s="161"/>
      <c r="BI795" s="161"/>
      <c r="BJ795" s="161"/>
      <c r="BK795" s="161"/>
      <c r="BL795" s="161"/>
      <c r="BM795" s="161"/>
      <c r="BN795" s="161"/>
      <c r="BO795" s="161"/>
      <c r="BP795" s="161"/>
      <c r="BQ795" s="161"/>
      <c r="BR795" s="161"/>
      <c r="BS795" s="161"/>
      <c r="BT795" s="161"/>
      <c r="BU795" s="161"/>
      <c r="BV795" s="161"/>
      <c r="BW795" s="161"/>
      <c r="BX795" s="161"/>
      <c r="BY795" s="161"/>
    </row>
    <row r="796" spans="1:77">
      <c r="A796" s="162"/>
      <c r="B796" s="162"/>
      <c r="C796" s="162"/>
      <c r="D796" s="162"/>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c r="AC796" s="162"/>
      <c r="AD796" s="162"/>
      <c r="AE796" s="162"/>
      <c r="AF796" s="162"/>
      <c r="AG796" s="162"/>
      <c r="AH796" s="162"/>
      <c r="AI796" s="162"/>
      <c r="AJ796" s="162"/>
      <c r="AK796" s="162"/>
      <c r="AL796" s="162"/>
      <c r="AM796" s="162"/>
      <c r="AN796" s="162"/>
      <c r="AO796" s="162"/>
      <c r="AP796" s="162"/>
      <c r="AQ796" s="162"/>
      <c r="AR796" s="162"/>
      <c r="AS796" s="162"/>
      <c r="AT796" s="161"/>
      <c r="AU796" s="161"/>
      <c r="AV796" s="161"/>
      <c r="AW796" s="161"/>
      <c r="AX796" s="161"/>
      <c r="AY796" s="161"/>
      <c r="AZ796" s="161"/>
      <c r="BA796" s="161"/>
      <c r="BB796" s="161"/>
      <c r="BC796" s="161"/>
      <c r="BD796" s="161"/>
      <c r="BE796" s="161"/>
      <c r="BF796" s="161"/>
      <c r="BG796" s="161"/>
      <c r="BH796" s="161"/>
      <c r="BI796" s="161"/>
      <c r="BJ796" s="161"/>
      <c r="BK796" s="161"/>
      <c r="BL796" s="161"/>
      <c r="BM796" s="161"/>
      <c r="BN796" s="161"/>
      <c r="BO796" s="161"/>
      <c r="BP796" s="161"/>
      <c r="BQ796" s="161"/>
      <c r="BR796" s="161"/>
      <c r="BS796" s="161"/>
      <c r="BT796" s="161"/>
      <c r="BU796" s="161"/>
      <c r="BV796" s="161"/>
      <c r="BW796" s="161"/>
      <c r="BX796" s="161"/>
      <c r="BY796" s="161"/>
    </row>
    <row r="797" spans="1:77">
      <c r="A797" s="162"/>
      <c r="B797" s="162"/>
      <c r="C797" s="162"/>
      <c r="D797" s="162"/>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c r="AC797" s="162"/>
      <c r="AD797" s="162"/>
      <c r="AE797" s="162"/>
      <c r="AF797" s="162"/>
      <c r="AG797" s="162"/>
      <c r="AH797" s="162"/>
      <c r="AI797" s="162"/>
      <c r="AJ797" s="162"/>
      <c r="AK797" s="162"/>
      <c r="AL797" s="162"/>
      <c r="AM797" s="162"/>
      <c r="AN797" s="162"/>
      <c r="AO797" s="162"/>
      <c r="AP797" s="162"/>
      <c r="AQ797" s="162"/>
      <c r="AR797" s="162"/>
      <c r="AS797" s="162"/>
      <c r="AT797" s="161"/>
      <c r="AU797" s="161"/>
      <c r="AV797" s="161"/>
      <c r="AW797" s="161"/>
      <c r="AX797" s="161"/>
      <c r="AY797" s="161"/>
      <c r="AZ797" s="161"/>
      <c r="BA797" s="161"/>
      <c r="BB797" s="161"/>
      <c r="BC797" s="161"/>
      <c r="BD797" s="161"/>
      <c r="BE797" s="161"/>
      <c r="BF797" s="161"/>
      <c r="BG797" s="161"/>
      <c r="BH797" s="161"/>
      <c r="BI797" s="161"/>
      <c r="BJ797" s="161"/>
      <c r="BK797" s="161"/>
      <c r="BL797" s="161"/>
      <c r="BM797" s="161"/>
      <c r="BN797" s="161"/>
      <c r="BO797" s="161"/>
      <c r="BP797" s="161"/>
      <c r="BQ797" s="161"/>
      <c r="BR797" s="161"/>
      <c r="BS797" s="161"/>
      <c r="BT797" s="161"/>
      <c r="BU797" s="161"/>
      <c r="BV797" s="161"/>
      <c r="BW797" s="161"/>
      <c r="BX797" s="161"/>
      <c r="BY797" s="161"/>
    </row>
    <row r="798" spans="1:77">
      <c r="A798" s="162"/>
      <c r="B798" s="162"/>
      <c r="C798" s="162"/>
      <c r="D798" s="162"/>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c r="AC798" s="162"/>
      <c r="AD798" s="162"/>
      <c r="AE798" s="162"/>
      <c r="AF798" s="162"/>
      <c r="AG798" s="162"/>
      <c r="AH798" s="162"/>
      <c r="AI798" s="162"/>
      <c r="AJ798" s="162"/>
      <c r="AK798" s="162"/>
      <c r="AL798" s="162"/>
      <c r="AM798" s="162"/>
      <c r="AN798" s="162"/>
      <c r="AO798" s="162"/>
      <c r="AP798" s="162"/>
      <c r="AQ798" s="162"/>
      <c r="AR798" s="162"/>
      <c r="AS798" s="162"/>
      <c r="AT798" s="161"/>
      <c r="AU798" s="161"/>
      <c r="AV798" s="161"/>
      <c r="AW798" s="161"/>
      <c r="AX798" s="161"/>
      <c r="AY798" s="161"/>
      <c r="AZ798" s="161"/>
      <c r="BA798" s="161"/>
      <c r="BB798" s="161"/>
      <c r="BC798" s="161"/>
      <c r="BD798" s="161"/>
      <c r="BE798" s="161"/>
      <c r="BF798" s="161"/>
      <c r="BG798" s="161"/>
      <c r="BH798" s="161"/>
      <c r="BI798" s="161"/>
      <c r="BJ798" s="161"/>
      <c r="BK798" s="161"/>
      <c r="BL798" s="161"/>
      <c r="BM798" s="161"/>
      <c r="BN798" s="161"/>
      <c r="BO798" s="161"/>
      <c r="BP798" s="161"/>
      <c r="BQ798" s="161"/>
      <c r="BR798" s="161"/>
      <c r="BS798" s="161"/>
      <c r="BT798" s="161"/>
      <c r="BU798" s="161"/>
      <c r="BV798" s="161"/>
      <c r="BW798" s="161"/>
      <c r="BX798" s="161"/>
      <c r="BY798" s="161"/>
    </row>
    <row r="799" spans="1:77">
      <c r="A799" s="162"/>
      <c r="B799" s="162"/>
      <c r="C799" s="162"/>
      <c r="D799" s="162"/>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c r="AC799" s="162"/>
      <c r="AD799" s="162"/>
      <c r="AE799" s="162"/>
      <c r="AF799" s="162"/>
      <c r="AG799" s="162"/>
      <c r="AH799" s="162"/>
      <c r="AI799" s="162"/>
      <c r="AJ799" s="162"/>
      <c r="AK799" s="162"/>
      <c r="AL799" s="162"/>
      <c r="AM799" s="162"/>
      <c r="AN799" s="162"/>
      <c r="AO799" s="162"/>
      <c r="AP799" s="162"/>
      <c r="AQ799" s="162"/>
      <c r="AR799" s="162"/>
      <c r="AS799" s="162"/>
      <c r="AT799" s="161"/>
      <c r="AU799" s="161"/>
      <c r="AV799" s="161"/>
      <c r="AW799" s="161"/>
      <c r="AX799" s="161"/>
      <c r="AY799" s="161"/>
      <c r="AZ799" s="161"/>
      <c r="BA799" s="161"/>
      <c r="BB799" s="161"/>
      <c r="BC799" s="161"/>
      <c r="BD799" s="161"/>
      <c r="BE799" s="161"/>
      <c r="BF799" s="161"/>
      <c r="BG799" s="161"/>
      <c r="BH799" s="161"/>
      <c r="BI799" s="161"/>
      <c r="BJ799" s="161"/>
      <c r="BK799" s="161"/>
      <c r="BL799" s="161"/>
      <c r="BM799" s="161"/>
      <c r="BN799" s="161"/>
      <c r="BO799" s="161"/>
      <c r="BP799" s="161"/>
      <c r="BQ799" s="161"/>
      <c r="BR799" s="161"/>
      <c r="BS799" s="161"/>
      <c r="BT799" s="161"/>
      <c r="BU799" s="161"/>
      <c r="BV799" s="161"/>
      <c r="BW799" s="161"/>
      <c r="BX799" s="161"/>
      <c r="BY799" s="161"/>
    </row>
    <row r="800" spans="1:77">
      <c r="A800" s="162"/>
      <c r="B800" s="162"/>
      <c r="C800" s="162"/>
      <c r="D800" s="162"/>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c r="AC800" s="162"/>
      <c r="AD800" s="162"/>
      <c r="AE800" s="162"/>
      <c r="AF800" s="162"/>
      <c r="AG800" s="162"/>
      <c r="AH800" s="162"/>
      <c r="AI800" s="162"/>
      <c r="AJ800" s="162"/>
      <c r="AK800" s="162"/>
      <c r="AL800" s="162"/>
      <c r="AM800" s="162"/>
      <c r="AN800" s="162"/>
      <c r="AO800" s="162"/>
      <c r="AP800" s="162"/>
      <c r="AQ800" s="162"/>
      <c r="AR800" s="162"/>
      <c r="AS800" s="162"/>
      <c r="AT800" s="161"/>
      <c r="AU800" s="161"/>
      <c r="AV800" s="161"/>
      <c r="AW800" s="161"/>
      <c r="AX800" s="161"/>
      <c r="AY800" s="161"/>
      <c r="AZ800" s="161"/>
      <c r="BA800" s="161"/>
      <c r="BB800" s="161"/>
      <c r="BC800" s="161"/>
      <c r="BD800" s="161"/>
      <c r="BE800" s="161"/>
      <c r="BF800" s="161"/>
      <c r="BG800" s="161"/>
      <c r="BH800" s="161"/>
      <c r="BI800" s="161"/>
      <c r="BJ800" s="161"/>
      <c r="BK800" s="161"/>
      <c r="BL800" s="161"/>
      <c r="BM800" s="161"/>
      <c r="BN800" s="161"/>
      <c r="BO800" s="161"/>
      <c r="BP800" s="161"/>
      <c r="BQ800" s="161"/>
      <c r="BR800" s="161"/>
      <c r="BS800" s="161"/>
      <c r="BT800" s="161"/>
      <c r="BU800" s="161"/>
      <c r="BV800" s="161"/>
      <c r="BW800" s="161"/>
      <c r="BX800" s="161"/>
      <c r="BY800" s="161"/>
    </row>
    <row r="801" spans="1:77">
      <c r="A801" s="162"/>
      <c r="B801" s="162"/>
      <c r="C801" s="162"/>
      <c r="D801" s="162"/>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c r="AC801" s="162"/>
      <c r="AD801" s="162"/>
      <c r="AE801" s="162"/>
      <c r="AF801" s="162"/>
      <c r="AG801" s="162"/>
      <c r="AH801" s="162"/>
      <c r="AI801" s="162"/>
      <c r="AJ801" s="162"/>
      <c r="AK801" s="162"/>
      <c r="AL801" s="162"/>
      <c r="AM801" s="162"/>
      <c r="AN801" s="162"/>
      <c r="AO801" s="162"/>
      <c r="AP801" s="162"/>
      <c r="AQ801" s="162"/>
      <c r="AR801" s="162"/>
      <c r="AS801" s="162"/>
      <c r="AT801" s="161"/>
      <c r="AU801" s="161"/>
      <c r="AV801" s="161"/>
      <c r="AW801" s="161"/>
      <c r="AX801" s="161"/>
      <c r="AY801" s="161"/>
      <c r="AZ801" s="161"/>
      <c r="BA801" s="161"/>
      <c r="BB801" s="161"/>
      <c r="BC801" s="161"/>
      <c r="BD801" s="161"/>
      <c r="BE801" s="161"/>
      <c r="BF801" s="161"/>
      <c r="BG801" s="161"/>
      <c r="BH801" s="161"/>
      <c r="BI801" s="161"/>
      <c r="BJ801" s="161"/>
      <c r="BK801" s="161"/>
      <c r="BL801" s="161"/>
      <c r="BM801" s="161"/>
      <c r="BN801" s="161"/>
      <c r="BO801" s="161"/>
      <c r="BP801" s="161"/>
      <c r="BQ801" s="161"/>
      <c r="BR801" s="161"/>
      <c r="BS801" s="161"/>
      <c r="BT801" s="161"/>
      <c r="BU801" s="161"/>
      <c r="BV801" s="161"/>
      <c r="BW801" s="161"/>
      <c r="BX801" s="161"/>
      <c r="BY801" s="161"/>
    </row>
    <row r="802" spans="1:77">
      <c r="A802" s="162"/>
      <c r="B802" s="162"/>
      <c r="C802" s="162"/>
      <c r="D802" s="162"/>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c r="AC802" s="162"/>
      <c r="AD802" s="162"/>
      <c r="AE802" s="162"/>
      <c r="AF802" s="162"/>
      <c r="AG802" s="162"/>
      <c r="AH802" s="162"/>
      <c r="AI802" s="162"/>
      <c r="AJ802" s="162"/>
      <c r="AK802" s="162"/>
      <c r="AL802" s="162"/>
      <c r="AM802" s="162"/>
      <c r="AN802" s="162"/>
      <c r="AO802" s="162"/>
      <c r="AP802" s="162"/>
      <c r="AQ802" s="162"/>
      <c r="AR802" s="162"/>
      <c r="AS802" s="162"/>
      <c r="AT802" s="161"/>
      <c r="AU802" s="161"/>
      <c r="AV802" s="161"/>
      <c r="AW802" s="161"/>
      <c r="AX802" s="161"/>
      <c r="AY802" s="161"/>
      <c r="AZ802" s="161"/>
      <c r="BA802" s="161"/>
      <c r="BB802" s="161"/>
      <c r="BC802" s="161"/>
      <c r="BD802" s="161"/>
      <c r="BE802" s="161"/>
      <c r="BF802" s="161"/>
      <c r="BG802" s="161"/>
      <c r="BH802" s="161"/>
      <c r="BI802" s="161"/>
      <c r="BJ802" s="161"/>
      <c r="BK802" s="161"/>
      <c r="BL802" s="161"/>
      <c r="BM802" s="161"/>
      <c r="BN802" s="161"/>
      <c r="BO802" s="161"/>
      <c r="BP802" s="161"/>
      <c r="BQ802" s="161"/>
      <c r="BR802" s="161"/>
      <c r="BS802" s="161"/>
      <c r="BT802" s="161"/>
      <c r="BU802" s="161"/>
      <c r="BV802" s="161"/>
      <c r="BW802" s="161"/>
      <c r="BX802" s="161"/>
      <c r="BY802" s="161"/>
    </row>
    <row r="803" spans="1:77">
      <c r="A803" s="162"/>
      <c r="B803" s="162"/>
      <c r="C803" s="162"/>
      <c r="D803" s="162"/>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c r="AC803" s="162"/>
      <c r="AD803" s="162"/>
      <c r="AE803" s="162"/>
      <c r="AF803" s="162"/>
      <c r="AG803" s="162"/>
      <c r="AH803" s="162"/>
      <c r="AI803" s="162"/>
      <c r="AJ803" s="162"/>
      <c r="AK803" s="162"/>
      <c r="AL803" s="162"/>
      <c r="AM803" s="162"/>
      <c r="AN803" s="162"/>
      <c r="AO803" s="162"/>
      <c r="AP803" s="162"/>
      <c r="AQ803" s="162"/>
      <c r="AR803" s="162"/>
      <c r="AS803" s="162"/>
      <c r="AT803" s="161"/>
      <c r="AU803" s="161"/>
      <c r="AV803" s="161"/>
      <c r="AW803" s="161"/>
      <c r="AX803" s="161"/>
      <c r="AY803" s="161"/>
      <c r="AZ803" s="161"/>
      <c r="BA803" s="161"/>
      <c r="BB803" s="161"/>
      <c r="BC803" s="161"/>
      <c r="BD803" s="161"/>
      <c r="BE803" s="161"/>
      <c r="BF803" s="161"/>
      <c r="BG803" s="161"/>
      <c r="BH803" s="161"/>
      <c r="BI803" s="161"/>
      <c r="BJ803" s="161"/>
      <c r="BK803" s="161"/>
      <c r="BL803" s="161"/>
      <c r="BM803" s="161"/>
      <c r="BN803" s="161"/>
      <c r="BO803" s="161"/>
      <c r="BP803" s="161"/>
      <c r="BQ803" s="161"/>
      <c r="BR803" s="161"/>
      <c r="BS803" s="161"/>
      <c r="BT803" s="161"/>
      <c r="BU803" s="161"/>
      <c r="BV803" s="161"/>
      <c r="BW803" s="161"/>
      <c r="BX803" s="161"/>
      <c r="BY803" s="161"/>
    </row>
    <row r="804" spans="1:77">
      <c r="A804" s="162"/>
      <c r="B804" s="162"/>
      <c r="C804" s="162"/>
      <c r="D804" s="162"/>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c r="AC804" s="162"/>
      <c r="AD804" s="162"/>
      <c r="AE804" s="162"/>
      <c r="AF804" s="162"/>
      <c r="AG804" s="162"/>
      <c r="AH804" s="162"/>
      <c r="AI804" s="162"/>
      <c r="AJ804" s="162"/>
      <c r="AK804" s="162"/>
      <c r="AL804" s="162"/>
      <c r="AM804" s="162"/>
      <c r="AN804" s="162"/>
      <c r="AO804" s="162"/>
      <c r="AP804" s="162"/>
      <c r="AQ804" s="162"/>
      <c r="AR804" s="162"/>
      <c r="AS804" s="162"/>
      <c r="AT804" s="161"/>
      <c r="AU804" s="161"/>
      <c r="AV804" s="161"/>
      <c r="AW804" s="161"/>
      <c r="AX804" s="161"/>
      <c r="AY804" s="161"/>
      <c r="AZ804" s="161"/>
      <c r="BA804" s="161"/>
      <c r="BB804" s="161"/>
      <c r="BC804" s="161"/>
      <c r="BD804" s="161"/>
      <c r="BE804" s="161"/>
      <c r="BF804" s="161"/>
      <c r="BG804" s="161"/>
      <c r="BH804" s="161"/>
      <c r="BI804" s="161"/>
      <c r="BJ804" s="161"/>
      <c r="BK804" s="161"/>
      <c r="BL804" s="161"/>
      <c r="BM804" s="161"/>
      <c r="BN804" s="161"/>
      <c r="BO804" s="161"/>
      <c r="BP804" s="161"/>
      <c r="BQ804" s="161"/>
      <c r="BR804" s="161"/>
      <c r="BS804" s="161"/>
      <c r="BT804" s="161"/>
      <c r="BU804" s="161"/>
      <c r="BV804" s="161"/>
      <c r="BW804" s="161"/>
      <c r="BX804" s="161"/>
      <c r="BY804" s="161"/>
    </row>
    <row r="805" spans="1:77">
      <c r="A805" s="162"/>
      <c r="B805" s="162"/>
      <c r="C805" s="162"/>
      <c r="D805" s="162"/>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c r="AC805" s="162"/>
      <c r="AD805" s="162"/>
      <c r="AE805" s="162"/>
      <c r="AF805" s="162"/>
      <c r="AG805" s="162"/>
      <c r="AH805" s="162"/>
      <c r="AI805" s="162"/>
      <c r="AJ805" s="162"/>
      <c r="AK805" s="162"/>
      <c r="AL805" s="162"/>
      <c r="AM805" s="162"/>
      <c r="AN805" s="162"/>
      <c r="AO805" s="162"/>
      <c r="AP805" s="162"/>
      <c r="AQ805" s="162"/>
      <c r="AR805" s="162"/>
      <c r="AS805" s="162"/>
      <c r="AT805" s="161"/>
      <c r="AU805" s="161"/>
      <c r="AV805" s="161"/>
      <c r="AW805" s="161"/>
      <c r="AX805" s="161"/>
      <c r="AY805" s="161"/>
      <c r="AZ805" s="161"/>
      <c r="BA805" s="161"/>
      <c r="BB805" s="161"/>
      <c r="BC805" s="161"/>
      <c r="BD805" s="161"/>
      <c r="BE805" s="161"/>
      <c r="BF805" s="161"/>
      <c r="BG805" s="161"/>
      <c r="BH805" s="161"/>
      <c r="BI805" s="161"/>
      <c r="BJ805" s="161"/>
      <c r="BK805" s="161"/>
      <c r="BL805" s="161"/>
      <c r="BM805" s="161"/>
      <c r="BN805" s="161"/>
      <c r="BO805" s="161"/>
      <c r="BP805" s="161"/>
      <c r="BQ805" s="161"/>
      <c r="BR805" s="161"/>
      <c r="BS805" s="161"/>
      <c r="BT805" s="161"/>
      <c r="BU805" s="161"/>
      <c r="BV805" s="161"/>
      <c r="BW805" s="161"/>
      <c r="BX805" s="161"/>
      <c r="BY805" s="161"/>
    </row>
    <row r="806" spans="1:77">
      <c r="A806" s="162"/>
      <c r="B806" s="162"/>
      <c r="C806" s="162"/>
      <c r="D806" s="162"/>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c r="AC806" s="162"/>
      <c r="AD806" s="162"/>
      <c r="AE806" s="162"/>
      <c r="AF806" s="162"/>
      <c r="AG806" s="162"/>
      <c r="AH806" s="162"/>
      <c r="AI806" s="162"/>
      <c r="AJ806" s="162"/>
      <c r="AK806" s="162"/>
      <c r="AL806" s="162"/>
      <c r="AM806" s="162"/>
      <c r="AN806" s="162"/>
      <c r="AO806" s="162"/>
      <c r="AP806" s="162"/>
      <c r="AQ806" s="162"/>
      <c r="AR806" s="162"/>
      <c r="AS806" s="162"/>
      <c r="AT806" s="161"/>
      <c r="AU806" s="161"/>
      <c r="AV806" s="161"/>
      <c r="AW806" s="161"/>
      <c r="AX806" s="161"/>
      <c r="AY806" s="161"/>
      <c r="AZ806" s="161"/>
      <c r="BA806" s="161"/>
      <c r="BB806" s="161"/>
      <c r="BC806" s="161"/>
      <c r="BD806" s="161"/>
      <c r="BE806" s="161"/>
      <c r="BF806" s="161"/>
      <c r="BG806" s="161"/>
      <c r="BH806" s="161"/>
      <c r="BI806" s="161"/>
      <c r="BJ806" s="161"/>
      <c r="BK806" s="161"/>
      <c r="BL806" s="161"/>
      <c r="BM806" s="161"/>
      <c r="BN806" s="161"/>
      <c r="BO806" s="161"/>
      <c r="BP806" s="161"/>
      <c r="BQ806" s="161"/>
      <c r="BR806" s="161"/>
      <c r="BS806" s="161"/>
      <c r="BT806" s="161"/>
      <c r="BU806" s="161"/>
      <c r="BV806" s="161"/>
      <c r="BW806" s="161"/>
      <c r="BX806" s="161"/>
      <c r="BY806" s="161"/>
    </row>
    <row r="807" spans="1:77">
      <c r="A807" s="162"/>
      <c r="B807" s="162"/>
      <c r="C807" s="162"/>
      <c r="D807" s="162"/>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c r="AC807" s="162"/>
      <c r="AD807" s="162"/>
      <c r="AE807" s="162"/>
      <c r="AF807" s="162"/>
      <c r="AG807" s="162"/>
      <c r="AH807" s="162"/>
      <c r="AI807" s="162"/>
      <c r="AJ807" s="162"/>
      <c r="AK807" s="162"/>
      <c r="AL807" s="162"/>
      <c r="AM807" s="162"/>
      <c r="AN807" s="162"/>
      <c r="AO807" s="162"/>
      <c r="AP807" s="162"/>
      <c r="AQ807" s="162"/>
      <c r="AR807" s="162"/>
      <c r="AS807" s="162"/>
      <c r="AT807" s="161"/>
      <c r="AU807" s="161"/>
      <c r="AV807" s="161"/>
      <c r="AW807" s="161"/>
      <c r="AX807" s="161"/>
      <c r="AY807" s="161"/>
      <c r="AZ807" s="161"/>
      <c r="BA807" s="161"/>
      <c r="BB807" s="161"/>
      <c r="BC807" s="161"/>
      <c r="BD807" s="161"/>
      <c r="BE807" s="161"/>
      <c r="BF807" s="161"/>
      <c r="BG807" s="161"/>
      <c r="BH807" s="161"/>
      <c r="BI807" s="161"/>
      <c r="BJ807" s="161"/>
      <c r="BK807" s="161"/>
      <c r="BL807" s="161"/>
      <c r="BM807" s="161"/>
      <c r="BN807" s="161"/>
      <c r="BO807" s="161"/>
      <c r="BP807" s="161"/>
      <c r="BQ807" s="161"/>
      <c r="BR807" s="161"/>
      <c r="BS807" s="161"/>
      <c r="BT807" s="161"/>
      <c r="BU807" s="161"/>
      <c r="BV807" s="161"/>
      <c r="BW807" s="161"/>
      <c r="BX807" s="161"/>
      <c r="BY807" s="161"/>
    </row>
    <row r="808" spans="1:77">
      <c r="A808" s="162"/>
      <c r="B808" s="162"/>
      <c r="C808" s="162"/>
      <c r="D808" s="162"/>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c r="AC808" s="162"/>
      <c r="AD808" s="162"/>
      <c r="AE808" s="162"/>
      <c r="AF808" s="162"/>
      <c r="AG808" s="162"/>
      <c r="AH808" s="162"/>
      <c r="AI808" s="162"/>
      <c r="AJ808" s="162"/>
      <c r="AK808" s="162"/>
      <c r="AL808" s="162"/>
      <c r="AM808" s="162"/>
      <c r="AN808" s="162"/>
      <c r="AO808" s="162"/>
      <c r="AP808" s="162"/>
      <c r="AQ808" s="162"/>
      <c r="AR808" s="162"/>
      <c r="AS808" s="162"/>
      <c r="AT808" s="161"/>
      <c r="AU808" s="161"/>
      <c r="AV808" s="161"/>
      <c r="AW808" s="161"/>
      <c r="AX808" s="161"/>
      <c r="AY808" s="161"/>
      <c r="AZ808" s="161"/>
      <c r="BA808" s="161"/>
      <c r="BB808" s="161"/>
      <c r="BC808" s="161"/>
      <c r="BD808" s="161"/>
      <c r="BE808" s="161"/>
      <c r="BF808" s="161"/>
      <c r="BG808" s="161"/>
      <c r="BH808" s="161"/>
      <c r="BI808" s="161"/>
      <c r="BJ808" s="161"/>
      <c r="BK808" s="161"/>
      <c r="BL808" s="161"/>
      <c r="BM808" s="161"/>
      <c r="BN808" s="161"/>
      <c r="BO808" s="161"/>
      <c r="BP808" s="161"/>
      <c r="BQ808" s="161"/>
      <c r="BR808" s="161"/>
      <c r="BS808" s="161"/>
      <c r="BT808" s="161"/>
      <c r="BU808" s="161"/>
      <c r="BV808" s="161"/>
      <c r="BW808" s="161"/>
      <c r="BX808" s="161"/>
      <c r="BY808" s="161"/>
    </row>
    <row r="809" spans="1:77">
      <c r="A809" s="162"/>
      <c r="B809" s="162"/>
      <c r="C809" s="162"/>
      <c r="D809" s="162"/>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c r="AC809" s="162"/>
      <c r="AD809" s="162"/>
      <c r="AE809" s="162"/>
      <c r="AF809" s="162"/>
      <c r="AG809" s="162"/>
      <c r="AH809" s="162"/>
      <c r="AI809" s="162"/>
      <c r="AJ809" s="162"/>
      <c r="AK809" s="162"/>
      <c r="AL809" s="162"/>
      <c r="AM809" s="162"/>
      <c r="AN809" s="162"/>
      <c r="AO809" s="162"/>
      <c r="AP809" s="162"/>
      <c r="AQ809" s="162"/>
      <c r="AR809" s="162"/>
      <c r="AS809" s="162"/>
      <c r="AT809" s="161"/>
      <c r="AU809" s="161"/>
      <c r="AV809" s="161"/>
      <c r="AW809" s="161"/>
      <c r="AX809" s="161"/>
      <c r="AY809" s="161"/>
      <c r="AZ809" s="161"/>
      <c r="BA809" s="161"/>
      <c r="BB809" s="161"/>
      <c r="BC809" s="161"/>
      <c r="BD809" s="161"/>
      <c r="BE809" s="161"/>
      <c r="BF809" s="161"/>
      <c r="BG809" s="161"/>
      <c r="BH809" s="161"/>
      <c r="BI809" s="161"/>
      <c r="BJ809" s="161"/>
      <c r="BK809" s="161"/>
      <c r="BL809" s="161"/>
      <c r="BM809" s="161"/>
      <c r="BN809" s="161"/>
      <c r="BO809" s="161"/>
      <c r="BP809" s="161"/>
      <c r="BQ809" s="161"/>
      <c r="BR809" s="161"/>
      <c r="BS809" s="161"/>
      <c r="BT809" s="161"/>
      <c r="BU809" s="161"/>
      <c r="BV809" s="161"/>
      <c r="BW809" s="161"/>
      <c r="BX809" s="161"/>
      <c r="BY809" s="161"/>
    </row>
    <row r="810" spans="1:77">
      <c r="A810" s="162"/>
      <c r="B810" s="162"/>
      <c r="C810" s="162"/>
      <c r="D810" s="162"/>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c r="AC810" s="162"/>
      <c r="AD810" s="162"/>
      <c r="AE810" s="162"/>
      <c r="AF810" s="162"/>
      <c r="AG810" s="162"/>
      <c r="AH810" s="162"/>
      <c r="AI810" s="162"/>
      <c r="AJ810" s="162"/>
      <c r="AK810" s="162"/>
      <c r="AL810" s="162"/>
      <c r="AM810" s="162"/>
      <c r="AN810" s="162"/>
      <c r="AO810" s="162"/>
      <c r="AP810" s="162"/>
      <c r="AQ810" s="162"/>
      <c r="AR810" s="162"/>
      <c r="AS810" s="162"/>
      <c r="AT810" s="161"/>
      <c r="AU810" s="161"/>
      <c r="AV810" s="161"/>
      <c r="AW810" s="161"/>
      <c r="AX810" s="161"/>
      <c r="AY810" s="161"/>
      <c r="AZ810" s="161"/>
      <c r="BA810" s="161"/>
      <c r="BB810" s="161"/>
      <c r="BC810" s="161"/>
      <c r="BD810" s="161"/>
      <c r="BE810" s="161"/>
      <c r="BF810" s="161"/>
      <c r="BG810" s="161"/>
      <c r="BH810" s="161"/>
      <c r="BI810" s="161"/>
      <c r="BJ810" s="161"/>
      <c r="BK810" s="161"/>
      <c r="BL810" s="161"/>
      <c r="BM810" s="161"/>
      <c r="BN810" s="161"/>
      <c r="BO810" s="161"/>
      <c r="BP810" s="161"/>
      <c r="BQ810" s="161"/>
      <c r="BR810" s="161"/>
      <c r="BS810" s="161"/>
      <c r="BT810" s="161"/>
      <c r="BU810" s="161"/>
      <c r="BV810" s="161"/>
      <c r="BW810" s="161"/>
      <c r="BX810" s="161"/>
      <c r="BY810" s="161"/>
    </row>
    <row r="811" spans="1:77">
      <c r="A811" s="162"/>
      <c r="B811" s="162"/>
      <c r="C811" s="162"/>
      <c r="D811" s="162"/>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c r="AC811" s="162"/>
      <c r="AD811" s="162"/>
      <c r="AE811" s="162"/>
      <c r="AF811" s="162"/>
      <c r="AG811" s="162"/>
      <c r="AH811" s="162"/>
      <c r="AI811" s="162"/>
      <c r="AJ811" s="162"/>
      <c r="AK811" s="162"/>
      <c r="AL811" s="162"/>
      <c r="AM811" s="162"/>
      <c r="AN811" s="162"/>
      <c r="AO811" s="162"/>
      <c r="AP811" s="162"/>
      <c r="AQ811" s="162"/>
      <c r="AR811" s="162"/>
      <c r="AS811" s="162"/>
      <c r="AT811" s="161"/>
      <c r="AU811" s="161"/>
      <c r="AV811" s="161"/>
      <c r="AW811" s="161"/>
      <c r="AX811" s="161"/>
      <c r="AY811" s="161"/>
      <c r="AZ811" s="161"/>
      <c r="BA811" s="161"/>
      <c r="BB811" s="161"/>
      <c r="BC811" s="161"/>
      <c r="BD811" s="161"/>
      <c r="BE811" s="161"/>
      <c r="BF811" s="161"/>
      <c r="BG811" s="161"/>
      <c r="BH811" s="161"/>
      <c r="BI811" s="161"/>
      <c r="BJ811" s="161"/>
      <c r="BK811" s="161"/>
      <c r="BL811" s="161"/>
      <c r="BM811" s="161"/>
      <c r="BN811" s="161"/>
      <c r="BO811" s="161"/>
      <c r="BP811" s="161"/>
      <c r="BQ811" s="161"/>
      <c r="BR811" s="161"/>
      <c r="BS811" s="161"/>
      <c r="BT811" s="161"/>
      <c r="BU811" s="161"/>
      <c r="BV811" s="161"/>
      <c r="BW811" s="161"/>
      <c r="BX811" s="161"/>
      <c r="BY811" s="161"/>
    </row>
    <row r="812" spans="1:77">
      <c r="A812" s="162"/>
      <c r="B812" s="162"/>
      <c r="C812" s="162"/>
      <c r="D812" s="162"/>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c r="AC812" s="162"/>
      <c r="AD812" s="162"/>
      <c r="AE812" s="162"/>
      <c r="AF812" s="162"/>
      <c r="AG812" s="162"/>
      <c r="AH812" s="162"/>
      <c r="AI812" s="162"/>
      <c r="AJ812" s="162"/>
      <c r="AK812" s="162"/>
      <c r="AL812" s="162"/>
      <c r="AM812" s="162"/>
      <c r="AN812" s="162"/>
      <c r="AO812" s="162"/>
      <c r="AP812" s="162"/>
      <c r="AQ812" s="162"/>
      <c r="AR812" s="162"/>
      <c r="AS812" s="162"/>
      <c r="AT812" s="161"/>
      <c r="AU812" s="161"/>
      <c r="AV812" s="161"/>
      <c r="AW812" s="161"/>
      <c r="AX812" s="161"/>
      <c r="AY812" s="161"/>
      <c r="AZ812" s="161"/>
      <c r="BA812" s="161"/>
      <c r="BB812" s="161"/>
      <c r="BC812" s="161"/>
      <c r="BD812" s="161"/>
      <c r="BE812" s="161"/>
      <c r="BF812" s="161"/>
      <c r="BG812" s="161"/>
      <c r="BH812" s="161"/>
      <c r="BI812" s="161"/>
      <c r="BJ812" s="161"/>
      <c r="BK812" s="161"/>
      <c r="BL812" s="161"/>
      <c r="BM812" s="161"/>
      <c r="BN812" s="161"/>
      <c r="BO812" s="161"/>
      <c r="BP812" s="161"/>
      <c r="BQ812" s="161"/>
      <c r="BR812" s="161"/>
      <c r="BS812" s="161"/>
      <c r="BT812" s="161"/>
      <c r="BU812" s="161"/>
      <c r="BV812" s="161"/>
      <c r="BW812" s="161"/>
      <c r="BX812" s="161"/>
      <c r="BY812" s="161"/>
    </row>
    <row r="813" spans="1:77">
      <c r="A813" s="162"/>
      <c r="B813" s="162"/>
      <c r="C813" s="162"/>
      <c r="D813" s="162"/>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c r="AC813" s="162"/>
      <c r="AD813" s="162"/>
      <c r="AE813" s="162"/>
      <c r="AF813" s="162"/>
      <c r="AG813" s="162"/>
      <c r="AH813" s="162"/>
      <c r="AI813" s="162"/>
      <c r="AJ813" s="162"/>
      <c r="AK813" s="162"/>
      <c r="AL813" s="162"/>
      <c r="AM813" s="162"/>
      <c r="AN813" s="162"/>
      <c r="AO813" s="162"/>
      <c r="AP813" s="162"/>
      <c r="AQ813" s="162"/>
      <c r="AR813" s="162"/>
      <c r="AS813" s="162"/>
      <c r="AT813" s="161"/>
      <c r="AU813" s="161"/>
      <c r="AV813" s="161"/>
      <c r="AW813" s="161"/>
      <c r="AX813" s="161"/>
      <c r="AY813" s="161"/>
      <c r="AZ813" s="161"/>
      <c r="BA813" s="161"/>
      <c r="BB813" s="161"/>
      <c r="BC813" s="161"/>
      <c r="BD813" s="161"/>
      <c r="BE813" s="161"/>
      <c r="BF813" s="161"/>
      <c r="BG813" s="161"/>
      <c r="BH813" s="161"/>
      <c r="BI813" s="161"/>
      <c r="BJ813" s="161"/>
      <c r="BK813" s="161"/>
      <c r="BL813" s="161"/>
      <c r="BM813" s="161"/>
      <c r="BN813" s="161"/>
      <c r="BO813" s="161"/>
      <c r="BP813" s="161"/>
      <c r="BQ813" s="161"/>
      <c r="BR813" s="161"/>
      <c r="BS813" s="161"/>
      <c r="BT813" s="161"/>
      <c r="BU813" s="161"/>
      <c r="BV813" s="161"/>
      <c r="BW813" s="161"/>
      <c r="BX813" s="161"/>
      <c r="BY813" s="161"/>
    </row>
    <row r="814" spans="1:77">
      <c r="A814" s="162"/>
      <c r="B814" s="162"/>
      <c r="C814" s="162"/>
      <c r="D814" s="162"/>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c r="AC814" s="162"/>
      <c r="AD814" s="162"/>
      <c r="AE814" s="162"/>
      <c r="AF814" s="162"/>
      <c r="AG814" s="162"/>
      <c r="AH814" s="162"/>
      <c r="AI814" s="162"/>
      <c r="AJ814" s="162"/>
      <c r="AK814" s="162"/>
      <c r="AL814" s="162"/>
      <c r="AM814" s="162"/>
      <c r="AN814" s="162"/>
      <c r="AO814" s="162"/>
      <c r="AP814" s="162"/>
      <c r="AQ814" s="162"/>
      <c r="AR814" s="162"/>
      <c r="AS814" s="162"/>
      <c r="AT814" s="161"/>
      <c r="AU814" s="161"/>
      <c r="AV814" s="161"/>
      <c r="AW814" s="161"/>
      <c r="AX814" s="161"/>
      <c r="AY814" s="161"/>
      <c r="AZ814" s="161"/>
      <c r="BA814" s="161"/>
      <c r="BB814" s="161"/>
      <c r="BC814" s="161"/>
      <c r="BD814" s="161"/>
      <c r="BE814" s="161"/>
      <c r="BF814" s="161"/>
      <c r="BG814" s="161"/>
      <c r="BH814" s="161"/>
      <c r="BI814" s="161"/>
      <c r="BJ814" s="161"/>
      <c r="BK814" s="161"/>
      <c r="BL814" s="161"/>
      <c r="BM814" s="161"/>
      <c r="BN814" s="161"/>
      <c r="BO814" s="161"/>
      <c r="BP814" s="161"/>
      <c r="BQ814" s="161"/>
      <c r="BR814" s="161"/>
      <c r="BS814" s="161"/>
      <c r="BT814" s="161"/>
      <c r="BU814" s="161"/>
      <c r="BV814" s="161"/>
      <c r="BW814" s="161"/>
      <c r="BX814" s="161"/>
      <c r="BY814" s="161"/>
    </row>
    <row r="815" spans="1:77">
      <c r="A815" s="162"/>
      <c r="B815" s="162"/>
      <c r="C815" s="162"/>
      <c r="D815" s="162"/>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c r="AC815" s="162"/>
      <c r="AD815" s="162"/>
      <c r="AE815" s="162"/>
      <c r="AF815" s="162"/>
      <c r="AG815" s="162"/>
      <c r="AH815" s="162"/>
      <c r="AI815" s="162"/>
      <c r="AJ815" s="162"/>
      <c r="AK815" s="162"/>
      <c r="AL815" s="162"/>
      <c r="AM815" s="162"/>
      <c r="AN815" s="162"/>
      <c r="AO815" s="162"/>
      <c r="AP815" s="162"/>
      <c r="AQ815" s="162"/>
      <c r="AR815" s="162"/>
      <c r="AS815" s="162"/>
      <c r="AT815" s="161"/>
      <c r="AU815" s="161"/>
      <c r="AV815" s="161"/>
      <c r="AW815" s="161"/>
      <c r="AX815" s="161"/>
      <c r="AY815" s="161"/>
      <c r="AZ815" s="161"/>
      <c r="BA815" s="161"/>
      <c r="BB815" s="161"/>
      <c r="BC815" s="161"/>
      <c r="BD815" s="161"/>
      <c r="BE815" s="161"/>
      <c r="BF815" s="161"/>
      <c r="BG815" s="161"/>
      <c r="BH815" s="161"/>
      <c r="BI815" s="161"/>
      <c r="BJ815" s="161"/>
      <c r="BK815" s="161"/>
      <c r="BL815" s="161"/>
      <c r="BM815" s="161"/>
      <c r="BN815" s="161"/>
      <c r="BO815" s="161"/>
      <c r="BP815" s="161"/>
      <c r="BQ815" s="161"/>
      <c r="BR815" s="161"/>
      <c r="BS815" s="161"/>
      <c r="BT815" s="161"/>
      <c r="BU815" s="161"/>
      <c r="BV815" s="161"/>
      <c r="BW815" s="161"/>
      <c r="BX815" s="161"/>
      <c r="BY815" s="161"/>
    </row>
    <row r="816" spans="1:77">
      <c r="A816" s="162"/>
      <c r="B816" s="162"/>
      <c r="C816" s="162"/>
      <c r="D816" s="162"/>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c r="AC816" s="162"/>
      <c r="AD816" s="162"/>
      <c r="AE816" s="162"/>
      <c r="AF816" s="162"/>
      <c r="AG816" s="162"/>
      <c r="AH816" s="162"/>
      <c r="AI816" s="162"/>
      <c r="AJ816" s="162"/>
      <c r="AK816" s="162"/>
      <c r="AL816" s="162"/>
      <c r="AM816" s="162"/>
      <c r="AN816" s="162"/>
      <c r="AO816" s="162"/>
      <c r="AP816" s="162"/>
      <c r="AQ816" s="162"/>
      <c r="AR816" s="162"/>
      <c r="AS816" s="162"/>
      <c r="AT816" s="161"/>
      <c r="AU816" s="161"/>
      <c r="AV816" s="161"/>
      <c r="AW816" s="161"/>
      <c r="AX816" s="161"/>
      <c r="AY816" s="161"/>
      <c r="AZ816" s="161"/>
      <c r="BA816" s="161"/>
      <c r="BB816" s="161"/>
      <c r="BC816" s="161"/>
      <c r="BD816" s="161"/>
      <c r="BE816" s="161"/>
      <c r="BF816" s="161"/>
      <c r="BG816" s="161"/>
      <c r="BH816" s="161"/>
      <c r="BI816" s="161"/>
      <c r="BJ816" s="161"/>
      <c r="BK816" s="161"/>
      <c r="BL816" s="161"/>
      <c r="BM816" s="161"/>
      <c r="BN816" s="161"/>
      <c r="BO816" s="161"/>
      <c r="BP816" s="161"/>
      <c r="BQ816" s="161"/>
      <c r="BR816" s="161"/>
      <c r="BS816" s="161"/>
      <c r="BT816" s="161"/>
      <c r="BU816" s="161"/>
      <c r="BV816" s="161"/>
      <c r="BW816" s="161"/>
      <c r="BX816" s="161"/>
      <c r="BY816" s="161"/>
    </row>
    <row r="817" spans="1:77">
      <c r="A817" s="162"/>
      <c r="B817" s="162"/>
      <c r="C817" s="162"/>
      <c r="D817" s="162"/>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c r="AC817" s="162"/>
      <c r="AD817" s="162"/>
      <c r="AE817" s="162"/>
      <c r="AF817" s="162"/>
      <c r="AG817" s="162"/>
      <c r="AH817" s="162"/>
      <c r="AI817" s="162"/>
      <c r="AJ817" s="162"/>
      <c r="AK817" s="162"/>
      <c r="AL817" s="162"/>
      <c r="AM817" s="162"/>
      <c r="AN817" s="162"/>
      <c r="AO817" s="162"/>
      <c r="AP817" s="162"/>
      <c r="AQ817" s="162"/>
      <c r="AR817" s="162"/>
      <c r="AS817" s="162"/>
      <c r="AT817" s="161"/>
      <c r="AU817" s="161"/>
      <c r="AV817" s="161"/>
      <c r="AW817" s="161"/>
      <c r="AX817" s="161"/>
      <c r="AY817" s="161"/>
      <c r="AZ817" s="161"/>
      <c r="BA817" s="161"/>
      <c r="BB817" s="161"/>
      <c r="BC817" s="161"/>
      <c r="BD817" s="161"/>
      <c r="BE817" s="161"/>
      <c r="BF817" s="161"/>
      <c r="BG817" s="161"/>
      <c r="BH817" s="161"/>
      <c r="BI817" s="161"/>
      <c r="BJ817" s="161"/>
      <c r="BK817" s="161"/>
      <c r="BL817" s="161"/>
      <c r="BM817" s="161"/>
      <c r="BN817" s="161"/>
      <c r="BO817" s="161"/>
      <c r="BP817" s="161"/>
      <c r="BQ817" s="161"/>
      <c r="BR817" s="161"/>
      <c r="BS817" s="161"/>
      <c r="BT817" s="161"/>
      <c r="BU817" s="161"/>
      <c r="BV817" s="161"/>
      <c r="BW817" s="161"/>
      <c r="BX817" s="161"/>
      <c r="BY817" s="161"/>
    </row>
    <row r="818" spans="1:77">
      <c r="A818" s="162"/>
      <c r="B818" s="162"/>
      <c r="C818" s="162"/>
      <c r="D818" s="162"/>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c r="AC818" s="162"/>
      <c r="AD818" s="162"/>
      <c r="AE818" s="162"/>
      <c r="AF818" s="162"/>
      <c r="AG818" s="162"/>
      <c r="AH818" s="162"/>
      <c r="AI818" s="162"/>
      <c r="AJ818" s="162"/>
      <c r="AK818" s="162"/>
      <c r="AL818" s="162"/>
      <c r="AM818" s="162"/>
      <c r="AN818" s="162"/>
      <c r="AO818" s="162"/>
      <c r="AP818" s="162"/>
      <c r="AQ818" s="162"/>
      <c r="AR818" s="162"/>
      <c r="AS818" s="162"/>
      <c r="AT818" s="161"/>
      <c r="AU818" s="161"/>
      <c r="AV818" s="161"/>
      <c r="AW818" s="161"/>
      <c r="AX818" s="161"/>
      <c r="AY818" s="161"/>
      <c r="AZ818" s="161"/>
      <c r="BA818" s="161"/>
      <c r="BB818" s="161"/>
      <c r="BC818" s="161"/>
      <c r="BD818" s="161"/>
      <c r="BE818" s="161"/>
      <c r="BF818" s="161"/>
      <c r="BG818" s="161"/>
      <c r="BH818" s="161"/>
      <c r="BI818" s="161"/>
      <c r="BJ818" s="161"/>
      <c r="BK818" s="161"/>
      <c r="BL818" s="161"/>
      <c r="BM818" s="161"/>
      <c r="BN818" s="161"/>
      <c r="BO818" s="161"/>
      <c r="BP818" s="161"/>
      <c r="BQ818" s="161"/>
      <c r="BR818" s="161"/>
      <c r="BS818" s="161"/>
      <c r="BT818" s="161"/>
      <c r="BU818" s="161"/>
      <c r="BV818" s="161"/>
      <c r="BW818" s="161"/>
      <c r="BX818" s="161"/>
      <c r="BY818" s="161"/>
    </row>
    <row r="819" spans="1:77">
      <c r="A819" s="162"/>
      <c r="B819" s="162"/>
      <c r="C819" s="162"/>
      <c r="D819" s="162"/>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c r="AC819" s="162"/>
      <c r="AD819" s="162"/>
      <c r="AE819" s="162"/>
      <c r="AF819" s="162"/>
      <c r="AG819" s="162"/>
      <c r="AH819" s="162"/>
      <c r="AI819" s="162"/>
      <c r="AJ819" s="162"/>
      <c r="AK819" s="162"/>
      <c r="AL819" s="162"/>
      <c r="AM819" s="162"/>
      <c r="AN819" s="162"/>
      <c r="AO819" s="162"/>
      <c r="AP819" s="162"/>
      <c r="AQ819" s="162"/>
      <c r="AR819" s="162"/>
      <c r="AS819" s="162"/>
      <c r="AT819" s="161"/>
      <c r="AU819" s="161"/>
      <c r="AV819" s="161"/>
      <c r="AW819" s="161"/>
      <c r="AX819" s="161"/>
      <c r="AY819" s="161"/>
      <c r="AZ819" s="161"/>
      <c r="BA819" s="161"/>
      <c r="BB819" s="161"/>
      <c r="BC819" s="161"/>
      <c r="BD819" s="161"/>
      <c r="BE819" s="161"/>
      <c r="BF819" s="161"/>
      <c r="BG819" s="161"/>
      <c r="BH819" s="161"/>
      <c r="BI819" s="161"/>
      <c r="BJ819" s="161"/>
      <c r="BK819" s="161"/>
      <c r="BL819" s="161"/>
      <c r="BM819" s="161"/>
      <c r="BN819" s="161"/>
      <c r="BO819" s="161"/>
      <c r="BP819" s="161"/>
      <c r="BQ819" s="161"/>
      <c r="BR819" s="161"/>
      <c r="BS819" s="161"/>
      <c r="BT819" s="161"/>
      <c r="BU819" s="161"/>
      <c r="BV819" s="161"/>
      <c r="BW819" s="161"/>
      <c r="BX819" s="161"/>
      <c r="BY819" s="161"/>
    </row>
    <row r="820" spans="1:77">
      <c r="A820" s="162"/>
      <c r="B820" s="162"/>
      <c r="C820" s="162"/>
      <c r="D820" s="162"/>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c r="AC820" s="162"/>
      <c r="AD820" s="162"/>
      <c r="AE820" s="162"/>
      <c r="AF820" s="162"/>
      <c r="AG820" s="162"/>
      <c r="AH820" s="162"/>
      <c r="AI820" s="162"/>
      <c r="AJ820" s="162"/>
      <c r="AK820" s="162"/>
      <c r="AL820" s="162"/>
      <c r="AM820" s="162"/>
      <c r="AN820" s="162"/>
      <c r="AO820" s="162"/>
      <c r="AP820" s="162"/>
      <c r="AQ820" s="162"/>
      <c r="AR820" s="162"/>
      <c r="AS820" s="162"/>
      <c r="AT820" s="161"/>
      <c r="AU820" s="161"/>
      <c r="AV820" s="161"/>
      <c r="AW820" s="161"/>
      <c r="AX820" s="161"/>
      <c r="AY820" s="161"/>
      <c r="AZ820" s="161"/>
      <c r="BA820" s="161"/>
      <c r="BB820" s="161"/>
      <c r="BC820" s="161"/>
      <c r="BD820" s="161"/>
      <c r="BE820" s="161"/>
      <c r="BF820" s="161"/>
      <c r="BG820" s="161"/>
      <c r="BH820" s="161"/>
      <c r="BI820" s="161"/>
      <c r="BJ820" s="161"/>
      <c r="BK820" s="161"/>
      <c r="BL820" s="161"/>
      <c r="BM820" s="161"/>
      <c r="BN820" s="161"/>
      <c r="BO820" s="161"/>
      <c r="BP820" s="161"/>
      <c r="BQ820" s="161"/>
      <c r="BR820" s="161"/>
      <c r="BS820" s="161"/>
      <c r="BT820" s="161"/>
      <c r="BU820" s="161"/>
      <c r="BV820" s="161"/>
      <c r="BW820" s="161"/>
      <c r="BX820" s="161"/>
      <c r="BY820" s="161"/>
    </row>
    <row r="821" spans="1:77">
      <c r="A821" s="162"/>
      <c r="B821" s="162"/>
      <c r="C821" s="162"/>
      <c r="D821" s="162"/>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c r="AC821" s="162"/>
      <c r="AD821" s="162"/>
      <c r="AE821" s="162"/>
      <c r="AF821" s="162"/>
      <c r="AG821" s="162"/>
      <c r="AH821" s="162"/>
      <c r="AI821" s="162"/>
      <c r="AJ821" s="162"/>
      <c r="AK821" s="162"/>
      <c r="AL821" s="162"/>
      <c r="AM821" s="162"/>
      <c r="AN821" s="162"/>
      <c r="AO821" s="162"/>
      <c r="AP821" s="162"/>
      <c r="AQ821" s="162"/>
      <c r="AR821" s="162"/>
      <c r="AS821" s="162"/>
      <c r="AT821" s="161"/>
      <c r="AU821" s="161"/>
      <c r="AV821" s="161"/>
      <c r="AW821" s="161"/>
      <c r="AX821" s="161"/>
      <c r="AY821" s="161"/>
      <c r="AZ821" s="161"/>
      <c r="BA821" s="161"/>
      <c r="BB821" s="161"/>
      <c r="BC821" s="161"/>
      <c r="BD821" s="161"/>
      <c r="BE821" s="161"/>
      <c r="BF821" s="161"/>
      <c r="BG821" s="161"/>
      <c r="BH821" s="161"/>
      <c r="BI821" s="161"/>
      <c r="BJ821" s="161"/>
      <c r="BK821" s="161"/>
      <c r="BL821" s="161"/>
      <c r="BM821" s="161"/>
      <c r="BN821" s="161"/>
      <c r="BO821" s="161"/>
      <c r="BP821" s="161"/>
      <c r="BQ821" s="161"/>
      <c r="BR821" s="161"/>
      <c r="BS821" s="161"/>
      <c r="BT821" s="161"/>
      <c r="BU821" s="161"/>
      <c r="BV821" s="161"/>
      <c r="BW821" s="161"/>
      <c r="BX821" s="161"/>
      <c r="BY821" s="161"/>
    </row>
    <row r="822" spans="1:77">
      <c r="A822" s="162"/>
      <c r="B822" s="162"/>
      <c r="C822" s="162"/>
      <c r="D822" s="162"/>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c r="AC822" s="162"/>
      <c r="AD822" s="162"/>
      <c r="AE822" s="162"/>
      <c r="AF822" s="162"/>
      <c r="AG822" s="162"/>
      <c r="AH822" s="162"/>
      <c r="AI822" s="162"/>
      <c r="AJ822" s="162"/>
      <c r="AK822" s="162"/>
      <c r="AL822" s="162"/>
      <c r="AM822" s="162"/>
      <c r="AN822" s="162"/>
      <c r="AO822" s="162"/>
      <c r="AP822" s="162"/>
      <c r="AQ822" s="162"/>
      <c r="AR822" s="162"/>
      <c r="AS822" s="162"/>
      <c r="AT822" s="161"/>
      <c r="AU822" s="161"/>
      <c r="AV822" s="161"/>
      <c r="AW822" s="161"/>
      <c r="AX822" s="161"/>
      <c r="AY822" s="161"/>
      <c r="AZ822" s="161"/>
      <c r="BA822" s="161"/>
      <c r="BB822" s="161"/>
      <c r="BC822" s="161"/>
      <c r="BD822" s="161"/>
      <c r="BE822" s="161"/>
      <c r="BF822" s="161"/>
      <c r="BG822" s="161"/>
      <c r="BH822" s="161"/>
      <c r="BI822" s="161"/>
      <c r="BJ822" s="161"/>
      <c r="BK822" s="161"/>
      <c r="BL822" s="161"/>
      <c r="BM822" s="161"/>
      <c r="BN822" s="161"/>
      <c r="BO822" s="161"/>
      <c r="BP822" s="161"/>
      <c r="BQ822" s="161"/>
      <c r="BR822" s="161"/>
      <c r="BS822" s="161"/>
      <c r="BT822" s="161"/>
      <c r="BU822" s="161"/>
      <c r="BV822" s="161"/>
      <c r="BW822" s="161"/>
      <c r="BX822" s="161"/>
      <c r="BY822" s="161"/>
    </row>
    <row r="823" spans="1:77">
      <c r="A823" s="162"/>
      <c r="B823" s="162"/>
      <c r="C823" s="162"/>
      <c r="D823" s="162"/>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c r="AC823" s="162"/>
      <c r="AD823" s="162"/>
      <c r="AE823" s="162"/>
      <c r="AF823" s="162"/>
      <c r="AG823" s="162"/>
      <c r="AH823" s="162"/>
      <c r="AI823" s="162"/>
      <c r="AJ823" s="162"/>
      <c r="AK823" s="162"/>
      <c r="AL823" s="162"/>
      <c r="AM823" s="162"/>
      <c r="AN823" s="162"/>
      <c r="AO823" s="162"/>
      <c r="AP823" s="162"/>
      <c r="AQ823" s="162"/>
      <c r="AR823" s="162"/>
      <c r="AS823" s="162"/>
      <c r="AT823" s="161"/>
      <c r="AU823" s="161"/>
      <c r="AV823" s="161"/>
      <c r="AW823" s="161"/>
      <c r="AX823" s="161"/>
      <c r="AY823" s="161"/>
      <c r="AZ823" s="161"/>
      <c r="BA823" s="161"/>
      <c r="BB823" s="161"/>
      <c r="BC823" s="161"/>
      <c r="BD823" s="161"/>
      <c r="BE823" s="161"/>
      <c r="BF823" s="161"/>
      <c r="BG823" s="161"/>
      <c r="BH823" s="161"/>
      <c r="BI823" s="161"/>
      <c r="BJ823" s="161"/>
      <c r="BK823" s="161"/>
      <c r="BL823" s="161"/>
      <c r="BM823" s="161"/>
      <c r="BN823" s="161"/>
      <c r="BO823" s="161"/>
      <c r="BP823" s="161"/>
      <c r="BQ823" s="161"/>
      <c r="BR823" s="161"/>
      <c r="BS823" s="161"/>
      <c r="BT823" s="161"/>
      <c r="BU823" s="161"/>
      <c r="BV823" s="161"/>
      <c r="BW823" s="161"/>
      <c r="BX823" s="161"/>
      <c r="BY823" s="161"/>
    </row>
    <row r="824" spans="1:77">
      <c r="A824" s="162"/>
      <c r="B824" s="162"/>
      <c r="C824" s="162"/>
      <c r="D824" s="162"/>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c r="AC824" s="162"/>
      <c r="AD824" s="162"/>
      <c r="AE824" s="162"/>
      <c r="AF824" s="162"/>
      <c r="AG824" s="162"/>
      <c r="AH824" s="162"/>
      <c r="AI824" s="162"/>
      <c r="AJ824" s="162"/>
      <c r="AK824" s="162"/>
      <c r="AL824" s="162"/>
      <c r="AM824" s="162"/>
      <c r="AN824" s="162"/>
      <c r="AO824" s="162"/>
      <c r="AP824" s="162"/>
      <c r="AQ824" s="162"/>
      <c r="AR824" s="162"/>
      <c r="AS824" s="162"/>
      <c r="AT824" s="161"/>
      <c r="AU824" s="161"/>
      <c r="AV824" s="161"/>
      <c r="AW824" s="161"/>
      <c r="AX824" s="161"/>
      <c r="AY824" s="161"/>
      <c r="AZ824" s="161"/>
      <c r="BA824" s="161"/>
      <c r="BB824" s="161"/>
      <c r="BC824" s="161"/>
      <c r="BD824" s="161"/>
      <c r="BE824" s="161"/>
      <c r="BF824" s="161"/>
      <c r="BG824" s="161"/>
      <c r="BH824" s="161"/>
      <c r="BI824" s="161"/>
      <c r="BJ824" s="161"/>
      <c r="BK824" s="161"/>
      <c r="BL824" s="161"/>
      <c r="BM824" s="161"/>
      <c r="BN824" s="161"/>
      <c r="BO824" s="161"/>
      <c r="BP824" s="161"/>
      <c r="BQ824" s="161"/>
      <c r="BR824" s="161"/>
      <c r="BS824" s="161"/>
      <c r="BT824" s="161"/>
      <c r="BU824" s="161"/>
      <c r="BV824" s="161"/>
      <c r="BW824" s="161"/>
      <c r="BX824" s="161"/>
      <c r="BY824" s="161"/>
    </row>
    <row r="825" spans="1:77">
      <c r="A825" s="162"/>
      <c r="B825" s="162"/>
      <c r="C825" s="162"/>
      <c r="D825" s="162"/>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c r="AC825" s="162"/>
      <c r="AD825" s="162"/>
      <c r="AE825" s="162"/>
      <c r="AF825" s="162"/>
      <c r="AG825" s="162"/>
      <c r="AH825" s="162"/>
      <c r="AI825" s="162"/>
      <c r="AJ825" s="162"/>
      <c r="AK825" s="162"/>
      <c r="AL825" s="162"/>
      <c r="AM825" s="162"/>
      <c r="AN825" s="162"/>
      <c r="AO825" s="162"/>
      <c r="AP825" s="162"/>
      <c r="AQ825" s="162"/>
      <c r="AR825" s="162"/>
      <c r="AS825" s="162"/>
      <c r="AT825" s="161"/>
      <c r="AU825" s="161"/>
      <c r="AV825" s="161"/>
      <c r="AW825" s="161"/>
      <c r="AX825" s="161"/>
      <c r="AY825" s="161"/>
      <c r="AZ825" s="161"/>
      <c r="BA825" s="161"/>
      <c r="BB825" s="161"/>
      <c r="BC825" s="161"/>
      <c r="BD825" s="161"/>
      <c r="BE825" s="161"/>
      <c r="BF825" s="161"/>
      <c r="BG825" s="161"/>
      <c r="BH825" s="161"/>
      <c r="BI825" s="161"/>
      <c r="BJ825" s="161"/>
      <c r="BK825" s="161"/>
      <c r="BL825" s="161"/>
      <c r="BM825" s="161"/>
      <c r="BN825" s="161"/>
      <c r="BO825" s="161"/>
      <c r="BP825" s="161"/>
      <c r="BQ825" s="161"/>
      <c r="BR825" s="161"/>
      <c r="BS825" s="161"/>
      <c r="BT825" s="161"/>
      <c r="BU825" s="161"/>
      <c r="BV825" s="161"/>
      <c r="BW825" s="161"/>
      <c r="BX825" s="161"/>
      <c r="BY825" s="161"/>
    </row>
    <row r="826" spans="1:77">
      <c r="A826" s="162"/>
      <c r="B826" s="162"/>
      <c r="C826" s="162"/>
      <c r="D826" s="162"/>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c r="AC826" s="162"/>
      <c r="AD826" s="162"/>
      <c r="AE826" s="162"/>
      <c r="AF826" s="162"/>
      <c r="AG826" s="162"/>
      <c r="AH826" s="162"/>
      <c r="AI826" s="162"/>
      <c r="AJ826" s="162"/>
      <c r="AK826" s="162"/>
      <c r="AL826" s="162"/>
      <c r="AM826" s="162"/>
      <c r="AN826" s="162"/>
      <c r="AO826" s="162"/>
      <c r="AP826" s="162"/>
      <c r="AQ826" s="162"/>
      <c r="AR826" s="162"/>
      <c r="AS826" s="162"/>
      <c r="AT826" s="161"/>
      <c r="AU826" s="161"/>
      <c r="AV826" s="161"/>
      <c r="AW826" s="161"/>
      <c r="AX826" s="161"/>
      <c r="AY826" s="161"/>
      <c r="AZ826" s="161"/>
      <c r="BA826" s="161"/>
      <c r="BB826" s="161"/>
      <c r="BC826" s="161"/>
      <c r="BD826" s="161"/>
      <c r="BE826" s="161"/>
      <c r="BF826" s="161"/>
      <c r="BG826" s="161"/>
      <c r="BH826" s="161"/>
      <c r="BI826" s="161"/>
      <c r="BJ826" s="161"/>
      <c r="BK826" s="161"/>
      <c r="BL826" s="161"/>
      <c r="BM826" s="161"/>
      <c r="BN826" s="161"/>
      <c r="BO826" s="161"/>
      <c r="BP826" s="161"/>
      <c r="BQ826" s="161"/>
      <c r="BR826" s="161"/>
      <c r="BS826" s="161"/>
      <c r="BT826" s="161"/>
      <c r="BU826" s="161"/>
      <c r="BV826" s="161"/>
      <c r="BW826" s="161"/>
      <c r="BX826" s="161"/>
      <c r="BY826" s="161"/>
    </row>
    <row r="827" spans="1:77">
      <c r="A827" s="162"/>
      <c r="B827" s="162"/>
      <c r="C827" s="162"/>
      <c r="D827" s="162"/>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c r="AC827" s="162"/>
      <c r="AD827" s="162"/>
      <c r="AE827" s="162"/>
      <c r="AF827" s="162"/>
      <c r="AG827" s="162"/>
      <c r="AH827" s="162"/>
      <c r="AI827" s="162"/>
      <c r="AJ827" s="162"/>
      <c r="AK827" s="162"/>
      <c r="AL827" s="162"/>
      <c r="AM827" s="162"/>
      <c r="AN827" s="162"/>
      <c r="AO827" s="162"/>
      <c r="AP827" s="162"/>
      <c r="AQ827" s="162"/>
      <c r="AR827" s="162"/>
      <c r="AS827" s="162"/>
      <c r="AT827" s="161"/>
      <c r="AU827" s="161"/>
      <c r="AV827" s="161"/>
      <c r="AW827" s="161"/>
      <c r="AX827" s="161"/>
      <c r="AY827" s="161"/>
      <c r="AZ827" s="161"/>
      <c r="BA827" s="161"/>
      <c r="BB827" s="161"/>
      <c r="BC827" s="161"/>
      <c r="BD827" s="161"/>
      <c r="BE827" s="161"/>
      <c r="BF827" s="161"/>
      <c r="BG827" s="161"/>
      <c r="BH827" s="161"/>
      <c r="BI827" s="161"/>
      <c r="BJ827" s="161"/>
      <c r="BK827" s="161"/>
      <c r="BL827" s="161"/>
      <c r="BM827" s="161"/>
      <c r="BN827" s="161"/>
      <c r="BO827" s="161"/>
      <c r="BP827" s="161"/>
      <c r="BQ827" s="161"/>
      <c r="BR827" s="161"/>
      <c r="BS827" s="161"/>
      <c r="BT827" s="161"/>
      <c r="BU827" s="161"/>
      <c r="BV827" s="161"/>
      <c r="BW827" s="161"/>
      <c r="BX827" s="161"/>
      <c r="BY827" s="161"/>
    </row>
    <row r="828" spans="1:77">
      <c r="A828" s="162"/>
      <c r="B828" s="162"/>
      <c r="C828" s="162"/>
      <c r="D828" s="162"/>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c r="AC828" s="162"/>
      <c r="AD828" s="162"/>
      <c r="AE828" s="162"/>
      <c r="AF828" s="162"/>
      <c r="AG828" s="162"/>
      <c r="AH828" s="162"/>
      <c r="AI828" s="162"/>
      <c r="AJ828" s="162"/>
      <c r="AK828" s="162"/>
      <c r="AL828" s="162"/>
      <c r="AM828" s="162"/>
      <c r="AN828" s="162"/>
      <c r="AO828" s="162"/>
      <c r="AP828" s="162"/>
      <c r="AQ828" s="162"/>
      <c r="AR828" s="162"/>
      <c r="AS828" s="162"/>
      <c r="AT828" s="161"/>
      <c r="AU828" s="161"/>
      <c r="AV828" s="161"/>
      <c r="AW828" s="161"/>
      <c r="AX828" s="161"/>
      <c r="AY828" s="161"/>
      <c r="AZ828" s="161"/>
      <c r="BA828" s="161"/>
      <c r="BB828" s="161"/>
      <c r="BC828" s="161"/>
      <c r="BD828" s="161"/>
      <c r="BE828" s="161"/>
      <c r="BF828" s="161"/>
      <c r="BG828" s="161"/>
      <c r="BH828" s="161"/>
      <c r="BI828" s="161"/>
      <c r="BJ828" s="161"/>
      <c r="BK828" s="161"/>
      <c r="BL828" s="161"/>
      <c r="BM828" s="161"/>
      <c r="BN828" s="161"/>
      <c r="BO828" s="161"/>
      <c r="BP828" s="161"/>
      <c r="BQ828" s="161"/>
      <c r="BR828" s="161"/>
      <c r="BS828" s="161"/>
      <c r="BT828" s="161"/>
      <c r="BU828" s="161"/>
      <c r="BV828" s="161"/>
      <c r="BW828" s="161"/>
      <c r="BX828" s="161"/>
      <c r="BY828" s="161"/>
    </row>
    <row r="829" spans="1:77">
      <c r="A829" s="162"/>
      <c r="B829" s="162"/>
      <c r="C829" s="162"/>
      <c r="D829" s="162"/>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c r="AC829" s="162"/>
      <c r="AD829" s="162"/>
      <c r="AE829" s="162"/>
      <c r="AF829" s="162"/>
      <c r="AG829" s="162"/>
      <c r="AH829" s="162"/>
      <c r="AI829" s="162"/>
      <c r="AJ829" s="162"/>
      <c r="AK829" s="162"/>
      <c r="AL829" s="162"/>
      <c r="AM829" s="162"/>
      <c r="AN829" s="162"/>
      <c r="AO829" s="162"/>
      <c r="AP829" s="162"/>
      <c r="AQ829" s="162"/>
      <c r="AR829" s="162"/>
      <c r="AS829" s="162"/>
      <c r="AT829" s="161"/>
      <c r="AU829" s="161"/>
      <c r="AV829" s="161"/>
      <c r="AW829" s="161"/>
      <c r="AX829" s="161"/>
      <c r="AY829" s="161"/>
      <c r="AZ829" s="161"/>
      <c r="BA829" s="161"/>
      <c r="BB829" s="161"/>
      <c r="BC829" s="161"/>
      <c r="BD829" s="161"/>
      <c r="BE829" s="161"/>
      <c r="BF829" s="161"/>
      <c r="BG829" s="161"/>
      <c r="BH829" s="161"/>
      <c r="BI829" s="161"/>
      <c r="BJ829" s="161"/>
      <c r="BK829" s="161"/>
      <c r="BL829" s="161"/>
      <c r="BM829" s="161"/>
      <c r="BN829" s="161"/>
      <c r="BO829" s="161"/>
      <c r="BP829" s="161"/>
      <c r="BQ829" s="161"/>
      <c r="BR829" s="161"/>
      <c r="BS829" s="161"/>
      <c r="BT829" s="161"/>
      <c r="BU829" s="161"/>
      <c r="BV829" s="161"/>
      <c r="BW829" s="161"/>
      <c r="BX829" s="161"/>
      <c r="BY829" s="161"/>
    </row>
    <row r="830" spans="1:77">
      <c r="A830" s="162"/>
      <c r="B830" s="162"/>
      <c r="C830" s="162"/>
      <c r="D830" s="162"/>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c r="AC830" s="162"/>
      <c r="AD830" s="162"/>
      <c r="AE830" s="162"/>
      <c r="AF830" s="162"/>
      <c r="AG830" s="162"/>
      <c r="AH830" s="162"/>
      <c r="AI830" s="162"/>
      <c r="AJ830" s="162"/>
      <c r="AK830" s="162"/>
      <c r="AL830" s="162"/>
      <c r="AM830" s="162"/>
      <c r="AN830" s="162"/>
      <c r="AO830" s="162"/>
      <c r="AP830" s="162"/>
      <c r="AQ830" s="162"/>
      <c r="AR830" s="162"/>
      <c r="AS830" s="162"/>
      <c r="AT830" s="161"/>
      <c r="AU830" s="161"/>
      <c r="AV830" s="161"/>
      <c r="AW830" s="161"/>
      <c r="AX830" s="161"/>
      <c r="AY830" s="161"/>
      <c r="AZ830" s="161"/>
      <c r="BA830" s="161"/>
      <c r="BB830" s="161"/>
      <c r="BC830" s="161"/>
      <c r="BD830" s="161"/>
      <c r="BE830" s="161"/>
      <c r="BF830" s="161"/>
      <c r="BG830" s="161"/>
      <c r="BH830" s="161"/>
      <c r="BI830" s="161"/>
      <c r="BJ830" s="161"/>
      <c r="BK830" s="161"/>
      <c r="BL830" s="161"/>
      <c r="BM830" s="161"/>
      <c r="BN830" s="161"/>
      <c r="BO830" s="161"/>
      <c r="BP830" s="161"/>
      <c r="BQ830" s="161"/>
      <c r="BR830" s="161"/>
      <c r="BS830" s="161"/>
      <c r="BT830" s="161"/>
      <c r="BU830" s="161"/>
      <c r="BV830" s="161"/>
      <c r="BW830" s="161"/>
      <c r="BX830" s="161"/>
      <c r="BY830" s="161"/>
    </row>
    <row r="831" spans="1:77">
      <c r="A831" s="162"/>
      <c r="B831" s="162"/>
      <c r="C831" s="162"/>
      <c r="D831" s="162"/>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c r="AC831" s="162"/>
      <c r="AD831" s="162"/>
      <c r="AE831" s="162"/>
      <c r="AF831" s="162"/>
      <c r="AG831" s="162"/>
      <c r="AH831" s="162"/>
      <c r="AI831" s="162"/>
      <c r="AJ831" s="162"/>
      <c r="AK831" s="162"/>
      <c r="AL831" s="162"/>
      <c r="AM831" s="162"/>
      <c r="AN831" s="162"/>
      <c r="AO831" s="162"/>
      <c r="AP831" s="162"/>
      <c r="AQ831" s="162"/>
      <c r="AR831" s="162"/>
      <c r="AS831" s="162"/>
      <c r="AT831" s="161"/>
      <c r="AU831" s="161"/>
      <c r="AV831" s="161"/>
      <c r="AW831" s="161"/>
      <c r="AX831" s="161"/>
      <c r="AY831" s="161"/>
      <c r="AZ831" s="161"/>
      <c r="BA831" s="161"/>
      <c r="BB831" s="161"/>
      <c r="BC831" s="161"/>
      <c r="BD831" s="161"/>
      <c r="BE831" s="161"/>
      <c r="BF831" s="161"/>
      <c r="BG831" s="161"/>
      <c r="BH831" s="161"/>
      <c r="BI831" s="161"/>
      <c r="BJ831" s="161"/>
      <c r="BK831" s="161"/>
      <c r="BL831" s="161"/>
      <c r="BM831" s="161"/>
      <c r="BN831" s="161"/>
      <c r="BO831" s="161"/>
      <c r="BP831" s="161"/>
      <c r="BQ831" s="161"/>
      <c r="BR831" s="161"/>
      <c r="BS831" s="161"/>
      <c r="BT831" s="161"/>
      <c r="BU831" s="161"/>
      <c r="BV831" s="161"/>
      <c r="BW831" s="161"/>
      <c r="BX831" s="161"/>
      <c r="BY831" s="161"/>
    </row>
    <row r="832" spans="1:77">
      <c r="A832" s="162"/>
      <c r="B832" s="162"/>
      <c r="C832" s="162"/>
      <c r="D832" s="162"/>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c r="AC832" s="162"/>
      <c r="AD832" s="162"/>
      <c r="AE832" s="162"/>
      <c r="AF832" s="162"/>
      <c r="AG832" s="162"/>
      <c r="AH832" s="162"/>
      <c r="AI832" s="162"/>
      <c r="AJ832" s="162"/>
      <c r="AK832" s="162"/>
      <c r="AL832" s="162"/>
      <c r="AM832" s="162"/>
      <c r="AN832" s="162"/>
      <c r="AO832" s="162"/>
      <c r="AP832" s="162"/>
      <c r="AQ832" s="162"/>
      <c r="AR832" s="162"/>
      <c r="AS832" s="162"/>
      <c r="AT832" s="161"/>
      <c r="AU832" s="161"/>
      <c r="AV832" s="161"/>
      <c r="AW832" s="161"/>
      <c r="AX832" s="161"/>
      <c r="AY832" s="161"/>
      <c r="AZ832" s="161"/>
      <c r="BA832" s="161"/>
      <c r="BB832" s="161"/>
      <c r="BC832" s="161"/>
      <c r="BD832" s="161"/>
      <c r="BE832" s="161"/>
      <c r="BF832" s="161"/>
      <c r="BG832" s="161"/>
      <c r="BH832" s="161"/>
      <c r="BI832" s="161"/>
      <c r="BJ832" s="161"/>
      <c r="BK832" s="161"/>
      <c r="BL832" s="161"/>
      <c r="BM832" s="161"/>
      <c r="BN832" s="161"/>
      <c r="BO832" s="161"/>
      <c r="BP832" s="161"/>
      <c r="BQ832" s="161"/>
      <c r="BR832" s="161"/>
      <c r="BS832" s="161"/>
      <c r="BT832" s="161"/>
      <c r="BU832" s="161"/>
      <c r="BV832" s="161"/>
      <c r="BW832" s="161"/>
      <c r="BX832" s="161"/>
      <c r="BY832" s="161"/>
    </row>
    <row r="833" spans="1:77">
      <c r="A833" s="162"/>
      <c r="B833" s="162"/>
      <c r="C833" s="162"/>
      <c r="D833" s="162"/>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c r="AC833" s="162"/>
      <c r="AD833" s="162"/>
      <c r="AE833" s="162"/>
      <c r="AF833" s="162"/>
      <c r="AG833" s="162"/>
      <c r="AH833" s="162"/>
      <c r="AI833" s="162"/>
      <c r="AJ833" s="162"/>
      <c r="AK833" s="162"/>
      <c r="AL833" s="162"/>
      <c r="AM833" s="162"/>
      <c r="AN833" s="162"/>
      <c r="AO833" s="162"/>
      <c r="AP833" s="162"/>
      <c r="AQ833" s="162"/>
      <c r="AR833" s="162"/>
      <c r="AS833" s="162"/>
      <c r="AT833" s="161"/>
      <c r="AU833" s="161"/>
      <c r="AV833" s="161"/>
      <c r="AW833" s="161"/>
      <c r="AX833" s="161"/>
      <c r="AY833" s="161"/>
      <c r="AZ833" s="161"/>
      <c r="BA833" s="161"/>
      <c r="BB833" s="161"/>
      <c r="BC833" s="161"/>
      <c r="BD833" s="161"/>
      <c r="BE833" s="161"/>
      <c r="BF833" s="161"/>
      <c r="BG833" s="161"/>
      <c r="BH833" s="161"/>
      <c r="BI833" s="161"/>
      <c r="BJ833" s="161"/>
      <c r="BK833" s="161"/>
      <c r="BL833" s="161"/>
      <c r="BM833" s="161"/>
      <c r="BN833" s="161"/>
      <c r="BO833" s="161"/>
      <c r="BP833" s="161"/>
      <c r="BQ833" s="161"/>
      <c r="BR833" s="161"/>
      <c r="BS833" s="161"/>
      <c r="BT833" s="161"/>
      <c r="BU833" s="161"/>
      <c r="BV833" s="161"/>
      <c r="BW833" s="161"/>
      <c r="BX833" s="161"/>
      <c r="BY833" s="161"/>
    </row>
    <row r="834" spans="1:77">
      <c r="A834" s="162"/>
      <c r="B834" s="162"/>
      <c r="C834" s="162"/>
      <c r="D834" s="162"/>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c r="AC834" s="162"/>
      <c r="AD834" s="162"/>
      <c r="AE834" s="162"/>
      <c r="AF834" s="162"/>
      <c r="AG834" s="162"/>
      <c r="AH834" s="162"/>
      <c r="AI834" s="162"/>
      <c r="AJ834" s="162"/>
      <c r="AK834" s="162"/>
      <c r="AL834" s="162"/>
      <c r="AM834" s="162"/>
      <c r="AN834" s="162"/>
      <c r="AO834" s="162"/>
      <c r="AP834" s="162"/>
      <c r="AQ834" s="162"/>
      <c r="AR834" s="162"/>
      <c r="AS834" s="162"/>
      <c r="AT834" s="161"/>
      <c r="AU834" s="161"/>
      <c r="AV834" s="161"/>
      <c r="AW834" s="161"/>
      <c r="AX834" s="161"/>
      <c r="AY834" s="161"/>
      <c r="AZ834" s="161"/>
      <c r="BA834" s="161"/>
      <c r="BB834" s="161"/>
      <c r="BC834" s="161"/>
      <c r="BD834" s="161"/>
      <c r="BE834" s="161"/>
      <c r="BF834" s="161"/>
      <c r="BG834" s="161"/>
      <c r="BH834" s="161"/>
      <c r="BI834" s="161"/>
      <c r="BJ834" s="161"/>
      <c r="BK834" s="161"/>
      <c r="BL834" s="161"/>
      <c r="BM834" s="161"/>
      <c r="BN834" s="161"/>
      <c r="BO834" s="161"/>
      <c r="BP834" s="161"/>
      <c r="BQ834" s="161"/>
      <c r="BR834" s="161"/>
      <c r="BS834" s="161"/>
      <c r="BT834" s="161"/>
      <c r="BU834" s="161"/>
      <c r="BV834" s="161"/>
      <c r="BW834" s="161"/>
      <c r="BX834" s="161"/>
      <c r="BY834" s="161"/>
    </row>
    <row r="835" spans="1:77">
      <c r="A835" s="162"/>
      <c r="B835" s="162"/>
      <c r="C835" s="162"/>
      <c r="D835" s="162"/>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c r="AC835" s="162"/>
      <c r="AD835" s="162"/>
      <c r="AE835" s="162"/>
      <c r="AF835" s="162"/>
      <c r="AG835" s="162"/>
      <c r="AH835" s="162"/>
      <c r="AI835" s="162"/>
      <c r="AJ835" s="162"/>
      <c r="AK835" s="162"/>
      <c r="AL835" s="162"/>
      <c r="AM835" s="162"/>
      <c r="AN835" s="162"/>
      <c r="AO835" s="162"/>
      <c r="AP835" s="162"/>
      <c r="AQ835" s="162"/>
      <c r="AR835" s="162"/>
      <c r="AS835" s="162"/>
      <c r="AT835" s="161"/>
      <c r="AU835" s="161"/>
      <c r="AV835" s="161"/>
      <c r="AW835" s="161"/>
      <c r="AX835" s="161"/>
      <c r="AY835" s="161"/>
      <c r="AZ835" s="161"/>
      <c r="BA835" s="161"/>
      <c r="BB835" s="161"/>
      <c r="BC835" s="161"/>
      <c r="BD835" s="161"/>
      <c r="BE835" s="161"/>
      <c r="BF835" s="161"/>
      <c r="BG835" s="161"/>
      <c r="BH835" s="161"/>
      <c r="BI835" s="161"/>
      <c r="BJ835" s="161"/>
      <c r="BK835" s="161"/>
      <c r="BL835" s="161"/>
      <c r="BM835" s="161"/>
      <c r="BN835" s="161"/>
      <c r="BO835" s="161"/>
      <c r="BP835" s="161"/>
      <c r="BQ835" s="161"/>
      <c r="BR835" s="161"/>
      <c r="BS835" s="161"/>
      <c r="BT835" s="161"/>
      <c r="BU835" s="161"/>
      <c r="BV835" s="161"/>
      <c r="BW835" s="161"/>
      <c r="BX835" s="161"/>
      <c r="BY835" s="161"/>
    </row>
    <row r="836" spans="1:77">
      <c r="A836" s="162"/>
      <c r="B836" s="162"/>
      <c r="C836" s="162"/>
      <c r="D836" s="162"/>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c r="AC836" s="162"/>
      <c r="AD836" s="162"/>
      <c r="AE836" s="162"/>
      <c r="AF836" s="162"/>
      <c r="AG836" s="162"/>
      <c r="AH836" s="162"/>
      <c r="AI836" s="162"/>
      <c r="AJ836" s="162"/>
      <c r="AK836" s="162"/>
      <c r="AL836" s="162"/>
      <c r="AM836" s="162"/>
      <c r="AN836" s="162"/>
      <c r="AO836" s="162"/>
      <c r="AP836" s="162"/>
      <c r="AQ836" s="162"/>
      <c r="AR836" s="162"/>
      <c r="AS836" s="162"/>
      <c r="AT836" s="161"/>
      <c r="AU836" s="161"/>
      <c r="AV836" s="161"/>
      <c r="AW836" s="161"/>
      <c r="AX836" s="161"/>
      <c r="AY836" s="161"/>
      <c r="AZ836" s="161"/>
      <c r="BA836" s="161"/>
      <c r="BB836" s="161"/>
      <c r="BC836" s="161"/>
      <c r="BD836" s="161"/>
      <c r="BE836" s="161"/>
      <c r="BF836" s="161"/>
      <c r="BG836" s="161"/>
      <c r="BH836" s="161"/>
      <c r="BI836" s="161"/>
      <c r="BJ836" s="161"/>
      <c r="BK836" s="161"/>
      <c r="BL836" s="161"/>
      <c r="BM836" s="161"/>
      <c r="BN836" s="161"/>
      <c r="BO836" s="161"/>
      <c r="BP836" s="161"/>
      <c r="BQ836" s="161"/>
      <c r="BR836" s="161"/>
      <c r="BS836" s="161"/>
      <c r="BT836" s="161"/>
      <c r="BU836" s="161"/>
      <c r="BV836" s="161"/>
      <c r="BW836" s="161"/>
      <c r="BX836" s="161"/>
      <c r="BY836" s="161"/>
    </row>
    <row r="837" spans="1:77">
      <c r="A837" s="162"/>
      <c r="B837" s="162"/>
      <c r="C837" s="162"/>
      <c r="D837" s="162"/>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c r="AC837" s="162"/>
      <c r="AD837" s="162"/>
      <c r="AE837" s="162"/>
      <c r="AF837" s="162"/>
      <c r="AG837" s="162"/>
      <c r="AH837" s="162"/>
      <c r="AI837" s="162"/>
      <c r="AJ837" s="162"/>
      <c r="AK837" s="162"/>
      <c r="AL837" s="162"/>
      <c r="AM837" s="162"/>
      <c r="AN837" s="162"/>
      <c r="AO837" s="162"/>
      <c r="AP837" s="162"/>
      <c r="AQ837" s="162"/>
      <c r="AR837" s="162"/>
      <c r="AS837" s="162"/>
      <c r="AT837" s="161"/>
      <c r="AU837" s="161"/>
      <c r="AV837" s="161"/>
      <c r="AW837" s="161"/>
      <c r="AX837" s="161"/>
      <c r="AY837" s="161"/>
      <c r="AZ837" s="161"/>
      <c r="BA837" s="161"/>
      <c r="BB837" s="161"/>
      <c r="BC837" s="161"/>
      <c r="BD837" s="161"/>
      <c r="BE837" s="161"/>
      <c r="BF837" s="161"/>
      <c r="BG837" s="161"/>
      <c r="BH837" s="161"/>
      <c r="BI837" s="161"/>
      <c r="BJ837" s="161"/>
      <c r="BK837" s="161"/>
      <c r="BL837" s="161"/>
      <c r="BM837" s="161"/>
      <c r="BN837" s="161"/>
      <c r="BO837" s="161"/>
      <c r="BP837" s="161"/>
      <c r="BQ837" s="161"/>
      <c r="BR837" s="161"/>
      <c r="BS837" s="161"/>
      <c r="BT837" s="161"/>
      <c r="BU837" s="161"/>
      <c r="BV837" s="161"/>
      <c r="BW837" s="161"/>
      <c r="BX837" s="161"/>
      <c r="BY837" s="161"/>
    </row>
    <row r="838" spans="1:77">
      <c r="A838" s="162"/>
      <c r="B838" s="162"/>
      <c r="C838" s="162"/>
      <c r="D838" s="162"/>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c r="AC838" s="162"/>
      <c r="AD838" s="162"/>
      <c r="AE838" s="162"/>
      <c r="AF838" s="162"/>
      <c r="AG838" s="162"/>
      <c r="AH838" s="162"/>
      <c r="AI838" s="162"/>
      <c r="AJ838" s="162"/>
      <c r="AK838" s="162"/>
      <c r="AL838" s="162"/>
      <c r="AM838" s="162"/>
      <c r="AN838" s="162"/>
      <c r="AO838" s="162"/>
      <c r="AP838" s="162"/>
      <c r="AQ838" s="162"/>
      <c r="AR838" s="162"/>
      <c r="AS838" s="162"/>
      <c r="AT838" s="161"/>
      <c r="AU838" s="161"/>
      <c r="AV838" s="161"/>
      <c r="AW838" s="161"/>
      <c r="AX838" s="161"/>
      <c r="AY838" s="161"/>
      <c r="AZ838" s="161"/>
      <c r="BA838" s="161"/>
      <c r="BB838" s="161"/>
      <c r="BC838" s="161"/>
      <c r="BD838" s="161"/>
      <c r="BE838" s="161"/>
      <c r="BF838" s="161"/>
      <c r="BG838" s="161"/>
      <c r="BH838" s="161"/>
      <c r="BI838" s="161"/>
      <c r="BJ838" s="161"/>
      <c r="BK838" s="161"/>
      <c r="BL838" s="161"/>
      <c r="BM838" s="161"/>
      <c r="BN838" s="161"/>
      <c r="BO838" s="161"/>
      <c r="BP838" s="161"/>
      <c r="BQ838" s="161"/>
      <c r="BR838" s="161"/>
      <c r="BS838" s="161"/>
      <c r="BT838" s="161"/>
      <c r="BU838" s="161"/>
      <c r="BV838" s="161"/>
      <c r="BW838" s="161"/>
      <c r="BX838" s="161"/>
      <c r="BY838" s="161"/>
    </row>
    <row r="839" spans="1:77">
      <c r="A839" s="162"/>
      <c r="B839" s="162"/>
      <c r="C839" s="162"/>
      <c r="D839" s="162"/>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c r="AC839" s="162"/>
      <c r="AD839" s="162"/>
      <c r="AE839" s="162"/>
      <c r="AF839" s="162"/>
      <c r="AG839" s="162"/>
      <c r="AH839" s="162"/>
      <c r="AI839" s="162"/>
      <c r="AJ839" s="162"/>
      <c r="AK839" s="162"/>
      <c r="AL839" s="162"/>
      <c r="AM839" s="162"/>
      <c r="AN839" s="162"/>
      <c r="AO839" s="162"/>
      <c r="AP839" s="162"/>
      <c r="AQ839" s="162"/>
      <c r="AR839" s="162"/>
      <c r="AS839" s="162"/>
      <c r="AT839" s="161"/>
      <c r="AU839" s="161"/>
      <c r="AV839" s="161"/>
      <c r="AW839" s="161"/>
      <c r="AX839" s="161"/>
      <c r="AY839" s="161"/>
      <c r="AZ839" s="161"/>
      <c r="BA839" s="161"/>
      <c r="BB839" s="161"/>
      <c r="BC839" s="161"/>
      <c r="BD839" s="161"/>
      <c r="BE839" s="161"/>
      <c r="BF839" s="161"/>
      <c r="BG839" s="161"/>
      <c r="BH839" s="161"/>
      <c r="BI839" s="161"/>
      <c r="BJ839" s="161"/>
      <c r="BK839" s="161"/>
      <c r="BL839" s="161"/>
      <c r="BM839" s="161"/>
      <c r="BN839" s="161"/>
      <c r="BO839" s="161"/>
      <c r="BP839" s="161"/>
      <c r="BQ839" s="161"/>
      <c r="BR839" s="161"/>
      <c r="BS839" s="161"/>
      <c r="BT839" s="161"/>
      <c r="BU839" s="161"/>
      <c r="BV839" s="161"/>
      <c r="BW839" s="161"/>
      <c r="BX839" s="161"/>
      <c r="BY839" s="161"/>
    </row>
    <row r="840" spans="1:77">
      <c r="A840" s="162"/>
      <c r="B840" s="162"/>
      <c r="C840" s="162"/>
      <c r="D840" s="162"/>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c r="AC840" s="162"/>
      <c r="AD840" s="162"/>
      <c r="AE840" s="162"/>
      <c r="AF840" s="162"/>
      <c r="AG840" s="162"/>
      <c r="AH840" s="162"/>
      <c r="AI840" s="162"/>
      <c r="AJ840" s="162"/>
      <c r="AK840" s="162"/>
      <c r="AL840" s="162"/>
      <c r="AM840" s="162"/>
      <c r="AN840" s="162"/>
      <c r="AO840" s="162"/>
      <c r="AP840" s="162"/>
      <c r="AQ840" s="162"/>
      <c r="AR840" s="162"/>
      <c r="AS840" s="162"/>
      <c r="AT840" s="161"/>
      <c r="AU840" s="161"/>
      <c r="AV840" s="161"/>
      <c r="AW840" s="161"/>
      <c r="AX840" s="161"/>
      <c r="AY840" s="161"/>
      <c r="AZ840" s="161"/>
      <c r="BA840" s="161"/>
      <c r="BB840" s="161"/>
      <c r="BC840" s="161"/>
      <c r="BD840" s="161"/>
      <c r="BE840" s="161"/>
      <c r="BF840" s="161"/>
      <c r="BG840" s="161"/>
      <c r="BH840" s="161"/>
      <c r="BI840" s="161"/>
      <c r="BJ840" s="161"/>
      <c r="BK840" s="161"/>
      <c r="BL840" s="161"/>
      <c r="BM840" s="161"/>
      <c r="BN840" s="161"/>
      <c r="BO840" s="161"/>
      <c r="BP840" s="161"/>
      <c r="BQ840" s="161"/>
      <c r="BR840" s="161"/>
      <c r="BS840" s="161"/>
      <c r="BT840" s="161"/>
      <c r="BU840" s="161"/>
      <c r="BV840" s="161"/>
      <c r="BW840" s="161"/>
      <c r="BX840" s="161"/>
      <c r="BY840" s="161"/>
    </row>
    <row r="841" spans="1:77">
      <c r="A841" s="162"/>
      <c r="B841" s="162"/>
      <c r="C841" s="162"/>
      <c r="D841" s="162"/>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c r="AC841" s="162"/>
      <c r="AD841" s="162"/>
      <c r="AE841" s="162"/>
      <c r="AF841" s="162"/>
      <c r="AG841" s="162"/>
      <c r="AH841" s="162"/>
      <c r="AI841" s="162"/>
      <c r="AJ841" s="162"/>
      <c r="AK841" s="162"/>
      <c r="AL841" s="162"/>
      <c r="AM841" s="162"/>
      <c r="AN841" s="162"/>
      <c r="AO841" s="162"/>
      <c r="AP841" s="162"/>
      <c r="AQ841" s="162"/>
      <c r="AR841" s="162"/>
      <c r="AS841" s="162"/>
      <c r="AT841" s="161"/>
      <c r="AU841" s="161"/>
      <c r="AV841" s="161"/>
      <c r="AW841" s="161"/>
      <c r="AX841" s="161"/>
      <c r="AY841" s="161"/>
      <c r="AZ841" s="161"/>
      <c r="BA841" s="161"/>
      <c r="BB841" s="161"/>
      <c r="BC841" s="161"/>
      <c r="BD841" s="161"/>
      <c r="BE841" s="161"/>
      <c r="BF841" s="161"/>
      <c r="BG841" s="161"/>
      <c r="BH841" s="161"/>
      <c r="BI841" s="161"/>
      <c r="BJ841" s="161"/>
      <c r="BK841" s="161"/>
      <c r="BL841" s="161"/>
      <c r="BM841" s="161"/>
      <c r="BN841" s="161"/>
      <c r="BO841" s="161"/>
      <c r="BP841" s="161"/>
      <c r="BQ841" s="161"/>
      <c r="BR841" s="161"/>
      <c r="BS841" s="161"/>
      <c r="BT841" s="161"/>
      <c r="BU841" s="161"/>
      <c r="BV841" s="161"/>
      <c r="BW841" s="161"/>
      <c r="BX841" s="161"/>
      <c r="BY841" s="161"/>
    </row>
    <row r="842" spans="1:77">
      <c r="A842" s="162"/>
      <c r="B842" s="162"/>
      <c r="C842" s="162"/>
      <c r="D842" s="162"/>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c r="AC842" s="162"/>
      <c r="AD842" s="162"/>
      <c r="AE842" s="162"/>
      <c r="AF842" s="162"/>
      <c r="AG842" s="162"/>
      <c r="AH842" s="162"/>
      <c r="AI842" s="162"/>
      <c r="AJ842" s="162"/>
      <c r="AK842" s="162"/>
      <c r="AL842" s="162"/>
      <c r="AM842" s="162"/>
      <c r="AN842" s="162"/>
      <c r="AO842" s="162"/>
      <c r="AP842" s="162"/>
      <c r="AQ842" s="162"/>
      <c r="AR842" s="162"/>
      <c r="AS842" s="162"/>
      <c r="AT842" s="161"/>
      <c r="AU842" s="161"/>
      <c r="AV842" s="161"/>
      <c r="AW842" s="161"/>
      <c r="AX842" s="161"/>
      <c r="AY842" s="161"/>
      <c r="AZ842" s="161"/>
      <c r="BA842" s="161"/>
      <c r="BB842" s="161"/>
      <c r="BC842" s="161"/>
      <c r="BD842" s="161"/>
      <c r="BE842" s="161"/>
      <c r="BF842" s="161"/>
      <c r="BG842" s="161"/>
      <c r="BH842" s="161"/>
      <c r="BI842" s="161"/>
      <c r="BJ842" s="161"/>
      <c r="BK842" s="161"/>
      <c r="BL842" s="161"/>
      <c r="BM842" s="161"/>
      <c r="BN842" s="161"/>
      <c r="BO842" s="161"/>
      <c r="BP842" s="161"/>
      <c r="BQ842" s="161"/>
      <c r="BR842" s="161"/>
      <c r="BS842" s="161"/>
      <c r="BT842" s="161"/>
      <c r="BU842" s="161"/>
      <c r="BV842" s="161"/>
      <c r="BW842" s="161"/>
      <c r="BX842" s="161"/>
      <c r="BY842" s="161"/>
    </row>
    <row r="843" spans="1:77">
      <c r="A843" s="162"/>
      <c r="B843" s="162"/>
      <c r="C843" s="162"/>
      <c r="D843" s="162"/>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c r="AC843" s="162"/>
      <c r="AD843" s="162"/>
      <c r="AE843" s="162"/>
      <c r="AF843" s="162"/>
      <c r="AG843" s="162"/>
      <c r="AH843" s="162"/>
      <c r="AI843" s="162"/>
      <c r="AJ843" s="162"/>
      <c r="AK843" s="162"/>
      <c r="AL843" s="162"/>
      <c r="AM843" s="162"/>
      <c r="AN843" s="162"/>
      <c r="AO843" s="162"/>
      <c r="AP843" s="162"/>
      <c r="AQ843" s="162"/>
      <c r="AR843" s="162"/>
      <c r="AS843" s="162"/>
      <c r="AT843" s="161"/>
      <c r="AU843" s="161"/>
      <c r="AV843" s="161"/>
      <c r="AW843" s="161"/>
      <c r="AX843" s="161"/>
      <c r="AY843" s="161"/>
      <c r="AZ843" s="161"/>
      <c r="BA843" s="161"/>
      <c r="BB843" s="161"/>
      <c r="BC843" s="161"/>
      <c r="BD843" s="161"/>
      <c r="BE843" s="161"/>
      <c r="BF843" s="161"/>
      <c r="BG843" s="161"/>
      <c r="BH843" s="161"/>
      <c r="BI843" s="161"/>
      <c r="BJ843" s="161"/>
      <c r="BK843" s="161"/>
      <c r="BL843" s="161"/>
      <c r="BM843" s="161"/>
      <c r="BN843" s="161"/>
      <c r="BO843" s="161"/>
      <c r="BP843" s="161"/>
      <c r="BQ843" s="161"/>
      <c r="BR843" s="161"/>
      <c r="BS843" s="161"/>
      <c r="BT843" s="161"/>
      <c r="BU843" s="161"/>
      <c r="BV843" s="161"/>
      <c r="BW843" s="161"/>
      <c r="BX843" s="161"/>
      <c r="BY843" s="161"/>
    </row>
    <row r="844" spans="1:77">
      <c r="A844" s="162"/>
      <c r="B844" s="162"/>
      <c r="C844" s="162"/>
      <c r="D844" s="162"/>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c r="AC844" s="162"/>
      <c r="AD844" s="162"/>
      <c r="AE844" s="162"/>
      <c r="AF844" s="162"/>
      <c r="AG844" s="162"/>
      <c r="AH844" s="162"/>
      <c r="AI844" s="162"/>
      <c r="AJ844" s="162"/>
      <c r="AK844" s="162"/>
      <c r="AL844" s="162"/>
      <c r="AM844" s="162"/>
      <c r="AN844" s="162"/>
      <c r="AO844" s="162"/>
      <c r="AP844" s="162"/>
      <c r="AQ844" s="162"/>
      <c r="AR844" s="162"/>
      <c r="AS844" s="162"/>
      <c r="AT844" s="161"/>
      <c r="AU844" s="161"/>
      <c r="AV844" s="161"/>
      <c r="AW844" s="161"/>
      <c r="AX844" s="161"/>
      <c r="AY844" s="161"/>
      <c r="AZ844" s="161"/>
      <c r="BA844" s="161"/>
      <c r="BB844" s="161"/>
      <c r="BC844" s="161"/>
      <c r="BD844" s="161"/>
      <c r="BE844" s="161"/>
      <c r="BF844" s="161"/>
      <c r="BG844" s="161"/>
      <c r="BH844" s="161"/>
      <c r="BI844" s="161"/>
      <c r="BJ844" s="161"/>
      <c r="BK844" s="161"/>
      <c r="BL844" s="161"/>
      <c r="BM844" s="161"/>
      <c r="BN844" s="161"/>
      <c r="BO844" s="161"/>
      <c r="BP844" s="161"/>
      <c r="BQ844" s="161"/>
      <c r="BR844" s="161"/>
      <c r="BS844" s="161"/>
      <c r="BT844" s="161"/>
      <c r="BU844" s="161"/>
      <c r="BV844" s="161"/>
      <c r="BW844" s="161"/>
      <c r="BX844" s="161"/>
      <c r="BY844" s="161"/>
    </row>
    <row r="845" spans="1:77">
      <c r="A845" s="162"/>
      <c r="B845" s="162"/>
      <c r="C845" s="162"/>
      <c r="D845" s="162"/>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c r="AC845" s="162"/>
      <c r="AD845" s="162"/>
      <c r="AE845" s="162"/>
      <c r="AF845" s="162"/>
      <c r="AG845" s="162"/>
      <c r="AH845" s="162"/>
      <c r="AI845" s="162"/>
      <c r="AJ845" s="162"/>
      <c r="AK845" s="162"/>
      <c r="AL845" s="162"/>
      <c r="AM845" s="162"/>
      <c r="AN845" s="162"/>
      <c r="AO845" s="162"/>
      <c r="AP845" s="162"/>
      <c r="AQ845" s="162"/>
      <c r="AR845" s="162"/>
      <c r="AS845" s="162"/>
      <c r="AT845" s="161"/>
      <c r="AU845" s="161"/>
      <c r="AV845" s="161"/>
      <c r="AW845" s="161"/>
      <c r="AX845" s="161"/>
      <c r="AY845" s="161"/>
      <c r="AZ845" s="161"/>
      <c r="BA845" s="161"/>
      <c r="BB845" s="161"/>
      <c r="BC845" s="161"/>
      <c r="BD845" s="161"/>
      <c r="BE845" s="161"/>
      <c r="BF845" s="161"/>
      <c r="BG845" s="161"/>
      <c r="BH845" s="161"/>
      <c r="BI845" s="161"/>
      <c r="BJ845" s="161"/>
      <c r="BK845" s="161"/>
      <c r="BL845" s="161"/>
      <c r="BM845" s="161"/>
      <c r="BN845" s="161"/>
      <c r="BO845" s="161"/>
      <c r="BP845" s="161"/>
      <c r="BQ845" s="161"/>
      <c r="BR845" s="161"/>
      <c r="BS845" s="161"/>
      <c r="BT845" s="161"/>
      <c r="BU845" s="161"/>
      <c r="BV845" s="161"/>
      <c r="BW845" s="161"/>
      <c r="BX845" s="161"/>
      <c r="BY845" s="161"/>
    </row>
    <row r="846" spans="1:77">
      <c r="A846" s="162"/>
      <c r="B846" s="162"/>
      <c r="C846" s="162"/>
      <c r="D846" s="162"/>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c r="AC846" s="162"/>
      <c r="AD846" s="162"/>
      <c r="AE846" s="162"/>
      <c r="AF846" s="162"/>
      <c r="AG846" s="162"/>
      <c r="AH846" s="162"/>
      <c r="AI846" s="162"/>
      <c r="AJ846" s="162"/>
      <c r="AK846" s="162"/>
      <c r="AL846" s="162"/>
      <c r="AM846" s="162"/>
      <c r="AN846" s="162"/>
      <c r="AO846" s="162"/>
      <c r="AP846" s="162"/>
      <c r="AQ846" s="162"/>
      <c r="AR846" s="162"/>
      <c r="AS846" s="162"/>
      <c r="AT846" s="161"/>
      <c r="AU846" s="161"/>
      <c r="AV846" s="161"/>
      <c r="AW846" s="161"/>
      <c r="AX846" s="161"/>
      <c r="AY846" s="161"/>
      <c r="AZ846" s="161"/>
      <c r="BA846" s="161"/>
      <c r="BB846" s="161"/>
      <c r="BC846" s="161"/>
      <c r="BD846" s="161"/>
      <c r="BE846" s="161"/>
      <c r="BF846" s="161"/>
      <c r="BG846" s="161"/>
      <c r="BH846" s="161"/>
      <c r="BI846" s="161"/>
      <c r="BJ846" s="161"/>
      <c r="BK846" s="161"/>
      <c r="BL846" s="161"/>
      <c r="BM846" s="161"/>
      <c r="BN846" s="161"/>
      <c r="BO846" s="161"/>
      <c r="BP846" s="161"/>
      <c r="BQ846" s="161"/>
      <c r="BR846" s="161"/>
      <c r="BS846" s="161"/>
      <c r="BT846" s="161"/>
      <c r="BU846" s="161"/>
      <c r="BV846" s="161"/>
      <c r="BW846" s="161"/>
      <c r="BX846" s="161"/>
      <c r="BY846" s="161"/>
    </row>
    <row r="847" spans="1:77">
      <c r="A847" s="162"/>
      <c r="B847" s="162"/>
      <c r="C847" s="162"/>
      <c r="D847" s="162"/>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c r="AC847" s="162"/>
      <c r="AD847" s="162"/>
      <c r="AE847" s="162"/>
      <c r="AF847" s="162"/>
      <c r="AG847" s="162"/>
      <c r="AH847" s="162"/>
      <c r="AI847" s="162"/>
      <c r="AJ847" s="162"/>
      <c r="AK847" s="162"/>
      <c r="AL847" s="162"/>
      <c r="AM847" s="162"/>
      <c r="AN847" s="162"/>
      <c r="AO847" s="162"/>
      <c r="AP847" s="162"/>
      <c r="AQ847" s="162"/>
      <c r="AR847" s="162"/>
      <c r="AS847" s="162"/>
      <c r="AT847" s="161"/>
      <c r="AU847" s="161"/>
      <c r="AV847" s="161"/>
      <c r="AW847" s="161"/>
      <c r="AX847" s="161"/>
      <c r="AY847" s="161"/>
      <c r="AZ847" s="161"/>
      <c r="BA847" s="161"/>
      <c r="BB847" s="161"/>
      <c r="BC847" s="161"/>
      <c r="BD847" s="161"/>
      <c r="BE847" s="161"/>
      <c r="BF847" s="161"/>
      <c r="BG847" s="161"/>
      <c r="BH847" s="161"/>
      <c r="BI847" s="161"/>
      <c r="BJ847" s="161"/>
      <c r="BK847" s="161"/>
      <c r="BL847" s="161"/>
      <c r="BM847" s="161"/>
      <c r="BN847" s="161"/>
      <c r="BO847" s="161"/>
      <c r="BP847" s="161"/>
      <c r="BQ847" s="161"/>
      <c r="BR847" s="161"/>
      <c r="BS847" s="161"/>
      <c r="BT847" s="161"/>
      <c r="BU847" s="161"/>
      <c r="BV847" s="161"/>
      <c r="BW847" s="161"/>
      <c r="BX847" s="161"/>
      <c r="BY847" s="161"/>
    </row>
    <row r="848" spans="1:77">
      <c r="A848" s="162"/>
      <c r="B848" s="162"/>
      <c r="C848" s="162"/>
      <c r="D848" s="162"/>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c r="AC848" s="162"/>
      <c r="AD848" s="162"/>
      <c r="AE848" s="162"/>
      <c r="AF848" s="162"/>
      <c r="AG848" s="162"/>
      <c r="AH848" s="162"/>
      <c r="AI848" s="162"/>
      <c r="AJ848" s="162"/>
      <c r="AK848" s="162"/>
      <c r="AL848" s="162"/>
      <c r="AM848" s="162"/>
      <c r="AN848" s="162"/>
      <c r="AO848" s="162"/>
      <c r="AP848" s="162"/>
      <c r="AQ848" s="162"/>
      <c r="AR848" s="162"/>
      <c r="AS848" s="162"/>
      <c r="AT848" s="161"/>
      <c r="AU848" s="161"/>
      <c r="AV848" s="161"/>
      <c r="AW848" s="161"/>
      <c r="AX848" s="161"/>
      <c r="AY848" s="161"/>
      <c r="AZ848" s="161"/>
      <c r="BA848" s="161"/>
      <c r="BB848" s="161"/>
      <c r="BC848" s="161"/>
      <c r="BD848" s="161"/>
      <c r="BE848" s="161"/>
      <c r="BF848" s="161"/>
      <c r="BG848" s="161"/>
      <c r="BH848" s="161"/>
      <c r="BI848" s="161"/>
      <c r="BJ848" s="161"/>
      <c r="BK848" s="161"/>
      <c r="BL848" s="161"/>
      <c r="BM848" s="161"/>
      <c r="BN848" s="161"/>
      <c r="BO848" s="161"/>
      <c r="BP848" s="161"/>
      <c r="BQ848" s="161"/>
      <c r="BR848" s="161"/>
      <c r="BS848" s="161"/>
      <c r="BT848" s="161"/>
      <c r="BU848" s="161"/>
      <c r="BV848" s="161"/>
      <c r="BW848" s="161"/>
      <c r="BX848" s="161"/>
      <c r="BY848" s="161"/>
    </row>
    <row r="849" spans="1:77">
      <c r="A849" s="162"/>
      <c r="B849" s="162"/>
      <c r="C849" s="162"/>
      <c r="D849" s="162"/>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c r="AC849" s="162"/>
      <c r="AD849" s="162"/>
      <c r="AE849" s="162"/>
      <c r="AF849" s="162"/>
      <c r="AG849" s="162"/>
      <c r="AH849" s="162"/>
      <c r="AI849" s="162"/>
      <c r="AJ849" s="162"/>
      <c r="AK849" s="162"/>
      <c r="AL849" s="162"/>
      <c r="AM849" s="162"/>
      <c r="AN849" s="162"/>
      <c r="AO849" s="162"/>
      <c r="AP849" s="162"/>
      <c r="AQ849" s="162"/>
      <c r="AR849" s="162"/>
      <c r="AS849" s="162"/>
      <c r="AT849" s="161"/>
      <c r="AU849" s="161"/>
      <c r="AV849" s="161"/>
      <c r="AW849" s="161"/>
      <c r="AX849" s="161"/>
      <c r="AY849" s="161"/>
      <c r="AZ849" s="161"/>
      <c r="BA849" s="161"/>
      <c r="BB849" s="161"/>
      <c r="BC849" s="161"/>
      <c r="BD849" s="161"/>
      <c r="BE849" s="161"/>
      <c r="BF849" s="161"/>
      <c r="BG849" s="161"/>
      <c r="BH849" s="161"/>
      <c r="BI849" s="161"/>
      <c r="BJ849" s="161"/>
      <c r="BK849" s="161"/>
      <c r="BL849" s="161"/>
      <c r="BM849" s="161"/>
      <c r="BN849" s="161"/>
      <c r="BO849" s="161"/>
      <c r="BP849" s="161"/>
      <c r="BQ849" s="161"/>
      <c r="BR849" s="161"/>
      <c r="BS849" s="161"/>
      <c r="BT849" s="161"/>
      <c r="BU849" s="161"/>
      <c r="BV849" s="161"/>
      <c r="BW849" s="161"/>
      <c r="BX849" s="161"/>
      <c r="BY849" s="161"/>
    </row>
    <row r="850" spans="1:77">
      <c r="A850" s="162"/>
      <c r="B850" s="162"/>
      <c r="C850" s="162"/>
      <c r="D850" s="162"/>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c r="AC850" s="162"/>
      <c r="AD850" s="162"/>
      <c r="AE850" s="162"/>
      <c r="AF850" s="162"/>
      <c r="AG850" s="162"/>
      <c r="AH850" s="162"/>
      <c r="AI850" s="162"/>
      <c r="AJ850" s="162"/>
      <c r="AK850" s="162"/>
      <c r="AL850" s="162"/>
      <c r="AM850" s="162"/>
      <c r="AN850" s="162"/>
      <c r="AO850" s="162"/>
      <c r="AP850" s="162"/>
      <c r="AQ850" s="162"/>
      <c r="AR850" s="162"/>
      <c r="AS850" s="162"/>
      <c r="AT850" s="161"/>
      <c r="AU850" s="161"/>
      <c r="AV850" s="161"/>
      <c r="AW850" s="161"/>
      <c r="AX850" s="161"/>
      <c r="AY850" s="161"/>
      <c r="AZ850" s="161"/>
      <c r="BA850" s="161"/>
      <c r="BB850" s="161"/>
      <c r="BC850" s="161"/>
      <c r="BD850" s="161"/>
      <c r="BE850" s="161"/>
      <c r="BF850" s="161"/>
      <c r="BG850" s="161"/>
      <c r="BH850" s="161"/>
      <c r="BI850" s="161"/>
      <c r="BJ850" s="161"/>
      <c r="BK850" s="161"/>
      <c r="BL850" s="161"/>
      <c r="BM850" s="161"/>
      <c r="BN850" s="161"/>
      <c r="BO850" s="161"/>
      <c r="BP850" s="161"/>
      <c r="BQ850" s="161"/>
      <c r="BR850" s="161"/>
      <c r="BS850" s="161"/>
      <c r="BT850" s="161"/>
      <c r="BU850" s="161"/>
      <c r="BV850" s="161"/>
      <c r="BW850" s="161"/>
      <c r="BX850" s="161"/>
      <c r="BY850" s="161"/>
    </row>
    <row r="851" spans="1:77">
      <c r="A851" s="162"/>
      <c r="B851" s="162"/>
      <c r="C851" s="162"/>
      <c r="D851" s="162"/>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c r="AC851" s="162"/>
      <c r="AD851" s="162"/>
      <c r="AE851" s="162"/>
      <c r="AF851" s="162"/>
      <c r="AG851" s="162"/>
      <c r="AH851" s="162"/>
      <c r="AI851" s="162"/>
      <c r="AJ851" s="162"/>
      <c r="AK851" s="162"/>
      <c r="AL851" s="162"/>
      <c r="AM851" s="162"/>
      <c r="AN851" s="162"/>
      <c r="AO851" s="162"/>
      <c r="AP851" s="162"/>
      <c r="AQ851" s="162"/>
      <c r="AR851" s="162"/>
      <c r="AS851" s="162"/>
      <c r="AT851" s="161"/>
      <c r="AU851" s="161"/>
      <c r="AV851" s="161"/>
      <c r="AW851" s="161"/>
      <c r="AX851" s="161"/>
      <c r="AY851" s="161"/>
      <c r="AZ851" s="161"/>
      <c r="BA851" s="161"/>
      <c r="BB851" s="161"/>
      <c r="BC851" s="161"/>
      <c r="BD851" s="161"/>
      <c r="BE851" s="161"/>
      <c r="BF851" s="161"/>
      <c r="BG851" s="161"/>
      <c r="BH851" s="161"/>
      <c r="BI851" s="161"/>
      <c r="BJ851" s="161"/>
      <c r="BK851" s="161"/>
      <c r="BL851" s="161"/>
      <c r="BM851" s="161"/>
      <c r="BN851" s="161"/>
      <c r="BO851" s="161"/>
      <c r="BP851" s="161"/>
      <c r="BQ851" s="161"/>
      <c r="BR851" s="161"/>
      <c r="BS851" s="161"/>
      <c r="BT851" s="161"/>
      <c r="BU851" s="161"/>
      <c r="BV851" s="161"/>
      <c r="BW851" s="161"/>
      <c r="BX851" s="161"/>
      <c r="BY851" s="161"/>
    </row>
    <row r="852" spans="1:77">
      <c r="A852" s="162"/>
      <c r="B852" s="162"/>
      <c r="C852" s="162"/>
      <c r="D852" s="162"/>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c r="AC852" s="162"/>
      <c r="AD852" s="162"/>
      <c r="AE852" s="162"/>
      <c r="AF852" s="162"/>
      <c r="AG852" s="162"/>
      <c r="AH852" s="162"/>
      <c r="AI852" s="162"/>
      <c r="AJ852" s="162"/>
      <c r="AK852" s="162"/>
      <c r="AL852" s="162"/>
      <c r="AM852" s="162"/>
      <c r="AN852" s="162"/>
      <c r="AO852" s="162"/>
      <c r="AP852" s="162"/>
      <c r="AQ852" s="162"/>
      <c r="AR852" s="162"/>
      <c r="AS852" s="162"/>
      <c r="AT852" s="161"/>
      <c r="AU852" s="161"/>
      <c r="AV852" s="161"/>
      <c r="AW852" s="161"/>
      <c r="AX852" s="161"/>
      <c r="AY852" s="161"/>
      <c r="AZ852" s="161"/>
      <c r="BA852" s="161"/>
      <c r="BB852" s="161"/>
      <c r="BC852" s="161"/>
      <c r="BD852" s="161"/>
      <c r="BE852" s="161"/>
      <c r="BF852" s="161"/>
      <c r="BG852" s="161"/>
      <c r="BH852" s="161"/>
      <c r="BI852" s="161"/>
      <c r="BJ852" s="161"/>
      <c r="BK852" s="161"/>
      <c r="BL852" s="161"/>
      <c r="BM852" s="161"/>
      <c r="BN852" s="161"/>
      <c r="BO852" s="161"/>
      <c r="BP852" s="161"/>
      <c r="BQ852" s="161"/>
      <c r="BR852" s="161"/>
      <c r="BS852" s="161"/>
      <c r="BT852" s="161"/>
      <c r="BU852" s="161"/>
      <c r="BV852" s="161"/>
      <c r="BW852" s="161"/>
      <c r="BX852" s="161"/>
      <c r="BY852" s="161"/>
    </row>
    <row r="853" spans="1:77">
      <c r="A853" s="162"/>
      <c r="B853" s="162"/>
      <c r="C853" s="162"/>
      <c r="D853" s="162"/>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c r="AC853" s="162"/>
      <c r="AD853" s="162"/>
      <c r="AE853" s="162"/>
      <c r="AF853" s="162"/>
      <c r="AG853" s="162"/>
      <c r="AH853" s="162"/>
      <c r="AI853" s="162"/>
      <c r="AJ853" s="162"/>
      <c r="AK853" s="162"/>
      <c r="AL853" s="162"/>
      <c r="AM853" s="162"/>
      <c r="AN853" s="162"/>
      <c r="AO853" s="162"/>
      <c r="AP853" s="162"/>
      <c r="AQ853" s="162"/>
      <c r="AR853" s="162"/>
      <c r="AS853" s="162"/>
      <c r="AT853" s="161"/>
      <c r="AU853" s="161"/>
      <c r="AV853" s="161"/>
      <c r="AW853" s="161"/>
      <c r="AX853" s="161"/>
      <c r="AY853" s="161"/>
      <c r="AZ853" s="161"/>
      <c r="BA853" s="161"/>
      <c r="BB853" s="161"/>
      <c r="BC853" s="161"/>
      <c r="BD853" s="161"/>
      <c r="BE853" s="161"/>
      <c r="BF853" s="161"/>
      <c r="BG853" s="161"/>
      <c r="BH853" s="161"/>
      <c r="BI853" s="161"/>
      <c r="BJ853" s="161"/>
      <c r="BK853" s="161"/>
      <c r="BL853" s="161"/>
      <c r="BM853" s="161"/>
      <c r="BN853" s="161"/>
      <c r="BO853" s="161"/>
      <c r="BP853" s="161"/>
      <c r="BQ853" s="161"/>
      <c r="BR853" s="161"/>
      <c r="BS853" s="161"/>
      <c r="BT853" s="161"/>
      <c r="BU853" s="161"/>
      <c r="BV853" s="161"/>
      <c r="BW853" s="161"/>
      <c r="BX853" s="161"/>
      <c r="BY853" s="161"/>
    </row>
    <row r="854" spans="1:77">
      <c r="A854" s="162"/>
      <c r="B854" s="162"/>
      <c r="C854" s="162"/>
      <c r="D854" s="162"/>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c r="AC854" s="162"/>
      <c r="AD854" s="162"/>
      <c r="AE854" s="162"/>
      <c r="AF854" s="162"/>
      <c r="AG854" s="162"/>
      <c r="AH854" s="162"/>
      <c r="AI854" s="162"/>
      <c r="AJ854" s="162"/>
      <c r="AK854" s="162"/>
      <c r="AL854" s="162"/>
      <c r="AM854" s="162"/>
      <c r="AN854" s="162"/>
      <c r="AO854" s="162"/>
      <c r="AP854" s="162"/>
      <c r="AQ854" s="162"/>
      <c r="AR854" s="162"/>
      <c r="AS854" s="162"/>
      <c r="AT854" s="161"/>
      <c r="AU854" s="161"/>
      <c r="AV854" s="161"/>
      <c r="AW854" s="161"/>
      <c r="AX854" s="161"/>
      <c r="AY854" s="161"/>
      <c r="AZ854" s="161"/>
      <c r="BA854" s="161"/>
      <c r="BB854" s="161"/>
      <c r="BC854" s="161"/>
      <c r="BD854" s="161"/>
      <c r="BE854" s="161"/>
      <c r="BF854" s="161"/>
      <c r="BG854" s="161"/>
      <c r="BH854" s="161"/>
      <c r="BI854" s="161"/>
      <c r="BJ854" s="161"/>
      <c r="BK854" s="161"/>
      <c r="BL854" s="161"/>
      <c r="BM854" s="161"/>
      <c r="BN854" s="161"/>
      <c r="BO854" s="161"/>
      <c r="BP854" s="161"/>
      <c r="BQ854" s="161"/>
      <c r="BR854" s="161"/>
      <c r="BS854" s="161"/>
      <c r="BT854" s="161"/>
      <c r="BU854" s="161"/>
      <c r="BV854" s="161"/>
      <c r="BW854" s="161"/>
      <c r="BX854" s="161"/>
      <c r="BY854" s="161"/>
    </row>
    <row r="855" spans="1:77">
      <c r="A855" s="162"/>
      <c r="B855" s="162"/>
      <c r="C855" s="162"/>
      <c r="D855" s="162"/>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c r="AC855" s="162"/>
      <c r="AD855" s="162"/>
      <c r="AE855" s="162"/>
      <c r="AF855" s="162"/>
      <c r="AG855" s="162"/>
      <c r="AH855" s="162"/>
      <c r="AI855" s="162"/>
      <c r="AJ855" s="162"/>
      <c r="AK855" s="162"/>
      <c r="AL855" s="162"/>
      <c r="AM855" s="162"/>
      <c r="AN855" s="162"/>
      <c r="AO855" s="162"/>
      <c r="AP855" s="162"/>
      <c r="AQ855" s="162"/>
      <c r="AR855" s="162"/>
      <c r="AS855" s="162"/>
      <c r="AT855" s="161"/>
      <c r="AU855" s="161"/>
      <c r="AV855" s="161"/>
      <c r="AW855" s="161"/>
      <c r="AX855" s="161"/>
      <c r="AY855" s="161"/>
      <c r="AZ855" s="161"/>
      <c r="BA855" s="161"/>
      <c r="BB855" s="161"/>
      <c r="BC855" s="161"/>
      <c r="BD855" s="161"/>
      <c r="BE855" s="161"/>
      <c r="BF855" s="161"/>
      <c r="BG855" s="161"/>
      <c r="BH855" s="161"/>
      <c r="BI855" s="161"/>
      <c r="BJ855" s="161"/>
      <c r="BK855" s="161"/>
      <c r="BL855" s="161"/>
      <c r="BM855" s="161"/>
      <c r="BN855" s="161"/>
      <c r="BO855" s="161"/>
      <c r="BP855" s="161"/>
      <c r="BQ855" s="161"/>
      <c r="BR855" s="161"/>
      <c r="BS855" s="161"/>
      <c r="BT855" s="161"/>
      <c r="BU855" s="161"/>
      <c r="BV855" s="161"/>
      <c r="BW855" s="161"/>
      <c r="BX855" s="161"/>
      <c r="BY855" s="161"/>
    </row>
    <row r="856" spans="1:77">
      <c r="A856" s="162"/>
      <c r="B856" s="162"/>
      <c r="C856" s="162"/>
      <c r="D856" s="162"/>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c r="AC856" s="162"/>
      <c r="AD856" s="162"/>
      <c r="AE856" s="162"/>
      <c r="AF856" s="162"/>
      <c r="AG856" s="162"/>
      <c r="AH856" s="162"/>
      <c r="AI856" s="162"/>
      <c r="AJ856" s="162"/>
      <c r="AK856" s="162"/>
      <c r="AL856" s="162"/>
      <c r="AM856" s="162"/>
      <c r="AN856" s="162"/>
      <c r="AO856" s="162"/>
      <c r="AP856" s="162"/>
      <c r="AQ856" s="162"/>
      <c r="AR856" s="162"/>
      <c r="AS856" s="162"/>
      <c r="AT856" s="161"/>
      <c r="AU856" s="161"/>
      <c r="AV856" s="161"/>
      <c r="AW856" s="161"/>
      <c r="AX856" s="161"/>
      <c r="AY856" s="161"/>
      <c r="AZ856" s="161"/>
      <c r="BA856" s="161"/>
      <c r="BB856" s="161"/>
      <c r="BC856" s="161"/>
      <c r="BD856" s="161"/>
      <c r="BE856" s="161"/>
      <c r="BF856" s="161"/>
      <c r="BG856" s="161"/>
      <c r="BH856" s="161"/>
      <c r="BI856" s="161"/>
      <c r="BJ856" s="161"/>
      <c r="BK856" s="161"/>
      <c r="BL856" s="161"/>
      <c r="BM856" s="161"/>
      <c r="BN856" s="161"/>
      <c r="BO856" s="161"/>
      <c r="BP856" s="161"/>
      <c r="BQ856" s="161"/>
      <c r="BR856" s="161"/>
      <c r="BS856" s="161"/>
      <c r="BT856" s="161"/>
      <c r="BU856" s="161"/>
      <c r="BV856" s="161"/>
      <c r="BW856" s="161"/>
      <c r="BX856" s="161"/>
      <c r="BY856" s="161"/>
    </row>
    <row r="857" spans="1:77">
      <c r="A857" s="162"/>
      <c r="B857" s="162"/>
      <c r="C857" s="162"/>
      <c r="D857" s="162"/>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c r="AC857" s="162"/>
      <c r="AD857" s="162"/>
      <c r="AE857" s="162"/>
      <c r="AF857" s="162"/>
      <c r="AG857" s="162"/>
      <c r="AH857" s="162"/>
      <c r="AI857" s="162"/>
      <c r="AJ857" s="162"/>
      <c r="AK857" s="162"/>
      <c r="AL857" s="162"/>
      <c r="AM857" s="162"/>
      <c r="AN857" s="162"/>
      <c r="AO857" s="162"/>
      <c r="AP857" s="162"/>
      <c r="AQ857" s="162"/>
      <c r="AR857" s="162"/>
      <c r="AS857" s="162"/>
      <c r="AT857" s="161"/>
      <c r="AU857" s="161"/>
      <c r="AV857" s="161"/>
      <c r="AW857" s="161"/>
      <c r="AX857" s="161"/>
      <c r="AY857" s="161"/>
      <c r="AZ857" s="161"/>
      <c r="BA857" s="161"/>
      <c r="BB857" s="161"/>
      <c r="BC857" s="161"/>
      <c r="BD857" s="161"/>
      <c r="BE857" s="161"/>
      <c r="BF857" s="161"/>
      <c r="BG857" s="161"/>
      <c r="BH857" s="161"/>
      <c r="BI857" s="161"/>
      <c r="BJ857" s="161"/>
      <c r="BK857" s="161"/>
      <c r="BL857" s="161"/>
      <c r="BM857" s="161"/>
      <c r="BN857" s="161"/>
      <c r="BO857" s="161"/>
      <c r="BP857" s="161"/>
      <c r="BQ857" s="161"/>
      <c r="BR857" s="161"/>
      <c r="BS857" s="161"/>
      <c r="BT857" s="161"/>
      <c r="BU857" s="161"/>
      <c r="BV857" s="161"/>
      <c r="BW857" s="161"/>
      <c r="BX857" s="161"/>
      <c r="BY857" s="161"/>
    </row>
    <row r="858" spans="1:77">
      <c r="A858" s="162"/>
      <c r="B858" s="162"/>
      <c r="C858" s="162"/>
      <c r="D858" s="162"/>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c r="AC858" s="162"/>
      <c r="AD858" s="162"/>
      <c r="AE858" s="162"/>
      <c r="AF858" s="162"/>
      <c r="AG858" s="162"/>
      <c r="AH858" s="162"/>
      <c r="AI858" s="162"/>
      <c r="AJ858" s="162"/>
      <c r="AK858" s="162"/>
      <c r="AL858" s="162"/>
      <c r="AM858" s="162"/>
      <c r="AN858" s="162"/>
      <c r="AO858" s="162"/>
      <c r="AP858" s="162"/>
      <c r="AQ858" s="162"/>
      <c r="AR858" s="162"/>
      <c r="AS858" s="162"/>
      <c r="AT858" s="161"/>
      <c r="AU858" s="161"/>
      <c r="AV858" s="161"/>
      <c r="AW858" s="161"/>
      <c r="AX858" s="161"/>
      <c r="AY858" s="161"/>
      <c r="AZ858" s="161"/>
      <c r="BA858" s="161"/>
      <c r="BB858" s="161"/>
      <c r="BC858" s="161"/>
      <c r="BD858" s="161"/>
      <c r="BE858" s="161"/>
      <c r="BF858" s="161"/>
      <c r="BG858" s="161"/>
      <c r="BH858" s="161"/>
      <c r="BI858" s="161"/>
      <c r="BJ858" s="161"/>
      <c r="BK858" s="161"/>
      <c r="BL858" s="161"/>
      <c r="BM858" s="161"/>
      <c r="BN858" s="161"/>
      <c r="BO858" s="161"/>
      <c r="BP858" s="161"/>
      <c r="BQ858" s="161"/>
      <c r="BR858" s="161"/>
      <c r="BS858" s="161"/>
      <c r="BT858" s="161"/>
      <c r="BU858" s="161"/>
      <c r="BV858" s="161"/>
      <c r="BW858" s="161"/>
      <c r="BX858" s="161"/>
      <c r="BY858" s="161"/>
    </row>
    <row r="859" spans="1:77">
      <c r="A859" s="162"/>
      <c r="B859" s="162"/>
      <c r="C859" s="162"/>
      <c r="D859" s="162"/>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c r="AC859" s="162"/>
      <c r="AD859" s="162"/>
      <c r="AE859" s="162"/>
      <c r="AF859" s="162"/>
      <c r="AG859" s="162"/>
      <c r="AH859" s="162"/>
      <c r="AI859" s="162"/>
      <c r="AJ859" s="162"/>
      <c r="AK859" s="162"/>
      <c r="AL859" s="162"/>
      <c r="AM859" s="162"/>
      <c r="AN859" s="162"/>
      <c r="AO859" s="162"/>
      <c r="AP859" s="162"/>
      <c r="AQ859" s="162"/>
      <c r="AR859" s="162"/>
      <c r="AS859" s="162"/>
      <c r="AT859" s="161"/>
      <c r="AU859" s="161"/>
      <c r="AV859" s="161"/>
      <c r="AW859" s="161"/>
      <c r="AX859" s="161"/>
      <c r="AY859" s="161"/>
      <c r="AZ859" s="161"/>
      <c r="BA859" s="161"/>
      <c r="BB859" s="161"/>
      <c r="BC859" s="161"/>
      <c r="BD859" s="161"/>
      <c r="BE859" s="161"/>
      <c r="BF859" s="161"/>
      <c r="BG859" s="161"/>
      <c r="BH859" s="161"/>
      <c r="BI859" s="161"/>
      <c r="BJ859" s="161"/>
      <c r="BK859" s="161"/>
      <c r="BL859" s="161"/>
      <c r="BM859" s="161"/>
      <c r="BN859" s="161"/>
      <c r="BO859" s="161"/>
      <c r="BP859" s="161"/>
      <c r="BQ859" s="161"/>
      <c r="BR859" s="161"/>
      <c r="BS859" s="161"/>
      <c r="BT859" s="161"/>
      <c r="BU859" s="161"/>
      <c r="BV859" s="161"/>
      <c r="BW859" s="161"/>
      <c r="BX859" s="161"/>
      <c r="BY859" s="161"/>
    </row>
    <row r="860" spans="1:77">
      <c r="A860" s="162"/>
      <c r="B860" s="162"/>
      <c r="C860" s="162"/>
      <c r="D860" s="162"/>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c r="AC860" s="162"/>
      <c r="AD860" s="162"/>
      <c r="AE860" s="162"/>
      <c r="AF860" s="162"/>
      <c r="AG860" s="162"/>
      <c r="AH860" s="162"/>
      <c r="AI860" s="162"/>
      <c r="AJ860" s="162"/>
      <c r="AK860" s="162"/>
      <c r="AL860" s="162"/>
      <c r="AM860" s="162"/>
      <c r="AN860" s="162"/>
      <c r="AO860" s="162"/>
      <c r="AP860" s="162"/>
      <c r="AQ860" s="162"/>
      <c r="AR860" s="162"/>
      <c r="AS860" s="162"/>
      <c r="AT860" s="161"/>
      <c r="AU860" s="161"/>
      <c r="AV860" s="161"/>
      <c r="AW860" s="161"/>
      <c r="AX860" s="161"/>
      <c r="AY860" s="161"/>
      <c r="AZ860" s="161"/>
      <c r="BA860" s="161"/>
      <c r="BB860" s="161"/>
      <c r="BC860" s="161"/>
      <c r="BD860" s="161"/>
      <c r="BE860" s="161"/>
      <c r="BF860" s="161"/>
      <c r="BG860" s="161"/>
      <c r="BH860" s="161"/>
      <c r="BI860" s="161"/>
      <c r="BJ860" s="161"/>
      <c r="BK860" s="161"/>
      <c r="BL860" s="161"/>
      <c r="BM860" s="161"/>
      <c r="BN860" s="161"/>
      <c r="BO860" s="161"/>
      <c r="BP860" s="161"/>
      <c r="BQ860" s="161"/>
      <c r="BR860" s="161"/>
      <c r="BS860" s="161"/>
      <c r="BT860" s="161"/>
      <c r="BU860" s="161"/>
      <c r="BV860" s="161"/>
      <c r="BW860" s="161"/>
      <c r="BX860" s="161"/>
      <c r="BY860" s="161"/>
    </row>
    <row r="861" spans="1:77">
      <c r="A861" s="162"/>
      <c r="B861" s="162"/>
      <c r="C861" s="162"/>
      <c r="D861" s="162"/>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c r="AC861" s="162"/>
      <c r="AD861" s="162"/>
      <c r="AE861" s="162"/>
      <c r="AF861" s="162"/>
      <c r="AG861" s="162"/>
      <c r="AH861" s="162"/>
      <c r="AI861" s="162"/>
      <c r="AJ861" s="162"/>
      <c r="AK861" s="162"/>
      <c r="AL861" s="162"/>
      <c r="AM861" s="162"/>
      <c r="AN861" s="162"/>
      <c r="AO861" s="162"/>
      <c r="AP861" s="162"/>
      <c r="AQ861" s="162"/>
      <c r="AR861" s="162"/>
      <c r="AS861" s="162"/>
      <c r="AT861" s="161"/>
      <c r="AU861" s="161"/>
      <c r="AV861" s="161"/>
      <c r="AW861" s="161"/>
      <c r="AX861" s="161"/>
      <c r="AY861" s="161"/>
      <c r="AZ861" s="161"/>
      <c r="BA861" s="161"/>
      <c r="BB861" s="161"/>
      <c r="BC861" s="161"/>
      <c r="BD861" s="161"/>
      <c r="BE861" s="161"/>
      <c r="BF861" s="161"/>
      <c r="BG861" s="161"/>
      <c r="BH861" s="161"/>
      <c r="BI861" s="161"/>
      <c r="BJ861" s="161"/>
      <c r="BK861" s="161"/>
      <c r="BL861" s="161"/>
      <c r="BM861" s="161"/>
      <c r="BN861" s="161"/>
      <c r="BO861" s="161"/>
      <c r="BP861" s="161"/>
      <c r="BQ861" s="161"/>
      <c r="BR861" s="161"/>
      <c r="BS861" s="161"/>
      <c r="BT861" s="161"/>
      <c r="BU861" s="161"/>
      <c r="BV861" s="161"/>
      <c r="BW861" s="161"/>
      <c r="BX861" s="161"/>
      <c r="BY861" s="161"/>
    </row>
    <row r="862" spans="1:77">
      <c r="A862" s="162"/>
      <c r="B862" s="162"/>
      <c r="C862" s="162"/>
      <c r="D862" s="162"/>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c r="AC862" s="162"/>
      <c r="AD862" s="162"/>
      <c r="AE862" s="162"/>
      <c r="AF862" s="162"/>
      <c r="AG862" s="162"/>
      <c r="AH862" s="162"/>
      <c r="AI862" s="162"/>
      <c r="AJ862" s="162"/>
      <c r="AK862" s="162"/>
      <c r="AL862" s="162"/>
      <c r="AM862" s="162"/>
      <c r="AN862" s="162"/>
      <c r="AO862" s="162"/>
      <c r="AP862" s="162"/>
      <c r="AQ862" s="162"/>
      <c r="AR862" s="162"/>
      <c r="AS862" s="162"/>
      <c r="AT862" s="161"/>
      <c r="AU862" s="161"/>
      <c r="AV862" s="161"/>
      <c r="AW862" s="161"/>
      <c r="AX862" s="161"/>
      <c r="AY862" s="161"/>
      <c r="AZ862" s="161"/>
      <c r="BA862" s="161"/>
      <c r="BB862" s="161"/>
      <c r="BC862" s="161"/>
      <c r="BD862" s="161"/>
      <c r="BE862" s="161"/>
      <c r="BF862" s="161"/>
      <c r="BG862" s="161"/>
      <c r="BH862" s="161"/>
      <c r="BI862" s="161"/>
      <c r="BJ862" s="161"/>
      <c r="BK862" s="161"/>
      <c r="BL862" s="161"/>
      <c r="BM862" s="161"/>
      <c r="BN862" s="161"/>
      <c r="BO862" s="161"/>
      <c r="BP862" s="161"/>
      <c r="BQ862" s="161"/>
      <c r="BR862" s="161"/>
      <c r="BS862" s="161"/>
      <c r="BT862" s="161"/>
      <c r="BU862" s="161"/>
      <c r="BV862" s="161"/>
      <c r="BW862" s="161"/>
      <c r="BX862" s="161"/>
      <c r="BY862" s="161"/>
    </row>
    <row r="863" spans="1:77">
      <c r="A863" s="162"/>
      <c r="B863" s="162"/>
      <c r="C863" s="162"/>
      <c r="D863" s="162"/>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c r="AC863" s="162"/>
      <c r="AD863" s="162"/>
      <c r="AE863" s="162"/>
      <c r="AF863" s="162"/>
      <c r="AG863" s="162"/>
      <c r="AH863" s="162"/>
      <c r="AI863" s="162"/>
      <c r="AJ863" s="162"/>
      <c r="AK863" s="162"/>
      <c r="AL863" s="162"/>
      <c r="AM863" s="162"/>
      <c r="AN863" s="162"/>
      <c r="AO863" s="162"/>
      <c r="AP863" s="162"/>
      <c r="AQ863" s="162"/>
      <c r="AR863" s="162"/>
      <c r="AS863" s="162"/>
      <c r="AT863" s="161"/>
      <c r="AU863" s="161"/>
      <c r="AV863" s="161"/>
      <c r="AW863" s="161"/>
      <c r="AX863" s="161"/>
      <c r="AY863" s="161"/>
      <c r="AZ863" s="161"/>
      <c r="BA863" s="161"/>
      <c r="BB863" s="161"/>
      <c r="BC863" s="161"/>
      <c r="BD863" s="161"/>
      <c r="BE863" s="161"/>
      <c r="BF863" s="161"/>
      <c r="BG863" s="161"/>
      <c r="BH863" s="161"/>
      <c r="BI863" s="161"/>
      <c r="BJ863" s="161"/>
      <c r="BK863" s="161"/>
      <c r="BL863" s="161"/>
      <c r="BM863" s="161"/>
      <c r="BN863" s="161"/>
      <c r="BO863" s="161"/>
      <c r="BP863" s="161"/>
      <c r="BQ863" s="161"/>
      <c r="BR863" s="161"/>
      <c r="BS863" s="161"/>
      <c r="BT863" s="161"/>
      <c r="BU863" s="161"/>
      <c r="BV863" s="161"/>
      <c r="BW863" s="161"/>
      <c r="BX863" s="161"/>
      <c r="BY863" s="161"/>
    </row>
    <row r="864" spans="1:77">
      <c r="A864" s="162"/>
      <c r="B864" s="162"/>
      <c r="C864" s="162"/>
      <c r="D864" s="162"/>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c r="AC864" s="162"/>
      <c r="AD864" s="162"/>
      <c r="AE864" s="162"/>
      <c r="AF864" s="162"/>
      <c r="AG864" s="162"/>
      <c r="AH864" s="162"/>
      <c r="AI864" s="162"/>
      <c r="AJ864" s="162"/>
      <c r="AK864" s="162"/>
      <c r="AL864" s="162"/>
      <c r="AM864" s="162"/>
      <c r="AN864" s="162"/>
      <c r="AO864" s="162"/>
      <c r="AP864" s="162"/>
      <c r="AQ864" s="162"/>
      <c r="AR864" s="162"/>
      <c r="AS864" s="162"/>
      <c r="AT864" s="161"/>
      <c r="AU864" s="161"/>
      <c r="AV864" s="161"/>
      <c r="AW864" s="161"/>
      <c r="AX864" s="161"/>
      <c r="AY864" s="161"/>
      <c r="AZ864" s="161"/>
      <c r="BA864" s="161"/>
      <c r="BB864" s="161"/>
      <c r="BC864" s="161"/>
      <c r="BD864" s="161"/>
      <c r="BE864" s="161"/>
      <c r="BF864" s="161"/>
      <c r="BG864" s="161"/>
      <c r="BH864" s="161"/>
      <c r="BI864" s="161"/>
      <c r="BJ864" s="161"/>
      <c r="BK864" s="161"/>
      <c r="BL864" s="161"/>
      <c r="BM864" s="161"/>
      <c r="BN864" s="161"/>
      <c r="BO864" s="161"/>
      <c r="BP864" s="161"/>
      <c r="BQ864" s="161"/>
      <c r="BR864" s="161"/>
      <c r="BS864" s="161"/>
      <c r="BT864" s="161"/>
      <c r="BU864" s="161"/>
      <c r="BV864" s="161"/>
      <c r="BW864" s="161"/>
      <c r="BX864" s="161"/>
      <c r="BY864" s="161"/>
    </row>
    <row r="865" spans="1:77">
      <c r="A865" s="162"/>
      <c r="B865" s="162"/>
      <c r="C865" s="162"/>
      <c r="D865" s="162"/>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c r="AC865" s="162"/>
      <c r="AD865" s="162"/>
      <c r="AE865" s="162"/>
      <c r="AF865" s="162"/>
      <c r="AG865" s="162"/>
      <c r="AH865" s="162"/>
      <c r="AI865" s="162"/>
      <c r="AJ865" s="162"/>
      <c r="AK865" s="162"/>
      <c r="AL865" s="162"/>
      <c r="AM865" s="162"/>
      <c r="AN865" s="162"/>
      <c r="AO865" s="162"/>
      <c r="AP865" s="162"/>
      <c r="AQ865" s="162"/>
      <c r="AR865" s="162"/>
      <c r="AS865" s="162"/>
      <c r="AT865" s="161"/>
      <c r="AU865" s="161"/>
      <c r="AV865" s="161"/>
      <c r="AW865" s="161"/>
      <c r="AX865" s="161"/>
      <c r="AY865" s="161"/>
      <c r="AZ865" s="161"/>
      <c r="BA865" s="161"/>
      <c r="BB865" s="161"/>
      <c r="BC865" s="161"/>
      <c r="BD865" s="161"/>
      <c r="BE865" s="161"/>
      <c r="BF865" s="161"/>
      <c r="BG865" s="161"/>
      <c r="BH865" s="161"/>
      <c r="BI865" s="161"/>
      <c r="BJ865" s="161"/>
      <c r="BK865" s="161"/>
      <c r="BL865" s="161"/>
      <c r="BM865" s="161"/>
      <c r="BN865" s="161"/>
      <c r="BO865" s="161"/>
      <c r="BP865" s="161"/>
      <c r="BQ865" s="161"/>
      <c r="BR865" s="161"/>
      <c r="BS865" s="161"/>
      <c r="BT865" s="161"/>
      <c r="BU865" s="161"/>
      <c r="BV865" s="161"/>
      <c r="BW865" s="161"/>
      <c r="BX865" s="161"/>
      <c r="BY865" s="161"/>
    </row>
    <row r="866" spans="1:77">
      <c r="A866" s="162"/>
      <c r="B866" s="162"/>
      <c r="C866" s="162"/>
      <c r="D866" s="162"/>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c r="AC866" s="162"/>
      <c r="AD866" s="162"/>
      <c r="AE866" s="162"/>
      <c r="AF866" s="162"/>
      <c r="AG866" s="162"/>
      <c r="AH866" s="162"/>
      <c r="AI866" s="162"/>
      <c r="AJ866" s="162"/>
      <c r="AK866" s="162"/>
      <c r="AL866" s="162"/>
      <c r="AM866" s="162"/>
      <c r="AN866" s="162"/>
      <c r="AO866" s="162"/>
      <c r="AP866" s="162"/>
      <c r="AQ866" s="162"/>
      <c r="AR866" s="162"/>
      <c r="AS866" s="162"/>
      <c r="AT866" s="161"/>
      <c r="AU866" s="161"/>
      <c r="AV866" s="161"/>
      <c r="AW866" s="161"/>
      <c r="AX866" s="161"/>
      <c r="AY866" s="161"/>
      <c r="AZ866" s="161"/>
      <c r="BA866" s="161"/>
      <c r="BB866" s="161"/>
      <c r="BC866" s="161"/>
      <c r="BD866" s="161"/>
      <c r="BE866" s="161"/>
      <c r="BF866" s="161"/>
      <c r="BG866" s="161"/>
      <c r="BH866" s="161"/>
      <c r="BI866" s="161"/>
      <c r="BJ866" s="161"/>
      <c r="BK866" s="161"/>
      <c r="BL866" s="161"/>
      <c r="BM866" s="161"/>
      <c r="BN866" s="161"/>
      <c r="BO866" s="161"/>
      <c r="BP866" s="161"/>
      <c r="BQ866" s="161"/>
      <c r="BR866" s="161"/>
      <c r="BS866" s="161"/>
      <c r="BT866" s="161"/>
      <c r="BU866" s="161"/>
      <c r="BV866" s="161"/>
      <c r="BW866" s="161"/>
      <c r="BX866" s="161"/>
      <c r="BY866" s="161"/>
    </row>
    <row r="867" spans="1:77">
      <c r="A867" s="162"/>
      <c r="B867" s="162"/>
      <c r="C867" s="162"/>
      <c r="D867" s="162"/>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c r="AC867" s="162"/>
      <c r="AD867" s="162"/>
      <c r="AE867" s="162"/>
      <c r="AF867" s="162"/>
      <c r="AG867" s="162"/>
      <c r="AH867" s="162"/>
      <c r="AI867" s="162"/>
      <c r="AJ867" s="162"/>
      <c r="AK867" s="162"/>
      <c r="AL867" s="162"/>
      <c r="AM867" s="162"/>
      <c r="AN867" s="162"/>
      <c r="AO867" s="162"/>
      <c r="AP867" s="162"/>
      <c r="AQ867" s="162"/>
      <c r="AR867" s="162"/>
      <c r="AS867" s="162"/>
      <c r="AT867" s="161"/>
      <c r="AU867" s="161"/>
      <c r="AV867" s="161"/>
      <c r="AW867" s="161"/>
      <c r="AX867" s="161"/>
      <c r="AY867" s="161"/>
      <c r="AZ867" s="161"/>
      <c r="BA867" s="161"/>
      <c r="BB867" s="161"/>
      <c r="BC867" s="161"/>
      <c r="BD867" s="161"/>
      <c r="BE867" s="161"/>
      <c r="BF867" s="161"/>
      <c r="BG867" s="161"/>
      <c r="BH867" s="161"/>
      <c r="BI867" s="161"/>
      <c r="BJ867" s="161"/>
      <c r="BK867" s="161"/>
      <c r="BL867" s="161"/>
      <c r="BM867" s="161"/>
      <c r="BN867" s="161"/>
      <c r="BO867" s="161"/>
      <c r="BP867" s="161"/>
      <c r="BQ867" s="161"/>
      <c r="BR867" s="161"/>
      <c r="BS867" s="161"/>
      <c r="BT867" s="161"/>
      <c r="BU867" s="161"/>
      <c r="BV867" s="161"/>
      <c r="BW867" s="161"/>
      <c r="BX867" s="161"/>
      <c r="BY867" s="161"/>
    </row>
    <row r="868" spans="1:77">
      <c r="A868" s="162"/>
      <c r="B868" s="162"/>
      <c r="C868" s="162"/>
      <c r="D868" s="162"/>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c r="AC868" s="162"/>
      <c r="AD868" s="162"/>
      <c r="AE868" s="162"/>
      <c r="AF868" s="162"/>
      <c r="AG868" s="162"/>
      <c r="AH868" s="162"/>
      <c r="AI868" s="162"/>
      <c r="AJ868" s="162"/>
      <c r="AK868" s="162"/>
      <c r="AL868" s="162"/>
      <c r="AM868" s="162"/>
      <c r="AN868" s="162"/>
      <c r="AO868" s="162"/>
      <c r="AP868" s="162"/>
      <c r="AQ868" s="162"/>
      <c r="AR868" s="162"/>
      <c r="AS868" s="162"/>
      <c r="AT868" s="161"/>
      <c r="AU868" s="161"/>
      <c r="AV868" s="161"/>
      <c r="AW868" s="161"/>
      <c r="AX868" s="161"/>
      <c r="AY868" s="161"/>
      <c r="AZ868" s="161"/>
      <c r="BA868" s="161"/>
      <c r="BB868" s="161"/>
      <c r="BC868" s="161"/>
      <c r="BD868" s="161"/>
      <c r="BE868" s="161"/>
      <c r="BF868" s="161"/>
      <c r="BG868" s="161"/>
      <c r="BH868" s="161"/>
      <c r="BI868" s="161"/>
      <c r="BJ868" s="161"/>
      <c r="BK868" s="161"/>
      <c r="BL868" s="161"/>
      <c r="BM868" s="161"/>
      <c r="BN868" s="161"/>
      <c r="BO868" s="161"/>
      <c r="BP868" s="161"/>
      <c r="BQ868" s="161"/>
      <c r="BR868" s="161"/>
      <c r="BS868" s="161"/>
      <c r="BT868" s="161"/>
      <c r="BU868" s="161"/>
      <c r="BV868" s="161"/>
      <c r="BW868" s="161"/>
      <c r="BX868" s="161"/>
      <c r="BY868" s="161"/>
    </row>
    <row r="869" spans="1:77">
      <c r="A869" s="162"/>
      <c r="B869" s="162"/>
      <c r="C869" s="162"/>
      <c r="D869" s="162"/>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c r="AC869" s="162"/>
      <c r="AD869" s="162"/>
      <c r="AE869" s="162"/>
      <c r="AF869" s="162"/>
      <c r="AG869" s="162"/>
      <c r="AH869" s="162"/>
      <c r="AI869" s="162"/>
      <c r="AJ869" s="162"/>
      <c r="AK869" s="162"/>
      <c r="AL869" s="162"/>
      <c r="AM869" s="162"/>
      <c r="AN869" s="162"/>
      <c r="AO869" s="162"/>
      <c r="AP869" s="162"/>
      <c r="AQ869" s="162"/>
      <c r="AR869" s="162"/>
      <c r="AS869" s="162"/>
      <c r="AT869" s="161"/>
      <c r="AU869" s="161"/>
      <c r="AV869" s="161"/>
      <c r="AW869" s="161"/>
      <c r="AX869" s="161"/>
      <c r="AY869" s="161"/>
      <c r="AZ869" s="161"/>
      <c r="BA869" s="161"/>
      <c r="BB869" s="161"/>
      <c r="BC869" s="161"/>
      <c r="BD869" s="161"/>
      <c r="BE869" s="161"/>
      <c r="BF869" s="161"/>
      <c r="BG869" s="161"/>
      <c r="BH869" s="161"/>
      <c r="BI869" s="161"/>
      <c r="BJ869" s="161"/>
      <c r="BK869" s="161"/>
      <c r="BL869" s="161"/>
      <c r="BM869" s="161"/>
      <c r="BN869" s="161"/>
      <c r="BO869" s="161"/>
      <c r="BP869" s="161"/>
      <c r="BQ869" s="161"/>
      <c r="BR869" s="161"/>
      <c r="BS869" s="161"/>
      <c r="BT869" s="161"/>
      <c r="BU869" s="161"/>
      <c r="BV869" s="161"/>
      <c r="BW869" s="161"/>
      <c r="BX869" s="161"/>
      <c r="BY869" s="161"/>
    </row>
    <row r="870" spans="1:77">
      <c r="A870" s="162"/>
      <c r="B870" s="162"/>
      <c r="C870" s="162"/>
      <c r="D870" s="162"/>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c r="AC870" s="162"/>
      <c r="AD870" s="162"/>
      <c r="AE870" s="162"/>
      <c r="AF870" s="162"/>
      <c r="AG870" s="162"/>
      <c r="AH870" s="162"/>
      <c r="AI870" s="162"/>
      <c r="AJ870" s="162"/>
      <c r="AK870" s="162"/>
      <c r="AL870" s="162"/>
      <c r="AM870" s="162"/>
      <c r="AN870" s="162"/>
      <c r="AO870" s="162"/>
      <c r="AP870" s="162"/>
      <c r="AQ870" s="162"/>
      <c r="AR870" s="162"/>
      <c r="AS870" s="162"/>
      <c r="AT870" s="161"/>
      <c r="AU870" s="161"/>
      <c r="AV870" s="161"/>
      <c r="AW870" s="161"/>
      <c r="AX870" s="161"/>
      <c r="AY870" s="161"/>
      <c r="AZ870" s="161"/>
      <c r="BA870" s="161"/>
      <c r="BB870" s="161"/>
      <c r="BC870" s="161"/>
      <c r="BD870" s="161"/>
      <c r="BE870" s="161"/>
      <c r="BF870" s="161"/>
      <c r="BG870" s="161"/>
      <c r="BH870" s="161"/>
      <c r="BI870" s="161"/>
      <c r="BJ870" s="161"/>
      <c r="BK870" s="161"/>
      <c r="BL870" s="161"/>
      <c r="BM870" s="161"/>
      <c r="BN870" s="161"/>
      <c r="BO870" s="161"/>
      <c r="BP870" s="161"/>
      <c r="BQ870" s="161"/>
      <c r="BR870" s="161"/>
      <c r="BS870" s="161"/>
      <c r="BT870" s="161"/>
      <c r="BU870" s="161"/>
      <c r="BV870" s="161"/>
      <c r="BW870" s="161"/>
      <c r="BX870" s="161"/>
      <c r="BY870" s="161"/>
    </row>
    <row r="871" spans="1:77">
      <c r="A871" s="162"/>
      <c r="B871" s="162"/>
      <c r="C871" s="162"/>
      <c r="D871" s="162"/>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c r="AC871" s="162"/>
      <c r="AD871" s="162"/>
      <c r="AE871" s="162"/>
      <c r="AF871" s="162"/>
      <c r="AG871" s="162"/>
      <c r="AH871" s="162"/>
      <c r="AI871" s="162"/>
      <c r="AJ871" s="162"/>
      <c r="AK871" s="162"/>
      <c r="AL871" s="162"/>
      <c r="AM871" s="162"/>
      <c r="AN871" s="162"/>
      <c r="AO871" s="162"/>
      <c r="AP871" s="162"/>
      <c r="AQ871" s="162"/>
      <c r="AR871" s="162"/>
      <c r="AS871" s="162"/>
      <c r="AT871" s="161"/>
      <c r="AU871" s="161"/>
      <c r="AV871" s="161"/>
      <c r="AW871" s="161"/>
      <c r="AX871" s="161"/>
      <c r="AY871" s="161"/>
      <c r="AZ871" s="161"/>
      <c r="BA871" s="161"/>
      <c r="BB871" s="161"/>
      <c r="BC871" s="161"/>
      <c r="BD871" s="161"/>
      <c r="BE871" s="161"/>
      <c r="BF871" s="161"/>
      <c r="BG871" s="161"/>
      <c r="BH871" s="161"/>
      <c r="BI871" s="161"/>
      <c r="BJ871" s="161"/>
      <c r="BK871" s="161"/>
      <c r="BL871" s="161"/>
      <c r="BM871" s="161"/>
      <c r="BN871" s="161"/>
      <c r="BO871" s="161"/>
      <c r="BP871" s="161"/>
      <c r="BQ871" s="161"/>
      <c r="BR871" s="161"/>
      <c r="BS871" s="161"/>
      <c r="BT871" s="161"/>
      <c r="BU871" s="161"/>
      <c r="BV871" s="161"/>
      <c r="BW871" s="161"/>
      <c r="BX871" s="161"/>
      <c r="BY871" s="161"/>
    </row>
    <row r="872" spans="1:77">
      <c r="A872" s="162"/>
      <c r="B872" s="162"/>
      <c r="C872" s="162"/>
      <c r="D872" s="162"/>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c r="AC872" s="162"/>
      <c r="AD872" s="162"/>
      <c r="AE872" s="162"/>
      <c r="AF872" s="162"/>
      <c r="AG872" s="162"/>
      <c r="AH872" s="162"/>
      <c r="AI872" s="162"/>
      <c r="AJ872" s="162"/>
      <c r="AK872" s="162"/>
      <c r="AL872" s="162"/>
      <c r="AM872" s="162"/>
      <c r="AN872" s="162"/>
      <c r="AO872" s="162"/>
      <c r="AP872" s="162"/>
      <c r="AQ872" s="162"/>
      <c r="AR872" s="162"/>
      <c r="AS872" s="162"/>
      <c r="AT872" s="161"/>
      <c r="AU872" s="161"/>
      <c r="AV872" s="161"/>
      <c r="AW872" s="161"/>
      <c r="AX872" s="161"/>
      <c r="AY872" s="161"/>
      <c r="AZ872" s="161"/>
      <c r="BA872" s="161"/>
      <c r="BB872" s="161"/>
      <c r="BC872" s="161"/>
      <c r="BD872" s="161"/>
      <c r="BE872" s="161"/>
      <c r="BF872" s="161"/>
      <c r="BG872" s="161"/>
      <c r="BH872" s="161"/>
      <c r="BI872" s="161"/>
      <c r="BJ872" s="161"/>
      <c r="BK872" s="161"/>
      <c r="BL872" s="161"/>
      <c r="BM872" s="161"/>
      <c r="BN872" s="161"/>
      <c r="BO872" s="161"/>
      <c r="BP872" s="161"/>
      <c r="BQ872" s="161"/>
      <c r="BR872" s="161"/>
      <c r="BS872" s="161"/>
      <c r="BT872" s="161"/>
      <c r="BU872" s="161"/>
      <c r="BV872" s="161"/>
      <c r="BW872" s="161"/>
      <c r="BX872" s="161"/>
      <c r="BY872" s="161"/>
    </row>
    <row r="873" spans="1:77">
      <c r="A873" s="162"/>
      <c r="B873" s="162"/>
      <c r="C873" s="162"/>
      <c r="D873" s="162"/>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c r="AC873" s="162"/>
      <c r="AD873" s="162"/>
      <c r="AE873" s="162"/>
      <c r="AF873" s="162"/>
      <c r="AG873" s="162"/>
      <c r="AH873" s="162"/>
      <c r="AI873" s="162"/>
      <c r="AJ873" s="162"/>
      <c r="AK873" s="162"/>
      <c r="AL873" s="162"/>
      <c r="AM873" s="162"/>
      <c r="AN873" s="162"/>
      <c r="AO873" s="162"/>
      <c r="AP873" s="162"/>
      <c r="AQ873" s="162"/>
      <c r="AR873" s="162"/>
      <c r="AS873" s="162"/>
      <c r="AT873" s="161"/>
      <c r="AU873" s="161"/>
      <c r="AV873" s="161"/>
      <c r="AW873" s="161"/>
      <c r="AX873" s="161"/>
      <c r="AY873" s="161"/>
      <c r="AZ873" s="161"/>
      <c r="BA873" s="161"/>
      <c r="BB873" s="161"/>
      <c r="BC873" s="161"/>
      <c r="BD873" s="161"/>
      <c r="BE873" s="161"/>
      <c r="BF873" s="161"/>
      <c r="BG873" s="161"/>
      <c r="BH873" s="161"/>
      <c r="BI873" s="161"/>
      <c r="BJ873" s="161"/>
      <c r="BK873" s="161"/>
      <c r="BL873" s="161"/>
      <c r="BM873" s="161"/>
      <c r="BN873" s="161"/>
      <c r="BO873" s="161"/>
      <c r="BP873" s="161"/>
      <c r="BQ873" s="161"/>
      <c r="BR873" s="161"/>
      <c r="BS873" s="161"/>
      <c r="BT873" s="161"/>
      <c r="BU873" s="161"/>
      <c r="BV873" s="161"/>
      <c r="BW873" s="161"/>
      <c r="BX873" s="161"/>
      <c r="BY873" s="161"/>
    </row>
    <row r="874" spans="1:77">
      <c r="A874" s="162"/>
      <c r="B874" s="162"/>
      <c r="C874" s="162"/>
      <c r="D874" s="162"/>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c r="AC874" s="162"/>
      <c r="AD874" s="162"/>
      <c r="AE874" s="162"/>
      <c r="AF874" s="162"/>
      <c r="AG874" s="162"/>
      <c r="AH874" s="162"/>
      <c r="AI874" s="162"/>
      <c r="AJ874" s="162"/>
      <c r="AK874" s="162"/>
      <c r="AL874" s="162"/>
      <c r="AM874" s="162"/>
      <c r="AN874" s="162"/>
      <c r="AO874" s="162"/>
      <c r="AP874" s="162"/>
      <c r="AQ874" s="162"/>
      <c r="AR874" s="162"/>
      <c r="AS874" s="162"/>
      <c r="AT874" s="161"/>
      <c r="AU874" s="161"/>
      <c r="AV874" s="161"/>
      <c r="AW874" s="161"/>
      <c r="AX874" s="161"/>
      <c r="AY874" s="161"/>
      <c r="AZ874" s="161"/>
      <c r="BA874" s="161"/>
      <c r="BB874" s="161"/>
      <c r="BC874" s="161"/>
      <c r="BD874" s="161"/>
      <c r="BE874" s="161"/>
      <c r="BF874" s="161"/>
      <c r="BG874" s="161"/>
      <c r="BH874" s="161"/>
      <c r="BI874" s="161"/>
      <c r="BJ874" s="161"/>
      <c r="BK874" s="161"/>
      <c r="BL874" s="161"/>
      <c r="BM874" s="161"/>
      <c r="BN874" s="161"/>
      <c r="BO874" s="161"/>
      <c r="BP874" s="161"/>
      <c r="BQ874" s="161"/>
      <c r="BR874" s="161"/>
      <c r="BS874" s="161"/>
      <c r="BT874" s="161"/>
      <c r="BU874" s="161"/>
      <c r="BV874" s="161"/>
      <c r="BW874" s="161"/>
      <c r="BX874" s="161"/>
      <c r="BY874" s="161"/>
    </row>
    <row r="875" spans="1:77">
      <c r="A875" s="162"/>
      <c r="B875" s="162"/>
      <c r="C875" s="162"/>
      <c r="D875" s="162"/>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c r="AC875" s="162"/>
      <c r="AD875" s="162"/>
      <c r="AE875" s="162"/>
      <c r="AF875" s="162"/>
      <c r="AG875" s="162"/>
      <c r="AH875" s="162"/>
      <c r="AI875" s="162"/>
      <c r="AJ875" s="162"/>
      <c r="AK875" s="162"/>
      <c r="AL875" s="162"/>
      <c r="AM875" s="162"/>
      <c r="AN875" s="162"/>
      <c r="AO875" s="162"/>
      <c r="AP875" s="162"/>
      <c r="AQ875" s="162"/>
      <c r="AR875" s="162"/>
      <c r="AS875" s="162"/>
      <c r="AT875" s="161"/>
      <c r="AU875" s="161"/>
      <c r="AV875" s="161"/>
      <c r="AW875" s="161"/>
      <c r="AX875" s="161"/>
      <c r="AY875" s="161"/>
      <c r="AZ875" s="161"/>
      <c r="BA875" s="161"/>
      <c r="BB875" s="161"/>
      <c r="BC875" s="161"/>
      <c r="BD875" s="161"/>
      <c r="BE875" s="161"/>
      <c r="BF875" s="161"/>
      <c r="BG875" s="161"/>
      <c r="BH875" s="161"/>
      <c r="BI875" s="161"/>
      <c r="BJ875" s="161"/>
      <c r="BK875" s="161"/>
      <c r="BL875" s="161"/>
      <c r="BM875" s="161"/>
      <c r="BN875" s="161"/>
      <c r="BO875" s="161"/>
      <c r="BP875" s="161"/>
      <c r="BQ875" s="161"/>
      <c r="BR875" s="161"/>
      <c r="BS875" s="161"/>
      <c r="BT875" s="161"/>
      <c r="BU875" s="161"/>
      <c r="BV875" s="161"/>
      <c r="BW875" s="161"/>
      <c r="BX875" s="161"/>
      <c r="BY875" s="161"/>
    </row>
    <row r="876" spans="1:77">
      <c r="A876" s="162"/>
      <c r="B876" s="162"/>
      <c r="C876" s="162"/>
      <c r="D876" s="162"/>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c r="AC876" s="162"/>
      <c r="AD876" s="162"/>
      <c r="AE876" s="162"/>
      <c r="AF876" s="162"/>
      <c r="AG876" s="162"/>
      <c r="AH876" s="162"/>
      <c r="AI876" s="162"/>
      <c r="AJ876" s="162"/>
      <c r="AK876" s="162"/>
      <c r="AL876" s="162"/>
      <c r="AM876" s="162"/>
      <c r="AN876" s="162"/>
      <c r="AO876" s="162"/>
      <c r="AP876" s="162"/>
      <c r="AQ876" s="162"/>
      <c r="AR876" s="162"/>
      <c r="AS876" s="162"/>
      <c r="AT876" s="161"/>
      <c r="AU876" s="161"/>
      <c r="AV876" s="161"/>
      <c r="AW876" s="161"/>
      <c r="AX876" s="161"/>
      <c r="AY876" s="161"/>
      <c r="AZ876" s="161"/>
      <c r="BA876" s="161"/>
      <c r="BB876" s="161"/>
      <c r="BC876" s="161"/>
      <c r="BD876" s="161"/>
      <c r="BE876" s="161"/>
      <c r="BF876" s="161"/>
      <c r="BG876" s="161"/>
      <c r="BH876" s="161"/>
      <c r="BI876" s="161"/>
      <c r="BJ876" s="161"/>
      <c r="BK876" s="161"/>
      <c r="BL876" s="161"/>
      <c r="BM876" s="161"/>
      <c r="BN876" s="161"/>
      <c r="BO876" s="161"/>
      <c r="BP876" s="161"/>
      <c r="BQ876" s="161"/>
      <c r="BR876" s="161"/>
      <c r="BS876" s="161"/>
      <c r="BT876" s="161"/>
      <c r="BU876" s="161"/>
      <c r="BV876" s="161"/>
      <c r="BW876" s="161"/>
      <c r="BX876" s="161"/>
      <c r="BY876" s="161"/>
    </row>
    <row r="877" spans="1:77">
      <c r="A877" s="162"/>
      <c r="B877" s="162"/>
      <c r="C877" s="162"/>
      <c r="D877" s="162"/>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c r="AC877" s="162"/>
      <c r="AD877" s="162"/>
      <c r="AE877" s="162"/>
      <c r="AF877" s="162"/>
      <c r="AG877" s="162"/>
      <c r="AH877" s="162"/>
      <c r="AI877" s="162"/>
      <c r="AJ877" s="162"/>
      <c r="AK877" s="162"/>
      <c r="AL877" s="162"/>
      <c r="AM877" s="162"/>
      <c r="AN877" s="162"/>
      <c r="AO877" s="162"/>
      <c r="AP877" s="162"/>
      <c r="AQ877" s="162"/>
      <c r="AR877" s="162"/>
      <c r="AS877" s="162"/>
      <c r="AT877" s="161"/>
      <c r="AU877" s="161"/>
      <c r="AV877" s="161"/>
      <c r="AW877" s="161"/>
      <c r="AX877" s="161"/>
      <c r="AY877" s="161"/>
      <c r="AZ877" s="161"/>
      <c r="BA877" s="161"/>
      <c r="BB877" s="161"/>
      <c r="BC877" s="161"/>
      <c r="BD877" s="161"/>
      <c r="BE877" s="161"/>
      <c r="BF877" s="161"/>
      <c r="BG877" s="161"/>
      <c r="BH877" s="161"/>
      <c r="BI877" s="161"/>
      <c r="BJ877" s="161"/>
      <c r="BK877" s="161"/>
      <c r="BL877" s="161"/>
      <c r="BM877" s="161"/>
      <c r="BN877" s="161"/>
      <c r="BO877" s="161"/>
      <c r="BP877" s="161"/>
      <c r="BQ877" s="161"/>
      <c r="BR877" s="161"/>
      <c r="BS877" s="161"/>
      <c r="BT877" s="161"/>
      <c r="BU877" s="161"/>
      <c r="BV877" s="161"/>
      <c r="BW877" s="161"/>
      <c r="BX877" s="161"/>
      <c r="BY877" s="161"/>
    </row>
    <row r="878" spans="1:77">
      <c r="A878" s="162"/>
      <c r="B878" s="162"/>
      <c r="C878" s="162"/>
      <c r="D878" s="162"/>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c r="AC878" s="162"/>
      <c r="AD878" s="162"/>
      <c r="AE878" s="162"/>
      <c r="AF878" s="162"/>
      <c r="AG878" s="162"/>
      <c r="AH878" s="162"/>
      <c r="AI878" s="162"/>
      <c r="AJ878" s="162"/>
      <c r="AK878" s="162"/>
      <c r="AL878" s="162"/>
      <c r="AM878" s="162"/>
      <c r="AN878" s="162"/>
      <c r="AO878" s="162"/>
      <c r="AP878" s="162"/>
      <c r="AQ878" s="162"/>
      <c r="AR878" s="162"/>
      <c r="AS878" s="162"/>
      <c r="AT878" s="161"/>
      <c r="AU878" s="161"/>
      <c r="AV878" s="161"/>
      <c r="AW878" s="161"/>
      <c r="AX878" s="161"/>
      <c r="AY878" s="161"/>
      <c r="AZ878" s="161"/>
      <c r="BA878" s="161"/>
      <c r="BB878" s="161"/>
      <c r="BC878" s="161"/>
      <c r="BD878" s="161"/>
      <c r="BE878" s="161"/>
      <c r="BF878" s="161"/>
      <c r="BG878" s="161"/>
      <c r="BH878" s="161"/>
      <c r="BI878" s="161"/>
      <c r="BJ878" s="161"/>
      <c r="BK878" s="161"/>
      <c r="BL878" s="161"/>
      <c r="BM878" s="161"/>
      <c r="BN878" s="161"/>
      <c r="BO878" s="161"/>
      <c r="BP878" s="161"/>
      <c r="BQ878" s="161"/>
      <c r="BR878" s="161"/>
      <c r="BS878" s="161"/>
      <c r="BT878" s="161"/>
      <c r="BU878" s="161"/>
      <c r="BV878" s="161"/>
      <c r="BW878" s="161"/>
      <c r="BX878" s="161"/>
      <c r="BY878" s="161"/>
    </row>
    <row r="879" spans="1:77">
      <c r="A879" s="162"/>
      <c r="B879" s="162"/>
      <c r="C879" s="162"/>
      <c r="D879" s="162"/>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c r="AC879" s="162"/>
      <c r="AD879" s="162"/>
      <c r="AE879" s="162"/>
      <c r="AF879" s="162"/>
      <c r="AG879" s="162"/>
      <c r="AH879" s="162"/>
      <c r="AI879" s="162"/>
      <c r="AJ879" s="162"/>
      <c r="AK879" s="162"/>
      <c r="AL879" s="162"/>
      <c r="AM879" s="162"/>
      <c r="AN879" s="162"/>
      <c r="AO879" s="162"/>
      <c r="AP879" s="162"/>
      <c r="AQ879" s="162"/>
      <c r="AR879" s="162"/>
      <c r="AS879" s="162"/>
      <c r="AT879" s="161"/>
      <c r="AU879" s="161"/>
      <c r="AV879" s="161"/>
      <c r="AW879" s="161"/>
      <c r="AX879" s="161"/>
      <c r="AY879" s="161"/>
      <c r="AZ879" s="161"/>
      <c r="BA879" s="161"/>
      <c r="BB879" s="161"/>
      <c r="BC879" s="161"/>
      <c r="BD879" s="161"/>
      <c r="BE879" s="161"/>
      <c r="BF879" s="161"/>
      <c r="BG879" s="161"/>
      <c r="BH879" s="161"/>
      <c r="BI879" s="161"/>
      <c r="BJ879" s="161"/>
      <c r="BK879" s="161"/>
      <c r="BL879" s="161"/>
      <c r="BM879" s="161"/>
      <c r="BN879" s="161"/>
      <c r="BO879" s="161"/>
      <c r="BP879" s="161"/>
      <c r="BQ879" s="161"/>
      <c r="BR879" s="161"/>
      <c r="BS879" s="161"/>
      <c r="BT879" s="161"/>
      <c r="BU879" s="161"/>
      <c r="BV879" s="161"/>
      <c r="BW879" s="161"/>
      <c r="BX879" s="161"/>
      <c r="BY879" s="161"/>
    </row>
    <row r="880" spans="1:77">
      <c r="A880" s="162"/>
      <c r="B880" s="162"/>
      <c r="C880" s="162"/>
      <c r="D880" s="162"/>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c r="AC880" s="162"/>
      <c r="AD880" s="162"/>
      <c r="AE880" s="162"/>
      <c r="AF880" s="162"/>
      <c r="AG880" s="162"/>
      <c r="AH880" s="162"/>
      <c r="AI880" s="162"/>
      <c r="AJ880" s="162"/>
      <c r="AK880" s="162"/>
      <c r="AL880" s="162"/>
      <c r="AM880" s="162"/>
      <c r="AN880" s="162"/>
      <c r="AO880" s="162"/>
      <c r="AP880" s="162"/>
      <c r="AQ880" s="162"/>
      <c r="AR880" s="162"/>
      <c r="AS880" s="162"/>
      <c r="AT880" s="161"/>
      <c r="AU880" s="161"/>
      <c r="AV880" s="161"/>
      <c r="AW880" s="161"/>
      <c r="AX880" s="161"/>
      <c r="AY880" s="161"/>
      <c r="AZ880" s="161"/>
      <c r="BA880" s="161"/>
      <c r="BB880" s="161"/>
      <c r="BC880" s="161"/>
      <c r="BD880" s="161"/>
      <c r="BE880" s="161"/>
      <c r="BF880" s="161"/>
      <c r="BG880" s="161"/>
      <c r="BH880" s="161"/>
      <c r="BI880" s="161"/>
      <c r="BJ880" s="161"/>
      <c r="BK880" s="161"/>
      <c r="BL880" s="161"/>
      <c r="BM880" s="161"/>
      <c r="BN880" s="161"/>
      <c r="BO880" s="161"/>
      <c r="BP880" s="161"/>
      <c r="BQ880" s="161"/>
      <c r="BR880" s="161"/>
      <c r="BS880" s="161"/>
      <c r="BT880" s="161"/>
      <c r="BU880" s="161"/>
      <c r="BV880" s="161"/>
      <c r="BW880" s="161"/>
      <c r="BX880" s="161"/>
      <c r="BY880" s="161"/>
    </row>
    <row r="881" spans="1:77">
      <c r="A881" s="162"/>
      <c r="B881" s="162"/>
      <c r="C881" s="162"/>
      <c r="D881" s="162"/>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c r="AC881" s="162"/>
      <c r="AD881" s="162"/>
      <c r="AE881" s="162"/>
      <c r="AF881" s="162"/>
      <c r="AG881" s="162"/>
      <c r="AH881" s="162"/>
      <c r="AI881" s="162"/>
      <c r="AJ881" s="162"/>
      <c r="AK881" s="162"/>
      <c r="AL881" s="162"/>
      <c r="AM881" s="162"/>
      <c r="AN881" s="162"/>
      <c r="AO881" s="162"/>
      <c r="AP881" s="162"/>
      <c r="AQ881" s="162"/>
      <c r="AR881" s="162"/>
      <c r="AS881" s="162"/>
      <c r="AT881" s="161"/>
      <c r="AU881" s="161"/>
      <c r="AV881" s="161"/>
      <c r="AW881" s="161"/>
      <c r="AX881" s="161"/>
      <c r="AY881" s="161"/>
      <c r="AZ881" s="161"/>
      <c r="BA881" s="161"/>
      <c r="BB881" s="161"/>
      <c r="BC881" s="161"/>
      <c r="BD881" s="161"/>
      <c r="BE881" s="161"/>
      <c r="BF881" s="161"/>
      <c r="BG881" s="161"/>
      <c r="BH881" s="161"/>
      <c r="BI881" s="161"/>
      <c r="BJ881" s="161"/>
      <c r="BK881" s="161"/>
      <c r="BL881" s="161"/>
      <c r="BM881" s="161"/>
      <c r="BN881" s="161"/>
      <c r="BO881" s="161"/>
      <c r="BP881" s="161"/>
      <c r="BQ881" s="161"/>
      <c r="BR881" s="161"/>
      <c r="BS881" s="161"/>
      <c r="BT881" s="161"/>
      <c r="BU881" s="161"/>
      <c r="BV881" s="161"/>
      <c r="BW881" s="161"/>
      <c r="BX881" s="161"/>
      <c r="BY881" s="161"/>
    </row>
    <row r="882" spans="1:77">
      <c r="A882" s="162"/>
      <c r="B882" s="162"/>
      <c r="C882" s="162"/>
      <c r="D882" s="162"/>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c r="AC882" s="162"/>
      <c r="AD882" s="162"/>
      <c r="AE882" s="162"/>
      <c r="AF882" s="162"/>
      <c r="AG882" s="162"/>
      <c r="AH882" s="162"/>
      <c r="AI882" s="162"/>
      <c r="AJ882" s="162"/>
      <c r="AK882" s="162"/>
      <c r="AL882" s="162"/>
      <c r="AM882" s="162"/>
      <c r="AN882" s="162"/>
      <c r="AO882" s="162"/>
      <c r="AP882" s="162"/>
      <c r="AQ882" s="162"/>
      <c r="AR882" s="162"/>
      <c r="AS882" s="162"/>
      <c r="AT882" s="161"/>
      <c r="AU882" s="161"/>
      <c r="AV882" s="161"/>
      <c r="AW882" s="161"/>
      <c r="AX882" s="161"/>
      <c r="AY882" s="161"/>
      <c r="AZ882" s="161"/>
      <c r="BA882" s="161"/>
      <c r="BB882" s="161"/>
      <c r="BC882" s="161"/>
      <c r="BD882" s="161"/>
      <c r="BE882" s="161"/>
      <c r="BF882" s="161"/>
      <c r="BG882" s="161"/>
      <c r="BH882" s="161"/>
      <c r="BI882" s="161"/>
      <c r="BJ882" s="161"/>
      <c r="BK882" s="161"/>
      <c r="BL882" s="161"/>
      <c r="BM882" s="161"/>
      <c r="BN882" s="161"/>
      <c r="BO882" s="161"/>
      <c r="BP882" s="161"/>
      <c r="BQ882" s="161"/>
      <c r="BR882" s="161"/>
      <c r="BS882" s="161"/>
      <c r="BT882" s="161"/>
      <c r="BU882" s="161"/>
      <c r="BV882" s="161"/>
      <c r="BW882" s="161"/>
      <c r="BX882" s="161"/>
      <c r="BY882" s="161"/>
    </row>
    <row r="883" spans="1:77">
      <c r="A883" s="162"/>
      <c r="B883" s="162"/>
      <c r="C883" s="162"/>
      <c r="D883" s="162"/>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c r="AC883" s="162"/>
      <c r="AD883" s="162"/>
      <c r="AE883" s="162"/>
      <c r="AF883" s="162"/>
      <c r="AG883" s="162"/>
      <c r="AH883" s="162"/>
      <c r="AI883" s="162"/>
      <c r="AJ883" s="162"/>
      <c r="AK883" s="162"/>
      <c r="AL883" s="162"/>
      <c r="AM883" s="162"/>
      <c r="AN883" s="162"/>
      <c r="AO883" s="162"/>
      <c r="AP883" s="162"/>
      <c r="AQ883" s="162"/>
      <c r="AR883" s="162"/>
      <c r="AS883" s="162"/>
      <c r="AT883" s="161"/>
      <c r="AU883" s="161"/>
      <c r="AV883" s="161"/>
      <c r="AW883" s="161"/>
      <c r="AX883" s="161"/>
      <c r="AY883" s="161"/>
      <c r="AZ883" s="161"/>
      <c r="BA883" s="161"/>
      <c r="BB883" s="161"/>
      <c r="BC883" s="161"/>
      <c r="BD883" s="161"/>
      <c r="BE883" s="161"/>
      <c r="BF883" s="161"/>
      <c r="BG883" s="161"/>
      <c r="BH883" s="161"/>
      <c r="BI883" s="161"/>
      <c r="BJ883" s="161"/>
      <c r="BK883" s="161"/>
      <c r="BL883" s="161"/>
      <c r="BM883" s="161"/>
      <c r="BN883" s="161"/>
      <c r="BO883" s="161"/>
      <c r="BP883" s="161"/>
      <c r="BQ883" s="161"/>
      <c r="BR883" s="161"/>
      <c r="BS883" s="161"/>
      <c r="BT883" s="161"/>
      <c r="BU883" s="161"/>
      <c r="BV883" s="161"/>
      <c r="BW883" s="161"/>
      <c r="BX883" s="161"/>
      <c r="BY883" s="161"/>
    </row>
    <row r="884" spans="1:77">
      <c r="A884" s="162"/>
      <c r="B884" s="162"/>
      <c r="C884" s="162"/>
      <c r="D884" s="162"/>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c r="AC884" s="162"/>
      <c r="AD884" s="162"/>
      <c r="AE884" s="162"/>
      <c r="AF884" s="162"/>
      <c r="AG884" s="162"/>
      <c r="AH884" s="162"/>
      <c r="AI884" s="162"/>
      <c r="AJ884" s="162"/>
      <c r="AK884" s="162"/>
      <c r="AL884" s="162"/>
      <c r="AM884" s="162"/>
      <c r="AN884" s="162"/>
      <c r="AO884" s="162"/>
      <c r="AP884" s="162"/>
      <c r="AQ884" s="162"/>
      <c r="AR884" s="162"/>
      <c r="AS884" s="162"/>
      <c r="AT884" s="161"/>
      <c r="AU884" s="161"/>
      <c r="AV884" s="161"/>
      <c r="AW884" s="161"/>
      <c r="AX884" s="161"/>
      <c r="AY884" s="161"/>
      <c r="AZ884" s="161"/>
      <c r="BA884" s="161"/>
      <c r="BB884" s="161"/>
      <c r="BC884" s="161"/>
      <c r="BD884" s="161"/>
      <c r="BE884" s="161"/>
      <c r="BF884" s="161"/>
      <c r="BG884" s="161"/>
      <c r="BH884" s="161"/>
      <c r="BI884" s="161"/>
      <c r="BJ884" s="161"/>
      <c r="BK884" s="161"/>
      <c r="BL884" s="161"/>
      <c r="BM884" s="161"/>
      <c r="BN884" s="161"/>
      <c r="BO884" s="161"/>
      <c r="BP884" s="161"/>
      <c r="BQ884" s="161"/>
      <c r="BR884" s="161"/>
      <c r="BS884" s="161"/>
      <c r="BT884" s="161"/>
      <c r="BU884" s="161"/>
      <c r="BV884" s="161"/>
      <c r="BW884" s="161"/>
      <c r="BX884" s="161"/>
      <c r="BY884" s="161"/>
    </row>
    <row r="885" spans="1:77">
      <c r="A885" s="162"/>
      <c r="B885" s="162"/>
      <c r="C885" s="162"/>
      <c r="D885" s="162"/>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c r="AC885" s="162"/>
      <c r="AD885" s="162"/>
      <c r="AE885" s="162"/>
      <c r="AF885" s="162"/>
      <c r="AG885" s="162"/>
      <c r="AH885" s="162"/>
      <c r="AI885" s="162"/>
      <c r="AJ885" s="162"/>
      <c r="AK885" s="162"/>
      <c r="AL885" s="162"/>
      <c r="AM885" s="162"/>
      <c r="AN885" s="162"/>
      <c r="AO885" s="162"/>
      <c r="AP885" s="162"/>
      <c r="AQ885" s="162"/>
      <c r="AR885" s="162"/>
      <c r="AS885" s="162"/>
      <c r="AT885" s="161"/>
      <c r="AU885" s="161"/>
      <c r="AV885" s="161"/>
      <c r="AW885" s="161"/>
      <c r="AX885" s="161"/>
      <c r="AY885" s="161"/>
      <c r="AZ885" s="161"/>
      <c r="BA885" s="161"/>
      <c r="BB885" s="161"/>
      <c r="BC885" s="161"/>
      <c r="BD885" s="161"/>
      <c r="BE885" s="161"/>
      <c r="BF885" s="161"/>
      <c r="BG885" s="161"/>
      <c r="BH885" s="161"/>
      <c r="BI885" s="161"/>
      <c r="BJ885" s="161"/>
      <c r="BK885" s="161"/>
      <c r="BL885" s="161"/>
      <c r="BM885" s="161"/>
      <c r="BN885" s="161"/>
      <c r="BO885" s="161"/>
      <c r="BP885" s="161"/>
      <c r="BQ885" s="161"/>
      <c r="BR885" s="161"/>
      <c r="BS885" s="161"/>
      <c r="BT885" s="161"/>
      <c r="BU885" s="161"/>
      <c r="BV885" s="161"/>
      <c r="BW885" s="161"/>
      <c r="BX885" s="161"/>
      <c r="BY885" s="161"/>
    </row>
    <row r="886" spans="1:77">
      <c r="A886" s="162"/>
      <c r="B886" s="162"/>
      <c r="C886" s="162"/>
      <c r="D886" s="162"/>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c r="AC886" s="162"/>
      <c r="AD886" s="162"/>
      <c r="AE886" s="162"/>
      <c r="AF886" s="162"/>
      <c r="AG886" s="162"/>
      <c r="AH886" s="162"/>
      <c r="AI886" s="162"/>
      <c r="AJ886" s="162"/>
      <c r="AK886" s="162"/>
      <c r="AL886" s="162"/>
      <c r="AM886" s="162"/>
      <c r="AN886" s="162"/>
      <c r="AO886" s="162"/>
      <c r="AP886" s="162"/>
      <c r="AQ886" s="162"/>
      <c r="AR886" s="162"/>
      <c r="AS886" s="162"/>
      <c r="AT886" s="161"/>
      <c r="AU886" s="161"/>
      <c r="AV886" s="161"/>
      <c r="AW886" s="161"/>
      <c r="AX886" s="161"/>
      <c r="AY886" s="161"/>
      <c r="AZ886" s="161"/>
      <c r="BA886" s="161"/>
      <c r="BB886" s="161"/>
      <c r="BC886" s="161"/>
      <c r="BD886" s="161"/>
      <c r="BE886" s="161"/>
      <c r="BF886" s="161"/>
      <c r="BG886" s="161"/>
      <c r="BH886" s="161"/>
      <c r="BI886" s="161"/>
      <c r="BJ886" s="161"/>
      <c r="BK886" s="161"/>
      <c r="BL886" s="161"/>
      <c r="BM886" s="161"/>
      <c r="BN886" s="161"/>
      <c r="BO886" s="161"/>
      <c r="BP886" s="161"/>
      <c r="BQ886" s="161"/>
      <c r="BR886" s="161"/>
      <c r="BS886" s="161"/>
      <c r="BT886" s="161"/>
      <c r="BU886" s="161"/>
      <c r="BV886" s="161"/>
      <c r="BW886" s="161"/>
      <c r="BX886" s="161"/>
      <c r="BY886" s="161"/>
    </row>
    <row r="887" spans="1:77">
      <c r="A887" s="162"/>
      <c r="B887" s="162"/>
      <c r="C887" s="162"/>
      <c r="D887" s="162"/>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c r="AC887" s="162"/>
      <c r="AD887" s="162"/>
      <c r="AE887" s="162"/>
      <c r="AF887" s="162"/>
      <c r="AG887" s="162"/>
      <c r="AH887" s="162"/>
      <c r="AI887" s="162"/>
      <c r="AJ887" s="162"/>
      <c r="AK887" s="162"/>
      <c r="AL887" s="162"/>
      <c r="AM887" s="162"/>
      <c r="AN887" s="162"/>
      <c r="AO887" s="162"/>
      <c r="AP887" s="162"/>
      <c r="AQ887" s="162"/>
      <c r="AR887" s="162"/>
      <c r="AS887" s="162"/>
      <c r="AT887" s="161"/>
      <c r="AU887" s="161"/>
      <c r="AV887" s="161"/>
      <c r="AW887" s="161"/>
      <c r="AX887" s="161"/>
      <c r="AY887" s="161"/>
      <c r="AZ887" s="161"/>
      <c r="BA887" s="161"/>
      <c r="BB887" s="161"/>
      <c r="BC887" s="161"/>
      <c r="BD887" s="161"/>
      <c r="BE887" s="161"/>
      <c r="BF887" s="161"/>
      <c r="BG887" s="161"/>
      <c r="BH887" s="161"/>
      <c r="BI887" s="161"/>
      <c r="BJ887" s="161"/>
      <c r="BK887" s="161"/>
      <c r="BL887" s="161"/>
      <c r="BM887" s="161"/>
      <c r="BN887" s="161"/>
      <c r="BO887" s="161"/>
      <c r="BP887" s="161"/>
      <c r="BQ887" s="161"/>
      <c r="BR887" s="161"/>
      <c r="BS887" s="161"/>
      <c r="BT887" s="161"/>
      <c r="BU887" s="161"/>
      <c r="BV887" s="161"/>
      <c r="BW887" s="161"/>
      <c r="BX887" s="161"/>
      <c r="BY887" s="161"/>
    </row>
    <row r="888" spans="1:77">
      <c r="A888" s="162"/>
      <c r="B888" s="162"/>
      <c r="C888" s="162"/>
      <c r="D888" s="162"/>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c r="AC888" s="162"/>
      <c r="AD888" s="162"/>
      <c r="AE888" s="162"/>
      <c r="AF888" s="162"/>
      <c r="AG888" s="162"/>
      <c r="AH888" s="162"/>
      <c r="AI888" s="162"/>
      <c r="AJ888" s="162"/>
      <c r="AK888" s="162"/>
      <c r="AL888" s="162"/>
      <c r="AM888" s="162"/>
      <c r="AN888" s="162"/>
      <c r="AO888" s="162"/>
      <c r="AP888" s="162"/>
      <c r="AQ888" s="162"/>
      <c r="AR888" s="162"/>
      <c r="AS888" s="162"/>
      <c r="AT888" s="161"/>
      <c r="AU888" s="161"/>
      <c r="AV888" s="161"/>
      <c r="AW888" s="161"/>
      <c r="AX888" s="161"/>
      <c r="AY888" s="161"/>
      <c r="AZ888" s="161"/>
      <c r="BA888" s="161"/>
      <c r="BB888" s="161"/>
      <c r="BC888" s="161"/>
      <c r="BD888" s="161"/>
      <c r="BE888" s="161"/>
      <c r="BF888" s="161"/>
      <c r="BG888" s="161"/>
      <c r="BH888" s="161"/>
      <c r="BI888" s="161"/>
      <c r="BJ888" s="161"/>
      <c r="BK888" s="161"/>
      <c r="BL888" s="161"/>
      <c r="BM888" s="161"/>
      <c r="BN888" s="161"/>
      <c r="BO888" s="161"/>
      <c r="BP888" s="161"/>
      <c r="BQ888" s="161"/>
      <c r="BR888" s="161"/>
      <c r="BS888" s="161"/>
      <c r="BT888" s="161"/>
      <c r="BU888" s="161"/>
      <c r="BV888" s="161"/>
      <c r="BW888" s="161"/>
      <c r="BX888" s="161"/>
      <c r="BY888" s="161"/>
    </row>
    <row r="889" spans="1:77">
      <c r="A889" s="162"/>
      <c r="B889" s="162"/>
      <c r="C889" s="162"/>
      <c r="D889" s="162"/>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c r="AC889" s="162"/>
      <c r="AD889" s="162"/>
      <c r="AE889" s="162"/>
      <c r="AF889" s="162"/>
      <c r="AG889" s="162"/>
      <c r="AH889" s="162"/>
      <c r="AI889" s="162"/>
      <c r="AJ889" s="162"/>
      <c r="AK889" s="162"/>
      <c r="AL889" s="162"/>
      <c r="AM889" s="162"/>
      <c r="AN889" s="162"/>
      <c r="AO889" s="162"/>
      <c r="AP889" s="162"/>
      <c r="AQ889" s="162"/>
      <c r="AR889" s="162"/>
      <c r="AS889" s="162"/>
      <c r="AT889" s="161"/>
      <c r="AU889" s="161"/>
      <c r="AV889" s="161"/>
      <c r="AW889" s="161"/>
      <c r="AX889" s="161"/>
      <c r="AY889" s="161"/>
      <c r="AZ889" s="161"/>
      <c r="BA889" s="161"/>
      <c r="BB889" s="161"/>
      <c r="BC889" s="161"/>
      <c r="BD889" s="161"/>
      <c r="BE889" s="161"/>
      <c r="BF889" s="161"/>
      <c r="BG889" s="161"/>
      <c r="BH889" s="161"/>
      <c r="BI889" s="161"/>
      <c r="BJ889" s="161"/>
      <c r="BK889" s="161"/>
      <c r="BL889" s="161"/>
      <c r="BM889" s="161"/>
      <c r="BN889" s="161"/>
      <c r="BO889" s="161"/>
      <c r="BP889" s="161"/>
      <c r="BQ889" s="161"/>
      <c r="BR889" s="161"/>
      <c r="BS889" s="161"/>
      <c r="BT889" s="161"/>
      <c r="BU889" s="161"/>
      <c r="BV889" s="161"/>
      <c r="BW889" s="161"/>
      <c r="BX889" s="161"/>
      <c r="BY889" s="161"/>
    </row>
    <row r="890" spans="1:77">
      <c r="A890" s="162"/>
      <c r="B890" s="162"/>
      <c r="C890" s="162"/>
      <c r="D890" s="162"/>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c r="AC890" s="162"/>
      <c r="AD890" s="162"/>
      <c r="AE890" s="162"/>
      <c r="AF890" s="162"/>
      <c r="AG890" s="162"/>
      <c r="AH890" s="162"/>
      <c r="AI890" s="162"/>
      <c r="AJ890" s="162"/>
      <c r="AK890" s="162"/>
      <c r="AL890" s="162"/>
      <c r="AM890" s="162"/>
      <c r="AN890" s="162"/>
      <c r="AO890" s="162"/>
      <c r="AP890" s="162"/>
      <c r="AQ890" s="162"/>
      <c r="AR890" s="162"/>
      <c r="AS890" s="162"/>
      <c r="AT890" s="161"/>
      <c r="AU890" s="161"/>
      <c r="AV890" s="161"/>
      <c r="AW890" s="161"/>
      <c r="AX890" s="161"/>
      <c r="AY890" s="161"/>
      <c r="AZ890" s="161"/>
      <c r="BA890" s="161"/>
      <c r="BB890" s="161"/>
      <c r="BC890" s="161"/>
      <c r="BD890" s="161"/>
      <c r="BE890" s="161"/>
      <c r="BF890" s="161"/>
      <c r="BG890" s="161"/>
      <c r="BH890" s="161"/>
      <c r="BI890" s="161"/>
      <c r="BJ890" s="161"/>
      <c r="BK890" s="161"/>
      <c r="BL890" s="161"/>
      <c r="BM890" s="161"/>
      <c r="BN890" s="161"/>
      <c r="BO890" s="161"/>
      <c r="BP890" s="161"/>
      <c r="BQ890" s="161"/>
      <c r="BR890" s="161"/>
      <c r="BS890" s="161"/>
      <c r="BT890" s="161"/>
      <c r="BU890" s="161"/>
      <c r="BV890" s="161"/>
      <c r="BW890" s="161"/>
      <c r="BX890" s="161"/>
      <c r="BY890" s="161"/>
    </row>
    <row r="891" spans="1:77">
      <c r="A891" s="162"/>
      <c r="B891" s="162"/>
      <c r="C891" s="162"/>
      <c r="D891" s="162"/>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c r="AC891" s="162"/>
      <c r="AD891" s="162"/>
      <c r="AE891" s="162"/>
      <c r="AF891" s="162"/>
      <c r="AG891" s="162"/>
      <c r="AH891" s="162"/>
      <c r="AI891" s="162"/>
      <c r="AJ891" s="162"/>
      <c r="AK891" s="162"/>
      <c r="AL891" s="162"/>
      <c r="AM891" s="162"/>
      <c r="AN891" s="162"/>
      <c r="AO891" s="162"/>
      <c r="AP891" s="162"/>
      <c r="AQ891" s="162"/>
      <c r="AR891" s="162"/>
      <c r="AS891" s="162"/>
      <c r="AT891" s="161"/>
      <c r="AU891" s="161"/>
      <c r="AV891" s="161"/>
      <c r="AW891" s="161"/>
      <c r="AX891" s="161"/>
      <c r="AY891" s="161"/>
      <c r="AZ891" s="161"/>
      <c r="BA891" s="161"/>
      <c r="BB891" s="161"/>
      <c r="BC891" s="161"/>
      <c r="BD891" s="161"/>
      <c r="BE891" s="161"/>
      <c r="BF891" s="161"/>
      <c r="BG891" s="161"/>
      <c r="BH891" s="161"/>
      <c r="BI891" s="161"/>
      <c r="BJ891" s="161"/>
      <c r="BK891" s="161"/>
      <c r="BL891" s="161"/>
      <c r="BM891" s="161"/>
      <c r="BN891" s="161"/>
      <c r="BO891" s="161"/>
      <c r="BP891" s="161"/>
      <c r="BQ891" s="161"/>
      <c r="BR891" s="161"/>
      <c r="BS891" s="161"/>
      <c r="BT891" s="161"/>
      <c r="BU891" s="161"/>
      <c r="BV891" s="161"/>
      <c r="BW891" s="161"/>
      <c r="BX891" s="161"/>
      <c r="BY891" s="161"/>
    </row>
    <row r="892" spans="1:77">
      <c r="A892" s="162"/>
      <c r="B892" s="162"/>
      <c r="C892" s="162"/>
      <c r="D892" s="162"/>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c r="AC892" s="162"/>
      <c r="AD892" s="162"/>
      <c r="AE892" s="162"/>
      <c r="AF892" s="162"/>
      <c r="AG892" s="162"/>
      <c r="AH892" s="162"/>
      <c r="AI892" s="162"/>
      <c r="AJ892" s="162"/>
      <c r="AK892" s="162"/>
      <c r="AL892" s="162"/>
      <c r="AM892" s="162"/>
      <c r="AN892" s="162"/>
      <c r="AO892" s="162"/>
      <c r="AP892" s="162"/>
      <c r="AQ892" s="162"/>
      <c r="AR892" s="162"/>
      <c r="AS892" s="162"/>
      <c r="AT892" s="161"/>
      <c r="AU892" s="161"/>
      <c r="AV892" s="161"/>
      <c r="AW892" s="161"/>
      <c r="AX892" s="161"/>
      <c r="AY892" s="161"/>
      <c r="AZ892" s="161"/>
      <c r="BA892" s="161"/>
      <c r="BB892" s="161"/>
      <c r="BC892" s="161"/>
      <c r="BD892" s="161"/>
      <c r="BE892" s="161"/>
      <c r="BF892" s="161"/>
      <c r="BG892" s="161"/>
      <c r="BH892" s="161"/>
      <c r="BI892" s="161"/>
      <c r="BJ892" s="161"/>
      <c r="BK892" s="161"/>
      <c r="BL892" s="161"/>
      <c r="BM892" s="161"/>
      <c r="BN892" s="161"/>
      <c r="BO892" s="161"/>
      <c r="BP892" s="161"/>
      <c r="BQ892" s="161"/>
      <c r="BR892" s="161"/>
      <c r="BS892" s="161"/>
      <c r="BT892" s="161"/>
      <c r="BU892" s="161"/>
      <c r="BV892" s="161"/>
      <c r="BW892" s="161"/>
      <c r="BX892" s="161"/>
      <c r="BY892" s="161"/>
    </row>
    <row r="893" spans="1:77">
      <c r="A893" s="162"/>
      <c r="B893" s="162"/>
      <c r="C893" s="162"/>
      <c r="D893" s="162"/>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c r="AC893" s="162"/>
      <c r="AD893" s="162"/>
      <c r="AE893" s="162"/>
      <c r="AF893" s="162"/>
      <c r="AG893" s="162"/>
      <c r="AH893" s="162"/>
      <c r="AI893" s="162"/>
      <c r="AJ893" s="162"/>
      <c r="AK893" s="162"/>
      <c r="AL893" s="162"/>
      <c r="AM893" s="162"/>
      <c r="AN893" s="162"/>
      <c r="AO893" s="162"/>
      <c r="AP893" s="162"/>
      <c r="AQ893" s="162"/>
      <c r="AR893" s="162"/>
      <c r="AS893" s="162"/>
      <c r="AT893" s="161"/>
      <c r="AU893" s="161"/>
      <c r="AV893" s="161"/>
      <c r="AW893" s="161"/>
      <c r="AX893" s="161"/>
      <c r="AY893" s="161"/>
      <c r="AZ893" s="161"/>
      <c r="BA893" s="161"/>
      <c r="BB893" s="161"/>
      <c r="BC893" s="161"/>
      <c r="BD893" s="161"/>
      <c r="BE893" s="161"/>
      <c r="BF893" s="161"/>
      <c r="BG893" s="161"/>
      <c r="BH893" s="161"/>
      <c r="BI893" s="161"/>
      <c r="BJ893" s="161"/>
      <c r="BK893" s="161"/>
      <c r="BL893" s="161"/>
      <c r="BM893" s="161"/>
      <c r="BN893" s="161"/>
      <c r="BO893" s="161"/>
      <c r="BP893" s="161"/>
      <c r="BQ893" s="161"/>
      <c r="BR893" s="161"/>
      <c r="BS893" s="161"/>
      <c r="BT893" s="161"/>
      <c r="BU893" s="161"/>
      <c r="BV893" s="161"/>
      <c r="BW893" s="161"/>
      <c r="BX893" s="161"/>
      <c r="BY893" s="161"/>
    </row>
    <row r="894" spans="1:77">
      <c r="A894" s="162"/>
      <c r="B894" s="162"/>
      <c r="C894" s="162"/>
      <c r="D894" s="162"/>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c r="AC894" s="162"/>
      <c r="AD894" s="162"/>
      <c r="AE894" s="162"/>
      <c r="AF894" s="162"/>
      <c r="AG894" s="162"/>
      <c r="AH894" s="162"/>
      <c r="AI894" s="162"/>
      <c r="AJ894" s="162"/>
      <c r="AK894" s="162"/>
      <c r="AL894" s="162"/>
      <c r="AM894" s="162"/>
      <c r="AN894" s="162"/>
      <c r="AO894" s="162"/>
      <c r="AP894" s="162"/>
      <c r="AQ894" s="162"/>
      <c r="AR894" s="162"/>
      <c r="AS894" s="162"/>
      <c r="AT894" s="161"/>
      <c r="AU894" s="161"/>
      <c r="AV894" s="161"/>
      <c r="AW894" s="161"/>
      <c r="AX894" s="161"/>
      <c r="AY894" s="161"/>
      <c r="AZ894" s="161"/>
      <c r="BA894" s="161"/>
      <c r="BB894" s="161"/>
      <c r="BC894" s="161"/>
      <c r="BD894" s="161"/>
      <c r="BE894" s="161"/>
      <c r="BF894" s="161"/>
      <c r="BG894" s="161"/>
      <c r="BH894" s="161"/>
      <c r="BI894" s="161"/>
      <c r="BJ894" s="161"/>
      <c r="BK894" s="161"/>
      <c r="BL894" s="161"/>
      <c r="BM894" s="161"/>
      <c r="BN894" s="161"/>
      <c r="BO894" s="161"/>
      <c r="BP894" s="161"/>
      <c r="BQ894" s="161"/>
      <c r="BR894" s="161"/>
      <c r="BS894" s="161"/>
      <c r="BT894" s="161"/>
      <c r="BU894" s="161"/>
      <c r="BV894" s="161"/>
      <c r="BW894" s="161"/>
      <c r="BX894" s="161"/>
      <c r="BY894" s="161"/>
    </row>
    <row r="895" spans="1:77">
      <c r="A895" s="162"/>
      <c r="B895" s="162"/>
      <c r="C895" s="162"/>
      <c r="D895" s="162"/>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c r="AC895" s="162"/>
      <c r="AD895" s="162"/>
      <c r="AE895" s="162"/>
      <c r="AF895" s="162"/>
      <c r="AG895" s="162"/>
      <c r="AH895" s="162"/>
      <c r="AI895" s="162"/>
      <c r="AJ895" s="162"/>
      <c r="AK895" s="162"/>
      <c r="AL895" s="162"/>
      <c r="AM895" s="162"/>
      <c r="AN895" s="162"/>
      <c r="AO895" s="162"/>
      <c r="AP895" s="162"/>
      <c r="AQ895" s="162"/>
      <c r="AR895" s="162"/>
      <c r="AS895" s="162"/>
      <c r="AT895" s="161"/>
      <c r="AU895" s="161"/>
      <c r="AV895" s="161"/>
      <c r="AW895" s="161"/>
      <c r="AX895" s="161"/>
      <c r="AY895" s="161"/>
      <c r="AZ895" s="161"/>
      <c r="BA895" s="161"/>
      <c r="BB895" s="161"/>
      <c r="BC895" s="161"/>
      <c r="BD895" s="161"/>
      <c r="BE895" s="161"/>
      <c r="BF895" s="161"/>
      <c r="BG895" s="161"/>
      <c r="BH895" s="161"/>
      <c r="BI895" s="161"/>
      <c r="BJ895" s="161"/>
      <c r="BK895" s="161"/>
      <c r="BL895" s="161"/>
      <c r="BM895" s="161"/>
      <c r="BN895" s="161"/>
      <c r="BO895" s="161"/>
      <c r="BP895" s="161"/>
      <c r="BQ895" s="161"/>
      <c r="BR895" s="161"/>
      <c r="BS895" s="161"/>
      <c r="BT895" s="161"/>
      <c r="BU895" s="161"/>
      <c r="BV895" s="161"/>
      <c r="BW895" s="161"/>
      <c r="BX895" s="161"/>
      <c r="BY895" s="161"/>
    </row>
    <row r="896" spans="1:77">
      <c r="A896" s="162"/>
      <c r="B896" s="162"/>
      <c r="C896" s="162"/>
      <c r="D896" s="162"/>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c r="AC896" s="162"/>
      <c r="AD896" s="162"/>
      <c r="AE896" s="162"/>
      <c r="AF896" s="162"/>
      <c r="AG896" s="162"/>
      <c r="AH896" s="162"/>
      <c r="AI896" s="162"/>
      <c r="AJ896" s="162"/>
      <c r="AK896" s="162"/>
      <c r="AL896" s="162"/>
      <c r="AM896" s="162"/>
      <c r="AN896" s="162"/>
      <c r="AO896" s="162"/>
      <c r="AP896" s="162"/>
      <c r="AQ896" s="162"/>
      <c r="AR896" s="162"/>
      <c r="AS896" s="162"/>
      <c r="AT896" s="161"/>
      <c r="AU896" s="161"/>
      <c r="AV896" s="161"/>
      <c r="AW896" s="161"/>
      <c r="AX896" s="161"/>
      <c r="AY896" s="161"/>
      <c r="AZ896" s="161"/>
      <c r="BA896" s="161"/>
      <c r="BB896" s="161"/>
      <c r="BC896" s="161"/>
      <c r="BD896" s="161"/>
      <c r="BE896" s="161"/>
      <c r="BF896" s="161"/>
      <c r="BG896" s="161"/>
      <c r="BH896" s="161"/>
      <c r="BI896" s="161"/>
      <c r="BJ896" s="161"/>
      <c r="BK896" s="161"/>
      <c r="BL896" s="161"/>
      <c r="BM896" s="161"/>
      <c r="BN896" s="161"/>
      <c r="BO896" s="161"/>
      <c r="BP896" s="161"/>
      <c r="BQ896" s="161"/>
      <c r="BR896" s="161"/>
      <c r="BS896" s="161"/>
      <c r="BT896" s="161"/>
      <c r="BU896" s="161"/>
      <c r="BV896" s="161"/>
      <c r="BW896" s="161"/>
      <c r="BX896" s="161"/>
      <c r="BY896" s="161"/>
    </row>
    <row r="897" spans="1:77">
      <c r="A897" s="162"/>
      <c r="B897" s="162"/>
      <c r="C897" s="162"/>
      <c r="D897" s="162"/>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c r="AC897" s="162"/>
      <c r="AD897" s="162"/>
      <c r="AE897" s="162"/>
      <c r="AF897" s="162"/>
      <c r="AG897" s="162"/>
      <c r="AH897" s="162"/>
      <c r="AI897" s="162"/>
      <c r="AJ897" s="162"/>
      <c r="AK897" s="162"/>
      <c r="AL897" s="162"/>
      <c r="AM897" s="162"/>
      <c r="AN897" s="162"/>
      <c r="AO897" s="162"/>
      <c r="AP897" s="162"/>
      <c r="AQ897" s="162"/>
      <c r="AR897" s="162"/>
      <c r="AS897" s="162"/>
      <c r="AT897" s="161"/>
      <c r="AU897" s="161"/>
      <c r="AV897" s="161"/>
      <c r="AW897" s="161"/>
      <c r="AX897" s="161"/>
      <c r="AY897" s="161"/>
      <c r="AZ897" s="161"/>
      <c r="BA897" s="161"/>
      <c r="BB897" s="161"/>
      <c r="BC897" s="161"/>
      <c r="BD897" s="161"/>
      <c r="BE897" s="161"/>
      <c r="BF897" s="161"/>
      <c r="BG897" s="161"/>
      <c r="BH897" s="161"/>
      <c r="BI897" s="161"/>
      <c r="BJ897" s="161"/>
      <c r="BK897" s="161"/>
      <c r="BL897" s="161"/>
      <c r="BM897" s="161"/>
      <c r="BN897" s="161"/>
      <c r="BO897" s="161"/>
      <c r="BP897" s="161"/>
      <c r="BQ897" s="161"/>
      <c r="BR897" s="161"/>
      <c r="BS897" s="161"/>
      <c r="BT897" s="161"/>
      <c r="BU897" s="161"/>
      <c r="BV897" s="161"/>
      <c r="BW897" s="161"/>
      <c r="BX897" s="161"/>
      <c r="BY897" s="161"/>
    </row>
    <row r="898" spans="1:77">
      <c r="A898" s="162"/>
      <c r="B898" s="162"/>
      <c r="C898" s="162"/>
      <c r="D898" s="162"/>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c r="AC898" s="162"/>
      <c r="AD898" s="162"/>
      <c r="AE898" s="162"/>
      <c r="AF898" s="162"/>
      <c r="AG898" s="162"/>
      <c r="AH898" s="162"/>
      <c r="AI898" s="162"/>
      <c r="AJ898" s="162"/>
      <c r="AK898" s="162"/>
      <c r="AL898" s="162"/>
      <c r="AM898" s="162"/>
      <c r="AN898" s="162"/>
      <c r="AO898" s="162"/>
      <c r="AP898" s="162"/>
      <c r="AQ898" s="162"/>
      <c r="AR898" s="162"/>
      <c r="AS898" s="162"/>
      <c r="AT898" s="161"/>
      <c r="AU898" s="161"/>
      <c r="AV898" s="161"/>
      <c r="AW898" s="161"/>
      <c r="AX898" s="161"/>
      <c r="AY898" s="161"/>
      <c r="AZ898" s="161"/>
      <c r="BA898" s="161"/>
      <c r="BB898" s="161"/>
      <c r="BC898" s="161"/>
      <c r="BD898" s="161"/>
      <c r="BE898" s="161"/>
      <c r="BF898" s="161"/>
      <c r="BG898" s="161"/>
      <c r="BH898" s="161"/>
      <c r="BI898" s="161"/>
      <c r="BJ898" s="161"/>
      <c r="BK898" s="161"/>
      <c r="BL898" s="161"/>
      <c r="BM898" s="161"/>
      <c r="BN898" s="161"/>
      <c r="BO898" s="161"/>
      <c r="BP898" s="161"/>
      <c r="BQ898" s="161"/>
      <c r="BR898" s="161"/>
      <c r="BS898" s="161"/>
      <c r="BT898" s="161"/>
      <c r="BU898" s="161"/>
      <c r="BV898" s="161"/>
      <c r="BW898" s="161"/>
      <c r="BX898" s="161"/>
      <c r="BY898" s="161"/>
    </row>
    <row r="899" spans="1:77">
      <c r="A899" s="162"/>
      <c r="B899" s="162"/>
      <c r="C899" s="162"/>
      <c r="D899" s="162"/>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c r="AC899" s="162"/>
      <c r="AD899" s="162"/>
      <c r="AE899" s="162"/>
      <c r="AF899" s="162"/>
      <c r="AG899" s="162"/>
      <c r="AH899" s="162"/>
      <c r="AI899" s="162"/>
      <c r="AJ899" s="162"/>
      <c r="AK899" s="162"/>
      <c r="AL899" s="162"/>
      <c r="AM899" s="162"/>
      <c r="AN899" s="162"/>
      <c r="AO899" s="162"/>
      <c r="AP899" s="162"/>
      <c r="AQ899" s="162"/>
      <c r="AR899" s="162"/>
      <c r="AS899" s="162"/>
      <c r="AT899" s="161"/>
      <c r="AU899" s="161"/>
      <c r="AV899" s="161"/>
      <c r="AW899" s="161"/>
      <c r="AX899" s="161"/>
      <c r="AY899" s="161"/>
      <c r="AZ899" s="161"/>
      <c r="BA899" s="161"/>
      <c r="BB899" s="161"/>
      <c r="BC899" s="161"/>
      <c r="BD899" s="161"/>
      <c r="BE899" s="161"/>
      <c r="BF899" s="161"/>
      <c r="BG899" s="161"/>
      <c r="BH899" s="161"/>
      <c r="BI899" s="161"/>
      <c r="BJ899" s="161"/>
      <c r="BK899" s="161"/>
      <c r="BL899" s="161"/>
      <c r="BM899" s="161"/>
      <c r="BN899" s="161"/>
      <c r="BO899" s="161"/>
      <c r="BP899" s="161"/>
      <c r="BQ899" s="161"/>
      <c r="BR899" s="161"/>
      <c r="BS899" s="161"/>
      <c r="BT899" s="161"/>
      <c r="BU899" s="161"/>
      <c r="BV899" s="161"/>
      <c r="BW899" s="161"/>
      <c r="BX899" s="161"/>
      <c r="BY899" s="161"/>
    </row>
    <row r="900" spans="1:77">
      <c r="A900" s="162"/>
      <c r="B900" s="162"/>
      <c r="C900" s="162"/>
      <c r="D900" s="162"/>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c r="AC900" s="162"/>
      <c r="AD900" s="162"/>
      <c r="AE900" s="162"/>
      <c r="AF900" s="162"/>
      <c r="AG900" s="162"/>
      <c r="AH900" s="162"/>
      <c r="AI900" s="162"/>
      <c r="AJ900" s="162"/>
      <c r="AK900" s="162"/>
      <c r="AL900" s="162"/>
      <c r="AM900" s="162"/>
      <c r="AN900" s="162"/>
      <c r="AO900" s="162"/>
      <c r="AP900" s="162"/>
      <c r="AQ900" s="162"/>
      <c r="AR900" s="162"/>
      <c r="AS900" s="162"/>
      <c r="AT900" s="161"/>
      <c r="AU900" s="161"/>
      <c r="AV900" s="161"/>
      <c r="AW900" s="161"/>
      <c r="AX900" s="161"/>
      <c r="AY900" s="161"/>
      <c r="AZ900" s="161"/>
      <c r="BA900" s="161"/>
      <c r="BB900" s="161"/>
      <c r="BC900" s="161"/>
      <c r="BD900" s="161"/>
      <c r="BE900" s="161"/>
      <c r="BF900" s="161"/>
      <c r="BG900" s="161"/>
      <c r="BH900" s="161"/>
      <c r="BI900" s="161"/>
      <c r="BJ900" s="161"/>
      <c r="BK900" s="161"/>
      <c r="BL900" s="161"/>
      <c r="BM900" s="161"/>
      <c r="BN900" s="161"/>
      <c r="BO900" s="161"/>
      <c r="BP900" s="161"/>
      <c r="BQ900" s="161"/>
      <c r="BR900" s="161"/>
      <c r="BS900" s="161"/>
      <c r="BT900" s="161"/>
      <c r="BU900" s="161"/>
      <c r="BV900" s="161"/>
      <c r="BW900" s="161"/>
      <c r="BX900" s="161"/>
      <c r="BY900" s="161"/>
    </row>
    <row r="901" spans="1:77">
      <c r="A901" s="162"/>
      <c r="B901" s="162"/>
      <c r="C901" s="162"/>
      <c r="D901" s="162"/>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c r="AC901" s="162"/>
      <c r="AD901" s="162"/>
      <c r="AE901" s="162"/>
      <c r="AF901" s="162"/>
      <c r="AG901" s="162"/>
      <c r="AH901" s="162"/>
      <c r="AI901" s="162"/>
      <c r="AJ901" s="162"/>
      <c r="AK901" s="162"/>
      <c r="AL901" s="162"/>
      <c r="AM901" s="162"/>
      <c r="AN901" s="162"/>
      <c r="AO901" s="162"/>
      <c r="AP901" s="162"/>
      <c r="AQ901" s="162"/>
      <c r="AR901" s="162"/>
      <c r="AS901" s="162"/>
      <c r="AT901" s="161"/>
      <c r="AU901" s="161"/>
      <c r="AV901" s="161"/>
      <c r="AW901" s="161"/>
      <c r="AX901" s="161"/>
      <c r="AY901" s="161"/>
      <c r="AZ901" s="161"/>
      <c r="BA901" s="161"/>
      <c r="BB901" s="161"/>
      <c r="BC901" s="161"/>
      <c r="BD901" s="161"/>
      <c r="BE901" s="161"/>
      <c r="BF901" s="161"/>
      <c r="BG901" s="161"/>
      <c r="BH901" s="161"/>
      <c r="BI901" s="161"/>
      <c r="BJ901" s="161"/>
      <c r="BK901" s="161"/>
      <c r="BL901" s="161"/>
      <c r="BM901" s="161"/>
      <c r="BN901" s="161"/>
      <c r="BO901" s="161"/>
      <c r="BP901" s="161"/>
      <c r="BQ901" s="161"/>
      <c r="BR901" s="161"/>
      <c r="BS901" s="161"/>
      <c r="BT901" s="161"/>
      <c r="BU901" s="161"/>
      <c r="BV901" s="161"/>
      <c r="BW901" s="161"/>
      <c r="BX901" s="161"/>
      <c r="BY901" s="161"/>
    </row>
    <row r="902" spans="1:77">
      <c r="A902" s="162"/>
      <c r="B902" s="162"/>
      <c r="C902" s="162"/>
      <c r="D902" s="162"/>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c r="AC902" s="162"/>
      <c r="AD902" s="162"/>
      <c r="AE902" s="162"/>
      <c r="AF902" s="162"/>
      <c r="AG902" s="162"/>
      <c r="AH902" s="162"/>
      <c r="AI902" s="162"/>
      <c r="AJ902" s="162"/>
      <c r="AK902" s="162"/>
      <c r="AL902" s="162"/>
      <c r="AM902" s="162"/>
      <c r="AN902" s="162"/>
      <c r="AO902" s="162"/>
      <c r="AP902" s="162"/>
      <c r="AQ902" s="162"/>
      <c r="AR902" s="162"/>
      <c r="AS902" s="162"/>
      <c r="AT902" s="161"/>
      <c r="AU902" s="161"/>
      <c r="AV902" s="161"/>
      <c r="AW902" s="161"/>
      <c r="AX902" s="161"/>
      <c r="AY902" s="161"/>
      <c r="AZ902" s="161"/>
      <c r="BA902" s="161"/>
      <c r="BB902" s="161"/>
      <c r="BC902" s="161"/>
      <c r="BD902" s="161"/>
      <c r="BE902" s="161"/>
      <c r="BF902" s="161"/>
      <c r="BG902" s="161"/>
      <c r="BH902" s="161"/>
      <c r="BI902" s="161"/>
      <c r="BJ902" s="161"/>
      <c r="BK902" s="161"/>
      <c r="BL902" s="161"/>
      <c r="BM902" s="161"/>
      <c r="BN902" s="161"/>
      <c r="BO902" s="161"/>
      <c r="BP902" s="161"/>
      <c r="BQ902" s="161"/>
      <c r="BR902" s="161"/>
      <c r="BS902" s="161"/>
      <c r="BT902" s="161"/>
      <c r="BU902" s="161"/>
      <c r="BV902" s="161"/>
      <c r="BW902" s="161"/>
      <c r="BX902" s="161"/>
      <c r="BY902" s="161"/>
    </row>
    <row r="903" spans="1:77">
      <c r="A903" s="162"/>
      <c r="B903" s="162"/>
      <c r="C903" s="162"/>
      <c r="D903" s="162"/>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c r="AC903" s="162"/>
      <c r="AD903" s="162"/>
      <c r="AE903" s="162"/>
      <c r="AF903" s="162"/>
      <c r="AG903" s="162"/>
      <c r="AH903" s="162"/>
      <c r="AI903" s="162"/>
      <c r="AJ903" s="162"/>
      <c r="AK903" s="162"/>
      <c r="AL903" s="162"/>
      <c r="AM903" s="162"/>
      <c r="AN903" s="162"/>
      <c r="AO903" s="162"/>
      <c r="AP903" s="162"/>
      <c r="AQ903" s="162"/>
      <c r="AR903" s="162"/>
      <c r="AS903" s="162"/>
      <c r="AT903" s="161"/>
      <c r="AU903" s="161"/>
      <c r="AV903" s="161"/>
      <c r="AW903" s="161"/>
      <c r="AX903" s="161"/>
      <c r="AY903" s="161"/>
      <c r="AZ903" s="161"/>
      <c r="BA903" s="161"/>
      <c r="BB903" s="161"/>
      <c r="BC903" s="161"/>
      <c r="BD903" s="161"/>
      <c r="BE903" s="161"/>
      <c r="BF903" s="161"/>
      <c r="BG903" s="161"/>
      <c r="BH903" s="161"/>
      <c r="BI903" s="161"/>
      <c r="BJ903" s="161"/>
      <c r="BK903" s="161"/>
      <c r="BL903" s="161"/>
      <c r="BM903" s="161"/>
      <c r="BN903" s="161"/>
      <c r="BO903" s="161"/>
      <c r="BP903" s="161"/>
      <c r="BQ903" s="161"/>
      <c r="BR903" s="161"/>
      <c r="BS903" s="161"/>
      <c r="BT903" s="161"/>
      <c r="BU903" s="161"/>
      <c r="BV903" s="161"/>
      <c r="BW903" s="161"/>
      <c r="BX903" s="161"/>
      <c r="BY903" s="161"/>
    </row>
    <row r="904" spans="1:77">
      <c r="A904" s="162"/>
      <c r="B904" s="162"/>
      <c r="C904" s="162"/>
      <c r="D904" s="162"/>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c r="AC904" s="162"/>
      <c r="AD904" s="162"/>
      <c r="AE904" s="162"/>
      <c r="AF904" s="162"/>
      <c r="AG904" s="162"/>
      <c r="AH904" s="162"/>
      <c r="AI904" s="162"/>
      <c r="AJ904" s="162"/>
      <c r="AK904" s="162"/>
      <c r="AL904" s="162"/>
      <c r="AM904" s="162"/>
      <c r="AN904" s="162"/>
      <c r="AO904" s="162"/>
      <c r="AP904" s="162"/>
      <c r="AQ904" s="162"/>
      <c r="AR904" s="162"/>
      <c r="AS904" s="162"/>
      <c r="AT904" s="161"/>
      <c r="AU904" s="161"/>
      <c r="AV904" s="161"/>
      <c r="AW904" s="161"/>
      <c r="AX904" s="161"/>
      <c r="AY904" s="161"/>
      <c r="AZ904" s="161"/>
      <c r="BA904" s="161"/>
      <c r="BB904" s="161"/>
      <c r="BC904" s="161"/>
      <c r="BD904" s="161"/>
      <c r="BE904" s="161"/>
      <c r="BF904" s="161"/>
      <c r="BG904" s="161"/>
      <c r="BH904" s="161"/>
      <c r="BI904" s="161"/>
      <c r="BJ904" s="161"/>
      <c r="BK904" s="161"/>
      <c r="BL904" s="161"/>
      <c r="BM904" s="161"/>
      <c r="BN904" s="161"/>
      <c r="BO904" s="161"/>
      <c r="BP904" s="161"/>
      <c r="BQ904" s="161"/>
      <c r="BR904" s="161"/>
      <c r="BS904" s="161"/>
      <c r="BT904" s="161"/>
      <c r="BU904" s="161"/>
      <c r="BV904" s="161"/>
      <c r="BW904" s="161"/>
      <c r="BX904" s="161"/>
      <c r="BY904" s="161"/>
    </row>
    <row r="905" spans="1:77">
      <c r="A905" s="162"/>
      <c r="B905" s="162"/>
      <c r="C905" s="162"/>
      <c r="D905" s="162"/>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c r="AC905" s="162"/>
      <c r="AD905" s="162"/>
      <c r="AE905" s="162"/>
      <c r="AF905" s="162"/>
      <c r="AG905" s="162"/>
      <c r="AH905" s="162"/>
      <c r="AI905" s="162"/>
      <c r="AJ905" s="162"/>
      <c r="AK905" s="162"/>
      <c r="AL905" s="162"/>
      <c r="AM905" s="162"/>
      <c r="AN905" s="162"/>
      <c r="AO905" s="162"/>
      <c r="AP905" s="162"/>
      <c r="AQ905" s="162"/>
      <c r="AR905" s="162"/>
      <c r="AS905" s="162"/>
      <c r="AT905" s="161"/>
      <c r="AU905" s="161"/>
      <c r="AV905" s="161"/>
      <c r="AW905" s="161"/>
      <c r="AX905" s="161"/>
      <c r="AY905" s="161"/>
      <c r="AZ905" s="161"/>
      <c r="BA905" s="161"/>
      <c r="BB905" s="161"/>
      <c r="BC905" s="161"/>
      <c r="BD905" s="161"/>
      <c r="BE905" s="161"/>
      <c r="BF905" s="161"/>
      <c r="BG905" s="161"/>
      <c r="BH905" s="161"/>
      <c r="BI905" s="161"/>
      <c r="BJ905" s="161"/>
      <c r="BK905" s="161"/>
      <c r="BL905" s="161"/>
      <c r="BM905" s="161"/>
      <c r="BN905" s="161"/>
      <c r="BO905" s="161"/>
      <c r="BP905" s="161"/>
      <c r="BQ905" s="161"/>
      <c r="BR905" s="161"/>
      <c r="BS905" s="161"/>
      <c r="BT905" s="161"/>
      <c r="BU905" s="161"/>
      <c r="BV905" s="161"/>
      <c r="BW905" s="161"/>
      <c r="BX905" s="161"/>
      <c r="BY905" s="161"/>
    </row>
    <row r="906" spans="1:77">
      <c r="A906" s="162"/>
      <c r="B906" s="162"/>
      <c r="C906" s="162"/>
      <c r="D906" s="162"/>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c r="AC906" s="162"/>
      <c r="AD906" s="162"/>
      <c r="AE906" s="162"/>
      <c r="AF906" s="162"/>
      <c r="AG906" s="162"/>
      <c r="AH906" s="162"/>
      <c r="AI906" s="162"/>
      <c r="AJ906" s="162"/>
      <c r="AK906" s="162"/>
      <c r="AL906" s="162"/>
      <c r="AM906" s="162"/>
      <c r="AN906" s="162"/>
      <c r="AO906" s="162"/>
      <c r="AP906" s="162"/>
      <c r="AQ906" s="162"/>
      <c r="AR906" s="162"/>
      <c r="AS906" s="162"/>
      <c r="AT906" s="161"/>
      <c r="AU906" s="161"/>
      <c r="AV906" s="161"/>
      <c r="AW906" s="161"/>
      <c r="AX906" s="161"/>
      <c r="AY906" s="161"/>
      <c r="AZ906" s="161"/>
      <c r="BA906" s="161"/>
      <c r="BB906" s="161"/>
      <c r="BC906" s="161"/>
      <c r="BD906" s="161"/>
      <c r="BE906" s="161"/>
      <c r="BF906" s="161"/>
      <c r="BG906" s="161"/>
      <c r="BH906" s="161"/>
      <c r="BI906" s="161"/>
      <c r="BJ906" s="161"/>
      <c r="BK906" s="161"/>
      <c r="BL906" s="161"/>
      <c r="BM906" s="161"/>
      <c r="BN906" s="161"/>
      <c r="BO906" s="161"/>
      <c r="BP906" s="161"/>
      <c r="BQ906" s="161"/>
      <c r="BR906" s="161"/>
      <c r="BS906" s="161"/>
      <c r="BT906" s="161"/>
      <c r="BU906" s="161"/>
      <c r="BV906" s="161"/>
      <c r="BW906" s="161"/>
      <c r="BX906" s="161"/>
      <c r="BY906" s="161"/>
    </row>
    <row r="907" spans="1:77">
      <c r="A907" s="162"/>
      <c r="B907" s="162"/>
      <c r="C907" s="162"/>
      <c r="D907" s="162"/>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c r="AC907" s="162"/>
      <c r="AD907" s="162"/>
      <c r="AE907" s="162"/>
      <c r="AF907" s="162"/>
      <c r="AG907" s="162"/>
      <c r="AH907" s="162"/>
      <c r="AI907" s="162"/>
      <c r="AJ907" s="162"/>
      <c r="AK907" s="162"/>
      <c r="AL907" s="162"/>
      <c r="AM907" s="162"/>
      <c r="AN907" s="162"/>
      <c r="AO907" s="162"/>
      <c r="AP907" s="162"/>
      <c r="AQ907" s="162"/>
      <c r="AR907" s="162"/>
      <c r="AS907" s="162"/>
      <c r="AT907" s="161"/>
      <c r="AU907" s="161"/>
      <c r="AV907" s="161"/>
      <c r="AW907" s="161"/>
      <c r="AX907" s="161"/>
      <c r="AY907" s="161"/>
      <c r="AZ907" s="161"/>
      <c r="BA907" s="161"/>
      <c r="BB907" s="161"/>
      <c r="BC907" s="161"/>
      <c r="BD907" s="161"/>
      <c r="BE907" s="161"/>
      <c r="BF907" s="161"/>
      <c r="BG907" s="161"/>
      <c r="BH907" s="161"/>
      <c r="BI907" s="161"/>
      <c r="BJ907" s="161"/>
      <c r="BK907" s="161"/>
      <c r="BL907" s="161"/>
      <c r="BM907" s="161"/>
      <c r="BN907" s="161"/>
      <c r="BO907" s="161"/>
      <c r="BP907" s="161"/>
      <c r="BQ907" s="161"/>
      <c r="BR907" s="161"/>
      <c r="BS907" s="161"/>
      <c r="BT907" s="161"/>
      <c r="BU907" s="161"/>
      <c r="BV907" s="161"/>
      <c r="BW907" s="161"/>
      <c r="BX907" s="161"/>
      <c r="BY907" s="161"/>
    </row>
    <row r="908" spans="1:77">
      <c r="A908" s="162"/>
      <c r="B908" s="162"/>
      <c r="C908" s="162"/>
      <c r="D908" s="162"/>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c r="AC908" s="162"/>
      <c r="AD908" s="162"/>
      <c r="AE908" s="162"/>
      <c r="AF908" s="162"/>
      <c r="AG908" s="162"/>
      <c r="AH908" s="162"/>
      <c r="AI908" s="162"/>
      <c r="AJ908" s="162"/>
      <c r="AK908" s="162"/>
      <c r="AL908" s="162"/>
      <c r="AM908" s="162"/>
      <c r="AN908" s="162"/>
      <c r="AO908" s="162"/>
      <c r="AP908" s="162"/>
      <c r="AQ908" s="162"/>
      <c r="AR908" s="162"/>
      <c r="AS908" s="162"/>
      <c r="AT908" s="161"/>
      <c r="AU908" s="161"/>
      <c r="AV908" s="161"/>
      <c r="AW908" s="161"/>
      <c r="AX908" s="161"/>
      <c r="AY908" s="161"/>
      <c r="AZ908" s="161"/>
      <c r="BA908" s="161"/>
      <c r="BB908" s="161"/>
      <c r="BC908" s="161"/>
      <c r="BD908" s="161"/>
      <c r="BE908" s="161"/>
      <c r="BF908" s="161"/>
      <c r="BG908" s="161"/>
      <c r="BH908" s="161"/>
      <c r="BI908" s="161"/>
      <c r="BJ908" s="161"/>
      <c r="BK908" s="161"/>
      <c r="BL908" s="161"/>
      <c r="BM908" s="161"/>
      <c r="BN908" s="161"/>
      <c r="BO908" s="161"/>
      <c r="BP908" s="161"/>
      <c r="BQ908" s="161"/>
      <c r="BR908" s="161"/>
      <c r="BS908" s="161"/>
      <c r="BT908" s="161"/>
      <c r="BU908" s="161"/>
      <c r="BV908" s="161"/>
      <c r="BW908" s="161"/>
      <c r="BX908" s="161"/>
      <c r="BY908" s="161"/>
    </row>
    <row r="909" spans="1:77">
      <c r="A909" s="162"/>
      <c r="B909" s="162"/>
      <c r="C909" s="162"/>
      <c r="D909" s="162"/>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c r="AC909" s="162"/>
      <c r="AD909" s="162"/>
      <c r="AE909" s="162"/>
      <c r="AF909" s="162"/>
      <c r="AG909" s="162"/>
      <c r="AH909" s="162"/>
      <c r="AI909" s="162"/>
      <c r="AJ909" s="162"/>
      <c r="AK909" s="162"/>
      <c r="AL909" s="162"/>
      <c r="AM909" s="162"/>
      <c r="AN909" s="162"/>
      <c r="AO909" s="162"/>
      <c r="AP909" s="162"/>
      <c r="AQ909" s="162"/>
      <c r="AR909" s="162"/>
      <c r="AS909" s="162"/>
      <c r="AT909" s="161"/>
      <c r="AU909" s="161"/>
      <c r="AV909" s="161"/>
      <c r="AW909" s="161"/>
      <c r="AX909" s="161"/>
      <c r="AY909" s="161"/>
      <c r="AZ909" s="161"/>
      <c r="BA909" s="161"/>
      <c r="BB909" s="161"/>
      <c r="BC909" s="161"/>
      <c r="BD909" s="161"/>
      <c r="BE909" s="161"/>
      <c r="BF909" s="161"/>
      <c r="BG909" s="161"/>
      <c r="BH909" s="161"/>
      <c r="BI909" s="161"/>
      <c r="BJ909" s="161"/>
      <c r="BK909" s="161"/>
      <c r="BL909" s="161"/>
      <c r="BM909" s="161"/>
      <c r="BN909" s="161"/>
      <c r="BO909" s="161"/>
      <c r="BP909" s="161"/>
      <c r="BQ909" s="161"/>
      <c r="BR909" s="161"/>
      <c r="BS909" s="161"/>
      <c r="BT909" s="161"/>
      <c r="BU909" s="161"/>
      <c r="BV909" s="161"/>
      <c r="BW909" s="161"/>
      <c r="BX909" s="161"/>
      <c r="BY909" s="161"/>
    </row>
    <row r="910" spans="1:77">
      <c r="A910" s="162"/>
      <c r="B910" s="162"/>
      <c r="C910" s="162"/>
      <c r="D910" s="162"/>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c r="AC910" s="162"/>
      <c r="AD910" s="162"/>
      <c r="AE910" s="162"/>
      <c r="AF910" s="162"/>
      <c r="AG910" s="162"/>
      <c r="AH910" s="162"/>
      <c r="AI910" s="162"/>
      <c r="AJ910" s="162"/>
      <c r="AK910" s="162"/>
      <c r="AL910" s="162"/>
      <c r="AM910" s="162"/>
      <c r="AN910" s="162"/>
      <c r="AO910" s="162"/>
      <c r="AP910" s="162"/>
      <c r="AQ910" s="162"/>
      <c r="AR910" s="162"/>
      <c r="AS910" s="162"/>
      <c r="AT910" s="161"/>
      <c r="AU910" s="161"/>
      <c r="AV910" s="161"/>
      <c r="AW910" s="161"/>
      <c r="AX910" s="161"/>
      <c r="AY910" s="161"/>
      <c r="AZ910" s="161"/>
      <c r="BA910" s="161"/>
      <c r="BB910" s="161"/>
      <c r="BC910" s="161"/>
      <c r="BD910" s="161"/>
      <c r="BE910" s="161"/>
      <c r="BF910" s="161"/>
      <c r="BG910" s="161"/>
      <c r="BH910" s="161"/>
      <c r="BI910" s="161"/>
      <c r="BJ910" s="161"/>
      <c r="BK910" s="161"/>
      <c r="BL910" s="161"/>
      <c r="BM910" s="161"/>
      <c r="BN910" s="161"/>
      <c r="BO910" s="161"/>
      <c r="BP910" s="161"/>
      <c r="BQ910" s="161"/>
      <c r="BR910" s="161"/>
      <c r="BS910" s="161"/>
      <c r="BT910" s="161"/>
      <c r="BU910" s="161"/>
      <c r="BV910" s="161"/>
      <c r="BW910" s="161"/>
      <c r="BX910" s="161"/>
      <c r="BY910" s="161"/>
    </row>
    <row r="911" spans="1:77">
      <c r="A911" s="162"/>
      <c r="B911" s="162"/>
      <c r="C911" s="162"/>
      <c r="D911" s="162"/>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c r="AC911" s="162"/>
      <c r="AD911" s="162"/>
      <c r="AE911" s="162"/>
      <c r="AF911" s="162"/>
      <c r="AG911" s="162"/>
      <c r="AH911" s="162"/>
      <c r="AI911" s="162"/>
      <c r="AJ911" s="162"/>
      <c r="AK911" s="162"/>
      <c r="AL911" s="162"/>
      <c r="AM911" s="162"/>
      <c r="AN911" s="162"/>
      <c r="AO911" s="162"/>
      <c r="AP911" s="162"/>
      <c r="AQ911" s="162"/>
      <c r="AR911" s="162"/>
      <c r="AS911" s="162"/>
      <c r="AT911" s="161"/>
      <c r="AU911" s="161"/>
      <c r="AV911" s="161"/>
      <c r="AW911" s="161"/>
      <c r="AX911" s="161"/>
      <c r="AY911" s="161"/>
      <c r="AZ911" s="161"/>
      <c r="BA911" s="161"/>
      <c r="BB911" s="161"/>
      <c r="BC911" s="161"/>
      <c r="BD911" s="161"/>
      <c r="BE911" s="161"/>
      <c r="BF911" s="161"/>
      <c r="BG911" s="161"/>
      <c r="BH911" s="161"/>
      <c r="BI911" s="161"/>
      <c r="BJ911" s="161"/>
      <c r="BK911" s="161"/>
      <c r="BL911" s="161"/>
      <c r="BM911" s="161"/>
      <c r="BN911" s="161"/>
      <c r="BO911" s="161"/>
      <c r="BP911" s="161"/>
      <c r="BQ911" s="161"/>
      <c r="BR911" s="161"/>
      <c r="BS911" s="161"/>
      <c r="BT911" s="161"/>
      <c r="BU911" s="161"/>
      <c r="BV911" s="161"/>
      <c r="BW911" s="161"/>
      <c r="BX911" s="161"/>
      <c r="BY911" s="161"/>
    </row>
    <row r="912" spans="1:77">
      <c r="A912" s="162"/>
      <c r="B912" s="162"/>
      <c r="C912" s="162"/>
      <c r="D912" s="162"/>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c r="AC912" s="162"/>
      <c r="AD912" s="162"/>
      <c r="AE912" s="162"/>
      <c r="AF912" s="162"/>
      <c r="AG912" s="162"/>
      <c r="AH912" s="162"/>
      <c r="AI912" s="162"/>
      <c r="AJ912" s="162"/>
      <c r="AK912" s="162"/>
      <c r="AL912" s="162"/>
      <c r="AM912" s="162"/>
      <c r="AN912" s="162"/>
      <c r="AO912" s="162"/>
      <c r="AP912" s="162"/>
      <c r="AQ912" s="162"/>
      <c r="AR912" s="162"/>
      <c r="AS912" s="162"/>
      <c r="AT912" s="161"/>
      <c r="AU912" s="161"/>
      <c r="AV912" s="161"/>
      <c r="AW912" s="161"/>
      <c r="AX912" s="161"/>
      <c r="AY912" s="161"/>
      <c r="AZ912" s="161"/>
      <c r="BA912" s="161"/>
      <c r="BB912" s="161"/>
      <c r="BC912" s="161"/>
      <c r="BD912" s="161"/>
      <c r="BE912" s="161"/>
      <c r="BF912" s="161"/>
      <c r="BG912" s="161"/>
      <c r="BH912" s="161"/>
      <c r="BI912" s="161"/>
      <c r="BJ912" s="161"/>
      <c r="BK912" s="161"/>
      <c r="BL912" s="161"/>
      <c r="BM912" s="161"/>
      <c r="BN912" s="161"/>
      <c r="BO912" s="161"/>
      <c r="BP912" s="161"/>
      <c r="BQ912" s="161"/>
      <c r="BR912" s="161"/>
      <c r="BS912" s="161"/>
      <c r="BT912" s="161"/>
      <c r="BU912" s="161"/>
      <c r="BV912" s="161"/>
      <c r="BW912" s="161"/>
      <c r="BX912" s="161"/>
      <c r="BY912" s="161"/>
    </row>
    <row r="913" spans="1:77">
      <c r="A913" s="162"/>
      <c r="B913" s="162"/>
      <c r="C913" s="162"/>
      <c r="D913" s="162"/>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c r="AC913" s="162"/>
      <c r="AD913" s="162"/>
      <c r="AE913" s="162"/>
      <c r="AF913" s="162"/>
      <c r="AG913" s="162"/>
      <c r="AH913" s="162"/>
      <c r="AI913" s="162"/>
      <c r="AJ913" s="162"/>
      <c r="AK913" s="162"/>
      <c r="AL913" s="162"/>
      <c r="AM913" s="162"/>
      <c r="AN913" s="162"/>
      <c r="AO913" s="162"/>
      <c r="AP913" s="162"/>
      <c r="AQ913" s="162"/>
      <c r="AR913" s="162"/>
      <c r="AS913" s="162"/>
      <c r="AT913" s="161"/>
      <c r="AU913" s="161"/>
      <c r="AV913" s="161"/>
      <c r="AW913" s="161"/>
      <c r="AX913" s="161"/>
      <c r="AY913" s="161"/>
      <c r="AZ913" s="161"/>
      <c r="BA913" s="161"/>
      <c r="BB913" s="161"/>
      <c r="BC913" s="161"/>
      <c r="BD913" s="161"/>
      <c r="BE913" s="161"/>
      <c r="BF913" s="161"/>
      <c r="BG913" s="161"/>
      <c r="BH913" s="161"/>
      <c r="BI913" s="161"/>
      <c r="BJ913" s="161"/>
      <c r="BK913" s="161"/>
      <c r="BL913" s="161"/>
      <c r="BM913" s="161"/>
      <c r="BN913" s="161"/>
      <c r="BO913" s="161"/>
      <c r="BP913" s="161"/>
      <c r="BQ913" s="161"/>
      <c r="BR913" s="161"/>
      <c r="BS913" s="161"/>
      <c r="BT913" s="161"/>
      <c r="BU913" s="161"/>
      <c r="BV913" s="161"/>
      <c r="BW913" s="161"/>
      <c r="BX913" s="161"/>
      <c r="BY913" s="161"/>
    </row>
    <row r="914" spans="1:77">
      <c r="A914" s="162"/>
      <c r="B914" s="162"/>
      <c r="C914" s="162"/>
      <c r="D914" s="162"/>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c r="AC914" s="162"/>
      <c r="AD914" s="162"/>
      <c r="AE914" s="162"/>
      <c r="AF914" s="162"/>
      <c r="AG914" s="162"/>
      <c r="AH914" s="162"/>
      <c r="AI914" s="162"/>
      <c r="AJ914" s="162"/>
      <c r="AK914" s="162"/>
      <c r="AL914" s="162"/>
      <c r="AM914" s="162"/>
      <c r="AN914" s="162"/>
      <c r="AO914" s="162"/>
      <c r="AP914" s="162"/>
      <c r="AQ914" s="162"/>
      <c r="AR914" s="162"/>
      <c r="AS914" s="162"/>
      <c r="AT914" s="161"/>
      <c r="AU914" s="161"/>
      <c r="AV914" s="161"/>
      <c r="AW914" s="161"/>
      <c r="AX914" s="161"/>
      <c r="AY914" s="161"/>
      <c r="AZ914" s="161"/>
      <c r="BA914" s="161"/>
      <c r="BB914" s="161"/>
      <c r="BC914" s="161"/>
      <c r="BD914" s="161"/>
      <c r="BE914" s="161"/>
      <c r="BF914" s="161"/>
      <c r="BG914" s="161"/>
      <c r="BH914" s="161"/>
      <c r="BI914" s="161"/>
      <c r="BJ914" s="161"/>
      <c r="BK914" s="161"/>
      <c r="BL914" s="161"/>
      <c r="BM914" s="161"/>
      <c r="BN914" s="161"/>
      <c r="BO914" s="161"/>
      <c r="BP914" s="161"/>
      <c r="BQ914" s="161"/>
      <c r="BR914" s="161"/>
      <c r="BS914" s="161"/>
      <c r="BT914" s="161"/>
      <c r="BU914" s="161"/>
      <c r="BV914" s="161"/>
      <c r="BW914" s="161"/>
      <c r="BX914" s="161"/>
      <c r="BY914" s="161"/>
    </row>
    <row r="915" spans="1:77">
      <c r="A915" s="162"/>
      <c r="B915" s="162"/>
      <c r="C915" s="162"/>
      <c r="D915" s="162"/>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c r="AC915" s="162"/>
      <c r="AD915" s="162"/>
      <c r="AE915" s="162"/>
      <c r="AF915" s="162"/>
      <c r="AG915" s="162"/>
      <c r="AH915" s="162"/>
      <c r="AI915" s="162"/>
      <c r="AJ915" s="162"/>
      <c r="AK915" s="162"/>
      <c r="AL915" s="162"/>
      <c r="AM915" s="162"/>
      <c r="AN915" s="162"/>
      <c r="AO915" s="162"/>
      <c r="AP915" s="162"/>
      <c r="AQ915" s="162"/>
      <c r="AR915" s="162"/>
      <c r="AS915" s="162"/>
      <c r="AT915" s="161"/>
      <c r="AU915" s="161"/>
      <c r="AV915" s="161"/>
      <c r="AW915" s="161"/>
      <c r="AX915" s="161"/>
      <c r="AY915" s="161"/>
      <c r="AZ915" s="161"/>
      <c r="BA915" s="161"/>
      <c r="BB915" s="161"/>
      <c r="BC915" s="161"/>
      <c r="BD915" s="161"/>
      <c r="BE915" s="161"/>
      <c r="BF915" s="161"/>
      <c r="BG915" s="161"/>
      <c r="BH915" s="161"/>
      <c r="BI915" s="161"/>
      <c r="BJ915" s="161"/>
      <c r="BK915" s="161"/>
      <c r="BL915" s="161"/>
      <c r="BM915" s="161"/>
      <c r="BN915" s="161"/>
      <c r="BO915" s="161"/>
      <c r="BP915" s="161"/>
      <c r="BQ915" s="161"/>
      <c r="BR915" s="161"/>
      <c r="BS915" s="161"/>
      <c r="BT915" s="161"/>
      <c r="BU915" s="161"/>
      <c r="BV915" s="161"/>
      <c r="BW915" s="161"/>
      <c r="BX915" s="161"/>
      <c r="BY915" s="161"/>
    </row>
    <row r="916" spans="1:77">
      <c r="A916" s="162"/>
      <c r="B916" s="162"/>
      <c r="C916" s="162"/>
      <c r="D916" s="162"/>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c r="AC916" s="162"/>
      <c r="AD916" s="162"/>
      <c r="AE916" s="162"/>
      <c r="AF916" s="162"/>
      <c r="AG916" s="162"/>
      <c r="AH916" s="162"/>
      <c r="AI916" s="162"/>
      <c r="AJ916" s="162"/>
      <c r="AK916" s="162"/>
      <c r="AL916" s="162"/>
      <c r="AM916" s="162"/>
      <c r="AN916" s="162"/>
      <c r="AO916" s="162"/>
      <c r="AP916" s="162"/>
      <c r="AQ916" s="162"/>
      <c r="AR916" s="162"/>
      <c r="AS916" s="162"/>
      <c r="AT916" s="161"/>
      <c r="AU916" s="161"/>
      <c r="AV916" s="161"/>
      <c r="AW916" s="161"/>
      <c r="AX916" s="161"/>
      <c r="AY916" s="161"/>
      <c r="AZ916" s="161"/>
      <c r="BA916" s="161"/>
      <c r="BB916" s="161"/>
      <c r="BC916" s="161"/>
      <c r="BD916" s="161"/>
      <c r="BE916" s="161"/>
      <c r="BF916" s="161"/>
      <c r="BG916" s="161"/>
      <c r="BH916" s="161"/>
      <c r="BI916" s="161"/>
      <c r="BJ916" s="161"/>
      <c r="BK916" s="161"/>
      <c r="BL916" s="161"/>
      <c r="BM916" s="161"/>
      <c r="BN916" s="161"/>
      <c r="BO916" s="161"/>
      <c r="BP916" s="161"/>
      <c r="BQ916" s="161"/>
      <c r="BR916" s="161"/>
      <c r="BS916" s="161"/>
      <c r="BT916" s="161"/>
      <c r="BU916" s="161"/>
      <c r="BV916" s="161"/>
      <c r="BW916" s="161"/>
      <c r="BX916" s="161"/>
      <c r="BY916" s="161"/>
    </row>
    <row r="917" spans="1:77">
      <c r="A917" s="162"/>
      <c r="B917" s="162"/>
      <c r="C917" s="162"/>
      <c r="D917" s="162"/>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c r="AC917" s="162"/>
      <c r="AD917" s="162"/>
      <c r="AE917" s="162"/>
      <c r="AF917" s="162"/>
      <c r="AG917" s="162"/>
      <c r="AH917" s="162"/>
      <c r="AI917" s="162"/>
      <c r="AJ917" s="162"/>
      <c r="AK917" s="162"/>
      <c r="AL917" s="162"/>
      <c r="AM917" s="162"/>
      <c r="AN917" s="162"/>
      <c r="AO917" s="162"/>
      <c r="AP917" s="162"/>
      <c r="AQ917" s="162"/>
      <c r="AR917" s="162"/>
      <c r="AS917" s="162"/>
      <c r="AT917" s="161"/>
      <c r="AU917" s="161"/>
      <c r="AV917" s="161"/>
      <c r="AW917" s="161"/>
      <c r="AX917" s="161"/>
      <c r="AY917" s="161"/>
      <c r="AZ917" s="161"/>
      <c r="BA917" s="161"/>
      <c r="BB917" s="161"/>
      <c r="BC917" s="161"/>
      <c r="BD917" s="161"/>
      <c r="BE917" s="161"/>
      <c r="BF917" s="161"/>
      <c r="BG917" s="161"/>
      <c r="BH917" s="161"/>
      <c r="BI917" s="161"/>
      <c r="BJ917" s="161"/>
      <c r="BK917" s="161"/>
      <c r="BL917" s="161"/>
      <c r="BM917" s="161"/>
      <c r="BN917" s="161"/>
      <c r="BO917" s="161"/>
      <c r="BP917" s="161"/>
      <c r="BQ917" s="161"/>
      <c r="BR917" s="161"/>
      <c r="BS917" s="161"/>
      <c r="BT917" s="161"/>
      <c r="BU917" s="161"/>
      <c r="BV917" s="161"/>
      <c r="BW917" s="161"/>
      <c r="BX917" s="161"/>
      <c r="BY917" s="161"/>
    </row>
    <row r="918" spans="1:77">
      <c r="A918" s="162"/>
      <c r="B918" s="162"/>
      <c r="C918" s="162"/>
      <c r="D918" s="162"/>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c r="AC918" s="162"/>
      <c r="AD918" s="162"/>
      <c r="AE918" s="162"/>
      <c r="AF918" s="162"/>
      <c r="AG918" s="162"/>
      <c r="AH918" s="162"/>
      <c r="AI918" s="162"/>
      <c r="AJ918" s="162"/>
      <c r="AK918" s="162"/>
      <c r="AL918" s="162"/>
      <c r="AM918" s="162"/>
      <c r="AN918" s="162"/>
      <c r="AO918" s="162"/>
      <c r="AP918" s="162"/>
      <c r="AQ918" s="162"/>
      <c r="AR918" s="162"/>
      <c r="AS918" s="162"/>
      <c r="AT918" s="161"/>
      <c r="AU918" s="161"/>
      <c r="AV918" s="161"/>
      <c r="AW918" s="161"/>
      <c r="AX918" s="161"/>
      <c r="AY918" s="161"/>
      <c r="AZ918" s="161"/>
      <c r="BA918" s="161"/>
      <c r="BB918" s="161"/>
      <c r="BC918" s="161"/>
      <c r="BD918" s="161"/>
      <c r="BE918" s="161"/>
      <c r="BF918" s="161"/>
      <c r="BG918" s="161"/>
      <c r="BH918" s="161"/>
      <c r="BI918" s="161"/>
      <c r="BJ918" s="161"/>
      <c r="BK918" s="161"/>
      <c r="BL918" s="161"/>
      <c r="BM918" s="161"/>
      <c r="BN918" s="161"/>
      <c r="BO918" s="161"/>
      <c r="BP918" s="161"/>
      <c r="BQ918" s="161"/>
      <c r="BR918" s="161"/>
      <c r="BS918" s="161"/>
      <c r="BT918" s="161"/>
      <c r="BU918" s="161"/>
      <c r="BV918" s="161"/>
      <c r="BW918" s="161"/>
      <c r="BX918" s="161"/>
      <c r="BY918" s="161"/>
    </row>
    <row r="919" spans="1:77">
      <c r="A919" s="162"/>
      <c r="B919" s="162"/>
      <c r="C919" s="162"/>
      <c r="D919" s="162"/>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c r="AC919" s="162"/>
      <c r="AD919" s="162"/>
      <c r="AE919" s="162"/>
      <c r="AF919" s="162"/>
      <c r="AG919" s="162"/>
      <c r="AH919" s="162"/>
      <c r="AI919" s="162"/>
      <c r="AJ919" s="162"/>
      <c r="AK919" s="162"/>
      <c r="AL919" s="162"/>
      <c r="AM919" s="162"/>
      <c r="AN919" s="162"/>
      <c r="AO919" s="162"/>
      <c r="AP919" s="162"/>
      <c r="AQ919" s="162"/>
      <c r="AR919" s="162"/>
      <c r="AS919" s="162"/>
      <c r="AT919" s="161"/>
      <c r="AU919" s="161"/>
      <c r="AV919" s="161"/>
      <c r="AW919" s="161"/>
      <c r="AX919" s="161"/>
      <c r="AY919" s="161"/>
      <c r="AZ919" s="161"/>
      <c r="BA919" s="161"/>
      <c r="BB919" s="161"/>
      <c r="BC919" s="161"/>
      <c r="BD919" s="161"/>
      <c r="BE919" s="161"/>
      <c r="BF919" s="161"/>
      <c r="BG919" s="161"/>
      <c r="BH919" s="161"/>
      <c r="BI919" s="161"/>
      <c r="BJ919" s="161"/>
      <c r="BK919" s="161"/>
      <c r="BL919" s="161"/>
      <c r="BM919" s="161"/>
      <c r="BN919" s="161"/>
      <c r="BO919" s="161"/>
      <c r="BP919" s="161"/>
      <c r="BQ919" s="161"/>
      <c r="BR919" s="161"/>
      <c r="BS919" s="161"/>
      <c r="BT919" s="161"/>
      <c r="BU919" s="161"/>
      <c r="BV919" s="161"/>
      <c r="BW919" s="161"/>
      <c r="BX919" s="161"/>
      <c r="BY919" s="161"/>
    </row>
    <row r="920" spans="1:77">
      <c r="A920" s="162"/>
      <c r="B920" s="162"/>
      <c r="C920" s="162"/>
      <c r="D920" s="162"/>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c r="AC920" s="162"/>
      <c r="AD920" s="162"/>
      <c r="AE920" s="162"/>
      <c r="AF920" s="162"/>
      <c r="AG920" s="162"/>
      <c r="AH920" s="162"/>
      <c r="AI920" s="162"/>
      <c r="AJ920" s="162"/>
      <c r="AK920" s="162"/>
      <c r="AL920" s="162"/>
      <c r="AM920" s="162"/>
      <c r="AN920" s="162"/>
      <c r="AO920" s="162"/>
      <c r="AP920" s="162"/>
      <c r="AQ920" s="162"/>
      <c r="AR920" s="162"/>
      <c r="AS920" s="162"/>
      <c r="AT920" s="161"/>
      <c r="AU920" s="161"/>
      <c r="AV920" s="161"/>
      <c r="AW920" s="161"/>
      <c r="AX920" s="161"/>
      <c r="AY920" s="161"/>
      <c r="AZ920" s="161"/>
      <c r="BA920" s="161"/>
      <c r="BB920" s="161"/>
      <c r="BC920" s="161"/>
      <c r="BD920" s="161"/>
      <c r="BE920" s="161"/>
      <c r="BF920" s="161"/>
      <c r="BG920" s="161"/>
      <c r="BH920" s="161"/>
      <c r="BI920" s="161"/>
      <c r="BJ920" s="161"/>
      <c r="BK920" s="161"/>
      <c r="BL920" s="161"/>
      <c r="BM920" s="161"/>
      <c r="BN920" s="161"/>
      <c r="BO920" s="161"/>
      <c r="BP920" s="161"/>
      <c r="BQ920" s="161"/>
      <c r="BR920" s="161"/>
      <c r="BS920" s="161"/>
      <c r="BT920" s="161"/>
      <c r="BU920" s="161"/>
      <c r="BV920" s="161"/>
      <c r="BW920" s="161"/>
      <c r="BX920" s="161"/>
      <c r="BY920" s="161"/>
    </row>
    <row r="921" spans="1:77">
      <c r="A921" s="162"/>
      <c r="B921" s="162"/>
      <c r="C921" s="162"/>
      <c r="D921" s="162"/>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c r="AC921" s="162"/>
      <c r="AD921" s="162"/>
      <c r="AE921" s="162"/>
      <c r="AF921" s="162"/>
      <c r="AG921" s="162"/>
      <c r="AH921" s="162"/>
      <c r="AI921" s="162"/>
      <c r="AJ921" s="162"/>
      <c r="AK921" s="162"/>
      <c r="AL921" s="162"/>
      <c r="AM921" s="162"/>
      <c r="AN921" s="162"/>
      <c r="AO921" s="162"/>
      <c r="AP921" s="162"/>
      <c r="AQ921" s="162"/>
      <c r="AR921" s="162"/>
      <c r="AS921" s="162"/>
      <c r="AT921" s="161"/>
      <c r="AU921" s="161"/>
      <c r="AV921" s="161"/>
      <c r="AW921" s="161"/>
      <c r="AX921" s="161"/>
      <c r="AY921" s="161"/>
      <c r="AZ921" s="161"/>
      <c r="BA921" s="161"/>
      <c r="BB921" s="161"/>
      <c r="BC921" s="161"/>
      <c r="BD921" s="161"/>
      <c r="BE921" s="161"/>
      <c r="BF921" s="161"/>
      <c r="BG921" s="161"/>
      <c r="BH921" s="161"/>
      <c r="BI921" s="161"/>
      <c r="BJ921" s="161"/>
      <c r="BK921" s="161"/>
      <c r="BL921" s="161"/>
      <c r="BM921" s="161"/>
      <c r="BN921" s="161"/>
      <c r="BO921" s="161"/>
      <c r="BP921" s="161"/>
      <c r="BQ921" s="161"/>
      <c r="BR921" s="161"/>
      <c r="BS921" s="161"/>
      <c r="BT921" s="161"/>
      <c r="BU921" s="161"/>
      <c r="BV921" s="161"/>
      <c r="BW921" s="161"/>
      <c r="BX921" s="161"/>
      <c r="BY921" s="161"/>
    </row>
    <row r="922" spans="1:77">
      <c r="A922" s="162"/>
      <c r="B922" s="162"/>
      <c r="C922" s="162"/>
      <c r="D922" s="162"/>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c r="AC922" s="162"/>
      <c r="AD922" s="162"/>
      <c r="AE922" s="162"/>
      <c r="AF922" s="162"/>
      <c r="AG922" s="162"/>
      <c r="AH922" s="162"/>
      <c r="AI922" s="162"/>
      <c r="AJ922" s="162"/>
      <c r="AK922" s="162"/>
      <c r="AL922" s="162"/>
      <c r="AM922" s="162"/>
      <c r="AN922" s="162"/>
      <c r="AO922" s="162"/>
      <c r="AP922" s="162"/>
      <c r="AQ922" s="162"/>
      <c r="AR922" s="162"/>
      <c r="AS922" s="162"/>
      <c r="AT922" s="161"/>
      <c r="AU922" s="161"/>
      <c r="AV922" s="161"/>
      <c r="AW922" s="161"/>
      <c r="AX922" s="161"/>
      <c r="AY922" s="161"/>
      <c r="AZ922" s="161"/>
      <c r="BA922" s="161"/>
      <c r="BB922" s="161"/>
      <c r="BC922" s="161"/>
      <c r="BD922" s="161"/>
      <c r="BE922" s="161"/>
      <c r="BF922" s="161"/>
      <c r="BG922" s="161"/>
      <c r="BH922" s="161"/>
      <c r="BI922" s="161"/>
      <c r="BJ922" s="161"/>
      <c r="BK922" s="161"/>
      <c r="BL922" s="161"/>
      <c r="BM922" s="161"/>
      <c r="BN922" s="161"/>
      <c r="BO922" s="161"/>
      <c r="BP922" s="161"/>
      <c r="BQ922" s="161"/>
      <c r="BR922" s="161"/>
      <c r="BS922" s="161"/>
      <c r="BT922" s="161"/>
      <c r="BU922" s="161"/>
      <c r="BV922" s="161"/>
      <c r="BW922" s="161"/>
      <c r="BX922" s="161"/>
      <c r="BY922" s="161"/>
    </row>
    <row r="923" spans="1:77">
      <c r="A923" s="162"/>
      <c r="B923" s="162"/>
      <c r="C923" s="162"/>
      <c r="D923" s="162"/>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c r="AC923" s="162"/>
      <c r="AD923" s="162"/>
      <c r="AE923" s="162"/>
      <c r="AF923" s="162"/>
      <c r="AG923" s="162"/>
      <c r="AH923" s="162"/>
      <c r="AI923" s="162"/>
      <c r="AJ923" s="162"/>
      <c r="AK923" s="162"/>
      <c r="AL923" s="162"/>
      <c r="AM923" s="162"/>
      <c r="AN923" s="162"/>
      <c r="AO923" s="162"/>
      <c r="AP923" s="162"/>
      <c r="AQ923" s="162"/>
      <c r="AR923" s="162"/>
      <c r="AS923" s="162"/>
      <c r="AT923" s="161"/>
      <c r="AU923" s="161"/>
      <c r="AV923" s="161"/>
      <c r="AW923" s="161"/>
      <c r="AX923" s="161"/>
      <c r="AY923" s="161"/>
      <c r="AZ923" s="161"/>
      <c r="BA923" s="161"/>
      <c r="BB923" s="161"/>
      <c r="BC923" s="161"/>
      <c r="BD923" s="161"/>
      <c r="BE923" s="161"/>
      <c r="BF923" s="161"/>
      <c r="BG923" s="161"/>
      <c r="BH923" s="161"/>
      <c r="BI923" s="161"/>
      <c r="BJ923" s="161"/>
      <c r="BK923" s="161"/>
      <c r="BL923" s="161"/>
      <c r="BM923" s="161"/>
      <c r="BN923" s="161"/>
      <c r="BO923" s="161"/>
      <c r="BP923" s="161"/>
      <c r="BQ923" s="161"/>
      <c r="BR923" s="161"/>
      <c r="BS923" s="161"/>
      <c r="BT923" s="161"/>
      <c r="BU923" s="161"/>
      <c r="BV923" s="161"/>
      <c r="BW923" s="161"/>
      <c r="BX923" s="161"/>
      <c r="BY923" s="161"/>
    </row>
    <row r="924" spans="1:77">
      <c r="A924" s="162"/>
      <c r="B924" s="162"/>
      <c r="C924" s="162"/>
      <c r="D924" s="162"/>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c r="AC924" s="162"/>
      <c r="AD924" s="162"/>
      <c r="AE924" s="162"/>
      <c r="AF924" s="162"/>
      <c r="AG924" s="162"/>
      <c r="AH924" s="162"/>
      <c r="AI924" s="162"/>
      <c r="AJ924" s="162"/>
      <c r="AK924" s="162"/>
      <c r="AL924" s="162"/>
      <c r="AM924" s="162"/>
      <c r="AN924" s="162"/>
      <c r="AO924" s="162"/>
      <c r="AP924" s="162"/>
      <c r="AQ924" s="162"/>
      <c r="AR924" s="162"/>
      <c r="AS924" s="162"/>
      <c r="AT924" s="161"/>
      <c r="AU924" s="161"/>
      <c r="AV924" s="161"/>
      <c r="AW924" s="161"/>
      <c r="AX924" s="161"/>
      <c r="AY924" s="161"/>
      <c r="AZ924" s="161"/>
      <c r="BA924" s="161"/>
      <c r="BB924" s="161"/>
      <c r="BC924" s="161"/>
      <c r="BD924" s="161"/>
      <c r="BE924" s="161"/>
      <c r="BF924" s="161"/>
      <c r="BG924" s="161"/>
      <c r="BH924" s="161"/>
      <c r="BI924" s="161"/>
      <c r="BJ924" s="161"/>
      <c r="BK924" s="161"/>
      <c r="BL924" s="161"/>
      <c r="BM924" s="161"/>
      <c r="BN924" s="161"/>
      <c r="BO924" s="161"/>
      <c r="BP924" s="161"/>
      <c r="BQ924" s="161"/>
      <c r="BR924" s="161"/>
      <c r="BS924" s="161"/>
      <c r="BT924" s="161"/>
      <c r="BU924" s="161"/>
      <c r="BV924" s="161"/>
      <c r="BW924" s="161"/>
      <c r="BX924" s="161"/>
      <c r="BY924" s="161"/>
    </row>
    <row r="925" spans="1:77">
      <c r="A925" s="162"/>
      <c r="B925" s="162"/>
      <c r="C925" s="162"/>
      <c r="D925" s="162"/>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c r="AC925" s="162"/>
      <c r="AD925" s="162"/>
      <c r="AE925" s="162"/>
      <c r="AF925" s="162"/>
      <c r="AG925" s="162"/>
      <c r="AH925" s="162"/>
      <c r="AI925" s="162"/>
      <c r="AJ925" s="162"/>
      <c r="AK925" s="162"/>
      <c r="AL925" s="162"/>
      <c r="AM925" s="162"/>
      <c r="AN925" s="162"/>
      <c r="AO925" s="162"/>
      <c r="AP925" s="162"/>
      <c r="AQ925" s="162"/>
      <c r="AR925" s="162"/>
      <c r="AS925" s="162"/>
      <c r="AT925" s="161"/>
      <c r="AU925" s="161"/>
      <c r="AV925" s="161"/>
      <c r="AW925" s="161"/>
      <c r="AX925" s="161"/>
      <c r="AY925" s="161"/>
      <c r="AZ925" s="161"/>
      <c r="BA925" s="161"/>
      <c r="BB925" s="161"/>
      <c r="BC925" s="161"/>
      <c r="BD925" s="161"/>
      <c r="BE925" s="161"/>
      <c r="BF925" s="161"/>
      <c r="BG925" s="161"/>
      <c r="BH925" s="161"/>
      <c r="BI925" s="161"/>
      <c r="BJ925" s="161"/>
      <c r="BK925" s="161"/>
      <c r="BL925" s="161"/>
      <c r="BM925" s="161"/>
      <c r="BN925" s="161"/>
      <c r="BO925" s="161"/>
      <c r="BP925" s="161"/>
      <c r="BQ925" s="161"/>
      <c r="BR925" s="161"/>
      <c r="BS925" s="161"/>
      <c r="BT925" s="161"/>
      <c r="BU925" s="161"/>
      <c r="BV925" s="161"/>
      <c r="BW925" s="161"/>
      <c r="BX925" s="161"/>
      <c r="BY925" s="161"/>
    </row>
    <row r="926" spans="1:77">
      <c r="A926" s="162"/>
      <c r="B926" s="162"/>
      <c r="C926" s="162"/>
      <c r="D926" s="162"/>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c r="AC926" s="162"/>
      <c r="AD926" s="162"/>
      <c r="AE926" s="162"/>
      <c r="AF926" s="162"/>
      <c r="AG926" s="162"/>
      <c r="AH926" s="162"/>
      <c r="AI926" s="162"/>
      <c r="AJ926" s="162"/>
      <c r="AK926" s="162"/>
      <c r="AL926" s="162"/>
      <c r="AM926" s="162"/>
      <c r="AN926" s="162"/>
      <c r="AO926" s="162"/>
      <c r="AP926" s="162"/>
      <c r="AQ926" s="162"/>
      <c r="AR926" s="162"/>
      <c r="AS926" s="162"/>
      <c r="AT926" s="161"/>
      <c r="AU926" s="161"/>
      <c r="AV926" s="161"/>
      <c r="AW926" s="161"/>
      <c r="AX926" s="161"/>
      <c r="AY926" s="161"/>
      <c r="AZ926" s="161"/>
      <c r="BA926" s="161"/>
      <c r="BB926" s="161"/>
      <c r="BC926" s="161"/>
      <c r="BD926" s="161"/>
      <c r="BE926" s="161"/>
      <c r="BF926" s="161"/>
      <c r="BG926" s="161"/>
      <c r="BH926" s="161"/>
      <c r="BI926" s="161"/>
      <c r="BJ926" s="161"/>
      <c r="BK926" s="161"/>
      <c r="BL926" s="161"/>
      <c r="BM926" s="161"/>
      <c r="BN926" s="161"/>
      <c r="BO926" s="161"/>
      <c r="BP926" s="161"/>
      <c r="BQ926" s="161"/>
      <c r="BR926" s="161"/>
      <c r="BS926" s="161"/>
      <c r="BT926" s="161"/>
      <c r="BU926" s="161"/>
      <c r="BV926" s="161"/>
      <c r="BW926" s="161"/>
      <c r="BX926" s="161"/>
      <c r="BY926" s="161"/>
    </row>
    <row r="927" spans="1:77">
      <c r="A927" s="162"/>
      <c r="B927" s="162"/>
      <c r="C927" s="162"/>
      <c r="D927" s="162"/>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c r="AC927" s="162"/>
      <c r="AD927" s="162"/>
      <c r="AE927" s="162"/>
      <c r="AF927" s="162"/>
      <c r="AG927" s="162"/>
      <c r="AH927" s="162"/>
      <c r="AI927" s="162"/>
      <c r="AJ927" s="162"/>
      <c r="AK927" s="162"/>
      <c r="AL927" s="162"/>
      <c r="AM927" s="162"/>
      <c r="AN927" s="162"/>
      <c r="AO927" s="162"/>
      <c r="AP927" s="162"/>
      <c r="AQ927" s="162"/>
      <c r="AR927" s="162"/>
      <c r="AS927" s="162"/>
      <c r="AT927" s="161"/>
      <c r="AU927" s="161"/>
      <c r="AV927" s="161"/>
      <c r="AW927" s="161"/>
      <c r="AX927" s="161"/>
      <c r="AY927" s="161"/>
      <c r="AZ927" s="161"/>
      <c r="BA927" s="161"/>
      <c r="BB927" s="161"/>
      <c r="BC927" s="161"/>
      <c r="BD927" s="161"/>
      <c r="BE927" s="161"/>
      <c r="BF927" s="161"/>
      <c r="BG927" s="161"/>
      <c r="BH927" s="161"/>
      <c r="BI927" s="161"/>
      <c r="BJ927" s="161"/>
      <c r="BK927" s="161"/>
      <c r="BL927" s="161"/>
      <c r="BM927" s="161"/>
      <c r="BN927" s="161"/>
      <c r="BO927" s="161"/>
      <c r="BP927" s="161"/>
      <c r="BQ927" s="161"/>
      <c r="BR927" s="161"/>
      <c r="BS927" s="161"/>
      <c r="BT927" s="161"/>
      <c r="BU927" s="161"/>
      <c r="BV927" s="161"/>
      <c r="BW927" s="161"/>
      <c r="BX927" s="161"/>
      <c r="BY927" s="161"/>
    </row>
    <row r="928" spans="1:77">
      <c r="A928" s="162"/>
      <c r="B928" s="162"/>
      <c r="C928" s="162"/>
      <c r="D928" s="162"/>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c r="AC928" s="162"/>
      <c r="AD928" s="162"/>
      <c r="AE928" s="162"/>
      <c r="AF928" s="162"/>
      <c r="AG928" s="162"/>
      <c r="AH928" s="162"/>
      <c r="AI928" s="162"/>
      <c r="AJ928" s="162"/>
      <c r="AK928" s="162"/>
      <c r="AL928" s="162"/>
      <c r="AM928" s="162"/>
      <c r="AN928" s="162"/>
      <c r="AO928" s="162"/>
      <c r="AP928" s="162"/>
      <c r="AQ928" s="162"/>
      <c r="AR928" s="162"/>
      <c r="AS928" s="162"/>
      <c r="AT928" s="161"/>
      <c r="AU928" s="161"/>
      <c r="AV928" s="161"/>
      <c r="AW928" s="161"/>
      <c r="AX928" s="161"/>
      <c r="AY928" s="161"/>
      <c r="AZ928" s="161"/>
      <c r="BA928" s="161"/>
      <c r="BB928" s="161"/>
      <c r="BC928" s="161"/>
      <c r="BD928" s="161"/>
      <c r="BE928" s="161"/>
      <c r="BF928" s="161"/>
      <c r="BG928" s="161"/>
      <c r="BH928" s="161"/>
      <c r="BI928" s="161"/>
      <c r="BJ928" s="161"/>
      <c r="BK928" s="161"/>
      <c r="BL928" s="161"/>
      <c r="BM928" s="161"/>
      <c r="BN928" s="161"/>
      <c r="BO928" s="161"/>
      <c r="BP928" s="161"/>
      <c r="BQ928" s="161"/>
      <c r="BR928" s="161"/>
      <c r="BS928" s="161"/>
      <c r="BT928" s="161"/>
      <c r="BU928" s="161"/>
      <c r="BV928" s="161"/>
      <c r="BW928" s="161"/>
      <c r="BX928" s="161"/>
      <c r="BY928" s="161"/>
    </row>
    <row r="929" spans="1:77">
      <c r="A929" s="162"/>
      <c r="B929" s="162"/>
      <c r="C929" s="162"/>
      <c r="D929" s="162"/>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c r="AC929" s="162"/>
      <c r="AD929" s="162"/>
      <c r="AE929" s="162"/>
      <c r="AF929" s="162"/>
      <c r="AG929" s="162"/>
      <c r="AH929" s="162"/>
      <c r="AI929" s="162"/>
      <c r="AJ929" s="162"/>
      <c r="AK929" s="162"/>
      <c r="AL929" s="162"/>
      <c r="AM929" s="162"/>
      <c r="AN929" s="162"/>
      <c r="AO929" s="162"/>
      <c r="AP929" s="162"/>
      <c r="AQ929" s="162"/>
      <c r="AR929" s="162"/>
      <c r="AS929" s="162"/>
      <c r="AT929" s="161"/>
      <c r="AU929" s="161"/>
      <c r="AV929" s="161"/>
      <c r="AW929" s="161"/>
      <c r="AX929" s="161"/>
      <c r="AY929" s="161"/>
      <c r="AZ929" s="161"/>
      <c r="BA929" s="161"/>
      <c r="BB929" s="161"/>
      <c r="BC929" s="161"/>
      <c r="BD929" s="161"/>
      <c r="BE929" s="161"/>
      <c r="BF929" s="161"/>
      <c r="BG929" s="161"/>
      <c r="BH929" s="161"/>
      <c r="BI929" s="161"/>
      <c r="BJ929" s="161"/>
      <c r="BK929" s="161"/>
      <c r="BL929" s="161"/>
      <c r="BM929" s="161"/>
      <c r="BN929" s="161"/>
      <c r="BO929" s="161"/>
      <c r="BP929" s="161"/>
      <c r="BQ929" s="161"/>
      <c r="BR929" s="161"/>
      <c r="BS929" s="161"/>
      <c r="BT929" s="161"/>
      <c r="BU929" s="161"/>
      <c r="BV929" s="161"/>
      <c r="BW929" s="161"/>
      <c r="BX929" s="161"/>
      <c r="BY929" s="161"/>
    </row>
    <row r="930" spans="1:77">
      <c r="A930" s="162"/>
      <c r="B930" s="162"/>
      <c r="C930" s="162"/>
      <c r="D930" s="162"/>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c r="AC930" s="162"/>
      <c r="AD930" s="162"/>
      <c r="AE930" s="162"/>
      <c r="AF930" s="162"/>
      <c r="AG930" s="162"/>
      <c r="AH930" s="162"/>
      <c r="AI930" s="162"/>
      <c r="AJ930" s="162"/>
      <c r="AK930" s="162"/>
      <c r="AL930" s="162"/>
      <c r="AM930" s="162"/>
      <c r="AN930" s="162"/>
      <c r="AO930" s="162"/>
      <c r="AP930" s="162"/>
      <c r="AQ930" s="162"/>
      <c r="AR930" s="162"/>
      <c r="AS930" s="162"/>
      <c r="AT930" s="161"/>
      <c r="AU930" s="161"/>
      <c r="AV930" s="161"/>
      <c r="AW930" s="161"/>
      <c r="AX930" s="161"/>
      <c r="AY930" s="161"/>
      <c r="AZ930" s="161"/>
      <c r="BA930" s="161"/>
      <c r="BB930" s="161"/>
      <c r="BC930" s="161"/>
      <c r="BD930" s="161"/>
      <c r="BE930" s="161"/>
      <c r="BF930" s="161"/>
      <c r="BG930" s="161"/>
      <c r="BH930" s="161"/>
      <c r="BI930" s="161"/>
      <c r="BJ930" s="161"/>
      <c r="BK930" s="161"/>
      <c r="BL930" s="161"/>
      <c r="BM930" s="161"/>
      <c r="BN930" s="161"/>
      <c r="BO930" s="161"/>
      <c r="BP930" s="161"/>
      <c r="BQ930" s="161"/>
      <c r="BR930" s="161"/>
      <c r="BS930" s="161"/>
      <c r="BT930" s="161"/>
      <c r="BU930" s="161"/>
      <c r="BV930" s="161"/>
      <c r="BW930" s="161"/>
      <c r="BX930" s="161"/>
      <c r="BY930" s="161"/>
    </row>
    <row r="931" spans="1:77">
      <c r="A931" s="162"/>
      <c r="B931" s="162"/>
      <c r="C931" s="162"/>
      <c r="D931" s="162"/>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c r="AC931" s="162"/>
      <c r="AD931" s="162"/>
      <c r="AE931" s="162"/>
      <c r="AF931" s="162"/>
      <c r="AG931" s="162"/>
      <c r="AH931" s="162"/>
      <c r="AI931" s="162"/>
      <c r="AJ931" s="162"/>
      <c r="AK931" s="162"/>
      <c r="AL931" s="162"/>
      <c r="AM931" s="162"/>
      <c r="AN931" s="162"/>
      <c r="AO931" s="162"/>
      <c r="AP931" s="162"/>
      <c r="AQ931" s="162"/>
      <c r="AR931" s="162"/>
      <c r="AS931" s="162"/>
      <c r="AT931" s="161"/>
      <c r="AU931" s="161"/>
      <c r="AV931" s="161"/>
      <c r="AW931" s="161"/>
      <c r="AX931" s="161"/>
      <c r="AY931" s="161"/>
      <c r="AZ931" s="161"/>
      <c r="BA931" s="161"/>
      <c r="BB931" s="161"/>
      <c r="BC931" s="161"/>
      <c r="BD931" s="161"/>
      <c r="BE931" s="161"/>
      <c r="BF931" s="161"/>
      <c r="BG931" s="161"/>
      <c r="BH931" s="161"/>
      <c r="BI931" s="161"/>
      <c r="BJ931" s="161"/>
      <c r="BK931" s="161"/>
      <c r="BL931" s="161"/>
      <c r="BM931" s="161"/>
      <c r="BN931" s="161"/>
      <c r="BO931" s="161"/>
      <c r="BP931" s="161"/>
      <c r="BQ931" s="161"/>
      <c r="BR931" s="161"/>
      <c r="BS931" s="161"/>
      <c r="BT931" s="161"/>
      <c r="BU931" s="161"/>
      <c r="BV931" s="161"/>
      <c r="BW931" s="161"/>
      <c r="BX931" s="161"/>
      <c r="BY931" s="161"/>
    </row>
    <row r="932" spans="1:77">
      <c r="A932" s="162"/>
      <c r="B932" s="162"/>
      <c r="C932" s="162"/>
      <c r="D932" s="162"/>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c r="AC932" s="162"/>
      <c r="AD932" s="162"/>
      <c r="AE932" s="162"/>
      <c r="AF932" s="162"/>
      <c r="AG932" s="162"/>
      <c r="AH932" s="162"/>
      <c r="AI932" s="162"/>
      <c r="AJ932" s="162"/>
      <c r="AK932" s="162"/>
      <c r="AL932" s="162"/>
      <c r="AM932" s="162"/>
      <c r="AN932" s="162"/>
      <c r="AO932" s="162"/>
      <c r="AP932" s="162"/>
      <c r="AQ932" s="162"/>
      <c r="AR932" s="162"/>
      <c r="AS932" s="162"/>
      <c r="AT932" s="161"/>
      <c r="AU932" s="161"/>
      <c r="AV932" s="161"/>
      <c r="AW932" s="161"/>
      <c r="AX932" s="161"/>
      <c r="AY932" s="161"/>
      <c r="AZ932" s="161"/>
      <c r="BA932" s="161"/>
      <c r="BB932" s="161"/>
      <c r="BC932" s="161"/>
      <c r="BD932" s="161"/>
      <c r="BE932" s="161"/>
      <c r="BF932" s="161"/>
      <c r="BG932" s="161"/>
      <c r="BH932" s="161"/>
      <c r="BI932" s="161"/>
      <c r="BJ932" s="161"/>
      <c r="BK932" s="161"/>
      <c r="BL932" s="161"/>
      <c r="BM932" s="161"/>
      <c r="BN932" s="161"/>
      <c r="BO932" s="161"/>
      <c r="BP932" s="161"/>
      <c r="BQ932" s="161"/>
      <c r="BR932" s="161"/>
      <c r="BS932" s="161"/>
      <c r="BT932" s="161"/>
      <c r="BU932" s="161"/>
      <c r="BV932" s="161"/>
      <c r="BW932" s="161"/>
      <c r="BX932" s="161"/>
      <c r="BY932" s="161"/>
    </row>
    <row r="933" spans="1:77">
      <c r="A933" s="162"/>
      <c r="B933" s="162"/>
      <c r="C933" s="162"/>
      <c r="D933" s="162"/>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c r="AC933" s="162"/>
      <c r="AD933" s="162"/>
      <c r="AE933" s="162"/>
      <c r="AF933" s="162"/>
      <c r="AG933" s="162"/>
      <c r="AH933" s="162"/>
      <c r="AI933" s="162"/>
      <c r="AJ933" s="162"/>
      <c r="AK933" s="162"/>
      <c r="AL933" s="162"/>
      <c r="AM933" s="162"/>
      <c r="AN933" s="162"/>
      <c r="AO933" s="162"/>
      <c r="AP933" s="162"/>
      <c r="AQ933" s="162"/>
      <c r="AR933" s="162"/>
      <c r="AS933" s="162"/>
      <c r="AT933" s="161"/>
      <c r="AU933" s="161"/>
      <c r="AV933" s="161"/>
      <c r="AW933" s="161"/>
      <c r="AX933" s="161"/>
      <c r="AY933" s="161"/>
      <c r="AZ933" s="161"/>
      <c r="BA933" s="161"/>
      <c r="BB933" s="161"/>
      <c r="BC933" s="161"/>
      <c r="BD933" s="161"/>
      <c r="BE933" s="161"/>
      <c r="BF933" s="161"/>
      <c r="BG933" s="161"/>
      <c r="BH933" s="161"/>
      <c r="BI933" s="161"/>
      <c r="BJ933" s="161"/>
      <c r="BK933" s="161"/>
      <c r="BL933" s="161"/>
      <c r="BM933" s="161"/>
      <c r="BN933" s="161"/>
      <c r="BO933" s="161"/>
      <c r="BP933" s="161"/>
      <c r="BQ933" s="161"/>
      <c r="BR933" s="161"/>
      <c r="BS933" s="161"/>
      <c r="BT933" s="161"/>
      <c r="BU933" s="161"/>
      <c r="BV933" s="161"/>
      <c r="BW933" s="161"/>
      <c r="BX933" s="161"/>
      <c r="BY933" s="161"/>
    </row>
    <row r="934" spans="1:77">
      <c r="A934" s="162"/>
      <c r="B934" s="162"/>
      <c r="C934" s="162"/>
      <c r="D934" s="162"/>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c r="AC934" s="162"/>
      <c r="AD934" s="162"/>
      <c r="AE934" s="162"/>
      <c r="AF934" s="162"/>
      <c r="AG934" s="162"/>
      <c r="AH934" s="162"/>
      <c r="AI934" s="162"/>
      <c r="AJ934" s="162"/>
      <c r="AK934" s="162"/>
      <c r="AL934" s="162"/>
      <c r="AM934" s="162"/>
      <c r="AN934" s="162"/>
      <c r="AO934" s="162"/>
      <c r="AP934" s="162"/>
      <c r="AQ934" s="162"/>
      <c r="AR934" s="162"/>
      <c r="AS934" s="162"/>
      <c r="AT934" s="161"/>
      <c r="AU934" s="161"/>
      <c r="AV934" s="161"/>
      <c r="AW934" s="161"/>
      <c r="AX934" s="161"/>
      <c r="AY934" s="161"/>
      <c r="AZ934" s="161"/>
      <c r="BA934" s="161"/>
      <c r="BB934" s="161"/>
      <c r="BC934" s="161"/>
      <c r="BD934" s="161"/>
      <c r="BE934" s="161"/>
      <c r="BF934" s="161"/>
      <c r="BG934" s="161"/>
      <c r="BH934" s="161"/>
      <c r="BI934" s="161"/>
      <c r="BJ934" s="161"/>
      <c r="BK934" s="161"/>
      <c r="BL934" s="161"/>
      <c r="BM934" s="161"/>
      <c r="BN934" s="161"/>
      <c r="BO934" s="161"/>
      <c r="BP934" s="161"/>
      <c r="BQ934" s="161"/>
      <c r="BR934" s="161"/>
      <c r="BS934" s="161"/>
      <c r="BT934" s="161"/>
      <c r="BU934" s="161"/>
      <c r="BV934" s="161"/>
      <c r="BW934" s="161"/>
      <c r="BX934" s="161"/>
      <c r="BY934" s="161"/>
    </row>
    <row r="935" spans="1:77">
      <c r="A935" s="162"/>
      <c r="B935" s="162"/>
      <c r="C935" s="162"/>
      <c r="D935" s="162"/>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c r="AC935" s="162"/>
      <c r="AD935" s="162"/>
      <c r="AE935" s="162"/>
      <c r="AF935" s="162"/>
      <c r="AG935" s="162"/>
      <c r="AH935" s="162"/>
      <c r="AI935" s="162"/>
      <c r="AJ935" s="162"/>
      <c r="AK935" s="162"/>
      <c r="AL935" s="162"/>
      <c r="AM935" s="162"/>
      <c r="AN935" s="162"/>
      <c r="AO935" s="162"/>
      <c r="AP935" s="162"/>
      <c r="AQ935" s="162"/>
      <c r="AR935" s="162"/>
      <c r="AS935" s="162"/>
      <c r="AT935" s="161"/>
      <c r="AU935" s="161"/>
      <c r="AV935" s="161"/>
      <c r="AW935" s="161"/>
      <c r="AX935" s="161"/>
      <c r="AY935" s="161"/>
      <c r="AZ935" s="161"/>
      <c r="BA935" s="161"/>
      <c r="BB935" s="161"/>
      <c r="BC935" s="161"/>
      <c r="BD935" s="161"/>
      <c r="BE935" s="161"/>
      <c r="BF935" s="161"/>
      <c r="BG935" s="161"/>
      <c r="BH935" s="161"/>
      <c r="BI935" s="161"/>
      <c r="BJ935" s="161"/>
      <c r="BK935" s="161"/>
      <c r="BL935" s="161"/>
      <c r="BM935" s="161"/>
      <c r="BN935" s="161"/>
      <c r="BO935" s="161"/>
      <c r="BP935" s="161"/>
      <c r="BQ935" s="161"/>
      <c r="BR935" s="161"/>
      <c r="BS935" s="161"/>
      <c r="BT935" s="161"/>
      <c r="BU935" s="161"/>
      <c r="BV935" s="161"/>
      <c r="BW935" s="161"/>
      <c r="BX935" s="161"/>
      <c r="BY935" s="161"/>
    </row>
    <row r="936" spans="1:77">
      <c r="A936" s="162"/>
      <c r="B936" s="162"/>
      <c r="C936" s="162"/>
      <c r="D936" s="162"/>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c r="AC936" s="162"/>
      <c r="AD936" s="162"/>
      <c r="AE936" s="162"/>
      <c r="AF936" s="162"/>
      <c r="AG936" s="162"/>
      <c r="AH936" s="162"/>
      <c r="AI936" s="162"/>
      <c r="AJ936" s="162"/>
      <c r="AK936" s="162"/>
      <c r="AL936" s="162"/>
      <c r="AM936" s="162"/>
      <c r="AN936" s="162"/>
      <c r="AO936" s="162"/>
      <c r="AP936" s="162"/>
      <c r="AQ936" s="162"/>
      <c r="AR936" s="162"/>
      <c r="AS936" s="162"/>
      <c r="AT936" s="161"/>
      <c r="AU936" s="161"/>
      <c r="AV936" s="161"/>
      <c r="AW936" s="161"/>
      <c r="AX936" s="161"/>
      <c r="AY936" s="161"/>
      <c r="AZ936" s="161"/>
      <c r="BA936" s="161"/>
      <c r="BB936" s="161"/>
      <c r="BC936" s="161"/>
      <c r="BD936" s="161"/>
      <c r="BE936" s="161"/>
      <c r="BF936" s="161"/>
      <c r="BG936" s="161"/>
      <c r="BH936" s="161"/>
      <c r="BI936" s="161"/>
      <c r="BJ936" s="161"/>
      <c r="BK936" s="161"/>
      <c r="BL936" s="161"/>
      <c r="BM936" s="161"/>
      <c r="BN936" s="161"/>
      <c r="BO936" s="161"/>
      <c r="BP936" s="161"/>
      <c r="BQ936" s="161"/>
      <c r="BR936" s="161"/>
      <c r="BS936" s="161"/>
      <c r="BT936" s="161"/>
      <c r="BU936" s="161"/>
      <c r="BV936" s="161"/>
      <c r="BW936" s="161"/>
      <c r="BX936" s="161"/>
      <c r="BY936" s="161"/>
    </row>
    <row r="937" spans="1:77">
      <c r="A937" s="162"/>
      <c r="B937" s="162"/>
      <c r="C937" s="162"/>
      <c r="D937" s="162"/>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c r="AC937" s="162"/>
      <c r="AD937" s="162"/>
      <c r="AE937" s="162"/>
      <c r="AF937" s="162"/>
      <c r="AG937" s="162"/>
      <c r="AH937" s="162"/>
      <c r="AI937" s="162"/>
      <c r="AJ937" s="162"/>
      <c r="AK937" s="162"/>
      <c r="AL937" s="162"/>
      <c r="AM937" s="162"/>
      <c r="AN937" s="162"/>
      <c r="AO937" s="162"/>
      <c r="AP937" s="162"/>
      <c r="AQ937" s="162"/>
      <c r="AR937" s="162"/>
      <c r="AS937" s="162"/>
      <c r="AT937" s="161"/>
      <c r="AU937" s="161"/>
      <c r="AV937" s="161"/>
      <c r="AW937" s="161"/>
      <c r="AX937" s="161"/>
      <c r="AY937" s="161"/>
      <c r="AZ937" s="161"/>
      <c r="BA937" s="161"/>
      <c r="BB937" s="161"/>
      <c r="BC937" s="161"/>
      <c r="BD937" s="161"/>
      <c r="BE937" s="161"/>
      <c r="BF937" s="161"/>
      <c r="BG937" s="161"/>
      <c r="BH937" s="161"/>
      <c r="BI937" s="161"/>
      <c r="BJ937" s="161"/>
      <c r="BK937" s="161"/>
      <c r="BL937" s="161"/>
      <c r="BM937" s="161"/>
      <c r="BN937" s="161"/>
      <c r="BO937" s="161"/>
      <c r="BP937" s="161"/>
      <c r="BQ937" s="161"/>
      <c r="BR937" s="161"/>
      <c r="BS937" s="161"/>
      <c r="BT937" s="161"/>
      <c r="BU937" s="161"/>
      <c r="BV937" s="161"/>
      <c r="BW937" s="161"/>
      <c r="BX937" s="161"/>
      <c r="BY937" s="161"/>
    </row>
    <row r="938" spans="1:77">
      <c r="A938" s="162"/>
      <c r="B938" s="162"/>
      <c r="C938" s="162"/>
      <c r="D938" s="162"/>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c r="AC938" s="162"/>
      <c r="AD938" s="162"/>
      <c r="AE938" s="162"/>
      <c r="AF938" s="162"/>
      <c r="AG938" s="162"/>
      <c r="AH938" s="162"/>
      <c r="AI938" s="162"/>
      <c r="AJ938" s="162"/>
      <c r="AK938" s="162"/>
      <c r="AL938" s="162"/>
      <c r="AM938" s="162"/>
      <c r="AN938" s="162"/>
      <c r="AO938" s="162"/>
      <c r="AP938" s="162"/>
      <c r="AQ938" s="162"/>
      <c r="AR938" s="162"/>
      <c r="AS938" s="162"/>
      <c r="AT938" s="161"/>
      <c r="AU938" s="161"/>
      <c r="AV938" s="161"/>
      <c r="AW938" s="161"/>
      <c r="AX938" s="161"/>
      <c r="AY938" s="161"/>
      <c r="AZ938" s="161"/>
      <c r="BA938" s="161"/>
      <c r="BB938" s="161"/>
      <c r="BC938" s="161"/>
      <c r="BD938" s="161"/>
      <c r="BE938" s="161"/>
      <c r="BF938" s="161"/>
      <c r="BG938" s="161"/>
      <c r="BH938" s="161"/>
      <c r="BI938" s="161"/>
      <c r="BJ938" s="161"/>
      <c r="BK938" s="161"/>
      <c r="BL938" s="161"/>
      <c r="BM938" s="161"/>
      <c r="BN938" s="161"/>
      <c r="BO938" s="161"/>
      <c r="BP938" s="161"/>
      <c r="BQ938" s="161"/>
      <c r="BR938" s="161"/>
      <c r="BS938" s="161"/>
      <c r="BT938" s="161"/>
      <c r="BU938" s="161"/>
      <c r="BV938" s="161"/>
      <c r="BW938" s="161"/>
      <c r="BX938" s="161"/>
      <c r="BY938" s="161"/>
    </row>
    <row r="939" spans="1:77">
      <c r="A939" s="162"/>
      <c r="B939" s="162"/>
      <c r="C939" s="162"/>
      <c r="D939" s="162"/>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c r="AC939" s="162"/>
      <c r="AD939" s="162"/>
      <c r="AE939" s="162"/>
      <c r="AF939" s="162"/>
      <c r="AG939" s="162"/>
      <c r="AH939" s="162"/>
      <c r="AI939" s="162"/>
      <c r="AJ939" s="162"/>
      <c r="AK939" s="162"/>
      <c r="AL939" s="162"/>
      <c r="AM939" s="162"/>
      <c r="AN939" s="162"/>
      <c r="AO939" s="162"/>
      <c r="AP939" s="162"/>
      <c r="AQ939" s="162"/>
      <c r="AR939" s="162"/>
      <c r="AS939" s="162"/>
      <c r="AT939" s="161"/>
      <c r="AU939" s="161"/>
      <c r="AV939" s="161"/>
      <c r="AW939" s="161"/>
      <c r="AX939" s="161"/>
      <c r="AY939" s="161"/>
      <c r="AZ939" s="161"/>
      <c r="BA939" s="161"/>
      <c r="BB939" s="161"/>
      <c r="BC939" s="161"/>
      <c r="BD939" s="161"/>
      <c r="BE939" s="161"/>
      <c r="BF939" s="161"/>
      <c r="BG939" s="161"/>
      <c r="BH939" s="161"/>
      <c r="BI939" s="161"/>
      <c r="BJ939" s="161"/>
      <c r="BK939" s="161"/>
      <c r="BL939" s="161"/>
      <c r="BM939" s="161"/>
      <c r="BN939" s="161"/>
      <c r="BO939" s="161"/>
      <c r="BP939" s="161"/>
      <c r="BQ939" s="161"/>
      <c r="BR939" s="161"/>
      <c r="BS939" s="161"/>
      <c r="BT939" s="161"/>
      <c r="BU939" s="161"/>
      <c r="BV939" s="161"/>
      <c r="BW939" s="161"/>
      <c r="BX939" s="161"/>
      <c r="BY939" s="161"/>
    </row>
    <row r="940" spans="1:77">
      <c r="A940" s="162"/>
      <c r="B940" s="162"/>
      <c r="C940" s="162"/>
      <c r="D940" s="162"/>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c r="AC940" s="162"/>
      <c r="AD940" s="162"/>
      <c r="AE940" s="162"/>
      <c r="AF940" s="162"/>
      <c r="AG940" s="162"/>
      <c r="AH940" s="162"/>
      <c r="AI940" s="162"/>
      <c r="AJ940" s="162"/>
      <c r="AK940" s="162"/>
      <c r="AL940" s="162"/>
      <c r="AM940" s="162"/>
      <c r="AN940" s="162"/>
      <c r="AO940" s="162"/>
      <c r="AP940" s="162"/>
      <c r="AQ940" s="162"/>
      <c r="AR940" s="162"/>
      <c r="AS940" s="162"/>
      <c r="AT940" s="161"/>
      <c r="AU940" s="161"/>
      <c r="AV940" s="161"/>
      <c r="AW940" s="161"/>
      <c r="AX940" s="161"/>
      <c r="AY940" s="161"/>
      <c r="AZ940" s="161"/>
      <c r="BA940" s="161"/>
      <c r="BB940" s="161"/>
      <c r="BC940" s="161"/>
      <c r="BD940" s="161"/>
      <c r="BE940" s="161"/>
      <c r="BF940" s="161"/>
      <c r="BG940" s="161"/>
      <c r="BH940" s="161"/>
      <c r="BI940" s="161"/>
      <c r="BJ940" s="161"/>
      <c r="BK940" s="161"/>
      <c r="BL940" s="161"/>
      <c r="BM940" s="161"/>
      <c r="BN940" s="161"/>
      <c r="BO940" s="161"/>
      <c r="BP940" s="161"/>
      <c r="BQ940" s="161"/>
      <c r="BR940" s="161"/>
      <c r="BS940" s="161"/>
      <c r="BT940" s="161"/>
      <c r="BU940" s="161"/>
      <c r="BV940" s="161"/>
      <c r="BW940" s="161"/>
      <c r="BX940" s="161"/>
      <c r="BY940" s="161"/>
    </row>
    <row r="941" spans="1:77">
      <c r="A941" s="162"/>
      <c r="B941" s="162"/>
      <c r="C941" s="162"/>
      <c r="D941" s="162"/>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c r="AC941" s="162"/>
      <c r="AD941" s="162"/>
      <c r="AE941" s="162"/>
      <c r="AF941" s="162"/>
      <c r="AG941" s="162"/>
      <c r="AH941" s="162"/>
      <c r="AI941" s="162"/>
      <c r="AJ941" s="162"/>
      <c r="AK941" s="162"/>
      <c r="AL941" s="162"/>
      <c r="AM941" s="162"/>
      <c r="AN941" s="162"/>
      <c r="AO941" s="162"/>
      <c r="AP941" s="162"/>
      <c r="AQ941" s="162"/>
      <c r="AR941" s="162"/>
      <c r="AS941" s="162"/>
      <c r="AT941" s="161"/>
      <c r="AU941" s="161"/>
      <c r="AV941" s="161"/>
      <c r="AW941" s="161"/>
      <c r="AX941" s="161"/>
      <c r="AY941" s="161"/>
      <c r="AZ941" s="161"/>
      <c r="BA941" s="161"/>
      <c r="BB941" s="161"/>
      <c r="BC941" s="161"/>
      <c r="BD941" s="161"/>
      <c r="BE941" s="161"/>
      <c r="BF941" s="161"/>
      <c r="BG941" s="161"/>
      <c r="BH941" s="161"/>
      <c r="BI941" s="161"/>
      <c r="BJ941" s="161"/>
      <c r="BK941" s="161"/>
      <c r="BL941" s="161"/>
      <c r="BM941" s="161"/>
      <c r="BN941" s="161"/>
      <c r="BO941" s="161"/>
      <c r="BP941" s="161"/>
      <c r="BQ941" s="161"/>
      <c r="BR941" s="161"/>
      <c r="BS941" s="161"/>
      <c r="BT941" s="161"/>
      <c r="BU941" s="161"/>
      <c r="BV941" s="161"/>
      <c r="BW941" s="161"/>
      <c r="BX941" s="161"/>
      <c r="BY941" s="161"/>
    </row>
    <row r="942" spans="1:77">
      <c r="A942" s="162"/>
      <c r="B942" s="162"/>
      <c r="C942" s="162"/>
      <c r="D942" s="162"/>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c r="AC942" s="162"/>
      <c r="AD942" s="162"/>
      <c r="AE942" s="162"/>
      <c r="AF942" s="162"/>
      <c r="AG942" s="162"/>
      <c r="AH942" s="162"/>
      <c r="AI942" s="162"/>
      <c r="AJ942" s="162"/>
      <c r="AK942" s="162"/>
      <c r="AL942" s="162"/>
      <c r="AM942" s="162"/>
      <c r="AN942" s="162"/>
      <c r="AO942" s="162"/>
      <c r="AP942" s="162"/>
      <c r="AQ942" s="162"/>
      <c r="AR942" s="162"/>
      <c r="AS942" s="162"/>
      <c r="AT942" s="161"/>
      <c r="AU942" s="161"/>
      <c r="AV942" s="161"/>
      <c r="AW942" s="161"/>
      <c r="AX942" s="161"/>
      <c r="AY942" s="161"/>
      <c r="AZ942" s="161"/>
      <c r="BA942" s="161"/>
      <c r="BB942" s="161"/>
      <c r="BC942" s="161"/>
      <c r="BD942" s="161"/>
      <c r="BE942" s="161"/>
      <c r="BF942" s="161"/>
      <c r="BG942" s="161"/>
      <c r="BH942" s="161"/>
      <c r="BI942" s="161"/>
      <c r="BJ942" s="161"/>
      <c r="BK942" s="161"/>
      <c r="BL942" s="161"/>
      <c r="BM942" s="161"/>
      <c r="BN942" s="161"/>
      <c r="BO942" s="161"/>
      <c r="BP942" s="161"/>
      <c r="BQ942" s="161"/>
      <c r="BR942" s="161"/>
      <c r="BS942" s="161"/>
      <c r="BT942" s="161"/>
      <c r="BU942" s="161"/>
      <c r="BV942" s="161"/>
      <c r="BW942" s="161"/>
      <c r="BX942" s="161"/>
      <c r="BY942" s="161"/>
    </row>
    <row r="943" spans="1:77">
      <c r="A943" s="162"/>
      <c r="B943" s="162"/>
      <c r="C943" s="162"/>
      <c r="D943" s="162"/>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c r="AC943" s="162"/>
      <c r="AD943" s="162"/>
      <c r="AE943" s="162"/>
      <c r="AF943" s="162"/>
      <c r="AG943" s="162"/>
      <c r="AH943" s="162"/>
      <c r="AI943" s="162"/>
      <c r="AJ943" s="162"/>
      <c r="AK943" s="162"/>
      <c r="AL943" s="162"/>
      <c r="AM943" s="162"/>
      <c r="AN943" s="162"/>
      <c r="AO943" s="162"/>
      <c r="AP943" s="162"/>
      <c r="AQ943" s="162"/>
      <c r="AR943" s="162"/>
      <c r="AS943" s="162"/>
      <c r="AT943" s="161"/>
      <c r="AU943" s="161"/>
      <c r="AV943" s="161"/>
      <c r="AW943" s="161"/>
      <c r="AX943" s="161"/>
      <c r="AY943" s="161"/>
      <c r="AZ943" s="161"/>
      <c r="BA943" s="161"/>
      <c r="BB943" s="161"/>
      <c r="BC943" s="161"/>
      <c r="BD943" s="161"/>
      <c r="BE943" s="161"/>
      <c r="BF943" s="161"/>
      <c r="BG943" s="161"/>
      <c r="BH943" s="161"/>
      <c r="BI943" s="161"/>
      <c r="BJ943" s="161"/>
      <c r="BK943" s="161"/>
      <c r="BL943" s="161"/>
      <c r="BM943" s="161"/>
      <c r="BN943" s="161"/>
      <c r="BO943" s="161"/>
      <c r="BP943" s="161"/>
      <c r="BQ943" s="161"/>
      <c r="BR943" s="161"/>
      <c r="BS943" s="161"/>
      <c r="BT943" s="161"/>
      <c r="BU943" s="161"/>
      <c r="BV943" s="161"/>
      <c r="BW943" s="161"/>
      <c r="BX943" s="161"/>
      <c r="BY943" s="161"/>
    </row>
    <row r="944" spans="1:77">
      <c r="A944" s="162"/>
      <c r="B944" s="162"/>
      <c r="C944" s="162"/>
      <c r="D944" s="162"/>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c r="AC944" s="162"/>
      <c r="AD944" s="162"/>
      <c r="AE944" s="162"/>
      <c r="AF944" s="162"/>
      <c r="AG944" s="162"/>
      <c r="AH944" s="162"/>
      <c r="AI944" s="162"/>
      <c r="AJ944" s="162"/>
      <c r="AK944" s="162"/>
      <c r="AL944" s="162"/>
      <c r="AM944" s="162"/>
      <c r="AN944" s="162"/>
      <c r="AO944" s="162"/>
      <c r="AP944" s="162"/>
      <c r="AQ944" s="162"/>
      <c r="AR944" s="162"/>
      <c r="AS944" s="162"/>
      <c r="AT944" s="161"/>
      <c r="AU944" s="161"/>
      <c r="AV944" s="161"/>
      <c r="AW944" s="161"/>
      <c r="AX944" s="161"/>
      <c r="AY944" s="161"/>
      <c r="AZ944" s="161"/>
      <c r="BA944" s="161"/>
      <c r="BB944" s="161"/>
      <c r="BC944" s="161"/>
      <c r="BD944" s="161"/>
      <c r="BE944" s="161"/>
      <c r="BF944" s="161"/>
      <c r="BG944" s="161"/>
      <c r="BH944" s="161"/>
      <c r="BI944" s="161"/>
      <c r="BJ944" s="161"/>
      <c r="BK944" s="161"/>
      <c r="BL944" s="161"/>
      <c r="BM944" s="161"/>
      <c r="BN944" s="161"/>
      <c r="BO944" s="161"/>
      <c r="BP944" s="161"/>
      <c r="BQ944" s="161"/>
      <c r="BR944" s="161"/>
      <c r="BS944" s="161"/>
      <c r="BT944" s="161"/>
      <c r="BU944" s="161"/>
      <c r="BV944" s="161"/>
      <c r="BW944" s="161"/>
      <c r="BX944" s="161"/>
      <c r="BY944" s="161"/>
    </row>
    <row r="945" spans="1:77">
      <c r="A945" s="162"/>
      <c r="B945" s="162"/>
      <c r="C945" s="162"/>
      <c r="D945" s="162"/>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c r="AC945" s="162"/>
      <c r="AD945" s="162"/>
      <c r="AE945" s="162"/>
      <c r="AF945" s="162"/>
      <c r="AG945" s="162"/>
      <c r="AH945" s="162"/>
      <c r="AI945" s="162"/>
      <c r="AJ945" s="162"/>
      <c r="AK945" s="162"/>
      <c r="AL945" s="162"/>
      <c r="AM945" s="162"/>
      <c r="AN945" s="162"/>
      <c r="AO945" s="162"/>
      <c r="AP945" s="162"/>
      <c r="AQ945" s="162"/>
      <c r="AR945" s="162"/>
      <c r="AS945" s="162"/>
      <c r="AT945" s="161"/>
      <c r="AU945" s="161"/>
      <c r="AV945" s="161"/>
      <c r="AW945" s="161"/>
      <c r="AX945" s="161"/>
      <c r="AY945" s="161"/>
      <c r="AZ945" s="161"/>
      <c r="BA945" s="161"/>
      <c r="BB945" s="161"/>
      <c r="BC945" s="161"/>
      <c r="BD945" s="161"/>
      <c r="BE945" s="161"/>
      <c r="BF945" s="161"/>
      <c r="BG945" s="161"/>
      <c r="BH945" s="161"/>
      <c r="BI945" s="161"/>
      <c r="BJ945" s="161"/>
      <c r="BK945" s="161"/>
      <c r="BL945" s="161"/>
      <c r="BM945" s="161"/>
      <c r="BN945" s="161"/>
      <c r="BO945" s="161"/>
      <c r="BP945" s="161"/>
      <c r="BQ945" s="161"/>
      <c r="BR945" s="161"/>
      <c r="BS945" s="161"/>
      <c r="BT945" s="161"/>
      <c r="BU945" s="161"/>
      <c r="BV945" s="161"/>
      <c r="BW945" s="161"/>
      <c r="BX945" s="161"/>
      <c r="BY945" s="161"/>
    </row>
    <row r="946" spans="1:77">
      <c r="A946" s="162"/>
      <c r="B946" s="162"/>
      <c r="C946" s="162"/>
      <c r="D946" s="162"/>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c r="AC946" s="162"/>
      <c r="AD946" s="162"/>
      <c r="AE946" s="162"/>
      <c r="AF946" s="162"/>
      <c r="AG946" s="162"/>
      <c r="AH946" s="162"/>
      <c r="AI946" s="162"/>
      <c r="AJ946" s="162"/>
      <c r="AK946" s="162"/>
      <c r="AL946" s="162"/>
      <c r="AM946" s="162"/>
      <c r="AN946" s="162"/>
      <c r="AO946" s="162"/>
      <c r="AP946" s="162"/>
      <c r="AQ946" s="162"/>
      <c r="AR946" s="162"/>
      <c r="AS946" s="162"/>
      <c r="AT946" s="161"/>
      <c r="AU946" s="161"/>
      <c r="AV946" s="161"/>
      <c r="AW946" s="161"/>
      <c r="AX946" s="161"/>
      <c r="AY946" s="161"/>
      <c r="AZ946" s="161"/>
      <c r="BA946" s="161"/>
      <c r="BB946" s="161"/>
      <c r="BC946" s="161"/>
      <c r="BD946" s="161"/>
      <c r="BE946" s="161"/>
      <c r="BF946" s="161"/>
      <c r="BG946" s="161"/>
      <c r="BH946" s="161"/>
      <c r="BI946" s="161"/>
      <c r="BJ946" s="161"/>
      <c r="BK946" s="161"/>
      <c r="BL946" s="161"/>
      <c r="BM946" s="161"/>
      <c r="BN946" s="161"/>
      <c r="BO946" s="161"/>
      <c r="BP946" s="161"/>
      <c r="BQ946" s="161"/>
      <c r="BR946" s="161"/>
      <c r="BS946" s="161"/>
      <c r="BT946" s="161"/>
      <c r="BU946" s="161"/>
      <c r="BV946" s="161"/>
      <c r="BW946" s="161"/>
      <c r="BX946" s="161"/>
      <c r="BY946" s="161"/>
    </row>
    <row r="947" spans="1:77">
      <c r="A947" s="162"/>
      <c r="B947" s="162"/>
      <c r="C947" s="162"/>
      <c r="D947" s="162"/>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c r="AC947" s="162"/>
      <c r="AD947" s="162"/>
      <c r="AE947" s="162"/>
      <c r="AF947" s="162"/>
      <c r="AG947" s="162"/>
      <c r="AH947" s="162"/>
      <c r="AI947" s="162"/>
      <c r="AJ947" s="162"/>
      <c r="AK947" s="162"/>
      <c r="AL947" s="162"/>
      <c r="AM947" s="162"/>
      <c r="AN947" s="162"/>
      <c r="AO947" s="162"/>
      <c r="AP947" s="162"/>
      <c r="AQ947" s="162"/>
      <c r="AR947" s="162"/>
      <c r="AS947" s="162"/>
      <c r="AT947" s="161"/>
      <c r="AU947" s="161"/>
      <c r="AV947" s="161"/>
      <c r="AW947" s="161"/>
      <c r="AX947" s="161"/>
      <c r="AY947" s="161"/>
      <c r="AZ947" s="161"/>
      <c r="BA947" s="161"/>
      <c r="BB947" s="161"/>
      <c r="BC947" s="161"/>
      <c r="BD947" s="161"/>
      <c r="BE947" s="161"/>
      <c r="BF947" s="161"/>
      <c r="BG947" s="161"/>
      <c r="BH947" s="161"/>
      <c r="BI947" s="161"/>
      <c r="BJ947" s="161"/>
      <c r="BK947" s="161"/>
      <c r="BL947" s="161"/>
      <c r="BM947" s="161"/>
      <c r="BN947" s="161"/>
      <c r="BO947" s="161"/>
      <c r="BP947" s="161"/>
      <c r="BQ947" s="161"/>
      <c r="BR947" s="161"/>
      <c r="BS947" s="161"/>
      <c r="BT947" s="161"/>
      <c r="BU947" s="161"/>
      <c r="BV947" s="161"/>
      <c r="BW947" s="161"/>
      <c r="BX947" s="161"/>
      <c r="BY947" s="161"/>
    </row>
    <row r="948" spans="1:77">
      <c r="A948" s="162"/>
      <c r="B948" s="162"/>
      <c r="C948" s="162"/>
      <c r="D948" s="162"/>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c r="AC948" s="162"/>
      <c r="AD948" s="162"/>
      <c r="AE948" s="162"/>
      <c r="AF948" s="162"/>
      <c r="AG948" s="162"/>
      <c r="AH948" s="162"/>
      <c r="AI948" s="162"/>
      <c r="AJ948" s="162"/>
      <c r="AK948" s="162"/>
      <c r="AL948" s="162"/>
      <c r="AM948" s="162"/>
      <c r="AN948" s="162"/>
      <c r="AO948" s="162"/>
      <c r="AP948" s="162"/>
      <c r="AQ948" s="162"/>
      <c r="AR948" s="162"/>
      <c r="AS948" s="162"/>
      <c r="AT948" s="161"/>
      <c r="AU948" s="161"/>
      <c r="AV948" s="161"/>
      <c r="AW948" s="161"/>
      <c r="AX948" s="161"/>
      <c r="AY948" s="161"/>
      <c r="AZ948" s="161"/>
      <c r="BA948" s="161"/>
      <c r="BB948" s="161"/>
      <c r="BC948" s="161"/>
      <c r="BD948" s="161"/>
      <c r="BE948" s="161"/>
      <c r="BF948" s="161"/>
      <c r="BG948" s="161"/>
      <c r="BH948" s="161"/>
      <c r="BI948" s="161"/>
      <c r="BJ948" s="161"/>
      <c r="BK948" s="161"/>
      <c r="BL948" s="161"/>
      <c r="BM948" s="161"/>
      <c r="BN948" s="161"/>
      <c r="BO948" s="161"/>
      <c r="BP948" s="161"/>
      <c r="BQ948" s="161"/>
      <c r="BR948" s="161"/>
      <c r="BS948" s="161"/>
      <c r="BT948" s="161"/>
      <c r="BU948" s="161"/>
      <c r="BV948" s="161"/>
      <c r="BW948" s="161"/>
      <c r="BX948" s="161"/>
      <c r="BY948" s="161"/>
    </row>
    <row r="949" spans="1:77">
      <c r="A949" s="162"/>
      <c r="B949" s="162"/>
      <c r="C949" s="162"/>
      <c r="D949" s="162"/>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c r="AC949" s="162"/>
      <c r="AD949" s="162"/>
      <c r="AE949" s="162"/>
      <c r="AF949" s="162"/>
      <c r="AG949" s="162"/>
      <c r="AH949" s="162"/>
      <c r="AI949" s="162"/>
      <c r="AJ949" s="162"/>
      <c r="AK949" s="162"/>
      <c r="AL949" s="162"/>
      <c r="AM949" s="162"/>
      <c r="AN949" s="162"/>
      <c r="AO949" s="162"/>
      <c r="AP949" s="162"/>
      <c r="AQ949" s="162"/>
      <c r="AR949" s="162"/>
      <c r="AS949" s="162"/>
      <c r="AT949" s="161"/>
      <c r="AU949" s="161"/>
      <c r="AV949" s="161"/>
      <c r="AW949" s="161"/>
      <c r="AX949" s="161"/>
      <c r="AY949" s="161"/>
      <c r="AZ949" s="161"/>
      <c r="BA949" s="161"/>
      <c r="BB949" s="161"/>
      <c r="BC949" s="161"/>
      <c r="BD949" s="161"/>
      <c r="BE949" s="161"/>
      <c r="BF949" s="161"/>
      <c r="BG949" s="161"/>
      <c r="BH949" s="161"/>
      <c r="BI949" s="161"/>
      <c r="BJ949" s="161"/>
      <c r="BK949" s="161"/>
      <c r="BL949" s="161"/>
      <c r="BM949" s="161"/>
      <c r="BN949" s="161"/>
      <c r="BO949" s="161"/>
      <c r="BP949" s="161"/>
      <c r="BQ949" s="161"/>
      <c r="BR949" s="161"/>
      <c r="BS949" s="161"/>
      <c r="BT949" s="161"/>
      <c r="BU949" s="161"/>
      <c r="BV949" s="161"/>
      <c r="BW949" s="161"/>
      <c r="BX949" s="161"/>
      <c r="BY949" s="161"/>
    </row>
    <row r="950" spans="1:77">
      <c r="A950" s="162"/>
      <c r="B950" s="162"/>
      <c r="C950" s="162"/>
      <c r="D950" s="162"/>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c r="AC950" s="162"/>
      <c r="AD950" s="162"/>
      <c r="AE950" s="162"/>
      <c r="AF950" s="162"/>
      <c r="AG950" s="162"/>
      <c r="AH950" s="162"/>
      <c r="AI950" s="162"/>
      <c r="AJ950" s="162"/>
      <c r="AK950" s="162"/>
      <c r="AL950" s="162"/>
      <c r="AM950" s="162"/>
      <c r="AN950" s="162"/>
      <c r="AO950" s="162"/>
      <c r="AP950" s="162"/>
      <c r="AQ950" s="162"/>
      <c r="AR950" s="162"/>
      <c r="AS950" s="162"/>
      <c r="AT950" s="161"/>
      <c r="AU950" s="161"/>
      <c r="AV950" s="161"/>
      <c r="AW950" s="161"/>
      <c r="AX950" s="161"/>
      <c r="AY950" s="161"/>
      <c r="AZ950" s="161"/>
      <c r="BA950" s="161"/>
      <c r="BB950" s="161"/>
      <c r="BC950" s="161"/>
      <c r="BD950" s="161"/>
      <c r="BE950" s="161"/>
      <c r="BF950" s="161"/>
      <c r="BG950" s="161"/>
      <c r="BH950" s="161"/>
      <c r="BI950" s="161"/>
      <c r="BJ950" s="161"/>
      <c r="BK950" s="161"/>
      <c r="BL950" s="161"/>
      <c r="BM950" s="161"/>
      <c r="BN950" s="161"/>
      <c r="BO950" s="161"/>
      <c r="BP950" s="161"/>
      <c r="BQ950" s="161"/>
      <c r="BR950" s="161"/>
      <c r="BS950" s="161"/>
      <c r="BT950" s="161"/>
      <c r="BU950" s="161"/>
      <c r="BV950" s="161"/>
      <c r="BW950" s="161"/>
      <c r="BX950" s="161"/>
      <c r="BY950" s="161"/>
    </row>
    <row r="951" spans="1:77">
      <c r="A951" s="162"/>
      <c r="B951" s="162"/>
      <c r="C951" s="162"/>
      <c r="D951" s="162"/>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c r="AC951" s="162"/>
      <c r="AD951" s="162"/>
      <c r="AE951" s="162"/>
      <c r="AF951" s="162"/>
      <c r="AG951" s="162"/>
      <c r="AH951" s="162"/>
      <c r="AI951" s="162"/>
      <c r="AJ951" s="162"/>
      <c r="AK951" s="162"/>
      <c r="AL951" s="162"/>
      <c r="AM951" s="162"/>
      <c r="AN951" s="162"/>
      <c r="AO951" s="162"/>
      <c r="AP951" s="162"/>
      <c r="AQ951" s="162"/>
      <c r="AR951" s="162"/>
      <c r="AS951" s="162"/>
      <c r="AT951" s="161"/>
      <c r="AU951" s="161"/>
      <c r="AV951" s="161"/>
      <c r="AW951" s="161"/>
      <c r="AX951" s="161"/>
      <c r="AY951" s="161"/>
      <c r="AZ951" s="161"/>
      <c r="BA951" s="161"/>
      <c r="BB951" s="161"/>
      <c r="BC951" s="161"/>
      <c r="BD951" s="161"/>
      <c r="BE951" s="161"/>
      <c r="BF951" s="161"/>
      <c r="BG951" s="161"/>
      <c r="BH951" s="161"/>
      <c r="BI951" s="161"/>
      <c r="BJ951" s="161"/>
      <c r="BK951" s="161"/>
      <c r="BL951" s="161"/>
      <c r="BM951" s="161"/>
      <c r="BN951" s="161"/>
      <c r="BO951" s="161"/>
      <c r="BP951" s="161"/>
      <c r="BQ951" s="161"/>
      <c r="BR951" s="161"/>
      <c r="BS951" s="161"/>
      <c r="BT951" s="161"/>
      <c r="BU951" s="161"/>
      <c r="BV951" s="161"/>
      <c r="BW951" s="161"/>
      <c r="BX951" s="161"/>
      <c r="BY951" s="161"/>
    </row>
    <row r="952" spans="1:77">
      <c r="A952" s="162"/>
      <c r="B952" s="162"/>
      <c r="C952" s="162"/>
      <c r="D952" s="162"/>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c r="AC952" s="162"/>
      <c r="AD952" s="162"/>
      <c r="AE952" s="162"/>
      <c r="AF952" s="162"/>
      <c r="AG952" s="162"/>
      <c r="AH952" s="162"/>
      <c r="AI952" s="162"/>
      <c r="AJ952" s="162"/>
      <c r="AK952" s="162"/>
      <c r="AL952" s="162"/>
      <c r="AM952" s="162"/>
      <c r="AN952" s="162"/>
      <c r="AO952" s="162"/>
      <c r="AP952" s="162"/>
      <c r="AQ952" s="162"/>
      <c r="AR952" s="162"/>
      <c r="AS952" s="162"/>
      <c r="AT952" s="161"/>
      <c r="AU952" s="161"/>
      <c r="AV952" s="161"/>
      <c r="AW952" s="161"/>
      <c r="AX952" s="161"/>
      <c r="AY952" s="161"/>
      <c r="AZ952" s="161"/>
      <c r="BA952" s="161"/>
      <c r="BB952" s="161"/>
      <c r="BC952" s="161"/>
      <c r="BD952" s="161"/>
      <c r="BE952" s="161"/>
      <c r="BF952" s="161"/>
      <c r="BG952" s="161"/>
      <c r="BH952" s="161"/>
      <c r="BI952" s="161"/>
      <c r="BJ952" s="161"/>
      <c r="BK952" s="161"/>
      <c r="BL952" s="161"/>
      <c r="BM952" s="161"/>
      <c r="BN952" s="161"/>
      <c r="BO952" s="161"/>
      <c r="BP952" s="161"/>
      <c r="BQ952" s="161"/>
      <c r="BR952" s="161"/>
      <c r="BS952" s="161"/>
      <c r="BT952" s="161"/>
      <c r="BU952" s="161"/>
      <c r="BV952" s="161"/>
      <c r="BW952" s="161"/>
      <c r="BX952" s="161"/>
      <c r="BY952" s="161"/>
    </row>
    <row r="953" spans="1:77">
      <c r="A953" s="162"/>
      <c r="B953" s="162"/>
      <c r="C953" s="162"/>
      <c r="D953" s="162"/>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c r="AC953" s="162"/>
      <c r="AD953" s="162"/>
      <c r="AE953" s="162"/>
      <c r="AF953" s="162"/>
      <c r="AG953" s="162"/>
      <c r="AH953" s="162"/>
      <c r="AI953" s="162"/>
      <c r="AJ953" s="162"/>
      <c r="AK953" s="162"/>
      <c r="AL953" s="162"/>
      <c r="AM953" s="162"/>
      <c r="AN953" s="162"/>
      <c r="AO953" s="162"/>
      <c r="AP953" s="162"/>
      <c r="AQ953" s="162"/>
      <c r="AR953" s="162"/>
      <c r="AS953" s="162"/>
      <c r="AT953" s="161"/>
      <c r="AU953" s="161"/>
      <c r="AV953" s="161"/>
      <c r="AW953" s="161"/>
      <c r="AX953" s="161"/>
      <c r="AY953" s="161"/>
      <c r="AZ953" s="161"/>
      <c r="BA953" s="161"/>
      <c r="BB953" s="161"/>
      <c r="BC953" s="161"/>
      <c r="BD953" s="161"/>
      <c r="BE953" s="161"/>
      <c r="BF953" s="161"/>
      <c r="BG953" s="161"/>
      <c r="BH953" s="161"/>
      <c r="BI953" s="161"/>
      <c r="BJ953" s="161"/>
      <c r="BK953" s="161"/>
      <c r="BL953" s="161"/>
      <c r="BM953" s="161"/>
      <c r="BN953" s="161"/>
      <c r="BO953" s="161"/>
      <c r="BP953" s="161"/>
      <c r="BQ953" s="161"/>
      <c r="BR953" s="161"/>
      <c r="BS953" s="161"/>
      <c r="BT953" s="161"/>
      <c r="BU953" s="161"/>
      <c r="BV953" s="161"/>
      <c r="BW953" s="161"/>
      <c r="BX953" s="161"/>
      <c r="BY953" s="161"/>
    </row>
    <row r="954" spans="1:77">
      <c r="A954" s="162"/>
      <c r="B954" s="162"/>
      <c r="C954" s="162"/>
      <c r="D954" s="162"/>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c r="AC954" s="162"/>
      <c r="AD954" s="162"/>
      <c r="AE954" s="162"/>
      <c r="AF954" s="162"/>
      <c r="AG954" s="162"/>
      <c r="AH954" s="162"/>
      <c r="AI954" s="162"/>
      <c r="AJ954" s="162"/>
      <c r="AK954" s="162"/>
      <c r="AL954" s="162"/>
      <c r="AM954" s="162"/>
      <c r="AN954" s="162"/>
      <c r="AO954" s="162"/>
      <c r="AP954" s="162"/>
      <c r="AQ954" s="162"/>
      <c r="AR954" s="162"/>
      <c r="AS954" s="162"/>
      <c r="AT954" s="161"/>
      <c r="AU954" s="161"/>
      <c r="AV954" s="161"/>
      <c r="AW954" s="161"/>
      <c r="AX954" s="161"/>
      <c r="AY954" s="161"/>
      <c r="AZ954" s="161"/>
      <c r="BA954" s="161"/>
      <c r="BB954" s="161"/>
      <c r="BC954" s="161"/>
      <c r="BD954" s="161"/>
      <c r="BE954" s="161"/>
      <c r="BF954" s="161"/>
      <c r="BG954" s="161"/>
      <c r="BH954" s="161"/>
      <c r="BI954" s="161"/>
      <c r="BJ954" s="161"/>
      <c r="BK954" s="161"/>
      <c r="BL954" s="161"/>
      <c r="BM954" s="161"/>
      <c r="BN954" s="161"/>
      <c r="BO954" s="161"/>
      <c r="BP954" s="161"/>
      <c r="BQ954" s="161"/>
      <c r="BR954" s="161"/>
      <c r="BS954" s="161"/>
      <c r="BT954" s="161"/>
      <c r="BU954" s="161"/>
      <c r="BV954" s="161"/>
      <c r="BW954" s="161"/>
      <c r="BX954" s="161"/>
      <c r="BY954" s="161"/>
    </row>
    <row r="955" spans="1:77">
      <c r="A955" s="162"/>
      <c r="B955" s="162"/>
      <c r="C955" s="162"/>
      <c r="D955" s="162"/>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c r="AC955" s="162"/>
      <c r="AD955" s="162"/>
      <c r="AE955" s="162"/>
      <c r="AF955" s="162"/>
      <c r="AG955" s="162"/>
      <c r="AH955" s="162"/>
      <c r="AI955" s="162"/>
      <c r="AJ955" s="162"/>
      <c r="AK955" s="162"/>
      <c r="AL955" s="162"/>
      <c r="AM955" s="162"/>
      <c r="AN955" s="162"/>
      <c r="AO955" s="162"/>
      <c r="AP955" s="162"/>
      <c r="AQ955" s="162"/>
      <c r="AR955" s="162"/>
      <c r="AS955" s="162"/>
      <c r="AT955" s="161"/>
      <c r="AU955" s="161"/>
      <c r="AV955" s="161"/>
      <c r="AW955" s="161"/>
      <c r="AX955" s="161"/>
      <c r="AY955" s="161"/>
      <c r="AZ955" s="161"/>
      <c r="BA955" s="161"/>
      <c r="BB955" s="161"/>
      <c r="BC955" s="161"/>
      <c r="BD955" s="161"/>
      <c r="BE955" s="161"/>
      <c r="BF955" s="161"/>
      <c r="BG955" s="161"/>
      <c r="BH955" s="161"/>
      <c r="BI955" s="161"/>
      <c r="BJ955" s="161"/>
      <c r="BK955" s="161"/>
      <c r="BL955" s="161"/>
      <c r="BM955" s="161"/>
      <c r="BN955" s="161"/>
      <c r="BO955" s="161"/>
      <c r="BP955" s="161"/>
      <c r="BQ955" s="161"/>
      <c r="BR955" s="161"/>
      <c r="BS955" s="161"/>
      <c r="BT955" s="161"/>
      <c r="BU955" s="161"/>
      <c r="BV955" s="161"/>
      <c r="BW955" s="161"/>
      <c r="BX955" s="161"/>
      <c r="BY955" s="161"/>
    </row>
    <row r="956" spans="1:77">
      <c r="A956" s="162"/>
      <c r="B956" s="162"/>
      <c r="C956" s="162"/>
      <c r="D956" s="162"/>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c r="AC956" s="162"/>
      <c r="AD956" s="162"/>
      <c r="AE956" s="162"/>
      <c r="AF956" s="162"/>
      <c r="AG956" s="162"/>
      <c r="AH956" s="162"/>
      <c r="AI956" s="162"/>
      <c r="AJ956" s="162"/>
      <c r="AK956" s="162"/>
      <c r="AL956" s="162"/>
      <c r="AM956" s="162"/>
      <c r="AN956" s="162"/>
      <c r="AO956" s="162"/>
      <c r="AP956" s="162"/>
      <c r="AQ956" s="162"/>
      <c r="AR956" s="162"/>
      <c r="AS956" s="162"/>
      <c r="AT956" s="161"/>
      <c r="AU956" s="161"/>
      <c r="AV956" s="161"/>
      <c r="AW956" s="161"/>
      <c r="AX956" s="161"/>
      <c r="AY956" s="161"/>
      <c r="AZ956" s="161"/>
      <c r="BA956" s="161"/>
      <c r="BB956" s="161"/>
      <c r="BC956" s="161"/>
      <c r="BD956" s="161"/>
      <c r="BE956" s="161"/>
      <c r="BF956" s="161"/>
      <c r="BG956" s="161"/>
      <c r="BH956" s="161"/>
      <c r="BI956" s="161"/>
      <c r="BJ956" s="161"/>
      <c r="BK956" s="161"/>
      <c r="BL956" s="161"/>
      <c r="BM956" s="161"/>
      <c r="BN956" s="161"/>
      <c r="BO956" s="161"/>
      <c r="BP956" s="161"/>
      <c r="BQ956" s="161"/>
      <c r="BR956" s="161"/>
      <c r="BS956" s="161"/>
      <c r="BT956" s="161"/>
      <c r="BU956" s="161"/>
      <c r="BV956" s="161"/>
      <c r="BW956" s="161"/>
      <c r="BX956" s="161"/>
      <c r="BY956" s="161"/>
    </row>
    <row r="957" spans="1:77">
      <c r="A957" s="162"/>
      <c r="B957" s="162"/>
      <c r="C957" s="162"/>
      <c r="D957" s="162"/>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c r="AC957" s="162"/>
      <c r="AD957" s="162"/>
      <c r="AE957" s="162"/>
      <c r="AF957" s="162"/>
      <c r="AG957" s="162"/>
      <c r="AH957" s="162"/>
      <c r="AI957" s="162"/>
      <c r="AJ957" s="162"/>
      <c r="AK957" s="162"/>
      <c r="AL957" s="162"/>
      <c r="AM957" s="162"/>
      <c r="AN957" s="162"/>
      <c r="AO957" s="162"/>
      <c r="AP957" s="162"/>
      <c r="AQ957" s="162"/>
      <c r="AR957" s="162"/>
      <c r="AS957" s="162"/>
      <c r="AT957" s="161"/>
      <c r="AU957" s="161"/>
      <c r="AV957" s="161"/>
      <c r="AW957" s="161"/>
      <c r="AX957" s="161"/>
      <c r="AY957" s="161"/>
      <c r="AZ957" s="161"/>
      <c r="BA957" s="161"/>
      <c r="BB957" s="161"/>
      <c r="BC957" s="161"/>
      <c r="BD957" s="161"/>
      <c r="BE957" s="161"/>
      <c r="BF957" s="161"/>
      <c r="BG957" s="161"/>
      <c r="BH957" s="161"/>
      <c r="BI957" s="161"/>
      <c r="BJ957" s="161"/>
      <c r="BK957" s="161"/>
      <c r="BL957" s="161"/>
      <c r="BM957" s="161"/>
      <c r="BN957" s="161"/>
      <c r="BO957" s="161"/>
      <c r="BP957" s="161"/>
      <c r="BQ957" s="161"/>
      <c r="BR957" s="161"/>
      <c r="BS957" s="161"/>
      <c r="BT957" s="161"/>
      <c r="BU957" s="161"/>
      <c r="BV957" s="161"/>
      <c r="BW957" s="161"/>
      <c r="BX957" s="161"/>
      <c r="BY957" s="161"/>
    </row>
    <row r="958" spans="1:77">
      <c r="A958" s="162"/>
      <c r="B958" s="162"/>
      <c r="C958" s="162"/>
      <c r="D958" s="162"/>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c r="AC958" s="162"/>
      <c r="AD958" s="162"/>
      <c r="AE958" s="162"/>
      <c r="AF958" s="162"/>
      <c r="AG958" s="162"/>
      <c r="AH958" s="162"/>
      <c r="AI958" s="162"/>
      <c r="AJ958" s="162"/>
      <c r="AK958" s="162"/>
      <c r="AL958" s="162"/>
      <c r="AM958" s="162"/>
      <c r="AN958" s="162"/>
      <c r="AO958" s="162"/>
      <c r="AP958" s="162"/>
      <c r="AQ958" s="162"/>
      <c r="AR958" s="162"/>
      <c r="AS958" s="162"/>
      <c r="AT958" s="161"/>
      <c r="AU958" s="161"/>
      <c r="AV958" s="161"/>
      <c r="AW958" s="161"/>
      <c r="AX958" s="161"/>
      <c r="AY958" s="161"/>
      <c r="AZ958" s="161"/>
      <c r="BA958" s="161"/>
      <c r="BB958" s="161"/>
      <c r="BC958" s="161"/>
      <c r="BD958" s="161"/>
      <c r="BE958" s="161"/>
      <c r="BF958" s="161"/>
      <c r="BG958" s="161"/>
      <c r="BH958" s="161"/>
      <c r="BI958" s="161"/>
      <c r="BJ958" s="161"/>
      <c r="BK958" s="161"/>
      <c r="BL958" s="161"/>
      <c r="BM958" s="161"/>
      <c r="BN958" s="161"/>
      <c r="BO958" s="161"/>
      <c r="BP958" s="161"/>
      <c r="BQ958" s="161"/>
      <c r="BR958" s="161"/>
      <c r="BS958" s="161"/>
      <c r="BT958" s="161"/>
      <c r="BU958" s="161"/>
      <c r="BV958" s="161"/>
      <c r="BW958" s="161"/>
      <c r="BX958" s="161"/>
      <c r="BY958" s="161"/>
    </row>
    <row r="959" spans="1:77">
      <c r="A959" s="162"/>
      <c r="B959" s="162"/>
      <c r="C959" s="162"/>
      <c r="D959" s="162"/>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c r="AC959" s="162"/>
      <c r="AD959" s="162"/>
      <c r="AE959" s="162"/>
      <c r="AF959" s="162"/>
      <c r="AG959" s="162"/>
      <c r="AH959" s="162"/>
      <c r="AI959" s="162"/>
      <c r="AJ959" s="162"/>
      <c r="AK959" s="162"/>
      <c r="AL959" s="162"/>
      <c r="AM959" s="162"/>
      <c r="AN959" s="162"/>
      <c r="AO959" s="162"/>
      <c r="AP959" s="162"/>
      <c r="AQ959" s="162"/>
      <c r="AR959" s="162"/>
      <c r="AS959" s="162"/>
      <c r="AT959" s="161"/>
      <c r="AU959" s="161"/>
      <c r="AV959" s="161"/>
      <c r="AW959" s="161"/>
      <c r="AX959" s="161"/>
      <c r="AY959" s="161"/>
      <c r="AZ959" s="161"/>
      <c r="BA959" s="161"/>
      <c r="BB959" s="161"/>
      <c r="BC959" s="161"/>
      <c r="BD959" s="161"/>
      <c r="BE959" s="161"/>
      <c r="BF959" s="161"/>
      <c r="BG959" s="161"/>
      <c r="BH959" s="161"/>
      <c r="BI959" s="161"/>
      <c r="BJ959" s="161"/>
      <c r="BK959" s="161"/>
      <c r="BL959" s="161"/>
      <c r="BM959" s="161"/>
      <c r="BN959" s="161"/>
      <c r="BO959" s="161"/>
      <c r="BP959" s="161"/>
      <c r="BQ959" s="161"/>
      <c r="BR959" s="161"/>
      <c r="BS959" s="161"/>
      <c r="BT959" s="161"/>
      <c r="BU959" s="161"/>
      <c r="BV959" s="161"/>
      <c r="BW959" s="161"/>
      <c r="BX959" s="161"/>
      <c r="BY959" s="161"/>
    </row>
    <row r="960" spans="1:77">
      <c r="A960" s="162"/>
      <c r="B960" s="162"/>
      <c r="C960" s="162"/>
      <c r="D960" s="162"/>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c r="AC960" s="162"/>
      <c r="AD960" s="162"/>
      <c r="AE960" s="162"/>
      <c r="AF960" s="162"/>
      <c r="AG960" s="162"/>
      <c r="AH960" s="162"/>
      <c r="AI960" s="162"/>
      <c r="AJ960" s="162"/>
      <c r="AK960" s="162"/>
      <c r="AL960" s="162"/>
      <c r="AM960" s="162"/>
      <c r="AN960" s="162"/>
      <c r="AO960" s="162"/>
      <c r="AP960" s="162"/>
      <c r="AQ960" s="162"/>
      <c r="AR960" s="162"/>
      <c r="AS960" s="162"/>
      <c r="AT960" s="161"/>
      <c r="AU960" s="161"/>
      <c r="AV960" s="161"/>
      <c r="AW960" s="161"/>
      <c r="AX960" s="161"/>
      <c r="AY960" s="161"/>
      <c r="AZ960" s="161"/>
      <c r="BA960" s="161"/>
      <c r="BB960" s="161"/>
      <c r="BC960" s="161"/>
      <c r="BD960" s="161"/>
      <c r="BE960" s="161"/>
      <c r="BF960" s="161"/>
      <c r="BG960" s="161"/>
      <c r="BH960" s="161"/>
      <c r="BI960" s="161"/>
      <c r="BJ960" s="161"/>
      <c r="BK960" s="161"/>
      <c r="BL960" s="161"/>
      <c r="BM960" s="161"/>
      <c r="BN960" s="161"/>
      <c r="BO960" s="161"/>
      <c r="BP960" s="161"/>
      <c r="BQ960" s="161"/>
      <c r="BR960" s="161"/>
      <c r="BS960" s="161"/>
      <c r="BT960" s="161"/>
      <c r="BU960" s="161"/>
      <c r="BV960" s="161"/>
      <c r="BW960" s="161"/>
      <c r="BX960" s="161"/>
      <c r="BY960" s="161"/>
    </row>
    <row r="961" spans="1:77">
      <c r="A961" s="162"/>
      <c r="B961" s="162"/>
      <c r="C961" s="162"/>
      <c r="D961" s="162"/>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c r="AC961" s="162"/>
      <c r="AD961" s="162"/>
      <c r="AE961" s="162"/>
      <c r="AF961" s="162"/>
      <c r="AG961" s="162"/>
      <c r="AH961" s="162"/>
      <c r="AI961" s="162"/>
      <c r="AJ961" s="162"/>
      <c r="AK961" s="162"/>
      <c r="AL961" s="162"/>
      <c r="AM961" s="162"/>
      <c r="AN961" s="162"/>
      <c r="AO961" s="162"/>
      <c r="AP961" s="162"/>
      <c r="AQ961" s="162"/>
      <c r="AR961" s="162"/>
      <c r="AS961" s="162"/>
      <c r="AT961" s="161"/>
      <c r="AU961" s="161"/>
      <c r="AV961" s="161"/>
      <c r="AW961" s="161"/>
      <c r="AX961" s="161"/>
      <c r="AY961" s="161"/>
      <c r="AZ961" s="161"/>
      <c r="BA961" s="161"/>
      <c r="BB961" s="161"/>
      <c r="BC961" s="161"/>
      <c r="BD961" s="161"/>
      <c r="BE961" s="161"/>
      <c r="BF961" s="161"/>
      <c r="BG961" s="161"/>
      <c r="BH961" s="161"/>
      <c r="BI961" s="161"/>
      <c r="BJ961" s="161"/>
      <c r="BK961" s="161"/>
      <c r="BL961" s="161"/>
      <c r="BM961" s="161"/>
      <c r="BN961" s="161"/>
      <c r="BO961" s="161"/>
      <c r="BP961" s="161"/>
      <c r="BQ961" s="161"/>
      <c r="BR961" s="161"/>
      <c r="BS961" s="161"/>
      <c r="BT961" s="161"/>
      <c r="BU961" s="161"/>
      <c r="BV961" s="161"/>
      <c r="BW961" s="161"/>
      <c r="BX961" s="161"/>
      <c r="BY961" s="161"/>
    </row>
    <row r="962" spans="1:77">
      <c r="A962" s="162"/>
      <c r="B962" s="162"/>
      <c r="C962" s="162"/>
      <c r="D962" s="162"/>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c r="AC962" s="162"/>
      <c r="AD962" s="162"/>
      <c r="AE962" s="162"/>
      <c r="AF962" s="162"/>
      <c r="AG962" s="162"/>
      <c r="AH962" s="162"/>
      <c r="AI962" s="162"/>
      <c r="AJ962" s="162"/>
      <c r="AK962" s="162"/>
      <c r="AL962" s="162"/>
      <c r="AM962" s="162"/>
      <c r="AN962" s="162"/>
      <c r="AO962" s="162"/>
      <c r="AP962" s="162"/>
      <c r="AQ962" s="162"/>
      <c r="AR962" s="162"/>
      <c r="AS962" s="162"/>
      <c r="AT962" s="161"/>
      <c r="AU962" s="161"/>
      <c r="AV962" s="161"/>
      <c r="AW962" s="161"/>
      <c r="AX962" s="161"/>
      <c r="AY962" s="161"/>
      <c r="AZ962" s="161"/>
      <c r="BA962" s="161"/>
      <c r="BB962" s="161"/>
      <c r="BC962" s="161"/>
      <c r="BD962" s="161"/>
      <c r="BE962" s="161"/>
      <c r="BF962" s="161"/>
      <c r="BG962" s="161"/>
      <c r="BH962" s="161"/>
      <c r="BI962" s="161"/>
      <c r="BJ962" s="161"/>
      <c r="BK962" s="161"/>
      <c r="BL962" s="161"/>
      <c r="BM962" s="161"/>
      <c r="BN962" s="161"/>
      <c r="BO962" s="161"/>
      <c r="BP962" s="161"/>
      <c r="BQ962" s="161"/>
      <c r="BR962" s="161"/>
      <c r="BS962" s="161"/>
      <c r="BT962" s="161"/>
      <c r="BU962" s="161"/>
      <c r="BV962" s="161"/>
      <c r="BW962" s="161"/>
      <c r="BX962" s="161"/>
      <c r="BY962" s="161"/>
    </row>
    <row r="963" spans="1:77">
      <c r="A963" s="162"/>
      <c r="B963" s="162"/>
      <c r="C963" s="162"/>
      <c r="D963" s="162"/>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c r="AC963" s="162"/>
      <c r="AD963" s="162"/>
      <c r="AE963" s="162"/>
      <c r="AF963" s="162"/>
      <c r="AG963" s="162"/>
      <c r="AH963" s="162"/>
      <c r="AI963" s="162"/>
      <c r="AJ963" s="162"/>
      <c r="AK963" s="162"/>
      <c r="AL963" s="162"/>
      <c r="AM963" s="162"/>
      <c r="AN963" s="162"/>
      <c r="AO963" s="162"/>
      <c r="AP963" s="162"/>
      <c r="AQ963" s="162"/>
      <c r="AR963" s="162"/>
      <c r="AS963" s="162"/>
      <c r="AT963" s="161"/>
      <c r="AU963" s="161"/>
      <c r="AV963" s="161"/>
      <c r="AW963" s="161"/>
      <c r="AX963" s="161"/>
      <c r="AY963" s="161"/>
      <c r="AZ963" s="161"/>
      <c r="BA963" s="161"/>
      <c r="BB963" s="161"/>
      <c r="BC963" s="161"/>
      <c r="BD963" s="161"/>
      <c r="BE963" s="161"/>
      <c r="BF963" s="161"/>
      <c r="BG963" s="161"/>
      <c r="BH963" s="161"/>
      <c r="BI963" s="161"/>
      <c r="BJ963" s="161"/>
      <c r="BK963" s="161"/>
      <c r="BL963" s="161"/>
      <c r="BM963" s="161"/>
      <c r="BN963" s="161"/>
      <c r="BO963" s="161"/>
      <c r="BP963" s="161"/>
      <c r="BQ963" s="161"/>
      <c r="BR963" s="161"/>
      <c r="BS963" s="161"/>
      <c r="BT963" s="161"/>
      <c r="BU963" s="161"/>
      <c r="BV963" s="161"/>
      <c r="BW963" s="161"/>
      <c r="BX963" s="161"/>
      <c r="BY963" s="161"/>
    </row>
    <row r="964" spans="1:77">
      <c r="A964" s="162"/>
      <c r="B964" s="162"/>
      <c r="C964" s="162"/>
      <c r="D964" s="162"/>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c r="AC964" s="162"/>
      <c r="AD964" s="162"/>
      <c r="AE964" s="162"/>
      <c r="AF964" s="162"/>
      <c r="AG964" s="162"/>
      <c r="AH964" s="162"/>
      <c r="AI964" s="162"/>
      <c r="AJ964" s="162"/>
      <c r="AK964" s="162"/>
      <c r="AL964" s="162"/>
      <c r="AM964" s="162"/>
      <c r="AN964" s="162"/>
      <c r="AO964" s="162"/>
      <c r="AP964" s="162"/>
      <c r="AQ964" s="162"/>
      <c r="AR964" s="162"/>
      <c r="AS964" s="162"/>
      <c r="AT964" s="161"/>
      <c r="AU964" s="161"/>
      <c r="AV964" s="161"/>
      <c r="AW964" s="161"/>
      <c r="AX964" s="161"/>
      <c r="AY964" s="161"/>
      <c r="AZ964" s="161"/>
      <c r="BA964" s="161"/>
      <c r="BB964" s="161"/>
      <c r="BC964" s="161"/>
      <c r="BD964" s="161"/>
      <c r="BE964" s="161"/>
      <c r="BF964" s="161"/>
      <c r="BG964" s="161"/>
      <c r="BH964" s="161"/>
      <c r="BI964" s="161"/>
      <c r="BJ964" s="161"/>
      <c r="BK964" s="161"/>
      <c r="BL964" s="161"/>
      <c r="BM964" s="161"/>
      <c r="BN964" s="161"/>
      <c r="BO964" s="161"/>
      <c r="BP964" s="161"/>
      <c r="BQ964" s="161"/>
      <c r="BR964" s="161"/>
      <c r="BS964" s="161"/>
      <c r="BT964" s="161"/>
      <c r="BU964" s="161"/>
      <c r="BV964" s="161"/>
      <c r="BW964" s="161"/>
      <c r="BX964" s="161"/>
      <c r="BY964" s="161"/>
    </row>
    <row r="965" spans="1:77">
      <c r="A965" s="162"/>
      <c r="B965" s="162"/>
      <c r="C965" s="162"/>
      <c r="D965" s="162"/>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c r="AC965" s="162"/>
      <c r="AD965" s="162"/>
      <c r="AE965" s="162"/>
      <c r="AF965" s="162"/>
      <c r="AG965" s="162"/>
      <c r="AH965" s="162"/>
      <c r="AI965" s="162"/>
      <c r="AJ965" s="162"/>
      <c r="AK965" s="162"/>
      <c r="AL965" s="162"/>
      <c r="AM965" s="162"/>
      <c r="AN965" s="162"/>
      <c r="AO965" s="162"/>
      <c r="AP965" s="162"/>
      <c r="AQ965" s="162"/>
      <c r="AR965" s="162"/>
      <c r="AS965" s="162"/>
      <c r="AT965" s="161"/>
      <c r="AU965" s="161"/>
      <c r="AV965" s="161"/>
      <c r="AW965" s="161"/>
      <c r="AX965" s="161"/>
      <c r="AY965" s="161"/>
      <c r="AZ965" s="161"/>
      <c r="BA965" s="161"/>
      <c r="BB965" s="161"/>
      <c r="BC965" s="161"/>
      <c r="BD965" s="161"/>
      <c r="BE965" s="161"/>
      <c r="BF965" s="161"/>
      <c r="BG965" s="161"/>
      <c r="BH965" s="161"/>
      <c r="BI965" s="161"/>
      <c r="BJ965" s="161"/>
      <c r="BK965" s="161"/>
      <c r="BL965" s="161"/>
      <c r="BM965" s="161"/>
      <c r="BN965" s="161"/>
      <c r="BO965" s="161"/>
      <c r="BP965" s="161"/>
      <c r="BQ965" s="161"/>
      <c r="BR965" s="161"/>
      <c r="BS965" s="161"/>
      <c r="BT965" s="161"/>
      <c r="BU965" s="161"/>
      <c r="BV965" s="161"/>
      <c r="BW965" s="161"/>
      <c r="BX965" s="161"/>
      <c r="BY965" s="161"/>
    </row>
    <row r="966" spans="1:77">
      <c r="A966" s="162"/>
      <c r="B966" s="162"/>
      <c r="C966" s="162"/>
      <c r="D966" s="162"/>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c r="AC966" s="162"/>
      <c r="AD966" s="162"/>
      <c r="AE966" s="162"/>
      <c r="AF966" s="162"/>
      <c r="AG966" s="162"/>
      <c r="AH966" s="162"/>
      <c r="AI966" s="162"/>
      <c r="AJ966" s="162"/>
      <c r="AK966" s="162"/>
      <c r="AL966" s="162"/>
      <c r="AM966" s="162"/>
      <c r="AN966" s="162"/>
      <c r="AO966" s="162"/>
      <c r="AP966" s="162"/>
      <c r="AQ966" s="162"/>
      <c r="AR966" s="162"/>
      <c r="AS966" s="162"/>
      <c r="AT966" s="161"/>
      <c r="AU966" s="161"/>
      <c r="AV966" s="161"/>
      <c r="AW966" s="161"/>
      <c r="AX966" s="161"/>
      <c r="AY966" s="161"/>
      <c r="AZ966" s="161"/>
      <c r="BA966" s="161"/>
      <c r="BB966" s="161"/>
      <c r="BC966" s="161"/>
      <c r="BD966" s="161"/>
      <c r="BE966" s="161"/>
      <c r="BF966" s="161"/>
      <c r="BG966" s="161"/>
      <c r="BH966" s="161"/>
      <c r="BI966" s="161"/>
      <c r="BJ966" s="161"/>
      <c r="BK966" s="161"/>
      <c r="BL966" s="161"/>
      <c r="BM966" s="161"/>
      <c r="BN966" s="161"/>
      <c r="BO966" s="161"/>
      <c r="BP966" s="161"/>
      <c r="BQ966" s="161"/>
      <c r="BR966" s="161"/>
      <c r="BS966" s="161"/>
      <c r="BT966" s="161"/>
      <c r="BU966" s="161"/>
      <c r="BV966" s="161"/>
      <c r="BW966" s="161"/>
      <c r="BX966" s="161"/>
      <c r="BY966" s="161"/>
    </row>
    <row r="967" spans="1:77">
      <c r="A967" s="162"/>
      <c r="B967" s="162"/>
      <c r="C967" s="162"/>
      <c r="D967" s="162"/>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c r="AC967" s="162"/>
      <c r="AD967" s="162"/>
      <c r="AE967" s="162"/>
      <c r="AF967" s="162"/>
      <c r="AG967" s="162"/>
      <c r="AH967" s="162"/>
      <c r="AI967" s="162"/>
      <c r="AJ967" s="162"/>
      <c r="AK967" s="162"/>
      <c r="AL967" s="162"/>
      <c r="AM967" s="162"/>
      <c r="AN967" s="162"/>
      <c r="AO967" s="162"/>
      <c r="AP967" s="162"/>
      <c r="AQ967" s="162"/>
      <c r="AR967" s="162"/>
      <c r="AS967" s="162"/>
      <c r="AT967" s="161"/>
      <c r="AU967" s="161"/>
      <c r="AV967" s="161"/>
      <c r="AW967" s="161"/>
      <c r="AX967" s="161"/>
      <c r="AY967" s="161"/>
      <c r="AZ967" s="161"/>
      <c r="BA967" s="161"/>
      <c r="BB967" s="161"/>
      <c r="BC967" s="161"/>
      <c r="BD967" s="161"/>
      <c r="BE967" s="161"/>
      <c r="BF967" s="161"/>
      <c r="BG967" s="161"/>
      <c r="BH967" s="161"/>
      <c r="BI967" s="161"/>
      <c r="BJ967" s="161"/>
      <c r="BK967" s="161"/>
      <c r="BL967" s="161"/>
      <c r="BM967" s="161"/>
      <c r="BN967" s="161"/>
      <c r="BO967" s="161"/>
      <c r="BP967" s="161"/>
      <c r="BQ967" s="161"/>
      <c r="BR967" s="161"/>
      <c r="BS967" s="161"/>
      <c r="BT967" s="161"/>
      <c r="BU967" s="161"/>
      <c r="BV967" s="161"/>
      <c r="BW967" s="161"/>
      <c r="BX967" s="161"/>
      <c r="BY967" s="161"/>
    </row>
    <row r="968" spans="1:77">
      <c r="A968" s="162"/>
      <c r="B968" s="162"/>
      <c r="C968" s="162"/>
      <c r="D968" s="162"/>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c r="AC968" s="162"/>
      <c r="AD968" s="162"/>
      <c r="AE968" s="162"/>
      <c r="AF968" s="162"/>
      <c r="AG968" s="162"/>
      <c r="AH968" s="162"/>
      <c r="AI968" s="162"/>
      <c r="AJ968" s="162"/>
      <c r="AK968" s="162"/>
      <c r="AL968" s="162"/>
      <c r="AM968" s="162"/>
      <c r="AN968" s="162"/>
      <c r="AO968" s="162"/>
      <c r="AP968" s="162"/>
      <c r="AQ968" s="162"/>
      <c r="AR968" s="162"/>
      <c r="AS968" s="162"/>
      <c r="AT968" s="161"/>
      <c r="AU968" s="161"/>
      <c r="AV968" s="161"/>
      <c r="AW968" s="161"/>
      <c r="AX968" s="161"/>
      <c r="AY968" s="161"/>
      <c r="AZ968" s="161"/>
      <c r="BA968" s="161"/>
      <c r="BB968" s="161"/>
      <c r="BC968" s="161"/>
      <c r="BD968" s="161"/>
      <c r="BE968" s="161"/>
      <c r="BF968" s="161"/>
      <c r="BG968" s="161"/>
      <c r="BH968" s="161"/>
      <c r="BI968" s="161"/>
      <c r="BJ968" s="161"/>
      <c r="BK968" s="161"/>
      <c r="BL968" s="161"/>
      <c r="BM968" s="161"/>
      <c r="BN968" s="161"/>
      <c r="BO968" s="161"/>
      <c r="BP968" s="161"/>
      <c r="BQ968" s="161"/>
      <c r="BR968" s="161"/>
      <c r="BS968" s="161"/>
      <c r="BT968" s="161"/>
      <c r="BU968" s="161"/>
      <c r="BV968" s="161"/>
      <c r="BW968" s="161"/>
      <c r="BX968" s="161"/>
      <c r="BY968" s="161"/>
    </row>
    <row r="969" spans="1:77">
      <c r="A969" s="162"/>
      <c r="B969" s="162"/>
      <c r="C969" s="162"/>
      <c r="D969" s="162"/>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c r="AC969" s="162"/>
      <c r="AD969" s="162"/>
      <c r="AE969" s="162"/>
      <c r="AF969" s="162"/>
      <c r="AG969" s="162"/>
      <c r="AH969" s="162"/>
      <c r="AI969" s="162"/>
      <c r="AJ969" s="162"/>
      <c r="AK969" s="162"/>
      <c r="AL969" s="162"/>
      <c r="AM969" s="162"/>
      <c r="AN969" s="162"/>
      <c r="AO969" s="162"/>
      <c r="AP969" s="162"/>
      <c r="AQ969" s="162"/>
      <c r="AR969" s="162"/>
      <c r="AS969" s="162"/>
      <c r="AT969" s="161"/>
      <c r="AU969" s="161"/>
      <c r="AV969" s="161"/>
      <c r="AW969" s="161"/>
      <c r="AX969" s="161"/>
      <c r="AY969" s="161"/>
      <c r="AZ969" s="161"/>
      <c r="BA969" s="161"/>
      <c r="BB969" s="161"/>
      <c r="BC969" s="161"/>
      <c r="BD969" s="161"/>
      <c r="BE969" s="161"/>
      <c r="BF969" s="161"/>
      <c r="BG969" s="161"/>
      <c r="BH969" s="161"/>
      <c r="BI969" s="161"/>
      <c r="BJ969" s="161"/>
      <c r="BK969" s="161"/>
      <c r="BL969" s="161"/>
      <c r="BM969" s="161"/>
      <c r="BN969" s="161"/>
      <c r="BO969" s="161"/>
      <c r="BP969" s="161"/>
      <c r="BQ969" s="161"/>
      <c r="BR969" s="161"/>
      <c r="BS969" s="161"/>
      <c r="BT969" s="161"/>
      <c r="BU969" s="161"/>
      <c r="BV969" s="161"/>
      <c r="BW969" s="161"/>
      <c r="BX969" s="161"/>
      <c r="BY969" s="161"/>
    </row>
    <row r="970" spans="1:77">
      <c r="A970" s="162"/>
      <c r="B970" s="162"/>
      <c r="C970" s="162"/>
      <c r="D970" s="162"/>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c r="AC970" s="162"/>
      <c r="AD970" s="162"/>
      <c r="AE970" s="162"/>
      <c r="AF970" s="162"/>
      <c r="AG970" s="162"/>
      <c r="AH970" s="162"/>
      <c r="AI970" s="162"/>
      <c r="AJ970" s="162"/>
      <c r="AK970" s="162"/>
      <c r="AL970" s="162"/>
      <c r="AM970" s="162"/>
      <c r="AN970" s="162"/>
      <c r="AO970" s="162"/>
      <c r="AP970" s="162"/>
      <c r="AQ970" s="162"/>
      <c r="AR970" s="162"/>
      <c r="AS970" s="162"/>
      <c r="AT970" s="161"/>
      <c r="AU970" s="161"/>
      <c r="AV970" s="161"/>
      <c r="AW970" s="161"/>
      <c r="AX970" s="161"/>
      <c r="AY970" s="161"/>
      <c r="AZ970" s="161"/>
      <c r="BA970" s="161"/>
      <c r="BB970" s="161"/>
      <c r="BC970" s="161"/>
      <c r="BD970" s="161"/>
      <c r="BE970" s="161"/>
      <c r="BF970" s="161"/>
      <c r="BG970" s="161"/>
      <c r="BH970" s="161"/>
      <c r="BI970" s="161"/>
      <c r="BJ970" s="161"/>
      <c r="BK970" s="161"/>
      <c r="BL970" s="161"/>
      <c r="BM970" s="161"/>
      <c r="BN970" s="161"/>
      <c r="BO970" s="161"/>
      <c r="BP970" s="161"/>
      <c r="BQ970" s="161"/>
      <c r="BR970" s="161"/>
      <c r="BS970" s="161"/>
      <c r="BT970" s="161"/>
      <c r="BU970" s="161"/>
      <c r="BV970" s="161"/>
      <c r="BW970" s="161"/>
      <c r="BX970" s="161"/>
      <c r="BY970" s="161"/>
    </row>
    <row r="971" spans="1:77">
      <c r="A971" s="162"/>
      <c r="B971" s="162"/>
      <c r="C971" s="162"/>
      <c r="D971" s="162"/>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c r="AC971" s="162"/>
      <c r="AD971" s="162"/>
      <c r="AE971" s="162"/>
      <c r="AF971" s="162"/>
      <c r="AG971" s="162"/>
      <c r="AH971" s="162"/>
      <c r="AI971" s="162"/>
      <c r="AJ971" s="162"/>
      <c r="AK971" s="162"/>
      <c r="AL971" s="162"/>
      <c r="AM971" s="162"/>
      <c r="AN971" s="162"/>
      <c r="AO971" s="162"/>
      <c r="AP971" s="162"/>
      <c r="AQ971" s="162"/>
      <c r="AR971" s="162"/>
      <c r="AS971" s="162"/>
      <c r="AT971" s="161"/>
      <c r="AU971" s="161"/>
      <c r="AV971" s="161"/>
      <c r="AW971" s="161"/>
      <c r="AX971" s="161"/>
      <c r="AY971" s="161"/>
      <c r="AZ971" s="161"/>
      <c r="BA971" s="161"/>
      <c r="BB971" s="161"/>
      <c r="BC971" s="161"/>
      <c r="BD971" s="161"/>
      <c r="BE971" s="161"/>
      <c r="BF971" s="161"/>
      <c r="BG971" s="161"/>
      <c r="BH971" s="161"/>
      <c r="BI971" s="161"/>
      <c r="BJ971" s="161"/>
      <c r="BK971" s="161"/>
      <c r="BL971" s="161"/>
      <c r="BM971" s="161"/>
      <c r="BN971" s="161"/>
      <c r="BO971" s="161"/>
      <c r="BP971" s="161"/>
      <c r="BQ971" s="161"/>
      <c r="BR971" s="161"/>
      <c r="BS971" s="161"/>
      <c r="BT971" s="161"/>
      <c r="BU971" s="161"/>
      <c r="BV971" s="161"/>
      <c r="BW971" s="161"/>
      <c r="BX971" s="161"/>
      <c r="BY971" s="161"/>
    </row>
    <row r="972" spans="1:77">
      <c r="A972" s="162"/>
      <c r="B972" s="162"/>
      <c r="C972" s="162"/>
      <c r="D972" s="162"/>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c r="AC972" s="162"/>
      <c r="AD972" s="162"/>
      <c r="AE972" s="162"/>
      <c r="AF972" s="162"/>
      <c r="AG972" s="162"/>
      <c r="AH972" s="162"/>
      <c r="AI972" s="162"/>
      <c r="AJ972" s="162"/>
      <c r="AK972" s="162"/>
      <c r="AL972" s="162"/>
      <c r="AM972" s="162"/>
      <c r="AN972" s="162"/>
      <c r="AO972" s="162"/>
      <c r="AP972" s="162"/>
      <c r="AQ972" s="162"/>
      <c r="AR972" s="162"/>
      <c r="AS972" s="162"/>
      <c r="AT972" s="161"/>
      <c r="AU972" s="161"/>
      <c r="AV972" s="161"/>
      <c r="AW972" s="161"/>
      <c r="AX972" s="161"/>
      <c r="AY972" s="161"/>
      <c r="AZ972" s="161"/>
      <c r="BA972" s="161"/>
      <c r="BB972" s="161"/>
      <c r="BC972" s="161"/>
      <c r="BD972" s="161"/>
      <c r="BE972" s="161"/>
      <c r="BF972" s="161"/>
      <c r="BG972" s="161"/>
      <c r="BH972" s="161"/>
      <c r="BI972" s="161"/>
      <c r="BJ972" s="161"/>
      <c r="BK972" s="161"/>
      <c r="BL972" s="161"/>
      <c r="BM972" s="161"/>
      <c r="BN972" s="161"/>
      <c r="BO972" s="161"/>
      <c r="BP972" s="161"/>
      <c r="BQ972" s="161"/>
      <c r="BR972" s="161"/>
      <c r="BS972" s="161"/>
      <c r="BT972" s="161"/>
      <c r="BU972" s="161"/>
      <c r="BV972" s="161"/>
      <c r="BW972" s="161"/>
      <c r="BX972" s="161"/>
      <c r="BY972" s="161"/>
    </row>
    <row r="973" spans="1:77">
      <c r="A973" s="162"/>
      <c r="B973" s="162"/>
      <c r="C973" s="162"/>
      <c r="D973" s="162"/>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c r="AC973" s="162"/>
      <c r="AD973" s="162"/>
      <c r="AE973" s="162"/>
      <c r="AF973" s="162"/>
      <c r="AG973" s="162"/>
      <c r="AH973" s="162"/>
      <c r="AI973" s="162"/>
      <c r="AJ973" s="162"/>
      <c r="AK973" s="162"/>
      <c r="AL973" s="162"/>
      <c r="AM973" s="162"/>
      <c r="AN973" s="162"/>
      <c r="AO973" s="162"/>
      <c r="AP973" s="162"/>
      <c r="AQ973" s="162"/>
      <c r="AR973" s="162"/>
      <c r="AS973" s="162"/>
      <c r="AT973" s="161"/>
      <c r="AU973" s="161"/>
      <c r="AV973" s="161"/>
      <c r="AW973" s="161"/>
      <c r="AX973" s="161"/>
      <c r="AY973" s="161"/>
      <c r="AZ973" s="161"/>
      <c r="BA973" s="161"/>
      <c r="BB973" s="161"/>
      <c r="BC973" s="161"/>
      <c r="BD973" s="161"/>
      <c r="BE973" s="161"/>
      <c r="BF973" s="161"/>
      <c r="BG973" s="161"/>
      <c r="BH973" s="161"/>
      <c r="BI973" s="161"/>
      <c r="BJ973" s="161"/>
      <c r="BK973" s="161"/>
      <c r="BL973" s="161"/>
      <c r="BM973" s="161"/>
      <c r="BN973" s="161"/>
      <c r="BO973" s="161"/>
      <c r="BP973" s="161"/>
      <c r="BQ973" s="161"/>
      <c r="BR973" s="161"/>
      <c r="BS973" s="161"/>
      <c r="BT973" s="161"/>
      <c r="BU973" s="161"/>
      <c r="BV973" s="161"/>
      <c r="BW973" s="161"/>
      <c r="BX973" s="161"/>
      <c r="BY973" s="161"/>
    </row>
    <row r="974" spans="1:77">
      <c r="A974" s="162"/>
      <c r="B974" s="162"/>
      <c r="C974" s="162"/>
      <c r="D974" s="162"/>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c r="AC974" s="162"/>
      <c r="AD974" s="162"/>
      <c r="AE974" s="162"/>
      <c r="AF974" s="162"/>
      <c r="AG974" s="162"/>
      <c r="AH974" s="162"/>
      <c r="AI974" s="162"/>
      <c r="AJ974" s="162"/>
      <c r="AK974" s="162"/>
      <c r="AL974" s="162"/>
      <c r="AM974" s="162"/>
      <c r="AN974" s="162"/>
      <c r="AO974" s="162"/>
      <c r="AP974" s="162"/>
      <c r="AQ974" s="162"/>
      <c r="AR974" s="162"/>
      <c r="AS974" s="162"/>
      <c r="AT974" s="161"/>
      <c r="AU974" s="161"/>
      <c r="AV974" s="161"/>
      <c r="AW974" s="161"/>
      <c r="AX974" s="161"/>
      <c r="AY974" s="161"/>
      <c r="AZ974" s="161"/>
      <c r="BA974" s="161"/>
      <c r="BB974" s="161"/>
      <c r="BC974" s="161"/>
      <c r="BD974" s="161"/>
      <c r="BE974" s="161"/>
      <c r="BF974" s="161"/>
      <c r="BG974" s="161"/>
      <c r="BH974" s="161"/>
      <c r="BI974" s="161"/>
      <c r="BJ974" s="161"/>
      <c r="BK974" s="161"/>
      <c r="BL974" s="161"/>
      <c r="BM974" s="161"/>
      <c r="BN974" s="161"/>
      <c r="BO974" s="161"/>
      <c r="BP974" s="161"/>
      <c r="BQ974" s="161"/>
      <c r="BR974" s="161"/>
      <c r="BS974" s="161"/>
      <c r="BT974" s="161"/>
      <c r="BU974" s="161"/>
      <c r="BV974" s="161"/>
      <c r="BW974" s="161"/>
      <c r="BX974" s="161"/>
      <c r="BY974" s="161"/>
    </row>
    <row r="975" spans="1:77">
      <c r="A975" s="162"/>
      <c r="B975" s="162"/>
      <c r="C975" s="162"/>
      <c r="D975" s="162"/>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c r="AC975" s="162"/>
      <c r="AD975" s="162"/>
      <c r="AE975" s="162"/>
      <c r="AF975" s="162"/>
      <c r="AG975" s="162"/>
      <c r="AH975" s="162"/>
      <c r="AI975" s="162"/>
      <c r="AJ975" s="162"/>
      <c r="AK975" s="162"/>
      <c r="AL975" s="162"/>
      <c r="AM975" s="162"/>
      <c r="AN975" s="162"/>
      <c r="AO975" s="162"/>
      <c r="AP975" s="162"/>
      <c r="AQ975" s="162"/>
      <c r="AR975" s="162"/>
      <c r="AS975" s="162"/>
      <c r="AT975" s="161"/>
      <c r="AU975" s="161"/>
      <c r="AV975" s="161"/>
      <c r="AW975" s="161"/>
      <c r="AX975" s="161"/>
      <c r="AY975" s="161"/>
      <c r="AZ975" s="161"/>
      <c r="BA975" s="161"/>
      <c r="BB975" s="161"/>
      <c r="BC975" s="161"/>
      <c r="BD975" s="161"/>
      <c r="BE975" s="161"/>
      <c r="BF975" s="161"/>
      <c r="BG975" s="161"/>
      <c r="BH975" s="161"/>
      <c r="BI975" s="161"/>
      <c r="BJ975" s="161"/>
      <c r="BK975" s="161"/>
      <c r="BL975" s="161"/>
      <c r="BM975" s="161"/>
      <c r="BN975" s="161"/>
      <c r="BO975" s="161"/>
      <c r="BP975" s="161"/>
      <c r="BQ975" s="161"/>
      <c r="BR975" s="161"/>
      <c r="BS975" s="161"/>
      <c r="BT975" s="161"/>
      <c r="BU975" s="161"/>
      <c r="BV975" s="161"/>
      <c r="BW975" s="161"/>
      <c r="BX975" s="161"/>
      <c r="BY975" s="161"/>
    </row>
    <row r="976" spans="1:77">
      <c r="A976" s="162"/>
      <c r="B976" s="162"/>
      <c r="C976" s="162"/>
      <c r="D976" s="162"/>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c r="AC976" s="162"/>
      <c r="AD976" s="162"/>
      <c r="AE976" s="162"/>
      <c r="AF976" s="162"/>
      <c r="AG976" s="162"/>
      <c r="AH976" s="162"/>
      <c r="AI976" s="162"/>
      <c r="AJ976" s="162"/>
      <c r="AK976" s="162"/>
      <c r="AL976" s="162"/>
      <c r="AM976" s="162"/>
      <c r="AN976" s="162"/>
      <c r="AO976" s="162"/>
      <c r="AP976" s="162"/>
      <c r="AQ976" s="162"/>
      <c r="AR976" s="162"/>
      <c r="AS976" s="162"/>
      <c r="AT976" s="161"/>
      <c r="AU976" s="161"/>
      <c r="AV976" s="161"/>
      <c r="AW976" s="161"/>
      <c r="AX976" s="161"/>
      <c r="AY976" s="161"/>
      <c r="AZ976" s="161"/>
      <c r="BA976" s="161"/>
      <c r="BB976" s="161"/>
      <c r="BC976" s="161"/>
      <c r="BD976" s="161"/>
      <c r="BE976" s="161"/>
      <c r="BF976" s="161"/>
      <c r="BG976" s="161"/>
      <c r="BH976" s="161"/>
      <c r="BI976" s="161"/>
      <c r="BJ976" s="161"/>
      <c r="BK976" s="161"/>
      <c r="BL976" s="161"/>
      <c r="BM976" s="161"/>
      <c r="BN976" s="161"/>
      <c r="BO976" s="161"/>
      <c r="BP976" s="161"/>
      <c r="BQ976" s="161"/>
      <c r="BR976" s="161"/>
      <c r="BS976" s="161"/>
      <c r="BT976" s="161"/>
      <c r="BU976" s="161"/>
      <c r="BV976" s="161"/>
      <c r="BW976" s="161"/>
      <c r="BX976" s="161"/>
      <c r="BY976" s="161"/>
    </row>
    <row r="977" spans="1:77">
      <c r="A977" s="162"/>
      <c r="B977" s="162"/>
      <c r="C977" s="162"/>
      <c r="D977" s="162"/>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c r="AC977" s="162"/>
      <c r="AD977" s="162"/>
      <c r="AE977" s="162"/>
      <c r="AF977" s="162"/>
      <c r="AG977" s="162"/>
      <c r="AH977" s="162"/>
      <c r="AI977" s="162"/>
      <c r="AJ977" s="162"/>
      <c r="AK977" s="162"/>
      <c r="AL977" s="162"/>
      <c r="AM977" s="162"/>
      <c r="AN977" s="162"/>
      <c r="AO977" s="162"/>
      <c r="AP977" s="162"/>
      <c r="AQ977" s="162"/>
      <c r="AR977" s="162"/>
      <c r="AS977" s="162"/>
      <c r="AT977" s="161"/>
      <c r="AU977" s="161"/>
      <c r="AV977" s="161"/>
      <c r="AW977" s="161"/>
      <c r="AX977" s="161"/>
      <c r="AY977" s="161"/>
      <c r="AZ977" s="161"/>
      <c r="BA977" s="161"/>
      <c r="BB977" s="161"/>
      <c r="BC977" s="161"/>
      <c r="BD977" s="161"/>
      <c r="BE977" s="161"/>
      <c r="BF977" s="161"/>
      <c r="BG977" s="161"/>
      <c r="BH977" s="161"/>
      <c r="BI977" s="161"/>
      <c r="BJ977" s="161"/>
      <c r="BK977" s="161"/>
      <c r="BL977" s="161"/>
      <c r="BM977" s="161"/>
      <c r="BN977" s="161"/>
      <c r="BO977" s="161"/>
      <c r="BP977" s="161"/>
      <c r="BQ977" s="161"/>
      <c r="BR977" s="161"/>
      <c r="BS977" s="161"/>
      <c r="BT977" s="161"/>
      <c r="BU977" s="161"/>
      <c r="BV977" s="161"/>
      <c r="BW977" s="161"/>
      <c r="BX977" s="161"/>
      <c r="BY977" s="161"/>
    </row>
    <row r="978" spans="1:77">
      <c r="A978" s="162"/>
      <c r="B978" s="162"/>
      <c r="C978" s="162"/>
      <c r="D978" s="162"/>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c r="AC978" s="162"/>
      <c r="AD978" s="162"/>
      <c r="AE978" s="162"/>
      <c r="AF978" s="162"/>
      <c r="AG978" s="162"/>
      <c r="AH978" s="162"/>
      <c r="AI978" s="162"/>
      <c r="AJ978" s="162"/>
      <c r="AK978" s="162"/>
      <c r="AL978" s="162"/>
      <c r="AM978" s="162"/>
      <c r="AN978" s="162"/>
      <c r="AO978" s="162"/>
      <c r="AP978" s="162"/>
      <c r="AQ978" s="162"/>
      <c r="AR978" s="162"/>
      <c r="AS978" s="162"/>
      <c r="AT978" s="161"/>
      <c r="AU978" s="161"/>
      <c r="AV978" s="161"/>
      <c r="AW978" s="161"/>
      <c r="AX978" s="161"/>
      <c r="AY978" s="161"/>
      <c r="AZ978" s="161"/>
      <c r="BA978" s="161"/>
      <c r="BB978" s="161"/>
      <c r="BC978" s="161"/>
      <c r="BD978" s="161"/>
      <c r="BE978" s="161"/>
      <c r="BF978" s="161"/>
      <c r="BG978" s="161"/>
      <c r="BH978" s="161"/>
      <c r="BI978" s="161"/>
      <c r="BJ978" s="161"/>
      <c r="BK978" s="161"/>
      <c r="BL978" s="161"/>
      <c r="BM978" s="161"/>
      <c r="BN978" s="161"/>
      <c r="BO978" s="161"/>
      <c r="BP978" s="161"/>
      <c r="BQ978" s="161"/>
      <c r="BR978" s="161"/>
      <c r="BS978" s="161"/>
      <c r="BT978" s="161"/>
      <c r="BU978" s="161"/>
      <c r="BV978" s="161"/>
      <c r="BW978" s="161"/>
      <c r="BX978" s="161"/>
      <c r="BY978" s="161"/>
    </row>
    <row r="979" spans="1:77">
      <c r="A979" s="162"/>
      <c r="B979" s="162"/>
      <c r="C979" s="162"/>
      <c r="D979" s="162"/>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c r="AC979" s="162"/>
      <c r="AD979" s="162"/>
      <c r="AE979" s="162"/>
      <c r="AF979" s="162"/>
      <c r="AG979" s="162"/>
      <c r="AH979" s="162"/>
      <c r="AI979" s="162"/>
      <c r="AJ979" s="162"/>
      <c r="AK979" s="162"/>
      <c r="AL979" s="162"/>
      <c r="AM979" s="162"/>
      <c r="AN979" s="162"/>
      <c r="AO979" s="162"/>
      <c r="AP979" s="162"/>
      <c r="AQ979" s="162"/>
      <c r="AR979" s="162"/>
      <c r="AS979" s="162"/>
      <c r="AT979" s="161"/>
      <c r="AU979" s="161"/>
      <c r="AV979" s="161"/>
      <c r="AW979" s="161"/>
      <c r="AX979" s="161"/>
      <c r="AY979" s="161"/>
      <c r="AZ979" s="161"/>
      <c r="BA979" s="161"/>
      <c r="BB979" s="161"/>
      <c r="BC979" s="161"/>
      <c r="BD979" s="161"/>
      <c r="BE979" s="161"/>
      <c r="BF979" s="161"/>
      <c r="BG979" s="161"/>
      <c r="BH979" s="161"/>
      <c r="BI979" s="161"/>
      <c r="BJ979" s="161"/>
      <c r="BK979" s="161"/>
      <c r="BL979" s="161"/>
      <c r="BM979" s="161"/>
      <c r="BN979" s="161"/>
      <c r="BO979" s="161"/>
      <c r="BP979" s="161"/>
      <c r="BQ979" s="161"/>
      <c r="BR979" s="161"/>
      <c r="BS979" s="161"/>
      <c r="BT979" s="161"/>
      <c r="BU979" s="161"/>
      <c r="BV979" s="161"/>
      <c r="BW979" s="161"/>
      <c r="BX979" s="161"/>
      <c r="BY979" s="161"/>
    </row>
    <row r="980" spans="1:77">
      <c r="A980" s="162"/>
      <c r="B980" s="162"/>
      <c r="C980" s="162"/>
      <c r="D980" s="162"/>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c r="AC980" s="162"/>
      <c r="AD980" s="162"/>
      <c r="AE980" s="162"/>
      <c r="AF980" s="162"/>
      <c r="AG980" s="162"/>
      <c r="AH980" s="162"/>
      <c r="AI980" s="162"/>
      <c r="AJ980" s="162"/>
      <c r="AK980" s="162"/>
      <c r="AL980" s="162"/>
      <c r="AM980" s="162"/>
      <c r="AN980" s="162"/>
      <c r="AO980" s="162"/>
      <c r="AP980" s="162"/>
      <c r="AQ980" s="162"/>
      <c r="AR980" s="162"/>
      <c r="AS980" s="162"/>
      <c r="AT980" s="161"/>
      <c r="AU980" s="161"/>
      <c r="AV980" s="161"/>
      <c r="AW980" s="161"/>
      <c r="AX980" s="161"/>
      <c r="AY980" s="161"/>
      <c r="AZ980" s="161"/>
      <c r="BA980" s="161"/>
      <c r="BB980" s="161"/>
      <c r="BC980" s="161"/>
      <c r="BD980" s="161"/>
      <c r="BE980" s="161"/>
      <c r="BF980" s="161"/>
      <c r="BG980" s="161"/>
      <c r="BH980" s="161"/>
      <c r="BI980" s="161"/>
      <c r="BJ980" s="161"/>
      <c r="BK980" s="161"/>
      <c r="BL980" s="161"/>
      <c r="BM980" s="161"/>
      <c r="BN980" s="161"/>
      <c r="BO980" s="161"/>
      <c r="BP980" s="161"/>
      <c r="BQ980" s="161"/>
      <c r="BR980" s="161"/>
      <c r="BS980" s="161"/>
      <c r="BT980" s="161"/>
      <c r="BU980" s="161"/>
      <c r="BV980" s="161"/>
      <c r="BW980" s="161"/>
      <c r="BX980" s="161"/>
      <c r="BY980" s="161"/>
    </row>
    <row r="981" spans="1:77">
      <c r="A981" s="162"/>
      <c r="B981" s="162"/>
      <c r="C981" s="162"/>
      <c r="D981" s="162"/>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c r="AC981" s="162"/>
      <c r="AD981" s="162"/>
      <c r="AE981" s="162"/>
      <c r="AF981" s="162"/>
      <c r="AG981" s="162"/>
      <c r="AH981" s="162"/>
      <c r="AI981" s="162"/>
      <c r="AJ981" s="162"/>
      <c r="AK981" s="162"/>
      <c r="AL981" s="162"/>
      <c r="AM981" s="162"/>
      <c r="AN981" s="162"/>
      <c r="AO981" s="162"/>
      <c r="AP981" s="162"/>
      <c r="AQ981" s="162"/>
      <c r="AR981" s="162"/>
      <c r="AS981" s="162"/>
      <c r="AT981" s="161"/>
      <c r="AU981" s="161"/>
      <c r="AV981" s="161"/>
      <c r="AW981" s="161"/>
      <c r="AX981" s="161"/>
      <c r="AY981" s="161"/>
      <c r="AZ981" s="161"/>
      <c r="BA981" s="161"/>
      <c r="BB981" s="161"/>
      <c r="BC981" s="161"/>
      <c r="BD981" s="161"/>
      <c r="BE981" s="161"/>
      <c r="BF981" s="161"/>
      <c r="BG981" s="161"/>
      <c r="BH981" s="161"/>
      <c r="BI981" s="161"/>
      <c r="BJ981" s="161"/>
      <c r="BK981" s="161"/>
      <c r="BL981" s="161"/>
      <c r="BM981" s="161"/>
      <c r="BN981" s="161"/>
      <c r="BO981" s="161"/>
      <c r="BP981" s="161"/>
      <c r="BQ981" s="161"/>
      <c r="BR981" s="161"/>
      <c r="BS981" s="161"/>
      <c r="BT981" s="161"/>
      <c r="BU981" s="161"/>
      <c r="BV981" s="161"/>
      <c r="BW981" s="161"/>
      <c r="BX981" s="161"/>
      <c r="BY981" s="161"/>
    </row>
    <row r="982" spans="1:77">
      <c r="A982" s="162"/>
      <c r="B982" s="162"/>
      <c r="C982" s="162"/>
      <c r="D982" s="162"/>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c r="AC982" s="162"/>
      <c r="AD982" s="162"/>
      <c r="AE982" s="162"/>
      <c r="AF982" s="162"/>
      <c r="AG982" s="162"/>
      <c r="AH982" s="162"/>
      <c r="AI982" s="162"/>
      <c r="AJ982" s="162"/>
      <c r="AK982" s="162"/>
      <c r="AL982" s="162"/>
      <c r="AM982" s="162"/>
      <c r="AN982" s="162"/>
      <c r="AO982" s="162"/>
      <c r="AP982" s="162"/>
      <c r="AQ982" s="162"/>
      <c r="AR982" s="162"/>
      <c r="AS982" s="162"/>
      <c r="AT982" s="161"/>
      <c r="AU982" s="161"/>
      <c r="AV982" s="161"/>
      <c r="AW982" s="161"/>
      <c r="AX982" s="161"/>
      <c r="AY982" s="161"/>
      <c r="AZ982" s="161"/>
      <c r="BA982" s="161"/>
      <c r="BB982" s="161"/>
      <c r="BC982" s="161"/>
      <c r="BD982" s="161"/>
      <c r="BE982" s="161"/>
      <c r="BF982" s="161"/>
      <c r="BG982" s="161"/>
      <c r="BH982" s="161"/>
      <c r="BI982" s="161"/>
      <c r="BJ982" s="161"/>
      <c r="BK982" s="161"/>
      <c r="BL982" s="161"/>
      <c r="BM982" s="161"/>
      <c r="BN982" s="161"/>
      <c r="BO982" s="161"/>
      <c r="BP982" s="161"/>
      <c r="BQ982" s="161"/>
      <c r="BR982" s="161"/>
      <c r="BS982" s="161"/>
      <c r="BT982" s="161"/>
      <c r="BU982" s="161"/>
      <c r="BV982" s="161"/>
      <c r="BW982" s="161"/>
      <c r="BX982" s="161"/>
      <c r="BY982" s="161"/>
    </row>
    <row r="983" spans="1:77">
      <c r="A983" s="162"/>
      <c r="B983" s="162"/>
      <c r="C983" s="162"/>
      <c r="D983" s="162"/>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c r="AC983" s="162"/>
      <c r="AD983" s="162"/>
      <c r="AE983" s="162"/>
      <c r="AF983" s="162"/>
      <c r="AG983" s="162"/>
      <c r="AH983" s="162"/>
      <c r="AI983" s="162"/>
      <c r="AJ983" s="162"/>
      <c r="AK983" s="162"/>
      <c r="AL983" s="162"/>
      <c r="AM983" s="162"/>
      <c r="AN983" s="162"/>
      <c r="AO983" s="162"/>
      <c r="AP983" s="162"/>
      <c r="AQ983" s="162"/>
      <c r="AR983" s="162"/>
      <c r="AS983" s="162"/>
      <c r="AT983" s="161"/>
      <c r="AU983" s="161"/>
      <c r="AV983" s="161"/>
      <c r="AW983" s="161"/>
      <c r="AX983" s="161"/>
      <c r="AY983" s="161"/>
      <c r="AZ983" s="161"/>
      <c r="BA983" s="161"/>
      <c r="BB983" s="161"/>
      <c r="BC983" s="161"/>
      <c r="BD983" s="161"/>
      <c r="BE983" s="161"/>
      <c r="BF983" s="161"/>
      <c r="BG983" s="161"/>
      <c r="BH983" s="161"/>
      <c r="BI983" s="161"/>
      <c r="BJ983" s="161"/>
      <c r="BK983" s="161"/>
      <c r="BL983" s="161"/>
      <c r="BM983" s="161"/>
      <c r="BN983" s="161"/>
      <c r="BO983" s="161"/>
      <c r="BP983" s="161"/>
      <c r="BQ983" s="161"/>
      <c r="BR983" s="161"/>
      <c r="BS983" s="161"/>
      <c r="BT983" s="161"/>
      <c r="BU983" s="161"/>
      <c r="BV983" s="161"/>
      <c r="BW983" s="161"/>
      <c r="BX983" s="161"/>
      <c r="BY983" s="161"/>
    </row>
    <row r="984" spans="1:77">
      <c r="A984" s="162"/>
      <c r="B984" s="162"/>
      <c r="C984" s="162"/>
      <c r="D984" s="162"/>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c r="AC984" s="162"/>
      <c r="AD984" s="162"/>
      <c r="AE984" s="162"/>
      <c r="AF984" s="162"/>
      <c r="AG984" s="162"/>
      <c r="AH984" s="162"/>
      <c r="AI984" s="162"/>
      <c r="AJ984" s="162"/>
      <c r="AK984" s="162"/>
      <c r="AL984" s="162"/>
      <c r="AM984" s="162"/>
      <c r="AN984" s="162"/>
      <c r="AO984" s="162"/>
      <c r="AP984" s="162"/>
      <c r="AQ984" s="162"/>
      <c r="AR984" s="162"/>
      <c r="AS984" s="162"/>
      <c r="AT984" s="161"/>
      <c r="AU984" s="161"/>
      <c r="AV984" s="161"/>
      <c r="AW984" s="161"/>
      <c r="AX984" s="161"/>
      <c r="AY984" s="161"/>
      <c r="AZ984" s="161"/>
      <c r="BA984" s="161"/>
      <c r="BB984" s="161"/>
      <c r="BC984" s="161"/>
      <c r="BD984" s="161"/>
      <c r="BE984" s="161"/>
      <c r="BF984" s="161"/>
      <c r="BG984" s="161"/>
      <c r="BH984" s="161"/>
      <c r="BI984" s="161"/>
      <c r="BJ984" s="161"/>
      <c r="BK984" s="161"/>
      <c r="BL984" s="161"/>
      <c r="BM984" s="161"/>
      <c r="BN984" s="161"/>
      <c r="BO984" s="161"/>
      <c r="BP984" s="161"/>
      <c r="BQ984" s="161"/>
      <c r="BR984" s="161"/>
      <c r="BS984" s="161"/>
      <c r="BT984" s="161"/>
      <c r="BU984" s="161"/>
      <c r="BV984" s="161"/>
      <c r="BW984" s="161"/>
      <c r="BX984" s="161"/>
      <c r="BY984" s="161"/>
    </row>
    <row r="985" spans="1:77">
      <c r="A985" s="162"/>
      <c r="B985" s="162"/>
      <c r="C985" s="162"/>
      <c r="D985" s="162"/>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c r="AC985" s="162"/>
      <c r="AD985" s="162"/>
      <c r="AE985" s="162"/>
      <c r="AF985" s="162"/>
      <c r="AG985" s="162"/>
      <c r="AH985" s="162"/>
      <c r="AI985" s="162"/>
      <c r="AJ985" s="162"/>
      <c r="AK985" s="162"/>
      <c r="AL985" s="162"/>
      <c r="AM985" s="162"/>
      <c r="AN985" s="162"/>
      <c r="AO985" s="162"/>
      <c r="AP985" s="162"/>
      <c r="AQ985" s="162"/>
      <c r="AR985" s="162"/>
      <c r="AS985" s="162"/>
      <c r="AT985" s="161"/>
      <c r="AU985" s="161"/>
      <c r="AV985" s="161"/>
      <c r="AW985" s="161"/>
      <c r="AX985" s="161"/>
      <c r="AY985" s="161"/>
      <c r="AZ985" s="161"/>
      <c r="BA985" s="161"/>
      <c r="BB985" s="161"/>
      <c r="BC985" s="161"/>
      <c r="BD985" s="161"/>
      <c r="BE985" s="161"/>
      <c r="BF985" s="161"/>
      <c r="BG985" s="161"/>
      <c r="BH985" s="161"/>
      <c r="BI985" s="161"/>
      <c r="BJ985" s="161"/>
      <c r="BK985" s="161"/>
      <c r="BL985" s="161"/>
      <c r="BM985" s="161"/>
      <c r="BN985" s="161"/>
      <c r="BO985" s="161"/>
      <c r="BP985" s="161"/>
      <c r="BQ985" s="161"/>
      <c r="BR985" s="161"/>
      <c r="BS985" s="161"/>
      <c r="BT985" s="161"/>
      <c r="BU985" s="161"/>
      <c r="BV985" s="161"/>
      <c r="BW985" s="161"/>
      <c r="BX985" s="161"/>
      <c r="BY985" s="161"/>
    </row>
    <row r="986" spans="1:77">
      <c r="A986" s="162"/>
      <c r="B986" s="162"/>
      <c r="C986" s="162"/>
      <c r="D986" s="162"/>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c r="AC986" s="162"/>
      <c r="AD986" s="162"/>
      <c r="AE986" s="162"/>
      <c r="AF986" s="162"/>
      <c r="AG986" s="162"/>
      <c r="AH986" s="162"/>
      <c r="AI986" s="162"/>
      <c r="AJ986" s="162"/>
      <c r="AK986" s="162"/>
      <c r="AL986" s="162"/>
      <c r="AM986" s="162"/>
      <c r="AN986" s="162"/>
      <c r="AO986" s="162"/>
      <c r="AP986" s="162"/>
      <c r="AQ986" s="162"/>
      <c r="AR986" s="162"/>
      <c r="AS986" s="162"/>
      <c r="AT986" s="161"/>
      <c r="AU986" s="161"/>
      <c r="AV986" s="161"/>
      <c r="AW986" s="161"/>
      <c r="AX986" s="161"/>
      <c r="AY986" s="161"/>
      <c r="AZ986" s="161"/>
      <c r="BA986" s="161"/>
      <c r="BB986" s="161"/>
      <c r="BC986" s="161"/>
      <c r="BD986" s="161"/>
      <c r="BE986" s="161"/>
      <c r="BF986" s="161"/>
      <c r="BG986" s="161"/>
      <c r="BH986" s="161"/>
      <c r="BI986" s="161"/>
      <c r="BJ986" s="161"/>
      <c r="BK986" s="161"/>
      <c r="BL986" s="161"/>
      <c r="BM986" s="161"/>
      <c r="BN986" s="161"/>
      <c r="BO986" s="161"/>
      <c r="BP986" s="161"/>
      <c r="BQ986" s="161"/>
      <c r="BR986" s="161"/>
      <c r="BS986" s="161"/>
      <c r="BT986" s="161"/>
      <c r="BU986" s="161"/>
      <c r="BV986" s="161"/>
      <c r="BW986" s="161"/>
      <c r="BX986" s="161"/>
      <c r="BY986" s="161"/>
    </row>
    <row r="987" spans="1:77">
      <c r="A987" s="162"/>
      <c r="B987" s="162"/>
      <c r="C987" s="162"/>
      <c r="D987" s="162"/>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c r="AC987" s="162"/>
      <c r="AD987" s="162"/>
      <c r="AE987" s="162"/>
      <c r="AF987" s="162"/>
      <c r="AG987" s="162"/>
      <c r="AH987" s="162"/>
      <c r="AI987" s="162"/>
      <c r="AJ987" s="162"/>
      <c r="AK987" s="162"/>
      <c r="AL987" s="162"/>
      <c r="AM987" s="162"/>
      <c r="AN987" s="162"/>
      <c r="AO987" s="162"/>
      <c r="AP987" s="162"/>
      <c r="AQ987" s="162"/>
      <c r="AR987" s="162"/>
      <c r="AS987" s="162"/>
      <c r="AT987" s="161"/>
      <c r="AU987" s="161"/>
      <c r="AV987" s="161"/>
      <c r="AW987" s="161"/>
      <c r="AX987" s="161"/>
      <c r="AY987" s="161"/>
      <c r="AZ987" s="161"/>
      <c r="BA987" s="161"/>
      <c r="BB987" s="161"/>
      <c r="BC987" s="161"/>
      <c r="BD987" s="161"/>
      <c r="BE987" s="161"/>
      <c r="BF987" s="161"/>
      <c r="BG987" s="161"/>
      <c r="BH987" s="161"/>
      <c r="BI987" s="161"/>
      <c r="BJ987" s="161"/>
      <c r="BK987" s="161"/>
      <c r="BL987" s="161"/>
      <c r="BM987" s="161"/>
      <c r="BN987" s="161"/>
      <c r="BO987" s="161"/>
      <c r="BP987" s="161"/>
      <c r="BQ987" s="161"/>
      <c r="BR987" s="161"/>
      <c r="BS987" s="161"/>
      <c r="BT987" s="161"/>
      <c r="BU987" s="161"/>
      <c r="BV987" s="161"/>
      <c r="BW987" s="161"/>
      <c r="BX987" s="161"/>
      <c r="BY987" s="161"/>
    </row>
    <row r="988" spans="1:77">
      <c r="A988" s="162"/>
      <c r="B988" s="162"/>
      <c r="C988" s="162"/>
      <c r="D988" s="162"/>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c r="AC988" s="162"/>
      <c r="AD988" s="162"/>
      <c r="AE988" s="162"/>
      <c r="AF988" s="162"/>
      <c r="AG988" s="162"/>
      <c r="AH988" s="162"/>
      <c r="AI988" s="162"/>
      <c r="AJ988" s="162"/>
      <c r="AK988" s="162"/>
      <c r="AL988" s="162"/>
      <c r="AM988" s="162"/>
      <c r="AN988" s="162"/>
      <c r="AO988" s="162"/>
      <c r="AP988" s="162"/>
      <c r="AQ988" s="162"/>
      <c r="AR988" s="162"/>
      <c r="AS988" s="162"/>
      <c r="AT988" s="161"/>
      <c r="AU988" s="161"/>
      <c r="AV988" s="161"/>
      <c r="AW988" s="161"/>
      <c r="AX988" s="161"/>
      <c r="AY988" s="161"/>
      <c r="AZ988" s="161"/>
      <c r="BA988" s="161"/>
      <c r="BB988" s="161"/>
      <c r="BC988" s="161"/>
      <c r="BD988" s="161"/>
      <c r="BE988" s="161"/>
      <c r="BF988" s="161"/>
      <c r="BG988" s="161"/>
      <c r="BH988" s="161"/>
      <c r="BI988" s="161"/>
      <c r="BJ988" s="161"/>
      <c r="BK988" s="161"/>
      <c r="BL988" s="161"/>
      <c r="BM988" s="161"/>
      <c r="BN988" s="161"/>
      <c r="BO988" s="161"/>
      <c r="BP988" s="161"/>
      <c r="BQ988" s="161"/>
      <c r="BR988" s="161"/>
      <c r="BS988" s="161"/>
      <c r="BT988" s="161"/>
      <c r="BU988" s="161"/>
      <c r="BV988" s="161"/>
      <c r="BW988" s="161"/>
      <c r="BX988" s="161"/>
      <c r="BY988" s="161"/>
    </row>
    <row r="989" spans="1:77">
      <c r="A989" s="162"/>
      <c r="B989" s="162"/>
      <c r="C989" s="162"/>
      <c r="D989" s="162"/>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c r="AC989" s="162"/>
      <c r="AD989" s="162"/>
      <c r="AE989" s="162"/>
      <c r="AF989" s="162"/>
      <c r="AG989" s="162"/>
      <c r="AH989" s="162"/>
      <c r="AI989" s="162"/>
      <c r="AJ989" s="162"/>
      <c r="AK989" s="162"/>
      <c r="AL989" s="162"/>
      <c r="AM989" s="162"/>
      <c r="AN989" s="162"/>
      <c r="AO989" s="162"/>
      <c r="AP989" s="162"/>
      <c r="AQ989" s="162"/>
      <c r="AR989" s="162"/>
      <c r="AS989" s="162"/>
      <c r="AT989" s="161"/>
      <c r="AU989" s="161"/>
      <c r="AV989" s="161"/>
      <c r="AW989" s="161"/>
      <c r="AX989" s="161"/>
      <c r="AY989" s="161"/>
      <c r="AZ989" s="161"/>
      <c r="BA989" s="161"/>
      <c r="BB989" s="161"/>
      <c r="BC989" s="161"/>
      <c r="BD989" s="161"/>
      <c r="BE989" s="161"/>
      <c r="BF989" s="161"/>
      <c r="BG989" s="161"/>
      <c r="BH989" s="161"/>
      <c r="BI989" s="161"/>
      <c r="BJ989" s="161"/>
      <c r="BK989" s="161"/>
      <c r="BL989" s="161"/>
      <c r="BM989" s="161"/>
      <c r="BN989" s="161"/>
      <c r="BO989" s="161"/>
      <c r="BP989" s="161"/>
      <c r="BQ989" s="161"/>
      <c r="BR989" s="161"/>
      <c r="BS989" s="161"/>
      <c r="BT989" s="161"/>
      <c r="BU989" s="161"/>
      <c r="BV989" s="161"/>
      <c r="BW989" s="161"/>
      <c r="BX989" s="161"/>
      <c r="BY989" s="161"/>
    </row>
    <row r="990" spans="1:77">
      <c r="A990" s="162"/>
      <c r="B990" s="162"/>
      <c r="C990" s="162"/>
      <c r="D990" s="162"/>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c r="AC990" s="162"/>
      <c r="AD990" s="162"/>
      <c r="AE990" s="162"/>
      <c r="AF990" s="162"/>
      <c r="AG990" s="162"/>
      <c r="AH990" s="162"/>
      <c r="AI990" s="162"/>
      <c r="AJ990" s="162"/>
      <c r="AK990" s="162"/>
      <c r="AL990" s="162"/>
      <c r="AM990" s="162"/>
      <c r="AN990" s="162"/>
      <c r="AO990" s="162"/>
      <c r="AP990" s="162"/>
      <c r="AQ990" s="162"/>
      <c r="AR990" s="162"/>
      <c r="AS990" s="162"/>
      <c r="AT990" s="161"/>
      <c r="AU990" s="161"/>
      <c r="AV990" s="161"/>
      <c r="AW990" s="161"/>
      <c r="AX990" s="161"/>
      <c r="AY990" s="161"/>
      <c r="AZ990" s="161"/>
      <c r="BA990" s="161"/>
      <c r="BB990" s="161"/>
      <c r="BC990" s="161"/>
      <c r="BD990" s="161"/>
      <c r="BE990" s="161"/>
      <c r="BF990" s="161"/>
      <c r="BG990" s="161"/>
      <c r="BH990" s="161"/>
      <c r="BI990" s="161"/>
      <c r="BJ990" s="161"/>
      <c r="BK990" s="161"/>
      <c r="BL990" s="161"/>
      <c r="BM990" s="161"/>
      <c r="BN990" s="161"/>
      <c r="BO990" s="161"/>
      <c r="BP990" s="161"/>
      <c r="BQ990" s="161"/>
      <c r="BR990" s="161"/>
      <c r="BS990" s="161"/>
      <c r="BT990" s="161"/>
      <c r="BU990" s="161"/>
      <c r="BV990" s="161"/>
      <c r="BW990" s="161"/>
      <c r="BX990" s="161"/>
      <c r="BY990" s="161"/>
    </row>
    <row r="991" spans="1:77">
      <c r="A991" s="162"/>
      <c r="B991" s="162"/>
      <c r="C991" s="162"/>
      <c r="D991" s="162"/>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c r="AC991" s="162"/>
      <c r="AD991" s="162"/>
      <c r="AE991" s="162"/>
      <c r="AF991" s="162"/>
      <c r="AG991" s="162"/>
      <c r="AH991" s="162"/>
      <c r="AI991" s="162"/>
      <c r="AJ991" s="162"/>
      <c r="AK991" s="162"/>
      <c r="AL991" s="162"/>
      <c r="AM991" s="162"/>
      <c r="AN991" s="162"/>
      <c r="AO991" s="162"/>
      <c r="AP991" s="162"/>
      <c r="AQ991" s="162"/>
      <c r="AR991" s="162"/>
      <c r="AS991" s="162"/>
      <c r="AT991" s="161"/>
      <c r="AU991" s="161"/>
      <c r="AV991" s="161"/>
      <c r="AW991" s="161"/>
      <c r="AX991" s="161"/>
      <c r="AY991" s="161"/>
      <c r="AZ991" s="161"/>
      <c r="BA991" s="161"/>
      <c r="BB991" s="161"/>
      <c r="BC991" s="161"/>
      <c r="BD991" s="161"/>
      <c r="BE991" s="161"/>
      <c r="BF991" s="161"/>
      <c r="BG991" s="161"/>
      <c r="BH991" s="161"/>
      <c r="BI991" s="161"/>
      <c r="BJ991" s="161"/>
      <c r="BK991" s="161"/>
      <c r="BL991" s="161"/>
      <c r="BM991" s="161"/>
      <c r="BN991" s="161"/>
      <c r="BO991" s="161"/>
      <c r="BP991" s="161"/>
      <c r="BQ991" s="161"/>
      <c r="BR991" s="161"/>
      <c r="BS991" s="161"/>
      <c r="BT991" s="161"/>
      <c r="BU991" s="161"/>
      <c r="BV991" s="161"/>
      <c r="BW991" s="161"/>
      <c r="BX991" s="161"/>
      <c r="BY991" s="161"/>
    </row>
    <row r="992" spans="1:77">
      <c r="A992" s="162"/>
      <c r="B992" s="162"/>
      <c r="C992" s="162"/>
      <c r="D992" s="162"/>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c r="AC992" s="162"/>
      <c r="AD992" s="162"/>
      <c r="AE992" s="162"/>
      <c r="AF992" s="162"/>
      <c r="AG992" s="162"/>
      <c r="AH992" s="162"/>
      <c r="AI992" s="162"/>
      <c r="AJ992" s="162"/>
      <c r="AK992" s="162"/>
      <c r="AL992" s="162"/>
      <c r="AM992" s="162"/>
      <c r="AN992" s="162"/>
      <c r="AO992" s="162"/>
      <c r="AP992" s="162"/>
      <c r="AQ992" s="162"/>
      <c r="AR992" s="162"/>
      <c r="AS992" s="162"/>
      <c r="AT992" s="161"/>
      <c r="AU992" s="161"/>
      <c r="AV992" s="161"/>
      <c r="AW992" s="161"/>
      <c r="AX992" s="161"/>
      <c r="AY992" s="161"/>
      <c r="AZ992" s="161"/>
      <c r="BA992" s="161"/>
      <c r="BB992" s="161"/>
      <c r="BC992" s="161"/>
      <c r="BD992" s="161"/>
      <c r="BE992" s="161"/>
      <c r="BF992" s="161"/>
      <c r="BG992" s="161"/>
      <c r="BH992" s="161"/>
      <c r="BI992" s="161"/>
      <c r="BJ992" s="161"/>
      <c r="BK992" s="161"/>
      <c r="BL992" s="161"/>
      <c r="BM992" s="161"/>
      <c r="BN992" s="161"/>
      <c r="BO992" s="161"/>
      <c r="BP992" s="161"/>
      <c r="BQ992" s="161"/>
      <c r="BR992" s="161"/>
      <c r="BS992" s="161"/>
      <c r="BT992" s="161"/>
      <c r="BU992" s="161"/>
      <c r="BV992" s="161"/>
      <c r="BW992" s="161"/>
      <c r="BX992" s="161"/>
      <c r="BY992" s="161"/>
    </row>
    <row r="993" spans="1:77">
      <c r="A993" s="162"/>
      <c r="B993" s="162"/>
      <c r="C993" s="162"/>
      <c r="D993" s="162"/>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c r="AC993" s="162"/>
      <c r="AD993" s="162"/>
      <c r="AE993" s="162"/>
      <c r="AF993" s="162"/>
      <c r="AG993" s="162"/>
      <c r="AH993" s="162"/>
      <c r="AI993" s="162"/>
      <c r="AJ993" s="162"/>
      <c r="AK993" s="162"/>
      <c r="AL993" s="162"/>
      <c r="AM993" s="162"/>
      <c r="AN993" s="162"/>
      <c r="AO993" s="162"/>
      <c r="AP993" s="162"/>
      <c r="AQ993" s="162"/>
      <c r="AR993" s="162"/>
      <c r="AS993" s="162"/>
      <c r="AT993" s="161"/>
      <c r="AU993" s="161"/>
      <c r="AV993" s="161"/>
      <c r="AW993" s="161"/>
      <c r="AX993" s="161"/>
      <c r="AY993" s="161"/>
      <c r="AZ993" s="161"/>
      <c r="BA993" s="161"/>
      <c r="BB993" s="161"/>
      <c r="BC993" s="161"/>
      <c r="BD993" s="161"/>
      <c r="BE993" s="161"/>
      <c r="BF993" s="161"/>
      <c r="BG993" s="161"/>
      <c r="BH993" s="161"/>
      <c r="BI993" s="161"/>
      <c r="BJ993" s="161"/>
      <c r="BK993" s="161"/>
      <c r="BL993" s="161"/>
      <c r="BM993" s="161"/>
      <c r="BN993" s="161"/>
      <c r="BO993" s="161"/>
      <c r="BP993" s="161"/>
      <c r="BQ993" s="161"/>
      <c r="BR993" s="161"/>
      <c r="BS993" s="161"/>
      <c r="BT993" s="161"/>
      <c r="BU993" s="161"/>
      <c r="BV993" s="161"/>
      <c r="BW993" s="161"/>
      <c r="BX993" s="161"/>
      <c r="BY993" s="161"/>
    </row>
    <row r="994" spans="1:77">
      <c r="A994" s="162"/>
      <c r="B994" s="162"/>
      <c r="C994" s="162"/>
      <c r="D994" s="162"/>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c r="AC994" s="162"/>
      <c r="AD994" s="162"/>
      <c r="AE994" s="162"/>
      <c r="AF994" s="162"/>
      <c r="AG994" s="162"/>
      <c r="AH994" s="162"/>
      <c r="AI994" s="162"/>
      <c r="AJ994" s="162"/>
      <c r="AK994" s="162"/>
      <c r="AL994" s="162"/>
      <c r="AM994" s="162"/>
      <c r="AN994" s="162"/>
      <c r="AO994" s="162"/>
      <c r="AP994" s="162"/>
      <c r="AQ994" s="162"/>
      <c r="AR994" s="162"/>
      <c r="AS994" s="162"/>
      <c r="AT994" s="161"/>
      <c r="AU994" s="161"/>
      <c r="AV994" s="161"/>
      <c r="AW994" s="161"/>
      <c r="AX994" s="161"/>
      <c r="AY994" s="161"/>
      <c r="AZ994" s="161"/>
      <c r="BA994" s="161"/>
      <c r="BB994" s="161"/>
      <c r="BC994" s="161"/>
      <c r="BD994" s="161"/>
      <c r="BE994" s="161"/>
      <c r="BF994" s="161"/>
      <c r="BG994" s="161"/>
      <c r="BH994" s="161"/>
      <c r="BI994" s="161"/>
      <c r="BJ994" s="161"/>
      <c r="BK994" s="161"/>
      <c r="BL994" s="161"/>
      <c r="BM994" s="161"/>
      <c r="BN994" s="161"/>
      <c r="BO994" s="161"/>
      <c r="BP994" s="161"/>
      <c r="BQ994" s="161"/>
      <c r="BR994" s="161"/>
      <c r="BS994" s="161"/>
      <c r="BT994" s="161"/>
      <c r="BU994" s="161"/>
      <c r="BV994" s="161"/>
      <c r="BW994" s="161"/>
      <c r="BX994" s="161"/>
      <c r="BY994" s="161"/>
    </row>
    <row r="995" spans="1:77">
      <c r="A995" s="162"/>
      <c r="B995" s="162"/>
      <c r="C995" s="162"/>
      <c r="D995" s="162"/>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c r="AC995" s="162"/>
      <c r="AD995" s="162"/>
      <c r="AE995" s="162"/>
      <c r="AF995" s="162"/>
      <c r="AG995" s="162"/>
      <c r="AH995" s="162"/>
      <c r="AI995" s="162"/>
      <c r="AJ995" s="162"/>
      <c r="AK995" s="162"/>
      <c r="AL995" s="162"/>
      <c r="AM995" s="162"/>
      <c r="AN995" s="162"/>
      <c r="AO995" s="162"/>
      <c r="AP995" s="162"/>
      <c r="AQ995" s="162"/>
      <c r="AR995" s="162"/>
      <c r="AS995" s="162"/>
      <c r="AT995" s="161"/>
      <c r="AU995" s="161"/>
      <c r="AV995" s="161"/>
      <c r="AW995" s="161"/>
      <c r="AX995" s="161"/>
      <c r="AY995" s="161"/>
      <c r="AZ995" s="161"/>
      <c r="BA995" s="161"/>
      <c r="BB995" s="161"/>
      <c r="BC995" s="161"/>
      <c r="BD995" s="161"/>
      <c r="BE995" s="161"/>
      <c r="BF995" s="161"/>
      <c r="BG995" s="161"/>
      <c r="BH995" s="161"/>
      <c r="BI995" s="161"/>
      <c r="BJ995" s="161"/>
      <c r="BK995" s="161"/>
      <c r="BL995" s="161"/>
      <c r="BM995" s="161"/>
      <c r="BN995" s="161"/>
      <c r="BO995" s="161"/>
      <c r="BP995" s="161"/>
      <c r="BQ995" s="161"/>
      <c r="BR995" s="161"/>
      <c r="BS995" s="161"/>
      <c r="BT995" s="161"/>
      <c r="BU995" s="161"/>
      <c r="BV995" s="161"/>
      <c r="BW995" s="161"/>
      <c r="BX995" s="161"/>
      <c r="BY995" s="161"/>
    </row>
    <row r="996" spans="1:77">
      <c r="A996" s="162"/>
      <c r="B996" s="162"/>
      <c r="C996" s="162"/>
      <c r="D996" s="162"/>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c r="AC996" s="162"/>
      <c r="AD996" s="162"/>
      <c r="AE996" s="162"/>
      <c r="AF996" s="162"/>
      <c r="AG996" s="162"/>
      <c r="AH996" s="162"/>
      <c r="AI996" s="162"/>
      <c r="AJ996" s="162"/>
      <c r="AK996" s="162"/>
      <c r="AL996" s="162"/>
      <c r="AM996" s="162"/>
      <c r="AN996" s="162"/>
      <c r="AO996" s="162"/>
      <c r="AP996" s="162"/>
      <c r="AQ996" s="162"/>
      <c r="AR996" s="162"/>
      <c r="AS996" s="162"/>
      <c r="AT996" s="161"/>
      <c r="AU996" s="161"/>
      <c r="AV996" s="161"/>
      <c r="AW996" s="161"/>
      <c r="AX996" s="161"/>
      <c r="AY996" s="161"/>
      <c r="AZ996" s="161"/>
      <c r="BA996" s="161"/>
      <c r="BB996" s="161"/>
      <c r="BC996" s="161"/>
      <c r="BD996" s="161"/>
      <c r="BE996" s="161"/>
      <c r="BF996" s="161"/>
      <c r="BG996" s="161"/>
      <c r="BH996" s="161"/>
      <c r="BI996" s="161"/>
      <c r="BJ996" s="161"/>
      <c r="BK996" s="161"/>
      <c r="BL996" s="161"/>
      <c r="BM996" s="161"/>
      <c r="BN996" s="161"/>
      <c r="BO996" s="161"/>
      <c r="BP996" s="161"/>
      <c r="BQ996" s="161"/>
      <c r="BR996" s="161"/>
      <c r="BS996" s="161"/>
      <c r="BT996" s="161"/>
      <c r="BU996" s="161"/>
      <c r="BV996" s="161"/>
      <c r="BW996" s="161"/>
      <c r="BX996" s="161"/>
      <c r="BY996" s="161"/>
    </row>
    <row r="997" spans="1:77">
      <c r="A997" s="162"/>
      <c r="B997" s="162"/>
      <c r="C997" s="162"/>
      <c r="D997" s="162"/>
      <c r="E997" s="162"/>
      <c r="F997" s="162"/>
      <c r="G997" s="162"/>
      <c r="H997" s="162"/>
      <c r="I997" s="162"/>
      <c r="J997" s="162"/>
      <c r="K997" s="162"/>
      <c r="L997" s="162"/>
      <c r="M997" s="162"/>
      <c r="N997" s="162"/>
      <c r="O997" s="162"/>
      <c r="P997" s="162"/>
      <c r="Q997" s="162"/>
      <c r="R997" s="162"/>
      <c r="S997" s="162"/>
      <c r="T997" s="162"/>
      <c r="U997" s="162"/>
      <c r="V997" s="162"/>
      <c r="W997" s="162"/>
      <c r="X997" s="162"/>
      <c r="Y997" s="162"/>
      <c r="Z997" s="162"/>
      <c r="AA997" s="162"/>
      <c r="AB997" s="162"/>
      <c r="AC997" s="162"/>
      <c r="AD997" s="162"/>
      <c r="AE997" s="162"/>
      <c r="AF997" s="162"/>
      <c r="AG997" s="162"/>
      <c r="AH997" s="162"/>
      <c r="AI997" s="162"/>
      <c r="AJ997" s="162"/>
      <c r="AK997" s="162"/>
      <c r="AL997" s="162"/>
      <c r="AM997" s="162"/>
      <c r="AN997" s="162"/>
      <c r="AO997" s="162"/>
      <c r="AP997" s="162"/>
      <c r="AQ997" s="162"/>
      <c r="AR997" s="162"/>
      <c r="AS997" s="162"/>
      <c r="AT997" s="161"/>
      <c r="AU997" s="161"/>
      <c r="AV997" s="161"/>
      <c r="AW997" s="161"/>
      <c r="AX997" s="161"/>
      <c r="AY997" s="161"/>
      <c r="AZ997" s="161"/>
      <c r="BA997" s="161"/>
      <c r="BB997" s="161"/>
      <c r="BC997" s="161"/>
      <c r="BD997" s="161"/>
      <c r="BE997" s="161"/>
      <c r="BF997" s="161"/>
      <c r="BG997" s="161"/>
      <c r="BH997" s="161"/>
      <c r="BI997" s="161"/>
      <c r="BJ997" s="161"/>
      <c r="BK997" s="161"/>
      <c r="BL997" s="161"/>
      <c r="BM997" s="161"/>
      <c r="BN997" s="161"/>
      <c r="BO997" s="161"/>
      <c r="BP997" s="161"/>
      <c r="BQ997" s="161"/>
      <c r="BR997" s="161"/>
      <c r="BS997" s="161"/>
      <c r="BT997" s="161"/>
      <c r="BU997" s="161"/>
      <c r="BV997" s="161"/>
      <c r="BW997" s="161"/>
      <c r="BX997" s="161"/>
      <c r="BY997" s="161"/>
    </row>
    <row r="998" spans="1:77">
      <c r="A998" s="162"/>
      <c r="B998" s="162"/>
      <c r="C998" s="162"/>
      <c r="D998" s="162"/>
      <c r="E998" s="162"/>
      <c r="F998" s="162"/>
      <c r="G998" s="162"/>
      <c r="H998" s="162"/>
      <c r="I998" s="162"/>
      <c r="J998" s="162"/>
      <c r="K998" s="162"/>
      <c r="L998" s="162"/>
      <c r="M998" s="162"/>
      <c r="N998" s="162"/>
      <c r="O998" s="162"/>
      <c r="P998" s="162"/>
      <c r="Q998" s="162"/>
      <c r="R998" s="162"/>
      <c r="S998" s="162"/>
      <c r="T998" s="162"/>
      <c r="U998" s="162"/>
      <c r="V998" s="162"/>
      <c r="W998" s="162"/>
      <c r="X998" s="162"/>
      <c r="Y998" s="162"/>
      <c r="Z998" s="162"/>
      <c r="AA998" s="162"/>
      <c r="AB998" s="162"/>
      <c r="AC998" s="162"/>
      <c r="AD998" s="162"/>
      <c r="AE998" s="162"/>
      <c r="AF998" s="162"/>
      <c r="AG998" s="162"/>
      <c r="AH998" s="162"/>
      <c r="AI998" s="162"/>
      <c r="AJ998" s="162"/>
      <c r="AK998" s="162"/>
      <c r="AL998" s="162"/>
      <c r="AM998" s="162"/>
      <c r="AN998" s="162"/>
      <c r="AO998" s="162"/>
      <c r="AP998" s="162"/>
      <c r="AQ998" s="162"/>
      <c r="AR998" s="162"/>
      <c r="AS998" s="162"/>
      <c r="AT998" s="161"/>
      <c r="AU998" s="161"/>
      <c r="AV998" s="161"/>
      <c r="AW998" s="161"/>
      <c r="AX998" s="161"/>
      <c r="AY998" s="161"/>
      <c r="AZ998" s="161"/>
      <c r="BA998" s="161"/>
      <c r="BB998" s="161"/>
      <c r="BC998" s="161"/>
      <c r="BD998" s="161"/>
      <c r="BE998" s="161"/>
      <c r="BF998" s="161"/>
      <c r="BG998" s="161"/>
      <c r="BH998" s="161"/>
      <c r="BI998" s="161"/>
      <c r="BJ998" s="161"/>
      <c r="BK998" s="161"/>
      <c r="BL998" s="161"/>
      <c r="BM998" s="161"/>
      <c r="BN998" s="161"/>
      <c r="BO998" s="161"/>
      <c r="BP998" s="161"/>
      <c r="BQ998" s="161"/>
      <c r="BR998" s="161"/>
      <c r="BS998" s="161"/>
      <c r="BT998" s="161"/>
      <c r="BU998" s="161"/>
      <c r="BV998" s="161"/>
      <c r="BW998" s="161"/>
      <c r="BX998" s="161"/>
      <c r="BY998" s="161"/>
    </row>
    <row r="999" spans="1:77">
      <c r="A999" s="162"/>
      <c r="B999" s="162"/>
      <c r="C999" s="162"/>
      <c r="D999" s="162"/>
      <c r="E999" s="162"/>
      <c r="F999" s="162"/>
      <c r="G999" s="162"/>
      <c r="H999" s="162"/>
      <c r="I999" s="162"/>
      <c r="J999" s="162"/>
      <c r="K999" s="162"/>
      <c r="L999" s="162"/>
      <c r="M999" s="162"/>
      <c r="N999" s="162"/>
      <c r="O999" s="162"/>
      <c r="P999" s="162"/>
      <c r="Q999" s="162"/>
      <c r="R999" s="162"/>
      <c r="S999" s="162"/>
      <c r="T999" s="162"/>
      <c r="U999" s="162"/>
      <c r="V999" s="162"/>
      <c r="W999" s="162"/>
      <c r="X999" s="162"/>
      <c r="Y999" s="162"/>
      <c r="Z999" s="162"/>
      <c r="AA999" s="162"/>
      <c r="AB999" s="162"/>
      <c r="AC999" s="162"/>
      <c r="AD999" s="162"/>
      <c r="AE999" s="162"/>
      <c r="AF999" s="162"/>
      <c r="AG999" s="162"/>
      <c r="AH999" s="162"/>
      <c r="AI999" s="162"/>
      <c r="AJ999" s="162"/>
      <c r="AK999" s="162"/>
      <c r="AL999" s="162"/>
      <c r="AM999" s="162"/>
      <c r="AN999" s="162"/>
      <c r="AO999" s="162"/>
      <c r="AP999" s="162"/>
      <c r="AQ999" s="162"/>
      <c r="AR999" s="162"/>
      <c r="AS999" s="162"/>
      <c r="AT999" s="161"/>
      <c r="AU999" s="161"/>
      <c r="AV999" s="161"/>
      <c r="AW999" s="161"/>
      <c r="AX999" s="161"/>
      <c r="AY999" s="161"/>
      <c r="AZ999" s="161"/>
      <c r="BA999" s="161"/>
      <c r="BB999" s="161"/>
      <c r="BC999" s="161"/>
      <c r="BD999" s="161"/>
      <c r="BE999" s="161"/>
      <c r="BF999" s="161"/>
      <c r="BG999" s="161"/>
      <c r="BH999" s="161"/>
      <c r="BI999" s="161"/>
      <c r="BJ999" s="161"/>
      <c r="BK999" s="161"/>
      <c r="BL999" s="161"/>
      <c r="BM999" s="161"/>
      <c r="BN999" s="161"/>
      <c r="BO999" s="161"/>
      <c r="BP999" s="161"/>
      <c r="BQ999" s="161"/>
      <c r="BR999" s="161"/>
      <c r="BS999" s="161"/>
      <c r="BT999" s="161"/>
      <c r="BU999" s="161"/>
      <c r="BV999" s="161"/>
      <c r="BW999" s="161"/>
      <c r="BX999" s="161"/>
      <c r="BY999" s="161"/>
    </row>
    <row r="1000" spans="1:77">
      <c r="A1000" s="162"/>
      <c r="B1000" s="162"/>
      <c r="C1000" s="162"/>
      <c r="D1000" s="162"/>
      <c r="E1000" s="162"/>
      <c r="F1000" s="162"/>
      <c r="G1000" s="162"/>
      <c r="H1000" s="162"/>
      <c r="I1000" s="162"/>
      <c r="J1000" s="162"/>
      <c r="K1000" s="162"/>
      <c r="L1000" s="162"/>
      <c r="M1000" s="162"/>
      <c r="N1000" s="162"/>
      <c r="O1000" s="162"/>
      <c r="P1000" s="162"/>
      <c r="Q1000" s="162"/>
      <c r="R1000" s="162"/>
      <c r="S1000" s="162"/>
      <c r="T1000" s="162"/>
      <c r="U1000" s="162"/>
      <c r="V1000" s="162"/>
      <c r="W1000" s="162"/>
      <c r="X1000" s="162"/>
      <c r="Y1000" s="162"/>
      <c r="Z1000" s="162"/>
      <c r="AA1000" s="162"/>
      <c r="AB1000" s="162"/>
      <c r="AC1000" s="162"/>
      <c r="AD1000" s="162"/>
      <c r="AE1000" s="162"/>
      <c r="AF1000" s="162"/>
      <c r="AG1000" s="162"/>
      <c r="AH1000" s="162"/>
      <c r="AI1000" s="162"/>
      <c r="AJ1000" s="162"/>
      <c r="AK1000" s="162"/>
      <c r="AL1000" s="162"/>
      <c r="AM1000" s="162"/>
      <c r="AN1000" s="162"/>
      <c r="AO1000" s="162"/>
      <c r="AP1000" s="162"/>
      <c r="AQ1000" s="162"/>
      <c r="AR1000" s="162"/>
      <c r="AS1000" s="162"/>
      <c r="AT1000" s="161"/>
      <c r="AU1000" s="161"/>
      <c r="AV1000" s="161"/>
      <c r="AW1000" s="161"/>
      <c r="AX1000" s="161"/>
      <c r="AY1000" s="161"/>
      <c r="AZ1000" s="161"/>
      <c r="BA1000" s="161"/>
      <c r="BB1000" s="161"/>
      <c r="BC1000" s="161"/>
      <c r="BD1000" s="161"/>
      <c r="BE1000" s="161"/>
      <c r="BF1000" s="161"/>
      <c r="BG1000" s="161"/>
      <c r="BH1000" s="161"/>
      <c r="BI1000" s="161"/>
      <c r="BJ1000" s="161"/>
      <c r="BK1000" s="161"/>
      <c r="BL1000" s="161"/>
      <c r="BM1000" s="161"/>
      <c r="BN1000" s="161"/>
      <c r="BO1000" s="161"/>
      <c r="BP1000" s="161"/>
      <c r="BQ1000" s="161"/>
      <c r="BR1000" s="161"/>
      <c r="BS1000" s="161"/>
      <c r="BT1000" s="161"/>
      <c r="BU1000" s="161"/>
      <c r="BV1000" s="161"/>
      <c r="BW1000" s="161"/>
      <c r="BX1000" s="161"/>
      <c r="BY1000" s="161"/>
    </row>
    <row r="1001" spans="1:77">
      <c r="A1001" s="162"/>
      <c r="B1001" s="162"/>
      <c r="C1001" s="162"/>
      <c r="D1001" s="162"/>
      <c r="E1001" s="162"/>
      <c r="F1001" s="162"/>
      <c r="G1001" s="162"/>
      <c r="H1001" s="162"/>
      <c r="I1001" s="162"/>
      <c r="J1001" s="162"/>
      <c r="K1001" s="162"/>
      <c r="L1001" s="162"/>
      <c r="M1001" s="162"/>
      <c r="N1001" s="162"/>
      <c r="O1001" s="162"/>
      <c r="P1001" s="162"/>
      <c r="Q1001" s="162"/>
      <c r="R1001" s="162"/>
      <c r="S1001" s="162"/>
      <c r="T1001" s="162"/>
      <c r="U1001" s="162"/>
      <c r="V1001" s="162"/>
      <c r="W1001" s="162"/>
      <c r="X1001" s="162"/>
      <c r="Y1001" s="162"/>
      <c r="Z1001" s="162"/>
      <c r="AA1001" s="162"/>
      <c r="AB1001" s="162"/>
      <c r="AC1001" s="162"/>
      <c r="AD1001" s="162"/>
      <c r="AE1001" s="162"/>
      <c r="AF1001" s="162"/>
      <c r="AG1001" s="162"/>
      <c r="AH1001" s="162"/>
      <c r="AI1001" s="162"/>
      <c r="AJ1001" s="162"/>
      <c r="AK1001" s="162"/>
      <c r="AL1001" s="162"/>
      <c r="AM1001" s="162"/>
      <c r="AN1001" s="162"/>
      <c r="AO1001" s="162"/>
      <c r="AP1001" s="162"/>
      <c r="AQ1001" s="162"/>
      <c r="AR1001" s="162"/>
      <c r="AS1001" s="162"/>
      <c r="AT1001" s="161"/>
      <c r="AU1001" s="161"/>
      <c r="AV1001" s="161"/>
      <c r="AW1001" s="161"/>
      <c r="AX1001" s="161"/>
      <c r="AY1001" s="161"/>
      <c r="AZ1001" s="161"/>
      <c r="BA1001" s="161"/>
      <c r="BB1001" s="161"/>
      <c r="BC1001" s="161"/>
      <c r="BD1001" s="161"/>
      <c r="BE1001" s="161"/>
      <c r="BF1001" s="161"/>
      <c r="BG1001" s="161"/>
      <c r="BH1001" s="161"/>
      <c r="BI1001" s="161"/>
      <c r="BJ1001" s="161"/>
      <c r="BK1001" s="161"/>
      <c r="BL1001" s="161"/>
      <c r="BM1001" s="161"/>
      <c r="BN1001" s="161"/>
      <c r="BO1001" s="161"/>
      <c r="BP1001" s="161"/>
      <c r="BQ1001" s="161"/>
      <c r="BR1001" s="161"/>
      <c r="BS1001" s="161"/>
      <c r="BT1001" s="161"/>
      <c r="BU1001" s="161"/>
      <c r="BV1001" s="161"/>
      <c r="BW1001" s="161"/>
      <c r="BX1001" s="161"/>
      <c r="BY1001" s="161"/>
    </row>
    <row r="1002" spans="1:77">
      <c r="A1002" s="162"/>
      <c r="B1002" s="162"/>
      <c r="C1002" s="162"/>
      <c r="D1002" s="162"/>
      <c r="E1002" s="162"/>
      <c r="F1002" s="162"/>
      <c r="G1002" s="162"/>
      <c r="H1002" s="162"/>
      <c r="I1002" s="162"/>
      <c r="J1002" s="162"/>
      <c r="K1002" s="162"/>
      <c r="L1002" s="162"/>
      <c r="M1002" s="162"/>
      <c r="N1002" s="162"/>
      <c r="O1002" s="162"/>
      <c r="P1002" s="162"/>
      <c r="Q1002" s="162"/>
      <c r="R1002" s="162"/>
      <c r="S1002" s="162"/>
      <c r="T1002" s="162"/>
      <c r="U1002" s="162"/>
      <c r="V1002" s="162"/>
      <c r="W1002" s="162"/>
      <c r="X1002" s="162"/>
      <c r="Y1002" s="162"/>
      <c r="Z1002" s="162"/>
      <c r="AA1002" s="162"/>
      <c r="AB1002" s="162"/>
      <c r="AC1002" s="162"/>
      <c r="AD1002" s="162"/>
      <c r="AE1002" s="162"/>
      <c r="AF1002" s="162"/>
      <c r="AG1002" s="162"/>
      <c r="AH1002" s="162"/>
      <c r="AI1002" s="162"/>
      <c r="AJ1002" s="162"/>
      <c r="AK1002" s="162"/>
      <c r="AL1002" s="162"/>
      <c r="AM1002" s="162"/>
      <c r="AN1002" s="162"/>
      <c r="AO1002" s="162"/>
      <c r="AP1002" s="162"/>
      <c r="AQ1002" s="162"/>
      <c r="AR1002" s="162"/>
      <c r="AS1002" s="162"/>
      <c r="AT1002" s="161"/>
      <c r="AU1002" s="161"/>
      <c r="AV1002" s="161"/>
      <c r="AW1002" s="161"/>
      <c r="AX1002" s="161"/>
      <c r="AY1002" s="161"/>
      <c r="AZ1002" s="161"/>
      <c r="BA1002" s="161"/>
      <c r="BB1002" s="161"/>
      <c r="BC1002" s="161"/>
      <c r="BD1002" s="161"/>
      <c r="BE1002" s="161"/>
      <c r="BF1002" s="161"/>
      <c r="BG1002" s="161"/>
      <c r="BH1002" s="161"/>
      <c r="BI1002" s="161"/>
      <c r="BJ1002" s="161"/>
      <c r="BK1002" s="161"/>
      <c r="BL1002" s="161"/>
      <c r="BM1002" s="161"/>
      <c r="BN1002" s="161"/>
      <c r="BO1002" s="161"/>
      <c r="BP1002" s="161"/>
      <c r="BQ1002" s="161"/>
      <c r="BR1002" s="161"/>
      <c r="BS1002" s="161"/>
      <c r="BT1002" s="161"/>
      <c r="BU1002" s="161"/>
      <c r="BV1002" s="161"/>
      <c r="BW1002" s="161"/>
      <c r="BX1002" s="161"/>
      <c r="BY1002" s="161"/>
    </row>
    <row r="1003" spans="1:77">
      <c r="A1003" s="162"/>
      <c r="B1003" s="162"/>
      <c r="C1003" s="162"/>
      <c r="D1003" s="162"/>
      <c r="E1003" s="162"/>
      <c r="F1003" s="162"/>
      <c r="G1003" s="162"/>
      <c r="H1003" s="162"/>
      <c r="I1003" s="162"/>
      <c r="J1003" s="162"/>
      <c r="K1003" s="162"/>
      <c r="L1003" s="162"/>
      <c r="M1003" s="162"/>
      <c r="N1003" s="162"/>
      <c r="O1003" s="162"/>
      <c r="P1003" s="162"/>
      <c r="Q1003" s="162"/>
      <c r="R1003" s="162"/>
      <c r="S1003" s="162"/>
      <c r="T1003" s="162"/>
      <c r="U1003" s="162"/>
      <c r="V1003" s="162"/>
      <c r="W1003" s="162"/>
      <c r="X1003" s="162"/>
      <c r="Y1003" s="162"/>
      <c r="Z1003" s="162"/>
      <c r="AA1003" s="162"/>
      <c r="AB1003" s="162"/>
      <c r="AC1003" s="162"/>
      <c r="AD1003" s="162"/>
      <c r="AE1003" s="162"/>
      <c r="AF1003" s="162"/>
      <c r="AG1003" s="162"/>
      <c r="AH1003" s="162"/>
      <c r="AI1003" s="162"/>
      <c r="AJ1003" s="162"/>
      <c r="AK1003" s="162"/>
      <c r="AL1003" s="162"/>
      <c r="AM1003" s="162"/>
      <c r="AN1003" s="162"/>
      <c r="AO1003" s="162"/>
      <c r="AP1003" s="162"/>
      <c r="AQ1003" s="162"/>
      <c r="AR1003" s="162"/>
      <c r="AS1003" s="162"/>
      <c r="AT1003" s="161"/>
      <c r="AU1003" s="161"/>
      <c r="AV1003" s="161"/>
      <c r="AW1003" s="161"/>
      <c r="AX1003" s="161"/>
      <c r="AY1003" s="161"/>
      <c r="AZ1003" s="161"/>
      <c r="BA1003" s="161"/>
      <c r="BB1003" s="161"/>
      <c r="BC1003" s="161"/>
      <c r="BD1003" s="161"/>
      <c r="BE1003" s="161"/>
      <c r="BF1003" s="161"/>
      <c r="BG1003" s="161"/>
      <c r="BH1003" s="161"/>
      <c r="BI1003" s="161"/>
      <c r="BJ1003" s="161"/>
      <c r="BK1003" s="161"/>
      <c r="BL1003" s="161"/>
      <c r="BM1003" s="161"/>
      <c r="BN1003" s="161"/>
      <c r="BO1003" s="161"/>
      <c r="BP1003" s="161"/>
      <c r="BQ1003" s="161"/>
      <c r="BR1003" s="161"/>
      <c r="BS1003" s="161"/>
      <c r="BT1003" s="161"/>
      <c r="BU1003" s="161"/>
      <c r="BV1003" s="161"/>
      <c r="BW1003" s="161"/>
      <c r="BX1003" s="161"/>
      <c r="BY1003" s="161"/>
    </row>
    <row r="1004" spans="1:77">
      <c r="A1004" s="162"/>
      <c r="B1004" s="162"/>
      <c r="C1004" s="162"/>
      <c r="D1004" s="162"/>
      <c r="E1004" s="162"/>
      <c r="F1004" s="162"/>
      <c r="G1004" s="162"/>
      <c r="H1004" s="162"/>
      <c r="I1004" s="162"/>
      <c r="J1004" s="162"/>
      <c r="K1004" s="162"/>
      <c r="L1004" s="162"/>
      <c r="M1004" s="162"/>
      <c r="N1004" s="162"/>
      <c r="O1004" s="162"/>
      <c r="P1004" s="162"/>
      <c r="Q1004" s="162"/>
      <c r="R1004" s="162"/>
      <c r="S1004" s="162"/>
      <c r="T1004" s="162"/>
      <c r="U1004" s="162"/>
      <c r="V1004" s="162"/>
      <c r="W1004" s="162"/>
      <c r="X1004" s="162"/>
      <c r="Y1004" s="162"/>
      <c r="Z1004" s="162"/>
      <c r="AA1004" s="162"/>
      <c r="AB1004" s="162"/>
      <c r="AC1004" s="162"/>
      <c r="AD1004" s="162"/>
      <c r="AE1004" s="162"/>
      <c r="AF1004" s="162"/>
      <c r="AG1004" s="162"/>
      <c r="AH1004" s="162"/>
      <c r="AI1004" s="162"/>
      <c r="AJ1004" s="162"/>
      <c r="AK1004" s="162"/>
      <c r="AL1004" s="162"/>
      <c r="AM1004" s="162"/>
      <c r="AN1004" s="162"/>
      <c r="AO1004" s="162"/>
      <c r="AP1004" s="162"/>
      <c r="AQ1004" s="162"/>
      <c r="AR1004" s="162"/>
      <c r="AS1004" s="162"/>
      <c r="AT1004" s="161"/>
      <c r="AU1004" s="161"/>
      <c r="AV1004" s="161"/>
      <c r="AW1004" s="161"/>
      <c r="AX1004" s="161"/>
      <c r="AY1004" s="161"/>
      <c r="AZ1004" s="161"/>
      <c r="BA1004" s="161"/>
      <c r="BB1004" s="161"/>
      <c r="BC1004" s="161"/>
      <c r="BD1004" s="161"/>
      <c r="BE1004" s="161"/>
      <c r="BF1004" s="161"/>
      <c r="BG1004" s="161"/>
      <c r="BH1004" s="161"/>
      <c r="BI1004" s="161"/>
      <c r="BJ1004" s="161"/>
      <c r="BK1004" s="161"/>
      <c r="BL1004" s="161"/>
      <c r="BM1004" s="161"/>
      <c r="BN1004" s="161"/>
      <c r="BO1004" s="161"/>
      <c r="BP1004" s="161"/>
      <c r="BQ1004" s="161"/>
      <c r="BR1004" s="161"/>
      <c r="BS1004" s="161"/>
      <c r="BT1004" s="161"/>
      <c r="BU1004" s="161"/>
      <c r="BV1004" s="161"/>
      <c r="BW1004" s="161"/>
      <c r="BX1004" s="161"/>
      <c r="BY1004" s="161"/>
    </row>
  </sheetData>
  <mergeCells count="2182">
    <mergeCell ref="G88:K88"/>
    <mergeCell ref="P47:Q47"/>
    <mergeCell ref="I45:I50"/>
    <mergeCell ref="B62:B63"/>
    <mergeCell ref="P55:Q55"/>
    <mergeCell ref="M59:P59"/>
    <mergeCell ref="K70:M70"/>
    <mergeCell ref="C62:C63"/>
    <mergeCell ref="B74:H74"/>
    <mergeCell ref="B59:E60"/>
    <mergeCell ref="D64:L64"/>
    <mergeCell ref="D68:L68"/>
    <mergeCell ref="P48:Q48"/>
    <mergeCell ref="I78:L78"/>
    <mergeCell ref="E54:E55"/>
    <mergeCell ref="I74:J74"/>
    <mergeCell ref="K74:M74"/>
    <mergeCell ref="F59:L60"/>
    <mergeCell ref="K82:M83"/>
    <mergeCell ref="C82:D83"/>
    <mergeCell ref="D66:L66"/>
    <mergeCell ref="B73:H73"/>
    <mergeCell ref="J56:O56"/>
    <mergeCell ref="I52:I57"/>
    <mergeCell ref="M67:O67"/>
    <mergeCell ref="C76:H77"/>
    <mergeCell ref="C78:H78"/>
    <mergeCell ref="B57:C57"/>
    <mergeCell ref="G56:H56"/>
    <mergeCell ref="I70:J70"/>
    <mergeCell ref="B70:H70"/>
    <mergeCell ref="B71:H71"/>
    <mergeCell ref="B72:H72"/>
    <mergeCell ref="J54:O54"/>
    <mergeCell ref="M60:P60"/>
    <mergeCell ref="M65:O65"/>
    <mergeCell ref="P54:Q54"/>
    <mergeCell ref="D65:L65"/>
    <mergeCell ref="D62:L63"/>
    <mergeCell ref="B53:E53"/>
    <mergeCell ref="B76:B83"/>
    <mergeCell ref="M64:O64"/>
    <mergeCell ref="J55:O55"/>
    <mergeCell ref="M161:P161"/>
    <mergeCell ref="M159:P159"/>
    <mergeCell ref="M156:P156"/>
    <mergeCell ref="M157:P157"/>
    <mergeCell ref="M158:P158"/>
    <mergeCell ref="M164:P164"/>
    <mergeCell ref="M163:P163"/>
    <mergeCell ref="K165:L165"/>
    <mergeCell ref="K166:L166"/>
    <mergeCell ref="K164:L164"/>
    <mergeCell ref="B50:C50"/>
    <mergeCell ref="L106:N106"/>
    <mergeCell ref="N79:P80"/>
    <mergeCell ref="N81:P81"/>
    <mergeCell ref="L86:O87"/>
    <mergeCell ref="L85:O85"/>
    <mergeCell ref="O94:Q94"/>
    <mergeCell ref="O93:Q93"/>
    <mergeCell ref="K79:M80"/>
    <mergeCell ref="J86:K87"/>
    <mergeCell ref="J85:K85"/>
    <mergeCell ref="C86:I87"/>
    <mergeCell ref="C85:I85"/>
    <mergeCell ref="H79:J80"/>
    <mergeCell ref="C79:D81"/>
    <mergeCell ref="L112:N112"/>
    <mergeCell ref="L119:N119"/>
    <mergeCell ref="L118:N118"/>
    <mergeCell ref="C118:K118"/>
    <mergeCell ref="C117:K117"/>
    <mergeCell ref="F46:F50"/>
    <mergeCell ref="J50:O50"/>
    <mergeCell ref="P50:Q50"/>
    <mergeCell ref="E47:E48"/>
    <mergeCell ref="B47:D48"/>
    <mergeCell ref="G48:H48"/>
    <mergeCell ref="G47:H47"/>
    <mergeCell ref="B43:C43"/>
    <mergeCell ref="B45:E45"/>
    <mergeCell ref="P46:Q46"/>
    <mergeCell ref="G46:H46"/>
    <mergeCell ref="G45:H45"/>
    <mergeCell ref="G50:H50"/>
    <mergeCell ref="P56:Q56"/>
    <mergeCell ref="J53:O53"/>
    <mergeCell ref="P53:Q53"/>
    <mergeCell ref="M62:O63"/>
    <mergeCell ref="G55:H55"/>
    <mergeCell ref="D49:E50"/>
    <mergeCell ref="B46:E46"/>
    <mergeCell ref="B85:B91"/>
    <mergeCell ref="O110:Q110"/>
    <mergeCell ref="O115:Q115"/>
    <mergeCell ref="O111:Q111"/>
    <mergeCell ref="O112:Q112"/>
    <mergeCell ref="L98:N98"/>
    <mergeCell ref="C114:K114"/>
    <mergeCell ref="L113:N113"/>
    <mergeCell ref="L108:N108"/>
    <mergeCell ref="L101:N101"/>
    <mergeCell ref="L102:N102"/>
    <mergeCell ref="L103:N103"/>
    <mergeCell ref="C105:K105"/>
    <mergeCell ref="C106:K106"/>
    <mergeCell ref="O99:Q99"/>
    <mergeCell ref="O103:Q103"/>
    <mergeCell ref="O105:Q105"/>
    <mergeCell ref="C103:K103"/>
    <mergeCell ref="O113:Q113"/>
    <mergeCell ref="C94:K94"/>
    <mergeCell ref="C95:K95"/>
    <mergeCell ref="C96:K96"/>
    <mergeCell ref="C90:E91"/>
    <mergeCell ref="C97:K97"/>
    <mergeCell ref="C109:K109"/>
    <mergeCell ref="C113:K113"/>
    <mergeCell ref="O95:Q95"/>
    <mergeCell ref="O98:Q98"/>
    <mergeCell ref="O97:Q97"/>
    <mergeCell ref="O96:Q96"/>
    <mergeCell ref="O104:Q104"/>
    <mergeCell ref="O106:Q106"/>
    <mergeCell ref="B185:J185"/>
    <mergeCell ref="B183:J183"/>
    <mergeCell ref="B193:J193"/>
    <mergeCell ref="B187:J187"/>
    <mergeCell ref="B190:J190"/>
    <mergeCell ref="M195:P195"/>
    <mergeCell ref="M194:P194"/>
    <mergeCell ref="M193:P193"/>
    <mergeCell ref="A62:A63"/>
    <mergeCell ref="M68:O68"/>
    <mergeCell ref="D56:E57"/>
    <mergeCell ref="F53:F57"/>
    <mergeCell ref="O108:Q108"/>
    <mergeCell ref="O109:Q109"/>
    <mergeCell ref="C100:K100"/>
    <mergeCell ref="C99:K99"/>
    <mergeCell ref="C98:K98"/>
    <mergeCell ref="C104:K104"/>
    <mergeCell ref="C120:K120"/>
    <mergeCell ref="B54:D55"/>
    <mergeCell ref="G54:H54"/>
    <mergeCell ref="G53:H53"/>
    <mergeCell ref="E82:G83"/>
    <mergeCell ref="G89:K89"/>
    <mergeCell ref="C93:K93"/>
    <mergeCell ref="D67:L67"/>
    <mergeCell ref="I72:J72"/>
    <mergeCell ref="I71:J71"/>
    <mergeCell ref="K72:M72"/>
    <mergeCell ref="I73:J73"/>
    <mergeCell ref="K73:M73"/>
    <mergeCell ref="K71:M71"/>
    <mergeCell ref="B175:J175"/>
    <mergeCell ref="O120:Q120"/>
    <mergeCell ref="L116:N116"/>
    <mergeCell ref="L111:N111"/>
    <mergeCell ref="L115:N115"/>
    <mergeCell ref="L114:N114"/>
    <mergeCell ref="L120:N120"/>
    <mergeCell ref="C115:K115"/>
    <mergeCell ref="C116:K116"/>
    <mergeCell ref="B171:J171"/>
    <mergeCell ref="B170:J170"/>
    <mergeCell ref="B172:J172"/>
    <mergeCell ref="B167:J167"/>
    <mergeCell ref="B173:J173"/>
    <mergeCell ref="B165:J165"/>
    <mergeCell ref="M171:P171"/>
    <mergeCell ref="M170:P170"/>
    <mergeCell ref="O130:T131"/>
    <mergeCell ref="B159:J159"/>
    <mergeCell ref="B93:B120"/>
    <mergeCell ref="O117:Q117"/>
    <mergeCell ref="O116:Q116"/>
    <mergeCell ref="O107:Q107"/>
    <mergeCell ref="O102:Q102"/>
    <mergeCell ref="O101:Q101"/>
    <mergeCell ref="B188:J188"/>
    <mergeCell ref="B189:J189"/>
    <mergeCell ref="B194:J194"/>
    <mergeCell ref="B196:J196"/>
    <mergeCell ref="B195:J195"/>
    <mergeCell ref="M181:P181"/>
    <mergeCell ref="M182:P182"/>
    <mergeCell ref="B182:J182"/>
    <mergeCell ref="B184:J184"/>
    <mergeCell ref="B186:J186"/>
    <mergeCell ref="B210:J210"/>
    <mergeCell ref="K192:L192"/>
    <mergeCell ref="M187:P187"/>
    <mergeCell ref="M185:P185"/>
    <mergeCell ref="M186:P186"/>
    <mergeCell ref="M184:P184"/>
    <mergeCell ref="B204:J204"/>
    <mergeCell ref="B208:J208"/>
    <mergeCell ref="M205:P205"/>
    <mergeCell ref="M204:P204"/>
    <mergeCell ref="M203:P203"/>
    <mergeCell ref="M192:P192"/>
    <mergeCell ref="M189:P189"/>
    <mergeCell ref="M190:P190"/>
    <mergeCell ref="M191:P191"/>
    <mergeCell ref="M196:P196"/>
    <mergeCell ref="K184:L184"/>
    <mergeCell ref="K183:L183"/>
    <mergeCell ref="K188:L188"/>
    <mergeCell ref="K187:L187"/>
    <mergeCell ref="K194:L194"/>
    <mergeCell ref="K195:L195"/>
    <mergeCell ref="K216:L216"/>
    <mergeCell ref="K215:L215"/>
    <mergeCell ref="M188:P188"/>
    <mergeCell ref="M178:P178"/>
    <mergeCell ref="M179:P179"/>
    <mergeCell ref="M212:P212"/>
    <mergeCell ref="M213:P213"/>
    <mergeCell ref="M214:P214"/>
    <mergeCell ref="K209:L209"/>
    <mergeCell ref="K210:L210"/>
    <mergeCell ref="K211:L211"/>
    <mergeCell ref="M211:P211"/>
    <mergeCell ref="M210:P210"/>
    <mergeCell ref="M206:P206"/>
    <mergeCell ref="M207:P207"/>
    <mergeCell ref="K190:L190"/>
    <mergeCell ref="K193:L193"/>
    <mergeCell ref="M215:P215"/>
    <mergeCell ref="M216:P216"/>
    <mergeCell ref="M200:P200"/>
    <mergeCell ref="M199:P199"/>
    <mergeCell ref="M201:P201"/>
    <mergeCell ref="M197:P197"/>
    <mergeCell ref="K196:L196"/>
    <mergeCell ref="K189:L189"/>
    <mergeCell ref="K191:L191"/>
    <mergeCell ref="M183:P183"/>
    <mergeCell ref="B212:J212"/>
    <mergeCell ref="B211:J211"/>
    <mergeCell ref="L97:N97"/>
    <mergeCell ref="M76:P76"/>
    <mergeCell ref="N122:N132"/>
    <mergeCell ref="G124:L124"/>
    <mergeCell ref="G122:L122"/>
    <mergeCell ref="G123:L123"/>
    <mergeCell ref="H126:L126"/>
    <mergeCell ref="H127:L127"/>
    <mergeCell ref="G125:L125"/>
    <mergeCell ref="H128:L128"/>
    <mergeCell ref="L94:N94"/>
    <mergeCell ref="L93:N93"/>
    <mergeCell ref="C88:F89"/>
    <mergeCell ref="M77:P77"/>
    <mergeCell ref="M78:P78"/>
    <mergeCell ref="L100:N100"/>
    <mergeCell ref="L99:N99"/>
    <mergeCell ref="B178:J178"/>
    <mergeCell ref="B181:J181"/>
    <mergeCell ref="B180:J180"/>
    <mergeCell ref="B176:J176"/>
    <mergeCell ref="M177:P177"/>
    <mergeCell ref="M176:P176"/>
    <mergeCell ref="M172:P172"/>
    <mergeCell ref="M202:P202"/>
    <mergeCell ref="M198:P198"/>
    <mergeCell ref="B174:J174"/>
    <mergeCell ref="B192:J192"/>
    <mergeCell ref="B191:J191"/>
    <mergeCell ref="L96:N96"/>
    <mergeCell ref="I76:L77"/>
    <mergeCell ref="H82:J83"/>
    <mergeCell ref="O100:Q100"/>
    <mergeCell ref="C112:K112"/>
    <mergeCell ref="L110:N110"/>
    <mergeCell ref="L109:N109"/>
    <mergeCell ref="L107:N107"/>
    <mergeCell ref="C107:K107"/>
    <mergeCell ref="C108:K108"/>
    <mergeCell ref="C102:K102"/>
    <mergeCell ref="C101:K101"/>
    <mergeCell ref="L104:N104"/>
    <mergeCell ref="C129:L129"/>
    <mergeCell ref="C125:F125"/>
    <mergeCell ref="L95:N95"/>
    <mergeCell ref="L105:N105"/>
    <mergeCell ref="O128:Q129"/>
    <mergeCell ref="C127:G127"/>
    <mergeCell ref="C126:G126"/>
    <mergeCell ref="O124:Q125"/>
    <mergeCell ref="O126:Q127"/>
    <mergeCell ref="C123:F123"/>
    <mergeCell ref="C122:F122"/>
    <mergeCell ref="L117:N117"/>
    <mergeCell ref="O118:Q118"/>
    <mergeCell ref="O119:Q119"/>
    <mergeCell ref="O114:Q114"/>
    <mergeCell ref="E81:G81"/>
    <mergeCell ref="E79:G80"/>
    <mergeCell ref="H81:J81"/>
    <mergeCell ref="K81:M81"/>
    <mergeCell ref="AB213:AD213"/>
    <mergeCell ref="AB211:AD211"/>
    <mergeCell ref="AB212:AD212"/>
    <mergeCell ref="AE210:AG210"/>
    <mergeCell ref="AB210:AD210"/>
    <mergeCell ref="B145:V146"/>
    <mergeCell ref="X137:AC137"/>
    <mergeCell ref="AD138:AE138"/>
    <mergeCell ref="X138:AC138"/>
    <mergeCell ref="O122:V123"/>
    <mergeCell ref="X164:AA164"/>
    <mergeCell ref="AB164:AD164"/>
    <mergeCell ref="U166:W166"/>
    <mergeCell ref="U164:W164"/>
    <mergeCell ref="X166:AA166"/>
    <mergeCell ref="Q166:T166"/>
    <mergeCell ref="Q164:T164"/>
    <mergeCell ref="Q165:T165"/>
    <mergeCell ref="AB166:AD166"/>
    <mergeCell ref="O132:R132"/>
    <mergeCell ref="M180:P180"/>
    <mergeCell ref="B201:J201"/>
    <mergeCell ref="B200:J200"/>
    <mergeCell ref="B202:J202"/>
    <mergeCell ref="B197:J197"/>
    <mergeCell ref="B198:J198"/>
    <mergeCell ref="B199:J199"/>
    <mergeCell ref="B203:J203"/>
    <mergeCell ref="B179:J179"/>
    <mergeCell ref="B177:J177"/>
    <mergeCell ref="B166:J166"/>
    <mergeCell ref="K167:L167"/>
    <mergeCell ref="K212:L212"/>
    <mergeCell ref="K213:L213"/>
    <mergeCell ref="M209:P209"/>
    <mergeCell ref="W123:AG123"/>
    <mergeCell ref="L155:N155"/>
    <mergeCell ref="AE156:AG156"/>
    <mergeCell ref="B169:J169"/>
    <mergeCell ref="B168:J168"/>
    <mergeCell ref="C110:K110"/>
    <mergeCell ref="C111:K111"/>
    <mergeCell ref="C119:K119"/>
    <mergeCell ref="AE197:AG197"/>
    <mergeCell ref="AE196:AG196"/>
    <mergeCell ref="AE194:AG194"/>
    <mergeCell ref="X197:AA197"/>
    <mergeCell ref="U197:W197"/>
    <mergeCell ref="X195:AA195"/>
    <mergeCell ref="X194:AA194"/>
    <mergeCell ref="U194:W194"/>
    <mergeCell ref="U195:W195"/>
    <mergeCell ref="AB195:AD195"/>
    <mergeCell ref="AB194:AD194"/>
    <mergeCell ref="X196:AA196"/>
    <mergeCell ref="K160:L160"/>
    <mergeCell ref="K163:L163"/>
    <mergeCell ref="K162:L162"/>
    <mergeCell ref="AD148:AE148"/>
    <mergeCell ref="X157:AA157"/>
    <mergeCell ref="X156:AA156"/>
    <mergeCell ref="U156:W156"/>
    <mergeCell ref="U157:W157"/>
    <mergeCell ref="B143:V144"/>
    <mergeCell ref="AE211:AG211"/>
    <mergeCell ref="AE195:AG195"/>
    <mergeCell ref="AB231:AD231"/>
    <mergeCell ref="AE206:AG206"/>
    <mergeCell ref="X230:AA230"/>
    <mergeCell ref="X231:AA231"/>
    <mergeCell ref="U211:W211"/>
    <mergeCell ref="X211:AA211"/>
    <mergeCell ref="X222:AA222"/>
    <mergeCell ref="AB222:AD222"/>
    <mergeCell ref="AB221:AD221"/>
    <mergeCell ref="X220:AA220"/>
    <mergeCell ref="AB220:AD220"/>
    <mergeCell ref="AB219:AD219"/>
    <mergeCell ref="X221:AA221"/>
    <mergeCell ref="X217:AA217"/>
    <mergeCell ref="X199:AA199"/>
    <mergeCell ref="AB198:AD198"/>
    <mergeCell ref="AE203:AG203"/>
    <mergeCell ref="U198:W198"/>
    <mergeCell ref="U202:W202"/>
    <mergeCell ref="X213:AA213"/>
    <mergeCell ref="X214:AA214"/>
    <mergeCell ref="AE214:AG214"/>
    <mergeCell ref="U204:W204"/>
    <mergeCell ref="U205:W205"/>
    <mergeCell ref="U207:W207"/>
    <mergeCell ref="AE207:AG207"/>
    <mergeCell ref="U208:W208"/>
    <mergeCell ref="X209:AA209"/>
    <mergeCell ref="U209:W209"/>
    <mergeCell ref="AE213:AG213"/>
    <mergeCell ref="X238:AA238"/>
    <mergeCell ref="X237:AA237"/>
    <mergeCell ref="AH216:AJ216"/>
    <mergeCell ref="AH219:AJ219"/>
    <mergeCell ref="AE212:AG212"/>
    <mergeCell ref="AB224:AD224"/>
    <mergeCell ref="AH229:AJ229"/>
    <mergeCell ref="AH230:AJ230"/>
    <mergeCell ref="AB214:AD214"/>
    <mergeCell ref="AH218:AJ218"/>
    <mergeCell ref="AH217:AJ217"/>
    <mergeCell ref="AH221:AJ221"/>
    <mergeCell ref="U224:W224"/>
    <mergeCell ref="U223:W223"/>
    <mergeCell ref="AB229:AD229"/>
    <mergeCell ref="AB230:AD230"/>
    <mergeCell ref="U233:W233"/>
    <mergeCell ref="AH220:AJ220"/>
    <mergeCell ref="AH231:AJ231"/>
    <mergeCell ref="AH214:AJ214"/>
    <mergeCell ref="AH215:AJ215"/>
    <mergeCell ref="AH213:AJ213"/>
    <mergeCell ref="U234:W234"/>
    <mergeCell ref="U216:W216"/>
    <mergeCell ref="U212:W212"/>
    <mergeCell ref="U222:W222"/>
    <mergeCell ref="AE222:AG222"/>
    <mergeCell ref="AE215:AG215"/>
    <mergeCell ref="X218:AA218"/>
    <mergeCell ref="X219:AA219"/>
    <mergeCell ref="AH223:AJ223"/>
    <mergeCell ref="AH224:AJ224"/>
    <mergeCell ref="B139:V140"/>
    <mergeCell ref="B141:V142"/>
    <mergeCell ref="Q163:T163"/>
    <mergeCell ref="B160:J160"/>
    <mergeCell ref="B163:J163"/>
    <mergeCell ref="C124:F124"/>
    <mergeCell ref="C128:G128"/>
    <mergeCell ref="M165:P165"/>
    <mergeCell ref="U169:W169"/>
    <mergeCell ref="U170:W170"/>
    <mergeCell ref="X168:AA168"/>
    <mergeCell ref="AV157:BL157"/>
    <mergeCell ref="AP157:AU157"/>
    <mergeCell ref="AP168:AU168"/>
    <mergeCell ref="X162:AA162"/>
    <mergeCell ref="U162:W162"/>
    <mergeCell ref="U161:W161"/>
    <mergeCell ref="Q158:T158"/>
    <mergeCell ref="AE158:AG158"/>
    <mergeCell ref="AB157:AD157"/>
    <mergeCell ref="AB158:AD158"/>
    <mergeCell ref="AE157:AG157"/>
    <mergeCell ref="B149:V150"/>
    <mergeCell ref="B158:J158"/>
    <mergeCell ref="K157:L157"/>
    <mergeCell ref="Q157:T157"/>
    <mergeCell ref="Q159:T159"/>
    <mergeCell ref="Q160:T160"/>
    <mergeCell ref="B151:V152"/>
    <mergeCell ref="B153:V154"/>
    <mergeCell ref="O155:Q155"/>
    <mergeCell ref="B162:J162"/>
    <mergeCell ref="B161:J161"/>
    <mergeCell ref="B156:J156"/>
    <mergeCell ref="K156:L156"/>
    <mergeCell ref="B155:K155"/>
    <mergeCell ref="R155:U155"/>
    <mergeCell ref="V155:X155"/>
    <mergeCell ref="AB156:AD156"/>
    <mergeCell ref="B157:J157"/>
    <mergeCell ref="Q156:T156"/>
    <mergeCell ref="U158:W158"/>
    <mergeCell ref="Q161:T161"/>
    <mergeCell ref="AB160:AD160"/>
    <mergeCell ref="AB161:AD161"/>
    <mergeCell ref="B164:J164"/>
    <mergeCell ref="AV156:BL156"/>
    <mergeCell ref="AP159:AU159"/>
    <mergeCell ref="AP162:AU162"/>
    <mergeCell ref="AV162:BL162"/>
    <mergeCell ref="AV164:BL164"/>
    <mergeCell ref="AV160:BL160"/>
    <mergeCell ref="K158:L158"/>
    <mergeCell ref="AL155:AP155"/>
    <mergeCell ref="AP158:AU158"/>
    <mergeCell ref="AB155:AE155"/>
    <mergeCell ref="AV158:BL158"/>
    <mergeCell ref="AP156:AU156"/>
    <mergeCell ref="AK156:AO156"/>
    <mergeCell ref="X158:AA158"/>
    <mergeCell ref="AI155:AK155"/>
    <mergeCell ref="Y155:AA155"/>
    <mergeCell ref="K161:L161"/>
    <mergeCell ref="AH167:AJ167"/>
    <mergeCell ref="AH166:AJ166"/>
    <mergeCell ref="AH165:AJ165"/>
    <mergeCell ref="AP163:AU163"/>
    <mergeCell ref="AP167:AU167"/>
    <mergeCell ref="U160:W160"/>
    <mergeCell ref="U163:W163"/>
    <mergeCell ref="U165:W165"/>
    <mergeCell ref="U159:W159"/>
    <mergeCell ref="X159:AA159"/>
    <mergeCell ref="AE159:AG159"/>
    <mergeCell ref="AH159:AJ159"/>
    <mergeCell ref="U168:W168"/>
    <mergeCell ref="K159:L159"/>
    <mergeCell ref="M162:P162"/>
    <mergeCell ref="M160:P160"/>
    <mergeCell ref="AE161:AG161"/>
    <mergeCell ref="AE162:AG162"/>
    <mergeCell ref="AP161:AU161"/>
    <mergeCell ref="AH162:AJ162"/>
    <mergeCell ref="AK162:AO162"/>
    <mergeCell ref="AK163:AO163"/>
    <mergeCell ref="AK160:AO160"/>
    <mergeCell ref="X161:AA161"/>
    <mergeCell ref="X160:AA160"/>
    <mergeCell ref="X163:AA163"/>
    <mergeCell ref="X165:AA165"/>
    <mergeCell ref="M166:P166"/>
    <mergeCell ref="M167:P167"/>
    <mergeCell ref="AV181:BL181"/>
    <mergeCell ref="AV182:BL182"/>
    <mergeCell ref="AB168:AD168"/>
    <mergeCell ref="AB167:AD167"/>
    <mergeCell ref="AV168:BL168"/>
    <mergeCell ref="AE169:AG169"/>
    <mergeCell ref="AE170:AG170"/>
    <mergeCell ref="AB170:AD170"/>
    <mergeCell ref="AB169:AD169"/>
    <mergeCell ref="AP179:AU179"/>
    <mergeCell ref="AH160:AJ160"/>
    <mergeCell ref="AE160:AG160"/>
    <mergeCell ref="AH163:AJ163"/>
    <mergeCell ref="AE163:AG163"/>
    <mergeCell ref="AE164:AG164"/>
    <mergeCell ref="AE166:AG166"/>
    <mergeCell ref="AH164:AJ164"/>
    <mergeCell ref="AV178:BL178"/>
    <mergeCell ref="AP178:AU178"/>
    <mergeCell ref="AP181:AU181"/>
    <mergeCell ref="AV180:BL180"/>
    <mergeCell ref="AE167:AG167"/>
    <mergeCell ref="AE168:AG168"/>
    <mergeCell ref="AP165:AU165"/>
    <mergeCell ref="AB178:AD178"/>
    <mergeCell ref="AB180:AD180"/>
    <mergeCell ref="AB179:AD179"/>
    <mergeCell ref="AH161:AJ161"/>
    <mergeCell ref="AP160:AU160"/>
    <mergeCell ref="AV166:BL166"/>
    <mergeCell ref="AP166:AU166"/>
    <mergeCell ref="AB165:AD165"/>
    <mergeCell ref="AV190:BL190"/>
    <mergeCell ref="AV189:BL189"/>
    <mergeCell ref="AP190:AU190"/>
    <mergeCell ref="AP189:AU189"/>
    <mergeCell ref="AV186:BL186"/>
    <mergeCell ref="AP173:AU173"/>
    <mergeCell ref="AP176:AU176"/>
    <mergeCell ref="AP172:AU172"/>
    <mergeCell ref="AV194:BL194"/>
    <mergeCell ref="AV193:BL193"/>
    <mergeCell ref="AP193:AU193"/>
    <mergeCell ref="AV191:BL191"/>
    <mergeCell ref="AV192:BL192"/>
    <mergeCell ref="AP191:AU191"/>
    <mergeCell ref="AP192:AU192"/>
    <mergeCell ref="AH193:AJ193"/>
    <mergeCell ref="AB190:AD190"/>
    <mergeCell ref="AB189:AD189"/>
    <mergeCell ref="AB174:AD174"/>
    <mergeCell ref="AE185:AG185"/>
    <mergeCell ref="AE186:AG186"/>
    <mergeCell ref="AB183:AD183"/>
    <mergeCell ref="AB186:AD186"/>
    <mergeCell ref="AB185:AD185"/>
    <mergeCell ref="AH188:AJ188"/>
    <mergeCell ref="AH187:AJ187"/>
    <mergeCell ref="AH186:AJ186"/>
    <mergeCell ref="AB172:AD172"/>
    <mergeCell ref="AK187:AO187"/>
    <mergeCell ref="AK188:AO188"/>
    <mergeCell ref="AK183:AO183"/>
    <mergeCell ref="AK182:AO182"/>
    <mergeCell ref="AP171:AU171"/>
    <mergeCell ref="AP170:AU170"/>
    <mergeCell ref="AP169:AU169"/>
    <mergeCell ref="AV171:BL171"/>
    <mergeCell ref="AK195:AO195"/>
    <mergeCell ref="AK194:AO194"/>
    <mergeCell ref="AK191:AO191"/>
    <mergeCell ref="AK193:AO193"/>
    <mergeCell ref="AV173:BL173"/>
    <mergeCell ref="AV175:BL175"/>
    <mergeCell ref="AK175:AO175"/>
    <mergeCell ref="AK176:AO176"/>
    <mergeCell ref="AP175:AU175"/>
    <mergeCell ref="AP174:AU174"/>
    <mergeCell ref="AK179:AO179"/>
    <mergeCell ref="AP177:AU177"/>
    <mergeCell ref="AP180:AU180"/>
    <mergeCell ref="AV174:BL174"/>
    <mergeCell ref="AV172:BL172"/>
    <mergeCell ref="AV177:BL177"/>
    <mergeCell ref="AV176:BL176"/>
    <mergeCell ref="AV179:BL179"/>
    <mergeCell ref="AK192:AO192"/>
    <mergeCell ref="AP185:AU185"/>
    <mergeCell ref="AP186:AU186"/>
    <mergeCell ref="AV170:BL170"/>
    <mergeCell ref="AV169:BL169"/>
    <mergeCell ref="AK178:AO178"/>
    <mergeCell ref="AK186:AO186"/>
    <mergeCell ref="AK169:AO169"/>
    <mergeCell ref="AK170:AO170"/>
    <mergeCell ref="AK189:AO189"/>
    <mergeCell ref="AK196:AO196"/>
    <mergeCell ref="AK197:AO197"/>
    <mergeCell ref="AB173:AD173"/>
    <mergeCell ref="AB175:AD175"/>
    <mergeCell ref="AE192:AG192"/>
    <mergeCell ref="AE193:AG193"/>
    <mergeCell ref="AB192:AD192"/>
    <mergeCell ref="AB193:AD193"/>
    <mergeCell ref="AP194:AU194"/>
    <mergeCell ref="AB177:AD177"/>
    <mergeCell ref="AE177:AG177"/>
    <mergeCell ref="AH197:AJ197"/>
    <mergeCell ref="AH196:AJ196"/>
    <mergeCell ref="AH194:AJ194"/>
    <mergeCell ref="AH192:AJ192"/>
    <mergeCell ref="AH191:AJ191"/>
    <mergeCell ref="AH183:AJ183"/>
    <mergeCell ref="AH184:AJ184"/>
    <mergeCell ref="AH195:AJ195"/>
    <mergeCell ref="AB197:AD197"/>
    <mergeCell ref="AB196:AD196"/>
    <mergeCell ref="AE190:AG190"/>
    <mergeCell ref="AE191:AG191"/>
    <mergeCell ref="AH185:AJ185"/>
    <mergeCell ref="AB181:AD181"/>
    <mergeCell ref="AE181:AG181"/>
    <mergeCell ref="AB182:AD182"/>
    <mergeCell ref="AE183:AG183"/>
    <mergeCell ref="AE184:AG184"/>
    <mergeCell ref="AB184:AD184"/>
    <mergeCell ref="AH181:AJ181"/>
    <mergeCell ref="AB191:AD191"/>
    <mergeCell ref="AV196:BL196"/>
    <mergeCell ref="AP196:AU196"/>
    <mergeCell ref="AP197:AU197"/>
    <mergeCell ref="AP195:AU195"/>
    <mergeCell ref="AV195:BL195"/>
    <mergeCell ref="Q249:T249"/>
    <mergeCell ref="AH249:AJ249"/>
    <mergeCell ref="AH248:AJ248"/>
    <mergeCell ref="AH242:AJ242"/>
    <mergeCell ref="AE248:AG248"/>
    <mergeCell ref="AH246:AJ246"/>
    <mergeCell ref="U245:W245"/>
    <mergeCell ref="AH243:AJ243"/>
    <mergeCell ref="U243:W243"/>
    <mergeCell ref="Q248:T248"/>
    <mergeCell ref="X233:AA233"/>
    <mergeCell ref="U249:W249"/>
    <mergeCell ref="X246:AA246"/>
    <mergeCell ref="U247:W247"/>
    <mergeCell ref="X249:Z249"/>
    <mergeCell ref="U246:W246"/>
    <mergeCell ref="X248:AA248"/>
    <mergeCell ref="X247:AA247"/>
    <mergeCell ref="X245:AA245"/>
    <mergeCell ref="X244:AA244"/>
    <mergeCell ref="X235:AA235"/>
    <mergeCell ref="U235:W235"/>
    <mergeCell ref="AK249:AO249"/>
    <mergeCell ref="AK246:AO246"/>
    <mergeCell ref="AK248:AO248"/>
    <mergeCell ref="AK245:AO245"/>
    <mergeCell ref="AK244:AO244"/>
    <mergeCell ref="AH203:AJ203"/>
    <mergeCell ref="B213:J213"/>
    <mergeCell ref="B214:J214"/>
    <mergeCell ref="B216:J216"/>
    <mergeCell ref="B215:J215"/>
    <mergeCell ref="Q218:T218"/>
    <mergeCell ref="Q220:T220"/>
    <mergeCell ref="Q219:T219"/>
    <mergeCell ref="K214:L214"/>
    <mergeCell ref="K218:L218"/>
    <mergeCell ref="M217:P217"/>
    <mergeCell ref="AH222:AJ222"/>
    <mergeCell ref="AK221:AO221"/>
    <mergeCell ref="AK224:AO224"/>
    <mergeCell ref="AH228:AJ228"/>
    <mergeCell ref="AE221:AG221"/>
    <mergeCell ref="AK225:AO225"/>
    <mergeCell ref="AE227:AG227"/>
    <mergeCell ref="AK227:AO227"/>
    <mergeCell ref="AK220:AO220"/>
    <mergeCell ref="AK217:AO217"/>
    <mergeCell ref="AK215:AO215"/>
    <mergeCell ref="AK216:AO216"/>
    <mergeCell ref="X227:AA227"/>
    <mergeCell ref="AE217:AG217"/>
    <mergeCell ref="AE218:AG218"/>
    <mergeCell ref="AE216:AG216"/>
    <mergeCell ref="X212:AA212"/>
    <mergeCell ref="Q207:T207"/>
    <mergeCell ref="Q205:T205"/>
    <mergeCell ref="Q206:T206"/>
    <mergeCell ref="Q216:T216"/>
    <mergeCell ref="AK204:AO204"/>
    <mergeCell ref="AK205:AO205"/>
    <mergeCell ref="AH205:AJ205"/>
    <mergeCell ref="AB248:AD248"/>
    <mergeCell ref="Q244:T244"/>
    <mergeCell ref="U248:W248"/>
    <mergeCell ref="AE247:AG247"/>
    <mergeCell ref="U239:W239"/>
    <mergeCell ref="U240:W240"/>
    <mergeCell ref="X243:AA243"/>
    <mergeCell ref="X241:AA241"/>
    <mergeCell ref="AK233:AO233"/>
    <mergeCell ref="AK238:AO238"/>
    <mergeCell ref="AK237:AO237"/>
    <mergeCell ref="AB216:AD216"/>
    <mergeCell ref="AB217:AD217"/>
    <mergeCell ref="AH200:AJ200"/>
    <mergeCell ref="AE200:AG200"/>
    <mergeCell ref="X200:AA200"/>
    <mergeCell ref="AB201:AD201"/>
    <mergeCell ref="U200:W200"/>
    <mergeCell ref="X204:AA204"/>
    <mergeCell ref="U206:W206"/>
    <mergeCell ref="AK203:AO203"/>
    <mergeCell ref="U210:W210"/>
    <mergeCell ref="X210:AA210"/>
    <mergeCell ref="AH210:AJ210"/>
    <mergeCell ref="X205:AA205"/>
    <mergeCell ref="X206:AA206"/>
    <mergeCell ref="AB205:AD205"/>
    <mergeCell ref="AE205:AG205"/>
    <mergeCell ref="AB204:AD204"/>
    <mergeCell ref="AK202:AO202"/>
    <mergeCell ref="AK198:AO198"/>
    <mergeCell ref="AK199:AO199"/>
    <mergeCell ref="K199:L199"/>
    <mergeCell ref="K200:L200"/>
    <mergeCell ref="AE198:AG198"/>
    <mergeCell ref="Q198:T198"/>
    <mergeCell ref="Q199:T199"/>
    <mergeCell ref="X198:AA198"/>
    <mergeCell ref="AH198:AJ198"/>
    <mergeCell ref="AK200:AO200"/>
    <mergeCell ref="AK201:AO201"/>
    <mergeCell ref="AH201:AJ201"/>
    <mergeCell ref="Q201:T201"/>
    <mergeCell ref="AB199:AD199"/>
    <mergeCell ref="AB200:AD200"/>
    <mergeCell ref="X201:AA201"/>
    <mergeCell ref="U201:W201"/>
    <mergeCell ref="U199:W199"/>
    <mergeCell ref="AV222:BL222"/>
    <mergeCell ref="AV223:BL223"/>
    <mergeCell ref="AE224:AG224"/>
    <mergeCell ref="AE225:AG225"/>
    <mergeCell ref="AB225:AD225"/>
    <mergeCell ref="AH202:AJ202"/>
    <mergeCell ref="AE202:AG202"/>
    <mergeCell ref="AH199:AJ199"/>
    <mergeCell ref="X202:AA202"/>
    <mergeCell ref="Q200:T200"/>
    <mergeCell ref="Q214:T214"/>
    <mergeCell ref="Q212:T212"/>
    <mergeCell ref="Q211:T211"/>
    <mergeCell ref="U214:W214"/>
    <mergeCell ref="U213:W213"/>
    <mergeCell ref="Q210:T210"/>
    <mergeCell ref="X208:AA208"/>
    <mergeCell ref="X207:AA207"/>
    <mergeCell ref="AK206:AO206"/>
    <mergeCell ref="AE209:AG209"/>
    <mergeCell ref="AK207:AO207"/>
    <mergeCell ref="AH206:AJ206"/>
    <mergeCell ref="AK211:AO211"/>
    <mergeCell ref="AE201:AG201"/>
    <mergeCell ref="AE199:AG199"/>
    <mergeCell ref="Q202:T202"/>
    <mergeCell ref="AB202:AD202"/>
    <mergeCell ref="Q203:T203"/>
    <mergeCell ref="U203:W203"/>
    <mergeCell ref="AK213:AO213"/>
    <mergeCell ref="AK214:AO214"/>
    <mergeCell ref="AK208:AO208"/>
    <mergeCell ref="AH204:AJ204"/>
    <mergeCell ref="AB203:AD203"/>
    <mergeCell ref="Q204:T204"/>
    <mergeCell ref="K251:M251"/>
    <mergeCell ref="K250:M250"/>
    <mergeCell ref="K249:M249"/>
    <mergeCell ref="N251:P251"/>
    <mergeCell ref="M243:P243"/>
    <mergeCell ref="K230:L230"/>
    <mergeCell ref="Q240:T240"/>
    <mergeCell ref="Q241:T241"/>
    <mergeCell ref="AB240:AD240"/>
    <mergeCell ref="AH234:AJ234"/>
    <mergeCell ref="AH233:AJ233"/>
    <mergeCell ref="Q239:T239"/>
    <mergeCell ref="AK218:AO218"/>
    <mergeCell ref="AK219:AO219"/>
    <mergeCell ref="AK222:AO222"/>
    <mergeCell ref="X224:AA224"/>
    <mergeCell ref="AB227:AD227"/>
    <mergeCell ref="AB226:AD226"/>
    <mergeCell ref="AB223:AD223"/>
    <mergeCell ref="AB215:AD215"/>
    <mergeCell ref="X215:AA215"/>
    <mergeCell ref="AB218:AD218"/>
    <mergeCell ref="X216:AA216"/>
    <mergeCell ref="AE220:AG220"/>
    <mergeCell ref="AK232:AO232"/>
    <mergeCell ref="AK228:AO228"/>
    <mergeCell ref="AK226:AO226"/>
    <mergeCell ref="AK230:AO230"/>
    <mergeCell ref="AK223:AO223"/>
    <mergeCell ref="AP239:AU239"/>
    <mergeCell ref="AP238:AU238"/>
    <mergeCell ref="B251:J251"/>
    <mergeCell ref="U251:W251"/>
    <mergeCell ref="X251:Z251"/>
    <mergeCell ref="X250:Z250"/>
    <mergeCell ref="AA250:AD250"/>
    <mergeCell ref="AE250:AG250"/>
    <mergeCell ref="U250:W250"/>
    <mergeCell ref="Q251:T251"/>
    <mergeCell ref="Q250:T250"/>
    <mergeCell ref="AH251:AJ251"/>
    <mergeCell ref="AH250:AJ250"/>
    <mergeCell ref="AK250:AO250"/>
    <mergeCell ref="AK251:AO251"/>
    <mergeCell ref="AB208:AD208"/>
    <mergeCell ref="AB206:AD206"/>
    <mergeCell ref="AB207:AD207"/>
    <mergeCell ref="AP230:AU230"/>
    <mergeCell ref="AP225:AU225"/>
    <mergeCell ref="AP229:AU229"/>
    <mergeCell ref="AP228:AU228"/>
    <mergeCell ref="AP224:AU224"/>
    <mergeCell ref="AH207:AJ207"/>
    <mergeCell ref="AH208:AJ208"/>
    <mergeCell ref="AH211:AJ211"/>
    <mergeCell ref="AH212:AJ212"/>
    <mergeCell ref="AE219:AG219"/>
    <mergeCell ref="X223:AA223"/>
    <mergeCell ref="AK210:AO210"/>
    <mergeCell ref="AK209:AO209"/>
    <mergeCell ref="AH209:AJ209"/>
    <mergeCell ref="X183:AA183"/>
    <mergeCell ref="Q184:T184"/>
    <mergeCell ref="Q185:T185"/>
    <mergeCell ref="Q186:T186"/>
    <mergeCell ref="Q183:T183"/>
    <mergeCell ref="M232:P232"/>
    <mergeCell ref="M239:P239"/>
    <mergeCell ref="M231:P231"/>
    <mergeCell ref="Q232:T232"/>
    <mergeCell ref="AV239:BL239"/>
    <mergeCell ref="AV229:BL229"/>
    <mergeCell ref="AK236:AO236"/>
    <mergeCell ref="AK235:AO235"/>
    <mergeCell ref="AK234:AO234"/>
    <mergeCell ref="AP227:AU227"/>
    <mergeCell ref="AP226:AU226"/>
    <mergeCell ref="AV226:BL226"/>
    <mergeCell ref="AV228:BL228"/>
    <mergeCell ref="AV227:BL227"/>
    <mergeCell ref="AV230:BL230"/>
    <mergeCell ref="AV234:BL234"/>
    <mergeCell ref="M235:P235"/>
    <mergeCell ref="M236:P236"/>
    <mergeCell ref="AK229:AO229"/>
    <mergeCell ref="AP233:AU233"/>
    <mergeCell ref="AV232:BL232"/>
    <mergeCell ref="M234:P234"/>
    <mergeCell ref="AB233:AD233"/>
    <mergeCell ref="AH238:AJ238"/>
    <mergeCell ref="AH227:AJ227"/>
    <mergeCell ref="Q226:T226"/>
    <mergeCell ref="AH226:AJ226"/>
    <mergeCell ref="AB238:AD238"/>
    <mergeCell ref="AB236:AD236"/>
    <mergeCell ref="AE230:AG230"/>
    <mergeCell ref="AE231:AG231"/>
    <mergeCell ref="U215:W215"/>
    <mergeCell ref="M222:P222"/>
    <mergeCell ref="M227:P227"/>
    <mergeCell ref="M223:P223"/>
    <mergeCell ref="M224:P224"/>
    <mergeCell ref="AB239:AD239"/>
    <mergeCell ref="AV233:BL233"/>
    <mergeCell ref="AP231:AU231"/>
    <mergeCell ref="AK231:AO231"/>
    <mergeCell ref="X186:AA186"/>
    <mergeCell ref="X172:AA172"/>
    <mergeCell ref="X171:AA171"/>
    <mergeCell ref="Q181:T181"/>
    <mergeCell ref="X192:AA192"/>
    <mergeCell ref="X191:AA191"/>
    <mergeCell ref="X193:AA193"/>
    <mergeCell ref="X187:AA187"/>
    <mergeCell ref="X188:AA188"/>
    <mergeCell ref="X189:AA189"/>
    <mergeCell ref="U177:W177"/>
    <mergeCell ref="U178:W178"/>
    <mergeCell ref="U179:W179"/>
    <mergeCell ref="X185:AA185"/>
    <mergeCell ref="X184:AA184"/>
    <mergeCell ref="X179:AA179"/>
    <mergeCell ref="X181:AA181"/>
    <mergeCell ref="X180:AA180"/>
    <mergeCell ref="X182:AA182"/>
    <mergeCell ref="AB247:AD247"/>
    <mergeCell ref="Q247:T247"/>
    <mergeCell ref="AB246:AD246"/>
    <mergeCell ref="AB245:AD245"/>
    <mergeCell ref="Q243:T243"/>
    <mergeCell ref="AH244:AJ244"/>
    <mergeCell ref="Q242:T242"/>
    <mergeCell ref="Q246:T246"/>
    <mergeCell ref="Q245:T245"/>
    <mergeCell ref="AB241:AD241"/>
    <mergeCell ref="AH241:AJ241"/>
    <mergeCell ref="AE241:AG241"/>
    <mergeCell ref="AB242:AD242"/>
    <mergeCell ref="AE245:AG245"/>
    <mergeCell ref="AE244:AG244"/>
    <mergeCell ref="AH245:AJ245"/>
    <mergeCell ref="AE246:AG246"/>
    <mergeCell ref="X242:AA242"/>
    <mergeCell ref="AB244:AD244"/>
    <mergeCell ref="AB243:AD243"/>
    <mergeCell ref="U244:W244"/>
    <mergeCell ref="U242:W242"/>
    <mergeCell ref="X240:AA240"/>
    <mergeCell ref="X239:AA239"/>
    <mergeCell ref="U241:W241"/>
    <mergeCell ref="AK247:AO247"/>
    <mergeCell ref="AH247:AJ247"/>
    <mergeCell ref="AP242:AU242"/>
    <mergeCell ref="AK242:AO242"/>
    <mergeCell ref="AV241:BL241"/>
    <mergeCell ref="AV240:BL240"/>
    <mergeCell ref="AH232:AJ232"/>
    <mergeCell ref="AE239:AG239"/>
    <mergeCell ref="AE240:AG240"/>
    <mergeCell ref="AV242:BL242"/>
    <mergeCell ref="AP243:AU243"/>
    <mergeCell ref="AK243:AO243"/>
    <mergeCell ref="AV243:BL243"/>
    <mergeCell ref="AP241:AU241"/>
    <mergeCell ref="AK241:AO241"/>
    <mergeCell ref="AV246:BL246"/>
    <mergeCell ref="AV247:BL247"/>
    <mergeCell ref="AP246:AU246"/>
    <mergeCell ref="AV236:BL236"/>
    <mergeCell ref="AV235:BL235"/>
    <mergeCell ref="AV245:BL245"/>
    <mergeCell ref="AP245:AU245"/>
    <mergeCell ref="AP244:AU244"/>
    <mergeCell ref="AV244:BL244"/>
    <mergeCell ref="AE236:AG236"/>
    <mergeCell ref="AE238:AG238"/>
    <mergeCell ref="AE237:AG237"/>
    <mergeCell ref="AP234:AU234"/>
    <mergeCell ref="AH236:AJ236"/>
    <mergeCell ref="AH240:AJ240"/>
    <mergeCell ref="AH239:AJ239"/>
    <mergeCell ref="C271:K271"/>
    <mergeCell ref="K245:L245"/>
    <mergeCell ref="C252:K252"/>
    <mergeCell ref="N249:P249"/>
    <mergeCell ref="N250:P250"/>
    <mergeCell ref="M244:P244"/>
    <mergeCell ref="AV200:BL200"/>
    <mergeCell ref="AP184:AU184"/>
    <mergeCell ref="AV198:BL198"/>
    <mergeCell ref="AP198:AU198"/>
    <mergeCell ref="AP217:AU217"/>
    <mergeCell ref="AV184:BL184"/>
    <mergeCell ref="AV185:BL185"/>
    <mergeCell ref="AV187:BL187"/>
    <mergeCell ref="AV188:BL188"/>
    <mergeCell ref="AV199:BL199"/>
    <mergeCell ref="AP199:AU199"/>
    <mergeCell ref="AV202:BL202"/>
    <mergeCell ref="AV201:BL201"/>
    <mergeCell ref="AP187:AU187"/>
    <mergeCell ref="AP188:AU188"/>
    <mergeCell ref="AP203:AU203"/>
    <mergeCell ref="AP202:AU202"/>
    <mergeCell ref="AP201:AU201"/>
    <mergeCell ref="AP200:AU200"/>
    <mergeCell ref="AP211:AU211"/>
    <mergeCell ref="AP210:AU210"/>
    <mergeCell ref="AB232:AD232"/>
    <mergeCell ref="M245:P245"/>
    <mergeCell ref="M246:P246"/>
    <mergeCell ref="AE242:AG242"/>
    <mergeCell ref="AE243:AG243"/>
    <mergeCell ref="C298:K298"/>
    <mergeCell ref="C299:K299"/>
    <mergeCell ref="AV213:BL213"/>
    <mergeCell ref="AV211:BL211"/>
    <mergeCell ref="AV212:BL212"/>
    <mergeCell ref="AV214:BL214"/>
    <mergeCell ref="C294:K294"/>
    <mergeCell ref="C295:K295"/>
    <mergeCell ref="C290:K290"/>
    <mergeCell ref="C291:K291"/>
    <mergeCell ref="C278:K278"/>
    <mergeCell ref="C277:K277"/>
    <mergeCell ref="C259:K259"/>
    <mergeCell ref="C258:K258"/>
    <mergeCell ref="C266:K266"/>
    <mergeCell ref="C267:K267"/>
    <mergeCell ref="C262:K262"/>
    <mergeCell ref="C264:K264"/>
    <mergeCell ref="C263:K263"/>
    <mergeCell ref="C261:K261"/>
    <mergeCell ref="M241:P241"/>
    <mergeCell ref="B242:J242"/>
    <mergeCell ref="B243:J243"/>
    <mergeCell ref="K242:L242"/>
    <mergeCell ref="K243:L243"/>
    <mergeCell ref="B244:J244"/>
    <mergeCell ref="B241:J241"/>
    <mergeCell ref="AH237:AJ237"/>
    <mergeCell ref="K241:L241"/>
    <mergeCell ref="C265:K265"/>
    <mergeCell ref="C269:K269"/>
    <mergeCell ref="C268:K268"/>
    <mergeCell ref="C270:K270"/>
    <mergeCell ref="C273:K273"/>
    <mergeCell ref="C272:K272"/>
    <mergeCell ref="B246:J246"/>
    <mergeCell ref="B245:J245"/>
    <mergeCell ref="C255:K255"/>
    <mergeCell ref="C253:K253"/>
    <mergeCell ref="C254:K254"/>
    <mergeCell ref="K248:L248"/>
    <mergeCell ref="K246:L246"/>
    <mergeCell ref="C260:K260"/>
    <mergeCell ref="C300:K300"/>
    <mergeCell ref="C301:K301"/>
    <mergeCell ref="C281:K281"/>
    <mergeCell ref="C280:K280"/>
    <mergeCell ref="C284:K284"/>
    <mergeCell ref="C283:K283"/>
    <mergeCell ref="C292:K292"/>
    <mergeCell ref="C293:K293"/>
    <mergeCell ref="C297:K297"/>
    <mergeCell ref="C296:K296"/>
    <mergeCell ref="C289:K289"/>
    <mergeCell ref="C286:K286"/>
    <mergeCell ref="C287:K287"/>
    <mergeCell ref="C288:K288"/>
    <mergeCell ref="C274:K274"/>
    <mergeCell ref="C276:K276"/>
    <mergeCell ref="C275:K275"/>
    <mergeCell ref="C279:K279"/>
    <mergeCell ref="C257:K257"/>
    <mergeCell ref="C256:K256"/>
    <mergeCell ref="C285:K285"/>
    <mergeCell ref="C282:K282"/>
    <mergeCell ref="Q238:T238"/>
    <mergeCell ref="K235:L235"/>
    <mergeCell ref="K234:L234"/>
    <mergeCell ref="Q223:T223"/>
    <mergeCell ref="Q224:T224"/>
    <mergeCell ref="U219:W219"/>
    <mergeCell ref="U217:W217"/>
    <mergeCell ref="U220:W220"/>
    <mergeCell ref="M238:P238"/>
    <mergeCell ref="M237:P237"/>
    <mergeCell ref="Q235:T235"/>
    <mergeCell ref="Q236:T236"/>
    <mergeCell ref="B228:J228"/>
    <mergeCell ref="B234:J234"/>
    <mergeCell ref="K237:L237"/>
    <mergeCell ref="B237:J237"/>
    <mergeCell ref="B238:J238"/>
    <mergeCell ref="Q221:T221"/>
    <mergeCell ref="U221:W221"/>
    <mergeCell ref="U218:W218"/>
    <mergeCell ref="K219:L219"/>
    <mergeCell ref="K220:L220"/>
    <mergeCell ref="K221:L221"/>
    <mergeCell ref="U238:W238"/>
    <mergeCell ref="U237:W237"/>
    <mergeCell ref="U236:W236"/>
    <mergeCell ref="B236:J236"/>
    <mergeCell ref="Q225:T225"/>
    <mergeCell ref="U226:W226"/>
    <mergeCell ref="AH225:AJ225"/>
    <mergeCell ref="M225:P225"/>
    <mergeCell ref="K225:L225"/>
    <mergeCell ref="K228:L228"/>
    <mergeCell ref="Q237:T237"/>
    <mergeCell ref="X236:AA236"/>
    <mergeCell ref="Q217:T217"/>
    <mergeCell ref="M221:P221"/>
    <mergeCell ref="X232:AA232"/>
    <mergeCell ref="X234:AA234"/>
    <mergeCell ref="Q233:T233"/>
    <mergeCell ref="M229:P229"/>
    <mergeCell ref="Q229:T229"/>
    <mergeCell ref="Q231:T231"/>
    <mergeCell ref="U231:W231"/>
    <mergeCell ref="Q230:T230"/>
    <mergeCell ref="M230:P230"/>
    <mergeCell ref="U230:W230"/>
    <mergeCell ref="U229:W229"/>
    <mergeCell ref="Q228:T228"/>
    <mergeCell ref="M228:P228"/>
    <mergeCell ref="Q222:T222"/>
    <mergeCell ref="K236:L236"/>
    <mergeCell ref="K224:L224"/>
    <mergeCell ref="K223:L223"/>
    <mergeCell ref="AE223:AG223"/>
    <mergeCell ref="AB228:AD228"/>
    <mergeCell ref="U228:W228"/>
    <mergeCell ref="X228:AA228"/>
    <mergeCell ref="AB234:AD234"/>
    <mergeCell ref="K217:L217"/>
    <mergeCell ref="M233:P233"/>
    <mergeCell ref="Q196:T196"/>
    <mergeCell ref="K185:L185"/>
    <mergeCell ref="K186:L186"/>
    <mergeCell ref="M219:P219"/>
    <mergeCell ref="M220:P220"/>
    <mergeCell ref="Q215:T215"/>
    <mergeCell ref="M218:P218"/>
    <mergeCell ref="Q194:T194"/>
    <mergeCell ref="Q187:T187"/>
    <mergeCell ref="Q197:T197"/>
    <mergeCell ref="B207:J207"/>
    <mergeCell ref="B205:J205"/>
    <mergeCell ref="B206:J206"/>
    <mergeCell ref="B209:J209"/>
    <mergeCell ref="K227:L227"/>
    <mergeCell ref="K226:L226"/>
    <mergeCell ref="AE226:AG226"/>
    <mergeCell ref="X226:AA226"/>
    <mergeCell ref="U227:W227"/>
    <mergeCell ref="Q227:T227"/>
    <mergeCell ref="M226:P226"/>
    <mergeCell ref="U189:W189"/>
    <mergeCell ref="X190:AA190"/>
    <mergeCell ref="Q190:T190"/>
    <mergeCell ref="Q191:T191"/>
    <mergeCell ref="X203:AA203"/>
    <mergeCell ref="K197:L197"/>
    <mergeCell ref="K198:L198"/>
    <mergeCell ref="K202:L202"/>
    <mergeCell ref="K201:L201"/>
    <mergeCell ref="AE204:AG204"/>
    <mergeCell ref="AE208:AG208"/>
    <mergeCell ref="B217:J217"/>
    <mergeCell ref="B219:J219"/>
    <mergeCell ref="B218:J218"/>
    <mergeCell ref="B226:J226"/>
    <mergeCell ref="K232:L232"/>
    <mergeCell ref="K222:L222"/>
    <mergeCell ref="K233:L233"/>
    <mergeCell ref="Q213:T213"/>
    <mergeCell ref="M208:P208"/>
    <mergeCell ref="K229:L229"/>
    <mergeCell ref="U181:W181"/>
    <mergeCell ref="U193:W193"/>
    <mergeCell ref="U192:W192"/>
    <mergeCell ref="Q192:T192"/>
    <mergeCell ref="Q193:T193"/>
    <mergeCell ref="Q195:T195"/>
    <mergeCell ref="U185:W185"/>
    <mergeCell ref="U184:W184"/>
    <mergeCell ref="U187:W187"/>
    <mergeCell ref="U182:W182"/>
    <mergeCell ref="K207:L207"/>
    <mergeCell ref="K208:L208"/>
    <mergeCell ref="K206:L206"/>
    <mergeCell ref="K205:L205"/>
    <mergeCell ref="K203:L203"/>
    <mergeCell ref="K204:L204"/>
    <mergeCell ref="K182:L182"/>
    <mergeCell ref="U191:W191"/>
    <mergeCell ref="K181:L181"/>
    <mergeCell ref="U188:W188"/>
    <mergeCell ref="U190:W190"/>
    <mergeCell ref="B222:J222"/>
    <mergeCell ref="Q182:T182"/>
    <mergeCell ref="K171:L171"/>
    <mergeCell ref="K170:L170"/>
    <mergeCell ref="K173:L173"/>
    <mergeCell ref="M173:P173"/>
    <mergeCell ref="M174:P174"/>
    <mergeCell ref="M175:P175"/>
    <mergeCell ref="Q176:T176"/>
    <mergeCell ref="Q174:T174"/>
    <mergeCell ref="Q175:T175"/>
    <mergeCell ref="M169:P169"/>
    <mergeCell ref="M168:P168"/>
    <mergeCell ref="K169:L169"/>
    <mergeCell ref="K174:L174"/>
    <mergeCell ref="K175:L175"/>
    <mergeCell ref="K172:L172"/>
    <mergeCell ref="K179:L179"/>
    <mergeCell ref="AH12:AI12"/>
    <mergeCell ref="Z68:AB68"/>
    <mergeCell ref="U174:W174"/>
    <mergeCell ref="X173:AA173"/>
    <mergeCell ref="X174:AA174"/>
    <mergeCell ref="X178:AA178"/>
    <mergeCell ref="X177:AA177"/>
    <mergeCell ref="U167:W167"/>
    <mergeCell ref="X167:AA167"/>
    <mergeCell ref="X169:AA169"/>
    <mergeCell ref="X170:AA170"/>
    <mergeCell ref="U175:W175"/>
    <mergeCell ref="X175:AA175"/>
    <mergeCell ref="Q180:T180"/>
    <mergeCell ref="Q179:T179"/>
    <mergeCell ref="U180:W180"/>
    <mergeCell ref="U172:W172"/>
    <mergeCell ref="U173:W173"/>
    <mergeCell ref="Q173:T173"/>
    <mergeCell ref="Q172:T172"/>
    <mergeCell ref="Q171:T171"/>
    <mergeCell ref="U171:W171"/>
    <mergeCell ref="U176:W176"/>
    <mergeCell ref="Q167:T167"/>
    <mergeCell ref="Q178:T178"/>
    <mergeCell ref="B147:V148"/>
    <mergeCell ref="Q162:T162"/>
    <mergeCell ref="AB162:AD162"/>
    <mergeCell ref="E40:E41"/>
    <mergeCell ref="K178:L178"/>
    <mergeCell ref="Q168:T168"/>
    <mergeCell ref="Q169:T169"/>
    <mergeCell ref="D35:E36"/>
    <mergeCell ref="J52:Q52"/>
    <mergeCell ref="G52:H52"/>
    <mergeCell ref="N10:Q10"/>
    <mergeCell ref="S15:U15"/>
    <mergeCell ref="S13:U13"/>
    <mergeCell ref="W12:AA13"/>
    <mergeCell ref="W14:AA14"/>
    <mergeCell ref="K9:M10"/>
    <mergeCell ref="W9:AA10"/>
    <mergeCell ref="AD12:AE12"/>
    <mergeCell ref="AF13:AG13"/>
    <mergeCell ref="AF12:AG12"/>
    <mergeCell ref="AF14:AG14"/>
    <mergeCell ref="AB14:AC14"/>
    <mergeCell ref="AD14:AE14"/>
    <mergeCell ref="AB13:AC13"/>
    <mergeCell ref="AD13:AE13"/>
    <mergeCell ref="S14:U14"/>
    <mergeCell ref="J12:R12"/>
    <mergeCell ref="J13:R13"/>
    <mergeCell ref="J15:R15"/>
    <mergeCell ref="S12:U12"/>
    <mergeCell ref="AB12:AC12"/>
    <mergeCell ref="J17:Q17"/>
    <mergeCell ref="R18:T18"/>
    <mergeCell ref="J42:O42"/>
    <mergeCell ref="D42:E43"/>
    <mergeCell ref="J43:O43"/>
    <mergeCell ref="B52:E52"/>
    <mergeCell ref="G49:H49"/>
    <mergeCell ref="J47:O47"/>
    <mergeCell ref="P86:R87"/>
    <mergeCell ref="P85:R85"/>
    <mergeCell ref="O88:R88"/>
    <mergeCell ref="O89:R89"/>
    <mergeCell ref="P62:R63"/>
    <mergeCell ref="N70:AT70"/>
    <mergeCell ref="AE86:AF86"/>
    <mergeCell ref="AG86:AH86"/>
    <mergeCell ref="AG87:AH87"/>
    <mergeCell ref="J31:Q31"/>
    <mergeCell ref="J39:O39"/>
    <mergeCell ref="J38:Q38"/>
    <mergeCell ref="P39:Q39"/>
    <mergeCell ref="P41:Q41"/>
    <mergeCell ref="J40:O40"/>
    <mergeCell ref="P40:Q40"/>
    <mergeCell ref="P68:R68"/>
    <mergeCell ref="P66:R66"/>
    <mergeCell ref="P67:R67"/>
    <mergeCell ref="P64:R64"/>
    <mergeCell ref="P65:R65"/>
    <mergeCell ref="R46:T46"/>
    <mergeCell ref="R45:T45"/>
    <mergeCell ref="AO85:AT85"/>
    <mergeCell ref="AO86:AT87"/>
    <mergeCell ref="AC81:AE81"/>
    <mergeCell ref="M66:O66"/>
    <mergeCell ref="L88:N89"/>
    <mergeCell ref="N82:P83"/>
    <mergeCell ref="J46:O46"/>
    <mergeCell ref="J45:Q45"/>
    <mergeCell ref="P42:Q42"/>
    <mergeCell ref="B39:E39"/>
    <mergeCell ref="B38:E38"/>
    <mergeCell ref="E33:E34"/>
    <mergeCell ref="B32:E32"/>
    <mergeCell ref="B29:C29"/>
    <mergeCell ref="D28:E29"/>
    <mergeCell ref="P18:Q18"/>
    <mergeCell ref="J18:O18"/>
    <mergeCell ref="B26:D27"/>
    <mergeCell ref="E26:E27"/>
    <mergeCell ref="P26:Q26"/>
    <mergeCell ref="P25:Q25"/>
    <mergeCell ref="J26:O26"/>
    <mergeCell ref="P27:Q27"/>
    <mergeCell ref="J27:O27"/>
    <mergeCell ref="J25:O25"/>
    <mergeCell ref="D21:E22"/>
    <mergeCell ref="B22:C22"/>
    <mergeCell ref="F39:F43"/>
    <mergeCell ref="G40:H40"/>
    <mergeCell ref="G39:H39"/>
    <mergeCell ref="G38:H38"/>
    <mergeCell ref="G42:H42"/>
    <mergeCell ref="G43:H43"/>
    <mergeCell ref="I38:I43"/>
    <mergeCell ref="J41:O41"/>
    <mergeCell ref="B31:E31"/>
    <mergeCell ref="B25:E25"/>
    <mergeCell ref="B24:E24"/>
    <mergeCell ref="B40:D41"/>
    <mergeCell ref="J24:Q24"/>
    <mergeCell ref="B36:C36"/>
    <mergeCell ref="B17:E17"/>
    <mergeCell ref="B19:D20"/>
    <mergeCell ref="E19:E20"/>
    <mergeCell ref="B18:E18"/>
    <mergeCell ref="F18:F22"/>
    <mergeCell ref="G18:H18"/>
    <mergeCell ref="G17:H17"/>
    <mergeCell ref="I17:I22"/>
    <mergeCell ref="I24:I29"/>
    <mergeCell ref="G41:H41"/>
    <mergeCell ref="W17:AB17"/>
    <mergeCell ref="W16:AH16"/>
    <mergeCell ref="AH13:AI13"/>
    <mergeCell ref="AM14:AN14"/>
    <mergeCell ref="AH14:AI14"/>
    <mergeCell ref="AE43:AG43"/>
    <mergeCell ref="V43:AB43"/>
    <mergeCell ref="AN13:AT13"/>
    <mergeCell ref="AO14:AQ14"/>
    <mergeCell ref="AR14:AT14"/>
    <mergeCell ref="W21:AB21"/>
    <mergeCell ref="W19:AB20"/>
    <mergeCell ref="AK14:AL14"/>
    <mergeCell ref="AK13:AM13"/>
    <mergeCell ref="AC21:AT21"/>
    <mergeCell ref="AC19:AT20"/>
    <mergeCell ref="AC17:AT17"/>
    <mergeCell ref="B33:D34"/>
    <mergeCell ref="R17:T17"/>
    <mergeCell ref="R27:T27"/>
    <mergeCell ref="R43:T43"/>
    <mergeCell ref="R41:T41"/>
    <mergeCell ref="V42:AB42"/>
    <mergeCell ref="G31:H31"/>
    <mergeCell ref="G24:H24"/>
    <mergeCell ref="F25:F29"/>
    <mergeCell ref="G25:H25"/>
    <mergeCell ref="G27:H27"/>
    <mergeCell ref="G26:H26"/>
    <mergeCell ref="I31:I36"/>
    <mergeCell ref="AB36:AE36"/>
    <mergeCell ref="AB37:AE37"/>
    <mergeCell ref="AE39:AG39"/>
    <mergeCell ref="AE40:AG40"/>
    <mergeCell ref="AC39:AD39"/>
    <mergeCell ref="AC40:AD40"/>
    <mergeCell ref="V40:AB40"/>
    <mergeCell ref="R25:T25"/>
    <mergeCell ref="R31:T31"/>
    <mergeCell ref="F32:F36"/>
    <mergeCell ref="R49:T49"/>
    <mergeCell ref="R47:T47"/>
    <mergeCell ref="R48:T48"/>
    <mergeCell ref="R50:T50"/>
    <mergeCell ref="AF36:AH37"/>
    <mergeCell ref="AF35:AH35"/>
    <mergeCell ref="P49:Q49"/>
    <mergeCell ref="T6:Y7"/>
    <mergeCell ref="AG6:AI7"/>
    <mergeCell ref="P43:Q43"/>
    <mergeCell ref="V45:AB45"/>
    <mergeCell ref="J49:O49"/>
    <mergeCell ref="J48:O48"/>
    <mergeCell ref="AC18:AT18"/>
    <mergeCell ref="W18:AB18"/>
    <mergeCell ref="AI16:AQ16"/>
    <mergeCell ref="AR16:AT16"/>
    <mergeCell ref="AS26:AT26"/>
    <mergeCell ref="AO6:AT7"/>
    <mergeCell ref="AK6:AN7"/>
    <mergeCell ref="AG26:AH26"/>
    <mergeCell ref="AB26:AD26"/>
    <mergeCell ref="AE26:AF26"/>
    <mergeCell ref="AR24:AT24"/>
    <mergeCell ref="V44:AB44"/>
    <mergeCell ref="V47:AB47"/>
    <mergeCell ref="R42:T42"/>
    <mergeCell ref="R40:T40"/>
    <mergeCell ref="R38:T38"/>
    <mergeCell ref="R39:T39"/>
    <mergeCell ref="R24:T24"/>
    <mergeCell ref="R26:T26"/>
    <mergeCell ref="J3:V4"/>
    <mergeCell ref="A1:BC1"/>
    <mergeCell ref="F6:L7"/>
    <mergeCell ref="N6:S7"/>
    <mergeCell ref="AI3:AT4"/>
    <mergeCell ref="AC3:AH4"/>
    <mergeCell ref="AA6:AF7"/>
    <mergeCell ref="AB23:AG23"/>
    <mergeCell ref="AB25:AG25"/>
    <mergeCell ref="AB24:AG24"/>
    <mergeCell ref="AC30:AG33"/>
    <mergeCell ref="AC29:AG29"/>
    <mergeCell ref="W23:AA23"/>
    <mergeCell ref="B15:I15"/>
    <mergeCell ref="AH23:AJ23"/>
    <mergeCell ref="AH29:AO29"/>
    <mergeCell ref="AO9:AT10"/>
    <mergeCell ref="AB9:AI10"/>
    <mergeCell ref="AK9:AN10"/>
    <mergeCell ref="AK12:AT12"/>
    <mergeCell ref="AM23:AO23"/>
    <mergeCell ref="AK23:AL23"/>
    <mergeCell ref="B6:E7"/>
    <mergeCell ref="B9:J10"/>
    <mergeCell ref="B14:I14"/>
    <mergeCell ref="B3:I4"/>
    <mergeCell ref="B13:I13"/>
    <mergeCell ref="B12:I12"/>
    <mergeCell ref="J14:R14"/>
    <mergeCell ref="R10:U10"/>
    <mergeCell ref="R9:U9"/>
    <mergeCell ref="N9:Q9"/>
    <mergeCell ref="AW293:BM293"/>
    <mergeCell ref="AW280:BM280"/>
    <mergeCell ref="AP207:AU207"/>
    <mergeCell ref="AP223:AU223"/>
    <mergeCell ref="AP208:AU208"/>
    <mergeCell ref="AP251:AU251"/>
    <mergeCell ref="AV167:BL167"/>
    <mergeCell ref="AP164:AU164"/>
    <mergeCell ref="AK167:AO167"/>
    <mergeCell ref="AV159:BL159"/>
    <mergeCell ref="AV165:BL165"/>
    <mergeCell ref="AV161:BL161"/>
    <mergeCell ref="AP250:AU250"/>
    <mergeCell ref="AP213:AU213"/>
    <mergeCell ref="AP212:AU212"/>
    <mergeCell ref="AP216:AU216"/>
    <mergeCell ref="AP209:AU209"/>
    <mergeCell ref="AP219:AU219"/>
    <mergeCell ref="AP240:AU240"/>
    <mergeCell ref="AP232:AU232"/>
    <mergeCell ref="AP247:AU247"/>
    <mergeCell ref="AP183:AU183"/>
    <mergeCell ref="AP182:AU182"/>
    <mergeCell ref="AV183:BL183"/>
    <mergeCell ref="AK240:AO240"/>
    <mergeCell ref="AP222:AU222"/>
    <mergeCell ref="AP221:AU221"/>
    <mergeCell ref="AP218:AU218"/>
    <mergeCell ref="AP220:AU220"/>
    <mergeCell ref="AP206:AU206"/>
    <mergeCell ref="AK190:AO190"/>
    <mergeCell ref="AV249:BL249"/>
    <mergeCell ref="AW297:BM297"/>
    <mergeCell ref="AW298:BM298"/>
    <mergeCell ref="AW301:BM301"/>
    <mergeCell ref="AW299:BM299"/>
    <mergeCell ref="AW300:BM300"/>
    <mergeCell ref="AW294:BM294"/>
    <mergeCell ref="AW295:BM295"/>
    <mergeCell ref="AW278:BM278"/>
    <mergeCell ref="AW276:BM276"/>
    <mergeCell ref="AW268:BM268"/>
    <mergeCell ref="AW270:BM270"/>
    <mergeCell ref="AW269:BM269"/>
    <mergeCell ref="AV220:BL220"/>
    <mergeCell ref="AV221:BL221"/>
    <mergeCell ref="AW292:BM292"/>
    <mergeCell ref="AW291:BM291"/>
    <mergeCell ref="AW285:BM285"/>
    <mergeCell ref="AW286:BM286"/>
    <mergeCell ref="AW287:BM287"/>
    <mergeCell ref="AW282:BM282"/>
    <mergeCell ref="AW284:BM284"/>
    <mergeCell ref="AW283:BM283"/>
    <mergeCell ref="AW264:BM264"/>
    <mergeCell ref="AW263:BM263"/>
    <mergeCell ref="AW290:BM290"/>
    <mergeCell ref="AW289:BM289"/>
    <mergeCell ref="AW273:BM273"/>
    <mergeCell ref="AW279:BM279"/>
    <mergeCell ref="AW272:BM272"/>
    <mergeCell ref="AV238:BL238"/>
    <mergeCell ref="AV237:BL237"/>
    <mergeCell ref="AW296:BM296"/>
    <mergeCell ref="AV205:BL205"/>
    <mergeCell ref="AW277:BM277"/>
    <mergeCell ref="AW281:BM281"/>
    <mergeCell ref="AW256:BM256"/>
    <mergeCell ref="AW259:BM259"/>
    <mergeCell ref="AW257:BM257"/>
    <mergeCell ref="AW258:BM258"/>
    <mergeCell ref="AW255:BM255"/>
    <mergeCell ref="AW254:BM254"/>
    <mergeCell ref="AW253:BM253"/>
    <mergeCell ref="AW288:BM288"/>
    <mergeCell ref="AW275:BM275"/>
    <mergeCell ref="AW274:BM274"/>
    <mergeCell ref="AW271:BM271"/>
    <mergeCell ref="AV251:BL251"/>
    <mergeCell ref="AV216:BL216"/>
    <mergeCell ref="AV217:BL217"/>
    <mergeCell ref="AV210:BL210"/>
    <mergeCell ref="AV218:BL218"/>
    <mergeCell ref="AV219:BL219"/>
    <mergeCell ref="AV225:BL225"/>
    <mergeCell ref="AV224:BL224"/>
    <mergeCell ref="AW252:BM252"/>
    <mergeCell ref="AW261:BM261"/>
    <mergeCell ref="AW260:BM260"/>
    <mergeCell ref="AW265:BM265"/>
    <mergeCell ref="AW262:BM262"/>
    <mergeCell ref="AW266:BM266"/>
    <mergeCell ref="AW267:BM267"/>
    <mergeCell ref="AV250:BL250"/>
    <mergeCell ref="AV248:BL248"/>
    <mergeCell ref="AV231:BL231"/>
    <mergeCell ref="AV204:BL204"/>
    <mergeCell ref="AE189:AG189"/>
    <mergeCell ref="AH190:AJ190"/>
    <mergeCell ref="AH189:AJ189"/>
    <mergeCell ref="BB155:BC155"/>
    <mergeCell ref="AW155:BA155"/>
    <mergeCell ref="AT155:AV155"/>
    <mergeCell ref="AV215:BL215"/>
    <mergeCell ref="AV197:BL197"/>
    <mergeCell ref="AV208:BL208"/>
    <mergeCell ref="AV207:BL207"/>
    <mergeCell ref="AV206:BL206"/>
    <mergeCell ref="AV209:BL209"/>
    <mergeCell ref="AP205:AU205"/>
    <mergeCell ref="AQ155:AS155"/>
    <mergeCell ref="AK173:AO173"/>
    <mergeCell ref="AK174:AO174"/>
    <mergeCell ref="AK171:AO171"/>
    <mergeCell ref="AK172:AO172"/>
    <mergeCell ref="AV163:BL163"/>
    <mergeCell ref="AK212:AO212"/>
    <mergeCell ref="AP204:AU204"/>
    <mergeCell ref="AE174:AG174"/>
    <mergeCell ref="AE165:AG165"/>
    <mergeCell ref="AK164:AO164"/>
    <mergeCell ref="AE173:AG173"/>
    <mergeCell ref="AH173:AJ173"/>
    <mergeCell ref="AH168:AJ168"/>
    <mergeCell ref="AH171:AJ171"/>
    <mergeCell ref="AP215:AU215"/>
    <mergeCell ref="AP214:AU214"/>
    <mergeCell ref="AV203:BL203"/>
    <mergeCell ref="AE251:AG251"/>
    <mergeCell ref="AA251:AD251"/>
    <mergeCell ref="Q209:T209"/>
    <mergeCell ref="Q208:T208"/>
    <mergeCell ref="AB209:AD209"/>
    <mergeCell ref="X225:AA225"/>
    <mergeCell ref="U225:W225"/>
    <mergeCell ref="X229:AA229"/>
    <mergeCell ref="U232:W232"/>
    <mergeCell ref="AE228:AG228"/>
    <mergeCell ref="AE229:AG229"/>
    <mergeCell ref="AE234:AG234"/>
    <mergeCell ref="AB176:AD176"/>
    <mergeCell ref="AK177:AO177"/>
    <mergeCell ref="AH235:AJ235"/>
    <mergeCell ref="AH176:AJ176"/>
    <mergeCell ref="AH182:AJ182"/>
    <mergeCell ref="AB187:AD187"/>
    <mergeCell ref="AE187:AG187"/>
    <mergeCell ref="AE188:AG188"/>
    <mergeCell ref="AB188:AD188"/>
    <mergeCell ref="Q189:T189"/>
    <mergeCell ref="Q188:T188"/>
    <mergeCell ref="AB235:AD235"/>
    <mergeCell ref="AE235:AG235"/>
    <mergeCell ref="AE232:AG232"/>
    <mergeCell ref="AE233:AG233"/>
    <mergeCell ref="AB237:AD237"/>
    <mergeCell ref="Q234:T234"/>
    <mergeCell ref="AK239:AO239"/>
    <mergeCell ref="U183:W183"/>
    <mergeCell ref="U186:W186"/>
    <mergeCell ref="B250:J250"/>
    <mergeCell ref="B247:J247"/>
    <mergeCell ref="B248:J248"/>
    <mergeCell ref="M248:P248"/>
    <mergeCell ref="M242:P242"/>
    <mergeCell ref="B235:J235"/>
    <mergeCell ref="B230:J230"/>
    <mergeCell ref="B231:J231"/>
    <mergeCell ref="B232:J232"/>
    <mergeCell ref="B221:J221"/>
    <mergeCell ref="B220:J220"/>
    <mergeCell ref="B229:J229"/>
    <mergeCell ref="B227:J227"/>
    <mergeCell ref="K240:L240"/>
    <mergeCell ref="K244:L244"/>
    <mergeCell ref="K231:L231"/>
    <mergeCell ref="M240:P240"/>
    <mergeCell ref="B233:J233"/>
    <mergeCell ref="B224:J224"/>
    <mergeCell ref="B225:J225"/>
    <mergeCell ref="B223:J223"/>
    <mergeCell ref="K239:L239"/>
    <mergeCell ref="K238:L238"/>
    <mergeCell ref="X146:AC146"/>
    <mergeCell ref="AQ126:AT126"/>
    <mergeCell ref="AP141:AQ141"/>
    <mergeCell ref="AP140:AQ140"/>
    <mergeCell ref="AJ143:AO143"/>
    <mergeCell ref="AF140:AH140"/>
    <mergeCell ref="X134:AC134"/>
    <mergeCell ref="X135:AC135"/>
    <mergeCell ref="AJ146:AO146"/>
    <mergeCell ref="AF146:AH146"/>
    <mergeCell ref="AJ134:AO134"/>
    <mergeCell ref="AJ135:AO135"/>
    <mergeCell ref="B239:J239"/>
    <mergeCell ref="B240:J240"/>
    <mergeCell ref="K247:L247"/>
    <mergeCell ref="M247:P247"/>
    <mergeCell ref="B249:J249"/>
    <mergeCell ref="X176:AA176"/>
    <mergeCell ref="AA249:AD249"/>
    <mergeCell ref="AE249:AG249"/>
    <mergeCell ref="AP236:AU236"/>
    <mergeCell ref="AP235:AU235"/>
    <mergeCell ref="AP248:AU248"/>
    <mergeCell ref="AP249:AU249"/>
    <mergeCell ref="AP237:AU237"/>
    <mergeCell ref="K180:L180"/>
    <mergeCell ref="U196:W196"/>
    <mergeCell ref="Q177:T177"/>
    <mergeCell ref="K168:L168"/>
    <mergeCell ref="K177:L177"/>
    <mergeCell ref="Q170:T170"/>
    <mergeCell ref="K176:L176"/>
    <mergeCell ref="AH174:AJ174"/>
    <mergeCell ref="AH157:AJ157"/>
    <mergeCell ref="AH158:AJ158"/>
    <mergeCell ref="AJ151:AO151"/>
    <mergeCell ref="AJ152:AO152"/>
    <mergeCell ref="AF149:AH149"/>
    <mergeCell ref="AF151:AH151"/>
    <mergeCell ref="AH156:AJ156"/>
    <mergeCell ref="AF150:AH150"/>
    <mergeCell ref="X151:AC151"/>
    <mergeCell ref="X153:AC153"/>
    <mergeCell ref="X152:AC152"/>
    <mergeCell ref="AD153:AE153"/>
    <mergeCell ref="AK157:AO157"/>
    <mergeCell ref="AK158:AO158"/>
    <mergeCell ref="X150:AC150"/>
    <mergeCell ref="AD154:AE154"/>
    <mergeCell ref="AF154:AH154"/>
    <mergeCell ref="X154:AC154"/>
    <mergeCell ref="AE171:AG171"/>
    <mergeCell ref="AE172:AG172"/>
    <mergeCell ref="AH169:AJ169"/>
    <mergeCell ref="AH170:AJ170"/>
    <mergeCell ref="AH172:AJ172"/>
    <mergeCell ref="AF155:AH155"/>
    <mergeCell ref="AJ154:AO154"/>
    <mergeCell ref="AK159:AO159"/>
    <mergeCell ref="AB159:AD159"/>
    <mergeCell ref="AK161:AO161"/>
    <mergeCell ref="AK166:AO166"/>
    <mergeCell ref="AK165:AO165"/>
    <mergeCell ref="AK168:AO168"/>
    <mergeCell ref="AJ148:AO148"/>
    <mergeCell ref="AB171:AD171"/>
    <mergeCell ref="AB163:AD163"/>
    <mergeCell ref="AJ150:AO150"/>
    <mergeCell ref="AF147:AH147"/>
    <mergeCell ref="AF148:AH148"/>
    <mergeCell ref="AJ141:AO141"/>
    <mergeCell ref="AJ139:AO139"/>
    <mergeCell ref="R126:AG127"/>
    <mergeCell ref="AD147:AE147"/>
    <mergeCell ref="AR139:AT139"/>
    <mergeCell ref="AP139:AQ139"/>
    <mergeCell ref="R99:U99"/>
    <mergeCell ref="R100:U100"/>
    <mergeCell ref="R98:U98"/>
    <mergeCell ref="V96:Z96"/>
    <mergeCell ref="AI87:AJ87"/>
    <mergeCell ref="AP154:AQ154"/>
    <mergeCell ref="AJ149:AO149"/>
    <mergeCell ref="AP142:AQ142"/>
    <mergeCell ref="AP143:AQ143"/>
    <mergeCell ref="AP147:AQ147"/>
    <mergeCell ref="AJ147:AO147"/>
    <mergeCell ref="AF144:AH144"/>
    <mergeCell ref="AJ144:AO144"/>
    <mergeCell ref="AR142:AT142"/>
    <mergeCell ref="AR154:AT154"/>
    <mergeCell ref="AD152:AE152"/>
    <mergeCell ref="AJ153:AO153"/>
    <mergeCell ref="AF153:AH153"/>
    <mergeCell ref="AF152:AH152"/>
    <mergeCell ref="AD143:AE143"/>
    <mergeCell ref="AJ136:AO136"/>
    <mergeCell ref="AI125:AL125"/>
    <mergeCell ref="AI126:AL126"/>
    <mergeCell ref="AF136:AH136"/>
    <mergeCell ref="AF137:AH137"/>
    <mergeCell ref="AD136:AE136"/>
    <mergeCell ref="X144:AC144"/>
    <mergeCell ref="R106:U106"/>
    <mergeCell ref="R101:U101"/>
    <mergeCell ref="R102:U102"/>
    <mergeCell ref="F90:AT90"/>
    <mergeCell ref="F91:AT91"/>
    <mergeCell ref="R94:U94"/>
    <mergeCell ref="AP145:AQ145"/>
    <mergeCell ref="AJ137:AO137"/>
    <mergeCell ref="AA113:AT113"/>
    <mergeCell ref="AA110:AT110"/>
    <mergeCell ref="AA112:AT112"/>
    <mergeCell ref="AA111:AT111"/>
    <mergeCell ref="AA114:AT114"/>
    <mergeCell ref="R117:U117"/>
    <mergeCell ref="R112:U112"/>
    <mergeCell ref="V119:Z119"/>
    <mergeCell ref="V120:Z120"/>
    <mergeCell ref="R97:U97"/>
    <mergeCell ref="V101:Z101"/>
    <mergeCell ref="R115:U115"/>
    <mergeCell ref="AD144:AE144"/>
    <mergeCell ref="AF145:AH145"/>
    <mergeCell ref="AD145:AE145"/>
    <mergeCell ref="AD134:AE134"/>
    <mergeCell ref="AD135:AE135"/>
    <mergeCell ref="AH180:AJ180"/>
    <mergeCell ref="AK185:AO185"/>
    <mergeCell ref="AK180:AO180"/>
    <mergeCell ref="AK181:AO181"/>
    <mergeCell ref="AK184:AO184"/>
    <mergeCell ref="AE176:AG176"/>
    <mergeCell ref="AE175:AG175"/>
    <mergeCell ref="AE182:AG182"/>
    <mergeCell ref="AE179:AG179"/>
    <mergeCell ref="AH178:AJ178"/>
    <mergeCell ref="AH177:AJ177"/>
    <mergeCell ref="AE180:AG180"/>
    <mergeCell ref="AH179:AJ179"/>
    <mergeCell ref="AH175:AJ175"/>
    <mergeCell ref="AE178:AG178"/>
    <mergeCell ref="AC43:AD43"/>
    <mergeCell ref="AC41:AD41"/>
    <mergeCell ref="AC42:AD42"/>
    <mergeCell ref="AE48:AG48"/>
    <mergeCell ref="AC66:AF66"/>
    <mergeCell ref="AC65:AF65"/>
    <mergeCell ref="AE41:AG41"/>
    <mergeCell ref="AE47:AG47"/>
    <mergeCell ref="AB88:AF88"/>
    <mergeCell ref="AB89:AF89"/>
    <mergeCell ref="AK89:AO89"/>
    <mergeCell ref="AG88:AJ89"/>
    <mergeCell ref="AC67:AF67"/>
    <mergeCell ref="AK68:AM68"/>
    <mergeCell ref="AC62:AF63"/>
    <mergeCell ref="AC64:AF64"/>
    <mergeCell ref="V41:AB41"/>
    <mergeCell ref="AC50:AD50"/>
    <mergeCell ref="AC49:AD49"/>
    <mergeCell ref="AC48:AD48"/>
    <mergeCell ref="AC47:AD47"/>
    <mergeCell ref="AI51:AO51"/>
    <mergeCell ref="AC54:AD54"/>
    <mergeCell ref="AI48:AO48"/>
    <mergeCell ref="AI41:AO41"/>
    <mergeCell ref="AD149:AE149"/>
    <mergeCell ref="AB27:AG27"/>
    <mergeCell ref="W24:AA27"/>
    <mergeCell ref="W30:AB33"/>
    <mergeCell ref="W29:AB29"/>
    <mergeCell ref="AC46:AD46"/>
    <mergeCell ref="AC45:AD45"/>
    <mergeCell ref="W35:AE35"/>
    <mergeCell ref="AE42:AG42"/>
    <mergeCell ref="V39:AB39"/>
    <mergeCell ref="W36:AA37"/>
    <mergeCell ref="Z66:AB66"/>
    <mergeCell ref="AF141:AH141"/>
    <mergeCell ref="AE46:AG46"/>
    <mergeCell ref="S132:AG132"/>
    <mergeCell ref="AF142:AH142"/>
    <mergeCell ref="AD140:AE140"/>
    <mergeCell ref="AD139:AE139"/>
    <mergeCell ref="AF139:AH139"/>
    <mergeCell ref="X140:AC140"/>
    <mergeCell ref="X141:AC141"/>
    <mergeCell ref="W122:AG122"/>
    <mergeCell ref="AB59:AE59"/>
    <mergeCell ref="AG85:AH85"/>
    <mergeCell ref="V51:AB51"/>
    <mergeCell ref="AE51:AG51"/>
    <mergeCell ref="AA116:AT116"/>
    <mergeCell ref="AA117:AT117"/>
    <mergeCell ref="V116:Z116"/>
    <mergeCell ref="V115:Z115"/>
    <mergeCell ref="V112:Z112"/>
    <mergeCell ref="AC44:AD44"/>
    <mergeCell ref="AI53:AO53"/>
    <mergeCell ref="AE53:AG53"/>
    <mergeCell ref="AE56:AG56"/>
    <mergeCell ref="AE57:AG57"/>
    <mergeCell ref="AI65:AJ65"/>
    <mergeCell ref="AI64:AJ64"/>
    <mergeCell ref="AE55:AG55"/>
    <mergeCell ref="V55:AB55"/>
    <mergeCell ref="V54:AB54"/>
    <mergeCell ref="AR56:AT56"/>
    <mergeCell ref="AA102:AT102"/>
    <mergeCell ref="V48:AB48"/>
    <mergeCell ref="V50:AB50"/>
    <mergeCell ref="V49:AB49"/>
    <mergeCell ref="AC51:AD51"/>
    <mergeCell ref="V53:AB53"/>
    <mergeCell ref="V52:AB52"/>
    <mergeCell ref="Z62:AB63"/>
    <mergeCell ref="V62:Y63"/>
    <mergeCell ref="V56:AB56"/>
    <mergeCell ref="V57:AB57"/>
    <mergeCell ref="AP46:AQ46"/>
    <mergeCell ref="AI50:AO50"/>
    <mergeCell ref="AP49:AQ49"/>
    <mergeCell ref="AP23:AQ23"/>
    <mergeCell ref="AR23:AT23"/>
    <mergeCell ref="AH24:AJ24"/>
    <mergeCell ref="AH25:AT25"/>
    <mergeCell ref="AP24:AQ24"/>
    <mergeCell ref="AM24:AO24"/>
    <mergeCell ref="AK24:AL24"/>
    <mergeCell ref="AQ27:AT27"/>
    <mergeCell ref="AL27:AP27"/>
    <mergeCell ref="AH27:AK27"/>
    <mergeCell ref="AH32:AO32"/>
    <mergeCell ref="AH30:AO31"/>
    <mergeCell ref="AH33:AO33"/>
    <mergeCell ref="AR36:AT37"/>
    <mergeCell ref="AR35:AT35"/>
    <mergeCell ref="AO35:AQ35"/>
    <mergeCell ref="AL36:AN37"/>
    <mergeCell ref="AL35:AN35"/>
    <mergeCell ref="AI35:AK35"/>
    <mergeCell ref="AI36:AK37"/>
    <mergeCell ref="AM26:AN26"/>
    <mergeCell ref="AK26:AL26"/>
    <mergeCell ref="AI26:AJ26"/>
    <mergeCell ref="AP29:AT29"/>
    <mergeCell ref="AP32:AT32"/>
    <mergeCell ref="AP30:AT30"/>
    <mergeCell ref="AO26:AR26"/>
    <mergeCell ref="AP48:AQ48"/>
    <mergeCell ref="AI46:AO46"/>
    <mergeCell ref="AR46:AT46"/>
    <mergeCell ref="AI47:AO47"/>
    <mergeCell ref="AI49:AO49"/>
    <mergeCell ref="AO36:AQ37"/>
    <mergeCell ref="AP40:AQ40"/>
    <mergeCell ref="AI45:AO45"/>
    <mergeCell ref="AI44:AO44"/>
    <mergeCell ref="AE45:AG45"/>
    <mergeCell ref="AE44:AG44"/>
    <mergeCell ref="AR39:AT39"/>
    <mergeCell ref="AP39:AQ39"/>
    <mergeCell ref="AP42:AQ42"/>
    <mergeCell ref="AP43:AQ43"/>
    <mergeCell ref="AI39:AO39"/>
    <mergeCell ref="AP50:AQ50"/>
    <mergeCell ref="AR50:AT50"/>
    <mergeCell ref="AI43:AO43"/>
    <mergeCell ref="AI42:AO42"/>
    <mergeCell ref="AP45:AQ45"/>
    <mergeCell ref="AR44:AT44"/>
    <mergeCell ref="AP44:AQ44"/>
    <mergeCell ref="AR45:AT45"/>
    <mergeCell ref="AR49:AT49"/>
    <mergeCell ref="AP47:AQ47"/>
    <mergeCell ref="AR48:AT48"/>
    <mergeCell ref="AR43:AT43"/>
    <mergeCell ref="AR42:AT42"/>
    <mergeCell ref="AR40:AT40"/>
    <mergeCell ref="AP41:AQ41"/>
    <mergeCell ref="AR41:AT41"/>
    <mergeCell ref="R56:T56"/>
    <mergeCell ref="AC57:AD57"/>
    <mergeCell ref="AC55:AD55"/>
    <mergeCell ref="V46:AB46"/>
    <mergeCell ref="AE50:AG50"/>
    <mergeCell ref="AE49:AG49"/>
    <mergeCell ref="AK60:AN60"/>
    <mergeCell ref="AI67:AJ67"/>
    <mergeCell ref="AK67:AM67"/>
    <mergeCell ref="Q79:S80"/>
    <mergeCell ref="T82:V83"/>
    <mergeCell ref="R96:U96"/>
    <mergeCell ref="AR51:AT51"/>
    <mergeCell ref="AP51:AQ51"/>
    <mergeCell ref="AO60:AP60"/>
    <mergeCell ref="AG59:AT59"/>
    <mergeCell ref="AK66:AM66"/>
    <mergeCell ref="AK65:AM65"/>
    <mergeCell ref="AN64:AT64"/>
    <mergeCell ref="AK64:AM64"/>
    <mergeCell ref="AN62:AT63"/>
    <mergeCell ref="AP55:AQ55"/>
    <mergeCell ref="AR53:AT53"/>
    <mergeCell ref="AR57:AT57"/>
    <mergeCell ref="S88:V89"/>
    <mergeCell ref="S85:U85"/>
    <mergeCell ref="W89:X89"/>
    <mergeCell ref="S62:U63"/>
    <mergeCell ref="R52:T52"/>
    <mergeCell ref="V66:Y66"/>
    <mergeCell ref="Z67:AB67"/>
    <mergeCell ref="AC82:AE83"/>
    <mergeCell ref="AI40:AO40"/>
    <mergeCell ref="AR47:AT47"/>
    <mergeCell ref="AP52:AQ52"/>
    <mergeCell ref="AE52:AG52"/>
    <mergeCell ref="AI52:AO52"/>
    <mergeCell ref="AA115:AT115"/>
    <mergeCell ref="AP57:AQ57"/>
    <mergeCell ref="AP56:AQ56"/>
    <mergeCell ref="V113:Z113"/>
    <mergeCell ref="V108:Z108"/>
    <mergeCell ref="R103:U103"/>
    <mergeCell ref="R104:U104"/>
    <mergeCell ref="Q76:T77"/>
    <mergeCell ref="AC53:AD53"/>
    <mergeCell ref="AI54:AO54"/>
    <mergeCell ref="AI55:AO55"/>
    <mergeCell ref="AS60:AT60"/>
    <mergeCell ref="AQ60:AR60"/>
    <mergeCell ref="Z64:AB64"/>
    <mergeCell ref="AC68:AF68"/>
    <mergeCell ref="AS88:AT88"/>
    <mergeCell ref="AP88:AR89"/>
    <mergeCell ref="AS89:AT89"/>
    <mergeCell ref="V64:Y64"/>
    <mergeCell ref="V67:Y67"/>
    <mergeCell ref="R109:U109"/>
    <mergeCell ref="AI68:AJ68"/>
    <mergeCell ref="AI66:AJ66"/>
    <mergeCell ref="R53:T53"/>
    <mergeCell ref="R54:T54"/>
    <mergeCell ref="AE54:AG54"/>
    <mergeCell ref="R55:T55"/>
    <mergeCell ref="AP137:AQ137"/>
    <mergeCell ref="AM126:AP126"/>
    <mergeCell ref="AI122:AT122"/>
    <mergeCell ref="R95:U95"/>
    <mergeCell ref="B137:V138"/>
    <mergeCell ref="B135:V136"/>
    <mergeCell ref="B134:V134"/>
    <mergeCell ref="B122:B132"/>
    <mergeCell ref="AD141:AE141"/>
    <mergeCell ref="AJ142:AO142"/>
    <mergeCell ref="X136:AC136"/>
    <mergeCell ref="AD137:AE137"/>
    <mergeCell ref="C130:L132"/>
    <mergeCell ref="AP153:AQ153"/>
    <mergeCell ref="AR153:AT153"/>
    <mergeCell ref="AR143:AT143"/>
    <mergeCell ref="AA103:AT103"/>
    <mergeCell ref="AA104:AT104"/>
    <mergeCell ref="AP144:AQ144"/>
    <mergeCell ref="AR144:AT144"/>
    <mergeCell ref="AP152:AQ152"/>
    <mergeCell ref="AR152:AT152"/>
    <mergeCell ref="AR150:AT150"/>
    <mergeCell ref="AR151:AT151"/>
    <mergeCell ref="AP150:AQ150"/>
    <mergeCell ref="AR149:AT149"/>
    <mergeCell ref="R105:U105"/>
    <mergeCell ref="AD151:AE151"/>
    <mergeCell ref="R114:U114"/>
    <mergeCell ref="X147:AC147"/>
    <mergeCell ref="X148:AC148"/>
    <mergeCell ref="X149:AC149"/>
    <mergeCell ref="AI56:AO56"/>
    <mergeCell ref="AI57:AO57"/>
    <mergeCell ref="AC86:AD86"/>
    <mergeCell ref="AC87:AD87"/>
    <mergeCell ref="V105:Z105"/>
    <mergeCell ref="AI60:AJ60"/>
    <mergeCell ref="AG60:AH60"/>
    <mergeCell ref="AN67:AT67"/>
    <mergeCell ref="AK62:AM63"/>
    <mergeCell ref="AG62:AJ63"/>
    <mergeCell ref="AE85:AF85"/>
    <mergeCell ref="AC79:AE80"/>
    <mergeCell ref="AG78:AJ78"/>
    <mergeCell ref="AG76:AJ77"/>
    <mergeCell ref="AC78:AF78"/>
    <mergeCell ref="AC76:AF77"/>
    <mergeCell ref="AA101:AT101"/>
    <mergeCell ref="AA100:AT100"/>
    <mergeCell ref="AE87:AF87"/>
    <mergeCell ref="AK86:AN87"/>
    <mergeCell ref="AA86:AB86"/>
    <mergeCell ref="AA87:AB87"/>
    <mergeCell ref="Y88:AA89"/>
    <mergeCell ref="AA85:AB85"/>
    <mergeCell ref="AC56:AD56"/>
    <mergeCell ref="AF79:AJ83"/>
    <mergeCell ref="V68:Y68"/>
    <mergeCell ref="AI86:AJ86"/>
    <mergeCell ref="AR52:AT52"/>
    <mergeCell ref="AN65:AT65"/>
    <mergeCell ref="AP54:AQ54"/>
    <mergeCell ref="AP53:AQ53"/>
    <mergeCell ref="AA95:AT95"/>
    <mergeCell ref="AA94:AT94"/>
    <mergeCell ref="AJ138:AO138"/>
    <mergeCell ref="AA107:AT107"/>
    <mergeCell ref="AA105:AT105"/>
    <mergeCell ref="AA106:AT106"/>
    <mergeCell ref="AA109:AT109"/>
    <mergeCell ref="AA108:AT108"/>
    <mergeCell ref="AN66:AT66"/>
    <mergeCell ref="AC52:AD52"/>
    <mergeCell ref="AP135:AQ135"/>
    <mergeCell ref="AP134:AQ134"/>
    <mergeCell ref="AR135:AT135"/>
    <mergeCell ref="AR134:AT134"/>
    <mergeCell ref="Z65:AB65"/>
    <mergeCell ref="V109:Z109"/>
    <mergeCell ref="V93:Z93"/>
    <mergeCell ref="V86:X87"/>
    <mergeCell ref="V111:Z111"/>
    <mergeCell ref="AN68:AT68"/>
    <mergeCell ref="AR54:AT54"/>
    <mergeCell ref="AR55:AT55"/>
    <mergeCell ref="AA99:AT99"/>
    <mergeCell ref="AA98:AT98"/>
    <mergeCell ref="AF138:AH138"/>
    <mergeCell ref="AF134:AH134"/>
    <mergeCell ref="AF135:AH135"/>
    <mergeCell ref="R124:AG125"/>
    <mergeCell ref="R59:U60"/>
    <mergeCell ref="V59:AA60"/>
    <mergeCell ref="AB60:AE60"/>
    <mergeCell ref="AI85:AJ85"/>
    <mergeCell ref="AK85:AN85"/>
    <mergeCell ref="Y85:Z85"/>
    <mergeCell ref="AC85:AD85"/>
    <mergeCell ref="T81:V81"/>
    <mergeCell ref="Y87:Z87"/>
    <mergeCell ref="Y86:Z86"/>
    <mergeCell ref="AP138:AQ138"/>
    <mergeCell ref="AR136:AT136"/>
    <mergeCell ref="AR138:AT138"/>
    <mergeCell ref="AP136:AQ136"/>
    <mergeCell ref="AR137:AT137"/>
    <mergeCell ref="V106:Z106"/>
    <mergeCell ref="V104:Z104"/>
    <mergeCell ref="S64:U64"/>
    <mergeCell ref="T79:V80"/>
    <mergeCell ref="AQ125:AT125"/>
    <mergeCell ref="AM125:AP125"/>
    <mergeCell ref="W82:Y83"/>
    <mergeCell ref="Y76:AB77"/>
    <mergeCell ref="Y78:AB78"/>
    <mergeCell ref="Z81:AB81"/>
    <mergeCell ref="Z79:AB80"/>
    <mergeCell ref="W81:Y81"/>
    <mergeCell ref="Z82:AB83"/>
    <mergeCell ref="S68:U68"/>
    <mergeCell ref="Q78:T78"/>
    <mergeCell ref="AA97:AT97"/>
    <mergeCell ref="AA96:AT96"/>
    <mergeCell ref="U78:X78"/>
    <mergeCell ref="W88:X88"/>
    <mergeCell ref="V85:X85"/>
    <mergeCell ref="U76:X77"/>
    <mergeCell ref="R107:U107"/>
    <mergeCell ref="R93:U93"/>
    <mergeCell ref="AA93:AT93"/>
    <mergeCell ref="V95:Z95"/>
    <mergeCell ref="S86:U87"/>
    <mergeCell ref="AK88:AO88"/>
    <mergeCell ref="R128:AG129"/>
    <mergeCell ref="U130:AG131"/>
    <mergeCell ref="AR146:AT146"/>
    <mergeCell ref="AP146:AQ146"/>
    <mergeCell ref="AR145:AT145"/>
    <mergeCell ref="X139:AC139"/>
    <mergeCell ref="AA119:AT119"/>
    <mergeCell ref="AA118:AT118"/>
    <mergeCell ref="V118:Z118"/>
    <mergeCell ref="AA120:AT120"/>
    <mergeCell ref="V117:Z117"/>
    <mergeCell ref="AF143:AH143"/>
    <mergeCell ref="V107:Z107"/>
    <mergeCell ref="V102:Z102"/>
    <mergeCell ref="V94:Z94"/>
    <mergeCell ref="V99:Z99"/>
    <mergeCell ref="V100:Z100"/>
    <mergeCell ref="V98:Z98"/>
    <mergeCell ref="V103:Z103"/>
    <mergeCell ref="V97:Z97"/>
    <mergeCell ref="X145:AC145"/>
    <mergeCell ref="AO123:AT124"/>
    <mergeCell ref="S67:U67"/>
    <mergeCell ref="V65:Y65"/>
    <mergeCell ref="R110:U110"/>
    <mergeCell ref="R113:U113"/>
    <mergeCell ref="AP148:AQ148"/>
    <mergeCell ref="AP151:AQ151"/>
    <mergeCell ref="AP149:AQ149"/>
    <mergeCell ref="AR140:AT140"/>
    <mergeCell ref="AR141:AT141"/>
    <mergeCell ref="AR148:AT148"/>
    <mergeCell ref="AR147:AT147"/>
    <mergeCell ref="R118:U118"/>
    <mergeCell ref="R119:U119"/>
    <mergeCell ref="R120:U120"/>
    <mergeCell ref="X143:AC143"/>
    <mergeCell ref="X142:AC142"/>
    <mergeCell ref="V114:Z114"/>
    <mergeCell ref="R108:U108"/>
    <mergeCell ref="Q82:S83"/>
    <mergeCell ref="Q81:S81"/>
    <mergeCell ref="W79:Y80"/>
    <mergeCell ref="R116:U116"/>
    <mergeCell ref="V110:Z110"/>
    <mergeCell ref="R111:U111"/>
    <mergeCell ref="AJ140:AO140"/>
    <mergeCell ref="AJ145:AO145"/>
    <mergeCell ref="AI123:AN124"/>
    <mergeCell ref="AD142:AE142"/>
    <mergeCell ref="AD146:AE146"/>
    <mergeCell ref="AD150:AE150"/>
    <mergeCell ref="S66:U66"/>
    <mergeCell ref="S65:U65"/>
  </mergeCells>
  <conditionalFormatting sqref="AH30">
    <cfRule type="cellIs" dxfId="440" priority="1" operator="greaterThan">
      <formula>W30+AC30</formula>
    </cfRule>
  </conditionalFormatting>
  <conditionalFormatting sqref="AH30">
    <cfRule type="cellIs" dxfId="439" priority="2" operator="equal">
      <formula>W30+AC30</formula>
    </cfRule>
  </conditionalFormatting>
  <conditionalFormatting sqref="AB14 AF14 AH14 AD14">
    <cfRule type="cellIs" dxfId="438" priority="3" operator="equal">
      <formula>AB13</formula>
    </cfRule>
  </conditionalFormatting>
  <conditionalFormatting sqref="AB14 AF14 AH14 AD14">
    <cfRule type="cellIs" dxfId="437" priority="4" operator="greaterThan">
      <formula>AB13</formula>
    </cfRule>
  </conditionalFormatting>
  <conditionalFormatting sqref="P64:S69 T64:U68 N69:O69">
    <cfRule type="cellIs" dxfId="436" priority="6" operator="equal">
      <formula>"None"</formula>
    </cfRule>
  </conditionalFormatting>
  <conditionalFormatting sqref="AR14">
    <cfRule type="cellIs" dxfId="435" priority="7" operator="greaterThan">
      <formula>$AM$14</formula>
    </cfRule>
  </conditionalFormatting>
  <conditionalFormatting sqref="AR14">
    <cfRule type="cellIs" dxfId="434" priority="8" operator="equal">
      <formula>$AM$14</formula>
    </cfRule>
  </conditionalFormatting>
  <conditionalFormatting sqref="AR14">
    <cfRule type="cellIs" dxfId="433" priority="9" operator="lessThan">
      <formula>$AM$14</formula>
    </cfRule>
  </conditionalFormatting>
  <conditionalFormatting sqref="S86">
    <cfRule type="cellIs" dxfId="432" priority="11" operator="equal">
      <formula>$P$86</formula>
    </cfRule>
  </conditionalFormatting>
  <conditionalFormatting sqref="S86">
    <cfRule type="cellIs" dxfId="431" priority="12" operator="greaterThan">
      <formula>$P$86</formula>
    </cfRule>
  </conditionalFormatting>
  <conditionalFormatting sqref="S86">
    <cfRule type="cellIs" dxfId="430" priority="13" operator="lessThan">
      <formula>$P$86</formula>
    </cfRule>
  </conditionalFormatting>
  <conditionalFormatting sqref="Y87:Z87">
    <cfRule type="expression" dxfId="429" priority="14">
      <formula>$Y$86=0</formula>
    </cfRule>
  </conditionalFormatting>
  <conditionalFormatting sqref="AA87:AB87">
    <cfRule type="expression" dxfId="428" priority="15">
      <formula>$AA$86=0</formula>
    </cfRule>
  </conditionalFormatting>
  <conditionalFormatting sqref="AA87:AB87">
    <cfRule type="expression" dxfId="427" priority="16">
      <formula>$Y$86=0</formula>
    </cfRule>
  </conditionalFormatting>
  <conditionalFormatting sqref="AC87:AD87">
    <cfRule type="expression" dxfId="426" priority="17">
      <formula>$AC$86=0</formula>
    </cfRule>
  </conditionalFormatting>
  <conditionalFormatting sqref="AC87:AD87">
    <cfRule type="expression" dxfId="425" priority="18">
      <formula>$Y$86=0</formula>
    </cfRule>
  </conditionalFormatting>
  <conditionalFormatting sqref="AE87:AF87">
    <cfRule type="expression" dxfId="424" priority="19">
      <formula>$AE$86=0</formula>
    </cfRule>
  </conditionalFormatting>
  <conditionalFormatting sqref="AE87:AF87">
    <cfRule type="expression" dxfId="423" priority="20">
      <formula>$Y$86=0</formula>
    </cfRule>
  </conditionalFormatting>
  <conditionalFormatting sqref="AG87:AH87">
    <cfRule type="expression" dxfId="422" priority="21">
      <formula>$AG$86=0</formula>
    </cfRule>
  </conditionalFormatting>
  <conditionalFormatting sqref="AG87:AH87">
    <cfRule type="expression" dxfId="421" priority="22">
      <formula>$Y$86=0</formula>
    </cfRule>
  </conditionalFormatting>
  <conditionalFormatting sqref="AI87:AJ87">
    <cfRule type="expression" dxfId="420" priority="23">
      <formula>$AI$86=0</formula>
    </cfRule>
  </conditionalFormatting>
  <conditionalFormatting sqref="AI87:AJ87">
    <cfRule type="expression" dxfId="419" priority="24">
      <formula>$Y$86=0</formula>
    </cfRule>
  </conditionalFormatting>
  <conditionalFormatting sqref="P64:P68 Q64:R69 S69">
    <cfRule type="expression" dxfId="418" priority="25">
      <formula>$S$63=NONE</formula>
    </cfRule>
  </conditionalFormatting>
  <conditionalFormatting sqref="AO123">
    <cfRule type="cellIs" dxfId="417" priority="26" operator="equal">
      <formula>$AM$126</formula>
    </cfRule>
  </conditionalFormatting>
  <conditionalFormatting sqref="AO123">
    <cfRule type="cellIs" dxfId="416" priority="29" operator="greaterThan">
      <formula>$AQ$126</formula>
    </cfRule>
  </conditionalFormatting>
  <conditionalFormatting sqref="AO123">
    <cfRule type="cellIs" dxfId="415" priority="30" operator="between">
      <formula>$AM$126</formula>
      <formula>$AQ$126</formula>
    </cfRule>
  </conditionalFormatting>
  <conditionalFormatting sqref="AO123">
    <cfRule type="cellIs" dxfId="414" priority="32" operator="between">
      <formula>$AI$126</formula>
      <formula>$AM$126</formula>
    </cfRule>
  </conditionalFormatting>
  <conditionalFormatting sqref="AC64:AF68 I78:M78 Q78 AB88:AF89">
    <cfRule type="cellIs" dxfId="413" priority="34" operator="equal">
      <formula>"NONE"</formula>
    </cfRule>
  </conditionalFormatting>
  <conditionalFormatting sqref="E82:G83">
    <cfRule type="cellIs" dxfId="412" priority="35" operator="equal">
      <formula>$E$79</formula>
    </cfRule>
  </conditionalFormatting>
  <conditionalFormatting sqref="E82:G83">
    <cfRule type="cellIs" dxfId="411" priority="36" operator="greaterThan">
      <formula>$E$79</formula>
    </cfRule>
  </conditionalFormatting>
  <conditionalFormatting sqref="H82:J83">
    <cfRule type="cellIs" dxfId="410" priority="37" operator="equal">
      <formula>$H$79</formula>
    </cfRule>
  </conditionalFormatting>
  <conditionalFormatting sqref="H82:J83">
    <cfRule type="cellIs" dxfId="409" priority="38" operator="greaterThan">
      <formula>$H$79</formula>
    </cfRule>
  </conditionalFormatting>
  <conditionalFormatting sqref="K82:M83">
    <cfRule type="cellIs" dxfId="408" priority="39" operator="equal">
      <formula>$K$79</formula>
    </cfRule>
  </conditionalFormatting>
  <conditionalFormatting sqref="K82:M83">
    <cfRule type="cellIs" dxfId="407" priority="40" operator="greaterThan">
      <formula>$K$79</formula>
    </cfRule>
  </conditionalFormatting>
  <conditionalFormatting sqref="N82:P83">
    <cfRule type="cellIs" dxfId="406" priority="41" operator="equal">
      <formula>$N$79</formula>
    </cfRule>
  </conditionalFormatting>
  <conditionalFormatting sqref="N82:P83">
    <cfRule type="cellIs" dxfId="405" priority="42" operator="greaterThan">
      <formula>$N$79</formula>
    </cfRule>
  </conditionalFormatting>
  <conditionalFormatting sqref="Q82:S83">
    <cfRule type="cellIs" dxfId="404" priority="43" operator="equal">
      <formula>$Q$79</formula>
    </cfRule>
  </conditionalFormatting>
  <conditionalFormatting sqref="Q82:S83">
    <cfRule type="cellIs" dxfId="403" priority="44" operator="greaterThan">
      <formula>$Q$79</formula>
    </cfRule>
  </conditionalFormatting>
  <conditionalFormatting sqref="T82:V83">
    <cfRule type="cellIs" dxfId="402" priority="45" operator="equal">
      <formula>$T$79</formula>
    </cfRule>
  </conditionalFormatting>
  <conditionalFormatting sqref="T82:V83">
    <cfRule type="cellIs" dxfId="401" priority="46" operator="greaterThan">
      <formula>$T$79</formula>
    </cfRule>
  </conditionalFormatting>
  <conditionalFormatting sqref="W82:Y83">
    <cfRule type="cellIs" dxfId="400" priority="47" operator="equal">
      <formula>$W$79</formula>
    </cfRule>
  </conditionalFormatting>
  <conditionalFormatting sqref="W82:Y83">
    <cfRule type="cellIs" dxfId="399" priority="48" operator="greaterThan">
      <formula>$W$79</formula>
    </cfRule>
  </conditionalFormatting>
  <conditionalFormatting sqref="Z82:AB83">
    <cfRule type="cellIs" dxfId="398" priority="49" operator="equal">
      <formula>$Z$79</formula>
    </cfRule>
  </conditionalFormatting>
  <conditionalFormatting sqref="Z82:AB83">
    <cfRule type="cellIs" dxfId="397" priority="50" operator="greaterThan">
      <formula>$Z$79</formula>
    </cfRule>
  </conditionalFormatting>
  <conditionalFormatting sqref="AC82:AE83">
    <cfRule type="cellIs" dxfId="396" priority="51" operator="equal">
      <formula>$AC$79</formula>
    </cfRule>
  </conditionalFormatting>
  <conditionalFormatting sqref="AC82:AE83">
    <cfRule type="cellIs" dxfId="395" priority="52" operator="greaterThan">
      <formula>$AC$79</formula>
    </cfRule>
  </conditionalFormatting>
  <conditionalFormatting sqref="W30:AB33">
    <cfRule type="colorScale" priority="53">
      <colorScale>
        <cfvo type="formula" val="(($AH$33+$AC$30)*0.25)"/>
        <cfvo type="formula" val="$AH$33+$AC$30"/>
        <color rgb="FFFF7128"/>
        <color rgb="FFFFFFFF"/>
      </colorScale>
    </cfRule>
  </conditionalFormatting>
  <conditionalFormatting sqref="E79:G80">
    <cfRule type="expression" dxfId="394" priority="54">
      <formula>E82-E79 = 0</formula>
    </cfRule>
  </conditionalFormatting>
  <conditionalFormatting sqref="BN39:BY39">
    <cfRule type="cellIs" dxfId="393" priority="57" operator="between">
      <formula>$AM$123</formula>
      <formula>$AQ$123</formula>
    </cfRule>
  </conditionalFormatting>
  <conditionalFormatting sqref="H79:J80">
    <cfRule type="expression" dxfId="392" priority="58">
      <formula>H79-H82=0</formula>
    </cfRule>
  </conditionalFormatting>
  <conditionalFormatting sqref="K79:M80">
    <cfRule type="expression" dxfId="391" priority="59">
      <formula>K79-K82=0</formula>
    </cfRule>
  </conditionalFormatting>
  <conditionalFormatting sqref="N79:P80">
    <cfRule type="expression" dxfId="390" priority="60">
      <formula>N79-N82=0</formula>
    </cfRule>
  </conditionalFormatting>
  <conditionalFormatting sqref="Q79:S80">
    <cfRule type="expression" dxfId="389" priority="61">
      <formula>Q79-Q82=0</formula>
    </cfRule>
  </conditionalFormatting>
  <conditionalFormatting sqref="T79:V80">
    <cfRule type="expression" dxfId="388" priority="62">
      <formula>T79-T82=0</formula>
    </cfRule>
  </conditionalFormatting>
  <conditionalFormatting sqref="W79:Y80">
    <cfRule type="expression" dxfId="387" priority="63">
      <formula>W79-W82=0</formula>
    </cfRule>
  </conditionalFormatting>
  <conditionalFormatting sqref="Z79:AB80">
    <cfRule type="expression" dxfId="386" priority="64">
      <formula>"Z78-Z81=0"</formula>
    </cfRule>
  </conditionalFormatting>
  <conditionalFormatting sqref="AC79:AE80">
    <cfRule type="expression" dxfId="385" priority="65">
      <formula>"AC78-AC81=0"</formula>
    </cfRule>
  </conditionalFormatting>
  <dataValidations disablePrompts="1" count="3">
    <dataValidation type="list" allowBlank="1" showErrorMessage="1" sqref="G25:G27" xr:uid="{00000000-0002-0000-0600-000005000000}">
      <formula1>"-,P,E"</formula1>
    </dataValidation>
    <dataValidation type="list" allowBlank="1" showInputMessage="1" showErrorMessage="1" prompt="Damage Type - Select the type of damage dealt by this attack" sqref="AK88:AK89" xr:uid="{00000000-0002-0000-0600-000002000000}">
      <formula1>#REF!</formula1>
    </dataValidation>
    <dataValidation type="list" allowBlank="1" showErrorMessage="1" sqref="G18 G39:G43 G46:G50 G53:G56" xr:uid="{00000000-0002-0000-0600-000001000000}">
      <formula1>"P,E,-"</formula1>
    </dataValidation>
  </dataValidations>
  <pageMargins left="0.5" right="0.5" top="0.5" bottom="0.5" header="0" footer="0"/>
  <pageSetup scale="67" orientation="portrait"/>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02591-F083-44C4-8B8A-AEFBC9CBB1CD}">
  <sheetPr codeName="Аркуш25">
    <tabColor rgb="FFC00000"/>
    <outlinePr summaryBelow="0" summaryRight="0"/>
  </sheetPr>
  <dimension ref="A1:CZ334"/>
  <sheetViews>
    <sheetView workbookViewId="0">
      <pane xSplit="1" ySplit="3" topLeftCell="B14" activePane="bottomRight" state="frozen"/>
      <selection sqref="A1:U1"/>
      <selection pane="topRight" sqref="A1:U1"/>
      <selection pane="bottomLeft" sqref="A1:U1"/>
      <selection pane="bottomRight" activeCell="D11" sqref="D11"/>
    </sheetView>
  </sheetViews>
  <sheetFormatPr defaultColWidth="11.21875" defaultRowHeight="15.75" customHeight="1"/>
  <cols>
    <col min="1" max="2" width="27.5546875" style="147" customWidth="1"/>
    <col min="3" max="3" width="8.44140625" style="147" customWidth="1"/>
    <col min="4" max="4" width="4.6640625" style="147" customWidth="1"/>
    <col min="5" max="6" width="8.6640625" style="147" customWidth="1"/>
    <col min="7" max="7" width="8.88671875" style="147" customWidth="1"/>
    <col min="8" max="8" width="10" style="147" customWidth="1"/>
    <col min="9" max="9" width="4.21875" style="147" customWidth="1"/>
    <col min="10" max="10" width="5.5546875" style="147" customWidth="1"/>
    <col min="11" max="17" width="4.44140625" style="147" customWidth="1"/>
    <col min="18" max="18" width="5.77734375" style="147" customWidth="1"/>
    <col min="19" max="19" width="9.44140625" style="147" customWidth="1"/>
    <col min="20" max="20" width="10.21875" style="147" customWidth="1"/>
    <col min="21" max="21" width="8.33203125" style="147" customWidth="1"/>
    <col min="22" max="22" width="6.21875" style="147" customWidth="1"/>
    <col min="23" max="23" width="8" style="147" customWidth="1"/>
    <col min="24" max="24" width="6.6640625" style="147" customWidth="1"/>
    <col min="25" max="25" width="4.77734375" style="147" customWidth="1"/>
    <col min="26" max="26" width="6.5546875" style="147" customWidth="1"/>
    <col min="27" max="27" width="4.44140625" style="147" customWidth="1"/>
    <col min="28" max="29" width="5.21875" style="147" customWidth="1"/>
    <col min="30" max="30" width="4.44140625" style="147" customWidth="1"/>
    <col min="31" max="31" width="5.21875" style="147" customWidth="1"/>
    <col min="32" max="32" width="5" style="147" customWidth="1"/>
    <col min="33" max="33" width="5.44140625" style="147" customWidth="1"/>
    <col min="34" max="34" width="5.33203125" style="147" customWidth="1"/>
    <col min="35" max="35" width="6.109375" style="147" customWidth="1"/>
    <col min="36" max="36" width="5.5546875" style="147" customWidth="1"/>
    <col min="37" max="37" width="5.6640625" style="147" customWidth="1"/>
    <col min="38" max="38" width="5.33203125" style="147" customWidth="1"/>
    <col min="39" max="39" width="5.5546875" style="147" customWidth="1"/>
    <col min="40" max="40" width="6" style="147" customWidth="1"/>
    <col min="41" max="41" width="5.21875" style="147" customWidth="1"/>
    <col min="42" max="42" width="5.6640625" style="147" customWidth="1"/>
    <col min="43" max="43" width="5.33203125" style="147" customWidth="1"/>
    <col min="44" max="44" width="7.21875" style="147" customWidth="1"/>
    <col min="45" max="45" width="13.77734375" style="147" customWidth="1"/>
    <col min="46" max="46" width="5.5546875" style="147" customWidth="1"/>
    <col min="47" max="47" width="7.21875" style="147" customWidth="1"/>
    <col min="48" max="48" width="13.77734375" style="147" customWidth="1"/>
    <col min="49" max="49" width="7.21875" style="147" customWidth="1"/>
    <col min="50" max="104" width="13.77734375" style="147" customWidth="1"/>
    <col min="105" max="16384" width="11.21875" style="147"/>
  </cols>
  <sheetData>
    <row r="1" spans="1:104" ht="15.75" customHeight="1">
      <c r="A1" t="s">
        <v>10684</v>
      </c>
      <c r="B1" t="s">
        <v>11352</v>
      </c>
      <c r="C1" t="s">
        <v>11353</v>
      </c>
      <c r="D1" t="s">
        <v>11354</v>
      </c>
      <c r="E1" t="s">
        <v>11355</v>
      </c>
      <c r="F1" t="s">
        <v>11356</v>
      </c>
      <c r="G1" t="s">
        <v>11357</v>
      </c>
      <c r="H1" t="s">
        <v>11358</v>
      </c>
      <c r="I1" t="s">
        <v>11359</v>
      </c>
      <c r="J1" t="s">
        <v>11360</v>
      </c>
      <c r="K1" t="s">
        <v>11361</v>
      </c>
      <c r="L1" t="s">
        <v>11362</v>
      </c>
      <c r="M1" t="s">
        <v>11363</v>
      </c>
      <c r="N1" t="s">
        <v>11364</v>
      </c>
      <c r="O1" t="s">
        <v>11365</v>
      </c>
      <c r="P1" t="s">
        <v>11366</v>
      </c>
      <c r="Q1" t="s">
        <v>11367</v>
      </c>
      <c r="R1" t="s">
        <v>11368</v>
      </c>
      <c r="S1" t="s">
        <v>11369</v>
      </c>
      <c r="T1" t="s">
        <v>11370</v>
      </c>
      <c r="U1" t="s">
        <v>11371</v>
      </c>
      <c r="V1" t="s">
        <v>11372</v>
      </c>
      <c r="W1" t="s">
        <v>11373</v>
      </c>
      <c r="X1" t="s">
        <v>11374</v>
      </c>
      <c r="Y1" t="s">
        <v>11375</v>
      </c>
      <c r="Z1" t="s">
        <v>11376</v>
      </c>
      <c r="AA1" t="s">
        <v>11377</v>
      </c>
      <c r="AB1" t="s">
        <v>11378</v>
      </c>
      <c r="AC1" t="s">
        <v>11379</v>
      </c>
      <c r="AD1" t="s">
        <v>11380</v>
      </c>
      <c r="AE1" t="s">
        <v>11381</v>
      </c>
      <c r="AF1" t="s">
        <v>11382</v>
      </c>
      <c r="AG1" t="s">
        <v>11383</v>
      </c>
      <c r="AH1" t="s">
        <v>11384</v>
      </c>
      <c r="AI1" t="s">
        <v>11385</v>
      </c>
      <c r="AJ1" t="s">
        <v>11386</v>
      </c>
      <c r="AK1" t="s">
        <v>11387</v>
      </c>
      <c r="AL1" t="s">
        <v>11388</v>
      </c>
      <c r="AM1" t="s">
        <v>11389</v>
      </c>
      <c r="AN1" t="s">
        <v>11390</v>
      </c>
      <c r="AO1" t="s">
        <v>11391</v>
      </c>
      <c r="AP1" t="s">
        <v>11392</v>
      </c>
      <c r="AQ1" t="s">
        <v>11393</v>
      </c>
      <c r="AR1" t="s">
        <v>11394</v>
      </c>
      <c r="AS1" t="s">
        <v>11395</v>
      </c>
      <c r="AT1" t="s">
        <v>11396</v>
      </c>
      <c r="AU1" t="s">
        <v>11397</v>
      </c>
      <c r="AV1" t="s">
        <v>11398</v>
      </c>
      <c r="AW1" t="s">
        <v>11399</v>
      </c>
      <c r="AX1" t="s">
        <v>11400</v>
      </c>
      <c r="AY1" t="s">
        <v>11401</v>
      </c>
      <c r="AZ1" t="s">
        <v>11402</v>
      </c>
      <c r="BA1" t="s">
        <v>11403</v>
      </c>
      <c r="BB1" t="s">
        <v>11404</v>
      </c>
      <c r="BC1" t="s">
        <v>11405</v>
      </c>
      <c r="BD1" t="s">
        <v>11406</v>
      </c>
      <c r="BE1" t="s">
        <v>11407</v>
      </c>
      <c r="BF1" t="s">
        <v>11408</v>
      </c>
      <c r="BG1" t="s">
        <v>11409</v>
      </c>
      <c r="BH1" t="s">
        <v>11410</v>
      </c>
      <c r="BI1" t="s">
        <v>11411</v>
      </c>
      <c r="BJ1" t="s">
        <v>11412</v>
      </c>
      <c r="BK1" t="s">
        <v>11413</v>
      </c>
      <c r="BL1" t="s">
        <v>11414</v>
      </c>
      <c r="BM1" t="s">
        <v>11415</v>
      </c>
      <c r="BN1" t="s">
        <v>11416</v>
      </c>
      <c r="BO1" t="s">
        <v>11417</v>
      </c>
      <c r="BP1" t="s">
        <v>11418</v>
      </c>
      <c r="BQ1" t="s">
        <v>11419</v>
      </c>
      <c r="BR1" t="s">
        <v>11420</v>
      </c>
      <c r="BS1" t="s">
        <v>11421</v>
      </c>
      <c r="BT1" t="s">
        <v>11422</v>
      </c>
      <c r="BU1" t="s">
        <v>11423</v>
      </c>
      <c r="BV1" t="s">
        <v>11424</v>
      </c>
      <c r="BW1" t="s">
        <v>11425</v>
      </c>
      <c r="BX1" t="s">
        <v>11426</v>
      </c>
      <c r="BY1" t="s">
        <v>11427</v>
      </c>
      <c r="BZ1" t="s">
        <v>11428</v>
      </c>
      <c r="CA1" t="s">
        <v>11429</v>
      </c>
      <c r="CB1" t="s">
        <v>11430</v>
      </c>
      <c r="CC1" t="s">
        <v>11431</v>
      </c>
      <c r="CD1" t="s">
        <v>11432</v>
      </c>
      <c r="CE1" t="s">
        <v>11433</v>
      </c>
      <c r="CF1" t="s">
        <v>11434</v>
      </c>
      <c r="CG1" t="s">
        <v>11435</v>
      </c>
      <c r="CH1" t="s">
        <v>11436</v>
      </c>
      <c r="CI1" t="s">
        <v>11437</v>
      </c>
      <c r="CJ1" t="s">
        <v>11438</v>
      </c>
      <c r="CK1" t="s">
        <v>11439</v>
      </c>
      <c r="CL1" t="s">
        <v>11440</v>
      </c>
      <c r="CM1" t="s">
        <v>11441</v>
      </c>
      <c r="CN1" t="s">
        <v>11442</v>
      </c>
      <c r="CO1" t="s">
        <v>11443</v>
      </c>
      <c r="CP1" t="s">
        <v>11444</v>
      </c>
      <c r="CQ1" t="s">
        <v>11445</v>
      </c>
      <c r="CR1" t="s">
        <v>11446</v>
      </c>
      <c r="CS1" t="s">
        <v>11447</v>
      </c>
      <c r="CT1" t="s">
        <v>11448</v>
      </c>
      <c r="CU1" t="s">
        <v>11449</v>
      </c>
      <c r="CV1" t="s">
        <v>11450</v>
      </c>
      <c r="CW1" t="s">
        <v>11451</v>
      </c>
      <c r="CX1" t="s">
        <v>11452</v>
      </c>
      <c r="CY1" t="s">
        <v>11453</v>
      </c>
      <c r="CZ1" t="s">
        <v>11454</v>
      </c>
    </row>
    <row r="2" spans="1:104" ht="15.75" customHeight="1">
      <c r="A2" t="s">
        <v>2462</v>
      </c>
      <c r="B2" t="s">
        <v>5798</v>
      </c>
      <c r="C2" t="s">
        <v>5797</v>
      </c>
      <c r="D2" t="s">
        <v>5825</v>
      </c>
      <c r="E2"/>
      <c r="F2"/>
      <c r="G2"/>
      <c r="H2"/>
      <c r="I2"/>
      <c r="J2" t="s">
        <v>5824</v>
      </c>
      <c r="K2"/>
      <c r="L2"/>
      <c r="M2"/>
      <c r="N2" t="s">
        <v>5823</v>
      </c>
      <c r="O2"/>
      <c r="P2"/>
      <c r="Q2"/>
      <c r="R2" t="s">
        <v>5822</v>
      </c>
      <c r="S2"/>
      <c r="T2"/>
      <c r="U2"/>
      <c r="V2" t="s">
        <v>1969</v>
      </c>
      <c r="W2"/>
      <c r="X2"/>
      <c r="Y2"/>
      <c r="Z2"/>
      <c r="AA2" t="s">
        <v>5821</v>
      </c>
      <c r="AB2"/>
      <c r="AC2"/>
      <c r="AD2"/>
      <c r="AE2"/>
      <c r="AF2"/>
      <c r="AG2" t="s">
        <v>5820</v>
      </c>
      <c r="AH2"/>
      <c r="AI2"/>
      <c r="AJ2"/>
      <c r="AK2"/>
      <c r="AL2"/>
      <c r="AM2"/>
      <c r="AN2" t="s">
        <v>5819</v>
      </c>
      <c r="AO2"/>
      <c r="AP2"/>
      <c r="AQ2"/>
      <c r="AR2"/>
      <c r="AS2"/>
      <c r="AT2"/>
      <c r="AU2"/>
      <c r="AV2"/>
      <c r="AW2"/>
      <c r="AX2"/>
      <c r="AY2" t="s">
        <v>5818</v>
      </c>
      <c r="AZ2"/>
      <c r="BA2"/>
      <c r="BB2" t="s">
        <v>5817</v>
      </c>
      <c r="BC2"/>
      <c r="BD2"/>
      <c r="BE2" t="s">
        <v>5816</v>
      </c>
      <c r="BF2"/>
      <c r="BG2"/>
      <c r="BH2" t="s">
        <v>5815</v>
      </c>
      <c r="BI2"/>
      <c r="BJ2" t="s">
        <v>5814</v>
      </c>
      <c r="BK2"/>
      <c r="BL2" t="s">
        <v>5813</v>
      </c>
      <c r="BM2"/>
      <c r="BN2" t="s">
        <v>5812</v>
      </c>
      <c r="BO2"/>
      <c r="BP2" t="s">
        <v>5811</v>
      </c>
      <c r="BQ2"/>
      <c r="BR2"/>
      <c r="BS2" t="s">
        <v>5810</v>
      </c>
      <c r="BT2"/>
      <c r="BU2"/>
      <c r="BV2" t="s">
        <v>5809</v>
      </c>
      <c r="BW2"/>
      <c r="BX2"/>
      <c r="BY2" t="s">
        <v>5808</v>
      </c>
      <c r="BZ2"/>
      <c r="CA2"/>
      <c r="CB2" t="s">
        <v>5807</v>
      </c>
      <c r="CC2"/>
      <c r="CD2"/>
      <c r="CE2" t="s">
        <v>5806</v>
      </c>
      <c r="CF2"/>
      <c r="CG2"/>
      <c r="CH2" t="s">
        <v>5805</v>
      </c>
      <c r="CI2"/>
      <c r="CJ2"/>
      <c r="CK2" t="s">
        <v>5804</v>
      </c>
      <c r="CL2"/>
      <c r="CM2" t="s">
        <v>5803</v>
      </c>
      <c r="CN2"/>
      <c r="CO2" t="s">
        <v>5802</v>
      </c>
      <c r="CP2"/>
      <c r="CQ2" t="s">
        <v>5801</v>
      </c>
      <c r="CR2"/>
      <c r="CS2"/>
      <c r="CT2" t="s">
        <v>5800</v>
      </c>
      <c r="CU2"/>
      <c r="CV2" t="s">
        <v>5799</v>
      </c>
      <c r="CW2"/>
      <c r="CX2" t="s">
        <v>5755</v>
      </c>
      <c r="CY2"/>
      <c r="CZ2"/>
    </row>
    <row r="3" spans="1:104" ht="15.75" customHeight="1">
      <c r="A3" t="s">
        <v>2680</v>
      </c>
      <c r="B3" t="s">
        <v>5798</v>
      </c>
      <c r="C3" t="s">
        <v>5797</v>
      </c>
      <c r="D3" t="s">
        <v>5796</v>
      </c>
      <c r="E3" t="s">
        <v>596</v>
      </c>
      <c r="F3" t="s">
        <v>5795</v>
      </c>
      <c r="G3" t="s">
        <v>1875</v>
      </c>
      <c r="H3" t="s">
        <v>5794</v>
      </c>
      <c r="I3" t="s">
        <v>5793</v>
      </c>
      <c r="J3" t="s">
        <v>5792</v>
      </c>
      <c r="K3" t="s">
        <v>5791</v>
      </c>
      <c r="L3" t="s">
        <v>5790</v>
      </c>
      <c r="M3" t="s">
        <v>5789</v>
      </c>
      <c r="N3" t="s">
        <v>5788</v>
      </c>
      <c r="O3" t="s">
        <v>1725</v>
      </c>
      <c r="P3" t="s">
        <v>1567</v>
      </c>
      <c r="Q3" t="s">
        <v>5787</v>
      </c>
      <c r="R3" t="s">
        <v>5786</v>
      </c>
      <c r="S3" t="s">
        <v>5785</v>
      </c>
      <c r="T3" t="s">
        <v>5784</v>
      </c>
      <c r="U3" t="s">
        <v>5783</v>
      </c>
      <c r="V3" t="s">
        <v>5782</v>
      </c>
      <c r="W3" t="s">
        <v>5781</v>
      </c>
      <c r="X3" t="s">
        <v>5780</v>
      </c>
      <c r="Y3" t="s">
        <v>5779</v>
      </c>
      <c r="Z3" t="s">
        <v>5778</v>
      </c>
      <c r="AA3" t="s">
        <v>5777</v>
      </c>
      <c r="AB3" t="s">
        <v>5776</v>
      </c>
      <c r="AC3" t="s">
        <v>5775</v>
      </c>
      <c r="AD3" t="s">
        <v>5774</v>
      </c>
      <c r="AE3" t="s">
        <v>5773</v>
      </c>
      <c r="AF3" t="s">
        <v>5772</v>
      </c>
      <c r="AG3" t="s">
        <v>5771</v>
      </c>
      <c r="AH3" t="s">
        <v>5770</v>
      </c>
      <c r="AI3" t="s">
        <v>5769</v>
      </c>
      <c r="AJ3" t="s">
        <v>5768</v>
      </c>
      <c r="AK3" t="s">
        <v>5765</v>
      </c>
      <c r="AL3" t="s">
        <v>5764</v>
      </c>
      <c r="AM3" t="s">
        <v>5761</v>
      </c>
      <c r="AN3" t="s">
        <v>5767</v>
      </c>
      <c r="AO3" t="s">
        <v>5766</v>
      </c>
      <c r="AP3" t="s">
        <v>5765</v>
      </c>
      <c r="AQ3" t="s">
        <v>5764</v>
      </c>
      <c r="AR3" t="s">
        <v>5763</v>
      </c>
      <c r="AS3" t="s">
        <v>5762</v>
      </c>
      <c r="AT3" t="s">
        <v>5761</v>
      </c>
      <c r="AU3" t="s">
        <v>5760</v>
      </c>
      <c r="AV3" t="s">
        <v>5759</v>
      </c>
      <c r="AW3" t="s">
        <v>5758</v>
      </c>
      <c r="AX3" t="s">
        <v>5757</v>
      </c>
      <c r="AY3" t="s">
        <v>772</v>
      </c>
      <c r="AZ3" t="s">
        <v>5756</v>
      </c>
      <c r="BA3" t="s">
        <v>3054</v>
      </c>
      <c r="BB3" t="s">
        <v>772</v>
      </c>
      <c r="BC3" t="s">
        <v>5756</v>
      </c>
      <c r="BD3" t="s">
        <v>3054</v>
      </c>
      <c r="BE3" t="s">
        <v>772</v>
      </c>
      <c r="BF3" t="s">
        <v>5756</v>
      </c>
      <c r="BG3" t="s">
        <v>3054</v>
      </c>
      <c r="BH3" t="s">
        <v>772</v>
      </c>
      <c r="BI3" t="s">
        <v>5756</v>
      </c>
      <c r="BJ3" t="s">
        <v>772</v>
      </c>
      <c r="BK3" t="s">
        <v>5756</v>
      </c>
      <c r="BL3" t="s">
        <v>772</v>
      </c>
      <c r="BM3" t="s">
        <v>5756</v>
      </c>
      <c r="BN3" t="s">
        <v>772</v>
      </c>
      <c r="BO3" t="s">
        <v>5756</v>
      </c>
      <c r="BP3" t="s">
        <v>772</v>
      </c>
      <c r="BQ3" t="s">
        <v>5756</v>
      </c>
      <c r="BR3" t="s">
        <v>3054</v>
      </c>
      <c r="BS3" t="s">
        <v>772</v>
      </c>
      <c r="BT3" t="s">
        <v>5756</v>
      </c>
      <c r="BU3" t="s">
        <v>3054</v>
      </c>
      <c r="BV3" t="s">
        <v>772</v>
      </c>
      <c r="BW3" t="s">
        <v>5756</v>
      </c>
      <c r="BX3" t="s">
        <v>3054</v>
      </c>
      <c r="BY3" t="s">
        <v>772</v>
      </c>
      <c r="BZ3" t="s">
        <v>5756</v>
      </c>
      <c r="CA3" t="s">
        <v>3054</v>
      </c>
      <c r="CB3" t="s">
        <v>772</v>
      </c>
      <c r="CC3" t="s">
        <v>5756</v>
      </c>
      <c r="CD3" t="s">
        <v>3054</v>
      </c>
      <c r="CE3" t="s">
        <v>772</v>
      </c>
      <c r="CF3" t="s">
        <v>5756</v>
      </c>
      <c r="CG3" t="s">
        <v>3054</v>
      </c>
      <c r="CH3" t="s">
        <v>772</v>
      </c>
      <c r="CI3" t="s">
        <v>5756</v>
      </c>
      <c r="CJ3" t="s">
        <v>3054</v>
      </c>
      <c r="CK3" t="s">
        <v>772</v>
      </c>
      <c r="CL3" t="s">
        <v>5756</v>
      </c>
      <c r="CM3" t="s">
        <v>772</v>
      </c>
      <c r="CN3" t="s">
        <v>5756</v>
      </c>
      <c r="CO3" t="s">
        <v>772</v>
      </c>
      <c r="CP3" t="s">
        <v>5756</v>
      </c>
      <c r="CQ3" t="s">
        <v>772</v>
      </c>
      <c r="CR3" t="s">
        <v>5756</v>
      </c>
      <c r="CS3" t="s">
        <v>3054</v>
      </c>
      <c r="CT3" t="s">
        <v>772</v>
      </c>
      <c r="CU3" t="s">
        <v>5756</v>
      </c>
      <c r="CV3" t="s">
        <v>772</v>
      </c>
      <c r="CW3" t="s">
        <v>5756</v>
      </c>
      <c r="CX3" t="s">
        <v>5755</v>
      </c>
      <c r="CY3" t="s">
        <v>5754</v>
      </c>
      <c r="CZ3" t="s">
        <v>5753</v>
      </c>
    </row>
    <row r="4" spans="1:104" ht="15.75" customHeight="1">
      <c r="A4" t="s">
        <v>5752</v>
      </c>
      <c r="B4" t="s">
        <v>5752</v>
      </c>
      <c r="C4" t="s">
        <v>5751</v>
      </c>
      <c r="D4">
        <v>10</v>
      </c>
      <c r="E4" t="s">
        <v>2468</v>
      </c>
      <c r="F4" t="s">
        <v>2489</v>
      </c>
      <c r="G4" t="s">
        <v>3714</v>
      </c>
      <c r="H4"/>
      <c r="I4"/>
      <c r="J4" t="s">
        <v>2522</v>
      </c>
      <c r="K4"/>
      <c r="L4"/>
      <c r="M4">
        <v>17</v>
      </c>
      <c r="N4">
        <v>135</v>
      </c>
      <c r="O4">
        <v>18</v>
      </c>
      <c r="P4">
        <v>10</v>
      </c>
      <c r="Q4">
        <v>36</v>
      </c>
      <c r="R4" t="s">
        <v>2464</v>
      </c>
      <c r="S4" t="s">
        <v>2561</v>
      </c>
      <c r="T4" t="s">
        <v>5750</v>
      </c>
      <c r="U4" t="s">
        <v>2462</v>
      </c>
      <c r="V4">
        <v>10</v>
      </c>
      <c r="W4"/>
      <c r="X4"/>
      <c r="Y4"/>
      <c r="Z4">
        <v>40</v>
      </c>
      <c r="AA4">
        <v>21</v>
      </c>
      <c r="AB4">
        <v>9</v>
      </c>
      <c r="AC4">
        <v>15</v>
      </c>
      <c r="AD4">
        <v>18</v>
      </c>
      <c r="AE4">
        <v>15</v>
      </c>
      <c r="AF4">
        <v>18</v>
      </c>
      <c r="AG4">
        <v>13</v>
      </c>
      <c r="AH4"/>
      <c r="AI4"/>
      <c r="AJ4"/>
      <c r="AK4"/>
      <c r="AL4"/>
      <c r="AM4"/>
      <c r="AN4"/>
      <c r="AO4">
        <v>264</v>
      </c>
      <c r="AP4"/>
      <c r="AQ4"/>
      <c r="AR4"/>
      <c r="AS4"/>
      <c r="AT4">
        <v>6</v>
      </c>
      <c r="AU4"/>
      <c r="AV4"/>
      <c r="AW4"/>
      <c r="AX4"/>
      <c r="AY4" t="s">
        <v>2520</v>
      </c>
      <c r="AZ4" t="s">
        <v>5749</v>
      </c>
      <c r="BA4" t="s">
        <v>2520</v>
      </c>
      <c r="BB4" t="s">
        <v>5747</v>
      </c>
      <c r="BC4" t="s">
        <v>5748</v>
      </c>
      <c r="BD4" t="s">
        <v>5747</v>
      </c>
      <c r="BE4" t="s">
        <v>5745</v>
      </c>
      <c r="BF4" t="s">
        <v>5746</v>
      </c>
      <c r="BG4" t="s">
        <v>5745</v>
      </c>
      <c r="BH4"/>
      <c r="BI4"/>
      <c r="BJ4"/>
      <c r="BK4"/>
      <c r="BL4"/>
      <c r="BM4"/>
      <c r="BN4"/>
      <c r="BO4"/>
      <c r="BP4" t="s">
        <v>2480</v>
      </c>
      <c r="BQ4" t="s">
        <v>5744</v>
      </c>
      <c r="BR4" t="s">
        <v>2480</v>
      </c>
      <c r="BS4" t="s">
        <v>3707</v>
      </c>
      <c r="BT4" t="s">
        <v>5743</v>
      </c>
      <c r="BU4" t="s">
        <v>5742</v>
      </c>
      <c r="BV4" t="s">
        <v>2978</v>
      </c>
      <c r="BW4" t="s">
        <v>5741</v>
      </c>
      <c r="BX4" t="s">
        <v>5740</v>
      </c>
      <c r="BY4" t="s">
        <v>5738</v>
      </c>
      <c r="BZ4" t="s">
        <v>5739</v>
      </c>
      <c r="CA4" t="s">
        <v>5738</v>
      </c>
      <c r="CB4"/>
      <c r="CC4"/>
      <c r="CD4"/>
      <c r="CE4"/>
      <c r="CF4"/>
      <c r="CG4"/>
      <c r="CH4"/>
      <c r="CI4"/>
      <c r="CJ4"/>
      <c r="CK4" t="s">
        <v>5524</v>
      </c>
      <c r="CL4" t="s">
        <v>5737</v>
      </c>
      <c r="CM4" t="s">
        <v>5736</v>
      </c>
      <c r="CN4" t="s">
        <v>5735</v>
      </c>
      <c r="CO4" t="s">
        <v>5734</v>
      </c>
      <c r="CP4" t="s">
        <v>5733</v>
      </c>
      <c r="CQ4"/>
      <c r="CR4"/>
      <c r="CS4"/>
      <c r="CT4"/>
      <c r="CU4"/>
      <c r="CV4"/>
      <c r="CW4"/>
      <c r="CX4" t="s">
        <v>2454</v>
      </c>
      <c r="CY4">
        <v>13</v>
      </c>
      <c r="CZ4" t="s">
        <v>2453</v>
      </c>
    </row>
    <row r="5" spans="1:104" ht="15.75" customHeight="1">
      <c r="A5" t="s">
        <v>5732</v>
      </c>
      <c r="B5" t="s">
        <v>5732</v>
      </c>
      <c r="C5" t="s">
        <v>5731</v>
      </c>
      <c r="D5">
        <v>0.25</v>
      </c>
      <c r="E5" t="s">
        <v>2609</v>
      </c>
      <c r="F5" t="s">
        <v>2467</v>
      </c>
      <c r="G5" t="s">
        <v>2608</v>
      </c>
      <c r="H5" t="s">
        <v>2607</v>
      </c>
      <c r="I5"/>
      <c r="J5" t="s">
        <v>2607</v>
      </c>
      <c r="K5">
        <v>1</v>
      </c>
      <c r="L5" t="s">
        <v>2005</v>
      </c>
      <c r="M5">
        <v>10</v>
      </c>
      <c r="N5">
        <v>9</v>
      </c>
      <c r="O5">
        <v>2</v>
      </c>
      <c r="P5">
        <v>8</v>
      </c>
      <c r="Q5"/>
      <c r="R5" t="s">
        <v>2972</v>
      </c>
      <c r="S5" t="s">
        <v>2858</v>
      </c>
      <c r="T5" t="s">
        <v>2462</v>
      </c>
      <c r="U5" t="s">
        <v>2462</v>
      </c>
      <c r="V5">
        <v>30</v>
      </c>
      <c r="W5"/>
      <c r="X5"/>
      <c r="Y5"/>
      <c r="Z5"/>
      <c r="AA5">
        <v>10</v>
      </c>
      <c r="AB5">
        <v>10</v>
      </c>
      <c r="AC5">
        <v>10</v>
      </c>
      <c r="AD5">
        <v>10</v>
      </c>
      <c r="AE5">
        <v>14</v>
      </c>
      <c r="AF5">
        <v>11</v>
      </c>
      <c r="AG5">
        <v>342</v>
      </c>
      <c r="AH5"/>
      <c r="AI5"/>
      <c r="AJ5"/>
      <c r="AK5"/>
      <c r="AL5"/>
      <c r="AM5"/>
      <c r="AN5">
        <v>53</v>
      </c>
      <c r="AO5">
        <v>390</v>
      </c>
      <c r="AP5">
        <v>4</v>
      </c>
      <c r="AQ5"/>
      <c r="AR5"/>
      <c r="AS5" t="s">
        <v>5061</v>
      </c>
      <c r="AT5"/>
      <c r="AU5"/>
      <c r="AV5" t="s">
        <v>2640</v>
      </c>
      <c r="AW5"/>
      <c r="AX5"/>
      <c r="AY5" t="s">
        <v>3235</v>
      </c>
      <c r="AZ5" t="s">
        <v>5730</v>
      </c>
      <c r="BA5" t="s">
        <v>3235</v>
      </c>
      <c r="BB5"/>
      <c r="BC5"/>
      <c r="BD5"/>
      <c r="BE5"/>
      <c r="BF5"/>
      <c r="BG5"/>
      <c r="BH5"/>
      <c r="BI5"/>
      <c r="BJ5"/>
      <c r="BK5"/>
      <c r="BL5"/>
      <c r="BM5"/>
      <c r="BN5"/>
      <c r="BO5"/>
      <c r="BP5" t="s">
        <v>4301</v>
      </c>
      <c r="BQ5" t="s">
        <v>5107</v>
      </c>
      <c r="BR5" t="s">
        <v>5106</v>
      </c>
      <c r="BS5"/>
      <c r="BT5"/>
      <c r="BU5"/>
      <c r="BV5"/>
      <c r="BW5"/>
      <c r="BX5"/>
      <c r="BY5"/>
      <c r="BZ5"/>
      <c r="CA5"/>
      <c r="CB5"/>
      <c r="CC5"/>
      <c r="CD5"/>
      <c r="CE5"/>
      <c r="CF5"/>
      <c r="CG5"/>
      <c r="CH5"/>
      <c r="CI5"/>
      <c r="CJ5"/>
      <c r="CK5"/>
      <c r="CL5"/>
      <c r="CM5"/>
      <c r="CN5"/>
      <c r="CO5"/>
      <c r="CP5"/>
      <c r="CQ5"/>
      <c r="CR5"/>
      <c r="CS5"/>
      <c r="CT5"/>
      <c r="CU5"/>
      <c r="CV5"/>
      <c r="CW5"/>
      <c r="CX5" t="s">
        <v>2454</v>
      </c>
      <c r="CY5">
        <v>342</v>
      </c>
      <c r="CZ5" t="s">
        <v>2453</v>
      </c>
    </row>
    <row r="6" spans="1:104" ht="15.75" customHeight="1">
      <c r="A6" t="s">
        <v>5729</v>
      </c>
      <c r="B6" t="s">
        <v>5728</v>
      </c>
      <c r="C6" t="s">
        <v>5727</v>
      </c>
      <c r="D6">
        <v>14</v>
      </c>
      <c r="E6" t="s">
        <v>2468</v>
      </c>
      <c r="F6" t="s">
        <v>2985</v>
      </c>
      <c r="G6" t="s">
        <v>2488</v>
      </c>
      <c r="H6"/>
      <c r="I6"/>
      <c r="J6" t="s">
        <v>2487</v>
      </c>
      <c r="K6"/>
      <c r="L6"/>
      <c r="M6">
        <v>19</v>
      </c>
      <c r="N6">
        <v>195</v>
      </c>
      <c r="O6">
        <v>17</v>
      </c>
      <c r="P6">
        <v>12</v>
      </c>
      <c r="Q6">
        <v>85</v>
      </c>
      <c r="R6" t="s">
        <v>2464</v>
      </c>
      <c r="S6" t="s">
        <v>5645</v>
      </c>
      <c r="T6" t="s">
        <v>5644</v>
      </c>
      <c r="U6" t="s">
        <v>5643</v>
      </c>
      <c r="V6">
        <v>40</v>
      </c>
      <c r="W6"/>
      <c r="X6"/>
      <c r="Y6">
        <v>80</v>
      </c>
      <c r="Z6">
        <v>40</v>
      </c>
      <c r="AA6">
        <v>23</v>
      </c>
      <c r="AB6">
        <v>14</v>
      </c>
      <c r="AC6">
        <v>21</v>
      </c>
      <c r="AD6">
        <v>14</v>
      </c>
      <c r="AE6">
        <v>13</v>
      </c>
      <c r="AF6">
        <v>17</v>
      </c>
      <c r="AG6">
        <v>88</v>
      </c>
      <c r="AH6"/>
      <c r="AI6"/>
      <c r="AJ6"/>
      <c r="AK6"/>
      <c r="AL6"/>
      <c r="AM6"/>
      <c r="AN6"/>
      <c r="AO6">
        <v>284</v>
      </c>
      <c r="AP6"/>
      <c r="AQ6"/>
      <c r="AR6"/>
      <c r="AS6"/>
      <c r="AT6">
        <v>7</v>
      </c>
      <c r="AU6"/>
      <c r="AV6"/>
      <c r="AW6"/>
      <c r="AX6"/>
      <c r="AY6" t="s">
        <v>2520</v>
      </c>
      <c r="AZ6" t="s">
        <v>2521</v>
      </c>
      <c r="BA6" t="s">
        <v>2520</v>
      </c>
      <c r="BB6" t="s">
        <v>2945</v>
      </c>
      <c r="BC6" t="s">
        <v>5514</v>
      </c>
      <c r="BD6" t="s">
        <v>2945</v>
      </c>
      <c r="BE6"/>
      <c r="BF6"/>
      <c r="BG6"/>
      <c r="BH6"/>
      <c r="BI6"/>
      <c r="BJ6"/>
      <c r="BK6"/>
      <c r="BL6"/>
      <c r="BM6"/>
      <c r="BN6"/>
      <c r="BO6"/>
      <c r="BP6" t="s">
        <v>2480</v>
      </c>
      <c r="BQ6" t="s">
        <v>5513</v>
      </c>
      <c r="BR6" t="s">
        <v>2480</v>
      </c>
      <c r="BS6" t="s">
        <v>2479</v>
      </c>
      <c r="BT6" t="s">
        <v>5726</v>
      </c>
      <c r="BU6" t="s">
        <v>5641</v>
      </c>
      <c r="BV6" t="s">
        <v>2476</v>
      </c>
      <c r="BW6" t="s">
        <v>5640</v>
      </c>
      <c r="BX6" t="s">
        <v>5639</v>
      </c>
      <c r="BY6" t="s">
        <v>2978</v>
      </c>
      <c r="BZ6" t="s">
        <v>5638</v>
      </c>
      <c r="CA6" t="s">
        <v>5637</v>
      </c>
      <c r="CB6" t="s">
        <v>3057</v>
      </c>
      <c r="CC6" t="s">
        <v>5692</v>
      </c>
      <c r="CD6" t="s">
        <v>3057</v>
      </c>
      <c r="CE6" t="s">
        <v>2568</v>
      </c>
      <c r="CF6" t="s">
        <v>5725</v>
      </c>
      <c r="CG6" t="s">
        <v>5690</v>
      </c>
      <c r="CH6"/>
      <c r="CI6"/>
      <c r="CJ6"/>
      <c r="CK6" t="s">
        <v>5524</v>
      </c>
      <c r="CL6" t="s">
        <v>5523</v>
      </c>
      <c r="CM6" t="s">
        <v>5522</v>
      </c>
      <c r="CN6" t="s">
        <v>5521</v>
      </c>
      <c r="CO6" t="s">
        <v>5520</v>
      </c>
      <c r="CP6" t="s">
        <v>5634</v>
      </c>
      <c r="CQ6"/>
      <c r="CR6"/>
      <c r="CS6"/>
      <c r="CT6"/>
      <c r="CU6"/>
      <c r="CV6"/>
      <c r="CW6"/>
      <c r="CX6" t="s">
        <v>2454</v>
      </c>
      <c r="CY6">
        <v>88</v>
      </c>
      <c r="CZ6" t="s">
        <v>2453</v>
      </c>
    </row>
    <row r="7" spans="1:104" ht="15.75" customHeight="1">
      <c r="A7" t="s">
        <v>5724</v>
      </c>
      <c r="B7" t="s">
        <v>5723</v>
      </c>
      <c r="C7" t="s">
        <v>5722</v>
      </c>
      <c r="D7">
        <v>16</v>
      </c>
      <c r="E7" t="s">
        <v>2468</v>
      </c>
      <c r="F7" t="s">
        <v>2985</v>
      </c>
      <c r="G7" t="s">
        <v>2488</v>
      </c>
      <c r="H7"/>
      <c r="I7"/>
      <c r="J7" t="s">
        <v>2522</v>
      </c>
      <c r="K7"/>
      <c r="L7"/>
      <c r="M7">
        <v>19</v>
      </c>
      <c r="N7">
        <v>225</v>
      </c>
      <c r="O7">
        <v>18</v>
      </c>
      <c r="P7">
        <v>12</v>
      </c>
      <c r="Q7">
        <v>108</v>
      </c>
      <c r="R7" t="s">
        <v>2464</v>
      </c>
      <c r="S7" t="s">
        <v>4146</v>
      </c>
      <c r="T7" t="s">
        <v>5707</v>
      </c>
      <c r="U7" t="s">
        <v>2462</v>
      </c>
      <c r="V7">
        <v>40</v>
      </c>
      <c r="W7">
        <v>30</v>
      </c>
      <c r="X7"/>
      <c r="Y7">
        <v>80</v>
      </c>
      <c r="Z7"/>
      <c r="AA7">
        <v>25</v>
      </c>
      <c r="AB7">
        <v>10</v>
      </c>
      <c r="AC7">
        <v>23</v>
      </c>
      <c r="AD7">
        <v>16</v>
      </c>
      <c r="AE7">
        <v>15</v>
      </c>
      <c r="AF7">
        <v>19</v>
      </c>
      <c r="AG7">
        <v>91</v>
      </c>
      <c r="AH7"/>
      <c r="AI7"/>
      <c r="AJ7"/>
      <c r="AK7"/>
      <c r="AL7"/>
      <c r="AM7"/>
      <c r="AN7"/>
      <c r="AO7">
        <v>286</v>
      </c>
      <c r="AP7">
        <v>4</v>
      </c>
      <c r="AQ7">
        <v>4</v>
      </c>
      <c r="AR7"/>
      <c r="AS7"/>
      <c r="AT7"/>
      <c r="AU7"/>
      <c r="AV7"/>
      <c r="AW7"/>
      <c r="AX7"/>
      <c r="AY7" t="s">
        <v>2945</v>
      </c>
      <c r="AZ7" t="s">
        <v>5514</v>
      </c>
      <c r="BA7" t="s">
        <v>2945</v>
      </c>
      <c r="BB7"/>
      <c r="BC7"/>
      <c r="BD7"/>
      <c r="BE7"/>
      <c r="BF7"/>
      <c r="BG7"/>
      <c r="BH7"/>
      <c r="BI7"/>
      <c r="BJ7"/>
      <c r="BK7"/>
      <c r="BL7"/>
      <c r="BM7"/>
      <c r="BN7"/>
      <c r="BO7"/>
      <c r="BP7" t="s">
        <v>2480</v>
      </c>
      <c r="BQ7" t="s">
        <v>5513</v>
      </c>
      <c r="BR7" t="s">
        <v>2480</v>
      </c>
      <c r="BS7" t="s">
        <v>2479</v>
      </c>
      <c r="BT7" t="s">
        <v>5721</v>
      </c>
      <c r="BU7" t="s">
        <v>5720</v>
      </c>
      <c r="BV7" t="s">
        <v>2476</v>
      </c>
      <c r="BW7" t="s">
        <v>5704</v>
      </c>
      <c r="BX7" t="s">
        <v>5703</v>
      </c>
      <c r="BY7" t="s">
        <v>2978</v>
      </c>
      <c r="BZ7" t="s">
        <v>5702</v>
      </c>
      <c r="CA7" t="s">
        <v>5701</v>
      </c>
      <c r="CB7" t="s">
        <v>3057</v>
      </c>
      <c r="CC7" t="s">
        <v>5719</v>
      </c>
      <c r="CD7" t="s">
        <v>3057</v>
      </c>
      <c r="CE7" t="s">
        <v>2556</v>
      </c>
      <c r="CF7" t="s">
        <v>5718</v>
      </c>
      <c r="CG7" t="s">
        <v>5317</v>
      </c>
      <c r="CH7"/>
      <c r="CI7"/>
      <c r="CJ7"/>
      <c r="CK7" t="s">
        <v>5524</v>
      </c>
      <c r="CL7" t="s">
        <v>5523</v>
      </c>
      <c r="CM7" t="s">
        <v>5522</v>
      </c>
      <c r="CN7" t="s">
        <v>5521</v>
      </c>
      <c r="CO7" t="s">
        <v>5520</v>
      </c>
      <c r="CP7" t="s">
        <v>5698</v>
      </c>
      <c r="CQ7"/>
      <c r="CR7"/>
      <c r="CS7"/>
      <c r="CT7"/>
      <c r="CU7"/>
      <c r="CV7"/>
      <c r="CW7"/>
      <c r="CX7" t="s">
        <v>2454</v>
      </c>
      <c r="CY7">
        <v>91</v>
      </c>
      <c r="CZ7" t="s">
        <v>2453</v>
      </c>
    </row>
    <row r="8" spans="1:104" ht="15.75" customHeight="1">
      <c r="A8" t="s">
        <v>5717</v>
      </c>
      <c r="B8" t="s">
        <v>5716</v>
      </c>
      <c r="C8" t="s">
        <v>5715</v>
      </c>
      <c r="D8">
        <v>13</v>
      </c>
      <c r="E8" t="s">
        <v>2468</v>
      </c>
      <c r="F8" t="s">
        <v>2985</v>
      </c>
      <c r="G8" t="s">
        <v>2488</v>
      </c>
      <c r="H8"/>
      <c r="I8"/>
      <c r="J8" t="s">
        <v>2535</v>
      </c>
      <c r="K8"/>
      <c r="L8"/>
      <c r="M8">
        <v>18</v>
      </c>
      <c r="N8">
        <v>172</v>
      </c>
      <c r="O8">
        <v>15</v>
      </c>
      <c r="P8">
        <v>12</v>
      </c>
      <c r="Q8">
        <v>75</v>
      </c>
      <c r="R8" t="s">
        <v>2464</v>
      </c>
      <c r="S8" t="s">
        <v>5645</v>
      </c>
      <c r="T8" t="s">
        <v>5644</v>
      </c>
      <c r="U8" t="s">
        <v>2462</v>
      </c>
      <c r="V8">
        <v>40</v>
      </c>
      <c r="W8">
        <v>30</v>
      </c>
      <c r="X8"/>
      <c r="Y8">
        <v>80</v>
      </c>
      <c r="Z8"/>
      <c r="AA8">
        <v>23</v>
      </c>
      <c r="AB8">
        <v>10</v>
      </c>
      <c r="AC8">
        <v>21</v>
      </c>
      <c r="AD8">
        <v>14</v>
      </c>
      <c r="AE8">
        <v>13</v>
      </c>
      <c r="AF8">
        <v>17</v>
      </c>
      <c r="AG8">
        <v>105</v>
      </c>
      <c r="AH8"/>
      <c r="AI8"/>
      <c r="AJ8"/>
      <c r="AK8"/>
      <c r="AL8"/>
      <c r="AM8"/>
      <c r="AN8"/>
      <c r="AO8">
        <v>294</v>
      </c>
      <c r="AP8"/>
      <c r="AQ8"/>
      <c r="AR8"/>
      <c r="AS8"/>
      <c r="AT8"/>
      <c r="AU8"/>
      <c r="AV8"/>
      <c r="AW8"/>
      <c r="AX8"/>
      <c r="AY8" t="s">
        <v>2945</v>
      </c>
      <c r="AZ8" t="s">
        <v>5514</v>
      </c>
      <c r="BA8" t="s">
        <v>2945</v>
      </c>
      <c r="BB8"/>
      <c r="BC8"/>
      <c r="BD8"/>
      <c r="BE8"/>
      <c r="BF8"/>
      <c r="BG8"/>
      <c r="BH8"/>
      <c r="BI8"/>
      <c r="BJ8"/>
      <c r="BK8"/>
      <c r="BL8"/>
      <c r="BM8"/>
      <c r="BN8"/>
      <c r="BO8"/>
      <c r="BP8" t="s">
        <v>2480</v>
      </c>
      <c r="BQ8" t="s">
        <v>5513</v>
      </c>
      <c r="BR8" t="s">
        <v>2480</v>
      </c>
      <c r="BS8" t="s">
        <v>2479</v>
      </c>
      <c r="BT8" t="s">
        <v>5714</v>
      </c>
      <c r="BU8" t="s">
        <v>5693</v>
      </c>
      <c r="BV8" t="s">
        <v>2476</v>
      </c>
      <c r="BW8" t="s">
        <v>5640</v>
      </c>
      <c r="BX8" t="s">
        <v>5639</v>
      </c>
      <c r="BY8" t="s">
        <v>2978</v>
      </c>
      <c r="BZ8" t="s">
        <v>5638</v>
      </c>
      <c r="CA8" t="s">
        <v>5637</v>
      </c>
      <c r="CB8" t="s">
        <v>3057</v>
      </c>
      <c r="CC8" t="s">
        <v>5692</v>
      </c>
      <c r="CD8" t="s">
        <v>3057</v>
      </c>
      <c r="CE8" t="s">
        <v>2495</v>
      </c>
      <c r="CF8" t="s">
        <v>5713</v>
      </c>
      <c r="CG8" t="s">
        <v>5712</v>
      </c>
      <c r="CH8"/>
      <c r="CI8"/>
      <c r="CJ8"/>
      <c r="CK8"/>
      <c r="CL8"/>
      <c r="CM8"/>
      <c r="CN8"/>
      <c r="CO8"/>
      <c r="CP8"/>
      <c r="CQ8"/>
      <c r="CR8"/>
      <c r="CS8"/>
      <c r="CT8"/>
      <c r="CU8"/>
      <c r="CV8"/>
      <c r="CW8"/>
      <c r="CX8" t="s">
        <v>2454</v>
      </c>
      <c r="CY8">
        <v>105</v>
      </c>
      <c r="CZ8" t="s">
        <v>2453</v>
      </c>
    </row>
    <row r="9" spans="1:104" ht="15.75" customHeight="1">
      <c r="A9" t="s">
        <v>5711</v>
      </c>
      <c r="B9" t="s">
        <v>5710</v>
      </c>
      <c r="C9" t="s">
        <v>5709</v>
      </c>
      <c r="D9">
        <v>15</v>
      </c>
      <c r="E9" t="s">
        <v>2468</v>
      </c>
      <c r="F9" t="s">
        <v>2985</v>
      </c>
      <c r="G9" t="s">
        <v>2488</v>
      </c>
      <c r="H9"/>
      <c r="I9"/>
      <c r="J9" t="s">
        <v>2502</v>
      </c>
      <c r="K9"/>
      <c r="L9"/>
      <c r="M9">
        <v>19</v>
      </c>
      <c r="N9">
        <v>212</v>
      </c>
      <c r="O9">
        <v>17</v>
      </c>
      <c r="P9">
        <v>12</v>
      </c>
      <c r="Q9">
        <v>102</v>
      </c>
      <c r="R9" t="s">
        <v>2464</v>
      </c>
      <c r="S9" t="s">
        <v>5708</v>
      </c>
      <c r="T9" t="s">
        <v>5707</v>
      </c>
      <c r="U9" t="s">
        <v>2462</v>
      </c>
      <c r="V9">
        <v>40</v>
      </c>
      <c r="W9"/>
      <c r="X9"/>
      <c r="Y9">
        <v>80</v>
      </c>
      <c r="Z9">
        <v>40</v>
      </c>
      <c r="AA9">
        <v>25</v>
      </c>
      <c r="AB9">
        <v>10</v>
      </c>
      <c r="AC9">
        <v>23</v>
      </c>
      <c r="AD9">
        <v>16</v>
      </c>
      <c r="AE9">
        <v>15</v>
      </c>
      <c r="AF9">
        <v>19</v>
      </c>
      <c r="AG9">
        <v>108</v>
      </c>
      <c r="AH9"/>
      <c r="AI9"/>
      <c r="AJ9"/>
      <c r="AK9"/>
      <c r="AL9"/>
      <c r="AM9"/>
      <c r="AN9"/>
      <c r="AO9">
        <v>297</v>
      </c>
      <c r="AP9"/>
      <c r="AQ9"/>
      <c r="AR9"/>
      <c r="AS9"/>
      <c r="AT9">
        <v>7</v>
      </c>
      <c r="AU9"/>
      <c r="AV9"/>
      <c r="AW9"/>
      <c r="AX9"/>
      <c r="AY9" t="s">
        <v>2520</v>
      </c>
      <c r="AZ9" t="s">
        <v>2521</v>
      </c>
      <c r="BA9" t="s">
        <v>2520</v>
      </c>
      <c r="BB9" t="s">
        <v>2945</v>
      </c>
      <c r="BC9" t="s">
        <v>5514</v>
      </c>
      <c r="BD9" t="s">
        <v>2945</v>
      </c>
      <c r="BE9"/>
      <c r="BF9"/>
      <c r="BG9"/>
      <c r="BH9"/>
      <c r="BI9"/>
      <c r="BJ9"/>
      <c r="BK9"/>
      <c r="BL9"/>
      <c r="BM9"/>
      <c r="BN9"/>
      <c r="BO9"/>
      <c r="BP9" t="s">
        <v>2480</v>
      </c>
      <c r="BQ9" t="s">
        <v>5513</v>
      </c>
      <c r="BR9" t="s">
        <v>2480</v>
      </c>
      <c r="BS9" t="s">
        <v>2479</v>
      </c>
      <c r="BT9" t="s">
        <v>5706</v>
      </c>
      <c r="BU9" t="s">
        <v>5705</v>
      </c>
      <c r="BV9" t="s">
        <v>2476</v>
      </c>
      <c r="BW9" t="s">
        <v>5704</v>
      </c>
      <c r="BX9" t="s">
        <v>5703</v>
      </c>
      <c r="BY9" t="s">
        <v>2978</v>
      </c>
      <c r="BZ9" t="s">
        <v>5702</v>
      </c>
      <c r="CA9" t="s">
        <v>5701</v>
      </c>
      <c r="CB9" t="s">
        <v>3057</v>
      </c>
      <c r="CC9" t="s">
        <v>5700</v>
      </c>
      <c r="CD9" t="s">
        <v>3057</v>
      </c>
      <c r="CE9" t="s">
        <v>2495</v>
      </c>
      <c r="CF9" t="s">
        <v>5699</v>
      </c>
      <c r="CG9" t="s">
        <v>5317</v>
      </c>
      <c r="CH9"/>
      <c r="CI9"/>
      <c r="CJ9"/>
      <c r="CK9" t="s">
        <v>5524</v>
      </c>
      <c r="CL9" t="s">
        <v>5523</v>
      </c>
      <c r="CM9" t="s">
        <v>5522</v>
      </c>
      <c r="CN9" t="s">
        <v>5521</v>
      </c>
      <c r="CO9" t="s">
        <v>5520</v>
      </c>
      <c r="CP9" t="s">
        <v>5698</v>
      </c>
      <c r="CQ9"/>
      <c r="CR9"/>
      <c r="CS9"/>
      <c r="CT9"/>
      <c r="CU9"/>
      <c r="CV9"/>
      <c r="CW9"/>
      <c r="CX9" t="s">
        <v>2454</v>
      </c>
      <c r="CY9">
        <v>108</v>
      </c>
      <c r="CZ9" t="s">
        <v>2453</v>
      </c>
    </row>
    <row r="10" spans="1:104" ht="15.75" customHeight="1">
      <c r="A10" t="s">
        <v>5697</v>
      </c>
      <c r="B10" t="s">
        <v>5696</v>
      </c>
      <c r="C10" t="s">
        <v>5695</v>
      </c>
      <c r="D10">
        <v>14</v>
      </c>
      <c r="E10" t="s">
        <v>2468</v>
      </c>
      <c r="F10" t="s">
        <v>2985</v>
      </c>
      <c r="G10" t="s">
        <v>2488</v>
      </c>
      <c r="H10"/>
      <c r="I10"/>
      <c r="J10" t="s">
        <v>2535</v>
      </c>
      <c r="K10"/>
      <c r="L10"/>
      <c r="M10">
        <v>18</v>
      </c>
      <c r="N10">
        <v>184</v>
      </c>
      <c r="O10">
        <v>16</v>
      </c>
      <c r="P10">
        <v>12</v>
      </c>
      <c r="Q10">
        <v>80</v>
      </c>
      <c r="R10" t="s">
        <v>2464</v>
      </c>
      <c r="S10" t="s">
        <v>5645</v>
      </c>
      <c r="T10" t="s">
        <v>5644</v>
      </c>
      <c r="U10" t="s">
        <v>2462</v>
      </c>
      <c r="V10">
        <v>40</v>
      </c>
      <c r="W10"/>
      <c r="X10">
        <v>40</v>
      </c>
      <c r="Y10">
        <v>80</v>
      </c>
      <c r="Z10"/>
      <c r="AA10">
        <v>23</v>
      </c>
      <c r="AB10">
        <v>12</v>
      </c>
      <c r="AC10">
        <v>21</v>
      </c>
      <c r="AD10">
        <v>18</v>
      </c>
      <c r="AE10">
        <v>15</v>
      </c>
      <c r="AF10">
        <v>17</v>
      </c>
      <c r="AG10">
        <v>111</v>
      </c>
      <c r="AH10"/>
      <c r="AI10"/>
      <c r="AJ10"/>
      <c r="AK10"/>
      <c r="AL10"/>
      <c r="AM10"/>
      <c r="AN10"/>
      <c r="AO10">
        <v>299</v>
      </c>
      <c r="AP10"/>
      <c r="AQ10"/>
      <c r="AR10"/>
      <c r="AS10"/>
      <c r="AT10"/>
      <c r="AU10"/>
      <c r="AV10"/>
      <c r="AW10"/>
      <c r="AX10"/>
      <c r="AY10" t="s">
        <v>2945</v>
      </c>
      <c r="AZ10" t="s">
        <v>5514</v>
      </c>
      <c r="BA10" t="s">
        <v>2945</v>
      </c>
      <c r="BB10"/>
      <c r="BC10"/>
      <c r="BD10"/>
      <c r="BE10"/>
      <c r="BF10"/>
      <c r="BG10"/>
      <c r="BH10"/>
      <c r="BI10"/>
      <c r="BJ10"/>
      <c r="BK10"/>
      <c r="BL10"/>
      <c r="BM10"/>
      <c r="BN10"/>
      <c r="BO10"/>
      <c r="BP10" t="s">
        <v>2480</v>
      </c>
      <c r="BQ10" t="s">
        <v>5513</v>
      </c>
      <c r="BR10" t="s">
        <v>2480</v>
      </c>
      <c r="BS10" t="s">
        <v>2479</v>
      </c>
      <c r="BT10" t="s">
        <v>5694</v>
      </c>
      <c r="BU10" t="s">
        <v>5693</v>
      </c>
      <c r="BV10" t="s">
        <v>2476</v>
      </c>
      <c r="BW10" t="s">
        <v>5640</v>
      </c>
      <c r="BX10" t="s">
        <v>5639</v>
      </c>
      <c r="BY10" t="s">
        <v>2978</v>
      </c>
      <c r="BZ10" t="s">
        <v>5638</v>
      </c>
      <c r="CA10" t="s">
        <v>5637</v>
      </c>
      <c r="CB10" t="s">
        <v>3057</v>
      </c>
      <c r="CC10" t="s">
        <v>5692</v>
      </c>
      <c r="CD10" t="s">
        <v>3057</v>
      </c>
      <c r="CE10" t="s">
        <v>2495</v>
      </c>
      <c r="CF10" t="s">
        <v>5691</v>
      </c>
      <c r="CG10" t="s">
        <v>5690</v>
      </c>
      <c r="CH10"/>
      <c r="CI10"/>
      <c r="CJ10"/>
      <c r="CK10" t="s">
        <v>5524</v>
      </c>
      <c r="CL10" t="s">
        <v>5523</v>
      </c>
      <c r="CM10" t="s">
        <v>5522</v>
      </c>
      <c r="CN10" t="s">
        <v>5521</v>
      </c>
      <c r="CO10" t="s">
        <v>5520</v>
      </c>
      <c r="CP10" t="s">
        <v>5634</v>
      </c>
      <c r="CQ10"/>
      <c r="CR10"/>
      <c r="CS10"/>
      <c r="CT10"/>
      <c r="CU10"/>
      <c r="CV10"/>
      <c r="CW10"/>
      <c r="CX10" t="s">
        <v>2454</v>
      </c>
      <c r="CY10">
        <v>111</v>
      </c>
      <c r="CZ10" t="s">
        <v>2453</v>
      </c>
    </row>
    <row r="11" spans="1:104" ht="15.75" customHeight="1">
      <c r="A11" t="s">
        <v>5689</v>
      </c>
      <c r="B11" t="s">
        <v>5688</v>
      </c>
      <c r="C11" t="s">
        <v>5687</v>
      </c>
      <c r="D11">
        <v>17</v>
      </c>
      <c r="E11" t="s">
        <v>2468</v>
      </c>
      <c r="F11" t="s">
        <v>2985</v>
      </c>
      <c r="G11" t="s">
        <v>2488</v>
      </c>
      <c r="H11"/>
      <c r="I11"/>
      <c r="J11" t="s">
        <v>2502</v>
      </c>
      <c r="K11"/>
      <c r="L11"/>
      <c r="M11">
        <v>19</v>
      </c>
      <c r="N11">
        <v>256</v>
      </c>
      <c r="O11">
        <v>19</v>
      </c>
      <c r="P11">
        <v>12</v>
      </c>
      <c r="Q11">
        <v>133</v>
      </c>
      <c r="R11" t="s">
        <v>2464</v>
      </c>
      <c r="S11" t="s">
        <v>5515</v>
      </c>
      <c r="T11" t="s">
        <v>5407</v>
      </c>
      <c r="U11" t="s">
        <v>2462</v>
      </c>
      <c r="V11">
        <v>40</v>
      </c>
      <c r="W11"/>
      <c r="X11"/>
      <c r="Y11">
        <v>80</v>
      </c>
      <c r="Z11">
        <v>40</v>
      </c>
      <c r="AA11">
        <v>27</v>
      </c>
      <c r="AB11">
        <v>14</v>
      </c>
      <c r="AC11">
        <v>25</v>
      </c>
      <c r="AD11">
        <v>16</v>
      </c>
      <c r="AE11">
        <v>15</v>
      </c>
      <c r="AF11">
        <v>24</v>
      </c>
      <c r="AG11">
        <v>114</v>
      </c>
      <c r="AH11"/>
      <c r="AI11"/>
      <c r="AJ11"/>
      <c r="AK11"/>
      <c r="AL11"/>
      <c r="AM11"/>
      <c r="AN11"/>
      <c r="AO11">
        <v>302</v>
      </c>
      <c r="AP11"/>
      <c r="AQ11"/>
      <c r="AR11"/>
      <c r="AS11"/>
      <c r="AT11"/>
      <c r="AU11"/>
      <c r="AV11"/>
      <c r="AW11"/>
      <c r="AX11"/>
      <c r="AY11" t="s">
        <v>2520</v>
      </c>
      <c r="AZ11" t="s">
        <v>2521</v>
      </c>
      <c r="BA11" t="s">
        <v>2520</v>
      </c>
      <c r="BB11" t="s">
        <v>2945</v>
      </c>
      <c r="BC11" t="s">
        <v>5514</v>
      </c>
      <c r="BD11" t="s">
        <v>2945</v>
      </c>
      <c r="BE11"/>
      <c r="BF11"/>
      <c r="BG11"/>
      <c r="BH11"/>
      <c r="BI11"/>
      <c r="BJ11"/>
      <c r="BK11"/>
      <c r="BL11"/>
      <c r="BM11"/>
      <c r="BN11"/>
      <c r="BO11"/>
      <c r="BP11" t="s">
        <v>2480</v>
      </c>
      <c r="BQ11" t="s">
        <v>5513</v>
      </c>
      <c r="BR11" t="s">
        <v>2480</v>
      </c>
      <c r="BS11" t="s">
        <v>2479</v>
      </c>
      <c r="BT11" t="s">
        <v>5686</v>
      </c>
      <c r="BU11" t="s">
        <v>5597</v>
      </c>
      <c r="BV11" t="s">
        <v>2476</v>
      </c>
      <c r="BW11" t="s">
        <v>5670</v>
      </c>
      <c r="BX11" t="s">
        <v>5509</v>
      </c>
      <c r="BY11" t="s">
        <v>2978</v>
      </c>
      <c r="BZ11" t="s">
        <v>5669</v>
      </c>
      <c r="CA11" t="s">
        <v>5507</v>
      </c>
      <c r="CB11" t="s">
        <v>3057</v>
      </c>
      <c r="CC11" t="s">
        <v>5528</v>
      </c>
      <c r="CD11" t="s">
        <v>3057</v>
      </c>
      <c r="CE11" t="s">
        <v>2495</v>
      </c>
      <c r="CF11" t="s">
        <v>5685</v>
      </c>
      <c r="CG11" t="s">
        <v>5684</v>
      </c>
      <c r="CH11"/>
      <c r="CI11"/>
      <c r="CJ11"/>
      <c r="CK11" t="s">
        <v>5524</v>
      </c>
      <c r="CL11" t="s">
        <v>5523</v>
      </c>
      <c r="CM11" t="s">
        <v>5522</v>
      </c>
      <c r="CN11" t="s">
        <v>5521</v>
      </c>
      <c r="CO11" t="s">
        <v>5520</v>
      </c>
      <c r="CP11" t="s">
        <v>5649</v>
      </c>
      <c r="CQ11"/>
      <c r="CR11"/>
      <c r="CS11"/>
      <c r="CT11"/>
      <c r="CU11"/>
      <c r="CV11"/>
      <c r="CW11"/>
      <c r="CX11" t="s">
        <v>2454</v>
      </c>
      <c r="CY11">
        <v>114</v>
      </c>
      <c r="CZ11" t="s">
        <v>2453</v>
      </c>
    </row>
    <row r="12" spans="1:104" ht="15.75" customHeight="1">
      <c r="A12" t="s">
        <v>5683</v>
      </c>
      <c r="B12" t="s">
        <v>5682</v>
      </c>
      <c r="C12" t="s">
        <v>5681</v>
      </c>
      <c r="D12">
        <v>15</v>
      </c>
      <c r="E12" t="s">
        <v>2468</v>
      </c>
      <c r="F12" t="s">
        <v>2985</v>
      </c>
      <c r="G12" t="s">
        <v>2488</v>
      </c>
      <c r="H12"/>
      <c r="I12"/>
      <c r="J12" t="s">
        <v>2522</v>
      </c>
      <c r="K12"/>
      <c r="L12"/>
      <c r="M12">
        <v>19</v>
      </c>
      <c r="N12">
        <v>207</v>
      </c>
      <c r="O12">
        <v>18</v>
      </c>
      <c r="P12">
        <v>12</v>
      </c>
      <c r="Q12">
        <v>90</v>
      </c>
      <c r="R12" t="s">
        <v>2464</v>
      </c>
      <c r="S12" t="s">
        <v>5645</v>
      </c>
      <c r="T12" t="s">
        <v>5644</v>
      </c>
      <c r="U12" t="s">
        <v>5643</v>
      </c>
      <c r="V12">
        <v>40</v>
      </c>
      <c r="W12"/>
      <c r="X12"/>
      <c r="Y12">
        <v>80</v>
      </c>
      <c r="Z12">
        <v>40</v>
      </c>
      <c r="AA12">
        <v>23</v>
      </c>
      <c r="AB12">
        <v>12</v>
      </c>
      <c r="AC12">
        <v>21</v>
      </c>
      <c r="AD12">
        <v>18</v>
      </c>
      <c r="AE12">
        <v>15</v>
      </c>
      <c r="AF12">
        <v>17</v>
      </c>
      <c r="AG12">
        <v>94</v>
      </c>
      <c r="AH12"/>
      <c r="AI12"/>
      <c r="AJ12"/>
      <c r="AK12"/>
      <c r="AL12"/>
      <c r="AM12"/>
      <c r="AN12"/>
      <c r="AO12">
        <v>288</v>
      </c>
      <c r="AP12"/>
      <c r="AQ12">
        <v>4</v>
      </c>
      <c r="AR12"/>
      <c r="AS12" t="s">
        <v>5680</v>
      </c>
      <c r="AT12"/>
      <c r="AU12"/>
      <c r="AV12"/>
      <c r="AW12"/>
      <c r="AX12"/>
      <c r="AY12" t="s">
        <v>2520</v>
      </c>
      <c r="AZ12" t="s">
        <v>2521</v>
      </c>
      <c r="BA12" t="s">
        <v>2520</v>
      </c>
      <c r="BB12" t="s">
        <v>2945</v>
      </c>
      <c r="BC12" t="s">
        <v>5514</v>
      </c>
      <c r="BD12" t="s">
        <v>2945</v>
      </c>
      <c r="BE12"/>
      <c r="BF12"/>
      <c r="BG12"/>
      <c r="BH12"/>
      <c r="BI12"/>
      <c r="BJ12"/>
      <c r="BK12"/>
      <c r="BL12"/>
      <c r="BM12"/>
      <c r="BN12"/>
      <c r="BO12"/>
      <c r="BP12" t="s">
        <v>2480</v>
      </c>
      <c r="BQ12" t="s">
        <v>5513</v>
      </c>
      <c r="BR12" t="s">
        <v>2480</v>
      </c>
      <c r="BS12" t="s">
        <v>2479</v>
      </c>
      <c r="BT12" t="s">
        <v>5679</v>
      </c>
      <c r="BU12" t="s">
        <v>5678</v>
      </c>
      <c r="BV12" t="s">
        <v>2476</v>
      </c>
      <c r="BW12" t="s">
        <v>5640</v>
      </c>
      <c r="BX12" t="s">
        <v>5639</v>
      </c>
      <c r="BY12" t="s">
        <v>2978</v>
      </c>
      <c r="BZ12" t="s">
        <v>5638</v>
      </c>
      <c r="CA12" t="s">
        <v>5637</v>
      </c>
      <c r="CB12" t="s">
        <v>3057</v>
      </c>
      <c r="CC12" t="s">
        <v>5506</v>
      </c>
      <c r="CD12" t="s">
        <v>3057</v>
      </c>
      <c r="CE12" t="s">
        <v>2517</v>
      </c>
      <c r="CF12" t="s">
        <v>5677</v>
      </c>
      <c r="CG12" t="s">
        <v>5676</v>
      </c>
      <c r="CH12"/>
      <c r="CI12"/>
      <c r="CJ12"/>
      <c r="CK12" t="s">
        <v>5524</v>
      </c>
      <c r="CL12" t="s">
        <v>5523</v>
      </c>
      <c r="CM12" t="s">
        <v>5522</v>
      </c>
      <c r="CN12" t="s">
        <v>5521</v>
      </c>
      <c r="CO12" t="s">
        <v>5520</v>
      </c>
      <c r="CP12" t="s">
        <v>5634</v>
      </c>
      <c r="CQ12"/>
      <c r="CR12"/>
      <c r="CS12"/>
      <c r="CT12"/>
      <c r="CU12"/>
      <c r="CV12"/>
      <c r="CW12"/>
      <c r="CX12" t="s">
        <v>2454</v>
      </c>
      <c r="CY12">
        <v>94</v>
      </c>
      <c r="CZ12" t="s">
        <v>2453</v>
      </c>
    </row>
    <row r="13" spans="1:104" ht="15.75" customHeight="1">
      <c r="A13" t="s">
        <v>5675</v>
      </c>
      <c r="B13" t="s">
        <v>5674</v>
      </c>
      <c r="C13" t="s">
        <v>5673</v>
      </c>
      <c r="D13">
        <v>17</v>
      </c>
      <c r="E13" t="s">
        <v>2468</v>
      </c>
      <c r="F13" t="s">
        <v>2985</v>
      </c>
      <c r="G13" t="s">
        <v>2488</v>
      </c>
      <c r="H13"/>
      <c r="I13"/>
      <c r="J13" t="s">
        <v>2487</v>
      </c>
      <c r="K13"/>
      <c r="L13"/>
      <c r="M13">
        <v>19</v>
      </c>
      <c r="N13">
        <v>256</v>
      </c>
      <c r="O13">
        <v>19</v>
      </c>
      <c r="P13">
        <v>12</v>
      </c>
      <c r="Q13">
        <v>133</v>
      </c>
      <c r="R13" t="s">
        <v>2464</v>
      </c>
      <c r="S13" t="s">
        <v>5515</v>
      </c>
      <c r="T13" t="s">
        <v>5407</v>
      </c>
      <c r="U13" t="s">
        <v>5407</v>
      </c>
      <c r="V13">
        <v>40</v>
      </c>
      <c r="W13"/>
      <c r="X13">
        <v>40</v>
      </c>
      <c r="Y13">
        <v>80</v>
      </c>
      <c r="Z13"/>
      <c r="AA13">
        <v>27</v>
      </c>
      <c r="AB13">
        <v>10</v>
      </c>
      <c r="AC13">
        <v>25</v>
      </c>
      <c r="AD13">
        <v>16</v>
      </c>
      <c r="AE13">
        <v>13</v>
      </c>
      <c r="AF13">
        <v>21</v>
      </c>
      <c r="AG13">
        <v>98</v>
      </c>
      <c r="AH13"/>
      <c r="AI13"/>
      <c r="AJ13"/>
      <c r="AK13"/>
      <c r="AL13"/>
      <c r="AM13"/>
      <c r="AN13">
        <v>8</v>
      </c>
      <c r="AO13">
        <v>290</v>
      </c>
      <c r="AP13"/>
      <c r="AQ13"/>
      <c r="AR13"/>
      <c r="AS13"/>
      <c r="AT13"/>
      <c r="AU13"/>
      <c r="AV13"/>
      <c r="AW13"/>
      <c r="AX13"/>
      <c r="AY13" t="s">
        <v>2945</v>
      </c>
      <c r="AZ13" t="s">
        <v>5514</v>
      </c>
      <c r="BA13" t="s">
        <v>2945</v>
      </c>
      <c r="BB13"/>
      <c r="BC13"/>
      <c r="BD13"/>
      <c r="BE13"/>
      <c r="BF13"/>
      <c r="BG13"/>
      <c r="BH13"/>
      <c r="BI13"/>
      <c r="BJ13"/>
      <c r="BK13"/>
      <c r="BL13"/>
      <c r="BM13"/>
      <c r="BN13"/>
      <c r="BO13"/>
      <c r="BP13" t="s">
        <v>2480</v>
      </c>
      <c r="BQ13" t="s">
        <v>5513</v>
      </c>
      <c r="BR13" t="s">
        <v>2480</v>
      </c>
      <c r="BS13" t="s">
        <v>2479</v>
      </c>
      <c r="BT13" t="s">
        <v>5672</v>
      </c>
      <c r="BU13" t="s">
        <v>5671</v>
      </c>
      <c r="BV13" t="s">
        <v>2476</v>
      </c>
      <c r="BW13" t="s">
        <v>5670</v>
      </c>
      <c r="BX13" t="s">
        <v>5509</v>
      </c>
      <c r="BY13" t="s">
        <v>2978</v>
      </c>
      <c r="BZ13" t="s">
        <v>5669</v>
      </c>
      <c r="CA13" t="s">
        <v>5507</v>
      </c>
      <c r="CB13" t="s">
        <v>3057</v>
      </c>
      <c r="CC13" t="s">
        <v>5668</v>
      </c>
      <c r="CD13" t="s">
        <v>3057</v>
      </c>
      <c r="CE13" t="s">
        <v>2508</v>
      </c>
      <c r="CF13" t="s">
        <v>5667</v>
      </c>
      <c r="CG13" t="s">
        <v>5666</v>
      </c>
      <c r="CH13" t="s">
        <v>5665</v>
      </c>
      <c r="CI13" t="s">
        <v>5664</v>
      </c>
      <c r="CJ13" t="s">
        <v>5663</v>
      </c>
      <c r="CK13" t="s">
        <v>5524</v>
      </c>
      <c r="CL13" t="s">
        <v>5523</v>
      </c>
      <c r="CM13" t="s">
        <v>5522</v>
      </c>
      <c r="CN13" t="s">
        <v>5521</v>
      </c>
      <c r="CO13" t="s">
        <v>5520</v>
      </c>
      <c r="CP13" t="s">
        <v>5649</v>
      </c>
      <c r="CQ13"/>
      <c r="CR13"/>
      <c r="CS13"/>
      <c r="CT13"/>
      <c r="CU13"/>
      <c r="CV13"/>
      <c r="CW13"/>
      <c r="CX13" t="s">
        <v>2454</v>
      </c>
      <c r="CY13">
        <v>98</v>
      </c>
      <c r="CZ13" t="s">
        <v>2453</v>
      </c>
    </row>
    <row r="14" spans="1:104" ht="15.75" customHeight="1">
      <c r="A14" t="s">
        <v>5662</v>
      </c>
      <c r="B14" t="s">
        <v>5661</v>
      </c>
      <c r="C14" t="s">
        <v>5660</v>
      </c>
      <c r="D14">
        <v>16</v>
      </c>
      <c r="E14" t="s">
        <v>2468</v>
      </c>
      <c r="F14" t="s">
        <v>2985</v>
      </c>
      <c r="G14" t="s">
        <v>2488</v>
      </c>
      <c r="H14"/>
      <c r="I14"/>
      <c r="J14" t="s">
        <v>2502</v>
      </c>
      <c r="K14"/>
      <c r="L14"/>
      <c r="M14">
        <v>19</v>
      </c>
      <c r="N14">
        <v>243</v>
      </c>
      <c r="O14">
        <v>18</v>
      </c>
      <c r="P14">
        <v>12</v>
      </c>
      <c r="Q14">
        <v>126</v>
      </c>
      <c r="R14" t="s">
        <v>2464</v>
      </c>
      <c r="S14" t="s">
        <v>5659</v>
      </c>
      <c r="T14" t="s">
        <v>5658</v>
      </c>
      <c r="U14" t="s">
        <v>2462</v>
      </c>
      <c r="V14">
        <v>40</v>
      </c>
      <c r="W14"/>
      <c r="X14"/>
      <c r="Y14">
        <v>80</v>
      </c>
      <c r="Z14"/>
      <c r="AA14">
        <v>27</v>
      </c>
      <c r="AB14">
        <v>10</v>
      </c>
      <c r="AC14">
        <v>25</v>
      </c>
      <c r="AD14">
        <v>16</v>
      </c>
      <c r="AE14">
        <v>13</v>
      </c>
      <c r="AF14">
        <v>21</v>
      </c>
      <c r="AG14">
        <v>117</v>
      </c>
      <c r="AH14"/>
      <c r="AI14"/>
      <c r="AJ14"/>
      <c r="AK14"/>
      <c r="AL14"/>
      <c r="AM14"/>
      <c r="AN14"/>
      <c r="AO14">
        <v>305</v>
      </c>
      <c r="AP14"/>
      <c r="AQ14"/>
      <c r="AR14"/>
      <c r="AS14"/>
      <c r="AT14"/>
      <c r="AU14"/>
      <c r="AV14"/>
      <c r="AW14"/>
      <c r="AX14"/>
      <c r="AY14" t="s">
        <v>2945</v>
      </c>
      <c r="AZ14" t="s">
        <v>5514</v>
      </c>
      <c r="BA14" t="s">
        <v>2945</v>
      </c>
      <c r="BB14"/>
      <c r="BC14"/>
      <c r="BD14"/>
      <c r="BE14"/>
      <c r="BF14"/>
      <c r="BG14"/>
      <c r="BH14"/>
      <c r="BI14"/>
      <c r="BJ14"/>
      <c r="BK14"/>
      <c r="BL14"/>
      <c r="BM14"/>
      <c r="BN14"/>
      <c r="BO14"/>
      <c r="BP14" t="s">
        <v>2480</v>
      </c>
      <c r="BQ14" t="s">
        <v>5513</v>
      </c>
      <c r="BR14" t="s">
        <v>2480</v>
      </c>
      <c r="BS14" t="s">
        <v>2479</v>
      </c>
      <c r="BT14" t="s">
        <v>5657</v>
      </c>
      <c r="BU14" t="s">
        <v>5656</v>
      </c>
      <c r="BV14" t="s">
        <v>2476</v>
      </c>
      <c r="BW14" t="s">
        <v>5655</v>
      </c>
      <c r="BX14" t="s">
        <v>5654</v>
      </c>
      <c r="BY14" t="s">
        <v>2978</v>
      </c>
      <c r="BZ14" t="s">
        <v>5653</v>
      </c>
      <c r="CA14" t="s">
        <v>5652</v>
      </c>
      <c r="CB14" t="s">
        <v>3057</v>
      </c>
      <c r="CC14" t="s">
        <v>5596</v>
      </c>
      <c r="CD14" t="s">
        <v>3057</v>
      </c>
      <c r="CE14" t="s">
        <v>2495</v>
      </c>
      <c r="CF14" t="s">
        <v>5651</v>
      </c>
      <c r="CG14" t="s">
        <v>5650</v>
      </c>
      <c r="CH14"/>
      <c r="CI14"/>
      <c r="CJ14"/>
      <c r="CK14" t="s">
        <v>5524</v>
      </c>
      <c r="CL14" t="s">
        <v>5523</v>
      </c>
      <c r="CM14" t="s">
        <v>5522</v>
      </c>
      <c r="CN14" t="s">
        <v>5521</v>
      </c>
      <c r="CO14" t="s">
        <v>5520</v>
      </c>
      <c r="CP14" t="s">
        <v>5649</v>
      </c>
      <c r="CQ14"/>
      <c r="CR14"/>
      <c r="CS14"/>
      <c r="CT14"/>
      <c r="CU14"/>
      <c r="CV14"/>
      <c r="CW14"/>
      <c r="CX14" t="s">
        <v>2454</v>
      </c>
      <c r="CY14">
        <v>117</v>
      </c>
      <c r="CZ14" t="s">
        <v>2453</v>
      </c>
    </row>
    <row r="15" spans="1:104" ht="15.75" customHeight="1">
      <c r="A15" t="s">
        <v>5648</v>
      </c>
      <c r="B15" t="s">
        <v>5647</v>
      </c>
      <c r="C15" t="s">
        <v>5646</v>
      </c>
      <c r="D15">
        <v>13</v>
      </c>
      <c r="E15" t="s">
        <v>2468</v>
      </c>
      <c r="F15" t="s">
        <v>2985</v>
      </c>
      <c r="G15" t="s">
        <v>2488</v>
      </c>
      <c r="H15"/>
      <c r="I15"/>
      <c r="J15" t="s">
        <v>2487</v>
      </c>
      <c r="K15"/>
      <c r="L15"/>
      <c r="M15">
        <v>18</v>
      </c>
      <c r="N15">
        <v>200</v>
      </c>
      <c r="O15">
        <v>16</v>
      </c>
      <c r="P15">
        <v>12</v>
      </c>
      <c r="Q15">
        <v>96</v>
      </c>
      <c r="R15" t="s">
        <v>2464</v>
      </c>
      <c r="S15" t="s">
        <v>5645</v>
      </c>
      <c r="T15" t="s">
        <v>5644</v>
      </c>
      <c r="U15" t="s">
        <v>5643</v>
      </c>
      <c r="V15">
        <v>40</v>
      </c>
      <c r="W15">
        <v>30</v>
      </c>
      <c r="X15"/>
      <c r="Y15">
        <v>80</v>
      </c>
      <c r="Z15">
        <v>40</v>
      </c>
      <c r="AA15">
        <v>22</v>
      </c>
      <c r="AB15">
        <v>10</v>
      </c>
      <c r="AC15">
        <v>22</v>
      </c>
      <c r="AD15">
        <v>8</v>
      </c>
      <c r="AE15">
        <v>12</v>
      </c>
      <c r="AF15">
        <v>12</v>
      </c>
      <c r="AG15">
        <v>101</v>
      </c>
      <c r="AH15"/>
      <c r="AI15"/>
      <c r="AJ15"/>
      <c r="AK15"/>
      <c r="AL15"/>
      <c r="AM15"/>
      <c r="AN15"/>
      <c r="AO15">
        <v>292</v>
      </c>
      <c r="AP15">
        <v>5</v>
      </c>
      <c r="AQ15">
        <v>5</v>
      </c>
      <c r="AR15"/>
      <c r="AS15"/>
      <c r="AT15"/>
      <c r="AU15"/>
      <c r="AV15"/>
      <c r="AW15"/>
      <c r="AX15"/>
      <c r="AY15" t="s">
        <v>2482</v>
      </c>
      <c r="AZ15" t="s">
        <v>2483</v>
      </c>
      <c r="BA15" t="s">
        <v>2482</v>
      </c>
      <c r="BB15" t="s">
        <v>2945</v>
      </c>
      <c r="BC15" t="s">
        <v>5514</v>
      </c>
      <c r="BD15" t="s">
        <v>2945</v>
      </c>
      <c r="BE15"/>
      <c r="BF15"/>
      <c r="BG15"/>
      <c r="BH15"/>
      <c r="BI15"/>
      <c r="BJ15"/>
      <c r="BK15"/>
      <c r="BL15"/>
      <c r="BM15"/>
      <c r="BN15"/>
      <c r="BO15"/>
      <c r="BP15" t="s">
        <v>2480</v>
      </c>
      <c r="BQ15" t="s">
        <v>5513</v>
      </c>
      <c r="BR15" t="s">
        <v>2480</v>
      </c>
      <c r="BS15" t="s">
        <v>2479</v>
      </c>
      <c r="BT15" t="s">
        <v>5642</v>
      </c>
      <c r="BU15" t="s">
        <v>5641</v>
      </c>
      <c r="BV15" t="s">
        <v>2476</v>
      </c>
      <c r="BW15" t="s">
        <v>5640</v>
      </c>
      <c r="BX15" t="s">
        <v>5639</v>
      </c>
      <c r="BY15" t="s">
        <v>2978</v>
      </c>
      <c r="BZ15" t="s">
        <v>5638</v>
      </c>
      <c r="CA15" t="s">
        <v>5637</v>
      </c>
      <c r="CB15" t="s">
        <v>3057</v>
      </c>
      <c r="CC15" t="s">
        <v>5636</v>
      </c>
      <c r="CD15" t="s">
        <v>3057</v>
      </c>
      <c r="CE15" t="s">
        <v>2473</v>
      </c>
      <c r="CF15" t="s">
        <v>5635</v>
      </c>
      <c r="CG15" t="s">
        <v>2493</v>
      </c>
      <c r="CH15"/>
      <c r="CI15"/>
      <c r="CJ15"/>
      <c r="CK15" t="s">
        <v>5524</v>
      </c>
      <c r="CL15" t="s">
        <v>5523</v>
      </c>
      <c r="CM15" t="s">
        <v>5522</v>
      </c>
      <c r="CN15" t="s">
        <v>5521</v>
      </c>
      <c r="CO15" t="s">
        <v>5520</v>
      </c>
      <c r="CP15" t="s">
        <v>5634</v>
      </c>
      <c r="CQ15"/>
      <c r="CR15"/>
      <c r="CS15"/>
      <c r="CT15"/>
      <c r="CU15"/>
      <c r="CV15"/>
      <c r="CW15"/>
      <c r="CX15" t="s">
        <v>2454</v>
      </c>
      <c r="CY15">
        <v>101</v>
      </c>
      <c r="CZ15" t="s">
        <v>2453</v>
      </c>
    </row>
    <row r="16" spans="1:104" ht="15.75" customHeight="1">
      <c r="A16" t="s">
        <v>5633</v>
      </c>
      <c r="B16" t="s">
        <v>5632</v>
      </c>
      <c r="C16" t="s">
        <v>5631</v>
      </c>
      <c r="D16">
        <v>5</v>
      </c>
      <c r="E16" t="s">
        <v>2468</v>
      </c>
      <c r="F16" t="s">
        <v>2489</v>
      </c>
      <c r="G16" t="s">
        <v>2626</v>
      </c>
      <c r="H16"/>
      <c r="I16"/>
      <c r="J16" t="s">
        <v>1997</v>
      </c>
      <c r="K16"/>
      <c r="L16"/>
      <c r="M16">
        <v>15</v>
      </c>
      <c r="N16">
        <v>90</v>
      </c>
      <c r="O16">
        <v>12</v>
      </c>
      <c r="P16">
        <v>10</v>
      </c>
      <c r="Q16">
        <v>24</v>
      </c>
      <c r="R16" t="s">
        <v>2464</v>
      </c>
      <c r="S16" t="s">
        <v>4610</v>
      </c>
      <c r="T16" t="s">
        <v>5630</v>
      </c>
      <c r="U16" t="s">
        <v>2462</v>
      </c>
      <c r="V16">
        <v>0</v>
      </c>
      <c r="W16"/>
      <c r="X16"/>
      <c r="Y16">
        <v>90</v>
      </c>
      <c r="Z16"/>
      <c r="AA16">
        <v>14</v>
      </c>
      <c r="AB16">
        <v>20</v>
      </c>
      <c r="AC16">
        <v>14</v>
      </c>
      <c r="AD16">
        <v>6</v>
      </c>
      <c r="AE16">
        <v>10</v>
      </c>
      <c r="AF16">
        <v>6</v>
      </c>
      <c r="AG16">
        <v>124</v>
      </c>
      <c r="AH16"/>
      <c r="AI16"/>
      <c r="AJ16"/>
      <c r="AK16"/>
      <c r="AL16"/>
      <c r="AM16"/>
      <c r="AN16">
        <v>8</v>
      </c>
      <c r="AO16">
        <v>308</v>
      </c>
      <c r="AP16">
        <v>5</v>
      </c>
      <c r="AQ16">
        <v>5</v>
      </c>
      <c r="AR16"/>
      <c r="AS16"/>
      <c r="AT16"/>
      <c r="AU16"/>
      <c r="AV16" t="s">
        <v>5629</v>
      </c>
      <c r="AW16"/>
      <c r="AX16"/>
      <c r="AY16" t="s">
        <v>5628</v>
      </c>
      <c r="AZ16" t="s">
        <v>2837</v>
      </c>
      <c r="BA16" t="s">
        <v>5628</v>
      </c>
      <c r="BB16"/>
      <c r="BC16"/>
      <c r="BD16"/>
      <c r="BE16"/>
      <c r="BF16"/>
      <c r="BG16"/>
      <c r="BH16"/>
      <c r="BI16"/>
      <c r="BJ16"/>
      <c r="BK16"/>
      <c r="BL16"/>
      <c r="BM16"/>
      <c r="BN16"/>
      <c r="BO16"/>
      <c r="BP16" t="s">
        <v>2480</v>
      </c>
      <c r="BQ16" t="s">
        <v>2833</v>
      </c>
      <c r="BR16" t="s">
        <v>2480</v>
      </c>
      <c r="BS16" t="s">
        <v>2457</v>
      </c>
      <c r="BT16" t="s">
        <v>5627</v>
      </c>
      <c r="BU16" t="s">
        <v>4859</v>
      </c>
      <c r="BV16" t="s">
        <v>5625</v>
      </c>
      <c r="BW16" t="s">
        <v>5626</v>
      </c>
      <c r="BX16" t="s">
        <v>5625</v>
      </c>
      <c r="BY16"/>
      <c r="BZ16"/>
      <c r="CA16"/>
      <c r="CB16"/>
      <c r="CC16"/>
      <c r="CD16"/>
      <c r="CE16"/>
      <c r="CF16"/>
      <c r="CG16"/>
      <c r="CH16"/>
      <c r="CI16"/>
      <c r="CJ16"/>
      <c r="CK16"/>
      <c r="CL16"/>
      <c r="CM16"/>
      <c r="CN16"/>
      <c r="CO16"/>
      <c r="CP16"/>
      <c r="CQ16"/>
      <c r="CR16"/>
      <c r="CS16"/>
      <c r="CT16"/>
      <c r="CU16"/>
      <c r="CV16"/>
      <c r="CW16"/>
      <c r="CX16" t="s">
        <v>2454</v>
      </c>
      <c r="CY16">
        <v>124</v>
      </c>
      <c r="CZ16" t="s">
        <v>2453</v>
      </c>
    </row>
    <row r="17" spans="1:104" ht="15.75" customHeight="1">
      <c r="A17" t="s">
        <v>5624</v>
      </c>
      <c r="B17" t="s">
        <v>5624</v>
      </c>
      <c r="C17" t="s">
        <v>5623</v>
      </c>
      <c r="D17">
        <v>2</v>
      </c>
      <c r="E17" t="s">
        <v>2468</v>
      </c>
      <c r="F17" t="s">
        <v>2489</v>
      </c>
      <c r="G17" t="s">
        <v>2690</v>
      </c>
      <c r="H17" t="s">
        <v>2984</v>
      </c>
      <c r="I17"/>
      <c r="J17" t="s">
        <v>2013</v>
      </c>
      <c r="K17"/>
      <c r="L17"/>
      <c r="M17">
        <v>13</v>
      </c>
      <c r="N17">
        <v>51</v>
      </c>
      <c r="O17">
        <v>6</v>
      </c>
      <c r="P17">
        <v>10</v>
      </c>
      <c r="Q17">
        <v>18</v>
      </c>
      <c r="R17" t="s">
        <v>2464</v>
      </c>
      <c r="S17" t="s">
        <v>5622</v>
      </c>
      <c r="T17" t="s">
        <v>3541</v>
      </c>
      <c r="U17" t="s">
        <v>2462</v>
      </c>
      <c r="V17">
        <v>60</v>
      </c>
      <c r="W17"/>
      <c r="X17"/>
      <c r="Y17"/>
      <c r="Z17"/>
      <c r="AA17">
        <v>19</v>
      </c>
      <c r="AB17">
        <v>13</v>
      </c>
      <c r="AC17">
        <v>17</v>
      </c>
      <c r="AD17">
        <v>2</v>
      </c>
      <c r="AE17">
        <v>12</v>
      </c>
      <c r="AF17">
        <v>5</v>
      </c>
      <c r="AG17">
        <v>79</v>
      </c>
      <c r="AH17"/>
      <c r="AI17"/>
      <c r="AJ17"/>
      <c r="AK17"/>
      <c r="AL17"/>
      <c r="AM17"/>
      <c r="AN17">
        <v>8</v>
      </c>
      <c r="AO17"/>
      <c r="AP17"/>
      <c r="AQ17"/>
      <c r="AR17"/>
      <c r="AS17"/>
      <c r="AT17"/>
      <c r="AU17"/>
      <c r="AV17"/>
      <c r="AW17"/>
      <c r="AX17"/>
      <c r="AY17" t="s">
        <v>3044</v>
      </c>
      <c r="AZ17" t="s">
        <v>5621</v>
      </c>
      <c r="BA17" t="s">
        <v>3044</v>
      </c>
      <c r="BB17"/>
      <c r="BC17"/>
      <c r="BD17"/>
      <c r="BE17"/>
      <c r="BF17"/>
      <c r="BG17"/>
      <c r="BH17"/>
      <c r="BI17"/>
      <c r="BJ17"/>
      <c r="BK17"/>
      <c r="BL17"/>
      <c r="BM17"/>
      <c r="BN17"/>
      <c r="BO17"/>
      <c r="BP17" t="s">
        <v>2479</v>
      </c>
      <c r="BQ17" t="s">
        <v>5620</v>
      </c>
      <c r="BR17" t="s">
        <v>5619</v>
      </c>
      <c r="BS17" t="s">
        <v>2476</v>
      </c>
      <c r="BT17" t="s">
        <v>5618</v>
      </c>
      <c r="BU17" t="s">
        <v>5617</v>
      </c>
      <c r="BV17"/>
      <c r="BW17"/>
      <c r="BX17"/>
      <c r="BY17"/>
      <c r="BZ17"/>
      <c r="CA17"/>
      <c r="CB17"/>
      <c r="CC17"/>
      <c r="CD17"/>
      <c r="CE17"/>
      <c r="CF17"/>
      <c r="CG17"/>
      <c r="CH17"/>
      <c r="CI17"/>
      <c r="CJ17"/>
      <c r="CK17"/>
      <c r="CL17"/>
      <c r="CM17"/>
      <c r="CN17"/>
      <c r="CO17"/>
      <c r="CP17"/>
      <c r="CQ17"/>
      <c r="CR17"/>
      <c r="CS17"/>
      <c r="CT17"/>
      <c r="CU17"/>
      <c r="CV17"/>
      <c r="CW17"/>
      <c r="CX17" t="s">
        <v>2454</v>
      </c>
      <c r="CY17">
        <v>79</v>
      </c>
      <c r="CZ17" t="s">
        <v>2453</v>
      </c>
    </row>
    <row r="18" spans="1:104" ht="15.75" customHeight="1">
      <c r="A18" t="s">
        <v>5616</v>
      </c>
      <c r="B18" t="s">
        <v>5615</v>
      </c>
      <c r="C18" t="s">
        <v>5614</v>
      </c>
      <c r="D18">
        <v>21</v>
      </c>
      <c r="E18" t="s">
        <v>2468</v>
      </c>
      <c r="F18" t="s">
        <v>3077</v>
      </c>
      <c r="G18" t="s">
        <v>2488</v>
      </c>
      <c r="H18"/>
      <c r="I18"/>
      <c r="J18" t="s">
        <v>2487</v>
      </c>
      <c r="K18"/>
      <c r="L18"/>
      <c r="M18">
        <v>22</v>
      </c>
      <c r="N18">
        <v>367</v>
      </c>
      <c r="O18">
        <v>21</v>
      </c>
      <c r="P18">
        <v>20</v>
      </c>
      <c r="Q18">
        <v>147</v>
      </c>
      <c r="R18" t="s">
        <v>2464</v>
      </c>
      <c r="S18" t="s">
        <v>5559</v>
      </c>
      <c r="T18" t="s">
        <v>5575</v>
      </c>
      <c r="U18" t="s">
        <v>5613</v>
      </c>
      <c r="V18">
        <v>40</v>
      </c>
      <c r="W18"/>
      <c r="X18"/>
      <c r="Y18">
        <v>80</v>
      </c>
      <c r="Z18">
        <v>40</v>
      </c>
      <c r="AA18">
        <v>27</v>
      </c>
      <c r="AB18">
        <v>14</v>
      </c>
      <c r="AC18">
        <v>25</v>
      </c>
      <c r="AD18">
        <v>16</v>
      </c>
      <c r="AE18">
        <v>15</v>
      </c>
      <c r="AF18">
        <v>19</v>
      </c>
      <c r="AG18">
        <v>87</v>
      </c>
      <c r="AH18"/>
      <c r="AI18"/>
      <c r="AJ18"/>
      <c r="AK18"/>
      <c r="AL18"/>
      <c r="AM18"/>
      <c r="AN18"/>
      <c r="AO18">
        <v>283</v>
      </c>
      <c r="AP18"/>
      <c r="AQ18"/>
      <c r="AR18"/>
      <c r="AS18"/>
      <c r="AT18"/>
      <c r="AU18"/>
      <c r="AV18"/>
      <c r="AW18"/>
      <c r="AX18"/>
      <c r="AY18" t="s">
        <v>2520</v>
      </c>
      <c r="AZ18" t="s">
        <v>2521</v>
      </c>
      <c r="BA18" t="s">
        <v>2520</v>
      </c>
      <c r="BB18" t="s">
        <v>2945</v>
      </c>
      <c r="BC18" t="s">
        <v>5514</v>
      </c>
      <c r="BD18" t="s">
        <v>2945</v>
      </c>
      <c r="BE18"/>
      <c r="BF18"/>
      <c r="BG18"/>
      <c r="BH18"/>
      <c r="BI18"/>
      <c r="BJ18"/>
      <c r="BK18"/>
      <c r="BL18"/>
      <c r="BM18"/>
      <c r="BN18"/>
      <c r="BO18"/>
      <c r="BP18" t="s">
        <v>2480</v>
      </c>
      <c r="BQ18" t="s">
        <v>5513</v>
      </c>
      <c r="BR18" t="s">
        <v>2480</v>
      </c>
      <c r="BS18" t="s">
        <v>2479</v>
      </c>
      <c r="BT18" t="s">
        <v>5612</v>
      </c>
      <c r="BU18" t="s">
        <v>5611</v>
      </c>
      <c r="BV18" t="s">
        <v>2476</v>
      </c>
      <c r="BW18" t="s">
        <v>5572</v>
      </c>
      <c r="BX18" t="s">
        <v>5571</v>
      </c>
      <c r="BY18" t="s">
        <v>2978</v>
      </c>
      <c r="BZ18" t="s">
        <v>5610</v>
      </c>
      <c r="CA18" t="s">
        <v>5552</v>
      </c>
      <c r="CB18" t="s">
        <v>3057</v>
      </c>
      <c r="CC18" t="s">
        <v>5551</v>
      </c>
      <c r="CD18" t="s">
        <v>3057</v>
      </c>
      <c r="CE18" t="s">
        <v>2568</v>
      </c>
      <c r="CF18" t="s">
        <v>5609</v>
      </c>
      <c r="CG18" t="s">
        <v>2568</v>
      </c>
      <c r="CH18"/>
      <c r="CI18"/>
      <c r="CJ18"/>
      <c r="CK18" t="s">
        <v>5524</v>
      </c>
      <c r="CL18" t="s">
        <v>5523</v>
      </c>
      <c r="CM18" t="s">
        <v>5522</v>
      </c>
      <c r="CN18" t="s">
        <v>5521</v>
      </c>
      <c r="CO18" t="s">
        <v>5520</v>
      </c>
      <c r="CP18" t="s">
        <v>5548</v>
      </c>
      <c r="CQ18"/>
      <c r="CR18"/>
      <c r="CS18"/>
      <c r="CT18"/>
      <c r="CU18"/>
      <c r="CV18"/>
      <c r="CW18"/>
      <c r="CX18" t="s">
        <v>2454</v>
      </c>
      <c r="CY18">
        <v>87</v>
      </c>
      <c r="CZ18" t="s">
        <v>2453</v>
      </c>
    </row>
    <row r="19" spans="1:104" ht="15.75" customHeight="1">
      <c r="A19" t="s">
        <v>5608</v>
      </c>
      <c r="B19" t="s">
        <v>5607</v>
      </c>
      <c r="C19" t="s">
        <v>5606</v>
      </c>
      <c r="D19">
        <v>23</v>
      </c>
      <c r="E19" t="s">
        <v>2468</v>
      </c>
      <c r="F19" t="s">
        <v>3077</v>
      </c>
      <c r="G19" t="s">
        <v>2488</v>
      </c>
      <c r="H19"/>
      <c r="I19"/>
      <c r="J19" t="s">
        <v>2522</v>
      </c>
      <c r="K19"/>
      <c r="L19"/>
      <c r="M19">
        <v>22</v>
      </c>
      <c r="N19">
        <v>481</v>
      </c>
      <c r="O19">
        <v>26</v>
      </c>
      <c r="P19">
        <v>20</v>
      </c>
      <c r="Q19">
        <v>208</v>
      </c>
      <c r="R19" t="s">
        <v>2464</v>
      </c>
      <c r="S19" t="s">
        <v>5605</v>
      </c>
      <c r="T19" t="s">
        <v>5589</v>
      </c>
      <c r="U19" t="s">
        <v>2462</v>
      </c>
      <c r="V19">
        <v>40</v>
      </c>
      <c r="W19">
        <v>40</v>
      </c>
      <c r="X19"/>
      <c r="Y19">
        <v>80</v>
      </c>
      <c r="Z19"/>
      <c r="AA19">
        <v>29</v>
      </c>
      <c r="AB19">
        <v>10</v>
      </c>
      <c r="AC19">
        <v>27</v>
      </c>
      <c r="AD19">
        <v>18</v>
      </c>
      <c r="AE19">
        <v>17</v>
      </c>
      <c r="AF19">
        <v>21</v>
      </c>
      <c r="AG19">
        <v>90</v>
      </c>
      <c r="AH19"/>
      <c r="AI19"/>
      <c r="AJ19"/>
      <c r="AK19"/>
      <c r="AL19"/>
      <c r="AM19"/>
      <c r="AN19"/>
      <c r="AO19">
        <v>285</v>
      </c>
      <c r="AP19"/>
      <c r="AQ19"/>
      <c r="AR19"/>
      <c r="AS19"/>
      <c r="AT19"/>
      <c r="AU19"/>
      <c r="AV19"/>
      <c r="AW19"/>
      <c r="AX19"/>
      <c r="AY19"/>
      <c r="AZ19"/>
      <c r="BA19"/>
      <c r="BB19"/>
      <c r="BC19"/>
      <c r="BD19"/>
      <c r="BE19"/>
      <c r="BF19"/>
      <c r="BG19"/>
      <c r="BH19"/>
      <c r="BI19"/>
      <c r="BJ19"/>
      <c r="BK19"/>
      <c r="BL19"/>
      <c r="BM19"/>
      <c r="BN19"/>
      <c r="BO19"/>
      <c r="BP19" t="s">
        <v>2480</v>
      </c>
      <c r="BQ19" t="s">
        <v>5513</v>
      </c>
      <c r="BR19" t="s">
        <v>2480</v>
      </c>
      <c r="BS19" t="s">
        <v>2479</v>
      </c>
      <c r="BT19" t="s">
        <v>5604</v>
      </c>
      <c r="BU19" t="s">
        <v>5603</v>
      </c>
      <c r="BV19" t="s">
        <v>2476</v>
      </c>
      <c r="BW19" t="s">
        <v>5586</v>
      </c>
      <c r="BX19" t="s">
        <v>5585</v>
      </c>
      <c r="BY19" t="s">
        <v>2978</v>
      </c>
      <c r="BZ19" t="s">
        <v>5584</v>
      </c>
      <c r="CA19" t="s">
        <v>5583</v>
      </c>
      <c r="CB19" t="s">
        <v>3057</v>
      </c>
      <c r="CC19" t="s">
        <v>5582</v>
      </c>
      <c r="CD19" t="s">
        <v>3057</v>
      </c>
      <c r="CE19" t="s">
        <v>2556</v>
      </c>
      <c r="CF19" t="s">
        <v>5602</v>
      </c>
      <c r="CG19" t="s">
        <v>5580</v>
      </c>
      <c r="CH19"/>
      <c r="CI19"/>
      <c r="CJ19"/>
      <c r="CK19" t="s">
        <v>5524</v>
      </c>
      <c r="CL19" t="s">
        <v>5523</v>
      </c>
      <c r="CM19" t="s">
        <v>5522</v>
      </c>
      <c r="CN19" t="s">
        <v>5521</v>
      </c>
      <c r="CO19" t="s">
        <v>5520</v>
      </c>
      <c r="CP19" t="s">
        <v>5579</v>
      </c>
      <c r="CQ19"/>
      <c r="CR19"/>
      <c r="CS19"/>
      <c r="CT19"/>
      <c r="CU19"/>
      <c r="CV19"/>
      <c r="CW19"/>
      <c r="CX19" t="s">
        <v>2454</v>
      </c>
      <c r="CY19">
        <v>90</v>
      </c>
      <c r="CZ19" t="s">
        <v>2453</v>
      </c>
    </row>
    <row r="20" spans="1:104" ht="15.75" customHeight="1">
      <c r="A20" t="s">
        <v>5601</v>
      </c>
      <c r="B20" t="s">
        <v>5600</v>
      </c>
      <c r="C20" t="s">
        <v>5599</v>
      </c>
      <c r="D20">
        <v>20</v>
      </c>
      <c r="E20" t="s">
        <v>2468</v>
      </c>
      <c r="F20" t="s">
        <v>3077</v>
      </c>
      <c r="G20" t="s">
        <v>2488</v>
      </c>
      <c r="H20"/>
      <c r="I20"/>
      <c r="J20" t="s">
        <v>2535</v>
      </c>
      <c r="K20"/>
      <c r="L20"/>
      <c r="M20">
        <v>20</v>
      </c>
      <c r="N20">
        <v>297</v>
      </c>
      <c r="O20">
        <v>17</v>
      </c>
      <c r="P20">
        <v>20</v>
      </c>
      <c r="Q20">
        <v>119</v>
      </c>
      <c r="R20" t="s">
        <v>2464</v>
      </c>
      <c r="S20" t="s">
        <v>5515</v>
      </c>
      <c r="T20" t="s">
        <v>5407</v>
      </c>
      <c r="U20" t="s">
        <v>2462</v>
      </c>
      <c r="V20">
        <v>40</v>
      </c>
      <c r="W20">
        <v>40</v>
      </c>
      <c r="X20"/>
      <c r="Y20">
        <v>80</v>
      </c>
      <c r="Z20"/>
      <c r="AA20">
        <v>27</v>
      </c>
      <c r="AB20">
        <v>10</v>
      </c>
      <c r="AC20">
        <v>25</v>
      </c>
      <c r="AD20">
        <v>16</v>
      </c>
      <c r="AE20">
        <v>15</v>
      </c>
      <c r="AF20">
        <v>19</v>
      </c>
      <c r="AG20">
        <v>104</v>
      </c>
      <c r="AH20"/>
      <c r="AI20"/>
      <c r="AJ20"/>
      <c r="AK20"/>
      <c r="AL20"/>
      <c r="AM20"/>
      <c r="AN20"/>
      <c r="AO20">
        <v>293</v>
      </c>
      <c r="AP20"/>
      <c r="AQ20"/>
      <c r="AR20"/>
      <c r="AS20"/>
      <c r="AT20"/>
      <c r="AU20"/>
      <c r="AV20"/>
      <c r="AW20"/>
      <c r="AX20"/>
      <c r="AY20" t="s">
        <v>2945</v>
      </c>
      <c r="AZ20" t="s">
        <v>5514</v>
      </c>
      <c r="BA20" t="s">
        <v>2945</v>
      </c>
      <c r="BB20"/>
      <c r="BC20"/>
      <c r="BD20"/>
      <c r="BE20"/>
      <c r="BF20"/>
      <c r="BG20"/>
      <c r="BH20"/>
      <c r="BI20"/>
      <c r="BJ20"/>
      <c r="BK20"/>
      <c r="BL20"/>
      <c r="BM20"/>
      <c r="BN20"/>
      <c r="BO20"/>
      <c r="BP20" t="s">
        <v>2480</v>
      </c>
      <c r="BQ20" t="s">
        <v>5513</v>
      </c>
      <c r="BR20" t="s">
        <v>2480</v>
      </c>
      <c r="BS20" t="s">
        <v>2479</v>
      </c>
      <c r="BT20" t="s">
        <v>5598</v>
      </c>
      <c r="BU20" t="s">
        <v>5597</v>
      </c>
      <c r="BV20" t="s">
        <v>2476</v>
      </c>
      <c r="BW20" t="s">
        <v>5510</v>
      </c>
      <c r="BX20" t="s">
        <v>5509</v>
      </c>
      <c r="BY20" t="s">
        <v>2978</v>
      </c>
      <c r="BZ20" t="s">
        <v>5508</v>
      </c>
      <c r="CA20" t="s">
        <v>5507</v>
      </c>
      <c r="CB20" t="s">
        <v>3057</v>
      </c>
      <c r="CC20" t="s">
        <v>5596</v>
      </c>
      <c r="CD20" t="s">
        <v>3057</v>
      </c>
      <c r="CE20" t="s">
        <v>2495</v>
      </c>
      <c r="CF20" t="s">
        <v>5595</v>
      </c>
      <c r="CG20" t="s">
        <v>2506</v>
      </c>
      <c r="CH20" t="s">
        <v>3729</v>
      </c>
      <c r="CI20" t="s">
        <v>5525</v>
      </c>
      <c r="CJ20" t="s">
        <v>3729</v>
      </c>
      <c r="CK20" t="s">
        <v>5524</v>
      </c>
      <c r="CL20" t="s">
        <v>5523</v>
      </c>
      <c r="CM20" t="s">
        <v>5522</v>
      </c>
      <c r="CN20" t="s">
        <v>5521</v>
      </c>
      <c r="CO20" t="s">
        <v>5520</v>
      </c>
      <c r="CP20" t="s">
        <v>5594</v>
      </c>
      <c r="CQ20"/>
      <c r="CR20"/>
      <c r="CS20"/>
      <c r="CT20"/>
      <c r="CU20"/>
      <c r="CV20"/>
      <c r="CW20"/>
      <c r="CX20" t="s">
        <v>2454</v>
      </c>
      <c r="CY20">
        <v>104</v>
      </c>
      <c r="CZ20" t="s">
        <v>2453</v>
      </c>
    </row>
    <row r="21" spans="1:104" ht="15.75" customHeight="1">
      <c r="A21" t="s">
        <v>5593</v>
      </c>
      <c r="B21" t="s">
        <v>5592</v>
      </c>
      <c r="C21" t="s">
        <v>5591</v>
      </c>
      <c r="D21">
        <v>22</v>
      </c>
      <c r="E21" t="s">
        <v>2468</v>
      </c>
      <c r="F21" t="s">
        <v>3077</v>
      </c>
      <c r="G21" t="s">
        <v>2488</v>
      </c>
      <c r="H21"/>
      <c r="I21"/>
      <c r="J21" t="s">
        <v>2502</v>
      </c>
      <c r="K21"/>
      <c r="L21"/>
      <c r="M21">
        <v>22</v>
      </c>
      <c r="N21">
        <v>444</v>
      </c>
      <c r="O21">
        <v>24</v>
      </c>
      <c r="P21">
        <v>20</v>
      </c>
      <c r="Q21">
        <v>192</v>
      </c>
      <c r="R21" t="s">
        <v>2464</v>
      </c>
      <c r="S21" t="s">
        <v>5590</v>
      </c>
      <c r="T21" t="s">
        <v>5589</v>
      </c>
      <c r="U21" t="s">
        <v>2462</v>
      </c>
      <c r="V21">
        <v>40</v>
      </c>
      <c r="W21"/>
      <c r="X21"/>
      <c r="Y21">
        <v>80</v>
      </c>
      <c r="Z21">
        <v>40</v>
      </c>
      <c r="AA21">
        <v>29</v>
      </c>
      <c r="AB21">
        <v>10</v>
      </c>
      <c r="AC21">
        <v>27</v>
      </c>
      <c r="AD21">
        <v>18</v>
      </c>
      <c r="AE21">
        <v>17</v>
      </c>
      <c r="AF21">
        <v>21</v>
      </c>
      <c r="AG21">
        <v>107</v>
      </c>
      <c r="AH21"/>
      <c r="AI21"/>
      <c r="AJ21"/>
      <c r="AK21"/>
      <c r="AL21"/>
      <c r="AM21"/>
      <c r="AN21"/>
      <c r="AO21">
        <v>296</v>
      </c>
      <c r="AP21"/>
      <c r="AQ21"/>
      <c r="AR21"/>
      <c r="AS21"/>
      <c r="AT21"/>
      <c r="AU21"/>
      <c r="AV21"/>
      <c r="AW21"/>
      <c r="AX21"/>
      <c r="AY21" t="s">
        <v>2520</v>
      </c>
      <c r="AZ21" t="s">
        <v>2521</v>
      </c>
      <c r="BA21" t="s">
        <v>2520</v>
      </c>
      <c r="BB21" t="s">
        <v>2945</v>
      </c>
      <c r="BC21" t="s">
        <v>5514</v>
      </c>
      <c r="BD21" t="s">
        <v>2945</v>
      </c>
      <c r="BE21"/>
      <c r="BF21"/>
      <c r="BG21"/>
      <c r="BH21"/>
      <c r="BI21"/>
      <c r="BJ21"/>
      <c r="BK21"/>
      <c r="BL21"/>
      <c r="BM21"/>
      <c r="BN21"/>
      <c r="BO21"/>
      <c r="BP21" t="s">
        <v>2480</v>
      </c>
      <c r="BQ21" t="s">
        <v>5513</v>
      </c>
      <c r="BR21" t="s">
        <v>2480</v>
      </c>
      <c r="BS21" t="s">
        <v>2479</v>
      </c>
      <c r="BT21" t="s">
        <v>5588</v>
      </c>
      <c r="BU21" t="s">
        <v>5587</v>
      </c>
      <c r="BV21" t="s">
        <v>2476</v>
      </c>
      <c r="BW21" t="s">
        <v>5586</v>
      </c>
      <c r="BX21" t="s">
        <v>5585</v>
      </c>
      <c r="BY21" t="s">
        <v>2978</v>
      </c>
      <c r="BZ21" t="s">
        <v>5584</v>
      </c>
      <c r="CA21" t="s">
        <v>5583</v>
      </c>
      <c r="CB21" t="s">
        <v>3057</v>
      </c>
      <c r="CC21" t="s">
        <v>5582</v>
      </c>
      <c r="CD21" t="s">
        <v>3057</v>
      </c>
      <c r="CE21" t="s">
        <v>2495</v>
      </c>
      <c r="CF21" t="s">
        <v>5581</v>
      </c>
      <c r="CG21" t="s">
        <v>5580</v>
      </c>
      <c r="CH21" t="s">
        <v>3729</v>
      </c>
      <c r="CI21" t="s">
        <v>5525</v>
      </c>
      <c r="CJ21" t="s">
        <v>3729</v>
      </c>
      <c r="CK21" t="s">
        <v>5524</v>
      </c>
      <c r="CL21" t="s">
        <v>5523</v>
      </c>
      <c r="CM21" t="s">
        <v>5522</v>
      </c>
      <c r="CN21" t="s">
        <v>5521</v>
      </c>
      <c r="CO21" t="s">
        <v>5520</v>
      </c>
      <c r="CP21" t="s">
        <v>5579</v>
      </c>
      <c r="CQ21"/>
      <c r="CR21"/>
      <c r="CS21"/>
      <c r="CT21"/>
      <c r="CU21"/>
      <c r="CV21"/>
      <c r="CW21"/>
      <c r="CX21" t="s">
        <v>2454</v>
      </c>
      <c r="CY21">
        <v>107</v>
      </c>
      <c r="CZ21" t="s">
        <v>2453</v>
      </c>
    </row>
    <row r="22" spans="1:104" ht="15.75" customHeight="1">
      <c r="A22" t="s">
        <v>5578</v>
      </c>
      <c r="B22" t="s">
        <v>5577</v>
      </c>
      <c r="C22" t="s">
        <v>5576</v>
      </c>
      <c r="D22">
        <v>21</v>
      </c>
      <c r="E22" t="s">
        <v>2468</v>
      </c>
      <c r="F22" t="s">
        <v>3077</v>
      </c>
      <c r="G22" t="s">
        <v>2488</v>
      </c>
      <c r="H22"/>
      <c r="I22"/>
      <c r="J22" t="s">
        <v>2535</v>
      </c>
      <c r="K22"/>
      <c r="L22"/>
      <c r="M22">
        <v>21</v>
      </c>
      <c r="N22">
        <v>350</v>
      </c>
      <c r="O22">
        <v>20</v>
      </c>
      <c r="P22">
        <v>20</v>
      </c>
      <c r="Q22">
        <v>140</v>
      </c>
      <c r="R22" t="s">
        <v>2464</v>
      </c>
      <c r="S22" t="s">
        <v>5559</v>
      </c>
      <c r="T22" t="s">
        <v>5575</v>
      </c>
      <c r="U22" t="s">
        <v>2462</v>
      </c>
      <c r="V22">
        <v>40</v>
      </c>
      <c r="W22"/>
      <c r="X22">
        <v>40</v>
      </c>
      <c r="Y22">
        <v>80</v>
      </c>
      <c r="Z22"/>
      <c r="AA22">
        <v>27</v>
      </c>
      <c r="AB22">
        <v>12</v>
      </c>
      <c r="AC22">
        <v>25</v>
      </c>
      <c r="AD22">
        <v>20</v>
      </c>
      <c r="AE22">
        <v>17</v>
      </c>
      <c r="AF22">
        <v>19</v>
      </c>
      <c r="AG22">
        <v>110</v>
      </c>
      <c r="AH22"/>
      <c r="AI22"/>
      <c r="AJ22"/>
      <c r="AK22"/>
      <c r="AL22"/>
      <c r="AM22"/>
      <c r="AN22"/>
      <c r="AO22">
        <v>298</v>
      </c>
      <c r="AP22"/>
      <c r="AQ22"/>
      <c r="AR22"/>
      <c r="AS22"/>
      <c r="AT22"/>
      <c r="AU22"/>
      <c r="AV22"/>
      <c r="AW22"/>
      <c r="AX22"/>
      <c r="AY22" t="s">
        <v>2945</v>
      </c>
      <c r="AZ22" t="s">
        <v>5514</v>
      </c>
      <c r="BA22" t="s">
        <v>2945</v>
      </c>
      <c r="BB22"/>
      <c r="BC22"/>
      <c r="BD22"/>
      <c r="BE22"/>
      <c r="BF22"/>
      <c r="BG22"/>
      <c r="BH22"/>
      <c r="BI22"/>
      <c r="BJ22"/>
      <c r="BK22"/>
      <c r="BL22"/>
      <c r="BM22"/>
      <c r="BN22"/>
      <c r="BO22"/>
      <c r="BP22" t="s">
        <v>2480</v>
      </c>
      <c r="BQ22" t="s">
        <v>5513</v>
      </c>
      <c r="BR22" t="s">
        <v>2480</v>
      </c>
      <c r="BS22" t="s">
        <v>2479</v>
      </c>
      <c r="BT22" t="s">
        <v>5574</v>
      </c>
      <c r="BU22" t="s">
        <v>5573</v>
      </c>
      <c r="BV22" t="s">
        <v>2476</v>
      </c>
      <c r="BW22" t="s">
        <v>5572</v>
      </c>
      <c r="BX22" t="s">
        <v>5571</v>
      </c>
      <c r="BY22" t="s">
        <v>2978</v>
      </c>
      <c r="BZ22" t="s">
        <v>5553</v>
      </c>
      <c r="CA22" t="s">
        <v>5552</v>
      </c>
      <c r="CB22" t="s">
        <v>3057</v>
      </c>
      <c r="CC22" t="s">
        <v>5551</v>
      </c>
      <c r="CD22" t="s">
        <v>3057</v>
      </c>
      <c r="CE22" t="s">
        <v>2495</v>
      </c>
      <c r="CF22" t="s">
        <v>5570</v>
      </c>
      <c r="CG22" t="s">
        <v>5569</v>
      </c>
      <c r="CH22" t="s">
        <v>3729</v>
      </c>
      <c r="CI22" t="s">
        <v>5525</v>
      </c>
      <c r="CJ22" t="s">
        <v>3729</v>
      </c>
      <c r="CK22" t="s">
        <v>5524</v>
      </c>
      <c r="CL22" t="s">
        <v>5523</v>
      </c>
      <c r="CM22" t="s">
        <v>5522</v>
      </c>
      <c r="CN22" t="s">
        <v>5521</v>
      </c>
      <c r="CO22" t="s">
        <v>5520</v>
      </c>
      <c r="CP22" t="s">
        <v>5548</v>
      </c>
      <c r="CQ22"/>
      <c r="CR22"/>
      <c r="CS22"/>
      <c r="CT22"/>
      <c r="CU22"/>
      <c r="CV22"/>
      <c r="CW22"/>
      <c r="CX22" t="s">
        <v>2454</v>
      </c>
      <c r="CY22">
        <v>110</v>
      </c>
      <c r="CZ22" t="s">
        <v>2453</v>
      </c>
    </row>
    <row r="23" spans="1:104" ht="15.75" customHeight="1">
      <c r="A23" t="s">
        <v>5568</v>
      </c>
      <c r="B23" t="s">
        <v>5567</v>
      </c>
      <c r="C23" t="s">
        <v>5566</v>
      </c>
      <c r="D23">
        <v>24</v>
      </c>
      <c r="E23" t="s">
        <v>2468</v>
      </c>
      <c r="F23" t="s">
        <v>3077</v>
      </c>
      <c r="G23" t="s">
        <v>2488</v>
      </c>
      <c r="H23"/>
      <c r="I23"/>
      <c r="J23" t="s">
        <v>2502</v>
      </c>
      <c r="K23"/>
      <c r="L23"/>
      <c r="M23">
        <v>22</v>
      </c>
      <c r="N23">
        <v>546</v>
      </c>
      <c r="O23">
        <v>28</v>
      </c>
      <c r="P23">
        <v>20</v>
      </c>
      <c r="Q23">
        <v>252</v>
      </c>
      <c r="R23" t="s">
        <v>2464</v>
      </c>
      <c r="S23" t="s">
        <v>5536</v>
      </c>
      <c r="T23" t="s">
        <v>5535</v>
      </c>
      <c r="U23" t="s">
        <v>2462</v>
      </c>
      <c r="V23">
        <v>40</v>
      </c>
      <c r="W23"/>
      <c r="X23"/>
      <c r="Y23">
        <v>80</v>
      </c>
      <c r="Z23">
        <v>40</v>
      </c>
      <c r="AA23">
        <v>30</v>
      </c>
      <c r="AB23">
        <v>14</v>
      </c>
      <c r="AC23">
        <v>29</v>
      </c>
      <c r="AD23">
        <v>18</v>
      </c>
      <c r="AE23">
        <v>17</v>
      </c>
      <c r="AF23">
        <v>28</v>
      </c>
      <c r="AG23">
        <v>113</v>
      </c>
      <c r="AH23"/>
      <c r="AI23"/>
      <c r="AJ23"/>
      <c r="AK23"/>
      <c r="AL23"/>
      <c r="AM23"/>
      <c r="AN23"/>
      <c r="AO23">
        <v>301</v>
      </c>
      <c r="AP23"/>
      <c r="AQ23"/>
      <c r="AR23"/>
      <c r="AS23"/>
      <c r="AT23"/>
      <c r="AU23"/>
      <c r="AV23"/>
      <c r="AW23"/>
      <c r="AX23"/>
      <c r="AY23" t="s">
        <v>2520</v>
      </c>
      <c r="AZ23" t="s">
        <v>2521</v>
      </c>
      <c r="BA23" t="s">
        <v>2520</v>
      </c>
      <c r="BB23" t="s">
        <v>2945</v>
      </c>
      <c r="BC23" t="s">
        <v>5514</v>
      </c>
      <c r="BD23" t="s">
        <v>2945</v>
      </c>
      <c r="BE23"/>
      <c r="BF23"/>
      <c r="BG23"/>
      <c r="BH23"/>
      <c r="BI23"/>
      <c r="BJ23"/>
      <c r="BK23"/>
      <c r="BL23"/>
      <c r="BM23"/>
      <c r="BN23"/>
      <c r="BO23"/>
      <c r="BP23" t="s">
        <v>2480</v>
      </c>
      <c r="BQ23" t="s">
        <v>5513</v>
      </c>
      <c r="BR23" t="s">
        <v>2480</v>
      </c>
      <c r="BS23" t="s">
        <v>2479</v>
      </c>
      <c r="BT23" t="s">
        <v>5534</v>
      </c>
      <c r="BU23" t="s">
        <v>5533</v>
      </c>
      <c r="BV23" t="s">
        <v>2476</v>
      </c>
      <c r="BW23" t="s">
        <v>5532</v>
      </c>
      <c r="BX23" t="s">
        <v>5531</v>
      </c>
      <c r="BY23" t="s">
        <v>2978</v>
      </c>
      <c r="BZ23" t="s">
        <v>5530</v>
      </c>
      <c r="CA23" t="s">
        <v>5529</v>
      </c>
      <c r="CB23" t="s">
        <v>3057</v>
      </c>
      <c r="CC23" t="s">
        <v>5565</v>
      </c>
      <c r="CD23" t="s">
        <v>3057</v>
      </c>
      <c r="CE23" t="s">
        <v>2495</v>
      </c>
      <c r="CF23" t="s">
        <v>5564</v>
      </c>
      <c r="CG23" t="s">
        <v>5563</v>
      </c>
      <c r="CH23" t="s">
        <v>3729</v>
      </c>
      <c r="CI23" t="s">
        <v>5525</v>
      </c>
      <c r="CJ23" t="s">
        <v>3729</v>
      </c>
      <c r="CK23" t="s">
        <v>5524</v>
      </c>
      <c r="CL23" t="s">
        <v>5523</v>
      </c>
      <c r="CM23" t="s">
        <v>5522</v>
      </c>
      <c r="CN23" t="s">
        <v>5521</v>
      </c>
      <c r="CO23" t="s">
        <v>5520</v>
      </c>
      <c r="CP23" t="s">
        <v>5519</v>
      </c>
      <c r="CQ23"/>
      <c r="CR23"/>
      <c r="CS23"/>
      <c r="CT23"/>
      <c r="CU23"/>
      <c r="CV23"/>
      <c r="CW23"/>
      <c r="CX23" t="s">
        <v>2454</v>
      </c>
      <c r="CY23">
        <v>113</v>
      </c>
      <c r="CZ23" t="s">
        <v>2453</v>
      </c>
    </row>
    <row r="24" spans="1:104" ht="15.75" customHeight="1">
      <c r="A24" t="s">
        <v>5562</v>
      </c>
      <c r="B24" t="s">
        <v>5561</v>
      </c>
      <c r="C24" t="s">
        <v>5560</v>
      </c>
      <c r="D24">
        <v>22</v>
      </c>
      <c r="E24" t="s">
        <v>2468</v>
      </c>
      <c r="F24" t="s">
        <v>3077</v>
      </c>
      <c r="G24" t="s">
        <v>2488</v>
      </c>
      <c r="H24"/>
      <c r="I24"/>
      <c r="J24" t="s">
        <v>2522</v>
      </c>
      <c r="K24"/>
      <c r="L24"/>
      <c r="M24">
        <v>21</v>
      </c>
      <c r="N24">
        <v>385</v>
      </c>
      <c r="O24">
        <v>22</v>
      </c>
      <c r="P24">
        <v>20</v>
      </c>
      <c r="Q24">
        <v>154</v>
      </c>
      <c r="R24" t="s">
        <v>2464</v>
      </c>
      <c r="S24" t="s">
        <v>5559</v>
      </c>
      <c r="T24" t="s">
        <v>3286</v>
      </c>
      <c r="U24" t="s">
        <v>5558</v>
      </c>
      <c r="V24">
        <v>40</v>
      </c>
      <c r="W24"/>
      <c r="X24"/>
      <c r="Y24">
        <v>80</v>
      </c>
      <c r="Z24">
        <v>40</v>
      </c>
      <c r="AA24">
        <v>27</v>
      </c>
      <c r="AB24">
        <v>12</v>
      </c>
      <c r="AC24">
        <v>25</v>
      </c>
      <c r="AD24">
        <v>20</v>
      </c>
      <c r="AE24">
        <v>17</v>
      </c>
      <c r="AF24">
        <v>19</v>
      </c>
      <c r="AG24">
        <v>93</v>
      </c>
      <c r="AH24"/>
      <c r="AI24"/>
      <c r="AJ24"/>
      <c r="AK24"/>
      <c r="AL24"/>
      <c r="AM24"/>
      <c r="AN24"/>
      <c r="AO24">
        <v>287</v>
      </c>
      <c r="AP24"/>
      <c r="AQ24"/>
      <c r="AR24"/>
      <c r="AS24"/>
      <c r="AT24"/>
      <c r="AU24"/>
      <c r="AV24"/>
      <c r="AW24"/>
      <c r="AX24"/>
      <c r="AY24" t="s">
        <v>2520</v>
      </c>
      <c r="AZ24" t="s">
        <v>2521</v>
      </c>
      <c r="BA24" t="s">
        <v>2520</v>
      </c>
      <c r="BB24" t="s">
        <v>2945</v>
      </c>
      <c r="BC24" t="s">
        <v>5514</v>
      </c>
      <c r="BD24" t="s">
        <v>2945</v>
      </c>
      <c r="BE24"/>
      <c r="BF24"/>
      <c r="BG24"/>
      <c r="BH24"/>
      <c r="BI24"/>
      <c r="BJ24"/>
      <c r="BK24"/>
      <c r="BL24"/>
      <c r="BM24"/>
      <c r="BN24"/>
      <c r="BO24"/>
      <c r="BP24" t="s">
        <v>2480</v>
      </c>
      <c r="BQ24" t="s">
        <v>5513</v>
      </c>
      <c r="BR24" t="s">
        <v>2480</v>
      </c>
      <c r="BS24" t="s">
        <v>2479</v>
      </c>
      <c r="BT24" t="s">
        <v>5557</v>
      </c>
      <c r="BU24" t="s">
        <v>5556</v>
      </c>
      <c r="BV24" t="s">
        <v>2476</v>
      </c>
      <c r="BW24" t="s">
        <v>5555</v>
      </c>
      <c r="BX24" t="s">
        <v>5554</v>
      </c>
      <c r="BY24" t="s">
        <v>2978</v>
      </c>
      <c r="BZ24" t="s">
        <v>5553</v>
      </c>
      <c r="CA24" t="s">
        <v>5552</v>
      </c>
      <c r="CB24" t="s">
        <v>3057</v>
      </c>
      <c r="CC24" t="s">
        <v>5551</v>
      </c>
      <c r="CD24" t="s">
        <v>3057</v>
      </c>
      <c r="CE24" t="s">
        <v>2517</v>
      </c>
      <c r="CF24" t="s">
        <v>5550</v>
      </c>
      <c r="CG24" t="s">
        <v>5549</v>
      </c>
      <c r="CH24"/>
      <c r="CI24"/>
      <c r="CJ24"/>
      <c r="CK24" t="s">
        <v>5524</v>
      </c>
      <c r="CL24" t="s">
        <v>5523</v>
      </c>
      <c r="CM24" t="s">
        <v>5522</v>
      </c>
      <c r="CN24" t="s">
        <v>5521</v>
      </c>
      <c r="CO24" t="s">
        <v>5520</v>
      </c>
      <c r="CP24" t="s">
        <v>5548</v>
      </c>
      <c r="CQ24"/>
      <c r="CR24"/>
      <c r="CS24"/>
      <c r="CT24"/>
      <c r="CU24"/>
      <c r="CV24"/>
      <c r="CW24"/>
      <c r="CX24" t="s">
        <v>2454</v>
      </c>
      <c r="CY24">
        <v>93</v>
      </c>
      <c r="CZ24" t="s">
        <v>2453</v>
      </c>
    </row>
    <row r="25" spans="1:104" ht="15.75" customHeight="1">
      <c r="A25" t="s">
        <v>5547</v>
      </c>
      <c r="B25" t="s">
        <v>5546</v>
      </c>
      <c r="C25" t="s">
        <v>5545</v>
      </c>
      <c r="D25">
        <v>24</v>
      </c>
      <c r="E25" t="s">
        <v>2468</v>
      </c>
      <c r="F25" t="s">
        <v>3077</v>
      </c>
      <c r="G25" t="s">
        <v>2488</v>
      </c>
      <c r="H25"/>
      <c r="I25"/>
      <c r="J25" t="s">
        <v>2487</v>
      </c>
      <c r="K25"/>
      <c r="L25"/>
      <c r="M25">
        <v>22</v>
      </c>
      <c r="N25">
        <v>546</v>
      </c>
      <c r="O25">
        <v>28</v>
      </c>
      <c r="P25">
        <v>20</v>
      </c>
      <c r="Q25">
        <v>252</v>
      </c>
      <c r="R25" t="s">
        <v>2464</v>
      </c>
      <c r="S25" t="s">
        <v>5536</v>
      </c>
      <c r="T25" t="s">
        <v>5535</v>
      </c>
      <c r="U25" t="s">
        <v>5544</v>
      </c>
      <c r="V25">
        <v>40</v>
      </c>
      <c r="W25"/>
      <c r="X25">
        <v>40</v>
      </c>
      <c r="Y25">
        <v>80</v>
      </c>
      <c r="Z25"/>
      <c r="AA25">
        <v>30</v>
      </c>
      <c r="AB25">
        <v>10</v>
      </c>
      <c r="AC25">
        <v>29</v>
      </c>
      <c r="AD25">
        <v>18</v>
      </c>
      <c r="AE25">
        <v>15</v>
      </c>
      <c r="AF25">
        <v>23</v>
      </c>
      <c r="AG25">
        <v>97</v>
      </c>
      <c r="AH25"/>
      <c r="AI25"/>
      <c r="AJ25"/>
      <c r="AK25"/>
      <c r="AL25"/>
      <c r="AM25"/>
      <c r="AN25"/>
      <c r="AO25">
        <v>289</v>
      </c>
      <c r="AP25"/>
      <c r="AQ25"/>
      <c r="AR25"/>
      <c r="AS25"/>
      <c r="AT25"/>
      <c r="AU25"/>
      <c r="AV25"/>
      <c r="AW25"/>
      <c r="AX25"/>
      <c r="AY25" t="s">
        <v>2945</v>
      </c>
      <c r="AZ25" t="s">
        <v>5514</v>
      </c>
      <c r="BA25" t="s">
        <v>2945</v>
      </c>
      <c r="BB25"/>
      <c r="BC25"/>
      <c r="BD25"/>
      <c r="BE25"/>
      <c r="BF25"/>
      <c r="BG25"/>
      <c r="BH25"/>
      <c r="BI25"/>
      <c r="BJ25"/>
      <c r="BK25"/>
      <c r="BL25"/>
      <c r="BM25"/>
      <c r="BN25"/>
      <c r="BO25"/>
      <c r="BP25" t="s">
        <v>2480</v>
      </c>
      <c r="BQ25" t="s">
        <v>5513</v>
      </c>
      <c r="BR25" t="s">
        <v>2480</v>
      </c>
      <c r="BS25" t="s">
        <v>2479</v>
      </c>
      <c r="BT25" t="s">
        <v>5543</v>
      </c>
      <c r="BU25" t="s">
        <v>5542</v>
      </c>
      <c r="BV25" t="s">
        <v>2476</v>
      </c>
      <c r="BW25" t="s">
        <v>5532</v>
      </c>
      <c r="BX25" t="s">
        <v>5531</v>
      </c>
      <c r="BY25" t="s">
        <v>2978</v>
      </c>
      <c r="BZ25" t="s">
        <v>5530</v>
      </c>
      <c r="CA25" t="s">
        <v>5529</v>
      </c>
      <c r="CB25" t="s">
        <v>3057</v>
      </c>
      <c r="CC25" t="s">
        <v>5528</v>
      </c>
      <c r="CD25" t="s">
        <v>3057</v>
      </c>
      <c r="CE25" t="s">
        <v>2508</v>
      </c>
      <c r="CF25" t="s">
        <v>5541</v>
      </c>
      <c r="CG25" t="s">
        <v>5540</v>
      </c>
      <c r="CH25"/>
      <c r="CI25"/>
      <c r="CJ25"/>
      <c r="CK25" t="s">
        <v>5524</v>
      </c>
      <c r="CL25" t="s">
        <v>5523</v>
      </c>
      <c r="CM25" t="s">
        <v>5522</v>
      </c>
      <c r="CN25" t="s">
        <v>5521</v>
      </c>
      <c r="CO25" t="s">
        <v>5520</v>
      </c>
      <c r="CP25" t="s">
        <v>5519</v>
      </c>
      <c r="CQ25"/>
      <c r="CR25"/>
      <c r="CS25"/>
      <c r="CT25"/>
      <c r="CU25"/>
      <c r="CV25"/>
      <c r="CW25"/>
      <c r="CX25" t="s">
        <v>2454</v>
      </c>
      <c r="CY25">
        <v>97</v>
      </c>
      <c r="CZ25" t="s">
        <v>2453</v>
      </c>
    </row>
    <row r="26" spans="1:104" ht="15.75" customHeight="1">
      <c r="A26" t="s">
        <v>5539</v>
      </c>
      <c r="B26" t="s">
        <v>5538</v>
      </c>
      <c r="C26" t="s">
        <v>5537</v>
      </c>
      <c r="D26">
        <v>23</v>
      </c>
      <c r="E26" t="s">
        <v>2468</v>
      </c>
      <c r="F26" t="s">
        <v>3077</v>
      </c>
      <c r="G26" t="s">
        <v>2488</v>
      </c>
      <c r="H26"/>
      <c r="I26"/>
      <c r="J26" t="s">
        <v>2502</v>
      </c>
      <c r="K26"/>
      <c r="L26"/>
      <c r="M26">
        <v>22</v>
      </c>
      <c r="N26">
        <v>487</v>
      </c>
      <c r="O26">
        <v>25</v>
      </c>
      <c r="P26">
        <v>20</v>
      </c>
      <c r="Q26">
        <v>225</v>
      </c>
      <c r="R26" t="s">
        <v>2464</v>
      </c>
      <c r="S26" t="s">
        <v>5536</v>
      </c>
      <c r="T26" t="s">
        <v>5535</v>
      </c>
      <c r="U26" t="s">
        <v>2462</v>
      </c>
      <c r="V26">
        <v>40</v>
      </c>
      <c r="W26"/>
      <c r="X26"/>
      <c r="Y26">
        <v>80</v>
      </c>
      <c r="Z26"/>
      <c r="AA26">
        <v>30</v>
      </c>
      <c r="AB26">
        <v>10</v>
      </c>
      <c r="AC26">
        <v>29</v>
      </c>
      <c r="AD26">
        <v>18</v>
      </c>
      <c r="AE26">
        <v>15</v>
      </c>
      <c r="AF26">
        <v>23</v>
      </c>
      <c r="AG26">
        <v>116</v>
      </c>
      <c r="AH26"/>
      <c r="AI26"/>
      <c r="AJ26"/>
      <c r="AK26"/>
      <c r="AL26"/>
      <c r="AM26"/>
      <c r="AN26"/>
      <c r="AO26">
        <v>304</v>
      </c>
      <c r="AP26"/>
      <c r="AQ26"/>
      <c r="AR26"/>
      <c r="AS26"/>
      <c r="AT26"/>
      <c r="AU26"/>
      <c r="AV26"/>
      <c r="AW26"/>
      <c r="AX26"/>
      <c r="AY26" t="s">
        <v>2945</v>
      </c>
      <c r="AZ26" t="s">
        <v>5514</v>
      </c>
      <c r="BA26" t="s">
        <v>2945</v>
      </c>
      <c r="BB26"/>
      <c r="BC26"/>
      <c r="BD26"/>
      <c r="BE26"/>
      <c r="BF26"/>
      <c r="BG26"/>
      <c r="BH26"/>
      <c r="BI26"/>
      <c r="BJ26"/>
      <c r="BK26"/>
      <c r="BL26"/>
      <c r="BM26"/>
      <c r="BN26"/>
      <c r="BO26"/>
      <c r="BP26" t="s">
        <v>2480</v>
      </c>
      <c r="BQ26" t="s">
        <v>5513</v>
      </c>
      <c r="BR26" t="s">
        <v>2480</v>
      </c>
      <c r="BS26" t="s">
        <v>2479</v>
      </c>
      <c r="BT26" t="s">
        <v>5534</v>
      </c>
      <c r="BU26" t="s">
        <v>5533</v>
      </c>
      <c r="BV26" t="s">
        <v>2476</v>
      </c>
      <c r="BW26" t="s">
        <v>5532</v>
      </c>
      <c r="BX26" t="s">
        <v>5531</v>
      </c>
      <c r="BY26" t="s">
        <v>2978</v>
      </c>
      <c r="BZ26" t="s">
        <v>5530</v>
      </c>
      <c r="CA26" t="s">
        <v>5529</v>
      </c>
      <c r="CB26" t="s">
        <v>3057</v>
      </c>
      <c r="CC26" t="s">
        <v>5528</v>
      </c>
      <c r="CD26" t="s">
        <v>3057</v>
      </c>
      <c r="CE26" t="s">
        <v>2495</v>
      </c>
      <c r="CF26" t="s">
        <v>5527</v>
      </c>
      <c r="CG26" t="s">
        <v>5526</v>
      </c>
      <c r="CH26" t="s">
        <v>3729</v>
      </c>
      <c r="CI26" t="s">
        <v>5525</v>
      </c>
      <c r="CJ26" t="s">
        <v>3729</v>
      </c>
      <c r="CK26" t="s">
        <v>5524</v>
      </c>
      <c r="CL26" t="s">
        <v>5523</v>
      </c>
      <c r="CM26" t="s">
        <v>5522</v>
      </c>
      <c r="CN26" t="s">
        <v>5521</v>
      </c>
      <c r="CO26" t="s">
        <v>5520</v>
      </c>
      <c r="CP26" t="s">
        <v>5519</v>
      </c>
      <c r="CQ26"/>
      <c r="CR26"/>
      <c r="CS26"/>
      <c r="CT26"/>
      <c r="CU26"/>
      <c r="CV26"/>
      <c r="CW26"/>
      <c r="CX26" t="s">
        <v>2454</v>
      </c>
      <c r="CY26">
        <v>116</v>
      </c>
      <c r="CZ26" t="s">
        <v>2453</v>
      </c>
    </row>
    <row r="27" spans="1:104" ht="15.75" customHeight="1">
      <c r="A27" t="s">
        <v>5518</v>
      </c>
      <c r="B27" t="s">
        <v>5517</v>
      </c>
      <c r="C27" t="s">
        <v>5516</v>
      </c>
      <c r="D27">
        <v>20</v>
      </c>
      <c r="E27" t="s">
        <v>2468</v>
      </c>
      <c r="F27" t="s">
        <v>3077</v>
      </c>
      <c r="G27" t="s">
        <v>2488</v>
      </c>
      <c r="H27"/>
      <c r="I27"/>
      <c r="J27" t="s">
        <v>2487</v>
      </c>
      <c r="K27"/>
      <c r="L27"/>
      <c r="M27">
        <v>20</v>
      </c>
      <c r="N27">
        <v>333</v>
      </c>
      <c r="O27">
        <v>18</v>
      </c>
      <c r="P27">
        <v>20</v>
      </c>
      <c r="Q27">
        <v>144</v>
      </c>
      <c r="R27" t="s">
        <v>2464</v>
      </c>
      <c r="S27" t="s">
        <v>5515</v>
      </c>
      <c r="T27" t="s">
        <v>5407</v>
      </c>
      <c r="U27" t="s">
        <v>3665</v>
      </c>
      <c r="V27">
        <v>40</v>
      </c>
      <c r="W27">
        <v>40</v>
      </c>
      <c r="X27"/>
      <c r="Y27">
        <v>80</v>
      </c>
      <c r="Z27">
        <v>40</v>
      </c>
      <c r="AA27">
        <v>26</v>
      </c>
      <c r="AB27">
        <v>10</v>
      </c>
      <c r="AC27">
        <v>26</v>
      </c>
      <c r="AD27">
        <v>10</v>
      </c>
      <c r="AE27">
        <v>13</v>
      </c>
      <c r="AF27">
        <v>14</v>
      </c>
      <c r="AG27">
        <v>100</v>
      </c>
      <c r="AH27"/>
      <c r="AI27"/>
      <c r="AJ27"/>
      <c r="AK27"/>
      <c r="AL27"/>
      <c r="AM27"/>
      <c r="AN27"/>
      <c r="AO27">
        <v>291</v>
      </c>
      <c r="AP27"/>
      <c r="AQ27"/>
      <c r="AR27"/>
      <c r="AS27"/>
      <c r="AT27"/>
      <c r="AU27"/>
      <c r="AV27"/>
      <c r="AW27"/>
      <c r="AX27"/>
      <c r="AY27" t="s">
        <v>2482</v>
      </c>
      <c r="AZ27" t="s">
        <v>2483</v>
      </c>
      <c r="BA27" t="s">
        <v>2482</v>
      </c>
      <c r="BB27" t="s">
        <v>2945</v>
      </c>
      <c r="BC27" t="s">
        <v>5514</v>
      </c>
      <c r="BD27" t="s">
        <v>2945</v>
      </c>
      <c r="BE27"/>
      <c r="BF27"/>
      <c r="BG27"/>
      <c r="BH27"/>
      <c r="BI27"/>
      <c r="BJ27"/>
      <c r="BK27"/>
      <c r="BL27"/>
      <c r="BM27"/>
      <c r="BN27"/>
      <c r="BO27"/>
      <c r="BP27" t="s">
        <v>2480</v>
      </c>
      <c r="BQ27" t="s">
        <v>5513</v>
      </c>
      <c r="BR27" t="s">
        <v>2480</v>
      </c>
      <c r="BS27" t="s">
        <v>2479</v>
      </c>
      <c r="BT27" t="s">
        <v>5512</v>
      </c>
      <c r="BU27" t="s">
        <v>5511</v>
      </c>
      <c r="BV27" t="s">
        <v>2476</v>
      </c>
      <c r="BW27" t="s">
        <v>5510</v>
      </c>
      <c r="BX27" t="s">
        <v>5509</v>
      </c>
      <c r="BY27" t="s">
        <v>2978</v>
      </c>
      <c r="BZ27" t="s">
        <v>5508</v>
      </c>
      <c r="CA27" t="s">
        <v>5507</v>
      </c>
      <c r="CB27" t="s">
        <v>3057</v>
      </c>
      <c r="CC27" t="s">
        <v>5506</v>
      </c>
      <c r="CD27" t="s">
        <v>3057</v>
      </c>
      <c r="CE27" t="s">
        <v>2473</v>
      </c>
      <c r="CF27" t="s">
        <v>5505</v>
      </c>
      <c r="CG27" t="s">
        <v>5504</v>
      </c>
      <c r="CH27"/>
      <c r="CI27"/>
      <c r="CJ27"/>
      <c r="CK27"/>
      <c r="CL27"/>
      <c r="CM27"/>
      <c r="CN27"/>
      <c r="CO27"/>
      <c r="CP27"/>
      <c r="CQ27"/>
      <c r="CR27"/>
      <c r="CS27"/>
      <c r="CT27"/>
      <c r="CU27"/>
      <c r="CV27"/>
      <c r="CW27"/>
      <c r="CX27" t="s">
        <v>2454</v>
      </c>
      <c r="CY27">
        <v>100</v>
      </c>
      <c r="CZ27" t="s">
        <v>2453</v>
      </c>
    </row>
    <row r="28" spans="1:104" ht="15.75" customHeight="1">
      <c r="A28" t="s">
        <v>5503</v>
      </c>
      <c r="B28" t="s">
        <v>5503</v>
      </c>
      <c r="C28" t="s">
        <v>5502</v>
      </c>
      <c r="D28">
        <v>17</v>
      </c>
      <c r="E28" t="s">
        <v>2468</v>
      </c>
      <c r="F28" t="s">
        <v>2489</v>
      </c>
      <c r="G28" t="s">
        <v>2587</v>
      </c>
      <c r="H28"/>
      <c r="I28"/>
      <c r="J28" t="s">
        <v>4320</v>
      </c>
      <c r="K28">
        <v>12</v>
      </c>
      <c r="L28" t="s">
        <v>2005</v>
      </c>
      <c r="M28">
        <v>17</v>
      </c>
      <c r="N28">
        <v>199</v>
      </c>
      <c r="O28">
        <v>19</v>
      </c>
      <c r="P28">
        <v>10</v>
      </c>
      <c r="Q28">
        <v>95</v>
      </c>
      <c r="R28" t="s">
        <v>2972</v>
      </c>
      <c r="S28" t="s">
        <v>5501</v>
      </c>
      <c r="T28" t="s">
        <v>2462</v>
      </c>
      <c r="U28" t="s">
        <v>2462</v>
      </c>
      <c r="V28">
        <v>40</v>
      </c>
      <c r="W28"/>
      <c r="X28"/>
      <c r="Y28">
        <v>60</v>
      </c>
      <c r="Z28"/>
      <c r="AA28">
        <v>22</v>
      </c>
      <c r="AB28">
        <v>10</v>
      </c>
      <c r="AC28">
        <v>20</v>
      </c>
      <c r="AD28">
        <v>16</v>
      </c>
      <c r="AE28">
        <v>18</v>
      </c>
      <c r="AF28">
        <v>23</v>
      </c>
      <c r="AG28">
        <v>281</v>
      </c>
      <c r="AH28"/>
      <c r="AI28"/>
      <c r="AJ28"/>
      <c r="AK28"/>
      <c r="AL28"/>
      <c r="AM28"/>
      <c r="AN28"/>
      <c r="AO28">
        <v>350</v>
      </c>
      <c r="AP28"/>
      <c r="AQ28"/>
      <c r="AR28"/>
      <c r="AS28"/>
      <c r="AT28"/>
      <c r="AU28"/>
      <c r="AV28"/>
      <c r="AW28"/>
      <c r="AX28"/>
      <c r="AY28" t="s">
        <v>4317</v>
      </c>
      <c r="AZ28" t="s">
        <v>4318</v>
      </c>
      <c r="BA28" t="s">
        <v>4317</v>
      </c>
      <c r="BB28" t="s">
        <v>2966</v>
      </c>
      <c r="BC28" t="s">
        <v>4316</v>
      </c>
      <c r="BD28" t="s">
        <v>2966</v>
      </c>
      <c r="BE28" t="s">
        <v>3235</v>
      </c>
      <c r="BF28" t="s">
        <v>5500</v>
      </c>
      <c r="BG28" t="s">
        <v>3235</v>
      </c>
      <c r="BH28"/>
      <c r="BI28"/>
      <c r="BJ28"/>
      <c r="BK28"/>
      <c r="BL28"/>
      <c r="BM28"/>
      <c r="BN28"/>
      <c r="BO28"/>
      <c r="BP28" t="s">
        <v>2480</v>
      </c>
      <c r="BQ28" t="s">
        <v>4314</v>
      </c>
      <c r="BR28" t="s">
        <v>2480</v>
      </c>
      <c r="BS28" t="s">
        <v>2476</v>
      </c>
      <c r="BT28" t="s">
        <v>5499</v>
      </c>
      <c r="BU28" t="s">
        <v>5498</v>
      </c>
      <c r="BV28" t="s">
        <v>5496</v>
      </c>
      <c r="BW28" t="s">
        <v>5497</v>
      </c>
      <c r="BX28" t="s">
        <v>5496</v>
      </c>
      <c r="BY28"/>
      <c r="BZ28"/>
      <c r="CA28"/>
      <c r="CB28"/>
      <c r="CC28"/>
      <c r="CD28"/>
      <c r="CE28"/>
      <c r="CF28"/>
      <c r="CG28"/>
      <c r="CH28"/>
      <c r="CI28"/>
      <c r="CJ28"/>
      <c r="CK28" t="s">
        <v>4312</v>
      </c>
      <c r="CL28" t="s">
        <v>4311</v>
      </c>
      <c r="CM28" t="s">
        <v>4310</v>
      </c>
      <c r="CN28" t="s">
        <v>4309</v>
      </c>
      <c r="CO28" t="s">
        <v>4308</v>
      </c>
      <c r="CP28" t="s">
        <v>4307</v>
      </c>
      <c r="CQ28"/>
      <c r="CR28"/>
      <c r="CS28"/>
      <c r="CT28"/>
      <c r="CU28"/>
      <c r="CV28"/>
      <c r="CW28"/>
      <c r="CX28" t="s">
        <v>2454</v>
      </c>
      <c r="CY28">
        <v>281</v>
      </c>
      <c r="CZ28" t="s">
        <v>2453</v>
      </c>
    </row>
    <row r="29" spans="1:104" ht="15.75" customHeight="1">
      <c r="A29" t="s">
        <v>5495</v>
      </c>
      <c r="B29" t="s">
        <v>5494</v>
      </c>
      <c r="C29" t="s">
        <v>5493</v>
      </c>
      <c r="D29">
        <v>1</v>
      </c>
      <c r="E29" t="s">
        <v>2468</v>
      </c>
      <c r="F29" t="s">
        <v>2467</v>
      </c>
      <c r="G29" t="s">
        <v>3164</v>
      </c>
      <c r="H29"/>
      <c r="I29"/>
      <c r="J29" t="s">
        <v>2013</v>
      </c>
      <c r="K29"/>
      <c r="L29"/>
      <c r="M29">
        <v>18</v>
      </c>
      <c r="N29">
        <v>33</v>
      </c>
      <c r="O29">
        <v>6</v>
      </c>
      <c r="P29">
        <v>8</v>
      </c>
      <c r="Q29">
        <v>6</v>
      </c>
      <c r="R29" t="s">
        <v>2464</v>
      </c>
      <c r="S29" t="s">
        <v>2605</v>
      </c>
      <c r="T29" t="s">
        <v>2462</v>
      </c>
      <c r="U29" t="s">
        <v>2462</v>
      </c>
      <c r="V29">
        <v>25</v>
      </c>
      <c r="W29"/>
      <c r="X29"/>
      <c r="Y29"/>
      <c r="Z29"/>
      <c r="AA29">
        <v>14</v>
      </c>
      <c r="AB29">
        <v>11</v>
      </c>
      <c r="AC29">
        <v>13</v>
      </c>
      <c r="AD29">
        <v>1</v>
      </c>
      <c r="AE29">
        <v>3</v>
      </c>
      <c r="AF29">
        <v>1</v>
      </c>
      <c r="AG29">
        <v>19</v>
      </c>
      <c r="AH29"/>
      <c r="AI29"/>
      <c r="AJ29"/>
      <c r="AK29"/>
      <c r="AL29"/>
      <c r="AM29"/>
      <c r="AN29">
        <v>8</v>
      </c>
      <c r="AO29">
        <v>266</v>
      </c>
      <c r="AP29"/>
      <c r="AQ29">
        <v>6</v>
      </c>
      <c r="AR29"/>
      <c r="AS29" t="s">
        <v>5492</v>
      </c>
      <c r="AT29"/>
      <c r="AU29"/>
      <c r="AV29" t="s">
        <v>3570</v>
      </c>
      <c r="AW29"/>
      <c r="AX29"/>
      <c r="AY29" t="s">
        <v>3459</v>
      </c>
      <c r="AZ29" t="s">
        <v>5491</v>
      </c>
      <c r="BA29" t="s">
        <v>3459</v>
      </c>
      <c r="BB29" t="s">
        <v>2886</v>
      </c>
      <c r="BC29" t="s">
        <v>5490</v>
      </c>
      <c r="BD29" t="s">
        <v>2886</v>
      </c>
      <c r="BE29"/>
      <c r="BF29"/>
      <c r="BG29"/>
      <c r="BH29"/>
      <c r="BI29"/>
      <c r="BJ29"/>
      <c r="BK29"/>
      <c r="BL29"/>
      <c r="BM29"/>
      <c r="BN29"/>
      <c r="BO29"/>
      <c r="BP29" t="s">
        <v>2480</v>
      </c>
      <c r="BQ29" t="s">
        <v>5489</v>
      </c>
      <c r="BR29" t="s">
        <v>2480</v>
      </c>
      <c r="BS29" t="s">
        <v>2457</v>
      </c>
      <c r="BT29" t="s">
        <v>4015</v>
      </c>
      <c r="BU29" t="s">
        <v>5488</v>
      </c>
      <c r="BV29"/>
      <c r="BW29"/>
      <c r="BX29"/>
      <c r="BY29"/>
      <c r="BZ29"/>
      <c r="CA29"/>
      <c r="CB29"/>
      <c r="CC29"/>
      <c r="CD29"/>
      <c r="CE29"/>
      <c r="CF29"/>
      <c r="CG29"/>
      <c r="CH29"/>
      <c r="CI29"/>
      <c r="CJ29"/>
      <c r="CK29"/>
      <c r="CL29"/>
      <c r="CM29"/>
      <c r="CN29"/>
      <c r="CO29"/>
      <c r="CP29"/>
      <c r="CQ29"/>
      <c r="CR29"/>
      <c r="CS29"/>
      <c r="CT29"/>
      <c r="CU29"/>
      <c r="CV29"/>
      <c r="CW29"/>
      <c r="CX29" t="s">
        <v>2454</v>
      </c>
      <c r="CY29">
        <v>19</v>
      </c>
      <c r="CZ29" t="s">
        <v>2453</v>
      </c>
    </row>
    <row r="30" spans="1:104" ht="15.75" customHeight="1">
      <c r="A30" t="s">
        <v>5487</v>
      </c>
      <c r="B30" t="s">
        <v>5487</v>
      </c>
      <c r="C30" t="s">
        <v>5486</v>
      </c>
      <c r="D30">
        <v>2</v>
      </c>
      <c r="E30" t="s">
        <v>2468</v>
      </c>
      <c r="F30" t="s">
        <v>2489</v>
      </c>
      <c r="G30" t="s">
        <v>2587</v>
      </c>
      <c r="H30"/>
      <c r="I30"/>
      <c r="J30" t="s">
        <v>2013</v>
      </c>
      <c r="K30"/>
      <c r="L30"/>
      <c r="M30">
        <v>14</v>
      </c>
      <c r="N30">
        <v>39</v>
      </c>
      <c r="O30">
        <v>6</v>
      </c>
      <c r="P30">
        <v>10</v>
      </c>
      <c r="Q30">
        <v>6</v>
      </c>
      <c r="R30" t="s">
        <v>2464</v>
      </c>
      <c r="S30" t="s">
        <v>5485</v>
      </c>
      <c r="T30" t="s">
        <v>5484</v>
      </c>
      <c r="U30" t="s">
        <v>2462</v>
      </c>
      <c r="V30">
        <v>30</v>
      </c>
      <c r="W30">
        <v>10</v>
      </c>
      <c r="X30"/>
      <c r="Y30"/>
      <c r="Z30"/>
      <c r="AA30">
        <v>17</v>
      </c>
      <c r="AB30">
        <v>11</v>
      </c>
      <c r="AC30">
        <v>13</v>
      </c>
      <c r="AD30">
        <v>1</v>
      </c>
      <c r="AE30">
        <v>13</v>
      </c>
      <c r="AF30">
        <v>6</v>
      </c>
      <c r="AG30">
        <v>21</v>
      </c>
      <c r="AH30"/>
      <c r="AI30"/>
      <c r="AJ30"/>
      <c r="AK30"/>
      <c r="AL30"/>
      <c r="AM30"/>
      <c r="AN30"/>
      <c r="AO30">
        <v>267</v>
      </c>
      <c r="AP30"/>
      <c r="AQ30"/>
      <c r="AR30"/>
      <c r="AS30"/>
      <c r="AT30">
        <v>8</v>
      </c>
      <c r="AU30"/>
      <c r="AV30" t="s">
        <v>5483</v>
      </c>
      <c r="AW30"/>
      <c r="AX30"/>
      <c r="AY30"/>
      <c r="AZ30"/>
      <c r="BA30"/>
      <c r="BB30"/>
      <c r="BC30"/>
      <c r="BD30"/>
      <c r="BE30"/>
      <c r="BF30"/>
      <c r="BG30"/>
      <c r="BH30"/>
      <c r="BI30"/>
      <c r="BJ30"/>
      <c r="BK30"/>
      <c r="BL30"/>
      <c r="BM30"/>
      <c r="BN30"/>
      <c r="BO30"/>
      <c r="BP30" t="s">
        <v>2479</v>
      </c>
      <c r="BQ30" t="s">
        <v>5482</v>
      </c>
      <c r="BR30" t="s">
        <v>5481</v>
      </c>
      <c r="BS30" t="s">
        <v>5480</v>
      </c>
      <c r="BT30" t="s">
        <v>5479</v>
      </c>
      <c r="BU30" t="s">
        <v>5478</v>
      </c>
      <c r="BV30"/>
      <c r="BW30"/>
      <c r="BX30"/>
      <c r="BY30"/>
      <c r="BZ30"/>
      <c r="CA30"/>
      <c r="CB30"/>
      <c r="CC30"/>
      <c r="CD30"/>
      <c r="CE30"/>
      <c r="CF30"/>
      <c r="CG30"/>
      <c r="CH30"/>
      <c r="CI30"/>
      <c r="CJ30"/>
      <c r="CK30"/>
      <c r="CL30"/>
      <c r="CM30"/>
      <c r="CN30"/>
      <c r="CO30"/>
      <c r="CP30"/>
      <c r="CQ30"/>
      <c r="CR30"/>
      <c r="CS30"/>
      <c r="CT30"/>
      <c r="CU30"/>
      <c r="CV30"/>
      <c r="CW30"/>
      <c r="CX30" t="s">
        <v>2454</v>
      </c>
      <c r="CY30">
        <v>21</v>
      </c>
      <c r="CZ30" t="s">
        <v>2453</v>
      </c>
    </row>
    <row r="31" spans="1:104" ht="15.75" customHeight="1">
      <c r="A31" t="s">
        <v>5477</v>
      </c>
      <c r="B31" t="s">
        <v>5477</v>
      </c>
      <c r="C31" t="s">
        <v>5476</v>
      </c>
      <c r="D31">
        <v>3</v>
      </c>
      <c r="E31" t="s">
        <v>2468</v>
      </c>
      <c r="F31" t="s">
        <v>2985</v>
      </c>
      <c r="G31" t="s">
        <v>2690</v>
      </c>
      <c r="H31" t="s">
        <v>2984</v>
      </c>
      <c r="I31"/>
      <c r="J31" t="s">
        <v>2013</v>
      </c>
      <c r="K31"/>
      <c r="L31"/>
      <c r="M31">
        <v>15</v>
      </c>
      <c r="N31">
        <v>68</v>
      </c>
      <c r="O31">
        <v>8</v>
      </c>
      <c r="P31">
        <v>12</v>
      </c>
      <c r="Q31">
        <v>16</v>
      </c>
      <c r="R31" t="s">
        <v>2464</v>
      </c>
      <c r="S31" t="s">
        <v>5475</v>
      </c>
      <c r="T31" t="s">
        <v>2462</v>
      </c>
      <c r="U31" t="s">
        <v>2462</v>
      </c>
      <c r="V31">
        <v>30</v>
      </c>
      <c r="W31"/>
      <c r="X31"/>
      <c r="Y31"/>
      <c r="Z31"/>
      <c r="AA31">
        <v>19</v>
      </c>
      <c r="AB31">
        <v>11</v>
      </c>
      <c r="AC31">
        <v>15</v>
      </c>
      <c r="AD31">
        <v>2</v>
      </c>
      <c r="AE31">
        <v>12</v>
      </c>
      <c r="AF31">
        <v>5</v>
      </c>
      <c r="AG31">
        <v>79</v>
      </c>
      <c r="AH31"/>
      <c r="AI31"/>
      <c r="AJ31"/>
      <c r="AK31"/>
      <c r="AL31"/>
      <c r="AM31"/>
      <c r="AN31">
        <v>10</v>
      </c>
      <c r="AO31"/>
      <c r="AP31"/>
      <c r="AQ31"/>
      <c r="AR31"/>
      <c r="AS31"/>
      <c r="AT31"/>
      <c r="AU31"/>
      <c r="AV31"/>
      <c r="AW31"/>
      <c r="AX31"/>
      <c r="AY31"/>
      <c r="AZ31"/>
      <c r="BA31"/>
      <c r="BB31"/>
      <c r="BC31"/>
      <c r="BD31"/>
      <c r="BE31"/>
      <c r="BF31"/>
      <c r="BG31"/>
      <c r="BH31"/>
      <c r="BI31"/>
      <c r="BJ31"/>
      <c r="BK31"/>
      <c r="BL31"/>
      <c r="BM31"/>
      <c r="BN31"/>
      <c r="BO31"/>
      <c r="BP31" t="s">
        <v>2978</v>
      </c>
      <c r="BQ31" t="s">
        <v>5474</v>
      </c>
      <c r="BR31" t="s">
        <v>5473</v>
      </c>
      <c r="BS31"/>
      <c r="BT31"/>
      <c r="BU31"/>
      <c r="BV31"/>
      <c r="BW31"/>
      <c r="BX31"/>
      <c r="BY31"/>
      <c r="BZ31"/>
      <c r="CA31"/>
      <c r="CB31"/>
      <c r="CC31"/>
      <c r="CD31"/>
      <c r="CE31"/>
      <c r="CF31"/>
      <c r="CG31"/>
      <c r="CH31"/>
      <c r="CI31"/>
      <c r="CJ31"/>
      <c r="CK31"/>
      <c r="CL31"/>
      <c r="CM31"/>
      <c r="CN31"/>
      <c r="CO31"/>
      <c r="CP31"/>
      <c r="CQ31"/>
      <c r="CR31"/>
      <c r="CS31"/>
      <c r="CT31"/>
      <c r="CU31"/>
      <c r="CV31"/>
      <c r="CW31"/>
      <c r="CX31" t="s">
        <v>2454</v>
      </c>
      <c r="CY31">
        <v>79</v>
      </c>
      <c r="CZ31" t="s">
        <v>2453</v>
      </c>
    </row>
    <row r="32" spans="1:104" ht="15.75" customHeight="1">
      <c r="A32" t="s">
        <v>5472</v>
      </c>
      <c r="B32" t="s">
        <v>5472</v>
      </c>
      <c r="C32" t="s">
        <v>5471</v>
      </c>
      <c r="D32">
        <v>0.5</v>
      </c>
      <c r="E32" t="s">
        <v>2680</v>
      </c>
      <c r="F32" t="s">
        <v>2467</v>
      </c>
      <c r="G32" t="s">
        <v>2690</v>
      </c>
      <c r="H32"/>
      <c r="I32"/>
      <c r="J32" t="s">
        <v>2013</v>
      </c>
      <c r="K32"/>
      <c r="L32"/>
      <c r="M32">
        <v>12</v>
      </c>
      <c r="N32">
        <v>19</v>
      </c>
      <c r="O32">
        <v>3</v>
      </c>
      <c r="P32">
        <v>8</v>
      </c>
      <c r="Q32">
        <v>6</v>
      </c>
      <c r="R32" t="s">
        <v>2464</v>
      </c>
      <c r="S32" t="s">
        <v>2905</v>
      </c>
      <c r="T32" t="s">
        <v>2905</v>
      </c>
      <c r="U32" t="s">
        <v>2462</v>
      </c>
      <c r="V32">
        <v>30</v>
      </c>
      <c r="W32"/>
      <c r="X32">
        <v>30</v>
      </c>
      <c r="Y32"/>
      <c r="Z32"/>
      <c r="AA32">
        <v>16</v>
      </c>
      <c r="AB32">
        <v>14</v>
      </c>
      <c r="AC32">
        <v>14</v>
      </c>
      <c r="AD32">
        <v>6</v>
      </c>
      <c r="AE32">
        <v>12</v>
      </c>
      <c r="AF32">
        <v>7</v>
      </c>
      <c r="AG32">
        <v>317</v>
      </c>
      <c r="AH32"/>
      <c r="AI32"/>
      <c r="AJ32"/>
      <c r="AK32"/>
      <c r="AL32"/>
      <c r="AM32"/>
      <c r="AN32">
        <v>10</v>
      </c>
      <c r="AO32">
        <v>361</v>
      </c>
      <c r="AP32"/>
      <c r="AQ32"/>
      <c r="AR32"/>
      <c r="AS32"/>
      <c r="AT32"/>
      <c r="AU32"/>
      <c r="AV32"/>
      <c r="AW32"/>
      <c r="AX32"/>
      <c r="AY32"/>
      <c r="AZ32"/>
      <c r="BA32"/>
      <c r="BB32"/>
      <c r="BC32"/>
      <c r="BD32"/>
      <c r="BE32"/>
      <c r="BF32"/>
      <c r="BG32"/>
      <c r="BH32"/>
      <c r="BI32"/>
      <c r="BJ32"/>
      <c r="BK32"/>
      <c r="BL32"/>
      <c r="BM32"/>
      <c r="BN32"/>
      <c r="BO32"/>
      <c r="BP32" t="s">
        <v>2480</v>
      </c>
      <c r="BQ32" t="s">
        <v>4658</v>
      </c>
      <c r="BR32" t="s">
        <v>2480</v>
      </c>
      <c r="BS32" t="s">
        <v>3321</v>
      </c>
      <c r="BT32" t="s">
        <v>4832</v>
      </c>
      <c r="BU32" t="s">
        <v>5470</v>
      </c>
      <c r="BV32" t="s">
        <v>3031</v>
      </c>
      <c r="BW32" t="s">
        <v>5469</v>
      </c>
      <c r="BX32" t="s">
        <v>5468</v>
      </c>
      <c r="BY32"/>
      <c r="BZ32"/>
      <c r="CA32"/>
      <c r="CB32"/>
      <c r="CC32"/>
      <c r="CD32"/>
      <c r="CE32"/>
      <c r="CF32"/>
      <c r="CG32"/>
      <c r="CH32"/>
      <c r="CI32"/>
      <c r="CJ32"/>
      <c r="CK32"/>
      <c r="CL32"/>
      <c r="CM32"/>
      <c r="CN32"/>
      <c r="CO32"/>
      <c r="CP32"/>
      <c r="CQ32"/>
      <c r="CR32"/>
      <c r="CS32"/>
      <c r="CT32"/>
      <c r="CU32"/>
      <c r="CV32"/>
      <c r="CW32"/>
      <c r="CX32" t="s">
        <v>2454</v>
      </c>
      <c r="CY32">
        <v>317</v>
      </c>
      <c r="CZ32" t="s">
        <v>2453</v>
      </c>
    </row>
    <row r="33" spans="1:104" ht="15.75" customHeight="1">
      <c r="A33" t="s">
        <v>5467</v>
      </c>
      <c r="B33" t="s">
        <v>5467</v>
      </c>
      <c r="C33"/>
      <c r="D33">
        <v>0.25</v>
      </c>
      <c r="E33" t="s">
        <v>2608</v>
      </c>
      <c r="F33" t="s">
        <v>2467</v>
      </c>
      <c r="G33" t="s">
        <v>2608</v>
      </c>
      <c r="H33"/>
      <c r="I33"/>
      <c r="J33"/>
      <c r="K33"/>
      <c r="L33"/>
      <c r="M33">
        <v>10</v>
      </c>
      <c r="N33">
        <v>9</v>
      </c>
      <c r="O33">
        <v>2</v>
      </c>
      <c r="P33">
        <v>8</v>
      </c>
      <c r="Q33">
        <v>0</v>
      </c>
      <c r="R33"/>
      <c r="S33" t="s">
        <v>2858</v>
      </c>
      <c r="T33"/>
      <c r="U33"/>
      <c r="V33">
        <v>30</v>
      </c>
      <c r="W33"/>
      <c r="X33"/>
      <c r="Y33"/>
      <c r="Z33"/>
      <c r="AA33">
        <v>10</v>
      </c>
      <c r="AB33">
        <v>10</v>
      </c>
      <c r="AC33">
        <v>10</v>
      </c>
      <c r="AD33">
        <v>15</v>
      </c>
      <c r="AE33">
        <v>10</v>
      </c>
      <c r="AF33">
        <v>11</v>
      </c>
      <c r="AG33"/>
      <c r="AH33"/>
      <c r="AI33"/>
      <c r="AJ33"/>
      <c r="AK33"/>
      <c r="AL33"/>
      <c r="AM33"/>
      <c r="AN33"/>
      <c r="AO33"/>
      <c r="AP33"/>
      <c r="AQ33"/>
      <c r="AR33"/>
      <c r="AS33"/>
      <c r="AT33"/>
      <c r="AU33"/>
      <c r="AV33"/>
      <c r="AW33"/>
      <c r="AX33"/>
      <c r="AY33" t="s">
        <v>3235</v>
      </c>
      <c r="AZ33" t="s">
        <v>5466</v>
      </c>
      <c r="BA33" t="s">
        <v>3235</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row>
    <row r="34" spans="1:104" ht="15.75" customHeight="1">
      <c r="A34" t="s">
        <v>962</v>
      </c>
      <c r="B34" t="s">
        <v>962</v>
      </c>
      <c r="C34" t="s">
        <v>5465</v>
      </c>
      <c r="D34">
        <v>12</v>
      </c>
      <c r="E34" t="s">
        <v>2609</v>
      </c>
      <c r="F34" t="s">
        <v>2467</v>
      </c>
      <c r="G34" t="s">
        <v>2608</v>
      </c>
      <c r="H34" t="s">
        <v>2607</v>
      </c>
      <c r="I34"/>
      <c r="J34" t="s">
        <v>2607</v>
      </c>
      <c r="K34">
        <v>18</v>
      </c>
      <c r="L34" t="s">
        <v>1995</v>
      </c>
      <c r="M34">
        <v>12</v>
      </c>
      <c r="N34">
        <v>99</v>
      </c>
      <c r="O34">
        <v>18</v>
      </c>
      <c r="P34">
        <v>8</v>
      </c>
      <c r="Q34">
        <v>18</v>
      </c>
      <c r="R34" t="s">
        <v>2972</v>
      </c>
      <c r="S34" t="s">
        <v>5464</v>
      </c>
      <c r="T34" t="s">
        <v>2462</v>
      </c>
      <c r="U34" t="s">
        <v>2462</v>
      </c>
      <c r="V34">
        <v>30</v>
      </c>
      <c r="W34"/>
      <c r="X34"/>
      <c r="Y34"/>
      <c r="Z34"/>
      <c r="AA34">
        <v>10</v>
      </c>
      <c r="AB34">
        <v>14</v>
      </c>
      <c r="AC34">
        <v>12</v>
      </c>
      <c r="AD34">
        <v>20</v>
      </c>
      <c r="AE34">
        <v>15</v>
      </c>
      <c r="AF34">
        <v>16</v>
      </c>
      <c r="AG34">
        <v>342</v>
      </c>
      <c r="AH34"/>
      <c r="AI34"/>
      <c r="AJ34"/>
      <c r="AK34"/>
      <c r="AL34"/>
      <c r="AM34"/>
      <c r="AN34"/>
      <c r="AO34">
        <v>390</v>
      </c>
      <c r="AP34"/>
      <c r="AQ34"/>
      <c r="AR34"/>
      <c r="AS34"/>
      <c r="AT34"/>
      <c r="AU34"/>
      <c r="AV34"/>
      <c r="AW34"/>
      <c r="AX34" t="s">
        <v>3328</v>
      </c>
      <c r="AY34" t="s">
        <v>2873</v>
      </c>
      <c r="AZ34" t="s">
        <v>5463</v>
      </c>
      <c r="BA34" t="s">
        <v>2873</v>
      </c>
      <c r="BB34" t="s">
        <v>3235</v>
      </c>
      <c r="BC34" t="s">
        <v>5462</v>
      </c>
      <c r="BD34" t="s">
        <v>3235</v>
      </c>
      <c r="BE34"/>
      <c r="BF34"/>
      <c r="BG34"/>
      <c r="BH34"/>
      <c r="BI34"/>
      <c r="BJ34"/>
      <c r="BK34"/>
      <c r="BL34"/>
      <c r="BM34"/>
      <c r="BN34"/>
      <c r="BO34"/>
      <c r="BP34" t="s">
        <v>4005</v>
      </c>
      <c r="BQ34" t="s">
        <v>5461</v>
      </c>
      <c r="BR34" t="s">
        <v>5460</v>
      </c>
      <c r="BS34"/>
      <c r="BT34"/>
      <c r="BU34"/>
      <c r="BV34"/>
      <c r="BW34"/>
      <c r="BX34"/>
      <c r="BY34"/>
      <c r="BZ34"/>
      <c r="CA34"/>
      <c r="CB34"/>
      <c r="CC34"/>
      <c r="CD34"/>
      <c r="CE34"/>
      <c r="CF34"/>
      <c r="CG34"/>
      <c r="CH34"/>
      <c r="CI34"/>
      <c r="CJ34"/>
      <c r="CK34"/>
      <c r="CL34"/>
      <c r="CM34"/>
      <c r="CN34"/>
      <c r="CO34"/>
      <c r="CP34"/>
      <c r="CQ34"/>
      <c r="CR34"/>
      <c r="CS34"/>
      <c r="CT34"/>
      <c r="CU34"/>
      <c r="CV34"/>
      <c r="CW34"/>
      <c r="CX34" t="s">
        <v>2454</v>
      </c>
      <c r="CY34">
        <v>342</v>
      </c>
      <c r="CZ34" t="s">
        <v>2453</v>
      </c>
    </row>
    <row r="35" spans="1:104" ht="15.75" customHeight="1">
      <c r="A35" t="s">
        <v>5459</v>
      </c>
      <c r="B35" t="s">
        <v>5459</v>
      </c>
      <c r="C35" t="s">
        <v>5458</v>
      </c>
      <c r="D35">
        <v>8</v>
      </c>
      <c r="E35" t="s">
        <v>2609</v>
      </c>
      <c r="F35" t="s">
        <v>2467</v>
      </c>
      <c r="G35" t="s">
        <v>2608</v>
      </c>
      <c r="H35" t="s">
        <v>2607</v>
      </c>
      <c r="I35"/>
      <c r="J35" t="s">
        <v>2606</v>
      </c>
      <c r="K35"/>
      <c r="L35"/>
      <c r="M35">
        <v>15</v>
      </c>
      <c r="N35">
        <v>78</v>
      </c>
      <c r="O35">
        <v>12</v>
      </c>
      <c r="P35">
        <v>8</v>
      </c>
      <c r="Q35">
        <v>24</v>
      </c>
      <c r="R35" t="s">
        <v>2464</v>
      </c>
      <c r="S35" t="s">
        <v>2625</v>
      </c>
      <c r="T35" t="s">
        <v>5146</v>
      </c>
      <c r="U35" t="s">
        <v>2462</v>
      </c>
      <c r="V35">
        <v>30</v>
      </c>
      <c r="W35"/>
      <c r="X35"/>
      <c r="Y35"/>
      <c r="Z35"/>
      <c r="AA35">
        <v>11</v>
      </c>
      <c r="AB35">
        <v>16</v>
      </c>
      <c r="AC35">
        <v>14</v>
      </c>
      <c r="AD35">
        <v>13</v>
      </c>
      <c r="AE35">
        <v>11</v>
      </c>
      <c r="AF35">
        <v>10</v>
      </c>
      <c r="AG35">
        <v>343</v>
      </c>
      <c r="AH35"/>
      <c r="AI35"/>
      <c r="AJ35"/>
      <c r="AK35"/>
      <c r="AL35"/>
      <c r="AM35"/>
      <c r="AN35"/>
      <c r="AO35">
        <v>391</v>
      </c>
      <c r="AP35">
        <v>6</v>
      </c>
      <c r="AQ35">
        <v>6</v>
      </c>
      <c r="AR35"/>
      <c r="AS35"/>
      <c r="AT35">
        <v>8</v>
      </c>
      <c r="AU35"/>
      <c r="AV35"/>
      <c r="AW35"/>
      <c r="AX35"/>
      <c r="AY35" t="s">
        <v>5456</v>
      </c>
      <c r="AZ35" t="s">
        <v>5457</v>
      </c>
      <c r="BA35" t="s">
        <v>5456</v>
      </c>
      <c r="BB35" t="s">
        <v>5454</v>
      </c>
      <c r="BC35" t="s">
        <v>5455</v>
      </c>
      <c r="BD35" t="s">
        <v>5454</v>
      </c>
      <c r="BE35" t="s">
        <v>3215</v>
      </c>
      <c r="BF35" t="s">
        <v>5453</v>
      </c>
      <c r="BG35" t="s">
        <v>5452</v>
      </c>
      <c r="BH35"/>
      <c r="BI35"/>
      <c r="BJ35"/>
      <c r="BK35"/>
      <c r="BL35"/>
      <c r="BM35"/>
      <c r="BN35"/>
      <c r="BO35"/>
      <c r="BP35" t="s">
        <v>2480</v>
      </c>
      <c r="BQ35" t="s">
        <v>5451</v>
      </c>
      <c r="BR35" t="s">
        <v>2480</v>
      </c>
      <c r="BS35" t="s">
        <v>2898</v>
      </c>
      <c r="BT35" t="s">
        <v>5450</v>
      </c>
      <c r="BU35" t="s">
        <v>5449</v>
      </c>
      <c r="BV35" t="s">
        <v>5384</v>
      </c>
      <c r="BW35" t="s">
        <v>5448</v>
      </c>
      <c r="BX35" t="s">
        <v>5447</v>
      </c>
      <c r="BY35"/>
      <c r="BZ35"/>
      <c r="CA35"/>
      <c r="CB35"/>
      <c r="CC35"/>
      <c r="CD35"/>
      <c r="CE35"/>
      <c r="CF35"/>
      <c r="CG35"/>
      <c r="CH35"/>
      <c r="CI35"/>
      <c r="CJ35"/>
      <c r="CK35"/>
      <c r="CL35"/>
      <c r="CM35"/>
      <c r="CN35"/>
      <c r="CO35"/>
      <c r="CP35"/>
      <c r="CQ35"/>
      <c r="CR35"/>
      <c r="CS35"/>
      <c r="CT35"/>
      <c r="CU35"/>
      <c r="CV35"/>
      <c r="CW35"/>
      <c r="CX35" t="s">
        <v>2454</v>
      </c>
      <c r="CY35">
        <v>343</v>
      </c>
      <c r="CZ35" t="s">
        <v>2453</v>
      </c>
    </row>
    <row r="36" spans="1:104" ht="15.75" customHeight="1">
      <c r="A36" t="s">
        <v>5446</v>
      </c>
      <c r="B36" t="s">
        <v>5445</v>
      </c>
      <c r="C36" t="s">
        <v>5444</v>
      </c>
      <c r="D36">
        <v>0</v>
      </c>
      <c r="E36" t="s">
        <v>2680</v>
      </c>
      <c r="F36" t="s">
        <v>2644</v>
      </c>
      <c r="G36" t="s">
        <v>2890</v>
      </c>
      <c r="H36"/>
      <c r="I36"/>
      <c r="J36" t="s">
        <v>2013</v>
      </c>
      <c r="K36"/>
      <c r="L36"/>
      <c r="M36">
        <v>9</v>
      </c>
      <c r="N36">
        <v>10</v>
      </c>
      <c r="O36">
        <v>3</v>
      </c>
      <c r="P36">
        <v>6</v>
      </c>
      <c r="Q36"/>
      <c r="R36" t="s">
        <v>2464</v>
      </c>
      <c r="S36" t="s">
        <v>4133</v>
      </c>
      <c r="T36" t="s">
        <v>2462</v>
      </c>
      <c r="U36" t="s">
        <v>2462</v>
      </c>
      <c r="V36">
        <v>20</v>
      </c>
      <c r="W36"/>
      <c r="X36"/>
      <c r="Y36"/>
      <c r="Z36"/>
      <c r="AA36">
        <v>3</v>
      </c>
      <c r="AB36">
        <v>8</v>
      </c>
      <c r="AC36">
        <v>11</v>
      </c>
      <c r="AD36">
        <v>10</v>
      </c>
      <c r="AE36">
        <v>10</v>
      </c>
      <c r="AF36">
        <v>6</v>
      </c>
      <c r="AG36">
        <v>317</v>
      </c>
      <c r="AH36"/>
      <c r="AI36"/>
      <c r="AJ36"/>
      <c r="AK36"/>
      <c r="AL36"/>
      <c r="AM36"/>
      <c r="AN36">
        <v>10</v>
      </c>
      <c r="AO36">
        <v>361</v>
      </c>
      <c r="AP36"/>
      <c r="AQ36"/>
      <c r="AR36"/>
      <c r="AS36"/>
      <c r="AT36"/>
      <c r="AU36"/>
      <c r="AV36"/>
      <c r="AW36"/>
      <c r="AX36"/>
      <c r="AY36" t="s">
        <v>2886</v>
      </c>
      <c r="AZ36" t="s">
        <v>5443</v>
      </c>
      <c r="BA36" t="s">
        <v>2886</v>
      </c>
      <c r="BB36"/>
      <c r="BC36"/>
      <c r="BD36"/>
      <c r="BE36"/>
      <c r="BF36"/>
      <c r="BG36"/>
      <c r="BH36"/>
      <c r="BI36"/>
      <c r="BJ36"/>
      <c r="BK36"/>
      <c r="BL36"/>
      <c r="BM36"/>
      <c r="BN36"/>
      <c r="BO36"/>
      <c r="BP36" t="s">
        <v>5442</v>
      </c>
      <c r="BQ36" t="s">
        <v>5441</v>
      </c>
      <c r="BR36" t="s">
        <v>5440</v>
      </c>
      <c r="BS36"/>
      <c r="BT36"/>
      <c r="BU36"/>
      <c r="BV36"/>
      <c r="BW36"/>
      <c r="BX36"/>
      <c r="BY36"/>
      <c r="BZ36"/>
      <c r="CA36"/>
      <c r="CB36"/>
      <c r="CC36"/>
      <c r="CD36"/>
      <c r="CE36"/>
      <c r="CF36"/>
      <c r="CG36"/>
      <c r="CH36"/>
      <c r="CI36"/>
      <c r="CJ36"/>
      <c r="CK36"/>
      <c r="CL36"/>
      <c r="CM36"/>
      <c r="CN36"/>
      <c r="CO36"/>
      <c r="CP36"/>
      <c r="CQ36"/>
      <c r="CR36"/>
      <c r="CS36"/>
      <c r="CT36"/>
      <c r="CU36"/>
      <c r="CV36"/>
      <c r="CW36"/>
      <c r="CX36" t="s">
        <v>2454</v>
      </c>
      <c r="CY36">
        <v>317</v>
      </c>
      <c r="CZ36" t="s">
        <v>2453</v>
      </c>
    </row>
    <row r="37" spans="1:104" ht="15.75" customHeight="1">
      <c r="A37" t="s">
        <v>5439</v>
      </c>
      <c r="B37" t="s">
        <v>5438</v>
      </c>
      <c r="C37" t="s">
        <v>5437</v>
      </c>
      <c r="D37">
        <v>2</v>
      </c>
      <c r="E37" t="s">
        <v>2680</v>
      </c>
      <c r="F37" t="s">
        <v>2985</v>
      </c>
      <c r="G37" t="s">
        <v>2890</v>
      </c>
      <c r="H37"/>
      <c r="I37"/>
      <c r="J37" t="s">
        <v>2013</v>
      </c>
      <c r="K37"/>
      <c r="L37"/>
      <c r="M37">
        <v>13</v>
      </c>
      <c r="N37">
        <v>59</v>
      </c>
      <c r="O37">
        <v>7</v>
      </c>
      <c r="P37">
        <v>12</v>
      </c>
      <c r="Q37">
        <v>14</v>
      </c>
      <c r="R37" t="s">
        <v>2464</v>
      </c>
      <c r="S37" t="s">
        <v>3636</v>
      </c>
      <c r="T37" t="s">
        <v>2462</v>
      </c>
      <c r="U37" t="s">
        <v>2462</v>
      </c>
      <c r="V37">
        <v>20</v>
      </c>
      <c r="W37"/>
      <c r="X37"/>
      <c r="Y37"/>
      <c r="Z37"/>
      <c r="AA37">
        <v>19</v>
      </c>
      <c r="AB37">
        <v>6</v>
      </c>
      <c r="AC37">
        <v>15</v>
      </c>
      <c r="AD37">
        <v>10</v>
      </c>
      <c r="AE37">
        <v>10</v>
      </c>
      <c r="AF37">
        <v>7</v>
      </c>
      <c r="AG37">
        <v>317</v>
      </c>
      <c r="AH37"/>
      <c r="AI37"/>
      <c r="AJ37"/>
      <c r="AK37"/>
      <c r="AL37"/>
      <c r="AM37"/>
      <c r="AN37">
        <v>10</v>
      </c>
      <c r="AO37">
        <v>361</v>
      </c>
      <c r="AP37"/>
      <c r="AQ37">
        <v>7</v>
      </c>
      <c r="AR37"/>
      <c r="AS37" t="s">
        <v>5436</v>
      </c>
      <c r="AT37"/>
      <c r="AU37"/>
      <c r="AV37"/>
      <c r="AW37"/>
      <c r="AX37" t="s">
        <v>3038</v>
      </c>
      <c r="AY37" t="s">
        <v>2886</v>
      </c>
      <c r="AZ37" t="s">
        <v>5435</v>
      </c>
      <c r="BA37" t="s">
        <v>2886</v>
      </c>
      <c r="BB37"/>
      <c r="BC37"/>
      <c r="BD37"/>
      <c r="BE37"/>
      <c r="BF37"/>
      <c r="BG37"/>
      <c r="BH37"/>
      <c r="BI37"/>
      <c r="BJ37"/>
      <c r="BK37"/>
      <c r="BL37"/>
      <c r="BM37"/>
      <c r="BN37"/>
      <c r="BO37"/>
      <c r="BP37" t="s">
        <v>2457</v>
      </c>
      <c r="BQ37" t="s">
        <v>5434</v>
      </c>
      <c r="BR37" t="s">
        <v>5433</v>
      </c>
      <c r="BS37"/>
      <c r="BT37"/>
      <c r="BU37"/>
      <c r="BV37"/>
      <c r="BW37"/>
      <c r="BX37"/>
      <c r="BY37"/>
      <c r="BZ37"/>
      <c r="CA37"/>
      <c r="CB37"/>
      <c r="CC37"/>
      <c r="CD37"/>
      <c r="CE37"/>
      <c r="CF37"/>
      <c r="CG37"/>
      <c r="CH37"/>
      <c r="CI37"/>
      <c r="CJ37"/>
      <c r="CK37"/>
      <c r="CL37"/>
      <c r="CM37"/>
      <c r="CN37"/>
      <c r="CO37"/>
      <c r="CP37"/>
      <c r="CQ37"/>
      <c r="CR37"/>
      <c r="CS37"/>
      <c r="CT37"/>
      <c r="CU37"/>
      <c r="CV37"/>
      <c r="CW37"/>
      <c r="CX37" t="s">
        <v>2454</v>
      </c>
      <c r="CY37">
        <v>317</v>
      </c>
      <c r="CZ37" t="s">
        <v>2453</v>
      </c>
    </row>
    <row r="38" spans="1:104" ht="15.75" customHeight="1">
      <c r="A38" t="s">
        <v>5432</v>
      </c>
      <c r="B38" t="s">
        <v>5431</v>
      </c>
      <c r="C38" t="s">
        <v>5430</v>
      </c>
      <c r="D38">
        <v>0.25</v>
      </c>
      <c r="E38" t="s">
        <v>2680</v>
      </c>
      <c r="F38" t="s">
        <v>2489</v>
      </c>
      <c r="G38" t="s">
        <v>2690</v>
      </c>
      <c r="H38"/>
      <c r="I38"/>
      <c r="J38" t="s">
        <v>2013</v>
      </c>
      <c r="K38"/>
      <c r="L38"/>
      <c r="M38">
        <v>11</v>
      </c>
      <c r="N38">
        <v>19</v>
      </c>
      <c r="O38">
        <v>3</v>
      </c>
      <c r="P38">
        <v>10</v>
      </c>
      <c r="Q38">
        <v>3</v>
      </c>
      <c r="R38" t="s">
        <v>2464</v>
      </c>
      <c r="S38" t="s">
        <v>2758</v>
      </c>
      <c r="T38" t="s">
        <v>2462</v>
      </c>
      <c r="U38" t="s">
        <v>2462</v>
      </c>
      <c r="V38">
        <v>50</v>
      </c>
      <c r="W38"/>
      <c r="X38"/>
      <c r="Y38"/>
      <c r="Z38"/>
      <c r="AA38">
        <v>14</v>
      </c>
      <c r="AB38">
        <v>12</v>
      </c>
      <c r="AC38">
        <v>12</v>
      </c>
      <c r="AD38">
        <v>2</v>
      </c>
      <c r="AE38">
        <v>10</v>
      </c>
      <c r="AF38">
        <v>5</v>
      </c>
      <c r="AG38">
        <v>317</v>
      </c>
      <c r="AH38"/>
      <c r="AI38"/>
      <c r="AJ38"/>
      <c r="AK38"/>
      <c r="AL38"/>
      <c r="AM38"/>
      <c r="AN38">
        <v>11</v>
      </c>
      <c r="AO38">
        <v>361</v>
      </c>
      <c r="AP38"/>
      <c r="AQ38"/>
      <c r="AR38"/>
      <c r="AS38"/>
      <c r="AT38"/>
      <c r="AU38"/>
      <c r="AV38" t="s">
        <v>5429</v>
      </c>
      <c r="AW38"/>
      <c r="AX38"/>
      <c r="AY38"/>
      <c r="AZ38"/>
      <c r="BA38"/>
      <c r="BB38"/>
      <c r="BC38"/>
      <c r="BD38"/>
      <c r="BE38"/>
      <c r="BF38"/>
      <c r="BG38"/>
      <c r="BH38"/>
      <c r="BI38"/>
      <c r="BJ38"/>
      <c r="BK38"/>
      <c r="BL38"/>
      <c r="BM38"/>
      <c r="BN38"/>
      <c r="BO38"/>
      <c r="BP38" t="s">
        <v>2854</v>
      </c>
      <c r="BQ38" t="s">
        <v>5428</v>
      </c>
      <c r="BR38" t="s">
        <v>5427</v>
      </c>
      <c r="BS38"/>
      <c r="BT38"/>
      <c r="BU38"/>
      <c r="BV38"/>
      <c r="BW38"/>
      <c r="BX38"/>
      <c r="BY38"/>
      <c r="BZ38"/>
      <c r="CA38"/>
      <c r="CB38"/>
      <c r="CC38"/>
      <c r="CD38"/>
      <c r="CE38"/>
      <c r="CF38"/>
      <c r="CG38"/>
      <c r="CH38"/>
      <c r="CI38"/>
      <c r="CJ38"/>
      <c r="CK38"/>
      <c r="CL38"/>
      <c r="CM38"/>
      <c r="CN38"/>
      <c r="CO38"/>
      <c r="CP38"/>
      <c r="CQ38"/>
      <c r="CR38"/>
      <c r="CS38"/>
      <c r="CT38"/>
      <c r="CU38"/>
      <c r="CV38"/>
      <c r="CW38"/>
      <c r="CX38" t="s">
        <v>2454</v>
      </c>
      <c r="CY38">
        <v>317</v>
      </c>
      <c r="CZ38" t="s">
        <v>2453</v>
      </c>
    </row>
    <row r="39" spans="1:104" ht="14.25">
      <c r="A39" t="s">
        <v>5426</v>
      </c>
      <c r="B39" t="s">
        <v>5426</v>
      </c>
      <c r="C39" t="s">
        <v>5425</v>
      </c>
      <c r="D39">
        <v>2</v>
      </c>
      <c r="E39" t="s">
        <v>2468</v>
      </c>
      <c r="F39" t="s">
        <v>2467</v>
      </c>
      <c r="G39" t="s">
        <v>2626</v>
      </c>
      <c r="H39"/>
      <c r="I39"/>
      <c r="J39" t="s">
        <v>4320</v>
      </c>
      <c r="K39"/>
      <c r="L39"/>
      <c r="M39">
        <v>17</v>
      </c>
      <c r="N39">
        <v>39</v>
      </c>
      <c r="O39">
        <v>6</v>
      </c>
      <c r="P39">
        <v>8</v>
      </c>
      <c r="Q39">
        <v>12</v>
      </c>
      <c r="R39" t="s">
        <v>2464</v>
      </c>
      <c r="S39" t="s">
        <v>2777</v>
      </c>
      <c r="T39" t="s">
        <v>2462</v>
      </c>
      <c r="U39" t="s">
        <v>2462</v>
      </c>
      <c r="V39">
        <v>30</v>
      </c>
      <c r="W39"/>
      <c r="X39"/>
      <c r="Y39"/>
      <c r="Z39"/>
      <c r="AA39">
        <v>17</v>
      </c>
      <c r="AB39">
        <v>12</v>
      </c>
      <c r="AC39">
        <v>15</v>
      </c>
      <c r="AD39">
        <v>12</v>
      </c>
      <c r="AE39">
        <v>13</v>
      </c>
      <c r="AF39">
        <v>10</v>
      </c>
      <c r="AG39">
        <v>22</v>
      </c>
      <c r="AH39"/>
      <c r="AI39"/>
      <c r="AJ39"/>
      <c r="AK39"/>
      <c r="AL39"/>
      <c r="AM39"/>
      <c r="AN39"/>
      <c r="AO39">
        <v>268</v>
      </c>
      <c r="AP39"/>
      <c r="AQ39"/>
      <c r="AR39"/>
      <c r="AS39"/>
      <c r="AT39">
        <v>9</v>
      </c>
      <c r="AU39"/>
      <c r="AV39" t="s">
        <v>3999</v>
      </c>
      <c r="AW39"/>
      <c r="AX39"/>
      <c r="AY39" t="s">
        <v>3416</v>
      </c>
      <c r="AZ39" t="s">
        <v>5424</v>
      </c>
      <c r="BA39" t="s">
        <v>5423</v>
      </c>
      <c r="BB39" t="s">
        <v>3412</v>
      </c>
      <c r="BC39" t="s">
        <v>5422</v>
      </c>
      <c r="BD39" t="s">
        <v>3412</v>
      </c>
      <c r="BE39" t="s">
        <v>3791</v>
      </c>
      <c r="BF39" t="s">
        <v>5421</v>
      </c>
      <c r="BG39" t="s">
        <v>3791</v>
      </c>
      <c r="BH39"/>
      <c r="BI39"/>
      <c r="BJ39"/>
      <c r="BK39"/>
      <c r="BL39"/>
      <c r="BM39"/>
      <c r="BN39"/>
      <c r="BO39"/>
      <c r="BP39" t="s">
        <v>5420</v>
      </c>
      <c r="BQ39" t="s">
        <v>5419</v>
      </c>
      <c r="BR39" t="s">
        <v>5418</v>
      </c>
      <c r="BS39"/>
      <c r="BT39"/>
      <c r="BU39"/>
      <c r="BV39"/>
      <c r="BW39"/>
      <c r="BX39"/>
      <c r="BY39"/>
      <c r="BZ39"/>
      <c r="CA39"/>
      <c r="CB39"/>
      <c r="CC39"/>
      <c r="CD39"/>
      <c r="CE39"/>
      <c r="CF39"/>
      <c r="CG39"/>
      <c r="CH39"/>
      <c r="CI39"/>
      <c r="CJ39"/>
      <c r="CK39"/>
      <c r="CL39"/>
      <c r="CM39"/>
      <c r="CN39"/>
      <c r="CO39"/>
      <c r="CP39"/>
      <c r="CQ39"/>
      <c r="CR39"/>
      <c r="CS39"/>
      <c r="CT39"/>
      <c r="CU39"/>
      <c r="CV39"/>
      <c r="CW39"/>
      <c r="CX39" t="s">
        <v>2454</v>
      </c>
      <c r="CY39">
        <v>22</v>
      </c>
      <c r="CZ39" t="s">
        <v>2453</v>
      </c>
    </row>
    <row r="40" spans="1:104" ht="14.25">
      <c r="A40" t="s">
        <v>5417</v>
      </c>
      <c r="B40" t="s">
        <v>5417</v>
      </c>
      <c r="C40" t="s">
        <v>5416</v>
      </c>
      <c r="D40">
        <v>0</v>
      </c>
      <c r="E40" t="s">
        <v>2680</v>
      </c>
      <c r="F40" t="s">
        <v>2644</v>
      </c>
      <c r="G40" t="s">
        <v>2690</v>
      </c>
      <c r="H40"/>
      <c r="I40"/>
      <c r="J40" t="s">
        <v>2013</v>
      </c>
      <c r="K40"/>
      <c r="L40"/>
      <c r="M40">
        <v>12</v>
      </c>
      <c r="N40">
        <v>3</v>
      </c>
      <c r="O40">
        <v>1</v>
      </c>
      <c r="P40">
        <v>6</v>
      </c>
      <c r="Q40"/>
      <c r="R40" t="s">
        <v>2464</v>
      </c>
      <c r="S40" t="s">
        <v>4133</v>
      </c>
      <c r="T40" t="s">
        <v>2462</v>
      </c>
      <c r="U40" t="s">
        <v>2462</v>
      </c>
      <c r="V40">
        <v>30</v>
      </c>
      <c r="W40"/>
      <c r="X40">
        <v>30</v>
      </c>
      <c r="Y40"/>
      <c r="Z40"/>
      <c r="AA40">
        <v>8</v>
      </c>
      <c r="AB40">
        <v>14</v>
      </c>
      <c r="AC40">
        <v>11</v>
      </c>
      <c r="AD40">
        <v>4</v>
      </c>
      <c r="AE40">
        <v>12</v>
      </c>
      <c r="AF40">
        <v>6</v>
      </c>
      <c r="AG40">
        <v>318</v>
      </c>
      <c r="AH40"/>
      <c r="AI40"/>
      <c r="AJ40"/>
      <c r="AK40"/>
      <c r="AL40"/>
      <c r="AM40"/>
      <c r="AN40">
        <v>11</v>
      </c>
      <c r="AO40">
        <v>362</v>
      </c>
      <c r="AP40"/>
      <c r="AQ40"/>
      <c r="AR40"/>
      <c r="AS40"/>
      <c r="AT40"/>
      <c r="AU40"/>
      <c r="AV40"/>
      <c r="AW40"/>
      <c r="AX40"/>
      <c r="AY40" t="s">
        <v>2599</v>
      </c>
      <c r="AZ40" t="s">
        <v>5415</v>
      </c>
      <c r="BA40" t="s">
        <v>2599</v>
      </c>
      <c r="BB40"/>
      <c r="BC40"/>
      <c r="BD40"/>
      <c r="BE40"/>
      <c r="BF40"/>
      <c r="BG40"/>
      <c r="BH40"/>
      <c r="BI40"/>
      <c r="BJ40"/>
      <c r="BK40"/>
      <c r="BL40"/>
      <c r="BM40"/>
      <c r="BN40"/>
      <c r="BO40"/>
      <c r="BP40" t="s">
        <v>2479</v>
      </c>
      <c r="BQ40" t="s">
        <v>4129</v>
      </c>
      <c r="BR40" t="s">
        <v>4128</v>
      </c>
      <c r="BS40"/>
      <c r="BT40"/>
      <c r="BU40"/>
      <c r="BV40"/>
      <c r="BW40"/>
      <c r="BX40"/>
      <c r="BY40"/>
      <c r="BZ40"/>
      <c r="CA40"/>
      <c r="CB40"/>
      <c r="CC40"/>
      <c r="CD40"/>
      <c r="CE40"/>
      <c r="CF40"/>
      <c r="CG40"/>
      <c r="CH40"/>
      <c r="CI40"/>
      <c r="CJ40"/>
      <c r="CK40"/>
      <c r="CL40"/>
      <c r="CM40"/>
      <c r="CN40"/>
      <c r="CO40"/>
      <c r="CP40"/>
      <c r="CQ40"/>
      <c r="CR40"/>
      <c r="CS40"/>
      <c r="CT40"/>
      <c r="CU40"/>
      <c r="CV40"/>
      <c r="CW40"/>
      <c r="CX40" t="s">
        <v>2454</v>
      </c>
      <c r="CY40">
        <v>318</v>
      </c>
      <c r="CZ40" t="s">
        <v>2453</v>
      </c>
    </row>
    <row r="41" spans="1:104" ht="14.25">
      <c r="A41" t="s">
        <v>5414</v>
      </c>
      <c r="B41" t="s">
        <v>5414</v>
      </c>
      <c r="C41" t="s">
        <v>5413</v>
      </c>
      <c r="D41">
        <v>0</v>
      </c>
      <c r="E41" t="s">
        <v>2680</v>
      </c>
      <c r="F41" t="s">
        <v>2719</v>
      </c>
      <c r="G41" t="s">
        <v>2690</v>
      </c>
      <c r="H41"/>
      <c r="I41"/>
      <c r="J41" t="s">
        <v>2013</v>
      </c>
      <c r="K41"/>
      <c r="L41"/>
      <c r="M41">
        <v>10</v>
      </c>
      <c r="N41">
        <v>3</v>
      </c>
      <c r="O41">
        <v>1</v>
      </c>
      <c r="P41">
        <v>4</v>
      </c>
      <c r="Q41">
        <v>1</v>
      </c>
      <c r="R41" t="s">
        <v>2464</v>
      </c>
      <c r="S41" t="s">
        <v>2826</v>
      </c>
      <c r="T41" t="s">
        <v>2462</v>
      </c>
      <c r="U41" t="s">
        <v>2462</v>
      </c>
      <c r="V41">
        <v>20</v>
      </c>
      <c r="W41">
        <v>5</v>
      </c>
      <c r="X41"/>
      <c r="Y41"/>
      <c r="Z41"/>
      <c r="AA41">
        <v>4</v>
      </c>
      <c r="AB41">
        <v>11</v>
      </c>
      <c r="AC41">
        <v>12</v>
      </c>
      <c r="AD41">
        <v>2</v>
      </c>
      <c r="AE41">
        <v>12</v>
      </c>
      <c r="AF41">
        <v>5</v>
      </c>
      <c r="AG41">
        <v>318</v>
      </c>
      <c r="AH41"/>
      <c r="AI41"/>
      <c r="AJ41"/>
      <c r="AK41"/>
      <c r="AL41"/>
      <c r="AM41"/>
      <c r="AN41">
        <v>11</v>
      </c>
      <c r="AO41">
        <v>362</v>
      </c>
      <c r="AP41"/>
      <c r="AQ41"/>
      <c r="AR41"/>
      <c r="AS41"/>
      <c r="AT41"/>
      <c r="AU41"/>
      <c r="AV41"/>
      <c r="AW41"/>
      <c r="AX41"/>
      <c r="AY41" t="s">
        <v>2581</v>
      </c>
      <c r="AZ41" t="s">
        <v>4649</v>
      </c>
      <c r="BA41" t="s">
        <v>2581</v>
      </c>
      <c r="BB41"/>
      <c r="BC41"/>
      <c r="BD41"/>
      <c r="BE41"/>
      <c r="BF41"/>
      <c r="BG41"/>
      <c r="BH41"/>
      <c r="BI41"/>
      <c r="BJ41"/>
      <c r="BK41"/>
      <c r="BL41"/>
      <c r="BM41"/>
      <c r="BN41"/>
      <c r="BO41"/>
      <c r="BP41" t="s">
        <v>2479</v>
      </c>
      <c r="BQ41" t="s">
        <v>5412</v>
      </c>
      <c r="BR41" t="s">
        <v>5411</v>
      </c>
      <c r="BS41"/>
      <c r="BT41"/>
      <c r="BU41"/>
      <c r="BV41"/>
      <c r="BW41"/>
      <c r="BX41"/>
      <c r="BY41"/>
      <c r="BZ41"/>
      <c r="CA41"/>
      <c r="CB41"/>
      <c r="CC41"/>
      <c r="CD41"/>
      <c r="CE41"/>
      <c r="CF41"/>
      <c r="CG41"/>
      <c r="CH41"/>
      <c r="CI41"/>
      <c r="CJ41"/>
      <c r="CK41"/>
      <c r="CL41"/>
      <c r="CM41"/>
      <c r="CN41"/>
      <c r="CO41"/>
      <c r="CP41"/>
      <c r="CQ41"/>
      <c r="CR41"/>
      <c r="CS41"/>
      <c r="CT41"/>
      <c r="CU41"/>
      <c r="CV41"/>
      <c r="CW41"/>
      <c r="CX41" t="s">
        <v>2454</v>
      </c>
      <c r="CY41">
        <v>318</v>
      </c>
      <c r="CZ41" t="s">
        <v>2453</v>
      </c>
    </row>
    <row r="42" spans="1:104" ht="14.25">
      <c r="A42" t="s">
        <v>5410</v>
      </c>
      <c r="B42" t="s">
        <v>5410</v>
      </c>
      <c r="C42" t="s">
        <v>5409</v>
      </c>
      <c r="D42">
        <v>19</v>
      </c>
      <c r="E42" t="s">
        <v>2468</v>
      </c>
      <c r="F42" t="s">
        <v>2985</v>
      </c>
      <c r="G42" t="s">
        <v>2879</v>
      </c>
      <c r="H42" t="s">
        <v>2878</v>
      </c>
      <c r="I42"/>
      <c r="J42" t="s">
        <v>2487</v>
      </c>
      <c r="K42"/>
      <c r="L42"/>
      <c r="M42">
        <v>19</v>
      </c>
      <c r="N42">
        <v>262</v>
      </c>
      <c r="O42">
        <v>21</v>
      </c>
      <c r="P42">
        <v>12</v>
      </c>
      <c r="Q42">
        <v>126</v>
      </c>
      <c r="R42" t="s">
        <v>2464</v>
      </c>
      <c r="S42" t="s">
        <v>5408</v>
      </c>
      <c r="T42" t="s">
        <v>5407</v>
      </c>
      <c r="U42" t="s">
        <v>2462</v>
      </c>
      <c r="V42">
        <v>40</v>
      </c>
      <c r="W42"/>
      <c r="X42"/>
      <c r="Y42">
        <v>80</v>
      </c>
      <c r="Z42"/>
      <c r="AA42">
        <v>26</v>
      </c>
      <c r="AB42">
        <v>15</v>
      </c>
      <c r="AC42">
        <v>22</v>
      </c>
      <c r="AD42">
        <v>20</v>
      </c>
      <c r="AE42">
        <v>16</v>
      </c>
      <c r="AF42">
        <v>22</v>
      </c>
      <c r="AG42">
        <v>55</v>
      </c>
      <c r="AH42"/>
      <c r="AI42"/>
      <c r="AJ42"/>
      <c r="AK42"/>
      <c r="AL42"/>
      <c r="AM42"/>
      <c r="AN42"/>
      <c r="AO42">
        <v>273</v>
      </c>
      <c r="AP42"/>
      <c r="AQ42"/>
      <c r="AR42"/>
      <c r="AS42"/>
      <c r="AT42"/>
      <c r="AU42"/>
      <c r="AV42"/>
      <c r="AW42"/>
      <c r="AX42"/>
      <c r="AY42" t="s">
        <v>5406</v>
      </c>
      <c r="AZ42" t="s">
        <v>5405</v>
      </c>
      <c r="BA42" t="s">
        <v>5404</v>
      </c>
      <c r="BB42" t="s">
        <v>5403</v>
      </c>
      <c r="BC42" t="s">
        <v>5402</v>
      </c>
      <c r="BD42" t="s">
        <v>5401</v>
      </c>
      <c r="BE42" t="s">
        <v>2873</v>
      </c>
      <c r="BF42" t="s">
        <v>5400</v>
      </c>
      <c r="BG42" t="s">
        <v>2873</v>
      </c>
      <c r="BH42" t="s">
        <v>2966</v>
      </c>
      <c r="BI42" t="s">
        <v>5399</v>
      </c>
      <c r="BJ42"/>
      <c r="BK42"/>
      <c r="BL42"/>
      <c r="BM42"/>
      <c r="BN42"/>
      <c r="BO42"/>
      <c r="BP42" t="s">
        <v>2480</v>
      </c>
      <c r="BQ42" t="s">
        <v>5398</v>
      </c>
      <c r="BR42" t="s">
        <v>2480</v>
      </c>
      <c r="BS42" t="s">
        <v>2727</v>
      </c>
      <c r="BT42" t="s">
        <v>5397</v>
      </c>
      <c r="BU42" t="s">
        <v>5396</v>
      </c>
      <c r="BV42" t="s">
        <v>5395</v>
      </c>
      <c r="BW42" t="s">
        <v>5394</v>
      </c>
      <c r="BX42" t="s">
        <v>5393</v>
      </c>
      <c r="BY42" t="s">
        <v>3267</v>
      </c>
      <c r="BZ42" t="s">
        <v>5392</v>
      </c>
      <c r="CA42" t="s">
        <v>3267</v>
      </c>
      <c r="CB42" t="s">
        <v>2861</v>
      </c>
      <c r="CC42" t="s">
        <v>5391</v>
      </c>
      <c r="CD42" t="s">
        <v>2861</v>
      </c>
      <c r="CE42"/>
      <c r="CF42"/>
      <c r="CG42"/>
      <c r="CH42"/>
      <c r="CI42"/>
      <c r="CJ42"/>
      <c r="CK42"/>
      <c r="CL42"/>
      <c r="CM42"/>
      <c r="CN42"/>
      <c r="CO42"/>
      <c r="CP42"/>
      <c r="CQ42"/>
      <c r="CR42"/>
      <c r="CS42"/>
      <c r="CT42"/>
      <c r="CU42"/>
      <c r="CV42"/>
      <c r="CW42"/>
      <c r="CX42" t="s">
        <v>2454</v>
      </c>
      <c r="CY42">
        <v>55</v>
      </c>
      <c r="CZ42" t="s">
        <v>2453</v>
      </c>
    </row>
    <row r="43" spans="1:104" ht="14.25">
      <c r="A43" t="s">
        <v>5390</v>
      </c>
      <c r="B43" t="s">
        <v>5390</v>
      </c>
      <c r="C43" t="s">
        <v>5389</v>
      </c>
      <c r="D43">
        <v>0.125</v>
      </c>
      <c r="E43" t="s">
        <v>2609</v>
      </c>
      <c r="F43" t="s">
        <v>2467</v>
      </c>
      <c r="G43" t="s">
        <v>2608</v>
      </c>
      <c r="H43" t="s">
        <v>2607</v>
      </c>
      <c r="I43"/>
      <c r="J43" t="s">
        <v>5378</v>
      </c>
      <c r="K43"/>
      <c r="L43"/>
      <c r="M43">
        <v>12</v>
      </c>
      <c r="N43">
        <v>11</v>
      </c>
      <c r="O43">
        <v>2</v>
      </c>
      <c r="P43">
        <v>8</v>
      </c>
      <c r="Q43">
        <v>2</v>
      </c>
      <c r="R43" t="s">
        <v>2464</v>
      </c>
      <c r="S43" t="s">
        <v>2463</v>
      </c>
      <c r="T43" t="s">
        <v>3023</v>
      </c>
      <c r="U43" t="s">
        <v>2462</v>
      </c>
      <c r="V43">
        <v>30</v>
      </c>
      <c r="W43"/>
      <c r="X43"/>
      <c r="Y43"/>
      <c r="Z43"/>
      <c r="AA43">
        <v>11</v>
      </c>
      <c r="AB43">
        <v>12</v>
      </c>
      <c r="AC43">
        <v>12</v>
      </c>
      <c r="AD43">
        <v>10</v>
      </c>
      <c r="AE43">
        <v>10</v>
      </c>
      <c r="AF43">
        <v>10</v>
      </c>
      <c r="AG43">
        <v>343</v>
      </c>
      <c r="AH43"/>
      <c r="AI43"/>
      <c r="AJ43"/>
      <c r="AK43"/>
      <c r="AL43"/>
      <c r="AM43"/>
      <c r="AN43">
        <v>53</v>
      </c>
      <c r="AO43">
        <v>391</v>
      </c>
      <c r="AP43">
        <v>6</v>
      </c>
      <c r="AQ43"/>
      <c r="AR43"/>
      <c r="AS43" t="s">
        <v>5388</v>
      </c>
      <c r="AT43"/>
      <c r="AU43"/>
      <c r="AV43" t="s">
        <v>5387</v>
      </c>
      <c r="AW43"/>
      <c r="AX43" t="s">
        <v>5386</v>
      </c>
      <c r="AY43"/>
      <c r="AZ43"/>
      <c r="BA43"/>
      <c r="BB43"/>
      <c r="BC43"/>
      <c r="BD43"/>
      <c r="BE43"/>
      <c r="BF43"/>
      <c r="BG43"/>
      <c r="BH43"/>
      <c r="BI43"/>
      <c r="BJ43"/>
      <c r="BK43"/>
      <c r="BL43"/>
      <c r="BM43"/>
      <c r="BN43"/>
      <c r="BO43"/>
      <c r="BP43" t="s">
        <v>4411</v>
      </c>
      <c r="BQ43" t="s">
        <v>5385</v>
      </c>
      <c r="BR43" t="s">
        <v>5056</v>
      </c>
      <c r="BS43" t="s">
        <v>5384</v>
      </c>
      <c r="BT43" t="s">
        <v>5383</v>
      </c>
      <c r="BU43" t="s">
        <v>5382</v>
      </c>
      <c r="BV43"/>
      <c r="BW43"/>
      <c r="BX43"/>
      <c r="BY43"/>
      <c r="BZ43"/>
      <c r="CA43"/>
      <c r="CB43"/>
      <c r="CC43"/>
      <c r="CD43"/>
      <c r="CE43"/>
      <c r="CF43"/>
      <c r="CG43"/>
      <c r="CH43"/>
      <c r="CI43"/>
      <c r="CJ43"/>
      <c r="CK43"/>
      <c r="CL43"/>
      <c r="CM43"/>
      <c r="CN43"/>
      <c r="CO43"/>
      <c r="CP43"/>
      <c r="CQ43"/>
      <c r="CR43"/>
      <c r="CS43"/>
      <c r="CT43"/>
      <c r="CU43"/>
      <c r="CV43"/>
      <c r="CW43"/>
      <c r="CX43" t="s">
        <v>2454</v>
      </c>
      <c r="CY43">
        <v>343</v>
      </c>
      <c r="CZ43" t="s">
        <v>2453</v>
      </c>
    </row>
    <row r="44" spans="1:104" ht="14.25">
      <c r="A44" t="s">
        <v>5381</v>
      </c>
      <c r="B44" t="s">
        <v>5380</v>
      </c>
      <c r="C44" t="s">
        <v>5379</v>
      </c>
      <c r="D44">
        <v>2</v>
      </c>
      <c r="E44" t="s">
        <v>2609</v>
      </c>
      <c r="F44" t="s">
        <v>2467</v>
      </c>
      <c r="G44" t="s">
        <v>2608</v>
      </c>
      <c r="H44" t="s">
        <v>2607</v>
      </c>
      <c r="I44"/>
      <c r="J44" t="s">
        <v>5378</v>
      </c>
      <c r="K44"/>
      <c r="L44"/>
      <c r="M44">
        <v>15</v>
      </c>
      <c r="N44">
        <v>65</v>
      </c>
      <c r="O44">
        <v>10</v>
      </c>
      <c r="P44">
        <v>8</v>
      </c>
      <c r="Q44">
        <v>20</v>
      </c>
      <c r="R44" t="s">
        <v>2464</v>
      </c>
      <c r="S44" t="s">
        <v>2905</v>
      </c>
      <c r="T44" t="s">
        <v>3191</v>
      </c>
      <c r="U44" t="s">
        <v>2462</v>
      </c>
      <c r="V44">
        <v>30</v>
      </c>
      <c r="W44"/>
      <c r="X44"/>
      <c r="Y44"/>
      <c r="Z44"/>
      <c r="AA44">
        <v>15</v>
      </c>
      <c r="AB44">
        <v>16</v>
      </c>
      <c r="AC44">
        <v>14</v>
      </c>
      <c r="AD44">
        <v>14</v>
      </c>
      <c r="AE44">
        <v>11</v>
      </c>
      <c r="AF44">
        <v>14</v>
      </c>
      <c r="AG44">
        <v>344</v>
      </c>
      <c r="AH44"/>
      <c r="AI44"/>
      <c r="AJ44"/>
      <c r="AK44"/>
      <c r="AL44"/>
      <c r="AM44"/>
      <c r="AN44"/>
      <c r="AO44">
        <v>392</v>
      </c>
      <c r="AP44"/>
      <c r="AQ44"/>
      <c r="AR44"/>
      <c r="AS44" t="s">
        <v>5377</v>
      </c>
      <c r="AT44">
        <v>9</v>
      </c>
      <c r="AU44"/>
      <c r="AV44" t="s">
        <v>5310</v>
      </c>
      <c r="AW44"/>
      <c r="AX44" t="s">
        <v>5376</v>
      </c>
      <c r="AY44"/>
      <c r="AZ44"/>
      <c r="BA44"/>
      <c r="BB44"/>
      <c r="BC44"/>
      <c r="BD44"/>
      <c r="BE44"/>
      <c r="BF44"/>
      <c r="BG44"/>
      <c r="BH44"/>
      <c r="BI44"/>
      <c r="BJ44"/>
      <c r="BK44"/>
      <c r="BL44"/>
      <c r="BM44"/>
      <c r="BN44"/>
      <c r="BO44"/>
      <c r="BP44" t="s">
        <v>2480</v>
      </c>
      <c r="BQ44" t="s">
        <v>5375</v>
      </c>
      <c r="BR44" t="s">
        <v>2480</v>
      </c>
      <c r="BS44" t="s">
        <v>4411</v>
      </c>
      <c r="BT44" t="s">
        <v>2764</v>
      </c>
      <c r="BU44" t="s">
        <v>2763</v>
      </c>
      <c r="BV44" t="s">
        <v>4005</v>
      </c>
      <c r="BW44" t="s">
        <v>5374</v>
      </c>
      <c r="BX44" t="s">
        <v>4065</v>
      </c>
      <c r="BY44"/>
      <c r="BZ44"/>
      <c r="CA44"/>
      <c r="CB44"/>
      <c r="CC44"/>
      <c r="CD44"/>
      <c r="CE44"/>
      <c r="CF44"/>
      <c r="CG44"/>
      <c r="CH44"/>
      <c r="CI44"/>
      <c r="CJ44"/>
      <c r="CK44"/>
      <c r="CL44"/>
      <c r="CM44"/>
      <c r="CN44"/>
      <c r="CO44"/>
      <c r="CP44"/>
      <c r="CQ44"/>
      <c r="CR44"/>
      <c r="CS44"/>
      <c r="CT44"/>
      <c r="CU44"/>
      <c r="CV44" t="s">
        <v>3782</v>
      </c>
      <c r="CW44" t="s">
        <v>5373</v>
      </c>
      <c r="CX44" t="s">
        <v>2454</v>
      </c>
      <c r="CY44">
        <v>344</v>
      </c>
      <c r="CZ44" t="s">
        <v>2453</v>
      </c>
    </row>
    <row r="45" spans="1:104" ht="14.25">
      <c r="A45" t="s">
        <v>5372</v>
      </c>
      <c r="B45" t="s">
        <v>5372</v>
      </c>
      <c r="C45" t="s">
        <v>5371</v>
      </c>
      <c r="D45">
        <v>4</v>
      </c>
      <c r="E45" t="s">
        <v>2468</v>
      </c>
      <c r="F45" t="s">
        <v>2467</v>
      </c>
      <c r="G45" t="s">
        <v>2466</v>
      </c>
      <c r="H45"/>
      <c r="I45"/>
      <c r="J45" t="s">
        <v>2487</v>
      </c>
      <c r="K45"/>
      <c r="L45"/>
      <c r="M45">
        <v>12</v>
      </c>
      <c r="N45">
        <v>58</v>
      </c>
      <c r="O45">
        <v>13</v>
      </c>
      <c r="P45">
        <v>8</v>
      </c>
      <c r="Q45"/>
      <c r="R45" t="s">
        <v>2464</v>
      </c>
      <c r="S45" t="s">
        <v>3776</v>
      </c>
      <c r="T45" t="s">
        <v>2462</v>
      </c>
      <c r="U45" t="s">
        <v>2462</v>
      </c>
      <c r="V45">
        <v>0</v>
      </c>
      <c r="W45"/>
      <c r="X45"/>
      <c r="Y45">
        <v>40</v>
      </c>
      <c r="Z45"/>
      <c r="AA45">
        <v>1</v>
      </c>
      <c r="AB45">
        <v>14</v>
      </c>
      <c r="AC45">
        <v>10</v>
      </c>
      <c r="AD45">
        <v>12</v>
      </c>
      <c r="AE45">
        <v>11</v>
      </c>
      <c r="AF45">
        <v>17</v>
      </c>
      <c r="AG45">
        <v>23</v>
      </c>
      <c r="AH45"/>
      <c r="AI45"/>
      <c r="AJ45"/>
      <c r="AK45"/>
      <c r="AL45"/>
      <c r="AM45"/>
      <c r="AN45">
        <v>11</v>
      </c>
      <c r="AO45"/>
      <c r="AP45"/>
      <c r="AQ45"/>
      <c r="AR45"/>
      <c r="AS45"/>
      <c r="AT45"/>
      <c r="AU45"/>
      <c r="AV45"/>
      <c r="AW45"/>
      <c r="AX45" t="s">
        <v>2669</v>
      </c>
      <c r="AY45" t="s">
        <v>5369</v>
      </c>
      <c r="AZ45" t="s">
        <v>5370</v>
      </c>
      <c r="BA45" t="s">
        <v>5369</v>
      </c>
      <c r="BB45" t="s">
        <v>2667</v>
      </c>
      <c r="BC45" t="s">
        <v>5368</v>
      </c>
      <c r="BD45" t="s">
        <v>2667</v>
      </c>
      <c r="BE45"/>
      <c r="BF45"/>
      <c r="BG45"/>
      <c r="BH45"/>
      <c r="BI45"/>
      <c r="BJ45"/>
      <c r="BK45"/>
      <c r="BL45"/>
      <c r="BM45"/>
      <c r="BN45"/>
      <c r="BO45"/>
      <c r="BP45" t="s">
        <v>5367</v>
      </c>
      <c r="BQ45" t="s">
        <v>5366</v>
      </c>
      <c r="BR45" t="s">
        <v>5365</v>
      </c>
      <c r="BS45" t="s">
        <v>4671</v>
      </c>
      <c r="BT45" t="s">
        <v>5364</v>
      </c>
      <c r="BU45" t="s">
        <v>4671</v>
      </c>
      <c r="BV45" t="s">
        <v>5362</v>
      </c>
      <c r="BW45" t="s">
        <v>5363</v>
      </c>
      <c r="BX45" t="s">
        <v>5362</v>
      </c>
      <c r="BY45"/>
      <c r="BZ45"/>
      <c r="CA45"/>
      <c r="CB45"/>
      <c r="CC45"/>
      <c r="CD45"/>
      <c r="CE45"/>
      <c r="CF45"/>
      <c r="CG45"/>
      <c r="CH45"/>
      <c r="CI45"/>
      <c r="CJ45"/>
      <c r="CK45"/>
      <c r="CL45"/>
      <c r="CM45"/>
      <c r="CN45"/>
      <c r="CO45"/>
      <c r="CP45"/>
      <c r="CQ45"/>
      <c r="CR45"/>
      <c r="CS45"/>
      <c r="CT45"/>
      <c r="CU45"/>
      <c r="CV45"/>
      <c r="CW45"/>
      <c r="CX45" t="s">
        <v>2454</v>
      </c>
      <c r="CY45">
        <v>23</v>
      </c>
      <c r="CZ45" t="s">
        <v>2453</v>
      </c>
    </row>
    <row r="46" spans="1:104" ht="14.25">
      <c r="A46" t="s">
        <v>5361</v>
      </c>
      <c r="B46" t="s">
        <v>5360</v>
      </c>
      <c r="C46" t="s">
        <v>5359</v>
      </c>
      <c r="D46">
        <v>5</v>
      </c>
      <c r="E46" t="s">
        <v>2468</v>
      </c>
      <c r="F46" t="s">
        <v>2467</v>
      </c>
      <c r="G46" t="s">
        <v>2879</v>
      </c>
      <c r="H46" t="s">
        <v>3667</v>
      </c>
      <c r="I46"/>
      <c r="J46" t="s">
        <v>2522</v>
      </c>
      <c r="K46"/>
      <c r="L46"/>
      <c r="M46">
        <v>15</v>
      </c>
      <c r="N46">
        <v>110</v>
      </c>
      <c r="O46">
        <v>13</v>
      </c>
      <c r="P46">
        <v>8</v>
      </c>
      <c r="Q46">
        <v>52</v>
      </c>
      <c r="R46" t="s">
        <v>2464</v>
      </c>
      <c r="S46" t="s">
        <v>2625</v>
      </c>
      <c r="T46" t="s">
        <v>2877</v>
      </c>
      <c r="U46" t="s">
        <v>2462</v>
      </c>
      <c r="V46">
        <v>30</v>
      </c>
      <c r="W46"/>
      <c r="X46"/>
      <c r="Y46"/>
      <c r="Z46"/>
      <c r="AA46">
        <v>16</v>
      </c>
      <c r="AB46">
        <v>17</v>
      </c>
      <c r="AC46">
        <v>18</v>
      </c>
      <c r="AD46">
        <v>12</v>
      </c>
      <c r="AE46">
        <v>14</v>
      </c>
      <c r="AF46">
        <v>14</v>
      </c>
      <c r="AG46">
        <v>70</v>
      </c>
      <c r="AH46"/>
      <c r="AI46"/>
      <c r="AJ46"/>
      <c r="AK46"/>
      <c r="AL46"/>
      <c r="AM46"/>
      <c r="AN46"/>
      <c r="AO46">
        <v>277</v>
      </c>
      <c r="AP46"/>
      <c r="AQ46">
        <v>7</v>
      </c>
      <c r="AR46"/>
      <c r="AS46"/>
      <c r="AT46"/>
      <c r="AU46"/>
      <c r="AV46"/>
      <c r="AW46"/>
      <c r="AX46"/>
      <c r="AY46" t="s">
        <v>5358</v>
      </c>
      <c r="AZ46" t="s">
        <v>5357</v>
      </c>
      <c r="BA46" t="s">
        <v>5356</v>
      </c>
      <c r="BB46" t="s">
        <v>4058</v>
      </c>
      <c r="BC46" t="s">
        <v>4192</v>
      </c>
      <c r="BD46" t="s">
        <v>4058</v>
      </c>
      <c r="BE46" t="s">
        <v>2873</v>
      </c>
      <c r="BF46" t="s">
        <v>4191</v>
      </c>
      <c r="BG46" t="s">
        <v>2873</v>
      </c>
      <c r="BH46"/>
      <c r="BI46"/>
      <c r="BJ46"/>
      <c r="BK46"/>
      <c r="BL46"/>
      <c r="BM46"/>
      <c r="BN46"/>
      <c r="BO46"/>
      <c r="BP46" t="s">
        <v>2480</v>
      </c>
      <c r="BQ46" t="s">
        <v>5355</v>
      </c>
      <c r="BR46" t="s">
        <v>2480</v>
      </c>
      <c r="BS46" t="s">
        <v>2476</v>
      </c>
      <c r="BT46" t="s">
        <v>5354</v>
      </c>
      <c r="BU46" t="s">
        <v>2613</v>
      </c>
      <c r="BV46" t="s">
        <v>2978</v>
      </c>
      <c r="BW46" t="s">
        <v>2871</v>
      </c>
      <c r="BX46" t="s">
        <v>5353</v>
      </c>
      <c r="BY46" t="s">
        <v>4224</v>
      </c>
      <c r="BZ46" t="s">
        <v>5352</v>
      </c>
      <c r="CA46" t="s">
        <v>5351</v>
      </c>
      <c r="CB46"/>
      <c r="CC46"/>
      <c r="CD46"/>
      <c r="CE46"/>
      <c r="CF46"/>
      <c r="CG46"/>
      <c r="CH46"/>
      <c r="CI46"/>
      <c r="CJ46"/>
      <c r="CK46"/>
      <c r="CL46"/>
      <c r="CM46"/>
      <c r="CN46"/>
      <c r="CO46"/>
      <c r="CP46"/>
      <c r="CQ46"/>
      <c r="CR46"/>
      <c r="CS46"/>
      <c r="CT46"/>
      <c r="CU46"/>
      <c r="CV46"/>
      <c r="CW46"/>
      <c r="CX46" t="s">
        <v>2454</v>
      </c>
      <c r="CY46">
        <v>70</v>
      </c>
      <c r="CZ46" t="s">
        <v>2453</v>
      </c>
    </row>
    <row r="47" spans="1:104" ht="14.25">
      <c r="A47" t="s">
        <v>5350</v>
      </c>
      <c r="B47" t="s">
        <v>5350</v>
      </c>
      <c r="C47" t="s">
        <v>5349</v>
      </c>
      <c r="D47">
        <v>3</v>
      </c>
      <c r="E47" t="s">
        <v>2468</v>
      </c>
      <c r="F47" t="s">
        <v>2467</v>
      </c>
      <c r="G47" t="s">
        <v>2587</v>
      </c>
      <c r="H47"/>
      <c r="I47"/>
      <c r="J47" t="s">
        <v>2013</v>
      </c>
      <c r="K47"/>
      <c r="L47"/>
      <c r="M47">
        <v>15</v>
      </c>
      <c r="N47">
        <v>52</v>
      </c>
      <c r="O47">
        <v>8</v>
      </c>
      <c r="P47">
        <v>8</v>
      </c>
      <c r="Q47">
        <v>16</v>
      </c>
      <c r="R47" t="s">
        <v>2464</v>
      </c>
      <c r="S47" t="s">
        <v>4682</v>
      </c>
      <c r="T47" t="s">
        <v>2462</v>
      </c>
      <c r="U47" t="s">
        <v>2462</v>
      </c>
      <c r="V47">
        <v>20</v>
      </c>
      <c r="W47"/>
      <c r="X47"/>
      <c r="Y47"/>
      <c r="Z47"/>
      <c r="AA47">
        <v>16</v>
      </c>
      <c r="AB47">
        <v>8</v>
      </c>
      <c r="AC47">
        <v>15</v>
      </c>
      <c r="AD47">
        <v>2</v>
      </c>
      <c r="AE47">
        <v>8</v>
      </c>
      <c r="AF47">
        <v>7</v>
      </c>
      <c r="AG47">
        <v>24</v>
      </c>
      <c r="AH47"/>
      <c r="AI47"/>
      <c r="AJ47"/>
      <c r="AK47"/>
      <c r="AL47"/>
      <c r="AM47"/>
      <c r="AN47">
        <v>12</v>
      </c>
      <c r="AO47">
        <v>268</v>
      </c>
      <c r="AP47"/>
      <c r="AQ47"/>
      <c r="AR47"/>
      <c r="AS47" t="s">
        <v>5348</v>
      </c>
      <c r="AT47"/>
      <c r="AU47"/>
      <c r="AV47"/>
      <c r="AW47"/>
      <c r="AX47"/>
      <c r="AY47" t="s">
        <v>3930</v>
      </c>
      <c r="AZ47" t="s">
        <v>5347</v>
      </c>
      <c r="BA47" t="s">
        <v>3930</v>
      </c>
      <c r="BB47"/>
      <c r="BC47"/>
      <c r="BD47"/>
      <c r="BE47"/>
      <c r="BF47"/>
      <c r="BG47"/>
      <c r="BH47"/>
      <c r="BI47"/>
      <c r="BJ47"/>
      <c r="BK47"/>
      <c r="BL47"/>
      <c r="BM47"/>
      <c r="BN47"/>
      <c r="BO47"/>
      <c r="BP47" t="s">
        <v>2479</v>
      </c>
      <c r="BQ47" t="s">
        <v>5346</v>
      </c>
      <c r="BR47" t="s">
        <v>5345</v>
      </c>
      <c r="BS47"/>
      <c r="BT47"/>
      <c r="BU47"/>
      <c r="BV47"/>
      <c r="BW47"/>
      <c r="BX47"/>
      <c r="BY47"/>
      <c r="BZ47"/>
      <c r="CA47"/>
      <c r="CB47"/>
      <c r="CC47"/>
      <c r="CD47"/>
      <c r="CE47"/>
      <c r="CF47"/>
      <c r="CG47"/>
      <c r="CH47"/>
      <c r="CI47"/>
      <c r="CJ47"/>
      <c r="CK47"/>
      <c r="CL47"/>
      <c r="CM47"/>
      <c r="CN47"/>
      <c r="CO47"/>
      <c r="CP47"/>
      <c r="CQ47"/>
      <c r="CR47"/>
      <c r="CS47"/>
      <c r="CT47"/>
      <c r="CU47"/>
      <c r="CV47"/>
      <c r="CW47"/>
      <c r="CX47" t="s">
        <v>2454</v>
      </c>
      <c r="CY47">
        <v>24</v>
      </c>
      <c r="CZ47" t="s">
        <v>2453</v>
      </c>
    </row>
    <row r="48" spans="1:104" ht="14.25">
      <c r="A48" t="s">
        <v>5344</v>
      </c>
      <c r="B48" t="s">
        <v>5344</v>
      </c>
      <c r="C48" t="s">
        <v>5343</v>
      </c>
      <c r="D48">
        <v>0</v>
      </c>
      <c r="E48" t="s">
        <v>2680</v>
      </c>
      <c r="F48" t="s">
        <v>2719</v>
      </c>
      <c r="G48" t="s">
        <v>2690</v>
      </c>
      <c r="H48"/>
      <c r="I48"/>
      <c r="J48" t="s">
        <v>2013</v>
      </c>
      <c r="K48"/>
      <c r="L48"/>
      <c r="M48">
        <v>12</v>
      </c>
      <c r="N48">
        <v>1</v>
      </c>
      <c r="O48">
        <v>1</v>
      </c>
      <c r="P48">
        <v>4</v>
      </c>
      <c r="Q48">
        <v>-1</v>
      </c>
      <c r="R48" t="s">
        <v>2464</v>
      </c>
      <c r="S48" t="s">
        <v>2826</v>
      </c>
      <c r="T48" t="s">
        <v>2462</v>
      </c>
      <c r="U48" t="s">
        <v>2462</v>
      </c>
      <c r="V48">
        <v>5</v>
      </c>
      <c r="W48"/>
      <c r="X48"/>
      <c r="Y48">
        <v>30</v>
      </c>
      <c r="Z48"/>
      <c r="AA48">
        <v>2</v>
      </c>
      <c r="AB48">
        <v>15</v>
      </c>
      <c r="AC48">
        <v>8</v>
      </c>
      <c r="AD48">
        <v>2</v>
      </c>
      <c r="AE48">
        <v>12</v>
      </c>
      <c r="AF48">
        <v>4</v>
      </c>
      <c r="AG48">
        <v>318</v>
      </c>
      <c r="AH48">
        <v>304</v>
      </c>
      <c r="AI48"/>
      <c r="AJ48"/>
      <c r="AK48"/>
      <c r="AL48"/>
      <c r="AM48"/>
      <c r="AN48">
        <v>12</v>
      </c>
      <c r="AO48">
        <v>362</v>
      </c>
      <c r="AP48"/>
      <c r="AQ48"/>
      <c r="AR48"/>
      <c r="AS48"/>
      <c r="AT48"/>
      <c r="AU48"/>
      <c r="AV48" t="s">
        <v>5342</v>
      </c>
      <c r="AW48"/>
      <c r="AX48"/>
      <c r="AY48" t="s">
        <v>3131</v>
      </c>
      <c r="AZ48" t="s">
        <v>4643</v>
      </c>
      <c r="BA48" t="s">
        <v>3131</v>
      </c>
      <c r="BB48" t="s">
        <v>3129</v>
      </c>
      <c r="BC48" t="s">
        <v>4642</v>
      </c>
      <c r="BD48" t="s">
        <v>3129</v>
      </c>
      <c r="BE48"/>
      <c r="BF48"/>
      <c r="BG48"/>
      <c r="BH48"/>
      <c r="BI48"/>
      <c r="BJ48"/>
      <c r="BK48"/>
      <c r="BL48"/>
      <c r="BM48"/>
      <c r="BN48"/>
      <c r="BO48"/>
      <c r="BP48" t="s">
        <v>2479</v>
      </c>
      <c r="BQ48" t="s">
        <v>5341</v>
      </c>
      <c r="BR48" t="s">
        <v>3531</v>
      </c>
      <c r="BS48"/>
      <c r="BT48"/>
      <c r="BU48"/>
      <c r="BV48"/>
      <c r="BW48"/>
      <c r="BX48"/>
      <c r="BY48"/>
      <c r="BZ48"/>
      <c r="CA48"/>
      <c r="CB48"/>
      <c r="CC48"/>
      <c r="CD48"/>
      <c r="CE48"/>
      <c r="CF48"/>
      <c r="CG48"/>
      <c r="CH48"/>
      <c r="CI48"/>
      <c r="CJ48"/>
      <c r="CK48"/>
      <c r="CL48"/>
      <c r="CM48"/>
      <c r="CN48"/>
      <c r="CO48"/>
      <c r="CP48"/>
      <c r="CQ48"/>
      <c r="CR48"/>
      <c r="CS48"/>
      <c r="CT48"/>
      <c r="CU48"/>
      <c r="CV48"/>
      <c r="CW48"/>
      <c r="CX48" t="s">
        <v>2454</v>
      </c>
      <c r="CY48">
        <v>318</v>
      </c>
      <c r="CZ48" t="s">
        <v>2453</v>
      </c>
    </row>
    <row r="49" spans="1:104" ht="14.25">
      <c r="A49" t="s">
        <v>5340</v>
      </c>
      <c r="B49" t="s">
        <v>5339</v>
      </c>
      <c r="C49" t="s">
        <v>5338</v>
      </c>
      <c r="D49">
        <v>3</v>
      </c>
      <c r="E49" t="s">
        <v>2468</v>
      </c>
      <c r="F49" t="s">
        <v>2467</v>
      </c>
      <c r="G49" t="s">
        <v>2879</v>
      </c>
      <c r="H49" t="s">
        <v>3667</v>
      </c>
      <c r="I49"/>
      <c r="J49" t="s">
        <v>2522</v>
      </c>
      <c r="K49"/>
      <c r="L49"/>
      <c r="M49">
        <v>13</v>
      </c>
      <c r="N49">
        <v>52</v>
      </c>
      <c r="O49">
        <v>8</v>
      </c>
      <c r="P49">
        <v>8</v>
      </c>
      <c r="Q49">
        <v>16</v>
      </c>
      <c r="R49" t="s">
        <v>2464</v>
      </c>
      <c r="S49" t="s">
        <v>2758</v>
      </c>
      <c r="T49" t="s">
        <v>5337</v>
      </c>
      <c r="U49" t="s">
        <v>2462</v>
      </c>
      <c r="V49">
        <v>30</v>
      </c>
      <c r="W49"/>
      <c r="X49"/>
      <c r="Y49"/>
      <c r="Z49"/>
      <c r="AA49">
        <v>16</v>
      </c>
      <c r="AB49">
        <v>15</v>
      </c>
      <c r="AC49">
        <v>15</v>
      </c>
      <c r="AD49">
        <v>9</v>
      </c>
      <c r="AE49">
        <v>11</v>
      </c>
      <c r="AF49">
        <v>11</v>
      </c>
      <c r="AG49">
        <v>70</v>
      </c>
      <c r="AH49"/>
      <c r="AI49"/>
      <c r="AJ49"/>
      <c r="AK49"/>
      <c r="AL49"/>
      <c r="AM49"/>
      <c r="AN49"/>
      <c r="AO49">
        <v>277</v>
      </c>
      <c r="AP49"/>
      <c r="AQ49">
        <v>7</v>
      </c>
      <c r="AR49"/>
      <c r="AS49"/>
      <c r="AT49"/>
      <c r="AU49"/>
      <c r="AV49"/>
      <c r="AW49"/>
      <c r="AX49"/>
      <c r="AY49" t="s">
        <v>4058</v>
      </c>
      <c r="AZ49" t="s">
        <v>4192</v>
      </c>
      <c r="BA49" t="s">
        <v>4058</v>
      </c>
      <c r="BB49" t="s">
        <v>2873</v>
      </c>
      <c r="BC49" t="s">
        <v>4191</v>
      </c>
      <c r="BD49" t="s">
        <v>2873</v>
      </c>
      <c r="BE49" t="s">
        <v>5335</v>
      </c>
      <c r="BF49" t="s">
        <v>5336</v>
      </c>
      <c r="BG49" t="s">
        <v>5335</v>
      </c>
      <c r="BH49"/>
      <c r="BI49"/>
      <c r="BJ49"/>
      <c r="BK49"/>
      <c r="BL49"/>
      <c r="BM49"/>
      <c r="BN49"/>
      <c r="BO49"/>
      <c r="BP49" t="s">
        <v>2480</v>
      </c>
      <c r="BQ49" t="s">
        <v>5334</v>
      </c>
      <c r="BR49" t="s">
        <v>2480</v>
      </c>
      <c r="BS49" t="s">
        <v>5333</v>
      </c>
      <c r="BT49" t="s">
        <v>5332</v>
      </c>
      <c r="BU49" t="s">
        <v>5331</v>
      </c>
      <c r="BV49" t="s">
        <v>3733</v>
      </c>
      <c r="BW49" t="s">
        <v>5330</v>
      </c>
      <c r="BX49" t="s">
        <v>5329</v>
      </c>
      <c r="BY49"/>
      <c r="BZ49"/>
      <c r="CA49"/>
      <c r="CB49"/>
      <c r="CC49"/>
      <c r="CD49"/>
      <c r="CE49"/>
      <c r="CF49"/>
      <c r="CG49"/>
      <c r="CH49"/>
      <c r="CI49"/>
      <c r="CJ49"/>
      <c r="CK49"/>
      <c r="CL49"/>
      <c r="CM49"/>
      <c r="CN49"/>
      <c r="CO49"/>
      <c r="CP49"/>
      <c r="CQ49"/>
      <c r="CR49"/>
      <c r="CS49"/>
      <c r="CT49"/>
      <c r="CU49"/>
      <c r="CV49"/>
      <c r="CW49"/>
      <c r="CX49" t="s">
        <v>2454</v>
      </c>
      <c r="CY49">
        <v>70</v>
      </c>
      <c r="CZ49" t="s">
        <v>2453</v>
      </c>
    </row>
    <row r="50" spans="1:104" ht="14.25">
      <c r="A50" t="s">
        <v>5328</v>
      </c>
      <c r="B50" t="s">
        <v>5328</v>
      </c>
      <c r="C50" t="s">
        <v>5327</v>
      </c>
      <c r="D50">
        <v>11</v>
      </c>
      <c r="E50" t="s">
        <v>2468</v>
      </c>
      <c r="F50" t="s">
        <v>2985</v>
      </c>
      <c r="G50" t="s">
        <v>2587</v>
      </c>
      <c r="H50"/>
      <c r="I50"/>
      <c r="J50" t="s">
        <v>2465</v>
      </c>
      <c r="K50"/>
      <c r="L50"/>
      <c r="M50">
        <v>17</v>
      </c>
      <c r="N50">
        <v>168</v>
      </c>
      <c r="O50">
        <v>16</v>
      </c>
      <c r="P50">
        <v>12</v>
      </c>
      <c r="Q50">
        <v>64</v>
      </c>
      <c r="R50" t="s">
        <v>2464</v>
      </c>
      <c r="S50" t="s">
        <v>5326</v>
      </c>
      <c r="T50" t="s">
        <v>5325</v>
      </c>
      <c r="U50" t="s">
        <v>2462</v>
      </c>
      <c r="V50">
        <v>50</v>
      </c>
      <c r="W50"/>
      <c r="X50">
        <v>40</v>
      </c>
      <c r="Y50"/>
      <c r="Z50"/>
      <c r="AA50">
        <v>23</v>
      </c>
      <c r="AB50">
        <v>16</v>
      </c>
      <c r="AC50">
        <v>18</v>
      </c>
      <c r="AD50">
        <v>7</v>
      </c>
      <c r="AE50">
        <v>14</v>
      </c>
      <c r="AF50">
        <v>12</v>
      </c>
      <c r="AG50">
        <v>25</v>
      </c>
      <c r="AH50"/>
      <c r="AI50"/>
      <c r="AJ50"/>
      <c r="AK50"/>
      <c r="AL50"/>
      <c r="AM50"/>
      <c r="AN50"/>
      <c r="AO50">
        <v>268</v>
      </c>
      <c r="AP50"/>
      <c r="AQ50"/>
      <c r="AR50"/>
      <c r="AS50"/>
      <c r="AT50"/>
      <c r="AU50"/>
      <c r="AV50" t="s">
        <v>5324</v>
      </c>
      <c r="AW50"/>
      <c r="AX50"/>
      <c r="AY50"/>
      <c r="AZ50"/>
      <c r="BA50"/>
      <c r="BB50"/>
      <c r="BC50"/>
      <c r="BD50"/>
      <c r="BE50"/>
      <c r="BF50"/>
      <c r="BG50"/>
      <c r="BH50"/>
      <c r="BI50"/>
      <c r="BJ50"/>
      <c r="BK50"/>
      <c r="BL50"/>
      <c r="BM50"/>
      <c r="BN50"/>
      <c r="BO50"/>
      <c r="BP50" t="s">
        <v>2480</v>
      </c>
      <c r="BQ50" t="s">
        <v>5323</v>
      </c>
      <c r="BR50" t="s">
        <v>2480</v>
      </c>
      <c r="BS50" t="s">
        <v>2479</v>
      </c>
      <c r="BT50" t="s">
        <v>5322</v>
      </c>
      <c r="BU50" t="s">
        <v>5321</v>
      </c>
      <c r="BV50" t="s">
        <v>4623</v>
      </c>
      <c r="BW50" t="s">
        <v>5320</v>
      </c>
      <c r="BX50" t="s">
        <v>5319</v>
      </c>
      <c r="BY50" t="s">
        <v>2556</v>
      </c>
      <c r="BZ50" t="s">
        <v>5318</v>
      </c>
      <c r="CA50" t="s">
        <v>5317</v>
      </c>
      <c r="CB50" t="s">
        <v>3055</v>
      </c>
      <c r="CC50" t="s">
        <v>5316</v>
      </c>
      <c r="CD50" t="s">
        <v>5315</v>
      </c>
      <c r="CE50"/>
      <c r="CF50"/>
      <c r="CG50"/>
      <c r="CH50"/>
      <c r="CI50"/>
      <c r="CJ50"/>
      <c r="CK50"/>
      <c r="CL50"/>
      <c r="CM50"/>
      <c r="CN50"/>
      <c r="CO50"/>
      <c r="CP50"/>
      <c r="CQ50"/>
      <c r="CR50"/>
      <c r="CS50"/>
      <c r="CT50"/>
      <c r="CU50"/>
      <c r="CV50"/>
      <c r="CW50"/>
      <c r="CX50" t="s">
        <v>2454</v>
      </c>
      <c r="CY50">
        <v>25</v>
      </c>
      <c r="CZ50" t="s">
        <v>2453</v>
      </c>
    </row>
    <row r="51" spans="1:104" ht="14.25">
      <c r="A51" t="s">
        <v>5314</v>
      </c>
      <c r="B51" t="s">
        <v>5314</v>
      </c>
      <c r="C51" t="s">
        <v>5313</v>
      </c>
      <c r="D51">
        <v>2</v>
      </c>
      <c r="E51" t="s">
        <v>2609</v>
      </c>
      <c r="F51" t="s">
        <v>2467</v>
      </c>
      <c r="G51" t="s">
        <v>2608</v>
      </c>
      <c r="H51" t="s">
        <v>2607</v>
      </c>
      <c r="I51"/>
      <c r="J51" t="s">
        <v>5312</v>
      </c>
      <c r="K51"/>
      <c r="L51"/>
      <c r="M51">
        <v>13</v>
      </c>
      <c r="N51">
        <v>67</v>
      </c>
      <c r="O51">
        <v>9</v>
      </c>
      <c r="P51">
        <v>8</v>
      </c>
      <c r="Q51">
        <v>27</v>
      </c>
      <c r="R51" t="s">
        <v>2464</v>
      </c>
      <c r="S51" t="s">
        <v>3726</v>
      </c>
      <c r="T51" t="s">
        <v>2462</v>
      </c>
      <c r="U51" t="s">
        <v>2462</v>
      </c>
      <c r="V51">
        <v>30</v>
      </c>
      <c r="W51"/>
      <c r="X51"/>
      <c r="Y51"/>
      <c r="Z51"/>
      <c r="AA51">
        <v>16</v>
      </c>
      <c r="AB51">
        <v>12</v>
      </c>
      <c r="AC51">
        <v>17</v>
      </c>
      <c r="AD51">
        <v>9</v>
      </c>
      <c r="AE51">
        <v>11</v>
      </c>
      <c r="AF51">
        <v>9</v>
      </c>
      <c r="AG51">
        <v>344</v>
      </c>
      <c r="AH51"/>
      <c r="AI51"/>
      <c r="AJ51"/>
      <c r="AK51"/>
      <c r="AL51"/>
      <c r="AM51"/>
      <c r="AN51">
        <v>53</v>
      </c>
      <c r="AO51">
        <v>392</v>
      </c>
      <c r="AP51">
        <v>6</v>
      </c>
      <c r="AQ51"/>
      <c r="AR51"/>
      <c r="AS51" t="s">
        <v>5311</v>
      </c>
      <c r="AT51"/>
      <c r="AU51"/>
      <c r="AV51" t="s">
        <v>5310</v>
      </c>
      <c r="AW51"/>
      <c r="AX51"/>
      <c r="AY51" t="s">
        <v>3884</v>
      </c>
      <c r="AZ51" t="s">
        <v>5309</v>
      </c>
      <c r="BA51" t="s">
        <v>3884</v>
      </c>
      <c r="BB51"/>
      <c r="BC51"/>
      <c r="BD51"/>
      <c r="BE51"/>
      <c r="BF51"/>
      <c r="BG51"/>
      <c r="BH51"/>
      <c r="BI51"/>
      <c r="BJ51"/>
      <c r="BK51"/>
      <c r="BL51"/>
      <c r="BM51"/>
      <c r="BN51"/>
      <c r="BO51"/>
      <c r="BP51" t="s">
        <v>3722</v>
      </c>
      <c r="BQ51" t="s">
        <v>3721</v>
      </c>
      <c r="BR51" t="s">
        <v>5308</v>
      </c>
      <c r="BS51"/>
      <c r="BT51"/>
      <c r="BU51"/>
      <c r="BV51"/>
      <c r="BW51"/>
      <c r="BX51"/>
      <c r="BY51"/>
      <c r="BZ51"/>
      <c r="CA51"/>
      <c r="CB51"/>
      <c r="CC51"/>
      <c r="CD51"/>
      <c r="CE51"/>
      <c r="CF51"/>
      <c r="CG51"/>
      <c r="CH51"/>
      <c r="CI51"/>
      <c r="CJ51"/>
      <c r="CK51"/>
      <c r="CL51"/>
      <c r="CM51"/>
      <c r="CN51"/>
      <c r="CO51"/>
      <c r="CP51"/>
      <c r="CQ51"/>
      <c r="CR51"/>
      <c r="CS51"/>
      <c r="CT51"/>
      <c r="CU51"/>
      <c r="CV51"/>
      <c r="CW51"/>
      <c r="CX51" t="s">
        <v>2454</v>
      </c>
      <c r="CY51">
        <v>344</v>
      </c>
      <c r="CZ51" t="s">
        <v>2453</v>
      </c>
    </row>
    <row r="52" spans="1:104" ht="14.25">
      <c r="A52" t="s">
        <v>5307</v>
      </c>
      <c r="B52" t="s">
        <v>5306</v>
      </c>
      <c r="C52" t="s">
        <v>5305</v>
      </c>
      <c r="D52">
        <v>0.5</v>
      </c>
      <c r="E52" t="s">
        <v>2680</v>
      </c>
      <c r="F52" t="s">
        <v>2467</v>
      </c>
      <c r="G52" t="s">
        <v>2690</v>
      </c>
      <c r="H52"/>
      <c r="I52"/>
      <c r="J52" t="s">
        <v>2013</v>
      </c>
      <c r="K52"/>
      <c r="L52"/>
      <c r="M52">
        <v>11</v>
      </c>
      <c r="N52">
        <v>19</v>
      </c>
      <c r="O52">
        <v>3</v>
      </c>
      <c r="P52">
        <v>8</v>
      </c>
      <c r="Q52">
        <v>6</v>
      </c>
      <c r="R52" t="s">
        <v>2464</v>
      </c>
      <c r="S52" t="s">
        <v>2605</v>
      </c>
      <c r="T52" t="s">
        <v>2757</v>
      </c>
      <c r="U52" t="s">
        <v>2462</v>
      </c>
      <c r="V52">
        <v>40</v>
      </c>
      <c r="W52"/>
      <c r="X52">
        <v>30</v>
      </c>
      <c r="Y52"/>
      <c r="Z52"/>
      <c r="AA52">
        <v>15</v>
      </c>
      <c r="AB52">
        <v>10</v>
      </c>
      <c r="AC52">
        <v>14</v>
      </c>
      <c r="AD52">
        <v>2</v>
      </c>
      <c r="AE52">
        <v>12</v>
      </c>
      <c r="AF52">
        <v>7</v>
      </c>
      <c r="AG52">
        <v>318</v>
      </c>
      <c r="AH52">
        <v>304</v>
      </c>
      <c r="AI52"/>
      <c r="AJ52"/>
      <c r="AK52"/>
      <c r="AL52"/>
      <c r="AM52"/>
      <c r="AN52">
        <v>12</v>
      </c>
      <c r="AO52">
        <v>362</v>
      </c>
      <c r="AP52"/>
      <c r="AQ52"/>
      <c r="AR52"/>
      <c r="AS52"/>
      <c r="AT52"/>
      <c r="AU52"/>
      <c r="AV52" t="s">
        <v>3623</v>
      </c>
      <c r="AW52"/>
      <c r="AX52"/>
      <c r="AY52" t="s">
        <v>2581</v>
      </c>
      <c r="AZ52" t="s">
        <v>3622</v>
      </c>
      <c r="BA52" t="s">
        <v>2581</v>
      </c>
      <c r="BB52"/>
      <c r="BC52"/>
      <c r="BD52"/>
      <c r="BE52"/>
      <c r="BF52"/>
      <c r="BG52"/>
      <c r="BH52"/>
      <c r="BI52"/>
      <c r="BJ52"/>
      <c r="BK52"/>
      <c r="BL52"/>
      <c r="BM52"/>
      <c r="BN52"/>
      <c r="BO52"/>
      <c r="BP52" t="s">
        <v>2480</v>
      </c>
      <c r="BQ52" t="s">
        <v>3621</v>
      </c>
      <c r="BR52" t="s">
        <v>2480</v>
      </c>
      <c r="BS52" t="s">
        <v>2479</v>
      </c>
      <c r="BT52" t="s">
        <v>5304</v>
      </c>
      <c r="BU52" t="s">
        <v>5303</v>
      </c>
      <c r="BV52" t="s">
        <v>2652</v>
      </c>
      <c r="BW52" t="s">
        <v>5302</v>
      </c>
      <c r="BX52" t="s">
        <v>5301</v>
      </c>
      <c r="BY52"/>
      <c r="BZ52"/>
      <c r="CA52"/>
      <c r="CB52"/>
      <c r="CC52"/>
      <c r="CD52"/>
      <c r="CE52"/>
      <c r="CF52"/>
      <c r="CG52"/>
      <c r="CH52"/>
      <c r="CI52"/>
      <c r="CJ52"/>
      <c r="CK52"/>
      <c r="CL52"/>
      <c r="CM52"/>
      <c r="CN52"/>
      <c r="CO52"/>
      <c r="CP52"/>
      <c r="CQ52"/>
      <c r="CR52"/>
      <c r="CS52"/>
      <c r="CT52"/>
      <c r="CU52"/>
      <c r="CV52"/>
      <c r="CW52"/>
      <c r="CX52" t="s">
        <v>2454</v>
      </c>
      <c r="CY52">
        <v>318</v>
      </c>
      <c r="CZ52" t="s">
        <v>2453</v>
      </c>
    </row>
    <row r="53" spans="1:104" ht="14.25">
      <c r="A53" t="s">
        <v>5300</v>
      </c>
      <c r="B53" t="s">
        <v>5299</v>
      </c>
      <c r="C53" t="s">
        <v>5298</v>
      </c>
      <c r="D53">
        <v>2</v>
      </c>
      <c r="E53" t="s">
        <v>2468</v>
      </c>
      <c r="F53" t="s">
        <v>2467</v>
      </c>
      <c r="G53" t="s">
        <v>2488</v>
      </c>
      <c r="H53"/>
      <c r="I53"/>
      <c r="J53" t="s">
        <v>2487</v>
      </c>
      <c r="K53"/>
      <c r="L53"/>
      <c r="M53">
        <v>17</v>
      </c>
      <c r="N53">
        <v>33</v>
      </c>
      <c r="O53">
        <v>6</v>
      </c>
      <c r="P53">
        <v>8</v>
      </c>
      <c r="Q53">
        <v>6</v>
      </c>
      <c r="R53" t="s">
        <v>2641</v>
      </c>
      <c r="S53" t="s">
        <v>2641</v>
      </c>
      <c r="T53" t="s">
        <v>2641</v>
      </c>
      <c r="U53" t="s">
        <v>2641</v>
      </c>
      <c r="V53">
        <v>30</v>
      </c>
      <c r="W53"/>
      <c r="X53"/>
      <c r="Y53">
        <v>60</v>
      </c>
      <c r="Z53">
        <v>30</v>
      </c>
      <c r="AA53">
        <v>15</v>
      </c>
      <c r="AB53">
        <v>14</v>
      </c>
      <c r="AC53">
        <v>13</v>
      </c>
      <c r="AD53">
        <v>10</v>
      </c>
      <c r="AE53">
        <v>11</v>
      </c>
      <c r="AF53">
        <v>13</v>
      </c>
      <c r="AG53">
        <v>88</v>
      </c>
      <c r="AH53"/>
      <c r="AI53"/>
      <c r="AJ53"/>
      <c r="AK53"/>
      <c r="AL53"/>
      <c r="AM53"/>
      <c r="AN53"/>
      <c r="AO53">
        <v>285</v>
      </c>
      <c r="AP53"/>
      <c r="AQ53"/>
      <c r="AR53"/>
      <c r="AS53" t="s">
        <v>5297</v>
      </c>
      <c r="AT53"/>
      <c r="AU53"/>
      <c r="AV53"/>
      <c r="AW53"/>
      <c r="AX53"/>
      <c r="AY53" t="s">
        <v>2520</v>
      </c>
      <c r="AZ53" t="s">
        <v>2521</v>
      </c>
      <c r="BA53" t="s">
        <v>2520</v>
      </c>
      <c r="BB53"/>
      <c r="BC53"/>
      <c r="BD53"/>
      <c r="BE53"/>
      <c r="BF53"/>
      <c r="BG53"/>
      <c r="BH53"/>
      <c r="BI53"/>
      <c r="BJ53"/>
      <c r="BK53"/>
      <c r="BL53"/>
      <c r="BM53"/>
      <c r="BN53"/>
      <c r="BO53"/>
      <c r="BP53" t="s">
        <v>2479</v>
      </c>
      <c r="BQ53" t="s">
        <v>5296</v>
      </c>
      <c r="BR53" t="s">
        <v>2738</v>
      </c>
      <c r="BS53" t="s">
        <v>2568</v>
      </c>
      <c r="BT53" t="s">
        <v>5295</v>
      </c>
      <c r="BU53" t="s">
        <v>5294</v>
      </c>
      <c r="BV53"/>
      <c r="BW53"/>
      <c r="BX53"/>
      <c r="BY53"/>
      <c r="BZ53"/>
      <c r="CA53"/>
      <c r="CB53"/>
      <c r="CC53"/>
      <c r="CD53"/>
      <c r="CE53"/>
      <c r="CF53"/>
      <c r="CG53"/>
      <c r="CH53"/>
      <c r="CI53"/>
      <c r="CJ53"/>
      <c r="CK53"/>
      <c r="CL53"/>
      <c r="CM53"/>
      <c r="CN53"/>
      <c r="CO53"/>
      <c r="CP53"/>
      <c r="CQ53"/>
      <c r="CR53"/>
      <c r="CS53"/>
      <c r="CT53"/>
      <c r="CU53"/>
      <c r="CV53"/>
      <c r="CW53"/>
      <c r="CX53" t="s">
        <v>2454</v>
      </c>
      <c r="CY53">
        <v>88</v>
      </c>
      <c r="CZ53" t="s">
        <v>2453</v>
      </c>
    </row>
    <row r="54" spans="1:104" ht="14.25">
      <c r="A54" t="s">
        <v>5293</v>
      </c>
      <c r="B54" t="s">
        <v>5292</v>
      </c>
      <c r="C54" t="s">
        <v>5291</v>
      </c>
      <c r="D54">
        <v>4</v>
      </c>
      <c r="E54" t="s">
        <v>2468</v>
      </c>
      <c r="F54" t="s">
        <v>2489</v>
      </c>
      <c r="G54" t="s">
        <v>3777</v>
      </c>
      <c r="H54"/>
      <c r="I54"/>
      <c r="J54" t="s">
        <v>2013</v>
      </c>
      <c r="K54"/>
      <c r="L54"/>
      <c r="M54">
        <v>7</v>
      </c>
      <c r="N54">
        <v>85</v>
      </c>
      <c r="O54">
        <v>10</v>
      </c>
      <c r="P54">
        <v>10</v>
      </c>
      <c r="Q54">
        <v>30</v>
      </c>
      <c r="R54" t="s">
        <v>2464</v>
      </c>
      <c r="S54" t="s">
        <v>5290</v>
      </c>
      <c r="T54" t="s">
        <v>2905</v>
      </c>
      <c r="U54" t="s">
        <v>2462</v>
      </c>
      <c r="V54">
        <v>20</v>
      </c>
      <c r="W54"/>
      <c r="X54">
        <v>20</v>
      </c>
      <c r="Y54"/>
      <c r="Z54"/>
      <c r="AA54">
        <v>16</v>
      </c>
      <c r="AB54">
        <v>5</v>
      </c>
      <c r="AC54">
        <v>16</v>
      </c>
      <c r="AD54">
        <v>1</v>
      </c>
      <c r="AE54">
        <v>6</v>
      </c>
      <c r="AF54">
        <v>1</v>
      </c>
      <c r="AG54">
        <v>241</v>
      </c>
      <c r="AH54"/>
      <c r="AI54"/>
      <c r="AJ54"/>
      <c r="AK54"/>
      <c r="AL54"/>
      <c r="AM54"/>
      <c r="AN54"/>
      <c r="AO54">
        <v>340</v>
      </c>
      <c r="AP54"/>
      <c r="AQ54"/>
      <c r="AR54"/>
      <c r="AS54"/>
      <c r="AT54">
        <v>10</v>
      </c>
      <c r="AU54"/>
      <c r="AV54" t="s">
        <v>5289</v>
      </c>
      <c r="AW54"/>
      <c r="AX54" t="s">
        <v>5288</v>
      </c>
      <c r="AY54" t="s">
        <v>3349</v>
      </c>
      <c r="AZ54" t="s">
        <v>5287</v>
      </c>
      <c r="BA54" t="s">
        <v>3349</v>
      </c>
      <c r="BB54" t="s">
        <v>5286</v>
      </c>
      <c r="BC54" t="s">
        <v>5285</v>
      </c>
      <c r="BD54" t="s">
        <v>5284</v>
      </c>
      <c r="BE54" t="s">
        <v>2915</v>
      </c>
      <c r="BF54" t="s">
        <v>5283</v>
      </c>
      <c r="BG54" t="s">
        <v>2915</v>
      </c>
      <c r="BH54"/>
      <c r="BI54"/>
      <c r="BJ54"/>
      <c r="BK54"/>
      <c r="BL54"/>
      <c r="BM54"/>
      <c r="BN54"/>
      <c r="BO54"/>
      <c r="BP54" t="s">
        <v>3772</v>
      </c>
      <c r="BQ54" t="s">
        <v>5282</v>
      </c>
      <c r="BR54" t="s">
        <v>5281</v>
      </c>
      <c r="BS54"/>
      <c r="BT54"/>
      <c r="BU54"/>
      <c r="BV54"/>
      <c r="BW54"/>
      <c r="BX54"/>
      <c r="BY54"/>
      <c r="BZ54"/>
      <c r="CA54"/>
      <c r="CB54"/>
      <c r="CC54"/>
      <c r="CD54"/>
      <c r="CE54"/>
      <c r="CF54"/>
      <c r="CG54"/>
      <c r="CH54"/>
      <c r="CI54"/>
      <c r="CJ54"/>
      <c r="CK54"/>
      <c r="CL54"/>
      <c r="CM54"/>
      <c r="CN54"/>
      <c r="CO54"/>
      <c r="CP54"/>
      <c r="CQ54"/>
      <c r="CR54"/>
      <c r="CS54"/>
      <c r="CT54"/>
      <c r="CU54"/>
      <c r="CV54" t="s">
        <v>3769</v>
      </c>
      <c r="CW54" t="s">
        <v>5280</v>
      </c>
      <c r="CX54" t="s">
        <v>2454</v>
      </c>
      <c r="CY54">
        <v>241</v>
      </c>
      <c r="CZ54" t="s">
        <v>2453</v>
      </c>
    </row>
    <row r="55" spans="1:104" ht="14.25">
      <c r="A55" t="s">
        <v>5279</v>
      </c>
      <c r="B55" t="s">
        <v>5278</v>
      </c>
      <c r="C55" t="s">
        <v>5277</v>
      </c>
      <c r="D55">
        <v>0.25</v>
      </c>
      <c r="E55" t="s">
        <v>2680</v>
      </c>
      <c r="F55" t="s">
        <v>2467</v>
      </c>
      <c r="G55" t="s">
        <v>3231</v>
      </c>
      <c r="H55"/>
      <c r="I55"/>
      <c r="J55" t="s">
        <v>2502</v>
      </c>
      <c r="K55"/>
      <c r="L55"/>
      <c r="M55">
        <v>13</v>
      </c>
      <c r="N55">
        <v>22</v>
      </c>
      <c r="O55">
        <v>4</v>
      </c>
      <c r="P55">
        <v>8</v>
      </c>
      <c r="Q55">
        <v>4</v>
      </c>
      <c r="R55" t="s">
        <v>2464</v>
      </c>
      <c r="S55" t="s">
        <v>2463</v>
      </c>
      <c r="T55" t="s">
        <v>2462</v>
      </c>
      <c r="U55" t="s">
        <v>2462</v>
      </c>
      <c r="V55">
        <v>40</v>
      </c>
      <c r="W55"/>
      <c r="X55"/>
      <c r="Y55"/>
      <c r="Z55"/>
      <c r="AA55">
        <v>12</v>
      </c>
      <c r="AB55">
        <v>17</v>
      </c>
      <c r="AC55">
        <v>12</v>
      </c>
      <c r="AD55">
        <v>10</v>
      </c>
      <c r="AE55">
        <v>13</v>
      </c>
      <c r="AF55">
        <v>11</v>
      </c>
      <c r="AG55">
        <v>318</v>
      </c>
      <c r="AH55"/>
      <c r="AI55"/>
      <c r="AJ55"/>
      <c r="AK55"/>
      <c r="AL55"/>
      <c r="AM55"/>
      <c r="AN55">
        <v>12</v>
      </c>
      <c r="AO55">
        <v>363</v>
      </c>
      <c r="AP55"/>
      <c r="AQ55"/>
      <c r="AR55"/>
      <c r="AS55"/>
      <c r="AT55"/>
      <c r="AU55"/>
      <c r="AV55"/>
      <c r="AW55"/>
      <c r="AX55"/>
      <c r="AY55" t="s">
        <v>2675</v>
      </c>
      <c r="AZ55" t="s">
        <v>5276</v>
      </c>
      <c r="BA55" t="s">
        <v>2675</v>
      </c>
      <c r="BB55"/>
      <c r="BC55"/>
      <c r="BD55"/>
      <c r="BE55"/>
      <c r="BF55"/>
      <c r="BG55"/>
      <c r="BH55"/>
      <c r="BI55"/>
      <c r="BJ55"/>
      <c r="BK55"/>
      <c r="BL55"/>
      <c r="BM55"/>
      <c r="BN55"/>
      <c r="BO55"/>
      <c r="BP55" t="s">
        <v>2479</v>
      </c>
      <c r="BQ55" t="s">
        <v>4647</v>
      </c>
      <c r="BR55" t="s">
        <v>3937</v>
      </c>
      <c r="BS55" t="s">
        <v>5274</v>
      </c>
      <c r="BT55" t="s">
        <v>5275</v>
      </c>
      <c r="BU55" t="s">
        <v>5274</v>
      </c>
      <c r="BV55"/>
      <c r="BW55"/>
      <c r="BX55"/>
      <c r="BY55"/>
      <c r="BZ55"/>
      <c r="CA55"/>
      <c r="CB55"/>
      <c r="CC55"/>
      <c r="CD55"/>
      <c r="CE55"/>
      <c r="CF55"/>
      <c r="CG55"/>
      <c r="CH55"/>
      <c r="CI55"/>
      <c r="CJ55"/>
      <c r="CK55"/>
      <c r="CL55"/>
      <c r="CM55"/>
      <c r="CN55"/>
      <c r="CO55"/>
      <c r="CP55"/>
      <c r="CQ55"/>
      <c r="CR55"/>
      <c r="CS55"/>
      <c r="CT55"/>
      <c r="CU55"/>
      <c r="CV55"/>
      <c r="CW55"/>
      <c r="CX55" t="s">
        <v>2454</v>
      </c>
      <c r="CY55">
        <v>318</v>
      </c>
      <c r="CZ55" t="s">
        <v>2453</v>
      </c>
    </row>
    <row r="56" spans="1:104" ht="14.25">
      <c r="A56" t="s">
        <v>5273</v>
      </c>
      <c r="B56" t="s">
        <v>5272</v>
      </c>
      <c r="C56" t="s">
        <v>5271</v>
      </c>
      <c r="D56">
        <v>0.125</v>
      </c>
      <c r="E56" t="s">
        <v>2680</v>
      </c>
      <c r="F56" t="s">
        <v>2644</v>
      </c>
      <c r="G56" t="s">
        <v>2690</v>
      </c>
      <c r="H56"/>
      <c r="I56"/>
      <c r="J56" t="s">
        <v>2013</v>
      </c>
      <c r="K56"/>
      <c r="L56"/>
      <c r="M56">
        <v>12</v>
      </c>
      <c r="N56">
        <v>7</v>
      </c>
      <c r="O56">
        <v>2</v>
      </c>
      <c r="P56">
        <v>6</v>
      </c>
      <c r="Q56"/>
      <c r="R56" t="s">
        <v>2464</v>
      </c>
      <c r="S56" t="s">
        <v>2793</v>
      </c>
      <c r="T56" t="s">
        <v>2462</v>
      </c>
      <c r="U56" t="s">
        <v>2462</v>
      </c>
      <c r="V56">
        <v>10</v>
      </c>
      <c r="W56"/>
      <c r="X56"/>
      <c r="Y56">
        <v>60</v>
      </c>
      <c r="Z56"/>
      <c r="AA56">
        <v>6</v>
      </c>
      <c r="AB56">
        <v>14</v>
      </c>
      <c r="AC56">
        <v>10</v>
      </c>
      <c r="AD56">
        <v>3</v>
      </c>
      <c r="AE56">
        <v>14</v>
      </c>
      <c r="AF56">
        <v>5</v>
      </c>
      <c r="AG56">
        <v>319</v>
      </c>
      <c r="AH56"/>
      <c r="AI56"/>
      <c r="AJ56"/>
      <c r="AK56"/>
      <c r="AL56"/>
      <c r="AM56"/>
      <c r="AN56">
        <v>13</v>
      </c>
      <c r="AO56">
        <v>363</v>
      </c>
      <c r="AP56"/>
      <c r="AQ56"/>
      <c r="AR56"/>
      <c r="AS56"/>
      <c r="AT56"/>
      <c r="AU56"/>
      <c r="AV56" t="s">
        <v>4255</v>
      </c>
      <c r="AW56"/>
      <c r="AX56"/>
      <c r="AY56" t="s">
        <v>3485</v>
      </c>
      <c r="AZ56" t="s">
        <v>4294</v>
      </c>
      <c r="BA56" t="s">
        <v>3485</v>
      </c>
      <c r="BB56" t="s">
        <v>2599</v>
      </c>
      <c r="BC56" t="s">
        <v>5270</v>
      </c>
      <c r="BD56" t="s">
        <v>2599</v>
      </c>
      <c r="BE56"/>
      <c r="BF56"/>
      <c r="BG56"/>
      <c r="BH56"/>
      <c r="BI56"/>
      <c r="BJ56"/>
      <c r="BK56"/>
      <c r="BL56"/>
      <c r="BM56"/>
      <c r="BN56"/>
      <c r="BO56"/>
      <c r="BP56" t="s">
        <v>2854</v>
      </c>
      <c r="BQ56" t="s">
        <v>3595</v>
      </c>
      <c r="BR56" t="s">
        <v>5269</v>
      </c>
      <c r="BS56"/>
      <c r="BT56"/>
      <c r="BU56"/>
      <c r="BV56"/>
      <c r="BW56"/>
      <c r="BX56"/>
      <c r="BY56"/>
      <c r="BZ56"/>
      <c r="CA56"/>
      <c r="CB56"/>
      <c r="CC56"/>
      <c r="CD56"/>
      <c r="CE56"/>
      <c r="CF56"/>
      <c r="CG56"/>
      <c r="CH56"/>
      <c r="CI56"/>
      <c r="CJ56"/>
      <c r="CK56"/>
      <c r="CL56"/>
      <c r="CM56"/>
      <c r="CN56"/>
      <c r="CO56"/>
      <c r="CP56"/>
      <c r="CQ56"/>
      <c r="CR56"/>
      <c r="CS56"/>
      <c r="CT56"/>
      <c r="CU56"/>
      <c r="CV56"/>
      <c r="CW56"/>
      <c r="CX56" t="s">
        <v>2454</v>
      </c>
      <c r="CY56">
        <v>319</v>
      </c>
      <c r="CZ56" t="s">
        <v>2453</v>
      </c>
    </row>
    <row r="57" spans="1:104" ht="14.25">
      <c r="A57" t="s">
        <v>5268</v>
      </c>
      <c r="B57" t="s">
        <v>5267</v>
      </c>
      <c r="C57" t="s">
        <v>5266</v>
      </c>
      <c r="D57">
        <v>3</v>
      </c>
      <c r="E57" t="s">
        <v>2468</v>
      </c>
      <c r="F57" t="s">
        <v>2467</v>
      </c>
      <c r="G57" t="s">
        <v>2488</v>
      </c>
      <c r="H57"/>
      <c r="I57"/>
      <c r="J57" t="s">
        <v>2522</v>
      </c>
      <c r="K57"/>
      <c r="L57"/>
      <c r="M57">
        <v>17</v>
      </c>
      <c r="N57">
        <v>52</v>
      </c>
      <c r="O57">
        <v>8</v>
      </c>
      <c r="P57">
        <v>8</v>
      </c>
      <c r="Q57">
        <v>16</v>
      </c>
      <c r="R57" t="s">
        <v>2641</v>
      </c>
      <c r="S57" t="s">
        <v>2641</v>
      </c>
      <c r="T57" t="s">
        <v>2641</v>
      </c>
      <c r="U57" t="s">
        <v>2641</v>
      </c>
      <c r="V57">
        <v>30</v>
      </c>
      <c r="W57">
        <v>15</v>
      </c>
      <c r="X57"/>
      <c r="Y57">
        <v>60</v>
      </c>
      <c r="Z57"/>
      <c r="AA57">
        <v>17</v>
      </c>
      <c r="AB57">
        <v>10</v>
      </c>
      <c r="AC57">
        <v>15</v>
      </c>
      <c r="AD57">
        <v>12</v>
      </c>
      <c r="AE57">
        <v>11</v>
      </c>
      <c r="AF57">
        <v>15</v>
      </c>
      <c r="AG57">
        <v>91</v>
      </c>
      <c r="AH57"/>
      <c r="AI57"/>
      <c r="AJ57"/>
      <c r="AK57"/>
      <c r="AL57"/>
      <c r="AM57"/>
      <c r="AN57"/>
      <c r="AO57">
        <v>287</v>
      </c>
      <c r="AP57"/>
      <c r="AQ57"/>
      <c r="AR57"/>
      <c r="AS57"/>
      <c r="AT57"/>
      <c r="AU57"/>
      <c r="AV57"/>
      <c r="AW57"/>
      <c r="AX57"/>
      <c r="AY57"/>
      <c r="AZ57"/>
      <c r="BA57"/>
      <c r="BB57"/>
      <c r="BC57"/>
      <c r="BD57"/>
      <c r="BE57"/>
      <c r="BF57"/>
      <c r="BG57"/>
      <c r="BH57"/>
      <c r="BI57"/>
      <c r="BJ57"/>
      <c r="BK57"/>
      <c r="BL57"/>
      <c r="BM57"/>
      <c r="BN57"/>
      <c r="BO57"/>
      <c r="BP57" t="s">
        <v>2479</v>
      </c>
      <c r="BQ57" t="s">
        <v>5265</v>
      </c>
      <c r="BR57" t="s">
        <v>5264</v>
      </c>
      <c r="BS57" t="s">
        <v>2556</v>
      </c>
      <c r="BT57" t="s">
        <v>5263</v>
      </c>
      <c r="BU57" t="s">
        <v>5262</v>
      </c>
      <c r="BV57"/>
      <c r="BW57"/>
      <c r="BX57"/>
      <c r="BY57"/>
      <c r="BZ57"/>
      <c r="CA57"/>
      <c r="CB57"/>
      <c r="CC57"/>
      <c r="CD57"/>
      <c r="CE57"/>
      <c r="CF57"/>
      <c r="CG57"/>
      <c r="CH57"/>
      <c r="CI57"/>
      <c r="CJ57"/>
      <c r="CK57"/>
      <c r="CL57"/>
      <c r="CM57"/>
      <c r="CN57"/>
      <c r="CO57"/>
      <c r="CP57"/>
      <c r="CQ57"/>
      <c r="CR57"/>
      <c r="CS57"/>
      <c r="CT57"/>
      <c r="CU57"/>
      <c r="CV57"/>
      <c r="CW57"/>
      <c r="CX57" t="s">
        <v>2454</v>
      </c>
      <c r="CY57">
        <v>91</v>
      </c>
      <c r="CZ57" t="s">
        <v>2453</v>
      </c>
    </row>
    <row r="58" spans="1:104" ht="14.25">
      <c r="A58" t="s">
        <v>5261</v>
      </c>
      <c r="B58" t="s">
        <v>5261</v>
      </c>
      <c r="C58" t="s">
        <v>5260</v>
      </c>
      <c r="D58">
        <v>0.25</v>
      </c>
      <c r="E58" t="s">
        <v>2680</v>
      </c>
      <c r="F58" t="s">
        <v>2467</v>
      </c>
      <c r="G58" t="s">
        <v>2690</v>
      </c>
      <c r="H58"/>
      <c r="I58"/>
      <c r="J58" t="s">
        <v>2013</v>
      </c>
      <c r="K58"/>
      <c r="L58"/>
      <c r="M58">
        <v>11</v>
      </c>
      <c r="N58">
        <v>11</v>
      </c>
      <c r="O58">
        <v>2</v>
      </c>
      <c r="P58">
        <v>8</v>
      </c>
      <c r="Q58">
        <v>2</v>
      </c>
      <c r="R58" t="s">
        <v>2464</v>
      </c>
      <c r="S58" t="s">
        <v>2463</v>
      </c>
      <c r="T58" t="s">
        <v>2462</v>
      </c>
      <c r="U58" t="s">
        <v>2462</v>
      </c>
      <c r="V58">
        <v>40</v>
      </c>
      <c r="W58"/>
      <c r="X58"/>
      <c r="Y58"/>
      <c r="Z58"/>
      <c r="AA58">
        <v>13</v>
      </c>
      <c r="AB58">
        <v>11</v>
      </c>
      <c r="AC58">
        <v>12</v>
      </c>
      <c r="AD58">
        <v>2</v>
      </c>
      <c r="AE58">
        <v>9</v>
      </c>
      <c r="AF58">
        <v>5</v>
      </c>
      <c r="AG58">
        <v>319</v>
      </c>
      <c r="AH58">
        <v>304</v>
      </c>
      <c r="AI58"/>
      <c r="AJ58"/>
      <c r="AK58"/>
      <c r="AL58"/>
      <c r="AM58"/>
      <c r="AN58">
        <v>13</v>
      </c>
      <c r="AO58">
        <v>363</v>
      </c>
      <c r="AP58"/>
      <c r="AQ58"/>
      <c r="AR58"/>
      <c r="AS58" t="s">
        <v>5259</v>
      </c>
      <c r="AT58"/>
      <c r="AU58"/>
      <c r="AV58"/>
      <c r="AW58"/>
      <c r="AX58" t="s">
        <v>4113</v>
      </c>
      <c r="AY58" t="s">
        <v>2971</v>
      </c>
      <c r="AZ58" t="s">
        <v>5258</v>
      </c>
      <c r="BA58" t="s">
        <v>5257</v>
      </c>
      <c r="BB58" t="s">
        <v>2803</v>
      </c>
      <c r="BC58" t="s">
        <v>5256</v>
      </c>
      <c r="BD58" t="s">
        <v>2803</v>
      </c>
      <c r="BE58"/>
      <c r="BF58"/>
      <c r="BG58"/>
      <c r="BH58"/>
      <c r="BI58"/>
      <c r="BJ58"/>
      <c r="BK58"/>
      <c r="BL58"/>
      <c r="BM58"/>
      <c r="BN58"/>
      <c r="BO58"/>
      <c r="BP58" t="s">
        <v>4634</v>
      </c>
      <c r="BQ58" t="s">
        <v>5255</v>
      </c>
      <c r="BR58" t="s">
        <v>5254</v>
      </c>
      <c r="BS58"/>
      <c r="BT58"/>
      <c r="BU58"/>
      <c r="BV58"/>
      <c r="BW58"/>
      <c r="BX58"/>
      <c r="BY58"/>
      <c r="BZ58"/>
      <c r="CA58"/>
      <c r="CB58"/>
      <c r="CC58"/>
      <c r="CD58"/>
      <c r="CE58"/>
      <c r="CF58"/>
      <c r="CG58"/>
      <c r="CH58"/>
      <c r="CI58"/>
      <c r="CJ58"/>
      <c r="CK58"/>
      <c r="CL58"/>
      <c r="CM58"/>
      <c r="CN58"/>
      <c r="CO58"/>
      <c r="CP58"/>
      <c r="CQ58"/>
      <c r="CR58"/>
      <c r="CS58"/>
      <c r="CT58"/>
      <c r="CU58"/>
      <c r="CV58"/>
      <c r="CW58"/>
      <c r="CX58" t="s">
        <v>2454</v>
      </c>
      <c r="CY58">
        <v>319</v>
      </c>
      <c r="CZ58" t="s">
        <v>2453</v>
      </c>
    </row>
    <row r="59" spans="1:104" ht="14.25">
      <c r="A59" t="s">
        <v>5253</v>
      </c>
      <c r="B59" t="s">
        <v>5252</v>
      </c>
      <c r="C59" t="s">
        <v>5251</v>
      </c>
      <c r="D59">
        <v>9</v>
      </c>
      <c r="E59" t="s">
        <v>2468</v>
      </c>
      <c r="F59" t="s">
        <v>2489</v>
      </c>
      <c r="G59" t="s">
        <v>2879</v>
      </c>
      <c r="H59" t="s">
        <v>3667</v>
      </c>
      <c r="I59"/>
      <c r="J59" t="s">
        <v>2522</v>
      </c>
      <c r="K59"/>
      <c r="L59"/>
      <c r="M59">
        <v>19</v>
      </c>
      <c r="N59">
        <v>142</v>
      </c>
      <c r="O59">
        <v>15</v>
      </c>
      <c r="P59">
        <v>10</v>
      </c>
      <c r="Q59">
        <v>60</v>
      </c>
      <c r="R59" t="s">
        <v>2464</v>
      </c>
      <c r="S59" t="s">
        <v>4329</v>
      </c>
      <c r="T59" t="s">
        <v>4319</v>
      </c>
      <c r="U59" t="s">
        <v>2462</v>
      </c>
      <c r="V59">
        <v>40</v>
      </c>
      <c r="W59"/>
      <c r="X59"/>
      <c r="Y59">
        <v>40</v>
      </c>
      <c r="Z59"/>
      <c r="AA59">
        <v>18</v>
      </c>
      <c r="AB59">
        <v>16</v>
      </c>
      <c r="AC59">
        <v>18</v>
      </c>
      <c r="AD59">
        <v>13</v>
      </c>
      <c r="AE59">
        <v>14</v>
      </c>
      <c r="AF59">
        <v>16</v>
      </c>
      <c r="AG59">
        <v>71</v>
      </c>
      <c r="AH59"/>
      <c r="AI59"/>
      <c r="AJ59"/>
      <c r="AK59"/>
      <c r="AL59"/>
      <c r="AM59"/>
      <c r="AN59"/>
      <c r="AO59">
        <v>278</v>
      </c>
      <c r="AP59"/>
      <c r="AQ59">
        <v>8</v>
      </c>
      <c r="AR59"/>
      <c r="AS59"/>
      <c r="AT59"/>
      <c r="AU59"/>
      <c r="AV59"/>
      <c r="AW59"/>
      <c r="AX59"/>
      <c r="AY59" t="s">
        <v>4058</v>
      </c>
      <c r="AZ59" t="s">
        <v>4192</v>
      </c>
      <c r="BA59" t="s">
        <v>4058</v>
      </c>
      <c r="BB59" t="s">
        <v>2873</v>
      </c>
      <c r="BC59" t="s">
        <v>4191</v>
      </c>
      <c r="BD59" t="s">
        <v>2873</v>
      </c>
      <c r="BE59"/>
      <c r="BF59"/>
      <c r="BG59"/>
      <c r="BH59"/>
      <c r="BI59"/>
      <c r="BJ59"/>
      <c r="BK59"/>
      <c r="BL59"/>
      <c r="BM59"/>
      <c r="BN59"/>
      <c r="BO59"/>
      <c r="BP59" t="s">
        <v>2480</v>
      </c>
      <c r="BQ59" t="s">
        <v>5250</v>
      </c>
      <c r="BR59" t="s">
        <v>2480</v>
      </c>
      <c r="BS59" t="s">
        <v>2476</v>
      </c>
      <c r="BT59" t="s">
        <v>5249</v>
      </c>
      <c r="BU59" t="s">
        <v>5248</v>
      </c>
      <c r="BV59" t="s">
        <v>3390</v>
      </c>
      <c r="BW59" t="s">
        <v>5247</v>
      </c>
      <c r="BX59" t="s">
        <v>5246</v>
      </c>
      <c r="BY59"/>
      <c r="BZ59"/>
      <c r="CA59"/>
      <c r="CB59"/>
      <c r="CC59"/>
      <c r="CD59"/>
      <c r="CE59"/>
      <c r="CF59"/>
      <c r="CG59"/>
      <c r="CH59"/>
      <c r="CI59"/>
      <c r="CJ59"/>
      <c r="CK59"/>
      <c r="CL59"/>
      <c r="CM59"/>
      <c r="CN59"/>
      <c r="CO59"/>
      <c r="CP59"/>
      <c r="CQ59"/>
      <c r="CR59"/>
      <c r="CS59"/>
      <c r="CT59"/>
      <c r="CU59"/>
      <c r="CV59"/>
      <c r="CW59"/>
      <c r="CX59" t="s">
        <v>2454</v>
      </c>
      <c r="CY59">
        <v>71</v>
      </c>
      <c r="CZ59" t="s">
        <v>2453</v>
      </c>
    </row>
    <row r="60" spans="1:104" ht="14.25">
      <c r="A60" t="s">
        <v>5245</v>
      </c>
      <c r="B60" t="s">
        <v>5244</v>
      </c>
      <c r="C60" t="s">
        <v>5243</v>
      </c>
      <c r="D60">
        <v>1</v>
      </c>
      <c r="E60" t="s">
        <v>2468</v>
      </c>
      <c r="F60" t="s">
        <v>2467</v>
      </c>
      <c r="G60" t="s">
        <v>2488</v>
      </c>
      <c r="H60"/>
      <c r="I60"/>
      <c r="J60" t="s">
        <v>2535</v>
      </c>
      <c r="K60"/>
      <c r="L60"/>
      <c r="M60">
        <v>16</v>
      </c>
      <c r="N60">
        <v>16</v>
      </c>
      <c r="O60">
        <v>3</v>
      </c>
      <c r="P60">
        <v>8</v>
      </c>
      <c r="Q60">
        <v>3</v>
      </c>
      <c r="R60" t="s">
        <v>2641</v>
      </c>
      <c r="S60" t="s">
        <v>2641</v>
      </c>
      <c r="T60" t="s">
        <v>2641</v>
      </c>
      <c r="U60" t="s">
        <v>2641</v>
      </c>
      <c r="V60">
        <v>30</v>
      </c>
      <c r="W60">
        <v>15</v>
      </c>
      <c r="X60"/>
      <c r="Y60">
        <v>60</v>
      </c>
      <c r="Z60"/>
      <c r="AA60">
        <v>15</v>
      </c>
      <c r="AB60">
        <v>10</v>
      </c>
      <c r="AC60">
        <v>13</v>
      </c>
      <c r="AD60">
        <v>10</v>
      </c>
      <c r="AE60">
        <v>11</v>
      </c>
      <c r="AF60">
        <v>13</v>
      </c>
      <c r="AG60">
        <v>106</v>
      </c>
      <c r="AH60"/>
      <c r="AI60"/>
      <c r="AJ60"/>
      <c r="AK60"/>
      <c r="AL60"/>
      <c r="AM60"/>
      <c r="AN60"/>
      <c r="AO60">
        <v>295</v>
      </c>
      <c r="AP60"/>
      <c r="AQ60"/>
      <c r="AR60"/>
      <c r="AS60"/>
      <c r="AT60"/>
      <c r="AU60"/>
      <c r="AV60"/>
      <c r="AW60"/>
      <c r="AX60"/>
      <c r="AY60"/>
      <c r="AZ60"/>
      <c r="BA60"/>
      <c r="BB60"/>
      <c r="BC60"/>
      <c r="BD60"/>
      <c r="BE60"/>
      <c r="BF60"/>
      <c r="BG60"/>
      <c r="BH60"/>
      <c r="BI60"/>
      <c r="BJ60"/>
      <c r="BK60"/>
      <c r="BL60"/>
      <c r="BM60"/>
      <c r="BN60"/>
      <c r="BO60"/>
      <c r="BP60" t="s">
        <v>2479</v>
      </c>
      <c r="BQ60" t="s">
        <v>5097</v>
      </c>
      <c r="BR60" t="s">
        <v>5073</v>
      </c>
      <c r="BS60" t="s">
        <v>2495</v>
      </c>
      <c r="BT60" t="s">
        <v>5242</v>
      </c>
      <c r="BU60" t="s">
        <v>5241</v>
      </c>
      <c r="BV60"/>
      <c r="BW60"/>
      <c r="BX60"/>
      <c r="BY60"/>
      <c r="BZ60"/>
      <c r="CA60"/>
      <c r="CB60"/>
      <c r="CC60"/>
      <c r="CD60"/>
      <c r="CE60"/>
      <c r="CF60"/>
      <c r="CG60"/>
      <c r="CH60"/>
      <c r="CI60"/>
      <c r="CJ60"/>
      <c r="CK60"/>
      <c r="CL60"/>
      <c r="CM60"/>
      <c r="CN60"/>
      <c r="CO60"/>
      <c r="CP60"/>
      <c r="CQ60"/>
      <c r="CR60"/>
      <c r="CS60"/>
      <c r="CT60"/>
      <c r="CU60"/>
      <c r="CV60"/>
      <c r="CW60"/>
      <c r="CX60" t="s">
        <v>2454</v>
      </c>
      <c r="CY60">
        <v>106</v>
      </c>
      <c r="CZ60" t="s">
        <v>2453</v>
      </c>
    </row>
    <row r="61" spans="1:104" ht="14.25">
      <c r="A61" t="s">
        <v>5240</v>
      </c>
      <c r="B61" t="s">
        <v>5239</v>
      </c>
      <c r="C61" t="s">
        <v>5238</v>
      </c>
      <c r="D61">
        <v>2</v>
      </c>
      <c r="E61" t="s">
        <v>2468</v>
      </c>
      <c r="F61" t="s">
        <v>2467</v>
      </c>
      <c r="G61" t="s">
        <v>2488</v>
      </c>
      <c r="H61"/>
      <c r="I61"/>
      <c r="J61" t="s">
        <v>2502</v>
      </c>
      <c r="K61"/>
      <c r="L61"/>
      <c r="M61">
        <v>17</v>
      </c>
      <c r="N61">
        <v>32</v>
      </c>
      <c r="O61">
        <v>5</v>
      </c>
      <c r="P61">
        <v>8</v>
      </c>
      <c r="Q61">
        <v>10</v>
      </c>
      <c r="R61" t="s">
        <v>2641</v>
      </c>
      <c r="S61" t="s">
        <v>2641</v>
      </c>
      <c r="T61" t="s">
        <v>2641</v>
      </c>
      <c r="U61" t="s">
        <v>2641</v>
      </c>
      <c r="V61">
        <v>30</v>
      </c>
      <c r="W61"/>
      <c r="X61"/>
      <c r="Y61">
        <v>60</v>
      </c>
      <c r="Z61">
        <v>30</v>
      </c>
      <c r="AA61">
        <v>17</v>
      </c>
      <c r="AB61">
        <v>10</v>
      </c>
      <c r="AC61">
        <v>15</v>
      </c>
      <c r="AD61">
        <v>12</v>
      </c>
      <c r="AE61">
        <v>11</v>
      </c>
      <c r="AF61">
        <v>15</v>
      </c>
      <c r="AG61">
        <v>109</v>
      </c>
      <c r="AH61"/>
      <c r="AI61"/>
      <c r="AJ61"/>
      <c r="AK61"/>
      <c r="AL61"/>
      <c r="AM61"/>
      <c r="AN61"/>
      <c r="AO61">
        <v>298</v>
      </c>
      <c r="AP61"/>
      <c r="AQ61"/>
      <c r="AR61"/>
      <c r="AS61"/>
      <c r="AT61"/>
      <c r="AU61"/>
      <c r="AV61"/>
      <c r="AW61"/>
      <c r="AX61"/>
      <c r="AY61" t="s">
        <v>2520</v>
      </c>
      <c r="AZ61" t="s">
        <v>2521</v>
      </c>
      <c r="BA61" t="s">
        <v>2520</v>
      </c>
      <c r="BB61"/>
      <c r="BC61"/>
      <c r="BD61"/>
      <c r="BE61"/>
      <c r="BF61"/>
      <c r="BG61"/>
      <c r="BH61"/>
      <c r="BI61"/>
      <c r="BJ61"/>
      <c r="BK61"/>
      <c r="BL61"/>
      <c r="BM61"/>
      <c r="BN61"/>
      <c r="BO61"/>
      <c r="BP61" t="s">
        <v>2479</v>
      </c>
      <c r="BQ61" t="s">
        <v>3043</v>
      </c>
      <c r="BR61" t="s">
        <v>2769</v>
      </c>
      <c r="BS61" t="s">
        <v>2495</v>
      </c>
      <c r="BT61" t="s">
        <v>5237</v>
      </c>
      <c r="BU61" t="s">
        <v>5236</v>
      </c>
      <c r="BV61"/>
      <c r="BW61"/>
      <c r="BX61"/>
      <c r="BY61"/>
      <c r="BZ61"/>
      <c r="CA61"/>
      <c r="CB61"/>
      <c r="CC61"/>
      <c r="CD61"/>
      <c r="CE61"/>
      <c r="CF61"/>
      <c r="CG61"/>
      <c r="CH61"/>
      <c r="CI61"/>
      <c r="CJ61"/>
      <c r="CK61"/>
      <c r="CL61"/>
      <c r="CM61"/>
      <c r="CN61"/>
      <c r="CO61"/>
      <c r="CP61"/>
      <c r="CQ61"/>
      <c r="CR61"/>
      <c r="CS61"/>
      <c r="CT61"/>
      <c r="CU61"/>
      <c r="CV61"/>
      <c r="CW61"/>
      <c r="CX61" t="s">
        <v>2454</v>
      </c>
      <c r="CY61">
        <v>109</v>
      </c>
      <c r="CZ61" t="s">
        <v>2453</v>
      </c>
    </row>
    <row r="62" spans="1:104" ht="14.25">
      <c r="A62" t="s">
        <v>5235</v>
      </c>
      <c r="B62" t="s">
        <v>5234</v>
      </c>
      <c r="C62" t="s">
        <v>5233</v>
      </c>
      <c r="D62">
        <v>1</v>
      </c>
      <c r="E62" t="s">
        <v>2680</v>
      </c>
      <c r="F62" t="s">
        <v>2489</v>
      </c>
      <c r="G62" t="s">
        <v>2690</v>
      </c>
      <c r="H62"/>
      <c r="I62"/>
      <c r="J62" t="s">
        <v>2013</v>
      </c>
      <c r="K62"/>
      <c r="L62"/>
      <c r="M62">
        <v>11</v>
      </c>
      <c r="N62">
        <v>34</v>
      </c>
      <c r="O62">
        <v>4</v>
      </c>
      <c r="P62">
        <v>10</v>
      </c>
      <c r="Q62">
        <v>12</v>
      </c>
      <c r="R62" t="s">
        <v>2464</v>
      </c>
      <c r="S62" t="s">
        <v>3541</v>
      </c>
      <c r="T62" t="s">
        <v>2586</v>
      </c>
      <c r="U62" t="s">
        <v>2462</v>
      </c>
      <c r="V62">
        <v>40</v>
      </c>
      <c r="W62"/>
      <c r="X62">
        <v>30</v>
      </c>
      <c r="Y62"/>
      <c r="Z62"/>
      <c r="AA62">
        <v>19</v>
      </c>
      <c r="AB62">
        <v>10</v>
      </c>
      <c r="AC62">
        <v>16</v>
      </c>
      <c r="AD62">
        <v>2</v>
      </c>
      <c r="AE62">
        <v>13</v>
      </c>
      <c r="AF62">
        <v>7</v>
      </c>
      <c r="AG62">
        <v>319</v>
      </c>
      <c r="AH62">
        <v>304</v>
      </c>
      <c r="AI62"/>
      <c r="AJ62"/>
      <c r="AK62"/>
      <c r="AL62"/>
      <c r="AM62"/>
      <c r="AN62">
        <v>13</v>
      </c>
      <c r="AO62">
        <v>364</v>
      </c>
      <c r="AP62"/>
      <c r="AQ62"/>
      <c r="AR62"/>
      <c r="AS62"/>
      <c r="AT62"/>
      <c r="AU62"/>
      <c r="AV62"/>
      <c r="AW62"/>
      <c r="AX62"/>
      <c r="AY62" t="s">
        <v>2581</v>
      </c>
      <c r="AZ62" t="s">
        <v>3622</v>
      </c>
      <c r="BA62" t="s">
        <v>2581</v>
      </c>
      <c r="BB62"/>
      <c r="BC62"/>
      <c r="BD62"/>
      <c r="BE62"/>
      <c r="BF62"/>
      <c r="BG62"/>
      <c r="BH62"/>
      <c r="BI62"/>
      <c r="BJ62"/>
      <c r="BK62"/>
      <c r="BL62"/>
      <c r="BM62"/>
      <c r="BN62"/>
      <c r="BO62"/>
      <c r="BP62" t="s">
        <v>2480</v>
      </c>
      <c r="BQ62" t="s">
        <v>3621</v>
      </c>
      <c r="BR62" t="s">
        <v>2480</v>
      </c>
      <c r="BS62" t="s">
        <v>2479</v>
      </c>
      <c r="BT62" t="s">
        <v>5232</v>
      </c>
      <c r="BU62" t="s">
        <v>5231</v>
      </c>
      <c r="BV62" t="s">
        <v>2652</v>
      </c>
      <c r="BW62" t="s">
        <v>5230</v>
      </c>
      <c r="BX62" t="s">
        <v>5229</v>
      </c>
      <c r="BY62"/>
      <c r="BZ62"/>
      <c r="CA62"/>
      <c r="CB62"/>
      <c r="CC62"/>
      <c r="CD62"/>
      <c r="CE62"/>
      <c r="CF62"/>
      <c r="CG62"/>
      <c r="CH62"/>
      <c r="CI62"/>
      <c r="CJ62"/>
      <c r="CK62"/>
      <c r="CL62"/>
      <c r="CM62"/>
      <c r="CN62"/>
      <c r="CO62"/>
      <c r="CP62"/>
      <c r="CQ62"/>
      <c r="CR62"/>
      <c r="CS62"/>
      <c r="CT62"/>
      <c r="CU62"/>
      <c r="CV62"/>
      <c r="CW62"/>
      <c r="CX62" t="s">
        <v>2454</v>
      </c>
      <c r="CY62">
        <v>319</v>
      </c>
      <c r="CZ62" t="s">
        <v>2453</v>
      </c>
    </row>
    <row r="63" spans="1:104" ht="14.25">
      <c r="A63" t="s">
        <v>5228</v>
      </c>
      <c r="B63" t="s">
        <v>5228</v>
      </c>
      <c r="C63" t="s">
        <v>5227</v>
      </c>
      <c r="D63">
        <v>1</v>
      </c>
      <c r="E63" t="s">
        <v>2468</v>
      </c>
      <c r="F63" t="s">
        <v>2467</v>
      </c>
      <c r="G63" t="s">
        <v>2608</v>
      </c>
      <c r="H63" t="s">
        <v>4249</v>
      </c>
      <c r="I63"/>
      <c r="J63" t="s">
        <v>2487</v>
      </c>
      <c r="K63"/>
      <c r="L63"/>
      <c r="M63">
        <v>16</v>
      </c>
      <c r="N63">
        <v>27</v>
      </c>
      <c r="O63">
        <v>5</v>
      </c>
      <c r="P63">
        <v>8</v>
      </c>
      <c r="Q63">
        <v>5</v>
      </c>
      <c r="R63" t="s">
        <v>2464</v>
      </c>
      <c r="S63" t="s">
        <v>4811</v>
      </c>
      <c r="T63" t="s">
        <v>3353</v>
      </c>
      <c r="U63" t="s">
        <v>2462</v>
      </c>
      <c r="V63">
        <v>30</v>
      </c>
      <c r="W63"/>
      <c r="X63"/>
      <c r="Y63"/>
      <c r="Z63"/>
      <c r="AA63">
        <v>15</v>
      </c>
      <c r="AB63">
        <v>14</v>
      </c>
      <c r="AC63">
        <v>13</v>
      </c>
      <c r="AD63">
        <v>8</v>
      </c>
      <c r="AE63">
        <v>11</v>
      </c>
      <c r="AF63">
        <v>9</v>
      </c>
      <c r="AG63">
        <v>33</v>
      </c>
      <c r="AH63"/>
      <c r="AI63"/>
      <c r="AJ63">
        <v>56</v>
      </c>
      <c r="AK63"/>
      <c r="AL63"/>
      <c r="AM63"/>
      <c r="AN63">
        <v>13</v>
      </c>
      <c r="AO63">
        <v>269</v>
      </c>
      <c r="AP63"/>
      <c r="AQ63"/>
      <c r="AR63"/>
      <c r="AS63" t="s">
        <v>5226</v>
      </c>
      <c r="AT63"/>
      <c r="AU63"/>
      <c r="AV63" t="s">
        <v>5225</v>
      </c>
      <c r="AW63"/>
      <c r="AX63"/>
      <c r="AY63" t="s">
        <v>4437</v>
      </c>
      <c r="AZ63" t="s">
        <v>5224</v>
      </c>
      <c r="BA63" t="s">
        <v>4437</v>
      </c>
      <c r="BB63" t="s">
        <v>4992</v>
      </c>
      <c r="BC63" t="s">
        <v>5223</v>
      </c>
      <c r="BD63" t="s">
        <v>5222</v>
      </c>
      <c r="BE63"/>
      <c r="BF63"/>
      <c r="BG63"/>
      <c r="BH63"/>
      <c r="BI63"/>
      <c r="BJ63"/>
      <c r="BK63"/>
      <c r="BL63"/>
      <c r="BM63"/>
      <c r="BN63"/>
      <c r="BO63"/>
      <c r="BP63" t="s">
        <v>3745</v>
      </c>
      <c r="BQ63" t="s">
        <v>5221</v>
      </c>
      <c r="BR63" t="s">
        <v>5220</v>
      </c>
      <c r="BS63" t="s">
        <v>3719</v>
      </c>
      <c r="BT63" t="s">
        <v>5219</v>
      </c>
      <c r="BU63" t="s">
        <v>5218</v>
      </c>
      <c r="BV63"/>
      <c r="BW63"/>
      <c r="BX63"/>
      <c r="BY63"/>
      <c r="BZ63"/>
      <c r="CA63"/>
      <c r="CB63"/>
      <c r="CC63"/>
      <c r="CD63"/>
      <c r="CE63"/>
      <c r="CF63"/>
      <c r="CG63"/>
      <c r="CH63"/>
      <c r="CI63"/>
      <c r="CJ63"/>
      <c r="CK63"/>
      <c r="CL63"/>
      <c r="CM63"/>
      <c r="CN63"/>
      <c r="CO63"/>
      <c r="CP63"/>
      <c r="CQ63"/>
      <c r="CR63"/>
      <c r="CS63"/>
      <c r="CT63"/>
      <c r="CU63"/>
      <c r="CV63"/>
      <c r="CW63"/>
      <c r="CX63" t="s">
        <v>2454</v>
      </c>
      <c r="CY63">
        <v>33</v>
      </c>
      <c r="CZ63" t="s">
        <v>2453</v>
      </c>
    </row>
    <row r="64" spans="1:104" ht="14.25">
      <c r="A64" t="s">
        <v>5217</v>
      </c>
      <c r="B64" t="s">
        <v>5217</v>
      </c>
      <c r="C64" t="s">
        <v>5216</v>
      </c>
      <c r="D64">
        <v>5</v>
      </c>
      <c r="E64" t="s">
        <v>2468</v>
      </c>
      <c r="F64" t="s">
        <v>2489</v>
      </c>
      <c r="G64" t="s">
        <v>2587</v>
      </c>
      <c r="H64"/>
      <c r="I64"/>
      <c r="J64" t="s">
        <v>2013</v>
      </c>
      <c r="K64"/>
      <c r="L64"/>
      <c r="M64">
        <v>17</v>
      </c>
      <c r="N64">
        <v>94</v>
      </c>
      <c r="O64">
        <v>9</v>
      </c>
      <c r="P64">
        <v>10</v>
      </c>
      <c r="Q64">
        <v>45</v>
      </c>
      <c r="R64" t="s">
        <v>2464</v>
      </c>
      <c r="S64" t="s">
        <v>5215</v>
      </c>
      <c r="T64" t="s">
        <v>2462</v>
      </c>
      <c r="U64" t="s">
        <v>2462</v>
      </c>
      <c r="V64">
        <v>40</v>
      </c>
      <c r="W64">
        <v>40</v>
      </c>
      <c r="X64"/>
      <c r="Y64"/>
      <c r="Z64"/>
      <c r="AA64">
        <v>19</v>
      </c>
      <c r="AB64">
        <v>11</v>
      </c>
      <c r="AC64">
        <v>21</v>
      </c>
      <c r="AD64">
        <v>2</v>
      </c>
      <c r="AE64">
        <v>10</v>
      </c>
      <c r="AF64">
        <v>5</v>
      </c>
      <c r="AG64">
        <v>34</v>
      </c>
      <c r="AH64"/>
      <c r="AI64"/>
      <c r="AJ64"/>
      <c r="AK64"/>
      <c r="AL64"/>
      <c r="AM64"/>
      <c r="AN64"/>
      <c r="AO64">
        <v>269</v>
      </c>
      <c r="AP64"/>
      <c r="AQ64"/>
      <c r="AR64"/>
      <c r="AS64" t="s">
        <v>5053</v>
      </c>
      <c r="AT64">
        <v>10</v>
      </c>
      <c r="AU64"/>
      <c r="AV64" t="s">
        <v>5214</v>
      </c>
      <c r="AW64"/>
      <c r="AX64" t="s">
        <v>4265</v>
      </c>
      <c r="AY64" t="s">
        <v>4496</v>
      </c>
      <c r="AZ64" t="s">
        <v>5213</v>
      </c>
      <c r="BA64" t="s">
        <v>4496</v>
      </c>
      <c r="BB64"/>
      <c r="BC64"/>
      <c r="BD64"/>
      <c r="BE64"/>
      <c r="BF64"/>
      <c r="BG64"/>
      <c r="BH64"/>
      <c r="BI64"/>
      <c r="BJ64"/>
      <c r="BK64"/>
      <c r="BL64"/>
      <c r="BM64"/>
      <c r="BN64"/>
      <c r="BO64"/>
      <c r="BP64" t="s">
        <v>2479</v>
      </c>
      <c r="BQ64" t="s">
        <v>5212</v>
      </c>
      <c r="BR64" t="s">
        <v>5211</v>
      </c>
      <c r="BS64" t="s">
        <v>5209</v>
      </c>
      <c r="BT64" t="s">
        <v>5210</v>
      </c>
      <c r="BU64" t="s">
        <v>5209</v>
      </c>
      <c r="BV64"/>
      <c r="BW64"/>
      <c r="BX64"/>
      <c r="BY64"/>
      <c r="BZ64"/>
      <c r="CA64"/>
      <c r="CB64"/>
      <c r="CC64"/>
      <c r="CD64"/>
      <c r="CE64"/>
      <c r="CF64"/>
      <c r="CG64"/>
      <c r="CH64"/>
      <c r="CI64"/>
      <c r="CJ64"/>
      <c r="CK64"/>
      <c r="CL64"/>
      <c r="CM64"/>
      <c r="CN64"/>
      <c r="CO64"/>
      <c r="CP64"/>
      <c r="CQ64"/>
      <c r="CR64"/>
      <c r="CS64"/>
      <c r="CT64"/>
      <c r="CU64"/>
      <c r="CV64"/>
      <c r="CW64"/>
      <c r="CX64" t="s">
        <v>2454</v>
      </c>
      <c r="CY64">
        <v>34</v>
      </c>
      <c r="CZ64" t="s">
        <v>2453</v>
      </c>
    </row>
    <row r="65" spans="1:104" ht="14.25">
      <c r="A65" t="s">
        <v>5208</v>
      </c>
      <c r="B65" t="s">
        <v>5208</v>
      </c>
      <c r="C65" t="s">
        <v>5207</v>
      </c>
      <c r="D65">
        <v>0.125</v>
      </c>
      <c r="E65" t="s">
        <v>2680</v>
      </c>
      <c r="F65" t="s">
        <v>2489</v>
      </c>
      <c r="G65" t="s">
        <v>2690</v>
      </c>
      <c r="H65"/>
      <c r="I65"/>
      <c r="J65" t="s">
        <v>2013</v>
      </c>
      <c r="K65"/>
      <c r="L65"/>
      <c r="M65">
        <v>9</v>
      </c>
      <c r="N65">
        <v>15</v>
      </c>
      <c r="O65">
        <v>2</v>
      </c>
      <c r="P65">
        <v>10</v>
      </c>
      <c r="Q65">
        <v>4</v>
      </c>
      <c r="R65" t="s">
        <v>2464</v>
      </c>
      <c r="S65" t="s">
        <v>2858</v>
      </c>
      <c r="T65" t="s">
        <v>2462</v>
      </c>
      <c r="U65" t="s">
        <v>2462</v>
      </c>
      <c r="V65">
        <v>50</v>
      </c>
      <c r="W65"/>
      <c r="X65"/>
      <c r="Y65"/>
      <c r="Z65"/>
      <c r="AA65">
        <v>16</v>
      </c>
      <c r="AB65">
        <v>8</v>
      </c>
      <c r="AC65">
        <v>14</v>
      </c>
      <c r="AD65">
        <v>2</v>
      </c>
      <c r="AE65">
        <v>8</v>
      </c>
      <c r="AF65">
        <v>5</v>
      </c>
      <c r="AG65">
        <v>320</v>
      </c>
      <c r="AH65"/>
      <c r="AI65"/>
      <c r="AJ65"/>
      <c r="AK65"/>
      <c r="AL65"/>
      <c r="AM65"/>
      <c r="AN65">
        <v>14</v>
      </c>
      <c r="AO65">
        <v>364</v>
      </c>
      <c r="AP65"/>
      <c r="AQ65"/>
      <c r="AR65"/>
      <c r="AS65"/>
      <c r="AT65"/>
      <c r="AU65"/>
      <c r="AV65"/>
      <c r="AW65"/>
      <c r="AX65"/>
      <c r="AY65"/>
      <c r="AZ65"/>
      <c r="BA65"/>
      <c r="BB65"/>
      <c r="BC65"/>
      <c r="BD65"/>
      <c r="BE65"/>
      <c r="BF65"/>
      <c r="BG65"/>
      <c r="BH65"/>
      <c r="BI65"/>
      <c r="BJ65"/>
      <c r="BK65"/>
      <c r="BL65"/>
      <c r="BM65"/>
      <c r="BN65"/>
      <c r="BO65"/>
      <c r="BP65" t="s">
        <v>2479</v>
      </c>
      <c r="BQ65" t="s">
        <v>5206</v>
      </c>
      <c r="BR65" t="s">
        <v>5205</v>
      </c>
      <c r="BS65"/>
      <c r="BT65"/>
      <c r="BU65"/>
      <c r="BV65"/>
      <c r="BW65"/>
      <c r="BX65"/>
      <c r="BY65"/>
      <c r="BZ65"/>
      <c r="CA65"/>
      <c r="CB65"/>
      <c r="CC65"/>
      <c r="CD65"/>
      <c r="CE65"/>
      <c r="CF65"/>
      <c r="CG65"/>
      <c r="CH65"/>
      <c r="CI65"/>
      <c r="CJ65"/>
      <c r="CK65"/>
      <c r="CL65"/>
      <c r="CM65"/>
      <c r="CN65"/>
      <c r="CO65"/>
      <c r="CP65"/>
      <c r="CQ65"/>
      <c r="CR65"/>
      <c r="CS65"/>
      <c r="CT65"/>
      <c r="CU65"/>
      <c r="CV65"/>
      <c r="CW65"/>
      <c r="CX65" t="s">
        <v>2454</v>
      </c>
      <c r="CY65">
        <v>320</v>
      </c>
      <c r="CZ65" t="s">
        <v>2453</v>
      </c>
    </row>
    <row r="66" spans="1:104" ht="14.25">
      <c r="A66" t="s">
        <v>5204</v>
      </c>
      <c r="B66" t="s">
        <v>5204</v>
      </c>
      <c r="C66" t="s">
        <v>5203</v>
      </c>
      <c r="D66">
        <v>0</v>
      </c>
      <c r="E66" t="s">
        <v>2680</v>
      </c>
      <c r="F66" t="s">
        <v>2719</v>
      </c>
      <c r="G66" t="s">
        <v>2690</v>
      </c>
      <c r="H66"/>
      <c r="I66"/>
      <c r="J66" t="s">
        <v>2013</v>
      </c>
      <c r="K66"/>
      <c r="L66"/>
      <c r="M66">
        <v>12</v>
      </c>
      <c r="N66">
        <v>2</v>
      </c>
      <c r="O66">
        <v>1</v>
      </c>
      <c r="P66">
        <v>4</v>
      </c>
      <c r="Q66"/>
      <c r="R66" t="s">
        <v>2464</v>
      </c>
      <c r="S66" t="s">
        <v>2826</v>
      </c>
      <c r="T66" t="s">
        <v>2462</v>
      </c>
      <c r="U66" t="s">
        <v>2462</v>
      </c>
      <c r="V66">
        <v>40</v>
      </c>
      <c r="W66"/>
      <c r="X66">
        <v>30</v>
      </c>
      <c r="Y66"/>
      <c r="Z66"/>
      <c r="AA66">
        <v>3</v>
      </c>
      <c r="AB66">
        <v>15</v>
      </c>
      <c r="AC66">
        <v>10</v>
      </c>
      <c r="AD66">
        <v>3</v>
      </c>
      <c r="AE66">
        <v>12</v>
      </c>
      <c r="AF66">
        <v>7</v>
      </c>
      <c r="AG66">
        <v>320</v>
      </c>
      <c r="AH66">
        <v>305</v>
      </c>
      <c r="AI66"/>
      <c r="AJ66"/>
      <c r="AK66"/>
      <c r="AL66"/>
      <c r="AM66"/>
      <c r="AN66">
        <v>14</v>
      </c>
      <c r="AO66">
        <v>364</v>
      </c>
      <c r="AP66"/>
      <c r="AQ66"/>
      <c r="AR66"/>
      <c r="AS66"/>
      <c r="AT66"/>
      <c r="AU66"/>
      <c r="AV66"/>
      <c r="AW66"/>
      <c r="AX66"/>
      <c r="AY66" t="s">
        <v>2581</v>
      </c>
      <c r="AZ66" t="s">
        <v>5202</v>
      </c>
      <c r="BA66" t="s">
        <v>2581</v>
      </c>
      <c r="BB66"/>
      <c r="BC66"/>
      <c r="BD66"/>
      <c r="BE66"/>
      <c r="BF66"/>
      <c r="BG66"/>
      <c r="BH66"/>
      <c r="BI66"/>
      <c r="BJ66"/>
      <c r="BK66"/>
      <c r="BL66"/>
      <c r="BM66"/>
      <c r="BN66"/>
      <c r="BO66"/>
      <c r="BP66" t="s">
        <v>2652</v>
      </c>
      <c r="BQ66" t="s">
        <v>5201</v>
      </c>
      <c r="BR66" t="s">
        <v>5200</v>
      </c>
      <c r="BS66"/>
      <c r="BT66"/>
      <c r="BU66"/>
      <c r="BV66"/>
      <c r="BW66"/>
      <c r="BX66"/>
      <c r="BY66"/>
      <c r="BZ66"/>
      <c r="CA66"/>
      <c r="CB66"/>
      <c r="CC66"/>
      <c r="CD66"/>
      <c r="CE66"/>
      <c r="CF66"/>
      <c r="CG66"/>
      <c r="CH66"/>
      <c r="CI66"/>
      <c r="CJ66"/>
      <c r="CK66"/>
      <c r="CL66"/>
      <c r="CM66"/>
      <c r="CN66"/>
      <c r="CO66"/>
      <c r="CP66"/>
      <c r="CQ66"/>
      <c r="CR66"/>
      <c r="CS66"/>
      <c r="CT66"/>
      <c r="CU66"/>
      <c r="CV66"/>
      <c r="CW66"/>
      <c r="CX66" t="s">
        <v>2454</v>
      </c>
      <c r="CY66">
        <v>320</v>
      </c>
      <c r="CZ66" t="s">
        <v>2453</v>
      </c>
    </row>
    <row r="67" spans="1:104" ht="14.25">
      <c r="A67" t="s">
        <v>5199</v>
      </c>
      <c r="B67" t="s">
        <v>5199</v>
      </c>
      <c r="C67" t="s">
        <v>5198</v>
      </c>
      <c r="D67">
        <v>2</v>
      </c>
      <c r="E67" t="s">
        <v>2468</v>
      </c>
      <c r="F67" t="s">
        <v>2489</v>
      </c>
      <c r="G67" t="s">
        <v>2587</v>
      </c>
      <c r="H67"/>
      <c r="I67"/>
      <c r="J67" t="s">
        <v>2642</v>
      </c>
      <c r="K67"/>
      <c r="L67"/>
      <c r="M67">
        <v>12</v>
      </c>
      <c r="N67">
        <v>45</v>
      </c>
      <c r="O67">
        <v>6</v>
      </c>
      <c r="P67">
        <v>10</v>
      </c>
      <c r="Q67">
        <v>12</v>
      </c>
      <c r="R67" t="s">
        <v>2464</v>
      </c>
      <c r="S67" t="s">
        <v>5197</v>
      </c>
      <c r="T67" t="s">
        <v>2586</v>
      </c>
      <c r="U67" t="s">
        <v>2462</v>
      </c>
      <c r="V67">
        <v>50</v>
      </c>
      <c r="W67"/>
      <c r="X67"/>
      <c r="Y67"/>
      <c r="Z67"/>
      <c r="AA67">
        <v>18</v>
      </c>
      <c r="AB67">
        <v>14</v>
      </c>
      <c r="AC67">
        <v>14</v>
      </c>
      <c r="AD67">
        <v>9</v>
      </c>
      <c r="AE67">
        <v>13</v>
      </c>
      <c r="AF67">
        <v>11</v>
      </c>
      <c r="AG67">
        <v>38</v>
      </c>
      <c r="AH67"/>
      <c r="AI67"/>
      <c r="AJ67"/>
      <c r="AK67"/>
      <c r="AL67"/>
      <c r="AM67"/>
      <c r="AN67">
        <v>14</v>
      </c>
      <c r="AO67">
        <v>270</v>
      </c>
      <c r="AP67"/>
      <c r="AQ67"/>
      <c r="AR67"/>
      <c r="AS67"/>
      <c r="AT67"/>
      <c r="AU67"/>
      <c r="AV67"/>
      <c r="AW67"/>
      <c r="AX67"/>
      <c r="AY67" t="s">
        <v>2971</v>
      </c>
      <c r="AZ67" t="s">
        <v>5196</v>
      </c>
      <c r="BA67" t="s">
        <v>5195</v>
      </c>
      <c r="BB67"/>
      <c r="BC67"/>
      <c r="BD67"/>
      <c r="BE67"/>
      <c r="BF67"/>
      <c r="BG67"/>
      <c r="BH67"/>
      <c r="BI67"/>
      <c r="BJ67"/>
      <c r="BK67"/>
      <c r="BL67"/>
      <c r="BM67"/>
      <c r="BN67"/>
      <c r="BO67"/>
      <c r="BP67" t="s">
        <v>2480</v>
      </c>
      <c r="BQ67" t="s">
        <v>5194</v>
      </c>
      <c r="BR67" t="s">
        <v>2480</v>
      </c>
      <c r="BS67" t="s">
        <v>2355</v>
      </c>
      <c r="BT67" t="s">
        <v>5193</v>
      </c>
      <c r="BU67" t="s">
        <v>5192</v>
      </c>
      <c r="BV67" t="s">
        <v>2844</v>
      </c>
      <c r="BW67" t="s">
        <v>2843</v>
      </c>
      <c r="BX67" t="s">
        <v>5191</v>
      </c>
      <c r="BY67" t="s">
        <v>2724</v>
      </c>
      <c r="BZ67" t="s">
        <v>2723</v>
      </c>
      <c r="CA67" t="s">
        <v>2722</v>
      </c>
      <c r="CB67"/>
      <c r="CC67"/>
      <c r="CD67"/>
      <c r="CE67"/>
      <c r="CF67"/>
      <c r="CG67"/>
      <c r="CH67"/>
      <c r="CI67"/>
      <c r="CJ67"/>
      <c r="CK67"/>
      <c r="CL67"/>
      <c r="CM67"/>
      <c r="CN67"/>
      <c r="CO67"/>
      <c r="CP67"/>
      <c r="CQ67"/>
      <c r="CR67"/>
      <c r="CS67"/>
      <c r="CT67"/>
      <c r="CU67"/>
      <c r="CV67"/>
      <c r="CW67"/>
      <c r="CX67" t="s">
        <v>2454</v>
      </c>
      <c r="CY67">
        <v>38</v>
      </c>
      <c r="CZ67" t="s">
        <v>2453</v>
      </c>
    </row>
    <row r="68" spans="1:104" ht="14.25">
      <c r="A68" t="s">
        <v>5190</v>
      </c>
      <c r="B68" t="s">
        <v>5189</v>
      </c>
      <c r="C68" t="s">
        <v>5188</v>
      </c>
      <c r="D68">
        <v>8</v>
      </c>
      <c r="E68" t="s">
        <v>2468</v>
      </c>
      <c r="F68" t="s">
        <v>2467</v>
      </c>
      <c r="G68" t="s">
        <v>2879</v>
      </c>
      <c r="H68" t="s">
        <v>3667</v>
      </c>
      <c r="I68"/>
      <c r="J68" t="s">
        <v>2522</v>
      </c>
      <c r="K68"/>
      <c r="L68"/>
      <c r="M68">
        <v>16</v>
      </c>
      <c r="N68">
        <v>85</v>
      </c>
      <c r="O68">
        <v>10</v>
      </c>
      <c r="P68">
        <v>8</v>
      </c>
      <c r="Q68">
        <v>40</v>
      </c>
      <c r="R68" t="s">
        <v>2464</v>
      </c>
      <c r="S68" t="s">
        <v>2485</v>
      </c>
      <c r="T68" t="s">
        <v>2462</v>
      </c>
      <c r="U68" t="s">
        <v>2462</v>
      </c>
      <c r="V68">
        <v>30</v>
      </c>
      <c r="W68"/>
      <c r="X68"/>
      <c r="Y68"/>
      <c r="Z68"/>
      <c r="AA68">
        <v>18</v>
      </c>
      <c r="AB68">
        <v>15</v>
      </c>
      <c r="AC68">
        <v>18</v>
      </c>
      <c r="AD68">
        <v>11</v>
      </c>
      <c r="AE68">
        <v>12</v>
      </c>
      <c r="AF68">
        <v>14</v>
      </c>
      <c r="AG68">
        <v>72</v>
      </c>
      <c r="AH68"/>
      <c r="AI68"/>
      <c r="AJ68"/>
      <c r="AK68"/>
      <c r="AL68"/>
      <c r="AM68"/>
      <c r="AN68"/>
      <c r="AO68">
        <v>278</v>
      </c>
      <c r="AP68"/>
      <c r="AQ68"/>
      <c r="AR68"/>
      <c r="AS68"/>
      <c r="AT68"/>
      <c r="AU68"/>
      <c r="AV68"/>
      <c r="AW68"/>
      <c r="AX68"/>
      <c r="AY68" t="s">
        <v>4058</v>
      </c>
      <c r="AZ68" t="s">
        <v>4192</v>
      </c>
      <c r="BA68" t="s">
        <v>4058</v>
      </c>
      <c r="BB68" t="s">
        <v>2873</v>
      </c>
      <c r="BC68" t="s">
        <v>4191</v>
      </c>
      <c r="BD68" t="s">
        <v>2873</v>
      </c>
      <c r="BE68"/>
      <c r="BF68"/>
      <c r="BG68"/>
      <c r="BH68"/>
      <c r="BI68"/>
      <c r="BJ68"/>
      <c r="BK68"/>
      <c r="BL68"/>
      <c r="BM68"/>
      <c r="BN68"/>
      <c r="BO68"/>
      <c r="BP68" t="s">
        <v>2480</v>
      </c>
      <c r="BQ68" t="s">
        <v>5187</v>
      </c>
      <c r="BR68" t="s">
        <v>2480</v>
      </c>
      <c r="BS68" t="s">
        <v>5186</v>
      </c>
      <c r="BT68" t="s">
        <v>5185</v>
      </c>
      <c r="BU68" t="s">
        <v>5184</v>
      </c>
      <c r="BV68" t="s">
        <v>5182</v>
      </c>
      <c r="BW68" t="s">
        <v>5183</v>
      </c>
      <c r="BX68" t="s">
        <v>5182</v>
      </c>
      <c r="BY68"/>
      <c r="BZ68"/>
      <c r="CA68"/>
      <c r="CB68"/>
      <c r="CC68"/>
      <c r="CD68"/>
      <c r="CE68"/>
      <c r="CF68"/>
      <c r="CG68"/>
      <c r="CH68"/>
      <c r="CI68"/>
      <c r="CJ68"/>
      <c r="CK68"/>
      <c r="CL68"/>
      <c r="CM68"/>
      <c r="CN68"/>
      <c r="CO68"/>
      <c r="CP68"/>
      <c r="CQ68"/>
      <c r="CR68"/>
      <c r="CS68"/>
      <c r="CT68"/>
      <c r="CU68"/>
      <c r="CV68" t="s">
        <v>5181</v>
      </c>
      <c r="CW68" t="s">
        <v>5180</v>
      </c>
      <c r="CX68" t="s">
        <v>2454</v>
      </c>
      <c r="CY68">
        <v>72</v>
      </c>
      <c r="CZ68" t="s">
        <v>2453</v>
      </c>
    </row>
    <row r="69" spans="1:104" ht="14.25">
      <c r="A69" t="s">
        <v>5179</v>
      </c>
      <c r="B69" t="s">
        <v>5179</v>
      </c>
      <c r="C69" t="s">
        <v>5178</v>
      </c>
      <c r="D69">
        <v>6</v>
      </c>
      <c r="E69" t="s">
        <v>2468</v>
      </c>
      <c r="F69" t="s">
        <v>2489</v>
      </c>
      <c r="G69" t="s">
        <v>2587</v>
      </c>
      <c r="H69"/>
      <c r="I69"/>
      <c r="J69" t="s">
        <v>2487</v>
      </c>
      <c r="K69"/>
      <c r="L69"/>
      <c r="M69">
        <v>14</v>
      </c>
      <c r="N69">
        <v>114</v>
      </c>
      <c r="O69">
        <v>12</v>
      </c>
      <c r="P69">
        <v>10</v>
      </c>
      <c r="Q69">
        <v>48</v>
      </c>
      <c r="R69" t="s">
        <v>2464</v>
      </c>
      <c r="S69" t="s">
        <v>2485</v>
      </c>
      <c r="T69" t="s">
        <v>5177</v>
      </c>
      <c r="U69" t="s">
        <v>2462</v>
      </c>
      <c r="V69">
        <v>30</v>
      </c>
      <c r="W69"/>
      <c r="X69"/>
      <c r="Y69">
        <v>60</v>
      </c>
      <c r="Z69"/>
      <c r="AA69">
        <v>19</v>
      </c>
      <c r="AB69">
        <v>11</v>
      </c>
      <c r="AC69">
        <v>19</v>
      </c>
      <c r="AD69">
        <v>3</v>
      </c>
      <c r="AE69">
        <v>14</v>
      </c>
      <c r="AF69">
        <v>10</v>
      </c>
      <c r="AG69">
        <v>39</v>
      </c>
      <c r="AH69"/>
      <c r="AI69"/>
      <c r="AJ69"/>
      <c r="AK69"/>
      <c r="AL69"/>
      <c r="AM69"/>
      <c r="AN69">
        <v>14</v>
      </c>
      <c r="AO69">
        <v>270</v>
      </c>
      <c r="AP69"/>
      <c r="AQ69">
        <v>8</v>
      </c>
      <c r="AR69"/>
      <c r="AS69" t="s">
        <v>5176</v>
      </c>
      <c r="AT69"/>
      <c r="AU69"/>
      <c r="AV69" t="s">
        <v>4030</v>
      </c>
      <c r="AW69"/>
      <c r="AX69"/>
      <c r="AY69"/>
      <c r="AZ69"/>
      <c r="BA69"/>
      <c r="BB69"/>
      <c r="BC69"/>
      <c r="BD69"/>
      <c r="BE69"/>
      <c r="BF69"/>
      <c r="BG69"/>
      <c r="BH69"/>
      <c r="BI69"/>
      <c r="BJ69"/>
      <c r="BK69"/>
      <c r="BL69"/>
      <c r="BM69"/>
      <c r="BN69"/>
      <c r="BO69"/>
      <c r="BP69" t="s">
        <v>2480</v>
      </c>
      <c r="BQ69" t="s">
        <v>5175</v>
      </c>
      <c r="BR69" t="s">
        <v>2480</v>
      </c>
      <c r="BS69" t="s">
        <v>2479</v>
      </c>
      <c r="BT69" t="s">
        <v>5174</v>
      </c>
      <c r="BU69" t="s">
        <v>2653</v>
      </c>
      <c r="BV69" t="s">
        <v>3063</v>
      </c>
      <c r="BW69" t="s">
        <v>5173</v>
      </c>
      <c r="BX69" t="s">
        <v>5172</v>
      </c>
      <c r="BY69" t="s">
        <v>2652</v>
      </c>
      <c r="BZ69" t="s">
        <v>2475</v>
      </c>
      <c r="CA69" t="s">
        <v>5171</v>
      </c>
      <c r="CB69" t="s">
        <v>2508</v>
      </c>
      <c r="CC69" t="s">
        <v>5170</v>
      </c>
      <c r="CD69" t="s">
        <v>5169</v>
      </c>
      <c r="CE69"/>
      <c r="CF69"/>
      <c r="CG69"/>
      <c r="CH69"/>
      <c r="CI69"/>
      <c r="CJ69"/>
      <c r="CK69"/>
      <c r="CL69"/>
      <c r="CM69"/>
      <c r="CN69"/>
      <c r="CO69"/>
      <c r="CP69"/>
      <c r="CQ69"/>
      <c r="CR69"/>
      <c r="CS69"/>
      <c r="CT69"/>
      <c r="CU69"/>
      <c r="CV69"/>
      <c r="CW69"/>
      <c r="CX69" t="s">
        <v>2454</v>
      </c>
      <c r="CY69">
        <v>39</v>
      </c>
      <c r="CZ69" t="s">
        <v>2453</v>
      </c>
    </row>
    <row r="70" spans="1:104" ht="14.25">
      <c r="A70" t="s">
        <v>5168</v>
      </c>
      <c r="B70" t="s">
        <v>5168</v>
      </c>
      <c r="C70" t="s">
        <v>5167</v>
      </c>
      <c r="D70">
        <v>4</v>
      </c>
      <c r="E70" t="s">
        <v>2468</v>
      </c>
      <c r="F70" t="s">
        <v>2489</v>
      </c>
      <c r="G70" t="s">
        <v>3714</v>
      </c>
      <c r="H70"/>
      <c r="I70"/>
      <c r="J70" t="s">
        <v>2487</v>
      </c>
      <c r="K70"/>
      <c r="L70"/>
      <c r="M70">
        <v>16</v>
      </c>
      <c r="N70">
        <v>93</v>
      </c>
      <c r="O70">
        <v>11</v>
      </c>
      <c r="P70">
        <v>10</v>
      </c>
      <c r="Q70">
        <v>33</v>
      </c>
      <c r="R70" t="s">
        <v>2464</v>
      </c>
      <c r="S70" t="s">
        <v>2586</v>
      </c>
      <c r="T70" t="s">
        <v>2462</v>
      </c>
      <c r="U70" t="s">
        <v>2462</v>
      </c>
      <c r="V70">
        <v>30</v>
      </c>
      <c r="W70"/>
      <c r="X70"/>
      <c r="Y70"/>
      <c r="Z70">
        <v>30</v>
      </c>
      <c r="AA70">
        <v>19</v>
      </c>
      <c r="AB70">
        <v>10</v>
      </c>
      <c r="AC70">
        <v>16</v>
      </c>
      <c r="AD70">
        <v>5</v>
      </c>
      <c r="AE70">
        <v>11</v>
      </c>
      <c r="AF70">
        <v>5</v>
      </c>
      <c r="AG70">
        <v>40</v>
      </c>
      <c r="AH70"/>
      <c r="AI70"/>
      <c r="AJ70"/>
      <c r="AK70"/>
      <c r="AL70"/>
      <c r="AM70"/>
      <c r="AN70"/>
      <c r="AO70">
        <v>270</v>
      </c>
      <c r="AP70"/>
      <c r="AQ70">
        <v>9</v>
      </c>
      <c r="AR70"/>
      <c r="AS70"/>
      <c r="AT70">
        <v>11</v>
      </c>
      <c r="AU70"/>
      <c r="AV70"/>
      <c r="AW70"/>
      <c r="AX70"/>
      <c r="AY70" t="s">
        <v>2520</v>
      </c>
      <c r="AZ70" t="s">
        <v>5166</v>
      </c>
      <c r="BA70" t="s">
        <v>2520</v>
      </c>
      <c r="BB70" t="s">
        <v>5164</v>
      </c>
      <c r="BC70" t="s">
        <v>5165</v>
      </c>
      <c r="BD70" t="s">
        <v>5164</v>
      </c>
      <c r="BE70"/>
      <c r="BF70"/>
      <c r="BG70"/>
      <c r="BH70"/>
      <c r="BI70"/>
      <c r="BJ70"/>
      <c r="BK70"/>
      <c r="BL70"/>
      <c r="BM70"/>
      <c r="BN70"/>
      <c r="BO70"/>
      <c r="BP70" t="s">
        <v>2480</v>
      </c>
      <c r="BQ70" t="s">
        <v>5163</v>
      </c>
      <c r="BR70" t="s">
        <v>2480</v>
      </c>
      <c r="BS70" t="s">
        <v>4449</v>
      </c>
      <c r="BT70" t="s">
        <v>5162</v>
      </c>
      <c r="BU70" t="s">
        <v>5161</v>
      </c>
      <c r="BV70" t="s">
        <v>3761</v>
      </c>
      <c r="BW70" t="s">
        <v>5160</v>
      </c>
      <c r="BX70" t="s">
        <v>3761</v>
      </c>
      <c r="BY70"/>
      <c r="BZ70"/>
      <c r="CA70"/>
      <c r="CB70"/>
      <c r="CC70"/>
      <c r="CD70"/>
      <c r="CE70"/>
      <c r="CF70"/>
      <c r="CG70"/>
      <c r="CH70"/>
      <c r="CI70"/>
      <c r="CJ70"/>
      <c r="CK70"/>
      <c r="CL70"/>
      <c r="CM70"/>
      <c r="CN70"/>
      <c r="CO70"/>
      <c r="CP70"/>
      <c r="CQ70"/>
      <c r="CR70"/>
      <c r="CS70"/>
      <c r="CT70"/>
      <c r="CU70"/>
      <c r="CV70"/>
      <c r="CW70"/>
      <c r="CX70" t="s">
        <v>2454</v>
      </c>
      <c r="CY70">
        <v>40</v>
      </c>
      <c r="CZ70" t="s">
        <v>2453</v>
      </c>
    </row>
    <row r="71" spans="1:104" ht="14.25">
      <c r="A71" t="s">
        <v>5159</v>
      </c>
      <c r="B71" t="s">
        <v>5158</v>
      </c>
      <c r="C71" t="s">
        <v>5157</v>
      </c>
      <c r="D71">
        <v>9</v>
      </c>
      <c r="E71" t="s">
        <v>2468</v>
      </c>
      <c r="F71" t="s">
        <v>2489</v>
      </c>
      <c r="G71" t="s">
        <v>3164</v>
      </c>
      <c r="H71" t="s">
        <v>3163</v>
      </c>
      <c r="I71"/>
      <c r="J71" t="s">
        <v>2013</v>
      </c>
      <c r="K71"/>
      <c r="L71"/>
      <c r="M71">
        <v>14</v>
      </c>
      <c r="N71">
        <v>133</v>
      </c>
      <c r="O71">
        <v>14</v>
      </c>
      <c r="P71">
        <v>10</v>
      </c>
      <c r="Q71">
        <v>56</v>
      </c>
      <c r="R71" t="s">
        <v>2464</v>
      </c>
      <c r="S71" t="s">
        <v>4455</v>
      </c>
      <c r="T71" t="s">
        <v>2462</v>
      </c>
      <c r="U71" t="s">
        <v>2462</v>
      </c>
      <c r="V71">
        <v>20</v>
      </c>
      <c r="W71"/>
      <c r="X71"/>
      <c r="Y71"/>
      <c r="Z71"/>
      <c r="AA71">
        <v>20</v>
      </c>
      <c r="AB71">
        <v>9</v>
      </c>
      <c r="AC71">
        <v>18</v>
      </c>
      <c r="AD71">
        <v>3</v>
      </c>
      <c r="AE71">
        <v>8</v>
      </c>
      <c r="AF71">
        <v>1</v>
      </c>
      <c r="AG71">
        <v>168</v>
      </c>
      <c r="AH71"/>
      <c r="AI71"/>
      <c r="AJ71"/>
      <c r="AK71"/>
      <c r="AL71"/>
      <c r="AM71"/>
      <c r="AN71"/>
      <c r="AO71">
        <v>318</v>
      </c>
      <c r="AP71"/>
      <c r="AQ71">
        <v>9</v>
      </c>
      <c r="AR71"/>
      <c r="AS71"/>
      <c r="AT71"/>
      <c r="AU71"/>
      <c r="AV71"/>
      <c r="AW71"/>
      <c r="AX71" t="s">
        <v>5156</v>
      </c>
      <c r="AY71" t="s">
        <v>5154</v>
      </c>
      <c r="AZ71" t="s">
        <v>5155</v>
      </c>
      <c r="BA71" t="s">
        <v>5154</v>
      </c>
      <c r="BB71" t="s">
        <v>4747</v>
      </c>
      <c r="BC71" t="s">
        <v>5153</v>
      </c>
      <c r="BD71" t="s">
        <v>4747</v>
      </c>
      <c r="BE71" t="s">
        <v>3159</v>
      </c>
      <c r="BF71" t="s">
        <v>3160</v>
      </c>
      <c r="BG71" t="s">
        <v>3159</v>
      </c>
      <c r="BH71" t="s">
        <v>2873</v>
      </c>
      <c r="BI71" t="s">
        <v>3158</v>
      </c>
      <c r="BJ71" t="s">
        <v>2966</v>
      </c>
      <c r="BK71" t="s">
        <v>3157</v>
      </c>
      <c r="BL71"/>
      <c r="BM71"/>
      <c r="BN71"/>
      <c r="BO71"/>
      <c r="BP71" t="s">
        <v>2480</v>
      </c>
      <c r="BQ71" t="s">
        <v>3156</v>
      </c>
      <c r="BR71" t="s">
        <v>2480</v>
      </c>
      <c r="BS71" t="s">
        <v>2457</v>
      </c>
      <c r="BT71" t="s">
        <v>5152</v>
      </c>
      <c r="BU71" t="s">
        <v>5151</v>
      </c>
      <c r="BV71" t="s">
        <v>5149</v>
      </c>
      <c r="BW71" t="s">
        <v>5150</v>
      </c>
      <c r="BX71" t="s">
        <v>5149</v>
      </c>
      <c r="BY71"/>
      <c r="BZ71"/>
      <c r="CA71"/>
      <c r="CB71"/>
      <c r="CC71"/>
      <c r="CD71"/>
      <c r="CE71"/>
      <c r="CF71"/>
      <c r="CG71"/>
      <c r="CH71"/>
      <c r="CI71"/>
      <c r="CJ71"/>
      <c r="CK71"/>
      <c r="CL71"/>
      <c r="CM71"/>
      <c r="CN71"/>
      <c r="CO71"/>
      <c r="CP71"/>
      <c r="CQ71"/>
      <c r="CR71"/>
      <c r="CS71"/>
      <c r="CT71"/>
      <c r="CU71"/>
      <c r="CV71"/>
      <c r="CW71"/>
      <c r="CX71" t="s">
        <v>2454</v>
      </c>
      <c r="CY71">
        <v>168</v>
      </c>
      <c r="CZ71" t="s">
        <v>2453</v>
      </c>
    </row>
    <row r="72" spans="1:104" ht="14.25">
      <c r="A72" t="s">
        <v>5148</v>
      </c>
      <c r="B72" t="s">
        <v>5148</v>
      </c>
      <c r="C72" t="s">
        <v>5147</v>
      </c>
      <c r="D72">
        <v>8</v>
      </c>
      <c r="E72" t="s">
        <v>2468</v>
      </c>
      <c r="F72" t="s">
        <v>2489</v>
      </c>
      <c r="G72" t="s">
        <v>3714</v>
      </c>
      <c r="H72"/>
      <c r="I72"/>
      <c r="J72" t="s">
        <v>3404</v>
      </c>
      <c r="K72"/>
      <c r="L72"/>
      <c r="M72">
        <v>14</v>
      </c>
      <c r="N72">
        <v>78</v>
      </c>
      <c r="O72">
        <v>12</v>
      </c>
      <c r="P72">
        <v>10</v>
      </c>
      <c r="Q72">
        <v>12</v>
      </c>
      <c r="R72" t="s">
        <v>2464</v>
      </c>
      <c r="S72" t="s">
        <v>2877</v>
      </c>
      <c r="T72" t="s">
        <v>5146</v>
      </c>
      <c r="U72" t="s">
        <v>2462</v>
      </c>
      <c r="V72">
        <v>10</v>
      </c>
      <c r="W72"/>
      <c r="X72"/>
      <c r="Y72">
        <v>40</v>
      </c>
      <c r="Z72"/>
      <c r="AA72">
        <v>17</v>
      </c>
      <c r="AB72">
        <v>15</v>
      </c>
      <c r="AC72">
        <v>12</v>
      </c>
      <c r="AD72">
        <v>13</v>
      </c>
      <c r="AE72">
        <v>12</v>
      </c>
      <c r="AF72">
        <v>14</v>
      </c>
      <c r="AG72">
        <v>41</v>
      </c>
      <c r="AH72"/>
      <c r="AI72"/>
      <c r="AJ72"/>
      <c r="AK72"/>
      <c r="AL72"/>
      <c r="AM72"/>
      <c r="AN72"/>
      <c r="AO72">
        <v>271</v>
      </c>
      <c r="AP72"/>
      <c r="AQ72"/>
      <c r="AR72"/>
      <c r="AS72"/>
      <c r="AT72">
        <v>11</v>
      </c>
      <c r="AU72"/>
      <c r="AV72"/>
      <c r="AW72"/>
      <c r="AX72" t="s">
        <v>5145</v>
      </c>
      <c r="AY72" t="s">
        <v>3457</v>
      </c>
      <c r="AZ72" t="s">
        <v>5144</v>
      </c>
      <c r="BA72" t="s">
        <v>3457</v>
      </c>
      <c r="BB72" t="s">
        <v>2886</v>
      </c>
      <c r="BC72" t="s">
        <v>5143</v>
      </c>
      <c r="BD72" t="s">
        <v>2886</v>
      </c>
      <c r="BE72" t="s">
        <v>5141</v>
      </c>
      <c r="BF72" t="s">
        <v>5142</v>
      </c>
      <c r="BG72" t="s">
        <v>5141</v>
      </c>
      <c r="BH72"/>
      <c r="BI72"/>
      <c r="BJ72"/>
      <c r="BK72"/>
      <c r="BL72"/>
      <c r="BM72"/>
      <c r="BN72"/>
      <c r="BO72"/>
      <c r="BP72" t="s">
        <v>2480</v>
      </c>
      <c r="BQ72" t="s">
        <v>5140</v>
      </c>
      <c r="BR72" t="s">
        <v>2480</v>
      </c>
      <c r="BS72" t="s">
        <v>2479</v>
      </c>
      <c r="BT72" t="s">
        <v>5139</v>
      </c>
      <c r="BU72" t="s">
        <v>5138</v>
      </c>
      <c r="BV72" t="s">
        <v>2978</v>
      </c>
      <c r="BW72" t="s">
        <v>5137</v>
      </c>
      <c r="BX72" t="s">
        <v>5136</v>
      </c>
      <c r="BY72" t="s">
        <v>5134</v>
      </c>
      <c r="BZ72" t="s">
        <v>5135</v>
      </c>
      <c r="CA72" t="s">
        <v>5134</v>
      </c>
      <c r="CB72" t="s">
        <v>5132</v>
      </c>
      <c r="CC72" t="s">
        <v>5133</v>
      </c>
      <c r="CD72" t="s">
        <v>5132</v>
      </c>
      <c r="CE72"/>
      <c r="CF72"/>
      <c r="CG72"/>
      <c r="CH72"/>
      <c r="CI72"/>
      <c r="CJ72"/>
      <c r="CK72"/>
      <c r="CL72"/>
      <c r="CM72"/>
      <c r="CN72"/>
      <c r="CO72"/>
      <c r="CP72"/>
      <c r="CQ72"/>
      <c r="CR72"/>
      <c r="CS72"/>
      <c r="CT72"/>
      <c r="CU72"/>
      <c r="CV72"/>
      <c r="CW72"/>
      <c r="CX72" t="s">
        <v>2454</v>
      </c>
      <c r="CY72">
        <v>41</v>
      </c>
      <c r="CZ72" t="s">
        <v>2453</v>
      </c>
    </row>
    <row r="73" spans="1:104" ht="14.25">
      <c r="A73" t="s">
        <v>5131</v>
      </c>
      <c r="B73" t="s">
        <v>5130</v>
      </c>
      <c r="C73" t="s">
        <v>5129</v>
      </c>
      <c r="D73">
        <v>9</v>
      </c>
      <c r="E73" t="s">
        <v>2468</v>
      </c>
      <c r="F73" t="s">
        <v>2985</v>
      </c>
      <c r="G73" t="s">
        <v>3005</v>
      </c>
      <c r="H73"/>
      <c r="I73"/>
      <c r="J73" t="s">
        <v>5128</v>
      </c>
      <c r="K73"/>
      <c r="L73"/>
      <c r="M73">
        <v>14</v>
      </c>
      <c r="N73">
        <v>200</v>
      </c>
      <c r="O73">
        <v>16</v>
      </c>
      <c r="P73">
        <v>12</v>
      </c>
      <c r="Q73">
        <v>96</v>
      </c>
      <c r="R73" t="s">
        <v>2972</v>
      </c>
      <c r="S73" t="s">
        <v>5127</v>
      </c>
      <c r="T73" t="s">
        <v>5126</v>
      </c>
      <c r="U73" t="s">
        <v>2462</v>
      </c>
      <c r="V73">
        <v>40</v>
      </c>
      <c r="W73"/>
      <c r="X73"/>
      <c r="Y73"/>
      <c r="Z73"/>
      <c r="AA73">
        <v>27</v>
      </c>
      <c r="AB73">
        <v>10</v>
      </c>
      <c r="AC73">
        <v>22</v>
      </c>
      <c r="AD73">
        <v>12</v>
      </c>
      <c r="AE73">
        <v>16</v>
      </c>
      <c r="AF73">
        <v>16</v>
      </c>
      <c r="AG73">
        <v>154</v>
      </c>
      <c r="AH73"/>
      <c r="AI73"/>
      <c r="AJ73"/>
      <c r="AK73"/>
      <c r="AL73"/>
      <c r="AM73"/>
      <c r="AN73"/>
      <c r="AO73">
        <v>315</v>
      </c>
      <c r="AP73"/>
      <c r="AQ73"/>
      <c r="AR73"/>
      <c r="AS73"/>
      <c r="AT73">
        <v>12</v>
      </c>
      <c r="AU73"/>
      <c r="AV73" t="s">
        <v>5052</v>
      </c>
      <c r="AW73"/>
      <c r="AX73"/>
      <c r="AY73" t="s">
        <v>2581</v>
      </c>
      <c r="AZ73" t="s">
        <v>5125</v>
      </c>
      <c r="BA73" t="s">
        <v>2581</v>
      </c>
      <c r="BB73" t="s">
        <v>2635</v>
      </c>
      <c r="BC73" t="s">
        <v>5124</v>
      </c>
      <c r="BD73" t="s">
        <v>2635</v>
      </c>
      <c r="BE73"/>
      <c r="BF73"/>
      <c r="BG73"/>
      <c r="BH73"/>
      <c r="BI73"/>
      <c r="BJ73"/>
      <c r="BK73"/>
      <c r="BL73"/>
      <c r="BM73"/>
      <c r="BN73"/>
      <c r="BO73"/>
      <c r="BP73" t="s">
        <v>3178</v>
      </c>
      <c r="BQ73" t="s">
        <v>5123</v>
      </c>
      <c r="BR73" t="s">
        <v>3178</v>
      </c>
      <c r="BS73" t="s">
        <v>5121</v>
      </c>
      <c r="BT73" t="s">
        <v>5122</v>
      </c>
      <c r="BU73" t="s">
        <v>5121</v>
      </c>
      <c r="BV73" t="s">
        <v>2480</v>
      </c>
      <c r="BW73" t="s">
        <v>5120</v>
      </c>
      <c r="BX73" t="s">
        <v>2480</v>
      </c>
      <c r="BY73" t="s">
        <v>3745</v>
      </c>
      <c r="BZ73" t="s">
        <v>5119</v>
      </c>
      <c r="CA73" t="s">
        <v>5118</v>
      </c>
      <c r="CB73" t="s">
        <v>3031</v>
      </c>
      <c r="CC73" t="s">
        <v>5117</v>
      </c>
      <c r="CD73" t="s">
        <v>5116</v>
      </c>
      <c r="CE73"/>
      <c r="CF73"/>
      <c r="CG73"/>
      <c r="CH73"/>
      <c r="CI73"/>
      <c r="CJ73"/>
      <c r="CK73"/>
      <c r="CL73"/>
      <c r="CM73"/>
      <c r="CN73"/>
      <c r="CO73"/>
      <c r="CP73"/>
      <c r="CQ73"/>
      <c r="CR73"/>
      <c r="CS73"/>
      <c r="CT73"/>
      <c r="CU73"/>
      <c r="CV73"/>
      <c r="CW73"/>
      <c r="CX73" t="s">
        <v>2454</v>
      </c>
      <c r="CY73">
        <v>154</v>
      </c>
      <c r="CZ73" t="s">
        <v>2453</v>
      </c>
    </row>
    <row r="74" spans="1:104" ht="14.25">
      <c r="A74" t="s">
        <v>5115</v>
      </c>
      <c r="B74" t="s">
        <v>5115</v>
      </c>
      <c r="C74" t="s">
        <v>5114</v>
      </c>
      <c r="D74">
        <v>0.5</v>
      </c>
      <c r="E74" t="s">
        <v>2468</v>
      </c>
      <c r="F74" t="s">
        <v>2644</v>
      </c>
      <c r="G74" t="s">
        <v>2587</v>
      </c>
      <c r="H74"/>
      <c r="I74"/>
      <c r="J74" t="s">
        <v>2013</v>
      </c>
      <c r="K74"/>
      <c r="L74"/>
      <c r="M74">
        <v>11</v>
      </c>
      <c r="N74">
        <v>27</v>
      </c>
      <c r="O74">
        <v>6</v>
      </c>
      <c r="P74">
        <v>6</v>
      </c>
      <c r="Q74">
        <v>6</v>
      </c>
      <c r="R74" t="s">
        <v>2464</v>
      </c>
      <c r="S74" t="s">
        <v>2992</v>
      </c>
      <c r="T74" t="s">
        <v>2462</v>
      </c>
      <c r="U74" t="s">
        <v>2462</v>
      </c>
      <c r="V74">
        <v>20</v>
      </c>
      <c r="W74"/>
      <c r="X74"/>
      <c r="Y74">
        <v>40</v>
      </c>
      <c r="Z74"/>
      <c r="AA74">
        <v>6</v>
      </c>
      <c r="AB74">
        <v>12</v>
      </c>
      <c r="AC74">
        <v>12</v>
      </c>
      <c r="AD74">
        <v>2</v>
      </c>
      <c r="AE74">
        <v>13</v>
      </c>
      <c r="AF74">
        <v>5</v>
      </c>
      <c r="AG74">
        <v>42</v>
      </c>
      <c r="AH74"/>
      <c r="AI74"/>
      <c r="AJ74"/>
      <c r="AK74"/>
      <c r="AL74"/>
      <c r="AM74"/>
      <c r="AN74">
        <v>15</v>
      </c>
      <c r="AO74">
        <v>271</v>
      </c>
      <c r="AP74"/>
      <c r="AQ74"/>
      <c r="AR74"/>
      <c r="AS74"/>
      <c r="AT74"/>
      <c r="AU74"/>
      <c r="AV74"/>
      <c r="AW74"/>
      <c r="AX74"/>
      <c r="AY74"/>
      <c r="AZ74"/>
      <c r="BA74"/>
      <c r="BB74"/>
      <c r="BC74"/>
      <c r="BD74"/>
      <c r="BE74"/>
      <c r="BF74"/>
      <c r="BG74"/>
      <c r="BH74"/>
      <c r="BI74"/>
      <c r="BJ74"/>
      <c r="BK74"/>
      <c r="BL74"/>
      <c r="BM74"/>
      <c r="BN74"/>
      <c r="BO74"/>
      <c r="BP74" t="s">
        <v>2479</v>
      </c>
      <c r="BQ74" t="s">
        <v>5113</v>
      </c>
      <c r="BR74" t="s">
        <v>3421</v>
      </c>
      <c r="BS74"/>
      <c r="BT74"/>
      <c r="BU74"/>
      <c r="BV74"/>
      <c r="BW74"/>
      <c r="BX74"/>
      <c r="BY74"/>
      <c r="BZ74"/>
      <c r="CA74"/>
      <c r="CB74"/>
      <c r="CC74"/>
      <c r="CD74"/>
      <c r="CE74"/>
      <c r="CF74"/>
      <c r="CG74"/>
      <c r="CH74"/>
      <c r="CI74"/>
      <c r="CJ74"/>
      <c r="CK74"/>
      <c r="CL74"/>
      <c r="CM74"/>
      <c r="CN74"/>
      <c r="CO74"/>
      <c r="CP74"/>
      <c r="CQ74"/>
      <c r="CR74"/>
      <c r="CS74"/>
      <c r="CT74"/>
      <c r="CU74"/>
      <c r="CV74"/>
      <c r="CW74"/>
      <c r="CX74" t="s">
        <v>2454</v>
      </c>
      <c r="CY74">
        <v>42</v>
      </c>
      <c r="CZ74" t="s">
        <v>2453</v>
      </c>
    </row>
    <row r="75" spans="1:104" ht="14.25">
      <c r="A75" t="s">
        <v>5112</v>
      </c>
      <c r="B75" t="s">
        <v>5112</v>
      </c>
      <c r="C75" t="s">
        <v>5111</v>
      </c>
      <c r="D75">
        <v>0</v>
      </c>
      <c r="E75" t="s">
        <v>2609</v>
      </c>
      <c r="F75" t="s">
        <v>2467</v>
      </c>
      <c r="G75" t="s">
        <v>2608</v>
      </c>
      <c r="H75" t="s">
        <v>2607</v>
      </c>
      <c r="I75"/>
      <c r="J75" t="s">
        <v>2607</v>
      </c>
      <c r="K75"/>
      <c r="L75"/>
      <c r="M75">
        <v>10</v>
      </c>
      <c r="N75">
        <v>4</v>
      </c>
      <c r="O75">
        <v>1</v>
      </c>
      <c r="P75">
        <v>8</v>
      </c>
      <c r="Q75"/>
      <c r="R75" t="s">
        <v>2464</v>
      </c>
      <c r="S75" t="s">
        <v>2858</v>
      </c>
      <c r="T75" t="s">
        <v>2462</v>
      </c>
      <c r="U75" t="s">
        <v>2462</v>
      </c>
      <c r="V75">
        <v>30</v>
      </c>
      <c r="W75"/>
      <c r="X75"/>
      <c r="Y75"/>
      <c r="Z75"/>
      <c r="AA75">
        <v>10</v>
      </c>
      <c r="AB75">
        <v>10</v>
      </c>
      <c r="AC75">
        <v>10</v>
      </c>
      <c r="AD75">
        <v>10</v>
      </c>
      <c r="AE75">
        <v>10</v>
      </c>
      <c r="AF75">
        <v>10</v>
      </c>
      <c r="AG75">
        <v>345</v>
      </c>
      <c r="AH75"/>
      <c r="AI75"/>
      <c r="AJ75">
        <v>56</v>
      </c>
      <c r="AK75"/>
      <c r="AL75"/>
      <c r="AM75"/>
      <c r="AN75">
        <v>54</v>
      </c>
      <c r="AO75">
        <v>393</v>
      </c>
      <c r="AP75">
        <v>7</v>
      </c>
      <c r="AQ75">
        <v>10</v>
      </c>
      <c r="AR75"/>
      <c r="AS75" t="s">
        <v>5110</v>
      </c>
      <c r="AT75"/>
      <c r="AU75"/>
      <c r="AV75" t="s">
        <v>5109</v>
      </c>
      <c r="AW75"/>
      <c r="AX75" t="s">
        <v>5108</v>
      </c>
      <c r="AY75"/>
      <c r="AZ75"/>
      <c r="BA75"/>
      <c r="BB75"/>
      <c r="BC75"/>
      <c r="BD75"/>
      <c r="BE75"/>
      <c r="BF75"/>
      <c r="BG75"/>
      <c r="BH75"/>
      <c r="BI75"/>
      <c r="BJ75"/>
      <c r="BK75"/>
      <c r="BL75"/>
      <c r="BM75"/>
      <c r="BN75"/>
      <c r="BO75"/>
      <c r="BP75" t="s">
        <v>4301</v>
      </c>
      <c r="BQ75" t="s">
        <v>5107</v>
      </c>
      <c r="BR75" t="s">
        <v>5106</v>
      </c>
      <c r="BS75"/>
      <c r="BT75"/>
      <c r="BU75"/>
      <c r="BV75"/>
      <c r="BW75"/>
      <c r="BX75"/>
      <c r="BY75"/>
      <c r="BZ75"/>
      <c r="CA75"/>
      <c r="CB75"/>
      <c r="CC75"/>
      <c r="CD75"/>
      <c r="CE75"/>
      <c r="CF75"/>
      <c r="CG75"/>
      <c r="CH75"/>
      <c r="CI75"/>
      <c r="CJ75"/>
      <c r="CK75"/>
      <c r="CL75"/>
      <c r="CM75"/>
      <c r="CN75"/>
      <c r="CO75"/>
      <c r="CP75"/>
      <c r="CQ75"/>
      <c r="CR75"/>
      <c r="CS75"/>
      <c r="CT75"/>
      <c r="CU75"/>
      <c r="CV75"/>
      <c r="CW75"/>
      <c r="CX75" t="s">
        <v>2454</v>
      </c>
      <c r="CY75">
        <v>345</v>
      </c>
      <c r="CZ75" t="s">
        <v>2453</v>
      </c>
    </row>
    <row r="76" spans="1:104" ht="14.25">
      <c r="A76" t="s">
        <v>5105</v>
      </c>
      <c r="B76" t="s">
        <v>5104</v>
      </c>
      <c r="C76" t="s">
        <v>5103</v>
      </c>
      <c r="D76">
        <v>0.25</v>
      </c>
      <c r="E76" t="s">
        <v>2680</v>
      </c>
      <c r="F76" t="s">
        <v>2489</v>
      </c>
      <c r="G76" t="s">
        <v>2690</v>
      </c>
      <c r="H76"/>
      <c r="I76"/>
      <c r="J76" t="s">
        <v>2013</v>
      </c>
      <c r="K76"/>
      <c r="L76"/>
      <c r="M76">
        <v>12</v>
      </c>
      <c r="N76">
        <v>13</v>
      </c>
      <c r="O76">
        <v>2</v>
      </c>
      <c r="P76">
        <v>10</v>
      </c>
      <c r="Q76">
        <v>2</v>
      </c>
      <c r="R76" t="s">
        <v>2464</v>
      </c>
      <c r="S76" t="s">
        <v>2605</v>
      </c>
      <c r="T76" t="s">
        <v>2758</v>
      </c>
      <c r="U76" t="s">
        <v>2462</v>
      </c>
      <c r="V76">
        <v>30</v>
      </c>
      <c r="W76"/>
      <c r="X76"/>
      <c r="Y76"/>
      <c r="Z76">
        <v>30</v>
      </c>
      <c r="AA76">
        <v>15</v>
      </c>
      <c r="AB76">
        <v>14</v>
      </c>
      <c r="AC76">
        <v>12</v>
      </c>
      <c r="AD76">
        <v>1</v>
      </c>
      <c r="AE76">
        <v>10</v>
      </c>
      <c r="AF76">
        <v>3</v>
      </c>
      <c r="AG76">
        <v>320</v>
      </c>
      <c r="AH76">
        <v>305</v>
      </c>
      <c r="AI76"/>
      <c r="AJ76"/>
      <c r="AK76"/>
      <c r="AL76"/>
      <c r="AM76"/>
      <c r="AN76">
        <v>15</v>
      </c>
      <c r="AO76">
        <v>364</v>
      </c>
      <c r="AP76"/>
      <c r="AQ76"/>
      <c r="AR76"/>
      <c r="AS76"/>
      <c r="AT76"/>
      <c r="AU76"/>
      <c r="AV76"/>
      <c r="AW76"/>
      <c r="AX76"/>
      <c r="AY76"/>
      <c r="AZ76"/>
      <c r="BA76"/>
      <c r="BB76"/>
      <c r="BC76"/>
      <c r="BD76"/>
      <c r="BE76"/>
      <c r="BF76"/>
      <c r="BG76"/>
      <c r="BH76"/>
      <c r="BI76"/>
      <c r="BJ76"/>
      <c r="BK76"/>
      <c r="BL76"/>
      <c r="BM76"/>
      <c r="BN76"/>
      <c r="BO76"/>
      <c r="BP76" t="s">
        <v>2479</v>
      </c>
      <c r="BQ76" t="s">
        <v>4641</v>
      </c>
      <c r="BR76" t="s">
        <v>3682</v>
      </c>
      <c r="BS76" t="s">
        <v>4623</v>
      </c>
      <c r="BT76" t="s">
        <v>5102</v>
      </c>
      <c r="BU76" t="s">
        <v>5101</v>
      </c>
      <c r="BV76"/>
      <c r="BW76"/>
      <c r="BX76"/>
      <c r="BY76"/>
      <c r="BZ76"/>
      <c r="CA76"/>
      <c r="CB76"/>
      <c r="CC76"/>
      <c r="CD76"/>
      <c r="CE76"/>
      <c r="CF76"/>
      <c r="CG76"/>
      <c r="CH76"/>
      <c r="CI76"/>
      <c r="CJ76"/>
      <c r="CK76"/>
      <c r="CL76"/>
      <c r="CM76"/>
      <c r="CN76"/>
      <c r="CO76"/>
      <c r="CP76"/>
      <c r="CQ76"/>
      <c r="CR76"/>
      <c r="CS76"/>
      <c r="CT76"/>
      <c r="CU76"/>
      <c r="CV76"/>
      <c r="CW76"/>
      <c r="CX76" t="s">
        <v>2454</v>
      </c>
      <c r="CY76">
        <v>320</v>
      </c>
      <c r="CZ76" t="s">
        <v>2453</v>
      </c>
    </row>
    <row r="77" spans="1:104" ht="14.25">
      <c r="A77" t="s">
        <v>5100</v>
      </c>
      <c r="B77" t="s">
        <v>5099</v>
      </c>
      <c r="C77" t="s">
        <v>5098</v>
      </c>
      <c r="D77">
        <v>1</v>
      </c>
      <c r="E77" t="s">
        <v>2468</v>
      </c>
      <c r="F77" t="s">
        <v>2467</v>
      </c>
      <c r="G77" t="s">
        <v>2488</v>
      </c>
      <c r="H77"/>
      <c r="I77"/>
      <c r="J77" t="s">
        <v>2535</v>
      </c>
      <c r="K77"/>
      <c r="L77"/>
      <c r="M77">
        <v>16</v>
      </c>
      <c r="N77">
        <v>22</v>
      </c>
      <c r="O77">
        <v>4</v>
      </c>
      <c r="P77">
        <v>8</v>
      </c>
      <c r="Q77">
        <v>4</v>
      </c>
      <c r="R77" t="s">
        <v>2641</v>
      </c>
      <c r="S77" t="s">
        <v>2641</v>
      </c>
      <c r="T77" t="s">
        <v>2641</v>
      </c>
      <c r="U77" t="s">
        <v>2641</v>
      </c>
      <c r="V77">
        <v>30</v>
      </c>
      <c r="W77"/>
      <c r="X77">
        <v>30</v>
      </c>
      <c r="Y77">
        <v>60</v>
      </c>
      <c r="Z77"/>
      <c r="AA77">
        <v>15</v>
      </c>
      <c r="AB77">
        <v>12</v>
      </c>
      <c r="AC77">
        <v>13</v>
      </c>
      <c r="AD77">
        <v>14</v>
      </c>
      <c r="AE77">
        <v>11</v>
      </c>
      <c r="AF77">
        <v>13</v>
      </c>
      <c r="AG77">
        <v>112</v>
      </c>
      <c r="AH77"/>
      <c r="AI77"/>
      <c r="AJ77"/>
      <c r="AK77"/>
      <c r="AL77"/>
      <c r="AM77"/>
      <c r="AN77"/>
      <c r="AO77">
        <v>301</v>
      </c>
      <c r="AP77"/>
      <c r="AQ77"/>
      <c r="AR77"/>
      <c r="AS77"/>
      <c r="AT77"/>
      <c r="AU77"/>
      <c r="AV77"/>
      <c r="AW77"/>
      <c r="AX77"/>
      <c r="AY77"/>
      <c r="AZ77"/>
      <c r="BA77"/>
      <c r="BB77"/>
      <c r="BC77"/>
      <c r="BD77"/>
      <c r="BE77"/>
      <c r="BF77"/>
      <c r="BG77"/>
      <c r="BH77"/>
      <c r="BI77"/>
      <c r="BJ77"/>
      <c r="BK77"/>
      <c r="BL77"/>
      <c r="BM77"/>
      <c r="BN77"/>
      <c r="BO77"/>
      <c r="BP77" t="s">
        <v>2479</v>
      </c>
      <c r="BQ77" t="s">
        <v>5097</v>
      </c>
      <c r="BR77" t="s">
        <v>5073</v>
      </c>
      <c r="BS77" t="s">
        <v>2495</v>
      </c>
      <c r="BT77" t="s">
        <v>5096</v>
      </c>
      <c r="BU77" t="s">
        <v>5095</v>
      </c>
      <c r="BV77"/>
      <c r="BW77"/>
      <c r="BX77"/>
      <c r="BY77"/>
      <c r="BZ77"/>
      <c r="CA77"/>
      <c r="CB77"/>
      <c r="CC77"/>
      <c r="CD77"/>
      <c r="CE77"/>
      <c r="CF77"/>
      <c r="CG77"/>
      <c r="CH77"/>
      <c r="CI77"/>
      <c r="CJ77"/>
      <c r="CK77"/>
      <c r="CL77"/>
      <c r="CM77"/>
      <c r="CN77"/>
      <c r="CO77"/>
      <c r="CP77"/>
      <c r="CQ77"/>
      <c r="CR77"/>
      <c r="CS77"/>
      <c r="CT77"/>
      <c r="CU77"/>
      <c r="CV77"/>
      <c r="CW77"/>
      <c r="CX77" t="s">
        <v>2454</v>
      </c>
      <c r="CY77">
        <v>112</v>
      </c>
      <c r="CZ77" t="s">
        <v>2453</v>
      </c>
    </row>
    <row r="78" spans="1:104" ht="14.25">
      <c r="A78" t="s">
        <v>5094</v>
      </c>
      <c r="B78" t="s">
        <v>5094</v>
      </c>
      <c r="C78" t="s">
        <v>5093</v>
      </c>
      <c r="D78">
        <v>4</v>
      </c>
      <c r="E78" t="s">
        <v>2468</v>
      </c>
      <c r="F78" t="s">
        <v>2467</v>
      </c>
      <c r="G78" t="s">
        <v>2973</v>
      </c>
      <c r="H78"/>
      <c r="I78"/>
      <c r="J78" t="s">
        <v>2502</v>
      </c>
      <c r="K78"/>
      <c r="L78"/>
      <c r="M78">
        <v>19</v>
      </c>
      <c r="N78">
        <v>97</v>
      </c>
      <c r="O78">
        <v>13</v>
      </c>
      <c r="P78">
        <v>8</v>
      </c>
      <c r="Q78">
        <v>39</v>
      </c>
      <c r="R78" t="s">
        <v>2972</v>
      </c>
      <c r="S78" t="s">
        <v>5092</v>
      </c>
      <c r="T78" t="s">
        <v>5091</v>
      </c>
      <c r="U78" t="s">
        <v>2462</v>
      </c>
      <c r="V78">
        <v>30</v>
      </c>
      <c r="W78"/>
      <c r="X78"/>
      <c r="Y78">
        <v>90</v>
      </c>
      <c r="Z78"/>
      <c r="AA78">
        <v>16</v>
      </c>
      <c r="AB78">
        <v>20</v>
      </c>
      <c r="AC78">
        <v>17</v>
      </c>
      <c r="AD78">
        <v>18</v>
      </c>
      <c r="AE78">
        <v>20</v>
      </c>
      <c r="AF78">
        <v>18</v>
      </c>
      <c r="AG78">
        <v>43</v>
      </c>
      <c r="AH78"/>
      <c r="AI78"/>
      <c r="AJ78"/>
      <c r="AK78"/>
      <c r="AL78"/>
      <c r="AM78"/>
      <c r="AN78"/>
      <c r="AO78">
        <v>272</v>
      </c>
      <c r="AP78"/>
      <c r="AQ78"/>
      <c r="AR78"/>
      <c r="AS78"/>
      <c r="AT78"/>
      <c r="AU78"/>
      <c r="AV78"/>
      <c r="AW78"/>
      <c r="AX78"/>
      <c r="AY78" t="s">
        <v>2635</v>
      </c>
      <c r="AZ78" t="s">
        <v>5090</v>
      </c>
      <c r="BA78" t="s">
        <v>2635</v>
      </c>
      <c r="BB78" t="s">
        <v>2966</v>
      </c>
      <c r="BC78" t="s">
        <v>5089</v>
      </c>
      <c r="BD78" t="s">
        <v>2966</v>
      </c>
      <c r="BE78" t="s">
        <v>5087</v>
      </c>
      <c r="BF78" t="s">
        <v>5088</v>
      </c>
      <c r="BG78" t="s">
        <v>5087</v>
      </c>
      <c r="BH78"/>
      <c r="BI78"/>
      <c r="BJ78"/>
      <c r="BK78"/>
      <c r="BL78"/>
      <c r="BM78"/>
      <c r="BN78"/>
      <c r="BO78"/>
      <c r="BP78" t="s">
        <v>2479</v>
      </c>
      <c r="BQ78" t="s">
        <v>5086</v>
      </c>
      <c r="BR78" t="s">
        <v>5085</v>
      </c>
      <c r="BS78" t="s">
        <v>4623</v>
      </c>
      <c r="BT78" t="s">
        <v>5084</v>
      </c>
      <c r="BU78" t="s">
        <v>5083</v>
      </c>
      <c r="BV78" t="s">
        <v>3729</v>
      </c>
      <c r="BW78" t="s">
        <v>5082</v>
      </c>
      <c r="BX78" t="s">
        <v>3729</v>
      </c>
      <c r="BY78"/>
      <c r="BZ78"/>
      <c r="CA78"/>
      <c r="CB78"/>
      <c r="CC78"/>
      <c r="CD78"/>
      <c r="CE78"/>
      <c r="CF78"/>
      <c r="CG78"/>
      <c r="CH78"/>
      <c r="CI78"/>
      <c r="CJ78"/>
      <c r="CK78"/>
      <c r="CL78"/>
      <c r="CM78"/>
      <c r="CN78"/>
      <c r="CO78"/>
      <c r="CP78"/>
      <c r="CQ78"/>
      <c r="CR78"/>
      <c r="CS78"/>
      <c r="CT78"/>
      <c r="CU78"/>
      <c r="CV78"/>
      <c r="CW78"/>
      <c r="CX78" t="s">
        <v>2454</v>
      </c>
      <c r="CY78">
        <v>43</v>
      </c>
      <c r="CZ78" t="s">
        <v>2453</v>
      </c>
    </row>
    <row r="79" spans="1:104" ht="14.25">
      <c r="A79" t="s">
        <v>5081</v>
      </c>
      <c r="B79" t="s">
        <v>5081</v>
      </c>
      <c r="C79" t="s">
        <v>5080</v>
      </c>
      <c r="D79">
        <v>0</v>
      </c>
      <c r="E79" t="s">
        <v>2680</v>
      </c>
      <c r="F79" t="s">
        <v>2719</v>
      </c>
      <c r="G79" t="s">
        <v>2690</v>
      </c>
      <c r="H79"/>
      <c r="I79"/>
      <c r="J79" t="s">
        <v>2013</v>
      </c>
      <c r="K79"/>
      <c r="L79"/>
      <c r="M79">
        <v>11</v>
      </c>
      <c r="N79">
        <v>2</v>
      </c>
      <c r="O79">
        <v>1</v>
      </c>
      <c r="P79">
        <v>4</v>
      </c>
      <c r="Q79"/>
      <c r="R79" t="s">
        <v>2464</v>
      </c>
      <c r="S79" t="s">
        <v>2826</v>
      </c>
      <c r="T79" t="s">
        <v>2462</v>
      </c>
      <c r="U79" t="s">
        <v>2462</v>
      </c>
      <c r="V79">
        <v>20</v>
      </c>
      <c r="W79"/>
      <c r="X79"/>
      <c r="Y79"/>
      <c r="Z79">
        <v>20</v>
      </c>
      <c r="AA79">
        <v>2</v>
      </c>
      <c r="AB79">
        <v>11</v>
      </c>
      <c r="AC79">
        <v>10</v>
      </c>
      <c r="AD79">
        <v>1</v>
      </c>
      <c r="AE79">
        <v>8</v>
      </c>
      <c r="AF79">
        <v>2</v>
      </c>
      <c r="AG79">
        <v>320</v>
      </c>
      <c r="AH79"/>
      <c r="AI79"/>
      <c r="AJ79"/>
      <c r="AK79"/>
      <c r="AL79"/>
      <c r="AM79"/>
      <c r="AN79">
        <v>15</v>
      </c>
      <c r="AO79">
        <v>365</v>
      </c>
      <c r="AP79"/>
      <c r="AQ79"/>
      <c r="AR79"/>
      <c r="AS79"/>
      <c r="AT79"/>
      <c r="AU79"/>
      <c r="AV79"/>
      <c r="AW79"/>
      <c r="AX79"/>
      <c r="AY79" t="s">
        <v>2520</v>
      </c>
      <c r="AZ79" t="s">
        <v>4616</v>
      </c>
      <c r="BA79" t="s">
        <v>2520</v>
      </c>
      <c r="BB79"/>
      <c r="BC79"/>
      <c r="BD79"/>
      <c r="BE79"/>
      <c r="BF79"/>
      <c r="BG79"/>
      <c r="BH79"/>
      <c r="BI79"/>
      <c r="BJ79"/>
      <c r="BK79"/>
      <c r="BL79"/>
      <c r="BM79"/>
      <c r="BN79"/>
      <c r="BO79"/>
      <c r="BP79" t="s">
        <v>2476</v>
      </c>
      <c r="BQ79" t="s">
        <v>5079</v>
      </c>
      <c r="BR79" t="s">
        <v>5078</v>
      </c>
      <c r="BS79"/>
      <c r="BT79"/>
      <c r="BU79"/>
      <c r="BV79"/>
      <c r="BW79"/>
      <c r="BX79"/>
      <c r="BY79"/>
      <c r="BZ79"/>
      <c r="CA79"/>
      <c r="CB79"/>
      <c r="CC79"/>
      <c r="CD79"/>
      <c r="CE79"/>
      <c r="CF79"/>
      <c r="CG79"/>
      <c r="CH79"/>
      <c r="CI79"/>
      <c r="CJ79"/>
      <c r="CK79"/>
      <c r="CL79"/>
      <c r="CM79"/>
      <c r="CN79"/>
      <c r="CO79"/>
      <c r="CP79"/>
      <c r="CQ79"/>
      <c r="CR79"/>
      <c r="CS79"/>
      <c r="CT79"/>
      <c r="CU79"/>
      <c r="CV79"/>
      <c r="CW79"/>
      <c r="CX79" t="s">
        <v>2454</v>
      </c>
      <c r="CY79">
        <v>320</v>
      </c>
      <c r="CZ79" t="s">
        <v>2453</v>
      </c>
    </row>
    <row r="80" spans="1:104" ht="14.25">
      <c r="A80" t="s">
        <v>5077</v>
      </c>
      <c r="B80" t="s">
        <v>5077</v>
      </c>
      <c r="C80" t="s">
        <v>5076</v>
      </c>
      <c r="D80">
        <v>0.5</v>
      </c>
      <c r="E80" t="s">
        <v>2680</v>
      </c>
      <c r="F80" t="s">
        <v>2489</v>
      </c>
      <c r="G80" t="s">
        <v>2690</v>
      </c>
      <c r="H80"/>
      <c r="I80"/>
      <c r="J80" t="s">
        <v>2013</v>
      </c>
      <c r="K80"/>
      <c r="L80"/>
      <c r="M80">
        <v>12</v>
      </c>
      <c r="N80">
        <v>19</v>
      </c>
      <c r="O80">
        <v>3</v>
      </c>
      <c r="P80">
        <v>10</v>
      </c>
      <c r="Q80">
        <v>3</v>
      </c>
      <c r="R80" t="s">
        <v>2464</v>
      </c>
      <c r="S80" t="s">
        <v>2733</v>
      </c>
      <c r="T80" t="s">
        <v>2462</v>
      </c>
      <c r="U80" t="s">
        <v>2462</v>
      </c>
      <c r="V80">
        <v>20</v>
      </c>
      <c r="W80"/>
      <c r="X80"/>
      <c r="Y80"/>
      <c r="Z80">
        <v>30</v>
      </c>
      <c r="AA80">
        <v>15</v>
      </c>
      <c r="AB80">
        <v>10</v>
      </c>
      <c r="AC80">
        <v>13</v>
      </c>
      <c r="AD80">
        <v>2</v>
      </c>
      <c r="AE80">
        <v>10</v>
      </c>
      <c r="AF80">
        <v>5</v>
      </c>
      <c r="AG80">
        <v>320</v>
      </c>
      <c r="AH80">
        <v>305</v>
      </c>
      <c r="AI80"/>
      <c r="AJ80"/>
      <c r="AK80"/>
      <c r="AL80"/>
      <c r="AM80"/>
      <c r="AN80">
        <v>15</v>
      </c>
      <c r="AO80">
        <v>365</v>
      </c>
      <c r="AP80">
        <v>7</v>
      </c>
      <c r="AQ80"/>
      <c r="AR80"/>
      <c r="AS80" t="s">
        <v>2888</v>
      </c>
      <c r="AT80"/>
      <c r="AU80"/>
      <c r="AV80" t="s">
        <v>4617</v>
      </c>
      <c r="AW80"/>
      <c r="AX80"/>
      <c r="AY80" t="s">
        <v>3634</v>
      </c>
      <c r="AZ80" t="s">
        <v>5075</v>
      </c>
      <c r="BA80" t="s">
        <v>3634</v>
      </c>
      <c r="BB80"/>
      <c r="BC80"/>
      <c r="BD80"/>
      <c r="BE80"/>
      <c r="BF80"/>
      <c r="BG80"/>
      <c r="BH80"/>
      <c r="BI80"/>
      <c r="BJ80"/>
      <c r="BK80"/>
      <c r="BL80"/>
      <c r="BM80"/>
      <c r="BN80"/>
      <c r="BO80"/>
      <c r="BP80" t="s">
        <v>2479</v>
      </c>
      <c r="BQ80" t="s">
        <v>5074</v>
      </c>
      <c r="BR80" t="s">
        <v>5073</v>
      </c>
      <c r="BS80"/>
      <c r="BT80"/>
      <c r="BU80"/>
      <c r="BV80"/>
      <c r="BW80"/>
      <c r="BX80"/>
      <c r="BY80"/>
      <c r="BZ80"/>
      <c r="CA80"/>
      <c r="CB80"/>
      <c r="CC80"/>
      <c r="CD80"/>
      <c r="CE80"/>
      <c r="CF80"/>
      <c r="CG80"/>
      <c r="CH80"/>
      <c r="CI80"/>
      <c r="CJ80"/>
      <c r="CK80"/>
      <c r="CL80"/>
      <c r="CM80"/>
      <c r="CN80"/>
      <c r="CO80"/>
      <c r="CP80"/>
      <c r="CQ80"/>
      <c r="CR80"/>
      <c r="CS80"/>
      <c r="CT80"/>
      <c r="CU80"/>
      <c r="CV80"/>
      <c r="CW80"/>
      <c r="CX80" t="s">
        <v>2454</v>
      </c>
      <c r="CY80">
        <v>320</v>
      </c>
      <c r="CZ80" t="s">
        <v>2453</v>
      </c>
    </row>
    <row r="81" spans="1:104" ht="14.25">
      <c r="A81" t="s">
        <v>5072</v>
      </c>
      <c r="B81" t="s">
        <v>5071</v>
      </c>
      <c r="C81" t="s">
        <v>5070</v>
      </c>
      <c r="D81">
        <v>2</v>
      </c>
      <c r="E81" t="s">
        <v>2609</v>
      </c>
      <c r="F81" t="s">
        <v>2467</v>
      </c>
      <c r="G81" t="s">
        <v>2608</v>
      </c>
      <c r="H81" t="s">
        <v>2607</v>
      </c>
      <c r="I81"/>
      <c r="J81" t="s">
        <v>2606</v>
      </c>
      <c r="K81">
        <v>4</v>
      </c>
      <c r="L81" t="s">
        <v>2005</v>
      </c>
      <c r="M81">
        <v>13</v>
      </c>
      <c r="N81">
        <v>33</v>
      </c>
      <c r="O81">
        <v>6</v>
      </c>
      <c r="P81">
        <v>8</v>
      </c>
      <c r="Q81">
        <v>6</v>
      </c>
      <c r="R81" t="s">
        <v>2972</v>
      </c>
      <c r="S81" t="s">
        <v>2793</v>
      </c>
      <c r="T81" t="s">
        <v>2462</v>
      </c>
      <c r="U81" t="s">
        <v>2462</v>
      </c>
      <c r="V81">
        <v>30</v>
      </c>
      <c r="W81"/>
      <c r="X81"/>
      <c r="Y81"/>
      <c r="Z81"/>
      <c r="AA81">
        <v>11</v>
      </c>
      <c r="AB81">
        <v>14</v>
      </c>
      <c r="AC81">
        <v>12</v>
      </c>
      <c r="AD81">
        <v>10</v>
      </c>
      <c r="AE81">
        <v>13</v>
      </c>
      <c r="AF81">
        <v>14</v>
      </c>
      <c r="AG81">
        <v>345</v>
      </c>
      <c r="AH81"/>
      <c r="AI81"/>
      <c r="AJ81"/>
      <c r="AK81"/>
      <c r="AL81"/>
      <c r="AM81"/>
      <c r="AN81"/>
      <c r="AO81">
        <v>393</v>
      </c>
      <c r="AP81"/>
      <c r="AQ81">
        <v>10</v>
      </c>
      <c r="AR81"/>
      <c r="AS81" t="s">
        <v>5069</v>
      </c>
      <c r="AT81">
        <v>12</v>
      </c>
      <c r="AU81"/>
      <c r="AV81" t="s">
        <v>5068</v>
      </c>
      <c r="AW81"/>
      <c r="AX81"/>
      <c r="AY81" t="s">
        <v>5058</v>
      </c>
      <c r="AZ81" t="s">
        <v>5067</v>
      </c>
      <c r="BA81" t="s">
        <v>5058</v>
      </c>
      <c r="BB81" t="s">
        <v>3235</v>
      </c>
      <c r="BC81" t="s">
        <v>5066</v>
      </c>
      <c r="BD81" t="s">
        <v>3235</v>
      </c>
      <c r="BE81"/>
      <c r="BF81"/>
      <c r="BG81"/>
      <c r="BH81"/>
      <c r="BI81"/>
      <c r="BJ81"/>
      <c r="BK81"/>
      <c r="BL81"/>
      <c r="BM81"/>
      <c r="BN81"/>
      <c r="BO81"/>
      <c r="BP81" t="s">
        <v>2480</v>
      </c>
      <c r="BQ81" t="s">
        <v>5065</v>
      </c>
      <c r="BR81" t="s">
        <v>2480</v>
      </c>
      <c r="BS81" t="s">
        <v>4005</v>
      </c>
      <c r="BT81" t="s">
        <v>5064</v>
      </c>
      <c r="BU81" t="s">
        <v>4100</v>
      </c>
      <c r="BV81"/>
      <c r="BW81"/>
      <c r="BX81"/>
      <c r="BY81"/>
      <c r="BZ81"/>
      <c r="CA81"/>
      <c r="CB81"/>
      <c r="CC81"/>
      <c r="CD81"/>
      <c r="CE81"/>
      <c r="CF81"/>
      <c r="CG81"/>
      <c r="CH81"/>
      <c r="CI81"/>
      <c r="CJ81"/>
      <c r="CK81"/>
      <c r="CL81"/>
      <c r="CM81"/>
      <c r="CN81"/>
      <c r="CO81"/>
      <c r="CP81"/>
      <c r="CQ81"/>
      <c r="CR81"/>
      <c r="CS81"/>
      <c r="CT81"/>
      <c r="CU81"/>
      <c r="CV81"/>
      <c r="CW81"/>
      <c r="CX81" t="s">
        <v>2454</v>
      </c>
      <c r="CY81">
        <v>345</v>
      </c>
      <c r="CZ81" t="s">
        <v>2453</v>
      </c>
    </row>
    <row r="82" spans="1:104" ht="14.25">
      <c r="A82" t="s">
        <v>5063</v>
      </c>
      <c r="B82" t="s">
        <v>5063</v>
      </c>
      <c r="C82" t="s">
        <v>5062</v>
      </c>
      <c r="D82">
        <v>0.125</v>
      </c>
      <c r="E82" t="s">
        <v>2609</v>
      </c>
      <c r="F82" t="s">
        <v>2467</v>
      </c>
      <c r="G82" t="s">
        <v>2608</v>
      </c>
      <c r="H82" t="s">
        <v>2607</v>
      </c>
      <c r="I82"/>
      <c r="J82" t="s">
        <v>2606</v>
      </c>
      <c r="K82"/>
      <c r="L82"/>
      <c r="M82">
        <v>12</v>
      </c>
      <c r="N82">
        <v>9</v>
      </c>
      <c r="O82">
        <v>2</v>
      </c>
      <c r="P82">
        <v>8</v>
      </c>
      <c r="Q82"/>
      <c r="R82" t="s">
        <v>2464</v>
      </c>
      <c r="S82" t="s">
        <v>2463</v>
      </c>
      <c r="T82" t="s">
        <v>2462</v>
      </c>
      <c r="U82" t="s">
        <v>2462</v>
      </c>
      <c r="V82">
        <v>30</v>
      </c>
      <c r="W82"/>
      <c r="X82"/>
      <c r="Y82"/>
      <c r="Z82"/>
      <c r="AA82">
        <v>11</v>
      </c>
      <c r="AB82">
        <v>12</v>
      </c>
      <c r="AC82">
        <v>10</v>
      </c>
      <c r="AD82">
        <v>10</v>
      </c>
      <c r="AE82">
        <v>11</v>
      </c>
      <c r="AF82">
        <v>10</v>
      </c>
      <c r="AG82">
        <v>345</v>
      </c>
      <c r="AH82"/>
      <c r="AI82"/>
      <c r="AJ82">
        <v>56</v>
      </c>
      <c r="AK82"/>
      <c r="AL82"/>
      <c r="AM82"/>
      <c r="AN82">
        <v>54</v>
      </c>
      <c r="AO82">
        <v>393</v>
      </c>
      <c r="AP82">
        <v>7</v>
      </c>
      <c r="AQ82">
        <v>10</v>
      </c>
      <c r="AR82"/>
      <c r="AS82" t="s">
        <v>5061</v>
      </c>
      <c r="AT82"/>
      <c r="AU82"/>
      <c r="AV82" t="s">
        <v>5060</v>
      </c>
      <c r="AW82"/>
      <c r="AX82" t="s">
        <v>3351</v>
      </c>
      <c r="AY82" t="s">
        <v>5058</v>
      </c>
      <c r="AZ82" t="s">
        <v>5059</v>
      </c>
      <c r="BA82" t="s">
        <v>5058</v>
      </c>
      <c r="BB82"/>
      <c r="BC82"/>
      <c r="BD82"/>
      <c r="BE82"/>
      <c r="BF82"/>
      <c r="BG82"/>
      <c r="BH82"/>
      <c r="BI82"/>
      <c r="BJ82"/>
      <c r="BK82"/>
      <c r="BL82"/>
      <c r="BM82"/>
      <c r="BN82"/>
      <c r="BO82"/>
      <c r="BP82" t="s">
        <v>4411</v>
      </c>
      <c r="BQ82" t="s">
        <v>5057</v>
      </c>
      <c r="BR82" t="s">
        <v>5056</v>
      </c>
      <c r="BS82"/>
      <c r="BT82"/>
      <c r="BU82"/>
      <c r="BV82"/>
      <c r="BW82"/>
      <c r="BX82"/>
      <c r="BY82"/>
      <c r="BZ82"/>
      <c r="CA82"/>
      <c r="CB82"/>
      <c r="CC82"/>
      <c r="CD82"/>
      <c r="CE82"/>
      <c r="CF82"/>
      <c r="CG82"/>
      <c r="CH82"/>
      <c r="CI82"/>
      <c r="CJ82"/>
      <c r="CK82"/>
      <c r="CL82"/>
      <c r="CM82"/>
      <c r="CN82"/>
      <c r="CO82"/>
      <c r="CP82"/>
      <c r="CQ82"/>
      <c r="CR82"/>
      <c r="CS82"/>
      <c r="CT82"/>
      <c r="CU82"/>
      <c r="CV82"/>
      <c r="CW82"/>
      <c r="CX82" t="s">
        <v>2454</v>
      </c>
      <c r="CY82">
        <v>345</v>
      </c>
      <c r="CZ82" t="s">
        <v>2453</v>
      </c>
    </row>
    <row r="83" spans="1:104" ht="14.25">
      <c r="A83" t="s">
        <v>5055</v>
      </c>
      <c r="B83" t="s">
        <v>5055</v>
      </c>
      <c r="C83" t="s">
        <v>5054</v>
      </c>
      <c r="D83">
        <v>6</v>
      </c>
      <c r="E83" t="s">
        <v>2468</v>
      </c>
      <c r="F83" t="s">
        <v>2985</v>
      </c>
      <c r="G83" t="s">
        <v>3005</v>
      </c>
      <c r="H83"/>
      <c r="I83"/>
      <c r="J83" t="s">
        <v>3404</v>
      </c>
      <c r="K83"/>
      <c r="L83"/>
      <c r="M83">
        <v>14</v>
      </c>
      <c r="N83">
        <v>138</v>
      </c>
      <c r="O83">
        <v>12</v>
      </c>
      <c r="P83">
        <v>12</v>
      </c>
      <c r="Q83">
        <v>60</v>
      </c>
      <c r="R83" t="s">
        <v>2464</v>
      </c>
      <c r="S83" t="s">
        <v>3183</v>
      </c>
      <c r="T83" t="s">
        <v>3182</v>
      </c>
      <c r="U83" t="s">
        <v>2462</v>
      </c>
      <c r="V83">
        <v>30</v>
      </c>
      <c r="W83"/>
      <c r="X83"/>
      <c r="Y83"/>
      <c r="Z83"/>
      <c r="AA83">
        <v>22</v>
      </c>
      <c r="AB83">
        <v>11</v>
      </c>
      <c r="AC83">
        <v>20</v>
      </c>
      <c r="AD83">
        <v>8</v>
      </c>
      <c r="AE83">
        <v>6</v>
      </c>
      <c r="AF83">
        <v>10</v>
      </c>
      <c r="AG83">
        <v>45</v>
      </c>
      <c r="AH83"/>
      <c r="AI83"/>
      <c r="AJ83"/>
      <c r="AK83"/>
      <c r="AL83"/>
      <c r="AM83"/>
      <c r="AN83">
        <v>16</v>
      </c>
      <c r="AO83"/>
      <c r="AP83"/>
      <c r="AQ83">
        <v>10</v>
      </c>
      <c r="AR83"/>
      <c r="AS83" t="s">
        <v>5053</v>
      </c>
      <c r="AT83"/>
      <c r="AU83"/>
      <c r="AV83" t="s">
        <v>5052</v>
      </c>
      <c r="AW83"/>
      <c r="AX83"/>
      <c r="AY83" t="s">
        <v>5050</v>
      </c>
      <c r="AZ83" t="s">
        <v>5051</v>
      </c>
      <c r="BA83" t="s">
        <v>5050</v>
      </c>
      <c r="BB83"/>
      <c r="BC83"/>
      <c r="BD83"/>
      <c r="BE83"/>
      <c r="BF83"/>
      <c r="BG83"/>
      <c r="BH83"/>
      <c r="BI83"/>
      <c r="BJ83"/>
      <c r="BK83"/>
      <c r="BL83"/>
      <c r="BM83"/>
      <c r="BN83"/>
      <c r="BO83"/>
      <c r="BP83" t="s">
        <v>2480</v>
      </c>
      <c r="BQ83" t="s">
        <v>5049</v>
      </c>
      <c r="BR83" t="s">
        <v>2480</v>
      </c>
      <c r="BS83" t="s">
        <v>2420</v>
      </c>
      <c r="BT83" t="s">
        <v>5048</v>
      </c>
      <c r="BU83" t="s">
        <v>3172</v>
      </c>
      <c r="BV83" t="s">
        <v>3031</v>
      </c>
      <c r="BW83" t="s">
        <v>5047</v>
      </c>
      <c r="BX83" t="s">
        <v>4716</v>
      </c>
      <c r="BY83"/>
      <c r="BZ83"/>
      <c r="CA83"/>
      <c r="CB83"/>
      <c r="CC83"/>
      <c r="CD83"/>
      <c r="CE83"/>
      <c r="CF83"/>
      <c r="CG83"/>
      <c r="CH83"/>
      <c r="CI83"/>
      <c r="CJ83"/>
      <c r="CK83"/>
      <c r="CL83"/>
      <c r="CM83"/>
      <c r="CN83"/>
      <c r="CO83"/>
      <c r="CP83"/>
      <c r="CQ83"/>
      <c r="CR83"/>
      <c r="CS83"/>
      <c r="CT83"/>
      <c r="CU83"/>
      <c r="CV83"/>
      <c r="CW83"/>
      <c r="CX83" t="s">
        <v>2454</v>
      </c>
      <c r="CY83">
        <v>45</v>
      </c>
      <c r="CZ83" t="s">
        <v>2453</v>
      </c>
    </row>
    <row r="84" spans="1:104" ht="14.25">
      <c r="A84" t="s">
        <v>5046</v>
      </c>
      <c r="B84" t="s">
        <v>5046</v>
      </c>
      <c r="C84" t="s">
        <v>5045</v>
      </c>
      <c r="D84">
        <v>0.5</v>
      </c>
      <c r="E84" t="s">
        <v>2468</v>
      </c>
      <c r="F84" t="s">
        <v>2644</v>
      </c>
      <c r="G84" t="s">
        <v>2587</v>
      </c>
      <c r="H84"/>
      <c r="I84"/>
      <c r="J84" t="s">
        <v>2013</v>
      </c>
      <c r="K84"/>
      <c r="L84"/>
      <c r="M84">
        <v>11</v>
      </c>
      <c r="N84">
        <v>22</v>
      </c>
      <c r="O84">
        <v>5</v>
      </c>
      <c r="P84">
        <v>6</v>
      </c>
      <c r="Q84">
        <v>5</v>
      </c>
      <c r="R84" t="s">
        <v>2464</v>
      </c>
      <c r="S84" t="s">
        <v>2905</v>
      </c>
      <c r="T84" t="s">
        <v>2462</v>
      </c>
      <c r="U84" t="s">
        <v>2462</v>
      </c>
      <c r="V84">
        <v>10</v>
      </c>
      <c r="W84"/>
      <c r="X84"/>
      <c r="Y84">
        <v>30</v>
      </c>
      <c r="Z84"/>
      <c r="AA84">
        <v>16</v>
      </c>
      <c r="AB84">
        <v>12</v>
      </c>
      <c r="AC84">
        <v>13</v>
      </c>
      <c r="AD84">
        <v>2</v>
      </c>
      <c r="AE84">
        <v>10</v>
      </c>
      <c r="AF84">
        <v>5</v>
      </c>
      <c r="AG84">
        <v>46</v>
      </c>
      <c r="AH84"/>
      <c r="AI84"/>
      <c r="AJ84"/>
      <c r="AK84"/>
      <c r="AL84"/>
      <c r="AM84"/>
      <c r="AN84"/>
      <c r="AO84">
        <v>272</v>
      </c>
      <c r="AP84"/>
      <c r="AQ84"/>
      <c r="AR84"/>
      <c r="AS84"/>
      <c r="AT84">
        <v>13</v>
      </c>
      <c r="AU84"/>
      <c r="AV84"/>
      <c r="AW84"/>
      <c r="AX84"/>
      <c r="AY84" t="s">
        <v>3131</v>
      </c>
      <c r="AZ84" t="s">
        <v>5044</v>
      </c>
      <c r="BA84" t="s">
        <v>3131</v>
      </c>
      <c r="BB84" t="s">
        <v>2886</v>
      </c>
      <c r="BC84" t="s">
        <v>5043</v>
      </c>
      <c r="BD84" t="s">
        <v>2886</v>
      </c>
      <c r="BE84"/>
      <c r="BF84"/>
      <c r="BG84"/>
      <c r="BH84"/>
      <c r="BI84"/>
      <c r="BJ84"/>
      <c r="BK84"/>
      <c r="BL84"/>
      <c r="BM84"/>
      <c r="BN84"/>
      <c r="BO84"/>
      <c r="BP84" t="s">
        <v>5042</v>
      </c>
      <c r="BQ84" t="s">
        <v>5041</v>
      </c>
      <c r="BR84" t="s">
        <v>5040</v>
      </c>
      <c r="BS84" t="s">
        <v>5038</v>
      </c>
      <c r="BT84" t="s">
        <v>5039</v>
      </c>
      <c r="BU84" t="s">
        <v>5038</v>
      </c>
      <c r="BV84"/>
      <c r="BW84"/>
      <c r="BX84"/>
      <c r="BY84"/>
      <c r="BZ84"/>
      <c r="CA84"/>
      <c r="CB84"/>
      <c r="CC84"/>
      <c r="CD84"/>
      <c r="CE84"/>
      <c r="CF84"/>
      <c r="CG84"/>
      <c r="CH84"/>
      <c r="CI84"/>
      <c r="CJ84"/>
      <c r="CK84"/>
      <c r="CL84"/>
      <c r="CM84"/>
      <c r="CN84"/>
      <c r="CO84"/>
      <c r="CP84"/>
      <c r="CQ84"/>
      <c r="CR84"/>
      <c r="CS84"/>
      <c r="CT84"/>
      <c r="CU84"/>
      <c r="CV84"/>
      <c r="CW84"/>
      <c r="CX84" t="s">
        <v>2454</v>
      </c>
      <c r="CY84">
        <v>46</v>
      </c>
      <c r="CZ84" t="s">
        <v>2453</v>
      </c>
    </row>
    <row r="85" spans="1:104" ht="14.25">
      <c r="A85" t="s">
        <v>5037</v>
      </c>
      <c r="B85" t="s">
        <v>5036</v>
      </c>
      <c r="C85" t="s">
        <v>5035</v>
      </c>
      <c r="D85">
        <v>1</v>
      </c>
      <c r="E85" t="s">
        <v>2680</v>
      </c>
      <c r="F85" t="s">
        <v>2467</v>
      </c>
      <c r="G85" t="s">
        <v>2587</v>
      </c>
      <c r="H85"/>
      <c r="I85"/>
      <c r="J85" t="s">
        <v>2465</v>
      </c>
      <c r="K85"/>
      <c r="L85"/>
      <c r="M85">
        <v>12</v>
      </c>
      <c r="N85">
        <v>39</v>
      </c>
      <c r="O85">
        <v>6</v>
      </c>
      <c r="P85">
        <v>8</v>
      </c>
      <c r="Q85">
        <v>12</v>
      </c>
      <c r="R85" t="s">
        <v>2464</v>
      </c>
      <c r="S85" t="s">
        <v>2605</v>
      </c>
      <c r="T85" t="s">
        <v>2462</v>
      </c>
      <c r="U85" t="s">
        <v>2462</v>
      </c>
      <c r="V85">
        <v>40</v>
      </c>
      <c r="W85"/>
      <c r="X85"/>
      <c r="Y85"/>
      <c r="Z85"/>
      <c r="AA85">
        <v>15</v>
      </c>
      <c r="AB85">
        <v>14</v>
      </c>
      <c r="AC85">
        <v>14</v>
      </c>
      <c r="AD85">
        <v>3</v>
      </c>
      <c r="AE85">
        <v>13</v>
      </c>
      <c r="AF85">
        <v>6</v>
      </c>
      <c r="AG85">
        <v>321</v>
      </c>
      <c r="AH85"/>
      <c r="AI85"/>
      <c r="AJ85"/>
      <c r="AK85"/>
      <c r="AL85"/>
      <c r="AM85"/>
      <c r="AN85">
        <v>16</v>
      </c>
      <c r="AO85">
        <v>365</v>
      </c>
      <c r="AP85"/>
      <c r="AQ85"/>
      <c r="AR85"/>
      <c r="AS85" t="s">
        <v>5034</v>
      </c>
      <c r="AT85"/>
      <c r="AU85"/>
      <c r="AV85"/>
      <c r="AW85"/>
      <c r="AX85" t="s">
        <v>2677</v>
      </c>
      <c r="AY85" t="s">
        <v>5032</v>
      </c>
      <c r="AZ85" t="s">
        <v>5033</v>
      </c>
      <c r="BA85" t="s">
        <v>5032</v>
      </c>
      <c r="BB85"/>
      <c r="BC85"/>
      <c r="BD85"/>
      <c r="BE85"/>
      <c r="BF85"/>
      <c r="BG85"/>
      <c r="BH85"/>
      <c r="BI85"/>
      <c r="BJ85"/>
      <c r="BK85"/>
      <c r="BL85"/>
      <c r="BM85"/>
      <c r="BN85"/>
      <c r="BO85"/>
      <c r="BP85" t="s">
        <v>2480</v>
      </c>
      <c r="BQ85" t="s">
        <v>5031</v>
      </c>
      <c r="BR85" t="s">
        <v>2480</v>
      </c>
      <c r="BS85" t="s">
        <v>2479</v>
      </c>
      <c r="BT85" t="s">
        <v>5030</v>
      </c>
      <c r="BU85" t="s">
        <v>3682</v>
      </c>
      <c r="BV85"/>
      <c r="BW85"/>
      <c r="BX85"/>
      <c r="BY85"/>
      <c r="BZ85"/>
      <c r="CA85"/>
      <c r="CB85"/>
      <c r="CC85"/>
      <c r="CD85"/>
      <c r="CE85"/>
      <c r="CF85"/>
      <c r="CG85"/>
      <c r="CH85"/>
      <c r="CI85"/>
      <c r="CJ85"/>
      <c r="CK85"/>
      <c r="CL85"/>
      <c r="CM85"/>
      <c r="CN85"/>
      <c r="CO85"/>
      <c r="CP85"/>
      <c r="CQ85"/>
      <c r="CR85"/>
      <c r="CS85"/>
      <c r="CT85"/>
      <c r="CU85"/>
      <c r="CV85"/>
      <c r="CW85"/>
      <c r="CX85" t="s">
        <v>2454</v>
      </c>
      <c r="CY85">
        <v>321</v>
      </c>
      <c r="CZ85" t="s">
        <v>2453</v>
      </c>
    </row>
    <row r="86" spans="1:104" ht="14.25">
      <c r="A86" t="s">
        <v>5029</v>
      </c>
      <c r="B86" t="s">
        <v>5028</v>
      </c>
      <c r="C86" t="s">
        <v>2645</v>
      </c>
      <c r="D86">
        <v>0.5</v>
      </c>
      <c r="E86" t="s">
        <v>2468</v>
      </c>
      <c r="F86" t="s">
        <v>2644</v>
      </c>
      <c r="G86" t="s">
        <v>2608</v>
      </c>
      <c r="H86" t="s">
        <v>2643</v>
      </c>
      <c r="I86"/>
      <c r="J86" t="s">
        <v>2642</v>
      </c>
      <c r="K86"/>
      <c r="L86"/>
      <c r="M86">
        <v>15</v>
      </c>
      <c r="N86">
        <v>16</v>
      </c>
      <c r="O86">
        <v>3</v>
      </c>
      <c r="P86">
        <v>6</v>
      </c>
      <c r="Q86">
        <v>6</v>
      </c>
      <c r="R86" t="s">
        <v>2641</v>
      </c>
      <c r="S86" t="s">
        <v>2641</v>
      </c>
      <c r="T86" t="s">
        <v>2641</v>
      </c>
      <c r="U86" t="s">
        <v>2641</v>
      </c>
      <c r="V86">
        <v>20</v>
      </c>
      <c r="W86"/>
      <c r="X86"/>
      <c r="Y86"/>
      <c r="Z86"/>
      <c r="AA86">
        <v>15</v>
      </c>
      <c r="AB86">
        <v>14</v>
      </c>
      <c r="AC86">
        <v>14</v>
      </c>
      <c r="AD86">
        <v>12</v>
      </c>
      <c r="AE86">
        <v>10</v>
      </c>
      <c r="AF86">
        <v>9</v>
      </c>
      <c r="AG86">
        <v>164</v>
      </c>
      <c r="AH86"/>
      <c r="AI86"/>
      <c r="AJ86"/>
      <c r="AK86"/>
      <c r="AL86"/>
      <c r="AM86"/>
      <c r="AN86"/>
      <c r="AO86">
        <v>318</v>
      </c>
      <c r="AP86"/>
      <c r="AQ86"/>
      <c r="AR86"/>
      <c r="AS86"/>
      <c r="AT86">
        <v>13</v>
      </c>
      <c r="AU86"/>
      <c r="AV86" t="s">
        <v>2640</v>
      </c>
      <c r="AW86"/>
      <c r="AX86"/>
      <c r="AY86" t="s">
        <v>2620</v>
      </c>
      <c r="AZ86" t="s">
        <v>2639</v>
      </c>
      <c r="BA86" t="s">
        <v>2620</v>
      </c>
      <c r="BB86" t="s">
        <v>2637</v>
      </c>
      <c r="BC86" t="s">
        <v>2638</v>
      </c>
      <c r="BD86" t="s">
        <v>2637</v>
      </c>
      <c r="BE86" t="s">
        <v>2635</v>
      </c>
      <c r="BF86" t="s">
        <v>2636</v>
      </c>
      <c r="BG86" t="s">
        <v>2635</v>
      </c>
      <c r="BH86"/>
      <c r="BI86"/>
      <c r="BJ86"/>
      <c r="BK86"/>
      <c r="BL86"/>
      <c r="BM86"/>
      <c r="BN86"/>
      <c r="BO86"/>
      <c r="BP86" t="s">
        <v>2634</v>
      </c>
      <c r="BQ86" t="s">
        <v>2633</v>
      </c>
      <c r="BR86" t="s">
        <v>2632</v>
      </c>
      <c r="BS86" t="s">
        <v>2631</v>
      </c>
      <c r="BT86" t="s">
        <v>2630</v>
      </c>
      <c r="BU86" t="s">
        <v>2629</v>
      </c>
      <c r="BV86"/>
      <c r="BW86"/>
      <c r="BX86"/>
      <c r="BY86"/>
      <c r="BZ86"/>
      <c r="CA86"/>
      <c r="CB86"/>
      <c r="CC86"/>
      <c r="CD86"/>
      <c r="CE86"/>
      <c r="CF86"/>
      <c r="CG86"/>
      <c r="CH86"/>
      <c r="CI86"/>
      <c r="CJ86"/>
      <c r="CK86"/>
      <c r="CL86"/>
      <c r="CM86"/>
      <c r="CN86"/>
      <c r="CO86"/>
      <c r="CP86"/>
      <c r="CQ86"/>
      <c r="CR86"/>
      <c r="CS86"/>
      <c r="CT86"/>
      <c r="CU86"/>
      <c r="CV86"/>
      <c r="CW86"/>
      <c r="CX86" t="s">
        <v>2454</v>
      </c>
      <c r="CY86">
        <v>164</v>
      </c>
      <c r="CZ86" t="s">
        <v>2453</v>
      </c>
    </row>
    <row r="87" spans="1:104" ht="14.25">
      <c r="A87" t="s">
        <v>5027</v>
      </c>
      <c r="B87" t="s">
        <v>5027</v>
      </c>
      <c r="C87" t="s">
        <v>5026</v>
      </c>
      <c r="D87">
        <v>0</v>
      </c>
      <c r="E87" t="s">
        <v>2680</v>
      </c>
      <c r="F87" t="s">
        <v>2467</v>
      </c>
      <c r="G87" t="s">
        <v>2690</v>
      </c>
      <c r="H87"/>
      <c r="I87"/>
      <c r="J87" t="s">
        <v>2013</v>
      </c>
      <c r="K87"/>
      <c r="L87"/>
      <c r="M87">
        <v>13</v>
      </c>
      <c r="N87">
        <v>4</v>
      </c>
      <c r="O87">
        <v>1</v>
      </c>
      <c r="P87">
        <v>8</v>
      </c>
      <c r="Q87"/>
      <c r="R87" t="s">
        <v>2464</v>
      </c>
      <c r="S87" t="s">
        <v>2858</v>
      </c>
      <c r="T87" t="s">
        <v>2462</v>
      </c>
      <c r="U87" t="s">
        <v>2462</v>
      </c>
      <c r="V87">
        <v>50</v>
      </c>
      <c r="W87"/>
      <c r="X87"/>
      <c r="Y87"/>
      <c r="Z87"/>
      <c r="AA87">
        <v>11</v>
      </c>
      <c r="AB87">
        <v>16</v>
      </c>
      <c r="AC87">
        <v>11</v>
      </c>
      <c r="AD87">
        <v>2</v>
      </c>
      <c r="AE87">
        <v>14</v>
      </c>
      <c r="AF87">
        <v>5</v>
      </c>
      <c r="AG87">
        <v>321</v>
      </c>
      <c r="AH87"/>
      <c r="AI87"/>
      <c r="AJ87"/>
      <c r="AK87"/>
      <c r="AL87"/>
      <c r="AM87"/>
      <c r="AN87">
        <v>16</v>
      </c>
      <c r="AO87">
        <v>365</v>
      </c>
      <c r="AP87">
        <v>7</v>
      </c>
      <c r="AQ87"/>
      <c r="AR87"/>
      <c r="AS87"/>
      <c r="AT87"/>
      <c r="AU87"/>
      <c r="AV87"/>
      <c r="AW87"/>
      <c r="AX87"/>
      <c r="AY87"/>
      <c r="AZ87"/>
      <c r="BA87"/>
      <c r="BB87"/>
      <c r="BC87"/>
      <c r="BD87"/>
      <c r="BE87"/>
      <c r="BF87"/>
      <c r="BG87"/>
      <c r="BH87"/>
      <c r="BI87"/>
      <c r="BJ87"/>
      <c r="BK87"/>
      <c r="BL87"/>
      <c r="BM87"/>
      <c r="BN87"/>
      <c r="BO87"/>
      <c r="BP87" t="s">
        <v>2479</v>
      </c>
      <c r="BQ87" t="s">
        <v>2853</v>
      </c>
      <c r="BR87" t="s">
        <v>5025</v>
      </c>
      <c r="BS87"/>
      <c r="BT87"/>
      <c r="BU87"/>
      <c r="BV87"/>
      <c r="BW87"/>
      <c r="BX87"/>
      <c r="BY87"/>
      <c r="BZ87"/>
      <c r="CA87"/>
      <c r="CB87"/>
      <c r="CC87"/>
      <c r="CD87"/>
      <c r="CE87"/>
      <c r="CF87"/>
      <c r="CG87"/>
      <c r="CH87"/>
      <c r="CI87"/>
      <c r="CJ87"/>
      <c r="CK87"/>
      <c r="CL87"/>
      <c r="CM87"/>
      <c r="CN87"/>
      <c r="CO87"/>
      <c r="CP87"/>
      <c r="CQ87"/>
      <c r="CR87"/>
      <c r="CS87"/>
      <c r="CT87"/>
      <c r="CU87"/>
      <c r="CV87"/>
      <c r="CW87"/>
      <c r="CX87" t="s">
        <v>2454</v>
      </c>
      <c r="CY87">
        <v>321</v>
      </c>
      <c r="CZ87" t="s">
        <v>2453</v>
      </c>
    </row>
    <row r="88" spans="1:104" ht="14.25">
      <c r="A88" t="s">
        <v>5024</v>
      </c>
      <c r="B88" t="s">
        <v>5024</v>
      </c>
      <c r="C88" t="s">
        <v>5023</v>
      </c>
      <c r="D88">
        <v>10</v>
      </c>
      <c r="E88" t="s">
        <v>2468</v>
      </c>
      <c r="F88" t="s">
        <v>2467</v>
      </c>
      <c r="G88" t="s">
        <v>2973</v>
      </c>
      <c r="H88"/>
      <c r="I88"/>
      <c r="J88" t="s">
        <v>2502</v>
      </c>
      <c r="K88"/>
      <c r="L88"/>
      <c r="M88">
        <v>17</v>
      </c>
      <c r="N88">
        <v>136</v>
      </c>
      <c r="O88">
        <v>16</v>
      </c>
      <c r="P88">
        <v>8</v>
      </c>
      <c r="Q88">
        <v>64</v>
      </c>
      <c r="R88" t="s">
        <v>2972</v>
      </c>
      <c r="S88" t="s">
        <v>5022</v>
      </c>
      <c r="T88" t="s">
        <v>5021</v>
      </c>
      <c r="U88" t="s">
        <v>2462</v>
      </c>
      <c r="V88">
        <v>30</v>
      </c>
      <c r="W88"/>
      <c r="X88"/>
      <c r="Y88">
        <v>90</v>
      </c>
      <c r="Z88"/>
      <c r="AA88">
        <v>18</v>
      </c>
      <c r="AB88">
        <v>18</v>
      </c>
      <c r="AC88">
        <v>18</v>
      </c>
      <c r="AD88">
        <v>17</v>
      </c>
      <c r="AE88">
        <v>20</v>
      </c>
      <c r="AF88">
        <v>20</v>
      </c>
      <c r="AG88">
        <v>16</v>
      </c>
      <c r="AH88"/>
      <c r="AI88"/>
      <c r="AJ88"/>
      <c r="AK88"/>
      <c r="AL88"/>
      <c r="AM88"/>
      <c r="AN88"/>
      <c r="AO88">
        <v>264</v>
      </c>
      <c r="AP88"/>
      <c r="AQ88"/>
      <c r="AR88"/>
      <c r="AS88"/>
      <c r="AT88"/>
      <c r="AU88"/>
      <c r="AV88"/>
      <c r="AW88"/>
      <c r="AX88"/>
      <c r="AY88" t="s">
        <v>3282</v>
      </c>
      <c r="AZ88" t="s">
        <v>5020</v>
      </c>
      <c r="BA88" t="s">
        <v>3282</v>
      </c>
      <c r="BB88" t="s">
        <v>2635</v>
      </c>
      <c r="BC88" t="s">
        <v>5019</v>
      </c>
      <c r="BD88" t="s">
        <v>2635</v>
      </c>
      <c r="BE88" t="s">
        <v>2873</v>
      </c>
      <c r="BF88" t="s">
        <v>5018</v>
      </c>
      <c r="BG88" t="s">
        <v>2873</v>
      </c>
      <c r="BH88"/>
      <c r="BI88"/>
      <c r="BJ88"/>
      <c r="BK88"/>
      <c r="BL88"/>
      <c r="BM88"/>
      <c r="BN88"/>
      <c r="BO88"/>
      <c r="BP88" t="s">
        <v>2480</v>
      </c>
      <c r="BQ88" t="s">
        <v>5017</v>
      </c>
      <c r="BR88" t="s">
        <v>2480</v>
      </c>
      <c r="BS88" t="s">
        <v>2597</v>
      </c>
      <c r="BT88" t="s">
        <v>5016</v>
      </c>
      <c r="BU88" t="s">
        <v>5015</v>
      </c>
      <c r="BV88" t="s">
        <v>2957</v>
      </c>
      <c r="BW88" t="s">
        <v>5014</v>
      </c>
      <c r="BX88" t="s">
        <v>2957</v>
      </c>
      <c r="BY88" t="s">
        <v>3729</v>
      </c>
      <c r="BZ88" t="s">
        <v>5013</v>
      </c>
      <c r="CA88" t="s">
        <v>3729</v>
      </c>
      <c r="CB88"/>
      <c r="CC88"/>
      <c r="CD88"/>
      <c r="CE88"/>
      <c r="CF88"/>
      <c r="CG88"/>
      <c r="CH88"/>
      <c r="CI88"/>
      <c r="CJ88"/>
      <c r="CK88"/>
      <c r="CL88"/>
      <c r="CM88"/>
      <c r="CN88"/>
      <c r="CO88"/>
      <c r="CP88"/>
      <c r="CQ88"/>
      <c r="CR88"/>
      <c r="CS88"/>
      <c r="CT88"/>
      <c r="CU88"/>
      <c r="CV88"/>
      <c r="CW88"/>
      <c r="CX88" t="s">
        <v>2454</v>
      </c>
      <c r="CY88">
        <v>16</v>
      </c>
      <c r="CZ88" t="s">
        <v>2453</v>
      </c>
    </row>
    <row r="89" spans="1:104" ht="14.25">
      <c r="A89" t="s">
        <v>5012</v>
      </c>
      <c r="B89" t="s">
        <v>5011</v>
      </c>
      <c r="C89" t="s">
        <v>5010</v>
      </c>
      <c r="D89">
        <v>1</v>
      </c>
      <c r="E89" t="s">
        <v>2680</v>
      </c>
      <c r="F89" t="s">
        <v>2489</v>
      </c>
      <c r="G89" t="s">
        <v>2690</v>
      </c>
      <c r="H89"/>
      <c r="I89"/>
      <c r="J89" t="s">
        <v>2013</v>
      </c>
      <c r="K89"/>
      <c r="L89"/>
      <c r="M89">
        <v>14</v>
      </c>
      <c r="N89">
        <v>37</v>
      </c>
      <c r="O89">
        <v>5</v>
      </c>
      <c r="P89">
        <v>10</v>
      </c>
      <c r="Q89">
        <v>10</v>
      </c>
      <c r="R89" t="s">
        <v>2464</v>
      </c>
      <c r="S89" t="s">
        <v>2679</v>
      </c>
      <c r="T89" t="s">
        <v>2462</v>
      </c>
      <c r="U89" t="s">
        <v>2462</v>
      </c>
      <c r="V89">
        <v>50</v>
      </c>
      <c r="W89"/>
      <c r="X89"/>
      <c r="Y89"/>
      <c r="Z89"/>
      <c r="AA89">
        <v>17</v>
      </c>
      <c r="AB89">
        <v>15</v>
      </c>
      <c r="AC89">
        <v>15</v>
      </c>
      <c r="AD89">
        <v>3</v>
      </c>
      <c r="AE89">
        <v>12</v>
      </c>
      <c r="AF89">
        <v>7</v>
      </c>
      <c r="AG89">
        <v>321</v>
      </c>
      <c r="AH89">
        <v>305</v>
      </c>
      <c r="AI89"/>
      <c r="AJ89"/>
      <c r="AK89"/>
      <c r="AL89"/>
      <c r="AM89"/>
      <c r="AN89">
        <v>16</v>
      </c>
      <c r="AO89">
        <v>366</v>
      </c>
      <c r="AP89"/>
      <c r="AQ89"/>
      <c r="AR89"/>
      <c r="AS89" t="s">
        <v>5009</v>
      </c>
      <c r="AT89"/>
      <c r="AU89"/>
      <c r="AV89"/>
      <c r="AW89"/>
      <c r="AX89"/>
      <c r="AY89" t="s">
        <v>2675</v>
      </c>
      <c r="AZ89" t="s">
        <v>2686</v>
      </c>
      <c r="BA89" t="s">
        <v>2675</v>
      </c>
      <c r="BB89" t="s">
        <v>2599</v>
      </c>
      <c r="BC89" t="s">
        <v>2685</v>
      </c>
      <c r="BD89" t="s">
        <v>2599</v>
      </c>
      <c r="BE89"/>
      <c r="BF89"/>
      <c r="BG89"/>
      <c r="BH89"/>
      <c r="BI89"/>
      <c r="BJ89"/>
      <c r="BK89"/>
      <c r="BL89"/>
      <c r="BM89"/>
      <c r="BN89"/>
      <c r="BO89"/>
      <c r="BP89" t="s">
        <v>2479</v>
      </c>
      <c r="BQ89" t="s">
        <v>2674</v>
      </c>
      <c r="BR89" t="s">
        <v>4560</v>
      </c>
      <c r="BS89"/>
      <c r="BT89"/>
      <c r="BU89"/>
      <c r="BV89"/>
      <c r="BW89"/>
      <c r="BX89"/>
      <c r="BY89"/>
      <c r="BZ89"/>
      <c r="CA89"/>
      <c r="CB89"/>
      <c r="CC89"/>
      <c r="CD89"/>
      <c r="CE89"/>
      <c r="CF89"/>
      <c r="CG89"/>
      <c r="CH89"/>
      <c r="CI89"/>
      <c r="CJ89"/>
      <c r="CK89"/>
      <c r="CL89"/>
      <c r="CM89"/>
      <c r="CN89"/>
      <c r="CO89"/>
      <c r="CP89"/>
      <c r="CQ89"/>
      <c r="CR89"/>
      <c r="CS89"/>
      <c r="CT89"/>
      <c r="CU89"/>
      <c r="CV89"/>
      <c r="CW89"/>
      <c r="CX89" t="s">
        <v>2454</v>
      </c>
      <c r="CY89">
        <v>321</v>
      </c>
      <c r="CZ89" t="s">
        <v>2453</v>
      </c>
    </row>
    <row r="90" spans="1:104" ht="14.25">
      <c r="A90" t="s">
        <v>5008</v>
      </c>
      <c r="B90" t="s">
        <v>5008</v>
      </c>
      <c r="C90" t="s">
        <v>5007</v>
      </c>
      <c r="D90">
        <v>11</v>
      </c>
      <c r="E90" t="s">
        <v>2468</v>
      </c>
      <c r="F90" t="s">
        <v>2489</v>
      </c>
      <c r="G90" t="s">
        <v>2626</v>
      </c>
      <c r="H90" t="s">
        <v>4856</v>
      </c>
      <c r="I90"/>
      <c r="J90" t="s">
        <v>2535</v>
      </c>
      <c r="K90"/>
      <c r="L90"/>
      <c r="M90">
        <v>17</v>
      </c>
      <c r="N90">
        <v>161</v>
      </c>
      <c r="O90">
        <v>14</v>
      </c>
      <c r="P90">
        <v>10</v>
      </c>
      <c r="Q90">
        <v>84</v>
      </c>
      <c r="R90" t="s">
        <v>2972</v>
      </c>
      <c r="S90" t="s">
        <v>2561</v>
      </c>
      <c r="T90" t="s">
        <v>2462</v>
      </c>
      <c r="U90" t="s">
        <v>2462</v>
      </c>
      <c r="V90">
        <v>30</v>
      </c>
      <c r="W90"/>
      <c r="X90"/>
      <c r="Y90">
        <v>90</v>
      </c>
      <c r="Z90"/>
      <c r="AA90">
        <v>21</v>
      </c>
      <c r="AB90">
        <v>15</v>
      </c>
      <c r="AC90">
        <v>22</v>
      </c>
      <c r="AD90">
        <v>15</v>
      </c>
      <c r="AE90">
        <v>16</v>
      </c>
      <c r="AF90">
        <v>20</v>
      </c>
      <c r="AG90">
        <v>144</v>
      </c>
      <c r="AH90"/>
      <c r="AI90"/>
      <c r="AJ90"/>
      <c r="AK90"/>
      <c r="AL90"/>
      <c r="AM90"/>
      <c r="AN90"/>
      <c r="AO90">
        <v>312</v>
      </c>
      <c r="AP90"/>
      <c r="AQ90"/>
      <c r="AR90"/>
      <c r="AS90"/>
      <c r="AT90">
        <v>14</v>
      </c>
      <c r="AU90"/>
      <c r="AV90"/>
      <c r="AW90"/>
      <c r="AX90"/>
      <c r="AY90" t="s">
        <v>4853</v>
      </c>
      <c r="AZ90" t="s">
        <v>5006</v>
      </c>
      <c r="BA90" t="s">
        <v>4853</v>
      </c>
      <c r="BB90" t="s">
        <v>2635</v>
      </c>
      <c r="BC90" t="s">
        <v>5005</v>
      </c>
      <c r="BD90" t="s">
        <v>2635</v>
      </c>
      <c r="BE90" t="s">
        <v>4850</v>
      </c>
      <c r="BF90" t="s">
        <v>4851</v>
      </c>
      <c r="BG90" t="s">
        <v>4850</v>
      </c>
      <c r="BH90"/>
      <c r="BI90"/>
      <c r="BJ90"/>
      <c r="BK90"/>
      <c r="BL90"/>
      <c r="BM90"/>
      <c r="BN90"/>
      <c r="BO90"/>
      <c r="BP90" t="s">
        <v>2480</v>
      </c>
      <c r="BQ90" t="s">
        <v>5004</v>
      </c>
      <c r="BR90" t="s">
        <v>2480</v>
      </c>
      <c r="BS90" t="s">
        <v>4411</v>
      </c>
      <c r="BT90" t="s">
        <v>5003</v>
      </c>
      <c r="BU90" t="s">
        <v>5002</v>
      </c>
      <c r="BV90" t="s">
        <v>5000</v>
      </c>
      <c r="BW90" t="s">
        <v>5001</v>
      </c>
      <c r="BX90" t="s">
        <v>5000</v>
      </c>
      <c r="BY90"/>
      <c r="BZ90"/>
      <c r="CA90"/>
      <c r="CB90"/>
      <c r="CC90"/>
      <c r="CD90"/>
      <c r="CE90"/>
      <c r="CF90"/>
      <c r="CG90"/>
      <c r="CH90"/>
      <c r="CI90"/>
      <c r="CJ90"/>
      <c r="CK90"/>
      <c r="CL90"/>
      <c r="CM90"/>
      <c r="CN90"/>
      <c r="CO90"/>
      <c r="CP90"/>
      <c r="CQ90"/>
      <c r="CR90"/>
      <c r="CS90"/>
      <c r="CT90"/>
      <c r="CU90"/>
      <c r="CV90"/>
      <c r="CW90"/>
      <c r="CX90" t="s">
        <v>2454</v>
      </c>
      <c r="CY90">
        <v>144</v>
      </c>
      <c r="CZ90" t="s">
        <v>2453</v>
      </c>
    </row>
    <row r="91" spans="1:104" ht="14.25">
      <c r="A91" t="s">
        <v>4999</v>
      </c>
      <c r="B91" t="s">
        <v>4999</v>
      </c>
      <c r="C91" t="s">
        <v>4998</v>
      </c>
      <c r="D91">
        <v>3</v>
      </c>
      <c r="E91" t="s">
        <v>2468</v>
      </c>
      <c r="F91" t="s">
        <v>2467</v>
      </c>
      <c r="G91" t="s">
        <v>2587</v>
      </c>
      <c r="H91"/>
      <c r="I91">
        <v>1</v>
      </c>
      <c r="J91" t="s">
        <v>1997</v>
      </c>
      <c r="K91"/>
      <c r="L91"/>
      <c r="M91">
        <v>14</v>
      </c>
      <c r="N91">
        <v>52</v>
      </c>
      <c r="O91">
        <v>8</v>
      </c>
      <c r="P91">
        <v>8</v>
      </c>
      <c r="Q91">
        <v>16</v>
      </c>
      <c r="R91" t="s">
        <v>2464</v>
      </c>
      <c r="S91" t="s">
        <v>3542</v>
      </c>
      <c r="T91" t="s">
        <v>2462</v>
      </c>
      <c r="U91" t="s">
        <v>2462</v>
      </c>
      <c r="V91">
        <v>30</v>
      </c>
      <c r="W91"/>
      <c r="X91"/>
      <c r="Y91"/>
      <c r="Z91"/>
      <c r="AA91">
        <v>11</v>
      </c>
      <c r="AB91">
        <v>18</v>
      </c>
      <c r="AC91">
        <v>14</v>
      </c>
      <c r="AD91">
        <v>11</v>
      </c>
      <c r="AE91">
        <v>12</v>
      </c>
      <c r="AF91">
        <v>14</v>
      </c>
      <c r="AG91">
        <v>82</v>
      </c>
      <c r="AH91"/>
      <c r="AI91"/>
      <c r="AJ91">
        <v>56</v>
      </c>
      <c r="AK91"/>
      <c r="AL91"/>
      <c r="AM91"/>
      <c r="AN91">
        <v>17</v>
      </c>
      <c r="AO91">
        <v>282</v>
      </c>
      <c r="AP91">
        <v>8</v>
      </c>
      <c r="AQ91"/>
      <c r="AR91"/>
      <c r="AS91"/>
      <c r="AT91"/>
      <c r="AU91"/>
      <c r="AV91" t="s">
        <v>4997</v>
      </c>
      <c r="AW91"/>
      <c r="AX91" t="s">
        <v>4996</v>
      </c>
      <c r="AY91" t="s">
        <v>2755</v>
      </c>
      <c r="AZ91" t="s">
        <v>4995</v>
      </c>
      <c r="BA91" t="s">
        <v>2755</v>
      </c>
      <c r="BB91" t="s">
        <v>4993</v>
      </c>
      <c r="BC91" t="s">
        <v>4994</v>
      </c>
      <c r="BD91" t="s">
        <v>4993</v>
      </c>
      <c r="BE91" t="s">
        <v>4992</v>
      </c>
      <c r="BF91" t="s">
        <v>4991</v>
      </c>
      <c r="BG91" t="s">
        <v>4990</v>
      </c>
      <c r="BH91"/>
      <c r="BI91"/>
      <c r="BJ91"/>
      <c r="BK91"/>
      <c r="BL91"/>
      <c r="BM91"/>
      <c r="BN91"/>
      <c r="BO91"/>
      <c r="BP91" t="s">
        <v>2480</v>
      </c>
      <c r="BQ91" t="s">
        <v>4989</v>
      </c>
      <c r="BR91" t="s">
        <v>2480</v>
      </c>
      <c r="BS91" t="s">
        <v>2457</v>
      </c>
      <c r="BT91" t="s">
        <v>4988</v>
      </c>
      <c r="BU91" t="s">
        <v>4987</v>
      </c>
      <c r="BV91" t="s">
        <v>4985</v>
      </c>
      <c r="BW91" t="s">
        <v>4986</v>
      </c>
      <c r="BX91" t="s">
        <v>4985</v>
      </c>
      <c r="BY91"/>
      <c r="BZ91"/>
      <c r="CA91"/>
      <c r="CB91"/>
      <c r="CC91"/>
      <c r="CD91"/>
      <c r="CE91"/>
      <c r="CF91"/>
      <c r="CG91"/>
      <c r="CH91"/>
      <c r="CI91"/>
      <c r="CJ91"/>
      <c r="CK91"/>
      <c r="CL91"/>
      <c r="CM91"/>
      <c r="CN91"/>
      <c r="CO91"/>
      <c r="CP91"/>
      <c r="CQ91"/>
      <c r="CR91"/>
      <c r="CS91"/>
      <c r="CT91"/>
      <c r="CU91"/>
      <c r="CV91"/>
      <c r="CW91"/>
      <c r="CX91" t="s">
        <v>2454</v>
      </c>
      <c r="CY91">
        <v>82</v>
      </c>
      <c r="CZ91" t="s">
        <v>2453</v>
      </c>
    </row>
    <row r="92" spans="1:104" ht="14.25">
      <c r="A92" t="s">
        <v>4984</v>
      </c>
      <c r="B92" t="s">
        <v>4983</v>
      </c>
      <c r="C92" t="s">
        <v>4982</v>
      </c>
      <c r="D92">
        <v>0.25</v>
      </c>
      <c r="E92" t="s">
        <v>2680</v>
      </c>
      <c r="F92" t="s">
        <v>2489</v>
      </c>
      <c r="G92" t="s">
        <v>2690</v>
      </c>
      <c r="H92"/>
      <c r="I92"/>
      <c r="J92" t="s">
        <v>2013</v>
      </c>
      <c r="K92"/>
      <c r="L92"/>
      <c r="M92">
        <v>10</v>
      </c>
      <c r="N92">
        <v>19</v>
      </c>
      <c r="O92">
        <v>3</v>
      </c>
      <c r="P92">
        <v>10</v>
      </c>
      <c r="Q92">
        <v>3</v>
      </c>
      <c r="R92" t="s">
        <v>2464</v>
      </c>
      <c r="S92" t="s">
        <v>2689</v>
      </c>
      <c r="T92" t="s">
        <v>2462</v>
      </c>
      <c r="U92" t="s">
        <v>2462</v>
      </c>
      <c r="V92">
        <v>40</v>
      </c>
      <c r="W92"/>
      <c r="X92"/>
      <c r="Y92"/>
      <c r="Z92"/>
      <c r="AA92">
        <v>18</v>
      </c>
      <c r="AB92">
        <v>10</v>
      </c>
      <c r="AC92">
        <v>12</v>
      </c>
      <c r="AD92">
        <v>2</v>
      </c>
      <c r="AE92">
        <v>11</v>
      </c>
      <c r="AF92">
        <v>7</v>
      </c>
      <c r="AG92">
        <v>321</v>
      </c>
      <c r="AH92"/>
      <c r="AI92"/>
      <c r="AJ92"/>
      <c r="AK92"/>
      <c r="AL92"/>
      <c r="AM92"/>
      <c r="AN92">
        <v>17</v>
      </c>
      <c r="AO92">
        <v>366</v>
      </c>
      <c r="AP92"/>
      <c r="AQ92"/>
      <c r="AR92"/>
      <c r="AS92"/>
      <c r="AT92"/>
      <c r="AU92"/>
      <c r="AV92"/>
      <c r="AW92"/>
      <c r="AX92" t="s">
        <v>2677</v>
      </c>
      <c r="AY92"/>
      <c r="AZ92"/>
      <c r="BA92"/>
      <c r="BB92"/>
      <c r="BC92"/>
      <c r="BD92"/>
      <c r="BE92"/>
      <c r="BF92"/>
      <c r="BG92"/>
      <c r="BH92"/>
      <c r="BI92"/>
      <c r="BJ92"/>
      <c r="BK92"/>
      <c r="BL92"/>
      <c r="BM92"/>
      <c r="BN92"/>
      <c r="BO92"/>
      <c r="BP92" t="s">
        <v>2844</v>
      </c>
      <c r="BQ92" t="s">
        <v>4981</v>
      </c>
      <c r="BR92" t="s">
        <v>4980</v>
      </c>
      <c r="BS92"/>
      <c r="BT92"/>
      <c r="BU92"/>
      <c r="BV92"/>
      <c r="BW92"/>
      <c r="BX92"/>
      <c r="BY92"/>
      <c r="BZ92"/>
      <c r="CA92"/>
      <c r="CB92"/>
      <c r="CC92"/>
      <c r="CD92"/>
      <c r="CE92"/>
      <c r="CF92"/>
      <c r="CG92"/>
      <c r="CH92"/>
      <c r="CI92"/>
      <c r="CJ92"/>
      <c r="CK92"/>
      <c r="CL92"/>
      <c r="CM92"/>
      <c r="CN92"/>
      <c r="CO92"/>
      <c r="CP92"/>
      <c r="CQ92"/>
      <c r="CR92"/>
      <c r="CS92"/>
      <c r="CT92"/>
      <c r="CU92"/>
      <c r="CV92"/>
      <c r="CW92"/>
      <c r="CX92" t="s">
        <v>2454</v>
      </c>
      <c r="CY92">
        <v>321</v>
      </c>
      <c r="CZ92" t="s">
        <v>2453</v>
      </c>
    </row>
    <row r="93" spans="1:104" ht="14.25">
      <c r="A93" t="s">
        <v>4979</v>
      </c>
      <c r="B93" t="s">
        <v>4978</v>
      </c>
      <c r="C93" t="s">
        <v>4977</v>
      </c>
      <c r="D93">
        <v>17</v>
      </c>
      <c r="E93" t="s">
        <v>2468</v>
      </c>
      <c r="F93" t="s">
        <v>3077</v>
      </c>
      <c r="G93" t="s">
        <v>2488</v>
      </c>
      <c r="H93"/>
      <c r="I93"/>
      <c r="J93" t="s">
        <v>1997</v>
      </c>
      <c r="K93"/>
      <c r="L93"/>
      <c r="M93">
        <v>20</v>
      </c>
      <c r="N93">
        <v>341</v>
      </c>
      <c r="O93">
        <v>22</v>
      </c>
      <c r="P93">
        <v>20</v>
      </c>
      <c r="Q93">
        <v>110</v>
      </c>
      <c r="R93" t="s">
        <v>2464</v>
      </c>
      <c r="S93" t="s">
        <v>4976</v>
      </c>
      <c r="T93" t="s">
        <v>4975</v>
      </c>
      <c r="U93" t="s">
        <v>2462</v>
      </c>
      <c r="V93">
        <v>20</v>
      </c>
      <c r="W93"/>
      <c r="X93"/>
      <c r="Y93"/>
      <c r="Z93">
        <v>40</v>
      </c>
      <c r="AA93">
        <v>25</v>
      </c>
      <c r="AB93">
        <v>10</v>
      </c>
      <c r="AC93">
        <v>20</v>
      </c>
      <c r="AD93">
        <v>10</v>
      </c>
      <c r="AE93">
        <v>12</v>
      </c>
      <c r="AF93">
        <v>12</v>
      </c>
      <c r="AG93">
        <v>119</v>
      </c>
      <c r="AH93"/>
      <c r="AI93"/>
      <c r="AJ93"/>
      <c r="AK93"/>
      <c r="AL93"/>
      <c r="AM93"/>
      <c r="AN93"/>
      <c r="AO93">
        <v>306</v>
      </c>
      <c r="AP93"/>
      <c r="AQ93"/>
      <c r="AR93"/>
      <c r="AS93"/>
      <c r="AT93">
        <v>14</v>
      </c>
      <c r="AU93"/>
      <c r="AV93"/>
      <c r="AW93"/>
      <c r="AX93"/>
      <c r="AY93" t="s">
        <v>2520</v>
      </c>
      <c r="AZ93" t="s">
        <v>4974</v>
      </c>
      <c r="BA93" t="s">
        <v>2520</v>
      </c>
      <c r="BB93"/>
      <c r="BC93"/>
      <c r="BD93"/>
      <c r="BE93"/>
      <c r="BF93"/>
      <c r="BG93"/>
      <c r="BH93"/>
      <c r="BI93"/>
      <c r="BJ93"/>
      <c r="BK93"/>
      <c r="BL93"/>
      <c r="BM93"/>
      <c r="BN93"/>
      <c r="BO93"/>
      <c r="BP93" t="s">
        <v>2480</v>
      </c>
      <c r="BQ93" t="s">
        <v>4973</v>
      </c>
      <c r="BR93" t="s">
        <v>2480</v>
      </c>
      <c r="BS93" t="s">
        <v>2479</v>
      </c>
      <c r="BT93" t="s">
        <v>4972</v>
      </c>
      <c r="BU93" t="s">
        <v>4971</v>
      </c>
      <c r="BV93" t="s">
        <v>2476</v>
      </c>
      <c r="BW93" t="s">
        <v>4970</v>
      </c>
      <c r="BX93" t="s">
        <v>4969</v>
      </c>
      <c r="BY93" t="s">
        <v>2978</v>
      </c>
      <c r="BZ93" t="s">
        <v>4968</v>
      </c>
      <c r="CA93" t="s">
        <v>4967</v>
      </c>
      <c r="CB93" t="s">
        <v>4966</v>
      </c>
      <c r="CC93" t="s">
        <v>4965</v>
      </c>
      <c r="CD93" t="s">
        <v>4964</v>
      </c>
      <c r="CE93"/>
      <c r="CF93"/>
      <c r="CG93"/>
      <c r="CH93"/>
      <c r="CI93"/>
      <c r="CJ93"/>
      <c r="CK93"/>
      <c r="CL93"/>
      <c r="CM93"/>
      <c r="CN93"/>
      <c r="CO93"/>
      <c r="CP93"/>
      <c r="CQ93"/>
      <c r="CR93"/>
      <c r="CS93"/>
      <c r="CT93"/>
      <c r="CU93"/>
      <c r="CV93"/>
      <c r="CW93"/>
      <c r="CX93" t="s">
        <v>2454</v>
      </c>
      <c r="CY93">
        <v>119</v>
      </c>
      <c r="CZ93" t="s">
        <v>2453</v>
      </c>
    </row>
    <row r="94" spans="1:104" ht="14.25">
      <c r="A94" t="s">
        <v>4963</v>
      </c>
      <c r="B94" t="s">
        <v>4963</v>
      </c>
      <c r="C94" t="s">
        <v>4962</v>
      </c>
      <c r="D94">
        <v>0.25</v>
      </c>
      <c r="E94" t="s">
        <v>2468</v>
      </c>
      <c r="F94" t="s">
        <v>2644</v>
      </c>
      <c r="G94" t="s">
        <v>2879</v>
      </c>
      <c r="H94" t="s">
        <v>2878</v>
      </c>
      <c r="I94"/>
      <c r="J94" t="s">
        <v>2487</v>
      </c>
      <c r="K94"/>
      <c r="L94"/>
      <c r="M94">
        <v>11</v>
      </c>
      <c r="N94">
        <v>18</v>
      </c>
      <c r="O94">
        <v>4</v>
      </c>
      <c r="P94">
        <v>6</v>
      </c>
      <c r="Q94">
        <v>4</v>
      </c>
      <c r="R94" t="s">
        <v>2464</v>
      </c>
      <c r="S94" t="s">
        <v>3259</v>
      </c>
      <c r="T94" t="s">
        <v>3206</v>
      </c>
      <c r="U94" t="s">
        <v>2462</v>
      </c>
      <c r="V94">
        <v>20</v>
      </c>
      <c r="W94"/>
      <c r="X94"/>
      <c r="Y94"/>
      <c r="Z94"/>
      <c r="AA94">
        <v>11</v>
      </c>
      <c r="AB94">
        <v>11</v>
      </c>
      <c r="AC94">
        <v>12</v>
      </c>
      <c r="AD94">
        <v>5</v>
      </c>
      <c r="AE94">
        <v>8</v>
      </c>
      <c r="AF94">
        <v>3</v>
      </c>
      <c r="AG94">
        <v>57</v>
      </c>
      <c r="AH94"/>
      <c r="AI94"/>
      <c r="AJ94"/>
      <c r="AK94"/>
      <c r="AL94"/>
      <c r="AM94"/>
      <c r="AN94"/>
      <c r="AO94">
        <v>273</v>
      </c>
      <c r="AP94"/>
      <c r="AQ94"/>
      <c r="AR94"/>
      <c r="AS94"/>
      <c r="AT94"/>
      <c r="AU94"/>
      <c r="AV94" t="s">
        <v>3571</v>
      </c>
      <c r="AW94"/>
      <c r="AX94" t="s">
        <v>4961</v>
      </c>
      <c r="AY94"/>
      <c r="AZ94"/>
      <c r="BA94"/>
      <c r="BB94"/>
      <c r="BC94"/>
      <c r="BD94"/>
      <c r="BE94"/>
      <c r="BF94"/>
      <c r="BG94"/>
      <c r="BH94"/>
      <c r="BI94"/>
      <c r="BJ94"/>
      <c r="BK94"/>
      <c r="BL94"/>
      <c r="BM94"/>
      <c r="BN94"/>
      <c r="BO94"/>
      <c r="BP94" t="s">
        <v>2480</v>
      </c>
      <c r="BQ94" t="s">
        <v>4960</v>
      </c>
      <c r="BR94" t="s">
        <v>2480</v>
      </c>
      <c r="BS94" t="s">
        <v>2479</v>
      </c>
      <c r="BT94" t="s">
        <v>4959</v>
      </c>
      <c r="BU94" t="s">
        <v>4198</v>
      </c>
      <c r="BV94" t="s">
        <v>2652</v>
      </c>
      <c r="BW94" t="s">
        <v>4958</v>
      </c>
      <c r="BX94" t="s">
        <v>4957</v>
      </c>
      <c r="BY94" t="s">
        <v>4955</v>
      </c>
      <c r="BZ94" t="s">
        <v>4956</v>
      </c>
      <c r="CA94" t="s">
        <v>4955</v>
      </c>
      <c r="CB94"/>
      <c r="CC94"/>
      <c r="CD94"/>
      <c r="CE94"/>
      <c r="CF94"/>
      <c r="CG94"/>
      <c r="CH94"/>
      <c r="CI94"/>
      <c r="CJ94"/>
      <c r="CK94"/>
      <c r="CL94"/>
      <c r="CM94"/>
      <c r="CN94"/>
      <c r="CO94"/>
      <c r="CP94"/>
      <c r="CQ94"/>
      <c r="CR94"/>
      <c r="CS94"/>
      <c r="CT94"/>
      <c r="CU94"/>
      <c r="CV94"/>
      <c r="CW94"/>
      <c r="CX94" t="s">
        <v>2454</v>
      </c>
      <c r="CY94">
        <v>57</v>
      </c>
      <c r="CZ94" t="s">
        <v>2453</v>
      </c>
    </row>
    <row r="95" spans="1:104" ht="14.25">
      <c r="A95" t="s">
        <v>4954</v>
      </c>
      <c r="B95" t="s">
        <v>4954</v>
      </c>
      <c r="C95" t="s">
        <v>4953</v>
      </c>
      <c r="D95">
        <v>6</v>
      </c>
      <c r="E95" t="s">
        <v>2468</v>
      </c>
      <c r="F95" t="s">
        <v>2489</v>
      </c>
      <c r="G95" t="s">
        <v>2587</v>
      </c>
      <c r="H95"/>
      <c r="I95"/>
      <c r="J95" t="s">
        <v>2487</v>
      </c>
      <c r="K95"/>
      <c r="L95"/>
      <c r="M95">
        <v>19</v>
      </c>
      <c r="N95">
        <v>123</v>
      </c>
      <c r="O95">
        <v>13</v>
      </c>
      <c r="P95">
        <v>10</v>
      </c>
      <c r="Q95">
        <v>52</v>
      </c>
      <c r="R95" t="s">
        <v>2972</v>
      </c>
      <c r="S95" t="s">
        <v>4952</v>
      </c>
      <c r="T95" t="s">
        <v>4951</v>
      </c>
      <c r="U95" t="s">
        <v>4950</v>
      </c>
      <c r="V95">
        <v>30</v>
      </c>
      <c r="W95"/>
      <c r="X95">
        <v>30</v>
      </c>
      <c r="Y95"/>
      <c r="Z95"/>
      <c r="AA95">
        <v>16</v>
      </c>
      <c r="AB95">
        <v>16</v>
      </c>
      <c r="AC95">
        <v>18</v>
      </c>
      <c r="AD95">
        <v>13</v>
      </c>
      <c r="AE95">
        <v>14</v>
      </c>
      <c r="AF95">
        <v>12</v>
      </c>
      <c r="AG95">
        <v>120</v>
      </c>
      <c r="AH95"/>
      <c r="AI95"/>
      <c r="AJ95"/>
      <c r="AK95"/>
      <c r="AL95"/>
      <c r="AM95"/>
      <c r="AN95"/>
      <c r="AO95">
        <v>307</v>
      </c>
      <c r="AP95"/>
      <c r="AQ95"/>
      <c r="AR95"/>
      <c r="AS95"/>
      <c r="AT95"/>
      <c r="AU95"/>
      <c r="AV95"/>
      <c r="AW95"/>
      <c r="AX95"/>
      <c r="AY95" t="s">
        <v>4932</v>
      </c>
      <c r="AZ95" t="s">
        <v>4949</v>
      </c>
      <c r="BA95" t="s">
        <v>4932</v>
      </c>
      <c r="BB95" t="s">
        <v>2635</v>
      </c>
      <c r="BC95" t="s">
        <v>4948</v>
      </c>
      <c r="BD95" t="s">
        <v>2635</v>
      </c>
      <c r="BE95" t="s">
        <v>2915</v>
      </c>
      <c r="BF95" t="s">
        <v>4947</v>
      </c>
      <c r="BG95" t="s">
        <v>2915</v>
      </c>
      <c r="BH95" t="s">
        <v>2665</v>
      </c>
      <c r="BI95" t="s">
        <v>4946</v>
      </c>
      <c r="BJ95" t="s">
        <v>3245</v>
      </c>
      <c r="BK95" t="s">
        <v>4945</v>
      </c>
      <c r="BL95"/>
      <c r="BM95"/>
      <c r="BN95"/>
      <c r="BO95"/>
      <c r="BP95" t="s">
        <v>2480</v>
      </c>
      <c r="BQ95" t="s">
        <v>4944</v>
      </c>
      <c r="BR95" t="s">
        <v>2480</v>
      </c>
      <c r="BS95" t="s">
        <v>2479</v>
      </c>
      <c r="BT95" t="s">
        <v>4943</v>
      </c>
      <c r="BU95" t="s">
        <v>4942</v>
      </c>
      <c r="BV95" t="s">
        <v>2727</v>
      </c>
      <c r="BW95" t="s">
        <v>4941</v>
      </c>
      <c r="BX95" t="s">
        <v>4940</v>
      </c>
      <c r="BY95" t="s">
        <v>2724</v>
      </c>
      <c r="BZ95" t="s">
        <v>4939</v>
      </c>
      <c r="CA95" t="s">
        <v>4938</v>
      </c>
      <c r="CB95"/>
      <c r="CC95"/>
      <c r="CD95"/>
      <c r="CE95"/>
      <c r="CF95"/>
      <c r="CG95"/>
      <c r="CH95"/>
      <c r="CI95"/>
      <c r="CJ95"/>
      <c r="CK95"/>
      <c r="CL95"/>
      <c r="CM95"/>
      <c r="CN95"/>
      <c r="CO95"/>
      <c r="CP95"/>
      <c r="CQ95"/>
      <c r="CR95"/>
      <c r="CS95"/>
      <c r="CT95"/>
      <c r="CU95"/>
      <c r="CV95"/>
      <c r="CW95"/>
      <c r="CX95" t="s">
        <v>2454</v>
      </c>
      <c r="CY95">
        <v>120</v>
      </c>
      <c r="CZ95" t="s">
        <v>2453</v>
      </c>
    </row>
    <row r="96" spans="1:104" ht="14.25">
      <c r="A96" t="s">
        <v>4937</v>
      </c>
      <c r="B96" t="s">
        <v>4937</v>
      </c>
      <c r="C96" t="s">
        <v>4936</v>
      </c>
      <c r="D96">
        <v>0.25</v>
      </c>
      <c r="E96" t="s">
        <v>2468</v>
      </c>
      <c r="F96" t="s">
        <v>2467</v>
      </c>
      <c r="G96" t="s">
        <v>2608</v>
      </c>
      <c r="H96" t="s">
        <v>4935</v>
      </c>
      <c r="I96"/>
      <c r="J96" t="s">
        <v>2465</v>
      </c>
      <c r="K96"/>
      <c r="L96"/>
      <c r="M96">
        <v>15</v>
      </c>
      <c r="N96">
        <v>13</v>
      </c>
      <c r="O96">
        <v>3</v>
      </c>
      <c r="P96">
        <v>8</v>
      </c>
      <c r="Q96"/>
      <c r="R96" t="s">
        <v>2464</v>
      </c>
      <c r="S96" t="s">
        <v>2605</v>
      </c>
      <c r="T96" t="s">
        <v>2605</v>
      </c>
      <c r="U96" t="s">
        <v>2462</v>
      </c>
      <c r="V96">
        <v>30</v>
      </c>
      <c r="W96"/>
      <c r="X96"/>
      <c r="Y96"/>
      <c r="Z96"/>
      <c r="AA96">
        <v>10</v>
      </c>
      <c r="AB96">
        <v>14</v>
      </c>
      <c r="AC96">
        <v>10</v>
      </c>
      <c r="AD96">
        <v>11</v>
      </c>
      <c r="AE96">
        <v>11</v>
      </c>
      <c r="AF96">
        <v>12</v>
      </c>
      <c r="AG96">
        <v>128</v>
      </c>
      <c r="AH96"/>
      <c r="AI96"/>
      <c r="AJ96"/>
      <c r="AK96"/>
      <c r="AL96"/>
      <c r="AM96"/>
      <c r="AN96"/>
      <c r="AO96">
        <v>310</v>
      </c>
      <c r="AP96"/>
      <c r="AQ96"/>
      <c r="AR96"/>
      <c r="AS96"/>
      <c r="AT96"/>
      <c r="AU96"/>
      <c r="AV96"/>
      <c r="AW96"/>
      <c r="AX96" t="s">
        <v>4934</v>
      </c>
      <c r="AY96" t="s">
        <v>4932</v>
      </c>
      <c r="AZ96" t="s">
        <v>4933</v>
      </c>
      <c r="BA96" t="s">
        <v>4932</v>
      </c>
      <c r="BB96" t="s">
        <v>2635</v>
      </c>
      <c r="BC96" t="s">
        <v>4931</v>
      </c>
      <c r="BD96" t="s">
        <v>2635</v>
      </c>
      <c r="BE96" t="s">
        <v>2665</v>
      </c>
      <c r="BF96" t="s">
        <v>4930</v>
      </c>
      <c r="BG96" t="s">
        <v>2665</v>
      </c>
      <c r="BH96"/>
      <c r="BI96"/>
      <c r="BJ96"/>
      <c r="BK96"/>
      <c r="BL96"/>
      <c r="BM96"/>
      <c r="BN96"/>
      <c r="BO96"/>
      <c r="BP96" t="s">
        <v>2898</v>
      </c>
      <c r="BQ96" t="s">
        <v>2785</v>
      </c>
      <c r="BR96" t="s">
        <v>2784</v>
      </c>
      <c r="BS96" t="s">
        <v>3211</v>
      </c>
      <c r="BT96" t="s">
        <v>4929</v>
      </c>
      <c r="BU96" t="s">
        <v>2781</v>
      </c>
      <c r="BV96"/>
      <c r="BW96"/>
      <c r="BX96"/>
      <c r="BY96"/>
      <c r="BZ96"/>
      <c r="CA96"/>
      <c r="CB96"/>
      <c r="CC96"/>
      <c r="CD96"/>
      <c r="CE96"/>
      <c r="CF96"/>
      <c r="CG96"/>
      <c r="CH96"/>
      <c r="CI96"/>
      <c r="CJ96"/>
      <c r="CK96"/>
      <c r="CL96"/>
      <c r="CM96"/>
      <c r="CN96"/>
      <c r="CO96"/>
      <c r="CP96"/>
      <c r="CQ96"/>
      <c r="CR96"/>
      <c r="CS96"/>
      <c r="CT96"/>
      <c r="CU96"/>
      <c r="CV96"/>
      <c r="CW96"/>
      <c r="CX96" t="s">
        <v>2454</v>
      </c>
      <c r="CY96">
        <v>128</v>
      </c>
      <c r="CZ96" t="s">
        <v>2453</v>
      </c>
    </row>
    <row r="97" spans="1:104" ht="14.25">
      <c r="A97" t="s">
        <v>4928</v>
      </c>
      <c r="B97" t="s">
        <v>4928</v>
      </c>
      <c r="C97" t="s">
        <v>4927</v>
      </c>
      <c r="D97">
        <v>2</v>
      </c>
      <c r="E97" t="s">
        <v>2609</v>
      </c>
      <c r="F97" t="s">
        <v>2467</v>
      </c>
      <c r="G97" t="s">
        <v>2608</v>
      </c>
      <c r="H97" t="s">
        <v>2607</v>
      </c>
      <c r="I97"/>
      <c r="J97" t="s">
        <v>2607</v>
      </c>
      <c r="K97">
        <v>4</v>
      </c>
      <c r="L97" t="s">
        <v>2007</v>
      </c>
      <c r="M97">
        <v>11</v>
      </c>
      <c r="N97">
        <v>27</v>
      </c>
      <c r="O97">
        <v>5</v>
      </c>
      <c r="P97">
        <v>8</v>
      </c>
      <c r="Q97">
        <v>5</v>
      </c>
      <c r="R97" t="s">
        <v>2972</v>
      </c>
      <c r="S97" t="s">
        <v>2889</v>
      </c>
      <c r="T97" t="s">
        <v>2462</v>
      </c>
      <c r="U97" t="s">
        <v>2462</v>
      </c>
      <c r="V97">
        <v>30</v>
      </c>
      <c r="W97"/>
      <c r="X97"/>
      <c r="Y97"/>
      <c r="Z97"/>
      <c r="AA97">
        <v>10</v>
      </c>
      <c r="AB97">
        <v>12</v>
      </c>
      <c r="AC97">
        <v>13</v>
      </c>
      <c r="AD97">
        <v>12</v>
      </c>
      <c r="AE97">
        <v>15</v>
      </c>
      <c r="AF97">
        <v>11</v>
      </c>
      <c r="AG97">
        <v>346</v>
      </c>
      <c r="AH97"/>
      <c r="AI97"/>
      <c r="AJ97"/>
      <c r="AK97"/>
      <c r="AL97"/>
      <c r="AM97"/>
      <c r="AN97"/>
      <c r="AO97">
        <v>393</v>
      </c>
      <c r="AP97"/>
      <c r="AQ97">
        <v>11</v>
      </c>
      <c r="AR97"/>
      <c r="AS97" t="s">
        <v>4926</v>
      </c>
      <c r="AT97">
        <v>15</v>
      </c>
      <c r="AU97"/>
      <c r="AV97" t="s">
        <v>4925</v>
      </c>
      <c r="AW97"/>
      <c r="AX97" t="s">
        <v>4924</v>
      </c>
      <c r="AY97" t="s">
        <v>3235</v>
      </c>
      <c r="AZ97" t="s">
        <v>4923</v>
      </c>
      <c r="BA97" t="s">
        <v>3235</v>
      </c>
      <c r="BB97"/>
      <c r="BC97"/>
      <c r="BD97"/>
      <c r="BE97"/>
      <c r="BF97"/>
      <c r="BG97"/>
      <c r="BH97"/>
      <c r="BI97"/>
      <c r="BJ97"/>
      <c r="BK97"/>
      <c r="BL97"/>
      <c r="BM97"/>
      <c r="BN97"/>
      <c r="BO97"/>
      <c r="BP97" t="s">
        <v>4922</v>
      </c>
      <c r="BQ97" t="s">
        <v>4921</v>
      </c>
      <c r="BR97" t="s">
        <v>4920</v>
      </c>
      <c r="BS97"/>
      <c r="BT97"/>
      <c r="BU97"/>
      <c r="BV97"/>
      <c r="BW97"/>
      <c r="BX97"/>
      <c r="BY97"/>
      <c r="BZ97"/>
      <c r="CA97"/>
      <c r="CB97"/>
      <c r="CC97"/>
      <c r="CD97"/>
      <c r="CE97"/>
      <c r="CF97"/>
      <c r="CG97"/>
      <c r="CH97"/>
      <c r="CI97"/>
      <c r="CJ97"/>
      <c r="CK97"/>
      <c r="CL97"/>
      <c r="CM97"/>
      <c r="CN97"/>
      <c r="CO97"/>
      <c r="CP97"/>
      <c r="CQ97"/>
      <c r="CR97"/>
      <c r="CS97"/>
      <c r="CT97"/>
      <c r="CU97"/>
      <c r="CV97"/>
      <c r="CW97"/>
      <c r="CX97" t="s">
        <v>2454</v>
      </c>
      <c r="CY97">
        <v>346</v>
      </c>
      <c r="CZ97" t="s">
        <v>2453</v>
      </c>
    </row>
    <row r="98" spans="1:104" ht="14.25">
      <c r="A98" t="s">
        <v>4919</v>
      </c>
      <c r="B98" t="s">
        <v>4919</v>
      </c>
      <c r="C98" t="s">
        <v>4918</v>
      </c>
      <c r="D98">
        <v>1</v>
      </c>
      <c r="E98" t="s">
        <v>2468</v>
      </c>
      <c r="F98" t="s">
        <v>2467</v>
      </c>
      <c r="G98" t="s">
        <v>3231</v>
      </c>
      <c r="H98"/>
      <c r="I98"/>
      <c r="J98" t="s">
        <v>1997</v>
      </c>
      <c r="K98"/>
      <c r="L98"/>
      <c r="M98">
        <v>11</v>
      </c>
      <c r="N98">
        <v>22</v>
      </c>
      <c r="O98">
        <v>5</v>
      </c>
      <c r="P98">
        <v>8</v>
      </c>
      <c r="Q98"/>
      <c r="R98" t="s">
        <v>2972</v>
      </c>
      <c r="S98" t="s">
        <v>3541</v>
      </c>
      <c r="T98" t="s">
        <v>2462</v>
      </c>
      <c r="U98" t="s">
        <v>2462</v>
      </c>
      <c r="V98">
        <v>30</v>
      </c>
      <c r="W98"/>
      <c r="X98"/>
      <c r="Y98"/>
      <c r="Z98"/>
      <c r="AA98">
        <v>10</v>
      </c>
      <c r="AB98">
        <v>12</v>
      </c>
      <c r="AC98">
        <v>11</v>
      </c>
      <c r="AD98">
        <v>14</v>
      </c>
      <c r="AE98">
        <v>15</v>
      </c>
      <c r="AF98">
        <v>18</v>
      </c>
      <c r="AG98">
        <v>121</v>
      </c>
      <c r="AH98"/>
      <c r="AI98"/>
      <c r="AJ98"/>
      <c r="AK98"/>
      <c r="AL98"/>
      <c r="AM98"/>
      <c r="AN98"/>
      <c r="AO98">
        <v>307</v>
      </c>
      <c r="AP98"/>
      <c r="AQ98"/>
      <c r="AR98"/>
      <c r="AS98"/>
      <c r="AT98"/>
      <c r="AU98"/>
      <c r="AV98"/>
      <c r="AW98"/>
      <c r="AX98"/>
      <c r="AY98" t="s">
        <v>2635</v>
      </c>
      <c r="AZ98" t="s">
        <v>4917</v>
      </c>
      <c r="BA98" t="s">
        <v>2635</v>
      </c>
      <c r="BB98" t="s">
        <v>2873</v>
      </c>
      <c r="BC98" t="s">
        <v>4916</v>
      </c>
      <c r="BD98" t="s">
        <v>2873</v>
      </c>
      <c r="BE98" t="s">
        <v>4914</v>
      </c>
      <c r="BF98" t="s">
        <v>4915</v>
      </c>
      <c r="BG98" t="s">
        <v>4914</v>
      </c>
      <c r="BH98" t="s">
        <v>4913</v>
      </c>
      <c r="BI98" t="s">
        <v>4912</v>
      </c>
      <c r="BJ98"/>
      <c r="BK98"/>
      <c r="BL98"/>
      <c r="BM98"/>
      <c r="BN98"/>
      <c r="BO98"/>
      <c r="BP98" t="s">
        <v>4301</v>
      </c>
      <c r="BQ98" t="s">
        <v>4911</v>
      </c>
      <c r="BR98" t="s">
        <v>4910</v>
      </c>
      <c r="BS98" t="s">
        <v>4908</v>
      </c>
      <c r="BT98" t="s">
        <v>4909</v>
      </c>
      <c r="BU98" t="s">
        <v>4908</v>
      </c>
      <c r="BV98"/>
      <c r="BW98"/>
      <c r="BX98"/>
      <c r="BY98"/>
      <c r="BZ98"/>
      <c r="CA98"/>
      <c r="CB98"/>
      <c r="CC98"/>
      <c r="CD98"/>
      <c r="CE98"/>
      <c r="CF98"/>
      <c r="CG98"/>
      <c r="CH98"/>
      <c r="CI98"/>
      <c r="CJ98"/>
      <c r="CK98"/>
      <c r="CL98"/>
      <c r="CM98"/>
      <c r="CN98"/>
      <c r="CO98"/>
      <c r="CP98"/>
      <c r="CQ98"/>
      <c r="CR98"/>
      <c r="CS98"/>
      <c r="CT98"/>
      <c r="CU98"/>
      <c r="CV98"/>
      <c r="CW98"/>
      <c r="CX98" t="s">
        <v>2454</v>
      </c>
      <c r="CY98">
        <v>121</v>
      </c>
      <c r="CZ98" t="s">
        <v>2453</v>
      </c>
    </row>
    <row r="99" spans="1:104" ht="14.25">
      <c r="A99" t="s">
        <v>4907</v>
      </c>
      <c r="B99" t="s">
        <v>4907</v>
      </c>
      <c r="C99" t="s">
        <v>4906</v>
      </c>
      <c r="D99">
        <v>1</v>
      </c>
      <c r="E99" t="s">
        <v>2468</v>
      </c>
      <c r="F99" t="s">
        <v>2467</v>
      </c>
      <c r="G99" t="s">
        <v>2608</v>
      </c>
      <c r="H99" t="s">
        <v>4905</v>
      </c>
      <c r="I99"/>
      <c r="J99" t="s">
        <v>2522</v>
      </c>
      <c r="K99"/>
      <c r="L99"/>
      <c r="M99">
        <v>16</v>
      </c>
      <c r="N99">
        <v>26</v>
      </c>
      <c r="O99">
        <v>4</v>
      </c>
      <c r="P99">
        <v>8</v>
      </c>
      <c r="Q99">
        <v>8</v>
      </c>
      <c r="R99" t="s">
        <v>2464</v>
      </c>
      <c r="S99" t="s">
        <v>2758</v>
      </c>
      <c r="T99" t="s">
        <v>2605</v>
      </c>
      <c r="U99" t="s">
        <v>2462</v>
      </c>
      <c r="V99">
        <v>25</v>
      </c>
      <c r="W99"/>
      <c r="X99"/>
      <c r="Y99"/>
      <c r="Z99"/>
      <c r="AA99">
        <v>14</v>
      </c>
      <c r="AB99">
        <v>11</v>
      </c>
      <c r="AC99">
        <v>14</v>
      </c>
      <c r="AD99">
        <v>11</v>
      </c>
      <c r="AE99">
        <v>10</v>
      </c>
      <c r="AF99">
        <v>9</v>
      </c>
      <c r="AG99">
        <v>122</v>
      </c>
      <c r="AH99"/>
      <c r="AI99"/>
      <c r="AJ99"/>
      <c r="AK99"/>
      <c r="AL99"/>
      <c r="AM99"/>
      <c r="AN99"/>
      <c r="AO99">
        <v>308</v>
      </c>
      <c r="AP99"/>
      <c r="AQ99"/>
      <c r="AR99"/>
      <c r="AS99"/>
      <c r="AT99">
        <v>16</v>
      </c>
      <c r="AU99"/>
      <c r="AV99"/>
      <c r="AW99"/>
      <c r="AX99" t="s">
        <v>4904</v>
      </c>
      <c r="AY99" t="s">
        <v>4902</v>
      </c>
      <c r="AZ99" t="s">
        <v>4903</v>
      </c>
      <c r="BA99" t="s">
        <v>4902</v>
      </c>
      <c r="BB99" t="s">
        <v>2665</v>
      </c>
      <c r="BC99" t="s">
        <v>4901</v>
      </c>
      <c r="BD99" t="s">
        <v>2665</v>
      </c>
      <c r="BE99"/>
      <c r="BF99"/>
      <c r="BG99"/>
      <c r="BH99"/>
      <c r="BI99"/>
      <c r="BJ99"/>
      <c r="BK99"/>
      <c r="BL99"/>
      <c r="BM99"/>
      <c r="BN99"/>
      <c r="BO99"/>
      <c r="BP99" t="s">
        <v>4899</v>
      </c>
      <c r="BQ99" t="s">
        <v>4900</v>
      </c>
      <c r="BR99" t="s">
        <v>4899</v>
      </c>
      <c r="BS99" t="s">
        <v>2634</v>
      </c>
      <c r="BT99" t="s">
        <v>4898</v>
      </c>
      <c r="BU99" t="s">
        <v>4897</v>
      </c>
      <c r="BV99" t="s">
        <v>3719</v>
      </c>
      <c r="BW99" t="s">
        <v>4896</v>
      </c>
      <c r="BX99" t="s">
        <v>4895</v>
      </c>
      <c r="BY99" t="s">
        <v>4893</v>
      </c>
      <c r="BZ99" t="s">
        <v>4894</v>
      </c>
      <c r="CA99" t="s">
        <v>4893</v>
      </c>
      <c r="CB99"/>
      <c r="CC99"/>
      <c r="CD99"/>
      <c r="CE99"/>
      <c r="CF99"/>
      <c r="CG99"/>
      <c r="CH99"/>
      <c r="CI99"/>
      <c r="CJ99"/>
      <c r="CK99"/>
      <c r="CL99"/>
      <c r="CM99"/>
      <c r="CN99"/>
      <c r="CO99"/>
      <c r="CP99"/>
      <c r="CQ99"/>
      <c r="CR99"/>
      <c r="CS99"/>
      <c r="CT99"/>
      <c r="CU99"/>
      <c r="CV99"/>
      <c r="CW99"/>
      <c r="CX99" t="s">
        <v>2454</v>
      </c>
      <c r="CY99">
        <v>122</v>
      </c>
      <c r="CZ99" t="s">
        <v>2453</v>
      </c>
    </row>
    <row r="100" spans="1:104" ht="14.25">
      <c r="A100" t="s">
        <v>4892</v>
      </c>
      <c r="B100" t="s">
        <v>4892</v>
      </c>
      <c r="C100"/>
      <c r="D100">
        <v>9</v>
      </c>
      <c r="E100" t="s">
        <v>2608</v>
      </c>
      <c r="F100" t="s">
        <v>2467</v>
      </c>
      <c r="G100" t="s">
        <v>3543</v>
      </c>
      <c r="H100"/>
      <c r="I100"/>
      <c r="J100" t="s">
        <v>1997</v>
      </c>
      <c r="K100"/>
      <c r="L100"/>
      <c r="M100">
        <v>16</v>
      </c>
      <c r="N100">
        <v>144</v>
      </c>
      <c r="O100">
        <v>17</v>
      </c>
      <c r="P100">
        <v>8</v>
      </c>
      <c r="Q100">
        <v>68</v>
      </c>
      <c r="R100" t="s">
        <v>2464</v>
      </c>
      <c r="S100"/>
      <c r="T100"/>
      <c r="U100"/>
      <c r="V100">
        <v>30</v>
      </c>
      <c r="W100"/>
      <c r="X100"/>
      <c r="Y100"/>
      <c r="Z100"/>
      <c r="AA100">
        <v>18</v>
      </c>
      <c r="AB100">
        <v>15</v>
      </c>
      <c r="AC100">
        <v>18</v>
      </c>
      <c r="AD100">
        <v>13</v>
      </c>
      <c r="AE100">
        <v>12</v>
      </c>
      <c r="AF100">
        <v>10</v>
      </c>
      <c r="AG100"/>
      <c r="AH100"/>
      <c r="AI100"/>
      <c r="AJ100"/>
      <c r="AK100"/>
      <c r="AL100"/>
      <c r="AM100"/>
      <c r="AN100"/>
      <c r="AO100"/>
      <c r="AP100"/>
      <c r="AQ100"/>
      <c r="AR100"/>
      <c r="AS100"/>
      <c r="AT100"/>
      <c r="AU100"/>
      <c r="AV100"/>
      <c r="AW100"/>
      <c r="AX100"/>
      <c r="AY100" t="s">
        <v>4891</v>
      </c>
      <c r="AZ100" t="s">
        <v>4890</v>
      </c>
      <c r="BA100" t="s">
        <v>4889</v>
      </c>
      <c r="BB100" t="s">
        <v>4888</v>
      </c>
      <c r="BC100" t="s">
        <v>4887</v>
      </c>
      <c r="BD100" t="s">
        <v>4886</v>
      </c>
      <c r="BE100" t="s">
        <v>4879</v>
      </c>
      <c r="BF100"/>
      <c r="BG100"/>
      <c r="BH100"/>
      <c r="BI100"/>
      <c r="BJ100"/>
      <c r="BK100"/>
      <c r="BL100"/>
      <c r="BM100"/>
      <c r="BN100"/>
      <c r="BO100"/>
      <c r="BP100" t="s">
        <v>2480</v>
      </c>
      <c r="BQ100" t="s">
        <v>4885</v>
      </c>
      <c r="BR100" t="s">
        <v>2480</v>
      </c>
      <c r="BS100" t="s">
        <v>4884</v>
      </c>
      <c r="BT100" t="s">
        <v>4883</v>
      </c>
      <c r="BU100" t="s">
        <v>4882</v>
      </c>
      <c r="BV100" t="s">
        <v>4881</v>
      </c>
      <c r="BW100" t="s">
        <v>4880</v>
      </c>
      <c r="BX100" t="s">
        <v>4879</v>
      </c>
      <c r="BY100" t="s">
        <v>4878</v>
      </c>
      <c r="BZ100" t="s">
        <v>4877</v>
      </c>
      <c r="CA100"/>
      <c r="CB100"/>
      <c r="CC100"/>
      <c r="CD100"/>
      <c r="CE100"/>
      <c r="CF100"/>
      <c r="CG100"/>
      <c r="CH100"/>
      <c r="CI100"/>
      <c r="CJ100"/>
      <c r="CK100"/>
      <c r="CL100"/>
      <c r="CM100"/>
      <c r="CN100"/>
      <c r="CO100"/>
      <c r="CP100"/>
      <c r="CQ100"/>
      <c r="CR100"/>
      <c r="CS100"/>
      <c r="CT100"/>
      <c r="CU100"/>
      <c r="CV100"/>
      <c r="CW100"/>
      <c r="CX100"/>
      <c r="CY100"/>
      <c r="CZ100"/>
    </row>
    <row r="101" spans="1:104" ht="14.25">
      <c r="A101" t="s">
        <v>4876</v>
      </c>
      <c r="B101" t="s">
        <v>4875</v>
      </c>
      <c r="C101" t="s">
        <v>4874</v>
      </c>
      <c r="D101">
        <v>0.5</v>
      </c>
      <c r="E101" t="s">
        <v>2468</v>
      </c>
      <c r="F101" t="s">
        <v>2644</v>
      </c>
      <c r="G101" t="s">
        <v>2626</v>
      </c>
      <c r="H101" t="s">
        <v>3207</v>
      </c>
      <c r="I101"/>
      <c r="J101" t="s">
        <v>2465</v>
      </c>
      <c r="K101"/>
      <c r="L101"/>
      <c r="M101">
        <v>12</v>
      </c>
      <c r="N101">
        <v>17</v>
      </c>
      <c r="O101">
        <v>5</v>
      </c>
      <c r="P101">
        <v>6</v>
      </c>
      <c r="Q101"/>
      <c r="R101" t="s">
        <v>2464</v>
      </c>
      <c r="S101" t="s">
        <v>2793</v>
      </c>
      <c r="T101" t="s">
        <v>2462</v>
      </c>
      <c r="U101" t="s">
        <v>2462</v>
      </c>
      <c r="V101">
        <v>30</v>
      </c>
      <c r="W101"/>
      <c r="X101"/>
      <c r="Y101">
        <v>30</v>
      </c>
      <c r="Z101"/>
      <c r="AA101">
        <v>5</v>
      </c>
      <c r="AB101">
        <v>14</v>
      </c>
      <c r="AC101">
        <v>10</v>
      </c>
      <c r="AD101">
        <v>9</v>
      </c>
      <c r="AE101">
        <v>11</v>
      </c>
      <c r="AF101">
        <v>10</v>
      </c>
      <c r="AG101">
        <v>215</v>
      </c>
      <c r="AH101"/>
      <c r="AI101"/>
      <c r="AJ101"/>
      <c r="AK101"/>
      <c r="AL101"/>
      <c r="AM101"/>
      <c r="AN101"/>
      <c r="AO101">
        <v>333</v>
      </c>
      <c r="AP101"/>
      <c r="AQ101"/>
      <c r="AR101"/>
      <c r="AS101"/>
      <c r="AT101">
        <v>16</v>
      </c>
      <c r="AU101"/>
      <c r="AV101" t="s">
        <v>4873</v>
      </c>
      <c r="AW101"/>
      <c r="AX101"/>
      <c r="AY101" t="s">
        <v>3204</v>
      </c>
      <c r="AZ101" t="s">
        <v>4872</v>
      </c>
      <c r="BA101" t="s">
        <v>3204</v>
      </c>
      <c r="BB101" t="s">
        <v>3200</v>
      </c>
      <c r="BC101" t="s">
        <v>4871</v>
      </c>
      <c r="BD101" t="s">
        <v>3200</v>
      </c>
      <c r="BE101"/>
      <c r="BF101"/>
      <c r="BG101"/>
      <c r="BH101"/>
      <c r="BI101"/>
      <c r="BJ101"/>
      <c r="BK101"/>
      <c r="BL101"/>
      <c r="BM101"/>
      <c r="BN101"/>
      <c r="BO101"/>
      <c r="BP101" t="s">
        <v>2652</v>
      </c>
      <c r="BQ101" t="s">
        <v>3292</v>
      </c>
      <c r="BR101" t="s">
        <v>3291</v>
      </c>
      <c r="BS101" t="s">
        <v>4869</v>
      </c>
      <c r="BT101" t="s">
        <v>4870</v>
      </c>
      <c r="BU101" t="s">
        <v>4869</v>
      </c>
      <c r="BV101" t="s">
        <v>3194</v>
      </c>
      <c r="BW101" t="s">
        <v>3195</v>
      </c>
      <c r="BX101" t="s">
        <v>3194</v>
      </c>
      <c r="BY101"/>
      <c r="BZ101"/>
      <c r="CA101"/>
      <c r="CB101"/>
      <c r="CC101"/>
      <c r="CD101"/>
      <c r="CE101"/>
      <c r="CF101"/>
      <c r="CG101"/>
      <c r="CH101"/>
      <c r="CI101"/>
      <c r="CJ101"/>
      <c r="CK101"/>
      <c r="CL101"/>
      <c r="CM101"/>
      <c r="CN101"/>
      <c r="CO101"/>
      <c r="CP101"/>
      <c r="CQ101"/>
      <c r="CR101"/>
      <c r="CS101"/>
      <c r="CT101"/>
      <c r="CU101"/>
      <c r="CV101"/>
      <c r="CW101"/>
      <c r="CX101" t="s">
        <v>2454</v>
      </c>
      <c r="CY101">
        <v>215</v>
      </c>
      <c r="CZ101" t="s">
        <v>2453</v>
      </c>
    </row>
    <row r="102" spans="1:104" ht="14.25">
      <c r="A102" t="s">
        <v>4868</v>
      </c>
      <c r="B102" t="s">
        <v>4868</v>
      </c>
      <c r="C102" t="s">
        <v>4867</v>
      </c>
      <c r="D102">
        <v>0</v>
      </c>
      <c r="E102" t="s">
        <v>2680</v>
      </c>
      <c r="F102" t="s">
        <v>2644</v>
      </c>
      <c r="G102" t="s">
        <v>2690</v>
      </c>
      <c r="H102"/>
      <c r="I102"/>
      <c r="J102" t="s">
        <v>2013</v>
      </c>
      <c r="K102"/>
      <c r="L102"/>
      <c r="M102">
        <v>12</v>
      </c>
      <c r="N102">
        <v>3</v>
      </c>
      <c r="O102">
        <v>1</v>
      </c>
      <c r="P102">
        <v>6</v>
      </c>
      <c r="Q102"/>
      <c r="R102" t="s">
        <v>2464</v>
      </c>
      <c r="S102" t="s">
        <v>2793</v>
      </c>
      <c r="T102" t="s">
        <v>2462</v>
      </c>
      <c r="U102" t="s">
        <v>2462</v>
      </c>
      <c r="V102">
        <v>10</v>
      </c>
      <c r="W102"/>
      <c r="X102"/>
      <c r="Y102">
        <v>60</v>
      </c>
      <c r="Z102"/>
      <c r="AA102">
        <v>6</v>
      </c>
      <c r="AB102">
        <v>15</v>
      </c>
      <c r="AC102">
        <v>10</v>
      </c>
      <c r="AD102">
        <v>2</v>
      </c>
      <c r="AE102">
        <v>14</v>
      </c>
      <c r="AF102">
        <v>7</v>
      </c>
      <c r="AG102">
        <v>322</v>
      </c>
      <c r="AH102"/>
      <c r="AI102"/>
      <c r="AJ102"/>
      <c r="AK102"/>
      <c r="AL102"/>
      <c r="AM102"/>
      <c r="AN102">
        <v>17</v>
      </c>
      <c r="AO102">
        <v>366</v>
      </c>
      <c r="AP102"/>
      <c r="AQ102"/>
      <c r="AR102"/>
      <c r="AS102"/>
      <c r="AT102"/>
      <c r="AU102"/>
      <c r="AV102"/>
      <c r="AW102"/>
      <c r="AX102"/>
      <c r="AY102" t="s">
        <v>3485</v>
      </c>
      <c r="AZ102" t="s">
        <v>4600</v>
      </c>
      <c r="BA102" t="s">
        <v>3485</v>
      </c>
      <c r="BB102"/>
      <c r="BC102"/>
      <c r="BD102"/>
      <c r="BE102"/>
      <c r="BF102"/>
      <c r="BG102"/>
      <c r="BH102"/>
      <c r="BI102"/>
      <c r="BJ102"/>
      <c r="BK102"/>
      <c r="BL102"/>
      <c r="BM102"/>
      <c r="BN102"/>
      <c r="BO102"/>
      <c r="BP102" t="s">
        <v>2869</v>
      </c>
      <c r="BQ102" t="s">
        <v>3681</v>
      </c>
      <c r="BR102" t="s">
        <v>4866</v>
      </c>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t="s">
        <v>2454</v>
      </c>
      <c r="CY102">
        <v>322</v>
      </c>
      <c r="CZ102" t="s">
        <v>2453</v>
      </c>
    </row>
    <row r="103" spans="1:104" ht="14.25">
      <c r="A103" t="s">
        <v>4865</v>
      </c>
      <c r="B103" t="s">
        <v>4864</v>
      </c>
      <c r="C103" t="s">
        <v>4863</v>
      </c>
      <c r="D103">
        <v>5</v>
      </c>
      <c r="E103" t="s">
        <v>2468</v>
      </c>
      <c r="F103" t="s">
        <v>2489</v>
      </c>
      <c r="G103" t="s">
        <v>2626</v>
      </c>
      <c r="H103"/>
      <c r="I103"/>
      <c r="J103" t="s">
        <v>1997</v>
      </c>
      <c r="K103"/>
      <c r="L103"/>
      <c r="M103">
        <v>17</v>
      </c>
      <c r="N103">
        <v>126</v>
      </c>
      <c r="O103">
        <v>12</v>
      </c>
      <c r="P103">
        <v>10</v>
      </c>
      <c r="Q103">
        <v>60</v>
      </c>
      <c r="R103" t="s">
        <v>2464</v>
      </c>
      <c r="S103" t="s">
        <v>4610</v>
      </c>
      <c r="T103" t="s">
        <v>2462</v>
      </c>
      <c r="U103" t="s">
        <v>2462</v>
      </c>
      <c r="V103">
        <v>30</v>
      </c>
      <c r="W103">
        <v>30</v>
      </c>
      <c r="X103"/>
      <c r="Y103"/>
      <c r="Z103"/>
      <c r="AA103">
        <v>20</v>
      </c>
      <c r="AB103">
        <v>8</v>
      </c>
      <c r="AC103">
        <v>20</v>
      </c>
      <c r="AD103">
        <v>5</v>
      </c>
      <c r="AE103">
        <v>10</v>
      </c>
      <c r="AF103">
        <v>5</v>
      </c>
      <c r="AG103">
        <v>124</v>
      </c>
      <c r="AH103"/>
      <c r="AI103"/>
      <c r="AJ103"/>
      <c r="AK103"/>
      <c r="AL103"/>
      <c r="AM103"/>
      <c r="AN103">
        <v>17</v>
      </c>
      <c r="AO103">
        <v>309</v>
      </c>
      <c r="AP103"/>
      <c r="AQ103">
        <v>12</v>
      </c>
      <c r="AR103"/>
      <c r="AS103"/>
      <c r="AT103"/>
      <c r="AU103"/>
      <c r="AV103"/>
      <c r="AW103"/>
      <c r="AX103"/>
      <c r="AY103" t="s">
        <v>2622</v>
      </c>
      <c r="AZ103" t="s">
        <v>4862</v>
      </c>
      <c r="BA103" t="s">
        <v>2622</v>
      </c>
      <c r="BB103" t="s">
        <v>3035</v>
      </c>
      <c r="BC103" t="s">
        <v>4861</v>
      </c>
      <c r="BD103" t="s">
        <v>3035</v>
      </c>
      <c r="BE103"/>
      <c r="BF103"/>
      <c r="BG103"/>
      <c r="BH103"/>
      <c r="BI103"/>
      <c r="BJ103"/>
      <c r="BK103"/>
      <c r="BL103"/>
      <c r="BM103"/>
      <c r="BN103"/>
      <c r="BO103"/>
      <c r="BP103" t="s">
        <v>2480</v>
      </c>
      <c r="BQ103" t="s">
        <v>2833</v>
      </c>
      <c r="BR103" t="s">
        <v>2480</v>
      </c>
      <c r="BS103" t="s">
        <v>2457</v>
      </c>
      <c r="BT103" t="s">
        <v>4860</v>
      </c>
      <c r="BU103" t="s">
        <v>4859</v>
      </c>
      <c r="BV103"/>
      <c r="BW103"/>
      <c r="BX103"/>
      <c r="BY103"/>
      <c r="BZ103"/>
      <c r="CA103"/>
      <c r="CB103"/>
      <c r="CC103"/>
      <c r="CD103"/>
      <c r="CE103"/>
      <c r="CF103"/>
      <c r="CG103"/>
      <c r="CH103"/>
      <c r="CI103"/>
      <c r="CJ103"/>
      <c r="CK103"/>
      <c r="CL103"/>
      <c r="CM103"/>
      <c r="CN103"/>
      <c r="CO103"/>
      <c r="CP103"/>
      <c r="CQ103"/>
      <c r="CR103"/>
      <c r="CS103"/>
      <c r="CT103"/>
      <c r="CU103"/>
      <c r="CV103"/>
      <c r="CW103"/>
      <c r="CX103" t="s">
        <v>2454</v>
      </c>
      <c r="CY103">
        <v>124</v>
      </c>
      <c r="CZ103" t="s">
        <v>2453</v>
      </c>
    </row>
    <row r="104" spans="1:104" ht="14.25">
      <c r="A104" t="s">
        <v>4858</v>
      </c>
      <c r="B104" t="s">
        <v>4858</v>
      </c>
      <c r="C104" t="s">
        <v>4857</v>
      </c>
      <c r="D104">
        <v>11</v>
      </c>
      <c r="E104" t="s">
        <v>2468</v>
      </c>
      <c r="F104" t="s">
        <v>2489</v>
      </c>
      <c r="G104" t="s">
        <v>2626</v>
      </c>
      <c r="H104" t="s">
        <v>4856</v>
      </c>
      <c r="I104"/>
      <c r="J104" t="s">
        <v>2522</v>
      </c>
      <c r="K104"/>
      <c r="L104"/>
      <c r="M104">
        <v>17</v>
      </c>
      <c r="N104">
        <v>200</v>
      </c>
      <c r="O104">
        <v>16</v>
      </c>
      <c r="P104">
        <v>10</v>
      </c>
      <c r="Q104">
        <v>112</v>
      </c>
      <c r="R104" t="s">
        <v>2972</v>
      </c>
      <c r="S104" t="s">
        <v>2500</v>
      </c>
      <c r="T104" t="s">
        <v>4855</v>
      </c>
      <c r="U104" t="s">
        <v>2462</v>
      </c>
      <c r="V104">
        <v>40</v>
      </c>
      <c r="W104"/>
      <c r="X104"/>
      <c r="Y104">
        <v>60</v>
      </c>
      <c r="Z104"/>
      <c r="AA104">
        <v>22</v>
      </c>
      <c r="AB104">
        <v>12</v>
      </c>
      <c r="AC104">
        <v>24</v>
      </c>
      <c r="AD104">
        <v>16</v>
      </c>
      <c r="AE104">
        <v>15</v>
      </c>
      <c r="AF104">
        <v>16</v>
      </c>
      <c r="AG104">
        <v>145</v>
      </c>
      <c r="AH104"/>
      <c r="AI104"/>
      <c r="AJ104"/>
      <c r="AK104"/>
      <c r="AL104"/>
      <c r="AM104"/>
      <c r="AN104"/>
      <c r="AO104">
        <v>313</v>
      </c>
      <c r="AP104"/>
      <c r="AQ104">
        <v>12</v>
      </c>
      <c r="AR104"/>
      <c r="AS104"/>
      <c r="AT104">
        <v>16</v>
      </c>
      <c r="AU104"/>
      <c r="AV104"/>
      <c r="AW104"/>
      <c r="AX104"/>
      <c r="AY104" t="s">
        <v>4853</v>
      </c>
      <c r="AZ104" t="s">
        <v>4854</v>
      </c>
      <c r="BA104" t="s">
        <v>4853</v>
      </c>
      <c r="BB104" t="s">
        <v>2635</v>
      </c>
      <c r="BC104" t="s">
        <v>4852</v>
      </c>
      <c r="BD104" t="s">
        <v>2635</v>
      </c>
      <c r="BE104" t="s">
        <v>4850</v>
      </c>
      <c r="BF104" t="s">
        <v>4851</v>
      </c>
      <c r="BG104" t="s">
        <v>4850</v>
      </c>
      <c r="BH104"/>
      <c r="BI104"/>
      <c r="BJ104"/>
      <c r="BK104"/>
      <c r="BL104"/>
      <c r="BM104"/>
      <c r="BN104"/>
      <c r="BO104"/>
      <c r="BP104" t="s">
        <v>2480</v>
      </c>
      <c r="BQ104" t="s">
        <v>4849</v>
      </c>
      <c r="BR104" t="s">
        <v>2480</v>
      </c>
      <c r="BS104" t="s">
        <v>4411</v>
      </c>
      <c r="BT104" t="s">
        <v>4848</v>
      </c>
      <c r="BU104" t="s">
        <v>4847</v>
      </c>
      <c r="BV104" t="s">
        <v>4224</v>
      </c>
      <c r="BW104" t="s">
        <v>4846</v>
      </c>
      <c r="BX104" t="s">
        <v>4845</v>
      </c>
      <c r="BY104"/>
      <c r="BZ104"/>
      <c r="CA104"/>
      <c r="CB104"/>
      <c r="CC104"/>
      <c r="CD104"/>
      <c r="CE104"/>
      <c r="CF104"/>
      <c r="CG104"/>
      <c r="CH104"/>
      <c r="CI104"/>
      <c r="CJ104"/>
      <c r="CK104"/>
      <c r="CL104"/>
      <c r="CM104"/>
      <c r="CN104"/>
      <c r="CO104"/>
      <c r="CP104"/>
      <c r="CQ104"/>
      <c r="CR104"/>
      <c r="CS104"/>
      <c r="CT104"/>
      <c r="CU104"/>
      <c r="CV104"/>
      <c r="CW104"/>
      <c r="CX104" t="s">
        <v>2454</v>
      </c>
      <c r="CY104">
        <v>145</v>
      </c>
      <c r="CZ104" t="s">
        <v>2453</v>
      </c>
    </row>
    <row r="105" spans="1:104" ht="14.25">
      <c r="A105" t="s">
        <v>4844</v>
      </c>
      <c r="B105" t="s">
        <v>4844</v>
      </c>
      <c r="C105" t="s">
        <v>4843</v>
      </c>
      <c r="D105">
        <v>4</v>
      </c>
      <c r="E105" t="s">
        <v>2680</v>
      </c>
      <c r="F105" t="s">
        <v>2985</v>
      </c>
      <c r="G105" t="s">
        <v>2690</v>
      </c>
      <c r="H105"/>
      <c r="I105"/>
      <c r="J105" t="s">
        <v>2013</v>
      </c>
      <c r="K105"/>
      <c r="L105"/>
      <c r="M105">
        <v>12</v>
      </c>
      <c r="N105">
        <v>76</v>
      </c>
      <c r="O105">
        <v>8</v>
      </c>
      <c r="P105">
        <v>12</v>
      </c>
      <c r="Q105">
        <v>24</v>
      </c>
      <c r="R105" t="s">
        <v>2464</v>
      </c>
      <c r="S105" t="s">
        <v>4842</v>
      </c>
      <c r="T105" t="s">
        <v>4841</v>
      </c>
      <c r="U105" t="s">
        <v>2462</v>
      </c>
      <c r="V105">
        <v>40</v>
      </c>
      <c r="W105"/>
      <c r="X105"/>
      <c r="Y105"/>
      <c r="Z105"/>
      <c r="AA105">
        <v>22</v>
      </c>
      <c r="AB105">
        <v>9</v>
      </c>
      <c r="AC105">
        <v>17</v>
      </c>
      <c r="AD105">
        <v>3</v>
      </c>
      <c r="AE105">
        <v>11</v>
      </c>
      <c r="AF105">
        <v>6</v>
      </c>
      <c r="AG105">
        <v>322</v>
      </c>
      <c r="AH105"/>
      <c r="AI105"/>
      <c r="AJ105"/>
      <c r="AK105"/>
      <c r="AL105"/>
      <c r="AM105"/>
      <c r="AN105">
        <v>18</v>
      </c>
      <c r="AO105">
        <v>366</v>
      </c>
      <c r="AP105"/>
      <c r="AQ105"/>
      <c r="AR105"/>
      <c r="AS105"/>
      <c r="AT105"/>
      <c r="AU105"/>
      <c r="AV105"/>
      <c r="AW105"/>
      <c r="AX105"/>
      <c r="AY105" t="s">
        <v>2848</v>
      </c>
      <c r="AZ105" t="s">
        <v>4840</v>
      </c>
      <c r="BA105" t="s">
        <v>2848</v>
      </c>
      <c r="BB105"/>
      <c r="BC105"/>
      <c r="BD105"/>
      <c r="BE105"/>
      <c r="BF105"/>
      <c r="BG105"/>
      <c r="BH105"/>
      <c r="BI105"/>
      <c r="BJ105"/>
      <c r="BK105"/>
      <c r="BL105"/>
      <c r="BM105"/>
      <c r="BN105"/>
      <c r="BO105"/>
      <c r="BP105" t="s">
        <v>3013</v>
      </c>
      <c r="BQ105" t="s">
        <v>4839</v>
      </c>
      <c r="BR105" t="s">
        <v>4838</v>
      </c>
      <c r="BS105" t="s">
        <v>3010</v>
      </c>
      <c r="BT105" t="s">
        <v>4837</v>
      </c>
      <c r="BU105" t="s">
        <v>4836</v>
      </c>
      <c r="BV105"/>
      <c r="BW105"/>
      <c r="BX105"/>
      <c r="BY105"/>
      <c r="BZ105"/>
      <c r="CA105"/>
      <c r="CB105"/>
      <c r="CC105"/>
      <c r="CD105"/>
      <c r="CE105"/>
      <c r="CF105"/>
      <c r="CG105"/>
      <c r="CH105"/>
      <c r="CI105"/>
      <c r="CJ105"/>
      <c r="CK105"/>
      <c r="CL105"/>
      <c r="CM105"/>
      <c r="CN105"/>
      <c r="CO105"/>
      <c r="CP105"/>
      <c r="CQ105"/>
      <c r="CR105"/>
      <c r="CS105"/>
      <c r="CT105"/>
      <c r="CU105"/>
      <c r="CV105"/>
      <c r="CW105"/>
      <c r="CX105" t="s">
        <v>2454</v>
      </c>
      <c r="CY105">
        <v>322</v>
      </c>
      <c r="CZ105" t="s">
        <v>2453</v>
      </c>
    </row>
    <row r="106" spans="1:104" ht="14.25">
      <c r="A106" t="s">
        <v>4835</v>
      </c>
      <c r="B106" t="s">
        <v>4835</v>
      </c>
      <c r="C106" t="s">
        <v>4834</v>
      </c>
      <c r="D106">
        <v>0.25</v>
      </c>
      <c r="E106" t="s">
        <v>2680</v>
      </c>
      <c r="F106" t="s">
        <v>2489</v>
      </c>
      <c r="G106" t="s">
        <v>2690</v>
      </c>
      <c r="H106"/>
      <c r="I106"/>
      <c r="J106" t="s">
        <v>2013</v>
      </c>
      <c r="K106"/>
      <c r="L106"/>
      <c r="M106">
        <v>10</v>
      </c>
      <c r="N106">
        <v>13</v>
      </c>
      <c r="O106">
        <v>2</v>
      </c>
      <c r="P106">
        <v>10</v>
      </c>
      <c r="Q106">
        <v>2</v>
      </c>
      <c r="R106" t="s">
        <v>2464</v>
      </c>
      <c r="S106" t="s">
        <v>2905</v>
      </c>
      <c r="T106" t="s">
        <v>3493</v>
      </c>
      <c r="U106" t="s">
        <v>2462</v>
      </c>
      <c r="V106">
        <v>50</v>
      </c>
      <c r="W106"/>
      <c r="X106"/>
      <c r="Y106"/>
      <c r="Z106"/>
      <c r="AA106">
        <v>16</v>
      </c>
      <c r="AB106">
        <v>10</v>
      </c>
      <c r="AC106">
        <v>12</v>
      </c>
      <c r="AD106">
        <v>2</v>
      </c>
      <c r="AE106">
        <v>10</v>
      </c>
      <c r="AF106">
        <v>6</v>
      </c>
      <c r="AG106">
        <v>322</v>
      </c>
      <c r="AH106"/>
      <c r="AI106"/>
      <c r="AJ106"/>
      <c r="AK106"/>
      <c r="AL106"/>
      <c r="AM106"/>
      <c r="AN106">
        <v>18</v>
      </c>
      <c r="AO106">
        <v>367</v>
      </c>
      <c r="AP106">
        <v>8</v>
      </c>
      <c r="AQ106"/>
      <c r="AR106"/>
      <c r="AS106"/>
      <c r="AT106"/>
      <c r="AU106"/>
      <c r="AV106"/>
      <c r="AW106"/>
      <c r="AX106"/>
      <c r="AY106" t="s">
        <v>2971</v>
      </c>
      <c r="AZ106" t="s">
        <v>4833</v>
      </c>
      <c r="BA106" t="s">
        <v>2805</v>
      </c>
      <c r="BB106"/>
      <c r="BC106"/>
      <c r="BD106"/>
      <c r="BE106"/>
      <c r="BF106"/>
      <c r="BG106"/>
      <c r="BH106"/>
      <c r="BI106"/>
      <c r="BJ106"/>
      <c r="BK106"/>
      <c r="BL106"/>
      <c r="BM106"/>
      <c r="BN106"/>
      <c r="BO106"/>
      <c r="BP106" t="s">
        <v>3400</v>
      </c>
      <c r="BQ106" t="s">
        <v>4832</v>
      </c>
      <c r="BR106" t="s">
        <v>4831</v>
      </c>
      <c r="BS106" t="s">
        <v>2844</v>
      </c>
      <c r="BT106" t="s">
        <v>4830</v>
      </c>
      <c r="BU106" t="s">
        <v>3491</v>
      </c>
      <c r="BV106"/>
      <c r="BW106"/>
      <c r="BX106"/>
      <c r="BY106"/>
      <c r="BZ106"/>
      <c r="CA106"/>
      <c r="CB106"/>
      <c r="CC106"/>
      <c r="CD106"/>
      <c r="CE106"/>
      <c r="CF106"/>
      <c r="CG106"/>
      <c r="CH106"/>
      <c r="CI106"/>
      <c r="CJ106"/>
      <c r="CK106"/>
      <c r="CL106"/>
      <c r="CM106"/>
      <c r="CN106"/>
      <c r="CO106"/>
      <c r="CP106"/>
      <c r="CQ106"/>
      <c r="CR106"/>
      <c r="CS106"/>
      <c r="CT106"/>
      <c r="CU106"/>
      <c r="CV106"/>
      <c r="CW106"/>
      <c r="CX106" t="s">
        <v>2454</v>
      </c>
      <c r="CY106">
        <v>322</v>
      </c>
      <c r="CZ106" t="s">
        <v>2453</v>
      </c>
    </row>
    <row r="107" spans="1:104" ht="14.25">
      <c r="A107" t="s">
        <v>4829</v>
      </c>
      <c r="B107" t="s">
        <v>4829</v>
      </c>
      <c r="C107" t="s">
        <v>4828</v>
      </c>
      <c r="D107">
        <v>12</v>
      </c>
      <c r="E107" t="s">
        <v>2468</v>
      </c>
      <c r="F107" t="s">
        <v>2467</v>
      </c>
      <c r="G107" t="s">
        <v>2879</v>
      </c>
      <c r="H107" t="s">
        <v>3667</v>
      </c>
      <c r="I107"/>
      <c r="J107" t="s">
        <v>2522</v>
      </c>
      <c r="K107"/>
      <c r="L107"/>
      <c r="M107">
        <v>18</v>
      </c>
      <c r="N107">
        <v>153</v>
      </c>
      <c r="O107">
        <v>18</v>
      </c>
      <c r="P107">
        <v>8</v>
      </c>
      <c r="Q107">
        <v>72</v>
      </c>
      <c r="R107" t="s">
        <v>2464</v>
      </c>
      <c r="S107" t="s">
        <v>4827</v>
      </c>
      <c r="T107" t="s">
        <v>4826</v>
      </c>
      <c r="U107" t="s">
        <v>4825</v>
      </c>
      <c r="V107">
        <v>30</v>
      </c>
      <c r="W107"/>
      <c r="X107"/>
      <c r="Y107">
        <v>60</v>
      </c>
      <c r="Z107"/>
      <c r="AA107">
        <v>18</v>
      </c>
      <c r="AB107">
        <v>16</v>
      </c>
      <c r="AC107">
        <v>18</v>
      </c>
      <c r="AD107">
        <v>14</v>
      </c>
      <c r="AE107">
        <v>14</v>
      </c>
      <c r="AF107">
        <v>18</v>
      </c>
      <c r="AG107">
        <v>73</v>
      </c>
      <c r="AH107"/>
      <c r="AI107"/>
      <c r="AJ107"/>
      <c r="AK107"/>
      <c r="AL107"/>
      <c r="AM107"/>
      <c r="AN107"/>
      <c r="AO107">
        <v>279</v>
      </c>
      <c r="AP107"/>
      <c r="AQ107"/>
      <c r="AR107"/>
      <c r="AS107"/>
      <c r="AT107"/>
      <c r="AU107"/>
      <c r="AV107"/>
      <c r="AW107"/>
      <c r="AX107"/>
      <c r="AY107" t="s">
        <v>4823</v>
      </c>
      <c r="AZ107" t="s">
        <v>4824</v>
      </c>
      <c r="BA107" t="s">
        <v>4823</v>
      </c>
      <c r="BB107" t="s">
        <v>2873</v>
      </c>
      <c r="BC107" t="s">
        <v>4822</v>
      </c>
      <c r="BD107" t="s">
        <v>2873</v>
      </c>
      <c r="BE107"/>
      <c r="BF107"/>
      <c r="BG107"/>
      <c r="BH107"/>
      <c r="BI107"/>
      <c r="BJ107"/>
      <c r="BK107"/>
      <c r="BL107"/>
      <c r="BM107"/>
      <c r="BN107"/>
      <c r="BO107"/>
      <c r="BP107" t="s">
        <v>2480</v>
      </c>
      <c r="BQ107" t="s">
        <v>4821</v>
      </c>
      <c r="BR107" t="s">
        <v>2480</v>
      </c>
      <c r="BS107" t="s">
        <v>2727</v>
      </c>
      <c r="BT107" t="s">
        <v>4820</v>
      </c>
      <c r="BU107" t="s">
        <v>4819</v>
      </c>
      <c r="BV107" t="s">
        <v>2724</v>
      </c>
      <c r="BW107" t="s">
        <v>4818</v>
      </c>
      <c r="BX107" t="s">
        <v>4817</v>
      </c>
      <c r="BY107" t="s">
        <v>4815</v>
      </c>
      <c r="BZ107" t="s">
        <v>4816</v>
      </c>
      <c r="CA107" t="s">
        <v>4815</v>
      </c>
      <c r="CB107"/>
      <c r="CC107"/>
      <c r="CD107"/>
      <c r="CE107"/>
      <c r="CF107"/>
      <c r="CG107"/>
      <c r="CH107"/>
      <c r="CI107"/>
      <c r="CJ107"/>
      <c r="CK107"/>
      <c r="CL107"/>
      <c r="CM107"/>
      <c r="CN107"/>
      <c r="CO107"/>
      <c r="CP107"/>
      <c r="CQ107"/>
      <c r="CR107"/>
      <c r="CS107"/>
      <c r="CT107"/>
      <c r="CU107"/>
      <c r="CV107" t="s">
        <v>3782</v>
      </c>
      <c r="CW107" t="s">
        <v>4814</v>
      </c>
      <c r="CX107" t="s">
        <v>2454</v>
      </c>
      <c r="CY107">
        <v>73</v>
      </c>
      <c r="CZ107" t="s">
        <v>2453</v>
      </c>
    </row>
    <row r="108" spans="1:104" ht="14.25">
      <c r="A108" t="s">
        <v>4813</v>
      </c>
      <c r="B108" t="s">
        <v>4813</v>
      </c>
      <c r="C108" t="s">
        <v>4812</v>
      </c>
      <c r="D108">
        <v>2</v>
      </c>
      <c r="E108" t="s">
        <v>2468</v>
      </c>
      <c r="F108" t="s">
        <v>2467</v>
      </c>
      <c r="G108" t="s">
        <v>2587</v>
      </c>
      <c r="H108"/>
      <c r="I108"/>
      <c r="J108" t="s">
        <v>2465</v>
      </c>
      <c r="K108"/>
      <c r="L108"/>
      <c r="M108">
        <v>13</v>
      </c>
      <c r="N108">
        <v>44</v>
      </c>
      <c r="O108">
        <v>8</v>
      </c>
      <c r="P108">
        <v>8</v>
      </c>
      <c r="Q108">
        <v>8</v>
      </c>
      <c r="R108" t="s">
        <v>2464</v>
      </c>
      <c r="S108" t="s">
        <v>4811</v>
      </c>
      <c r="T108" t="s">
        <v>2757</v>
      </c>
      <c r="U108" t="s">
        <v>2462</v>
      </c>
      <c r="V108">
        <v>30</v>
      </c>
      <c r="W108"/>
      <c r="X108">
        <v>30</v>
      </c>
      <c r="Y108"/>
      <c r="Z108"/>
      <c r="AA108">
        <v>14</v>
      </c>
      <c r="AB108">
        <v>15</v>
      </c>
      <c r="AC108">
        <v>13</v>
      </c>
      <c r="AD108">
        <v>7</v>
      </c>
      <c r="AE108">
        <v>12</v>
      </c>
      <c r="AF108">
        <v>8</v>
      </c>
      <c r="AG108">
        <v>131</v>
      </c>
      <c r="AH108"/>
      <c r="AI108"/>
      <c r="AJ108"/>
      <c r="AK108"/>
      <c r="AL108"/>
      <c r="AM108"/>
      <c r="AN108"/>
      <c r="AO108">
        <v>311</v>
      </c>
      <c r="AP108">
        <v>9</v>
      </c>
      <c r="AQ108">
        <v>13</v>
      </c>
      <c r="AR108"/>
      <c r="AS108"/>
      <c r="AT108"/>
      <c r="AU108"/>
      <c r="AV108"/>
      <c r="AW108"/>
      <c r="AX108"/>
      <c r="AY108" t="s">
        <v>2915</v>
      </c>
      <c r="AZ108" t="s">
        <v>4810</v>
      </c>
      <c r="BA108" t="s">
        <v>2915</v>
      </c>
      <c r="BB108" t="s">
        <v>3247</v>
      </c>
      <c r="BC108" t="s">
        <v>4809</v>
      </c>
      <c r="BD108" t="s">
        <v>3247</v>
      </c>
      <c r="BE108" t="s">
        <v>3245</v>
      </c>
      <c r="BF108" t="s">
        <v>4808</v>
      </c>
      <c r="BG108" t="s">
        <v>3245</v>
      </c>
      <c r="BH108"/>
      <c r="BI108"/>
      <c r="BJ108"/>
      <c r="BK108"/>
      <c r="BL108"/>
      <c r="BM108"/>
      <c r="BN108"/>
      <c r="BO108"/>
      <c r="BP108" t="s">
        <v>2480</v>
      </c>
      <c r="BQ108" t="s">
        <v>4807</v>
      </c>
      <c r="BR108" t="s">
        <v>2480</v>
      </c>
      <c r="BS108" t="s">
        <v>2479</v>
      </c>
      <c r="BT108" t="s">
        <v>4806</v>
      </c>
      <c r="BU108" t="s">
        <v>4805</v>
      </c>
      <c r="BV108" t="s">
        <v>2652</v>
      </c>
      <c r="BW108" t="s">
        <v>4804</v>
      </c>
      <c r="BX108" t="s">
        <v>2746</v>
      </c>
      <c r="BY108" t="s">
        <v>4505</v>
      </c>
      <c r="BZ108" t="s">
        <v>4803</v>
      </c>
      <c r="CA108" t="s">
        <v>4505</v>
      </c>
      <c r="CB108" t="s">
        <v>4802</v>
      </c>
      <c r="CC108" t="s">
        <v>4801</v>
      </c>
      <c r="CD108" t="s">
        <v>4800</v>
      </c>
      <c r="CE108"/>
      <c r="CF108"/>
      <c r="CG108"/>
      <c r="CH108"/>
      <c r="CI108"/>
      <c r="CJ108"/>
      <c r="CK108"/>
      <c r="CL108"/>
      <c r="CM108"/>
      <c r="CN108"/>
      <c r="CO108"/>
      <c r="CP108"/>
      <c r="CQ108"/>
      <c r="CR108"/>
      <c r="CS108"/>
      <c r="CT108"/>
      <c r="CU108"/>
      <c r="CV108"/>
      <c r="CW108"/>
      <c r="CX108" t="s">
        <v>2454</v>
      </c>
      <c r="CY108">
        <v>131</v>
      </c>
      <c r="CZ108" t="s">
        <v>2453</v>
      </c>
    </row>
    <row r="109" spans="1:104" ht="14.25">
      <c r="A109" t="s">
        <v>4799</v>
      </c>
      <c r="B109" t="s">
        <v>4799</v>
      </c>
      <c r="C109" t="s">
        <v>4798</v>
      </c>
      <c r="D109">
        <v>4</v>
      </c>
      <c r="E109" t="s">
        <v>2468</v>
      </c>
      <c r="F109" t="s">
        <v>2489</v>
      </c>
      <c r="G109" t="s">
        <v>3005</v>
      </c>
      <c r="H109"/>
      <c r="I109"/>
      <c r="J109" t="s">
        <v>2487</v>
      </c>
      <c r="K109"/>
      <c r="L109"/>
      <c r="M109">
        <v>12</v>
      </c>
      <c r="N109">
        <v>85</v>
      </c>
      <c r="O109">
        <v>10</v>
      </c>
      <c r="P109">
        <v>10</v>
      </c>
      <c r="Q109">
        <v>30</v>
      </c>
      <c r="R109" t="s">
        <v>2464</v>
      </c>
      <c r="S109" t="s">
        <v>3500</v>
      </c>
      <c r="T109" t="s">
        <v>3500</v>
      </c>
      <c r="U109" t="s">
        <v>2462</v>
      </c>
      <c r="V109">
        <v>40</v>
      </c>
      <c r="W109"/>
      <c r="X109"/>
      <c r="Y109"/>
      <c r="Z109"/>
      <c r="AA109">
        <v>21</v>
      </c>
      <c r="AB109">
        <v>8</v>
      </c>
      <c r="AC109">
        <v>17</v>
      </c>
      <c r="AD109">
        <v>6</v>
      </c>
      <c r="AE109">
        <v>10</v>
      </c>
      <c r="AF109">
        <v>8</v>
      </c>
      <c r="AG109">
        <v>132</v>
      </c>
      <c r="AH109"/>
      <c r="AI109"/>
      <c r="AJ109"/>
      <c r="AK109"/>
      <c r="AL109"/>
      <c r="AM109"/>
      <c r="AN109"/>
      <c r="AO109">
        <v>311</v>
      </c>
      <c r="AP109"/>
      <c r="AQ109">
        <v>13</v>
      </c>
      <c r="AR109"/>
      <c r="AS109"/>
      <c r="AT109">
        <v>17</v>
      </c>
      <c r="AU109"/>
      <c r="AV109"/>
      <c r="AW109"/>
      <c r="AX109"/>
      <c r="AY109" t="s">
        <v>4796</v>
      </c>
      <c r="AZ109" t="s">
        <v>4797</v>
      </c>
      <c r="BA109" t="s">
        <v>4796</v>
      </c>
      <c r="BB109" t="s">
        <v>4207</v>
      </c>
      <c r="BC109" t="s">
        <v>4795</v>
      </c>
      <c r="BD109" t="s">
        <v>4207</v>
      </c>
      <c r="BE109"/>
      <c r="BF109"/>
      <c r="BG109"/>
      <c r="BH109"/>
      <c r="BI109"/>
      <c r="BJ109"/>
      <c r="BK109"/>
      <c r="BL109"/>
      <c r="BM109"/>
      <c r="BN109"/>
      <c r="BO109"/>
      <c r="BP109" t="s">
        <v>2480</v>
      </c>
      <c r="BQ109" t="s">
        <v>4794</v>
      </c>
      <c r="BR109" t="s">
        <v>2480</v>
      </c>
      <c r="BS109" t="s">
        <v>4793</v>
      </c>
      <c r="BT109" t="s">
        <v>3689</v>
      </c>
      <c r="BU109" t="s">
        <v>4792</v>
      </c>
      <c r="BV109" t="s">
        <v>3745</v>
      </c>
      <c r="BW109" t="s">
        <v>4791</v>
      </c>
      <c r="BX109" t="s">
        <v>4790</v>
      </c>
      <c r="BY109"/>
      <c r="BZ109"/>
      <c r="CA109"/>
      <c r="CB109"/>
      <c r="CC109"/>
      <c r="CD109"/>
      <c r="CE109"/>
      <c r="CF109"/>
      <c r="CG109"/>
      <c r="CH109"/>
      <c r="CI109"/>
      <c r="CJ109"/>
      <c r="CK109"/>
      <c r="CL109"/>
      <c r="CM109"/>
      <c r="CN109"/>
      <c r="CO109"/>
      <c r="CP109"/>
      <c r="CQ109"/>
      <c r="CR109"/>
      <c r="CS109"/>
      <c r="CT109"/>
      <c r="CU109"/>
      <c r="CV109"/>
      <c r="CW109"/>
      <c r="CX109" t="s">
        <v>2454</v>
      </c>
      <c r="CY109">
        <v>132</v>
      </c>
      <c r="CZ109" t="s">
        <v>2453</v>
      </c>
    </row>
    <row r="110" spans="1:104" ht="14.25">
      <c r="A110" t="s">
        <v>4789</v>
      </c>
      <c r="B110" t="s">
        <v>4788</v>
      </c>
      <c r="C110" t="s">
        <v>4787</v>
      </c>
      <c r="D110">
        <v>5</v>
      </c>
      <c r="E110" t="s">
        <v>2468</v>
      </c>
      <c r="F110" t="s">
        <v>2489</v>
      </c>
      <c r="G110" t="s">
        <v>2626</v>
      </c>
      <c r="H110"/>
      <c r="I110"/>
      <c r="J110" t="s">
        <v>1997</v>
      </c>
      <c r="K110"/>
      <c r="L110"/>
      <c r="M110">
        <v>13</v>
      </c>
      <c r="N110">
        <v>102</v>
      </c>
      <c r="O110">
        <v>12</v>
      </c>
      <c r="P110">
        <v>10</v>
      </c>
      <c r="Q110">
        <v>36</v>
      </c>
      <c r="R110" t="s">
        <v>2464</v>
      </c>
      <c r="S110" t="s">
        <v>2877</v>
      </c>
      <c r="T110" t="s">
        <v>2462</v>
      </c>
      <c r="U110" t="s">
        <v>2462</v>
      </c>
      <c r="V110">
        <v>50</v>
      </c>
      <c r="W110"/>
      <c r="X110"/>
      <c r="Y110"/>
      <c r="Z110"/>
      <c r="AA110">
        <v>10</v>
      </c>
      <c r="AB110">
        <v>17</v>
      </c>
      <c r="AC110">
        <v>16</v>
      </c>
      <c r="AD110">
        <v>6</v>
      </c>
      <c r="AE110">
        <v>10</v>
      </c>
      <c r="AF110">
        <v>7</v>
      </c>
      <c r="AG110">
        <v>125</v>
      </c>
      <c r="AH110"/>
      <c r="AI110"/>
      <c r="AJ110"/>
      <c r="AK110"/>
      <c r="AL110"/>
      <c r="AM110"/>
      <c r="AN110">
        <v>18</v>
      </c>
      <c r="AO110">
        <v>309</v>
      </c>
      <c r="AP110"/>
      <c r="AQ110">
        <v>14</v>
      </c>
      <c r="AR110"/>
      <c r="AS110"/>
      <c r="AT110"/>
      <c r="AU110"/>
      <c r="AV110"/>
      <c r="AW110"/>
      <c r="AX110"/>
      <c r="AY110" t="s">
        <v>4786</v>
      </c>
      <c r="AZ110" t="s">
        <v>4785</v>
      </c>
      <c r="BA110" t="s">
        <v>4784</v>
      </c>
      <c r="BB110" t="s">
        <v>3791</v>
      </c>
      <c r="BC110" t="s">
        <v>4783</v>
      </c>
      <c r="BD110" t="s">
        <v>3791</v>
      </c>
      <c r="BE110" t="s">
        <v>4781</v>
      </c>
      <c r="BF110" t="s">
        <v>4782</v>
      </c>
      <c r="BG110" t="s">
        <v>4781</v>
      </c>
      <c r="BH110"/>
      <c r="BI110"/>
      <c r="BJ110"/>
      <c r="BK110"/>
      <c r="BL110"/>
      <c r="BM110"/>
      <c r="BN110"/>
      <c r="BO110"/>
      <c r="BP110" t="s">
        <v>2480</v>
      </c>
      <c r="BQ110" t="s">
        <v>4780</v>
      </c>
      <c r="BR110" t="s">
        <v>2480</v>
      </c>
      <c r="BS110" t="s">
        <v>3983</v>
      </c>
      <c r="BT110" t="s">
        <v>4779</v>
      </c>
      <c r="BU110" t="s">
        <v>4778</v>
      </c>
      <c r="BV110"/>
      <c r="BW110"/>
      <c r="BX110"/>
      <c r="BY110"/>
      <c r="BZ110"/>
      <c r="CA110"/>
      <c r="CB110"/>
      <c r="CC110"/>
      <c r="CD110"/>
      <c r="CE110"/>
      <c r="CF110"/>
      <c r="CG110"/>
      <c r="CH110"/>
      <c r="CI110"/>
      <c r="CJ110"/>
      <c r="CK110"/>
      <c r="CL110"/>
      <c r="CM110"/>
      <c r="CN110"/>
      <c r="CO110"/>
      <c r="CP110"/>
      <c r="CQ110"/>
      <c r="CR110"/>
      <c r="CS110"/>
      <c r="CT110"/>
      <c r="CU110"/>
      <c r="CV110"/>
      <c r="CW110"/>
      <c r="CX110" t="s">
        <v>2454</v>
      </c>
      <c r="CY110">
        <v>125</v>
      </c>
      <c r="CZ110" t="s">
        <v>2453</v>
      </c>
    </row>
    <row r="111" spans="1:104" ht="14.25">
      <c r="A111" t="s">
        <v>4777</v>
      </c>
      <c r="B111" t="s">
        <v>4776</v>
      </c>
      <c r="C111" t="s">
        <v>4775</v>
      </c>
      <c r="D111">
        <v>9</v>
      </c>
      <c r="E111" t="s">
        <v>2468</v>
      </c>
      <c r="F111" t="s">
        <v>2985</v>
      </c>
      <c r="G111" t="s">
        <v>3005</v>
      </c>
      <c r="H111"/>
      <c r="I111"/>
      <c r="J111" t="s">
        <v>2522</v>
      </c>
      <c r="K111"/>
      <c r="L111"/>
      <c r="M111">
        <v>18</v>
      </c>
      <c r="N111">
        <v>162</v>
      </c>
      <c r="O111">
        <v>13</v>
      </c>
      <c r="P111">
        <v>12</v>
      </c>
      <c r="Q111">
        <v>78</v>
      </c>
      <c r="R111" t="s">
        <v>2464</v>
      </c>
      <c r="S111" t="s">
        <v>4774</v>
      </c>
      <c r="T111" t="s">
        <v>4773</v>
      </c>
      <c r="U111" t="s">
        <v>2462</v>
      </c>
      <c r="V111">
        <v>30</v>
      </c>
      <c r="W111"/>
      <c r="X111"/>
      <c r="Y111"/>
      <c r="Z111"/>
      <c r="AA111">
        <v>25</v>
      </c>
      <c r="AB111">
        <v>9</v>
      </c>
      <c r="AC111">
        <v>23</v>
      </c>
      <c r="AD111">
        <v>10</v>
      </c>
      <c r="AE111">
        <v>14</v>
      </c>
      <c r="AF111">
        <v>13</v>
      </c>
      <c r="AG111">
        <v>154</v>
      </c>
      <c r="AH111"/>
      <c r="AI111"/>
      <c r="AJ111"/>
      <c r="AK111"/>
      <c r="AL111"/>
      <c r="AM111"/>
      <c r="AN111">
        <v>19</v>
      </c>
      <c r="AO111">
        <v>315</v>
      </c>
      <c r="AP111"/>
      <c r="AQ111"/>
      <c r="AR111"/>
      <c r="AS111"/>
      <c r="AT111"/>
      <c r="AU111"/>
      <c r="AV111"/>
      <c r="AW111"/>
      <c r="AX111" t="s">
        <v>4772</v>
      </c>
      <c r="AY111" t="s">
        <v>3035</v>
      </c>
      <c r="AZ111" t="s">
        <v>4771</v>
      </c>
      <c r="BA111" t="s">
        <v>3035</v>
      </c>
      <c r="BB111" t="s">
        <v>4769</v>
      </c>
      <c r="BC111" t="s">
        <v>4770</v>
      </c>
      <c r="BD111" t="s">
        <v>4769</v>
      </c>
      <c r="BE111"/>
      <c r="BF111"/>
      <c r="BG111"/>
      <c r="BH111"/>
      <c r="BI111"/>
      <c r="BJ111"/>
      <c r="BK111"/>
      <c r="BL111"/>
      <c r="BM111"/>
      <c r="BN111"/>
      <c r="BO111"/>
      <c r="BP111" t="s">
        <v>2480</v>
      </c>
      <c r="BQ111" t="s">
        <v>3144</v>
      </c>
      <c r="BR111" t="s">
        <v>2480</v>
      </c>
      <c r="BS111" t="s">
        <v>3143</v>
      </c>
      <c r="BT111" t="s">
        <v>4768</v>
      </c>
      <c r="BU111" t="s">
        <v>4767</v>
      </c>
      <c r="BV111" t="s">
        <v>3031</v>
      </c>
      <c r="BW111" t="s">
        <v>4766</v>
      </c>
      <c r="BX111" t="s">
        <v>4765</v>
      </c>
      <c r="BY111"/>
      <c r="BZ111"/>
      <c r="CA111"/>
      <c r="CB111"/>
      <c r="CC111"/>
      <c r="CD111"/>
      <c r="CE111"/>
      <c r="CF111"/>
      <c r="CG111"/>
      <c r="CH111"/>
      <c r="CI111"/>
      <c r="CJ111"/>
      <c r="CK111"/>
      <c r="CL111"/>
      <c r="CM111"/>
      <c r="CN111"/>
      <c r="CO111"/>
      <c r="CP111"/>
      <c r="CQ111"/>
      <c r="CR111"/>
      <c r="CS111"/>
      <c r="CT111"/>
      <c r="CU111"/>
      <c r="CV111"/>
      <c r="CW111"/>
      <c r="CX111" t="s">
        <v>2454</v>
      </c>
      <c r="CY111">
        <v>154</v>
      </c>
      <c r="CZ111" t="s">
        <v>2453</v>
      </c>
    </row>
    <row r="112" spans="1:104" ht="14.25">
      <c r="A112" t="s">
        <v>4764</v>
      </c>
      <c r="B112" t="s">
        <v>4764</v>
      </c>
      <c r="C112" t="s">
        <v>4763</v>
      </c>
      <c r="D112">
        <v>4</v>
      </c>
      <c r="E112" t="s">
        <v>2468</v>
      </c>
      <c r="F112" t="s">
        <v>2719</v>
      </c>
      <c r="G112" t="s">
        <v>2466</v>
      </c>
      <c r="H112"/>
      <c r="I112"/>
      <c r="J112" t="s">
        <v>2465</v>
      </c>
      <c r="K112">
        <v>5</v>
      </c>
      <c r="L112" t="s">
        <v>1995</v>
      </c>
      <c r="M112">
        <v>13</v>
      </c>
      <c r="N112">
        <v>40</v>
      </c>
      <c r="O112">
        <v>9</v>
      </c>
      <c r="P112">
        <v>4</v>
      </c>
      <c r="Q112">
        <v>18</v>
      </c>
      <c r="R112" t="s">
        <v>2972</v>
      </c>
      <c r="S112" t="s">
        <v>4701</v>
      </c>
      <c r="T112" t="s">
        <v>2462</v>
      </c>
      <c r="U112" t="s">
        <v>2462</v>
      </c>
      <c r="V112">
        <v>0</v>
      </c>
      <c r="W112"/>
      <c r="X112"/>
      <c r="Y112">
        <v>40</v>
      </c>
      <c r="Z112"/>
      <c r="AA112">
        <v>1</v>
      </c>
      <c r="AB112">
        <v>17</v>
      </c>
      <c r="AC112">
        <v>14</v>
      </c>
      <c r="AD112">
        <v>16</v>
      </c>
      <c r="AE112">
        <v>10</v>
      </c>
      <c r="AF112">
        <v>11</v>
      </c>
      <c r="AG112">
        <v>134</v>
      </c>
      <c r="AH112"/>
      <c r="AI112"/>
      <c r="AJ112">
        <v>57</v>
      </c>
      <c r="AK112"/>
      <c r="AL112"/>
      <c r="AM112"/>
      <c r="AN112">
        <v>19</v>
      </c>
      <c r="AO112"/>
      <c r="AP112"/>
      <c r="AQ112"/>
      <c r="AR112"/>
      <c r="AS112"/>
      <c r="AT112"/>
      <c r="AU112"/>
      <c r="AV112" t="s">
        <v>4762</v>
      </c>
      <c r="AW112"/>
      <c r="AX112"/>
      <c r="AY112" t="s">
        <v>3791</v>
      </c>
      <c r="AZ112" t="s">
        <v>4761</v>
      </c>
      <c r="BA112" t="s">
        <v>3791</v>
      </c>
      <c r="BB112" t="s">
        <v>2873</v>
      </c>
      <c r="BC112" t="s">
        <v>4760</v>
      </c>
      <c r="BD112" t="s">
        <v>2873</v>
      </c>
      <c r="BE112" t="s">
        <v>3237</v>
      </c>
      <c r="BF112" t="s">
        <v>4759</v>
      </c>
      <c r="BG112" t="s">
        <v>3237</v>
      </c>
      <c r="BH112" t="s">
        <v>3235</v>
      </c>
      <c r="BI112" t="s">
        <v>4758</v>
      </c>
      <c r="BJ112"/>
      <c r="BK112"/>
      <c r="BL112"/>
      <c r="BM112"/>
      <c r="BN112"/>
      <c r="BO112"/>
      <c r="BP112" t="s">
        <v>2480</v>
      </c>
      <c r="BQ112" t="s">
        <v>4757</v>
      </c>
      <c r="BR112" t="s">
        <v>2480</v>
      </c>
      <c r="BS112" t="s">
        <v>4756</v>
      </c>
      <c r="BT112" t="s">
        <v>4755</v>
      </c>
      <c r="BU112" t="s">
        <v>4754</v>
      </c>
      <c r="BV112"/>
      <c r="BW112"/>
      <c r="BX112"/>
      <c r="BY112"/>
      <c r="BZ112"/>
      <c r="CA112"/>
      <c r="CB112"/>
      <c r="CC112"/>
      <c r="CD112"/>
      <c r="CE112"/>
      <c r="CF112"/>
      <c r="CG112"/>
      <c r="CH112"/>
      <c r="CI112"/>
      <c r="CJ112"/>
      <c r="CK112"/>
      <c r="CL112"/>
      <c r="CM112"/>
      <c r="CN112"/>
      <c r="CO112"/>
      <c r="CP112"/>
      <c r="CQ112"/>
      <c r="CR112"/>
      <c r="CS112"/>
      <c r="CT112"/>
      <c r="CU112"/>
      <c r="CV112"/>
      <c r="CW112"/>
      <c r="CX112" t="s">
        <v>2454</v>
      </c>
      <c r="CY112">
        <v>134</v>
      </c>
      <c r="CZ112" t="s">
        <v>2453</v>
      </c>
    </row>
    <row r="113" spans="1:104" ht="14.25">
      <c r="A113" t="s">
        <v>4753</v>
      </c>
      <c r="B113" t="s">
        <v>4752</v>
      </c>
      <c r="C113" t="s">
        <v>4751</v>
      </c>
      <c r="D113">
        <v>5</v>
      </c>
      <c r="E113" t="s">
        <v>2468</v>
      </c>
      <c r="F113" t="s">
        <v>2467</v>
      </c>
      <c r="G113" t="s">
        <v>3164</v>
      </c>
      <c r="H113" t="s">
        <v>3163</v>
      </c>
      <c r="I113"/>
      <c r="J113" t="s">
        <v>1997</v>
      </c>
      <c r="K113"/>
      <c r="L113"/>
      <c r="M113">
        <v>9</v>
      </c>
      <c r="N113">
        <v>93</v>
      </c>
      <c r="O113">
        <v>11</v>
      </c>
      <c r="P113">
        <v>8</v>
      </c>
      <c r="Q113">
        <v>44</v>
      </c>
      <c r="R113" t="s">
        <v>2464</v>
      </c>
      <c r="S113" t="s">
        <v>2657</v>
      </c>
      <c r="T113" t="s">
        <v>2462</v>
      </c>
      <c r="U113" t="s">
        <v>2462</v>
      </c>
      <c r="V113">
        <v>30</v>
      </c>
      <c r="W113"/>
      <c r="X113"/>
      <c r="Y113"/>
      <c r="Z113"/>
      <c r="AA113">
        <v>19</v>
      </c>
      <c r="AB113">
        <v>9</v>
      </c>
      <c r="AC113">
        <v>18</v>
      </c>
      <c r="AD113">
        <v>6</v>
      </c>
      <c r="AE113">
        <v>10</v>
      </c>
      <c r="AF113">
        <v>5</v>
      </c>
      <c r="AG113">
        <v>169</v>
      </c>
      <c r="AH113"/>
      <c r="AI113"/>
      <c r="AJ113"/>
      <c r="AK113"/>
      <c r="AL113"/>
      <c r="AM113"/>
      <c r="AN113">
        <v>20</v>
      </c>
      <c r="AO113">
        <v>319</v>
      </c>
      <c r="AP113"/>
      <c r="AQ113"/>
      <c r="AR113"/>
      <c r="AS113" t="s">
        <v>4750</v>
      </c>
      <c r="AT113"/>
      <c r="AU113"/>
      <c r="AV113" t="s">
        <v>4749</v>
      </c>
      <c r="AW113"/>
      <c r="AX113"/>
      <c r="AY113" t="s">
        <v>4747</v>
      </c>
      <c r="AZ113" t="s">
        <v>4748</v>
      </c>
      <c r="BA113" t="s">
        <v>4747</v>
      </c>
      <c r="BB113" t="s">
        <v>4745</v>
      </c>
      <c r="BC113" t="s">
        <v>4746</v>
      </c>
      <c r="BD113" t="s">
        <v>4745</v>
      </c>
      <c r="BE113" t="s">
        <v>3159</v>
      </c>
      <c r="BF113" t="s">
        <v>3160</v>
      </c>
      <c r="BG113" t="s">
        <v>3159</v>
      </c>
      <c r="BH113" t="s">
        <v>3336</v>
      </c>
      <c r="BI113" t="s">
        <v>4744</v>
      </c>
      <c r="BJ113" t="s">
        <v>2873</v>
      </c>
      <c r="BK113" t="s">
        <v>3158</v>
      </c>
      <c r="BL113" t="s">
        <v>2966</v>
      </c>
      <c r="BM113" t="s">
        <v>3157</v>
      </c>
      <c r="BN113"/>
      <c r="BO113"/>
      <c r="BP113" t="s">
        <v>2480</v>
      </c>
      <c r="BQ113" t="s">
        <v>3156</v>
      </c>
      <c r="BR113" t="s">
        <v>2480</v>
      </c>
      <c r="BS113" t="s">
        <v>2457</v>
      </c>
      <c r="BT113" t="s">
        <v>2832</v>
      </c>
      <c r="BU113" t="s">
        <v>2831</v>
      </c>
      <c r="BV113"/>
      <c r="BW113"/>
      <c r="BX113"/>
      <c r="BY113"/>
      <c r="BZ113"/>
      <c r="CA113"/>
      <c r="CB113"/>
      <c r="CC113"/>
      <c r="CD113"/>
      <c r="CE113"/>
      <c r="CF113"/>
      <c r="CG113"/>
      <c r="CH113"/>
      <c r="CI113"/>
      <c r="CJ113"/>
      <c r="CK113"/>
      <c r="CL113"/>
      <c r="CM113"/>
      <c r="CN113"/>
      <c r="CO113"/>
      <c r="CP113"/>
      <c r="CQ113"/>
      <c r="CR113"/>
      <c r="CS113"/>
      <c r="CT113"/>
      <c r="CU113"/>
      <c r="CV113"/>
      <c r="CW113"/>
      <c r="CX113" t="s">
        <v>2454</v>
      </c>
      <c r="CY113">
        <v>169</v>
      </c>
      <c r="CZ113" t="s">
        <v>2453</v>
      </c>
    </row>
    <row r="114" spans="1:104" ht="14.25">
      <c r="A114" t="s">
        <v>4743</v>
      </c>
      <c r="B114" t="s">
        <v>4742</v>
      </c>
      <c r="C114" t="s">
        <v>4741</v>
      </c>
      <c r="D114">
        <v>0.125</v>
      </c>
      <c r="E114" t="s">
        <v>2680</v>
      </c>
      <c r="F114" t="s">
        <v>2719</v>
      </c>
      <c r="G114" t="s">
        <v>2690</v>
      </c>
      <c r="H114"/>
      <c r="I114"/>
      <c r="J114" t="s">
        <v>2013</v>
      </c>
      <c r="K114"/>
      <c r="L114"/>
      <c r="M114">
        <v>14</v>
      </c>
      <c r="N114">
        <v>5</v>
      </c>
      <c r="O114">
        <v>2</v>
      </c>
      <c r="P114">
        <v>4</v>
      </c>
      <c r="Q114"/>
      <c r="R114" t="s">
        <v>2464</v>
      </c>
      <c r="S114" t="s">
        <v>4740</v>
      </c>
      <c r="T114" t="s">
        <v>2462</v>
      </c>
      <c r="U114" t="s">
        <v>2462</v>
      </c>
      <c r="V114">
        <v>30</v>
      </c>
      <c r="W114"/>
      <c r="X114"/>
      <c r="Y114">
        <v>60</v>
      </c>
      <c r="Z114">
        <v>30</v>
      </c>
      <c r="AA114">
        <v>4</v>
      </c>
      <c r="AB114">
        <v>18</v>
      </c>
      <c r="AC114">
        <v>11</v>
      </c>
      <c r="AD114">
        <v>2</v>
      </c>
      <c r="AE114">
        <v>12</v>
      </c>
      <c r="AF114">
        <v>5</v>
      </c>
      <c r="AG114">
        <v>322</v>
      </c>
      <c r="AH114"/>
      <c r="AI114"/>
      <c r="AJ114"/>
      <c r="AK114"/>
      <c r="AL114"/>
      <c r="AM114"/>
      <c r="AN114">
        <v>20</v>
      </c>
      <c r="AO114">
        <v>367</v>
      </c>
      <c r="AP114"/>
      <c r="AQ114"/>
      <c r="AR114"/>
      <c r="AS114"/>
      <c r="AT114"/>
      <c r="AU114"/>
      <c r="AV114"/>
      <c r="AW114"/>
      <c r="AX114"/>
      <c r="AY114" t="s">
        <v>3589</v>
      </c>
      <c r="AZ114" t="s">
        <v>4739</v>
      </c>
      <c r="BA114" t="s">
        <v>3589</v>
      </c>
      <c r="BB114"/>
      <c r="BC114"/>
      <c r="BD114"/>
      <c r="BE114"/>
      <c r="BF114"/>
      <c r="BG114"/>
      <c r="BH114"/>
      <c r="BI114"/>
      <c r="BJ114"/>
      <c r="BK114"/>
      <c r="BL114"/>
      <c r="BM114"/>
      <c r="BN114"/>
      <c r="BO114"/>
      <c r="BP114" t="s">
        <v>2479</v>
      </c>
      <c r="BQ114" t="s">
        <v>4738</v>
      </c>
      <c r="BR114" t="s">
        <v>4737</v>
      </c>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t="s">
        <v>2454</v>
      </c>
      <c r="CY114">
        <v>322</v>
      </c>
      <c r="CZ114" t="s">
        <v>2453</v>
      </c>
    </row>
    <row r="115" spans="1:104" ht="14.25">
      <c r="A115" t="s">
        <v>3270</v>
      </c>
      <c r="B115" t="s">
        <v>4736</v>
      </c>
      <c r="C115" t="s">
        <v>4735</v>
      </c>
      <c r="D115">
        <v>0.25</v>
      </c>
      <c r="E115" t="s">
        <v>2468</v>
      </c>
      <c r="F115" t="s">
        <v>2644</v>
      </c>
      <c r="G115" t="s">
        <v>3164</v>
      </c>
      <c r="H115"/>
      <c r="I115"/>
      <c r="J115" t="s">
        <v>2013</v>
      </c>
      <c r="K115"/>
      <c r="L115"/>
      <c r="M115">
        <v>17</v>
      </c>
      <c r="N115">
        <v>17</v>
      </c>
      <c r="O115">
        <v>5</v>
      </c>
      <c r="P115">
        <v>6</v>
      </c>
      <c r="Q115"/>
      <c r="R115" t="s">
        <v>2464</v>
      </c>
      <c r="S115" t="s">
        <v>3023</v>
      </c>
      <c r="T115" t="s">
        <v>2462</v>
      </c>
      <c r="U115" t="s">
        <v>2462</v>
      </c>
      <c r="V115">
        <v>0</v>
      </c>
      <c r="W115"/>
      <c r="X115"/>
      <c r="Y115">
        <v>50</v>
      </c>
      <c r="Z115"/>
      <c r="AA115">
        <v>12</v>
      </c>
      <c r="AB115">
        <v>15</v>
      </c>
      <c r="AC115">
        <v>11</v>
      </c>
      <c r="AD115">
        <v>1</v>
      </c>
      <c r="AE115">
        <v>5</v>
      </c>
      <c r="AF115">
        <v>1</v>
      </c>
      <c r="AG115">
        <v>20</v>
      </c>
      <c r="AH115"/>
      <c r="AI115"/>
      <c r="AJ115"/>
      <c r="AK115"/>
      <c r="AL115"/>
      <c r="AM115"/>
      <c r="AN115">
        <v>20</v>
      </c>
      <c r="AO115">
        <v>267</v>
      </c>
      <c r="AP115"/>
      <c r="AQ115"/>
      <c r="AR115"/>
      <c r="AS115" t="s">
        <v>4734</v>
      </c>
      <c r="AT115"/>
      <c r="AU115"/>
      <c r="AV115" t="s">
        <v>3570</v>
      </c>
      <c r="AW115"/>
      <c r="AX115"/>
      <c r="AY115" t="s">
        <v>3459</v>
      </c>
      <c r="AZ115" t="s">
        <v>4733</v>
      </c>
      <c r="BA115" t="s">
        <v>3459</v>
      </c>
      <c r="BB115" t="s">
        <v>2886</v>
      </c>
      <c r="BC115" t="s">
        <v>4732</v>
      </c>
      <c r="BD115" t="s">
        <v>2886</v>
      </c>
      <c r="BE115"/>
      <c r="BF115"/>
      <c r="BG115"/>
      <c r="BH115"/>
      <c r="BI115"/>
      <c r="BJ115"/>
      <c r="BK115"/>
      <c r="BL115"/>
      <c r="BM115"/>
      <c r="BN115"/>
      <c r="BO115"/>
      <c r="BP115" t="s">
        <v>2727</v>
      </c>
      <c r="BQ115" t="s">
        <v>4731</v>
      </c>
      <c r="BR115" t="s">
        <v>4243</v>
      </c>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t="s">
        <v>2454</v>
      </c>
      <c r="CY115">
        <v>20</v>
      </c>
      <c r="CZ115" t="s">
        <v>2453</v>
      </c>
    </row>
    <row r="116" spans="1:104" ht="14.25">
      <c r="A116" t="s">
        <v>4730</v>
      </c>
      <c r="B116" t="s">
        <v>4730</v>
      </c>
      <c r="C116" t="s">
        <v>4729</v>
      </c>
      <c r="D116" t="s">
        <v>2462</v>
      </c>
      <c r="E116" t="s">
        <v>2680</v>
      </c>
      <c r="F116" t="s">
        <v>2719</v>
      </c>
      <c r="G116" t="s">
        <v>2690</v>
      </c>
      <c r="H116"/>
      <c r="I116"/>
      <c r="J116" t="s">
        <v>2013</v>
      </c>
      <c r="K116"/>
      <c r="L116"/>
      <c r="M116">
        <v>11</v>
      </c>
      <c r="N116">
        <v>1</v>
      </c>
      <c r="O116">
        <v>1</v>
      </c>
      <c r="P116">
        <v>4</v>
      </c>
      <c r="Q116">
        <v>-1</v>
      </c>
      <c r="R116" t="s">
        <v>2464</v>
      </c>
      <c r="S116" t="s">
        <v>305</v>
      </c>
      <c r="T116" t="s">
        <v>2462</v>
      </c>
      <c r="U116" t="s">
        <v>2462</v>
      </c>
      <c r="V116">
        <v>20</v>
      </c>
      <c r="W116"/>
      <c r="X116"/>
      <c r="Y116"/>
      <c r="Z116">
        <v>20</v>
      </c>
      <c r="AA116">
        <v>1</v>
      </c>
      <c r="AB116">
        <v>13</v>
      </c>
      <c r="AC116">
        <v>8</v>
      </c>
      <c r="AD116">
        <v>1</v>
      </c>
      <c r="AE116">
        <v>8</v>
      </c>
      <c r="AF116">
        <v>3</v>
      </c>
      <c r="AG116">
        <v>322</v>
      </c>
      <c r="AH116">
        <v>305</v>
      </c>
      <c r="AI116"/>
      <c r="AJ116"/>
      <c r="AK116"/>
      <c r="AL116"/>
      <c r="AM116"/>
      <c r="AN116">
        <v>21</v>
      </c>
      <c r="AO116">
        <v>367</v>
      </c>
      <c r="AP116"/>
      <c r="AQ116"/>
      <c r="AR116"/>
      <c r="AS116"/>
      <c r="AT116"/>
      <c r="AU116"/>
      <c r="AV116"/>
      <c r="AW116"/>
      <c r="AX116"/>
      <c r="AY116" t="s">
        <v>2520</v>
      </c>
      <c r="AZ116" t="s">
        <v>4576</v>
      </c>
      <c r="BA116" t="s">
        <v>2520</v>
      </c>
      <c r="BB116" t="s">
        <v>4496</v>
      </c>
      <c r="BC116" t="s">
        <v>4728</v>
      </c>
      <c r="BD116" t="s">
        <v>4496</v>
      </c>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t="s">
        <v>2454</v>
      </c>
      <c r="CY116">
        <v>322</v>
      </c>
      <c r="CZ116" t="s">
        <v>2453</v>
      </c>
    </row>
    <row r="117" spans="1:104" ht="14.25">
      <c r="A117" t="s">
        <v>4727</v>
      </c>
      <c r="B117" t="s">
        <v>4726</v>
      </c>
      <c r="C117" t="s">
        <v>4725</v>
      </c>
      <c r="D117">
        <v>8</v>
      </c>
      <c r="E117" t="s">
        <v>2468</v>
      </c>
      <c r="F117" t="s">
        <v>2985</v>
      </c>
      <c r="G117" t="s">
        <v>3005</v>
      </c>
      <c r="H117"/>
      <c r="I117"/>
      <c r="J117" t="s">
        <v>2465</v>
      </c>
      <c r="K117"/>
      <c r="L117"/>
      <c r="M117">
        <v>15</v>
      </c>
      <c r="N117">
        <v>138</v>
      </c>
      <c r="O117">
        <v>12</v>
      </c>
      <c r="P117">
        <v>12</v>
      </c>
      <c r="Q117">
        <v>60</v>
      </c>
      <c r="R117" t="s">
        <v>2464</v>
      </c>
      <c r="S117" t="s">
        <v>4724</v>
      </c>
      <c r="T117" t="s">
        <v>3182</v>
      </c>
      <c r="U117" t="s">
        <v>2462</v>
      </c>
      <c r="V117">
        <v>40</v>
      </c>
      <c r="W117"/>
      <c r="X117"/>
      <c r="Y117"/>
      <c r="Z117"/>
      <c r="AA117">
        <v>23</v>
      </c>
      <c r="AB117">
        <v>9</v>
      </c>
      <c r="AC117">
        <v>21</v>
      </c>
      <c r="AD117">
        <v>9</v>
      </c>
      <c r="AE117">
        <v>10</v>
      </c>
      <c r="AF117">
        <v>12</v>
      </c>
      <c r="AG117">
        <v>155</v>
      </c>
      <c r="AH117"/>
      <c r="AI117"/>
      <c r="AJ117"/>
      <c r="AK117"/>
      <c r="AL117"/>
      <c r="AM117"/>
      <c r="AN117">
        <v>21</v>
      </c>
      <c r="AO117">
        <v>315</v>
      </c>
      <c r="AP117"/>
      <c r="AQ117"/>
      <c r="AR117"/>
      <c r="AS117"/>
      <c r="AT117"/>
      <c r="AU117"/>
      <c r="AV117" t="s">
        <v>2698</v>
      </c>
      <c r="AW117"/>
      <c r="AX117"/>
      <c r="AY117"/>
      <c r="AZ117"/>
      <c r="BA117"/>
      <c r="BB117"/>
      <c r="BC117"/>
      <c r="BD117"/>
      <c r="BE117"/>
      <c r="BF117"/>
      <c r="BG117"/>
      <c r="BH117"/>
      <c r="BI117"/>
      <c r="BJ117"/>
      <c r="BK117"/>
      <c r="BL117"/>
      <c r="BM117"/>
      <c r="BN117"/>
      <c r="BO117"/>
      <c r="BP117" t="s">
        <v>4723</v>
      </c>
      <c r="BQ117" t="s">
        <v>4722</v>
      </c>
      <c r="BR117" t="s">
        <v>4721</v>
      </c>
      <c r="BS117" t="s">
        <v>2480</v>
      </c>
      <c r="BT117" t="s">
        <v>4720</v>
      </c>
      <c r="BU117" t="s">
        <v>2480</v>
      </c>
      <c r="BV117" t="s">
        <v>3722</v>
      </c>
      <c r="BW117" t="s">
        <v>4719</v>
      </c>
      <c r="BX117" t="s">
        <v>4718</v>
      </c>
      <c r="BY117" t="s">
        <v>3031</v>
      </c>
      <c r="BZ117" t="s">
        <v>4717</v>
      </c>
      <c r="CA117" t="s">
        <v>4716</v>
      </c>
      <c r="CB117"/>
      <c r="CC117"/>
      <c r="CD117"/>
      <c r="CE117"/>
      <c r="CF117"/>
      <c r="CG117"/>
      <c r="CH117"/>
      <c r="CI117"/>
      <c r="CJ117"/>
      <c r="CK117"/>
      <c r="CL117"/>
      <c r="CM117"/>
      <c r="CN117"/>
      <c r="CO117"/>
      <c r="CP117"/>
      <c r="CQ117"/>
      <c r="CR117"/>
      <c r="CS117"/>
      <c r="CT117"/>
      <c r="CU117"/>
      <c r="CV117"/>
      <c r="CW117"/>
      <c r="CX117" t="s">
        <v>2454</v>
      </c>
      <c r="CY117">
        <v>155</v>
      </c>
      <c r="CZ117" t="s">
        <v>2453</v>
      </c>
    </row>
    <row r="118" spans="1:104" ht="14.25">
      <c r="A118" t="s">
        <v>4715</v>
      </c>
      <c r="B118" t="s">
        <v>4715</v>
      </c>
      <c r="C118" t="s">
        <v>4714</v>
      </c>
      <c r="D118">
        <v>2</v>
      </c>
      <c r="E118" t="s">
        <v>2468</v>
      </c>
      <c r="F118" t="s">
        <v>2467</v>
      </c>
      <c r="G118" t="s">
        <v>2626</v>
      </c>
      <c r="H118"/>
      <c r="I118"/>
      <c r="J118" t="s">
        <v>2487</v>
      </c>
      <c r="K118"/>
      <c r="L118"/>
      <c r="M118">
        <v>15</v>
      </c>
      <c r="N118">
        <v>52</v>
      </c>
      <c r="O118">
        <v>7</v>
      </c>
      <c r="P118">
        <v>8</v>
      </c>
      <c r="Q118">
        <v>21</v>
      </c>
      <c r="R118" t="s">
        <v>2464</v>
      </c>
      <c r="S118" t="s">
        <v>2605</v>
      </c>
      <c r="T118" t="s">
        <v>2605</v>
      </c>
      <c r="U118" t="s">
        <v>2462</v>
      </c>
      <c r="V118">
        <v>30</v>
      </c>
      <c r="W118"/>
      <c r="X118"/>
      <c r="Y118">
        <v>60</v>
      </c>
      <c r="Z118"/>
      <c r="AA118">
        <v>15</v>
      </c>
      <c r="AB118">
        <v>11</v>
      </c>
      <c r="AC118">
        <v>16</v>
      </c>
      <c r="AD118">
        <v>6</v>
      </c>
      <c r="AE118">
        <v>11</v>
      </c>
      <c r="AF118">
        <v>7</v>
      </c>
      <c r="AG118">
        <v>140</v>
      </c>
      <c r="AH118"/>
      <c r="AI118"/>
      <c r="AJ118"/>
      <c r="AK118"/>
      <c r="AL118"/>
      <c r="AM118"/>
      <c r="AN118">
        <v>21</v>
      </c>
      <c r="AO118">
        <v>312</v>
      </c>
      <c r="AP118">
        <v>9</v>
      </c>
      <c r="AQ118"/>
      <c r="AR118"/>
      <c r="AS118"/>
      <c r="AT118"/>
      <c r="AU118"/>
      <c r="AV118" t="s">
        <v>3795</v>
      </c>
      <c r="AW118"/>
      <c r="AX118"/>
      <c r="AY118" t="s">
        <v>2886</v>
      </c>
      <c r="AZ118" t="s">
        <v>4713</v>
      </c>
      <c r="BA118" t="s">
        <v>2886</v>
      </c>
      <c r="BB118"/>
      <c r="BC118"/>
      <c r="BD118"/>
      <c r="BE118"/>
      <c r="BF118"/>
      <c r="BG118"/>
      <c r="BH118"/>
      <c r="BI118"/>
      <c r="BJ118"/>
      <c r="BK118"/>
      <c r="BL118"/>
      <c r="BM118"/>
      <c r="BN118"/>
      <c r="BO118"/>
      <c r="BP118" t="s">
        <v>2480</v>
      </c>
      <c r="BQ118" t="s">
        <v>4712</v>
      </c>
      <c r="BR118" t="s">
        <v>2480</v>
      </c>
      <c r="BS118" t="s">
        <v>2479</v>
      </c>
      <c r="BT118" t="s">
        <v>2785</v>
      </c>
      <c r="BU118" t="s">
        <v>3682</v>
      </c>
      <c r="BV118" t="s">
        <v>2652</v>
      </c>
      <c r="BW118" t="s">
        <v>4410</v>
      </c>
      <c r="BX118" t="s">
        <v>4711</v>
      </c>
      <c r="BY118"/>
      <c r="BZ118"/>
      <c r="CA118"/>
      <c r="CB118"/>
      <c r="CC118"/>
      <c r="CD118"/>
      <c r="CE118"/>
      <c r="CF118"/>
      <c r="CG118"/>
      <c r="CH118"/>
      <c r="CI118"/>
      <c r="CJ118"/>
      <c r="CK118"/>
      <c r="CL118"/>
      <c r="CM118"/>
      <c r="CN118"/>
      <c r="CO118"/>
      <c r="CP118"/>
      <c r="CQ118"/>
      <c r="CR118"/>
      <c r="CS118"/>
      <c r="CT118"/>
      <c r="CU118"/>
      <c r="CV118"/>
      <c r="CW118"/>
      <c r="CX118" t="s">
        <v>2454</v>
      </c>
      <c r="CY118">
        <v>140</v>
      </c>
      <c r="CZ118" t="s">
        <v>2453</v>
      </c>
    </row>
    <row r="119" spans="1:104" ht="14.25">
      <c r="A119" t="s">
        <v>4710</v>
      </c>
      <c r="B119" t="s">
        <v>4710</v>
      </c>
      <c r="C119"/>
      <c r="D119">
        <v>0.5</v>
      </c>
      <c r="E119" t="s">
        <v>3714</v>
      </c>
      <c r="F119" t="s">
        <v>2644</v>
      </c>
      <c r="G119" t="s">
        <v>3714</v>
      </c>
      <c r="H119"/>
      <c r="I119"/>
      <c r="J119" t="s">
        <v>2465</v>
      </c>
      <c r="K119"/>
      <c r="L119"/>
      <c r="M119">
        <v>13</v>
      </c>
      <c r="N119">
        <v>13</v>
      </c>
      <c r="O119">
        <v>3</v>
      </c>
      <c r="P119">
        <v>4</v>
      </c>
      <c r="Q119">
        <v>6</v>
      </c>
      <c r="R119"/>
      <c r="S119" t="s">
        <v>4709</v>
      </c>
      <c r="T119"/>
      <c r="U119"/>
      <c r="V119"/>
      <c r="W119"/>
      <c r="X119"/>
      <c r="Y119">
        <v>30</v>
      </c>
      <c r="Z119"/>
      <c r="AA119">
        <v>3</v>
      </c>
      <c r="AB119">
        <v>17</v>
      </c>
      <c r="AC119">
        <v>14</v>
      </c>
      <c r="AD119">
        <v>3</v>
      </c>
      <c r="AE119">
        <v>10</v>
      </c>
      <c r="AF119">
        <v>7</v>
      </c>
      <c r="AG119"/>
      <c r="AH119"/>
      <c r="AI119"/>
      <c r="AJ119"/>
      <c r="AK119"/>
      <c r="AL119"/>
      <c r="AM119"/>
      <c r="AN119"/>
      <c r="AO119"/>
      <c r="AP119"/>
      <c r="AQ119"/>
      <c r="AR119"/>
      <c r="AS119"/>
      <c r="AT119"/>
      <c r="AU119"/>
      <c r="AV119"/>
      <c r="AW119"/>
      <c r="AX119"/>
      <c r="AY119" t="s">
        <v>3723</v>
      </c>
      <c r="AZ119" t="s">
        <v>4708</v>
      </c>
      <c r="BA119" t="s">
        <v>3723</v>
      </c>
      <c r="BB119" t="s">
        <v>3527</v>
      </c>
      <c r="BC119" t="s">
        <v>4707</v>
      </c>
      <c r="BD119" t="s">
        <v>3527</v>
      </c>
      <c r="BE119"/>
      <c r="BF119"/>
      <c r="BG119"/>
      <c r="BH119"/>
      <c r="BI119"/>
      <c r="BJ119"/>
      <c r="BK119"/>
      <c r="BL119"/>
      <c r="BM119"/>
      <c r="BN119"/>
      <c r="BO119"/>
      <c r="BP119" t="s">
        <v>2479</v>
      </c>
      <c r="BQ119" t="s">
        <v>3555</v>
      </c>
      <c r="BR119" t="s">
        <v>2479</v>
      </c>
      <c r="BS119" t="s">
        <v>4705</v>
      </c>
      <c r="BT119" t="s">
        <v>4706</v>
      </c>
      <c r="BU119" t="s">
        <v>4705</v>
      </c>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row>
    <row r="120" spans="1:104" ht="14.25">
      <c r="A120" t="s">
        <v>4704</v>
      </c>
      <c r="B120" t="s">
        <v>4703</v>
      </c>
      <c r="C120" t="s">
        <v>4702</v>
      </c>
      <c r="D120">
        <v>2</v>
      </c>
      <c r="E120" t="s">
        <v>2468</v>
      </c>
      <c r="F120" t="s">
        <v>2489</v>
      </c>
      <c r="G120" t="s">
        <v>3777</v>
      </c>
      <c r="H120"/>
      <c r="I120"/>
      <c r="J120" t="s">
        <v>2013</v>
      </c>
      <c r="K120"/>
      <c r="L120"/>
      <c r="M120">
        <v>6</v>
      </c>
      <c r="N120">
        <v>84</v>
      </c>
      <c r="O120">
        <v>8</v>
      </c>
      <c r="P120">
        <v>10</v>
      </c>
      <c r="Q120">
        <v>40</v>
      </c>
      <c r="R120" t="s">
        <v>2464</v>
      </c>
      <c r="S120" t="s">
        <v>4701</v>
      </c>
      <c r="T120" t="s">
        <v>2462</v>
      </c>
      <c r="U120" t="s">
        <v>2462</v>
      </c>
      <c r="V120">
        <v>15</v>
      </c>
      <c r="W120"/>
      <c r="X120"/>
      <c r="Y120"/>
      <c r="Z120"/>
      <c r="AA120">
        <v>14</v>
      </c>
      <c r="AB120">
        <v>3</v>
      </c>
      <c r="AC120">
        <v>20</v>
      </c>
      <c r="AD120">
        <v>1</v>
      </c>
      <c r="AE120">
        <v>6</v>
      </c>
      <c r="AF120">
        <v>1</v>
      </c>
      <c r="AG120">
        <v>242</v>
      </c>
      <c r="AH120"/>
      <c r="AI120"/>
      <c r="AJ120"/>
      <c r="AK120"/>
      <c r="AL120"/>
      <c r="AM120"/>
      <c r="AN120"/>
      <c r="AO120">
        <v>340</v>
      </c>
      <c r="AP120"/>
      <c r="AQ120"/>
      <c r="AR120"/>
      <c r="AS120"/>
      <c r="AT120"/>
      <c r="AU120"/>
      <c r="AV120"/>
      <c r="AW120"/>
      <c r="AX120"/>
      <c r="AY120" t="s">
        <v>4699</v>
      </c>
      <c r="AZ120" t="s">
        <v>4700</v>
      </c>
      <c r="BA120" t="s">
        <v>4699</v>
      </c>
      <c r="BB120" t="s">
        <v>4697</v>
      </c>
      <c r="BC120" t="s">
        <v>4698</v>
      </c>
      <c r="BD120" t="s">
        <v>4697</v>
      </c>
      <c r="BE120"/>
      <c r="BF120"/>
      <c r="BG120"/>
      <c r="BH120"/>
      <c r="BI120"/>
      <c r="BJ120"/>
      <c r="BK120"/>
      <c r="BL120"/>
      <c r="BM120"/>
      <c r="BN120"/>
      <c r="BO120"/>
      <c r="BP120" t="s">
        <v>3772</v>
      </c>
      <c r="BQ120" t="s">
        <v>4696</v>
      </c>
      <c r="BR120" t="s">
        <v>4695</v>
      </c>
      <c r="BS120" t="s">
        <v>3333</v>
      </c>
      <c r="BT120" t="s">
        <v>4694</v>
      </c>
      <c r="BU120" t="s">
        <v>3333</v>
      </c>
      <c r="BV120"/>
      <c r="BW120"/>
      <c r="BX120"/>
      <c r="BY120"/>
      <c r="BZ120"/>
      <c r="CA120"/>
      <c r="CB120"/>
      <c r="CC120"/>
      <c r="CD120"/>
      <c r="CE120"/>
      <c r="CF120"/>
      <c r="CG120"/>
      <c r="CH120"/>
      <c r="CI120"/>
      <c r="CJ120"/>
      <c r="CK120"/>
      <c r="CL120"/>
      <c r="CM120"/>
      <c r="CN120"/>
      <c r="CO120"/>
      <c r="CP120"/>
      <c r="CQ120"/>
      <c r="CR120"/>
      <c r="CS120"/>
      <c r="CT120"/>
      <c r="CU120"/>
      <c r="CV120"/>
      <c r="CW120"/>
      <c r="CX120" t="s">
        <v>2454</v>
      </c>
      <c r="CY120">
        <v>242</v>
      </c>
      <c r="CZ120" t="s">
        <v>2453</v>
      </c>
    </row>
    <row r="121" spans="1:104" ht="14.25">
      <c r="A121" t="s">
        <v>4693</v>
      </c>
      <c r="B121" t="s">
        <v>4693</v>
      </c>
      <c r="C121" t="s">
        <v>4692</v>
      </c>
      <c r="D121">
        <v>2</v>
      </c>
      <c r="E121" t="s">
        <v>2468</v>
      </c>
      <c r="F121" t="s">
        <v>2467</v>
      </c>
      <c r="G121" t="s">
        <v>2466</v>
      </c>
      <c r="H121"/>
      <c r="I121"/>
      <c r="J121" t="s">
        <v>2487</v>
      </c>
      <c r="K121"/>
      <c r="L121"/>
      <c r="M121">
        <v>13</v>
      </c>
      <c r="N121">
        <v>36</v>
      </c>
      <c r="O121">
        <v>8</v>
      </c>
      <c r="P121">
        <v>8</v>
      </c>
      <c r="Q121"/>
      <c r="R121" t="s">
        <v>2464</v>
      </c>
      <c r="S121" t="s">
        <v>3903</v>
      </c>
      <c r="T121" t="s">
        <v>2679</v>
      </c>
      <c r="U121" t="s">
        <v>2462</v>
      </c>
      <c r="V121">
        <v>30</v>
      </c>
      <c r="W121"/>
      <c r="X121"/>
      <c r="Y121"/>
      <c r="Z121"/>
      <c r="AA121">
        <v>16</v>
      </c>
      <c r="AB121">
        <v>17</v>
      </c>
      <c r="AC121">
        <v>10</v>
      </c>
      <c r="AD121">
        <v>11</v>
      </c>
      <c r="AE121">
        <v>10</v>
      </c>
      <c r="AF121">
        <v>8</v>
      </c>
      <c r="AG121">
        <v>148</v>
      </c>
      <c r="AH121"/>
      <c r="AI121"/>
      <c r="AJ121"/>
      <c r="AK121"/>
      <c r="AL121"/>
      <c r="AM121"/>
      <c r="AN121"/>
      <c r="AO121">
        <v>314</v>
      </c>
      <c r="AP121"/>
      <c r="AQ121"/>
      <c r="AR121"/>
      <c r="AS121" t="s">
        <v>4691</v>
      </c>
      <c r="AT121">
        <v>18</v>
      </c>
      <c r="AU121"/>
      <c r="AV121"/>
      <c r="AW121"/>
      <c r="AX121"/>
      <c r="AY121" t="s">
        <v>4274</v>
      </c>
      <c r="AZ121" t="s">
        <v>4690</v>
      </c>
      <c r="BA121" t="s">
        <v>4274</v>
      </c>
      <c r="BB121" t="s">
        <v>4688</v>
      </c>
      <c r="BC121" t="s">
        <v>4689</v>
      </c>
      <c r="BD121" t="s">
        <v>4688</v>
      </c>
      <c r="BE121"/>
      <c r="BF121"/>
      <c r="BG121"/>
      <c r="BH121"/>
      <c r="BI121"/>
      <c r="BJ121"/>
      <c r="BK121"/>
      <c r="BL121"/>
      <c r="BM121"/>
      <c r="BN121"/>
      <c r="BO121"/>
      <c r="BP121" t="s">
        <v>2479</v>
      </c>
      <c r="BQ121" t="s">
        <v>4687</v>
      </c>
      <c r="BR121" t="s">
        <v>4686</v>
      </c>
      <c r="BS121" t="s">
        <v>2652</v>
      </c>
      <c r="BT121" t="s">
        <v>4685</v>
      </c>
      <c r="BU121" t="s">
        <v>3364</v>
      </c>
      <c r="BV121"/>
      <c r="BW121"/>
      <c r="BX121"/>
      <c r="BY121"/>
      <c r="BZ121"/>
      <c r="CA121"/>
      <c r="CB121"/>
      <c r="CC121"/>
      <c r="CD121"/>
      <c r="CE121"/>
      <c r="CF121"/>
      <c r="CG121"/>
      <c r="CH121"/>
      <c r="CI121"/>
      <c r="CJ121"/>
      <c r="CK121"/>
      <c r="CL121"/>
      <c r="CM121"/>
      <c r="CN121"/>
      <c r="CO121"/>
      <c r="CP121"/>
      <c r="CQ121"/>
      <c r="CR121"/>
      <c r="CS121"/>
      <c r="CT121"/>
      <c r="CU121"/>
      <c r="CV121"/>
      <c r="CW121"/>
      <c r="CX121" t="s">
        <v>2454</v>
      </c>
      <c r="CY121">
        <v>148</v>
      </c>
      <c r="CZ121" t="s">
        <v>2453</v>
      </c>
    </row>
    <row r="122" spans="1:104" ht="14.25">
      <c r="A122" t="s">
        <v>4684</v>
      </c>
      <c r="B122" t="s">
        <v>4684</v>
      </c>
      <c r="C122" t="s">
        <v>4683</v>
      </c>
      <c r="D122">
        <v>4</v>
      </c>
      <c r="E122" t="s">
        <v>2468</v>
      </c>
      <c r="F122" t="s">
        <v>2467</v>
      </c>
      <c r="G122" t="s">
        <v>2466</v>
      </c>
      <c r="H122"/>
      <c r="I122"/>
      <c r="J122" t="s">
        <v>2607</v>
      </c>
      <c r="K122"/>
      <c r="L122"/>
      <c r="M122">
        <v>11</v>
      </c>
      <c r="N122">
        <v>45</v>
      </c>
      <c r="O122">
        <v>10</v>
      </c>
      <c r="P122">
        <v>8</v>
      </c>
      <c r="Q122"/>
      <c r="R122" t="s">
        <v>2464</v>
      </c>
      <c r="S122" t="s">
        <v>4682</v>
      </c>
      <c r="T122" t="s">
        <v>2462</v>
      </c>
      <c r="U122" t="s">
        <v>2462</v>
      </c>
      <c r="V122">
        <v>0</v>
      </c>
      <c r="W122"/>
      <c r="X122"/>
      <c r="Y122">
        <v>40</v>
      </c>
      <c r="Z122"/>
      <c r="AA122">
        <v>7</v>
      </c>
      <c r="AB122">
        <v>13</v>
      </c>
      <c r="AC122">
        <v>10</v>
      </c>
      <c r="AD122">
        <v>10</v>
      </c>
      <c r="AE122">
        <v>12</v>
      </c>
      <c r="AF122">
        <v>17</v>
      </c>
      <c r="AG122">
        <v>147</v>
      </c>
      <c r="AH122"/>
      <c r="AI122"/>
      <c r="AJ122"/>
      <c r="AK122"/>
      <c r="AL122"/>
      <c r="AM122"/>
      <c r="AN122">
        <v>22</v>
      </c>
      <c r="AO122">
        <v>313</v>
      </c>
      <c r="AP122"/>
      <c r="AQ122">
        <v>14</v>
      </c>
      <c r="AR122"/>
      <c r="AS122" t="s">
        <v>4681</v>
      </c>
      <c r="AT122"/>
      <c r="AU122"/>
      <c r="AV122"/>
      <c r="AW122"/>
      <c r="AX122" t="s">
        <v>4680</v>
      </c>
      <c r="AY122" t="s">
        <v>4678</v>
      </c>
      <c r="AZ122" t="s">
        <v>4679</v>
      </c>
      <c r="BA122" t="s">
        <v>4678</v>
      </c>
      <c r="BB122" t="s">
        <v>2667</v>
      </c>
      <c r="BC122" t="s">
        <v>4677</v>
      </c>
      <c r="BD122" t="s">
        <v>2667</v>
      </c>
      <c r="BE122"/>
      <c r="BF122"/>
      <c r="BG122"/>
      <c r="BH122"/>
      <c r="BI122"/>
      <c r="BJ122"/>
      <c r="BK122"/>
      <c r="BL122"/>
      <c r="BM122"/>
      <c r="BN122"/>
      <c r="BO122"/>
      <c r="BP122" t="s">
        <v>4676</v>
      </c>
      <c r="BQ122" t="s">
        <v>4675</v>
      </c>
      <c r="BR122" t="s">
        <v>4674</v>
      </c>
      <c r="BS122" t="s">
        <v>3801</v>
      </c>
      <c r="BT122" t="s">
        <v>4673</v>
      </c>
      <c r="BU122" t="s">
        <v>3801</v>
      </c>
      <c r="BV122" t="s">
        <v>4671</v>
      </c>
      <c r="BW122" t="s">
        <v>4672</v>
      </c>
      <c r="BX122" t="s">
        <v>4671</v>
      </c>
      <c r="BY122" t="s">
        <v>4669</v>
      </c>
      <c r="BZ122" t="s">
        <v>4670</v>
      </c>
      <c r="CA122" t="s">
        <v>4669</v>
      </c>
      <c r="CB122"/>
      <c r="CC122"/>
      <c r="CD122"/>
      <c r="CE122"/>
      <c r="CF122"/>
      <c r="CG122"/>
      <c r="CH122"/>
      <c r="CI122"/>
      <c r="CJ122"/>
      <c r="CK122"/>
      <c r="CL122"/>
      <c r="CM122"/>
      <c r="CN122"/>
      <c r="CO122"/>
      <c r="CP122"/>
      <c r="CQ122"/>
      <c r="CR122"/>
      <c r="CS122"/>
      <c r="CT122"/>
      <c r="CU122"/>
      <c r="CV122"/>
      <c r="CW122"/>
      <c r="CX122" t="s">
        <v>2454</v>
      </c>
      <c r="CY122">
        <v>147</v>
      </c>
      <c r="CZ122" t="s">
        <v>2453</v>
      </c>
    </row>
    <row r="123" spans="1:104" ht="14.25">
      <c r="A123" t="s">
        <v>4668</v>
      </c>
      <c r="B123" t="s">
        <v>4668</v>
      </c>
      <c r="C123" t="s">
        <v>4667</v>
      </c>
      <c r="D123">
        <v>1</v>
      </c>
      <c r="E123" t="s">
        <v>2468</v>
      </c>
      <c r="F123" t="s">
        <v>2467</v>
      </c>
      <c r="G123" t="s">
        <v>2466</v>
      </c>
      <c r="H123"/>
      <c r="I123"/>
      <c r="J123" t="s">
        <v>2487</v>
      </c>
      <c r="K123"/>
      <c r="L123"/>
      <c r="M123">
        <v>12</v>
      </c>
      <c r="N123">
        <v>22</v>
      </c>
      <c r="O123">
        <v>5</v>
      </c>
      <c r="P123">
        <v>8</v>
      </c>
      <c r="Q123"/>
      <c r="R123" t="s">
        <v>2464</v>
      </c>
      <c r="S123" t="s">
        <v>3353</v>
      </c>
      <c r="T123" t="s">
        <v>2757</v>
      </c>
      <c r="U123" t="s">
        <v>2462</v>
      </c>
      <c r="V123">
        <v>30</v>
      </c>
      <c r="W123"/>
      <c r="X123"/>
      <c r="Y123"/>
      <c r="Z123"/>
      <c r="AA123">
        <v>13</v>
      </c>
      <c r="AB123">
        <v>15</v>
      </c>
      <c r="AC123">
        <v>10</v>
      </c>
      <c r="AD123">
        <v>7</v>
      </c>
      <c r="AE123">
        <v>10</v>
      </c>
      <c r="AF123">
        <v>6</v>
      </c>
      <c r="AG123">
        <v>148</v>
      </c>
      <c r="AH123"/>
      <c r="AI123"/>
      <c r="AJ123">
        <v>58</v>
      </c>
      <c r="AK123"/>
      <c r="AL123"/>
      <c r="AM123"/>
      <c r="AN123">
        <v>22</v>
      </c>
      <c r="AO123">
        <v>315</v>
      </c>
      <c r="AP123"/>
      <c r="AQ123"/>
      <c r="AR123"/>
      <c r="AS123" t="s">
        <v>4666</v>
      </c>
      <c r="AT123"/>
      <c r="AU123"/>
      <c r="AV123"/>
      <c r="AW123"/>
      <c r="AX123"/>
      <c r="AY123"/>
      <c r="AZ123"/>
      <c r="BA123"/>
      <c r="BB123"/>
      <c r="BC123"/>
      <c r="BD123"/>
      <c r="BE123"/>
      <c r="BF123"/>
      <c r="BG123"/>
      <c r="BH123"/>
      <c r="BI123"/>
      <c r="BJ123"/>
      <c r="BK123"/>
      <c r="BL123"/>
      <c r="BM123"/>
      <c r="BN123"/>
      <c r="BO123"/>
      <c r="BP123" t="s">
        <v>2479</v>
      </c>
      <c r="BQ123" t="s">
        <v>4665</v>
      </c>
      <c r="BR123" t="s">
        <v>4664</v>
      </c>
      <c r="BS123" t="s">
        <v>2652</v>
      </c>
      <c r="BT123" t="s">
        <v>4663</v>
      </c>
      <c r="BU123" t="s">
        <v>2746</v>
      </c>
      <c r="BV123"/>
      <c r="BW123"/>
      <c r="BX123"/>
      <c r="BY123"/>
      <c r="BZ123"/>
      <c r="CA123"/>
      <c r="CB123"/>
      <c r="CC123"/>
      <c r="CD123"/>
      <c r="CE123"/>
      <c r="CF123"/>
      <c r="CG123"/>
      <c r="CH123"/>
      <c r="CI123"/>
      <c r="CJ123"/>
      <c r="CK123"/>
      <c r="CL123"/>
      <c r="CM123"/>
      <c r="CN123"/>
      <c r="CO123"/>
      <c r="CP123"/>
      <c r="CQ123"/>
      <c r="CR123"/>
      <c r="CS123"/>
      <c r="CT123"/>
      <c r="CU123"/>
      <c r="CV123"/>
      <c r="CW123"/>
      <c r="CX123" t="s">
        <v>2454</v>
      </c>
      <c r="CY123">
        <v>148</v>
      </c>
      <c r="CZ123" t="s">
        <v>2453</v>
      </c>
    </row>
    <row r="124" spans="1:104" ht="14.25">
      <c r="A124" t="s">
        <v>4662</v>
      </c>
      <c r="B124" t="s">
        <v>4661</v>
      </c>
      <c r="C124" t="s">
        <v>4660</v>
      </c>
      <c r="D124">
        <v>7</v>
      </c>
      <c r="E124" t="s">
        <v>2680</v>
      </c>
      <c r="F124" t="s">
        <v>2985</v>
      </c>
      <c r="G124" t="s">
        <v>2690</v>
      </c>
      <c r="H124"/>
      <c r="I124"/>
      <c r="J124" t="s">
        <v>2013</v>
      </c>
      <c r="K124"/>
      <c r="L124"/>
      <c r="M124">
        <v>12</v>
      </c>
      <c r="N124">
        <v>157</v>
      </c>
      <c r="O124">
        <v>15</v>
      </c>
      <c r="P124">
        <v>12</v>
      </c>
      <c r="Q124">
        <v>60</v>
      </c>
      <c r="R124" t="s">
        <v>2464</v>
      </c>
      <c r="S124" t="s">
        <v>3015</v>
      </c>
      <c r="T124" t="s">
        <v>4659</v>
      </c>
      <c r="U124" t="s">
        <v>2462</v>
      </c>
      <c r="V124">
        <v>40</v>
      </c>
      <c r="W124"/>
      <c r="X124">
        <v>40</v>
      </c>
      <c r="Y124"/>
      <c r="Z124"/>
      <c r="AA124">
        <v>23</v>
      </c>
      <c r="AB124">
        <v>14</v>
      </c>
      <c r="AC124">
        <v>18</v>
      </c>
      <c r="AD124">
        <v>7</v>
      </c>
      <c r="AE124">
        <v>12</v>
      </c>
      <c r="AF124">
        <v>7</v>
      </c>
      <c r="AG124">
        <v>323</v>
      </c>
      <c r="AH124"/>
      <c r="AI124"/>
      <c r="AJ124"/>
      <c r="AK124"/>
      <c r="AL124"/>
      <c r="AM124"/>
      <c r="AN124">
        <v>22</v>
      </c>
      <c r="AO124">
        <v>368</v>
      </c>
      <c r="AP124"/>
      <c r="AQ124"/>
      <c r="AR124"/>
      <c r="AS124"/>
      <c r="AT124"/>
      <c r="AU124"/>
      <c r="AV124"/>
      <c r="AW124"/>
      <c r="AX124"/>
      <c r="AY124"/>
      <c r="AZ124"/>
      <c r="BA124"/>
      <c r="BB124"/>
      <c r="BC124"/>
      <c r="BD124"/>
      <c r="BE124"/>
      <c r="BF124"/>
      <c r="BG124"/>
      <c r="BH124"/>
      <c r="BI124"/>
      <c r="BJ124"/>
      <c r="BK124"/>
      <c r="BL124"/>
      <c r="BM124"/>
      <c r="BN124"/>
      <c r="BO124"/>
      <c r="BP124" t="s">
        <v>2480</v>
      </c>
      <c r="BQ124" t="s">
        <v>4658</v>
      </c>
      <c r="BR124" t="s">
        <v>2480</v>
      </c>
      <c r="BS124" t="s">
        <v>3321</v>
      </c>
      <c r="BT124" t="s">
        <v>4657</v>
      </c>
      <c r="BU124" t="s">
        <v>4656</v>
      </c>
      <c r="BV124" t="s">
        <v>3031</v>
      </c>
      <c r="BW124" t="s">
        <v>4655</v>
      </c>
      <c r="BX124" t="s">
        <v>4654</v>
      </c>
      <c r="BY124"/>
      <c r="BZ124"/>
      <c r="CA124"/>
      <c r="CB124"/>
      <c r="CC124"/>
      <c r="CD124"/>
      <c r="CE124"/>
      <c r="CF124"/>
      <c r="CG124"/>
      <c r="CH124"/>
      <c r="CI124"/>
      <c r="CJ124"/>
      <c r="CK124"/>
      <c r="CL124"/>
      <c r="CM124"/>
      <c r="CN124"/>
      <c r="CO124"/>
      <c r="CP124"/>
      <c r="CQ124"/>
      <c r="CR124"/>
      <c r="CS124"/>
      <c r="CT124"/>
      <c r="CU124"/>
      <c r="CV124"/>
      <c r="CW124"/>
      <c r="CX124" t="s">
        <v>2454</v>
      </c>
      <c r="CY124">
        <v>323</v>
      </c>
      <c r="CZ124" t="s">
        <v>2453</v>
      </c>
    </row>
    <row r="125" spans="1:104" ht="14.25">
      <c r="A125" t="s">
        <v>4653</v>
      </c>
      <c r="B125" t="s">
        <v>4652</v>
      </c>
      <c r="C125" t="s">
        <v>4651</v>
      </c>
      <c r="D125">
        <v>0.25</v>
      </c>
      <c r="E125" t="s">
        <v>2680</v>
      </c>
      <c r="F125" t="s">
        <v>2467</v>
      </c>
      <c r="G125" t="s">
        <v>2690</v>
      </c>
      <c r="H125"/>
      <c r="I125"/>
      <c r="J125" t="s">
        <v>2013</v>
      </c>
      <c r="K125"/>
      <c r="L125"/>
      <c r="M125">
        <v>10</v>
      </c>
      <c r="N125">
        <v>13</v>
      </c>
      <c r="O125">
        <v>2</v>
      </c>
      <c r="P125">
        <v>8</v>
      </c>
      <c r="Q125">
        <v>4</v>
      </c>
      <c r="R125" t="s">
        <v>2464</v>
      </c>
      <c r="S125" t="s">
        <v>2463</v>
      </c>
      <c r="T125" t="s">
        <v>3403</v>
      </c>
      <c r="U125" t="s">
        <v>2462</v>
      </c>
      <c r="V125">
        <v>30</v>
      </c>
      <c r="W125">
        <v>10</v>
      </c>
      <c r="X125"/>
      <c r="Y125"/>
      <c r="Z125"/>
      <c r="AA125">
        <v>13</v>
      </c>
      <c r="AB125">
        <v>10</v>
      </c>
      <c r="AC125">
        <v>15</v>
      </c>
      <c r="AD125">
        <v>2</v>
      </c>
      <c r="AE125">
        <v>12</v>
      </c>
      <c r="AF125">
        <v>5</v>
      </c>
      <c r="AG125">
        <v>323</v>
      </c>
      <c r="AH125"/>
      <c r="AI125"/>
      <c r="AJ125"/>
      <c r="AK125"/>
      <c r="AL125"/>
      <c r="AM125"/>
      <c r="AN125">
        <v>23</v>
      </c>
      <c r="AO125">
        <v>368</v>
      </c>
      <c r="AP125"/>
      <c r="AQ125"/>
      <c r="AR125"/>
      <c r="AS125"/>
      <c r="AT125"/>
      <c r="AU125"/>
      <c r="AV125" t="s">
        <v>4650</v>
      </c>
      <c r="AW125"/>
      <c r="AX125"/>
      <c r="AY125" t="s">
        <v>2581</v>
      </c>
      <c r="AZ125" t="s">
        <v>4649</v>
      </c>
      <c r="BA125" t="s">
        <v>2581</v>
      </c>
      <c r="BB125"/>
      <c r="BC125"/>
      <c r="BD125"/>
      <c r="BE125"/>
      <c r="BF125"/>
      <c r="BG125"/>
      <c r="BH125"/>
      <c r="BI125"/>
      <c r="BJ125"/>
      <c r="BK125"/>
      <c r="BL125"/>
      <c r="BM125"/>
      <c r="BN125"/>
      <c r="BO125"/>
      <c r="BP125" t="s">
        <v>2480</v>
      </c>
      <c r="BQ125" t="s">
        <v>4648</v>
      </c>
      <c r="BR125" t="s">
        <v>2480</v>
      </c>
      <c r="BS125" t="s">
        <v>2479</v>
      </c>
      <c r="BT125" t="s">
        <v>4647</v>
      </c>
      <c r="BU125" t="s">
        <v>3937</v>
      </c>
      <c r="BV125" t="s">
        <v>2652</v>
      </c>
      <c r="BW125" t="s">
        <v>4303</v>
      </c>
      <c r="BX125" t="s">
        <v>4302</v>
      </c>
      <c r="BY125"/>
      <c r="BZ125"/>
      <c r="CA125"/>
      <c r="CB125"/>
      <c r="CC125"/>
      <c r="CD125"/>
      <c r="CE125"/>
      <c r="CF125"/>
      <c r="CG125"/>
      <c r="CH125"/>
      <c r="CI125"/>
      <c r="CJ125"/>
      <c r="CK125"/>
      <c r="CL125"/>
      <c r="CM125"/>
      <c r="CN125"/>
      <c r="CO125"/>
      <c r="CP125"/>
      <c r="CQ125"/>
      <c r="CR125"/>
      <c r="CS125"/>
      <c r="CT125"/>
      <c r="CU125"/>
      <c r="CV125"/>
      <c r="CW125"/>
      <c r="CX125" t="s">
        <v>2454</v>
      </c>
      <c r="CY125">
        <v>323</v>
      </c>
      <c r="CZ125" t="s">
        <v>2453</v>
      </c>
    </row>
    <row r="126" spans="1:104" ht="14.25">
      <c r="A126" t="s">
        <v>4646</v>
      </c>
      <c r="B126" t="s">
        <v>4645</v>
      </c>
      <c r="C126" t="s">
        <v>4644</v>
      </c>
      <c r="D126">
        <v>0.25</v>
      </c>
      <c r="E126" t="s">
        <v>2680</v>
      </c>
      <c r="F126" t="s">
        <v>2489</v>
      </c>
      <c r="G126" t="s">
        <v>2690</v>
      </c>
      <c r="H126"/>
      <c r="I126"/>
      <c r="J126" t="s">
        <v>2013</v>
      </c>
      <c r="K126"/>
      <c r="L126"/>
      <c r="M126">
        <v>13</v>
      </c>
      <c r="N126">
        <v>22</v>
      </c>
      <c r="O126">
        <v>4</v>
      </c>
      <c r="P126">
        <v>10</v>
      </c>
      <c r="Q126"/>
      <c r="R126" t="s">
        <v>2464</v>
      </c>
      <c r="S126" t="s">
        <v>2605</v>
      </c>
      <c r="T126" t="s">
        <v>2462</v>
      </c>
      <c r="U126" t="s">
        <v>2462</v>
      </c>
      <c r="V126">
        <v>10</v>
      </c>
      <c r="W126"/>
      <c r="X126"/>
      <c r="Y126">
        <v>60</v>
      </c>
      <c r="Z126"/>
      <c r="AA126">
        <v>15</v>
      </c>
      <c r="AB126">
        <v>16</v>
      </c>
      <c r="AC126">
        <v>11</v>
      </c>
      <c r="AD126">
        <v>2</v>
      </c>
      <c r="AE126">
        <v>12</v>
      </c>
      <c r="AF126">
        <v>6</v>
      </c>
      <c r="AG126">
        <v>323</v>
      </c>
      <c r="AH126"/>
      <c r="AI126"/>
      <c r="AJ126"/>
      <c r="AK126"/>
      <c r="AL126"/>
      <c r="AM126"/>
      <c r="AN126">
        <v>23</v>
      </c>
      <c r="AO126">
        <v>368</v>
      </c>
      <c r="AP126"/>
      <c r="AQ126"/>
      <c r="AR126"/>
      <c r="AS126"/>
      <c r="AT126"/>
      <c r="AU126"/>
      <c r="AV126"/>
      <c r="AW126"/>
      <c r="AX126"/>
      <c r="AY126" t="s">
        <v>3131</v>
      </c>
      <c r="AZ126" t="s">
        <v>4643</v>
      </c>
      <c r="BA126" t="s">
        <v>3131</v>
      </c>
      <c r="BB126" t="s">
        <v>3129</v>
      </c>
      <c r="BC126" t="s">
        <v>4642</v>
      </c>
      <c r="BD126" t="s">
        <v>3129</v>
      </c>
      <c r="BE126"/>
      <c r="BF126"/>
      <c r="BG126"/>
      <c r="BH126"/>
      <c r="BI126"/>
      <c r="BJ126"/>
      <c r="BK126"/>
      <c r="BL126"/>
      <c r="BM126"/>
      <c r="BN126"/>
      <c r="BO126"/>
      <c r="BP126" t="s">
        <v>2479</v>
      </c>
      <c r="BQ126" t="s">
        <v>4641</v>
      </c>
      <c r="BR126" t="s">
        <v>3682</v>
      </c>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t="s">
        <v>2454</v>
      </c>
      <c r="CY126">
        <v>323</v>
      </c>
      <c r="CZ126" t="s">
        <v>2453</v>
      </c>
    </row>
    <row r="127" spans="1:104" ht="14.25">
      <c r="A127" t="s">
        <v>4640</v>
      </c>
      <c r="B127" t="s">
        <v>4639</v>
      </c>
      <c r="C127" t="s">
        <v>4638</v>
      </c>
      <c r="D127">
        <v>2</v>
      </c>
      <c r="E127" t="s">
        <v>2680</v>
      </c>
      <c r="F127" t="s">
        <v>2489</v>
      </c>
      <c r="G127" t="s">
        <v>2690</v>
      </c>
      <c r="H127"/>
      <c r="I127"/>
      <c r="J127" t="s">
        <v>2013</v>
      </c>
      <c r="K127"/>
      <c r="L127"/>
      <c r="M127">
        <v>12</v>
      </c>
      <c r="N127">
        <v>42</v>
      </c>
      <c r="O127">
        <v>5</v>
      </c>
      <c r="P127">
        <v>10</v>
      </c>
      <c r="Q127">
        <v>15</v>
      </c>
      <c r="R127" t="s">
        <v>2464</v>
      </c>
      <c r="S127" t="s">
        <v>4637</v>
      </c>
      <c r="T127" t="s">
        <v>2462</v>
      </c>
      <c r="U127" t="s">
        <v>2462</v>
      </c>
      <c r="V127">
        <v>40</v>
      </c>
      <c r="W127"/>
      <c r="X127"/>
      <c r="Y127"/>
      <c r="Z127"/>
      <c r="AA127">
        <v>17</v>
      </c>
      <c r="AB127">
        <v>10</v>
      </c>
      <c r="AC127">
        <v>16</v>
      </c>
      <c r="AD127">
        <v>2</v>
      </c>
      <c r="AE127">
        <v>7</v>
      </c>
      <c r="AF127">
        <v>5</v>
      </c>
      <c r="AG127">
        <v>323</v>
      </c>
      <c r="AH127"/>
      <c r="AI127"/>
      <c r="AJ127"/>
      <c r="AK127"/>
      <c r="AL127"/>
      <c r="AM127"/>
      <c r="AN127">
        <v>23</v>
      </c>
      <c r="AO127">
        <v>368</v>
      </c>
      <c r="AP127"/>
      <c r="AQ127"/>
      <c r="AR127"/>
      <c r="AS127"/>
      <c r="AT127"/>
      <c r="AU127"/>
      <c r="AV127"/>
      <c r="AW127"/>
      <c r="AX127" t="s">
        <v>4265</v>
      </c>
      <c r="AY127" t="s">
        <v>2971</v>
      </c>
      <c r="AZ127" t="s">
        <v>4636</v>
      </c>
      <c r="BA127" t="s">
        <v>2805</v>
      </c>
      <c r="BB127" t="s">
        <v>2803</v>
      </c>
      <c r="BC127" t="s">
        <v>4635</v>
      </c>
      <c r="BD127" t="s">
        <v>2803</v>
      </c>
      <c r="BE127"/>
      <c r="BF127"/>
      <c r="BG127"/>
      <c r="BH127"/>
      <c r="BI127"/>
      <c r="BJ127"/>
      <c r="BK127"/>
      <c r="BL127"/>
      <c r="BM127"/>
      <c r="BN127"/>
      <c r="BO127"/>
      <c r="BP127" t="s">
        <v>4634</v>
      </c>
      <c r="BQ127" t="s">
        <v>3365</v>
      </c>
      <c r="BR127" t="s">
        <v>4633</v>
      </c>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t="s">
        <v>2454</v>
      </c>
      <c r="CY127">
        <v>323</v>
      </c>
      <c r="CZ127" t="s">
        <v>2453</v>
      </c>
    </row>
    <row r="128" spans="1:104" ht="14.25">
      <c r="A128" t="s">
        <v>4632</v>
      </c>
      <c r="B128" t="s">
        <v>4631</v>
      </c>
      <c r="C128" t="s">
        <v>4630</v>
      </c>
      <c r="D128">
        <v>0.25</v>
      </c>
      <c r="E128" t="s">
        <v>2680</v>
      </c>
      <c r="F128" t="s">
        <v>2644</v>
      </c>
      <c r="G128" t="s">
        <v>2690</v>
      </c>
      <c r="H128"/>
      <c r="I128"/>
      <c r="J128" t="s">
        <v>2013</v>
      </c>
      <c r="K128"/>
      <c r="L128"/>
      <c r="M128">
        <v>13</v>
      </c>
      <c r="N128">
        <v>4</v>
      </c>
      <c r="O128">
        <v>1</v>
      </c>
      <c r="P128">
        <v>6</v>
      </c>
      <c r="Q128">
        <v>1</v>
      </c>
      <c r="R128" t="s">
        <v>2464</v>
      </c>
      <c r="S128" t="s">
        <v>2793</v>
      </c>
      <c r="T128" t="s">
        <v>2462</v>
      </c>
      <c r="U128" t="s">
        <v>2462</v>
      </c>
      <c r="V128">
        <v>30</v>
      </c>
      <c r="W128"/>
      <c r="X128">
        <v>30</v>
      </c>
      <c r="Y128"/>
      <c r="Z128"/>
      <c r="AA128">
        <v>5</v>
      </c>
      <c r="AB128">
        <v>14</v>
      </c>
      <c r="AC128">
        <v>12</v>
      </c>
      <c r="AD128">
        <v>1</v>
      </c>
      <c r="AE128">
        <v>7</v>
      </c>
      <c r="AF128">
        <v>3</v>
      </c>
      <c r="AG128">
        <v>323</v>
      </c>
      <c r="AH128"/>
      <c r="AI128"/>
      <c r="AJ128"/>
      <c r="AK128"/>
      <c r="AL128"/>
      <c r="AM128"/>
      <c r="AN128">
        <v>23</v>
      </c>
      <c r="AO128">
        <v>369</v>
      </c>
      <c r="AP128">
        <v>9</v>
      </c>
      <c r="AQ128"/>
      <c r="AR128"/>
      <c r="AS128"/>
      <c r="AT128"/>
      <c r="AU128"/>
      <c r="AV128"/>
      <c r="AW128"/>
      <c r="AX128"/>
      <c r="AY128"/>
      <c r="AZ128"/>
      <c r="BA128"/>
      <c r="BB128"/>
      <c r="BC128"/>
      <c r="BD128"/>
      <c r="BE128"/>
      <c r="BF128"/>
      <c r="BG128"/>
      <c r="BH128"/>
      <c r="BI128"/>
      <c r="BJ128"/>
      <c r="BK128"/>
      <c r="BL128"/>
      <c r="BM128"/>
      <c r="BN128"/>
      <c r="BO128"/>
      <c r="BP128" t="s">
        <v>2479</v>
      </c>
      <c r="BQ128" t="s">
        <v>4629</v>
      </c>
      <c r="BR128" t="s">
        <v>2787</v>
      </c>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t="s">
        <v>2454</v>
      </c>
      <c r="CY128">
        <v>323</v>
      </c>
      <c r="CZ128" t="s">
        <v>2453</v>
      </c>
    </row>
    <row r="129" spans="1:104" ht="14.25">
      <c r="A129" t="s">
        <v>4628</v>
      </c>
      <c r="B129" t="s">
        <v>4627</v>
      </c>
      <c r="C129" t="s">
        <v>4626</v>
      </c>
      <c r="D129">
        <v>2</v>
      </c>
      <c r="E129" t="s">
        <v>2680</v>
      </c>
      <c r="F129" t="s">
        <v>2985</v>
      </c>
      <c r="G129" t="s">
        <v>2690</v>
      </c>
      <c r="H129"/>
      <c r="I129"/>
      <c r="J129" t="s">
        <v>2013</v>
      </c>
      <c r="K129"/>
      <c r="L129"/>
      <c r="M129">
        <v>12</v>
      </c>
      <c r="N129">
        <v>60</v>
      </c>
      <c r="O129">
        <v>8</v>
      </c>
      <c r="P129">
        <v>12</v>
      </c>
      <c r="Q129">
        <v>8</v>
      </c>
      <c r="R129" t="s">
        <v>2464</v>
      </c>
      <c r="S129" t="s">
        <v>2586</v>
      </c>
      <c r="T129" t="s">
        <v>3754</v>
      </c>
      <c r="U129" t="s">
        <v>2462</v>
      </c>
      <c r="V129">
        <v>30</v>
      </c>
      <c r="W129"/>
      <c r="X129"/>
      <c r="Y129"/>
      <c r="Z129">
        <v>30</v>
      </c>
      <c r="AA129">
        <v>19</v>
      </c>
      <c r="AB129">
        <v>14</v>
      </c>
      <c r="AC129">
        <v>12</v>
      </c>
      <c r="AD129">
        <v>1</v>
      </c>
      <c r="AE129">
        <v>10</v>
      </c>
      <c r="AF129">
        <v>3</v>
      </c>
      <c r="AG129">
        <v>324</v>
      </c>
      <c r="AH129"/>
      <c r="AI129"/>
      <c r="AJ129"/>
      <c r="AK129"/>
      <c r="AL129"/>
      <c r="AM129"/>
      <c r="AN129">
        <v>24</v>
      </c>
      <c r="AO129">
        <v>369</v>
      </c>
      <c r="AP129"/>
      <c r="AQ129"/>
      <c r="AR129"/>
      <c r="AS129"/>
      <c r="AT129"/>
      <c r="AU129"/>
      <c r="AV129"/>
      <c r="AW129"/>
      <c r="AX129"/>
      <c r="AY129"/>
      <c r="AZ129"/>
      <c r="BA129"/>
      <c r="BB129"/>
      <c r="BC129"/>
      <c r="BD129"/>
      <c r="BE129"/>
      <c r="BF129"/>
      <c r="BG129"/>
      <c r="BH129"/>
      <c r="BI129"/>
      <c r="BJ129"/>
      <c r="BK129"/>
      <c r="BL129"/>
      <c r="BM129"/>
      <c r="BN129"/>
      <c r="BO129"/>
      <c r="BP129" t="s">
        <v>2479</v>
      </c>
      <c r="BQ129" t="s">
        <v>4625</v>
      </c>
      <c r="BR129" t="s">
        <v>4624</v>
      </c>
      <c r="BS129" t="s">
        <v>4623</v>
      </c>
      <c r="BT129" t="s">
        <v>4622</v>
      </c>
      <c r="BU129" t="s">
        <v>4621</v>
      </c>
      <c r="BV129"/>
      <c r="BW129"/>
      <c r="BX129"/>
      <c r="BY129"/>
      <c r="BZ129"/>
      <c r="CA129"/>
      <c r="CB129"/>
      <c r="CC129"/>
      <c r="CD129"/>
      <c r="CE129"/>
      <c r="CF129"/>
      <c r="CG129"/>
      <c r="CH129"/>
      <c r="CI129"/>
      <c r="CJ129"/>
      <c r="CK129"/>
      <c r="CL129"/>
      <c r="CM129"/>
      <c r="CN129"/>
      <c r="CO129"/>
      <c r="CP129"/>
      <c r="CQ129"/>
      <c r="CR129"/>
      <c r="CS129"/>
      <c r="CT129"/>
      <c r="CU129"/>
      <c r="CV129"/>
      <c r="CW129"/>
      <c r="CX129" t="s">
        <v>2454</v>
      </c>
      <c r="CY129">
        <v>324</v>
      </c>
      <c r="CZ129" t="s">
        <v>2453</v>
      </c>
    </row>
    <row r="130" spans="1:104" ht="14.25">
      <c r="A130" t="s">
        <v>4620</v>
      </c>
      <c r="B130" t="s">
        <v>4619</v>
      </c>
      <c r="C130" t="s">
        <v>4618</v>
      </c>
      <c r="D130">
        <v>0.125</v>
      </c>
      <c r="E130" t="s">
        <v>2680</v>
      </c>
      <c r="F130" t="s">
        <v>2467</v>
      </c>
      <c r="G130" t="s">
        <v>2690</v>
      </c>
      <c r="H130"/>
      <c r="I130"/>
      <c r="J130" t="s">
        <v>2013</v>
      </c>
      <c r="K130"/>
      <c r="L130"/>
      <c r="M130">
        <v>15</v>
      </c>
      <c r="N130">
        <v>13</v>
      </c>
      <c r="O130">
        <v>3</v>
      </c>
      <c r="P130">
        <v>8</v>
      </c>
      <c r="Q130"/>
      <c r="R130" t="s">
        <v>2464</v>
      </c>
      <c r="S130" t="s">
        <v>2463</v>
      </c>
      <c r="T130" t="s">
        <v>2462</v>
      </c>
      <c r="U130" t="s">
        <v>2462</v>
      </c>
      <c r="V130">
        <v>30</v>
      </c>
      <c r="W130"/>
      <c r="X130"/>
      <c r="Y130"/>
      <c r="Z130">
        <v>30</v>
      </c>
      <c r="AA130">
        <v>13</v>
      </c>
      <c r="AB130">
        <v>15</v>
      </c>
      <c r="AC130">
        <v>11</v>
      </c>
      <c r="AD130">
        <v>1</v>
      </c>
      <c r="AE130">
        <v>9</v>
      </c>
      <c r="AF130">
        <v>3</v>
      </c>
      <c r="AG130">
        <v>324</v>
      </c>
      <c r="AH130"/>
      <c r="AI130"/>
      <c r="AJ130"/>
      <c r="AK130"/>
      <c r="AL130"/>
      <c r="AM130"/>
      <c r="AN130">
        <v>24</v>
      </c>
      <c r="AO130">
        <v>369</v>
      </c>
      <c r="AP130"/>
      <c r="AQ130"/>
      <c r="AR130"/>
      <c r="AS130"/>
      <c r="AT130"/>
      <c r="AU130"/>
      <c r="AV130" t="s">
        <v>4617</v>
      </c>
      <c r="AW130"/>
      <c r="AX130"/>
      <c r="AY130" t="s">
        <v>2520</v>
      </c>
      <c r="AZ130" t="s">
        <v>4616</v>
      </c>
      <c r="BA130" t="s">
        <v>2520</v>
      </c>
      <c r="BB130"/>
      <c r="BC130"/>
      <c r="BD130"/>
      <c r="BE130"/>
      <c r="BF130"/>
      <c r="BG130"/>
      <c r="BH130"/>
      <c r="BI130"/>
      <c r="BJ130"/>
      <c r="BK130"/>
      <c r="BL130"/>
      <c r="BM130"/>
      <c r="BN130"/>
      <c r="BO130"/>
      <c r="BP130" t="s">
        <v>2476</v>
      </c>
      <c r="BQ130" t="s">
        <v>4615</v>
      </c>
      <c r="BR130" t="s">
        <v>4614</v>
      </c>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t="s">
        <v>2454</v>
      </c>
      <c r="CY130">
        <v>324</v>
      </c>
      <c r="CZ130" t="s">
        <v>2453</v>
      </c>
    </row>
    <row r="131" spans="1:104" ht="14.25">
      <c r="A131" t="s">
        <v>4613</v>
      </c>
      <c r="B131" t="s">
        <v>4612</v>
      </c>
      <c r="C131" t="s">
        <v>4611</v>
      </c>
      <c r="D131">
        <v>5</v>
      </c>
      <c r="E131" t="s">
        <v>2680</v>
      </c>
      <c r="F131" t="s">
        <v>2985</v>
      </c>
      <c r="G131" t="s">
        <v>2690</v>
      </c>
      <c r="H131"/>
      <c r="I131"/>
      <c r="J131" t="s">
        <v>2013</v>
      </c>
      <c r="K131"/>
      <c r="L131"/>
      <c r="M131">
        <v>14</v>
      </c>
      <c r="N131">
        <v>85</v>
      </c>
      <c r="O131">
        <v>9</v>
      </c>
      <c r="P131">
        <v>12</v>
      </c>
      <c r="Q131">
        <v>27</v>
      </c>
      <c r="R131" t="s">
        <v>2464</v>
      </c>
      <c r="S131" t="s">
        <v>4266</v>
      </c>
      <c r="T131" t="s">
        <v>4610</v>
      </c>
      <c r="U131" t="s">
        <v>2462</v>
      </c>
      <c r="V131">
        <v>30</v>
      </c>
      <c r="W131"/>
      <c r="X131"/>
      <c r="Y131"/>
      <c r="Z131">
        <v>50</v>
      </c>
      <c r="AA131">
        <v>21</v>
      </c>
      <c r="AB131">
        <v>9</v>
      </c>
      <c r="AC131">
        <v>17</v>
      </c>
      <c r="AD131">
        <v>2</v>
      </c>
      <c r="AE131">
        <v>10</v>
      </c>
      <c r="AF131">
        <v>7</v>
      </c>
      <c r="AG131">
        <v>324</v>
      </c>
      <c r="AH131"/>
      <c r="AI131"/>
      <c r="AJ131"/>
      <c r="AK131"/>
      <c r="AL131"/>
      <c r="AM131"/>
      <c r="AN131">
        <v>24</v>
      </c>
      <c r="AO131">
        <v>369</v>
      </c>
      <c r="AP131"/>
      <c r="AQ131"/>
      <c r="AR131"/>
      <c r="AS131"/>
      <c r="AT131"/>
      <c r="AU131"/>
      <c r="AV131"/>
      <c r="AW131"/>
      <c r="AX131"/>
      <c r="AY131" t="s">
        <v>3634</v>
      </c>
      <c r="AZ131" t="s">
        <v>4609</v>
      </c>
      <c r="BA131" t="s">
        <v>3634</v>
      </c>
      <c r="BB131"/>
      <c r="BC131"/>
      <c r="BD131"/>
      <c r="BE131"/>
      <c r="BF131"/>
      <c r="BG131"/>
      <c r="BH131"/>
      <c r="BI131"/>
      <c r="BJ131"/>
      <c r="BK131"/>
      <c r="BL131"/>
      <c r="BM131"/>
      <c r="BN131"/>
      <c r="BO131"/>
      <c r="BP131" t="s">
        <v>2480</v>
      </c>
      <c r="BQ131" t="s">
        <v>4608</v>
      </c>
      <c r="BR131" t="s">
        <v>2480</v>
      </c>
      <c r="BS131" t="s">
        <v>2479</v>
      </c>
      <c r="BT131" t="s">
        <v>4607</v>
      </c>
      <c r="BU131" t="s">
        <v>4606</v>
      </c>
      <c r="BV131" t="s">
        <v>2978</v>
      </c>
      <c r="BW131" t="s">
        <v>4605</v>
      </c>
      <c r="BX131" t="s">
        <v>4604</v>
      </c>
      <c r="BY131"/>
      <c r="BZ131"/>
      <c r="CA131"/>
      <c r="CB131"/>
      <c r="CC131"/>
      <c r="CD131"/>
      <c r="CE131"/>
      <c r="CF131"/>
      <c r="CG131"/>
      <c r="CH131"/>
      <c r="CI131"/>
      <c r="CJ131"/>
      <c r="CK131"/>
      <c r="CL131"/>
      <c r="CM131"/>
      <c r="CN131"/>
      <c r="CO131"/>
      <c r="CP131"/>
      <c r="CQ131"/>
      <c r="CR131"/>
      <c r="CS131"/>
      <c r="CT131"/>
      <c r="CU131"/>
      <c r="CV131"/>
      <c r="CW131"/>
      <c r="CX131" t="s">
        <v>2454</v>
      </c>
      <c r="CY131">
        <v>324</v>
      </c>
      <c r="CZ131" t="s">
        <v>2453</v>
      </c>
    </row>
    <row r="132" spans="1:104" ht="14.25">
      <c r="A132" t="s">
        <v>4603</v>
      </c>
      <c r="B132" t="s">
        <v>4602</v>
      </c>
      <c r="C132" t="s">
        <v>4601</v>
      </c>
      <c r="D132">
        <v>1</v>
      </c>
      <c r="E132" t="s">
        <v>2680</v>
      </c>
      <c r="F132" t="s">
        <v>2489</v>
      </c>
      <c r="G132" t="s">
        <v>2690</v>
      </c>
      <c r="H132"/>
      <c r="I132"/>
      <c r="J132" t="s">
        <v>2642</v>
      </c>
      <c r="K132"/>
      <c r="L132"/>
      <c r="M132">
        <v>13</v>
      </c>
      <c r="N132">
        <v>26</v>
      </c>
      <c r="O132">
        <v>4</v>
      </c>
      <c r="P132">
        <v>10</v>
      </c>
      <c r="Q132">
        <v>4</v>
      </c>
      <c r="R132" t="s">
        <v>2464</v>
      </c>
      <c r="S132" t="s">
        <v>2905</v>
      </c>
      <c r="T132" t="s">
        <v>2679</v>
      </c>
      <c r="U132" t="s">
        <v>2462</v>
      </c>
      <c r="V132">
        <v>10</v>
      </c>
      <c r="W132"/>
      <c r="X132"/>
      <c r="Y132">
        <v>80</v>
      </c>
      <c r="Z132"/>
      <c r="AA132">
        <v>16</v>
      </c>
      <c r="AB132">
        <v>17</v>
      </c>
      <c r="AC132">
        <v>13</v>
      </c>
      <c r="AD132">
        <v>8</v>
      </c>
      <c r="AE132">
        <v>14</v>
      </c>
      <c r="AF132">
        <v>10</v>
      </c>
      <c r="AG132">
        <v>324</v>
      </c>
      <c r="AH132">
        <v>306</v>
      </c>
      <c r="AI132"/>
      <c r="AJ132"/>
      <c r="AK132"/>
      <c r="AL132"/>
      <c r="AM132"/>
      <c r="AN132">
        <v>24</v>
      </c>
      <c r="AO132">
        <v>370</v>
      </c>
      <c r="AP132"/>
      <c r="AQ132"/>
      <c r="AR132"/>
      <c r="AS132"/>
      <c r="AT132"/>
      <c r="AU132"/>
      <c r="AV132"/>
      <c r="AW132"/>
      <c r="AX132"/>
      <c r="AY132" t="s">
        <v>3485</v>
      </c>
      <c r="AZ132" t="s">
        <v>4600</v>
      </c>
      <c r="BA132" t="s">
        <v>3485</v>
      </c>
      <c r="BB132"/>
      <c r="BC132"/>
      <c r="BD132"/>
      <c r="BE132"/>
      <c r="BF132"/>
      <c r="BG132"/>
      <c r="BH132"/>
      <c r="BI132"/>
      <c r="BJ132"/>
      <c r="BK132"/>
      <c r="BL132"/>
      <c r="BM132"/>
      <c r="BN132"/>
      <c r="BO132"/>
      <c r="BP132" t="s">
        <v>2480</v>
      </c>
      <c r="BQ132" t="s">
        <v>4599</v>
      </c>
      <c r="BR132" t="s">
        <v>2480</v>
      </c>
      <c r="BS132" t="s">
        <v>2854</v>
      </c>
      <c r="BT132" t="s">
        <v>2897</v>
      </c>
      <c r="BU132" t="s">
        <v>4598</v>
      </c>
      <c r="BV132" t="s">
        <v>2869</v>
      </c>
      <c r="BW132" t="s">
        <v>3365</v>
      </c>
      <c r="BX132" t="s">
        <v>4597</v>
      </c>
      <c r="BY132"/>
      <c r="BZ132"/>
      <c r="CA132"/>
      <c r="CB132"/>
      <c r="CC132"/>
      <c r="CD132"/>
      <c r="CE132"/>
      <c r="CF132"/>
      <c r="CG132"/>
      <c r="CH132"/>
      <c r="CI132"/>
      <c r="CJ132"/>
      <c r="CK132"/>
      <c r="CL132"/>
      <c r="CM132"/>
      <c r="CN132"/>
      <c r="CO132"/>
      <c r="CP132"/>
      <c r="CQ132"/>
      <c r="CR132"/>
      <c r="CS132"/>
      <c r="CT132"/>
      <c r="CU132"/>
      <c r="CV132"/>
      <c r="CW132"/>
      <c r="CX132" t="s">
        <v>2454</v>
      </c>
      <c r="CY132">
        <v>324</v>
      </c>
      <c r="CZ132" t="s">
        <v>2453</v>
      </c>
    </row>
    <row r="133" spans="1:104" ht="14.25">
      <c r="A133" t="s">
        <v>4596</v>
      </c>
      <c r="B133" t="s">
        <v>4595</v>
      </c>
      <c r="C133" t="s">
        <v>4594</v>
      </c>
      <c r="D133">
        <v>2</v>
      </c>
      <c r="E133" t="s">
        <v>2680</v>
      </c>
      <c r="F133" t="s">
        <v>2985</v>
      </c>
      <c r="G133" t="s">
        <v>2690</v>
      </c>
      <c r="H133"/>
      <c r="I133"/>
      <c r="J133" t="s">
        <v>2013</v>
      </c>
      <c r="K133"/>
      <c r="L133"/>
      <c r="M133">
        <v>14</v>
      </c>
      <c r="N133">
        <v>42</v>
      </c>
      <c r="O133">
        <v>5</v>
      </c>
      <c r="P133">
        <v>12</v>
      </c>
      <c r="Q133">
        <v>10</v>
      </c>
      <c r="R133" t="s">
        <v>2464</v>
      </c>
      <c r="S133" t="s">
        <v>2586</v>
      </c>
      <c r="T133" t="s">
        <v>4593</v>
      </c>
      <c r="U133" t="s">
        <v>2462</v>
      </c>
      <c r="V133">
        <v>60</v>
      </c>
      <c r="W133"/>
      <c r="X133"/>
      <c r="Y133"/>
      <c r="Z133"/>
      <c r="AA133">
        <v>19</v>
      </c>
      <c r="AB133">
        <v>16</v>
      </c>
      <c r="AC133">
        <v>14</v>
      </c>
      <c r="AD133">
        <v>7</v>
      </c>
      <c r="AE133">
        <v>14</v>
      </c>
      <c r="AF133">
        <v>10</v>
      </c>
      <c r="AG133">
        <v>325</v>
      </c>
      <c r="AH133"/>
      <c r="AI133"/>
      <c r="AJ133"/>
      <c r="AK133"/>
      <c r="AL133"/>
      <c r="AM133"/>
      <c r="AN133">
        <v>25</v>
      </c>
      <c r="AO133">
        <v>370</v>
      </c>
      <c r="AP133"/>
      <c r="AQ133"/>
      <c r="AR133"/>
      <c r="AS133"/>
      <c r="AT133"/>
      <c r="AU133"/>
      <c r="AV133"/>
      <c r="AW133"/>
      <c r="AX133"/>
      <c r="AY133" t="s">
        <v>2971</v>
      </c>
      <c r="AZ133" t="s">
        <v>4592</v>
      </c>
      <c r="BA133" t="s">
        <v>2805</v>
      </c>
      <c r="BB133"/>
      <c r="BC133"/>
      <c r="BD133"/>
      <c r="BE133"/>
      <c r="BF133"/>
      <c r="BG133"/>
      <c r="BH133"/>
      <c r="BI133"/>
      <c r="BJ133"/>
      <c r="BK133"/>
      <c r="BL133"/>
      <c r="BM133"/>
      <c r="BN133"/>
      <c r="BO133"/>
      <c r="BP133" t="s">
        <v>3400</v>
      </c>
      <c r="BQ133" t="s">
        <v>4591</v>
      </c>
      <c r="BR133" t="s">
        <v>4590</v>
      </c>
      <c r="BS133" t="s">
        <v>2844</v>
      </c>
      <c r="BT133" t="s">
        <v>4589</v>
      </c>
      <c r="BU133" t="s">
        <v>4588</v>
      </c>
      <c r="BV133"/>
      <c r="BW133"/>
      <c r="BX133"/>
      <c r="BY133"/>
      <c r="BZ133"/>
      <c r="CA133"/>
      <c r="CB133"/>
      <c r="CC133"/>
      <c r="CD133"/>
      <c r="CE133"/>
      <c r="CF133"/>
      <c r="CG133"/>
      <c r="CH133"/>
      <c r="CI133"/>
      <c r="CJ133"/>
      <c r="CK133"/>
      <c r="CL133"/>
      <c r="CM133"/>
      <c r="CN133"/>
      <c r="CO133"/>
      <c r="CP133"/>
      <c r="CQ133"/>
      <c r="CR133"/>
      <c r="CS133"/>
      <c r="CT133"/>
      <c r="CU133"/>
      <c r="CV133"/>
      <c r="CW133"/>
      <c r="CX133" t="s">
        <v>2454</v>
      </c>
      <c r="CY133">
        <v>325</v>
      </c>
      <c r="CZ133" t="s">
        <v>2453</v>
      </c>
    </row>
    <row r="134" spans="1:104" ht="14.25">
      <c r="A134" t="s">
        <v>4587</v>
      </c>
      <c r="B134" t="s">
        <v>4586</v>
      </c>
      <c r="C134" t="s">
        <v>4585</v>
      </c>
      <c r="D134">
        <v>0</v>
      </c>
      <c r="E134" t="s">
        <v>2680</v>
      </c>
      <c r="F134" t="s">
        <v>2644</v>
      </c>
      <c r="G134" t="s">
        <v>2690</v>
      </c>
      <c r="H134"/>
      <c r="I134"/>
      <c r="J134" t="s">
        <v>2013</v>
      </c>
      <c r="K134"/>
      <c r="L134"/>
      <c r="M134">
        <v>13</v>
      </c>
      <c r="N134">
        <v>4</v>
      </c>
      <c r="O134">
        <v>1</v>
      </c>
      <c r="P134">
        <v>6</v>
      </c>
      <c r="Q134">
        <v>1</v>
      </c>
      <c r="R134" t="s">
        <v>2464</v>
      </c>
      <c r="S134" t="s">
        <v>4584</v>
      </c>
      <c r="T134" t="s">
        <v>2462</v>
      </c>
      <c r="U134" t="s">
        <v>2462</v>
      </c>
      <c r="V134">
        <v>30</v>
      </c>
      <c r="W134"/>
      <c r="X134"/>
      <c r="Y134"/>
      <c r="Z134"/>
      <c r="AA134">
        <v>8</v>
      </c>
      <c r="AB134">
        <v>10</v>
      </c>
      <c r="AC134">
        <v>12</v>
      </c>
      <c r="AD134">
        <v>1</v>
      </c>
      <c r="AE134">
        <v>7</v>
      </c>
      <c r="AF134">
        <v>3</v>
      </c>
      <c r="AG134">
        <v>325</v>
      </c>
      <c r="AH134"/>
      <c r="AI134"/>
      <c r="AJ134"/>
      <c r="AK134"/>
      <c r="AL134"/>
      <c r="AM134"/>
      <c r="AN134">
        <v>25</v>
      </c>
      <c r="AO134">
        <v>370</v>
      </c>
      <c r="AP134"/>
      <c r="AQ134"/>
      <c r="AR134"/>
      <c r="AS134"/>
      <c r="AT134"/>
      <c r="AU134"/>
      <c r="AV134"/>
      <c r="AW134"/>
      <c r="AX134"/>
      <c r="AY134" t="s">
        <v>3791</v>
      </c>
      <c r="AZ134" t="s">
        <v>4583</v>
      </c>
      <c r="BA134" t="s">
        <v>3791</v>
      </c>
      <c r="BB134"/>
      <c r="BC134"/>
      <c r="BD134"/>
      <c r="BE134"/>
      <c r="BF134"/>
      <c r="BG134"/>
      <c r="BH134"/>
      <c r="BI134"/>
      <c r="BJ134"/>
      <c r="BK134"/>
      <c r="BL134"/>
      <c r="BM134"/>
      <c r="BN134"/>
      <c r="BO134"/>
      <c r="BP134" t="s">
        <v>2479</v>
      </c>
      <c r="BQ134" t="s">
        <v>4582</v>
      </c>
      <c r="BR134" t="s">
        <v>4581</v>
      </c>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t="s">
        <v>2454</v>
      </c>
      <c r="CY134">
        <v>325</v>
      </c>
      <c r="CZ134" t="s">
        <v>2453</v>
      </c>
    </row>
    <row r="135" spans="1:104" ht="14.25">
      <c r="A135" t="s">
        <v>4580</v>
      </c>
      <c r="B135" t="s">
        <v>4579</v>
      </c>
      <c r="C135" t="s">
        <v>4578</v>
      </c>
      <c r="D135">
        <v>0.25</v>
      </c>
      <c r="E135" t="s">
        <v>2680</v>
      </c>
      <c r="F135" t="s">
        <v>2467</v>
      </c>
      <c r="G135" t="s">
        <v>2690</v>
      </c>
      <c r="H135"/>
      <c r="I135"/>
      <c r="J135" t="s">
        <v>2013</v>
      </c>
      <c r="K135"/>
      <c r="L135"/>
      <c r="M135">
        <v>11</v>
      </c>
      <c r="N135">
        <v>18</v>
      </c>
      <c r="O135">
        <v>4</v>
      </c>
      <c r="P135">
        <v>8</v>
      </c>
      <c r="Q135"/>
      <c r="R135" t="s">
        <v>2464</v>
      </c>
      <c r="S135" t="s">
        <v>2463</v>
      </c>
      <c r="T135" t="s">
        <v>2462</v>
      </c>
      <c r="U135" t="s">
        <v>2462</v>
      </c>
      <c r="V135">
        <v>30</v>
      </c>
      <c r="W135"/>
      <c r="X135"/>
      <c r="Y135"/>
      <c r="Z135">
        <v>30</v>
      </c>
      <c r="AA135">
        <v>12</v>
      </c>
      <c r="AB135">
        <v>13</v>
      </c>
      <c r="AC135">
        <v>11</v>
      </c>
      <c r="AD135">
        <v>2</v>
      </c>
      <c r="AE135">
        <v>10</v>
      </c>
      <c r="AF135">
        <v>3</v>
      </c>
      <c r="AG135">
        <v>325</v>
      </c>
      <c r="AH135"/>
      <c r="AI135"/>
      <c r="AJ135"/>
      <c r="AK135"/>
      <c r="AL135"/>
      <c r="AM135"/>
      <c r="AN135">
        <v>25</v>
      </c>
      <c r="AO135">
        <v>371</v>
      </c>
      <c r="AP135">
        <v>10</v>
      </c>
      <c r="AQ135"/>
      <c r="AR135"/>
      <c r="AS135"/>
      <c r="AT135"/>
      <c r="AU135"/>
      <c r="AV135" t="s">
        <v>4577</v>
      </c>
      <c r="AW135"/>
      <c r="AX135"/>
      <c r="AY135" t="s">
        <v>2520</v>
      </c>
      <c r="AZ135" t="s">
        <v>4576</v>
      </c>
      <c r="BA135" t="s">
        <v>2520</v>
      </c>
      <c r="BB135" t="s">
        <v>4496</v>
      </c>
      <c r="BC135" t="s">
        <v>4575</v>
      </c>
      <c r="BD135" t="s">
        <v>4496</v>
      </c>
      <c r="BE135"/>
      <c r="BF135"/>
      <c r="BG135"/>
      <c r="BH135"/>
      <c r="BI135"/>
      <c r="BJ135"/>
      <c r="BK135"/>
      <c r="BL135"/>
      <c r="BM135"/>
      <c r="BN135"/>
      <c r="BO135"/>
      <c r="BP135" t="s">
        <v>2479</v>
      </c>
      <c r="BQ135" t="s">
        <v>4574</v>
      </c>
      <c r="BR135" t="s">
        <v>3937</v>
      </c>
      <c r="BS135" t="s">
        <v>3055</v>
      </c>
      <c r="BT135" t="s">
        <v>4573</v>
      </c>
      <c r="BU135" t="s">
        <v>3055</v>
      </c>
      <c r="BV135"/>
      <c r="BW135"/>
      <c r="BX135"/>
      <c r="BY135"/>
      <c r="BZ135"/>
      <c r="CA135"/>
      <c r="CB135"/>
      <c r="CC135"/>
      <c r="CD135"/>
      <c r="CE135"/>
      <c r="CF135"/>
      <c r="CG135"/>
      <c r="CH135"/>
      <c r="CI135"/>
      <c r="CJ135"/>
      <c r="CK135"/>
      <c r="CL135"/>
      <c r="CM135"/>
      <c r="CN135"/>
      <c r="CO135"/>
      <c r="CP135"/>
      <c r="CQ135"/>
      <c r="CR135"/>
      <c r="CS135"/>
      <c r="CT135"/>
      <c r="CU135"/>
      <c r="CV135"/>
      <c r="CW135"/>
      <c r="CX135" t="s">
        <v>2454</v>
      </c>
      <c r="CY135">
        <v>325</v>
      </c>
      <c r="CZ135" t="s">
        <v>2453</v>
      </c>
    </row>
    <row r="136" spans="1:104" ht="14.25">
      <c r="A136" t="s">
        <v>4572</v>
      </c>
      <c r="B136" t="s">
        <v>4571</v>
      </c>
      <c r="C136" t="s">
        <v>4570</v>
      </c>
      <c r="D136">
        <v>0.25</v>
      </c>
      <c r="E136" t="s">
        <v>2680</v>
      </c>
      <c r="F136" t="s">
        <v>2489</v>
      </c>
      <c r="G136" t="s">
        <v>2690</v>
      </c>
      <c r="H136"/>
      <c r="I136"/>
      <c r="J136" t="s">
        <v>2013</v>
      </c>
      <c r="K136"/>
      <c r="L136"/>
      <c r="M136">
        <v>11</v>
      </c>
      <c r="N136">
        <v>19</v>
      </c>
      <c r="O136">
        <v>3</v>
      </c>
      <c r="P136">
        <v>10</v>
      </c>
      <c r="Q136">
        <v>3</v>
      </c>
      <c r="R136" t="s">
        <v>2464</v>
      </c>
      <c r="S136" t="s">
        <v>3493</v>
      </c>
      <c r="T136" t="s">
        <v>2462</v>
      </c>
      <c r="U136" t="s">
        <v>2462</v>
      </c>
      <c r="V136">
        <v>40</v>
      </c>
      <c r="W136"/>
      <c r="X136"/>
      <c r="Y136"/>
      <c r="Z136"/>
      <c r="AA136">
        <v>17</v>
      </c>
      <c r="AB136">
        <v>11</v>
      </c>
      <c r="AC136">
        <v>12</v>
      </c>
      <c r="AD136">
        <v>3</v>
      </c>
      <c r="AE136">
        <v>12</v>
      </c>
      <c r="AF136">
        <v>6</v>
      </c>
      <c r="AG136">
        <v>326</v>
      </c>
      <c r="AH136"/>
      <c r="AI136"/>
      <c r="AJ136"/>
      <c r="AK136"/>
      <c r="AL136"/>
      <c r="AM136"/>
      <c r="AN136">
        <v>25</v>
      </c>
      <c r="AO136">
        <v>371</v>
      </c>
      <c r="AP136"/>
      <c r="AQ136"/>
      <c r="AR136"/>
      <c r="AS136" t="s">
        <v>4569</v>
      </c>
      <c r="AT136"/>
      <c r="AU136"/>
      <c r="AV136"/>
      <c r="AW136"/>
      <c r="AX136" t="s">
        <v>3940</v>
      </c>
      <c r="AY136" t="s">
        <v>2971</v>
      </c>
      <c r="AZ136" t="s">
        <v>4568</v>
      </c>
      <c r="BA136" t="s">
        <v>4567</v>
      </c>
      <c r="BB136" t="s">
        <v>3857</v>
      </c>
      <c r="BC136" t="s">
        <v>4418</v>
      </c>
      <c r="BD136" t="s">
        <v>3857</v>
      </c>
      <c r="BE136"/>
      <c r="BF136"/>
      <c r="BG136"/>
      <c r="BH136"/>
      <c r="BI136"/>
      <c r="BJ136"/>
      <c r="BK136"/>
      <c r="BL136"/>
      <c r="BM136"/>
      <c r="BN136"/>
      <c r="BO136"/>
      <c r="BP136" t="s">
        <v>3400</v>
      </c>
      <c r="BQ136" t="s">
        <v>3492</v>
      </c>
      <c r="BR136" t="s">
        <v>4566</v>
      </c>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t="s">
        <v>2454</v>
      </c>
      <c r="CY136">
        <v>326</v>
      </c>
      <c r="CZ136" t="s">
        <v>2453</v>
      </c>
    </row>
    <row r="137" spans="1:104" ht="14.25">
      <c r="A137" t="s">
        <v>4565</v>
      </c>
      <c r="B137" t="s">
        <v>4564</v>
      </c>
      <c r="C137" t="s">
        <v>4563</v>
      </c>
      <c r="D137">
        <v>1</v>
      </c>
      <c r="E137" t="s">
        <v>2680</v>
      </c>
      <c r="F137" t="s">
        <v>2489</v>
      </c>
      <c r="G137" t="s">
        <v>2690</v>
      </c>
      <c r="H137"/>
      <c r="I137"/>
      <c r="J137" t="s">
        <v>2013</v>
      </c>
      <c r="K137"/>
      <c r="L137"/>
      <c r="M137">
        <v>12</v>
      </c>
      <c r="N137">
        <v>45</v>
      </c>
      <c r="O137">
        <v>6</v>
      </c>
      <c r="P137">
        <v>10</v>
      </c>
      <c r="Q137">
        <v>12</v>
      </c>
      <c r="R137" t="s">
        <v>2464</v>
      </c>
      <c r="S137" t="s">
        <v>2679</v>
      </c>
      <c r="T137" t="s">
        <v>2462</v>
      </c>
      <c r="U137" t="s">
        <v>2462</v>
      </c>
      <c r="V137">
        <v>50</v>
      </c>
      <c r="W137"/>
      <c r="X137"/>
      <c r="Y137"/>
      <c r="Z137"/>
      <c r="AA137">
        <v>16</v>
      </c>
      <c r="AB137">
        <v>14</v>
      </c>
      <c r="AC137">
        <v>14</v>
      </c>
      <c r="AD137">
        <v>2</v>
      </c>
      <c r="AE137">
        <v>12</v>
      </c>
      <c r="AF137">
        <v>7</v>
      </c>
      <c r="AG137">
        <v>326</v>
      </c>
      <c r="AH137"/>
      <c r="AI137"/>
      <c r="AJ137"/>
      <c r="AK137"/>
      <c r="AL137"/>
      <c r="AM137"/>
      <c r="AN137">
        <v>26</v>
      </c>
      <c r="AO137">
        <v>371</v>
      </c>
      <c r="AP137"/>
      <c r="AQ137"/>
      <c r="AR137"/>
      <c r="AS137"/>
      <c r="AT137"/>
      <c r="AU137"/>
      <c r="AV137"/>
      <c r="AW137"/>
      <c r="AX137"/>
      <c r="AY137" t="s">
        <v>4426</v>
      </c>
      <c r="AZ137" t="s">
        <v>4562</v>
      </c>
      <c r="BA137" t="s">
        <v>4426</v>
      </c>
      <c r="BB137"/>
      <c r="BC137"/>
      <c r="BD137"/>
      <c r="BE137"/>
      <c r="BF137"/>
      <c r="BG137"/>
      <c r="BH137"/>
      <c r="BI137"/>
      <c r="BJ137"/>
      <c r="BK137"/>
      <c r="BL137"/>
      <c r="BM137"/>
      <c r="BN137"/>
      <c r="BO137"/>
      <c r="BP137" t="s">
        <v>2479</v>
      </c>
      <c r="BQ137" t="s">
        <v>4561</v>
      </c>
      <c r="BR137" t="s">
        <v>4560</v>
      </c>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t="s">
        <v>2454</v>
      </c>
      <c r="CY137">
        <v>326</v>
      </c>
      <c r="CZ137" t="s">
        <v>2453</v>
      </c>
    </row>
    <row r="138" spans="1:104" ht="14.25">
      <c r="A138" t="s">
        <v>4559</v>
      </c>
      <c r="B138" t="s">
        <v>4558</v>
      </c>
      <c r="C138" t="s">
        <v>4557</v>
      </c>
      <c r="D138">
        <v>0.25</v>
      </c>
      <c r="E138" t="s">
        <v>2680</v>
      </c>
      <c r="F138" t="s">
        <v>2489</v>
      </c>
      <c r="G138" t="s">
        <v>2690</v>
      </c>
      <c r="H138"/>
      <c r="I138"/>
      <c r="J138" t="s">
        <v>2013</v>
      </c>
      <c r="K138"/>
      <c r="L138"/>
      <c r="M138">
        <v>12</v>
      </c>
      <c r="N138">
        <v>19</v>
      </c>
      <c r="O138">
        <v>3</v>
      </c>
      <c r="P138">
        <v>10</v>
      </c>
      <c r="Q138">
        <v>3</v>
      </c>
      <c r="R138" t="s">
        <v>2464</v>
      </c>
      <c r="S138" t="s">
        <v>2758</v>
      </c>
      <c r="T138" t="s">
        <v>2462</v>
      </c>
      <c r="U138" t="s">
        <v>2462</v>
      </c>
      <c r="V138">
        <v>30</v>
      </c>
      <c r="W138"/>
      <c r="X138">
        <v>30</v>
      </c>
      <c r="Y138"/>
      <c r="Z138"/>
      <c r="AA138">
        <v>15</v>
      </c>
      <c r="AB138">
        <v>12</v>
      </c>
      <c r="AC138">
        <v>13</v>
      </c>
      <c r="AD138">
        <v>2</v>
      </c>
      <c r="AE138">
        <v>10</v>
      </c>
      <c r="AF138">
        <v>5</v>
      </c>
      <c r="AG138">
        <v>326</v>
      </c>
      <c r="AH138"/>
      <c r="AI138"/>
      <c r="AJ138"/>
      <c r="AK138"/>
      <c r="AL138"/>
      <c r="AM138"/>
      <c r="AN138">
        <v>26</v>
      </c>
      <c r="AO138">
        <v>372</v>
      </c>
      <c r="AP138">
        <v>10</v>
      </c>
      <c r="AQ138"/>
      <c r="AR138"/>
      <c r="AS138"/>
      <c r="AT138"/>
      <c r="AU138"/>
      <c r="AV138"/>
      <c r="AW138"/>
      <c r="AX138"/>
      <c r="AY138" t="s">
        <v>4555</v>
      </c>
      <c r="AZ138" t="s">
        <v>4556</v>
      </c>
      <c r="BA138" t="s">
        <v>4555</v>
      </c>
      <c r="BB138" t="s">
        <v>4553</v>
      </c>
      <c r="BC138" t="s">
        <v>4554</v>
      </c>
      <c r="BD138" t="s">
        <v>4553</v>
      </c>
      <c r="BE138"/>
      <c r="BF138"/>
      <c r="BG138"/>
      <c r="BH138"/>
      <c r="BI138"/>
      <c r="BJ138"/>
      <c r="BK138"/>
      <c r="BL138"/>
      <c r="BM138"/>
      <c r="BN138"/>
      <c r="BO138"/>
      <c r="BP138" t="s">
        <v>2479</v>
      </c>
      <c r="BQ138" t="s">
        <v>2633</v>
      </c>
      <c r="BR138" t="s">
        <v>3512</v>
      </c>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t="s">
        <v>2454</v>
      </c>
      <c r="CY138">
        <v>326</v>
      </c>
      <c r="CZ138" t="s">
        <v>2453</v>
      </c>
    </row>
    <row r="139" spans="1:104" ht="14.25">
      <c r="A139" t="s">
        <v>4552</v>
      </c>
      <c r="B139" t="s">
        <v>4551</v>
      </c>
      <c r="C139" t="s">
        <v>4550</v>
      </c>
      <c r="D139">
        <v>1</v>
      </c>
      <c r="E139" t="s">
        <v>2680</v>
      </c>
      <c r="F139" t="s">
        <v>2489</v>
      </c>
      <c r="G139" t="s">
        <v>2690</v>
      </c>
      <c r="H139"/>
      <c r="I139"/>
      <c r="J139" t="s">
        <v>2013</v>
      </c>
      <c r="K139"/>
      <c r="L139"/>
      <c r="M139">
        <v>11</v>
      </c>
      <c r="N139">
        <v>52</v>
      </c>
      <c r="O139">
        <v>8</v>
      </c>
      <c r="P139">
        <v>10</v>
      </c>
      <c r="Q139">
        <v>8</v>
      </c>
      <c r="R139" t="s">
        <v>2464</v>
      </c>
      <c r="S139" t="s">
        <v>2679</v>
      </c>
      <c r="T139" t="s">
        <v>2462</v>
      </c>
      <c r="U139" t="s">
        <v>2462</v>
      </c>
      <c r="V139">
        <v>10</v>
      </c>
      <c r="W139"/>
      <c r="X139"/>
      <c r="Y139"/>
      <c r="Z139">
        <v>60</v>
      </c>
      <c r="AA139">
        <v>17</v>
      </c>
      <c r="AB139">
        <v>13</v>
      </c>
      <c r="AC139">
        <v>13</v>
      </c>
      <c r="AD139">
        <v>4</v>
      </c>
      <c r="AE139">
        <v>10</v>
      </c>
      <c r="AF139">
        <v>4</v>
      </c>
      <c r="AG139">
        <v>326</v>
      </c>
      <c r="AH139"/>
      <c r="AI139"/>
      <c r="AJ139"/>
      <c r="AK139"/>
      <c r="AL139"/>
      <c r="AM139"/>
      <c r="AN139">
        <v>26</v>
      </c>
      <c r="AO139">
        <v>372</v>
      </c>
      <c r="AP139"/>
      <c r="AQ139">
        <v>15</v>
      </c>
      <c r="AR139"/>
      <c r="AS139" t="s">
        <v>4549</v>
      </c>
      <c r="AT139"/>
      <c r="AU139"/>
      <c r="AV139"/>
      <c r="AW139"/>
      <c r="AX139" t="s">
        <v>4548</v>
      </c>
      <c r="AY139" t="s">
        <v>3634</v>
      </c>
      <c r="AZ139" t="s">
        <v>4547</v>
      </c>
      <c r="BA139" t="s">
        <v>3634</v>
      </c>
      <c r="BB139" t="s">
        <v>3763</v>
      </c>
      <c r="BC139" t="s">
        <v>3764</v>
      </c>
      <c r="BD139" t="s">
        <v>3763</v>
      </c>
      <c r="BE139" t="s">
        <v>3102</v>
      </c>
      <c r="BF139" t="s">
        <v>3762</v>
      </c>
      <c r="BG139" t="s">
        <v>3102</v>
      </c>
      <c r="BH139"/>
      <c r="BI139"/>
      <c r="BJ139"/>
      <c r="BK139"/>
      <c r="BL139"/>
      <c r="BM139"/>
      <c r="BN139"/>
      <c r="BO139"/>
      <c r="BP139" t="s">
        <v>3761</v>
      </c>
      <c r="BQ139" t="s">
        <v>4546</v>
      </c>
      <c r="BR139" t="s">
        <v>4545</v>
      </c>
      <c r="BS139" t="s">
        <v>3757</v>
      </c>
      <c r="BT139" t="s">
        <v>4544</v>
      </c>
      <c r="BU139" t="s">
        <v>3757</v>
      </c>
      <c r="BV139"/>
      <c r="BW139"/>
      <c r="BX139"/>
      <c r="BY139"/>
      <c r="BZ139"/>
      <c r="CA139"/>
      <c r="CB139"/>
      <c r="CC139"/>
      <c r="CD139"/>
      <c r="CE139"/>
      <c r="CF139"/>
      <c r="CG139"/>
      <c r="CH139"/>
      <c r="CI139"/>
      <c r="CJ139"/>
      <c r="CK139"/>
      <c r="CL139"/>
      <c r="CM139"/>
      <c r="CN139"/>
      <c r="CO139"/>
      <c r="CP139"/>
      <c r="CQ139"/>
      <c r="CR139"/>
      <c r="CS139"/>
      <c r="CT139"/>
      <c r="CU139"/>
      <c r="CV139"/>
      <c r="CW139"/>
      <c r="CX139" t="s">
        <v>2454</v>
      </c>
      <c r="CY139">
        <v>326</v>
      </c>
      <c r="CZ139" t="s">
        <v>2453</v>
      </c>
    </row>
    <row r="140" spans="1:104" ht="14.25">
      <c r="A140" t="s">
        <v>4543</v>
      </c>
      <c r="B140" t="s">
        <v>4542</v>
      </c>
      <c r="C140" t="s">
        <v>4541</v>
      </c>
      <c r="D140">
        <v>0.25</v>
      </c>
      <c r="E140" t="s">
        <v>2680</v>
      </c>
      <c r="F140" t="s">
        <v>2489</v>
      </c>
      <c r="G140" t="s">
        <v>2690</v>
      </c>
      <c r="H140"/>
      <c r="I140"/>
      <c r="J140" t="s">
        <v>1997</v>
      </c>
      <c r="K140"/>
      <c r="L140"/>
      <c r="M140">
        <v>12</v>
      </c>
      <c r="N140">
        <v>19</v>
      </c>
      <c r="O140">
        <v>3</v>
      </c>
      <c r="P140">
        <v>10</v>
      </c>
      <c r="Q140">
        <v>3</v>
      </c>
      <c r="R140" t="s">
        <v>2464</v>
      </c>
      <c r="S140" t="s">
        <v>4540</v>
      </c>
      <c r="T140" t="s">
        <v>2462</v>
      </c>
      <c r="U140" t="s">
        <v>2462</v>
      </c>
      <c r="V140">
        <v>5</v>
      </c>
      <c r="W140"/>
      <c r="X140"/>
      <c r="Y140">
        <v>60</v>
      </c>
      <c r="Z140"/>
      <c r="AA140">
        <v>13</v>
      </c>
      <c r="AB140">
        <v>15</v>
      </c>
      <c r="AC140">
        <v>12</v>
      </c>
      <c r="AD140">
        <v>8</v>
      </c>
      <c r="AE140">
        <v>13</v>
      </c>
      <c r="AF140">
        <v>10</v>
      </c>
      <c r="AG140">
        <v>327</v>
      </c>
      <c r="AH140"/>
      <c r="AI140"/>
      <c r="AJ140"/>
      <c r="AK140"/>
      <c r="AL140"/>
      <c r="AM140"/>
      <c r="AN140">
        <v>26</v>
      </c>
      <c r="AO140">
        <v>372</v>
      </c>
      <c r="AP140"/>
      <c r="AQ140"/>
      <c r="AR140"/>
      <c r="AS140"/>
      <c r="AT140"/>
      <c r="AU140"/>
      <c r="AV140"/>
      <c r="AW140"/>
      <c r="AX140"/>
      <c r="AY140" t="s">
        <v>3589</v>
      </c>
      <c r="AZ140" t="s">
        <v>3700</v>
      </c>
      <c r="BA140" t="s">
        <v>3589</v>
      </c>
      <c r="BB140" t="s">
        <v>3381</v>
      </c>
      <c r="BC140" t="s">
        <v>3699</v>
      </c>
      <c r="BD140" t="s">
        <v>3381</v>
      </c>
      <c r="BE140"/>
      <c r="BF140"/>
      <c r="BG140"/>
      <c r="BH140"/>
      <c r="BI140"/>
      <c r="BJ140"/>
      <c r="BK140"/>
      <c r="BL140"/>
      <c r="BM140"/>
      <c r="BN140"/>
      <c r="BO140"/>
      <c r="BP140" t="s">
        <v>2869</v>
      </c>
      <c r="BQ140" t="s">
        <v>4539</v>
      </c>
      <c r="BR140" t="s">
        <v>4538</v>
      </c>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t="s">
        <v>2454</v>
      </c>
      <c r="CY140">
        <v>327</v>
      </c>
      <c r="CZ140" t="s">
        <v>2453</v>
      </c>
    </row>
    <row r="141" spans="1:104" ht="14.25">
      <c r="A141" t="s">
        <v>4537</v>
      </c>
      <c r="B141" t="s">
        <v>4536</v>
      </c>
      <c r="C141" t="s">
        <v>4535</v>
      </c>
      <c r="D141">
        <v>0.25</v>
      </c>
      <c r="E141" t="s">
        <v>2680</v>
      </c>
      <c r="F141" t="s">
        <v>2467</v>
      </c>
      <c r="G141" t="s">
        <v>2690</v>
      </c>
      <c r="H141"/>
      <c r="I141"/>
      <c r="J141" t="s">
        <v>2013</v>
      </c>
      <c r="K141"/>
      <c r="L141"/>
      <c r="M141">
        <v>14</v>
      </c>
      <c r="N141">
        <v>11</v>
      </c>
      <c r="O141">
        <v>2</v>
      </c>
      <c r="P141">
        <v>8</v>
      </c>
      <c r="Q141">
        <v>2</v>
      </c>
      <c r="R141" t="s">
        <v>2464</v>
      </c>
      <c r="S141" t="s">
        <v>4534</v>
      </c>
      <c r="T141" t="s">
        <v>2462</v>
      </c>
      <c r="U141" t="s">
        <v>2462</v>
      </c>
      <c r="V141">
        <v>30</v>
      </c>
      <c r="W141"/>
      <c r="X141"/>
      <c r="Y141"/>
      <c r="Z141">
        <v>30</v>
      </c>
      <c r="AA141">
        <v>10</v>
      </c>
      <c r="AB141">
        <v>18</v>
      </c>
      <c r="AC141">
        <v>13</v>
      </c>
      <c r="AD141">
        <v>2</v>
      </c>
      <c r="AE141">
        <v>10</v>
      </c>
      <c r="AF141">
        <v>3</v>
      </c>
      <c r="AG141">
        <v>327</v>
      </c>
      <c r="AH141"/>
      <c r="AI141"/>
      <c r="AJ141"/>
      <c r="AK141"/>
      <c r="AL141"/>
      <c r="AM141"/>
      <c r="AN141">
        <v>27</v>
      </c>
      <c r="AO141">
        <v>373</v>
      </c>
      <c r="AP141"/>
      <c r="AQ141"/>
      <c r="AR141"/>
      <c r="AS141"/>
      <c r="AT141"/>
      <c r="AU141"/>
      <c r="AV141"/>
      <c r="AW141"/>
      <c r="AX141"/>
      <c r="AY141"/>
      <c r="AZ141"/>
      <c r="BA141"/>
      <c r="BB141"/>
      <c r="BC141"/>
      <c r="BD141"/>
      <c r="BE141"/>
      <c r="BF141"/>
      <c r="BG141"/>
      <c r="BH141"/>
      <c r="BI141"/>
      <c r="BJ141"/>
      <c r="BK141"/>
      <c r="BL141"/>
      <c r="BM141"/>
      <c r="BN141"/>
      <c r="BO141"/>
      <c r="BP141" t="s">
        <v>2479</v>
      </c>
      <c r="BQ141" t="s">
        <v>4533</v>
      </c>
      <c r="BR141" t="s">
        <v>4532</v>
      </c>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t="s">
        <v>2454</v>
      </c>
      <c r="CY141">
        <v>327</v>
      </c>
      <c r="CZ141" t="s">
        <v>2453</v>
      </c>
    </row>
    <row r="142" spans="1:104" ht="14.25">
      <c r="A142" t="s">
        <v>4531</v>
      </c>
      <c r="B142" t="s">
        <v>4530</v>
      </c>
      <c r="C142" t="s">
        <v>4529</v>
      </c>
      <c r="D142">
        <v>0.125</v>
      </c>
      <c r="E142" t="s">
        <v>2680</v>
      </c>
      <c r="F142" t="s">
        <v>2644</v>
      </c>
      <c r="G142" t="s">
        <v>2690</v>
      </c>
      <c r="H142"/>
      <c r="I142"/>
      <c r="J142" t="s">
        <v>2013</v>
      </c>
      <c r="K142"/>
      <c r="L142"/>
      <c r="M142">
        <v>12</v>
      </c>
      <c r="N142">
        <v>7</v>
      </c>
      <c r="O142">
        <v>2</v>
      </c>
      <c r="P142">
        <v>6</v>
      </c>
      <c r="Q142"/>
      <c r="R142" t="s">
        <v>2464</v>
      </c>
      <c r="S142" t="s">
        <v>2793</v>
      </c>
      <c r="T142" t="s">
        <v>2462</v>
      </c>
      <c r="U142" t="s">
        <v>2462</v>
      </c>
      <c r="V142">
        <v>30</v>
      </c>
      <c r="W142"/>
      <c r="X142"/>
      <c r="Y142"/>
      <c r="Z142"/>
      <c r="AA142">
        <v>7</v>
      </c>
      <c r="AB142">
        <v>15</v>
      </c>
      <c r="AC142">
        <v>11</v>
      </c>
      <c r="AD142">
        <v>2</v>
      </c>
      <c r="AE142">
        <v>10</v>
      </c>
      <c r="AF142">
        <v>4</v>
      </c>
      <c r="AG142">
        <v>327</v>
      </c>
      <c r="AH142"/>
      <c r="AI142"/>
      <c r="AJ142"/>
      <c r="AK142"/>
      <c r="AL142"/>
      <c r="AM142"/>
      <c r="AN142">
        <v>27</v>
      </c>
      <c r="AO142">
        <v>373</v>
      </c>
      <c r="AP142"/>
      <c r="AQ142"/>
      <c r="AR142"/>
      <c r="AS142"/>
      <c r="AT142"/>
      <c r="AU142"/>
      <c r="AV142"/>
      <c r="AW142"/>
      <c r="AX142" t="s">
        <v>3095</v>
      </c>
      <c r="AY142" t="s">
        <v>2581</v>
      </c>
      <c r="AZ142" t="s">
        <v>3533</v>
      </c>
      <c r="BA142" t="s">
        <v>2581</v>
      </c>
      <c r="BB142" t="s">
        <v>2599</v>
      </c>
      <c r="BC142" t="s">
        <v>4528</v>
      </c>
      <c r="BD142" t="s">
        <v>2599</v>
      </c>
      <c r="BE142"/>
      <c r="BF142"/>
      <c r="BG142"/>
      <c r="BH142"/>
      <c r="BI142"/>
      <c r="BJ142"/>
      <c r="BK142"/>
      <c r="BL142"/>
      <c r="BM142"/>
      <c r="BN142"/>
      <c r="BO142"/>
      <c r="BP142" t="s">
        <v>2479</v>
      </c>
      <c r="BQ142" t="s">
        <v>3595</v>
      </c>
      <c r="BR142" t="s">
        <v>2787</v>
      </c>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t="s">
        <v>2454</v>
      </c>
      <c r="CY142">
        <v>327</v>
      </c>
      <c r="CZ142" t="s">
        <v>2453</v>
      </c>
    </row>
    <row r="143" spans="1:104" ht="14.25">
      <c r="A143" t="s">
        <v>4527</v>
      </c>
      <c r="B143" t="s">
        <v>4526</v>
      </c>
      <c r="C143" t="s">
        <v>4525</v>
      </c>
      <c r="D143">
        <v>3</v>
      </c>
      <c r="E143" t="s">
        <v>2680</v>
      </c>
      <c r="F143" t="s">
        <v>2489</v>
      </c>
      <c r="G143" t="s">
        <v>2690</v>
      </c>
      <c r="H143"/>
      <c r="I143"/>
      <c r="J143" t="s">
        <v>2013</v>
      </c>
      <c r="K143"/>
      <c r="L143"/>
      <c r="M143">
        <v>15</v>
      </c>
      <c r="N143">
        <v>52</v>
      </c>
      <c r="O143">
        <v>7</v>
      </c>
      <c r="P143">
        <v>10</v>
      </c>
      <c r="Q143">
        <v>14</v>
      </c>
      <c r="R143" t="s">
        <v>2464</v>
      </c>
      <c r="S143" t="s">
        <v>2758</v>
      </c>
      <c r="T143" t="s">
        <v>2733</v>
      </c>
      <c r="U143" t="s">
        <v>2462</v>
      </c>
      <c r="V143">
        <v>40</v>
      </c>
      <c r="W143"/>
      <c r="X143"/>
      <c r="Y143"/>
      <c r="Z143"/>
      <c r="AA143">
        <v>15</v>
      </c>
      <c r="AB143">
        <v>13</v>
      </c>
      <c r="AC143">
        <v>15</v>
      </c>
      <c r="AD143">
        <v>1</v>
      </c>
      <c r="AE143">
        <v>9</v>
      </c>
      <c r="AF143">
        <v>3</v>
      </c>
      <c r="AG143">
        <v>327</v>
      </c>
      <c r="AH143"/>
      <c r="AI143"/>
      <c r="AJ143"/>
      <c r="AK143"/>
      <c r="AL143"/>
      <c r="AM143"/>
      <c r="AN143">
        <v>27</v>
      </c>
      <c r="AO143">
        <v>373</v>
      </c>
      <c r="AP143"/>
      <c r="AQ143"/>
      <c r="AR143"/>
      <c r="AS143"/>
      <c r="AT143"/>
      <c r="AU143"/>
      <c r="AV143"/>
      <c r="AW143"/>
      <c r="AX143"/>
      <c r="AY143"/>
      <c r="AZ143"/>
      <c r="BA143"/>
      <c r="BB143"/>
      <c r="BC143"/>
      <c r="BD143"/>
      <c r="BE143"/>
      <c r="BF143"/>
      <c r="BG143"/>
      <c r="BH143"/>
      <c r="BI143"/>
      <c r="BJ143"/>
      <c r="BK143"/>
      <c r="BL143"/>
      <c r="BM143"/>
      <c r="BN143"/>
      <c r="BO143"/>
      <c r="BP143" t="s">
        <v>2476</v>
      </c>
      <c r="BQ143" t="s">
        <v>4524</v>
      </c>
      <c r="BR143" t="s">
        <v>4523</v>
      </c>
      <c r="BS143" t="s">
        <v>2480</v>
      </c>
      <c r="BT143" t="s">
        <v>4522</v>
      </c>
      <c r="BU143" t="s">
        <v>2480</v>
      </c>
      <c r="BV143" t="s">
        <v>3390</v>
      </c>
      <c r="BW143" t="s">
        <v>4521</v>
      </c>
      <c r="BX143" t="s">
        <v>4520</v>
      </c>
      <c r="BY143"/>
      <c r="BZ143"/>
      <c r="CA143"/>
      <c r="CB143"/>
      <c r="CC143"/>
      <c r="CD143"/>
      <c r="CE143"/>
      <c r="CF143"/>
      <c r="CG143"/>
      <c r="CH143"/>
      <c r="CI143"/>
      <c r="CJ143"/>
      <c r="CK143"/>
      <c r="CL143"/>
      <c r="CM143"/>
      <c r="CN143"/>
      <c r="CO143"/>
      <c r="CP143"/>
      <c r="CQ143"/>
      <c r="CR143"/>
      <c r="CS143"/>
      <c r="CT143"/>
      <c r="CU143"/>
      <c r="CV143"/>
      <c r="CW143"/>
      <c r="CX143" t="s">
        <v>2454</v>
      </c>
      <c r="CY143">
        <v>327</v>
      </c>
      <c r="CZ143" t="s">
        <v>2453</v>
      </c>
    </row>
    <row r="144" spans="1:104" ht="14.25">
      <c r="A144" t="s">
        <v>4519</v>
      </c>
      <c r="B144" t="s">
        <v>4518</v>
      </c>
      <c r="C144" t="s">
        <v>4517</v>
      </c>
      <c r="D144">
        <v>0.5</v>
      </c>
      <c r="E144" t="s">
        <v>2680</v>
      </c>
      <c r="F144" t="s">
        <v>2489</v>
      </c>
      <c r="G144" t="s">
        <v>2690</v>
      </c>
      <c r="H144"/>
      <c r="I144"/>
      <c r="J144" t="s">
        <v>2013</v>
      </c>
      <c r="K144"/>
      <c r="L144"/>
      <c r="M144">
        <v>13</v>
      </c>
      <c r="N144">
        <v>16</v>
      </c>
      <c r="O144">
        <v>3</v>
      </c>
      <c r="P144">
        <v>10</v>
      </c>
      <c r="Q144"/>
      <c r="R144" t="s">
        <v>2464</v>
      </c>
      <c r="S144" t="s">
        <v>2463</v>
      </c>
      <c r="T144" t="s">
        <v>2462</v>
      </c>
      <c r="U144" t="s">
        <v>2462</v>
      </c>
      <c r="V144">
        <v>0</v>
      </c>
      <c r="W144"/>
      <c r="X144"/>
      <c r="Y144"/>
      <c r="Z144">
        <v>40</v>
      </c>
      <c r="AA144">
        <v>12</v>
      </c>
      <c r="AB144">
        <v>15</v>
      </c>
      <c r="AC144">
        <v>11</v>
      </c>
      <c r="AD144">
        <v>2</v>
      </c>
      <c r="AE144">
        <v>12</v>
      </c>
      <c r="AF144">
        <v>5</v>
      </c>
      <c r="AG144">
        <v>328</v>
      </c>
      <c r="AH144"/>
      <c r="AI144"/>
      <c r="AJ144"/>
      <c r="AK144"/>
      <c r="AL144"/>
      <c r="AM144"/>
      <c r="AN144">
        <v>27</v>
      </c>
      <c r="AO144">
        <v>373</v>
      </c>
      <c r="AP144"/>
      <c r="AQ144"/>
      <c r="AR144"/>
      <c r="AS144"/>
      <c r="AT144"/>
      <c r="AU144"/>
      <c r="AV144"/>
      <c r="AW144"/>
      <c r="AX144"/>
      <c r="AY144" t="s">
        <v>2971</v>
      </c>
      <c r="AZ144" t="s">
        <v>4516</v>
      </c>
      <c r="BA144" t="s">
        <v>2805</v>
      </c>
      <c r="BB144" t="s">
        <v>3102</v>
      </c>
      <c r="BC144" t="s">
        <v>3356</v>
      </c>
      <c r="BD144" t="s">
        <v>3102</v>
      </c>
      <c r="BE144"/>
      <c r="BF144"/>
      <c r="BG144"/>
      <c r="BH144"/>
      <c r="BI144"/>
      <c r="BJ144"/>
      <c r="BK144"/>
      <c r="BL144"/>
      <c r="BM144"/>
      <c r="BN144"/>
      <c r="BO144"/>
      <c r="BP144" t="s">
        <v>3400</v>
      </c>
      <c r="BQ144" t="s">
        <v>2456</v>
      </c>
      <c r="BR144" t="s">
        <v>4515</v>
      </c>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t="s">
        <v>2454</v>
      </c>
      <c r="CY144">
        <v>328</v>
      </c>
      <c r="CZ144" t="s">
        <v>2453</v>
      </c>
    </row>
    <row r="145" spans="1:104" ht="14.25">
      <c r="A145" t="s">
        <v>4514</v>
      </c>
      <c r="B145" t="s">
        <v>4513</v>
      </c>
      <c r="C145" t="s">
        <v>4512</v>
      </c>
      <c r="D145">
        <v>5</v>
      </c>
      <c r="E145" t="s">
        <v>2680</v>
      </c>
      <c r="F145" t="s">
        <v>2985</v>
      </c>
      <c r="G145" t="s">
        <v>2690</v>
      </c>
      <c r="H145"/>
      <c r="I145"/>
      <c r="J145" t="s">
        <v>2013</v>
      </c>
      <c r="K145"/>
      <c r="L145"/>
      <c r="M145">
        <v>13</v>
      </c>
      <c r="N145">
        <v>126</v>
      </c>
      <c r="O145">
        <v>11</v>
      </c>
      <c r="P145">
        <v>12</v>
      </c>
      <c r="Q145">
        <v>55</v>
      </c>
      <c r="R145" t="s">
        <v>2464</v>
      </c>
      <c r="S145" t="s">
        <v>3015</v>
      </c>
      <c r="T145" t="s">
        <v>2462</v>
      </c>
      <c r="U145" t="s">
        <v>2462</v>
      </c>
      <c r="V145">
        <v>0</v>
      </c>
      <c r="W145"/>
      <c r="X145"/>
      <c r="Y145"/>
      <c r="Z145">
        <v>50</v>
      </c>
      <c r="AA145">
        <v>23</v>
      </c>
      <c r="AB145">
        <v>11</v>
      </c>
      <c r="AC145">
        <v>21</v>
      </c>
      <c r="AD145">
        <v>1</v>
      </c>
      <c r="AE145">
        <v>10</v>
      </c>
      <c r="AF145">
        <v>5</v>
      </c>
      <c r="AG145">
        <v>328</v>
      </c>
      <c r="AH145"/>
      <c r="AI145"/>
      <c r="AJ145"/>
      <c r="AK145"/>
      <c r="AL145"/>
      <c r="AM145"/>
      <c r="AN145">
        <v>28</v>
      </c>
      <c r="AO145">
        <v>374</v>
      </c>
      <c r="AP145"/>
      <c r="AQ145"/>
      <c r="AR145"/>
      <c r="AS145"/>
      <c r="AT145"/>
      <c r="AU145"/>
      <c r="AV145"/>
      <c r="AW145"/>
      <c r="AX145"/>
      <c r="AY145" t="s">
        <v>3105</v>
      </c>
      <c r="AZ145" t="s">
        <v>4218</v>
      </c>
      <c r="BA145" t="s">
        <v>3105</v>
      </c>
      <c r="BB145" t="s">
        <v>3102</v>
      </c>
      <c r="BC145" t="s">
        <v>3513</v>
      </c>
      <c r="BD145" t="s">
        <v>3102</v>
      </c>
      <c r="BE145"/>
      <c r="BF145"/>
      <c r="BG145"/>
      <c r="BH145"/>
      <c r="BI145"/>
      <c r="BJ145"/>
      <c r="BK145"/>
      <c r="BL145"/>
      <c r="BM145"/>
      <c r="BN145"/>
      <c r="BO145"/>
      <c r="BP145" t="s">
        <v>2479</v>
      </c>
      <c r="BQ145" t="s">
        <v>4511</v>
      </c>
      <c r="BR145" t="s">
        <v>4510</v>
      </c>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t="s">
        <v>2454</v>
      </c>
      <c r="CY145">
        <v>328</v>
      </c>
      <c r="CZ145" t="s">
        <v>2453</v>
      </c>
    </row>
    <row r="146" spans="1:104" ht="14.25">
      <c r="A146" t="s">
        <v>4509</v>
      </c>
      <c r="B146" t="s">
        <v>4508</v>
      </c>
      <c r="C146" t="s">
        <v>4507</v>
      </c>
      <c r="D146">
        <v>1</v>
      </c>
      <c r="E146" t="s">
        <v>2680</v>
      </c>
      <c r="F146" t="s">
        <v>2489</v>
      </c>
      <c r="G146" t="s">
        <v>2690</v>
      </c>
      <c r="H146" t="s">
        <v>3251</v>
      </c>
      <c r="I146"/>
      <c r="J146" t="s">
        <v>2013</v>
      </c>
      <c r="K146"/>
      <c r="L146"/>
      <c r="M146">
        <v>14</v>
      </c>
      <c r="N146">
        <v>26</v>
      </c>
      <c r="O146">
        <v>4</v>
      </c>
      <c r="P146">
        <v>10</v>
      </c>
      <c r="Q146">
        <v>4</v>
      </c>
      <c r="R146" t="s">
        <v>2464</v>
      </c>
      <c r="S146" t="s">
        <v>2777</v>
      </c>
      <c r="T146" t="s">
        <v>2462</v>
      </c>
      <c r="U146" t="s">
        <v>2462</v>
      </c>
      <c r="V146">
        <v>30</v>
      </c>
      <c r="W146"/>
      <c r="X146">
        <v>30</v>
      </c>
      <c r="Y146"/>
      <c r="Z146"/>
      <c r="AA146">
        <v>14</v>
      </c>
      <c r="AB146">
        <v>16</v>
      </c>
      <c r="AC146">
        <v>12</v>
      </c>
      <c r="AD146">
        <v>2</v>
      </c>
      <c r="AE146">
        <v>11</v>
      </c>
      <c r="AF146">
        <v>4</v>
      </c>
      <c r="AG146">
        <v>328</v>
      </c>
      <c r="AH146">
        <v>306</v>
      </c>
      <c r="AI146"/>
      <c r="AJ146">
        <v>58</v>
      </c>
      <c r="AK146"/>
      <c r="AL146"/>
      <c r="AM146"/>
      <c r="AN146">
        <v>28</v>
      </c>
      <c r="AO146">
        <v>374</v>
      </c>
      <c r="AP146">
        <v>10</v>
      </c>
      <c r="AQ146"/>
      <c r="AR146"/>
      <c r="AS146"/>
      <c r="AT146"/>
      <c r="AU146"/>
      <c r="AV146" t="s">
        <v>2716</v>
      </c>
      <c r="AW146"/>
      <c r="AX146"/>
      <c r="AY146" t="s">
        <v>2915</v>
      </c>
      <c r="AZ146" t="s">
        <v>3249</v>
      </c>
      <c r="BA146" t="s">
        <v>2915</v>
      </c>
      <c r="BB146" t="s">
        <v>3247</v>
      </c>
      <c r="BC146" t="s">
        <v>3248</v>
      </c>
      <c r="BD146" t="s">
        <v>3247</v>
      </c>
      <c r="BE146" t="s">
        <v>3245</v>
      </c>
      <c r="BF146" t="s">
        <v>3246</v>
      </c>
      <c r="BG146" t="s">
        <v>3245</v>
      </c>
      <c r="BH146"/>
      <c r="BI146"/>
      <c r="BJ146"/>
      <c r="BK146"/>
      <c r="BL146"/>
      <c r="BM146"/>
      <c r="BN146"/>
      <c r="BO146"/>
      <c r="BP146" t="s">
        <v>2479</v>
      </c>
      <c r="BQ146" t="s">
        <v>4506</v>
      </c>
      <c r="BR146" t="s">
        <v>3964</v>
      </c>
      <c r="BS146" t="s">
        <v>4505</v>
      </c>
      <c r="BT146" t="s">
        <v>4504</v>
      </c>
      <c r="BU146" t="s">
        <v>4503</v>
      </c>
      <c r="BV146"/>
      <c r="BW146"/>
      <c r="BX146"/>
      <c r="BY146"/>
      <c r="BZ146"/>
      <c r="CA146"/>
      <c r="CB146"/>
      <c r="CC146"/>
      <c r="CD146"/>
      <c r="CE146"/>
      <c r="CF146"/>
      <c r="CG146"/>
      <c r="CH146"/>
      <c r="CI146"/>
      <c r="CJ146"/>
      <c r="CK146"/>
      <c r="CL146"/>
      <c r="CM146"/>
      <c r="CN146"/>
      <c r="CO146"/>
      <c r="CP146"/>
      <c r="CQ146"/>
      <c r="CR146"/>
      <c r="CS146"/>
      <c r="CT146"/>
      <c r="CU146"/>
      <c r="CV146"/>
      <c r="CW146"/>
      <c r="CX146" t="s">
        <v>2454</v>
      </c>
      <c r="CY146">
        <v>328</v>
      </c>
      <c r="CZ146" t="s">
        <v>2453</v>
      </c>
    </row>
    <row r="147" spans="1:104" ht="14.25">
      <c r="A147" t="s">
        <v>4502</v>
      </c>
      <c r="B147" t="s">
        <v>4501</v>
      </c>
      <c r="C147" t="s">
        <v>4500</v>
      </c>
      <c r="D147">
        <v>1</v>
      </c>
      <c r="E147" t="s">
        <v>2680</v>
      </c>
      <c r="F147" t="s">
        <v>2489</v>
      </c>
      <c r="G147" t="s">
        <v>2690</v>
      </c>
      <c r="H147"/>
      <c r="I147"/>
      <c r="J147" t="s">
        <v>2013</v>
      </c>
      <c r="K147"/>
      <c r="L147"/>
      <c r="M147">
        <v>11</v>
      </c>
      <c r="N147">
        <v>39</v>
      </c>
      <c r="O147">
        <v>6</v>
      </c>
      <c r="P147">
        <v>10</v>
      </c>
      <c r="Q147">
        <v>6</v>
      </c>
      <c r="R147" t="s">
        <v>2464</v>
      </c>
      <c r="S147" t="s">
        <v>4499</v>
      </c>
      <c r="T147" t="s">
        <v>2462</v>
      </c>
      <c r="U147" t="s">
        <v>2462</v>
      </c>
      <c r="V147">
        <v>20</v>
      </c>
      <c r="W147"/>
      <c r="X147"/>
      <c r="Y147"/>
      <c r="Z147">
        <v>40</v>
      </c>
      <c r="AA147">
        <v>15</v>
      </c>
      <c r="AB147">
        <v>13</v>
      </c>
      <c r="AC147">
        <v>13</v>
      </c>
      <c r="AD147">
        <v>2</v>
      </c>
      <c r="AE147">
        <v>10</v>
      </c>
      <c r="AF147">
        <v>3</v>
      </c>
      <c r="AG147">
        <v>329</v>
      </c>
      <c r="AH147"/>
      <c r="AI147"/>
      <c r="AJ147"/>
      <c r="AK147"/>
      <c r="AL147"/>
      <c r="AM147"/>
      <c r="AN147">
        <v>28</v>
      </c>
      <c r="AO147">
        <v>375</v>
      </c>
      <c r="AP147"/>
      <c r="AQ147"/>
      <c r="AR147"/>
      <c r="AS147" t="s">
        <v>2888</v>
      </c>
      <c r="AT147"/>
      <c r="AU147"/>
      <c r="AV147"/>
      <c r="AW147"/>
      <c r="AX147"/>
      <c r="AY147" t="s">
        <v>2520</v>
      </c>
      <c r="AZ147" t="s">
        <v>4498</v>
      </c>
      <c r="BA147" t="s">
        <v>2520</v>
      </c>
      <c r="BB147" t="s">
        <v>4496</v>
      </c>
      <c r="BC147" t="s">
        <v>4497</v>
      </c>
      <c r="BD147" t="s">
        <v>4496</v>
      </c>
      <c r="BE147"/>
      <c r="BF147"/>
      <c r="BG147"/>
      <c r="BH147"/>
      <c r="BI147"/>
      <c r="BJ147"/>
      <c r="BK147"/>
      <c r="BL147"/>
      <c r="BM147"/>
      <c r="BN147"/>
      <c r="BO147"/>
      <c r="BP147" t="s">
        <v>2479</v>
      </c>
      <c r="BQ147" t="s">
        <v>4495</v>
      </c>
      <c r="BR147" t="s">
        <v>4494</v>
      </c>
      <c r="BS147" t="s">
        <v>3055</v>
      </c>
      <c r="BT147" t="s">
        <v>4493</v>
      </c>
      <c r="BU147" t="s">
        <v>3055</v>
      </c>
      <c r="BV147"/>
      <c r="BW147"/>
      <c r="BX147"/>
      <c r="BY147"/>
      <c r="BZ147"/>
      <c r="CA147"/>
      <c r="CB147"/>
      <c r="CC147"/>
      <c r="CD147"/>
      <c r="CE147"/>
      <c r="CF147"/>
      <c r="CG147"/>
      <c r="CH147"/>
      <c r="CI147"/>
      <c r="CJ147"/>
      <c r="CK147"/>
      <c r="CL147"/>
      <c r="CM147"/>
      <c r="CN147"/>
      <c r="CO147"/>
      <c r="CP147"/>
      <c r="CQ147"/>
      <c r="CR147"/>
      <c r="CS147"/>
      <c r="CT147"/>
      <c r="CU147"/>
      <c r="CV147"/>
      <c r="CW147"/>
      <c r="CX147" t="s">
        <v>2454</v>
      </c>
      <c r="CY147">
        <v>329</v>
      </c>
      <c r="CZ147" t="s">
        <v>2453</v>
      </c>
    </row>
    <row r="148" spans="1:104" ht="14.25">
      <c r="A148" t="s">
        <v>4492</v>
      </c>
      <c r="B148" t="s">
        <v>4491</v>
      </c>
      <c r="C148" t="s">
        <v>4490</v>
      </c>
      <c r="D148">
        <v>1</v>
      </c>
      <c r="E148" t="s">
        <v>2680</v>
      </c>
      <c r="F148" t="s">
        <v>2489</v>
      </c>
      <c r="G148" t="s">
        <v>2690</v>
      </c>
      <c r="H148"/>
      <c r="I148"/>
      <c r="J148" t="s">
        <v>2465</v>
      </c>
      <c r="K148"/>
      <c r="L148"/>
      <c r="M148">
        <v>10</v>
      </c>
      <c r="N148">
        <v>22</v>
      </c>
      <c r="O148">
        <v>3</v>
      </c>
      <c r="P148">
        <v>10</v>
      </c>
      <c r="Q148">
        <v>6</v>
      </c>
      <c r="R148" t="s">
        <v>2464</v>
      </c>
      <c r="S148" t="s">
        <v>2689</v>
      </c>
      <c r="T148" t="s">
        <v>4489</v>
      </c>
      <c r="U148" t="s">
        <v>2462</v>
      </c>
      <c r="V148">
        <v>10</v>
      </c>
      <c r="W148"/>
      <c r="X148"/>
      <c r="Y148">
        <v>60</v>
      </c>
      <c r="Z148"/>
      <c r="AA148">
        <v>15</v>
      </c>
      <c r="AB148">
        <v>10</v>
      </c>
      <c r="AC148">
        <v>15</v>
      </c>
      <c r="AD148">
        <v>6</v>
      </c>
      <c r="AE148">
        <v>12</v>
      </c>
      <c r="AF148">
        <v>7</v>
      </c>
      <c r="AG148">
        <v>329</v>
      </c>
      <c r="AH148"/>
      <c r="AI148"/>
      <c r="AJ148"/>
      <c r="AK148"/>
      <c r="AL148"/>
      <c r="AM148"/>
      <c r="AN148">
        <v>29</v>
      </c>
      <c r="AO148">
        <v>375</v>
      </c>
      <c r="AP148"/>
      <c r="AQ148"/>
      <c r="AR148"/>
      <c r="AS148"/>
      <c r="AT148"/>
      <c r="AU148"/>
      <c r="AV148"/>
      <c r="AW148"/>
      <c r="AX148"/>
      <c r="AY148" t="s">
        <v>2856</v>
      </c>
      <c r="AZ148" t="s">
        <v>2857</v>
      </c>
      <c r="BA148" t="s">
        <v>2856</v>
      </c>
      <c r="BB148" t="s">
        <v>2599</v>
      </c>
      <c r="BC148" t="s">
        <v>2855</v>
      </c>
      <c r="BD148" t="s">
        <v>2599</v>
      </c>
      <c r="BE148"/>
      <c r="BF148"/>
      <c r="BG148"/>
      <c r="BH148"/>
      <c r="BI148"/>
      <c r="BJ148"/>
      <c r="BK148"/>
      <c r="BL148"/>
      <c r="BM148"/>
      <c r="BN148"/>
      <c r="BO148"/>
      <c r="BP148" t="s">
        <v>2480</v>
      </c>
      <c r="BQ148" t="s">
        <v>4488</v>
      </c>
      <c r="BR148" t="s">
        <v>2480</v>
      </c>
      <c r="BS148" t="s">
        <v>2854</v>
      </c>
      <c r="BT148" t="s">
        <v>4487</v>
      </c>
      <c r="BU148" t="s">
        <v>4486</v>
      </c>
      <c r="BV148" t="s">
        <v>2869</v>
      </c>
      <c r="BW148" t="s">
        <v>4358</v>
      </c>
      <c r="BX148" t="s">
        <v>4485</v>
      </c>
      <c r="BY148"/>
      <c r="BZ148"/>
      <c r="CA148"/>
      <c r="CB148"/>
      <c r="CC148"/>
      <c r="CD148"/>
      <c r="CE148"/>
      <c r="CF148"/>
      <c r="CG148"/>
      <c r="CH148"/>
      <c r="CI148"/>
      <c r="CJ148"/>
      <c r="CK148"/>
      <c r="CL148"/>
      <c r="CM148"/>
      <c r="CN148"/>
      <c r="CO148"/>
      <c r="CP148"/>
      <c r="CQ148"/>
      <c r="CR148"/>
      <c r="CS148"/>
      <c r="CT148"/>
      <c r="CU148"/>
      <c r="CV148"/>
      <c r="CW148"/>
      <c r="CX148" t="s">
        <v>2454</v>
      </c>
      <c r="CY148">
        <v>329</v>
      </c>
      <c r="CZ148" t="s">
        <v>2453</v>
      </c>
    </row>
    <row r="149" spans="1:104" ht="14.25">
      <c r="A149" t="s">
        <v>4484</v>
      </c>
      <c r="B149" t="s">
        <v>4483</v>
      </c>
      <c r="C149" t="s">
        <v>4482</v>
      </c>
      <c r="D149">
        <v>0.5</v>
      </c>
      <c r="E149" t="s">
        <v>2680</v>
      </c>
      <c r="F149" t="s">
        <v>2467</v>
      </c>
      <c r="G149" t="s">
        <v>2690</v>
      </c>
      <c r="H149"/>
      <c r="I149"/>
      <c r="J149" t="s">
        <v>2013</v>
      </c>
      <c r="K149"/>
      <c r="L149"/>
      <c r="M149">
        <v>12</v>
      </c>
      <c r="N149">
        <v>13</v>
      </c>
      <c r="O149">
        <v>3</v>
      </c>
      <c r="P149">
        <v>8</v>
      </c>
      <c r="Q149"/>
      <c r="R149" t="s">
        <v>2464</v>
      </c>
      <c r="S149" t="s">
        <v>2605</v>
      </c>
      <c r="T149" t="s">
        <v>2462</v>
      </c>
      <c r="U149" t="s">
        <v>2462</v>
      </c>
      <c r="V149">
        <v>10</v>
      </c>
      <c r="W149"/>
      <c r="X149"/>
      <c r="Y149">
        <v>50</v>
      </c>
      <c r="Z149"/>
      <c r="AA149">
        <v>10</v>
      </c>
      <c r="AB149">
        <v>14</v>
      </c>
      <c r="AC149">
        <v>10</v>
      </c>
      <c r="AD149">
        <v>1</v>
      </c>
      <c r="AE149">
        <v>10</v>
      </c>
      <c r="AF149">
        <v>3</v>
      </c>
      <c r="AG149">
        <v>329</v>
      </c>
      <c r="AH149"/>
      <c r="AI149"/>
      <c r="AJ149"/>
      <c r="AK149"/>
      <c r="AL149"/>
      <c r="AM149"/>
      <c r="AN149">
        <v>29</v>
      </c>
      <c r="AO149">
        <v>375</v>
      </c>
      <c r="AP149"/>
      <c r="AQ149"/>
      <c r="AR149"/>
      <c r="AS149"/>
      <c r="AT149"/>
      <c r="AU149"/>
      <c r="AV149" t="s">
        <v>2888</v>
      </c>
      <c r="AW149"/>
      <c r="AX149"/>
      <c r="AY149"/>
      <c r="AZ149"/>
      <c r="BA149"/>
      <c r="BB149"/>
      <c r="BC149"/>
      <c r="BD149"/>
      <c r="BE149"/>
      <c r="BF149"/>
      <c r="BG149"/>
      <c r="BH149"/>
      <c r="BI149"/>
      <c r="BJ149"/>
      <c r="BK149"/>
      <c r="BL149"/>
      <c r="BM149"/>
      <c r="BN149"/>
      <c r="BO149"/>
      <c r="BP149" t="s">
        <v>3390</v>
      </c>
      <c r="BQ149" t="s">
        <v>4481</v>
      </c>
      <c r="BR149" t="s">
        <v>4480</v>
      </c>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t="s">
        <v>2454</v>
      </c>
      <c r="CY149">
        <v>329</v>
      </c>
      <c r="CZ149" t="s">
        <v>2453</v>
      </c>
    </row>
    <row r="150" spans="1:104" ht="14.25">
      <c r="A150" t="s">
        <v>4479</v>
      </c>
      <c r="B150" t="s">
        <v>4478</v>
      </c>
      <c r="C150" t="s">
        <v>4477</v>
      </c>
      <c r="D150">
        <v>0.125</v>
      </c>
      <c r="E150" t="s">
        <v>2680</v>
      </c>
      <c r="F150" t="s">
        <v>2467</v>
      </c>
      <c r="G150" t="s">
        <v>2690</v>
      </c>
      <c r="H150"/>
      <c r="I150"/>
      <c r="J150" t="s">
        <v>2013</v>
      </c>
      <c r="K150"/>
      <c r="L150"/>
      <c r="M150">
        <v>13</v>
      </c>
      <c r="N150">
        <v>9</v>
      </c>
      <c r="O150">
        <v>2</v>
      </c>
      <c r="P150">
        <v>8</v>
      </c>
      <c r="Q150"/>
      <c r="R150" t="s">
        <v>2464</v>
      </c>
      <c r="S150" t="s">
        <v>3191</v>
      </c>
      <c r="T150" t="s">
        <v>2462</v>
      </c>
      <c r="U150" t="s">
        <v>2462</v>
      </c>
      <c r="V150">
        <v>40</v>
      </c>
      <c r="W150"/>
      <c r="X150"/>
      <c r="Y150"/>
      <c r="Z150"/>
      <c r="AA150">
        <v>11</v>
      </c>
      <c r="AB150">
        <v>16</v>
      </c>
      <c r="AC150">
        <v>10</v>
      </c>
      <c r="AD150">
        <v>4</v>
      </c>
      <c r="AE150">
        <v>12</v>
      </c>
      <c r="AF150">
        <v>5</v>
      </c>
      <c r="AG150">
        <v>329</v>
      </c>
      <c r="AH150"/>
      <c r="AI150"/>
      <c r="AJ150"/>
      <c r="AK150"/>
      <c r="AL150"/>
      <c r="AM150"/>
      <c r="AN150">
        <v>29</v>
      </c>
      <c r="AO150">
        <v>376</v>
      </c>
      <c r="AP150"/>
      <c r="AQ150"/>
      <c r="AR150"/>
      <c r="AS150" t="s">
        <v>2687</v>
      </c>
      <c r="AT150"/>
      <c r="AU150"/>
      <c r="AV150"/>
      <c r="AW150"/>
      <c r="AX150"/>
      <c r="AY150" t="s">
        <v>2675</v>
      </c>
      <c r="AZ150" t="s">
        <v>2825</v>
      </c>
      <c r="BA150" t="s">
        <v>2675</v>
      </c>
      <c r="BB150"/>
      <c r="BC150"/>
      <c r="BD150"/>
      <c r="BE150"/>
      <c r="BF150"/>
      <c r="BG150"/>
      <c r="BH150"/>
      <c r="BI150"/>
      <c r="BJ150"/>
      <c r="BK150"/>
      <c r="BL150"/>
      <c r="BM150"/>
      <c r="BN150"/>
      <c r="BO150"/>
      <c r="BP150" t="s">
        <v>2479</v>
      </c>
      <c r="BQ150" t="s">
        <v>4476</v>
      </c>
      <c r="BR150" t="s">
        <v>4475</v>
      </c>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t="s">
        <v>2454</v>
      </c>
      <c r="CY150">
        <v>329</v>
      </c>
      <c r="CZ150" t="s">
        <v>2453</v>
      </c>
    </row>
    <row r="151" spans="1:104" ht="14.25">
      <c r="A151" t="s">
        <v>4474</v>
      </c>
      <c r="B151" t="s">
        <v>4473</v>
      </c>
      <c r="C151" t="s">
        <v>4472</v>
      </c>
      <c r="D151">
        <v>0.25</v>
      </c>
      <c r="E151" t="s">
        <v>2680</v>
      </c>
      <c r="F151" t="s">
        <v>2467</v>
      </c>
      <c r="G151" t="s">
        <v>2690</v>
      </c>
      <c r="H151" t="s">
        <v>3251</v>
      </c>
      <c r="I151"/>
      <c r="J151" t="s">
        <v>2013</v>
      </c>
      <c r="K151"/>
      <c r="L151"/>
      <c r="M151">
        <v>13</v>
      </c>
      <c r="N151">
        <v>11</v>
      </c>
      <c r="O151">
        <v>2</v>
      </c>
      <c r="P151">
        <v>8</v>
      </c>
      <c r="Q151">
        <v>2</v>
      </c>
      <c r="R151" t="s">
        <v>2464</v>
      </c>
      <c r="S151" t="s">
        <v>2463</v>
      </c>
      <c r="T151" t="s">
        <v>2462</v>
      </c>
      <c r="U151" t="s">
        <v>2462</v>
      </c>
      <c r="V151">
        <v>40</v>
      </c>
      <c r="W151"/>
      <c r="X151">
        <v>40</v>
      </c>
      <c r="Y151"/>
      <c r="Z151"/>
      <c r="AA151">
        <v>12</v>
      </c>
      <c r="AB151">
        <v>16</v>
      </c>
      <c r="AC151">
        <v>13</v>
      </c>
      <c r="AD151">
        <v>3</v>
      </c>
      <c r="AE151">
        <v>12</v>
      </c>
      <c r="AF151">
        <v>4</v>
      </c>
      <c r="AG151">
        <v>330</v>
      </c>
      <c r="AH151"/>
      <c r="AI151"/>
      <c r="AJ151"/>
      <c r="AK151"/>
      <c r="AL151"/>
      <c r="AM151"/>
      <c r="AN151">
        <v>29</v>
      </c>
      <c r="AO151">
        <v>376</v>
      </c>
      <c r="AP151"/>
      <c r="AQ151"/>
      <c r="AR151"/>
      <c r="AS151"/>
      <c r="AT151"/>
      <c r="AU151"/>
      <c r="AV151"/>
      <c r="AW151"/>
      <c r="AX151"/>
      <c r="AY151" t="s">
        <v>2915</v>
      </c>
      <c r="AZ151" t="s">
        <v>3249</v>
      </c>
      <c r="BA151" t="s">
        <v>2915</v>
      </c>
      <c r="BB151" t="s">
        <v>3247</v>
      </c>
      <c r="BC151" t="s">
        <v>3248</v>
      </c>
      <c r="BD151" t="s">
        <v>3247</v>
      </c>
      <c r="BE151" t="s">
        <v>3245</v>
      </c>
      <c r="BF151" t="s">
        <v>3246</v>
      </c>
      <c r="BG151" t="s">
        <v>3245</v>
      </c>
      <c r="BH151"/>
      <c r="BI151"/>
      <c r="BJ151"/>
      <c r="BK151"/>
      <c r="BL151"/>
      <c r="BM151"/>
      <c r="BN151"/>
      <c r="BO151"/>
      <c r="BP151" t="s">
        <v>2479</v>
      </c>
      <c r="BQ151" t="s">
        <v>4471</v>
      </c>
      <c r="BR151" t="s">
        <v>3937</v>
      </c>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t="s">
        <v>2454</v>
      </c>
      <c r="CY151">
        <v>330</v>
      </c>
      <c r="CZ151" t="s">
        <v>2453</v>
      </c>
    </row>
    <row r="152" spans="1:104" ht="14.25">
      <c r="A152" t="s">
        <v>4470</v>
      </c>
      <c r="B152" t="s">
        <v>4469</v>
      </c>
      <c r="C152" t="s">
        <v>4468</v>
      </c>
      <c r="D152">
        <v>2</v>
      </c>
      <c r="E152" t="s">
        <v>2468</v>
      </c>
      <c r="F152" t="s">
        <v>2467</v>
      </c>
      <c r="G152" t="s">
        <v>3714</v>
      </c>
      <c r="H152"/>
      <c r="I152"/>
      <c r="J152" t="s">
        <v>1997</v>
      </c>
      <c r="K152"/>
      <c r="L152"/>
      <c r="M152">
        <v>9</v>
      </c>
      <c r="N152">
        <v>67</v>
      </c>
      <c r="O152">
        <v>9</v>
      </c>
      <c r="P152">
        <v>8</v>
      </c>
      <c r="Q152">
        <v>27</v>
      </c>
      <c r="R152" t="s">
        <v>2464</v>
      </c>
      <c r="S152" t="s">
        <v>4467</v>
      </c>
      <c r="T152" t="s">
        <v>2462</v>
      </c>
      <c r="U152" t="s">
        <v>2462</v>
      </c>
      <c r="V152">
        <v>10</v>
      </c>
      <c r="W152"/>
      <c r="X152"/>
      <c r="Y152"/>
      <c r="Z152">
        <v>10</v>
      </c>
      <c r="AA152">
        <v>10</v>
      </c>
      <c r="AB152">
        <v>8</v>
      </c>
      <c r="AC152">
        <v>16</v>
      </c>
      <c r="AD152">
        <v>3</v>
      </c>
      <c r="AE152">
        <v>10</v>
      </c>
      <c r="AF152">
        <v>6</v>
      </c>
      <c r="AG152">
        <v>157</v>
      </c>
      <c r="AH152"/>
      <c r="AI152"/>
      <c r="AJ152"/>
      <c r="AK152"/>
      <c r="AL152"/>
      <c r="AM152"/>
      <c r="AN152"/>
      <c r="AO152">
        <v>317</v>
      </c>
      <c r="AP152"/>
      <c r="AQ152"/>
      <c r="AR152"/>
      <c r="AS152"/>
      <c r="AT152"/>
      <c r="AU152"/>
      <c r="AV152"/>
      <c r="AW152"/>
      <c r="AX152"/>
      <c r="AY152" t="s">
        <v>4465</v>
      </c>
      <c r="AZ152" t="s">
        <v>4466</v>
      </c>
      <c r="BA152" t="s">
        <v>4465</v>
      </c>
      <c r="BB152" t="s">
        <v>4463</v>
      </c>
      <c r="BC152" t="s">
        <v>4464</v>
      </c>
      <c r="BD152" t="s">
        <v>4463</v>
      </c>
      <c r="BE152"/>
      <c r="BF152"/>
      <c r="BG152"/>
      <c r="BH152"/>
      <c r="BI152"/>
      <c r="BJ152"/>
      <c r="BK152"/>
      <c r="BL152"/>
      <c r="BM152"/>
      <c r="BN152"/>
      <c r="BO152"/>
      <c r="BP152" t="s">
        <v>2480</v>
      </c>
      <c r="BQ152" t="s">
        <v>4462</v>
      </c>
      <c r="BR152" t="s">
        <v>2480</v>
      </c>
      <c r="BS152" t="s">
        <v>3092</v>
      </c>
      <c r="BT152" t="s">
        <v>4461</v>
      </c>
      <c r="BU152" t="s">
        <v>4460</v>
      </c>
      <c r="BV152" t="s">
        <v>4458</v>
      </c>
      <c r="BW152" t="s">
        <v>4459</v>
      </c>
      <c r="BX152" t="s">
        <v>4458</v>
      </c>
      <c r="BY152"/>
      <c r="BZ152"/>
      <c r="CA152"/>
      <c r="CB152"/>
      <c r="CC152"/>
      <c r="CD152"/>
      <c r="CE152"/>
      <c r="CF152"/>
      <c r="CG152"/>
      <c r="CH152"/>
      <c r="CI152"/>
      <c r="CJ152"/>
      <c r="CK152"/>
      <c r="CL152"/>
      <c r="CM152"/>
      <c r="CN152"/>
      <c r="CO152"/>
      <c r="CP152"/>
      <c r="CQ152"/>
      <c r="CR152"/>
      <c r="CS152"/>
      <c r="CT152"/>
      <c r="CU152"/>
      <c r="CV152"/>
      <c r="CW152"/>
      <c r="CX152" t="s">
        <v>2454</v>
      </c>
      <c r="CY152">
        <v>157</v>
      </c>
      <c r="CZ152" t="s">
        <v>2453</v>
      </c>
    </row>
    <row r="153" spans="1:104" ht="14.25">
      <c r="A153" t="s">
        <v>4457</v>
      </c>
      <c r="B153" t="s">
        <v>4457</v>
      </c>
      <c r="C153" t="s">
        <v>4456</v>
      </c>
      <c r="D153">
        <v>9</v>
      </c>
      <c r="E153" t="s">
        <v>2468</v>
      </c>
      <c r="F153" t="s">
        <v>2489</v>
      </c>
      <c r="G153" t="s">
        <v>2879</v>
      </c>
      <c r="H153" t="s">
        <v>2878</v>
      </c>
      <c r="I153"/>
      <c r="J153" t="s">
        <v>2487</v>
      </c>
      <c r="K153"/>
      <c r="L153"/>
      <c r="M153">
        <v>17</v>
      </c>
      <c r="N153">
        <v>157</v>
      </c>
      <c r="O153">
        <v>15</v>
      </c>
      <c r="P153">
        <v>10</v>
      </c>
      <c r="Q153">
        <v>75</v>
      </c>
      <c r="R153" t="s">
        <v>2972</v>
      </c>
      <c r="S153" t="s">
        <v>4455</v>
      </c>
      <c r="T153" t="s">
        <v>4454</v>
      </c>
      <c r="U153" t="s">
        <v>2462</v>
      </c>
      <c r="V153">
        <v>40</v>
      </c>
      <c r="W153"/>
      <c r="X153"/>
      <c r="Y153"/>
      <c r="Z153"/>
      <c r="AA153">
        <v>20</v>
      </c>
      <c r="AB153">
        <v>15</v>
      </c>
      <c r="AC153">
        <v>21</v>
      </c>
      <c r="AD153">
        <v>19</v>
      </c>
      <c r="AE153">
        <v>17</v>
      </c>
      <c r="AF153">
        <v>16</v>
      </c>
      <c r="AG153">
        <v>58</v>
      </c>
      <c r="AH153"/>
      <c r="AI153"/>
      <c r="AJ153"/>
      <c r="AK153"/>
      <c r="AL153"/>
      <c r="AM153"/>
      <c r="AN153"/>
      <c r="AO153">
        <v>274</v>
      </c>
      <c r="AP153"/>
      <c r="AQ153"/>
      <c r="AR153"/>
      <c r="AS153"/>
      <c r="AT153"/>
      <c r="AU153"/>
      <c r="AV153"/>
      <c r="AW153"/>
      <c r="AX153" t="s">
        <v>4453</v>
      </c>
      <c r="AY153" t="s">
        <v>2635</v>
      </c>
      <c r="AZ153" t="s">
        <v>4452</v>
      </c>
      <c r="BA153" t="s">
        <v>2635</v>
      </c>
      <c r="BB153" t="s">
        <v>2873</v>
      </c>
      <c r="BC153" t="s">
        <v>4451</v>
      </c>
      <c r="BD153" t="s">
        <v>2873</v>
      </c>
      <c r="BE153"/>
      <c r="BF153"/>
      <c r="BG153"/>
      <c r="BH153"/>
      <c r="BI153"/>
      <c r="BJ153"/>
      <c r="BK153"/>
      <c r="BL153"/>
      <c r="BM153"/>
      <c r="BN153"/>
      <c r="BO153"/>
      <c r="BP153" t="s">
        <v>2480</v>
      </c>
      <c r="BQ153" t="s">
        <v>4450</v>
      </c>
      <c r="BR153" t="s">
        <v>2480</v>
      </c>
      <c r="BS153" t="s">
        <v>4449</v>
      </c>
      <c r="BT153" t="s">
        <v>4448</v>
      </c>
      <c r="BU153" t="s">
        <v>4447</v>
      </c>
      <c r="BV153" t="s">
        <v>3321</v>
      </c>
      <c r="BW153" t="s">
        <v>4446</v>
      </c>
      <c r="BX153" t="s">
        <v>4445</v>
      </c>
      <c r="BY153" t="s">
        <v>2861</v>
      </c>
      <c r="BZ153" t="s">
        <v>4444</v>
      </c>
      <c r="CA153" t="s">
        <v>2861</v>
      </c>
      <c r="CB153"/>
      <c r="CC153"/>
      <c r="CD153"/>
      <c r="CE153"/>
      <c r="CF153"/>
      <c r="CG153"/>
      <c r="CH153"/>
      <c r="CI153"/>
      <c r="CJ153"/>
      <c r="CK153"/>
      <c r="CL153"/>
      <c r="CM153"/>
      <c r="CN153"/>
      <c r="CO153"/>
      <c r="CP153"/>
      <c r="CQ153"/>
      <c r="CR153"/>
      <c r="CS153"/>
      <c r="CT153"/>
      <c r="CU153"/>
      <c r="CV153"/>
      <c r="CW153"/>
      <c r="CX153" t="s">
        <v>2454</v>
      </c>
      <c r="CY153">
        <v>58</v>
      </c>
      <c r="CZ153" t="s">
        <v>2453</v>
      </c>
    </row>
    <row r="154" spans="1:104" ht="14.25">
      <c r="A154" t="s">
        <v>4443</v>
      </c>
      <c r="B154" t="s">
        <v>4443</v>
      </c>
      <c r="C154" t="s">
        <v>4442</v>
      </c>
      <c r="D154">
        <v>5</v>
      </c>
      <c r="E154" t="s">
        <v>2609</v>
      </c>
      <c r="F154" t="s">
        <v>2467</v>
      </c>
      <c r="G154" t="s">
        <v>2608</v>
      </c>
      <c r="H154" t="s">
        <v>2607</v>
      </c>
      <c r="I154"/>
      <c r="J154" t="s">
        <v>2607</v>
      </c>
      <c r="K154"/>
      <c r="L154"/>
      <c r="M154">
        <v>16</v>
      </c>
      <c r="N154">
        <v>112</v>
      </c>
      <c r="O154">
        <v>15</v>
      </c>
      <c r="P154">
        <v>8</v>
      </c>
      <c r="Q154">
        <v>45</v>
      </c>
      <c r="R154" t="s">
        <v>2464</v>
      </c>
      <c r="S154" t="s">
        <v>2657</v>
      </c>
      <c r="T154" t="s">
        <v>4441</v>
      </c>
      <c r="U154" t="s">
        <v>2462</v>
      </c>
      <c r="V154">
        <v>30</v>
      </c>
      <c r="W154"/>
      <c r="X154"/>
      <c r="Y154"/>
      <c r="Z154"/>
      <c r="AA154">
        <v>18</v>
      </c>
      <c r="AB154">
        <v>15</v>
      </c>
      <c r="AC154">
        <v>16</v>
      </c>
      <c r="AD154">
        <v>10</v>
      </c>
      <c r="AE154">
        <v>12</v>
      </c>
      <c r="AF154">
        <v>15</v>
      </c>
      <c r="AG154">
        <v>346</v>
      </c>
      <c r="AH154"/>
      <c r="AI154"/>
      <c r="AJ154"/>
      <c r="AK154"/>
      <c r="AL154"/>
      <c r="AM154"/>
      <c r="AN154"/>
      <c r="AO154">
        <v>394</v>
      </c>
      <c r="AP154"/>
      <c r="AQ154">
        <v>15</v>
      </c>
      <c r="AR154"/>
      <c r="AS154" t="s">
        <v>4440</v>
      </c>
      <c r="AT154"/>
      <c r="AU154"/>
      <c r="AV154"/>
      <c r="AW154"/>
      <c r="AX154"/>
      <c r="AY154" t="s">
        <v>4111</v>
      </c>
      <c r="AZ154" t="s">
        <v>4439</v>
      </c>
      <c r="BA154" t="s">
        <v>4111</v>
      </c>
      <c r="BB154" t="s">
        <v>4437</v>
      </c>
      <c r="BC154" t="s">
        <v>4438</v>
      </c>
      <c r="BD154" t="s">
        <v>4437</v>
      </c>
      <c r="BE154"/>
      <c r="BF154"/>
      <c r="BG154"/>
      <c r="BH154"/>
      <c r="BI154"/>
      <c r="BJ154"/>
      <c r="BK154"/>
      <c r="BL154"/>
      <c r="BM154"/>
      <c r="BN154"/>
      <c r="BO154"/>
      <c r="BP154" t="s">
        <v>2480</v>
      </c>
      <c r="BQ154" t="s">
        <v>4436</v>
      </c>
      <c r="BR154" t="s">
        <v>2480</v>
      </c>
      <c r="BS154" t="s">
        <v>2402</v>
      </c>
      <c r="BT154" t="s">
        <v>4435</v>
      </c>
      <c r="BU154" t="s">
        <v>4434</v>
      </c>
      <c r="BV154" t="s">
        <v>4433</v>
      </c>
      <c r="BW154" t="s">
        <v>4432</v>
      </c>
      <c r="BX154" t="s">
        <v>4431</v>
      </c>
      <c r="BY154"/>
      <c r="BZ154"/>
      <c r="CA154"/>
      <c r="CB154"/>
      <c r="CC154"/>
      <c r="CD154"/>
      <c r="CE154"/>
      <c r="CF154"/>
      <c r="CG154"/>
      <c r="CH154"/>
      <c r="CI154"/>
      <c r="CJ154"/>
      <c r="CK154"/>
      <c r="CL154"/>
      <c r="CM154"/>
      <c r="CN154"/>
      <c r="CO154"/>
      <c r="CP154"/>
      <c r="CQ154"/>
      <c r="CR154"/>
      <c r="CS154"/>
      <c r="CT154"/>
      <c r="CU154"/>
      <c r="CV154" t="s">
        <v>3782</v>
      </c>
      <c r="CW154" t="s">
        <v>4430</v>
      </c>
      <c r="CX154" t="s">
        <v>2454</v>
      </c>
      <c r="CY154">
        <v>346</v>
      </c>
      <c r="CZ154" t="s">
        <v>2453</v>
      </c>
    </row>
    <row r="155" spans="1:104" ht="14.25">
      <c r="A155" t="s">
        <v>4428</v>
      </c>
      <c r="B155" t="s">
        <v>4428</v>
      </c>
      <c r="C155" t="s">
        <v>4429</v>
      </c>
      <c r="D155">
        <v>0.5</v>
      </c>
      <c r="E155" t="s">
        <v>2468</v>
      </c>
      <c r="F155" t="s">
        <v>2467</v>
      </c>
      <c r="G155" t="s">
        <v>2608</v>
      </c>
      <c r="H155" t="s">
        <v>4428</v>
      </c>
      <c r="I155"/>
      <c r="J155" t="s">
        <v>2487</v>
      </c>
      <c r="K155"/>
      <c r="L155"/>
      <c r="M155">
        <v>15</v>
      </c>
      <c r="N155">
        <v>22</v>
      </c>
      <c r="O155">
        <v>5</v>
      </c>
      <c r="P155">
        <v>8</v>
      </c>
      <c r="Q155"/>
      <c r="R155" t="s">
        <v>2464</v>
      </c>
      <c r="S155" t="s">
        <v>2793</v>
      </c>
      <c r="T155" t="s">
        <v>2758</v>
      </c>
      <c r="U155" t="s">
        <v>2462</v>
      </c>
      <c r="V155">
        <v>30</v>
      </c>
      <c r="W155"/>
      <c r="X155"/>
      <c r="Y155"/>
      <c r="Z155"/>
      <c r="AA155">
        <v>14</v>
      </c>
      <c r="AB155">
        <v>12</v>
      </c>
      <c r="AC155">
        <v>11</v>
      </c>
      <c r="AD155">
        <v>6</v>
      </c>
      <c r="AE155">
        <v>10</v>
      </c>
      <c r="AF155">
        <v>7</v>
      </c>
      <c r="AG155">
        <v>163</v>
      </c>
      <c r="AH155"/>
      <c r="AI155"/>
      <c r="AJ155"/>
      <c r="AK155"/>
      <c r="AL155"/>
      <c r="AM155"/>
      <c r="AN155">
        <v>30</v>
      </c>
      <c r="AO155">
        <v>317</v>
      </c>
      <c r="AP155"/>
      <c r="AQ155"/>
      <c r="AR155"/>
      <c r="AS155"/>
      <c r="AT155"/>
      <c r="AU155"/>
      <c r="AV155"/>
      <c r="AW155"/>
      <c r="AX155"/>
      <c r="AY155" t="s">
        <v>4426</v>
      </c>
      <c r="AZ155" t="s">
        <v>4427</v>
      </c>
      <c r="BA155" t="s">
        <v>4426</v>
      </c>
      <c r="BB155"/>
      <c r="BC155"/>
      <c r="BD155"/>
      <c r="BE155"/>
      <c r="BF155"/>
      <c r="BG155"/>
      <c r="BH155"/>
      <c r="BI155"/>
      <c r="BJ155"/>
      <c r="BK155"/>
      <c r="BL155"/>
      <c r="BM155"/>
      <c r="BN155"/>
      <c r="BO155"/>
      <c r="BP155" t="s">
        <v>2479</v>
      </c>
      <c r="BQ155" t="s">
        <v>4425</v>
      </c>
      <c r="BR155" t="s">
        <v>2787</v>
      </c>
      <c r="BS155" t="s">
        <v>2402</v>
      </c>
      <c r="BT155" t="s">
        <v>4424</v>
      </c>
      <c r="BU155" t="s">
        <v>4423</v>
      </c>
      <c r="BV155" t="s">
        <v>2724</v>
      </c>
      <c r="BW155" t="s">
        <v>4242</v>
      </c>
      <c r="BX155" t="s">
        <v>4241</v>
      </c>
      <c r="BY155"/>
      <c r="BZ155"/>
      <c r="CA155"/>
      <c r="CB155"/>
      <c r="CC155"/>
      <c r="CD155"/>
      <c r="CE155"/>
      <c r="CF155"/>
      <c r="CG155"/>
      <c r="CH155"/>
      <c r="CI155"/>
      <c r="CJ155"/>
      <c r="CK155"/>
      <c r="CL155"/>
      <c r="CM155"/>
      <c r="CN155"/>
      <c r="CO155"/>
      <c r="CP155"/>
      <c r="CQ155"/>
      <c r="CR155"/>
      <c r="CS155"/>
      <c r="CT155"/>
      <c r="CU155"/>
      <c r="CV155"/>
      <c r="CW155"/>
      <c r="CX155" t="s">
        <v>2454</v>
      </c>
      <c r="CY155">
        <v>163</v>
      </c>
      <c r="CZ155" t="s">
        <v>2453</v>
      </c>
    </row>
    <row r="156" spans="1:104" ht="14.25">
      <c r="A156" t="s">
        <v>4422</v>
      </c>
      <c r="B156" t="s">
        <v>4422</v>
      </c>
      <c r="C156" t="s">
        <v>4421</v>
      </c>
      <c r="D156">
        <v>0</v>
      </c>
      <c r="E156" t="s">
        <v>2680</v>
      </c>
      <c r="F156" t="s">
        <v>2467</v>
      </c>
      <c r="G156" t="s">
        <v>2690</v>
      </c>
      <c r="H156"/>
      <c r="I156"/>
      <c r="J156" t="s">
        <v>2013</v>
      </c>
      <c r="K156"/>
      <c r="L156"/>
      <c r="M156">
        <v>10</v>
      </c>
      <c r="N156">
        <v>4</v>
      </c>
      <c r="O156">
        <v>1</v>
      </c>
      <c r="P156">
        <v>8</v>
      </c>
      <c r="Q156"/>
      <c r="R156" t="s">
        <v>2464</v>
      </c>
      <c r="S156" t="s">
        <v>2992</v>
      </c>
      <c r="T156" t="s">
        <v>2462</v>
      </c>
      <c r="U156" t="s">
        <v>2462</v>
      </c>
      <c r="V156">
        <v>40</v>
      </c>
      <c r="W156"/>
      <c r="X156"/>
      <c r="Y156"/>
      <c r="Z156"/>
      <c r="AA156">
        <v>12</v>
      </c>
      <c r="AB156">
        <v>10</v>
      </c>
      <c r="AC156">
        <v>11</v>
      </c>
      <c r="AD156">
        <v>2</v>
      </c>
      <c r="AE156">
        <v>10</v>
      </c>
      <c r="AF156">
        <v>5</v>
      </c>
      <c r="AG156">
        <v>330</v>
      </c>
      <c r="AH156"/>
      <c r="AI156"/>
      <c r="AJ156"/>
      <c r="AK156"/>
      <c r="AL156"/>
      <c r="AM156"/>
      <c r="AN156">
        <v>30</v>
      </c>
      <c r="AO156">
        <v>376</v>
      </c>
      <c r="AP156"/>
      <c r="AQ156"/>
      <c r="AR156"/>
      <c r="AS156"/>
      <c r="AT156"/>
      <c r="AU156"/>
      <c r="AV156"/>
      <c r="AW156"/>
      <c r="AX156" t="s">
        <v>3940</v>
      </c>
      <c r="AY156" t="s">
        <v>2971</v>
      </c>
      <c r="AZ156" t="s">
        <v>4420</v>
      </c>
      <c r="BA156" t="s">
        <v>4419</v>
      </c>
      <c r="BB156" t="s">
        <v>3857</v>
      </c>
      <c r="BC156" t="s">
        <v>4418</v>
      </c>
      <c r="BD156" t="s">
        <v>3857</v>
      </c>
      <c r="BE156"/>
      <c r="BF156"/>
      <c r="BG156"/>
      <c r="BH156"/>
      <c r="BI156"/>
      <c r="BJ156"/>
      <c r="BK156"/>
      <c r="BL156"/>
      <c r="BM156"/>
      <c r="BN156"/>
      <c r="BO156"/>
      <c r="BP156" t="s">
        <v>3400</v>
      </c>
      <c r="BQ156" t="s">
        <v>4300</v>
      </c>
      <c r="BR156" t="s">
        <v>4417</v>
      </c>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t="s">
        <v>2454</v>
      </c>
      <c r="CY156">
        <v>330</v>
      </c>
      <c r="CZ156" t="s">
        <v>2453</v>
      </c>
    </row>
    <row r="157" spans="1:104" ht="14.25">
      <c r="A157" t="s">
        <v>4416</v>
      </c>
      <c r="B157" t="s">
        <v>4416</v>
      </c>
      <c r="C157" t="s">
        <v>4415</v>
      </c>
      <c r="D157">
        <v>0.25</v>
      </c>
      <c r="E157" t="s">
        <v>2468</v>
      </c>
      <c r="F157" t="s">
        <v>2644</v>
      </c>
      <c r="G157" t="s">
        <v>2608</v>
      </c>
      <c r="H157" t="s">
        <v>4249</v>
      </c>
      <c r="I157"/>
      <c r="J157" t="s">
        <v>2465</v>
      </c>
      <c r="K157"/>
      <c r="L157"/>
      <c r="M157">
        <v>15</v>
      </c>
      <c r="N157">
        <v>7</v>
      </c>
      <c r="O157">
        <v>2</v>
      </c>
      <c r="P157">
        <v>6</v>
      </c>
      <c r="Q157"/>
      <c r="R157" t="s">
        <v>2464</v>
      </c>
      <c r="S157" t="s">
        <v>2605</v>
      </c>
      <c r="T157" t="s">
        <v>2605</v>
      </c>
      <c r="U157" t="s">
        <v>2462</v>
      </c>
      <c r="V157">
        <v>30</v>
      </c>
      <c r="W157"/>
      <c r="X157"/>
      <c r="Y157"/>
      <c r="Z157"/>
      <c r="AA157">
        <v>8</v>
      </c>
      <c r="AB157">
        <v>14</v>
      </c>
      <c r="AC157">
        <v>10</v>
      </c>
      <c r="AD157">
        <v>10</v>
      </c>
      <c r="AE157">
        <v>8</v>
      </c>
      <c r="AF157">
        <v>8</v>
      </c>
      <c r="AG157">
        <v>166</v>
      </c>
      <c r="AH157"/>
      <c r="AI157"/>
      <c r="AJ157">
        <v>58</v>
      </c>
      <c r="AK157"/>
      <c r="AL157"/>
      <c r="AM157"/>
      <c r="AN157">
        <v>30</v>
      </c>
      <c r="AO157">
        <v>318</v>
      </c>
      <c r="AP157"/>
      <c r="AQ157"/>
      <c r="AR157"/>
      <c r="AS157" t="s">
        <v>4414</v>
      </c>
      <c r="AT157"/>
      <c r="AU157"/>
      <c r="AV157"/>
      <c r="AW157"/>
      <c r="AX157"/>
      <c r="AY157" t="s">
        <v>4412</v>
      </c>
      <c r="AZ157" t="s">
        <v>4413</v>
      </c>
      <c r="BA157" t="s">
        <v>4412</v>
      </c>
      <c r="BB157"/>
      <c r="BC157"/>
      <c r="BD157"/>
      <c r="BE157"/>
      <c r="BF157"/>
      <c r="BG157"/>
      <c r="BH157"/>
      <c r="BI157"/>
      <c r="BJ157"/>
      <c r="BK157"/>
      <c r="BL157"/>
      <c r="BM157"/>
      <c r="BN157"/>
      <c r="BO157"/>
      <c r="BP157" t="s">
        <v>4411</v>
      </c>
      <c r="BQ157" t="s">
        <v>4410</v>
      </c>
      <c r="BR157" t="s">
        <v>4409</v>
      </c>
      <c r="BS157" t="s">
        <v>3228</v>
      </c>
      <c r="BT157" t="s">
        <v>3300</v>
      </c>
      <c r="BU157" t="s">
        <v>3299</v>
      </c>
      <c r="BV157"/>
      <c r="BW157"/>
      <c r="BX157"/>
      <c r="BY157"/>
      <c r="BZ157"/>
      <c r="CA157"/>
      <c r="CB157"/>
      <c r="CC157"/>
      <c r="CD157"/>
      <c r="CE157"/>
      <c r="CF157"/>
      <c r="CG157"/>
      <c r="CH157"/>
      <c r="CI157"/>
      <c r="CJ157"/>
      <c r="CK157"/>
      <c r="CL157"/>
      <c r="CM157"/>
      <c r="CN157"/>
      <c r="CO157"/>
      <c r="CP157"/>
      <c r="CQ157"/>
      <c r="CR157"/>
      <c r="CS157"/>
      <c r="CT157"/>
      <c r="CU157"/>
      <c r="CV157"/>
      <c r="CW157"/>
      <c r="CX157" t="s">
        <v>2454</v>
      </c>
      <c r="CY157">
        <v>166</v>
      </c>
      <c r="CZ157" t="s">
        <v>2453</v>
      </c>
    </row>
    <row r="158" spans="1:104" ht="14.25">
      <c r="A158" t="s">
        <v>4408</v>
      </c>
      <c r="B158" t="s">
        <v>4407</v>
      </c>
      <c r="C158" t="s">
        <v>4406</v>
      </c>
      <c r="D158">
        <v>3</v>
      </c>
      <c r="E158" t="s">
        <v>2468</v>
      </c>
      <c r="F158" t="s">
        <v>2467</v>
      </c>
      <c r="G158" t="s">
        <v>2488</v>
      </c>
      <c r="H158"/>
      <c r="I158"/>
      <c r="J158" t="s">
        <v>2502</v>
      </c>
      <c r="K158"/>
      <c r="L158"/>
      <c r="M158">
        <v>17</v>
      </c>
      <c r="N158">
        <v>60</v>
      </c>
      <c r="O158">
        <v>8</v>
      </c>
      <c r="P158">
        <v>8</v>
      </c>
      <c r="Q158">
        <v>24</v>
      </c>
      <c r="R158" t="s">
        <v>2641</v>
      </c>
      <c r="S158" t="s">
        <v>2641</v>
      </c>
      <c r="T158" t="s">
        <v>2641</v>
      </c>
      <c r="U158" t="s">
        <v>2641</v>
      </c>
      <c r="V158">
        <v>30</v>
      </c>
      <c r="W158"/>
      <c r="X158"/>
      <c r="Y158">
        <v>60</v>
      </c>
      <c r="Z158">
        <v>30</v>
      </c>
      <c r="AA158">
        <v>19</v>
      </c>
      <c r="AB158">
        <v>14</v>
      </c>
      <c r="AC158">
        <v>17</v>
      </c>
      <c r="AD158">
        <v>14</v>
      </c>
      <c r="AE158">
        <v>11</v>
      </c>
      <c r="AF158">
        <v>16</v>
      </c>
      <c r="AG158">
        <v>115</v>
      </c>
      <c r="AH158"/>
      <c r="AI158"/>
      <c r="AJ158"/>
      <c r="AK158"/>
      <c r="AL158"/>
      <c r="AM158"/>
      <c r="AN158"/>
      <c r="AO158">
        <v>303</v>
      </c>
      <c r="AP158"/>
      <c r="AQ158"/>
      <c r="AR158"/>
      <c r="AS158"/>
      <c r="AT158"/>
      <c r="AU158"/>
      <c r="AV158"/>
      <c r="AW158"/>
      <c r="AX158"/>
      <c r="AY158" t="s">
        <v>2520</v>
      </c>
      <c r="AZ158" t="s">
        <v>2521</v>
      </c>
      <c r="BA158" t="s">
        <v>2520</v>
      </c>
      <c r="BB158"/>
      <c r="BC158"/>
      <c r="BD158"/>
      <c r="BE158"/>
      <c r="BF158"/>
      <c r="BG158"/>
      <c r="BH158"/>
      <c r="BI158"/>
      <c r="BJ158"/>
      <c r="BK158"/>
      <c r="BL158"/>
      <c r="BM158"/>
      <c r="BN158"/>
      <c r="BO158"/>
      <c r="BP158" t="s">
        <v>2479</v>
      </c>
      <c r="BQ158" t="s">
        <v>3308</v>
      </c>
      <c r="BR158" t="s">
        <v>3307</v>
      </c>
      <c r="BS158" t="s">
        <v>2495</v>
      </c>
      <c r="BT158" t="s">
        <v>4405</v>
      </c>
      <c r="BU158" t="s">
        <v>4404</v>
      </c>
      <c r="BV158"/>
      <c r="BW158"/>
      <c r="BX158"/>
      <c r="BY158"/>
      <c r="BZ158"/>
      <c r="CA158"/>
      <c r="CB158"/>
      <c r="CC158"/>
      <c r="CD158"/>
      <c r="CE158"/>
      <c r="CF158"/>
      <c r="CG158"/>
      <c r="CH158"/>
      <c r="CI158"/>
      <c r="CJ158"/>
      <c r="CK158"/>
      <c r="CL158"/>
      <c r="CM158"/>
      <c r="CN158"/>
      <c r="CO158"/>
      <c r="CP158"/>
      <c r="CQ158"/>
      <c r="CR158"/>
      <c r="CS158"/>
      <c r="CT158"/>
      <c r="CU158"/>
      <c r="CV158"/>
      <c r="CW158"/>
      <c r="CX158" t="s">
        <v>2454</v>
      </c>
      <c r="CY158">
        <v>115</v>
      </c>
      <c r="CZ158" t="s">
        <v>2453</v>
      </c>
    </row>
    <row r="159" spans="1:104" ht="14.25">
      <c r="A159" t="s">
        <v>4403</v>
      </c>
      <c r="B159" t="s">
        <v>4403</v>
      </c>
      <c r="C159" t="s">
        <v>4402</v>
      </c>
      <c r="D159">
        <v>5</v>
      </c>
      <c r="E159" t="s">
        <v>2468</v>
      </c>
      <c r="F159" t="s">
        <v>2489</v>
      </c>
      <c r="G159" t="s">
        <v>2587</v>
      </c>
      <c r="H159"/>
      <c r="I159"/>
      <c r="J159" t="s">
        <v>2013</v>
      </c>
      <c r="K159"/>
      <c r="L159"/>
      <c r="M159">
        <v>19</v>
      </c>
      <c r="N159">
        <v>114</v>
      </c>
      <c r="O159">
        <v>12</v>
      </c>
      <c r="P159">
        <v>10</v>
      </c>
      <c r="Q159">
        <v>48</v>
      </c>
      <c r="R159" t="s">
        <v>2464</v>
      </c>
      <c r="S159" t="s">
        <v>4401</v>
      </c>
      <c r="T159" t="s">
        <v>2546</v>
      </c>
      <c r="U159" t="s">
        <v>2462</v>
      </c>
      <c r="V159">
        <v>40</v>
      </c>
      <c r="W159"/>
      <c r="X159"/>
      <c r="Y159"/>
      <c r="Z159"/>
      <c r="AA159">
        <v>20</v>
      </c>
      <c r="AB159">
        <v>11</v>
      </c>
      <c r="AC159">
        <v>18</v>
      </c>
      <c r="AD159">
        <v>2</v>
      </c>
      <c r="AE159">
        <v>12</v>
      </c>
      <c r="AF159">
        <v>7</v>
      </c>
      <c r="AG159">
        <v>171</v>
      </c>
      <c r="AH159"/>
      <c r="AI159"/>
      <c r="AJ159"/>
      <c r="AK159"/>
      <c r="AL159"/>
      <c r="AM159"/>
      <c r="AN159"/>
      <c r="AO159">
        <v>320</v>
      </c>
      <c r="AP159"/>
      <c r="AQ159">
        <v>16</v>
      </c>
      <c r="AR159"/>
      <c r="AS159"/>
      <c r="AT159"/>
      <c r="AU159"/>
      <c r="AV159"/>
      <c r="AW159"/>
      <c r="AX159"/>
      <c r="AY159" t="s">
        <v>2848</v>
      </c>
      <c r="AZ159" t="s">
        <v>4400</v>
      </c>
      <c r="BA159" t="s">
        <v>2848</v>
      </c>
      <c r="BB159"/>
      <c r="BC159"/>
      <c r="BD159"/>
      <c r="BE159"/>
      <c r="BF159"/>
      <c r="BG159"/>
      <c r="BH159"/>
      <c r="BI159"/>
      <c r="BJ159"/>
      <c r="BK159"/>
      <c r="BL159"/>
      <c r="BM159"/>
      <c r="BN159"/>
      <c r="BO159"/>
      <c r="BP159" t="s">
        <v>3013</v>
      </c>
      <c r="BQ159" t="s">
        <v>4399</v>
      </c>
      <c r="BR159" t="s">
        <v>4398</v>
      </c>
      <c r="BS159" t="s">
        <v>2844</v>
      </c>
      <c r="BT159" t="s">
        <v>4397</v>
      </c>
      <c r="BU159" t="s">
        <v>4396</v>
      </c>
      <c r="BV159" t="s">
        <v>4394</v>
      </c>
      <c r="BW159" t="s">
        <v>4395</v>
      </c>
      <c r="BX159" t="s">
        <v>4394</v>
      </c>
      <c r="BY159"/>
      <c r="BZ159"/>
      <c r="CA159"/>
      <c r="CB159"/>
      <c r="CC159"/>
      <c r="CD159"/>
      <c r="CE159"/>
      <c r="CF159"/>
      <c r="CG159"/>
      <c r="CH159"/>
      <c r="CI159"/>
      <c r="CJ159"/>
      <c r="CK159"/>
      <c r="CL159"/>
      <c r="CM159"/>
      <c r="CN159"/>
      <c r="CO159"/>
      <c r="CP159"/>
      <c r="CQ159"/>
      <c r="CR159"/>
      <c r="CS159"/>
      <c r="CT159"/>
      <c r="CU159"/>
      <c r="CV159"/>
      <c r="CW159"/>
      <c r="CX159" t="s">
        <v>2454</v>
      </c>
      <c r="CY159">
        <v>171</v>
      </c>
      <c r="CZ159" t="s">
        <v>2453</v>
      </c>
    </row>
    <row r="160" spans="1:104" ht="14.25">
      <c r="A160" t="s">
        <v>4393</v>
      </c>
      <c r="B160" t="s">
        <v>4392</v>
      </c>
      <c r="C160" t="s">
        <v>4391</v>
      </c>
      <c r="D160">
        <v>0.5</v>
      </c>
      <c r="E160" t="s">
        <v>2468</v>
      </c>
      <c r="F160" t="s">
        <v>2467</v>
      </c>
      <c r="G160" t="s">
        <v>3777</v>
      </c>
      <c r="H160"/>
      <c r="I160"/>
      <c r="J160" t="s">
        <v>2013</v>
      </c>
      <c r="K160"/>
      <c r="L160"/>
      <c r="M160">
        <v>8</v>
      </c>
      <c r="N160">
        <v>22</v>
      </c>
      <c r="O160">
        <v>3</v>
      </c>
      <c r="P160">
        <v>8</v>
      </c>
      <c r="Q160">
        <v>9</v>
      </c>
      <c r="R160" t="s">
        <v>2464</v>
      </c>
      <c r="S160" t="s">
        <v>4390</v>
      </c>
      <c r="T160" t="s">
        <v>2462</v>
      </c>
      <c r="U160" t="s">
        <v>2462</v>
      </c>
      <c r="V160">
        <v>10</v>
      </c>
      <c r="W160"/>
      <c r="X160">
        <v>10</v>
      </c>
      <c r="Y160"/>
      <c r="Z160"/>
      <c r="AA160">
        <v>12</v>
      </c>
      <c r="AB160">
        <v>6</v>
      </c>
      <c r="AC160">
        <v>16</v>
      </c>
      <c r="AD160">
        <v>1</v>
      </c>
      <c r="AE160">
        <v>6</v>
      </c>
      <c r="AF160">
        <v>2</v>
      </c>
      <c r="AG160">
        <v>243</v>
      </c>
      <c r="AH160"/>
      <c r="AI160"/>
      <c r="AJ160"/>
      <c r="AK160"/>
      <c r="AL160"/>
      <c r="AM160"/>
      <c r="AN160"/>
      <c r="AO160">
        <v>341</v>
      </c>
      <c r="AP160">
        <v>11</v>
      </c>
      <c r="AQ160"/>
      <c r="AR160"/>
      <c r="AS160" t="s">
        <v>4389</v>
      </c>
      <c r="AT160"/>
      <c r="AU160"/>
      <c r="AV160" t="s">
        <v>4388</v>
      </c>
      <c r="AW160"/>
      <c r="AX160"/>
      <c r="AY160" t="s">
        <v>3349</v>
      </c>
      <c r="AZ160" t="s">
        <v>4387</v>
      </c>
      <c r="BA160" t="s">
        <v>3349</v>
      </c>
      <c r="BB160" t="s">
        <v>4385</v>
      </c>
      <c r="BC160" t="s">
        <v>4386</v>
      </c>
      <c r="BD160" t="s">
        <v>4385</v>
      </c>
      <c r="BE160" t="s">
        <v>2886</v>
      </c>
      <c r="BF160" t="s">
        <v>4384</v>
      </c>
      <c r="BG160" t="s">
        <v>2886</v>
      </c>
      <c r="BH160"/>
      <c r="BI160"/>
      <c r="BJ160"/>
      <c r="BK160"/>
      <c r="BL160"/>
      <c r="BM160"/>
      <c r="BN160"/>
      <c r="BO160"/>
      <c r="BP160" t="s">
        <v>3772</v>
      </c>
      <c r="BQ160" t="s">
        <v>4383</v>
      </c>
      <c r="BR160" t="s">
        <v>4382</v>
      </c>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t="s">
        <v>2454</v>
      </c>
      <c r="CY160">
        <v>243</v>
      </c>
      <c r="CZ160" t="s">
        <v>2453</v>
      </c>
    </row>
    <row r="161" spans="1:104" ht="14.25">
      <c r="A161" t="s">
        <v>4381</v>
      </c>
      <c r="B161" t="s">
        <v>4380</v>
      </c>
      <c r="C161" t="s">
        <v>4379</v>
      </c>
      <c r="D161">
        <v>2</v>
      </c>
      <c r="E161" t="s">
        <v>2468</v>
      </c>
      <c r="F161" t="s">
        <v>2467</v>
      </c>
      <c r="G161" t="s">
        <v>2488</v>
      </c>
      <c r="H161"/>
      <c r="I161"/>
      <c r="J161" t="s">
        <v>2522</v>
      </c>
      <c r="K161"/>
      <c r="L161"/>
      <c r="M161">
        <v>17</v>
      </c>
      <c r="N161">
        <v>38</v>
      </c>
      <c r="O161">
        <v>7</v>
      </c>
      <c r="P161">
        <v>8</v>
      </c>
      <c r="Q161">
        <v>7</v>
      </c>
      <c r="R161" t="s">
        <v>2641</v>
      </c>
      <c r="S161" t="s">
        <v>2641</v>
      </c>
      <c r="T161" t="s">
        <v>2641</v>
      </c>
      <c r="U161" t="s">
        <v>2641</v>
      </c>
      <c r="V161">
        <v>30</v>
      </c>
      <c r="W161"/>
      <c r="X161"/>
      <c r="Y161">
        <v>60</v>
      </c>
      <c r="Z161">
        <v>30</v>
      </c>
      <c r="AA161">
        <v>15</v>
      </c>
      <c r="AB161">
        <v>12</v>
      </c>
      <c r="AC161">
        <v>13</v>
      </c>
      <c r="AD161">
        <v>14</v>
      </c>
      <c r="AE161">
        <v>11</v>
      </c>
      <c r="AF161">
        <v>13</v>
      </c>
      <c r="AG161">
        <v>95</v>
      </c>
      <c r="AH161"/>
      <c r="AI161"/>
      <c r="AJ161"/>
      <c r="AK161"/>
      <c r="AL161"/>
      <c r="AM161"/>
      <c r="AN161"/>
      <c r="AO161">
        <v>289</v>
      </c>
      <c r="AP161"/>
      <c r="AQ161"/>
      <c r="AR161"/>
      <c r="AS161"/>
      <c r="AT161"/>
      <c r="AU161"/>
      <c r="AV161"/>
      <c r="AW161"/>
      <c r="AX161"/>
      <c r="AY161" t="s">
        <v>2520</v>
      </c>
      <c r="AZ161" t="s">
        <v>2521</v>
      </c>
      <c r="BA161" t="s">
        <v>2520</v>
      </c>
      <c r="BB161"/>
      <c r="BC161"/>
      <c r="BD161"/>
      <c r="BE161"/>
      <c r="BF161"/>
      <c r="BG161"/>
      <c r="BH161"/>
      <c r="BI161"/>
      <c r="BJ161"/>
      <c r="BK161"/>
      <c r="BL161"/>
      <c r="BM161"/>
      <c r="BN161"/>
      <c r="BO161"/>
      <c r="BP161" t="s">
        <v>2479</v>
      </c>
      <c r="BQ161" t="s">
        <v>4378</v>
      </c>
      <c r="BR161" t="s">
        <v>4377</v>
      </c>
      <c r="BS161" t="s">
        <v>2517</v>
      </c>
      <c r="BT161" t="s">
        <v>4376</v>
      </c>
      <c r="BU161" t="s">
        <v>4375</v>
      </c>
      <c r="BV161"/>
      <c r="BW161"/>
      <c r="BX161"/>
      <c r="BY161"/>
      <c r="BZ161"/>
      <c r="CA161"/>
      <c r="CB161"/>
      <c r="CC161"/>
      <c r="CD161"/>
      <c r="CE161"/>
      <c r="CF161"/>
      <c r="CG161"/>
      <c r="CH161"/>
      <c r="CI161"/>
      <c r="CJ161"/>
      <c r="CK161"/>
      <c r="CL161"/>
      <c r="CM161"/>
      <c r="CN161"/>
      <c r="CO161"/>
      <c r="CP161"/>
      <c r="CQ161"/>
      <c r="CR161"/>
      <c r="CS161"/>
      <c r="CT161"/>
      <c r="CU161"/>
      <c r="CV161"/>
      <c r="CW161"/>
      <c r="CX161" t="s">
        <v>2454</v>
      </c>
      <c r="CY161">
        <v>95</v>
      </c>
      <c r="CZ161" t="s">
        <v>2453</v>
      </c>
    </row>
    <row r="162" spans="1:104" ht="14.25">
      <c r="A162" t="s">
        <v>4374</v>
      </c>
      <c r="B162" t="s">
        <v>4373</v>
      </c>
      <c r="C162" t="s">
        <v>4372</v>
      </c>
      <c r="D162">
        <v>3</v>
      </c>
      <c r="E162" t="s">
        <v>2468</v>
      </c>
      <c r="F162" t="s">
        <v>2467</v>
      </c>
      <c r="G162" t="s">
        <v>3231</v>
      </c>
      <c r="H162" t="s">
        <v>3375</v>
      </c>
      <c r="I162"/>
      <c r="J162" t="s">
        <v>2465</v>
      </c>
      <c r="K162"/>
      <c r="L162"/>
      <c r="M162">
        <v>17</v>
      </c>
      <c r="N162">
        <v>82</v>
      </c>
      <c r="O162">
        <v>11</v>
      </c>
      <c r="P162">
        <v>8</v>
      </c>
      <c r="Q162">
        <v>33</v>
      </c>
      <c r="R162" t="s">
        <v>2972</v>
      </c>
      <c r="S162" t="s">
        <v>3754</v>
      </c>
      <c r="T162" t="s">
        <v>2462</v>
      </c>
      <c r="U162" t="s">
        <v>2462</v>
      </c>
      <c r="V162">
        <v>30</v>
      </c>
      <c r="W162"/>
      <c r="X162"/>
      <c r="Y162"/>
      <c r="Z162"/>
      <c r="AA162">
        <v>18</v>
      </c>
      <c r="AB162">
        <v>12</v>
      </c>
      <c r="AC162">
        <v>16</v>
      </c>
      <c r="AD162">
        <v>13</v>
      </c>
      <c r="AE162">
        <v>14</v>
      </c>
      <c r="AF162">
        <v>14</v>
      </c>
      <c r="AG162">
        <v>177</v>
      </c>
      <c r="AH162"/>
      <c r="AI162"/>
      <c r="AJ162"/>
      <c r="AK162"/>
      <c r="AL162"/>
      <c r="AM162"/>
      <c r="AN162"/>
      <c r="AO162">
        <v>322</v>
      </c>
      <c r="AP162"/>
      <c r="AQ162"/>
      <c r="AR162"/>
      <c r="AS162" t="s">
        <v>4371</v>
      </c>
      <c r="AT162"/>
      <c r="AU162"/>
      <c r="AV162"/>
      <c r="AW162"/>
      <c r="AX162"/>
      <c r="AY162" t="s">
        <v>2520</v>
      </c>
      <c r="AZ162" t="s">
        <v>3374</v>
      </c>
      <c r="BA162" t="s">
        <v>2520</v>
      </c>
      <c r="BB162" t="s">
        <v>2635</v>
      </c>
      <c r="BC162" t="s">
        <v>4370</v>
      </c>
      <c r="BD162" t="s">
        <v>2635</v>
      </c>
      <c r="BE162" t="s">
        <v>3527</v>
      </c>
      <c r="BF162" t="s">
        <v>4369</v>
      </c>
      <c r="BG162" t="s">
        <v>3527</v>
      </c>
      <c r="BH162" t="s">
        <v>3370</v>
      </c>
      <c r="BI162" t="s">
        <v>3371</v>
      </c>
      <c r="BJ162" t="s">
        <v>3369</v>
      </c>
      <c r="BK162" t="s">
        <v>3805</v>
      </c>
      <c r="BL162" t="s">
        <v>3367</v>
      </c>
      <c r="BM162" t="s">
        <v>3366</v>
      </c>
      <c r="BN162"/>
      <c r="BO162"/>
      <c r="BP162" t="s">
        <v>2652</v>
      </c>
      <c r="BQ162" t="s">
        <v>4368</v>
      </c>
      <c r="BR162" t="s">
        <v>4367</v>
      </c>
      <c r="BS162" t="s">
        <v>3360</v>
      </c>
      <c r="BT162" t="s">
        <v>4366</v>
      </c>
      <c r="BU162" t="s">
        <v>3360</v>
      </c>
      <c r="BV162" t="s">
        <v>4364</v>
      </c>
      <c r="BW162" t="s">
        <v>4365</v>
      </c>
      <c r="BX162" t="s">
        <v>4364</v>
      </c>
      <c r="BY162"/>
      <c r="BZ162"/>
      <c r="CA162"/>
      <c r="CB162"/>
      <c r="CC162"/>
      <c r="CD162"/>
      <c r="CE162"/>
      <c r="CF162"/>
      <c r="CG162"/>
      <c r="CH162"/>
      <c r="CI162"/>
      <c r="CJ162"/>
      <c r="CK162"/>
      <c r="CL162"/>
      <c r="CM162"/>
      <c r="CN162"/>
      <c r="CO162"/>
      <c r="CP162"/>
      <c r="CQ162"/>
      <c r="CR162"/>
      <c r="CS162"/>
      <c r="CT162"/>
      <c r="CU162"/>
      <c r="CV162"/>
      <c r="CW162"/>
      <c r="CX162" t="s">
        <v>2454</v>
      </c>
      <c r="CY162">
        <v>177</v>
      </c>
      <c r="CZ162" t="s">
        <v>2453</v>
      </c>
    </row>
    <row r="163" spans="1:104" ht="14.25">
      <c r="A163" t="s">
        <v>4363</v>
      </c>
      <c r="B163" t="s">
        <v>4363</v>
      </c>
      <c r="C163" t="s">
        <v>4362</v>
      </c>
      <c r="D163">
        <v>2</v>
      </c>
      <c r="E163" t="s">
        <v>2468</v>
      </c>
      <c r="F163" t="s">
        <v>2467</v>
      </c>
      <c r="G163" t="s">
        <v>2587</v>
      </c>
      <c r="H163"/>
      <c r="I163"/>
      <c r="J163" t="s">
        <v>1997</v>
      </c>
      <c r="K163"/>
      <c r="L163"/>
      <c r="M163">
        <v>14</v>
      </c>
      <c r="N163">
        <v>27</v>
      </c>
      <c r="O163">
        <v>6</v>
      </c>
      <c r="P163">
        <v>8</v>
      </c>
      <c r="Q163"/>
      <c r="R163" t="s">
        <v>2464</v>
      </c>
      <c r="S163" t="s">
        <v>3353</v>
      </c>
      <c r="T163" t="s">
        <v>2605</v>
      </c>
      <c r="U163" t="s">
        <v>2462</v>
      </c>
      <c r="V163">
        <v>30</v>
      </c>
      <c r="W163"/>
      <c r="X163">
        <v>30</v>
      </c>
      <c r="Y163"/>
      <c r="Z163"/>
      <c r="AA163">
        <v>14</v>
      </c>
      <c r="AB163">
        <v>14</v>
      </c>
      <c r="AC163">
        <v>11</v>
      </c>
      <c r="AD163">
        <v>3</v>
      </c>
      <c r="AE163">
        <v>14</v>
      </c>
      <c r="AF163">
        <v>5</v>
      </c>
      <c r="AG163">
        <v>173</v>
      </c>
      <c r="AH163"/>
      <c r="AI163"/>
      <c r="AJ163">
        <v>58</v>
      </c>
      <c r="AK163"/>
      <c r="AL163"/>
      <c r="AM163"/>
      <c r="AN163">
        <v>30</v>
      </c>
      <c r="AO163">
        <v>321</v>
      </c>
      <c r="AP163"/>
      <c r="AQ163"/>
      <c r="AR163"/>
      <c r="AS163" t="s">
        <v>4361</v>
      </c>
      <c r="AT163"/>
      <c r="AU163"/>
      <c r="AV163"/>
      <c r="AW163"/>
      <c r="AX163"/>
      <c r="AY163" t="s">
        <v>2620</v>
      </c>
      <c r="AZ163" t="s">
        <v>4360</v>
      </c>
      <c r="BA163" t="s">
        <v>2620</v>
      </c>
      <c r="BB163"/>
      <c r="BC163"/>
      <c r="BD163"/>
      <c r="BE163"/>
      <c r="BF163"/>
      <c r="BG163"/>
      <c r="BH163"/>
      <c r="BI163"/>
      <c r="BJ163"/>
      <c r="BK163"/>
      <c r="BL163"/>
      <c r="BM163"/>
      <c r="BN163"/>
      <c r="BO163"/>
      <c r="BP163" t="s">
        <v>2480</v>
      </c>
      <c r="BQ163" t="s">
        <v>4359</v>
      </c>
      <c r="BR163" t="s">
        <v>2480</v>
      </c>
      <c r="BS163" t="s">
        <v>3761</v>
      </c>
      <c r="BT163" t="s">
        <v>4358</v>
      </c>
      <c r="BU163" t="s">
        <v>4357</v>
      </c>
      <c r="BV163" t="s">
        <v>2854</v>
      </c>
      <c r="BW163" t="s">
        <v>2785</v>
      </c>
      <c r="BX163" t="s">
        <v>4356</v>
      </c>
      <c r="BY163"/>
      <c r="BZ163"/>
      <c r="CA163"/>
      <c r="CB163"/>
      <c r="CC163"/>
      <c r="CD163"/>
      <c r="CE163"/>
      <c r="CF163"/>
      <c r="CG163"/>
      <c r="CH163"/>
      <c r="CI163"/>
      <c r="CJ163"/>
      <c r="CK163"/>
      <c r="CL163"/>
      <c r="CM163"/>
      <c r="CN163"/>
      <c r="CO163"/>
      <c r="CP163"/>
      <c r="CQ163"/>
      <c r="CR163"/>
      <c r="CS163"/>
      <c r="CT163"/>
      <c r="CU163"/>
      <c r="CV163"/>
      <c r="CW163"/>
      <c r="CX163" t="s">
        <v>2454</v>
      </c>
      <c r="CY163">
        <v>173</v>
      </c>
      <c r="CZ163" t="s">
        <v>2453</v>
      </c>
    </row>
    <row r="164" spans="1:104" ht="14.25">
      <c r="A164" t="s">
        <v>4355</v>
      </c>
      <c r="B164" t="s">
        <v>4355</v>
      </c>
      <c r="C164" t="s">
        <v>4354</v>
      </c>
      <c r="D164">
        <v>2</v>
      </c>
      <c r="E164" t="s">
        <v>2468</v>
      </c>
      <c r="F164" t="s">
        <v>2489</v>
      </c>
      <c r="G164" t="s">
        <v>2587</v>
      </c>
      <c r="H164"/>
      <c r="I164"/>
      <c r="J164" t="s">
        <v>2013</v>
      </c>
      <c r="K164"/>
      <c r="L164"/>
      <c r="M164">
        <v>12</v>
      </c>
      <c r="N164">
        <v>59</v>
      </c>
      <c r="O164">
        <v>7</v>
      </c>
      <c r="P164">
        <v>10</v>
      </c>
      <c r="Q164">
        <v>21</v>
      </c>
      <c r="R164" t="s">
        <v>2464</v>
      </c>
      <c r="S164" t="s">
        <v>3541</v>
      </c>
      <c r="T164" t="s">
        <v>2586</v>
      </c>
      <c r="U164" t="s">
        <v>2462</v>
      </c>
      <c r="V164">
        <v>30</v>
      </c>
      <c r="W164"/>
      <c r="X164"/>
      <c r="Y164">
        <v>80</v>
      </c>
      <c r="Z164"/>
      <c r="AA164">
        <v>18</v>
      </c>
      <c r="AB164">
        <v>15</v>
      </c>
      <c r="AC164">
        <v>16</v>
      </c>
      <c r="AD164">
        <v>2</v>
      </c>
      <c r="AE164">
        <v>13</v>
      </c>
      <c r="AF164">
        <v>8</v>
      </c>
      <c r="AG164">
        <v>174</v>
      </c>
      <c r="AH164"/>
      <c r="AI164"/>
      <c r="AJ164"/>
      <c r="AK164"/>
      <c r="AL164"/>
      <c r="AM164"/>
      <c r="AN164">
        <v>31</v>
      </c>
      <c r="AO164">
        <v>321</v>
      </c>
      <c r="AP164">
        <v>11</v>
      </c>
      <c r="AQ164"/>
      <c r="AR164"/>
      <c r="AS164"/>
      <c r="AT164"/>
      <c r="AU164"/>
      <c r="AV164" t="s">
        <v>4353</v>
      </c>
      <c r="AW164"/>
      <c r="AX164"/>
      <c r="AY164" t="s">
        <v>3485</v>
      </c>
      <c r="AZ164" t="s">
        <v>4352</v>
      </c>
      <c r="BA164" t="s">
        <v>3485</v>
      </c>
      <c r="BB164"/>
      <c r="BC164"/>
      <c r="BD164"/>
      <c r="BE164"/>
      <c r="BF164"/>
      <c r="BG164"/>
      <c r="BH164"/>
      <c r="BI164"/>
      <c r="BJ164"/>
      <c r="BK164"/>
      <c r="BL164"/>
      <c r="BM164"/>
      <c r="BN164"/>
      <c r="BO164"/>
      <c r="BP164" t="s">
        <v>2480</v>
      </c>
      <c r="BQ164" t="s">
        <v>4351</v>
      </c>
      <c r="BR164" t="s">
        <v>2480</v>
      </c>
      <c r="BS164" t="s">
        <v>2854</v>
      </c>
      <c r="BT164" t="s">
        <v>3912</v>
      </c>
      <c r="BU164" t="s">
        <v>4350</v>
      </c>
      <c r="BV164" t="s">
        <v>2652</v>
      </c>
      <c r="BW164" t="s">
        <v>4349</v>
      </c>
      <c r="BX164" t="s">
        <v>4348</v>
      </c>
      <c r="BY164"/>
      <c r="BZ164"/>
      <c r="CA164"/>
      <c r="CB164"/>
      <c r="CC164"/>
      <c r="CD164"/>
      <c r="CE164"/>
      <c r="CF164"/>
      <c r="CG164"/>
      <c r="CH164"/>
      <c r="CI164"/>
      <c r="CJ164"/>
      <c r="CK164"/>
      <c r="CL164"/>
      <c r="CM164"/>
      <c r="CN164"/>
      <c r="CO164"/>
      <c r="CP164"/>
      <c r="CQ164"/>
      <c r="CR164"/>
      <c r="CS164"/>
      <c r="CT164"/>
      <c r="CU164"/>
      <c r="CV164"/>
      <c r="CW164"/>
      <c r="CX164" t="s">
        <v>2454</v>
      </c>
      <c r="CY164">
        <v>174</v>
      </c>
      <c r="CZ164" t="s">
        <v>2453</v>
      </c>
    </row>
    <row r="165" spans="1:104" ht="14.25">
      <c r="A165" t="s">
        <v>4346</v>
      </c>
      <c r="B165" t="s">
        <v>4346</v>
      </c>
      <c r="C165" t="s">
        <v>4347</v>
      </c>
      <c r="D165">
        <v>0.25</v>
      </c>
      <c r="E165" t="s">
        <v>2468</v>
      </c>
      <c r="F165" t="s">
        <v>2467</v>
      </c>
      <c r="G165" t="s">
        <v>2608</v>
      </c>
      <c r="H165" t="s">
        <v>4346</v>
      </c>
      <c r="I165"/>
      <c r="J165" t="s">
        <v>2465</v>
      </c>
      <c r="K165"/>
      <c r="L165"/>
      <c r="M165">
        <v>11</v>
      </c>
      <c r="N165">
        <v>11</v>
      </c>
      <c r="O165">
        <v>2</v>
      </c>
      <c r="P165">
        <v>8</v>
      </c>
      <c r="Q165">
        <v>2</v>
      </c>
      <c r="R165" t="s">
        <v>2464</v>
      </c>
      <c r="S165" t="s">
        <v>3493</v>
      </c>
      <c r="T165" t="s">
        <v>2462</v>
      </c>
      <c r="U165" t="s">
        <v>2462</v>
      </c>
      <c r="V165">
        <v>30</v>
      </c>
      <c r="W165"/>
      <c r="X165"/>
      <c r="Y165"/>
      <c r="Z165"/>
      <c r="AA165">
        <v>16</v>
      </c>
      <c r="AB165">
        <v>12</v>
      </c>
      <c r="AC165">
        <v>12</v>
      </c>
      <c r="AD165">
        <v>9</v>
      </c>
      <c r="AE165">
        <v>8</v>
      </c>
      <c r="AF165">
        <v>6</v>
      </c>
      <c r="AG165">
        <v>175</v>
      </c>
      <c r="AH165"/>
      <c r="AI165"/>
      <c r="AJ165"/>
      <c r="AK165"/>
      <c r="AL165"/>
      <c r="AM165"/>
      <c r="AN165"/>
      <c r="AO165">
        <v>321</v>
      </c>
      <c r="AP165"/>
      <c r="AQ165"/>
      <c r="AR165"/>
      <c r="AS165"/>
      <c r="AT165"/>
      <c r="AU165"/>
      <c r="AV165"/>
      <c r="AW165"/>
      <c r="AX165"/>
      <c r="AY165" t="s">
        <v>4344</v>
      </c>
      <c r="AZ165" t="s">
        <v>4345</v>
      </c>
      <c r="BA165" t="s">
        <v>4344</v>
      </c>
      <c r="BB165" t="s">
        <v>2675</v>
      </c>
      <c r="BC165" t="s">
        <v>4343</v>
      </c>
      <c r="BD165" t="s">
        <v>2675</v>
      </c>
      <c r="BE165" t="s">
        <v>2620</v>
      </c>
      <c r="BF165" t="s">
        <v>4342</v>
      </c>
      <c r="BG165" t="s">
        <v>2620</v>
      </c>
      <c r="BH165"/>
      <c r="BI165"/>
      <c r="BJ165"/>
      <c r="BK165"/>
      <c r="BL165"/>
      <c r="BM165"/>
      <c r="BN165"/>
      <c r="BO165"/>
      <c r="BP165" t="s">
        <v>4341</v>
      </c>
      <c r="BQ165" t="s">
        <v>4340</v>
      </c>
      <c r="BR165" t="s">
        <v>4339</v>
      </c>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t="s">
        <v>2454</v>
      </c>
      <c r="CY165">
        <v>175</v>
      </c>
      <c r="CZ165" t="s">
        <v>2453</v>
      </c>
    </row>
    <row r="166" spans="1:104" ht="14.25">
      <c r="A166" t="s">
        <v>4338</v>
      </c>
      <c r="B166" t="s">
        <v>4338</v>
      </c>
      <c r="C166" t="s">
        <v>4337</v>
      </c>
      <c r="D166">
        <v>0.125</v>
      </c>
      <c r="E166" t="s">
        <v>2609</v>
      </c>
      <c r="F166" t="s">
        <v>2467</v>
      </c>
      <c r="G166" t="s">
        <v>2608</v>
      </c>
      <c r="H166" t="s">
        <v>2607</v>
      </c>
      <c r="I166"/>
      <c r="J166" t="s">
        <v>2607</v>
      </c>
      <c r="K166"/>
      <c r="L166"/>
      <c r="M166">
        <v>16</v>
      </c>
      <c r="N166">
        <v>11</v>
      </c>
      <c r="O166">
        <v>2</v>
      </c>
      <c r="P166">
        <v>8</v>
      </c>
      <c r="Q166">
        <v>2</v>
      </c>
      <c r="R166" t="s">
        <v>2464</v>
      </c>
      <c r="S166" t="s">
        <v>2463</v>
      </c>
      <c r="T166" t="s">
        <v>2462</v>
      </c>
      <c r="U166" t="s">
        <v>2462</v>
      </c>
      <c r="V166">
        <v>30</v>
      </c>
      <c r="W166"/>
      <c r="X166"/>
      <c r="Y166"/>
      <c r="Z166"/>
      <c r="AA166">
        <v>13</v>
      </c>
      <c r="AB166">
        <v>12</v>
      </c>
      <c r="AC166">
        <v>12</v>
      </c>
      <c r="AD166">
        <v>10</v>
      </c>
      <c r="AE166">
        <v>11</v>
      </c>
      <c r="AF166">
        <v>10</v>
      </c>
      <c r="AG166">
        <v>347</v>
      </c>
      <c r="AH166"/>
      <c r="AI166"/>
      <c r="AJ166"/>
      <c r="AK166"/>
      <c r="AL166"/>
      <c r="AM166"/>
      <c r="AN166">
        <v>54</v>
      </c>
      <c r="AO166">
        <v>394</v>
      </c>
      <c r="AP166">
        <v>11</v>
      </c>
      <c r="AQ166">
        <v>16</v>
      </c>
      <c r="AR166"/>
      <c r="AS166" t="s">
        <v>4336</v>
      </c>
      <c r="AT166"/>
      <c r="AU166"/>
      <c r="AV166" t="s">
        <v>4335</v>
      </c>
      <c r="AW166"/>
      <c r="AX166" t="s">
        <v>4334</v>
      </c>
      <c r="AY166"/>
      <c r="AZ166"/>
      <c r="BA166"/>
      <c r="BB166"/>
      <c r="BC166"/>
      <c r="BD166"/>
      <c r="BE166"/>
      <c r="BF166"/>
      <c r="BG166"/>
      <c r="BH166"/>
      <c r="BI166"/>
      <c r="BJ166"/>
      <c r="BK166"/>
      <c r="BL166"/>
      <c r="BM166"/>
      <c r="BN166"/>
      <c r="BO166"/>
      <c r="BP166" t="s">
        <v>2402</v>
      </c>
      <c r="BQ166" t="s">
        <v>4333</v>
      </c>
      <c r="BR166" t="s">
        <v>3019</v>
      </c>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t="s">
        <v>2454</v>
      </c>
      <c r="CY166">
        <v>347</v>
      </c>
      <c r="CZ166" t="s">
        <v>2453</v>
      </c>
    </row>
    <row r="167" spans="1:104" ht="14.25">
      <c r="A167" t="s">
        <v>4332</v>
      </c>
      <c r="B167" t="s">
        <v>4331</v>
      </c>
      <c r="C167" t="s">
        <v>4330</v>
      </c>
      <c r="D167">
        <v>10</v>
      </c>
      <c r="E167" t="s">
        <v>2468</v>
      </c>
      <c r="F167" t="s">
        <v>2489</v>
      </c>
      <c r="G167" t="s">
        <v>2587</v>
      </c>
      <c r="H167" t="s">
        <v>3239</v>
      </c>
      <c r="I167"/>
      <c r="J167" t="s">
        <v>2502</v>
      </c>
      <c r="K167">
        <v>11</v>
      </c>
      <c r="L167" t="s">
        <v>2005</v>
      </c>
      <c r="M167">
        <v>18</v>
      </c>
      <c r="N167">
        <v>127</v>
      </c>
      <c r="O167">
        <v>15</v>
      </c>
      <c r="P167">
        <v>10</v>
      </c>
      <c r="Q167">
        <v>45</v>
      </c>
      <c r="R167" t="s">
        <v>2972</v>
      </c>
      <c r="S167" t="s">
        <v>4329</v>
      </c>
      <c r="T167" t="s">
        <v>2462</v>
      </c>
      <c r="U167" t="s">
        <v>2462</v>
      </c>
      <c r="V167">
        <v>40</v>
      </c>
      <c r="W167"/>
      <c r="X167"/>
      <c r="Y167"/>
      <c r="Z167"/>
      <c r="AA167">
        <v>19</v>
      </c>
      <c r="AB167">
        <v>18</v>
      </c>
      <c r="AC167">
        <v>16</v>
      </c>
      <c r="AD167">
        <v>16</v>
      </c>
      <c r="AE167">
        <v>19</v>
      </c>
      <c r="AF167">
        <v>18</v>
      </c>
      <c r="AG167">
        <v>234</v>
      </c>
      <c r="AH167"/>
      <c r="AI167"/>
      <c r="AJ167"/>
      <c r="AK167"/>
      <c r="AL167"/>
      <c r="AM167"/>
      <c r="AN167"/>
      <c r="AO167">
        <v>338</v>
      </c>
      <c r="AP167"/>
      <c r="AQ167"/>
      <c r="AR167"/>
      <c r="AS167"/>
      <c r="AT167"/>
      <c r="AU167"/>
      <c r="AV167"/>
      <c r="AW167"/>
      <c r="AX167"/>
      <c r="AY167" t="s">
        <v>3237</v>
      </c>
      <c r="AZ167" t="s">
        <v>3238</v>
      </c>
      <c r="BA167" t="s">
        <v>3237</v>
      </c>
      <c r="BB167" t="s">
        <v>3235</v>
      </c>
      <c r="BC167" t="s">
        <v>4328</v>
      </c>
      <c r="BD167" t="s">
        <v>3235</v>
      </c>
      <c r="BE167"/>
      <c r="BF167"/>
      <c r="BG167"/>
      <c r="BH167"/>
      <c r="BI167"/>
      <c r="BJ167"/>
      <c r="BK167"/>
      <c r="BL167"/>
      <c r="BM167"/>
      <c r="BN167"/>
      <c r="BO167"/>
      <c r="BP167" t="s">
        <v>2479</v>
      </c>
      <c r="BQ167" t="s">
        <v>4327</v>
      </c>
      <c r="BR167" t="s">
        <v>4326</v>
      </c>
      <c r="BS167" t="s">
        <v>4325</v>
      </c>
      <c r="BT167" t="s">
        <v>4324</v>
      </c>
      <c r="BU167" t="s">
        <v>4323</v>
      </c>
      <c r="BV167"/>
      <c r="BW167"/>
      <c r="BX167"/>
      <c r="BY167"/>
      <c r="BZ167"/>
      <c r="CA167"/>
      <c r="CB167"/>
      <c r="CC167"/>
      <c r="CD167"/>
      <c r="CE167"/>
      <c r="CF167"/>
      <c r="CG167"/>
      <c r="CH167"/>
      <c r="CI167"/>
      <c r="CJ167"/>
      <c r="CK167"/>
      <c r="CL167"/>
      <c r="CM167"/>
      <c r="CN167"/>
      <c r="CO167"/>
      <c r="CP167"/>
      <c r="CQ167"/>
      <c r="CR167"/>
      <c r="CS167"/>
      <c r="CT167"/>
      <c r="CU167"/>
      <c r="CV167"/>
      <c r="CW167"/>
      <c r="CX167" t="s">
        <v>2454</v>
      </c>
      <c r="CY167">
        <v>234</v>
      </c>
      <c r="CZ167" t="s">
        <v>2453</v>
      </c>
    </row>
    <row r="168" spans="1:104" ht="14.25">
      <c r="A168" t="s">
        <v>4322</v>
      </c>
      <c r="B168" t="s">
        <v>4322</v>
      </c>
      <c r="C168" t="s">
        <v>4321</v>
      </c>
      <c r="D168">
        <v>11</v>
      </c>
      <c r="E168" t="s">
        <v>2468</v>
      </c>
      <c r="F168" t="s">
        <v>2489</v>
      </c>
      <c r="G168" t="s">
        <v>2587</v>
      </c>
      <c r="H168"/>
      <c r="I168"/>
      <c r="J168" t="s">
        <v>4320</v>
      </c>
      <c r="K168">
        <v>9</v>
      </c>
      <c r="L168" t="s">
        <v>1995</v>
      </c>
      <c r="M168">
        <v>17</v>
      </c>
      <c r="N168">
        <v>136</v>
      </c>
      <c r="O168">
        <v>16</v>
      </c>
      <c r="P168">
        <v>10</v>
      </c>
      <c r="Q168">
        <v>48</v>
      </c>
      <c r="R168" t="s">
        <v>2972</v>
      </c>
      <c r="S168" t="s">
        <v>4319</v>
      </c>
      <c r="T168" t="s">
        <v>2462</v>
      </c>
      <c r="U168" t="s">
        <v>2462</v>
      </c>
      <c r="V168">
        <v>40</v>
      </c>
      <c r="W168"/>
      <c r="X168"/>
      <c r="Y168">
        <v>60</v>
      </c>
      <c r="Z168"/>
      <c r="AA168">
        <v>18</v>
      </c>
      <c r="AB168">
        <v>15</v>
      </c>
      <c r="AC168">
        <v>16</v>
      </c>
      <c r="AD168">
        <v>18</v>
      </c>
      <c r="AE168">
        <v>18</v>
      </c>
      <c r="AF168">
        <v>18</v>
      </c>
      <c r="AG168">
        <v>282</v>
      </c>
      <c r="AH168"/>
      <c r="AI168"/>
      <c r="AJ168"/>
      <c r="AK168"/>
      <c r="AL168"/>
      <c r="AM168"/>
      <c r="AN168"/>
      <c r="AO168">
        <v>351</v>
      </c>
      <c r="AP168"/>
      <c r="AQ168"/>
      <c r="AR168"/>
      <c r="AS168"/>
      <c r="AT168"/>
      <c r="AU168"/>
      <c r="AV168"/>
      <c r="AW168"/>
      <c r="AX168"/>
      <c r="AY168" t="s">
        <v>4317</v>
      </c>
      <c r="AZ168" t="s">
        <v>4318</v>
      </c>
      <c r="BA168" t="s">
        <v>4317</v>
      </c>
      <c r="BB168" t="s">
        <v>2966</v>
      </c>
      <c r="BC168" t="s">
        <v>4316</v>
      </c>
      <c r="BD168" t="s">
        <v>2966</v>
      </c>
      <c r="BE168" t="s">
        <v>3235</v>
      </c>
      <c r="BF168" t="s">
        <v>4315</v>
      </c>
      <c r="BG168" t="s">
        <v>3235</v>
      </c>
      <c r="BH168"/>
      <c r="BI168"/>
      <c r="BJ168"/>
      <c r="BK168"/>
      <c r="BL168"/>
      <c r="BM168"/>
      <c r="BN168"/>
      <c r="BO168"/>
      <c r="BP168" t="s">
        <v>2480</v>
      </c>
      <c r="BQ168" t="s">
        <v>4314</v>
      </c>
      <c r="BR168" t="s">
        <v>2480</v>
      </c>
      <c r="BS168" t="s">
        <v>2476</v>
      </c>
      <c r="BT168" t="s">
        <v>3950</v>
      </c>
      <c r="BU168" t="s">
        <v>4313</v>
      </c>
      <c r="BV168"/>
      <c r="BW168"/>
      <c r="BX168"/>
      <c r="BY168"/>
      <c r="BZ168"/>
      <c r="CA168"/>
      <c r="CB168"/>
      <c r="CC168"/>
      <c r="CD168"/>
      <c r="CE168"/>
      <c r="CF168"/>
      <c r="CG168"/>
      <c r="CH168"/>
      <c r="CI168"/>
      <c r="CJ168"/>
      <c r="CK168" t="s">
        <v>4312</v>
      </c>
      <c r="CL168" t="s">
        <v>4311</v>
      </c>
      <c r="CM168" t="s">
        <v>4310</v>
      </c>
      <c r="CN168" t="s">
        <v>4309</v>
      </c>
      <c r="CO168" t="s">
        <v>4308</v>
      </c>
      <c r="CP168" t="s">
        <v>4307</v>
      </c>
      <c r="CQ168"/>
      <c r="CR168"/>
      <c r="CS168"/>
      <c r="CT168"/>
      <c r="CU168"/>
      <c r="CV168"/>
      <c r="CW168"/>
      <c r="CX168" t="s">
        <v>2454</v>
      </c>
      <c r="CY168">
        <v>282</v>
      </c>
      <c r="CZ168" t="s">
        <v>2453</v>
      </c>
    </row>
    <row r="169" spans="1:104" ht="14.25">
      <c r="A169" t="s">
        <v>4306</v>
      </c>
      <c r="B169" t="s">
        <v>4306</v>
      </c>
      <c r="C169" t="s">
        <v>4305</v>
      </c>
      <c r="D169">
        <v>1</v>
      </c>
      <c r="E169" t="s">
        <v>2468</v>
      </c>
      <c r="F169" t="s">
        <v>2467</v>
      </c>
      <c r="G169" t="s">
        <v>2587</v>
      </c>
      <c r="H169"/>
      <c r="I169"/>
      <c r="J169" t="s">
        <v>2487</v>
      </c>
      <c r="K169"/>
      <c r="L169"/>
      <c r="M169">
        <v>11</v>
      </c>
      <c r="N169">
        <v>38</v>
      </c>
      <c r="O169">
        <v>7</v>
      </c>
      <c r="P169">
        <v>8</v>
      </c>
      <c r="Q169">
        <v>7</v>
      </c>
      <c r="R169" t="s">
        <v>2464</v>
      </c>
      <c r="S169" t="s">
        <v>3403</v>
      </c>
      <c r="T169" t="s">
        <v>2992</v>
      </c>
      <c r="U169" t="s">
        <v>2462</v>
      </c>
      <c r="V169">
        <v>20</v>
      </c>
      <c r="W169"/>
      <c r="X169"/>
      <c r="Y169">
        <v>40</v>
      </c>
      <c r="Z169"/>
      <c r="AA169">
        <v>12</v>
      </c>
      <c r="AB169">
        <v>13</v>
      </c>
      <c r="AC169">
        <v>12</v>
      </c>
      <c r="AD169">
        <v>7</v>
      </c>
      <c r="AE169">
        <v>10</v>
      </c>
      <c r="AF169">
        <v>13</v>
      </c>
      <c r="AG169">
        <v>181</v>
      </c>
      <c r="AH169"/>
      <c r="AI169"/>
      <c r="AJ169"/>
      <c r="AK169"/>
      <c r="AL169"/>
      <c r="AM169"/>
      <c r="AN169">
        <v>31</v>
      </c>
      <c r="AO169">
        <v>324</v>
      </c>
      <c r="AP169"/>
      <c r="AQ169"/>
      <c r="AR169"/>
      <c r="AS169"/>
      <c r="AT169"/>
      <c r="AU169"/>
      <c r="AV169"/>
      <c r="AW169"/>
      <c r="AX169"/>
      <c r="AY169"/>
      <c r="AZ169"/>
      <c r="BA169"/>
      <c r="BB169"/>
      <c r="BC169"/>
      <c r="BD169"/>
      <c r="BE169"/>
      <c r="BF169"/>
      <c r="BG169"/>
      <c r="BH169"/>
      <c r="BI169"/>
      <c r="BJ169"/>
      <c r="BK169"/>
      <c r="BL169"/>
      <c r="BM169"/>
      <c r="BN169"/>
      <c r="BO169"/>
      <c r="BP169" t="s">
        <v>2480</v>
      </c>
      <c r="BQ169" t="s">
        <v>4304</v>
      </c>
      <c r="BR169" t="s">
        <v>2480</v>
      </c>
      <c r="BS169" t="s">
        <v>2652</v>
      </c>
      <c r="BT169" t="s">
        <v>4303</v>
      </c>
      <c r="BU169" t="s">
        <v>4302</v>
      </c>
      <c r="BV169" t="s">
        <v>4301</v>
      </c>
      <c r="BW169" t="s">
        <v>4300</v>
      </c>
      <c r="BX169" t="s">
        <v>4299</v>
      </c>
      <c r="BY169" t="s">
        <v>4297</v>
      </c>
      <c r="BZ169" t="s">
        <v>4298</v>
      </c>
      <c r="CA169" t="s">
        <v>4297</v>
      </c>
      <c r="CB169"/>
      <c r="CC169"/>
      <c r="CD169"/>
      <c r="CE169"/>
      <c r="CF169"/>
      <c r="CG169"/>
      <c r="CH169"/>
      <c r="CI169"/>
      <c r="CJ169"/>
      <c r="CK169"/>
      <c r="CL169"/>
      <c r="CM169"/>
      <c r="CN169"/>
      <c r="CO169"/>
      <c r="CP169"/>
      <c r="CQ169"/>
      <c r="CR169"/>
      <c r="CS169"/>
      <c r="CT169"/>
      <c r="CU169"/>
      <c r="CV169"/>
      <c r="CW169"/>
      <c r="CX169" t="s">
        <v>2454</v>
      </c>
      <c r="CY169">
        <v>181</v>
      </c>
      <c r="CZ169" t="s">
        <v>2453</v>
      </c>
    </row>
    <row r="170" spans="1:104" ht="14.25">
      <c r="A170" t="s">
        <v>4296</v>
      </c>
      <c r="B170" t="s">
        <v>4296</v>
      </c>
      <c r="C170" t="s">
        <v>4295</v>
      </c>
      <c r="D170">
        <v>0</v>
      </c>
      <c r="E170" t="s">
        <v>2680</v>
      </c>
      <c r="F170" t="s">
        <v>2719</v>
      </c>
      <c r="G170" t="s">
        <v>2690</v>
      </c>
      <c r="H170"/>
      <c r="I170"/>
      <c r="J170" t="s">
        <v>2013</v>
      </c>
      <c r="K170"/>
      <c r="L170"/>
      <c r="M170">
        <v>13</v>
      </c>
      <c r="N170">
        <v>1</v>
      </c>
      <c r="O170">
        <v>1</v>
      </c>
      <c r="P170">
        <v>4</v>
      </c>
      <c r="Q170">
        <v>-1</v>
      </c>
      <c r="R170" t="s">
        <v>2464</v>
      </c>
      <c r="S170" t="s">
        <v>2826</v>
      </c>
      <c r="T170" t="s">
        <v>2462</v>
      </c>
      <c r="U170" t="s">
        <v>2462</v>
      </c>
      <c r="V170">
        <v>10</v>
      </c>
      <c r="W170"/>
      <c r="X170"/>
      <c r="Y170">
        <v>60</v>
      </c>
      <c r="Z170"/>
      <c r="AA170">
        <v>5</v>
      </c>
      <c r="AB170">
        <v>16</v>
      </c>
      <c r="AC170">
        <v>8</v>
      </c>
      <c r="AD170">
        <v>2</v>
      </c>
      <c r="AE170">
        <v>14</v>
      </c>
      <c r="AF170">
        <v>6</v>
      </c>
      <c r="AG170">
        <v>330</v>
      </c>
      <c r="AH170">
        <v>306</v>
      </c>
      <c r="AI170"/>
      <c r="AJ170"/>
      <c r="AK170"/>
      <c r="AL170"/>
      <c r="AM170"/>
      <c r="AN170">
        <v>31</v>
      </c>
      <c r="AO170">
        <v>377</v>
      </c>
      <c r="AP170"/>
      <c r="AQ170"/>
      <c r="AR170"/>
      <c r="AS170"/>
      <c r="AT170"/>
      <c r="AU170"/>
      <c r="AV170"/>
      <c r="AW170"/>
      <c r="AX170"/>
      <c r="AY170" t="s">
        <v>3485</v>
      </c>
      <c r="AZ170" t="s">
        <v>4294</v>
      </c>
      <c r="BA170" t="s">
        <v>3485</v>
      </c>
      <c r="BB170"/>
      <c r="BC170"/>
      <c r="BD170"/>
      <c r="BE170"/>
      <c r="BF170"/>
      <c r="BG170"/>
      <c r="BH170"/>
      <c r="BI170"/>
      <c r="BJ170"/>
      <c r="BK170"/>
      <c r="BL170"/>
      <c r="BM170"/>
      <c r="BN170"/>
      <c r="BO170"/>
      <c r="BP170" t="s">
        <v>2869</v>
      </c>
      <c r="BQ170" t="s">
        <v>4293</v>
      </c>
      <c r="BR170" t="s">
        <v>4292</v>
      </c>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t="s">
        <v>2454</v>
      </c>
      <c r="CY170">
        <v>330</v>
      </c>
      <c r="CZ170" t="s">
        <v>2453</v>
      </c>
    </row>
    <row r="171" spans="1:104" ht="14.25">
      <c r="A171" t="s">
        <v>4291</v>
      </c>
      <c r="B171" t="s">
        <v>4290</v>
      </c>
      <c r="C171" t="s">
        <v>4289</v>
      </c>
      <c r="D171">
        <v>3</v>
      </c>
      <c r="E171" t="s">
        <v>2468</v>
      </c>
      <c r="F171" t="s">
        <v>2467</v>
      </c>
      <c r="G171" t="s">
        <v>2879</v>
      </c>
      <c r="H171"/>
      <c r="I171"/>
      <c r="J171" t="s">
        <v>2522</v>
      </c>
      <c r="K171"/>
      <c r="L171"/>
      <c r="M171">
        <v>15</v>
      </c>
      <c r="N171">
        <v>45</v>
      </c>
      <c r="O171">
        <v>7</v>
      </c>
      <c r="P171">
        <v>8</v>
      </c>
      <c r="Q171">
        <v>14</v>
      </c>
      <c r="R171" t="s">
        <v>2464</v>
      </c>
      <c r="S171" t="s">
        <v>2777</v>
      </c>
      <c r="T171" t="s">
        <v>4288</v>
      </c>
      <c r="U171" t="s">
        <v>4287</v>
      </c>
      <c r="V171">
        <v>50</v>
      </c>
      <c r="W171"/>
      <c r="X171"/>
      <c r="Y171"/>
      <c r="Z171"/>
      <c r="AA171">
        <v>17</v>
      </c>
      <c r="AB171">
        <v>12</v>
      </c>
      <c r="AC171">
        <v>14</v>
      </c>
      <c r="AD171">
        <v>6</v>
      </c>
      <c r="AE171">
        <v>13</v>
      </c>
      <c r="AF171">
        <v>6</v>
      </c>
      <c r="AG171">
        <v>182</v>
      </c>
      <c r="AH171"/>
      <c r="AI171"/>
      <c r="AJ171"/>
      <c r="AK171"/>
      <c r="AL171"/>
      <c r="AM171"/>
      <c r="AN171">
        <v>32</v>
      </c>
      <c r="AO171">
        <v>324</v>
      </c>
      <c r="AP171"/>
      <c r="AQ171"/>
      <c r="AR171"/>
      <c r="AS171" t="s">
        <v>4286</v>
      </c>
      <c r="AT171"/>
      <c r="AU171"/>
      <c r="AV171"/>
      <c r="AW171"/>
      <c r="AX171" t="s">
        <v>3753</v>
      </c>
      <c r="AY171" t="s">
        <v>2675</v>
      </c>
      <c r="AZ171" t="s">
        <v>4285</v>
      </c>
      <c r="BA171" t="s">
        <v>2675</v>
      </c>
      <c r="BB171" t="s">
        <v>2599</v>
      </c>
      <c r="BC171" t="s">
        <v>4284</v>
      </c>
      <c r="BD171" t="s">
        <v>2599</v>
      </c>
      <c r="BE171"/>
      <c r="BF171"/>
      <c r="BG171"/>
      <c r="BH171"/>
      <c r="BI171"/>
      <c r="BJ171"/>
      <c r="BK171"/>
      <c r="BL171"/>
      <c r="BM171"/>
      <c r="BN171"/>
      <c r="BO171"/>
      <c r="BP171" t="s">
        <v>2479</v>
      </c>
      <c r="BQ171" t="s">
        <v>4283</v>
      </c>
      <c r="BR171" t="s">
        <v>4282</v>
      </c>
      <c r="BS171" t="s">
        <v>2508</v>
      </c>
      <c r="BT171" t="s">
        <v>4281</v>
      </c>
      <c r="BU171" t="s">
        <v>4280</v>
      </c>
      <c r="BV171"/>
      <c r="BW171"/>
      <c r="BX171"/>
      <c r="BY171"/>
      <c r="BZ171"/>
      <c r="CA171"/>
      <c r="CB171"/>
      <c r="CC171"/>
      <c r="CD171"/>
      <c r="CE171"/>
      <c r="CF171"/>
      <c r="CG171"/>
      <c r="CH171"/>
      <c r="CI171"/>
      <c r="CJ171"/>
      <c r="CK171"/>
      <c r="CL171"/>
      <c r="CM171"/>
      <c r="CN171"/>
      <c r="CO171"/>
      <c r="CP171"/>
      <c r="CQ171"/>
      <c r="CR171"/>
      <c r="CS171"/>
      <c r="CT171"/>
      <c r="CU171"/>
      <c r="CV171"/>
      <c r="CW171"/>
      <c r="CX171" t="s">
        <v>2454</v>
      </c>
      <c r="CY171">
        <v>182</v>
      </c>
      <c r="CZ171" t="s">
        <v>2453</v>
      </c>
    </row>
    <row r="172" spans="1:104" ht="14.25">
      <c r="A172" t="s">
        <v>4279</v>
      </c>
      <c r="B172" t="s">
        <v>4279</v>
      </c>
      <c r="C172" t="s">
        <v>4278</v>
      </c>
      <c r="D172">
        <v>8</v>
      </c>
      <c r="E172" t="s">
        <v>2468</v>
      </c>
      <c r="F172" t="s">
        <v>2489</v>
      </c>
      <c r="G172" t="s">
        <v>2879</v>
      </c>
      <c r="H172" t="s">
        <v>2878</v>
      </c>
      <c r="I172"/>
      <c r="J172" t="s">
        <v>2487</v>
      </c>
      <c r="K172"/>
      <c r="L172"/>
      <c r="M172">
        <v>16</v>
      </c>
      <c r="N172">
        <v>136</v>
      </c>
      <c r="O172">
        <v>13</v>
      </c>
      <c r="P172">
        <v>10</v>
      </c>
      <c r="Q172">
        <v>65</v>
      </c>
      <c r="R172" t="s">
        <v>2464</v>
      </c>
      <c r="S172" t="s">
        <v>2486</v>
      </c>
      <c r="T172" t="s">
        <v>2485</v>
      </c>
      <c r="U172" t="s">
        <v>2462</v>
      </c>
      <c r="V172">
        <v>30</v>
      </c>
      <c r="W172"/>
      <c r="X172"/>
      <c r="Y172"/>
      <c r="Z172"/>
      <c r="AA172">
        <v>19</v>
      </c>
      <c r="AB172">
        <v>17</v>
      </c>
      <c r="AC172">
        <v>20</v>
      </c>
      <c r="AD172">
        <v>5</v>
      </c>
      <c r="AE172">
        <v>12</v>
      </c>
      <c r="AF172">
        <v>13</v>
      </c>
      <c r="AG172">
        <v>60</v>
      </c>
      <c r="AH172"/>
      <c r="AI172"/>
      <c r="AJ172"/>
      <c r="AK172"/>
      <c r="AL172"/>
      <c r="AM172"/>
      <c r="AN172"/>
      <c r="AO172">
        <v>274</v>
      </c>
      <c r="AP172"/>
      <c r="AQ172"/>
      <c r="AR172"/>
      <c r="AS172"/>
      <c r="AT172">
        <v>19</v>
      </c>
      <c r="AU172"/>
      <c r="AV172"/>
      <c r="AW172"/>
      <c r="AX172" t="s">
        <v>4277</v>
      </c>
      <c r="AY172" t="s">
        <v>2873</v>
      </c>
      <c r="AZ172" t="s">
        <v>4276</v>
      </c>
      <c r="BA172" t="s">
        <v>2873</v>
      </c>
      <c r="BB172" t="s">
        <v>4274</v>
      </c>
      <c r="BC172" t="s">
        <v>4275</v>
      </c>
      <c r="BD172" t="s">
        <v>4274</v>
      </c>
      <c r="BE172"/>
      <c r="BF172"/>
      <c r="BG172"/>
      <c r="BH172"/>
      <c r="BI172"/>
      <c r="BJ172"/>
      <c r="BK172"/>
      <c r="BL172"/>
      <c r="BM172"/>
      <c r="BN172"/>
      <c r="BO172"/>
      <c r="BP172" t="s">
        <v>2480</v>
      </c>
      <c r="BQ172" t="s">
        <v>4273</v>
      </c>
      <c r="BR172" t="s">
        <v>2480</v>
      </c>
      <c r="BS172" t="s">
        <v>2479</v>
      </c>
      <c r="BT172" t="s">
        <v>4272</v>
      </c>
      <c r="BU172" t="s">
        <v>2533</v>
      </c>
      <c r="BV172" t="s">
        <v>2652</v>
      </c>
      <c r="BW172" t="s">
        <v>2475</v>
      </c>
      <c r="BX172" t="s">
        <v>2474</v>
      </c>
      <c r="BY172" t="s">
        <v>2861</v>
      </c>
      <c r="BZ172" t="s">
        <v>4271</v>
      </c>
      <c r="CA172" t="s">
        <v>2861</v>
      </c>
      <c r="CB172"/>
      <c r="CC172"/>
      <c r="CD172"/>
      <c r="CE172"/>
      <c r="CF172"/>
      <c r="CG172"/>
      <c r="CH172"/>
      <c r="CI172"/>
      <c r="CJ172"/>
      <c r="CK172"/>
      <c r="CL172"/>
      <c r="CM172"/>
      <c r="CN172"/>
      <c r="CO172"/>
      <c r="CP172"/>
      <c r="CQ172"/>
      <c r="CR172"/>
      <c r="CS172"/>
      <c r="CT172"/>
      <c r="CU172"/>
      <c r="CV172"/>
      <c r="CW172"/>
      <c r="CX172" t="s">
        <v>2454</v>
      </c>
      <c r="CY172">
        <v>60</v>
      </c>
      <c r="CZ172" t="s">
        <v>2453</v>
      </c>
    </row>
    <row r="173" spans="1:104" ht="14.25">
      <c r="A173" t="s">
        <v>4270</v>
      </c>
      <c r="B173" t="s">
        <v>4269</v>
      </c>
      <c r="C173" t="s">
        <v>4268</v>
      </c>
      <c r="D173">
        <v>5</v>
      </c>
      <c r="E173" t="s">
        <v>2468</v>
      </c>
      <c r="F173" t="s">
        <v>2985</v>
      </c>
      <c r="G173" t="s">
        <v>3005</v>
      </c>
      <c r="H173"/>
      <c r="I173"/>
      <c r="J173" t="s">
        <v>2487</v>
      </c>
      <c r="K173"/>
      <c r="L173"/>
      <c r="M173">
        <v>13</v>
      </c>
      <c r="N173">
        <v>105</v>
      </c>
      <c r="O173">
        <v>10</v>
      </c>
      <c r="P173">
        <v>12</v>
      </c>
      <c r="Q173">
        <v>40</v>
      </c>
      <c r="R173" t="s">
        <v>2464</v>
      </c>
      <c r="S173" t="s">
        <v>4267</v>
      </c>
      <c r="T173" t="s">
        <v>4266</v>
      </c>
      <c r="U173" t="s">
        <v>2462</v>
      </c>
      <c r="V173">
        <v>40</v>
      </c>
      <c r="W173"/>
      <c r="X173"/>
      <c r="Y173"/>
      <c r="Z173"/>
      <c r="AA173">
        <v>21</v>
      </c>
      <c r="AB173">
        <v>8</v>
      </c>
      <c r="AC173">
        <v>19</v>
      </c>
      <c r="AD173">
        <v>5</v>
      </c>
      <c r="AE173">
        <v>9</v>
      </c>
      <c r="AF173">
        <v>6</v>
      </c>
      <c r="AG173">
        <v>155</v>
      </c>
      <c r="AH173"/>
      <c r="AI173"/>
      <c r="AJ173"/>
      <c r="AK173"/>
      <c r="AL173"/>
      <c r="AM173"/>
      <c r="AN173">
        <v>32</v>
      </c>
      <c r="AO173">
        <v>316</v>
      </c>
      <c r="AP173"/>
      <c r="AQ173"/>
      <c r="AR173"/>
      <c r="AS173"/>
      <c r="AT173"/>
      <c r="AU173"/>
      <c r="AV173"/>
      <c r="AW173"/>
      <c r="AX173" t="s">
        <v>4265</v>
      </c>
      <c r="AY173"/>
      <c r="AZ173"/>
      <c r="BA173"/>
      <c r="BB173"/>
      <c r="BC173"/>
      <c r="BD173"/>
      <c r="BE173"/>
      <c r="BF173"/>
      <c r="BG173"/>
      <c r="BH173"/>
      <c r="BI173"/>
      <c r="BJ173"/>
      <c r="BK173"/>
      <c r="BL173"/>
      <c r="BM173"/>
      <c r="BN173"/>
      <c r="BO173"/>
      <c r="BP173" t="s">
        <v>4264</v>
      </c>
      <c r="BQ173" t="s">
        <v>4263</v>
      </c>
      <c r="BR173" t="s">
        <v>4262</v>
      </c>
      <c r="BS173" t="s">
        <v>2480</v>
      </c>
      <c r="BT173" t="s">
        <v>3174</v>
      </c>
      <c r="BU173" t="s">
        <v>2480</v>
      </c>
      <c r="BV173" t="s">
        <v>2420</v>
      </c>
      <c r="BW173" t="s">
        <v>4261</v>
      </c>
      <c r="BX173" t="s">
        <v>4260</v>
      </c>
      <c r="BY173" t="s">
        <v>3031</v>
      </c>
      <c r="BZ173" t="s">
        <v>4259</v>
      </c>
      <c r="CA173" t="s">
        <v>4258</v>
      </c>
      <c r="CB173"/>
      <c r="CC173"/>
      <c r="CD173"/>
      <c r="CE173"/>
      <c r="CF173"/>
      <c r="CG173"/>
      <c r="CH173"/>
      <c r="CI173"/>
      <c r="CJ173"/>
      <c r="CK173"/>
      <c r="CL173"/>
      <c r="CM173"/>
      <c r="CN173"/>
      <c r="CO173"/>
      <c r="CP173"/>
      <c r="CQ173"/>
      <c r="CR173"/>
      <c r="CS173"/>
      <c r="CT173"/>
      <c r="CU173"/>
      <c r="CV173"/>
      <c r="CW173"/>
      <c r="CX173" t="s">
        <v>2454</v>
      </c>
      <c r="CY173">
        <v>155</v>
      </c>
      <c r="CZ173" t="s">
        <v>2453</v>
      </c>
    </row>
    <row r="174" spans="1:104" ht="14.25">
      <c r="A174" t="s">
        <v>4257</v>
      </c>
      <c r="B174" t="s">
        <v>4257</v>
      </c>
      <c r="C174" t="s">
        <v>4256</v>
      </c>
      <c r="D174">
        <v>1</v>
      </c>
      <c r="E174" t="s">
        <v>2468</v>
      </c>
      <c r="F174" t="s">
        <v>2489</v>
      </c>
      <c r="G174" t="s">
        <v>2587</v>
      </c>
      <c r="H174"/>
      <c r="I174"/>
      <c r="J174" t="s">
        <v>2013</v>
      </c>
      <c r="K174"/>
      <c r="L174"/>
      <c r="M174">
        <v>11</v>
      </c>
      <c r="N174">
        <v>19</v>
      </c>
      <c r="O174">
        <v>3</v>
      </c>
      <c r="P174">
        <v>10</v>
      </c>
      <c r="Q174">
        <v>3</v>
      </c>
      <c r="R174" t="s">
        <v>2464</v>
      </c>
      <c r="S174" t="s">
        <v>2778</v>
      </c>
      <c r="T174" t="s">
        <v>2679</v>
      </c>
      <c r="U174" t="s">
        <v>2462</v>
      </c>
      <c r="V174">
        <v>40</v>
      </c>
      <c r="W174"/>
      <c r="X174"/>
      <c r="Y174">
        <v>60</v>
      </c>
      <c r="Z174"/>
      <c r="AA174">
        <v>17</v>
      </c>
      <c r="AB174">
        <v>13</v>
      </c>
      <c r="AC174">
        <v>13</v>
      </c>
      <c r="AD174">
        <v>2</v>
      </c>
      <c r="AE174">
        <v>12</v>
      </c>
      <c r="AF174">
        <v>8</v>
      </c>
      <c r="AG174">
        <v>184</v>
      </c>
      <c r="AH174"/>
      <c r="AI174"/>
      <c r="AJ174"/>
      <c r="AK174"/>
      <c r="AL174"/>
      <c r="AM174"/>
      <c r="AN174">
        <v>32</v>
      </c>
      <c r="AO174">
        <v>325</v>
      </c>
      <c r="AP174"/>
      <c r="AQ174"/>
      <c r="AR174"/>
      <c r="AS174"/>
      <c r="AT174"/>
      <c r="AU174"/>
      <c r="AV174" t="s">
        <v>4255</v>
      </c>
      <c r="AW174"/>
      <c r="AX174"/>
      <c r="AY174" t="s">
        <v>3485</v>
      </c>
      <c r="AZ174" t="s">
        <v>4254</v>
      </c>
      <c r="BA174" t="s">
        <v>3485</v>
      </c>
      <c r="BB174"/>
      <c r="BC174"/>
      <c r="BD174"/>
      <c r="BE174"/>
      <c r="BF174"/>
      <c r="BG174"/>
      <c r="BH174"/>
      <c r="BI174"/>
      <c r="BJ174"/>
      <c r="BK174"/>
      <c r="BL174"/>
      <c r="BM174"/>
      <c r="BN174"/>
      <c r="BO174"/>
      <c r="BP174" t="s">
        <v>2480</v>
      </c>
      <c r="BQ174" t="s">
        <v>4253</v>
      </c>
      <c r="BR174" t="s">
        <v>2480</v>
      </c>
      <c r="BS174" t="s">
        <v>2854</v>
      </c>
      <c r="BT174" t="s">
        <v>3043</v>
      </c>
      <c r="BU174" t="s">
        <v>4252</v>
      </c>
      <c r="BV174" t="s">
        <v>2652</v>
      </c>
      <c r="BW174" t="s">
        <v>3365</v>
      </c>
      <c r="BX174" t="s">
        <v>3364</v>
      </c>
      <c r="BY174"/>
      <c r="BZ174"/>
      <c r="CA174"/>
      <c r="CB174"/>
      <c r="CC174"/>
      <c r="CD174"/>
      <c r="CE174"/>
      <c r="CF174"/>
      <c r="CG174"/>
      <c r="CH174"/>
      <c r="CI174"/>
      <c r="CJ174"/>
      <c r="CK174"/>
      <c r="CL174"/>
      <c r="CM174"/>
      <c r="CN174"/>
      <c r="CO174"/>
      <c r="CP174"/>
      <c r="CQ174"/>
      <c r="CR174"/>
      <c r="CS174"/>
      <c r="CT174"/>
      <c r="CU174"/>
      <c r="CV174"/>
      <c r="CW174"/>
      <c r="CX174" t="s">
        <v>2454</v>
      </c>
      <c r="CY174">
        <v>184</v>
      </c>
      <c r="CZ174" t="s">
        <v>2453</v>
      </c>
    </row>
    <row r="175" spans="1:104" ht="14.25">
      <c r="A175" t="s">
        <v>4251</v>
      </c>
      <c r="B175" t="s">
        <v>4251</v>
      </c>
      <c r="C175" t="s">
        <v>4250</v>
      </c>
      <c r="D175">
        <v>0.5</v>
      </c>
      <c r="E175" t="s">
        <v>2468</v>
      </c>
      <c r="F175" t="s">
        <v>2467</v>
      </c>
      <c r="G175" t="s">
        <v>2608</v>
      </c>
      <c r="H175" t="s">
        <v>4249</v>
      </c>
      <c r="I175"/>
      <c r="J175" t="s">
        <v>2522</v>
      </c>
      <c r="K175"/>
      <c r="L175"/>
      <c r="M175">
        <v>18</v>
      </c>
      <c r="N175">
        <v>11</v>
      </c>
      <c r="O175">
        <v>2</v>
      </c>
      <c r="P175">
        <v>8</v>
      </c>
      <c r="Q175">
        <v>2</v>
      </c>
      <c r="R175" t="s">
        <v>2464</v>
      </c>
      <c r="S175" t="s">
        <v>4248</v>
      </c>
      <c r="T175" t="s">
        <v>3023</v>
      </c>
      <c r="U175" t="s">
        <v>2462</v>
      </c>
      <c r="V175">
        <v>30</v>
      </c>
      <c r="W175"/>
      <c r="X175"/>
      <c r="Y175"/>
      <c r="Z175"/>
      <c r="AA175">
        <v>13</v>
      </c>
      <c r="AB175">
        <v>12</v>
      </c>
      <c r="AC175">
        <v>12</v>
      </c>
      <c r="AD175">
        <v>10</v>
      </c>
      <c r="AE175">
        <v>10</v>
      </c>
      <c r="AF175">
        <v>9</v>
      </c>
      <c r="AG175">
        <v>186</v>
      </c>
      <c r="AH175"/>
      <c r="AI175"/>
      <c r="AJ175">
        <v>59</v>
      </c>
      <c r="AK175"/>
      <c r="AL175"/>
      <c r="AM175"/>
      <c r="AN175">
        <v>32</v>
      </c>
      <c r="AO175">
        <v>325</v>
      </c>
      <c r="AP175">
        <v>12</v>
      </c>
      <c r="AQ175"/>
      <c r="AR175"/>
      <c r="AS175"/>
      <c r="AT175"/>
      <c r="AU175"/>
      <c r="AV175"/>
      <c r="AW175"/>
      <c r="AX175"/>
      <c r="AY175" t="s">
        <v>4247</v>
      </c>
      <c r="AZ175" t="s">
        <v>4246</v>
      </c>
      <c r="BA175" t="s">
        <v>4245</v>
      </c>
      <c r="BB175"/>
      <c r="BC175"/>
      <c r="BD175"/>
      <c r="BE175"/>
      <c r="BF175"/>
      <c r="BG175"/>
      <c r="BH175"/>
      <c r="BI175"/>
      <c r="BJ175"/>
      <c r="BK175"/>
      <c r="BL175"/>
      <c r="BM175"/>
      <c r="BN175"/>
      <c r="BO175"/>
      <c r="BP175" t="s">
        <v>2727</v>
      </c>
      <c r="BQ175" t="s">
        <v>4244</v>
      </c>
      <c r="BR175" t="s">
        <v>4243</v>
      </c>
      <c r="BS175" t="s">
        <v>2724</v>
      </c>
      <c r="BT175" t="s">
        <v>4242</v>
      </c>
      <c r="BU175" t="s">
        <v>4241</v>
      </c>
      <c r="BV175"/>
      <c r="BW175"/>
      <c r="BX175"/>
      <c r="BY175"/>
      <c r="BZ175"/>
      <c r="CA175"/>
      <c r="CB175"/>
      <c r="CC175"/>
      <c r="CD175"/>
      <c r="CE175"/>
      <c r="CF175"/>
      <c r="CG175"/>
      <c r="CH175"/>
      <c r="CI175"/>
      <c r="CJ175"/>
      <c r="CK175"/>
      <c r="CL175"/>
      <c r="CM175"/>
      <c r="CN175"/>
      <c r="CO175"/>
      <c r="CP175"/>
      <c r="CQ175"/>
      <c r="CR175"/>
      <c r="CS175"/>
      <c r="CT175"/>
      <c r="CU175"/>
      <c r="CV175"/>
      <c r="CW175"/>
      <c r="CX175" t="s">
        <v>2454</v>
      </c>
      <c r="CY175">
        <v>186</v>
      </c>
      <c r="CZ175" t="s">
        <v>2453</v>
      </c>
    </row>
    <row r="176" spans="1:104" ht="14.25">
      <c r="A176" t="s">
        <v>4240</v>
      </c>
      <c r="B176" t="s">
        <v>4240</v>
      </c>
      <c r="C176" t="s">
        <v>4239</v>
      </c>
      <c r="D176">
        <v>0</v>
      </c>
      <c r="E176" t="s">
        <v>2468</v>
      </c>
      <c r="F176" t="s">
        <v>2719</v>
      </c>
      <c r="G176" t="s">
        <v>3164</v>
      </c>
      <c r="H176"/>
      <c r="I176"/>
      <c r="J176" t="s">
        <v>1997</v>
      </c>
      <c r="K176"/>
      <c r="L176"/>
      <c r="M176">
        <v>13</v>
      </c>
      <c r="N176">
        <v>5</v>
      </c>
      <c r="O176">
        <v>2</v>
      </c>
      <c r="P176">
        <v>4</v>
      </c>
      <c r="Q176"/>
      <c r="R176" t="s">
        <v>2464</v>
      </c>
      <c r="S176" t="s">
        <v>2826</v>
      </c>
      <c r="T176" t="s">
        <v>2462</v>
      </c>
      <c r="U176" t="s">
        <v>2462</v>
      </c>
      <c r="V176">
        <v>20</v>
      </c>
      <c r="W176"/>
      <c r="X176"/>
      <c r="Y176">
        <v>40</v>
      </c>
      <c r="Z176"/>
      <c r="AA176">
        <v>4</v>
      </c>
      <c r="AB176">
        <v>15</v>
      </c>
      <c r="AC176">
        <v>11</v>
      </c>
      <c r="AD176">
        <v>10</v>
      </c>
      <c r="AE176">
        <v>10</v>
      </c>
      <c r="AF176">
        <v>7</v>
      </c>
      <c r="AG176">
        <v>188</v>
      </c>
      <c r="AH176"/>
      <c r="AI176"/>
      <c r="AJ176"/>
      <c r="AK176"/>
      <c r="AL176"/>
      <c r="AM176"/>
      <c r="AN176"/>
      <c r="AO176">
        <v>325</v>
      </c>
      <c r="AP176"/>
      <c r="AQ176"/>
      <c r="AR176"/>
      <c r="AS176"/>
      <c r="AT176"/>
      <c r="AU176"/>
      <c r="AV176"/>
      <c r="AW176"/>
      <c r="AX176"/>
      <c r="AY176" t="s">
        <v>4237</v>
      </c>
      <c r="AZ176" t="s">
        <v>4238</v>
      </c>
      <c r="BA176" t="s">
        <v>4237</v>
      </c>
      <c r="BB176"/>
      <c r="BC176"/>
      <c r="BD176"/>
      <c r="BE176"/>
      <c r="BF176"/>
      <c r="BG176"/>
      <c r="BH176"/>
      <c r="BI176"/>
      <c r="BJ176"/>
      <c r="BK176"/>
      <c r="BL176"/>
      <c r="BM176"/>
      <c r="BN176"/>
      <c r="BO176"/>
      <c r="BP176" t="s">
        <v>2479</v>
      </c>
      <c r="BQ176" t="s">
        <v>4236</v>
      </c>
      <c r="BR176" t="s">
        <v>3243</v>
      </c>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t="s">
        <v>2454</v>
      </c>
      <c r="CY176">
        <v>188</v>
      </c>
      <c r="CZ176" t="s">
        <v>2453</v>
      </c>
    </row>
    <row r="177" spans="1:104" ht="14.25">
      <c r="A177" t="s">
        <v>4235</v>
      </c>
      <c r="B177" t="s">
        <v>4234</v>
      </c>
      <c r="C177" t="s">
        <v>4233</v>
      </c>
      <c r="D177">
        <v>11</v>
      </c>
      <c r="E177" t="s">
        <v>2468</v>
      </c>
      <c r="F177" t="s">
        <v>2489</v>
      </c>
      <c r="G177" t="s">
        <v>2879</v>
      </c>
      <c r="H177" t="s">
        <v>3667</v>
      </c>
      <c r="I177"/>
      <c r="J177" t="s">
        <v>2522</v>
      </c>
      <c r="K177"/>
      <c r="L177"/>
      <c r="M177">
        <v>18</v>
      </c>
      <c r="N177">
        <v>178</v>
      </c>
      <c r="O177">
        <v>17</v>
      </c>
      <c r="P177">
        <v>10</v>
      </c>
      <c r="Q177">
        <v>55</v>
      </c>
      <c r="R177" t="s">
        <v>2464</v>
      </c>
      <c r="S177" t="s">
        <v>4232</v>
      </c>
      <c r="T177" t="s">
        <v>4231</v>
      </c>
      <c r="U177" t="s">
        <v>2462</v>
      </c>
      <c r="V177">
        <v>20</v>
      </c>
      <c r="W177"/>
      <c r="X177"/>
      <c r="Y177">
        <v>60</v>
      </c>
      <c r="Z177"/>
      <c r="AA177">
        <v>22</v>
      </c>
      <c r="AB177">
        <v>17</v>
      </c>
      <c r="AC177">
        <v>21</v>
      </c>
      <c r="AD177">
        <v>12</v>
      </c>
      <c r="AE177">
        <v>16</v>
      </c>
      <c r="AF177">
        <v>17</v>
      </c>
      <c r="AG177">
        <v>74</v>
      </c>
      <c r="AH177"/>
      <c r="AI177"/>
      <c r="AJ177"/>
      <c r="AK177"/>
      <c r="AL177"/>
      <c r="AM177"/>
      <c r="AN177"/>
      <c r="AO177">
        <v>279</v>
      </c>
      <c r="AP177"/>
      <c r="AQ177"/>
      <c r="AR177"/>
      <c r="AS177"/>
      <c r="AT177"/>
      <c r="AU177"/>
      <c r="AV177"/>
      <c r="AW177"/>
      <c r="AX177"/>
      <c r="AY177" t="s">
        <v>4058</v>
      </c>
      <c r="AZ177" t="s">
        <v>4192</v>
      </c>
      <c r="BA177" t="s">
        <v>4058</v>
      </c>
      <c r="BB177" t="s">
        <v>2873</v>
      </c>
      <c r="BC177" t="s">
        <v>4191</v>
      </c>
      <c r="BD177" t="s">
        <v>2873</v>
      </c>
      <c r="BE177"/>
      <c r="BF177"/>
      <c r="BG177"/>
      <c r="BH177"/>
      <c r="BI177"/>
      <c r="BJ177"/>
      <c r="BK177"/>
      <c r="BL177"/>
      <c r="BM177"/>
      <c r="BN177"/>
      <c r="BO177"/>
      <c r="BP177" t="s">
        <v>2480</v>
      </c>
      <c r="BQ177" t="s">
        <v>4230</v>
      </c>
      <c r="BR177" t="s">
        <v>2480</v>
      </c>
      <c r="BS177" t="s">
        <v>4229</v>
      </c>
      <c r="BT177" t="s">
        <v>4228</v>
      </c>
      <c r="BU177" t="s">
        <v>4227</v>
      </c>
      <c r="BV177" t="s">
        <v>2978</v>
      </c>
      <c r="BW177" t="s">
        <v>4226</v>
      </c>
      <c r="BX177" t="s">
        <v>4225</v>
      </c>
      <c r="BY177" t="s">
        <v>4224</v>
      </c>
      <c r="BZ177" t="s">
        <v>4223</v>
      </c>
      <c r="CA177" t="s">
        <v>4222</v>
      </c>
      <c r="CB177"/>
      <c r="CC177"/>
      <c r="CD177"/>
      <c r="CE177"/>
      <c r="CF177"/>
      <c r="CG177"/>
      <c r="CH177"/>
      <c r="CI177"/>
      <c r="CJ177"/>
      <c r="CK177"/>
      <c r="CL177"/>
      <c r="CM177"/>
      <c r="CN177"/>
      <c r="CO177"/>
      <c r="CP177"/>
      <c r="CQ177"/>
      <c r="CR177"/>
      <c r="CS177"/>
      <c r="CT177"/>
      <c r="CU177"/>
      <c r="CV177"/>
      <c r="CW177"/>
      <c r="CX177" t="s">
        <v>2454</v>
      </c>
      <c r="CY177">
        <v>74</v>
      </c>
      <c r="CZ177" t="s">
        <v>2453</v>
      </c>
    </row>
    <row r="178" spans="1:104" ht="14.25">
      <c r="A178" t="s">
        <v>4221</v>
      </c>
      <c r="B178" t="s">
        <v>4220</v>
      </c>
      <c r="C178" t="s">
        <v>4219</v>
      </c>
      <c r="D178">
        <v>2</v>
      </c>
      <c r="E178" t="s">
        <v>2680</v>
      </c>
      <c r="F178" t="s">
        <v>2489</v>
      </c>
      <c r="G178" t="s">
        <v>2690</v>
      </c>
      <c r="H178"/>
      <c r="I178"/>
      <c r="J178" t="s">
        <v>2013</v>
      </c>
      <c r="K178"/>
      <c r="L178"/>
      <c r="M178">
        <v>12</v>
      </c>
      <c r="N178">
        <v>45</v>
      </c>
      <c r="O178">
        <v>6</v>
      </c>
      <c r="P178">
        <v>10</v>
      </c>
      <c r="Q178">
        <v>12</v>
      </c>
      <c r="R178" t="s">
        <v>2464</v>
      </c>
      <c r="S178" t="s">
        <v>3754</v>
      </c>
      <c r="T178" t="s">
        <v>2462</v>
      </c>
      <c r="U178" t="s">
        <v>2462</v>
      </c>
      <c r="V178">
        <v>0</v>
      </c>
      <c r="W178"/>
      <c r="X178"/>
      <c r="Y178"/>
      <c r="Z178">
        <v>40</v>
      </c>
      <c r="AA178">
        <v>18</v>
      </c>
      <c r="AB178">
        <v>13</v>
      </c>
      <c r="AC178">
        <v>15</v>
      </c>
      <c r="AD178">
        <v>1</v>
      </c>
      <c r="AE178">
        <v>10</v>
      </c>
      <c r="AF178">
        <v>4</v>
      </c>
      <c r="AG178">
        <v>330</v>
      </c>
      <c r="AH178"/>
      <c r="AI178"/>
      <c r="AJ178"/>
      <c r="AK178"/>
      <c r="AL178"/>
      <c r="AM178"/>
      <c r="AN178">
        <v>33</v>
      </c>
      <c r="AO178">
        <v>377</v>
      </c>
      <c r="AP178"/>
      <c r="AQ178"/>
      <c r="AR178"/>
      <c r="AS178"/>
      <c r="AT178"/>
      <c r="AU178"/>
      <c r="AV178"/>
      <c r="AW178"/>
      <c r="AX178"/>
      <c r="AY178" t="s">
        <v>3105</v>
      </c>
      <c r="AZ178" t="s">
        <v>4218</v>
      </c>
      <c r="BA178" t="s">
        <v>3105</v>
      </c>
      <c r="BB178" t="s">
        <v>3102</v>
      </c>
      <c r="BC178" t="s">
        <v>3513</v>
      </c>
      <c r="BD178" t="s">
        <v>3102</v>
      </c>
      <c r="BE178"/>
      <c r="BF178"/>
      <c r="BG178"/>
      <c r="BH178"/>
      <c r="BI178"/>
      <c r="BJ178"/>
      <c r="BK178"/>
      <c r="BL178"/>
      <c r="BM178"/>
      <c r="BN178"/>
      <c r="BO178"/>
      <c r="BP178" t="s">
        <v>2479</v>
      </c>
      <c r="BQ178" t="s">
        <v>3875</v>
      </c>
      <c r="BR178" t="s">
        <v>4217</v>
      </c>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t="s">
        <v>2454</v>
      </c>
      <c r="CY178">
        <v>330</v>
      </c>
      <c r="CZ178" t="s">
        <v>2453</v>
      </c>
    </row>
    <row r="179" spans="1:104" ht="14.25">
      <c r="A179" t="s">
        <v>4216</v>
      </c>
      <c r="B179" t="s">
        <v>4216</v>
      </c>
      <c r="C179" t="s">
        <v>4215</v>
      </c>
      <c r="D179">
        <v>8</v>
      </c>
      <c r="E179" t="s">
        <v>2468</v>
      </c>
      <c r="F179" t="s">
        <v>2985</v>
      </c>
      <c r="G179" t="s">
        <v>2587</v>
      </c>
      <c r="H179"/>
      <c r="I179"/>
      <c r="J179" t="s">
        <v>2013</v>
      </c>
      <c r="K179"/>
      <c r="L179"/>
      <c r="M179">
        <v>15</v>
      </c>
      <c r="N179">
        <v>172</v>
      </c>
      <c r="O179">
        <v>15</v>
      </c>
      <c r="P179">
        <v>12</v>
      </c>
      <c r="Q179">
        <v>75</v>
      </c>
      <c r="R179" t="s">
        <v>2464</v>
      </c>
      <c r="S179" t="s">
        <v>4214</v>
      </c>
      <c r="T179" t="s">
        <v>2462</v>
      </c>
      <c r="U179" t="s">
        <v>2462</v>
      </c>
      <c r="V179">
        <v>30</v>
      </c>
      <c r="W179"/>
      <c r="X179"/>
      <c r="Y179"/>
      <c r="Z179">
        <v>30</v>
      </c>
      <c r="AA179">
        <v>20</v>
      </c>
      <c r="AB179">
        <v>12</v>
      </c>
      <c r="AC179">
        <v>20</v>
      </c>
      <c r="AD179">
        <v>2</v>
      </c>
      <c r="AE179">
        <v>10</v>
      </c>
      <c r="AF179">
        <v>7</v>
      </c>
      <c r="AG179">
        <v>190</v>
      </c>
      <c r="AH179"/>
      <c r="AI179"/>
      <c r="AJ179"/>
      <c r="AK179"/>
      <c r="AL179"/>
      <c r="AM179"/>
      <c r="AN179">
        <v>33</v>
      </c>
      <c r="AO179">
        <v>326</v>
      </c>
      <c r="AP179"/>
      <c r="AQ179"/>
      <c r="AR179"/>
      <c r="AS179"/>
      <c r="AT179"/>
      <c r="AU179"/>
      <c r="AV179" t="s">
        <v>4213</v>
      </c>
      <c r="AW179"/>
      <c r="AX179"/>
      <c r="AY179" t="s">
        <v>3634</v>
      </c>
      <c r="AZ179" t="s">
        <v>4212</v>
      </c>
      <c r="BA179" t="s">
        <v>3634</v>
      </c>
      <c r="BB179" t="s">
        <v>4210</v>
      </c>
      <c r="BC179" t="s">
        <v>4211</v>
      </c>
      <c r="BD179" t="s">
        <v>4210</v>
      </c>
      <c r="BE179" t="s">
        <v>4208</v>
      </c>
      <c r="BF179" t="s">
        <v>4209</v>
      </c>
      <c r="BG179" t="s">
        <v>4208</v>
      </c>
      <c r="BH179" t="s">
        <v>4207</v>
      </c>
      <c r="BI179" t="s">
        <v>4206</v>
      </c>
      <c r="BJ179"/>
      <c r="BK179"/>
      <c r="BL179"/>
      <c r="BM179"/>
      <c r="BN179"/>
      <c r="BO179"/>
      <c r="BP179" t="s">
        <v>2480</v>
      </c>
      <c r="BQ179" t="s">
        <v>4205</v>
      </c>
      <c r="BR179" t="s">
        <v>2480</v>
      </c>
      <c r="BS179" t="s">
        <v>2479</v>
      </c>
      <c r="BT179" t="s">
        <v>4204</v>
      </c>
      <c r="BU179" t="s">
        <v>4203</v>
      </c>
      <c r="BV179"/>
      <c r="BW179"/>
      <c r="BX179"/>
      <c r="BY179"/>
      <c r="BZ179"/>
      <c r="CA179"/>
      <c r="CB179"/>
      <c r="CC179"/>
      <c r="CD179"/>
      <c r="CE179"/>
      <c r="CF179"/>
      <c r="CG179"/>
      <c r="CH179"/>
      <c r="CI179"/>
      <c r="CJ179"/>
      <c r="CK179"/>
      <c r="CL179"/>
      <c r="CM179"/>
      <c r="CN179"/>
      <c r="CO179"/>
      <c r="CP179"/>
      <c r="CQ179"/>
      <c r="CR179"/>
      <c r="CS179"/>
      <c r="CT179"/>
      <c r="CU179"/>
      <c r="CV179"/>
      <c r="CW179"/>
      <c r="CX179" t="s">
        <v>2454</v>
      </c>
      <c r="CY179">
        <v>190</v>
      </c>
      <c r="CZ179" t="s">
        <v>2453</v>
      </c>
    </row>
    <row r="180" spans="1:104" ht="14.25">
      <c r="A180" t="s">
        <v>4202</v>
      </c>
      <c r="B180" t="s">
        <v>4202</v>
      </c>
      <c r="C180" t="s">
        <v>4201</v>
      </c>
      <c r="D180">
        <v>0</v>
      </c>
      <c r="E180" t="s">
        <v>2680</v>
      </c>
      <c r="F180" t="s">
        <v>2467</v>
      </c>
      <c r="G180" t="s">
        <v>2690</v>
      </c>
      <c r="H180"/>
      <c r="I180"/>
      <c r="J180" t="s">
        <v>2013</v>
      </c>
      <c r="K180"/>
      <c r="L180"/>
      <c r="M180">
        <v>11</v>
      </c>
      <c r="N180">
        <v>5</v>
      </c>
      <c r="O180">
        <v>1</v>
      </c>
      <c r="P180">
        <v>8</v>
      </c>
      <c r="Q180">
        <v>1</v>
      </c>
      <c r="R180" t="s">
        <v>2464</v>
      </c>
      <c r="S180" t="s">
        <v>3259</v>
      </c>
      <c r="T180" t="s">
        <v>2462</v>
      </c>
      <c r="U180" t="s">
        <v>2462</v>
      </c>
      <c r="V180">
        <v>50</v>
      </c>
      <c r="W180"/>
      <c r="X180"/>
      <c r="Y180"/>
      <c r="Z180"/>
      <c r="AA180">
        <v>11</v>
      </c>
      <c r="AB180">
        <v>13</v>
      </c>
      <c r="AC180">
        <v>12</v>
      </c>
      <c r="AD180">
        <v>2</v>
      </c>
      <c r="AE180">
        <v>12</v>
      </c>
      <c r="AF180">
        <v>5</v>
      </c>
      <c r="AG180">
        <v>331</v>
      </c>
      <c r="AH180"/>
      <c r="AI180"/>
      <c r="AJ180"/>
      <c r="AK180"/>
      <c r="AL180"/>
      <c r="AM180"/>
      <c r="AN180">
        <v>33</v>
      </c>
      <c r="AO180">
        <v>377</v>
      </c>
      <c r="AP180"/>
      <c r="AQ180"/>
      <c r="AR180"/>
      <c r="AS180"/>
      <c r="AT180"/>
      <c r="AU180"/>
      <c r="AV180"/>
      <c r="AW180"/>
      <c r="AX180"/>
      <c r="AY180" t="s">
        <v>2599</v>
      </c>
      <c r="AZ180" t="s">
        <v>4200</v>
      </c>
      <c r="BA180" t="s">
        <v>2599</v>
      </c>
      <c r="BB180"/>
      <c r="BC180"/>
      <c r="BD180"/>
      <c r="BE180"/>
      <c r="BF180"/>
      <c r="BG180"/>
      <c r="BH180"/>
      <c r="BI180"/>
      <c r="BJ180"/>
      <c r="BK180"/>
      <c r="BL180"/>
      <c r="BM180"/>
      <c r="BN180"/>
      <c r="BO180"/>
      <c r="BP180" t="s">
        <v>2479</v>
      </c>
      <c r="BQ180" t="s">
        <v>4199</v>
      </c>
      <c r="BR180" t="s">
        <v>4198</v>
      </c>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t="s">
        <v>2454</v>
      </c>
      <c r="CY180">
        <v>331</v>
      </c>
      <c r="CZ180" t="s">
        <v>2453</v>
      </c>
    </row>
    <row r="181" spans="1:104" ht="14.25">
      <c r="A181" t="s">
        <v>4197</v>
      </c>
      <c r="B181" t="s">
        <v>4196</v>
      </c>
      <c r="C181" t="s">
        <v>4195</v>
      </c>
      <c r="D181">
        <v>14</v>
      </c>
      <c r="E181" t="s">
        <v>2468</v>
      </c>
      <c r="F181" t="s">
        <v>2489</v>
      </c>
      <c r="G181" t="s">
        <v>2879</v>
      </c>
      <c r="H181" t="s">
        <v>3667</v>
      </c>
      <c r="I181"/>
      <c r="J181" t="s">
        <v>2522</v>
      </c>
      <c r="K181"/>
      <c r="L181"/>
      <c r="M181">
        <v>18</v>
      </c>
      <c r="N181">
        <v>180</v>
      </c>
      <c r="O181">
        <v>19</v>
      </c>
      <c r="P181">
        <v>10</v>
      </c>
      <c r="Q181">
        <v>76</v>
      </c>
      <c r="R181" t="s">
        <v>2464</v>
      </c>
      <c r="S181" t="s">
        <v>4194</v>
      </c>
      <c r="T181" t="s">
        <v>4193</v>
      </c>
      <c r="U181" t="s">
        <v>2462</v>
      </c>
      <c r="V181">
        <v>40</v>
      </c>
      <c r="W181"/>
      <c r="X181"/>
      <c r="Y181"/>
      <c r="Z181"/>
      <c r="AA181">
        <v>21</v>
      </c>
      <c r="AB181">
        <v>14</v>
      </c>
      <c r="AC181">
        <v>18</v>
      </c>
      <c r="AD181">
        <v>18</v>
      </c>
      <c r="AE181">
        <v>15</v>
      </c>
      <c r="AF181">
        <v>18</v>
      </c>
      <c r="AG181">
        <v>75</v>
      </c>
      <c r="AH181"/>
      <c r="AI181"/>
      <c r="AJ181"/>
      <c r="AK181"/>
      <c r="AL181"/>
      <c r="AM181"/>
      <c r="AN181"/>
      <c r="AO181">
        <v>280</v>
      </c>
      <c r="AP181"/>
      <c r="AQ181"/>
      <c r="AR181"/>
      <c r="AS181"/>
      <c r="AT181"/>
      <c r="AU181"/>
      <c r="AV181"/>
      <c r="AW181"/>
      <c r="AX181"/>
      <c r="AY181" t="s">
        <v>4058</v>
      </c>
      <c r="AZ181" t="s">
        <v>4192</v>
      </c>
      <c r="BA181" t="s">
        <v>4058</v>
      </c>
      <c r="BB181" t="s">
        <v>2873</v>
      </c>
      <c r="BC181" t="s">
        <v>4191</v>
      </c>
      <c r="BD181" t="s">
        <v>2873</v>
      </c>
      <c r="BE181"/>
      <c r="BF181"/>
      <c r="BG181"/>
      <c r="BH181"/>
      <c r="BI181"/>
      <c r="BJ181"/>
      <c r="BK181"/>
      <c r="BL181"/>
      <c r="BM181"/>
      <c r="BN181"/>
      <c r="BO181"/>
      <c r="BP181" t="s">
        <v>2480</v>
      </c>
      <c r="BQ181" t="s">
        <v>4190</v>
      </c>
      <c r="BR181" t="s">
        <v>2480</v>
      </c>
      <c r="BS181" t="s">
        <v>2479</v>
      </c>
      <c r="BT181" t="s">
        <v>4189</v>
      </c>
      <c r="BU181" t="s">
        <v>4188</v>
      </c>
      <c r="BV181" t="s">
        <v>2652</v>
      </c>
      <c r="BW181" t="s">
        <v>4187</v>
      </c>
      <c r="BX181" t="s">
        <v>4186</v>
      </c>
      <c r="BY181" t="s">
        <v>2978</v>
      </c>
      <c r="BZ181" t="s">
        <v>4185</v>
      </c>
      <c r="CA181" t="s">
        <v>4184</v>
      </c>
      <c r="CB181" t="s">
        <v>4182</v>
      </c>
      <c r="CC181" t="s">
        <v>4183</v>
      </c>
      <c r="CD181" t="s">
        <v>4182</v>
      </c>
      <c r="CE181"/>
      <c r="CF181"/>
      <c r="CG181"/>
      <c r="CH181"/>
      <c r="CI181"/>
      <c r="CJ181"/>
      <c r="CK181"/>
      <c r="CL181"/>
      <c r="CM181"/>
      <c r="CN181"/>
      <c r="CO181"/>
      <c r="CP181"/>
      <c r="CQ181"/>
      <c r="CR181"/>
      <c r="CS181"/>
      <c r="CT181"/>
      <c r="CU181"/>
      <c r="CV181"/>
      <c r="CW181"/>
      <c r="CX181" t="s">
        <v>2454</v>
      </c>
      <c r="CY181">
        <v>75</v>
      </c>
      <c r="CZ181" t="s">
        <v>2453</v>
      </c>
    </row>
    <row r="182" spans="1:104" ht="14.25">
      <c r="A182" t="s">
        <v>4181</v>
      </c>
      <c r="B182" t="s">
        <v>4180</v>
      </c>
      <c r="C182" t="s">
        <v>4179</v>
      </c>
      <c r="D182">
        <v>0.5</v>
      </c>
      <c r="E182" t="s">
        <v>2468</v>
      </c>
      <c r="F182" t="s">
        <v>2644</v>
      </c>
      <c r="G182" t="s">
        <v>2626</v>
      </c>
      <c r="H182" t="s">
        <v>3207</v>
      </c>
      <c r="I182"/>
      <c r="J182" t="s">
        <v>2465</v>
      </c>
      <c r="K182"/>
      <c r="L182"/>
      <c r="M182">
        <v>11</v>
      </c>
      <c r="N182">
        <v>21</v>
      </c>
      <c r="O182">
        <v>6</v>
      </c>
      <c r="P182">
        <v>6</v>
      </c>
      <c r="Q182"/>
      <c r="R182" t="s">
        <v>2972</v>
      </c>
      <c r="S182" t="s">
        <v>3403</v>
      </c>
      <c r="T182" t="s">
        <v>4178</v>
      </c>
      <c r="U182" t="s">
        <v>2462</v>
      </c>
      <c r="V182">
        <v>30</v>
      </c>
      <c r="W182"/>
      <c r="X182"/>
      <c r="Y182">
        <v>30</v>
      </c>
      <c r="Z182"/>
      <c r="AA182">
        <v>7</v>
      </c>
      <c r="AB182">
        <v>13</v>
      </c>
      <c r="AC182">
        <v>10</v>
      </c>
      <c r="AD182">
        <v>9</v>
      </c>
      <c r="AE182">
        <v>11</v>
      </c>
      <c r="AF182">
        <v>12</v>
      </c>
      <c r="AG182">
        <v>215</v>
      </c>
      <c r="AH182"/>
      <c r="AI182"/>
      <c r="AJ182"/>
      <c r="AK182"/>
      <c r="AL182"/>
      <c r="AM182"/>
      <c r="AN182"/>
      <c r="AO182">
        <v>334</v>
      </c>
      <c r="AP182"/>
      <c r="AQ182"/>
      <c r="AR182"/>
      <c r="AS182"/>
      <c r="AT182">
        <v>20</v>
      </c>
      <c r="AU182"/>
      <c r="AV182" t="s">
        <v>4177</v>
      </c>
      <c r="AW182"/>
      <c r="AX182"/>
      <c r="AY182" t="s">
        <v>3204</v>
      </c>
      <c r="AZ182" t="s">
        <v>4176</v>
      </c>
      <c r="BA182" t="s">
        <v>3202</v>
      </c>
      <c r="BB182" t="s">
        <v>2886</v>
      </c>
      <c r="BC182" t="s">
        <v>4175</v>
      </c>
      <c r="BD182" t="s">
        <v>2886</v>
      </c>
      <c r="BE182" t="s">
        <v>3200</v>
      </c>
      <c r="BF182" t="s">
        <v>4174</v>
      </c>
      <c r="BG182" t="s">
        <v>3200</v>
      </c>
      <c r="BH182"/>
      <c r="BI182"/>
      <c r="BJ182"/>
      <c r="BK182"/>
      <c r="BL182"/>
      <c r="BM182"/>
      <c r="BN182"/>
      <c r="BO182"/>
      <c r="BP182" t="s">
        <v>2652</v>
      </c>
      <c r="BQ182" t="s">
        <v>4173</v>
      </c>
      <c r="BR182" t="s">
        <v>3994</v>
      </c>
      <c r="BS182" t="s">
        <v>4171</v>
      </c>
      <c r="BT182" t="s">
        <v>4172</v>
      </c>
      <c r="BU182" t="s">
        <v>4171</v>
      </c>
      <c r="BV182" t="s">
        <v>3194</v>
      </c>
      <c r="BW182" t="s">
        <v>3195</v>
      </c>
      <c r="BX182" t="s">
        <v>3194</v>
      </c>
      <c r="BY182"/>
      <c r="BZ182"/>
      <c r="CA182"/>
      <c r="CB182"/>
      <c r="CC182"/>
      <c r="CD182"/>
      <c r="CE182"/>
      <c r="CF182"/>
      <c r="CG182"/>
      <c r="CH182"/>
      <c r="CI182"/>
      <c r="CJ182"/>
      <c r="CK182"/>
      <c r="CL182"/>
      <c r="CM182"/>
      <c r="CN182"/>
      <c r="CO182"/>
      <c r="CP182"/>
      <c r="CQ182"/>
      <c r="CR182"/>
      <c r="CS182"/>
      <c r="CT182"/>
      <c r="CU182"/>
      <c r="CV182"/>
      <c r="CW182"/>
      <c r="CX182" t="s">
        <v>2454</v>
      </c>
      <c r="CY182">
        <v>215</v>
      </c>
      <c r="CZ182" t="s">
        <v>2453</v>
      </c>
    </row>
    <row r="183" spans="1:104" ht="14.25">
      <c r="A183" t="s">
        <v>4170</v>
      </c>
      <c r="B183" t="s">
        <v>4170</v>
      </c>
      <c r="C183" t="s">
        <v>4169</v>
      </c>
      <c r="D183">
        <v>1</v>
      </c>
      <c r="E183" t="s">
        <v>2468</v>
      </c>
      <c r="F183" t="s">
        <v>2719</v>
      </c>
      <c r="G183" t="s">
        <v>2879</v>
      </c>
      <c r="H183" t="s">
        <v>3667</v>
      </c>
      <c r="I183">
        <v>1</v>
      </c>
      <c r="J183" t="s">
        <v>2522</v>
      </c>
      <c r="K183"/>
      <c r="L183"/>
      <c r="M183">
        <v>13</v>
      </c>
      <c r="N183">
        <v>10</v>
      </c>
      <c r="O183">
        <v>3</v>
      </c>
      <c r="P183">
        <v>4</v>
      </c>
      <c r="Q183">
        <v>3</v>
      </c>
      <c r="R183" t="s">
        <v>2464</v>
      </c>
      <c r="S183" t="s">
        <v>3191</v>
      </c>
      <c r="T183" t="s">
        <v>2462</v>
      </c>
      <c r="U183" t="s">
        <v>2462</v>
      </c>
      <c r="V183">
        <v>20</v>
      </c>
      <c r="W183"/>
      <c r="X183"/>
      <c r="Y183">
        <v>40</v>
      </c>
      <c r="Z183"/>
      <c r="AA183">
        <v>6</v>
      </c>
      <c r="AB183">
        <v>17</v>
      </c>
      <c r="AC183">
        <v>13</v>
      </c>
      <c r="AD183">
        <v>11</v>
      </c>
      <c r="AE183">
        <v>12</v>
      </c>
      <c r="AF183">
        <v>14</v>
      </c>
      <c r="AG183">
        <v>76</v>
      </c>
      <c r="AH183">
        <v>306</v>
      </c>
      <c r="AI183"/>
      <c r="AJ183"/>
      <c r="AK183"/>
      <c r="AL183"/>
      <c r="AM183"/>
      <c r="AN183"/>
      <c r="AO183">
        <v>280</v>
      </c>
      <c r="AP183"/>
      <c r="AQ183"/>
      <c r="AR183"/>
      <c r="AS183" t="s">
        <v>3685</v>
      </c>
      <c r="AT183"/>
      <c r="AU183"/>
      <c r="AV183"/>
      <c r="AW183"/>
      <c r="AX183"/>
      <c r="AY183" t="s">
        <v>2755</v>
      </c>
      <c r="AZ183" t="s">
        <v>4168</v>
      </c>
      <c r="BA183" t="s">
        <v>2755</v>
      </c>
      <c r="BB183" t="s">
        <v>4058</v>
      </c>
      <c r="BC183" t="s">
        <v>4167</v>
      </c>
      <c r="BD183" t="s">
        <v>4058</v>
      </c>
      <c r="BE183" t="s">
        <v>2873</v>
      </c>
      <c r="BF183" t="s">
        <v>4166</v>
      </c>
      <c r="BG183" t="s">
        <v>2873</v>
      </c>
      <c r="BH183" t="s">
        <v>3566</v>
      </c>
      <c r="BI183" t="s">
        <v>4165</v>
      </c>
      <c r="BJ183"/>
      <c r="BK183"/>
      <c r="BL183"/>
      <c r="BM183"/>
      <c r="BN183"/>
      <c r="BO183"/>
      <c r="BP183" t="s">
        <v>4164</v>
      </c>
      <c r="BQ183" t="s">
        <v>4163</v>
      </c>
      <c r="BR183" t="s">
        <v>4162</v>
      </c>
      <c r="BS183" t="s">
        <v>2703</v>
      </c>
      <c r="BT183" t="s">
        <v>4161</v>
      </c>
      <c r="BU183" t="s">
        <v>2703</v>
      </c>
      <c r="BV183"/>
      <c r="BW183"/>
      <c r="BX183"/>
      <c r="BY183"/>
      <c r="BZ183"/>
      <c r="CA183"/>
      <c r="CB183"/>
      <c r="CC183"/>
      <c r="CD183"/>
      <c r="CE183"/>
      <c r="CF183"/>
      <c r="CG183"/>
      <c r="CH183"/>
      <c r="CI183"/>
      <c r="CJ183"/>
      <c r="CK183"/>
      <c r="CL183"/>
      <c r="CM183"/>
      <c r="CN183"/>
      <c r="CO183"/>
      <c r="CP183"/>
      <c r="CQ183"/>
      <c r="CR183"/>
      <c r="CS183"/>
      <c r="CT183"/>
      <c r="CU183"/>
      <c r="CV183"/>
      <c r="CW183"/>
      <c r="CX183" t="s">
        <v>2454</v>
      </c>
      <c r="CY183">
        <v>76</v>
      </c>
      <c r="CZ183" t="s">
        <v>2453</v>
      </c>
    </row>
    <row r="184" spans="1:104" ht="14.25">
      <c r="A184" t="s">
        <v>4160</v>
      </c>
      <c r="B184" t="s">
        <v>4159</v>
      </c>
      <c r="C184" t="s">
        <v>4158</v>
      </c>
      <c r="D184">
        <v>6</v>
      </c>
      <c r="E184" t="s">
        <v>2468</v>
      </c>
      <c r="F184" t="s">
        <v>2467</v>
      </c>
      <c r="G184" t="s">
        <v>2626</v>
      </c>
      <c r="H184"/>
      <c r="I184"/>
      <c r="J184" t="s">
        <v>1997</v>
      </c>
      <c r="K184"/>
      <c r="L184"/>
      <c r="M184">
        <v>14</v>
      </c>
      <c r="N184">
        <v>104</v>
      </c>
      <c r="O184">
        <v>16</v>
      </c>
      <c r="P184">
        <v>8</v>
      </c>
      <c r="Q184">
        <v>32</v>
      </c>
      <c r="R184" t="s">
        <v>2464</v>
      </c>
      <c r="S184" t="s">
        <v>2877</v>
      </c>
      <c r="T184" t="s">
        <v>2462</v>
      </c>
      <c r="U184" t="s">
        <v>2462</v>
      </c>
      <c r="V184">
        <v>50</v>
      </c>
      <c r="W184"/>
      <c r="X184"/>
      <c r="Y184">
        <v>50</v>
      </c>
      <c r="Z184"/>
      <c r="AA184">
        <v>16</v>
      </c>
      <c r="AB184">
        <v>19</v>
      </c>
      <c r="AC184">
        <v>14</v>
      </c>
      <c r="AD184">
        <v>10</v>
      </c>
      <c r="AE184">
        <v>15</v>
      </c>
      <c r="AF184">
        <v>11</v>
      </c>
      <c r="AG184">
        <v>192</v>
      </c>
      <c r="AH184"/>
      <c r="AI184"/>
      <c r="AJ184"/>
      <c r="AK184"/>
      <c r="AL184"/>
      <c r="AM184"/>
      <c r="AN184"/>
      <c r="AO184">
        <v>326</v>
      </c>
      <c r="AP184"/>
      <c r="AQ184"/>
      <c r="AR184"/>
      <c r="AS184"/>
      <c r="AT184">
        <v>21</v>
      </c>
      <c r="AU184"/>
      <c r="AV184" t="s">
        <v>4157</v>
      </c>
      <c r="AW184"/>
      <c r="AX184"/>
      <c r="AY184" t="s">
        <v>2703</v>
      </c>
      <c r="AZ184" t="s">
        <v>4156</v>
      </c>
      <c r="BA184" t="s">
        <v>2703</v>
      </c>
      <c r="BB184" t="s">
        <v>4154</v>
      </c>
      <c r="BC184" t="s">
        <v>4155</v>
      </c>
      <c r="BD184" t="s">
        <v>4154</v>
      </c>
      <c r="BE184"/>
      <c r="BF184"/>
      <c r="BG184"/>
      <c r="BH184"/>
      <c r="BI184"/>
      <c r="BJ184"/>
      <c r="BK184"/>
      <c r="BL184"/>
      <c r="BM184"/>
      <c r="BN184"/>
      <c r="BO184"/>
      <c r="BP184" t="s">
        <v>2480</v>
      </c>
      <c r="BQ184" t="s">
        <v>4153</v>
      </c>
      <c r="BR184" t="s">
        <v>2480</v>
      </c>
      <c r="BS184" t="s">
        <v>2457</v>
      </c>
      <c r="BT184" t="s">
        <v>4152</v>
      </c>
      <c r="BU184" t="s">
        <v>4151</v>
      </c>
      <c r="BV184"/>
      <c r="BW184"/>
      <c r="BX184"/>
      <c r="BY184"/>
      <c r="BZ184"/>
      <c r="CA184"/>
      <c r="CB184"/>
      <c r="CC184"/>
      <c r="CD184"/>
      <c r="CE184"/>
      <c r="CF184"/>
      <c r="CG184"/>
      <c r="CH184"/>
      <c r="CI184"/>
      <c r="CJ184"/>
      <c r="CK184"/>
      <c r="CL184"/>
      <c r="CM184"/>
      <c r="CN184"/>
      <c r="CO184"/>
      <c r="CP184"/>
      <c r="CQ184"/>
      <c r="CR184"/>
      <c r="CS184"/>
      <c r="CT184"/>
      <c r="CU184"/>
      <c r="CV184"/>
      <c r="CW184"/>
      <c r="CX184" t="s">
        <v>2454</v>
      </c>
      <c r="CY184">
        <v>192</v>
      </c>
      <c r="CZ184" t="s">
        <v>2453</v>
      </c>
    </row>
    <row r="185" spans="1:104" ht="14.25">
      <c r="A185" t="s">
        <v>4150</v>
      </c>
      <c r="B185" t="s">
        <v>4149</v>
      </c>
      <c r="C185" t="s">
        <v>4148</v>
      </c>
      <c r="D185">
        <v>16</v>
      </c>
      <c r="E185" t="s">
        <v>2468</v>
      </c>
      <c r="F185" t="s">
        <v>2489</v>
      </c>
      <c r="G185" t="s">
        <v>3164</v>
      </c>
      <c r="H185" t="s">
        <v>3163</v>
      </c>
      <c r="I185"/>
      <c r="J185" t="s">
        <v>2013</v>
      </c>
      <c r="K185"/>
      <c r="L185"/>
      <c r="M185">
        <v>20</v>
      </c>
      <c r="N185">
        <v>210</v>
      </c>
      <c r="O185">
        <v>20</v>
      </c>
      <c r="P185">
        <v>10</v>
      </c>
      <c r="Q185">
        <v>100</v>
      </c>
      <c r="R185" t="s">
        <v>2464</v>
      </c>
      <c r="S185" t="s">
        <v>4147</v>
      </c>
      <c r="T185" t="s">
        <v>4146</v>
      </c>
      <c r="U185" t="s">
        <v>2462</v>
      </c>
      <c r="V185">
        <v>30</v>
      </c>
      <c r="W185"/>
      <c r="X185"/>
      <c r="Y185"/>
      <c r="Z185"/>
      <c r="AA185">
        <v>24</v>
      </c>
      <c r="AB185">
        <v>9</v>
      </c>
      <c r="AC185">
        <v>20</v>
      </c>
      <c r="AD185">
        <v>3</v>
      </c>
      <c r="AE185">
        <v>11</v>
      </c>
      <c r="AF185">
        <v>1</v>
      </c>
      <c r="AG185">
        <v>170</v>
      </c>
      <c r="AH185"/>
      <c r="AI185"/>
      <c r="AJ185"/>
      <c r="AK185"/>
      <c r="AL185"/>
      <c r="AM185"/>
      <c r="AN185"/>
      <c r="AO185">
        <v>319</v>
      </c>
      <c r="AP185"/>
      <c r="AQ185"/>
      <c r="AR185"/>
      <c r="AS185"/>
      <c r="AT185"/>
      <c r="AU185"/>
      <c r="AV185"/>
      <c r="AW185"/>
      <c r="AX185"/>
      <c r="AY185" t="s">
        <v>4144</v>
      </c>
      <c r="AZ185" t="s">
        <v>4145</v>
      </c>
      <c r="BA185" t="s">
        <v>4144</v>
      </c>
      <c r="BB185" t="s">
        <v>3159</v>
      </c>
      <c r="BC185" t="s">
        <v>3160</v>
      </c>
      <c r="BD185" t="s">
        <v>3159</v>
      </c>
      <c r="BE185" t="s">
        <v>2873</v>
      </c>
      <c r="BF185" t="s">
        <v>3158</v>
      </c>
      <c r="BG185" t="s">
        <v>2873</v>
      </c>
      <c r="BH185" t="s">
        <v>2966</v>
      </c>
      <c r="BI185" t="s">
        <v>3157</v>
      </c>
      <c r="BJ185"/>
      <c r="BK185"/>
      <c r="BL185"/>
      <c r="BM185"/>
      <c r="BN185"/>
      <c r="BO185"/>
      <c r="BP185" t="s">
        <v>2480</v>
      </c>
      <c r="BQ185" t="s">
        <v>4143</v>
      </c>
      <c r="BR185" t="s">
        <v>2480</v>
      </c>
      <c r="BS185" t="s">
        <v>2457</v>
      </c>
      <c r="BT185" t="s">
        <v>4142</v>
      </c>
      <c r="BU185" t="s">
        <v>4141</v>
      </c>
      <c r="BV185" t="s">
        <v>4140</v>
      </c>
      <c r="BW185" t="s">
        <v>4139</v>
      </c>
      <c r="BX185" t="s">
        <v>4138</v>
      </c>
      <c r="BY185" t="s">
        <v>2517</v>
      </c>
      <c r="BZ185" t="s">
        <v>4137</v>
      </c>
      <c r="CA185" t="s">
        <v>4136</v>
      </c>
      <c r="CB185"/>
      <c r="CC185"/>
      <c r="CD185"/>
      <c r="CE185"/>
      <c r="CF185"/>
      <c r="CG185"/>
      <c r="CH185"/>
      <c r="CI185"/>
      <c r="CJ185"/>
      <c r="CK185"/>
      <c r="CL185"/>
      <c r="CM185"/>
      <c r="CN185"/>
      <c r="CO185"/>
      <c r="CP185"/>
      <c r="CQ185"/>
      <c r="CR185"/>
      <c r="CS185"/>
      <c r="CT185"/>
      <c r="CU185"/>
      <c r="CV185"/>
      <c r="CW185"/>
      <c r="CX185" t="s">
        <v>2454</v>
      </c>
      <c r="CY185">
        <v>170</v>
      </c>
      <c r="CZ185" t="s">
        <v>2453</v>
      </c>
    </row>
    <row r="186" spans="1:104" ht="14.25">
      <c r="A186" t="s">
        <v>4135</v>
      </c>
      <c r="B186" t="s">
        <v>4135</v>
      </c>
      <c r="C186" t="s">
        <v>4134</v>
      </c>
      <c r="D186">
        <v>0</v>
      </c>
      <c r="E186" t="s">
        <v>2680</v>
      </c>
      <c r="F186" t="s">
        <v>2644</v>
      </c>
      <c r="G186" t="s">
        <v>2690</v>
      </c>
      <c r="H186"/>
      <c r="I186"/>
      <c r="J186" t="s">
        <v>2013</v>
      </c>
      <c r="K186"/>
      <c r="L186"/>
      <c r="M186">
        <v>12</v>
      </c>
      <c r="N186">
        <v>3</v>
      </c>
      <c r="O186">
        <v>1</v>
      </c>
      <c r="P186">
        <v>6</v>
      </c>
      <c r="Q186"/>
      <c r="R186" t="s">
        <v>2464</v>
      </c>
      <c r="S186" t="s">
        <v>4133</v>
      </c>
      <c r="T186" t="s">
        <v>2462</v>
      </c>
      <c r="U186" t="s">
        <v>2462</v>
      </c>
      <c r="V186">
        <v>40</v>
      </c>
      <c r="W186"/>
      <c r="X186"/>
      <c r="Y186"/>
      <c r="Z186"/>
      <c r="AA186">
        <v>8</v>
      </c>
      <c r="AB186">
        <v>15</v>
      </c>
      <c r="AC186">
        <v>11</v>
      </c>
      <c r="AD186">
        <v>3</v>
      </c>
      <c r="AE186">
        <v>12</v>
      </c>
      <c r="AF186">
        <v>6</v>
      </c>
      <c r="AG186">
        <v>331</v>
      </c>
      <c r="AH186"/>
      <c r="AI186"/>
      <c r="AJ186"/>
      <c r="AK186"/>
      <c r="AL186"/>
      <c r="AM186"/>
      <c r="AN186">
        <v>33</v>
      </c>
      <c r="AO186">
        <v>377</v>
      </c>
      <c r="AP186"/>
      <c r="AQ186"/>
      <c r="AR186"/>
      <c r="AS186"/>
      <c r="AT186"/>
      <c r="AU186"/>
      <c r="AV186"/>
      <c r="AW186"/>
      <c r="AX186" t="s">
        <v>4132</v>
      </c>
      <c r="AY186" t="s">
        <v>2675</v>
      </c>
      <c r="AZ186" t="s">
        <v>4131</v>
      </c>
      <c r="BA186" t="s">
        <v>2675</v>
      </c>
      <c r="BB186" t="s">
        <v>2599</v>
      </c>
      <c r="BC186" t="s">
        <v>4130</v>
      </c>
      <c r="BD186" t="s">
        <v>2599</v>
      </c>
      <c r="BE186"/>
      <c r="BF186"/>
      <c r="BG186"/>
      <c r="BH186"/>
      <c r="BI186"/>
      <c r="BJ186"/>
      <c r="BK186"/>
      <c r="BL186"/>
      <c r="BM186"/>
      <c r="BN186"/>
      <c r="BO186"/>
      <c r="BP186" t="s">
        <v>2479</v>
      </c>
      <c r="BQ186" t="s">
        <v>4129</v>
      </c>
      <c r="BR186" t="s">
        <v>4128</v>
      </c>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t="s">
        <v>2454</v>
      </c>
      <c r="CY186">
        <v>331</v>
      </c>
      <c r="CZ186" t="s">
        <v>2453</v>
      </c>
    </row>
    <row r="187" spans="1:104" ht="14.25">
      <c r="A187" t="s">
        <v>4127</v>
      </c>
      <c r="B187" t="s">
        <v>4126</v>
      </c>
      <c r="C187" t="s">
        <v>4125</v>
      </c>
      <c r="D187">
        <v>3</v>
      </c>
      <c r="E187" t="s">
        <v>2680</v>
      </c>
      <c r="F187" t="s">
        <v>2985</v>
      </c>
      <c r="G187" t="s">
        <v>2690</v>
      </c>
      <c r="H187"/>
      <c r="I187"/>
      <c r="J187" t="s">
        <v>2013</v>
      </c>
      <c r="K187"/>
      <c r="L187"/>
      <c r="M187">
        <v>12</v>
      </c>
      <c r="N187">
        <v>90</v>
      </c>
      <c r="O187">
        <v>12</v>
      </c>
      <c r="P187">
        <v>12</v>
      </c>
      <c r="Q187">
        <v>12</v>
      </c>
      <c r="R187" t="s">
        <v>2464</v>
      </c>
      <c r="S187" t="s">
        <v>4124</v>
      </c>
      <c r="T187" t="s">
        <v>2462</v>
      </c>
      <c r="U187" t="s">
        <v>2462</v>
      </c>
      <c r="V187">
        <v>0</v>
      </c>
      <c r="W187"/>
      <c r="X187"/>
      <c r="Y187"/>
      <c r="Z187">
        <v>60</v>
      </c>
      <c r="AA187">
        <v>19</v>
      </c>
      <c r="AB187">
        <v>10</v>
      </c>
      <c r="AC187">
        <v>13</v>
      </c>
      <c r="AD187">
        <v>3</v>
      </c>
      <c r="AE187">
        <v>12</v>
      </c>
      <c r="AF187">
        <v>7</v>
      </c>
      <c r="AG187">
        <v>331</v>
      </c>
      <c r="AH187"/>
      <c r="AI187"/>
      <c r="AJ187"/>
      <c r="AK187"/>
      <c r="AL187"/>
      <c r="AM187"/>
      <c r="AN187">
        <v>34</v>
      </c>
      <c r="AO187">
        <v>378</v>
      </c>
      <c r="AP187"/>
      <c r="AQ187"/>
      <c r="AR187"/>
      <c r="AS187"/>
      <c r="AT187"/>
      <c r="AU187"/>
      <c r="AV187"/>
      <c r="AW187"/>
      <c r="AX187"/>
      <c r="AY187" t="s">
        <v>3131</v>
      </c>
      <c r="AZ187" t="s">
        <v>4123</v>
      </c>
      <c r="BA187" t="s">
        <v>3131</v>
      </c>
      <c r="BB187" t="s">
        <v>3634</v>
      </c>
      <c r="BC187" t="s">
        <v>4122</v>
      </c>
      <c r="BD187" t="s">
        <v>3634</v>
      </c>
      <c r="BE187" t="s">
        <v>3129</v>
      </c>
      <c r="BF187" t="s">
        <v>4121</v>
      </c>
      <c r="BG187" t="s">
        <v>3129</v>
      </c>
      <c r="BH187"/>
      <c r="BI187"/>
      <c r="BJ187"/>
      <c r="BK187"/>
      <c r="BL187"/>
      <c r="BM187"/>
      <c r="BN187"/>
      <c r="BO187"/>
      <c r="BP187" t="s">
        <v>2479</v>
      </c>
      <c r="BQ187" t="s">
        <v>4120</v>
      </c>
      <c r="BR187" t="s">
        <v>4119</v>
      </c>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t="s">
        <v>2454</v>
      </c>
      <c r="CY187">
        <v>331</v>
      </c>
      <c r="CZ187" t="s">
        <v>2453</v>
      </c>
    </row>
    <row r="188" spans="1:104" ht="14.25">
      <c r="A188" t="s">
        <v>4118</v>
      </c>
      <c r="B188" t="s">
        <v>4118</v>
      </c>
      <c r="C188" t="s">
        <v>4117</v>
      </c>
      <c r="D188">
        <v>3</v>
      </c>
      <c r="E188" t="s">
        <v>2609</v>
      </c>
      <c r="F188" t="s">
        <v>2467</v>
      </c>
      <c r="G188" t="s">
        <v>2608</v>
      </c>
      <c r="H188" t="s">
        <v>2607</v>
      </c>
      <c r="I188"/>
      <c r="J188" t="s">
        <v>2607</v>
      </c>
      <c r="K188"/>
      <c r="L188"/>
      <c r="M188">
        <v>18</v>
      </c>
      <c r="N188">
        <v>52</v>
      </c>
      <c r="O188">
        <v>8</v>
      </c>
      <c r="P188">
        <v>8</v>
      </c>
      <c r="Q188">
        <v>16</v>
      </c>
      <c r="R188" t="s">
        <v>2464</v>
      </c>
      <c r="S188" t="s">
        <v>2679</v>
      </c>
      <c r="T188" t="s">
        <v>4116</v>
      </c>
      <c r="U188" t="s">
        <v>2462</v>
      </c>
      <c r="V188">
        <v>30</v>
      </c>
      <c r="W188"/>
      <c r="X188"/>
      <c r="Y188"/>
      <c r="Z188"/>
      <c r="AA188">
        <v>16</v>
      </c>
      <c r="AB188">
        <v>11</v>
      </c>
      <c r="AC188">
        <v>14</v>
      </c>
      <c r="AD188">
        <v>11</v>
      </c>
      <c r="AE188">
        <v>11</v>
      </c>
      <c r="AF188">
        <v>15</v>
      </c>
      <c r="AG188">
        <v>347</v>
      </c>
      <c r="AH188"/>
      <c r="AI188"/>
      <c r="AJ188"/>
      <c r="AK188"/>
      <c r="AL188"/>
      <c r="AM188"/>
      <c r="AN188">
        <v>54</v>
      </c>
      <c r="AO188">
        <v>395</v>
      </c>
      <c r="AP188">
        <v>12</v>
      </c>
      <c r="AQ188">
        <v>17</v>
      </c>
      <c r="AR188"/>
      <c r="AS188" t="s">
        <v>4115</v>
      </c>
      <c r="AT188"/>
      <c r="AU188"/>
      <c r="AV188" t="s">
        <v>4114</v>
      </c>
      <c r="AW188"/>
      <c r="AX188" t="s">
        <v>4113</v>
      </c>
      <c r="AY188" t="s">
        <v>4111</v>
      </c>
      <c r="AZ188" t="s">
        <v>4112</v>
      </c>
      <c r="BA188" t="s">
        <v>4111</v>
      </c>
      <c r="BB188"/>
      <c r="BC188"/>
      <c r="BD188"/>
      <c r="BE188"/>
      <c r="BF188"/>
      <c r="BG188"/>
      <c r="BH188"/>
      <c r="BI188"/>
      <c r="BJ188"/>
      <c r="BK188"/>
      <c r="BL188"/>
      <c r="BM188"/>
      <c r="BN188"/>
      <c r="BO188"/>
      <c r="BP188" t="s">
        <v>2480</v>
      </c>
      <c r="BQ188" t="s">
        <v>4110</v>
      </c>
      <c r="BR188" t="s">
        <v>2480</v>
      </c>
      <c r="BS188" t="s">
        <v>3143</v>
      </c>
      <c r="BT188" t="s">
        <v>3365</v>
      </c>
      <c r="BU188" t="s">
        <v>4109</v>
      </c>
      <c r="BV188" t="s">
        <v>2594</v>
      </c>
      <c r="BW188" t="s">
        <v>2593</v>
      </c>
      <c r="BX188" t="s">
        <v>2592</v>
      </c>
      <c r="BY188" t="s">
        <v>4107</v>
      </c>
      <c r="BZ188" t="s">
        <v>4108</v>
      </c>
      <c r="CA188" t="s">
        <v>4107</v>
      </c>
      <c r="CB188"/>
      <c r="CC188"/>
      <c r="CD188"/>
      <c r="CE188"/>
      <c r="CF188"/>
      <c r="CG188"/>
      <c r="CH188"/>
      <c r="CI188"/>
      <c r="CJ188"/>
      <c r="CK188"/>
      <c r="CL188"/>
      <c r="CM188"/>
      <c r="CN188"/>
      <c r="CO188"/>
      <c r="CP188"/>
      <c r="CQ188"/>
      <c r="CR188"/>
      <c r="CS188"/>
      <c r="CT188"/>
      <c r="CU188"/>
      <c r="CV188" t="s">
        <v>3782</v>
      </c>
      <c r="CW188" t="s">
        <v>4106</v>
      </c>
      <c r="CX188" t="s">
        <v>2454</v>
      </c>
      <c r="CY188">
        <v>347</v>
      </c>
      <c r="CZ188" t="s">
        <v>2453</v>
      </c>
    </row>
    <row r="189" spans="1:104" ht="14.25">
      <c r="A189" t="s">
        <v>4104</v>
      </c>
      <c r="B189" t="s">
        <v>4104</v>
      </c>
      <c r="C189" t="s">
        <v>4105</v>
      </c>
      <c r="D189">
        <v>0.125</v>
      </c>
      <c r="E189" t="s">
        <v>2468</v>
      </c>
      <c r="F189" t="s">
        <v>2644</v>
      </c>
      <c r="G189" t="s">
        <v>2608</v>
      </c>
      <c r="H189" t="s">
        <v>4104</v>
      </c>
      <c r="I189"/>
      <c r="J189" t="s">
        <v>2522</v>
      </c>
      <c r="K189"/>
      <c r="L189"/>
      <c r="M189">
        <v>12</v>
      </c>
      <c r="N189">
        <v>5</v>
      </c>
      <c r="O189">
        <v>2</v>
      </c>
      <c r="P189">
        <v>6</v>
      </c>
      <c r="Q189">
        <v>-2</v>
      </c>
      <c r="R189" t="s">
        <v>2464</v>
      </c>
      <c r="S189" t="s">
        <v>2793</v>
      </c>
      <c r="T189" t="s">
        <v>2793</v>
      </c>
      <c r="U189" t="s">
        <v>2462</v>
      </c>
      <c r="V189">
        <v>30</v>
      </c>
      <c r="W189"/>
      <c r="X189"/>
      <c r="Y189"/>
      <c r="Z189"/>
      <c r="AA189">
        <v>7</v>
      </c>
      <c r="AB189">
        <v>15</v>
      </c>
      <c r="AC189">
        <v>9</v>
      </c>
      <c r="AD189">
        <v>8</v>
      </c>
      <c r="AE189">
        <v>7</v>
      </c>
      <c r="AF189">
        <v>8</v>
      </c>
      <c r="AG189">
        <v>195</v>
      </c>
      <c r="AH189"/>
      <c r="AI189"/>
      <c r="AJ189"/>
      <c r="AK189"/>
      <c r="AL189"/>
      <c r="AM189"/>
      <c r="AN189">
        <v>34</v>
      </c>
      <c r="AO189">
        <v>326</v>
      </c>
      <c r="AP189">
        <v>13</v>
      </c>
      <c r="AQ189">
        <v>18</v>
      </c>
      <c r="AR189"/>
      <c r="AS189" t="s">
        <v>4103</v>
      </c>
      <c r="AT189"/>
      <c r="AU189"/>
      <c r="AV189"/>
      <c r="AW189"/>
      <c r="AX189"/>
      <c r="AY189" t="s">
        <v>2665</v>
      </c>
      <c r="AZ189" t="s">
        <v>4102</v>
      </c>
      <c r="BA189" t="s">
        <v>2665</v>
      </c>
      <c r="BB189" t="s">
        <v>2599</v>
      </c>
      <c r="BC189" t="s">
        <v>4101</v>
      </c>
      <c r="BD189" t="s">
        <v>2599</v>
      </c>
      <c r="BE189"/>
      <c r="BF189"/>
      <c r="BG189"/>
      <c r="BH189"/>
      <c r="BI189"/>
      <c r="BJ189"/>
      <c r="BK189"/>
      <c r="BL189"/>
      <c r="BM189"/>
      <c r="BN189"/>
      <c r="BO189"/>
      <c r="BP189" t="s">
        <v>4005</v>
      </c>
      <c r="BQ189" t="s">
        <v>3595</v>
      </c>
      <c r="BR189" t="s">
        <v>4100</v>
      </c>
      <c r="BS189" t="s">
        <v>4099</v>
      </c>
      <c r="BT189" t="s">
        <v>4098</v>
      </c>
      <c r="BU189" t="s">
        <v>4097</v>
      </c>
      <c r="BV189"/>
      <c r="BW189"/>
      <c r="BX189"/>
      <c r="BY189"/>
      <c r="BZ189"/>
      <c r="CA189"/>
      <c r="CB189"/>
      <c r="CC189"/>
      <c r="CD189"/>
      <c r="CE189"/>
      <c r="CF189"/>
      <c r="CG189"/>
      <c r="CH189"/>
      <c r="CI189"/>
      <c r="CJ189"/>
      <c r="CK189"/>
      <c r="CL189"/>
      <c r="CM189"/>
      <c r="CN189"/>
      <c r="CO189"/>
      <c r="CP189"/>
      <c r="CQ189"/>
      <c r="CR189"/>
      <c r="CS189"/>
      <c r="CT189"/>
      <c r="CU189"/>
      <c r="CV189"/>
      <c r="CW189"/>
      <c r="CX189" t="s">
        <v>2454</v>
      </c>
      <c r="CY189">
        <v>195</v>
      </c>
      <c r="CZ189" t="s">
        <v>2453</v>
      </c>
    </row>
    <row r="190" spans="1:104" ht="14.25">
      <c r="A190" t="s">
        <v>4096</v>
      </c>
      <c r="B190" t="s">
        <v>4096</v>
      </c>
      <c r="C190" t="s">
        <v>4095</v>
      </c>
      <c r="D190">
        <v>23</v>
      </c>
      <c r="E190" t="s">
        <v>2468</v>
      </c>
      <c r="F190" t="s">
        <v>3077</v>
      </c>
      <c r="G190" t="s">
        <v>2587</v>
      </c>
      <c r="H190" t="s">
        <v>3076</v>
      </c>
      <c r="I190"/>
      <c r="J190" t="s">
        <v>2487</v>
      </c>
      <c r="K190"/>
      <c r="L190"/>
      <c r="M190">
        <v>18</v>
      </c>
      <c r="N190">
        <v>472</v>
      </c>
      <c r="O190">
        <v>27</v>
      </c>
      <c r="P190">
        <v>20</v>
      </c>
      <c r="Q190">
        <v>189</v>
      </c>
      <c r="R190" t="s">
        <v>2464</v>
      </c>
      <c r="S190" t="s">
        <v>4094</v>
      </c>
      <c r="T190" t="s">
        <v>4093</v>
      </c>
      <c r="U190" t="s">
        <v>2462</v>
      </c>
      <c r="V190">
        <v>20</v>
      </c>
      <c r="W190"/>
      <c r="X190"/>
      <c r="Y190">
        <v>60</v>
      </c>
      <c r="Z190"/>
      <c r="AA190">
        <v>30</v>
      </c>
      <c r="AB190">
        <v>11</v>
      </c>
      <c r="AC190">
        <v>25</v>
      </c>
      <c r="AD190">
        <v>22</v>
      </c>
      <c r="AE190">
        <v>18</v>
      </c>
      <c r="AF190">
        <v>20</v>
      </c>
      <c r="AG190">
        <v>197</v>
      </c>
      <c r="AH190"/>
      <c r="AI190"/>
      <c r="AJ190"/>
      <c r="AK190"/>
      <c r="AL190"/>
      <c r="AM190"/>
      <c r="AN190"/>
      <c r="AO190">
        <v>327</v>
      </c>
      <c r="AP190"/>
      <c r="AQ190"/>
      <c r="AR190"/>
      <c r="AS190"/>
      <c r="AT190"/>
      <c r="AU190"/>
      <c r="AV190"/>
      <c r="AW190"/>
      <c r="AX190"/>
      <c r="AY190" t="s">
        <v>2520</v>
      </c>
      <c r="AZ190" t="s">
        <v>4092</v>
      </c>
      <c r="BA190" t="s">
        <v>2520</v>
      </c>
      <c r="BB190" t="s">
        <v>4090</v>
      </c>
      <c r="BC190" t="s">
        <v>4091</v>
      </c>
      <c r="BD190" t="s">
        <v>4090</v>
      </c>
      <c r="BE190" t="s">
        <v>3035</v>
      </c>
      <c r="BF190" t="s">
        <v>4089</v>
      </c>
      <c r="BG190" t="s">
        <v>3035</v>
      </c>
      <c r="BH190"/>
      <c r="BI190"/>
      <c r="BJ190"/>
      <c r="BK190"/>
      <c r="BL190"/>
      <c r="BM190"/>
      <c r="BN190"/>
      <c r="BO190"/>
      <c r="BP190" t="s">
        <v>2480</v>
      </c>
      <c r="BQ190" t="s">
        <v>4088</v>
      </c>
      <c r="BR190" t="s">
        <v>2480</v>
      </c>
      <c r="BS190" t="s">
        <v>2479</v>
      </c>
      <c r="BT190" t="s">
        <v>4087</v>
      </c>
      <c r="BU190" t="s">
        <v>4086</v>
      </c>
      <c r="BV190" t="s">
        <v>3707</v>
      </c>
      <c r="BW190" t="s">
        <v>4085</v>
      </c>
      <c r="BX190" t="s">
        <v>4084</v>
      </c>
      <c r="BY190" t="s">
        <v>3178</v>
      </c>
      <c r="BZ190" t="s">
        <v>4083</v>
      </c>
      <c r="CA190" t="s">
        <v>3178</v>
      </c>
      <c r="CB190" t="s">
        <v>4082</v>
      </c>
      <c r="CC190" t="s">
        <v>4081</v>
      </c>
      <c r="CD190" t="s">
        <v>4080</v>
      </c>
      <c r="CE190"/>
      <c r="CF190"/>
      <c r="CG190"/>
      <c r="CH190"/>
      <c r="CI190"/>
      <c r="CJ190"/>
      <c r="CK190" t="s">
        <v>4079</v>
      </c>
      <c r="CL190" t="s">
        <v>4078</v>
      </c>
      <c r="CM190" t="s">
        <v>4077</v>
      </c>
      <c r="CN190" t="s">
        <v>4076</v>
      </c>
      <c r="CO190" t="s">
        <v>4075</v>
      </c>
      <c r="CP190" t="s">
        <v>4074</v>
      </c>
      <c r="CQ190"/>
      <c r="CR190"/>
      <c r="CS190"/>
      <c r="CT190"/>
      <c r="CU190"/>
      <c r="CV190"/>
      <c r="CW190"/>
      <c r="CX190" t="s">
        <v>2454</v>
      </c>
      <c r="CY190">
        <v>197</v>
      </c>
      <c r="CZ190" t="s">
        <v>2453</v>
      </c>
    </row>
    <row r="191" spans="1:104" ht="14.25">
      <c r="A191" t="s">
        <v>4073</v>
      </c>
      <c r="B191" t="s">
        <v>4073</v>
      </c>
      <c r="C191" t="s">
        <v>4072</v>
      </c>
      <c r="D191">
        <v>4</v>
      </c>
      <c r="E191" t="s">
        <v>2468</v>
      </c>
      <c r="F191" t="s">
        <v>2489</v>
      </c>
      <c r="G191" t="s">
        <v>2587</v>
      </c>
      <c r="H191"/>
      <c r="I191"/>
      <c r="J191" t="s">
        <v>2487</v>
      </c>
      <c r="K191"/>
      <c r="L191"/>
      <c r="M191">
        <v>13</v>
      </c>
      <c r="N191">
        <v>97</v>
      </c>
      <c r="O191">
        <v>13</v>
      </c>
      <c r="P191">
        <v>10</v>
      </c>
      <c r="Q191">
        <v>26</v>
      </c>
      <c r="R191" t="s">
        <v>2972</v>
      </c>
      <c r="S191" t="s">
        <v>4071</v>
      </c>
      <c r="T191" t="s">
        <v>3191</v>
      </c>
      <c r="U191" t="s">
        <v>2462</v>
      </c>
      <c r="V191">
        <v>30</v>
      </c>
      <c r="W191"/>
      <c r="X191"/>
      <c r="Y191"/>
      <c r="Z191"/>
      <c r="AA191">
        <v>16</v>
      </c>
      <c r="AB191">
        <v>13</v>
      </c>
      <c r="AC191">
        <v>15</v>
      </c>
      <c r="AD191">
        <v>14</v>
      </c>
      <c r="AE191">
        <v>15</v>
      </c>
      <c r="AF191">
        <v>16</v>
      </c>
      <c r="AG191">
        <v>201</v>
      </c>
      <c r="AH191"/>
      <c r="AI191"/>
      <c r="AJ191"/>
      <c r="AK191"/>
      <c r="AL191"/>
      <c r="AM191"/>
      <c r="AN191"/>
      <c r="AO191">
        <v>328</v>
      </c>
      <c r="AP191"/>
      <c r="AQ191"/>
      <c r="AR191"/>
      <c r="AS191"/>
      <c r="AT191"/>
      <c r="AU191"/>
      <c r="AV191"/>
      <c r="AW191"/>
      <c r="AX191"/>
      <c r="AY191" t="s">
        <v>2635</v>
      </c>
      <c r="AZ191" t="s">
        <v>4070</v>
      </c>
      <c r="BA191" t="s">
        <v>2635</v>
      </c>
      <c r="BB191"/>
      <c r="BC191"/>
      <c r="BD191"/>
      <c r="BE191"/>
      <c r="BF191"/>
      <c r="BG191"/>
      <c r="BH191"/>
      <c r="BI191"/>
      <c r="BJ191"/>
      <c r="BK191"/>
      <c r="BL191"/>
      <c r="BM191"/>
      <c r="BN191"/>
      <c r="BO191"/>
      <c r="BP191" t="s">
        <v>2480</v>
      </c>
      <c r="BQ191" t="s">
        <v>4069</v>
      </c>
      <c r="BR191" t="s">
        <v>2480</v>
      </c>
      <c r="BS191" t="s">
        <v>2652</v>
      </c>
      <c r="BT191" t="s">
        <v>4068</v>
      </c>
      <c r="BU191" t="s">
        <v>4067</v>
      </c>
      <c r="BV191" t="s">
        <v>4005</v>
      </c>
      <c r="BW191" t="s">
        <v>4066</v>
      </c>
      <c r="BX191" t="s">
        <v>4065</v>
      </c>
      <c r="BY191" t="s">
        <v>4063</v>
      </c>
      <c r="BZ191" t="s">
        <v>4064</v>
      </c>
      <c r="CA191" t="s">
        <v>4063</v>
      </c>
      <c r="CB191"/>
      <c r="CC191"/>
      <c r="CD191"/>
      <c r="CE191"/>
      <c r="CF191"/>
      <c r="CG191"/>
      <c r="CH191"/>
      <c r="CI191"/>
      <c r="CJ191"/>
      <c r="CK191"/>
      <c r="CL191"/>
      <c r="CM191"/>
      <c r="CN191"/>
      <c r="CO191"/>
      <c r="CP191"/>
      <c r="CQ191"/>
      <c r="CR191"/>
      <c r="CS191"/>
      <c r="CT191"/>
      <c r="CU191"/>
      <c r="CV191"/>
      <c r="CW191"/>
      <c r="CX191" t="s">
        <v>2454</v>
      </c>
      <c r="CY191">
        <v>201</v>
      </c>
      <c r="CZ191" t="s">
        <v>2453</v>
      </c>
    </row>
    <row r="192" spans="1:104" ht="14.25">
      <c r="A192" t="s">
        <v>4062</v>
      </c>
      <c r="B192" t="s">
        <v>4062</v>
      </c>
      <c r="C192" t="s">
        <v>4061</v>
      </c>
      <c r="D192">
        <v>0</v>
      </c>
      <c r="E192" t="s">
        <v>2468</v>
      </c>
      <c r="F192" t="s">
        <v>2467</v>
      </c>
      <c r="G192" t="s">
        <v>2879</v>
      </c>
      <c r="H192" t="s">
        <v>3667</v>
      </c>
      <c r="I192"/>
      <c r="J192" t="s">
        <v>2522</v>
      </c>
      <c r="K192"/>
      <c r="L192"/>
      <c r="M192">
        <v>7</v>
      </c>
      <c r="N192">
        <v>13</v>
      </c>
      <c r="O192">
        <v>3</v>
      </c>
      <c r="P192">
        <v>8</v>
      </c>
      <c r="Q192"/>
      <c r="R192" t="s">
        <v>2464</v>
      </c>
      <c r="S192" t="s">
        <v>2858</v>
      </c>
      <c r="T192" t="s">
        <v>2462</v>
      </c>
      <c r="U192" t="s">
        <v>2462</v>
      </c>
      <c r="V192">
        <v>15</v>
      </c>
      <c r="W192"/>
      <c r="X192"/>
      <c r="Y192"/>
      <c r="Z192"/>
      <c r="AA192">
        <v>10</v>
      </c>
      <c r="AB192">
        <v>5</v>
      </c>
      <c r="AC192">
        <v>11</v>
      </c>
      <c r="AD192">
        <v>1</v>
      </c>
      <c r="AE192">
        <v>11</v>
      </c>
      <c r="AF192">
        <v>3</v>
      </c>
      <c r="AG192">
        <v>76</v>
      </c>
      <c r="AH192"/>
      <c r="AI192"/>
      <c r="AJ192"/>
      <c r="AK192"/>
      <c r="AL192"/>
      <c r="AM192"/>
      <c r="AN192"/>
      <c r="AO192">
        <v>281</v>
      </c>
      <c r="AP192"/>
      <c r="AQ192"/>
      <c r="AR192"/>
      <c r="AS192" t="s">
        <v>4060</v>
      </c>
      <c r="AT192"/>
      <c r="AU192"/>
      <c r="AV192"/>
      <c r="AW192"/>
      <c r="AX192"/>
      <c r="AY192" t="s">
        <v>4058</v>
      </c>
      <c r="AZ192" t="s">
        <v>4059</v>
      </c>
      <c r="BA192" t="s">
        <v>4058</v>
      </c>
      <c r="BB192" t="s">
        <v>4056</v>
      </c>
      <c r="BC192" t="s">
        <v>4057</v>
      </c>
      <c r="BD192" t="s">
        <v>4056</v>
      </c>
      <c r="BE192"/>
      <c r="BF192"/>
      <c r="BG192"/>
      <c r="BH192"/>
      <c r="BI192"/>
      <c r="BJ192"/>
      <c r="BK192"/>
      <c r="BL192"/>
      <c r="BM192"/>
      <c r="BN192"/>
      <c r="BO192"/>
      <c r="BP192" t="s">
        <v>3321</v>
      </c>
      <c r="BQ192" t="s">
        <v>4055</v>
      </c>
      <c r="BR192" t="s">
        <v>4054</v>
      </c>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t="s">
        <v>2454</v>
      </c>
      <c r="CY192">
        <v>76</v>
      </c>
      <c r="CZ192" t="s">
        <v>2453</v>
      </c>
    </row>
    <row r="193" spans="1:104" ht="14.25">
      <c r="A193" t="s">
        <v>4053</v>
      </c>
      <c r="B193" t="s">
        <v>4053</v>
      </c>
      <c r="C193" t="s">
        <v>4052</v>
      </c>
      <c r="D193">
        <v>21</v>
      </c>
      <c r="E193" t="s">
        <v>2468</v>
      </c>
      <c r="F193" t="s">
        <v>2467</v>
      </c>
      <c r="G193" t="s">
        <v>2466</v>
      </c>
      <c r="H193"/>
      <c r="I193"/>
      <c r="J193" t="s">
        <v>4051</v>
      </c>
      <c r="K193">
        <v>18</v>
      </c>
      <c r="L193" t="s">
        <v>1995</v>
      </c>
      <c r="M193">
        <v>17</v>
      </c>
      <c r="N193">
        <v>135</v>
      </c>
      <c r="O193">
        <v>18</v>
      </c>
      <c r="P193">
        <v>8</v>
      </c>
      <c r="Q193">
        <v>54</v>
      </c>
      <c r="R193" t="s">
        <v>2972</v>
      </c>
      <c r="S193" t="s">
        <v>4050</v>
      </c>
      <c r="T193" t="s">
        <v>2462</v>
      </c>
      <c r="U193" t="s">
        <v>2462</v>
      </c>
      <c r="V193">
        <v>30</v>
      </c>
      <c r="W193"/>
      <c r="X193"/>
      <c r="Y193"/>
      <c r="Z193"/>
      <c r="AA193">
        <v>11</v>
      </c>
      <c r="AB193">
        <v>16</v>
      </c>
      <c r="AC193">
        <v>16</v>
      </c>
      <c r="AD193">
        <v>20</v>
      </c>
      <c r="AE193">
        <v>14</v>
      </c>
      <c r="AF193">
        <v>16</v>
      </c>
      <c r="AG193">
        <v>202</v>
      </c>
      <c r="AH193"/>
      <c r="AI193"/>
      <c r="AJ193"/>
      <c r="AK193"/>
      <c r="AL193"/>
      <c r="AM193"/>
      <c r="AN193"/>
      <c r="AO193">
        <v>328</v>
      </c>
      <c r="AP193"/>
      <c r="AQ193"/>
      <c r="AR193"/>
      <c r="AS193"/>
      <c r="AT193">
        <v>23</v>
      </c>
      <c r="AU193"/>
      <c r="AV193"/>
      <c r="AW193"/>
      <c r="AX193"/>
      <c r="AY193" t="s">
        <v>2945</v>
      </c>
      <c r="AZ193" t="s">
        <v>4049</v>
      </c>
      <c r="BA193" t="s">
        <v>2945</v>
      </c>
      <c r="BB193" t="s">
        <v>3237</v>
      </c>
      <c r="BC193" t="s">
        <v>4048</v>
      </c>
      <c r="BD193" t="s">
        <v>3237</v>
      </c>
      <c r="BE193" t="s">
        <v>3235</v>
      </c>
      <c r="BF193" t="s">
        <v>4047</v>
      </c>
      <c r="BG193" t="s">
        <v>3235</v>
      </c>
      <c r="BH193" t="s">
        <v>4046</v>
      </c>
      <c r="BI193" t="s">
        <v>4045</v>
      </c>
      <c r="BJ193"/>
      <c r="BK193"/>
      <c r="BL193"/>
      <c r="BM193"/>
      <c r="BN193"/>
      <c r="BO193"/>
      <c r="BP193" t="s">
        <v>4044</v>
      </c>
      <c r="BQ193" t="s">
        <v>4043</v>
      </c>
      <c r="BR193" t="s">
        <v>4042</v>
      </c>
      <c r="BS193"/>
      <c r="BT193"/>
      <c r="BU193"/>
      <c r="BV193"/>
      <c r="BW193"/>
      <c r="BX193"/>
      <c r="BY193"/>
      <c r="BZ193"/>
      <c r="CA193"/>
      <c r="CB193"/>
      <c r="CC193"/>
      <c r="CD193"/>
      <c r="CE193"/>
      <c r="CF193"/>
      <c r="CG193"/>
      <c r="CH193"/>
      <c r="CI193"/>
      <c r="CJ193"/>
      <c r="CK193" t="s">
        <v>4041</v>
      </c>
      <c r="CL193" t="s">
        <v>4040</v>
      </c>
      <c r="CM193" t="s">
        <v>4039</v>
      </c>
      <c r="CN193" t="s">
        <v>4038</v>
      </c>
      <c r="CO193" t="s">
        <v>4037</v>
      </c>
      <c r="CP193" t="s">
        <v>4036</v>
      </c>
      <c r="CQ193" t="s">
        <v>4035</v>
      </c>
      <c r="CR193" t="s">
        <v>4034</v>
      </c>
      <c r="CS193" t="s">
        <v>4033</v>
      </c>
      <c r="CT193"/>
      <c r="CU193"/>
      <c r="CV193"/>
      <c r="CW193"/>
      <c r="CX193" t="s">
        <v>2454</v>
      </c>
      <c r="CY193">
        <v>202</v>
      </c>
      <c r="CZ193" t="s">
        <v>2453</v>
      </c>
    </row>
    <row r="194" spans="1:104" ht="14.25">
      <c r="A194" t="s">
        <v>4032</v>
      </c>
      <c r="B194" t="s">
        <v>4032</v>
      </c>
      <c r="C194" t="s">
        <v>4031</v>
      </c>
      <c r="D194">
        <v>1</v>
      </c>
      <c r="E194" t="s">
        <v>2680</v>
      </c>
      <c r="F194" t="s">
        <v>2489</v>
      </c>
      <c r="G194" t="s">
        <v>2690</v>
      </c>
      <c r="H194"/>
      <c r="I194"/>
      <c r="J194" t="s">
        <v>2013</v>
      </c>
      <c r="K194"/>
      <c r="L194"/>
      <c r="M194">
        <v>12</v>
      </c>
      <c r="N194">
        <v>26</v>
      </c>
      <c r="O194">
        <v>4</v>
      </c>
      <c r="P194">
        <v>10</v>
      </c>
      <c r="Q194">
        <v>4</v>
      </c>
      <c r="R194" t="s">
        <v>2464</v>
      </c>
      <c r="S194" t="s">
        <v>2777</v>
      </c>
      <c r="T194" t="s">
        <v>2905</v>
      </c>
      <c r="U194" t="s">
        <v>2462</v>
      </c>
      <c r="V194">
        <v>50</v>
      </c>
      <c r="W194"/>
      <c r="X194"/>
      <c r="Y194"/>
      <c r="Z194"/>
      <c r="AA194">
        <v>17</v>
      </c>
      <c r="AB194">
        <v>15</v>
      </c>
      <c r="AC194">
        <v>13</v>
      </c>
      <c r="AD194">
        <v>3</v>
      </c>
      <c r="AE194">
        <v>12</v>
      </c>
      <c r="AF194">
        <v>8</v>
      </c>
      <c r="AG194">
        <v>331</v>
      </c>
      <c r="AH194">
        <v>307</v>
      </c>
      <c r="AI194"/>
      <c r="AJ194"/>
      <c r="AK194"/>
      <c r="AL194"/>
      <c r="AM194"/>
      <c r="AN194">
        <v>34</v>
      </c>
      <c r="AO194">
        <v>378</v>
      </c>
      <c r="AP194"/>
      <c r="AQ194"/>
      <c r="AR194"/>
      <c r="AS194"/>
      <c r="AT194"/>
      <c r="AU194"/>
      <c r="AV194" t="s">
        <v>4030</v>
      </c>
      <c r="AW194"/>
      <c r="AX194" t="s">
        <v>3940</v>
      </c>
      <c r="AY194" t="s">
        <v>2581</v>
      </c>
      <c r="AZ194" t="s">
        <v>4029</v>
      </c>
      <c r="BA194" t="s">
        <v>2581</v>
      </c>
      <c r="BB194" t="s">
        <v>2599</v>
      </c>
      <c r="BC194" t="s">
        <v>4028</v>
      </c>
      <c r="BD194" t="s">
        <v>2599</v>
      </c>
      <c r="BE194" t="s">
        <v>3044</v>
      </c>
      <c r="BF194" t="s">
        <v>4027</v>
      </c>
      <c r="BG194" t="s">
        <v>3044</v>
      </c>
      <c r="BH194" t="s">
        <v>4026</v>
      </c>
      <c r="BI194" t="s">
        <v>4025</v>
      </c>
      <c r="BJ194"/>
      <c r="BK194"/>
      <c r="BL194"/>
      <c r="BM194"/>
      <c r="BN194"/>
      <c r="BO194"/>
      <c r="BP194" t="s">
        <v>2479</v>
      </c>
      <c r="BQ194" t="s">
        <v>3965</v>
      </c>
      <c r="BR194" t="s">
        <v>3964</v>
      </c>
      <c r="BS194" t="s">
        <v>2476</v>
      </c>
      <c r="BT194" t="s">
        <v>2764</v>
      </c>
      <c r="BU194" t="s">
        <v>3963</v>
      </c>
      <c r="BV194"/>
      <c r="BW194"/>
      <c r="BX194"/>
      <c r="BY194"/>
      <c r="BZ194"/>
      <c r="CA194"/>
      <c r="CB194"/>
      <c r="CC194"/>
      <c r="CD194"/>
      <c r="CE194"/>
      <c r="CF194"/>
      <c r="CG194"/>
      <c r="CH194"/>
      <c r="CI194"/>
      <c r="CJ194"/>
      <c r="CK194"/>
      <c r="CL194"/>
      <c r="CM194"/>
      <c r="CN194"/>
      <c r="CO194"/>
      <c r="CP194"/>
      <c r="CQ194"/>
      <c r="CR194"/>
      <c r="CS194"/>
      <c r="CT194"/>
      <c r="CU194"/>
      <c r="CV194"/>
      <c r="CW194"/>
      <c r="CX194" t="s">
        <v>2454</v>
      </c>
      <c r="CY194">
        <v>331</v>
      </c>
      <c r="CZ194" t="s">
        <v>2453</v>
      </c>
    </row>
    <row r="195" spans="1:104" ht="14.25">
      <c r="A195" t="s">
        <v>4024</v>
      </c>
      <c r="B195" t="s">
        <v>4024</v>
      </c>
      <c r="C195" t="s">
        <v>4023</v>
      </c>
      <c r="D195">
        <v>0</v>
      </c>
      <c r="E195" t="s">
        <v>2680</v>
      </c>
      <c r="F195" t="s">
        <v>2719</v>
      </c>
      <c r="G195" t="s">
        <v>2690</v>
      </c>
      <c r="H195"/>
      <c r="I195"/>
      <c r="J195" t="s">
        <v>2013</v>
      </c>
      <c r="K195"/>
      <c r="L195"/>
      <c r="M195">
        <v>10</v>
      </c>
      <c r="N195">
        <v>2</v>
      </c>
      <c r="O195">
        <v>1</v>
      </c>
      <c r="P195">
        <v>4</v>
      </c>
      <c r="Q195"/>
      <c r="R195" t="s">
        <v>2464</v>
      </c>
      <c r="S195" t="s">
        <v>2826</v>
      </c>
      <c r="T195" t="s">
        <v>2462</v>
      </c>
      <c r="U195" t="s">
        <v>2462</v>
      </c>
      <c r="V195">
        <v>20</v>
      </c>
      <c r="W195"/>
      <c r="X195">
        <v>20</v>
      </c>
      <c r="Y195"/>
      <c r="Z195"/>
      <c r="AA195">
        <v>2</v>
      </c>
      <c r="AB195">
        <v>11</v>
      </c>
      <c r="AC195">
        <v>10</v>
      </c>
      <c r="AD195">
        <v>1</v>
      </c>
      <c r="AE195">
        <v>8</v>
      </c>
      <c r="AF195">
        <v>3</v>
      </c>
      <c r="AG195">
        <v>332</v>
      </c>
      <c r="AH195"/>
      <c r="AI195"/>
      <c r="AJ195"/>
      <c r="AK195"/>
      <c r="AL195"/>
      <c r="AM195"/>
      <c r="AN195">
        <v>34</v>
      </c>
      <c r="AO195">
        <v>378</v>
      </c>
      <c r="AP195"/>
      <c r="AQ195"/>
      <c r="AR195"/>
      <c r="AS195"/>
      <c r="AT195"/>
      <c r="AU195"/>
      <c r="AV195"/>
      <c r="AW195"/>
      <c r="AX195"/>
      <c r="AY195"/>
      <c r="AZ195"/>
      <c r="BA195"/>
      <c r="BB195"/>
      <c r="BC195"/>
      <c r="BD195"/>
      <c r="BE195"/>
      <c r="BF195"/>
      <c r="BG195"/>
      <c r="BH195"/>
      <c r="BI195"/>
      <c r="BJ195"/>
      <c r="BK195"/>
      <c r="BL195"/>
      <c r="BM195"/>
      <c r="BN195"/>
      <c r="BO195"/>
      <c r="BP195" t="s">
        <v>2479</v>
      </c>
      <c r="BQ195" t="s">
        <v>3532</v>
      </c>
      <c r="BR195" t="s">
        <v>3531</v>
      </c>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t="s">
        <v>2454</v>
      </c>
      <c r="CY195">
        <v>332</v>
      </c>
      <c r="CZ195" t="s">
        <v>2453</v>
      </c>
    </row>
    <row r="196" spans="1:104" ht="14.25">
      <c r="A196" t="s">
        <v>4021</v>
      </c>
      <c r="B196" t="s">
        <v>4021</v>
      </c>
      <c r="C196" t="s">
        <v>4022</v>
      </c>
      <c r="D196">
        <v>0.5</v>
      </c>
      <c r="E196" t="s">
        <v>2468</v>
      </c>
      <c r="F196" t="s">
        <v>2467</v>
      </c>
      <c r="G196" t="s">
        <v>2608</v>
      </c>
      <c r="H196" t="s">
        <v>4021</v>
      </c>
      <c r="I196"/>
      <c r="J196" t="s">
        <v>1997</v>
      </c>
      <c r="K196"/>
      <c r="L196"/>
      <c r="M196">
        <v>15</v>
      </c>
      <c r="N196">
        <v>22</v>
      </c>
      <c r="O196">
        <v>4</v>
      </c>
      <c r="P196">
        <v>8</v>
      </c>
      <c r="Q196">
        <v>4</v>
      </c>
      <c r="R196" t="s">
        <v>2464</v>
      </c>
      <c r="S196" t="s">
        <v>2605</v>
      </c>
      <c r="T196" t="s">
        <v>2605</v>
      </c>
      <c r="U196" t="s">
        <v>2462</v>
      </c>
      <c r="V196">
        <v>30</v>
      </c>
      <c r="W196"/>
      <c r="X196"/>
      <c r="Y196"/>
      <c r="Z196">
        <v>30</v>
      </c>
      <c r="AA196">
        <v>15</v>
      </c>
      <c r="AB196">
        <v>10</v>
      </c>
      <c r="AC196">
        <v>13</v>
      </c>
      <c r="AD196">
        <v>7</v>
      </c>
      <c r="AE196">
        <v>12</v>
      </c>
      <c r="AF196">
        <v>7</v>
      </c>
      <c r="AG196">
        <v>204</v>
      </c>
      <c r="AH196"/>
      <c r="AI196"/>
      <c r="AJ196"/>
      <c r="AK196"/>
      <c r="AL196"/>
      <c r="AM196"/>
      <c r="AN196">
        <v>35</v>
      </c>
      <c r="AO196">
        <v>329</v>
      </c>
      <c r="AP196">
        <v>13</v>
      </c>
      <c r="AQ196">
        <v>18</v>
      </c>
      <c r="AR196"/>
      <c r="AS196" t="s">
        <v>4020</v>
      </c>
      <c r="AT196"/>
      <c r="AU196"/>
      <c r="AV196" t="s">
        <v>4019</v>
      </c>
      <c r="AW196"/>
      <c r="AX196"/>
      <c r="AY196" t="s">
        <v>3634</v>
      </c>
      <c r="AZ196" t="s">
        <v>4018</v>
      </c>
      <c r="BA196" t="s">
        <v>3634</v>
      </c>
      <c r="BB196"/>
      <c r="BC196"/>
      <c r="BD196"/>
      <c r="BE196"/>
      <c r="BF196"/>
      <c r="BG196"/>
      <c r="BH196"/>
      <c r="BI196"/>
      <c r="BJ196"/>
      <c r="BK196"/>
      <c r="BL196"/>
      <c r="BM196"/>
      <c r="BN196"/>
      <c r="BO196"/>
      <c r="BP196" t="s">
        <v>2480</v>
      </c>
      <c r="BQ196" t="s">
        <v>4017</v>
      </c>
      <c r="BR196" t="s">
        <v>2480</v>
      </c>
      <c r="BS196" t="s">
        <v>2479</v>
      </c>
      <c r="BT196" t="s">
        <v>2785</v>
      </c>
      <c r="BU196" t="s">
        <v>3682</v>
      </c>
      <c r="BV196" t="s">
        <v>4016</v>
      </c>
      <c r="BW196" t="s">
        <v>4015</v>
      </c>
      <c r="BX196" t="s">
        <v>4014</v>
      </c>
      <c r="BY196" t="s">
        <v>3719</v>
      </c>
      <c r="BZ196" t="s">
        <v>4013</v>
      </c>
      <c r="CA196" t="s">
        <v>4012</v>
      </c>
      <c r="CB196" t="s">
        <v>4011</v>
      </c>
      <c r="CC196" t="s">
        <v>2785</v>
      </c>
      <c r="CD196" t="s">
        <v>4010</v>
      </c>
      <c r="CE196"/>
      <c r="CF196"/>
      <c r="CG196"/>
      <c r="CH196"/>
      <c r="CI196"/>
      <c r="CJ196"/>
      <c r="CK196"/>
      <c r="CL196"/>
      <c r="CM196"/>
      <c r="CN196"/>
      <c r="CO196"/>
      <c r="CP196"/>
      <c r="CQ196"/>
      <c r="CR196"/>
      <c r="CS196"/>
      <c r="CT196"/>
      <c r="CU196"/>
      <c r="CV196"/>
      <c r="CW196"/>
      <c r="CX196" t="s">
        <v>2454</v>
      </c>
      <c r="CY196">
        <v>204</v>
      </c>
      <c r="CZ196" t="s">
        <v>2453</v>
      </c>
    </row>
    <row r="197" spans="1:104" ht="14.25">
      <c r="A197" t="s">
        <v>973</v>
      </c>
      <c r="B197" t="s">
        <v>973</v>
      </c>
      <c r="C197" t="s">
        <v>4009</v>
      </c>
      <c r="D197">
        <v>6</v>
      </c>
      <c r="E197" t="s">
        <v>2609</v>
      </c>
      <c r="F197" t="s">
        <v>2467</v>
      </c>
      <c r="G197" t="s">
        <v>2608</v>
      </c>
      <c r="H197" t="s">
        <v>2607</v>
      </c>
      <c r="I197"/>
      <c r="J197" t="s">
        <v>2607</v>
      </c>
      <c r="K197">
        <v>9</v>
      </c>
      <c r="L197" t="s">
        <v>1995</v>
      </c>
      <c r="M197">
        <v>12</v>
      </c>
      <c r="N197">
        <v>40</v>
      </c>
      <c r="O197">
        <v>9</v>
      </c>
      <c r="P197">
        <v>8</v>
      </c>
      <c r="Q197"/>
      <c r="R197" t="s">
        <v>2972</v>
      </c>
      <c r="S197" t="s">
        <v>3934</v>
      </c>
      <c r="T197" t="s">
        <v>2462</v>
      </c>
      <c r="U197" t="s">
        <v>2462</v>
      </c>
      <c r="V197">
        <v>30</v>
      </c>
      <c r="W197"/>
      <c r="X197"/>
      <c r="Y197"/>
      <c r="Z197"/>
      <c r="AA197">
        <v>9</v>
      </c>
      <c r="AB197">
        <v>14</v>
      </c>
      <c r="AC197">
        <v>11</v>
      </c>
      <c r="AD197">
        <v>17</v>
      </c>
      <c r="AE197">
        <v>12</v>
      </c>
      <c r="AF197">
        <v>11</v>
      </c>
      <c r="AG197">
        <v>347</v>
      </c>
      <c r="AH197"/>
      <c r="AI197"/>
      <c r="AJ197"/>
      <c r="AK197"/>
      <c r="AL197"/>
      <c r="AM197"/>
      <c r="AN197">
        <v>55</v>
      </c>
      <c r="AO197">
        <v>395</v>
      </c>
      <c r="AP197">
        <v>13</v>
      </c>
      <c r="AQ197">
        <v>18</v>
      </c>
      <c r="AR197"/>
      <c r="AS197" t="s">
        <v>4008</v>
      </c>
      <c r="AT197"/>
      <c r="AU197"/>
      <c r="AV197"/>
      <c r="AW197"/>
      <c r="AX197" t="s">
        <v>4007</v>
      </c>
      <c r="AY197" t="s">
        <v>3235</v>
      </c>
      <c r="AZ197" t="s">
        <v>4006</v>
      </c>
      <c r="BA197" t="s">
        <v>3235</v>
      </c>
      <c r="BB197"/>
      <c r="BC197"/>
      <c r="BD197"/>
      <c r="BE197"/>
      <c r="BF197"/>
      <c r="BG197"/>
      <c r="BH197"/>
      <c r="BI197"/>
      <c r="BJ197"/>
      <c r="BK197"/>
      <c r="BL197"/>
      <c r="BM197"/>
      <c r="BN197"/>
      <c r="BO197"/>
      <c r="BP197" t="s">
        <v>4005</v>
      </c>
      <c r="BQ197" t="s">
        <v>4004</v>
      </c>
      <c r="BR197" t="s">
        <v>4003</v>
      </c>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t="s">
        <v>2454</v>
      </c>
      <c r="CY197">
        <v>347</v>
      </c>
      <c r="CZ197" t="s">
        <v>2453</v>
      </c>
    </row>
    <row r="198" spans="1:104" ht="14.25">
      <c r="A198" t="s">
        <v>4002</v>
      </c>
      <c r="B198" t="s">
        <v>4001</v>
      </c>
      <c r="C198" t="s">
        <v>4000</v>
      </c>
      <c r="D198">
        <v>0.5</v>
      </c>
      <c r="E198" t="s">
        <v>2468</v>
      </c>
      <c r="F198" t="s">
        <v>2644</v>
      </c>
      <c r="G198" t="s">
        <v>2626</v>
      </c>
      <c r="H198" t="s">
        <v>3207</v>
      </c>
      <c r="I198"/>
      <c r="J198" t="s">
        <v>2465</v>
      </c>
      <c r="K198"/>
      <c r="L198"/>
      <c r="M198">
        <v>11</v>
      </c>
      <c r="N198">
        <v>22</v>
      </c>
      <c r="O198">
        <v>5</v>
      </c>
      <c r="P198">
        <v>6</v>
      </c>
      <c r="Q198">
        <v>5</v>
      </c>
      <c r="R198" t="s">
        <v>2972</v>
      </c>
      <c r="S198" t="s">
        <v>3403</v>
      </c>
      <c r="T198" t="s">
        <v>2462</v>
      </c>
      <c r="U198" t="s">
        <v>2462</v>
      </c>
      <c r="V198">
        <v>30</v>
      </c>
      <c r="W198"/>
      <c r="X198"/>
      <c r="Y198">
        <v>30</v>
      </c>
      <c r="Z198"/>
      <c r="AA198">
        <v>8</v>
      </c>
      <c r="AB198">
        <v>12</v>
      </c>
      <c r="AC198">
        <v>12</v>
      </c>
      <c r="AD198">
        <v>7</v>
      </c>
      <c r="AE198">
        <v>10</v>
      </c>
      <c r="AF198">
        <v>10</v>
      </c>
      <c r="AG198">
        <v>216</v>
      </c>
      <c r="AH198"/>
      <c r="AI198"/>
      <c r="AJ198"/>
      <c r="AK198"/>
      <c r="AL198"/>
      <c r="AM198"/>
      <c r="AN198"/>
      <c r="AO198">
        <v>334</v>
      </c>
      <c r="AP198"/>
      <c r="AQ198"/>
      <c r="AR198"/>
      <c r="AS198"/>
      <c r="AT198">
        <v>25</v>
      </c>
      <c r="AU198"/>
      <c r="AV198" t="s">
        <v>3999</v>
      </c>
      <c r="AW198"/>
      <c r="AX198"/>
      <c r="AY198" t="s">
        <v>3204</v>
      </c>
      <c r="AZ198" t="s">
        <v>3998</v>
      </c>
      <c r="BA198" t="s">
        <v>3986</v>
      </c>
      <c r="BB198" t="s">
        <v>2886</v>
      </c>
      <c r="BC198" t="s">
        <v>3997</v>
      </c>
      <c r="BD198" t="s">
        <v>2886</v>
      </c>
      <c r="BE198" t="s">
        <v>3200</v>
      </c>
      <c r="BF198" t="s">
        <v>3996</v>
      </c>
      <c r="BG198" t="s">
        <v>3200</v>
      </c>
      <c r="BH198"/>
      <c r="BI198"/>
      <c r="BJ198"/>
      <c r="BK198"/>
      <c r="BL198"/>
      <c r="BM198"/>
      <c r="BN198"/>
      <c r="BO198"/>
      <c r="BP198" t="s">
        <v>2652</v>
      </c>
      <c r="BQ198" t="s">
        <v>3995</v>
      </c>
      <c r="BR198" t="s">
        <v>3994</v>
      </c>
      <c r="BS198" t="s">
        <v>3992</v>
      </c>
      <c r="BT198" t="s">
        <v>3993</v>
      </c>
      <c r="BU198" t="s">
        <v>3992</v>
      </c>
      <c r="BV198" t="s">
        <v>3194</v>
      </c>
      <c r="BW198" t="s">
        <v>3195</v>
      </c>
      <c r="BX198" t="s">
        <v>3194</v>
      </c>
      <c r="BY198"/>
      <c r="BZ198"/>
      <c r="CA198"/>
      <c r="CB198"/>
      <c r="CC198"/>
      <c r="CD198"/>
      <c r="CE198"/>
      <c r="CF198"/>
      <c r="CG198"/>
      <c r="CH198"/>
      <c r="CI198"/>
      <c r="CJ198"/>
      <c r="CK198"/>
      <c r="CL198"/>
      <c r="CM198"/>
      <c r="CN198"/>
      <c r="CO198"/>
      <c r="CP198"/>
      <c r="CQ198"/>
      <c r="CR198"/>
      <c r="CS198"/>
      <c r="CT198"/>
      <c r="CU198"/>
      <c r="CV198"/>
      <c r="CW198"/>
      <c r="CX198" t="s">
        <v>2454</v>
      </c>
      <c r="CY198">
        <v>216</v>
      </c>
      <c r="CZ198" t="s">
        <v>2453</v>
      </c>
    </row>
    <row r="199" spans="1:104" ht="14.25">
      <c r="A199" t="s">
        <v>3991</v>
      </c>
      <c r="B199" t="s">
        <v>3991</v>
      </c>
      <c r="C199" t="s">
        <v>3990</v>
      </c>
      <c r="D199">
        <v>0.5</v>
      </c>
      <c r="E199" t="s">
        <v>2468</v>
      </c>
      <c r="F199" t="s">
        <v>2644</v>
      </c>
      <c r="G199" t="s">
        <v>2626</v>
      </c>
      <c r="H199"/>
      <c r="I199"/>
      <c r="J199" t="s">
        <v>3404</v>
      </c>
      <c r="K199"/>
      <c r="L199"/>
      <c r="M199">
        <v>14</v>
      </c>
      <c r="N199">
        <v>9</v>
      </c>
      <c r="O199">
        <v>2</v>
      </c>
      <c r="P199">
        <v>6</v>
      </c>
      <c r="Q199">
        <v>2</v>
      </c>
      <c r="R199" t="s">
        <v>2464</v>
      </c>
      <c r="S199" t="s">
        <v>3989</v>
      </c>
      <c r="T199" t="s">
        <v>2462</v>
      </c>
      <c r="U199" t="s">
        <v>2462</v>
      </c>
      <c r="V199">
        <v>30</v>
      </c>
      <c r="W199"/>
      <c r="X199"/>
      <c r="Y199"/>
      <c r="Z199"/>
      <c r="AA199">
        <v>7</v>
      </c>
      <c r="AB199">
        <v>15</v>
      </c>
      <c r="AC199">
        <v>12</v>
      </c>
      <c r="AD199">
        <v>8</v>
      </c>
      <c r="AE199">
        <v>11</v>
      </c>
      <c r="AF199">
        <v>10</v>
      </c>
      <c r="AG199">
        <v>212</v>
      </c>
      <c r="AH199"/>
      <c r="AI199"/>
      <c r="AJ199"/>
      <c r="AK199"/>
      <c r="AL199"/>
      <c r="AM199"/>
      <c r="AN199"/>
      <c r="AO199">
        <v>332</v>
      </c>
      <c r="AP199"/>
      <c r="AQ199"/>
      <c r="AR199"/>
      <c r="AS199"/>
      <c r="AT199">
        <v>25</v>
      </c>
      <c r="AU199"/>
      <c r="AV199" t="s">
        <v>3988</v>
      </c>
      <c r="AW199"/>
      <c r="AX199"/>
      <c r="AY199" t="s">
        <v>3204</v>
      </c>
      <c r="AZ199" t="s">
        <v>3987</v>
      </c>
      <c r="BA199" t="s">
        <v>3986</v>
      </c>
      <c r="BB199" t="s">
        <v>3984</v>
      </c>
      <c r="BC199" t="s">
        <v>3985</v>
      </c>
      <c r="BD199" t="s">
        <v>3984</v>
      </c>
      <c r="BE199"/>
      <c r="BF199"/>
      <c r="BG199"/>
      <c r="BH199"/>
      <c r="BI199"/>
      <c r="BJ199"/>
      <c r="BK199"/>
      <c r="BL199"/>
      <c r="BM199"/>
      <c r="BN199"/>
      <c r="BO199"/>
      <c r="BP199" t="s">
        <v>3983</v>
      </c>
      <c r="BQ199" t="s">
        <v>3982</v>
      </c>
      <c r="BR199" t="s">
        <v>3981</v>
      </c>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t="s">
        <v>2454</v>
      </c>
      <c r="CY199">
        <v>212</v>
      </c>
      <c r="CZ199" t="s">
        <v>2453</v>
      </c>
    </row>
    <row r="200" spans="1:104" ht="14.25">
      <c r="A200" t="s">
        <v>3980</v>
      </c>
      <c r="B200" t="s">
        <v>3980</v>
      </c>
      <c r="C200" t="s">
        <v>3979</v>
      </c>
      <c r="D200">
        <v>6</v>
      </c>
      <c r="E200" t="s">
        <v>2680</v>
      </c>
      <c r="F200" t="s">
        <v>2985</v>
      </c>
      <c r="G200" t="s">
        <v>2690</v>
      </c>
      <c r="H200"/>
      <c r="I200"/>
      <c r="J200" t="s">
        <v>2013</v>
      </c>
      <c r="K200"/>
      <c r="L200"/>
      <c r="M200">
        <v>13</v>
      </c>
      <c r="N200">
        <v>126</v>
      </c>
      <c r="O200">
        <v>11</v>
      </c>
      <c r="P200">
        <v>12</v>
      </c>
      <c r="Q200">
        <v>55</v>
      </c>
      <c r="R200" t="s">
        <v>2464</v>
      </c>
      <c r="S200" t="s">
        <v>3978</v>
      </c>
      <c r="T200" t="s">
        <v>3977</v>
      </c>
      <c r="U200" t="s">
        <v>2462</v>
      </c>
      <c r="V200">
        <v>40</v>
      </c>
      <c r="W200"/>
      <c r="X200"/>
      <c r="Y200"/>
      <c r="Z200"/>
      <c r="AA200">
        <v>24</v>
      </c>
      <c r="AB200">
        <v>9</v>
      </c>
      <c r="AC200">
        <v>21</v>
      </c>
      <c r="AD200">
        <v>3</v>
      </c>
      <c r="AE200">
        <v>11</v>
      </c>
      <c r="AF200">
        <v>6</v>
      </c>
      <c r="AG200">
        <v>332</v>
      </c>
      <c r="AH200"/>
      <c r="AI200"/>
      <c r="AJ200"/>
      <c r="AK200"/>
      <c r="AL200"/>
      <c r="AM200"/>
      <c r="AN200">
        <v>35</v>
      </c>
      <c r="AO200">
        <v>379</v>
      </c>
      <c r="AP200"/>
      <c r="AQ200"/>
      <c r="AR200"/>
      <c r="AS200"/>
      <c r="AT200"/>
      <c r="AU200"/>
      <c r="AV200"/>
      <c r="AW200"/>
      <c r="AX200"/>
      <c r="AY200" t="s">
        <v>2848</v>
      </c>
      <c r="AZ200" t="s">
        <v>3976</v>
      </c>
      <c r="BA200" t="s">
        <v>2848</v>
      </c>
      <c r="BB200"/>
      <c r="BC200"/>
      <c r="BD200"/>
      <c r="BE200"/>
      <c r="BF200"/>
      <c r="BG200"/>
      <c r="BH200"/>
      <c r="BI200"/>
      <c r="BJ200"/>
      <c r="BK200"/>
      <c r="BL200"/>
      <c r="BM200"/>
      <c r="BN200"/>
      <c r="BO200"/>
      <c r="BP200" t="s">
        <v>3013</v>
      </c>
      <c r="BQ200" t="s">
        <v>3975</v>
      </c>
      <c r="BR200" t="s">
        <v>3974</v>
      </c>
      <c r="BS200" t="s">
        <v>3010</v>
      </c>
      <c r="BT200" t="s">
        <v>3973</v>
      </c>
      <c r="BU200" t="s">
        <v>3972</v>
      </c>
      <c r="BV200"/>
      <c r="BW200"/>
      <c r="BX200"/>
      <c r="BY200"/>
      <c r="BZ200"/>
      <c r="CA200"/>
      <c r="CB200"/>
      <c r="CC200"/>
      <c r="CD200"/>
      <c r="CE200"/>
      <c r="CF200"/>
      <c r="CG200"/>
      <c r="CH200"/>
      <c r="CI200"/>
      <c r="CJ200"/>
      <c r="CK200"/>
      <c r="CL200"/>
      <c r="CM200"/>
      <c r="CN200"/>
      <c r="CO200"/>
      <c r="CP200"/>
      <c r="CQ200"/>
      <c r="CR200"/>
      <c r="CS200"/>
      <c r="CT200"/>
      <c r="CU200"/>
      <c r="CV200"/>
      <c r="CW200"/>
      <c r="CX200" t="s">
        <v>2454</v>
      </c>
      <c r="CY200">
        <v>332</v>
      </c>
      <c r="CZ200" t="s">
        <v>2453</v>
      </c>
    </row>
    <row r="201" spans="1:104" ht="14.25">
      <c r="A201" t="s">
        <v>3971</v>
      </c>
      <c r="B201" t="s">
        <v>3971</v>
      </c>
      <c r="C201" t="s">
        <v>3970</v>
      </c>
      <c r="D201">
        <v>3</v>
      </c>
      <c r="E201" t="s">
        <v>2468</v>
      </c>
      <c r="F201" t="s">
        <v>2489</v>
      </c>
      <c r="G201" t="s">
        <v>2587</v>
      </c>
      <c r="H201"/>
      <c r="I201"/>
      <c r="J201" t="s">
        <v>2522</v>
      </c>
      <c r="K201"/>
      <c r="L201"/>
      <c r="M201">
        <v>14</v>
      </c>
      <c r="N201">
        <v>68</v>
      </c>
      <c r="O201">
        <v>8</v>
      </c>
      <c r="P201">
        <v>10</v>
      </c>
      <c r="Q201">
        <v>24</v>
      </c>
      <c r="R201" t="s">
        <v>2464</v>
      </c>
      <c r="S201" t="s">
        <v>2777</v>
      </c>
      <c r="T201" t="s">
        <v>2905</v>
      </c>
      <c r="U201" t="s">
        <v>2462</v>
      </c>
      <c r="V201">
        <v>30</v>
      </c>
      <c r="W201"/>
      <c r="X201"/>
      <c r="Y201">
        <v>50</v>
      </c>
      <c r="Z201"/>
      <c r="AA201">
        <v>17</v>
      </c>
      <c r="AB201">
        <v>16</v>
      </c>
      <c r="AC201">
        <v>17</v>
      </c>
      <c r="AD201">
        <v>7</v>
      </c>
      <c r="AE201">
        <v>12</v>
      </c>
      <c r="AF201">
        <v>8</v>
      </c>
      <c r="AG201">
        <v>213</v>
      </c>
      <c r="AH201"/>
      <c r="AI201"/>
      <c r="AJ201"/>
      <c r="AK201"/>
      <c r="AL201"/>
      <c r="AM201"/>
      <c r="AN201">
        <v>35</v>
      </c>
      <c r="AO201">
        <v>332</v>
      </c>
      <c r="AP201"/>
      <c r="AQ201"/>
      <c r="AR201"/>
      <c r="AS201"/>
      <c r="AT201"/>
      <c r="AU201"/>
      <c r="AV201" t="s">
        <v>3969</v>
      </c>
      <c r="AW201"/>
      <c r="AX201"/>
      <c r="AY201" t="s">
        <v>3967</v>
      </c>
      <c r="AZ201" t="s">
        <v>3968</v>
      </c>
      <c r="BA201" t="s">
        <v>3967</v>
      </c>
      <c r="BB201"/>
      <c r="BC201"/>
      <c r="BD201"/>
      <c r="BE201"/>
      <c r="BF201"/>
      <c r="BG201"/>
      <c r="BH201"/>
      <c r="BI201"/>
      <c r="BJ201"/>
      <c r="BK201"/>
      <c r="BL201"/>
      <c r="BM201"/>
      <c r="BN201"/>
      <c r="BO201"/>
      <c r="BP201" t="s">
        <v>2480</v>
      </c>
      <c r="BQ201" t="s">
        <v>3966</v>
      </c>
      <c r="BR201" t="s">
        <v>2480</v>
      </c>
      <c r="BS201" t="s">
        <v>2479</v>
      </c>
      <c r="BT201" t="s">
        <v>3965</v>
      </c>
      <c r="BU201" t="s">
        <v>3964</v>
      </c>
      <c r="BV201" t="s">
        <v>2476</v>
      </c>
      <c r="BW201" t="s">
        <v>2764</v>
      </c>
      <c r="BX201" t="s">
        <v>3963</v>
      </c>
      <c r="BY201" t="s">
        <v>3962</v>
      </c>
      <c r="BZ201" t="s">
        <v>3961</v>
      </c>
      <c r="CA201" t="s">
        <v>3960</v>
      </c>
      <c r="CB201"/>
      <c r="CC201"/>
      <c r="CD201"/>
      <c r="CE201"/>
      <c r="CF201"/>
      <c r="CG201"/>
      <c r="CH201"/>
      <c r="CI201"/>
      <c r="CJ201"/>
      <c r="CK201"/>
      <c r="CL201"/>
      <c r="CM201"/>
      <c r="CN201"/>
      <c r="CO201"/>
      <c r="CP201"/>
      <c r="CQ201"/>
      <c r="CR201"/>
      <c r="CS201"/>
      <c r="CT201"/>
      <c r="CU201"/>
      <c r="CV201"/>
      <c r="CW201"/>
      <c r="CX201" t="s">
        <v>2454</v>
      </c>
      <c r="CY201">
        <v>213</v>
      </c>
      <c r="CZ201" t="s">
        <v>2453</v>
      </c>
    </row>
    <row r="202" spans="1:104" ht="14.25">
      <c r="A202" t="s">
        <v>3959</v>
      </c>
      <c r="B202" t="s">
        <v>3959</v>
      </c>
      <c r="C202" t="s">
        <v>3958</v>
      </c>
      <c r="D202">
        <v>16</v>
      </c>
      <c r="E202" t="s">
        <v>2468</v>
      </c>
      <c r="F202" t="s">
        <v>2489</v>
      </c>
      <c r="G202" t="s">
        <v>2879</v>
      </c>
      <c r="H202" t="s">
        <v>2878</v>
      </c>
      <c r="I202"/>
      <c r="J202" t="s">
        <v>2487</v>
      </c>
      <c r="K202"/>
      <c r="L202"/>
      <c r="M202">
        <v>18</v>
      </c>
      <c r="N202">
        <v>189</v>
      </c>
      <c r="O202">
        <v>18</v>
      </c>
      <c r="P202">
        <v>10</v>
      </c>
      <c r="Q202">
        <v>90</v>
      </c>
      <c r="R202" t="s">
        <v>2464</v>
      </c>
      <c r="S202" t="s">
        <v>3957</v>
      </c>
      <c r="T202" t="s">
        <v>3956</v>
      </c>
      <c r="U202" t="s">
        <v>2462</v>
      </c>
      <c r="V202">
        <v>40</v>
      </c>
      <c r="W202"/>
      <c r="X202"/>
      <c r="Y202"/>
      <c r="Z202"/>
      <c r="AA202">
        <v>18</v>
      </c>
      <c r="AB202">
        <v>20</v>
      </c>
      <c r="AC202">
        <v>20</v>
      </c>
      <c r="AD202">
        <v>18</v>
      </c>
      <c r="AE202">
        <v>16</v>
      </c>
      <c r="AF202">
        <v>20</v>
      </c>
      <c r="AG202">
        <v>61</v>
      </c>
      <c r="AH202"/>
      <c r="AI202"/>
      <c r="AJ202"/>
      <c r="AK202"/>
      <c r="AL202"/>
      <c r="AM202"/>
      <c r="AN202"/>
      <c r="AO202">
        <v>275</v>
      </c>
      <c r="AP202"/>
      <c r="AQ202"/>
      <c r="AR202"/>
      <c r="AS202"/>
      <c r="AT202"/>
      <c r="AU202"/>
      <c r="AV202"/>
      <c r="AW202"/>
      <c r="AX202"/>
      <c r="AY202" t="s">
        <v>2873</v>
      </c>
      <c r="AZ202" t="s">
        <v>3955</v>
      </c>
      <c r="BA202" t="s">
        <v>2873</v>
      </c>
      <c r="BB202" t="s">
        <v>2966</v>
      </c>
      <c r="BC202" t="s">
        <v>3954</v>
      </c>
      <c r="BD202" t="s">
        <v>2966</v>
      </c>
      <c r="BE202" t="s">
        <v>3952</v>
      </c>
      <c r="BF202" t="s">
        <v>3953</v>
      </c>
      <c r="BG202" t="s">
        <v>3952</v>
      </c>
      <c r="BH202"/>
      <c r="BI202"/>
      <c r="BJ202"/>
      <c r="BK202"/>
      <c r="BL202"/>
      <c r="BM202"/>
      <c r="BN202"/>
      <c r="BO202"/>
      <c r="BP202" t="s">
        <v>2480</v>
      </c>
      <c r="BQ202" t="s">
        <v>3951</v>
      </c>
      <c r="BR202" t="s">
        <v>2480</v>
      </c>
      <c r="BS202" t="s">
        <v>2727</v>
      </c>
      <c r="BT202" t="s">
        <v>3950</v>
      </c>
      <c r="BU202" t="s">
        <v>3949</v>
      </c>
      <c r="BV202" t="s">
        <v>2978</v>
      </c>
      <c r="BW202" t="s">
        <v>3948</v>
      </c>
      <c r="BX202" t="s">
        <v>3947</v>
      </c>
      <c r="BY202" t="s">
        <v>3267</v>
      </c>
      <c r="BZ202" t="s">
        <v>3946</v>
      </c>
      <c r="CA202" t="s">
        <v>3267</v>
      </c>
      <c r="CB202" t="s">
        <v>2861</v>
      </c>
      <c r="CC202" t="s">
        <v>3945</v>
      </c>
      <c r="CD202" t="s">
        <v>2861</v>
      </c>
      <c r="CE202"/>
      <c r="CF202"/>
      <c r="CG202"/>
      <c r="CH202"/>
      <c r="CI202"/>
      <c r="CJ202"/>
      <c r="CK202"/>
      <c r="CL202"/>
      <c r="CM202"/>
      <c r="CN202"/>
      <c r="CO202"/>
      <c r="CP202"/>
      <c r="CQ202"/>
      <c r="CR202"/>
      <c r="CS202"/>
      <c r="CT202"/>
      <c r="CU202"/>
      <c r="CV202" t="s">
        <v>3782</v>
      </c>
      <c r="CW202" t="s">
        <v>3944</v>
      </c>
      <c r="CX202" t="s">
        <v>2454</v>
      </c>
      <c r="CY202">
        <v>61</v>
      </c>
      <c r="CZ202" t="s">
        <v>2453</v>
      </c>
    </row>
    <row r="203" spans="1:104" ht="14.25">
      <c r="A203" t="s">
        <v>3943</v>
      </c>
      <c r="B203" t="s">
        <v>3943</v>
      </c>
      <c r="C203" t="s">
        <v>3942</v>
      </c>
      <c r="D203">
        <v>0.125</v>
      </c>
      <c r="E203" t="s">
        <v>2680</v>
      </c>
      <c r="F203" t="s">
        <v>2467</v>
      </c>
      <c r="G203" t="s">
        <v>2690</v>
      </c>
      <c r="H203"/>
      <c r="I203"/>
      <c r="J203" t="s">
        <v>2013</v>
      </c>
      <c r="K203"/>
      <c r="L203"/>
      <c r="M203">
        <v>12</v>
      </c>
      <c r="N203">
        <v>5</v>
      </c>
      <c r="O203">
        <v>1</v>
      </c>
      <c r="P203">
        <v>8</v>
      </c>
      <c r="Q203">
        <v>1</v>
      </c>
      <c r="R203" t="s">
        <v>2464</v>
      </c>
      <c r="S203" t="s">
        <v>2463</v>
      </c>
      <c r="T203" t="s">
        <v>2462</v>
      </c>
      <c r="U203" t="s">
        <v>2462</v>
      </c>
      <c r="V203">
        <v>40</v>
      </c>
      <c r="W203"/>
      <c r="X203"/>
      <c r="Y203"/>
      <c r="Z203"/>
      <c r="AA203">
        <v>13</v>
      </c>
      <c r="AB203">
        <v>14</v>
      </c>
      <c r="AC203">
        <v>12</v>
      </c>
      <c r="AD203">
        <v>3</v>
      </c>
      <c r="AE203">
        <v>12</v>
      </c>
      <c r="AF203">
        <v>7</v>
      </c>
      <c r="AG203">
        <v>332</v>
      </c>
      <c r="AH203">
        <v>307</v>
      </c>
      <c r="AI203"/>
      <c r="AJ203"/>
      <c r="AK203"/>
      <c r="AL203"/>
      <c r="AM203"/>
      <c r="AN203">
        <v>35</v>
      </c>
      <c r="AO203">
        <v>379</v>
      </c>
      <c r="AP203"/>
      <c r="AQ203"/>
      <c r="AR203"/>
      <c r="AS203"/>
      <c r="AT203"/>
      <c r="AU203"/>
      <c r="AV203" t="s">
        <v>3941</v>
      </c>
      <c r="AW203"/>
      <c r="AX203" t="s">
        <v>3940</v>
      </c>
      <c r="AY203" t="s">
        <v>2675</v>
      </c>
      <c r="AZ203" t="s">
        <v>3939</v>
      </c>
      <c r="BA203" t="s">
        <v>2675</v>
      </c>
      <c r="BB203"/>
      <c r="BC203"/>
      <c r="BD203"/>
      <c r="BE203"/>
      <c r="BF203"/>
      <c r="BG203"/>
      <c r="BH203"/>
      <c r="BI203"/>
      <c r="BJ203"/>
      <c r="BK203"/>
      <c r="BL203"/>
      <c r="BM203"/>
      <c r="BN203"/>
      <c r="BO203"/>
      <c r="BP203" t="s">
        <v>2479</v>
      </c>
      <c r="BQ203" t="s">
        <v>3938</v>
      </c>
      <c r="BR203" t="s">
        <v>3937</v>
      </c>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t="s">
        <v>2454</v>
      </c>
      <c r="CY203">
        <v>332</v>
      </c>
      <c r="CZ203" t="s">
        <v>2453</v>
      </c>
    </row>
    <row r="204" spans="1:104" ht="14.25">
      <c r="A204" t="s">
        <v>3936</v>
      </c>
      <c r="B204" t="s">
        <v>3936</v>
      </c>
      <c r="C204" t="s">
        <v>3935</v>
      </c>
      <c r="D204">
        <v>6</v>
      </c>
      <c r="E204" t="s">
        <v>2468</v>
      </c>
      <c r="F204" t="s">
        <v>2467</v>
      </c>
      <c r="G204" t="s">
        <v>2587</v>
      </c>
      <c r="H204"/>
      <c r="I204"/>
      <c r="J204" t="s">
        <v>2522</v>
      </c>
      <c r="K204"/>
      <c r="L204"/>
      <c r="M204">
        <v>15</v>
      </c>
      <c r="N204">
        <v>127</v>
      </c>
      <c r="O204">
        <v>17</v>
      </c>
      <c r="P204">
        <v>8</v>
      </c>
      <c r="Q204">
        <v>51</v>
      </c>
      <c r="R204" t="s">
        <v>2464</v>
      </c>
      <c r="S204" t="s">
        <v>3934</v>
      </c>
      <c r="T204" t="s">
        <v>3933</v>
      </c>
      <c r="U204" t="s">
        <v>3932</v>
      </c>
      <c r="V204">
        <v>30</v>
      </c>
      <c r="W204"/>
      <c r="X204"/>
      <c r="Y204"/>
      <c r="Z204"/>
      <c r="AA204">
        <v>10</v>
      </c>
      <c r="AB204">
        <v>15</v>
      </c>
      <c r="AC204">
        <v>16</v>
      </c>
      <c r="AD204">
        <v>12</v>
      </c>
      <c r="AE204">
        <v>13</v>
      </c>
      <c r="AF204">
        <v>15</v>
      </c>
      <c r="AG204">
        <v>214</v>
      </c>
      <c r="AH204"/>
      <c r="AI204"/>
      <c r="AJ204"/>
      <c r="AK204"/>
      <c r="AL204"/>
      <c r="AM204"/>
      <c r="AN204">
        <v>36</v>
      </c>
      <c r="AO204">
        <v>333</v>
      </c>
      <c r="AP204"/>
      <c r="AQ204"/>
      <c r="AR204"/>
      <c r="AS204"/>
      <c r="AT204"/>
      <c r="AU204"/>
      <c r="AV204" t="s">
        <v>3795</v>
      </c>
      <c r="AW204"/>
      <c r="AX204"/>
      <c r="AY204" t="s">
        <v>3930</v>
      </c>
      <c r="AZ204" t="s">
        <v>3931</v>
      </c>
      <c r="BA204" t="s">
        <v>3930</v>
      </c>
      <c r="BB204"/>
      <c r="BC204"/>
      <c r="BD204"/>
      <c r="BE204"/>
      <c r="BF204"/>
      <c r="BG204"/>
      <c r="BH204"/>
      <c r="BI204"/>
      <c r="BJ204"/>
      <c r="BK204"/>
      <c r="BL204"/>
      <c r="BM204"/>
      <c r="BN204"/>
      <c r="BO204"/>
      <c r="BP204" t="s">
        <v>2480</v>
      </c>
      <c r="BQ204" t="s">
        <v>3929</v>
      </c>
      <c r="BR204" t="s">
        <v>2480</v>
      </c>
      <c r="BS204" t="s">
        <v>3928</v>
      </c>
      <c r="BT204" t="s">
        <v>3927</v>
      </c>
      <c r="BU204" t="s">
        <v>3926</v>
      </c>
      <c r="BV204" t="s">
        <v>2898</v>
      </c>
      <c r="BW204" t="s">
        <v>3925</v>
      </c>
      <c r="BX204" t="s">
        <v>3924</v>
      </c>
      <c r="BY204" t="s">
        <v>2724</v>
      </c>
      <c r="BZ204" t="s">
        <v>3923</v>
      </c>
      <c r="CA204" t="s">
        <v>3922</v>
      </c>
      <c r="CB204"/>
      <c r="CC204"/>
      <c r="CD204"/>
      <c r="CE204"/>
      <c r="CF204"/>
      <c r="CG204"/>
      <c r="CH204"/>
      <c r="CI204"/>
      <c r="CJ204"/>
      <c r="CK204"/>
      <c r="CL204"/>
      <c r="CM204"/>
      <c r="CN204"/>
      <c r="CO204"/>
      <c r="CP204"/>
      <c r="CQ204"/>
      <c r="CR204"/>
      <c r="CS204"/>
      <c r="CT204"/>
      <c r="CU204"/>
      <c r="CV204"/>
      <c r="CW204"/>
      <c r="CX204" t="s">
        <v>2454</v>
      </c>
      <c r="CY204">
        <v>214</v>
      </c>
      <c r="CZ204" t="s">
        <v>2453</v>
      </c>
    </row>
    <row r="205" spans="1:104" ht="14.25">
      <c r="A205" t="s">
        <v>3920</v>
      </c>
      <c r="B205" t="s">
        <v>3920</v>
      </c>
      <c r="C205" t="s">
        <v>3921</v>
      </c>
      <c r="D205">
        <v>0.125</v>
      </c>
      <c r="E205" t="s">
        <v>2468</v>
      </c>
      <c r="F205" t="s">
        <v>2467</v>
      </c>
      <c r="G205" t="s">
        <v>2608</v>
      </c>
      <c r="H205" t="s">
        <v>3920</v>
      </c>
      <c r="I205"/>
      <c r="J205" t="s">
        <v>1997</v>
      </c>
      <c r="K205"/>
      <c r="L205"/>
      <c r="M205">
        <v>11</v>
      </c>
      <c r="N205">
        <v>11</v>
      </c>
      <c r="O205">
        <v>2</v>
      </c>
      <c r="P205">
        <v>8</v>
      </c>
      <c r="Q205">
        <v>2</v>
      </c>
      <c r="R205" t="s">
        <v>2464</v>
      </c>
      <c r="S205" t="s">
        <v>2889</v>
      </c>
      <c r="T205" t="s">
        <v>2462</v>
      </c>
      <c r="U205" t="s">
        <v>2462</v>
      </c>
      <c r="V205">
        <v>10</v>
      </c>
      <c r="W205"/>
      <c r="X205"/>
      <c r="Y205"/>
      <c r="Z205">
        <v>40</v>
      </c>
      <c r="AA205">
        <v>10</v>
      </c>
      <c r="AB205">
        <v>13</v>
      </c>
      <c r="AC205">
        <v>12</v>
      </c>
      <c r="AD205">
        <v>11</v>
      </c>
      <c r="AE205">
        <v>11</v>
      </c>
      <c r="AF205">
        <v>12</v>
      </c>
      <c r="AG205">
        <v>218</v>
      </c>
      <c r="AH205"/>
      <c r="AI205"/>
      <c r="AJ205"/>
      <c r="AK205"/>
      <c r="AL205"/>
      <c r="AM205"/>
      <c r="AN205">
        <v>36</v>
      </c>
      <c r="AO205">
        <v>335</v>
      </c>
      <c r="AP205"/>
      <c r="AQ205"/>
      <c r="AR205"/>
      <c r="AS205"/>
      <c r="AT205"/>
      <c r="AU205"/>
      <c r="AV205"/>
      <c r="AW205"/>
      <c r="AX205"/>
      <c r="AY205" t="s">
        <v>2520</v>
      </c>
      <c r="AZ205" t="s">
        <v>3919</v>
      </c>
      <c r="BA205" t="s">
        <v>2520</v>
      </c>
      <c r="BB205"/>
      <c r="BC205"/>
      <c r="BD205"/>
      <c r="BE205"/>
      <c r="BF205"/>
      <c r="BG205"/>
      <c r="BH205"/>
      <c r="BI205"/>
      <c r="BJ205"/>
      <c r="BK205"/>
      <c r="BL205"/>
      <c r="BM205"/>
      <c r="BN205"/>
      <c r="BO205"/>
      <c r="BP205" t="s">
        <v>2402</v>
      </c>
      <c r="BQ205" t="s">
        <v>3918</v>
      </c>
      <c r="BR205" t="s">
        <v>3917</v>
      </c>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t="s">
        <v>2454</v>
      </c>
      <c r="CY205">
        <v>218</v>
      </c>
      <c r="CZ205" t="s">
        <v>2453</v>
      </c>
    </row>
    <row r="206" spans="1:104" ht="14.25">
      <c r="A206" t="s">
        <v>3916</v>
      </c>
      <c r="B206" t="s">
        <v>3916</v>
      </c>
      <c r="C206" t="s">
        <v>3915</v>
      </c>
      <c r="D206">
        <v>2</v>
      </c>
      <c r="E206" t="s">
        <v>2468</v>
      </c>
      <c r="F206" t="s">
        <v>2489</v>
      </c>
      <c r="G206" t="s">
        <v>2587</v>
      </c>
      <c r="H206"/>
      <c r="I206"/>
      <c r="J206" t="s">
        <v>2487</v>
      </c>
      <c r="K206"/>
      <c r="L206"/>
      <c r="M206">
        <v>13</v>
      </c>
      <c r="N206">
        <v>45</v>
      </c>
      <c r="O206">
        <v>6</v>
      </c>
      <c r="P206">
        <v>10</v>
      </c>
      <c r="Q206">
        <v>12</v>
      </c>
      <c r="R206" t="s">
        <v>2464</v>
      </c>
      <c r="S206" t="s">
        <v>3541</v>
      </c>
      <c r="T206" t="s">
        <v>2689</v>
      </c>
      <c r="U206" t="s">
        <v>2462</v>
      </c>
      <c r="V206">
        <v>10</v>
      </c>
      <c r="W206"/>
      <c r="X206"/>
      <c r="Y206"/>
      <c r="Z206">
        <v>40</v>
      </c>
      <c r="AA206">
        <v>18</v>
      </c>
      <c r="AB206">
        <v>10</v>
      </c>
      <c r="AC206">
        <v>15</v>
      </c>
      <c r="AD206">
        <v>8</v>
      </c>
      <c r="AE206">
        <v>10</v>
      </c>
      <c r="AF206">
        <v>9</v>
      </c>
      <c r="AG206">
        <v>219</v>
      </c>
      <c r="AH206"/>
      <c r="AI206"/>
      <c r="AJ206"/>
      <c r="AK206"/>
      <c r="AL206"/>
      <c r="AM206"/>
      <c r="AN206"/>
      <c r="AO206">
        <v>335</v>
      </c>
      <c r="AP206"/>
      <c r="AQ206">
        <v>18</v>
      </c>
      <c r="AR206"/>
      <c r="AS206"/>
      <c r="AT206">
        <v>25</v>
      </c>
      <c r="AU206"/>
      <c r="AV206" t="s">
        <v>2460</v>
      </c>
      <c r="AW206"/>
      <c r="AX206"/>
      <c r="AY206" t="s">
        <v>2520</v>
      </c>
      <c r="AZ206" t="s">
        <v>3914</v>
      </c>
      <c r="BA206" t="s">
        <v>2520</v>
      </c>
      <c r="BB206"/>
      <c r="BC206"/>
      <c r="BD206"/>
      <c r="BE206"/>
      <c r="BF206"/>
      <c r="BG206"/>
      <c r="BH206"/>
      <c r="BI206"/>
      <c r="BJ206"/>
      <c r="BK206"/>
      <c r="BL206"/>
      <c r="BM206"/>
      <c r="BN206"/>
      <c r="BO206"/>
      <c r="BP206" t="s">
        <v>2480</v>
      </c>
      <c r="BQ206" t="s">
        <v>3913</v>
      </c>
      <c r="BR206" t="s">
        <v>2480</v>
      </c>
      <c r="BS206" t="s">
        <v>2479</v>
      </c>
      <c r="BT206" t="s">
        <v>3912</v>
      </c>
      <c r="BU206" t="s">
        <v>3911</v>
      </c>
      <c r="BV206" t="s">
        <v>2652</v>
      </c>
      <c r="BW206" t="s">
        <v>3910</v>
      </c>
      <c r="BX206" t="s">
        <v>3909</v>
      </c>
      <c r="BY206" t="s">
        <v>3908</v>
      </c>
      <c r="BZ206" t="s">
        <v>3907</v>
      </c>
      <c r="CA206" t="s">
        <v>3906</v>
      </c>
      <c r="CB206"/>
      <c r="CC206"/>
      <c r="CD206"/>
      <c r="CE206"/>
      <c r="CF206"/>
      <c r="CG206"/>
      <c r="CH206"/>
      <c r="CI206"/>
      <c r="CJ206"/>
      <c r="CK206"/>
      <c r="CL206"/>
      <c r="CM206"/>
      <c r="CN206"/>
      <c r="CO206"/>
      <c r="CP206"/>
      <c r="CQ206"/>
      <c r="CR206"/>
      <c r="CS206"/>
      <c r="CT206"/>
      <c r="CU206"/>
      <c r="CV206"/>
      <c r="CW206"/>
      <c r="CX206" t="s">
        <v>2454</v>
      </c>
      <c r="CY206">
        <v>219</v>
      </c>
      <c r="CZ206" t="s">
        <v>2453</v>
      </c>
    </row>
    <row r="207" spans="1:104" ht="14.25">
      <c r="A207" t="s">
        <v>3905</v>
      </c>
      <c r="B207" t="s">
        <v>3905</v>
      </c>
      <c r="C207" t="s">
        <v>3904</v>
      </c>
      <c r="D207">
        <v>2</v>
      </c>
      <c r="E207" t="s">
        <v>2468</v>
      </c>
      <c r="F207" t="s">
        <v>2467</v>
      </c>
      <c r="G207" t="s">
        <v>2587</v>
      </c>
      <c r="H207"/>
      <c r="I207">
        <v>1</v>
      </c>
      <c r="J207" t="s">
        <v>1997</v>
      </c>
      <c r="K207"/>
      <c r="L207"/>
      <c r="M207">
        <v>12</v>
      </c>
      <c r="N207">
        <v>58</v>
      </c>
      <c r="O207">
        <v>9</v>
      </c>
      <c r="P207">
        <v>8</v>
      </c>
      <c r="Q207">
        <v>18</v>
      </c>
      <c r="R207" t="s">
        <v>2464</v>
      </c>
      <c r="S207" t="s">
        <v>2777</v>
      </c>
      <c r="T207" t="s">
        <v>3903</v>
      </c>
      <c r="U207" t="s">
        <v>2462</v>
      </c>
      <c r="V207">
        <v>15</v>
      </c>
      <c r="W207"/>
      <c r="X207"/>
      <c r="Y207"/>
      <c r="Z207"/>
      <c r="AA207">
        <v>17</v>
      </c>
      <c r="AB207">
        <v>12</v>
      </c>
      <c r="AC207">
        <v>15</v>
      </c>
      <c r="AD207">
        <v>5</v>
      </c>
      <c r="AE207">
        <v>13</v>
      </c>
      <c r="AF207">
        <v>8</v>
      </c>
      <c r="AG207">
        <v>220</v>
      </c>
      <c r="AH207"/>
      <c r="AI207"/>
      <c r="AJ207"/>
      <c r="AK207"/>
      <c r="AL207"/>
      <c r="AM207"/>
      <c r="AN207"/>
      <c r="AO207">
        <v>335</v>
      </c>
      <c r="AP207"/>
      <c r="AQ207"/>
      <c r="AR207"/>
      <c r="AS207"/>
      <c r="AT207"/>
      <c r="AU207"/>
      <c r="AV207"/>
      <c r="AW207"/>
      <c r="AX207"/>
      <c r="AY207" t="s">
        <v>2755</v>
      </c>
      <c r="AZ207" t="s">
        <v>3902</v>
      </c>
      <c r="BA207" t="s">
        <v>2755</v>
      </c>
      <c r="BB207" t="s">
        <v>3900</v>
      </c>
      <c r="BC207" t="s">
        <v>3901</v>
      </c>
      <c r="BD207" t="s">
        <v>3900</v>
      </c>
      <c r="BE207" t="s">
        <v>3898</v>
      </c>
      <c r="BF207" t="s">
        <v>3899</v>
      </c>
      <c r="BG207" t="s">
        <v>3898</v>
      </c>
      <c r="BH207" t="s">
        <v>3897</v>
      </c>
      <c r="BI207" t="s">
        <v>3896</v>
      </c>
      <c r="BJ207"/>
      <c r="BK207"/>
      <c r="BL207"/>
      <c r="BM207"/>
      <c r="BN207"/>
      <c r="BO207"/>
      <c r="BP207" t="s">
        <v>3772</v>
      </c>
      <c r="BQ207" t="s">
        <v>3895</v>
      </c>
      <c r="BR207" t="s">
        <v>3894</v>
      </c>
      <c r="BS207" t="s">
        <v>2479</v>
      </c>
      <c r="BT207" t="s">
        <v>3893</v>
      </c>
      <c r="BU207" t="s">
        <v>3892</v>
      </c>
      <c r="BV207"/>
      <c r="BW207"/>
      <c r="BX207"/>
      <c r="BY207"/>
      <c r="BZ207"/>
      <c r="CA207"/>
      <c r="CB207"/>
      <c r="CC207"/>
      <c r="CD207"/>
      <c r="CE207"/>
      <c r="CF207"/>
      <c r="CG207"/>
      <c r="CH207"/>
      <c r="CI207"/>
      <c r="CJ207"/>
      <c r="CK207"/>
      <c r="CL207"/>
      <c r="CM207"/>
      <c r="CN207"/>
      <c r="CO207"/>
      <c r="CP207"/>
      <c r="CQ207"/>
      <c r="CR207"/>
      <c r="CS207"/>
      <c r="CT207"/>
      <c r="CU207"/>
      <c r="CV207"/>
      <c r="CW207"/>
      <c r="CX207" t="s">
        <v>2454</v>
      </c>
      <c r="CY207">
        <v>220</v>
      </c>
      <c r="CZ207" t="s">
        <v>2453</v>
      </c>
    </row>
    <row r="208" spans="1:104" ht="14.25">
      <c r="A208" t="s">
        <v>3891</v>
      </c>
      <c r="B208" t="s">
        <v>3891</v>
      </c>
      <c r="C208" t="s">
        <v>3890</v>
      </c>
      <c r="D208">
        <v>3</v>
      </c>
      <c r="E208" t="s">
        <v>2468</v>
      </c>
      <c r="F208" t="s">
        <v>2489</v>
      </c>
      <c r="G208" t="s">
        <v>2587</v>
      </c>
      <c r="H208"/>
      <c r="I208"/>
      <c r="J208" t="s">
        <v>2487</v>
      </c>
      <c r="K208"/>
      <c r="L208"/>
      <c r="M208">
        <v>14</v>
      </c>
      <c r="N208">
        <v>76</v>
      </c>
      <c r="O208">
        <v>9</v>
      </c>
      <c r="P208">
        <v>10</v>
      </c>
      <c r="Q208">
        <v>27</v>
      </c>
      <c r="R208" t="s">
        <v>2464</v>
      </c>
      <c r="S208" t="s">
        <v>3880</v>
      </c>
      <c r="T208" t="s">
        <v>3754</v>
      </c>
      <c r="U208" t="s">
        <v>2462</v>
      </c>
      <c r="V208">
        <v>40</v>
      </c>
      <c r="W208"/>
      <c r="X208"/>
      <c r="Y208"/>
      <c r="Z208"/>
      <c r="AA208">
        <v>18</v>
      </c>
      <c r="AB208">
        <v>11</v>
      </c>
      <c r="AC208">
        <v>16</v>
      </c>
      <c r="AD208">
        <v>6</v>
      </c>
      <c r="AE208">
        <v>16</v>
      </c>
      <c r="AF208">
        <v>9</v>
      </c>
      <c r="AG208">
        <v>223</v>
      </c>
      <c r="AH208"/>
      <c r="AI208"/>
      <c r="AJ208"/>
      <c r="AK208"/>
      <c r="AL208"/>
      <c r="AM208"/>
      <c r="AN208">
        <v>36</v>
      </c>
      <c r="AO208">
        <v>336</v>
      </c>
      <c r="AP208"/>
      <c r="AQ208"/>
      <c r="AR208"/>
      <c r="AS208" t="s">
        <v>3889</v>
      </c>
      <c r="AT208"/>
      <c r="AU208"/>
      <c r="AV208"/>
      <c r="AW208"/>
      <c r="AX208"/>
      <c r="AY208" t="s">
        <v>2971</v>
      </c>
      <c r="AZ208" t="s">
        <v>3888</v>
      </c>
      <c r="BA208" t="s">
        <v>2969</v>
      </c>
      <c r="BB208" t="s">
        <v>3886</v>
      </c>
      <c r="BC208" t="s">
        <v>3887</v>
      </c>
      <c r="BD208" t="s">
        <v>3886</v>
      </c>
      <c r="BE208" t="s">
        <v>3884</v>
      </c>
      <c r="BF208" t="s">
        <v>3885</v>
      </c>
      <c r="BG208" t="s">
        <v>3884</v>
      </c>
      <c r="BH208"/>
      <c r="BI208"/>
      <c r="BJ208"/>
      <c r="BK208"/>
      <c r="BL208"/>
      <c r="BM208"/>
      <c r="BN208"/>
      <c r="BO208"/>
      <c r="BP208" t="s">
        <v>3722</v>
      </c>
      <c r="BQ208" t="s">
        <v>3877</v>
      </c>
      <c r="BR208" t="s">
        <v>3876</v>
      </c>
      <c r="BS208" t="s">
        <v>3013</v>
      </c>
      <c r="BT208" t="s">
        <v>3875</v>
      </c>
      <c r="BU208" t="s">
        <v>3874</v>
      </c>
      <c r="BV208"/>
      <c r="BW208"/>
      <c r="BX208"/>
      <c r="BY208"/>
      <c r="BZ208"/>
      <c r="CA208"/>
      <c r="CB208"/>
      <c r="CC208"/>
      <c r="CD208"/>
      <c r="CE208"/>
      <c r="CF208"/>
      <c r="CG208"/>
      <c r="CH208"/>
      <c r="CI208"/>
      <c r="CJ208"/>
      <c r="CK208"/>
      <c r="CL208"/>
      <c r="CM208"/>
      <c r="CN208"/>
      <c r="CO208"/>
      <c r="CP208"/>
      <c r="CQ208"/>
      <c r="CR208"/>
      <c r="CS208"/>
      <c r="CT208"/>
      <c r="CU208"/>
      <c r="CV208"/>
      <c r="CW208"/>
      <c r="CX208" t="s">
        <v>2454</v>
      </c>
      <c r="CY208">
        <v>223</v>
      </c>
      <c r="CZ208" t="s">
        <v>2453</v>
      </c>
    </row>
    <row r="209" spans="1:104" ht="14.25">
      <c r="A209" t="s">
        <v>3883</v>
      </c>
      <c r="B209" t="s">
        <v>3882</v>
      </c>
      <c r="C209" t="s">
        <v>3881</v>
      </c>
      <c r="D209">
        <v>2</v>
      </c>
      <c r="E209" t="s">
        <v>2468</v>
      </c>
      <c r="F209" t="s">
        <v>2489</v>
      </c>
      <c r="G209" t="s">
        <v>2466</v>
      </c>
      <c r="H209"/>
      <c r="I209"/>
      <c r="J209" t="s">
        <v>2522</v>
      </c>
      <c r="K209"/>
      <c r="L209"/>
      <c r="M209">
        <v>12</v>
      </c>
      <c r="N209">
        <v>67</v>
      </c>
      <c r="O209">
        <v>9</v>
      </c>
      <c r="P209">
        <v>10</v>
      </c>
      <c r="Q209">
        <v>18</v>
      </c>
      <c r="R209" t="s">
        <v>2464</v>
      </c>
      <c r="S209" t="s">
        <v>3880</v>
      </c>
      <c r="T209" t="s">
        <v>3754</v>
      </c>
      <c r="U209" t="s">
        <v>2462</v>
      </c>
      <c r="V209">
        <v>40</v>
      </c>
      <c r="W209"/>
      <c r="X209"/>
      <c r="Y209"/>
      <c r="Z209"/>
      <c r="AA209">
        <v>18</v>
      </c>
      <c r="AB209">
        <v>11</v>
      </c>
      <c r="AC209">
        <v>15</v>
      </c>
      <c r="AD209">
        <v>6</v>
      </c>
      <c r="AE209">
        <v>8</v>
      </c>
      <c r="AF209">
        <v>5</v>
      </c>
      <c r="AG209">
        <v>273</v>
      </c>
      <c r="AH209"/>
      <c r="AI209"/>
      <c r="AJ209"/>
      <c r="AK209"/>
      <c r="AL209"/>
      <c r="AM209"/>
      <c r="AN209"/>
      <c r="AO209">
        <v>349</v>
      </c>
      <c r="AP209"/>
      <c r="AQ209"/>
      <c r="AR209"/>
      <c r="AS209" t="s">
        <v>3879</v>
      </c>
      <c r="AT209"/>
      <c r="AU209"/>
      <c r="AV209"/>
      <c r="AW209"/>
      <c r="AX209"/>
      <c r="AY209" t="s">
        <v>2971</v>
      </c>
      <c r="AZ209" t="s">
        <v>3878</v>
      </c>
      <c r="BA209" t="s">
        <v>2969</v>
      </c>
      <c r="BB209"/>
      <c r="BC209"/>
      <c r="BD209"/>
      <c r="BE209"/>
      <c r="BF209"/>
      <c r="BG209"/>
      <c r="BH209"/>
      <c r="BI209"/>
      <c r="BJ209"/>
      <c r="BK209"/>
      <c r="BL209"/>
      <c r="BM209"/>
      <c r="BN209"/>
      <c r="BO209"/>
      <c r="BP209" t="s">
        <v>3722</v>
      </c>
      <c r="BQ209" t="s">
        <v>3877</v>
      </c>
      <c r="BR209" t="s">
        <v>3876</v>
      </c>
      <c r="BS209" t="s">
        <v>3013</v>
      </c>
      <c r="BT209" t="s">
        <v>3875</v>
      </c>
      <c r="BU209" t="s">
        <v>3874</v>
      </c>
      <c r="BV209"/>
      <c r="BW209"/>
      <c r="BX209"/>
      <c r="BY209"/>
      <c r="BZ209"/>
      <c r="CA209"/>
      <c r="CB209"/>
      <c r="CC209"/>
      <c r="CD209"/>
      <c r="CE209"/>
      <c r="CF209"/>
      <c r="CG209"/>
      <c r="CH209"/>
      <c r="CI209"/>
      <c r="CJ209"/>
      <c r="CK209"/>
      <c r="CL209"/>
      <c r="CM209"/>
      <c r="CN209"/>
      <c r="CO209"/>
      <c r="CP209"/>
      <c r="CQ209"/>
      <c r="CR209"/>
      <c r="CS209"/>
      <c r="CT209"/>
      <c r="CU209"/>
      <c r="CV209"/>
      <c r="CW209"/>
      <c r="CX209" t="s">
        <v>2454</v>
      </c>
      <c r="CY209">
        <v>273</v>
      </c>
      <c r="CZ209" t="s">
        <v>2453</v>
      </c>
    </row>
    <row r="210" spans="1:104" ht="14.25">
      <c r="A210" t="s">
        <v>3873</v>
      </c>
      <c r="B210" t="s">
        <v>3872</v>
      </c>
      <c r="C210" t="s">
        <v>3871</v>
      </c>
      <c r="D210">
        <v>0.25</v>
      </c>
      <c r="E210" t="s">
        <v>2468</v>
      </c>
      <c r="F210" t="s">
        <v>2644</v>
      </c>
      <c r="G210" t="s">
        <v>2626</v>
      </c>
      <c r="H210" t="s">
        <v>3207</v>
      </c>
      <c r="I210"/>
      <c r="J210" t="s">
        <v>2465</v>
      </c>
      <c r="K210"/>
      <c r="L210"/>
      <c r="M210">
        <v>11</v>
      </c>
      <c r="N210">
        <v>27</v>
      </c>
      <c r="O210">
        <v>6</v>
      </c>
      <c r="P210">
        <v>6</v>
      </c>
      <c r="Q210">
        <v>6</v>
      </c>
      <c r="R210" t="s">
        <v>2464</v>
      </c>
      <c r="S210" t="s">
        <v>2463</v>
      </c>
      <c r="T210" t="s">
        <v>2462</v>
      </c>
      <c r="U210" t="s">
        <v>2462</v>
      </c>
      <c r="V210">
        <v>20</v>
      </c>
      <c r="W210"/>
      <c r="X210"/>
      <c r="Y210">
        <v>20</v>
      </c>
      <c r="Z210">
        <v>20</v>
      </c>
      <c r="AA210">
        <v>8</v>
      </c>
      <c r="AB210">
        <v>12</v>
      </c>
      <c r="AC210">
        <v>12</v>
      </c>
      <c r="AD210">
        <v>9</v>
      </c>
      <c r="AE210">
        <v>11</v>
      </c>
      <c r="AF210">
        <v>7</v>
      </c>
      <c r="AG210">
        <v>216</v>
      </c>
      <c r="AH210"/>
      <c r="AI210"/>
      <c r="AJ210"/>
      <c r="AK210"/>
      <c r="AL210"/>
      <c r="AM210"/>
      <c r="AN210"/>
      <c r="AO210"/>
      <c r="AP210"/>
      <c r="AQ210"/>
      <c r="AR210"/>
      <c r="AS210"/>
      <c r="AT210">
        <v>26</v>
      </c>
      <c r="AU210"/>
      <c r="AV210" t="s">
        <v>3870</v>
      </c>
      <c r="AW210"/>
      <c r="AX210"/>
      <c r="AY210" t="s">
        <v>3204</v>
      </c>
      <c r="AZ210" t="s">
        <v>3869</v>
      </c>
      <c r="BA210" t="s">
        <v>3204</v>
      </c>
      <c r="BB210" t="s">
        <v>2886</v>
      </c>
      <c r="BC210" t="s">
        <v>3868</v>
      </c>
      <c r="BD210" t="s">
        <v>2886</v>
      </c>
      <c r="BE210"/>
      <c r="BF210"/>
      <c r="BG210"/>
      <c r="BH210"/>
      <c r="BI210"/>
      <c r="BJ210"/>
      <c r="BK210"/>
      <c r="BL210"/>
      <c r="BM210"/>
      <c r="BN210"/>
      <c r="BO210"/>
      <c r="BP210" t="s">
        <v>3867</v>
      </c>
      <c r="BQ210" t="s">
        <v>3866</v>
      </c>
      <c r="BR210" t="s">
        <v>3865</v>
      </c>
      <c r="BS210" t="s">
        <v>3863</v>
      </c>
      <c r="BT210" t="s">
        <v>3864</v>
      </c>
      <c r="BU210" t="s">
        <v>3863</v>
      </c>
      <c r="BV210" t="s">
        <v>3194</v>
      </c>
      <c r="BW210" t="s">
        <v>3195</v>
      </c>
      <c r="BX210" t="s">
        <v>3194</v>
      </c>
      <c r="BY210"/>
      <c r="BZ210"/>
      <c r="CA210"/>
      <c r="CB210"/>
      <c r="CC210"/>
      <c r="CD210"/>
      <c r="CE210"/>
      <c r="CF210"/>
      <c r="CG210"/>
      <c r="CH210"/>
      <c r="CI210"/>
      <c r="CJ210"/>
      <c r="CK210"/>
      <c r="CL210"/>
      <c r="CM210"/>
      <c r="CN210"/>
      <c r="CO210"/>
      <c r="CP210"/>
      <c r="CQ210"/>
      <c r="CR210"/>
      <c r="CS210"/>
      <c r="CT210"/>
      <c r="CU210"/>
      <c r="CV210"/>
      <c r="CW210"/>
      <c r="CX210" t="s">
        <v>2454</v>
      </c>
      <c r="CY210">
        <v>216</v>
      </c>
      <c r="CZ210" t="s">
        <v>2453</v>
      </c>
    </row>
    <row r="211" spans="1:104" ht="14.25">
      <c r="A211" t="s">
        <v>3862</v>
      </c>
      <c r="B211" t="s">
        <v>3862</v>
      </c>
      <c r="C211" t="s">
        <v>3861</v>
      </c>
      <c r="D211">
        <v>0.125</v>
      </c>
      <c r="E211" t="s">
        <v>2680</v>
      </c>
      <c r="F211" t="s">
        <v>2467</v>
      </c>
      <c r="G211" t="s">
        <v>2690</v>
      </c>
      <c r="H211"/>
      <c r="I211"/>
      <c r="J211" t="s">
        <v>2013</v>
      </c>
      <c r="K211"/>
      <c r="L211"/>
      <c r="M211">
        <v>10</v>
      </c>
      <c r="N211">
        <v>11</v>
      </c>
      <c r="O211">
        <v>2</v>
      </c>
      <c r="P211">
        <v>8</v>
      </c>
      <c r="Q211">
        <v>2</v>
      </c>
      <c r="R211" t="s">
        <v>2464</v>
      </c>
      <c r="S211" t="s">
        <v>2793</v>
      </c>
      <c r="T211" t="s">
        <v>2462</v>
      </c>
      <c r="U211" t="s">
        <v>2462</v>
      </c>
      <c r="V211">
        <v>40</v>
      </c>
      <c r="W211"/>
      <c r="X211"/>
      <c r="Y211"/>
      <c r="Z211"/>
      <c r="AA211">
        <v>14</v>
      </c>
      <c r="AB211">
        <v>10</v>
      </c>
      <c r="AC211">
        <v>13</v>
      </c>
      <c r="AD211">
        <v>2</v>
      </c>
      <c r="AE211">
        <v>10</v>
      </c>
      <c r="AF211">
        <v>5</v>
      </c>
      <c r="AG211">
        <v>333</v>
      </c>
      <c r="AH211">
        <v>307</v>
      </c>
      <c r="AI211"/>
      <c r="AJ211"/>
      <c r="AK211"/>
      <c r="AL211"/>
      <c r="AM211"/>
      <c r="AN211">
        <v>37</v>
      </c>
      <c r="AO211">
        <v>379</v>
      </c>
      <c r="AP211"/>
      <c r="AQ211"/>
      <c r="AR211"/>
      <c r="AS211"/>
      <c r="AT211"/>
      <c r="AU211"/>
      <c r="AV211"/>
      <c r="AW211"/>
      <c r="AX211"/>
      <c r="AY211" t="s">
        <v>3859</v>
      </c>
      <c r="AZ211" t="s">
        <v>3860</v>
      </c>
      <c r="BA211" t="s">
        <v>3859</v>
      </c>
      <c r="BB211" t="s">
        <v>3857</v>
      </c>
      <c r="BC211" t="s">
        <v>3858</v>
      </c>
      <c r="BD211" t="s">
        <v>3857</v>
      </c>
      <c r="BE211"/>
      <c r="BF211"/>
      <c r="BG211"/>
      <c r="BH211"/>
      <c r="BI211"/>
      <c r="BJ211"/>
      <c r="BK211"/>
      <c r="BL211"/>
      <c r="BM211"/>
      <c r="BN211"/>
      <c r="BO211"/>
      <c r="BP211" t="s">
        <v>2844</v>
      </c>
      <c r="BQ211" t="s">
        <v>3856</v>
      </c>
      <c r="BR211" t="s">
        <v>3855</v>
      </c>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t="s">
        <v>2454</v>
      </c>
      <c r="CY211">
        <v>333</v>
      </c>
      <c r="CZ211" t="s">
        <v>2453</v>
      </c>
    </row>
    <row r="212" spans="1:104" ht="14.25">
      <c r="A212" t="s">
        <v>3854</v>
      </c>
      <c r="B212" t="s">
        <v>3854</v>
      </c>
      <c r="C212" t="s">
        <v>3853</v>
      </c>
      <c r="D212">
        <v>3</v>
      </c>
      <c r="E212" t="s">
        <v>2468</v>
      </c>
      <c r="F212" t="s">
        <v>2467</v>
      </c>
      <c r="G212" t="s">
        <v>2466</v>
      </c>
      <c r="H212"/>
      <c r="I212"/>
      <c r="J212" t="s">
        <v>2522</v>
      </c>
      <c r="K212"/>
      <c r="L212"/>
      <c r="M212">
        <v>11</v>
      </c>
      <c r="N212">
        <v>58</v>
      </c>
      <c r="O212">
        <v>9</v>
      </c>
      <c r="P212">
        <v>8</v>
      </c>
      <c r="Q212">
        <v>18</v>
      </c>
      <c r="R212" t="s">
        <v>2464</v>
      </c>
      <c r="S212" t="s">
        <v>3852</v>
      </c>
      <c r="T212" t="s">
        <v>2462</v>
      </c>
      <c r="U212" t="s">
        <v>2462</v>
      </c>
      <c r="V212">
        <v>20</v>
      </c>
      <c r="W212"/>
      <c r="X212"/>
      <c r="Y212"/>
      <c r="Z212"/>
      <c r="AA212">
        <v>16</v>
      </c>
      <c r="AB212">
        <v>8</v>
      </c>
      <c r="AC212">
        <v>15</v>
      </c>
      <c r="AD212">
        <v>6</v>
      </c>
      <c r="AE212">
        <v>10</v>
      </c>
      <c r="AF212">
        <v>12</v>
      </c>
      <c r="AG212">
        <v>228</v>
      </c>
      <c r="AH212"/>
      <c r="AI212"/>
      <c r="AJ212"/>
      <c r="AK212"/>
      <c r="AL212"/>
      <c r="AM212"/>
      <c r="AN212">
        <v>37</v>
      </c>
      <c r="AO212">
        <v>336</v>
      </c>
      <c r="AP212"/>
      <c r="AQ212">
        <v>19</v>
      </c>
      <c r="AR212"/>
      <c r="AS212"/>
      <c r="AT212"/>
      <c r="AU212"/>
      <c r="AV212"/>
      <c r="AW212"/>
      <c r="AX212"/>
      <c r="AY212"/>
      <c r="AZ212"/>
      <c r="BA212"/>
      <c r="BB212"/>
      <c r="BC212"/>
      <c r="BD212"/>
      <c r="BE212"/>
      <c r="BF212"/>
      <c r="BG212"/>
      <c r="BH212"/>
      <c r="BI212"/>
      <c r="BJ212"/>
      <c r="BK212"/>
      <c r="BL212"/>
      <c r="BM212"/>
      <c r="BN212"/>
      <c r="BO212"/>
      <c r="BP212" t="s">
        <v>2480</v>
      </c>
      <c r="BQ212" t="s">
        <v>3841</v>
      </c>
      <c r="BR212" t="s">
        <v>2480</v>
      </c>
      <c r="BS212" t="s">
        <v>3840</v>
      </c>
      <c r="BT212" t="s">
        <v>3851</v>
      </c>
      <c r="BU212" t="s">
        <v>3850</v>
      </c>
      <c r="BV212" t="s">
        <v>3836</v>
      </c>
      <c r="BW212" t="s">
        <v>3849</v>
      </c>
      <c r="BX212" t="s">
        <v>3836</v>
      </c>
      <c r="BY212"/>
      <c r="BZ212"/>
      <c r="CA212"/>
      <c r="CB212"/>
      <c r="CC212"/>
      <c r="CD212"/>
      <c r="CE212"/>
      <c r="CF212"/>
      <c r="CG212"/>
      <c r="CH212"/>
      <c r="CI212"/>
      <c r="CJ212"/>
      <c r="CK212"/>
      <c r="CL212"/>
      <c r="CM212"/>
      <c r="CN212"/>
      <c r="CO212"/>
      <c r="CP212"/>
      <c r="CQ212"/>
      <c r="CR212"/>
      <c r="CS212"/>
      <c r="CT212"/>
      <c r="CU212"/>
      <c r="CV212"/>
      <c r="CW212"/>
      <c r="CX212" t="s">
        <v>2454</v>
      </c>
      <c r="CY212">
        <v>228</v>
      </c>
      <c r="CZ212" t="s">
        <v>2453</v>
      </c>
    </row>
    <row r="213" spans="1:104" ht="14.25">
      <c r="A213" t="s">
        <v>3848</v>
      </c>
      <c r="B213" t="s">
        <v>3847</v>
      </c>
      <c r="C213" t="s">
        <v>3846</v>
      </c>
      <c r="D213">
        <v>15</v>
      </c>
      <c r="E213" t="s">
        <v>2468</v>
      </c>
      <c r="F213" t="s">
        <v>2467</v>
      </c>
      <c r="G213" t="s">
        <v>2466</v>
      </c>
      <c r="H213"/>
      <c r="I213"/>
      <c r="J213" t="s">
        <v>2522</v>
      </c>
      <c r="K213">
        <v>10</v>
      </c>
      <c r="L213" t="s">
        <v>2005</v>
      </c>
      <c r="M213">
        <v>17</v>
      </c>
      <c r="N213">
        <v>97</v>
      </c>
      <c r="O213">
        <v>13</v>
      </c>
      <c r="P213">
        <v>8</v>
      </c>
      <c r="Q213">
        <v>39</v>
      </c>
      <c r="R213" t="s">
        <v>2972</v>
      </c>
      <c r="S213" t="s">
        <v>3845</v>
      </c>
      <c r="T213" t="s">
        <v>2462</v>
      </c>
      <c r="U213" t="s">
        <v>2462</v>
      </c>
      <c r="V213">
        <v>20</v>
      </c>
      <c r="W213"/>
      <c r="X213"/>
      <c r="Y213"/>
      <c r="Z213"/>
      <c r="AA213">
        <v>18</v>
      </c>
      <c r="AB213">
        <v>10</v>
      </c>
      <c r="AC213">
        <v>17</v>
      </c>
      <c r="AD213">
        <v>11</v>
      </c>
      <c r="AE213">
        <v>18</v>
      </c>
      <c r="AF213">
        <v>16</v>
      </c>
      <c r="AG213">
        <v>229</v>
      </c>
      <c r="AH213"/>
      <c r="AI213"/>
      <c r="AJ213"/>
      <c r="AK213"/>
      <c r="AL213"/>
      <c r="AM213"/>
      <c r="AN213"/>
      <c r="AO213">
        <v>337</v>
      </c>
      <c r="AP213"/>
      <c r="AQ213">
        <v>19</v>
      </c>
      <c r="AR213"/>
      <c r="AS213"/>
      <c r="AT213"/>
      <c r="AU213"/>
      <c r="AV213"/>
      <c r="AW213"/>
      <c r="AX213"/>
      <c r="AY213" t="s">
        <v>2873</v>
      </c>
      <c r="AZ213" t="s">
        <v>3844</v>
      </c>
      <c r="BA213" t="s">
        <v>2873</v>
      </c>
      <c r="BB213" t="s">
        <v>3237</v>
      </c>
      <c r="BC213" t="s">
        <v>3843</v>
      </c>
      <c r="BD213" t="s">
        <v>3237</v>
      </c>
      <c r="BE213" t="s">
        <v>3235</v>
      </c>
      <c r="BF213" t="s">
        <v>3842</v>
      </c>
      <c r="BG213" t="s">
        <v>3235</v>
      </c>
      <c r="BH213"/>
      <c r="BI213"/>
      <c r="BJ213"/>
      <c r="BK213"/>
      <c r="BL213"/>
      <c r="BM213"/>
      <c r="BN213"/>
      <c r="BO213"/>
      <c r="BP213" t="s">
        <v>2480</v>
      </c>
      <c r="BQ213" t="s">
        <v>3841</v>
      </c>
      <c r="BR213" t="s">
        <v>2480</v>
      </c>
      <c r="BS213" t="s">
        <v>3840</v>
      </c>
      <c r="BT213" t="s">
        <v>3839</v>
      </c>
      <c r="BU213" t="s">
        <v>3838</v>
      </c>
      <c r="BV213" t="s">
        <v>3836</v>
      </c>
      <c r="BW213" t="s">
        <v>3837</v>
      </c>
      <c r="BX213" t="s">
        <v>3836</v>
      </c>
      <c r="BY213"/>
      <c r="BZ213"/>
      <c r="CA213"/>
      <c r="CB213"/>
      <c r="CC213"/>
      <c r="CD213"/>
      <c r="CE213"/>
      <c r="CF213"/>
      <c r="CG213"/>
      <c r="CH213"/>
      <c r="CI213"/>
      <c r="CJ213"/>
      <c r="CK213" t="s">
        <v>3054</v>
      </c>
      <c r="CL213" t="s">
        <v>3835</v>
      </c>
      <c r="CM213" t="s">
        <v>3834</v>
      </c>
      <c r="CN213" t="s">
        <v>3833</v>
      </c>
      <c r="CO213" t="s">
        <v>3832</v>
      </c>
      <c r="CP213" t="s">
        <v>3831</v>
      </c>
      <c r="CQ213" t="s">
        <v>3830</v>
      </c>
      <c r="CR213" t="s">
        <v>3829</v>
      </c>
      <c r="CS213"/>
      <c r="CT213" t="s">
        <v>3828</v>
      </c>
      <c r="CU213" t="s">
        <v>3827</v>
      </c>
      <c r="CV213"/>
      <c r="CW213"/>
      <c r="CX213" t="s">
        <v>2454</v>
      </c>
      <c r="CY213">
        <v>229</v>
      </c>
      <c r="CZ213" t="s">
        <v>2453</v>
      </c>
    </row>
    <row r="214" spans="1:104" ht="14.25">
      <c r="A214" t="s">
        <v>3826</v>
      </c>
      <c r="B214" t="s">
        <v>3826</v>
      </c>
      <c r="C214" t="s">
        <v>3825</v>
      </c>
      <c r="D214">
        <v>13</v>
      </c>
      <c r="E214" t="s">
        <v>2468</v>
      </c>
      <c r="F214" t="s">
        <v>2489</v>
      </c>
      <c r="G214" t="s">
        <v>2879</v>
      </c>
      <c r="H214" t="s">
        <v>2878</v>
      </c>
      <c r="I214"/>
      <c r="J214" t="s">
        <v>2487</v>
      </c>
      <c r="K214"/>
      <c r="L214"/>
      <c r="M214">
        <v>18</v>
      </c>
      <c r="N214">
        <v>184</v>
      </c>
      <c r="O214">
        <v>16</v>
      </c>
      <c r="P214">
        <v>10</v>
      </c>
      <c r="Q214">
        <v>96</v>
      </c>
      <c r="R214" t="s">
        <v>2464</v>
      </c>
      <c r="S214" t="s">
        <v>3824</v>
      </c>
      <c r="T214" t="s">
        <v>3823</v>
      </c>
      <c r="U214" t="s">
        <v>2462</v>
      </c>
      <c r="V214">
        <v>20</v>
      </c>
      <c r="W214"/>
      <c r="X214"/>
      <c r="Y214">
        <v>30</v>
      </c>
      <c r="Z214"/>
      <c r="AA214">
        <v>21</v>
      </c>
      <c r="AB214">
        <v>10</v>
      </c>
      <c r="AC214">
        <v>22</v>
      </c>
      <c r="AD214">
        <v>19</v>
      </c>
      <c r="AE214">
        <v>12</v>
      </c>
      <c r="AF214">
        <v>15</v>
      </c>
      <c r="AG214">
        <v>62</v>
      </c>
      <c r="AH214"/>
      <c r="AI214"/>
      <c r="AJ214"/>
      <c r="AK214"/>
      <c r="AL214"/>
      <c r="AM214"/>
      <c r="AN214"/>
      <c r="AO214">
        <v>275</v>
      </c>
      <c r="AP214"/>
      <c r="AQ214"/>
      <c r="AR214"/>
      <c r="AS214"/>
      <c r="AT214"/>
      <c r="AU214"/>
      <c r="AV214"/>
      <c r="AW214"/>
      <c r="AX214" t="s">
        <v>2875</v>
      </c>
      <c r="AY214" t="s">
        <v>2873</v>
      </c>
      <c r="AZ214" t="s">
        <v>3822</v>
      </c>
      <c r="BA214" t="s">
        <v>2873</v>
      </c>
      <c r="BB214"/>
      <c r="BC214"/>
      <c r="BD214"/>
      <c r="BE214"/>
      <c r="BF214"/>
      <c r="BG214"/>
      <c r="BH214"/>
      <c r="BI214"/>
      <c r="BJ214"/>
      <c r="BK214"/>
      <c r="BL214"/>
      <c r="BM214"/>
      <c r="BN214"/>
      <c r="BO214"/>
      <c r="BP214" t="s">
        <v>2480</v>
      </c>
      <c r="BQ214" t="s">
        <v>3821</v>
      </c>
      <c r="BR214" t="s">
        <v>2480</v>
      </c>
      <c r="BS214" t="s">
        <v>2479</v>
      </c>
      <c r="BT214" t="s">
        <v>3820</v>
      </c>
      <c r="BU214" t="s">
        <v>3819</v>
      </c>
      <c r="BV214" t="s">
        <v>2476</v>
      </c>
      <c r="BW214" t="s">
        <v>3818</v>
      </c>
      <c r="BX214" t="s">
        <v>3817</v>
      </c>
      <c r="BY214" t="s">
        <v>3815</v>
      </c>
      <c r="BZ214" t="s">
        <v>3816</v>
      </c>
      <c r="CA214" t="s">
        <v>3815</v>
      </c>
      <c r="CB214" t="s">
        <v>3267</v>
      </c>
      <c r="CC214" t="s">
        <v>3814</v>
      </c>
      <c r="CD214" t="s">
        <v>3267</v>
      </c>
      <c r="CE214" t="s">
        <v>2861</v>
      </c>
      <c r="CF214" t="s">
        <v>3813</v>
      </c>
      <c r="CG214" t="s">
        <v>2861</v>
      </c>
      <c r="CH214"/>
      <c r="CI214"/>
      <c r="CJ214"/>
      <c r="CK214"/>
      <c r="CL214"/>
      <c r="CM214"/>
      <c r="CN214"/>
      <c r="CO214"/>
      <c r="CP214"/>
      <c r="CQ214"/>
      <c r="CR214"/>
      <c r="CS214"/>
      <c r="CT214"/>
      <c r="CU214"/>
      <c r="CV214"/>
      <c r="CW214"/>
      <c r="CX214" t="s">
        <v>2454</v>
      </c>
      <c r="CY214">
        <v>62</v>
      </c>
      <c r="CZ214" t="s">
        <v>2453</v>
      </c>
    </row>
    <row r="215" spans="1:104" ht="14.25">
      <c r="A215" t="s">
        <v>3812</v>
      </c>
      <c r="B215" t="s">
        <v>3811</v>
      </c>
      <c r="C215" t="s">
        <v>3810</v>
      </c>
      <c r="D215">
        <v>5</v>
      </c>
      <c r="E215" t="s">
        <v>2468</v>
      </c>
      <c r="F215" t="s">
        <v>2467</v>
      </c>
      <c r="G215" t="s">
        <v>2879</v>
      </c>
      <c r="H215" t="s">
        <v>3375</v>
      </c>
      <c r="I215"/>
      <c r="J215" t="s">
        <v>2465</v>
      </c>
      <c r="K215"/>
      <c r="L215"/>
      <c r="M215">
        <v>17</v>
      </c>
      <c r="N215">
        <v>112</v>
      </c>
      <c r="O215">
        <v>15</v>
      </c>
      <c r="P215">
        <v>8</v>
      </c>
      <c r="Q215">
        <v>45</v>
      </c>
      <c r="R215" t="s">
        <v>2972</v>
      </c>
      <c r="S215" t="s">
        <v>2657</v>
      </c>
      <c r="T215" t="s">
        <v>2462</v>
      </c>
      <c r="U215" t="s">
        <v>2462</v>
      </c>
      <c r="V215">
        <v>30</v>
      </c>
      <c r="W215"/>
      <c r="X215"/>
      <c r="Y215"/>
      <c r="Z215"/>
      <c r="AA215">
        <v>18</v>
      </c>
      <c r="AB215">
        <v>15</v>
      </c>
      <c r="AC215">
        <v>16</v>
      </c>
      <c r="AD215">
        <v>16</v>
      </c>
      <c r="AE215">
        <v>14</v>
      </c>
      <c r="AF215">
        <v>16</v>
      </c>
      <c r="AG215">
        <v>178</v>
      </c>
      <c r="AH215"/>
      <c r="AI215"/>
      <c r="AJ215"/>
      <c r="AK215"/>
      <c r="AL215"/>
      <c r="AM215"/>
      <c r="AN215"/>
      <c r="AO215">
        <v>322</v>
      </c>
      <c r="AP215"/>
      <c r="AQ215"/>
      <c r="AR215"/>
      <c r="AS215"/>
      <c r="AT215"/>
      <c r="AU215"/>
      <c r="AV215"/>
      <c r="AW215"/>
      <c r="AX215"/>
      <c r="AY215" t="s">
        <v>2635</v>
      </c>
      <c r="AZ215" t="s">
        <v>3809</v>
      </c>
      <c r="BA215" t="s">
        <v>2635</v>
      </c>
      <c r="BB215" t="s">
        <v>2873</v>
      </c>
      <c r="BC215" t="s">
        <v>3808</v>
      </c>
      <c r="BD215" t="s">
        <v>2873</v>
      </c>
      <c r="BE215" t="s">
        <v>3806</v>
      </c>
      <c r="BF215" t="s">
        <v>3807</v>
      </c>
      <c r="BG215" t="s">
        <v>3806</v>
      </c>
      <c r="BH215" t="s">
        <v>3370</v>
      </c>
      <c r="BI215" t="s">
        <v>3371</v>
      </c>
      <c r="BJ215" t="s">
        <v>3369</v>
      </c>
      <c r="BK215" t="s">
        <v>3805</v>
      </c>
      <c r="BL215" t="s">
        <v>3367</v>
      </c>
      <c r="BM215" t="s">
        <v>3366</v>
      </c>
      <c r="BN215"/>
      <c r="BO215"/>
      <c r="BP215" t="s">
        <v>3804</v>
      </c>
      <c r="BQ215" t="s">
        <v>2651</v>
      </c>
      <c r="BR215" t="s">
        <v>2650</v>
      </c>
      <c r="BS215" t="s">
        <v>3729</v>
      </c>
      <c r="BT215" t="s">
        <v>3803</v>
      </c>
      <c r="BU215" t="s">
        <v>3729</v>
      </c>
      <c r="BV215" t="s">
        <v>3801</v>
      </c>
      <c r="BW215" t="s">
        <v>3802</v>
      </c>
      <c r="BX215" t="s">
        <v>3801</v>
      </c>
      <c r="BY215" t="s">
        <v>3799</v>
      </c>
      <c r="BZ215" t="s">
        <v>3800</v>
      </c>
      <c r="CA215" t="s">
        <v>3799</v>
      </c>
      <c r="CB215"/>
      <c r="CC215"/>
      <c r="CD215"/>
      <c r="CE215"/>
      <c r="CF215"/>
      <c r="CG215"/>
      <c r="CH215"/>
      <c r="CI215"/>
      <c r="CJ215"/>
      <c r="CK215"/>
      <c r="CL215"/>
      <c r="CM215"/>
      <c r="CN215"/>
      <c r="CO215"/>
      <c r="CP215"/>
      <c r="CQ215"/>
      <c r="CR215"/>
      <c r="CS215"/>
      <c r="CT215"/>
      <c r="CU215"/>
      <c r="CV215"/>
      <c r="CW215"/>
      <c r="CX215" t="s">
        <v>2454</v>
      </c>
      <c r="CY215">
        <v>178</v>
      </c>
      <c r="CZ215" t="s">
        <v>2453</v>
      </c>
    </row>
    <row r="216" spans="1:104" ht="14.25">
      <c r="A216" t="s">
        <v>3798</v>
      </c>
      <c r="B216" t="s">
        <v>3798</v>
      </c>
      <c r="C216" t="s">
        <v>3797</v>
      </c>
      <c r="D216">
        <v>3</v>
      </c>
      <c r="E216" t="s">
        <v>2468</v>
      </c>
      <c r="F216" t="s">
        <v>2489</v>
      </c>
      <c r="G216" t="s">
        <v>2879</v>
      </c>
      <c r="H216"/>
      <c r="I216"/>
      <c r="J216" t="s">
        <v>2465</v>
      </c>
      <c r="K216"/>
      <c r="L216"/>
      <c r="M216">
        <v>13</v>
      </c>
      <c r="N216">
        <v>68</v>
      </c>
      <c r="O216">
        <v>8</v>
      </c>
      <c r="P216">
        <v>10</v>
      </c>
      <c r="Q216">
        <v>24</v>
      </c>
      <c r="R216" t="s">
        <v>2464</v>
      </c>
      <c r="S216" t="s">
        <v>3754</v>
      </c>
      <c r="T216" t="s">
        <v>2462</v>
      </c>
      <c r="U216" t="s">
        <v>3796</v>
      </c>
      <c r="V216">
        <v>60</v>
      </c>
      <c r="W216"/>
      <c r="X216"/>
      <c r="Y216">
        <v>90</v>
      </c>
      <c r="Z216"/>
      <c r="AA216">
        <v>18</v>
      </c>
      <c r="AB216">
        <v>15</v>
      </c>
      <c r="AC216">
        <v>16</v>
      </c>
      <c r="AD216">
        <v>10</v>
      </c>
      <c r="AE216">
        <v>13</v>
      </c>
      <c r="AF216">
        <v>15</v>
      </c>
      <c r="AG216">
        <v>235</v>
      </c>
      <c r="AH216"/>
      <c r="AI216"/>
      <c r="AJ216"/>
      <c r="AK216"/>
      <c r="AL216"/>
      <c r="AM216"/>
      <c r="AN216"/>
      <c r="AO216">
        <v>339</v>
      </c>
      <c r="AP216"/>
      <c r="AQ216"/>
      <c r="AR216"/>
      <c r="AS216"/>
      <c r="AT216"/>
      <c r="AU216"/>
      <c r="AV216" t="s">
        <v>3795</v>
      </c>
      <c r="AW216"/>
      <c r="AX216"/>
      <c r="AY216" t="s">
        <v>3793</v>
      </c>
      <c r="AZ216" t="s">
        <v>3794</v>
      </c>
      <c r="BA216" t="s">
        <v>3793</v>
      </c>
      <c r="BB216" t="s">
        <v>3791</v>
      </c>
      <c r="BC216" t="s">
        <v>3792</v>
      </c>
      <c r="BD216" t="s">
        <v>3791</v>
      </c>
      <c r="BE216"/>
      <c r="BF216"/>
      <c r="BG216"/>
      <c r="BH216"/>
      <c r="BI216"/>
      <c r="BJ216"/>
      <c r="BK216"/>
      <c r="BL216"/>
      <c r="BM216"/>
      <c r="BN216"/>
      <c r="BO216"/>
      <c r="BP216" t="s">
        <v>2844</v>
      </c>
      <c r="BQ216" t="s">
        <v>3790</v>
      </c>
      <c r="BR216" t="s">
        <v>3789</v>
      </c>
      <c r="BS216" t="s">
        <v>3787</v>
      </c>
      <c r="BT216" t="s">
        <v>3788</v>
      </c>
      <c r="BU216" t="s">
        <v>3787</v>
      </c>
      <c r="BV216"/>
      <c r="BW216"/>
      <c r="BX216"/>
      <c r="BY216"/>
      <c r="BZ216"/>
      <c r="CA216"/>
      <c r="CB216"/>
      <c r="CC216"/>
      <c r="CD216"/>
      <c r="CE216"/>
      <c r="CF216"/>
      <c r="CG216"/>
      <c r="CH216"/>
      <c r="CI216"/>
      <c r="CJ216"/>
      <c r="CK216"/>
      <c r="CL216"/>
      <c r="CM216"/>
      <c r="CN216"/>
      <c r="CO216"/>
      <c r="CP216"/>
      <c r="CQ216"/>
      <c r="CR216"/>
      <c r="CS216"/>
      <c r="CT216"/>
      <c r="CU216"/>
      <c r="CV216"/>
      <c r="CW216"/>
      <c r="CX216" t="s">
        <v>2454</v>
      </c>
      <c r="CY216">
        <v>235</v>
      </c>
      <c r="CZ216" t="s">
        <v>2453</v>
      </c>
    </row>
    <row r="217" spans="1:104" ht="14.25">
      <c r="A217" t="s">
        <v>1025</v>
      </c>
      <c r="B217" t="s">
        <v>1025</v>
      </c>
      <c r="C217" t="s">
        <v>3786</v>
      </c>
      <c r="D217">
        <v>0.125</v>
      </c>
      <c r="E217" t="s">
        <v>2609</v>
      </c>
      <c r="F217" t="s">
        <v>2467</v>
      </c>
      <c r="G217" t="s">
        <v>2608</v>
      </c>
      <c r="H217" t="s">
        <v>2607</v>
      </c>
      <c r="I217"/>
      <c r="J217" t="s">
        <v>2607</v>
      </c>
      <c r="K217"/>
      <c r="L217"/>
      <c r="M217">
        <v>15</v>
      </c>
      <c r="N217">
        <v>9</v>
      </c>
      <c r="O217">
        <v>2</v>
      </c>
      <c r="P217">
        <v>8</v>
      </c>
      <c r="Q217"/>
      <c r="R217" t="s">
        <v>2464</v>
      </c>
      <c r="S217" t="s">
        <v>3023</v>
      </c>
      <c r="T217" t="s">
        <v>2462</v>
      </c>
      <c r="U217" t="s">
        <v>2462</v>
      </c>
      <c r="V217">
        <v>30</v>
      </c>
      <c r="W217"/>
      <c r="X217"/>
      <c r="Y217"/>
      <c r="Z217"/>
      <c r="AA217">
        <v>11</v>
      </c>
      <c r="AB217">
        <v>12</v>
      </c>
      <c r="AC217">
        <v>11</v>
      </c>
      <c r="AD217">
        <v>12</v>
      </c>
      <c r="AE217">
        <v>14</v>
      </c>
      <c r="AF217">
        <v>16</v>
      </c>
      <c r="AG217">
        <v>348</v>
      </c>
      <c r="AH217"/>
      <c r="AI217"/>
      <c r="AJ217"/>
      <c r="AK217"/>
      <c r="AL217"/>
      <c r="AM217"/>
      <c r="AN217"/>
      <c r="AO217">
        <v>396</v>
      </c>
      <c r="AP217">
        <v>13</v>
      </c>
      <c r="AQ217">
        <v>20</v>
      </c>
      <c r="AR217"/>
      <c r="AS217"/>
      <c r="AT217">
        <v>26</v>
      </c>
      <c r="AU217"/>
      <c r="AV217" t="s">
        <v>3785</v>
      </c>
      <c r="AW217"/>
      <c r="AX217"/>
      <c r="AY217"/>
      <c r="AZ217"/>
      <c r="BA217"/>
      <c r="BB217"/>
      <c r="BC217"/>
      <c r="BD217"/>
      <c r="BE217"/>
      <c r="BF217"/>
      <c r="BG217"/>
      <c r="BH217"/>
      <c r="BI217"/>
      <c r="BJ217"/>
      <c r="BK217"/>
      <c r="BL217"/>
      <c r="BM217"/>
      <c r="BN217"/>
      <c r="BO217"/>
      <c r="BP217" t="s">
        <v>3784</v>
      </c>
      <c r="BQ217" t="s">
        <v>3445</v>
      </c>
      <c r="BR217" t="s">
        <v>3783</v>
      </c>
      <c r="BS217"/>
      <c r="BT217"/>
      <c r="BU217"/>
      <c r="BV217"/>
      <c r="BW217"/>
      <c r="BX217"/>
      <c r="BY217"/>
      <c r="BZ217"/>
      <c r="CA217"/>
      <c r="CB217"/>
      <c r="CC217"/>
      <c r="CD217"/>
      <c r="CE217"/>
      <c r="CF217"/>
      <c r="CG217"/>
      <c r="CH217"/>
      <c r="CI217"/>
      <c r="CJ217"/>
      <c r="CK217"/>
      <c r="CL217"/>
      <c r="CM217"/>
      <c r="CN217"/>
      <c r="CO217"/>
      <c r="CP217"/>
      <c r="CQ217"/>
      <c r="CR217"/>
      <c r="CS217"/>
      <c r="CT217"/>
      <c r="CU217"/>
      <c r="CV217" t="s">
        <v>3782</v>
      </c>
      <c r="CW217" t="s">
        <v>3781</v>
      </c>
      <c r="CX217" t="s">
        <v>2454</v>
      </c>
      <c r="CY217">
        <v>348</v>
      </c>
      <c r="CZ217" t="s">
        <v>2453</v>
      </c>
    </row>
    <row r="218" spans="1:104" ht="14.25">
      <c r="A218" t="s">
        <v>3780</v>
      </c>
      <c r="B218" t="s">
        <v>3779</v>
      </c>
      <c r="C218" t="s">
        <v>3778</v>
      </c>
      <c r="D218">
        <v>2</v>
      </c>
      <c r="E218" t="s">
        <v>2468</v>
      </c>
      <c r="F218" t="s">
        <v>2489</v>
      </c>
      <c r="G218" t="s">
        <v>3777</v>
      </c>
      <c r="H218"/>
      <c r="I218"/>
      <c r="J218" t="s">
        <v>2013</v>
      </c>
      <c r="K218"/>
      <c r="L218"/>
      <c r="M218">
        <v>8</v>
      </c>
      <c r="N218">
        <v>45</v>
      </c>
      <c r="O218">
        <v>6</v>
      </c>
      <c r="P218">
        <v>10</v>
      </c>
      <c r="Q218">
        <v>12</v>
      </c>
      <c r="R218" t="s">
        <v>2464</v>
      </c>
      <c r="S218" t="s">
        <v>3776</v>
      </c>
      <c r="T218" t="s">
        <v>2462</v>
      </c>
      <c r="U218" t="s">
        <v>2462</v>
      </c>
      <c r="V218">
        <v>10</v>
      </c>
      <c r="W218"/>
      <c r="X218">
        <v>10</v>
      </c>
      <c r="Y218"/>
      <c r="Z218"/>
      <c r="AA218">
        <v>15</v>
      </c>
      <c r="AB218">
        <v>6</v>
      </c>
      <c r="AC218">
        <v>14</v>
      </c>
      <c r="AD218">
        <v>2</v>
      </c>
      <c r="AE218">
        <v>6</v>
      </c>
      <c r="AF218">
        <v>1</v>
      </c>
      <c r="AG218">
        <v>243</v>
      </c>
      <c r="AH218"/>
      <c r="AI218"/>
      <c r="AJ218">
        <v>60</v>
      </c>
      <c r="AK218"/>
      <c r="AL218"/>
      <c r="AM218"/>
      <c r="AN218">
        <v>38</v>
      </c>
      <c r="AO218">
        <v>341</v>
      </c>
      <c r="AP218"/>
      <c r="AQ218"/>
      <c r="AR218"/>
      <c r="AS218" t="s">
        <v>3775</v>
      </c>
      <c r="AT218"/>
      <c r="AU218"/>
      <c r="AV218"/>
      <c r="AW218"/>
      <c r="AX218" t="s">
        <v>2715</v>
      </c>
      <c r="AY218" t="s">
        <v>3349</v>
      </c>
      <c r="AZ218" t="s">
        <v>3774</v>
      </c>
      <c r="BA218" t="s">
        <v>3349</v>
      </c>
      <c r="BB218" t="s">
        <v>2915</v>
      </c>
      <c r="BC218" t="s">
        <v>3773</v>
      </c>
      <c r="BD218" t="s">
        <v>2915</v>
      </c>
      <c r="BE218"/>
      <c r="BF218"/>
      <c r="BG218"/>
      <c r="BH218"/>
      <c r="BI218"/>
      <c r="BJ218"/>
      <c r="BK218"/>
      <c r="BL218"/>
      <c r="BM218"/>
      <c r="BN218"/>
      <c r="BO218"/>
      <c r="BP218" t="s">
        <v>3772</v>
      </c>
      <c r="BQ218" t="s">
        <v>3771</v>
      </c>
      <c r="BR218" t="s">
        <v>3770</v>
      </c>
      <c r="BS218"/>
      <c r="BT218"/>
      <c r="BU218"/>
      <c r="BV218"/>
      <c r="BW218"/>
      <c r="BX218"/>
      <c r="BY218"/>
      <c r="BZ218"/>
      <c r="CA218"/>
      <c r="CB218"/>
      <c r="CC218"/>
      <c r="CD218"/>
      <c r="CE218"/>
      <c r="CF218"/>
      <c r="CG218"/>
      <c r="CH218"/>
      <c r="CI218"/>
      <c r="CJ218"/>
      <c r="CK218"/>
      <c r="CL218"/>
      <c r="CM218"/>
      <c r="CN218"/>
      <c r="CO218"/>
      <c r="CP218"/>
      <c r="CQ218"/>
      <c r="CR218"/>
      <c r="CS218"/>
      <c r="CT218"/>
      <c r="CU218"/>
      <c r="CV218" t="s">
        <v>3769</v>
      </c>
      <c r="CW218" t="s">
        <v>3768</v>
      </c>
      <c r="CX218" t="s">
        <v>2454</v>
      </c>
      <c r="CY218">
        <v>243</v>
      </c>
      <c r="CZ218" t="s">
        <v>2453</v>
      </c>
    </row>
    <row r="219" spans="1:104" ht="14.25">
      <c r="A219" t="s">
        <v>3767</v>
      </c>
      <c r="B219" t="s">
        <v>3767</v>
      </c>
      <c r="C219" t="s">
        <v>3766</v>
      </c>
      <c r="D219">
        <v>0</v>
      </c>
      <c r="E219" t="s">
        <v>2680</v>
      </c>
      <c r="F219" t="s">
        <v>2644</v>
      </c>
      <c r="G219" t="s">
        <v>2690</v>
      </c>
      <c r="H219"/>
      <c r="I219"/>
      <c r="J219" t="s">
        <v>2013</v>
      </c>
      <c r="K219"/>
      <c r="L219"/>
      <c r="M219">
        <v>12</v>
      </c>
      <c r="N219">
        <v>3</v>
      </c>
      <c r="O219">
        <v>1</v>
      </c>
      <c r="P219">
        <v>6</v>
      </c>
      <c r="Q219"/>
      <c r="R219" t="s">
        <v>2464</v>
      </c>
      <c r="S219" t="s">
        <v>2826</v>
      </c>
      <c r="T219" t="s">
        <v>2462</v>
      </c>
      <c r="U219" t="s">
        <v>2462</v>
      </c>
      <c r="V219">
        <v>5</v>
      </c>
      <c r="W219"/>
      <c r="X219"/>
      <c r="Y219"/>
      <c r="Z219">
        <v>30</v>
      </c>
      <c r="AA219">
        <v>4</v>
      </c>
      <c r="AB219">
        <v>15</v>
      </c>
      <c r="AC219">
        <v>11</v>
      </c>
      <c r="AD219">
        <v>3</v>
      </c>
      <c r="AE219">
        <v>10</v>
      </c>
      <c r="AF219">
        <v>4</v>
      </c>
      <c r="AG219">
        <v>333</v>
      </c>
      <c r="AH219"/>
      <c r="AI219"/>
      <c r="AJ219"/>
      <c r="AK219"/>
      <c r="AL219"/>
      <c r="AM219"/>
      <c r="AN219">
        <v>38</v>
      </c>
      <c r="AO219">
        <v>379</v>
      </c>
      <c r="AP219"/>
      <c r="AQ219"/>
      <c r="AR219"/>
      <c r="AS219"/>
      <c r="AT219"/>
      <c r="AU219"/>
      <c r="AV219"/>
      <c r="AW219"/>
      <c r="AX219"/>
      <c r="AY219" t="s">
        <v>3634</v>
      </c>
      <c r="AZ219" t="s">
        <v>3765</v>
      </c>
      <c r="BA219" t="s">
        <v>3634</v>
      </c>
      <c r="BB219" t="s">
        <v>3763</v>
      </c>
      <c r="BC219" t="s">
        <v>3764</v>
      </c>
      <c r="BD219" t="s">
        <v>3763</v>
      </c>
      <c r="BE219" t="s">
        <v>3102</v>
      </c>
      <c r="BF219" t="s">
        <v>3762</v>
      </c>
      <c r="BG219" t="s">
        <v>3102</v>
      </c>
      <c r="BH219"/>
      <c r="BI219"/>
      <c r="BJ219"/>
      <c r="BK219"/>
      <c r="BL219"/>
      <c r="BM219"/>
      <c r="BN219"/>
      <c r="BO219"/>
      <c r="BP219" t="s">
        <v>3761</v>
      </c>
      <c r="BQ219" t="s">
        <v>3760</v>
      </c>
      <c r="BR219" t="s">
        <v>3759</v>
      </c>
      <c r="BS219" t="s">
        <v>3757</v>
      </c>
      <c r="BT219" t="s">
        <v>3758</v>
      </c>
      <c r="BU219" t="s">
        <v>3757</v>
      </c>
      <c r="BV219"/>
      <c r="BW219"/>
      <c r="BX219"/>
      <c r="BY219"/>
      <c r="BZ219"/>
      <c r="CA219"/>
      <c r="CB219"/>
      <c r="CC219"/>
      <c r="CD219"/>
      <c r="CE219"/>
      <c r="CF219"/>
      <c r="CG219"/>
      <c r="CH219"/>
      <c r="CI219"/>
      <c r="CJ219"/>
      <c r="CK219"/>
      <c r="CL219"/>
      <c r="CM219"/>
      <c r="CN219"/>
      <c r="CO219"/>
      <c r="CP219"/>
      <c r="CQ219"/>
      <c r="CR219"/>
      <c r="CS219"/>
      <c r="CT219"/>
      <c r="CU219"/>
      <c r="CV219"/>
      <c r="CW219"/>
      <c r="CX219" t="s">
        <v>2454</v>
      </c>
      <c r="CY219">
        <v>333</v>
      </c>
      <c r="CZ219" t="s">
        <v>2453</v>
      </c>
    </row>
    <row r="220" spans="1:104" ht="14.25">
      <c r="A220" t="s">
        <v>3756</v>
      </c>
      <c r="B220" t="s">
        <v>3756</v>
      </c>
      <c r="C220" t="s">
        <v>3755</v>
      </c>
      <c r="D220">
        <v>2</v>
      </c>
      <c r="E220" t="s">
        <v>2468</v>
      </c>
      <c r="F220" t="s">
        <v>2489</v>
      </c>
      <c r="G220" t="s">
        <v>3005</v>
      </c>
      <c r="H220"/>
      <c r="I220"/>
      <c r="J220" t="s">
        <v>2487</v>
      </c>
      <c r="K220"/>
      <c r="L220"/>
      <c r="M220">
        <v>11</v>
      </c>
      <c r="N220">
        <v>59</v>
      </c>
      <c r="O220">
        <v>7</v>
      </c>
      <c r="P220">
        <v>10</v>
      </c>
      <c r="Q220">
        <v>21</v>
      </c>
      <c r="R220" t="s">
        <v>2464</v>
      </c>
      <c r="S220" t="s">
        <v>3754</v>
      </c>
      <c r="T220" t="s">
        <v>2586</v>
      </c>
      <c r="U220" t="s">
        <v>2462</v>
      </c>
      <c r="V220">
        <v>40</v>
      </c>
      <c r="W220"/>
      <c r="X220"/>
      <c r="Y220"/>
      <c r="Z220"/>
      <c r="AA220">
        <v>19</v>
      </c>
      <c r="AB220">
        <v>8</v>
      </c>
      <c r="AC220">
        <v>16</v>
      </c>
      <c r="AD220">
        <v>5</v>
      </c>
      <c r="AE220">
        <v>7</v>
      </c>
      <c r="AF220">
        <v>7</v>
      </c>
      <c r="AG220">
        <v>237</v>
      </c>
      <c r="AH220"/>
      <c r="AI220"/>
      <c r="AJ220">
        <v>60</v>
      </c>
      <c r="AK220"/>
      <c r="AL220"/>
      <c r="AM220"/>
      <c r="AN220">
        <v>38</v>
      </c>
      <c r="AO220">
        <v>339</v>
      </c>
      <c r="AP220">
        <v>14</v>
      </c>
      <c r="AQ220">
        <v>20</v>
      </c>
      <c r="AR220"/>
      <c r="AS220"/>
      <c r="AT220"/>
      <c r="AU220"/>
      <c r="AV220"/>
      <c r="AW220"/>
      <c r="AX220" t="s">
        <v>3753</v>
      </c>
      <c r="AY220"/>
      <c r="AZ220"/>
      <c r="BA220"/>
      <c r="BB220"/>
      <c r="BC220"/>
      <c r="BD220"/>
      <c r="BE220"/>
      <c r="BF220"/>
      <c r="BG220"/>
      <c r="BH220"/>
      <c r="BI220"/>
      <c r="BJ220"/>
      <c r="BK220"/>
      <c r="BL220"/>
      <c r="BM220"/>
      <c r="BN220"/>
      <c r="BO220"/>
      <c r="BP220" t="s">
        <v>2420</v>
      </c>
      <c r="BQ220" t="s">
        <v>3744</v>
      </c>
      <c r="BR220" t="s">
        <v>3752</v>
      </c>
      <c r="BS220" t="s">
        <v>3719</v>
      </c>
      <c r="BT220" t="s">
        <v>3751</v>
      </c>
      <c r="BU220" t="s">
        <v>3750</v>
      </c>
      <c r="BV220"/>
      <c r="BW220"/>
      <c r="BX220"/>
      <c r="BY220"/>
      <c r="BZ220"/>
      <c r="CA220"/>
      <c r="CB220"/>
      <c r="CC220"/>
      <c r="CD220"/>
      <c r="CE220"/>
      <c r="CF220"/>
      <c r="CG220"/>
      <c r="CH220"/>
      <c r="CI220"/>
      <c r="CJ220"/>
      <c r="CK220"/>
      <c r="CL220"/>
      <c r="CM220"/>
      <c r="CN220"/>
      <c r="CO220"/>
      <c r="CP220"/>
      <c r="CQ220"/>
      <c r="CR220"/>
      <c r="CS220"/>
      <c r="CT220"/>
      <c r="CU220"/>
      <c r="CV220"/>
      <c r="CW220"/>
      <c r="CX220" t="s">
        <v>2454</v>
      </c>
      <c r="CY220">
        <v>237</v>
      </c>
      <c r="CZ220" t="s">
        <v>2453</v>
      </c>
    </row>
    <row r="221" spans="1:104" ht="14.25">
      <c r="A221" t="s">
        <v>3749</v>
      </c>
      <c r="B221" t="s">
        <v>3748</v>
      </c>
      <c r="C221" t="s">
        <v>3747</v>
      </c>
      <c r="D221">
        <v>2</v>
      </c>
      <c r="E221" t="s">
        <v>2468</v>
      </c>
      <c r="F221" t="s">
        <v>2489</v>
      </c>
      <c r="G221" t="s">
        <v>2466</v>
      </c>
      <c r="H221"/>
      <c r="I221"/>
      <c r="J221" t="s">
        <v>2465</v>
      </c>
      <c r="K221"/>
      <c r="L221"/>
      <c r="M221">
        <v>8</v>
      </c>
      <c r="N221">
        <v>85</v>
      </c>
      <c r="O221">
        <v>9</v>
      </c>
      <c r="P221">
        <v>10</v>
      </c>
      <c r="Q221">
        <v>36</v>
      </c>
      <c r="R221" t="s">
        <v>2464</v>
      </c>
      <c r="S221" t="s">
        <v>3746</v>
      </c>
      <c r="T221" t="s">
        <v>2462</v>
      </c>
      <c r="U221" t="s">
        <v>2462</v>
      </c>
      <c r="V221">
        <v>30</v>
      </c>
      <c r="W221"/>
      <c r="X221"/>
      <c r="Y221"/>
      <c r="Z221"/>
      <c r="AA221">
        <v>19</v>
      </c>
      <c r="AB221">
        <v>6</v>
      </c>
      <c r="AC221">
        <v>18</v>
      </c>
      <c r="AD221">
        <v>3</v>
      </c>
      <c r="AE221">
        <v>6</v>
      </c>
      <c r="AF221">
        <v>5</v>
      </c>
      <c r="AG221">
        <v>316</v>
      </c>
      <c r="AH221"/>
      <c r="AI221"/>
      <c r="AJ221"/>
      <c r="AK221"/>
      <c r="AL221"/>
      <c r="AM221"/>
      <c r="AN221"/>
      <c r="AO221">
        <v>360</v>
      </c>
      <c r="AP221"/>
      <c r="AQ221"/>
      <c r="AR221"/>
      <c r="AS221"/>
      <c r="AT221"/>
      <c r="AU221"/>
      <c r="AV221"/>
      <c r="AW221"/>
      <c r="AX221"/>
      <c r="AY221" t="s">
        <v>2458</v>
      </c>
      <c r="AZ221" t="s">
        <v>2459</v>
      </c>
      <c r="BA221" t="s">
        <v>2458</v>
      </c>
      <c r="BB221"/>
      <c r="BC221"/>
      <c r="BD221"/>
      <c r="BE221"/>
      <c r="BF221"/>
      <c r="BG221"/>
      <c r="BH221"/>
      <c r="BI221"/>
      <c r="BJ221"/>
      <c r="BK221"/>
      <c r="BL221"/>
      <c r="BM221"/>
      <c r="BN221"/>
      <c r="BO221"/>
      <c r="BP221" t="s">
        <v>3745</v>
      </c>
      <c r="BQ221" t="s">
        <v>3744</v>
      </c>
      <c r="BR221" t="s">
        <v>3743</v>
      </c>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t="s">
        <v>2454</v>
      </c>
      <c r="CY221">
        <v>316</v>
      </c>
      <c r="CZ221" t="s">
        <v>2453</v>
      </c>
    </row>
    <row r="222" spans="1:104" ht="14.25">
      <c r="A222" t="s">
        <v>3742</v>
      </c>
      <c r="B222" t="s">
        <v>3742</v>
      </c>
      <c r="C222" t="s">
        <v>3741</v>
      </c>
      <c r="D222">
        <v>7</v>
      </c>
      <c r="E222" t="s">
        <v>2468</v>
      </c>
      <c r="F222" t="s">
        <v>2489</v>
      </c>
      <c r="G222" t="s">
        <v>3005</v>
      </c>
      <c r="H222"/>
      <c r="I222"/>
      <c r="J222" t="s">
        <v>2522</v>
      </c>
      <c r="K222"/>
      <c r="L222"/>
      <c r="M222">
        <v>16</v>
      </c>
      <c r="N222">
        <v>110</v>
      </c>
      <c r="O222">
        <v>13</v>
      </c>
      <c r="P222">
        <v>10</v>
      </c>
      <c r="Q222">
        <v>39</v>
      </c>
      <c r="R222" t="s">
        <v>2972</v>
      </c>
      <c r="S222" t="s">
        <v>2484</v>
      </c>
      <c r="T222" t="s">
        <v>2486</v>
      </c>
      <c r="U222" t="s">
        <v>2462</v>
      </c>
      <c r="V222">
        <v>30</v>
      </c>
      <c r="W222"/>
      <c r="X222"/>
      <c r="Y222">
        <v>30</v>
      </c>
      <c r="Z222"/>
      <c r="AA222">
        <v>19</v>
      </c>
      <c r="AB222">
        <v>11</v>
      </c>
      <c r="AC222">
        <v>16</v>
      </c>
      <c r="AD222">
        <v>14</v>
      </c>
      <c r="AE222">
        <v>12</v>
      </c>
      <c r="AF222">
        <v>15</v>
      </c>
      <c r="AG222">
        <v>239</v>
      </c>
      <c r="AH222"/>
      <c r="AI222"/>
      <c r="AJ222"/>
      <c r="AK222"/>
      <c r="AL222"/>
      <c r="AM222"/>
      <c r="AN222"/>
      <c r="AO222">
        <v>339</v>
      </c>
      <c r="AP222"/>
      <c r="AQ222"/>
      <c r="AR222"/>
      <c r="AS222"/>
      <c r="AT222">
        <v>27</v>
      </c>
      <c r="AU222"/>
      <c r="AV222"/>
      <c r="AW222"/>
      <c r="AX222"/>
      <c r="AY222" t="s">
        <v>2635</v>
      </c>
      <c r="AZ222" t="s">
        <v>3740</v>
      </c>
      <c r="BA222" t="s">
        <v>2635</v>
      </c>
      <c r="BB222" t="s">
        <v>2966</v>
      </c>
      <c r="BC222" t="s">
        <v>3739</v>
      </c>
      <c r="BD222" t="s">
        <v>2966</v>
      </c>
      <c r="BE222" t="s">
        <v>2917</v>
      </c>
      <c r="BF222" t="s">
        <v>3738</v>
      </c>
      <c r="BG222" t="s">
        <v>2917</v>
      </c>
      <c r="BH222"/>
      <c r="BI222"/>
      <c r="BJ222"/>
      <c r="BK222"/>
      <c r="BL222"/>
      <c r="BM222"/>
      <c r="BN222"/>
      <c r="BO222"/>
      <c r="BP222" t="s">
        <v>2480</v>
      </c>
      <c r="BQ222" t="s">
        <v>3737</v>
      </c>
      <c r="BR222" t="s">
        <v>2480</v>
      </c>
      <c r="BS222" t="s">
        <v>3736</v>
      </c>
      <c r="BT222" t="s">
        <v>3735</v>
      </c>
      <c r="BU222" t="s">
        <v>3734</v>
      </c>
      <c r="BV222" t="s">
        <v>3733</v>
      </c>
      <c r="BW222" t="s">
        <v>3732</v>
      </c>
      <c r="BX222" t="s">
        <v>3731</v>
      </c>
      <c r="BY222" t="s">
        <v>3729</v>
      </c>
      <c r="BZ222" t="s">
        <v>3730</v>
      </c>
      <c r="CA222" t="s">
        <v>3729</v>
      </c>
      <c r="CB222"/>
      <c r="CC222"/>
      <c r="CD222"/>
      <c r="CE222"/>
      <c r="CF222"/>
      <c r="CG222"/>
      <c r="CH222"/>
      <c r="CI222"/>
      <c r="CJ222"/>
      <c r="CK222"/>
      <c r="CL222"/>
      <c r="CM222"/>
      <c r="CN222"/>
      <c r="CO222"/>
      <c r="CP222"/>
      <c r="CQ222"/>
      <c r="CR222"/>
      <c r="CS222"/>
      <c r="CT222"/>
      <c r="CU222"/>
      <c r="CV222"/>
      <c r="CW222"/>
      <c r="CX222" t="s">
        <v>2454</v>
      </c>
      <c r="CY222">
        <v>239</v>
      </c>
      <c r="CZ222" t="s">
        <v>2453</v>
      </c>
    </row>
    <row r="223" spans="1:104" ht="14.25">
      <c r="A223" t="s">
        <v>3727</v>
      </c>
      <c r="B223" t="s">
        <v>3727</v>
      </c>
      <c r="C223" t="s">
        <v>3728</v>
      </c>
      <c r="D223">
        <v>0.5</v>
      </c>
      <c r="E223" t="s">
        <v>2468</v>
      </c>
      <c r="F223" t="s">
        <v>2467</v>
      </c>
      <c r="G223" t="s">
        <v>2608</v>
      </c>
      <c r="H223" t="s">
        <v>3727</v>
      </c>
      <c r="I223"/>
      <c r="J223" t="s">
        <v>2487</v>
      </c>
      <c r="K223"/>
      <c r="L223"/>
      <c r="M223">
        <v>13</v>
      </c>
      <c r="N223">
        <v>15</v>
      </c>
      <c r="O223">
        <v>2</v>
      </c>
      <c r="P223">
        <v>8</v>
      </c>
      <c r="Q223">
        <v>6</v>
      </c>
      <c r="R223" t="s">
        <v>2464</v>
      </c>
      <c r="S223" t="s">
        <v>3726</v>
      </c>
      <c r="T223" t="s">
        <v>2905</v>
      </c>
      <c r="U223" t="s">
        <v>2462</v>
      </c>
      <c r="V223">
        <v>30</v>
      </c>
      <c r="W223"/>
      <c r="X223"/>
      <c r="Y223"/>
      <c r="Z223"/>
      <c r="AA223">
        <v>16</v>
      </c>
      <c r="AB223">
        <v>12</v>
      </c>
      <c r="AC223">
        <v>16</v>
      </c>
      <c r="AD223">
        <v>7</v>
      </c>
      <c r="AE223">
        <v>11</v>
      </c>
      <c r="AF223">
        <v>10</v>
      </c>
      <c r="AG223">
        <v>246</v>
      </c>
      <c r="AH223"/>
      <c r="AI223"/>
      <c r="AJ223">
        <v>61</v>
      </c>
      <c r="AK223"/>
      <c r="AL223"/>
      <c r="AM223"/>
      <c r="AN223">
        <v>39</v>
      </c>
      <c r="AO223">
        <v>342</v>
      </c>
      <c r="AP223">
        <v>14</v>
      </c>
      <c r="AQ223"/>
      <c r="AR223"/>
      <c r="AS223" t="s">
        <v>3725</v>
      </c>
      <c r="AT223"/>
      <c r="AU223"/>
      <c r="AV223"/>
      <c r="AW223"/>
      <c r="AX223"/>
      <c r="AY223" t="s">
        <v>3723</v>
      </c>
      <c r="AZ223" t="s">
        <v>3724</v>
      </c>
      <c r="BA223" t="s">
        <v>3723</v>
      </c>
      <c r="BB223"/>
      <c r="BC223"/>
      <c r="BD223"/>
      <c r="BE223"/>
      <c r="BF223"/>
      <c r="BG223"/>
      <c r="BH223"/>
      <c r="BI223"/>
      <c r="BJ223"/>
      <c r="BK223"/>
      <c r="BL223"/>
      <c r="BM223"/>
      <c r="BN223"/>
      <c r="BO223"/>
      <c r="BP223" t="s">
        <v>3722</v>
      </c>
      <c r="BQ223" t="s">
        <v>3721</v>
      </c>
      <c r="BR223" t="s">
        <v>3720</v>
      </c>
      <c r="BS223" t="s">
        <v>3719</v>
      </c>
      <c r="BT223" t="s">
        <v>3718</v>
      </c>
      <c r="BU223" t="s">
        <v>3717</v>
      </c>
      <c r="BV223"/>
      <c r="BW223"/>
      <c r="BX223"/>
      <c r="BY223"/>
      <c r="BZ223"/>
      <c r="CA223"/>
      <c r="CB223"/>
      <c r="CC223"/>
      <c r="CD223"/>
      <c r="CE223"/>
      <c r="CF223"/>
      <c r="CG223"/>
      <c r="CH223"/>
      <c r="CI223"/>
      <c r="CJ223"/>
      <c r="CK223"/>
      <c r="CL223"/>
      <c r="CM223"/>
      <c r="CN223"/>
      <c r="CO223"/>
      <c r="CP223"/>
      <c r="CQ223"/>
      <c r="CR223"/>
      <c r="CS223"/>
      <c r="CT223"/>
      <c r="CU223"/>
      <c r="CV223"/>
      <c r="CW223"/>
      <c r="CX223" t="s">
        <v>2454</v>
      </c>
      <c r="CY223">
        <v>246</v>
      </c>
      <c r="CZ223" t="s">
        <v>2453</v>
      </c>
    </row>
    <row r="224" spans="1:104" ht="14.25">
      <c r="A224" t="s">
        <v>3716</v>
      </c>
      <c r="B224" t="s">
        <v>3716</v>
      </c>
      <c r="C224" t="s">
        <v>3715</v>
      </c>
      <c r="D224">
        <v>5</v>
      </c>
      <c r="E224" t="s">
        <v>2468</v>
      </c>
      <c r="F224" t="s">
        <v>2489</v>
      </c>
      <c r="G224" t="s">
        <v>3714</v>
      </c>
      <c r="H224"/>
      <c r="I224"/>
      <c r="J224" t="s">
        <v>1997</v>
      </c>
      <c r="K224"/>
      <c r="L224"/>
      <c r="M224">
        <v>14</v>
      </c>
      <c r="N224">
        <v>114</v>
      </c>
      <c r="O224">
        <v>12</v>
      </c>
      <c r="P224">
        <v>10</v>
      </c>
      <c r="Q224">
        <v>48</v>
      </c>
      <c r="R224" t="s">
        <v>2464</v>
      </c>
      <c r="S224" t="s">
        <v>3713</v>
      </c>
      <c r="T224" t="s">
        <v>3713</v>
      </c>
      <c r="U224" t="s">
        <v>2462</v>
      </c>
      <c r="V224">
        <v>30</v>
      </c>
      <c r="W224"/>
      <c r="X224"/>
      <c r="Y224"/>
      <c r="Z224"/>
      <c r="AA224">
        <v>16</v>
      </c>
      <c r="AB224">
        <v>11</v>
      </c>
      <c r="AC224">
        <v>19</v>
      </c>
      <c r="AD224">
        <v>6</v>
      </c>
      <c r="AE224">
        <v>13</v>
      </c>
      <c r="AF224">
        <v>6</v>
      </c>
      <c r="AG224">
        <v>248</v>
      </c>
      <c r="AH224"/>
      <c r="AI224"/>
      <c r="AJ224"/>
      <c r="AK224"/>
      <c r="AL224"/>
      <c r="AM224"/>
      <c r="AN224"/>
      <c r="AO224">
        <v>342</v>
      </c>
      <c r="AP224">
        <v>14</v>
      </c>
      <c r="AQ224">
        <v>20</v>
      </c>
      <c r="AR224"/>
      <c r="AS224"/>
      <c r="AT224"/>
      <c r="AU224"/>
      <c r="AV224" t="s">
        <v>3712</v>
      </c>
      <c r="AW224"/>
      <c r="AX224"/>
      <c r="AY224" t="s">
        <v>3597</v>
      </c>
      <c r="AZ224" t="s">
        <v>3711</v>
      </c>
      <c r="BA224" t="s">
        <v>3597</v>
      </c>
      <c r="BB224"/>
      <c r="BC224"/>
      <c r="BD224"/>
      <c r="BE224"/>
      <c r="BF224"/>
      <c r="BG224"/>
      <c r="BH224"/>
      <c r="BI224"/>
      <c r="BJ224"/>
      <c r="BK224"/>
      <c r="BL224"/>
      <c r="BM224"/>
      <c r="BN224"/>
      <c r="BO224"/>
      <c r="BP224" t="s">
        <v>2480</v>
      </c>
      <c r="BQ224" t="s">
        <v>3710</v>
      </c>
      <c r="BR224" t="s">
        <v>2480</v>
      </c>
      <c r="BS224" t="s">
        <v>2479</v>
      </c>
      <c r="BT224" t="s">
        <v>3709</v>
      </c>
      <c r="BU224" t="s">
        <v>3708</v>
      </c>
      <c r="BV224" t="s">
        <v>3707</v>
      </c>
      <c r="BW224" t="s">
        <v>3706</v>
      </c>
      <c r="BX224" t="s">
        <v>3705</v>
      </c>
      <c r="BY224" t="s">
        <v>3703</v>
      </c>
      <c r="BZ224" t="s">
        <v>3704</v>
      </c>
      <c r="CA224" t="s">
        <v>3703</v>
      </c>
      <c r="CB224"/>
      <c r="CC224"/>
      <c r="CD224"/>
      <c r="CE224"/>
      <c r="CF224"/>
      <c r="CG224"/>
      <c r="CH224"/>
      <c r="CI224"/>
      <c r="CJ224"/>
      <c r="CK224"/>
      <c r="CL224"/>
      <c r="CM224"/>
      <c r="CN224"/>
      <c r="CO224"/>
      <c r="CP224"/>
      <c r="CQ224"/>
      <c r="CR224"/>
      <c r="CS224"/>
      <c r="CT224"/>
      <c r="CU224"/>
      <c r="CV224"/>
      <c r="CW224"/>
      <c r="CX224" t="s">
        <v>2454</v>
      </c>
      <c r="CY224">
        <v>248</v>
      </c>
      <c r="CZ224" t="s">
        <v>2453</v>
      </c>
    </row>
    <row r="225" spans="1:104" ht="14.25">
      <c r="A225" t="s">
        <v>3702</v>
      </c>
      <c r="B225" t="s">
        <v>3702</v>
      </c>
      <c r="C225" t="s">
        <v>3701</v>
      </c>
      <c r="D225">
        <v>0</v>
      </c>
      <c r="E225" t="s">
        <v>2680</v>
      </c>
      <c r="F225" t="s">
        <v>2719</v>
      </c>
      <c r="G225" t="s">
        <v>2690</v>
      </c>
      <c r="H225"/>
      <c r="I225"/>
      <c r="J225" t="s">
        <v>2013</v>
      </c>
      <c r="K225"/>
      <c r="L225"/>
      <c r="M225">
        <v>11</v>
      </c>
      <c r="N225">
        <v>1</v>
      </c>
      <c r="O225">
        <v>1</v>
      </c>
      <c r="P225">
        <v>4</v>
      </c>
      <c r="Q225">
        <v>-1</v>
      </c>
      <c r="R225" t="s">
        <v>2464</v>
      </c>
      <c r="S225" t="s">
        <v>2826</v>
      </c>
      <c r="T225" t="s">
        <v>2462</v>
      </c>
      <c r="U225" t="s">
        <v>2462</v>
      </c>
      <c r="V225">
        <v>5</v>
      </c>
      <c r="W225"/>
      <c r="X225"/>
      <c r="Y225">
        <v>60</v>
      </c>
      <c r="Z225"/>
      <c r="AA225">
        <v>3</v>
      </c>
      <c r="AB225">
        <v>13</v>
      </c>
      <c r="AC225">
        <v>8</v>
      </c>
      <c r="AD225">
        <v>2</v>
      </c>
      <c r="AE225">
        <v>12</v>
      </c>
      <c r="AF225">
        <v>7</v>
      </c>
      <c r="AG225">
        <v>333</v>
      </c>
      <c r="AH225">
        <v>308</v>
      </c>
      <c r="AI225"/>
      <c r="AJ225"/>
      <c r="AK225"/>
      <c r="AL225"/>
      <c r="AM225"/>
      <c r="AN225">
        <v>39</v>
      </c>
      <c r="AO225">
        <v>380</v>
      </c>
      <c r="AP225"/>
      <c r="AQ225"/>
      <c r="AR225"/>
      <c r="AS225"/>
      <c r="AT225"/>
      <c r="AU225"/>
      <c r="AV225"/>
      <c r="AW225"/>
      <c r="AX225"/>
      <c r="AY225" t="s">
        <v>3589</v>
      </c>
      <c r="AZ225" t="s">
        <v>3700</v>
      </c>
      <c r="BA225" t="s">
        <v>3589</v>
      </c>
      <c r="BB225" t="s">
        <v>3381</v>
      </c>
      <c r="BC225" t="s">
        <v>3699</v>
      </c>
      <c r="BD225" t="s">
        <v>3381</v>
      </c>
      <c r="BE225"/>
      <c r="BF225"/>
      <c r="BG225"/>
      <c r="BH225"/>
      <c r="BI225"/>
      <c r="BJ225"/>
      <c r="BK225"/>
      <c r="BL225"/>
      <c r="BM225"/>
      <c r="BN225"/>
      <c r="BO225"/>
      <c r="BP225" t="s">
        <v>2869</v>
      </c>
      <c r="BQ225" t="s">
        <v>3698</v>
      </c>
      <c r="BR225" t="s">
        <v>3697</v>
      </c>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t="s">
        <v>2454</v>
      </c>
      <c r="CY225">
        <v>333</v>
      </c>
      <c r="CZ225" t="s">
        <v>2453</v>
      </c>
    </row>
    <row r="226" spans="1:104" ht="14.25">
      <c r="A226" t="s">
        <v>3696</v>
      </c>
      <c r="B226" t="s">
        <v>3696</v>
      </c>
      <c r="C226" t="s">
        <v>3695</v>
      </c>
      <c r="D226">
        <v>3</v>
      </c>
      <c r="E226" t="s">
        <v>2468</v>
      </c>
      <c r="F226" t="s">
        <v>2489</v>
      </c>
      <c r="G226" t="s">
        <v>2587</v>
      </c>
      <c r="H226"/>
      <c r="I226"/>
      <c r="J226" t="s">
        <v>2013</v>
      </c>
      <c r="K226"/>
      <c r="L226"/>
      <c r="M226">
        <v>13</v>
      </c>
      <c r="N226">
        <v>59</v>
      </c>
      <c r="O226">
        <v>7</v>
      </c>
      <c r="P226">
        <v>10</v>
      </c>
      <c r="Q226">
        <v>21</v>
      </c>
      <c r="R226" t="s">
        <v>2464</v>
      </c>
      <c r="S226" t="s">
        <v>3438</v>
      </c>
      <c r="T226" t="s">
        <v>3500</v>
      </c>
      <c r="U226" t="s">
        <v>2462</v>
      </c>
      <c r="V226">
        <v>40</v>
      </c>
      <c r="W226"/>
      <c r="X226"/>
      <c r="Y226"/>
      <c r="Z226"/>
      <c r="AA226">
        <v>20</v>
      </c>
      <c r="AB226">
        <v>12</v>
      </c>
      <c r="AC226">
        <v>17</v>
      </c>
      <c r="AD226">
        <v>3</v>
      </c>
      <c r="AE226">
        <v>12</v>
      </c>
      <c r="AF226">
        <v>7</v>
      </c>
      <c r="AG226">
        <v>249</v>
      </c>
      <c r="AH226"/>
      <c r="AI226"/>
      <c r="AJ226">
        <v>61</v>
      </c>
      <c r="AK226"/>
      <c r="AL226"/>
      <c r="AM226"/>
      <c r="AN226">
        <v>39</v>
      </c>
      <c r="AO226">
        <v>342</v>
      </c>
      <c r="AP226"/>
      <c r="AQ226"/>
      <c r="AR226"/>
      <c r="AS226" t="s">
        <v>3694</v>
      </c>
      <c r="AT226"/>
      <c r="AU226"/>
      <c r="AV226"/>
      <c r="AW226"/>
      <c r="AX226"/>
      <c r="AY226" t="s">
        <v>2856</v>
      </c>
      <c r="AZ226" t="s">
        <v>3693</v>
      </c>
      <c r="BA226" t="s">
        <v>2856</v>
      </c>
      <c r="BB226"/>
      <c r="BC226"/>
      <c r="BD226"/>
      <c r="BE226"/>
      <c r="BF226"/>
      <c r="BG226"/>
      <c r="BH226"/>
      <c r="BI226"/>
      <c r="BJ226"/>
      <c r="BK226"/>
      <c r="BL226"/>
      <c r="BM226"/>
      <c r="BN226"/>
      <c r="BO226"/>
      <c r="BP226" t="s">
        <v>2480</v>
      </c>
      <c r="BQ226" t="s">
        <v>3692</v>
      </c>
      <c r="BR226" t="s">
        <v>2480</v>
      </c>
      <c r="BS226" t="s">
        <v>2854</v>
      </c>
      <c r="BT226" t="s">
        <v>3691</v>
      </c>
      <c r="BU226" t="s">
        <v>3690</v>
      </c>
      <c r="BV226" t="s">
        <v>2652</v>
      </c>
      <c r="BW226" t="s">
        <v>3689</v>
      </c>
      <c r="BX226" t="s">
        <v>3688</v>
      </c>
      <c r="BY226"/>
      <c r="BZ226"/>
      <c r="CA226"/>
      <c r="CB226"/>
      <c r="CC226"/>
      <c r="CD226"/>
      <c r="CE226"/>
      <c r="CF226"/>
      <c r="CG226"/>
      <c r="CH226"/>
      <c r="CI226"/>
      <c r="CJ226"/>
      <c r="CK226"/>
      <c r="CL226"/>
      <c r="CM226"/>
      <c r="CN226"/>
      <c r="CO226"/>
      <c r="CP226"/>
      <c r="CQ226"/>
      <c r="CR226"/>
      <c r="CS226"/>
      <c r="CT226"/>
      <c r="CU226"/>
      <c r="CV226"/>
      <c r="CW226"/>
      <c r="CX226" t="s">
        <v>2454</v>
      </c>
      <c r="CY226">
        <v>249</v>
      </c>
      <c r="CZ226" t="s">
        <v>2453</v>
      </c>
    </row>
    <row r="227" spans="1:104" ht="14.25">
      <c r="A227" t="s">
        <v>3687</v>
      </c>
      <c r="B227" t="s">
        <v>3687</v>
      </c>
      <c r="C227" t="s">
        <v>3686</v>
      </c>
      <c r="D227">
        <v>0.25</v>
      </c>
      <c r="E227" t="s">
        <v>2680</v>
      </c>
      <c r="F227" t="s">
        <v>2467</v>
      </c>
      <c r="G227" t="s">
        <v>2690</v>
      </c>
      <c r="H227"/>
      <c r="I227"/>
      <c r="J227" t="s">
        <v>2013</v>
      </c>
      <c r="K227"/>
      <c r="L227"/>
      <c r="M227">
        <v>12</v>
      </c>
      <c r="N227">
        <v>13</v>
      </c>
      <c r="O227">
        <v>3</v>
      </c>
      <c r="P227">
        <v>8</v>
      </c>
      <c r="Q227"/>
      <c r="R227" t="s">
        <v>2464</v>
      </c>
      <c r="S227" t="s">
        <v>2605</v>
      </c>
      <c r="T227" t="s">
        <v>2793</v>
      </c>
      <c r="U227" t="s">
        <v>2462</v>
      </c>
      <c r="V227">
        <v>50</v>
      </c>
      <c r="W227"/>
      <c r="X227">
        <v>40</v>
      </c>
      <c r="Y227"/>
      <c r="Z227"/>
      <c r="AA227">
        <v>14</v>
      </c>
      <c r="AB227">
        <v>15</v>
      </c>
      <c r="AC227">
        <v>10</v>
      </c>
      <c r="AD227">
        <v>3</v>
      </c>
      <c r="AE227">
        <v>14</v>
      </c>
      <c r="AF227">
        <v>7</v>
      </c>
      <c r="AG227">
        <v>333</v>
      </c>
      <c r="AH227">
        <v>308</v>
      </c>
      <c r="AI227"/>
      <c r="AJ227"/>
      <c r="AK227"/>
      <c r="AL227"/>
      <c r="AM227"/>
      <c r="AN227">
        <v>39</v>
      </c>
      <c r="AO227">
        <v>380</v>
      </c>
      <c r="AP227"/>
      <c r="AQ227"/>
      <c r="AR227"/>
      <c r="AS227" t="s">
        <v>3685</v>
      </c>
      <c r="AT227"/>
      <c r="AU227"/>
      <c r="AV227"/>
      <c r="AW227"/>
      <c r="AX227"/>
      <c r="AY227" t="s">
        <v>2581</v>
      </c>
      <c r="AZ227" t="s">
        <v>3684</v>
      </c>
      <c r="BA227" t="s">
        <v>2581</v>
      </c>
      <c r="BB227" t="s">
        <v>3044</v>
      </c>
      <c r="BC227" t="s">
        <v>3683</v>
      </c>
      <c r="BD227" t="s">
        <v>3044</v>
      </c>
      <c r="BE227"/>
      <c r="BF227"/>
      <c r="BG227"/>
      <c r="BH227"/>
      <c r="BI227"/>
      <c r="BJ227"/>
      <c r="BK227"/>
      <c r="BL227"/>
      <c r="BM227"/>
      <c r="BN227"/>
      <c r="BO227"/>
      <c r="BP227" t="s">
        <v>2479</v>
      </c>
      <c r="BQ227" t="s">
        <v>2785</v>
      </c>
      <c r="BR227" t="s">
        <v>3682</v>
      </c>
      <c r="BS227" t="s">
        <v>2476</v>
      </c>
      <c r="BT227" t="s">
        <v>3681</v>
      </c>
      <c r="BU227" t="s">
        <v>3680</v>
      </c>
      <c r="BV227"/>
      <c r="BW227"/>
      <c r="BX227"/>
      <c r="BY227"/>
      <c r="BZ227"/>
      <c r="CA227"/>
      <c r="CB227"/>
      <c r="CC227"/>
      <c r="CD227"/>
      <c r="CE227"/>
      <c r="CF227"/>
      <c r="CG227"/>
      <c r="CH227"/>
      <c r="CI227"/>
      <c r="CJ227"/>
      <c r="CK227"/>
      <c r="CL227"/>
      <c r="CM227"/>
      <c r="CN227"/>
      <c r="CO227"/>
      <c r="CP227"/>
      <c r="CQ227"/>
      <c r="CR227"/>
      <c r="CS227"/>
      <c r="CT227"/>
      <c r="CU227"/>
      <c r="CV227"/>
      <c r="CW227"/>
      <c r="CX227" t="s">
        <v>2454</v>
      </c>
      <c r="CY227">
        <v>333</v>
      </c>
      <c r="CZ227" t="s">
        <v>2453</v>
      </c>
    </row>
    <row r="228" spans="1:104" ht="14.25">
      <c r="A228" t="s">
        <v>3679</v>
      </c>
      <c r="B228" t="s">
        <v>3679</v>
      </c>
      <c r="C228" t="s">
        <v>3678</v>
      </c>
      <c r="D228">
        <v>2</v>
      </c>
      <c r="E228" t="s">
        <v>2468</v>
      </c>
      <c r="F228" t="s">
        <v>2489</v>
      </c>
      <c r="G228" t="s">
        <v>2973</v>
      </c>
      <c r="H228"/>
      <c r="I228"/>
      <c r="J228" t="s">
        <v>2535</v>
      </c>
      <c r="K228"/>
      <c r="L228"/>
      <c r="M228">
        <v>12</v>
      </c>
      <c r="N228">
        <v>59</v>
      </c>
      <c r="O228">
        <v>7</v>
      </c>
      <c r="P228">
        <v>10</v>
      </c>
      <c r="Q228">
        <v>21</v>
      </c>
      <c r="R228" t="s">
        <v>2464</v>
      </c>
      <c r="S228" t="s">
        <v>2586</v>
      </c>
      <c r="T228" t="s">
        <v>2462</v>
      </c>
      <c r="U228" t="s">
        <v>2462</v>
      </c>
      <c r="V228">
        <v>60</v>
      </c>
      <c r="W228"/>
      <c r="X228"/>
      <c r="Y228">
        <v>90</v>
      </c>
      <c r="Z228"/>
      <c r="AA228">
        <v>18</v>
      </c>
      <c r="AB228">
        <v>15</v>
      </c>
      <c r="AC228">
        <v>16</v>
      </c>
      <c r="AD228">
        <v>10</v>
      </c>
      <c r="AE228">
        <v>15</v>
      </c>
      <c r="AF228">
        <v>13</v>
      </c>
      <c r="AG228">
        <v>250</v>
      </c>
      <c r="AH228"/>
      <c r="AI228"/>
      <c r="AJ228"/>
      <c r="AK228"/>
      <c r="AL228"/>
      <c r="AM228"/>
      <c r="AN228">
        <v>40</v>
      </c>
      <c r="AO228">
        <v>343</v>
      </c>
      <c r="AP228"/>
      <c r="AQ228"/>
      <c r="AR228"/>
      <c r="AS228"/>
      <c r="AT228"/>
      <c r="AU228"/>
      <c r="AV228"/>
      <c r="AW228"/>
      <c r="AX228"/>
      <c r="AY228"/>
      <c r="AZ228"/>
      <c r="BA228"/>
      <c r="BB228"/>
      <c r="BC228"/>
      <c r="BD228"/>
      <c r="BE228"/>
      <c r="BF228"/>
      <c r="BG228"/>
      <c r="BH228"/>
      <c r="BI228"/>
      <c r="BJ228"/>
      <c r="BK228"/>
      <c r="BL228"/>
      <c r="BM228"/>
      <c r="BN228"/>
      <c r="BO228"/>
      <c r="BP228" t="s">
        <v>2844</v>
      </c>
      <c r="BQ228" t="s">
        <v>2843</v>
      </c>
      <c r="BR228" t="s">
        <v>2842</v>
      </c>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t="s">
        <v>2454</v>
      </c>
      <c r="CY228">
        <v>250</v>
      </c>
      <c r="CZ228" t="s">
        <v>2453</v>
      </c>
    </row>
    <row r="229" spans="1:104" ht="14.25">
      <c r="A229" t="s">
        <v>3677</v>
      </c>
      <c r="B229" t="s">
        <v>3676</v>
      </c>
      <c r="C229" t="s">
        <v>3675</v>
      </c>
      <c r="D229">
        <v>3</v>
      </c>
      <c r="E229" t="s">
        <v>2680</v>
      </c>
      <c r="F229" t="s">
        <v>2489</v>
      </c>
      <c r="G229" t="s">
        <v>2587</v>
      </c>
      <c r="H229" t="s">
        <v>3251</v>
      </c>
      <c r="I229"/>
      <c r="J229" t="s">
        <v>2013</v>
      </c>
      <c r="K229"/>
      <c r="L229"/>
      <c r="M229">
        <v>13</v>
      </c>
      <c r="N229">
        <v>32</v>
      </c>
      <c r="O229">
        <v>5</v>
      </c>
      <c r="P229">
        <v>10</v>
      </c>
      <c r="Q229">
        <v>5</v>
      </c>
      <c r="R229" t="s">
        <v>2464</v>
      </c>
      <c r="S229" t="s">
        <v>2733</v>
      </c>
      <c r="T229" t="s">
        <v>2462</v>
      </c>
      <c r="U229" t="s">
        <v>2462</v>
      </c>
      <c r="V229">
        <v>30</v>
      </c>
      <c r="W229"/>
      <c r="X229">
        <v>30</v>
      </c>
      <c r="Y229"/>
      <c r="Z229"/>
      <c r="AA229">
        <v>15</v>
      </c>
      <c r="AB229">
        <v>15</v>
      </c>
      <c r="AC229">
        <v>12</v>
      </c>
      <c r="AD229">
        <v>6</v>
      </c>
      <c r="AE229">
        <v>10</v>
      </c>
      <c r="AF229">
        <v>6</v>
      </c>
      <c r="AG229">
        <v>334</v>
      </c>
      <c r="AH229"/>
      <c r="AI229"/>
      <c r="AJ229"/>
      <c r="AK229"/>
      <c r="AL229"/>
      <c r="AM229"/>
      <c r="AN229">
        <v>40</v>
      </c>
      <c r="AO229">
        <v>380</v>
      </c>
      <c r="AP229"/>
      <c r="AQ229"/>
      <c r="AR229"/>
      <c r="AS229"/>
      <c r="AT229"/>
      <c r="AU229"/>
      <c r="AV229"/>
      <c r="AW229"/>
      <c r="AX229"/>
      <c r="AY229" t="s">
        <v>3673</v>
      </c>
      <c r="AZ229" t="s">
        <v>3674</v>
      </c>
      <c r="BA229" t="s">
        <v>3673</v>
      </c>
      <c r="BB229" t="s">
        <v>2915</v>
      </c>
      <c r="BC229" t="s">
        <v>3249</v>
      </c>
      <c r="BD229" t="s">
        <v>2915</v>
      </c>
      <c r="BE229" t="s">
        <v>3245</v>
      </c>
      <c r="BF229" t="s">
        <v>3246</v>
      </c>
      <c r="BG229" t="s">
        <v>3245</v>
      </c>
      <c r="BH229"/>
      <c r="BI229"/>
      <c r="BJ229"/>
      <c r="BK229"/>
      <c r="BL229"/>
      <c r="BM229"/>
      <c r="BN229"/>
      <c r="BO229"/>
      <c r="BP229" t="s">
        <v>2479</v>
      </c>
      <c r="BQ229" t="s">
        <v>3672</v>
      </c>
      <c r="BR229" t="s">
        <v>3671</v>
      </c>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t="s">
        <v>2454</v>
      </c>
      <c r="CY229">
        <v>334</v>
      </c>
      <c r="CZ229" t="s">
        <v>2453</v>
      </c>
    </row>
    <row r="230" spans="1:104" ht="14.25">
      <c r="A230" t="s">
        <v>3670</v>
      </c>
      <c r="B230" t="s">
        <v>3669</v>
      </c>
      <c r="C230" t="s">
        <v>3668</v>
      </c>
      <c r="D230">
        <v>20</v>
      </c>
      <c r="E230" t="s">
        <v>2468</v>
      </c>
      <c r="F230" t="s">
        <v>2489</v>
      </c>
      <c r="G230" t="s">
        <v>2879</v>
      </c>
      <c r="H230" t="s">
        <v>3667</v>
      </c>
      <c r="I230"/>
      <c r="J230" t="s">
        <v>2522</v>
      </c>
      <c r="K230"/>
      <c r="L230"/>
      <c r="M230">
        <v>19</v>
      </c>
      <c r="N230">
        <v>300</v>
      </c>
      <c r="O230">
        <v>24</v>
      </c>
      <c r="P230">
        <v>10</v>
      </c>
      <c r="Q230">
        <v>168</v>
      </c>
      <c r="R230" t="s">
        <v>2972</v>
      </c>
      <c r="S230" t="s">
        <v>3666</v>
      </c>
      <c r="T230" t="s">
        <v>3665</v>
      </c>
      <c r="U230" t="s">
        <v>2462</v>
      </c>
      <c r="V230">
        <v>30</v>
      </c>
      <c r="W230"/>
      <c r="X230"/>
      <c r="Y230">
        <v>60</v>
      </c>
      <c r="Z230"/>
      <c r="AA230">
        <v>26</v>
      </c>
      <c r="AB230">
        <v>14</v>
      </c>
      <c r="AC230">
        <v>24</v>
      </c>
      <c r="AD230">
        <v>22</v>
      </c>
      <c r="AE230">
        <v>18</v>
      </c>
      <c r="AF230">
        <v>24</v>
      </c>
      <c r="AG230">
        <v>77</v>
      </c>
      <c r="AH230"/>
      <c r="AI230"/>
      <c r="AJ230"/>
      <c r="AK230"/>
      <c r="AL230"/>
      <c r="AM230"/>
      <c r="AN230"/>
      <c r="AO230">
        <v>281</v>
      </c>
      <c r="AP230"/>
      <c r="AQ230"/>
      <c r="AR230"/>
      <c r="AS230"/>
      <c r="AT230"/>
      <c r="AU230"/>
      <c r="AV230"/>
      <c r="AW230"/>
      <c r="AX230"/>
      <c r="AY230" t="s">
        <v>3663</v>
      </c>
      <c r="AZ230" t="s">
        <v>3664</v>
      </c>
      <c r="BA230" t="s">
        <v>3663</v>
      </c>
      <c r="BB230" t="s">
        <v>2873</v>
      </c>
      <c r="BC230" t="s">
        <v>3662</v>
      </c>
      <c r="BD230" t="s">
        <v>2873</v>
      </c>
      <c r="BE230" t="s">
        <v>2966</v>
      </c>
      <c r="BF230" t="s">
        <v>3661</v>
      </c>
      <c r="BG230" t="s">
        <v>2966</v>
      </c>
      <c r="BH230" t="s">
        <v>2635</v>
      </c>
      <c r="BI230" t="s">
        <v>3660</v>
      </c>
      <c r="BJ230"/>
      <c r="BK230"/>
      <c r="BL230"/>
      <c r="BM230"/>
      <c r="BN230"/>
      <c r="BO230"/>
      <c r="BP230" t="s">
        <v>2480</v>
      </c>
      <c r="BQ230" t="s">
        <v>3659</v>
      </c>
      <c r="BR230" t="s">
        <v>2480</v>
      </c>
      <c r="BS230" t="s">
        <v>2479</v>
      </c>
      <c r="BT230" t="s">
        <v>3658</v>
      </c>
      <c r="BU230" t="s">
        <v>3657</v>
      </c>
      <c r="BV230" t="s">
        <v>2476</v>
      </c>
      <c r="BW230" t="s">
        <v>3656</v>
      </c>
      <c r="BX230" t="s">
        <v>3655</v>
      </c>
      <c r="BY230" t="s">
        <v>2597</v>
      </c>
      <c r="BZ230" t="s">
        <v>3654</v>
      </c>
      <c r="CA230" t="s">
        <v>3653</v>
      </c>
      <c r="CB230" t="s">
        <v>2978</v>
      </c>
      <c r="CC230" t="s">
        <v>3652</v>
      </c>
      <c r="CD230" t="s">
        <v>3651</v>
      </c>
      <c r="CE230"/>
      <c r="CF230"/>
      <c r="CG230"/>
      <c r="CH230"/>
      <c r="CI230"/>
      <c r="CJ230"/>
      <c r="CK230"/>
      <c r="CL230"/>
      <c r="CM230"/>
      <c r="CN230"/>
      <c r="CO230"/>
      <c r="CP230"/>
      <c r="CQ230"/>
      <c r="CR230"/>
      <c r="CS230"/>
      <c r="CT230"/>
      <c r="CU230"/>
      <c r="CV230"/>
      <c r="CW230"/>
      <c r="CX230" t="s">
        <v>2454</v>
      </c>
      <c r="CY230">
        <v>77</v>
      </c>
      <c r="CZ230" t="s">
        <v>2453</v>
      </c>
    </row>
    <row r="231" spans="1:104" ht="14.25">
      <c r="A231" t="s">
        <v>3650</v>
      </c>
      <c r="B231" t="s">
        <v>3650</v>
      </c>
      <c r="C231" t="s">
        <v>3649</v>
      </c>
      <c r="D231">
        <v>16</v>
      </c>
      <c r="E231" t="s">
        <v>2468</v>
      </c>
      <c r="F231" t="s">
        <v>2489</v>
      </c>
      <c r="G231" t="s">
        <v>2973</v>
      </c>
      <c r="H231"/>
      <c r="I231"/>
      <c r="J231" t="s">
        <v>2502</v>
      </c>
      <c r="K231"/>
      <c r="L231"/>
      <c r="M231">
        <v>19</v>
      </c>
      <c r="N231">
        <v>200</v>
      </c>
      <c r="O231">
        <v>16</v>
      </c>
      <c r="P231">
        <v>10</v>
      </c>
      <c r="Q231">
        <v>112</v>
      </c>
      <c r="R231" t="s">
        <v>2972</v>
      </c>
      <c r="S231" t="s">
        <v>3648</v>
      </c>
      <c r="T231" t="s">
        <v>2462</v>
      </c>
      <c r="U231" t="s">
        <v>3647</v>
      </c>
      <c r="V231">
        <v>40</v>
      </c>
      <c r="W231"/>
      <c r="X231"/>
      <c r="Y231">
        <v>120</v>
      </c>
      <c r="Z231"/>
      <c r="AA231">
        <v>24</v>
      </c>
      <c r="AB231">
        <v>20</v>
      </c>
      <c r="AC231">
        <v>24</v>
      </c>
      <c r="AD231">
        <v>19</v>
      </c>
      <c r="AE231">
        <v>22</v>
      </c>
      <c r="AF231">
        <v>25</v>
      </c>
      <c r="AG231">
        <v>17</v>
      </c>
      <c r="AH231"/>
      <c r="AI231"/>
      <c r="AJ231"/>
      <c r="AK231"/>
      <c r="AL231"/>
      <c r="AM231"/>
      <c r="AN231"/>
      <c r="AO231">
        <v>265</v>
      </c>
      <c r="AP231"/>
      <c r="AQ231"/>
      <c r="AR231"/>
      <c r="AS231"/>
      <c r="AT231"/>
      <c r="AU231"/>
      <c r="AV231"/>
      <c r="AW231"/>
      <c r="AX231"/>
      <c r="AY231" t="s">
        <v>3282</v>
      </c>
      <c r="AZ231" t="s">
        <v>3646</v>
      </c>
      <c r="BA231" t="s">
        <v>3282</v>
      </c>
      <c r="BB231" t="s">
        <v>3280</v>
      </c>
      <c r="BC231" t="s">
        <v>3645</v>
      </c>
      <c r="BD231" t="s">
        <v>3280</v>
      </c>
      <c r="BE231" t="s">
        <v>2635</v>
      </c>
      <c r="BF231" t="s">
        <v>3644</v>
      </c>
      <c r="BG231" t="s">
        <v>2635</v>
      </c>
      <c r="BH231" t="s">
        <v>2873</v>
      </c>
      <c r="BI231" t="s">
        <v>3643</v>
      </c>
      <c r="BJ231"/>
      <c r="BK231"/>
      <c r="BL231"/>
      <c r="BM231"/>
      <c r="BN231"/>
      <c r="BO231"/>
      <c r="BP231" t="s">
        <v>2480</v>
      </c>
      <c r="BQ231" t="s">
        <v>3642</v>
      </c>
      <c r="BR231" t="s">
        <v>2480</v>
      </c>
      <c r="BS231" t="s">
        <v>3143</v>
      </c>
      <c r="BT231" t="s">
        <v>3641</v>
      </c>
      <c r="BU231" t="s">
        <v>3640</v>
      </c>
      <c r="BV231" t="s">
        <v>3268</v>
      </c>
      <c r="BW231" t="s">
        <v>3639</v>
      </c>
      <c r="BX231" t="s">
        <v>3268</v>
      </c>
      <c r="BY231"/>
      <c r="BZ231"/>
      <c r="CA231"/>
      <c r="CB231"/>
      <c r="CC231"/>
      <c r="CD231"/>
      <c r="CE231"/>
      <c r="CF231"/>
      <c r="CG231"/>
      <c r="CH231"/>
      <c r="CI231"/>
      <c r="CJ231"/>
      <c r="CK231"/>
      <c r="CL231"/>
      <c r="CM231"/>
      <c r="CN231"/>
      <c r="CO231"/>
      <c r="CP231"/>
      <c r="CQ231"/>
      <c r="CR231"/>
      <c r="CS231"/>
      <c r="CT231"/>
      <c r="CU231"/>
      <c r="CV231"/>
      <c r="CW231"/>
      <c r="CX231" t="s">
        <v>2454</v>
      </c>
      <c r="CY231">
        <v>17</v>
      </c>
      <c r="CZ231" t="s">
        <v>2453</v>
      </c>
    </row>
    <row r="232" spans="1:104" ht="14.25">
      <c r="A232" t="s">
        <v>3638</v>
      </c>
      <c r="B232" t="s">
        <v>3638</v>
      </c>
      <c r="C232" t="s">
        <v>3637</v>
      </c>
      <c r="D232">
        <v>2</v>
      </c>
      <c r="E232" t="s">
        <v>2468</v>
      </c>
      <c r="F232" t="s">
        <v>2489</v>
      </c>
      <c r="G232" t="s">
        <v>2690</v>
      </c>
      <c r="H232" t="s">
        <v>2984</v>
      </c>
      <c r="I232"/>
      <c r="J232" t="s">
        <v>2013</v>
      </c>
      <c r="K232"/>
      <c r="L232"/>
      <c r="M232">
        <v>13</v>
      </c>
      <c r="N232">
        <v>68</v>
      </c>
      <c r="O232">
        <v>8</v>
      </c>
      <c r="P232">
        <v>10</v>
      </c>
      <c r="Q232">
        <v>24</v>
      </c>
      <c r="R232" t="s">
        <v>2464</v>
      </c>
      <c r="S232" t="s">
        <v>3636</v>
      </c>
      <c r="T232" t="s">
        <v>2462</v>
      </c>
      <c r="U232" t="s">
        <v>2462</v>
      </c>
      <c r="V232">
        <v>20</v>
      </c>
      <c r="W232"/>
      <c r="X232"/>
      <c r="Y232"/>
      <c r="Z232">
        <v>40</v>
      </c>
      <c r="AA232">
        <v>18</v>
      </c>
      <c r="AB232">
        <v>15</v>
      </c>
      <c r="AC232">
        <v>16</v>
      </c>
      <c r="AD232">
        <v>2</v>
      </c>
      <c r="AE232">
        <v>12</v>
      </c>
      <c r="AF232">
        <v>5</v>
      </c>
      <c r="AG232">
        <v>80</v>
      </c>
      <c r="AH232"/>
      <c r="AI232"/>
      <c r="AJ232"/>
      <c r="AK232"/>
      <c r="AL232"/>
      <c r="AM232"/>
      <c r="AN232">
        <v>40</v>
      </c>
      <c r="AO232">
        <v>282</v>
      </c>
      <c r="AP232"/>
      <c r="AQ232"/>
      <c r="AR232"/>
      <c r="AS232"/>
      <c r="AT232"/>
      <c r="AU232"/>
      <c r="AV232"/>
      <c r="AW232"/>
      <c r="AX232"/>
      <c r="AY232" t="s">
        <v>3634</v>
      </c>
      <c r="AZ232" t="s">
        <v>3635</v>
      </c>
      <c r="BA232" t="s">
        <v>3634</v>
      </c>
      <c r="BB232"/>
      <c r="BC232"/>
      <c r="BD232"/>
      <c r="BE232"/>
      <c r="BF232"/>
      <c r="BG232"/>
      <c r="BH232"/>
      <c r="BI232"/>
      <c r="BJ232"/>
      <c r="BK232"/>
      <c r="BL232"/>
      <c r="BM232"/>
      <c r="BN232"/>
      <c r="BO232"/>
      <c r="BP232" t="s">
        <v>2479</v>
      </c>
      <c r="BQ232" t="s">
        <v>3633</v>
      </c>
      <c r="BR232" t="s">
        <v>3632</v>
      </c>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t="s">
        <v>2454</v>
      </c>
      <c r="CY232">
        <v>80</v>
      </c>
      <c r="CZ232" t="s">
        <v>2453</v>
      </c>
    </row>
    <row r="233" spans="1:104" ht="14.25">
      <c r="A233" t="s">
        <v>3631</v>
      </c>
      <c r="B233" t="s">
        <v>3630</v>
      </c>
      <c r="C233" t="s">
        <v>3629</v>
      </c>
      <c r="D233">
        <v>0.125</v>
      </c>
      <c r="E233" t="s">
        <v>2680</v>
      </c>
      <c r="F233" t="s">
        <v>2719</v>
      </c>
      <c r="G233" t="s">
        <v>2690</v>
      </c>
      <c r="H233"/>
      <c r="I233"/>
      <c r="J233" t="s">
        <v>2013</v>
      </c>
      <c r="K233"/>
      <c r="L233"/>
      <c r="M233">
        <v>13</v>
      </c>
      <c r="N233">
        <v>2</v>
      </c>
      <c r="O233">
        <v>1</v>
      </c>
      <c r="P233">
        <v>4</v>
      </c>
      <c r="Q233"/>
      <c r="R233" t="s">
        <v>2464</v>
      </c>
      <c r="S233" t="s">
        <v>2826</v>
      </c>
      <c r="T233" t="s">
        <v>2462</v>
      </c>
      <c r="U233" t="s">
        <v>2462</v>
      </c>
      <c r="V233">
        <v>30</v>
      </c>
      <c r="W233"/>
      <c r="X233"/>
      <c r="Y233"/>
      <c r="Z233">
        <v>30</v>
      </c>
      <c r="AA233">
        <v>2</v>
      </c>
      <c r="AB233">
        <v>16</v>
      </c>
      <c r="AC233">
        <v>11</v>
      </c>
      <c r="AD233">
        <v>1</v>
      </c>
      <c r="AE233">
        <v>10</v>
      </c>
      <c r="AF233">
        <v>3</v>
      </c>
      <c r="AG233">
        <v>334</v>
      </c>
      <c r="AH233">
        <v>308</v>
      </c>
      <c r="AI233"/>
      <c r="AJ233"/>
      <c r="AK233"/>
      <c r="AL233"/>
      <c r="AM233"/>
      <c r="AN233">
        <v>40</v>
      </c>
      <c r="AO233">
        <v>381</v>
      </c>
      <c r="AP233"/>
      <c r="AQ233"/>
      <c r="AR233"/>
      <c r="AS233"/>
      <c r="AT233"/>
      <c r="AU233"/>
      <c r="AV233"/>
      <c r="AW233"/>
      <c r="AX233"/>
      <c r="AY233"/>
      <c r="AZ233"/>
      <c r="BA233"/>
      <c r="BB233"/>
      <c r="BC233"/>
      <c r="BD233"/>
      <c r="BE233"/>
      <c r="BF233"/>
      <c r="BG233"/>
      <c r="BH233"/>
      <c r="BI233"/>
      <c r="BJ233"/>
      <c r="BK233"/>
      <c r="BL233"/>
      <c r="BM233"/>
      <c r="BN233"/>
      <c r="BO233"/>
      <c r="BP233" t="s">
        <v>2479</v>
      </c>
      <c r="BQ233" t="s">
        <v>3628</v>
      </c>
      <c r="BR233" t="s">
        <v>2823</v>
      </c>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t="s">
        <v>2454</v>
      </c>
      <c r="CY233">
        <v>334</v>
      </c>
      <c r="CZ233" t="s">
        <v>2453</v>
      </c>
    </row>
    <row r="234" spans="1:104" ht="14.25">
      <c r="A234" t="s">
        <v>3627</v>
      </c>
      <c r="B234" t="s">
        <v>3626</v>
      </c>
      <c r="C234" t="s">
        <v>3625</v>
      </c>
      <c r="D234">
        <v>2</v>
      </c>
      <c r="E234" t="s">
        <v>2680</v>
      </c>
      <c r="F234" t="s">
        <v>2489</v>
      </c>
      <c r="G234" t="s">
        <v>2690</v>
      </c>
      <c r="H234"/>
      <c r="I234"/>
      <c r="J234" t="s">
        <v>2013</v>
      </c>
      <c r="K234"/>
      <c r="L234"/>
      <c r="M234">
        <v>12</v>
      </c>
      <c r="N234">
        <v>42</v>
      </c>
      <c r="O234">
        <v>5</v>
      </c>
      <c r="P234">
        <v>10</v>
      </c>
      <c r="Q234">
        <v>15</v>
      </c>
      <c r="R234" t="s">
        <v>2464</v>
      </c>
      <c r="S234" t="s">
        <v>3624</v>
      </c>
      <c r="T234" t="s">
        <v>3437</v>
      </c>
      <c r="U234" t="s">
        <v>2462</v>
      </c>
      <c r="V234">
        <v>40</v>
      </c>
      <c r="W234"/>
      <c r="X234"/>
      <c r="Y234"/>
      <c r="Z234">
        <v>30</v>
      </c>
      <c r="AA234">
        <v>20</v>
      </c>
      <c r="AB234">
        <v>10</v>
      </c>
      <c r="AC234">
        <v>16</v>
      </c>
      <c r="AD234">
        <v>2</v>
      </c>
      <c r="AE234">
        <v>13</v>
      </c>
      <c r="AF234">
        <v>7</v>
      </c>
      <c r="AG234">
        <v>334</v>
      </c>
      <c r="AH234"/>
      <c r="AI234"/>
      <c r="AJ234"/>
      <c r="AK234"/>
      <c r="AL234"/>
      <c r="AM234"/>
      <c r="AN234">
        <v>41</v>
      </c>
      <c r="AO234">
        <v>381</v>
      </c>
      <c r="AP234"/>
      <c r="AQ234">
        <v>21</v>
      </c>
      <c r="AR234"/>
      <c r="AS234"/>
      <c r="AT234"/>
      <c r="AU234"/>
      <c r="AV234" t="s">
        <v>3623</v>
      </c>
      <c r="AW234"/>
      <c r="AX234"/>
      <c r="AY234" t="s">
        <v>2581</v>
      </c>
      <c r="AZ234" t="s">
        <v>3622</v>
      </c>
      <c r="BA234" t="s">
        <v>2581</v>
      </c>
      <c r="BB234"/>
      <c r="BC234"/>
      <c r="BD234"/>
      <c r="BE234"/>
      <c r="BF234"/>
      <c r="BG234"/>
      <c r="BH234"/>
      <c r="BI234"/>
      <c r="BJ234"/>
      <c r="BK234"/>
      <c r="BL234"/>
      <c r="BM234"/>
      <c r="BN234"/>
      <c r="BO234"/>
      <c r="BP234" t="s">
        <v>2480</v>
      </c>
      <c r="BQ234" t="s">
        <v>3621</v>
      </c>
      <c r="BR234" t="s">
        <v>2480</v>
      </c>
      <c r="BS234" t="s">
        <v>2479</v>
      </c>
      <c r="BT234" t="s">
        <v>3620</v>
      </c>
      <c r="BU234" t="s">
        <v>3619</v>
      </c>
      <c r="BV234" t="s">
        <v>2652</v>
      </c>
      <c r="BW234" t="s">
        <v>3618</v>
      </c>
      <c r="BX234" t="s">
        <v>3617</v>
      </c>
      <c r="BY234"/>
      <c r="BZ234"/>
      <c r="CA234"/>
      <c r="CB234"/>
      <c r="CC234"/>
      <c r="CD234"/>
      <c r="CE234"/>
      <c r="CF234"/>
      <c r="CG234"/>
      <c r="CH234"/>
      <c r="CI234"/>
      <c r="CJ234"/>
      <c r="CK234"/>
      <c r="CL234"/>
      <c r="CM234"/>
      <c r="CN234"/>
      <c r="CO234"/>
      <c r="CP234"/>
      <c r="CQ234"/>
      <c r="CR234"/>
      <c r="CS234"/>
      <c r="CT234"/>
      <c r="CU234"/>
      <c r="CV234"/>
      <c r="CW234"/>
      <c r="CX234" t="s">
        <v>2454</v>
      </c>
      <c r="CY234">
        <v>334</v>
      </c>
      <c r="CZ234" t="s">
        <v>2453</v>
      </c>
    </row>
    <row r="235" spans="1:104" ht="14.25">
      <c r="A235" t="s">
        <v>3616</v>
      </c>
      <c r="B235" t="s">
        <v>3616</v>
      </c>
      <c r="C235" t="s">
        <v>3615</v>
      </c>
      <c r="D235">
        <v>0.125</v>
      </c>
      <c r="E235" t="s">
        <v>2680</v>
      </c>
      <c r="F235" t="s">
        <v>2467</v>
      </c>
      <c r="G235" t="s">
        <v>2690</v>
      </c>
      <c r="H235"/>
      <c r="I235"/>
      <c r="J235" t="s">
        <v>2013</v>
      </c>
      <c r="K235"/>
      <c r="L235"/>
      <c r="M235">
        <v>10</v>
      </c>
      <c r="N235">
        <v>11</v>
      </c>
      <c r="O235">
        <v>2</v>
      </c>
      <c r="P235">
        <v>8</v>
      </c>
      <c r="Q235">
        <v>2</v>
      </c>
      <c r="R235" t="s">
        <v>2464</v>
      </c>
      <c r="S235" t="s">
        <v>2757</v>
      </c>
      <c r="T235" t="s">
        <v>2462</v>
      </c>
      <c r="U235" t="s">
        <v>2462</v>
      </c>
      <c r="V235">
        <v>40</v>
      </c>
      <c r="W235"/>
      <c r="X235"/>
      <c r="Y235"/>
      <c r="Z235"/>
      <c r="AA235">
        <v>15</v>
      </c>
      <c r="AB235">
        <v>10</v>
      </c>
      <c r="AC235">
        <v>13</v>
      </c>
      <c r="AD235">
        <v>2</v>
      </c>
      <c r="AE235">
        <v>11</v>
      </c>
      <c r="AF235">
        <v>7</v>
      </c>
      <c r="AG235">
        <v>335</v>
      </c>
      <c r="AH235"/>
      <c r="AI235"/>
      <c r="AJ235"/>
      <c r="AK235"/>
      <c r="AL235"/>
      <c r="AM235"/>
      <c r="AN235">
        <v>41</v>
      </c>
      <c r="AO235">
        <v>381</v>
      </c>
      <c r="AP235"/>
      <c r="AQ235"/>
      <c r="AR235"/>
      <c r="AS235"/>
      <c r="AT235"/>
      <c r="AU235"/>
      <c r="AV235"/>
      <c r="AW235"/>
      <c r="AX235"/>
      <c r="AY235"/>
      <c r="AZ235"/>
      <c r="BA235"/>
      <c r="BB235"/>
      <c r="BC235"/>
      <c r="BD235"/>
      <c r="BE235"/>
      <c r="BF235"/>
      <c r="BG235"/>
      <c r="BH235"/>
      <c r="BI235"/>
      <c r="BJ235"/>
      <c r="BK235"/>
      <c r="BL235"/>
      <c r="BM235"/>
      <c r="BN235"/>
      <c r="BO235"/>
      <c r="BP235" t="s">
        <v>2844</v>
      </c>
      <c r="BQ235" t="s">
        <v>3614</v>
      </c>
      <c r="BR235" t="s">
        <v>3613</v>
      </c>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t="s">
        <v>2454</v>
      </c>
      <c r="CY235">
        <v>335</v>
      </c>
      <c r="CZ235" t="s">
        <v>2453</v>
      </c>
    </row>
    <row r="236" spans="1:104" ht="14.25">
      <c r="A236" t="s">
        <v>3612</v>
      </c>
      <c r="B236" t="s">
        <v>3612</v>
      </c>
      <c r="C236" t="s">
        <v>3611</v>
      </c>
      <c r="D236">
        <v>2</v>
      </c>
      <c r="E236" t="s">
        <v>2609</v>
      </c>
      <c r="F236" t="s">
        <v>2467</v>
      </c>
      <c r="G236" t="s">
        <v>2608</v>
      </c>
      <c r="H236" t="s">
        <v>2607</v>
      </c>
      <c r="I236"/>
      <c r="J236" t="s">
        <v>2607</v>
      </c>
      <c r="K236">
        <v>5</v>
      </c>
      <c r="L236" t="s">
        <v>2005</v>
      </c>
      <c r="M236">
        <v>13</v>
      </c>
      <c r="N236">
        <v>27</v>
      </c>
      <c r="O236">
        <v>5</v>
      </c>
      <c r="P236">
        <v>8</v>
      </c>
      <c r="Q236">
        <v>5</v>
      </c>
      <c r="R236" t="s">
        <v>2972</v>
      </c>
      <c r="S236" t="s">
        <v>3259</v>
      </c>
      <c r="T236" t="s">
        <v>2462</v>
      </c>
      <c r="U236" t="s">
        <v>2462</v>
      </c>
      <c r="V236">
        <v>25</v>
      </c>
      <c r="W236"/>
      <c r="X236"/>
      <c r="Y236"/>
      <c r="Z236"/>
      <c r="AA236">
        <v>10</v>
      </c>
      <c r="AB236">
        <v>10</v>
      </c>
      <c r="AC236">
        <v>12</v>
      </c>
      <c r="AD236">
        <v>13</v>
      </c>
      <c r="AE236">
        <v>16</v>
      </c>
      <c r="AF236">
        <v>13</v>
      </c>
      <c r="AG236">
        <v>348</v>
      </c>
      <c r="AH236"/>
      <c r="AI236"/>
      <c r="AJ236"/>
      <c r="AK236"/>
      <c r="AL236"/>
      <c r="AM236"/>
      <c r="AN236">
        <v>55</v>
      </c>
      <c r="AO236">
        <v>396</v>
      </c>
      <c r="AP236">
        <v>15</v>
      </c>
      <c r="AQ236"/>
      <c r="AR236"/>
      <c r="AS236" t="s">
        <v>3610</v>
      </c>
      <c r="AT236"/>
      <c r="AU236"/>
      <c r="AV236"/>
      <c r="AW236"/>
      <c r="AX236"/>
      <c r="AY236" t="s">
        <v>3609</v>
      </c>
      <c r="AZ236" t="s">
        <v>3608</v>
      </c>
      <c r="BA236" t="s">
        <v>3607</v>
      </c>
      <c r="BB236" t="s">
        <v>3235</v>
      </c>
      <c r="BC236" t="s">
        <v>3606</v>
      </c>
      <c r="BD236" t="s">
        <v>3235</v>
      </c>
      <c r="BE236"/>
      <c r="BF236"/>
      <c r="BG236"/>
      <c r="BH236"/>
      <c r="BI236"/>
      <c r="BJ236"/>
      <c r="BK236"/>
      <c r="BL236"/>
      <c r="BM236"/>
      <c r="BN236"/>
      <c r="BO236"/>
      <c r="BP236" t="s">
        <v>2597</v>
      </c>
      <c r="BQ236" t="s">
        <v>3605</v>
      </c>
      <c r="BR236" t="s">
        <v>3604</v>
      </c>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t="s">
        <v>2454</v>
      </c>
      <c r="CY236">
        <v>348</v>
      </c>
      <c r="CZ236" t="s">
        <v>2453</v>
      </c>
    </row>
    <row r="237" spans="1:104" ht="14.25">
      <c r="A237" t="s">
        <v>3603</v>
      </c>
      <c r="B237" t="s">
        <v>3603</v>
      </c>
      <c r="C237" t="s">
        <v>3602</v>
      </c>
      <c r="D237">
        <v>0.25</v>
      </c>
      <c r="E237" t="s">
        <v>2468</v>
      </c>
      <c r="F237" t="s">
        <v>2719</v>
      </c>
      <c r="G237" t="s">
        <v>2488</v>
      </c>
      <c r="H237"/>
      <c r="I237"/>
      <c r="J237" t="s">
        <v>2642</v>
      </c>
      <c r="K237"/>
      <c r="L237"/>
      <c r="M237">
        <v>13</v>
      </c>
      <c r="N237">
        <v>7</v>
      </c>
      <c r="O237">
        <v>2</v>
      </c>
      <c r="P237">
        <v>4</v>
      </c>
      <c r="Q237">
        <v>2</v>
      </c>
      <c r="R237" t="s">
        <v>2464</v>
      </c>
      <c r="S237" t="s">
        <v>2793</v>
      </c>
      <c r="T237" t="s">
        <v>2793</v>
      </c>
      <c r="U237" t="s">
        <v>2462</v>
      </c>
      <c r="V237">
        <v>15</v>
      </c>
      <c r="W237"/>
      <c r="X237"/>
      <c r="Y237">
        <v>60</v>
      </c>
      <c r="Z237"/>
      <c r="AA237">
        <v>6</v>
      </c>
      <c r="AB237">
        <v>15</v>
      </c>
      <c r="AC237">
        <v>13</v>
      </c>
      <c r="AD237">
        <v>10</v>
      </c>
      <c r="AE237">
        <v>12</v>
      </c>
      <c r="AF237">
        <v>10</v>
      </c>
      <c r="AG237">
        <v>254</v>
      </c>
      <c r="AH237">
        <v>308</v>
      </c>
      <c r="AI237"/>
      <c r="AJ237"/>
      <c r="AK237"/>
      <c r="AL237"/>
      <c r="AM237"/>
      <c r="AN237"/>
      <c r="AO237">
        <v>343</v>
      </c>
      <c r="AP237"/>
      <c r="AQ237">
        <v>21</v>
      </c>
      <c r="AR237"/>
      <c r="AS237"/>
      <c r="AT237"/>
      <c r="AU237"/>
      <c r="AV237"/>
      <c r="AW237"/>
      <c r="AX237"/>
      <c r="AY237" t="s">
        <v>3600</v>
      </c>
      <c r="AZ237" t="s">
        <v>3601</v>
      </c>
      <c r="BA237" t="s">
        <v>3600</v>
      </c>
      <c r="BB237" t="s">
        <v>2873</v>
      </c>
      <c r="BC237" t="s">
        <v>3599</v>
      </c>
      <c r="BD237" t="s">
        <v>2873</v>
      </c>
      <c r="BE237" t="s">
        <v>3597</v>
      </c>
      <c r="BF237" t="s">
        <v>3598</v>
      </c>
      <c r="BG237" t="s">
        <v>3597</v>
      </c>
      <c r="BH237" t="s">
        <v>3566</v>
      </c>
      <c r="BI237" t="s">
        <v>3596</v>
      </c>
      <c r="BJ237"/>
      <c r="BK237"/>
      <c r="BL237"/>
      <c r="BM237"/>
      <c r="BN237"/>
      <c r="BO237"/>
      <c r="BP237" t="s">
        <v>2479</v>
      </c>
      <c r="BQ237" t="s">
        <v>3595</v>
      </c>
      <c r="BR237" t="s">
        <v>2787</v>
      </c>
      <c r="BS237" t="s">
        <v>3390</v>
      </c>
      <c r="BT237" t="s">
        <v>3594</v>
      </c>
      <c r="BU237" t="s">
        <v>3593</v>
      </c>
      <c r="BV237"/>
      <c r="BW237"/>
      <c r="BX237"/>
      <c r="BY237"/>
      <c r="BZ237"/>
      <c r="CA237"/>
      <c r="CB237"/>
      <c r="CC237"/>
      <c r="CD237"/>
      <c r="CE237"/>
      <c r="CF237"/>
      <c r="CG237"/>
      <c r="CH237"/>
      <c r="CI237"/>
      <c r="CJ237"/>
      <c r="CK237"/>
      <c r="CL237"/>
      <c r="CM237"/>
      <c r="CN237"/>
      <c r="CO237"/>
      <c r="CP237"/>
      <c r="CQ237"/>
      <c r="CR237"/>
      <c r="CS237"/>
      <c r="CT237"/>
      <c r="CU237"/>
      <c r="CV237"/>
      <c r="CW237"/>
      <c r="CX237" t="s">
        <v>2454</v>
      </c>
      <c r="CY237">
        <v>254</v>
      </c>
      <c r="CZ237" t="s">
        <v>2453</v>
      </c>
    </row>
    <row r="238" spans="1:104" ht="14.25">
      <c r="A238" t="s">
        <v>3592</v>
      </c>
      <c r="B238" t="s">
        <v>3592</v>
      </c>
      <c r="C238" t="s">
        <v>3591</v>
      </c>
      <c r="D238">
        <v>0.25</v>
      </c>
      <c r="E238" t="s">
        <v>2468</v>
      </c>
      <c r="F238" t="s">
        <v>2467</v>
      </c>
      <c r="G238" t="s">
        <v>2690</v>
      </c>
      <c r="H238" t="s">
        <v>2984</v>
      </c>
      <c r="I238"/>
      <c r="J238" t="s">
        <v>2013</v>
      </c>
      <c r="K238"/>
      <c r="L238"/>
      <c r="M238">
        <v>13</v>
      </c>
      <c r="N238">
        <v>13</v>
      </c>
      <c r="O238">
        <v>3</v>
      </c>
      <c r="P238">
        <v>8</v>
      </c>
      <c r="Q238"/>
      <c r="R238" t="s">
        <v>2464</v>
      </c>
      <c r="S238" t="s">
        <v>3403</v>
      </c>
      <c r="T238" t="s">
        <v>2462</v>
      </c>
      <c r="U238" t="s">
        <v>2462</v>
      </c>
      <c r="V238">
        <v>10</v>
      </c>
      <c r="W238"/>
      <c r="X238"/>
      <c r="Y238">
        <v>60</v>
      </c>
      <c r="Z238"/>
      <c r="AA238">
        <v>12</v>
      </c>
      <c r="AB238">
        <v>15</v>
      </c>
      <c r="AC238">
        <v>10</v>
      </c>
      <c r="AD238">
        <v>2</v>
      </c>
      <c r="AE238">
        <v>9</v>
      </c>
      <c r="AF238">
        <v>5</v>
      </c>
      <c r="AG238">
        <v>80</v>
      </c>
      <c r="AH238"/>
      <c r="AI238"/>
      <c r="AJ238"/>
      <c r="AK238"/>
      <c r="AL238"/>
      <c r="AM238"/>
      <c r="AN238">
        <v>41</v>
      </c>
      <c r="AO238"/>
      <c r="AP238"/>
      <c r="AQ238"/>
      <c r="AR238"/>
      <c r="AS238"/>
      <c r="AT238"/>
      <c r="AU238"/>
      <c r="AV238"/>
      <c r="AW238"/>
      <c r="AX238"/>
      <c r="AY238" t="s">
        <v>3589</v>
      </c>
      <c r="AZ238" t="s">
        <v>3590</v>
      </c>
      <c r="BA238" t="s">
        <v>3589</v>
      </c>
      <c r="BB238"/>
      <c r="BC238"/>
      <c r="BD238"/>
      <c r="BE238"/>
      <c r="BF238"/>
      <c r="BG238"/>
      <c r="BH238"/>
      <c r="BI238"/>
      <c r="BJ238"/>
      <c r="BK238"/>
      <c r="BL238"/>
      <c r="BM238"/>
      <c r="BN238"/>
      <c r="BO238"/>
      <c r="BP238" t="s">
        <v>2479</v>
      </c>
      <c r="BQ238" t="s">
        <v>3588</v>
      </c>
      <c r="BR238" t="s">
        <v>3587</v>
      </c>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t="s">
        <v>2454</v>
      </c>
      <c r="CY238">
        <v>80</v>
      </c>
      <c r="CZ238" t="s">
        <v>2453</v>
      </c>
    </row>
    <row r="239" spans="1:104" ht="14.25">
      <c r="A239" t="s">
        <v>3586</v>
      </c>
      <c r="B239" t="s">
        <v>3585</v>
      </c>
      <c r="C239" t="s">
        <v>3584</v>
      </c>
      <c r="D239">
        <v>15</v>
      </c>
      <c r="E239" t="s">
        <v>2468</v>
      </c>
      <c r="F239" t="s">
        <v>3077</v>
      </c>
      <c r="G239" t="s">
        <v>2587</v>
      </c>
      <c r="H239"/>
      <c r="I239"/>
      <c r="J239" t="s">
        <v>2013</v>
      </c>
      <c r="K239"/>
      <c r="L239"/>
      <c r="M239">
        <v>18</v>
      </c>
      <c r="N239">
        <v>247</v>
      </c>
      <c r="O239">
        <v>15</v>
      </c>
      <c r="P239">
        <v>20</v>
      </c>
      <c r="Q239">
        <v>90</v>
      </c>
      <c r="R239" t="s">
        <v>2464</v>
      </c>
      <c r="S239" t="s">
        <v>3583</v>
      </c>
      <c r="T239" t="s">
        <v>3582</v>
      </c>
      <c r="U239" t="s">
        <v>2462</v>
      </c>
      <c r="V239">
        <v>50</v>
      </c>
      <c r="W239">
        <v>30</v>
      </c>
      <c r="X239"/>
      <c r="Y239"/>
      <c r="Z239"/>
      <c r="AA239">
        <v>28</v>
      </c>
      <c r="AB239">
        <v>7</v>
      </c>
      <c r="AC239">
        <v>22</v>
      </c>
      <c r="AD239">
        <v>1</v>
      </c>
      <c r="AE239">
        <v>8</v>
      </c>
      <c r="AF239">
        <v>4</v>
      </c>
      <c r="AG239">
        <v>255</v>
      </c>
      <c r="AH239"/>
      <c r="AI239"/>
      <c r="AJ239"/>
      <c r="AK239"/>
      <c r="AL239"/>
      <c r="AM239"/>
      <c r="AN239"/>
      <c r="AO239">
        <v>343</v>
      </c>
      <c r="AP239"/>
      <c r="AQ239"/>
      <c r="AR239"/>
      <c r="AS239"/>
      <c r="AT239">
        <v>29</v>
      </c>
      <c r="AU239"/>
      <c r="AV239"/>
      <c r="AW239"/>
      <c r="AX239"/>
      <c r="AY239" t="s">
        <v>3580</v>
      </c>
      <c r="AZ239" t="s">
        <v>3581</v>
      </c>
      <c r="BA239" t="s">
        <v>3580</v>
      </c>
      <c r="BB239"/>
      <c r="BC239"/>
      <c r="BD239"/>
      <c r="BE239"/>
      <c r="BF239"/>
      <c r="BG239"/>
      <c r="BH239"/>
      <c r="BI239"/>
      <c r="BJ239"/>
      <c r="BK239"/>
      <c r="BL239"/>
      <c r="BM239"/>
      <c r="BN239"/>
      <c r="BO239"/>
      <c r="BP239" t="s">
        <v>2480</v>
      </c>
      <c r="BQ239" t="s">
        <v>3579</v>
      </c>
      <c r="BR239" t="s">
        <v>2480</v>
      </c>
      <c r="BS239" t="s">
        <v>2479</v>
      </c>
      <c r="BT239" t="s">
        <v>3578</v>
      </c>
      <c r="BU239" t="s">
        <v>3577</v>
      </c>
      <c r="BV239" t="s">
        <v>3576</v>
      </c>
      <c r="BW239" t="s">
        <v>3575</v>
      </c>
      <c r="BX239" t="s">
        <v>3574</v>
      </c>
      <c r="BY239"/>
      <c r="BZ239"/>
      <c r="CA239"/>
      <c r="CB239"/>
      <c r="CC239"/>
      <c r="CD239"/>
      <c r="CE239"/>
      <c r="CF239"/>
      <c r="CG239"/>
      <c r="CH239"/>
      <c r="CI239"/>
      <c r="CJ239"/>
      <c r="CK239"/>
      <c r="CL239"/>
      <c r="CM239"/>
      <c r="CN239"/>
      <c r="CO239"/>
      <c r="CP239"/>
      <c r="CQ239"/>
      <c r="CR239"/>
      <c r="CS239"/>
      <c r="CT239"/>
      <c r="CU239"/>
      <c r="CV239"/>
      <c r="CW239"/>
      <c r="CX239" t="s">
        <v>2454</v>
      </c>
      <c r="CY239">
        <v>255</v>
      </c>
      <c r="CZ239" t="s">
        <v>2453</v>
      </c>
    </row>
    <row r="240" spans="1:104" ht="14.25">
      <c r="A240" t="s">
        <v>3573</v>
      </c>
      <c r="B240" t="s">
        <v>3573</v>
      </c>
      <c r="C240" t="s">
        <v>3572</v>
      </c>
      <c r="D240">
        <v>1</v>
      </c>
      <c r="E240" t="s">
        <v>2468</v>
      </c>
      <c r="F240" t="s">
        <v>2719</v>
      </c>
      <c r="G240" t="s">
        <v>2879</v>
      </c>
      <c r="H240" t="s">
        <v>2878</v>
      </c>
      <c r="I240">
        <v>1</v>
      </c>
      <c r="J240" t="s">
        <v>2487</v>
      </c>
      <c r="K240"/>
      <c r="L240"/>
      <c r="M240">
        <v>13</v>
      </c>
      <c r="N240">
        <v>7</v>
      </c>
      <c r="O240">
        <v>3</v>
      </c>
      <c r="P240">
        <v>4</v>
      </c>
      <c r="Q240"/>
      <c r="R240" t="s">
        <v>2464</v>
      </c>
      <c r="S240" t="s">
        <v>3191</v>
      </c>
      <c r="T240" t="s">
        <v>2462</v>
      </c>
      <c r="U240" t="s">
        <v>2462</v>
      </c>
      <c r="V240">
        <v>40</v>
      </c>
      <c r="W240"/>
      <c r="X240"/>
      <c r="Y240"/>
      <c r="Z240"/>
      <c r="AA240">
        <v>5</v>
      </c>
      <c r="AB240">
        <v>17</v>
      </c>
      <c r="AC240">
        <v>10</v>
      </c>
      <c r="AD240">
        <v>7</v>
      </c>
      <c r="AE240">
        <v>10</v>
      </c>
      <c r="AF240">
        <v>10</v>
      </c>
      <c r="AG240">
        <v>63</v>
      </c>
      <c r="AH240">
        <v>309</v>
      </c>
      <c r="AI240"/>
      <c r="AJ240"/>
      <c r="AK240"/>
      <c r="AL240"/>
      <c r="AM240"/>
      <c r="AN240"/>
      <c r="AO240">
        <v>276</v>
      </c>
      <c r="AP240"/>
      <c r="AQ240"/>
      <c r="AR240"/>
      <c r="AS240"/>
      <c r="AT240"/>
      <c r="AU240"/>
      <c r="AV240" t="s">
        <v>3571</v>
      </c>
      <c r="AW240"/>
      <c r="AX240" t="s">
        <v>3570</v>
      </c>
      <c r="AY240" t="s">
        <v>2755</v>
      </c>
      <c r="AZ240" t="s">
        <v>3569</v>
      </c>
      <c r="BA240" t="s">
        <v>2755</v>
      </c>
      <c r="BB240" t="s">
        <v>2873</v>
      </c>
      <c r="BC240" t="s">
        <v>3568</v>
      </c>
      <c r="BD240" t="s">
        <v>2873</v>
      </c>
      <c r="BE240" t="s">
        <v>3566</v>
      </c>
      <c r="BF240" t="s">
        <v>3567</v>
      </c>
      <c r="BG240" t="s">
        <v>3566</v>
      </c>
      <c r="BH240"/>
      <c r="BI240"/>
      <c r="BJ240"/>
      <c r="BK240"/>
      <c r="BL240"/>
      <c r="BM240"/>
      <c r="BN240"/>
      <c r="BO240"/>
      <c r="BP240" t="s">
        <v>3565</v>
      </c>
      <c r="BQ240" t="s">
        <v>3564</v>
      </c>
      <c r="BR240" t="s">
        <v>3563</v>
      </c>
      <c r="BS240" t="s">
        <v>3561</v>
      </c>
      <c r="BT240" t="s">
        <v>3562</v>
      </c>
      <c r="BU240" t="s">
        <v>3561</v>
      </c>
      <c r="BV240" t="s">
        <v>2703</v>
      </c>
      <c r="BW240" t="s">
        <v>3560</v>
      </c>
      <c r="BX240" t="s">
        <v>2703</v>
      </c>
      <c r="BY240"/>
      <c r="BZ240"/>
      <c r="CA240"/>
      <c r="CB240"/>
      <c r="CC240"/>
      <c r="CD240"/>
      <c r="CE240"/>
      <c r="CF240"/>
      <c r="CG240"/>
      <c r="CH240"/>
      <c r="CI240"/>
      <c r="CJ240"/>
      <c r="CK240"/>
      <c r="CL240"/>
      <c r="CM240"/>
      <c r="CN240"/>
      <c r="CO240"/>
      <c r="CP240"/>
      <c r="CQ240"/>
      <c r="CR240"/>
      <c r="CS240"/>
      <c r="CT240"/>
      <c r="CU240"/>
      <c r="CV240"/>
      <c r="CW240"/>
      <c r="CX240" t="s">
        <v>2454</v>
      </c>
      <c r="CY240">
        <v>63</v>
      </c>
      <c r="CZ240" t="s">
        <v>2453</v>
      </c>
    </row>
    <row r="241" spans="1:104" ht="14.25">
      <c r="A241" t="s">
        <v>3559</v>
      </c>
      <c r="B241" t="s">
        <v>3559</v>
      </c>
      <c r="C241" t="s">
        <v>3558</v>
      </c>
      <c r="D241">
        <v>0</v>
      </c>
      <c r="E241" t="s">
        <v>2680</v>
      </c>
      <c r="F241" t="s">
        <v>2719</v>
      </c>
      <c r="G241" t="s">
        <v>2690</v>
      </c>
      <c r="H241"/>
      <c r="I241"/>
      <c r="J241" t="s">
        <v>2013</v>
      </c>
      <c r="K241"/>
      <c r="L241"/>
      <c r="M241">
        <v>13</v>
      </c>
      <c r="N241">
        <v>1</v>
      </c>
      <c r="O241">
        <v>1</v>
      </c>
      <c r="P241">
        <v>4</v>
      </c>
      <c r="Q241">
        <v>-1</v>
      </c>
      <c r="R241" t="s">
        <v>2464</v>
      </c>
      <c r="S241" t="s">
        <v>2826</v>
      </c>
      <c r="T241" t="s">
        <v>2462</v>
      </c>
      <c r="U241" t="s">
        <v>2462</v>
      </c>
      <c r="V241">
        <v>0</v>
      </c>
      <c r="W241"/>
      <c r="X241"/>
      <c r="Y241"/>
      <c r="Z241">
        <v>40</v>
      </c>
      <c r="AA241">
        <v>2</v>
      </c>
      <c r="AB241">
        <v>16</v>
      </c>
      <c r="AC241">
        <v>9</v>
      </c>
      <c r="AD241">
        <v>1</v>
      </c>
      <c r="AE241">
        <v>7</v>
      </c>
      <c r="AF241">
        <v>2</v>
      </c>
      <c r="AG241">
        <v>335</v>
      </c>
      <c r="AH241"/>
      <c r="AI241"/>
      <c r="AJ241"/>
      <c r="AK241"/>
      <c r="AL241"/>
      <c r="AM241"/>
      <c r="AN241">
        <v>41</v>
      </c>
      <c r="AO241">
        <v>382</v>
      </c>
      <c r="AP241"/>
      <c r="AQ241"/>
      <c r="AR241"/>
      <c r="AS241"/>
      <c r="AT241"/>
      <c r="AU241"/>
      <c r="AV241"/>
      <c r="AW241"/>
      <c r="AX241"/>
      <c r="AY241" t="s">
        <v>3105</v>
      </c>
      <c r="AZ241" t="s">
        <v>3557</v>
      </c>
      <c r="BA241" t="s">
        <v>3105</v>
      </c>
      <c r="BB241" t="s">
        <v>3102</v>
      </c>
      <c r="BC241" t="s">
        <v>3556</v>
      </c>
      <c r="BD241" t="s">
        <v>3102</v>
      </c>
      <c r="BE241"/>
      <c r="BF241"/>
      <c r="BG241"/>
      <c r="BH241"/>
      <c r="BI241"/>
      <c r="BJ241"/>
      <c r="BK241"/>
      <c r="BL241"/>
      <c r="BM241"/>
      <c r="BN241"/>
      <c r="BO241"/>
      <c r="BP241" t="s">
        <v>2479</v>
      </c>
      <c r="BQ241" t="s">
        <v>3555</v>
      </c>
      <c r="BR241" t="s">
        <v>2823</v>
      </c>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t="s">
        <v>2454</v>
      </c>
      <c r="CY241">
        <v>335</v>
      </c>
      <c r="CZ241" t="s">
        <v>2453</v>
      </c>
    </row>
    <row r="242" spans="1:104" ht="14.25">
      <c r="A242" t="s">
        <v>3554</v>
      </c>
      <c r="B242" t="s">
        <v>3554</v>
      </c>
      <c r="C242" t="s">
        <v>3553</v>
      </c>
      <c r="D242">
        <v>13</v>
      </c>
      <c r="E242" t="s">
        <v>2468</v>
      </c>
      <c r="F242" t="s">
        <v>2467</v>
      </c>
      <c r="G242" t="s">
        <v>2879</v>
      </c>
      <c r="H242"/>
      <c r="I242"/>
      <c r="J242" t="s">
        <v>2522</v>
      </c>
      <c r="K242"/>
      <c r="L242"/>
      <c r="M242">
        <v>16</v>
      </c>
      <c r="N242">
        <v>110</v>
      </c>
      <c r="O242">
        <v>13</v>
      </c>
      <c r="P242">
        <v>8</v>
      </c>
      <c r="Q242">
        <v>52</v>
      </c>
      <c r="R242" t="s">
        <v>2972</v>
      </c>
      <c r="S242" t="s">
        <v>3552</v>
      </c>
      <c r="T242" t="s">
        <v>2462</v>
      </c>
      <c r="U242" t="s">
        <v>2462</v>
      </c>
      <c r="V242">
        <v>40</v>
      </c>
      <c r="W242"/>
      <c r="X242"/>
      <c r="Y242"/>
      <c r="Z242"/>
      <c r="AA242">
        <v>14</v>
      </c>
      <c r="AB242">
        <v>17</v>
      </c>
      <c r="AC242">
        <v>18</v>
      </c>
      <c r="AD242">
        <v>13</v>
      </c>
      <c r="AE242">
        <v>16</v>
      </c>
      <c r="AF242">
        <v>20</v>
      </c>
      <c r="AG242">
        <v>257</v>
      </c>
      <c r="AH242"/>
      <c r="AI242"/>
      <c r="AJ242"/>
      <c r="AK242"/>
      <c r="AL242"/>
      <c r="AM242"/>
      <c r="AN242"/>
      <c r="AO242">
        <v>344</v>
      </c>
      <c r="AP242"/>
      <c r="AQ242"/>
      <c r="AR242"/>
      <c r="AS242"/>
      <c r="AT242"/>
      <c r="AU242"/>
      <c r="AV242"/>
      <c r="AW242"/>
      <c r="AX242"/>
      <c r="AY242" t="s">
        <v>3550</v>
      </c>
      <c r="AZ242" t="s">
        <v>3551</v>
      </c>
      <c r="BA242" t="s">
        <v>3550</v>
      </c>
      <c r="BB242" t="s">
        <v>2635</v>
      </c>
      <c r="BC242" t="s">
        <v>3549</v>
      </c>
      <c r="BD242" t="s">
        <v>2635</v>
      </c>
      <c r="BE242"/>
      <c r="BF242"/>
      <c r="BG242"/>
      <c r="BH242"/>
      <c r="BI242"/>
      <c r="BJ242"/>
      <c r="BK242"/>
      <c r="BL242"/>
      <c r="BM242"/>
      <c r="BN242"/>
      <c r="BO242"/>
      <c r="BP242" t="s">
        <v>2480</v>
      </c>
      <c r="BQ242" t="s">
        <v>3548</v>
      </c>
      <c r="BR242" t="s">
        <v>2480</v>
      </c>
      <c r="BS242" t="s">
        <v>2476</v>
      </c>
      <c r="BT242" t="s">
        <v>3547</v>
      </c>
      <c r="BU242" t="s">
        <v>3546</v>
      </c>
      <c r="BV242"/>
      <c r="BW242"/>
      <c r="BX242"/>
      <c r="BY242"/>
      <c r="BZ242"/>
      <c r="CA242"/>
      <c r="CB242"/>
      <c r="CC242"/>
      <c r="CD242"/>
      <c r="CE242"/>
      <c r="CF242"/>
      <c r="CG242"/>
      <c r="CH242"/>
      <c r="CI242"/>
      <c r="CJ242"/>
      <c r="CK242"/>
      <c r="CL242"/>
      <c r="CM242"/>
      <c r="CN242"/>
      <c r="CO242"/>
      <c r="CP242"/>
      <c r="CQ242"/>
      <c r="CR242"/>
      <c r="CS242"/>
      <c r="CT242"/>
      <c r="CU242"/>
      <c r="CV242"/>
      <c r="CW242"/>
      <c r="CX242" t="s">
        <v>2454</v>
      </c>
      <c r="CY242">
        <v>257</v>
      </c>
      <c r="CZ242" t="s">
        <v>2453</v>
      </c>
    </row>
    <row r="243" spans="1:104" ht="14.25">
      <c r="A243" t="s">
        <v>3545</v>
      </c>
      <c r="B243" t="s">
        <v>3544</v>
      </c>
      <c r="C243"/>
      <c r="D243">
        <v>3</v>
      </c>
      <c r="E243" t="s">
        <v>2608</v>
      </c>
      <c r="F243" t="s">
        <v>2467</v>
      </c>
      <c r="G243" t="s">
        <v>3543</v>
      </c>
      <c r="H243"/>
      <c r="I243"/>
      <c r="J243" t="s">
        <v>2535</v>
      </c>
      <c r="K243"/>
      <c r="L243"/>
      <c r="M243">
        <v>17</v>
      </c>
      <c r="N243">
        <v>66</v>
      </c>
      <c r="O243">
        <v>12</v>
      </c>
      <c r="P243">
        <v>8</v>
      </c>
      <c r="Q243">
        <v>12</v>
      </c>
      <c r="R243" t="s">
        <v>2464</v>
      </c>
      <c r="S243" t="s">
        <v>3542</v>
      </c>
      <c r="T243" t="s">
        <v>3541</v>
      </c>
      <c r="U243"/>
      <c r="V243">
        <v>30</v>
      </c>
      <c r="W243"/>
      <c r="X243"/>
      <c r="Y243"/>
      <c r="Z243"/>
      <c r="AA243">
        <v>12</v>
      </c>
      <c r="AB243">
        <v>18</v>
      </c>
      <c r="AC243">
        <v>12</v>
      </c>
      <c r="AD243">
        <v>14</v>
      </c>
      <c r="AE243">
        <v>11</v>
      </c>
      <c r="AF243">
        <v>15</v>
      </c>
      <c r="AG243"/>
      <c r="AH243"/>
      <c r="AI243"/>
      <c r="AJ243"/>
      <c r="AK243"/>
      <c r="AL243"/>
      <c r="AM243"/>
      <c r="AN243"/>
      <c r="AO243"/>
      <c r="AP243"/>
      <c r="AQ243"/>
      <c r="AR243"/>
      <c r="AS243"/>
      <c r="AT243"/>
      <c r="AU243"/>
      <c r="AV243"/>
      <c r="AW243"/>
      <c r="AX243"/>
      <c r="AY243" t="s">
        <v>3539</v>
      </c>
      <c r="AZ243" t="s">
        <v>3540</v>
      </c>
      <c r="BA243" t="s">
        <v>3539</v>
      </c>
      <c r="BB243" t="s">
        <v>3537</v>
      </c>
      <c r="BC243" t="s">
        <v>3538</v>
      </c>
      <c r="BD243" t="s">
        <v>3537</v>
      </c>
      <c r="BE243"/>
      <c r="BF243"/>
      <c r="BG243"/>
      <c r="BH243"/>
      <c r="BI243"/>
      <c r="BJ243"/>
      <c r="BK243"/>
      <c r="BL243"/>
      <c r="BM243"/>
      <c r="BN243"/>
      <c r="BO243"/>
      <c r="BP243" t="s">
        <v>2480</v>
      </c>
      <c r="BQ243" t="s">
        <v>3536</v>
      </c>
      <c r="BR243" t="s">
        <v>2480</v>
      </c>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row>
    <row r="244" spans="1:104" ht="14.25">
      <c r="A244" t="s">
        <v>3535</v>
      </c>
      <c r="B244" t="s">
        <v>3535</v>
      </c>
      <c r="C244" t="s">
        <v>3534</v>
      </c>
      <c r="D244">
        <v>0</v>
      </c>
      <c r="E244" t="s">
        <v>2680</v>
      </c>
      <c r="F244" t="s">
        <v>2719</v>
      </c>
      <c r="G244" t="s">
        <v>2690</v>
      </c>
      <c r="H244"/>
      <c r="I244"/>
      <c r="J244" t="s">
        <v>2013</v>
      </c>
      <c r="K244"/>
      <c r="L244"/>
      <c r="M244">
        <v>10</v>
      </c>
      <c r="N244">
        <v>1</v>
      </c>
      <c r="O244">
        <v>1</v>
      </c>
      <c r="P244">
        <v>4</v>
      </c>
      <c r="Q244">
        <v>-1</v>
      </c>
      <c r="R244" t="s">
        <v>2464</v>
      </c>
      <c r="S244" t="s">
        <v>305</v>
      </c>
      <c r="T244" t="s">
        <v>2462</v>
      </c>
      <c r="U244" t="s">
        <v>2462</v>
      </c>
      <c r="V244">
        <v>20</v>
      </c>
      <c r="W244"/>
      <c r="X244"/>
      <c r="Y244"/>
      <c r="Z244"/>
      <c r="AA244">
        <v>2</v>
      </c>
      <c r="AB244">
        <v>11</v>
      </c>
      <c r="AC244">
        <v>9</v>
      </c>
      <c r="AD244">
        <v>2</v>
      </c>
      <c r="AE244">
        <v>10</v>
      </c>
      <c r="AF244">
        <v>4</v>
      </c>
      <c r="AG244">
        <v>335</v>
      </c>
      <c r="AH244">
        <v>309</v>
      </c>
      <c r="AI244"/>
      <c r="AJ244"/>
      <c r="AK244"/>
      <c r="AL244"/>
      <c r="AM244"/>
      <c r="AN244">
        <v>41</v>
      </c>
      <c r="AO244">
        <v>382</v>
      </c>
      <c r="AP244"/>
      <c r="AQ244"/>
      <c r="AR244"/>
      <c r="AS244"/>
      <c r="AT244"/>
      <c r="AU244"/>
      <c r="AV244"/>
      <c r="AW244"/>
      <c r="AX244"/>
      <c r="AY244" t="s">
        <v>2581</v>
      </c>
      <c r="AZ244" t="s">
        <v>3533</v>
      </c>
      <c r="BA244" t="s">
        <v>2581</v>
      </c>
      <c r="BB244"/>
      <c r="BC244"/>
      <c r="BD244"/>
      <c r="BE244"/>
      <c r="BF244"/>
      <c r="BG244"/>
      <c r="BH244"/>
      <c r="BI244"/>
      <c r="BJ244"/>
      <c r="BK244"/>
      <c r="BL244"/>
      <c r="BM244"/>
      <c r="BN244"/>
      <c r="BO244"/>
      <c r="BP244" t="s">
        <v>2479</v>
      </c>
      <c r="BQ244" t="s">
        <v>3532</v>
      </c>
      <c r="BR244" t="s">
        <v>3531</v>
      </c>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t="s">
        <v>2454</v>
      </c>
      <c r="CY244">
        <v>335</v>
      </c>
      <c r="CZ244" t="s">
        <v>2453</v>
      </c>
    </row>
    <row r="245" spans="1:104" ht="14.25">
      <c r="A245" t="s">
        <v>3530</v>
      </c>
      <c r="B245" t="s">
        <v>3530</v>
      </c>
      <c r="C245" t="s">
        <v>3529</v>
      </c>
      <c r="D245">
        <v>0</v>
      </c>
      <c r="E245" t="s">
        <v>2680</v>
      </c>
      <c r="F245" t="s">
        <v>2719</v>
      </c>
      <c r="G245" t="s">
        <v>2690</v>
      </c>
      <c r="H245"/>
      <c r="I245"/>
      <c r="J245" t="s">
        <v>2013</v>
      </c>
      <c r="K245"/>
      <c r="L245"/>
      <c r="M245">
        <v>12</v>
      </c>
      <c r="N245">
        <v>1</v>
      </c>
      <c r="O245">
        <v>1</v>
      </c>
      <c r="P245">
        <v>4</v>
      </c>
      <c r="Q245">
        <v>-1</v>
      </c>
      <c r="R245" t="s">
        <v>2464</v>
      </c>
      <c r="S245" t="s">
        <v>2826</v>
      </c>
      <c r="T245" t="s">
        <v>2462</v>
      </c>
      <c r="U245" t="s">
        <v>2462</v>
      </c>
      <c r="V245">
        <v>10</v>
      </c>
      <c r="W245"/>
      <c r="X245"/>
      <c r="Y245">
        <v>50</v>
      </c>
      <c r="Z245"/>
      <c r="AA245">
        <v>2</v>
      </c>
      <c r="AB245">
        <v>14</v>
      </c>
      <c r="AC245">
        <v>8</v>
      </c>
      <c r="AD245">
        <v>2</v>
      </c>
      <c r="AE245">
        <v>12</v>
      </c>
      <c r="AF245">
        <v>6</v>
      </c>
      <c r="AG245">
        <v>335</v>
      </c>
      <c r="AH245">
        <v>309</v>
      </c>
      <c r="AI245"/>
      <c r="AJ245"/>
      <c r="AK245"/>
      <c r="AL245"/>
      <c r="AM245"/>
      <c r="AN245">
        <v>42</v>
      </c>
      <c r="AO245">
        <v>382</v>
      </c>
      <c r="AP245"/>
      <c r="AQ245"/>
      <c r="AR245"/>
      <c r="AS245"/>
      <c r="AT245"/>
      <c r="AU245"/>
      <c r="AV245"/>
      <c r="AW245"/>
      <c r="AX245"/>
      <c r="AY245" t="s">
        <v>3527</v>
      </c>
      <c r="AZ245" t="s">
        <v>3528</v>
      </c>
      <c r="BA245" t="s">
        <v>3527</v>
      </c>
      <c r="BB245"/>
      <c r="BC245"/>
      <c r="BD245"/>
      <c r="BE245"/>
      <c r="BF245"/>
      <c r="BG245"/>
      <c r="BH245"/>
      <c r="BI245"/>
      <c r="BJ245"/>
      <c r="BK245"/>
      <c r="BL245"/>
      <c r="BM245"/>
      <c r="BN245"/>
      <c r="BO245"/>
      <c r="BP245" t="s">
        <v>2854</v>
      </c>
      <c r="BQ245" t="s">
        <v>3526</v>
      </c>
      <c r="BR245" t="s">
        <v>3525</v>
      </c>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t="s">
        <v>2454</v>
      </c>
      <c r="CY245">
        <v>335</v>
      </c>
      <c r="CZ245" t="s">
        <v>2453</v>
      </c>
    </row>
    <row r="246" spans="1:104" ht="14.25">
      <c r="A246" t="s">
        <v>3524</v>
      </c>
      <c r="B246" t="s">
        <v>3523</v>
      </c>
      <c r="C246" t="s">
        <v>3522</v>
      </c>
      <c r="D246">
        <v>4</v>
      </c>
      <c r="E246" t="s">
        <v>2468</v>
      </c>
      <c r="F246" t="s">
        <v>2467</v>
      </c>
      <c r="G246" t="s">
        <v>2488</v>
      </c>
      <c r="H246"/>
      <c r="I246"/>
      <c r="J246" t="s">
        <v>2487</v>
      </c>
      <c r="K246"/>
      <c r="L246"/>
      <c r="M246">
        <v>17</v>
      </c>
      <c r="N246">
        <v>75</v>
      </c>
      <c r="O246">
        <v>10</v>
      </c>
      <c r="P246">
        <v>8</v>
      </c>
      <c r="Q246">
        <v>30</v>
      </c>
      <c r="R246" t="s">
        <v>2641</v>
      </c>
      <c r="S246" t="s">
        <v>2641</v>
      </c>
      <c r="T246" t="s">
        <v>2641</v>
      </c>
      <c r="U246" t="s">
        <v>2641</v>
      </c>
      <c r="V246">
        <v>30</v>
      </c>
      <c r="W246"/>
      <c r="X246">
        <v>30</v>
      </c>
      <c r="Y246">
        <v>60</v>
      </c>
      <c r="Z246"/>
      <c r="AA246">
        <v>19</v>
      </c>
      <c r="AB246">
        <v>10</v>
      </c>
      <c r="AC246">
        <v>17</v>
      </c>
      <c r="AD246">
        <v>12</v>
      </c>
      <c r="AE246">
        <v>11</v>
      </c>
      <c r="AF246">
        <v>15</v>
      </c>
      <c r="AG246">
        <v>98</v>
      </c>
      <c r="AH246"/>
      <c r="AI246"/>
      <c r="AJ246"/>
      <c r="AK246"/>
      <c r="AL246"/>
      <c r="AM246"/>
      <c r="AN246"/>
      <c r="AO246">
        <v>291</v>
      </c>
      <c r="AP246"/>
      <c r="AQ246"/>
      <c r="AR246"/>
      <c r="AS246"/>
      <c r="AT246"/>
      <c r="AU246"/>
      <c r="AV246"/>
      <c r="AW246"/>
      <c r="AX246"/>
      <c r="AY246"/>
      <c r="AZ246"/>
      <c r="BA246"/>
      <c r="BB246"/>
      <c r="BC246"/>
      <c r="BD246"/>
      <c r="BE246"/>
      <c r="BF246"/>
      <c r="BG246"/>
      <c r="BH246"/>
      <c r="BI246"/>
      <c r="BJ246"/>
      <c r="BK246"/>
      <c r="BL246"/>
      <c r="BM246"/>
      <c r="BN246"/>
      <c r="BO246"/>
      <c r="BP246" t="s">
        <v>2479</v>
      </c>
      <c r="BQ246" t="s">
        <v>3521</v>
      </c>
      <c r="BR246" t="s">
        <v>3520</v>
      </c>
      <c r="BS246" t="s">
        <v>2508</v>
      </c>
      <c r="BT246" t="s">
        <v>3519</v>
      </c>
      <c r="BU246" t="s">
        <v>3518</v>
      </c>
      <c r="BV246"/>
      <c r="BW246"/>
      <c r="BX246"/>
      <c r="BY246"/>
      <c r="BZ246"/>
      <c r="CA246"/>
      <c r="CB246"/>
      <c r="CC246"/>
      <c r="CD246"/>
      <c r="CE246"/>
      <c r="CF246"/>
      <c r="CG246"/>
      <c r="CH246"/>
      <c r="CI246"/>
      <c r="CJ246"/>
      <c r="CK246"/>
      <c r="CL246"/>
      <c r="CM246"/>
      <c r="CN246"/>
      <c r="CO246"/>
      <c r="CP246"/>
      <c r="CQ246"/>
      <c r="CR246"/>
      <c r="CS246"/>
      <c r="CT246"/>
      <c r="CU246"/>
      <c r="CV246"/>
      <c r="CW246"/>
      <c r="CX246" t="s">
        <v>2454</v>
      </c>
      <c r="CY246">
        <v>98</v>
      </c>
      <c r="CZ246" t="s">
        <v>2453</v>
      </c>
    </row>
    <row r="247" spans="1:104" ht="14.25">
      <c r="A247" t="s">
        <v>3517</v>
      </c>
      <c r="B247" t="s">
        <v>3516</v>
      </c>
      <c r="C247" t="s">
        <v>3515</v>
      </c>
      <c r="D247">
        <v>0.5</v>
      </c>
      <c r="E247" t="s">
        <v>2680</v>
      </c>
      <c r="F247" t="s">
        <v>2467</v>
      </c>
      <c r="G247" t="s">
        <v>2690</v>
      </c>
      <c r="H247"/>
      <c r="I247"/>
      <c r="J247" t="s">
        <v>2013</v>
      </c>
      <c r="K247"/>
      <c r="L247"/>
      <c r="M247">
        <v>12</v>
      </c>
      <c r="N247">
        <v>22</v>
      </c>
      <c r="O247">
        <v>4</v>
      </c>
      <c r="P247">
        <v>8</v>
      </c>
      <c r="Q247">
        <v>4</v>
      </c>
      <c r="R247" t="s">
        <v>2464</v>
      </c>
      <c r="S247" t="s">
        <v>2758</v>
      </c>
      <c r="T247" t="s">
        <v>2462</v>
      </c>
      <c r="U247" t="s">
        <v>2462</v>
      </c>
      <c r="V247">
        <v>0</v>
      </c>
      <c r="W247"/>
      <c r="X247"/>
      <c r="Y247"/>
      <c r="Z247">
        <v>40</v>
      </c>
      <c r="AA247">
        <v>14</v>
      </c>
      <c r="AB247">
        <v>13</v>
      </c>
      <c r="AC247">
        <v>13</v>
      </c>
      <c r="AD247">
        <v>1</v>
      </c>
      <c r="AE247">
        <v>10</v>
      </c>
      <c r="AF247">
        <v>4</v>
      </c>
      <c r="AG247">
        <v>336</v>
      </c>
      <c r="AH247">
        <v>309</v>
      </c>
      <c r="AI247"/>
      <c r="AJ247"/>
      <c r="AK247"/>
      <c r="AL247"/>
      <c r="AM247"/>
      <c r="AN247">
        <v>42</v>
      </c>
      <c r="AO247">
        <v>382</v>
      </c>
      <c r="AP247"/>
      <c r="AQ247"/>
      <c r="AR247"/>
      <c r="AS247"/>
      <c r="AT247"/>
      <c r="AU247"/>
      <c r="AV247"/>
      <c r="AW247"/>
      <c r="AX247"/>
      <c r="AY247" t="s">
        <v>2599</v>
      </c>
      <c r="AZ247" t="s">
        <v>3514</v>
      </c>
      <c r="BA247" t="s">
        <v>2599</v>
      </c>
      <c r="BB247" t="s">
        <v>3102</v>
      </c>
      <c r="BC247" t="s">
        <v>3513</v>
      </c>
      <c r="BD247" t="s">
        <v>3102</v>
      </c>
      <c r="BE247"/>
      <c r="BF247"/>
      <c r="BG247"/>
      <c r="BH247"/>
      <c r="BI247"/>
      <c r="BJ247"/>
      <c r="BK247"/>
      <c r="BL247"/>
      <c r="BM247"/>
      <c r="BN247"/>
      <c r="BO247"/>
      <c r="BP247" t="s">
        <v>2479</v>
      </c>
      <c r="BQ247" t="s">
        <v>2633</v>
      </c>
      <c r="BR247" t="s">
        <v>3512</v>
      </c>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t="s">
        <v>2454</v>
      </c>
      <c r="CY247">
        <v>336</v>
      </c>
      <c r="CZ247" t="s">
        <v>2453</v>
      </c>
    </row>
    <row r="248" spans="1:104" ht="14.25">
      <c r="A248" t="s">
        <v>3511</v>
      </c>
      <c r="B248" t="s">
        <v>3511</v>
      </c>
      <c r="C248" t="s">
        <v>3510</v>
      </c>
      <c r="D248">
        <v>11</v>
      </c>
      <c r="E248" t="s">
        <v>2468</v>
      </c>
      <c r="F248" t="s">
        <v>2985</v>
      </c>
      <c r="G248" t="s">
        <v>2587</v>
      </c>
      <c r="H248"/>
      <c r="I248"/>
      <c r="J248" t="s">
        <v>2013</v>
      </c>
      <c r="K248"/>
      <c r="L248"/>
      <c r="M248">
        <v>17</v>
      </c>
      <c r="N248">
        <v>195</v>
      </c>
      <c r="O248">
        <v>17</v>
      </c>
      <c r="P248">
        <v>12</v>
      </c>
      <c r="Q248">
        <v>85</v>
      </c>
      <c r="R248" t="s">
        <v>2464</v>
      </c>
      <c r="S248" t="s">
        <v>3509</v>
      </c>
      <c r="T248" t="s">
        <v>2462</v>
      </c>
      <c r="U248" t="s">
        <v>3508</v>
      </c>
      <c r="V248">
        <v>30</v>
      </c>
      <c r="W248">
        <v>20</v>
      </c>
      <c r="X248"/>
      <c r="Y248"/>
      <c r="Z248"/>
      <c r="AA248">
        <v>24</v>
      </c>
      <c r="AB248">
        <v>13</v>
      </c>
      <c r="AC248">
        <v>21</v>
      </c>
      <c r="AD248">
        <v>4</v>
      </c>
      <c r="AE248">
        <v>10</v>
      </c>
      <c r="AF248">
        <v>5</v>
      </c>
      <c r="AG248">
        <v>258</v>
      </c>
      <c r="AH248"/>
      <c r="AI248"/>
      <c r="AJ248"/>
      <c r="AK248"/>
      <c r="AL248"/>
      <c r="AM248"/>
      <c r="AN248"/>
      <c r="AO248">
        <v>344</v>
      </c>
      <c r="AP248"/>
      <c r="AQ248"/>
      <c r="AR248"/>
      <c r="AS248"/>
      <c r="AT248"/>
      <c r="AU248"/>
      <c r="AV248"/>
      <c r="AW248"/>
      <c r="AX248"/>
      <c r="AY248" t="s">
        <v>3416</v>
      </c>
      <c r="AZ248" t="s">
        <v>3507</v>
      </c>
      <c r="BA248" t="s">
        <v>3506</v>
      </c>
      <c r="BB248"/>
      <c r="BC248"/>
      <c r="BD248"/>
      <c r="BE248"/>
      <c r="BF248"/>
      <c r="BG248"/>
      <c r="BH248"/>
      <c r="BI248"/>
      <c r="BJ248"/>
      <c r="BK248"/>
      <c r="BL248"/>
      <c r="BM248"/>
      <c r="BN248"/>
      <c r="BO248"/>
      <c r="BP248" t="s">
        <v>2479</v>
      </c>
      <c r="BQ248" t="s">
        <v>3505</v>
      </c>
      <c r="BR248" t="s">
        <v>3504</v>
      </c>
      <c r="BS248" t="s">
        <v>3055</v>
      </c>
      <c r="BT248" t="s">
        <v>3503</v>
      </c>
      <c r="BU248" t="s">
        <v>3055</v>
      </c>
      <c r="BV248"/>
      <c r="BW248"/>
      <c r="BX248"/>
      <c r="BY248"/>
      <c r="BZ248"/>
      <c r="CA248"/>
      <c r="CB248"/>
      <c r="CC248"/>
      <c r="CD248"/>
      <c r="CE248"/>
      <c r="CF248"/>
      <c r="CG248"/>
      <c r="CH248"/>
      <c r="CI248"/>
      <c r="CJ248"/>
      <c r="CK248"/>
      <c r="CL248"/>
      <c r="CM248"/>
      <c r="CN248"/>
      <c r="CO248"/>
      <c r="CP248"/>
      <c r="CQ248"/>
      <c r="CR248"/>
      <c r="CS248"/>
      <c r="CT248"/>
      <c r="CU248"/>
      <c r="CV248"/>
      <c r="CW248"/>
      <c r="CX248" t="s">
        <v>2454</v>
      </c>
      <c r="CY248">
        <v>258</v>
      </c>
      <c r="CZ248" t="s">
        <v>2453</v>
      </c>
    </row>
    <row r="249" spans="1:104" ht="14.25">
      <c r="A249" t="s">
        <v>3502</v>
      </c>
      <c r="B249" t="s">
        <v>3502</v>
      </c>
      <c r="C249" t="s">
        <v>3501</v>
      </c>
      <c r="D249">
        <v>2</v>
      </c>
      <c r="E249" t="s">
        <v>2680</v>
      </c>
      <c r="F249" t="s">
        <v>2489</v>
      </c>
      <c r="G249" t="s">
        <v>2690</v>
      </c>
      <c r="H249"/>
      <c r="I249"/>
      <c r="J249" t="s">
        <v>2013</v>
      </c>
      <c r="K249"/>
      <c r="L249"/>
      <c r="M249">
        <v>11</v>
      </c>
      <c r="N249">
        <v>45</v>
      </c>
      <c r="O249">
        <v>6</v>
      </c>
      <c r="P249">
        <v>10</v>
      </c>
      <c r="Q249">
        <v>12</v>
      </c>
      <c r="R249" t="s">
        <v>2464</v>
      </c>
      <c r="S249" t="s">
        <v>3500</v>
      </c>
      <c r="T249" t="s">
        <v>2462</v>
      </c>
      <c r="U249" t="s">
        <v>2462</v>
      </c>
      <c r="V249">
        <v>40</v>
      </c>
      <c r="W249"/>
      <c r="X249"/>
      <c r="Y249"/>
      <c r="Z249"/>
      <c r="AA249">
        <v>21</v>
      </c>
      <c r="AB249">
        <v>8</v>
      </c>
      <c r="AC249">
        <v>15</v>
      </c>
      <c r="AD249">
        <v>2</v>
      </c>
      <c r="AE249">
        <v>12</v>
      </c>
      <c r="AF249">
        <v>6</v>
      </c>
      <c r="AG249">
        <v>336</v>
      </c>
      <c r="AH249"/>
      <c r="AI249"/>
      <c r="AJ249"/>
      <c r="AK249"/>
      <c r="AL249"/>
      <c r="AM249"/>
      <c r="AN249">
        <v>42</v>
      </c>
      <c r="AO249">
        <v>383</v>
      </c>
      <c r="AP249"/>
      <c r="AQ249"/>
      <c r="AR249"/>
      <c r="AS249"/>
      <c r="AT249"/>
      <c r="AU249"/>
      <c r="AV249"/>
      <c r="AW249"/>
      <c r="AX249"/>
      <c r="AY249" t="s">
        <v>2971</v>
      </c>
      <c r="AZ249" t="s">
        <v>3499</v>
      </c>
      <c r="BA249" t="s">
        <v>2969</v>
      </c>
      <c r="BB249"/>
      <c r="BC249"/>
      <c r="BD249"/>
      <c r="BE249"/>
      <c r="BF249"/>
      <c r="BG249"/>
      <c r="BH249"/>
      <c r="BI249"/>
      <c r="BJ249"/>
      <c r="BK249"/>
      <c r="BL249"/>
      <c r="BM249"/>
      <c r="BN249"/>
      <c r="BO249"/>
      <c r="BP249" t="s">
        <v>3013</v>
      </c>
      <c r="BQ249" t="s">
        <v>3498</v>
      </c>
      <c r="BR249" t="s">
        <v>3497</v>
      </c>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t="s">
        <v>2454</v>
      </c>
      <c r="CY249">
        <v>336</v>
      </c>
      <c r="CZ249" t="s">
        <v>2453</v>
      </c>
    </row>
    <row r="250" spans="1:104" ht="14.25">
      <c r="A250" t="s">
        <v>3496</v>
      </c>
      <c r="B250" t="s">
        <v>3495</v>
      </c>
      <c r="C250" t="s">
        <v>3494</v>
      </c>
      <c r="D250">
        <v>0.25</v>
      </c>
      <c r="E250" t="s">
        <v>2680</v>
      </c>
      <c r="F250" t="s">
        <v>2489</v>
      </c>
      <c r="G250" t="s">
        <v>2690</v>
      </c>
      <c r="H250"/>
      <c r="I250"/>
      <c r="J250" t="s">
        <v>2013</v>
      </c>
      <c r="K250"/>
      <c r="L250"/>
      <c r="M250">
        <v>10</v>
      </c>
      <c r="N250">
        <v>13</v>
      </c>
      <c r="O250">
        <v>2</v>
      </c>
      <c r="P250">
        <v>10</v>
      </c>
      <c r="Q250">
        <v>2</v>
      </c>
      <c r="R250" t="s">
        <v>2464</v>
      </c>
      <c r="S250" t="s">
        <v>3493</v>
      </c>
      <c r="T250" t="s">
        <v>2462</v>
      </c>
      <c r="U250" t="s">
        <v>2462</v>
      </c>
      <c r="V250">
        <v>60</v>
      </c>
      <c r="W250"/>
      <c r="X250"/>
      <c r="Y250"/>
      <c r="Z250"/>
      <c r="AA250">
        <v>16</v>
      </c>
      <c r="AB250">
        <v>10</v>
      </c>
      <c r="AC250">
        <v>12</v>
      </c>
      <c r="AD250">
        <v>2</v>
      </c>
      <c r="AE250">
        <v>11</v>
      </c>
      <c r="AF250">
        <v>7</v>
      </c>
      <c r="AG250">
        <v>336</v>
      </c>
      <c r="AH250">
        <v>310</v>
      </c>
      <c r="AI250"/>
      <c r="AJ250"/>
      <c r="AK250"/>
      <c r="AL250"/>
      <c r="AM250"/>
      <c r="AN250">
        <v>42</v>
      </c>
      <c r="AO250">
        <v>383</v>
      </c>
      <c r="AP250"/>
      <c r="AQ250"/>
      <c r="AR250"/>
      <c r="AS250"/>
      <c r="AT250"/>
      <c r="AU250"/>
      <c r="AV250"/>
      <c r="AW250"/>
      <c r="AX250" t="s">
        <v>2677</v>
      </c>
      <c r="AY250"/>
      <c r="AZ250"/>
      <c r="BA250"/>
      <c r="BB250"/>
      <c r="BC250"/>
      <c r="BD250"/>
      <c r="BE250"/>
      <c r="BF250"/>
      <c r="BG250"/>
      <c r="BH250"/>
      <c r="BI250"/>
      <c r="BJ250"/>
      <c r="BK250"/>
      <c r="BL250"/>
      <c r="BM250"/>
      <c r="BN250"/>
      <c r="BO250"/>
      <c r="BP250" t="s">
        <v>2844</v>
      </c>
      <c r="BQ250" t="s">
        <v>3492</v>
      </c>
      <c r="BR250" t="s">
        <v>3491</v>
      </c>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t="s">
        <v>2454</v>
      </c>
      <c r="CY250">
        <v>336</v>
      </c>
      <c r="CZ250" t="s">
        <v>2453</v>
      </c>
    </row>
    <row r="251" spans="1:104" ht="14.25">
      <c r="A251" t="s">
        <v>3490</v>
      </c>
      <c r="B251" t="s">
        <v>3490</v>
      </c>
      <c r="C251" t="s">
        <v>3489</v>
      </c>
      <c r="D251">
        <v>11</v>
      </c>
      <c r="E251" t="s">
        <v>2468</v>
      </c>
      <c r="F251" t="s">
        <v>3077</v>
      </c>
      <c r="G251" t="s">
        <v>2587</v>
      </c>
      <c r="H251"/>
      <c r="I251"/>
      <c r="J251" t="s">
        <v>2013</v>
      </c>
      <c r="K251"/>
      <c r="L251"/>
      <c r="M251">
        <v>15</v>
      </c>
      <c r="N251">
        <v>248</v>
      </c>
      <c r="O251">
        <v>16</v>
      </c>
      <c r="P251">
        <v>20</v>
      </c>
      <c r="Q251">
        <v>80</v>
      </c>
      <c r="R251" t="s">
        <v>2464</v>
      </c>
      <c r="S251" t="s">
        <v>3488</v>
      </c>
      <c r="T251" t="s">
        <v>3487</v>
      </c>
      <c r="U251" t="s">
        <v>2462</v>
      </c>
      <c r="V251">
        <v>20</v>
      </c>
      <c r="W251"/>
      <c r="X251"/>
      <c r="Y251">
        <v>120</v>
      </c>
      <c r="Z251"/>
      <c r="AA251">
        <v>28</v>
      </c>
      <c r="AB251">
        <v>10</v>
      </c>
      <c r="AC251">
        <v>20</v>
      </c>
      <c r="AD251">
        <v>3</v>
      </c>
      <c r="AE251">
        <v>10</v>
      </c>
      <c r="AF251">
        <v>9</v>
      </c>
      <c r="AG251">
        <v>260</v>
      </c>
      <c r="AH251"/>
      <c r="AI251"/>
      <c r="AJ251"/>
      <c r="AK251"/>
      <c r="AL251"/>
      <c r="AM251"/>
      <c r="AN251"/>
      <c r="AO251">
        <v>345</v>
      </c>
      <c r="AP251"/>
      <c r="AQ251"/>
      <c r="AR251"/>
      <c r="AS251"/>
      <c r="AT251"/>
      <c r="AU251"/>
      <c r="AV251"/>
      <c r="AW251"/>
      <c r="AX251"/>
      <c r="AY251" t="s">
        <v>3485</v>
      </c>
      <c r="AZ251" t="s">
        <v>3486</v>
      </c>
      <c r="BA251" t="s">
        <v>3485</v>
      </c>
      <c r="BB251"/>
      <c r="BC251"/>
      <c r="BD251"/>
      <c r="BE251"/>
      <c r="BF251"/>
      <c r="BG251"/>
      <c r="BH251"/>
      <c r="BI251"/>
      <c r="BJ251"/>
      <c r="BK251"/>
      <c r="BL251"/>
      <c r="BM251"/>
      <c r="BN251"/>
      <c r="BO251"/>
      <c r="BP251" t="s">
        <v>2480</v>
      </c>
      <c r="BQ251" t="s">
        <v>3484</v>
      </c>
      <c r="BR251" t="s">
        <v>2480</v>
      </c>
      <c r="BS251" t="s">
        <v>2854</v>
      </c>
      <c r="BT251" t="s">
        <v>3483</v>
      </c>
      <c r="BU251" t="s">
        <v>3482</v>
      </c>
      <c r="BV251" t="s">
        <v>2869</v>
      </c>
      <c r="BW251" t="s">
        <v>3481</v>
      </c>
      <c r="BX251" t="s">
        <v>3480</v>
      </c>
      <c r="BY251"/>
      <c r="BZ251"/>
      <c r="CA251"/>
      <c r="CB251"/>
      <c r="CC251"/>
      <c r="CD251"/>
      <c r="CE251"/>
      <c r="CF251"/>
      <c r="CG251"/>
      <c r="CH251"/>
      <c r="CI251"/>
      <c r="CJ251"/>
      <c r="CK251"/>
      <c r="CL251"/>
      <c r="CM251"/>
      <c r="CN251"/>
      <c r="CO251"/>
      <c r="CP251"/>
      <c r="CQ251"/>
      <c r="CR251"/>
      <c r="CS251"/>
      <c r="CT251"/>
      <c r="CU251"/>
      <c r="CV251"/>
      <c r="CW251"/>
      <c r="CX251" t="s">
        <v>2454</v>
      </c>
      <c r="CY251">
        <v>260</v>
      </c>
      <c r="CZ251" t="s">
        <v>2453</v>
      </c>
    </row>
    <row r="252" spans="1:104" ht="14.25">
      <c r="A252" t="s">
        <v>3479</v>
      </c>
      <c r="B252" t="s">
        <v>3479</v>
      </c>
      <c r="C252" t="s">
        <v>3478</v>
      </c>
      <c r="D252">
        <v>5</v>
      </c>
      <c r="E252" t="s">
        <v>2468</v>
      </c>
      <c r="F252" t="s">
        <v>2489</v>
      </c>
      <c r="G252" t="s">
        <v>2587</v>
      </c>
      <c r="H252"/>
      <c r="I252"/>
      <c r="J252" t="s">
        <v>2465</v>
      </c>
      <c r="K252"/>
      <c r="L252"/>
      <c r="M252">
        <v>20</v>
      </c>
      <c r="N252">
        <v>93</v>
      </c>
      <c r="O252">
        <v>11</v>
      </c>
      <c r="P252">
        <v>10</v>
      </c>
      <c r="Q252">
        <v>33</v>
      </c>
      <c r="R252" t="s">
        <v>2464</v>
      </c>
      <c r="S252" t="s">
        <v>3477</v>
      </c>
      <c r="T252" t="s">
        <v>2462</v>
      </c>
      <c r="U252" t="s">
        <v>2462</v>
      </c>
      <c r="V252">
        <v>10</v>
      </c>
      <c r="W252"/>
      <c r="X252">
        <v>10</v>
      </c>
      <c r="Y252"/>
      <c r="Z252"/>
      <c r="AA252">
        <v>18</v>
      </c>
      <c r="AB252">
        <v>8</v>
      </c>
      <c r="AC252">
        <v>17</v>
      </c>
      <c r="AD252">
        <v>7</v>
      </c>
      <c r="AE252">
        <v>16</v>
      </c>
      <c r="AF252">
        <v>6</v>
      </c>
      <c r="AG252">
        <v>261</v>
      </c>
      <c r="AH252"/>
      <c r="AI252"/>
      <c r="AJ252"/>
      <c r="AK252"/>
      <c r="AL252"/>
      <c r="AM252"/>
      <c r="AN252"/>
      <c r="AO252">
        <v>345</v>
      </c>
      <c r="AP252">
        <v>15</v>
      </c>
      <c r="AQ252"/>
      <c r="AR252"/>
      <c r="AS252"/>
      <c r="AT252">
        <v>30</v>
      </c>
      <c r="AU252"/>
      <c r="AV252"/>
      <c r="AW252"/>
      <c r="AX252" t="s">
        <v>3476</v>
      </c>
      <c r="AY252" t="s">
        <v>2886</v>
      </c>
      <c r="AZ252" t="s">
        <v>3475</v>
      </c>
      <c r="BA252" t="s">
        <v>2886</v>
      </c>
      <c r="BB252" t="s">
        <v>3473</v>
      </c>
      <c r="BC252" t="s">
        <v>3474</v>
      </c>
      <c r="BD252" t="s">
        <v>3473</v>
      </c>
      <c r="BE252" t="s">
        <v>2915</v>
      </c>
      <c r="BF252" t="s">
        <v>3472</v>
      </c>
      <c r="BG252" t="s">
        <v>2915</v>
      </c>
      <c r="BH252"/>
      <c r="BI252"/>
      <c r="BJ252"/>
      <c r="BK252"/>
      <c r="BL252"/>
      <c r="BM252"/>
      <c r="BN252"/>
      <c r="BO252"/>
      <c r="BP252" t="s">
        <v>2480</v>
      </c>
      <c r="BQ252" t="s">
        <v>3471</v>
      </c>
      <c r="BR252" t="s">
        <v>2480</v>
      </c>
      <c r="BS252" t="s">
        <v>2479</v>
      </c>
      <c r="BT252" t="s">
        <v>3470</v>
      </c>
      <c r="BU252" t="s">
        <v>3469</v>
      </c>
      <c r="BV252" t="s">
        <v>3468</v>
      </c>
      <c r="BW252" t="s">
        <v>3467</v>
      </c>
      <c r="BX252" t="s">
        <v>3466</v>
      </c>
      <c r="BY252" t="s">
        <v>3464</v>
      </c>
      <c r="BZ252" t="s">
        <v>3465</v>
      </c>
      <c r="CA252" t="s">
        <v>3464</v>
      </c>
      <c r="CB252"/>
      <c r="CC252"/>
      <c r="CD252"/>
      <c r="CE252"/>
      <c r="CF252"/>
      <c r="CG252"/>
      <c r="CH252"/>
      <c r="CI252"/>
      <c r="CJ252"/>
      <c r="CK252"/>
      <c r="CL252"/>
      <c r="CM252"/>
      <c r="CN252"/>
      <c r="CO252"/>
      <c r="CP252"/>
      <c r="CQ252"/>
      <c r="CR252"/>
      <c r="CS252"/>
      <c r="CT252"/>
      <c r="CU252"/>
      <c r="CV252"/>
      <c r="CW252"/>
      <c r="CX252" t="s">
        <v>2454</v>
      </c>
      <c r="CY252">
        <v>261</v>
      </c>
      <c r="CZ252" t="s">
        <v>2453</v>
      </c>
    </row>
    <row r="253" spans="1:104" ht="14.25">
      <c r="A253" t="s">
        <v>3463</v>
      </c>
      <c r="B253" t="s">
        <v>3462</v>
      </c>
      <c r="C253" t="s">
        <v>3461</v>
      </c>
      <c r="D253">
        <v>2</v>
      </c>
      <c r="E253" t="s">
        <v>2468</v>
      </c>
      <c r="F253" t="s">
        <v>2489</v>
      </c>
      <c r="G253" t="s">
        <v>3164</v>
      </c>
      <c r="H253"/>
      <c r="I253"/>
      <c r="J253" t="s">
        <v>2013</v>
      </c>
      <c r="K253"/>
      <c r="L253"/>
      <c r="M253">
        <v>12</v>
      </c>
      <c r="N253">
        <v>33</v>
      </c>
      <c r="O253">
        <v>6</v>
      </c>
      <c r="P253">
        <v>10</v>
      </c>
      <c r="Q253"/>
      <c r="R253" t="s">
        <v>2464</v>
      </c>
      <c r="S253" t="s">
        <v>2679</v>
      </c>
      <c r="T253" t="s">
        <v>2462</v>
      </c>
      <c r="U253" t="s">
        <v>2462</v>
      </c>
      <c r="V253">
        <v>10</v>
      </c>
      <c r="W253"/>
      <c r="X253"/>
      <c r="Y253"/>
      <c r="Z253"/>
      <c r="AA253">
        <v>17</v>
      </c>
      <c r="AB253">
        <v>14</v>
      </c>
      <c r="AC253">
        <v>10</v>
      </c>
      <c r="AD253">
        <v>1</v>
      </c>
      <c r="AE253">
        <v>3</v>
      </c>
      <c r="AF253">
        <v>1</v>
      </c>
      <c r="AG253">
        <v>20</v>
      </c>
      <c r="AH253"/>
      <c r="AI253"/>
      <c r="AJ253"/>
      <c r="AK253"/>
      <c r="AL253"/>
      <c r="AM253"/>
      <c r="AN253"/>
      <c r="AO253">
        <v>267</v>
      </c>
      <c r="AP253">
        <v>16</v>
      </c>
      <c r="AQ253"/>
      <c r="AR253"/>
      <c r="AS253"/>
      <c r="AT253"/>
      <c r="AU253"/>
      <c r="AV253"/>
      <c r="AW253"/>
      <c r="AX253"/>
      <c r="AY253" t="s">
        <v>3459</v>
      </c>
      <c r="AZ253" t="s">
        <v>3460</v>
      </c>
      <c r="BA253" t="s">
        <v>3459</v>
      </c>
      <c r="BB253" t="s">
        <v>3457</v>
      </c>
      <c r="BC253" t="s">
        <v>3458</v>
      </c>
      <c r="BD253" t="s">
        <v>3457</v>
      </c>
      <c r="BE253" t="s">
        <v>2886</v>
      </c>
      <c r="BF253" t="s">
        <v>3456</v>
      </c>
      <c r="BG253" t="s">
        <v>2886</v>
      </c>
      <c r="BH253"/>
      <c r="BI253"/>
      <c r="BJ253"/>
      <c r="BK253"/>
      <c r="BL253"/>
      <c r="BM253"/>
      <c r="BN253"/>
      <c r="BO253"/>
      <c r="BP253" t="s">
        <v>3455</v>
      </c>
      <c r="BQ253" t="s">
        <v>3454</v>
      </c>
      <c r="BR253" t="s">
        <v>3453</v>
      </c>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t="s">
        <v>2454</v>
      </c>
      <c r="CY253">
        <v>20</v>
      </c>
      <c r="CZ253" t="s">
        <v>2453</v>
      </c>
    </row>
    <row r="254" spans="1:104" ht="14.25">
      <c r="A254" t="s">
        <v>3452</v>
      </c>
      <c r="B254" t="s">
        <v>3451</v>
      </c>
      <c r="C254" t="s">
        <v>3450</v>
      </c>
      <c r="D254">
        <v>0.5</v>
      </c>
      <c r="E254" t="s">
        <v>2468</v>
      </c>
      <c r="F254" t="s">
        <v>2467</v>
      </c>
      <c r="G254" t="s">
        <v>2587</v>
      </c>
      <c r="H254"/>
      <c r="I254"/>
      <c r="J254" t="s">
        <v>2013</v>
      </c>
      <c r="K254"/>
      <c r="L254"/>
      <c r="M254">
        <v>14</v>
      </c>
      <c r="N254">
        <v>27</v>
      </c>
      <c r="O254">
        <v>5</v>
      </c>
      <c r="P254">
        <v>8</v>
      </c>
      <c r="Q254">
        <v>5</v>
      </c>
      <c r="R254" t="s">
        <v>2464</v>
      </c>
      <c r="S254" t="s">
        <v>3023</v>
      </c>
      <c r="T254" t="s">
        <v>2462</v>
      </c>
      <c r="U254" t="s">
        <v>2462</v>
      </c>
      <c r="V254">
        <v>40</v>
      </c>
      <c r="W254"/>
      <c r="X254"/>
      <c r="Y254"/>
      <c r="Z254"/>
      <c r="AA254">
        <v>13</v>
      </c>
      <c r="AB254">
        <v>12</v>
      </c>
      <c r="AC254">
        <v>13</v>
      </c>
      <c r="AD254">
        <v>2</v>
      </c>
      <c r="AE254">
        <v>13</v>
      </c>
      <c r="AF254">
        <v>6</v>
      </c>
      <c r="AG254">
        <v>262</v>
      </c>
      <c r="AH254"/>
      <c r="AI254"/>
      <c r="AJ254"/>
      <c r="AK254"/>
      <c r="AL254"/>
      <c r="AM254"/>
      <c r="AN254"/>
      <c r="AO254">
        <v>346</v>
      </c>
      <c r="AP254"/>
      <c r="AQ254"/>
      <c r="AR254"/>
      <c r="AS254"/>
      <c r="AT254">
        <v>30</v>
      </c>
      <c r="AU254"/>
      <c r="AV254"/>
      <c r="AW254"/>
      <c r="AX254"/>
      <c r="AY254" t="s">
        <v>3448</v>
      </c>
      <c r="AZ254" t="s">
        <v>3449</v>
      </c>
      <c r="BA254" t="s">
        <v>3448</v>
      </c>
      <c r="BB254" t="s">
        <v>3446</v>
      </c>
      <c r="BC254" t="s">
        <v>3447</v>
      </c>
      <c r="BD254" t="s">
        <v>3446</v>
      </c>
      <c r="BE254"/>
      <c r="BF254"/>
      <c r="BG254"/>
      <c r="BH254"/>
      <c r="BI254"/>
      <c r="BJ254"/>
      <c r="BK254"/>
      <c r="BL254"/>
      <c r="BM254"/>
      <c r="BN254"/>
      <c r="BO254"/>
      <c r="BP254" t="s">
        <v>2479</v>
      </c>
      <c r="BQ254" t="s">
        <v>3445</v>
      </c>
      <c r="BR254" t="s">
        <v>3444</v>
      </c>
      <c r="BS254" t="s">
        <v>3442</v>
      </c>
      <c r="BT254" t="s">
        <v>3443</v>
      </c>
      <c r="BU254" t="s">
        <v>3442</v>
      </c>
      <c r="BV254"/>
      <c r="BW254"/>
      <c r="BX254"/>
      <c r="BY254"/>
      <c r="BZ254"/>
      <c r="CA254"/>
      <c r="CB254"/>
      <c r="CC254"/>
      <c r="CD254"/>
      <c r="CE254"/>
      <c r="CF254"/>
      <c r="CG254"/>
      <c r="CH254"/>
      <c r="CI254"/>
      <c r="CJ254"/>
      <c r="CK254"/>
      <c r="CL254"/>
      <c r="CM254"/>
      <c r="CN254"/>
      <c r="CO254"/>
      <c r="CP254"/>
      <c r="CQ254"/>
      <c r="CR254"/>
      <c r="CS254"/>
      <c r="CT254"/>
      <c r="CU254"/>
      <c r="CV254"/>
      <c r="CW254"/>
      <c r="CX254" t="s">
        <v>2454</v>
      </c>
      <c r="CY254">
        <v>262</v>
      </c>
      <c r="CZ254" t="s">
        <v>2453</v>
      </c>
    </row>
    <row r="255" spans="1:104" ht="14.25">
      <c r="A255" t="s">
        <v>3441</v>
      </c>
      <c r="B255" t="s">
        <v>3440</v>
      </c>
      <c r="C255" t="s">
        <v>3439</v>
      </c>
      <c r="D255">
        <v>2</v>
      </c>
      <c r="E255" t="s">
        <v>2680</v>
      </c>
      <c r="F255" t="s">
        <v>2489</v>
      </c>
      <c r="G255" t="s">
        <v>2690</v>
      </c>
      <c r="H255"/>
      <c r="I255"/>
      <c r="J255" t="s">
        <v>2013</v>
      </c>
      <c r="K255"/>
      <c r="L255"/>
      <c r="M255">
        <v>12</v>
      </c>
      <c r="N255">
        <v>52</v>
      </c>
      <c r="O255">
        <v>7</v>
      </c>
      <c r="P255">
        <v>10</v>
      </c>
      <c r="Q255">
        <v>14</v>
      </c>
      <c r="R255" t="s">
        <v>2464</v>
      </c>
      <c r="S255" t="s">
        <v>3438</v>
      </c>
      <c r="T255" t="s">
        <v>3437</v>
      </c>
      <c r="U255" t="s">
        <v>2462</v>
      </c>
      <c r="V255">
        <v>40</v>
      </c>
      <c r="W255"/>
      <c r="X255"/>
      <c r="Y255"/>
      <c r="Z255"/>
      <c r="AA255">
        <v>18</v>
      </c>
      <c r="AB255">
        <v>14</v>
      </c>
      <c r="AC255">
        <v>15</v>
      </c>
      <c r="AD255">
        <v>3</v>
      </c>
      <c r="AE255">
        <v>12</v>
      </c>
      <c r="AF255">
        <v>8</v>
      </c>
      <c r="AG255">
        <v>336</v>
      </c>
      <c r="AH255"/>
      <c r="AI255"/>
      <c r="AJ255"/>
      <c r="AK255"/>
      <c r="AL255"/>
      <c r="AM255"/>
      <c r="AN255">
        <v>43</v>
      </c>
      <c r="AO255">
        <v>383</v>
      </c>
      <c r="AP255"/>
      <c r="AQ255"/>
      <c r="AR255"/>
      <c r="AS255" t="s">
        <v>3436</v>
      </c>
      <c r="AT255"/>
      <c r="AU255"/>
      <c r="AV255"/>
      <c r="AW255"/>
      <c r="AX255"/>
      <c r="AY255" t="s">
        <v>2581</v>
      </c>
      <c r="AZ255" t="s">
        <v>3046</v>
      </c>
      <c r="BA255" t="s">
        <v>2581</v>
      </c>
      <c r="BB255" t="s">
        <v>3044</v>
      </c>
      <c r="BC255" t="s">
        <v>3435</v>
      </c>
      <c r="BD255" t="s">
        <v>3044</v>
      </c>
      <c r="BE255"/>
      <c r="BF255"/>
      <c r="BG255"/>
      <c r="BH255"/>
      <c r="BI255"/>
      <c r="BJ255"/>
      <c r="BK255"/>
      <c r="BL255"/>
      <c r="BM255"/>
      <c r="BN255"/>
      <c r="BO255"/>
      <c r="BP255" t="s">
        <v>2479</v>
      </c>
      <c r="BQ255" t="s">
        <v>3434</v>
      </c>
      <c r="BR255" t="s">
        <v>3433</v>
      </c>
      <c r="BS255" t="s">
        <v>2476</v>
      </c>
      <c r="BT255" t="s">
        <v>3432</v>
      </c>
      <c r="BU255" t="s">
        <v>3431</v>
      </c>
      <c r="BV255"/>
      <c r="BW255"/>
      <c r="BX255"/>
      <c r="BY255"/>
      <c r="BZ255"/>
      <c r="CA255"/>
      <c r="CB255"/>
      <c r="CC255"/>
      <c r="CD255"/>
      <c r="CE255"/>
      <c r="CF255"/>
      <c r="CG255"/>
      <c r="CH255"/>
      <c r="CI255"/>
      <c r="CJ255"/>
      <c r="CK255"/>
      <c r="CL255"/>
      <c r="CM255"/>
      <c r="CN255"/>
      <c r="CO255"/>
      <c r="CP255"/>
      <c r="CQ255"/>
      <c r="CR255"/>
      <c r="CS255"/>
      <c r="CT255"/>
      <c r="CU255"/>
      <c r="CV255"/>
      <c r="CW255"/>
      <c r="CX255" t="s">
        <v>2454</v>
      </c>
      <c r="CY255">
        <v>336</v>
      </c>
      <c r="CZ255" t="s">
        <v>2453</v>
      </c>
    </row>
    <row r="256" spans="1:104" ht="14.25">
      <c r="A256" t="s">
        <v>3429</v>
      </c>
      <c r="B256" t="s">
        <v>3429</v>
      </c>
      <c r="C256" t="s">
        <v>3430</v>
      </c>
      <c r="D256">
        <v>0.5</v>
      </c>
      <c r="E256" t="s">
        <v>2468</v>
      </c>
      <c r="F256" t="s">
        <v>2467</v>
      </c>
      <c r="G256" t="s">
        <v>2608</v>
      </c>
      <c r="H256" t="s">
        <v>3429</v>
      </c>
      <c r="I256"/>
      <c r="J256" t="s">
        <v>2522</v>
      </c>
      <c r="K256"/>
      <c r="L256"/>
      <c r="M256">
        <v>12</v>
      </c>
      <c r="N256">
        <v>22</v>
      </c>
      <c r="O256">
        <v>4</v>
      </c>
      <c r="P256">
        <v>8</v>
      </c>
      <c r="Q256">
        <v>4</v>
      </c>
      <c r="R256" t="s">
        <v>2464</v>
      </c>
      <c r="S256" t="s">
        <v>2992</v>
      </c>
      <c r="T256" t="s">
        <v>2992</v>
      </c>
      <c r="U256" t="s">
        <v>2462</v>
      </c>
      <c r="V256">
        <v>30</v>
      </c>
      <c r="W256"/>
      <c r="X256"/>
      <c r="Y256"/>
      <c r="Z256">
        <v>40</v>
      </c>
      <c r="AA256">
        <v>13</v>
      </c>
      <c r="AB256">
        <v>11</v>
      </c>
      <c r="AC256">
        <v>12</v>
      </c>
      <c r="AD256">
        <v>12</v>
      </c>
      <c r="AE256">
        <v>13</v>
      </c>
      <c r="AF256">
        <v>9</v>
      </c>
      <c r="AG256">
        <v>263</v>
      </c>
      <c r="AH256"/>
      <c r="AI256"/>
      <c r="AJ256"/>
      <c r="AK256"/>
      <c r="AL256"/>
      <c r="AM256"/>
      <c r="AN256"/>
      <c r="AO256">
        <v>346</v>
      </c>
      <c r="AP256"/>
      <c r="AQ256"/>
      <c r="AR256"/>
      <c r="AS256" t="s">
        <v>3428</v>
      </c>
      <c r="AT256"/>
      <c r="AU256"/>
      <c r="AV256"/>
      <c r="AW256"/>
      <c r="AX256"/>
      <c r="AY256" t="s">
        <v>3105</v>
      </c>
      <c r="AZ256" t="s">
        <v>3427</v>
      </c>
      <c r="BA256" t="s">
        <v>3105</v>
      </c>
      <c r="BB256" t="s">
        <v>3425</v>
      </c>
      <c r="BC256" t="s">
        <v>3426</v>
      </c>
      <c r="BD256" t="s">
        <v>3425</v>
      </c>
      <c r="BE256" t="s">
        <v>3423</v>
      </c>
      <c r="BF256" t="s">
        <v>3424</v>
      </c>
      <c r="BG256" t="s">
        <v>3423</v>
      </c>
      <c r="BH256"/>
      <c r="BI256"/>
      <c r="BJ256"/>
      <c r="BK256"/>
      <c r="BL256"/>
      <c r="BM256"/>
      <c r="BN256"/>
      <c r="BO256"/>
      <c r="BP256" t="s">
        <v>2480</v>
      </c>
      <c r="BQ256" t="s">
        <v>3422</v>
      </c>
      <c r="BR256" t="s">
        <v>2480</v>
      </c>
      <c r="BS256" t="s">
        <v>2479</v>
      </c>
      <c r="BT256" t="s">
        <v>2990</v>
      </c>
      <c r="BU256" t="s">
        <v>3421</v>
      </c>
      <c r="BV256" t="s">
        <v>2652</v>
      </c>
      <c r="BW256" t="s">
        <v>3420</v>
      </c>
      <c r="BX256" t="s">
        <v>2989</v>
      </c>
      <c r="BY256" t="s">
        <v>2402</v>
      </c>
      <c r="BZ256" t="s">
        <v>3020</v>
      </c>
      <c r="CA256" t="s">
        <v>3019</v>
      </c>
      <c r="CB256"/>
      <c r="CC256"/>
      <c r="CD256"/>
      <c r="CE256"/>
      <c r="CF256"/>
      <c r="CG256"/>
      <c r="CH256"/>
      <c r="CI256"/>
      <c r="CJ256"/>
      <c r="CK256"/>
      <c r="CL256"/>
      <c r="CM256"/>
      <c r="CN256"/>
      <c r="CO256"/>
      <c r="CP256"/>
      <c r="CQ256"/>
      <c r="CR256"/>
      <c r="CS256"/>
      <c r="CT256"/>
      <c r="CU256"/>
      <c r="CV256"/>
      <c r="CW256"/>
      <c r="CX256" t="s">
        <v>2454</v>
      </c>
      <c r="CY256">
        <v>263</v>
      </c>
      <c r="CZ256" t="s">
        <v>2453</v>
      </c>
    </row>
    <row r="257" spans="1:104" ht="14.25">
      <c r="A257" t="s">
        <v>3419</v>
      </c>
      <c r="B257" t="s">
        <v>3419</v>
      </c>
      <c r="C257" t="s">
        <v>3418</v>
      </c>
      <c r="D257">
        <v>5</v>
      </c>
      <c r="E257" t="s">
        <v>2468</v>
      </c>
      <c r="F257" t="s">
        <v>2489</v>
      </c>
      <c r="G257" t="s">
        <v>2626</v>
      </c>
      <c r="H257"/>
      <c r="I257"/>
      <c r="J257" t="s">
        <v>2465</v>
      </c>
      <c r="K257"/>
      <c r="L257"/>
      <c r="M257">
        <v>15</v>
      </c>
      <c r="N257">
        <v>90</v>
      </c>
      <c r="O257">
        <v>12</v>
      </c>
      <c r="P257">
        <v>10</v>
      </c>
      <c r="Q257">
        <v>24</v>
      </c>
      <c r="R257" t="s">
        <v>2464</v>
      </c>
      <c r="S257" t="s">
        <v>2657</v>
      </c>
      <c r="T257" t="s">
        <v>3417</v>
      </c>
      <c r="U257" t="s">
        <v>3004</v>
      </c>
      <c r="V257">
        <v>30</v>
      </c>
      <c r="W257"/>
      <c r="X257"/>
      <c r="Y257"/>
      <c r="Z257"/>
      <c r="AA257">
        <v>18</v>
      </c>
      <c r="AB257">
        <v>14</v>
      </c>
      <c r="AC257">
        <v>15</v>
      </c>
      <c r="AD257">
        <v>11</v>
      </c>
      <c r="AE257">
        <v>10</v>
      </c>
      <c r="AF257">
        <v>12</v>
      </c>
      <c r="AG257">
        <v>266</v>
      </c>
      <c r="AH257"/>
      <c r="AI257"/>
      <c r="AJ257"/>
      <c r="AK257"/>
      <c r="AL257"/>
      <c r="AM257"/>
      <c r="AN257"/>
      <c r="AO257">
        <v>346</v>
      </c>
      <c r="AP257"/>
      <c r="AQ257"/>
      <c r="AR257"/>
      <c r="AS257"/>
      <c r="AT257">
        <v>30</v>
      </c>
      <c r="AU257"/>
      <c r="AV257"/>
      <c r="AW257"/>
      <c r="AX257"/>
      <c r="AY257" t="s">
        <v>3416</v>
      </c>
      <c r="AZ257" t="s">
        <v>3415</v>
      </c>
      <c r="BA257" t="s">
        <v>3414</v>
      </c>
      <c r="BB257" t="s">
        <v>3412</v>
      </c>
      <c r="BC257" t="s">
        <v>3413</v>
      </c>
      <c r="BD257" t="s">
        <v>3412</v>
      </c>
      <c r="BE257"/>
      <c r="BF257"/>
      <c r="BG257"/>
      <c r="BH257"/>
      <c r="BI257"/>
      <c r="BJ257"/>
      <c r="BK257"/>
      <c r="BL257"/>
      <c r="BM257"/>
      <c r="BN257"/>
      <c r="BO257"/>
      <c r="BP257" t="s">
        <v>2480</v>
      </c>
      <c r="BQ257" t="s">
        <v>3411</v>
      </c>
      <c r="BR257" t="s">
        <v>2480</v>
      </c>
      <c r="BS257" t="s">
        <v>2402</v>
      </c>
      <c r="BT257" t="s">
        <v>3410</v>
      </c>
      <c r="BU257" t="s">
        <v>3409</v>
      </c>
      <c r="BV257" t="s">
        <v>2978</v>
      </c>
      <c r="BW257" t="s">
        <v>3408</v>
      </c>
      <c r="BX257" t="s">
        <v>3407</v>
      </c>
      <c r="BY257"/>
      <c r="BZ257"/>
      <c r="CA257"/>
      <c r="CB257"/>
      <c r="CC257"/>
      <c r="CD257"/>
      <c r="CE257"/>
      <c r="CF257"/>
      <c r="CG257"/>
      <c r="CH257"/>
      <c r="CI257"/>
      <c r="CJ257"/>
      <c r="CK257"/>
      <c r="CL257"/>
      <c r="CM257"/>
      <c r="CN257"/>
      <c r="CO257"/>
      <c r="CP257"/>
      <c r="CQ257"/>
      <c r="CR257"/>
      <c r="CS257"/>
      <c r="CT257"/>
      <c r="CU257"/>
      <c r="CV257"/>
      <c r="CW257"/>
      <c r="CX257" t="s">
        <v>2454</v>
      </c>
      <c r="CY257">
        <v>266</v>
      </c>
      <c r="CZ257" t="s">
        <v>2453</v>
      </c>
    </row>
    <row r="258" spans="1:104" ht="14.25">
      <c r="A258" t="s">
        <v>3406</v>
      </c>
      <c r="B258" t="s">
        <v>3406</v>
      </c>
      <c r="C258" t="s">
        <v>3405</v>
      </c>
      <c r="D258">
        <v>0.5</v>
      </c>
      <c r="E258" t="s">
        <v>2468</v>
      </c>
      <c r="F258" t="s">
        <v>2467</v>
      </c>
      <c r="G258" t="s">
        <v>3231</v>
      </c>
      <c r="H258"/>
      <c r="I258"/>
      <c r="J258" t="s">
        <v>3404</v>
      </c>
      <c r="K258"/>
      <c r="L258"/>
      <c r="M258">
        <v>14</v>
      </c>
      <c r="N258">
        <v>31</v>
      </c>
      <c r="O258">
        <v>7</v>
      </c>
      <c r="P258">
        <v>8</v>
      </c>
      <c r="Q258"/>
      <c r="R258" t="s">
        <v>2464</v>
      </c>
      <c r="S258" t="s">
        <v>3403</v>
      </c>
      <c r="T258" t="s">
        <v>3402</v>
      </c>
      <c r="U258" t="s">
        <v>2462</v>
      </c>
      <c r="V258">
        <v>40</v>
      </c>
      <c r="W258"/>
      <c r="X258"/>
      <c r="Y258"/>
      <c r="Z258"/>
      <c r="AA258">
        <v>12</v>
      </c>
      <c r="AB258">
        <v>16</v>
      </c>
      <c r="AC258">
        <v>11</v>
      </c>
      <c r="AD258">
        <v>12</v>
      </c>
      <c r="AE258">
        <v>10</v>
      </c>
      <c r="AF258">
        <v>14</v>
      </c>
      <c r="AG258">
        <v>267</v>
      </c>
      <c r="AH258"/>
      <c r="AI258"/>
      <c r="AJ258"/>
      <c r="AK258"/>
      <c r="AL258"/>
      <c r="AM258"/>
      <c r="AN258">
        <v>43</v>
      </c>
      <c r="AO258">
        <v>347</v>
      </c>
      <c r="AP258"/>
      <c r="AQ258"/>
      <c r="AR258"/>
      <c r="AS258"/>
      <c r="AT258"/>
      <c r="AU258"/>
      <c r="AV258"/>
      <c r="AW258"/>
      <c r="AX258"/>
      <c r="AY258" t="s">
        <v>2873</v>
      </c>
      <c r="AZ258" t="s">
        <v>3401</v>
      </c>
      <c r="BA258" t="s">
        <v>2873</v>
      </c>
      <c r="BB258"/>
      <c r="BC258"/>
      <c r="BD258"/>
      <c r="BE258"/>
      <c r="BF258"/>
      <c r="BG258"/>
      <c r="BH258"/>
      <c r="BI258"/>
      <c r="BJ258"/>
      <c r="BK258"/>
      <c r="BL258"/>
      <c r="BM258"/>
      <c r="BN258"/>
      <c r="BO258"/>
      <c r="BP258" t="s">
        <v>3400</v>
      </c>
      <c r="BQ258" t="s">
        <v>3399</v>
      </c>
      <c r="BR258" t="s">
        <v>3398</v>
      </c>
      <c r="BS258" t="s">
        <v>2898</v>
      </c>
      <c r="BT258" t="s">
        <v>3397</v>
      </c>
      <c r="BU258" t="s">
        <v>2896</v>
      </c>
      <c r="BV258" t="s">
        <v>3228</v>
      </c>
      <c r="BW258" t="s">
        <v>3396</v>
      </c>
      <c r="BX258" t="s">
        <v>3395</v>
      </c>
      <c r="BY258" t="s">
        <v>3393</v>
      </c>
      <c r="BZ258" t="s">
        <v>3394</v>
      </c>
      <c r="CA258" t="s">
        <v>3393</v>
      </c>
      <c r="CB258"/>
      <c r="CC258"/>
      <c r="CD258"/>
      <c r="CE258"/>
      <c r="CF258"/>
      <c r="CG258"/>
      <c r="CH258"/>
      <c r="CI258"/>
      <c r="CJ258"/>
      <c r="CK258"/>
      <c r="CL258"/>
      <c r="CM258"/>
      <c r="CN258"/>
      <c r="CO258"/>
      <c r="CP258"/>
      <c r="CQ258"/>
      <c r="CR258"/>
      <c r="CS258"/>
      <c r="CT258"/>
      <c r="CU258"/>
      <c r="CV258"/>
      <c r="CW258"/>
      <c r="CX258" t="s">
        <v>2454</v>
      </c>
      <c r="CY258">
        <v>267</v>
      </c>
      <c r="CZ258" t="s">
        <v>2453</v>
      </c>
    </row>
    <row r="259" spans="1:104" ht="14.25">
      <c r="A259" t="s">
        <v>3392</v>
      </c>
      <c r="B259" t="s">
        <v>3392</v>
      </c>
      <c r="C259" t="s">
        <v>3391</v>
      </c>
      <c r="D259">
        <v>0</v>
      </c>
      <c r="E259" t="s">
        <v>2680</v>
      </c>
      <c r="F259" t="s">
        <v>2719</v>
      </c>
      <c r="G259" t="s">
        <v>2690</v>
      </c>
      <c r="H259"/>
      <c r="I259"/>
      <c r="J259" t="s">
        <v>2013</v>
      </c>
      <c r="K259"/>
      <c r="L259"/>
      <c r="M259">
        <v>11</v>
      </c>
      <c r="N259">
        <v>1</v>
      </c>
      <c r="O259">
        <v>1</v>
      </c>
      <c r="P259">
        <v>4</v>
      </c>
      <c r="Q259">
        <v>-1</v>
      </c>
      <c r="R259" t="s">
        <v>2464</v>
      </c>
      <c r="S259" t="s">
        <v>2826</v>
      </c>
      <c r="T259" t="s">
        <v>2462</v>
      </c>
      <c r="U259" t="s">
        <v>2462</v>
      </c>
      <c r="V259">
        <v>10</v>
      </c>
      <c r="W259"/>
      <c r="X259"/>
      <c r="Y259"/>
      <c r="Z259"/>
      <c r="AA259">
        <v>2</v>
      </c>
      <c r="AB259">
        <v>11</v>
      </c>
      <c r="AC259">
        <v>8</v>
      </c>
      <c r="AD259">
        <v>1</v>
      </c>
      <c r="AE259">
        <v>8</v>
      </c>
      <c r="AF259">
        <v>2</v>
      </c>
      <c r="AG259">
        <v>337</v>
      </c>
      <c r="AH259"/>
      <c r="AI259"/>
      <c r="AJ259"/>
      <c r="AK259"/>
      <c r="AL259"/>
      <c r="AM259"/>
      <c r="AN259">
        <v>43</v>
      </c>
      <c r="AO259">
        <v>383</v>
      </c>
      <c r="AP259"/>
      <c r="AQ259"/>
      <c r="AR259"/>
      <c r="AS259"/>
      <c r="AT259"/>
      <c r="AU259"/>
      <c r="AV259"/>
      <c r="AW259"/>
      <c r="AX259"/>
      <c r="AY259"/>
      <c r="AZ259"/>
      <c r="BA259"/>
      <c r="BB259"/>
      <c r="BC259"/>
      <c r="BD259"/>
      <c r="BE259"/>
      <c r="BF259"/>
      <c r="BG259"/>
      <c r="BH259"/>
      <c r="BI259"/>
      <c r="BJ259"/>
      <c r="BK259"/>
      <c r="BL259"/>
      <c r="BM259"/>
      <c r="BN259"/>
      <c r="BO259"/>
      <c r="BP259" t="s">
        <v>3390</v>
      </c>
      <c r="BQ259" t="s">
        <v>3389</v>
      </c>
      <c r="BR259" t="s">
        <v>3388</v>
      </c>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t="s">
        <v>2454</v>
      </c>
      <c r="CY259">
        <v>337</v>
      </c>
      <c r="CZ259" t="s">
        <v>2453</v>
      </c>
    </row>
    <row r="260" spans="1:104" ht="14.25">
      <c r="A260" t="s">
        <v>3387</v>
      </c>
      <c r="B260" t="s">
        <v>3387</v>
      </c>
      <c r="C260" t="s">
        <v>3386</v>
      </c>
      <c r="D260">
        <v>0.5</v>
      </c>
      <c r="E260" t="s">
        <v>2609</v>
      </c>
      <c r="F260" t="s">
        <v>2467</v>
      </c>
      <c r="G260" t="s">
        <v>2608</v>
      </c>
      <c r="H260" t="s">
        <v>2607</v>
      </c>
      <c r="I260"/>
      <c r="J260" t="s">
        <v>2607</v>
      </c>
      <c r="K260"/>
      <c r="L260"/>
      <c r="M260">
        <v>13</v>
      </c>
      <c r="N260">
        <v>16</v>
      </c>
      <c r="O260">
        <v>3</v>
      </c>
      <c r="P260">
        <v>8</v>
      </c>
      <c r="Q260">
        <v>3</v>
      </c>
      <c r="R260" t="s">
        <v>2464</v>
      </c>
      <c r="S260" t="s">
        <v>2605</v>
      </c>
      <c r="T260" t="s">
        <v>2758</v>
      </c>
      <c r="U260" t="s">
        <v>2462</v>
      </c>
      <c r="V260">
        <v>30</v>
      </c>
      <c r="W260"/>
      <c r="X260"/>
      <c r="Y260"/>
      <c r="Z260"/>
      <c r="AA260">
        <v>11</v>
      </c>
      <c r="AB260">
        <v>14</v>
      </c>
      <c r="AC260">
        <v>12</v>
      </c>
      <c r="AD260">
        <v>11</v>
      </c>
      <c r="AE260">
        <v>13</v>
      </c>
      <c r="AF260">
        <v>11</v>
      </c>
      <c r="AG260">
        <v>349</v>
      </c>
      <c r="AH260"/>
      <c r="AI260"/>
      <c r="AJ260"/>
      <c r="AK260"/>
      <c r="AL260"/>
      <c r="AM260"/>
      <c r="AN260"/>
      <c r="AO260">
        <v>396</v>
      </c>
      <c r="AP260">
        <v>16</v>
      </c>
      <c r="AQ260"/>
      <c r="AR260"/>
      <c r="AS260" t="s">
        <v>3385</v>
      </c>
      <c r="AT260">
        <v>31</v>
      </c>
      <c r="AU260"/>
      <c r="AV260" t="s">
        <v>3384</v>
      </c>
      <c r="AW260"/>
      <c r="AX260" t="s">
        <v>3383</v>
      </c>
      <c r="AY260" t="s">
        <v>3381</v>
      </c>
      <c r="AZ260" t="s">
        <v>3382</v>
      </c>
      <c r="BA260" t="s">
        <v>3381</v>
      </c>
      <c r="BB260"/>
      <c r="BC260"/>
      <c r="BD260"/>
      <c r="BE260"/>
      <c r="BF260"/>
      <c r="BG260"/>
      <c r="BH260"/>
      <c r="BI260"/>
      <c r="BJ260"/>
      <c r="BK260"/>
      <c r="BL260"/>
      <c r="BM260"/>
      <c r="BN260"/>
      <c r="BO260"/>
      <c r="BP260" t="s">
        <v>2480</v>
      </c>
      <c r="BQ260" t="s">
        <v>3380</v>
      </c>
      <c r="BR260" t="s">
        <v>2480</v>
      </c>
      <c r="BS260" t="s">
        <v>2898</v>
      </c>
      <c r="BT260" t="s">
        <v>2785</v>
      </c>
      <c r="BU260" t="s">
        <v>2784</v>
      </c>
      <c r="BV260" t="s">
        <v>2724</v>
      </c>
      <c r="BW260" t="s">
        <v>3379</v>
      </c>
      <c r="BX260" t="s">
        <v>2722</v>
      </c>
      <c r="BY260"/>
      <c r="BZ260"/>
      <c r="CA260"/>
      <c r="CB260"/>
      <c r="CC260"/>
      <c r="CD260"/>
      <c r="CE260"/>
      <c r="CF260"/>
      <c r="CG260"/>
      <c r="CH260"/>
      <c r="CI260"/>
      <c r="CJ260"/>
      <c r="CK260"/>
      <c r="CL260"/>
      <c r="CM260"/>
      <c r="CN260"/>
      <c r="CO260"/>
      <c r="CP260"/>
      <c r="CQ260"/>
      <c r="CR260"/>
      <c r="CS260"/>
      <c r="CT260"/>
      <c r="CU260"/>
      <c r="CV260"/>
      <c r="CW260"/>
      <c r="CX260" t="s">
        <v>2454</v>
      </c>
      <c r="CY260">
        <v>349</v>
      </c>
      <c r="CZ260" t="s">
        <v>2453</v>
      </c>
    </row>
    <row r="261" spans="1:104" ht="14.25">
      <c r="A261" t="s">
        <v>3378</v>
      </c>
      <c r="B261" t="s">
        <v>3377</v>
      </c>
      <c r="C261" t="s">
        <v>3376</v>
      </c>
      <c r="D261">
        <v>2</v>
      </c>
      <c r="E261" t="s">
        <v>2468</v>
      </c>
      <c r="F261" t="s">
        <v>2467</v>
      </c>
      <c r="G261" t="s">
        <v>3231</v>
      </c>
      <c r="H261" t="s">
        <v>3375</v>
      </c>
      <c r="I261"/>
      <c r="J261" t="s">
        <v>2487</v>
      </c>
      <c r="K261"/>
      <c r="L261"/>
      <c r="M261">
        <v>14</v>
      </c>
      <c r="N261">
        <v>52</v>
      </c>
      <c r="O261">
        <v>7</v>
      </c>
      <c r="P261">
        <v>8</v>
      </c>
      <c r="Q261">
        <v>21</v>
      </c>
      <c r="R261" t="s">
        <v>2464</v>
      </c>
      <c r="S261" t="s">
        <v>2679</v>
      </c>
      <c r="T261" t="s">
        <v>2462</v>
      </c>
      <c r="U261" t="s">
        <v>2462</v>
      </c>
      <c r="V261">
        <v>30</v>
      </c>
      <c r="W261"/>
      <c r="X261"/>
      <c r="Y261"/>
      <c r="Z261">
        <v>40</v>
      </c>
      <c r="AA261">
        <v>16</v>
      </c>
      <c r="AB261">
        <v>13</v>
      </c>
      <c r="AC261">
        <v>16</v>
      </c>
      <c r="AD261">
        <v>12</v>
      </c>
      <c r="AE261">
        <v>12</v>
      </c>
      <c r="AF261">
        <v>13</v>
      </c>
      <c r="AG261">
        <v>179</v>
      </c>
      <c r="AH261"/>
      <c r="AI261"/>
      <c r="AJ261"/>
      <c r="AK261"/>
      <c r="AL261"/>
      <c r="AM261"/>
      <c r="AN261"/>
      <c r="AO261">
        <v>323</v>
      </c>
      <c r="AP261"/>
      <c r="AQ261"/>
      <c r="AR261"/>
      <c r="AS261"/>
      <c r="AT261">
        <v>31</v>
      </c>
      <c r="AU261"/>
      <c r="AV261"/>
      <c r="AW261"/>
      <c r="AX261"/>
      <c r="AY261" t="s">
        <v>2520</v>
      </c>
      <c r="AZ261" t="s">
        <v>3374</v>
      </c>
      <c r="BA261" t="s">
        <v>2520</v>
      </c>
      <c r="BB261" t="s">
        <v>3372</v>
      </c>
      <c r="BC261" t="s">
        <v>3373</v>
      </c>
      <c r="BD261" t="s">
        <v>3372</v>
      </c>
      <c r="BE261" t="s">
        <v>3370</v>
      </c>
      <c r="BF261" t="s">
        <v>3371</v>
      </c>
      <c r="BG261" t="s">
        <v>3370</v>
      </c>
      <c r="BH261" t="s">
        <v>3369</v>
      </c>
      <c r="BI261" t="s">
        <v>3368</v>
      </c>
      <c r="BJ261" t="s">
        <v>3367</v>
      </c>
      <c r="BK261" t="s">
        <v>3366</v>
      </c>
      <c r="BL261"/>
      <c r="BM261"/>
      <c r="BN261"/>
      <c r="BO261"/>
      <c r="BP261" t="s">
        <v>2652</v>
      </c>
      <c r="BQ261" t="s">
        <v>3365</v>
      </c>
      <c r="BR261" t="s">
        <v>3364</v>
      </c>
      <c r="BS261" t="s">
        <v>3362</v>
      </c>
      <c r="BT261" t="s">
        <v>3363</v>
      </c>
      <c r="BU261" t="s">
        <v>3362</v>
      </c>
      <c r="BV261" t="s">
        <v>3360</v>
      </c>
      <c r="BW261" t="s">
        <v>3361</v>
      </c>
      <c r="BX261" t="s">
        <v>3360</v>
      </c>
      <c r="BY261"/>
      <c r="BZ261"/>
      <c r="CA261"/>
      <c r="CB261"/>
      <c r="CC261"/>
      <c r="CD261"/>
      <c r="CE261"/>
      <c r="CF261"/>
      <c r="CG261"/>
      <c r="CH261"/>
      <c r="CI261"/>
      <c r="CJ261"/>
      <c r="CK261"/>
      <c r="CL261"/>
      <c r="CM261"/>
      <c r="CN261"/>
      <c r="CO261"/>
      <c r="CP261"/>
      <c r="CQ261"/>
      <c r="CR261"/>
      <c r="CS261"/>
      <c r="CT261"/>
      <c r="CU261"/>
      <c r="CV261"/>
      <c r="CW261"/>
      <c r="CX261" t="s">
        <v>2454</v>
      </c>
      <c r="CY261">
        <v>179</v>
      </c>
      <c r="CZ261" t="s">
        <v>2453</v>
      </c>
    </row>
    <row r="262" spans="1:104" ht="14.25">
      <c r="A262" t="s">
        <v>3359</v>
      </c>
      <c r="B262" t="s">
        <v>3358</v>
      </c>
      <c r="C262" t="s">
        <v>3357</v>
      </c>
      <c r="D262" t="s">
        <v>2462</v>
      </c>
      <c r="E262" t="s">
        <v>2680</v>
      </c>
      <c r="F262" t="s">
        <v>2719</v>
      </c>
      <c r="G262" t="s">
        <v>2690</v>
      </c>
      <c r="H262"/>
      <c r="I262"/>
      <c r="J262" t="s">
        <v>2013</v>
      </c>
      <c r="K262"/>
      <c r="L262"/>
      <c r="M262">
        <v>11</v>
      </c>
      <c r="N262">
        <v>1</v>
      </c>
      <c r="O262">
        <v>1</v>
      </c>
      <c r="P262">
        <v>4</v>
      </c>
      <c r="Q262">
        <v>-1</v>
      </c>
      <c r="R262" t="s">
        <v>2464</v>
      </c>
      <c r="S262" t="s">
        <v>305</v>
      </c>
      <c r="T262" t="s">
        <v>2462</v>
      </c>
      <c r="U262" t="s">
        <v>2462</v>
      </c>
      <c r="V262">
        <v>0</v>
      </c>
      <c r="W262"/>
      <c r="X262"/>
      <c r="Y262"/>
      <c r="Z262">
        <v>20</v>
      </c>
      <c r="AA262">
        <v>1</v>
      </c>
      <c r="AB262">
        <v>12</v>
      </c>
      <c r="AC262">
        <v>8</v>
      </c>
      <c r="AD262">
        <v>1</v>
      </c>
      <c r="AE262">
        <v>10</v>
      </c>
      <c r="AF262">
        <v>2</v>
      </c>
      <c r="AG262">
        <v>337</v>
      </c>
      <c r="AH262"/>
      <c r="AI262"/>
      <c r="AJ262"/>
      <c r="AK262"/>
      <c r="AL262"/>
      <c r="AM262"/>
      <c r="AN262">
        <v>43</v>
      </c>
      <c r="AO262">
        <v>384</v>
      </c>
      <c r="AP262"/>
      <c r="AQ262"/>
      <c r="AR262"/>
      <c r="AS262"/>
      <c r="AT262"/>
      <c r="AU262"/>
      <c r="AV262"/>
      <c r="AW262"/>
      <c r="AX262"/>
      <c r="AY262" t="s">
        <v>3102</v>
      </c>
      <c r="AZ262" t="s">
        <v>3356</v>
      </c>
      <c r="BA262" t="s">
        <v>3102</v>
      </c>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t="s">
        <v>2454</v>
      </c>
      <c r="CY262">
        <v>337</v>
      </c>
      <c r="CZ262" t="s">
        <v>2453</v>
      </c>
    </row>
    <row r="263" spans="1:104" ht="14.25">
      <c r="A263" t="s">
        <v>3355</v>
      </c>
      <c r="B263" t="s">
        <v>3355</v>
      </c>
      <c r="C263" t="s">
        <v>3354</v>
      </c>
      <c r="D263">
        <v>0.5</v>
      </c>
      <c r="E263" t="s">
        <v>2468</v>
      </c>
      <c r="F263" t="s">
        <v>2467</v>
      </c>
      <c r="G263" t="s">
        <v>2466</v>
      </c>
      <c r="H263"/>
      <c r="I263"/>
      <c r="J263" t="s">
        <v>2487</v>
      </c>
      <c r="K263"/>
      <c r="L263"/>
      <c r="M263">
        <v>12</v>
      </c>
      <c r="N263">
        <v>16</v>
      </c>
      <c r="O263">
        <v>3</v>
      </c>
      <c r="P263">
        <v>8</v>
      </c>
      <c r="Q263">
        <v>3</v>
      </c>
      <c r="R263" t="s">
        <v>2464</v>
      </c>
      <c r="S263" t="s">
        <v>3353</v>
      </c>
      <c r="T263" t="s">
        <v>2462</v>
      </c>
      <c r="U263" t="s">
        <v>2462</v>
      </c>
      <c r="V263">
        <v>40</v>
      </c>
      <c r="W263"/>
      <c r="X263"/>
      <c r="Y263"/>
      <c r="Z263"/>
      <c r="AA263">
        <v>6</v>
      </c>
      <c r="AB263">
        <v>14</v>
      </c>
      <c r="AC263">
        <v>13</v>
      </c>
      <c r="AD263">
        <v>6</v>
      </c>
      <c r="AE263">
        <v>10</v>
      </c>
      <c r="AF263">
        <v>8</v>
      </c>
      <c r="AG263">
        <v>269</v>
      </c>
      <c r="AH263"/>
      <c r="AI263"/>
      <c r="AJ263"/>
      <c r="AK263"/>
      <c r="AL263"/>
      <c r="AM263"/>
      <c r="AN263"/>
      <c r="AO263">
        <v>347</v>
      </c>
      <c r="AP263"/>
      <c r="AQ263"/>
      <c r="AR263"/>
      <c r="AS263" t="s">
        <v>3352</v>
      </c>
      <c r="AT263">
        <v>31</v>
      </c>
      <c r="AU263"/>
      <c r="AV263" t="s">
        <v>3257</v>
      </c>
      <c r="AW263"/>
      <c r="AX263" t="s">
        <v>3351</v>
      </c>
      <c r="AY263" t="s">
        <v>3349</v>
      </c>
      <c r="AZ263" t="s">
        <v>3350</v>
      </c>
      <c r="BA263" t="s">
        <v>3349</v>
      </c>
      <c r="BB263" t="s">
        <v>3347</v>
      </c>
      <c r="BC263" t="s">
        <v>3348</v>
      </c>
      <c r="BD263" t="s">
        <v>3347</v>
      </c>
      <c r="BE263" t="s">
        <v>3345</v>
      </c>
      <c r="BF263" t="s">
        <v>3346</v>
      </c>
      <c r="BG263" t="s">
        <v>3345</v>
      </c>
      <c r="BH263"/>
      <c r="BI263"/>
      <c r="BJ263"/>
      <c r="BK263"/>
      <c r="BL263"/>
      <c r="BM263"/>
      <c r="BN263"/>
      <c r="BO263"/>
      <c r="BP263" t="s">
        <v>3344</v>
      </c>
      <c r="BQ263" t="s">
        <v>3343</v>
      </c>
      <c r="BR263" t="s">
        <v>3342</v>
      </c>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t="s">
        <v>2454</v>
      </c>
      <c r="CY263">
        <v>269</v>
      </c>
      <c r="CZ263" t="s">
        <v>2453</v>
      </c>
    </row>
    <row r="264" spans="1:104" ht="14.25">
      <c r="A264" t="s">
        <v>3341</v>
      </c>
      <c r="B264" t="s">
        <v>3340</v>
      </c>
      <c r="C264" t="s">
        <v>3339</v>
      </c>
      <c r="D264">
        <v>5</v>
      </c>
      <c r="E264" t="s">
        <v>2468</v>
      </c>
      <c r="F264" t="s">
        <v>2489</v>
      </c>
      <c r="G264" t="s">
        <v>2890</v>
      </c>
      <c r="H264"/>
      <c r="I264"/>
      <c r="J264" t="s">
        <v>2013</v>
      </c>
      <c r="K264"/>
      <c r="L264"/>
      <c r="M264">
        <v>15</v>
      </c>
      <c r="N264">
        <v>136</v>
      </c>
      <c r="O264">
        <v>16</v>
      </c>
      <c r="P264">
        <v>10</v>
      </c>
      <c r="Q264">
        <v>48</v>
      </c>
      <c r="R264" t="s">
        <v>2464</v>
      </c>
      <c r="S264" t="s">
        <v>2657</v>
      </c>
      <c r="T264" t="s">
        <v>2462</v>
      </c>
      <c r="U264" t="s">
        <v>2462</v>
      </c>
      <c r="V264">
        <v>20</v>
      </c>
      <c r="W264"/>
      <c r="X264"/>
      <c r="Y264"/>
      <c r="Z264">
        <v>20</v>
      </c>
      <c r="AA264">
        <v>18</v>
      </c>
      <c r="AB264">
        <v>8</v>
      </c>
      <c r="AC264">
        <v>16</v>
      </c>
      <c r="AD264">
        <v>5</v>
      </c>
      <c r="AE264">
        <v>10</v>
      </c>
      <c r="AF264">
        <v>5</v>
      </c>
      <c r="AG264">
        <v>270</v>
      </c>
      <c r="AH264"/>
      <c r="AI264"/>
      <c r="AJ264"/>
      <c r="AK264"/>
      <c r="AL264"/>
      <c r="AM264"/>
      <c r="AN264"/>
      <c r="AO264">
        <v>348</v>
      </c>
      <c r="AP264">
        <v>16</v>
      </c>
      <c r="AQ264"/>
      <c r="AR264"/>
      <c r="AS264" t="s">
        <v>3338</v>
      </c>
      <c r="AT264"/>
      <c r="AU264"/>
      <c r="AV264"/>
      <c r="AW264"/>
      <c r="AX264"/>
      <c r="AY264" t="s">
        <v>3336</v>
      </c>
      <c r="AZ264" t="s">
        <v>3337</v>
      </c>
      <c r="BA264" t="s">
        <v>3336</v>
      </c>
      <c r="BB264"/>
      <c r="BC264"/>
      <c r="BD264"/>
      <c r="BE264"/>
      <c r="BF264"/>
      <c r="BG264"/>
      <c r="BH264"/>
      <c r="BI264"/>
      <c r="BJ264"/>
      <c r="BK264"/>
      <c r="BL264"/>
      <c r="BM264"/>
      <c r="BN264"/>
      <c r="BO264"/>
      <c r="BP264" t="s">
        <v>2480</v>
      </c>
      <c r="BQ264" t="s">
        <v>3335</v>
      </c>
      <c r="BR264" t="s">
        <v>2480</v>
      </c>
      <c r="BS264" t="s">
        <v>2457</v>
      </c>
      <c r="BT264" t="s">
        <v>2832</v>
      </c>
      <c r="BU264" t="s">
        <v>2831</v>
      </c>
      <c r="BV264" t="s">
        <v>3333</v>
      </c>
      <c r="BW264" t="s">
        <v>3334</v>
      </c>
      <c r="BX264" t="s">
        <v>3333</v>
      </c>
      <c r="BY264"/>
      <c r="BZ264"/>
      <c r="CA264"/>
      <c r="CB264"/>
      <c r="CC264"/>
      <c r="CD264"/>
      <c r="CE264"/>
      <c r="CF264"/>
      <c r="CG264"/>
      <c r="CH264"/>
      <c r="CI264"/>
      <c r="CJ264"/>
      <c r="CK264"/>
      <c r="CL264"/>
      <c r="CM264"/>
      <c r="CN264"/>
      <c r="CO264"/>
      <c r="CP264"/>
      <c r="CQ264"/>
      <c r="CR264"/>
      <c r="CS264"/>
      <c r="CT264"/>
      <c r="CU264"/>
      <c r="CV264"/>
      <c r="CW264"/>
      <c r="CX264" t="s">
        <v>2454</v>
      </c>
      <c r="CY264">
        <v>270</v>
      </c>
      <c r="CZ264" t="s">
        <v>2453</v>
      </c>
    </row>
    <row r="265" spans="1:104" ht="14.25">
      <c r="A265" t="s">
        <v>3332</v>
      </c>
      <c r="B265" t="s">
        <v>3331</v>
      </c>
      <c r="C265" t="s">
        <v>3330</v>
      </c>
      <c r="D265">
        <v>7</v>
      </c>
      <c r="E265" t="s">
        <v>2468</v>
      </c>
      <c r="F265" t="s">
        <v>2489</v>
      </c>
      <c r="G265" t="s">
        <v>3164</v>
      </c>
      <c r="H265"/>
      <c r="I265"/>
      <c r="J265" t="s">
        <v>2013</v>
      </c>
      <c r="K265"/>
      <c r="L265"/>
      <c r="M265">
        <v>17</v>
      </c>
      <c r="N265">
        <v>142</v>
      </c>
      <c r="O265">
        <v>15</v>
      </c>
      <c r="P265">
        <v>10</v>
      </c>
      <c r="Q265">
        <v>60</v>
      </c>
      <c r="R265" t="s">
        <v>2464</v>
      </c>
      <c r="S265" t="s">
        <v>2485</v>
      </c>
      <c r="T265" t="s">
        <v>2462</v>
      </c>
      <c r="U265" t="s">
        <v>2462</v>
      </c>
      <c r="V265">
        <v>30</v>
      </c>
      <c r="W265"/>
      <c r="X265"/>
      <c r="Y265"/>
      <c r="Z265"/>
      <c r="AA265">
        <v>18</v>
      </c>
      <c r="AB265">
        <v>8</v>
      </c>
      <c r="AC265">
        <v>18</v>
      </c>
      <c r="AD265">
        <v>7</v>
      </c>
      <c r="AE265">
        <v>10</v>
      </c>
      <c r="AF265">
        <v>3</v>
      </c>
      <c r="AG265">
        <v>271</v>
      </c>
      <c r="AH265"/>
      <c r="AI265"/>
      <c r="AJ265"/>
      <c r="AK265"/>
      <c r="AL265"/>
      <c r="AM265"/>
      <c r="AN265"/>
      <c r="AO265">
        <v>348</v>
      </c>
      <c r="AP265"/>
      <c r="AQ265"/>
      <c r="AR265"/>
      <c r="AS265" t="s">
        <v>3329</v>
      </c>
      <c r="AT265">
        <v>32</v>
      </c>
      <c r="AU265"/>
      <c r="AV265"/>
      <c r="AW265"/>
      <c r="AX265" t="s">
        <v>3328</v>
      </c>
      <c r="AY265" t="s">
        <v>3326</v>
      </c>
      <c r="AZ265" t="s">
        <v>3327</v>
      </c>
      <c r="BA265" t="s">
        <v>3326</v>
      </c>
      <c r="BB265" t="s">
        <v>2917</v>
      </c>
      <c r="BC265" t="s">
        <v>3325</v>
      </c>
      <c r="BD265" t="s">
        <v>2917</v>
      </c>
      <c r="BE265" t="s">
        <v>3323</v>
      </c>
      <c r="BF265" t="s">
        <v>3324</v>
      </c>
      <c r="BG265" t="s">
        <v>3323</v>
      </c>
      <c r="BH265"/>
      <c r="BI265"/>
      <c r="BJ265"/>
      <c r="BK265"/>
      <c r="BL265"/>
      <c r="BM265"/>
      <c r="BN265"/>
      <c r="BO265"/>
      <c r="BP265" t="s">
        <v>2480</v>
      </c>
      <c r="BQ265" t="s">
        <v>3322</v>
      </c>
      <c r="BR265" t="s">
        <v>2480</v>
      </c>
      <c r="BS265" t="s">
        <v>3321</v>
      </c>
      <c r="BT265" t="s">
        <v>3320</v>
      </c>
      <c r="BU265" t="s">
        <v>3319</v>
      </c>
      <c r="BV265"/>
      <c r="BW265"/>
      <c r="BX265"/>
      <c r="BY265"/>
      <c r="BZ265"/>
      <c r="CA265"/>
      <c r="CB265"/>
      <c r="CC265"/>
      <c r="CD265"/>
      <c r="CE265"/>
      <c r="CF265"/>
      <c r="CG265"/>
      <c r="CH265"/>
      <c r="CI265"/>
      <c r="CJ265"/>
      <c r="CK265"/>
      <c r="CL265"/>
      <c r="CM265"/>
      <c r="CN265"/>
      <c r="CO265"/>
      <c r="CP265"/>
      <c r="CQ265"/>
      <c r="CR265"/>
      <c r="CS265"/>
      <c r="CT265"/>
      <c r="CU265"/>
      <c r="CV265" t="s">
        <v>3318</v>
      </c>
      <c r="CW265" t="s">
        <v>3317</v>
      </c>
      <c r="CX265" t="s">
        <v>2454</v>
      </c>
      <c r="CY265">
        <v>271</v>
      </c>
      <c r="CZ265" t="s">
        <v>2453</v>
      </c>
    </row>
    <row r="266" spans="1:104" ht="14.25">
      <c r="A266" t="s">
        <v>3316</v>
      </c>
      <c r="B266" t="s">
        <v>3316</v>
      </c>
      <c r="C266" t="s">
        <v>3315</v>
      </c>
      <c r="D266">
        <v>0</v>
      </c>
      <c r="E266" t="s">
        <v>2468</v>
      </c>
      <c r="F266" t="s">
        <v>2467</v>
      </c>
      <c r="G266" t="s">
        <v>2890</v>
      </c>
      <c r="H266"/>
      <c r="I266"/>
      <c r="J266" t="s">
        <v>2013</v>
      </c>
      <c r="K266"/>
      <c r="L266"/>
      <c r="M266">
        <v>5</v>
      </c>
      <c r="N266">
        <v>13</v>
      </c>
      <c r="O266">
        <v>3</v>
      </c>
      <c r="P266">
        <v>8</v>
      </c>
      <c r="Q266"/>
      <c r="R266" t="s">
        <v>2464</v>
      </c>
      <c r="S266" t="s">
        <v>305</v>
      </c>
      <c r="T266" t="s">
        <v>2462</v>
      </c>
      <c r="U266" t="s">
        <v>2462</v>
      </c>
      <c r="V266">
        <v>0</v>
      </c>
      <c r="W266"/>
      <c r="X266"/>
      <c r="Y266"/>
      <c r="Z266"/>
      <c r="AA266">
        <v>1</v>
      </c>
      <c r="AB266">
        <v>1</v>
      </c>
      <c r="AC266">
        <v>10</v>
      </c>
      <c r="AD266">
        <v>1</v>
      </c>
      <c r="AE266">
        <v>3</v>
      </c>
      <c r="AF266">
        <v>1</v>
      </c>
      <c r="AG266">
        <v>138</v>
      </c>
      <c r="AH266"/>
      <c r="AI266"/>
      <c r="AJ266"/>
      <c r="AK266"/>
      <c r="AL266"/>
      <c r="AM266"/>
      <c r="AN266"/>
      <c r="AO266">
        <v>311</v>
      </c>
      <c r="AP266"/>
      <c r="AQ266"/>
      <c r="AR266"/>
      <c r="AS266"/>
      <c r="AT266"/>
      <c r="AU266"/>
      <c r="AV266"/>
      <c r="AW266"/>
      <c r="AX266"/>
      <c r="AY266" t="s">
        <v>2886</v>
      </c>
      <c r="AZ266" t="s">
        <v>3314</v>
      </c>
      <c r="BA266" t="s">
        <v>2886</v>
      </c>
      <c r="BB266"/>
      <c r="BC266"/>
      <c r="BD266"/>
      <c r="BE266"/>
      <c r="BF266"/>
      <c r="BG266"/>
      <c r="BH266"/>
      <c r="BI266"/>
      <c r="BJ266"/>
      <c r="BK266"/>
      <c r="BL266"/>
      <c r="BM266"/>
      <c r="BN266"/>
      <c r="BO266"/>
      <c r="BP266" t="s">
        <v>3312</v>
      </c>
      <c r="BQ266" t="s">
        <v>3313</v>
      </c>
      <c r="BR266" t="s">
        <v>3312</v>
      </c>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t="s">
        <v>2454</v>
      </c>
      <c r="CY266">
        <v>138</v>
      </c>
      <c r="CZ266" t="s">
        <v>2453</v>
      </c>
    </row>
    <row r="267" spans="1:104" ht="14.25">
      <c r="A267" t="s">
        <v>3311</v>
      </c>
      <c r="B267" t="s">
        <v>3310</v>
      </c>
      <c r="C267" t="s">
        <v>3309</v>
      </c>
      <c r="D267">
        <v>2</v>
      </c>
      <c r="E267" t="s">
        <v>2468</v>
      </c>
      <c r="F267" t="s">
        <v>2467</v>
      </c>
      <c r="G267" t="s">
        <v>2488</v>
      </c>
      <c r="H267"/>
      <c r="I267"/>
      <c r="J267" t="s">
        <v>2502</v>
      </c>
      <c r="K267"/>
      <c r="L267"/>
      <c r="M267">
        <v>17</v>
      </c>
      <c r="N267">
        <v>45</v>
      </c>
      <c r="O267">
        <v>6</v>
      </c>
      <c r="P267">
        <v>8</v>
      </c>
      <c r="Q267">
        <v>18</v>
      </c>
      <c r="R267" t="s">
        <v>2641</v>
      </c>
      <c r="S267" t="s">
        <v>2641</v>
      </c>
      <c r="T267" t="s">
        <v>2641</v>
      </c>
      <c r="U267" t="s">
        <v>2641</v>
      </c>
      <c r="V267">
        <v>30</v>
      </c>
      <c r="W267"/>
      <c r="X267"/>
      <c r="Y267">
        <v>60</v>
      </c>
      <c r="Z267"/>
      <c r="AA267">
        <v>19</v>
      </c>
      <c r="AB267">
        <v>10</v>
      </c>
      <c r="AC267">
        <v>17</v>
      </c>
      <c r="AD267">
        <v>12</v>
      </c>
      <c r="AE267">
        <v>11</v>
      </c>
      <c r="AF267">
        <v>15</v>
      </c>
      <c r="AG267">
        <v>118</v>
      </c>
      <c r="AH267"/>
      <c r="AI267"/>
      <c r="AJ267"/>
      <c r="AK267"/>
      <c r="AL267"/>
      <c r="AM267"/>
      <c r="AN267"/>
      <c r="AO267">
        <v>306</v>
      </c>
      <c r="AP267"/>
      <c r="AQ267"/>
      <c r="AR267"/>
      <c r="AS267"/>
      <c r="AT267"/>
      <c r="AU267"/>
      <c r="AV267"/>
      <c r="AW267"/>
      <c r="AX267"/>
      <c r="AY267"/>
      <c r="AZ267"/>
      <c r="BA267"/>
      <c r="BB267"/>
      <c r="BC267"/>
      <c r="BD267"/>
      <c r="BE267"/>
      <c r="BF267"/>
      <c r="BG267"/>
      <c r="BH267"/>
      <c r="BI267"/>
      <c r="BJ267"/>
      <c r="BK267"/>
      <c r="BL267"/>
      <c r="BM267"/>
      <c r="BN267"/>
      <c r="BO267"/>
      <c r="BP267" t="s">
        <v>2479</v>
      </c>
      <c r="BQ267" t="s">
        <v>3308</v>
      </c>
      <c r="BR267" t="s">
        <v>3307</v>
      </c>
      <c r="BS267" t="s">
        <v>2495</v>
      </c>
      <c r="BT267" t="s">
        <v>3306</v>
      </c>
      <c r="BU267" t="s">
        <v>3305</v>
      </c>
      <c r="BV267"/>
      <c r="BW267"/>
      <c r="BX267"/>
      <c r="BY267"/>
      <c r="BZ267"/>
      <c r="CA267"/>
      <c r="CB267"/>
      <c r="CC267"/>
      <c r="CD267"/>
      <c r="CE267"/>
      <c r="CF267"/>
      <c r="CG267"/>
      <c r="CH267"/>
      <c r="CI267"/>
      <c r="CJ267"/>
      <c r="CK267"/>
      <c r="CL267"/>
      <c r="CM267"/>
      <c r="CN267"/>
      <c r="CO267"/>
      <c r="CP267"/>
      <c r="CQ267"/>
      <c r="CR267"/>
      <c r="CS267"/>
      <c r="CT267"/>
      <c r="CU267"/>
      <c r="CV267"/>
      <c r="CW267"/>
      <c r="CX267" t="s">
        <v>2454</v>
      </c>
      <c r="CY267">
        <v>118</v>
      </c>
      <c r="CZ267" t="s">
        <v>2453</v>
      </c>
    </row>
    <row r="268" spans="1:104" ht="14.25">
      <c r="A268" t="s">
        <v>3304</v>
      </c>
      <c r="B268" t="s">
        <v>3304</v>
      </c>
      <c r="C268" t="s">
        <v>3303</v>
      </c>
      <c r="D268">
        <v>0.25</v>
      </c>
      <c r="E268" t="s">
        <v>2468</v>
      </c>
      <c r="F268" t="s">
        <v>2467</v>
      </c>
      <c r="G268" t="s">
        <v>2466</v>
      </c>
      <c r="H268"/>
      <c r="I268"/>
      <c r="J268" t="s">
        <v>2522</v>
      </c>
      <c r="K268"/>
      <c r="L268"/>
      <c r="M268">
        <v>13</v>
      </c>
      <c r="N268">
        <v>13</v>
      </c>
      <c r="O268">
        <v>2</v>
      </c>
      <c r="P268">
        <v>8</v>
      </c>
      <c r="Q268">
        <v>4</v>
      </c>
      <c r="R268" t="s">
        <v>2464</v>
      </c>
      <c r="S268" t="s">
        <v>2605</v>
      </c>
      <c r="T268" t="s">
        <v>2605</v>
      </c>
      <c r="U268" t="s">
        <v>2462</v>
      </c>
      <c r="V268">
        <v>30</v>
      </c>
      <c r="W268"/>
      <c r="X268"/>
      <c r="Y268"/>
      <c r="Z268"/>
      <c r="AA268">
        <v>10</v>
      </c>
      <c r="AB268">
        <v>14</v>
      </c>
      <c r="AC268">
        <v>15</v>
      </c>
      <c r="AD268">
        <v>6</v>
      </c>
      <c r="AE268">
        <v>8</v>
      </c>
      <c r="AF268">
        <v>5</v>
      </c>
      <c r="AG268">
        <v>272</v>
      </c>
      <c r="AH268">
        <v>310</v>
      </c>
      <c r="AI268"/>
      <c r="AJ268">
        <v>62</v>
      </c>
      <c r="AK268"/>
      <c r="AL268"/>
      <c r="AM268"/>
      <c r="AN268">
        <v>43</v>
      </c>
      <c r="AO268">
        <v>349</v>
      </c>
      <c r="AP268"/>
      <c r="AQ268"/>
      <c r="AR268"/>
      <c r="AS268" t="s">
        <v>3302</v>
      </c>
      <c r="AT268"/>
      <c r="AU268"/>
      <c r="AV268" t="s">
        <v>3301</v>
      </c>
      <c r="AW268"/>
      <c r="AX268"/>
      <c r="AY268"/>
      <c r="AZ268"/>
      <c r="BA268"/>
      <c r="BB268"/>
      <c r="BC268"/>
      <c r="BD268"/>
      <c r="BE268"/>
      <c r="BF268"/>
      <c r="BG268"/>
      <c r="BH268"/>
      <c r="BI268"/>
      <c r="BJ268"/>
      <c r="BK268"/>
      <c r="BL268"/>
      <c r="BM268"/>
      <c r="BN268"/>
      <c r="BO268"/>
      <c r="BP268" t="s">
        <v>2898</v>
      </c>
      <c r="BQ268" t="s">
        <v>2785</v>
      </c>
      <c r="BR268" t="s">
        <v>2784</v>
      </c>
      <c r="BS268" t="s">
        <v>3228</v>
      </c>
      <c r="BT268" t="s">
        <v>3300</v>
      </c>
      <c r="BU268" t="s">
        <v>3299</v>
      </c>
      <c r="BV268"/>
      <c r="BW268"/>
      <c r="BX268"/>
      <c r="BY268"/>
      <c r="BZ268"/>
      <c r="CA268"/>
      <c r="CB268"/>
      <c r="CC268"/>
      <c r="CD268"/>
      <c r="CE268"/>
      <c r="CF268"/>
      <c r="CG268"/>
      <c r="CH268"/>
      <c r="CI268"/>
      <c r="CJ268"/>
      <c r="CK268"/>
      <c r="CL268"/>
      <c r="CM268"/>
      <c r="CN268"/>
      <c r="CO268"/>
      <c r="CP268"/>
      <c r="CQ268"/>
      <c r="CR268"/>
      <c r="CS268"/>
      <c r="CT268"/>
      <c r="CU268"/>
      <c r="CV268"/>
      <c r="CW268"/>
      <c r="CX268" t="s">
        <v>2454</v>
      </c>
      <c r="CY268">
        <v>272</v>
      </c>
      <c r="CZ268" t="s">
        <v>2453</v>
      </c>
    </row>
    <row r="269" spans="1:104" ht="14.25">
      <c r="A269" t="s">
        <v>3298</v>
      </c>
      <c r="B269" t="s">
        <v>3297</v>
      </c>
      <c r="C269" t="s">
        <v>3296</v>
      </c>
      <c r="D269">
        <v>0.25</v>
      </c>
      <c r="E269" t="s">
        <v>2468</v>
      </c>
      <c r="F269" t="s">
        <v>2644</v>
      </c>
      <c r="G269" t="s">
        <v>2626</v>
      </c>
      <c r="H269" t="s">
        <v>3207</v>
      </c>
      <c r="I269"/>
      <c r="J269" t="s">
        <v>2465</v>
      </c>
      <c r="K269"/>
      <c r="L269"/>
      <c r="M269">
        <v>12</v>
      </c>
      <c r="N269">
        <v>22</v>
      </c>
      <c r="O269">
        <v>5</v>
      </c>
      <c r="P269">
        <v>6</v>
      </c>
      <c r="Q269">
        <v>5</v>
      </c>
      <c r="R269" t="s">
        <v>2972</v>
      </c>
      <c r="S269" t="s">
        <v>2793</v>
      </c>
      <c r="T269" t="s">
        <v>2462</v>
      </c>
      <c r="U269" t="s">
        <v>2462</v>
      </c>
      <c r="V269">
        <v>30</v>
      </c>
      <c r="W269"/>
      <c r="X269"/>
      <c r="Y269">
        <v>30</v>
      </c>
      <c r="Z269"/>
      <c r="AA269">
        <v>6</v>
      </c>
      <c r="AB269">
        <v>14</v>
      </c>
      <c r="AC269">
        <v>12</v>
      </c>
      <c r="AD269">
        <v>10</v>
      </c>
      <c r="AE269">
        <v>10</v>
      </c>
      <c r="AF269">
        <v>11</v>
      </c>
      <c r="AG269">
        <v>217</v>
      </c>
      <c r="AH269"/>
      <c r="AI269"/>
      <c r="AJ269"/>
      <c r="AK269"/>
      <c r="AL269"/>
      <c r="AM269"/>
      <c r="AN269"/>
      <c r="AO269"/>
      <c r="AP269"/>
      <c r="AQ269"/>
      <c r="AR269"/>
      <c r="AS269"/>
      <c r="AT269">
        <v>32</v>
      </c>
      <c r="AU269"/>
      <c r="AV269" t="s">
        <v>3295</v>
      </c>
      <c r="AW269"/>
      <c r="AX269"/>
      <c r="AY269" t="s">
        <v>3204</v>
      </c>
      <c r="AZ269" t="s">
        <v>3294</v>
      </c>
      <c r="BA269" t="s">
        <v>3204</v>
      </c>
      <c r="BB269" t="s">
        <v>3200</v>
      </c>
      <c r="BC269" t="s">
        <v>3293</v>
      </c>
      <c r="BD269" t="s">
        <v>3200</v>
      </c>
      <c r="BE269"/>
      <c r="BF269"/>
      <c r="BG269"/>
      <c r="BH269"/>
      <c r="BI269"/>
      <c r="BJ269"/>
      <c r="BK269"/>
      <c r="BL269"/>
      <c r="BM269"/>
      <c r="BN269"/>
      <c r="BO269"/>
      <c r="BP269" t="s">
        <v>2652</v>
      </c>
      <c r="BQ269" t="s">
        <v>3292</v>
      </c>
      <c r="BR269" t="s">
        <v>3291</v>
      </c>
      <c r="BS269" t="s">
        <v>3289</v>
      </c>
      <c r="BT269" t="s">
        <v>3290</v>
      </c>
      <c r="BU269" t="s">
        <v>3289</v>
      </c>
      <c r="BV269" t="s">
        <v>3194</v>
      </c>
      <c r="BW269" t="s">
        <v>3195</v>
      </c>
      <c r="BX269" t="s">
        <v>3194</v>
      </c>
      <c r="BY269"/>
      <c r="BZ269"/>
      <c r="CA269"/>
      <c r="CB269"/>
      <c r="CC269"/>
      <c r="CD269"/>
      <c r="CE269"/>
      <c r="CF269"/>
      <c r="CG269"/>
      <c r="CH269"/>
      <c r="CI269"/>
      <c r="CJ269"/>
      <c r="CK269"/>
      <c r="CL269"/>
      <c r="CM269"/>
      <c r="CN269"/>
      <c r="CO269"/>
      <c r="CP269"/>
      <c r="CQ269"/>
      <c r="CR269"/>
      <c r="CS269"/>
      <c r="CT269"/>
      <c r="CU269"/>
      <c r="CV269"/>
      <c r="CW269"/>
      <c r="CX269" t="s">
        <v>2454</v>
      </c>
      <c r="CY269">
        <v>217</v>
      </c>
      <c r="CZ269" t="s">
        <v>2453</v>
      </c>
    </row>
    <row r="270" spans="1:104" ht="14.25">
      <c r="A270" t="s">
        <v>3288</v>
      </c>
      <c r="B270" t="s">
        <v>3288</v>
      </c>
      <c r="C270" t="s">
        <v>3287</v>
      </c>
      <c r="D270">
        <v>21</v>
      </c>
      <c r="E270" t="s">
        <v>2468</v>
      </c>
      <c r="F270" t="s">
        <v>2489</v>
      </c>
      <c r="G270" t="s">
        <v>2973</v>
      </c>
      <c r="H270"/>
      <c r="I270"/>
      <c r="J270" t="s">
        <v>2502</v>
      </c>
      <c r="K270"/>
      <c r="L270"/>
      <c r="M270">
        <v>21</v>
      </c>
      <c r="N270">
        <v>243</v>
      </c>
      <c r="O270">
        <v>18</v>
      </c>
      <c r="P270">
        <v>10</v>
      </c>
      <c r="Q270">
        <v>144</v>
      </c>
      <c r="R270" t="s">
        <v>2972</v>
      </c>
      <c r="S270" t="s">
        <v>3286</v>
      </c>
      <c r="T270" t="s">
        <v>3285</v>
      </c>
      <c r="U270" t="s">
        <v>3284</v>
      </c>
      <c r="V270">
        <v>50</v>
      </c>
      <c r="W270"/>
      <c r="X270"/>
      <c r="Y270">
        <v>150</v>
      </c>
      <c r="Z270"/>
      <c r="AA270">
        <v>26</v>
      </c>
      <c r="AB270">
        <v>22</v>
      </c>
      <c r="AC270">
        <v>26</v>
      </c>
      <c r="AD270">
        <v>25</v>
      </c>
      <c r="AE270">
        <v>25</v>
      </c>
      <c r="AF270">
        <v>30</v>
      </c>
      <c r="AG270">
        <v>18</v>
      </c>
      <c r="AH270"/>
      <c r="AI270"/>
      <c r="AJ270"/>
      <c r="AK270"/>
      <c r="AL270"/>
      <c r="AM270"/>
      <c r="AN270"/>
      <c r="AO270">
        <v>265</v>
      </c>
      <c r="AP270"/>
      <c r="AQ270"/>
      <c r="AR270"/>
      <c r="AS270"/>
      <c r="AT270"/>
      <c r="AU270"/>
      <c r="AV270"/>
      <c r="AW270"/>
      <c r="AX270"/>
      <c r="AY270" t="s">
        <v>3282</v>
      </c>
      <c r="AZ270" t="s">
        <v>3283</v>
      </c>
      <c r="BA270" t="s">
        <v>3282</v>
      </c>
      <c r="BB270" t="s">
        <v>3280</v>
      </c>
      <c r="BC270" t="s">
        <v>3281</v>
      </c>
      <c r="BD270" t="s">
        <v>3280</v>
      </c>
      <c r="BE270" t="s">
        <v>2635</v>
      </c>
      <c r="BF270" t="s">
        <v>3279</v>
      </c>
      <c r="BG270" t="s">
        <v>2635</v>
      </c>
      <c r="BH270" t="s">
        <v>2873</v>
      </c>
      <c r="BI270" t="s">
        <v>3278</v>
      </c>
      <c r="BJ270"/>
      <c r="BK270"/>
      <c r="BL270"/>
      <c r="BM270"/>
      <c r="BN270"/>
      <c r="BO270"/>
      <c r="BP270" t="s">
        <v>2480</v>
      </c>
      <c r="BQ270" t="s">
        <v>3277</v>
      </c>
      <c r="BR270" t="s">
        <v>2480</v>
      </c>
      <c r="BS270" t="s">
        <v>3143</v>
      </c>
      <c r="BT270" t="s">
        <v>3276</v>
      </c>
      <c r="BU270" t="s">
        <v>3275</v>
      </c>
      <c r="BV270" t="s">
        <v>3274</v>
      </c>
      <c r="BW270" t="s">
        <v>3273</v>
      </c>
      <c r="BX270" t="s">
        <v>3272</v>
      </c>
      <c r="BY270" t="s">
        <v>3270</v>
      </c>
      <c r="BZ270" t="s">
        <v>3271</v>
      </c>
      <c r="CA270" t="s">
        <v>3270</v>
      </c>
      <c r="CB270" t="s">
        <v>3268</v>
      </c>
      <c r="CC270" t="s">
        <v>3269</v>
      </c>
      <c r="CD270" t="s">
        <v>3268</v>
      </c>
      <c r="CE270"/>
      <c r="CF270"/>
      <c r="CG270"/>
      <c r="CH270"/>
      <c r="CI270"/>
      <c r="CJ270"/>
      <c r="CK270" t="s">
        <v>3267</v>
      </c>
      <c r="CL270" t="s">
        <v>3266</v>
      </c>
      <c r="CM270" t="s">
        <v>3265</v>
      </c>
      <c r="CN270" t="s">
        <v>3264</v>
      </c>
      <c r="CO270" t="s">
        <v>3263</v>
      </c>
      <c r="CP270" t="s">
        <v>3262</v>
      </c>
      <c r="CQ270"/>
      <c r="CR270"/>
      <c r="CS270"/>
      <c r="CT270"/>
      <c r="CU270"/>
      <c r="CV270"/>
      <c r="CW270"/>
      <c r="CX270" t="s">
        <v>2454</v>
      </c>
      <c r="CY270">
        <v>18</v>
      </c>
      <c r="CZ270" t="s">
        <v>2453</v>
      </c>
    </row>
    <row r="271" spans="1:104" ht="14.25">
      <c r="A271" t="s">
        <v>3261</v>
      </c>
      <c r="B271" t="s">
        <v>3261</v>
      </c>
      <c r="C271" t="s">
        <v>3260</v>
      </c>
      <c r="D271">
        <v>1</v>
      </c>
      <c r="E271" t="s">
        <v>2468</v>
      </c>
      <c r="F271" t="s">
        <v>2467</v>
      </c>
      <c r="G271" t="s">
        <v>2466</v>
      </c>
      <c r="H271"/>
      <c r="I271"/>
      <c r="J271" t="s">
        <v>2487</v>
      </c>
      <c r="K271"/>
      <c r="L271"/>
      <c r="M271">
        <v>12</v>
      </c>
      <c r="N271">
        <v>22</v>
      </c>
      <c r="O271">
        <v>5</v>
      </c>
      <c r="P271">
        <v>8</v>
      </c>
      <c r="Q271"/>
      <c r="R271" t="s">
        <v>2464</v>
      </c>
      <c r="S271" t="s">
        <v>3259</v>
      </c>
      <c r="T271" t="s">
        <v>2462</v>
      </c>
      <c r="U271" t="s">
        <v>2462</v>
      </c>
      <c r="V271">
        <v>0</v>
      </c>
      <c r="W271"/>
      <c r="X271"/>
      <c r="Y271">
        <v>50</v>
      </c>
      <c r="Z271"/>
      <c r="AA271">
        <v>1</v>
      </c>
      <c r="AB271">
        <v>14</v>
      </c>
      <c r="AC271">
        <v>11</v>
      </c>
      <c r="AD271">
        <v>10</v>
      </c>
      <c r="AE271">
        <v>10</v>
      </c>
      <c r="AF271">
        <v>11</v>
      </c>
      <c r="AG271">
        <v>279</v>
      </c>
      <c r="AH271"/>
      <c r="AI271"/>
      <c r="AJ271"/>
      <c r="AK271"/>
      <c r="AL271"/>
      <c r="AM271"/>
      <c r="AN271"/>
      <c r="AO271">
        <v>349</v>
      </c>
      <c r="AP271">
        <v>17</v>
      </c>
      <c r="AQ271">
        <v>21</v>
      </c>
      <c r="AR271"/>
      <c r="AS271" t="s">
        <v>3258</v>
      </c>
      <c r="AT271">
        <v>33</v>
      </c>
      <c r="AU271"/>
      <c r="AV271" t="s">
        <v>3257</v>
      </c>
      <c r="AW271"/>
      <c r="AX271"/>
      <c r="AY271" t="s">
        <v>2667</v>
      </c>
      <c r="AZ271" t="s">
        <v>3256</v>
      </c>
      <c r="BA271" t="s">
        <v>2667</v>
      </c>
      <c r="BB271" t="s">
        <v>2665</v>
      </c>
      <c r="BC271" t="s">
        <v>3255</v>
      </c>
      <c r="BD271" t="s">
        <v>2665</v>
      </c>
      <c r="BE271"/>
      <c r="BF271"/>
      <c r="BG271"/>
      <c r="BH271"/>
      <c r="BI271"/>
      <c r="BJ271"/>
      <c r="BK271"/>
      <c r="BL271"/>
      <c r="BM271"/>
      <c r="BN271"/>
      <c r="BO271"/>
      <c r="BP271" t="s">
        <v>2664</v>
      </c>
      <c r="BQ271" t="s">
        <v>3254</v>
      </c>
      <c r="BR271" t="s">
        <v>3253</v>
      </c>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t="s">
        <v>2454</v>
      </c>
      <c r="CY271">
        <v>279</v>
      </c>
      <c r="CZ271" t="s">
        <v>2453</v>
      </c>
    </row>
    <row r="272" spans="1:104" ht="14.25">
      <c r="A272" t="s">
        <v>3251</v>
      </c>
      <c r="B272" t="s">
        <v>3251</v>
      </c>
      <c r="C272" t="s">
        <v>3252</v>
      </c>
      <c r="D272">
        <v>0</v>
      </c>
      <c r="E272" t="s">
        <v>2680</v>
      </c>
      <c r="F272" t="s">
        <v>2719</v>
      </c>
      <c r="G272" t="s">
        <v>2690</v>
      </c>
      <c r="H272" t="s">
        <v>3251</v>
      </c>
      <c r="I272"/>
      <c r="J272" t="s">
        <v>2013</v>
      </c>
      <c r="K272"/>
      <c r="L272"/>
      <c r="M272">
        <v>12</v>
      </c>
      <c r="N272">
        <v>1</v>
      </c>
      <c r="O272">
        <v>1</v>
      </c>
      <c r="P272">
        <v>4</v>
      </c>
      <c r="Q272">
        <v>-1</v>
      </c>
      <c r="R272" t="s">
        <v>2464</v>
      </c>
      <c r="S272" t="s">
        <v>2826</v>
      </c>
      <c r="T272" t="s">
        <v>2462</v>
      </c>
      <c r="U272" t="s">
        <v>2462</v>
      </c>
      <c r="V272">
        <v>20</v>
      </c>
      <c r="W272"/>
      <c r="X272">
        <v>20</v>
      </c>
      <c r="Y272"/>
      <c r="Z272"/>
      <c r="AA272">
        <v>2</v>
      </c>
      <c r="AB272">
        <v>14</v>
      </c>
      <c r="AC272">
        <v>8</v>
      </c>
      <c r="AD272">
        <v>1</v>
      </c>
      <c r="AE272">
        <v>10</v>
      </c>
      <c r="AF272">
        <v>2</v>
      </c>
      <c r="AG272">
        <v>337</v>
      </c>
      <c r="AH272"/>
      <c r="AI272"/>
      <c r="AJ272"/>
      <c r="AK272"/>
      <c r="AL272"/>
      <c r="AM272"/>
      <c r="AN272">
        <v>44</v>
      </c>
      <c r="AO272">
        <v>384</v>
      </c>
      <c r="AP272"/>
      <c r="AQ272"/>
      <c r="AR272"/>
      <c r="AS272" t="s">
        <v>3250</v>
      </c>
      <c r="AT272"/>
      <c r="AU272"/>
      <c r="AV272"/>
      <c r="AW272"/>
      <c r="AX272"/>
      <c r="AY272" t="s">
        <v>2915</v>
      </c>
      <c r="AZ272" t="s">
        <v>3249</v>
      </c>
      <c r="BA272" t="s">
        <v>2915</v>
      </c>
      <c r="BB272" t="s">
        <v>3247</v>
      </c>
      <c r="BC272" t="s">
        <v>3248</v>
      </c>
      <c r="BD272" t="s">
        <v>3247</v>
      </c>
      <c r="BE272" t="s">
        <v>3245</v>
      </c>
      <c r="BF272" t="s">
        <v>3246</v>
      </c>
      <c r="BG272" t="s">
        <v>3245</v>
      </c>
      <c r="BH272"/>
      <c r="BI272"/>
      <c r="BJ272"/>
      <c r="BK272"/>
      <c r="BL272"/>
      <c r="BM272"/>
      <c r="BN272"/>
      <c r="BO272"/>
      <c r="BP272" t="s">
        <v>2479</v>
      </c>
      <c r="BQ272" t="s">
        <v>3244</v>
      </c>
      <c r="BR272" t="s">
        <v>3243</v>
      </c>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t="s">
        <v>2454</v>
      </c>
      <c r="CY272">
        <v>337</v>
      </c>
      <c r="CZ272" t="s">
        <v>2453</v>
      </c>
    </row>
    <row r="273" spans="1:104" ht="14.25">
      <c r="A273" t="s">
        <v>3242</v>
      </c>
      <c r="B273" t="s">
        <v>3241</v>
      </c>
      <c r="C273" t="s">
        <v>3240</v>
      </c>
      <c r="D273">
        <v>8</v>
      </c>
      <c r="E273" t="s">
        <v>2468</v>
      </c>
      <c r="F273" t="s">
        <v>2489</v>
      </c>
      <c r="G273" t="s">
        <v>2587</v>
      </c>
      <c r="H273" t="s">
        <v>3239</v>
      </c>
      <c r="I273"/>
      <c r="J273" t="s">
        <v>2487</v>
      </c>
      <c r="K273">
        <v>10</v>
      </c>
      <c r="L273" t="s">
        <v>1995</v>
      </c>
      <c r="M273">
        <v>15</v>
      </c>
      <c r="N273">
        <v>75</v>
      </c>
      <c r="O273">
        <v>10</v>
      </c>
      <c r="P273">
        <v>10</v>
      </c>
      <c r="Q273">
        <v>20</v>
      </c>
      <c r="R273" t="s">
        <v>2972</v>
      </c>
      <c r="S273" t="s">
        <v>3004</v>
      </c>
      <c r="T273" t="s">
        <v>2462</v>
      </c>
      <c r="U273" t="s">
        <v>2462</v>
      </c>
      <c r="V273">
        <v>40</v>
      </c>
      <c r="W273"/>
      <c r="X273"/>
      <c r="Y273"/>
      <c r="Z273"/>
      <c r="AA273">
        <v>18</v>
      </c>
      <c r="AB273">
        <v>17</v>
      </c>
      <c r="AC273">
        <v>14</v>
      </c>
      <c r="AD273">
        <v>16</v>
      </c>
      <c r="AE273">
        <v>15</v>
      </c>
      <c r="AF273">
        <v>16</v>
      </c>
      <c r="AG273">
        <v>234</v>
      </c>
      <c r="AH273"/>
      <c r="AI273"/>
      <c r="AJ273"/>
      <c r="AK273"/>
      <c r="AL273"/>
      <c r="AM273"/>
      <c r="AN273"/>
      <c r="AO273">
        <v>338</v>
      </c>
      <c r="AP273"/>
      <c r="AQ273"/>
      <c r="AR273"/>
      <c r="AS273"/>
      <c r="AT273"/>
      <c r="AU273"/>
      <c r="AV273"/>
      <c r="AW273"/>
      <c r="AX273"/>
      <c r="AY273" t="s">
        <v>3237</v>
      </c>
      <c r="AZ273" t="s">
        <v>3238</v>
      </c>
      <c r="BA273" t="s">
        <v>3237</v>
      </c>
      <c r="BB273" t="s">
        <v>3235</v>
      </c>
      <c r="BC273" t="s">
        <v>3236</v>
      </c>
      <c r="BD273" t="s">
        <v>3235</v>
      </c>
      <c r="BE273"/>
      <c r="BF273"/>
      <c r="BG273"/>
      <c r="BH273"/>
      <c r="BI273"/>
      <c r="BJ273"/>
      <c r="BK273"/>
      <c r="BL273"/>
      <c r="BM273"/>
      <c r="BN273"/>
      <c r="BO273"/>
      <c r="BP273" t="s">
        <v>2479</v>
      </c>
      <c r="BQ273" t="s">
        <v>3234</v>
      </c>
      <c r="BR273" t="s">
        <v>2996</v>
      </c>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t="s">
        <v>2454</v>
      </c>
      <c r="CY273">
        <v>234</v>
      </c>
      <c r="CZ273" t="s">
        <v>2453</v>
      </c>
    </row>
    <row r="274" spans="1:104" ht="14.25">
      <c r="A274" t="s">
        <v>3233</v>
      </c>
      <c r="B274" t="s">
        <v>3233</v>
      </c>
      <c r="C274" t="s">
        <v>3232</v>
      </c>
      <c r="D274">
        <v>0.25</v>
      </c>
      <c r="E274" t="s">
        <v>2468</v>
      </c>
      <c r="F274" t="s">
        <v>2719</v>
      </c>
      <c r="G274" t="s">
        <v>3231</v>
      </c>
      <c r="H274"/>
      <c r="I274"/>
      <c r="J274" t="s">
        <v>2642</v>
      </c>
      <c r="K274"/>
      <c r="L274"/>
      <c r="M274">
        <v>15</v>
      </c>
      <c r="N274">
        <v>2</v>
      </c>
      <c r="O274">
        <v>1</v>
      </c>
      <c r="P274">
        <v>4</v>
      </c>
      <c r="Q274"/>
      <c r="R274" t="s">
        <v>2464</v>
      </c>
      <c r="S274" t="s">
        <v>2826</v>
      </c>
      <c r="T274" t="s">
        <v>2462</v>
      </c>
      <c r="U274" t="s">
        <v>2462</v>
      </c>
      <c r="V274">
        <v>10</v>
      </c>
      <c r="W274"/>
      <c r="X274"/>
      <c r="Y274">
        <v>40</v>
      </c>
      <c r="Z274"/>
      <c r="AA274">
        <v>3</v>
      </c>
      <c r="AB274">
        <v>18</v>
      </c>
      <c r="AC274">
        <v>10</v>
      </c>
      <c r="AD274">
        <v>14</v>
      </c>
      <c r="AE274">
        <v>13</v>
      </c>
      <c r="AF274">
        <v>11</v>
      </c>
      <c r="AG274">
        <v>283</v>
      </c>
      <c r="AH274">
        <v>310</v>
      </c>
      <c r="AI274"/>
      <c r="AJ274"/>
      <c r="AK274"/>
      <c r="AL274"/>
      <c r="AM274"/>
      <c r="AN274"/>
      <c r="AO274">
        <v>351</v>
      </c>
      <c r="AP274"/>
      <c r="AQ274"/>
      <c r="AR274"/>
      <c r="AS274"/>
      <c r="AT274">
        <v>33</v>
      </c>
      <c r="AU274"/>
      <c r="AV274"/>
      <c r="AW274"/>
      <c r="AX274"/>
      <c r="AY274"/>
      <c r="AZ274"/>
      <c r="BA274"/>
      <c r="BB274"/>
      <c r="BC274"/>
      <c r="BD274"/>
      <c r="BE274"/>
      <c r="BF274"/>
      <c r="BG274"/>
      <c r="BH274"/>
      <c r="BI274"/>
      <c r="BJ274"/>
      <c r="BK274"/>
      <c r="BL274"/>
      <c r="BM274"/>
      <c r="BN274"/>
      <c r="BO274"/>
      <c r="BP274" t="s">
        <v>2727</v>
      </c>
      <c r="BQ274" t="s">
        <v>3230</v>
      </c>
      <c r="BR274" t="s">
        <v>3229</v>
      </c>
      <c r="BS274" t="s">
        <v>3228</v>
      </c>
      <c r="BT274" t="s">
        <v>3227</v>
      </c>
      <c r="BU274" t="s">
        <v>3226</v>
      </c>
      <c r="BV274" t="s">
        <v>3224</v>
      </c>
      <c r="BW274" t="s">
        <v>3225</v>
      </c>
      <c r="BX274" t="s">
        <v>3224</v>
      </c>
      <c r="BY274" t="s">
        <v>2703</v>
      </c>
      <c r="BZ274" t="s">
        <v>3223</v>
      </c>
      <c r="CA274" t="s">
        <v>2703</v>
      </c>
      <c r="CB274"/>
      <c r="CC274"/>
      <c r="CD274"/>
      <c r="CE274"/>
      <c r="CF274"/>
      <c r="CG274"/>
      <c r="CH274"/>
      <c r="CI274"/>
      <c r="CJ274"/>
      <c r="CK274"/>
      <c r="CL274"/>
      <c r="CM274"/>
      <c r="CN274"/>
      <c r="CO274"/>
      <c r="CP274"/>
      <c r="CQ274"/>
      <c r="CR274"/>
      <c r="CS274"/>
      <c r="CT274"/>
      <c r="CU274"/>
      <c r="CV274"/>
      <c r="CW274"/>
      <c r="CX274" t="s">
        <v>2454</v>
      </c>
      <c r="CY274">
        <v>283</v>
      </c>
      <c r="CZ274" t="s">
        <v>2453</v>
      </c>
    </row>
    <row r="275" spans="1:104" ht="14.25">
      <c r="A275" t="s">
        <v>3222</v>
      </c>
      <c r="B275" t="s">
        <v>3222</v>
      </c>
      <c r="C275" t="s">
        <v>3221</v>
      </c>
      <c r="D275">
        <v>1</v>
      </c>
      <c r="E275" t="s">
        <v>2609</v>
      </c>
      <c r="F275" t="s">
        <v>2467</v>
      </c>
      <c r="G275" t="s">
        <v>2608</v>
      </c>
      <c r="H275" t="s">
        <v>2607</v>
      </c>
      <c r="I275"/>
      <c r="J275" t="s">
        <v>2607</v>
      </c>
      <c r="K275"/>
      <c r="L275"/>
      <c r="M275">
        <v>12</v>
      </c>
      <c r="N275">
        <v>27</v>
      </c>
      <c r="O275">
        <v>6</v>
      </c>
      <c r="P275">
        <v>8</v>
      </c>
      <c r="Q275"/>
      <c r="R275" t="s">
        <v>2464</v>
      </c>
      <c r="S275" t="s">
        <v>2605</v>
      </c>
      <c r="T275" t="s">
        <v>2605</v>
      </c>
      <c r="U275" t="s">
        <v>2462</v>
      </c>
      <c r="V275">
        <v>30</v>
      </c>
      <c r="W275"/>
      <c r="X275"/>
      <c r="Y275"/>
      <c r="Z275"/>
      <c r="AA275">
        <v>10</v>
      </c>
      <c r="AB275">
        <v>15</v>
      </c>
      <c r="AC275">
        <v>10</v>
      </c>
      <c r="AD275">
        <v>12</v>
      </c>
      <c r="AE275">
        <v>14</v>
      </c>
      <c r="AF275">
        <v>16</v>
      </c>
      <c r="AG275">
        <v>349</v>
      </c>
      <c r="AH275"/>
      <c r="AI275"/>
      <c r="AJ275"/>
      <c r="AK275"/>
      <c r="AL275"/>
      <c r="AM275"/>
      <c r="AN275"/>
      <c r="AO275">
        <v>397</v>
      </c>
      <c r="AP275">
        <v>17</v>
      </c>
      <c r="AQ275"/>
      <c r="AR275"/>
      <c r="AS275" t="s">
        <v>3220</v>
      </c>
      <c r="AT275">
        <v>33</v>
      </c>
      <c r="AU275"/>
      <c r="AV275" t="s">
        <v>3219</v>
      </c>
      <c r="AW275"/>
      <c r="AX275" t="s">
        <v>3218</v>
      </c>
      <c r="AY275" t="s">
        <v>3216</v>
      </c>
      <c r="AZ275" t="s">
        <v>3217</v>
      </c>
      <c r="BA275" t="s">
        <v>3216</v>
      </c>
      <c r="BB275" t="s">
        <v>3215</v>
      </c>
      <c r="BC275" t="s">
        <v>3214</v>
      </c>
      <c r="BD275" t="s">
        <v>3213</v>
      </c>
      <c r="BE275"/>
      <c r="BF275"/>
      <c r="BG275"/>
      <c r="BH275"/>
      <c r="BI275"/>
      <c r="BJ275"/>
      <c r="BK275"/>
      <c r="BL275"/>
      <c r="BM275"/>
      <c r="BN275"/>
      <c r="BO275"/>
      <c r="BP275" t="s">
        <v>2480</v>
      </c>
      <c r="BQ275" t="s">
        <v>3212</v>
      </c>
      <c r="BR275" t="s">
        <v>2480</v>
      </c>
      <c r="BS275" t="s">
        <v>2898</v>
      </c>
      <c r="BT275" t="s">
        <v>2785</v>
      </c>
      <c r="BU275" t="s">
        <v>2784</v>
      </c>
      <c r="BV275" t="s">
        <v>3211</v>
      </c>
      <c r="BW275" t="s">
        <v>2782</v>
      </c>
      <c r="BX275" t="s">
        <v>2781</v>
      </c>
      <c r="BY275"/>
      <c r="BZ275"/>
      <c r="CA275"/>
      <c r="CB275"/>
      <c r="CC275"/>
      <c r="CD275"/>
      <c r="CE275"/>
      <c r="CF275"/>
      <c r="CG275"/>
      <c r="CH275"/>
      <c r="CI275"/>
      <c r="CJ275"/>
      <c r="CK275"/>
      <c r="CL275"/>
      <c r="CM275"/>
      <c r="CN275"/>
      <c r="CO275"/>
      <c r="CP275"/>
      <c r="CQ275"/>
      <c r="CR275"/>
      <c r="CS275"/>
      <c r="CT275"/>
      <c r="CU275"/>
      <c r="CV275"/>
      <c r="CW275"/>
      <c r="CX275" t="s">
        <v>2454</v>
      </c>
      <c r="CY275">
        <v>349</v>
      </c>
      <c r="CZ275" t="s">
        <v>2453</v>
      </c>
    </row>
    <row r="276" spans="1:104" ht="14.25">
      <c r="A276" t="s">
        <v>3210</v>
      </c>
      <c r="B276" t="s">
        <v>3209</v>
      </c>
      <c r="C276" t="s">
        <v>3208</v>
      </c>
      <c r="D276">
        <v>0.25</v>
      </c>
      <c r="E276" t="s">
        <v>2468</v>
      </c>
      <c r="F276" t="s">
        <v>2644</v>
      </c>
      <c r="G276" t="s">
        <v>2626</v>
      </c>
      <c r="H276" t="s">
        <v>3207</v>
      </c>
      <c r="I276"/>
      <c r="J276" t="s">
        <v>2465</v>
      </c>
      <c r="K276"/>
      <c r="L276"/>
      <c r="M276">
        <v>10</v>
      </c>
      <c r="N276">
        <v>21</v>
      </c>
      <c r="O276">
        <v>6</v>
      </c>
      <c r="P276">
        <v>6</v>
      </c>
      <c r="Q276"/>
      <c r="R276" t="s">
        <v>2972</v>
      </c>
      <c r="S276" t="s">
        <v>3206</v>
      </c>
      <c r="T276" t="s">
        <v>2462</v>
      </c>
      <c r="U276" t="s">
        <v>2462</v>
      </c>
      <c r="V276">
        <v>30</v>
      </c>
      <c r="W276"/>
      <c r="X276"/>
      <c r="Y276">
        <v>30</v>
      </c>
      <c r="Z276"/>
      <c r="AA276">
        <v>5</v>
      </c>
      <c r="AB276">
        <v>11</v>
      </c>
      <c r="AC276">
        <v>10</v>
      </c>
      <c r="AD276">
        <v>11</v>
      </c>
      <c r="AE276">
        <v>10</v>
      </c>
      <c r="AF276">
        <v>12</v>
      </c>
      <c r="AG276">
        <v>217</v>
      </c>
      <c r="AH276"/>
      <c r="AI276"/>
      <c r="AJ276"/>
      <c r="AK276"/>
      <c r="AL276"/>
      <c r="AM276"/>
      <c r="AN276"/>
      <c r="AO276">
        <v>334</v>
      </c>
      <c r="AP276"/>
      <c r="AQ276"/>
      <c r="AR276"/>
      <c r="AS276"/>
      <c r="AT276">
        <v>34</v>
      </c>
      <c r="AU276"/>
      <c r="AV276" t="s">
        <v>3205</v>
      </c>
      <c r="AW276"/>
      <c r="AX276"/>
      <c r="AY276" t="s">
        <v>3204</v>
      </c>
      <c r="AZ276" t="s">
        <v>3203</v>
      </c>
      <c r="BA276" t="s">
        <v>3202</v>
      </c>
      <c r="BB276" t="s">
        <v>3200</v>
      </c>
      <c r="BC276" t="s">
        <v>3201</v>
      </c>
      <c r="BD276" t="s">
        <v>3200</v>
      </c>
      <c r="BE276"/>
      <c r="BF276"/>
      <c r="BG276"/>
      <c r="BH276"/>
      <c r="BI276"/>
      <c r="BJ276"/>
      <c r="BK276"/>
      <c r="BL276"/>
      <c r="BM276"/>
      <c r="BN276"/>
      <c r="BO276"/>
      <c r="BP276" t="s">
        <v>2652</v>
      </c>
      <c r="BQ276" t="s">
        <v>3199</v>
      </c>
      <c r="BR276" t="s">
        <v>3198</v>
      </c>
      <c r="BS276" t="s">
        <v>3196</v>
      </c>
      <c r="BT276" t="s">
        <v>3197</v>
      </c>
      <c r="BU276" t="s">
        <v>3196</v>
      </c>
      <c r="BV276" t="s">
        <v>3194</v>
      </c>
      <c r="BW276" t="s">
        <v>3195</v>
      </c>
      <c r="BX276" t="s">
        <v>3194</v>
      </c>
      <c r="BY276"/>
      <c r="BZ276"/>
      <c r="CA276"/>
      <c r="CB276"/>
      <c r="CC276"/>
      <c r="CD276"/>
      <c r="CE276"/>
      <c r="CF276"/>
      <c r="CG276"/>
      <c r="CH276"/>
      <c r="CI276"/>
      <c r="CJ276"/>
      <c r="CK276"/>
      <c r="CL276"/>
      <c r="CM276"/>
      <c r="CN276"/>
      <c r="CO276"/>
      <c r="CP276"/>
      <c r="CQ276"/>
      <c r="CR276"/>
      <c r="CS276"/>
      <c r="CT276"/>
      <c r="CU276"/>
      <c r="CV276"/>
      <c r="CW276"/>
      <c r="CX276" t="s">
        <v>2454</v>
      </c>
      <c r="CY276">
        <v>217</v>
      </c>
      <c r="CZ276" t="s">
        <v>2453</v>
      </c>
    </row>
    <row r="277" spans="1:104" ht="14.25">
      <c r="A277" t="s">
        <v>3193</v>
      </c>
      <c r="B277" t="s">
        <v>3193</v>
      </c>
      <c r="C277" t="s">
        <v>3192</v>
      </c>
      <c r="D277">
        <v>0.125</v>
      </c>
      <c r="E277" t="s">
        <v>2468</v>
      </c>
      <c r="F277" t="s">
        <v>2719</v>
      </c>
      <c r="G277" t="s">
        <v>2690</v>
      </c>
      <c r="H277"/>
      <c r="I277"/>
      <c r="J277" t="s">
        <v>2013</v>
      </c>
      <c r="K277"/>
      <c r="L277"/>
      <c r="M277">
        <v>14</v>
      </c>
      <c r="N277">
        <v>2</v>
      </c>
      <c r="O277">
        <v>1</v>
      </c>
      <c r="P277">
        <v>4</v>
      </c>
      <c r="Q277"/>
      <c r="R277" t="s">
        <v>2464</v>
      </c>
      <c r="S277" t="s">
        <v>3191</v>
      </c>
      <c r="T277" t="s">
        <v>2462</v>
      </c>
      <c r="U277" t="s">
        <v>2462</v>
      </c>
      <c r="V277">
        <v>10</v>
      </c>
      <c r="W277"/>
      <c r="X277"/>
      <c r="Y277">
        <v>40</v>
      </c>
      <c r="Z277"/>
      <c r="AA277">
        <v>4</v>
      </c>
      <c r="AB277">
        <v>16</v>
      </c>
      <c r="AC277">
        <v>11</v>
      </c>
      <c r="AD277">
        <v>2</v>
      </c>
      <c r="AE277">
        <v>8</v>
      </c>
      <c r="AF277">
        <v>6</v>
      </c>
      <c r="AG277">
        <v>284</v>
      </c>
      <c r="AH277"/>
      <c r="AI277"/>
      <c r="AJ277">
        <v>62</v>
      </c>
      <c r="AK277"/>
      <c r="AL277"/>
      <c r="AM277"/>
      <c r="AN277">
        <v>44</v>
      </c>
      <c r="AO277">
        <v>352</v>
      </c>
      <c r="AP277">
        <v>17</v>
      </c>
      <c r="AQ277"/>
      <c r="AR277"/>
      <c r="AS277"/>
      <c r="AT277"/>
      <c r="AU277"/>
      <c r="AV277" t="s">
        <v>3190</v>
      </c>
      <c r="AW277"/>
      <c r="AX277"/>
      <c r="AY277"/>
      <c r="AZ277"/>
      <c r="BA277"/>
      <c r="BB277"/>
      <c r="BC277"/>
      <c r="BD277"/>
      <c r="BE277"/>
      <c r="BF277"/>
      <c r="BG277"/>
      <c r="BH277"/>
      <c r="BI277"/>
      <c r="BJ277"/>
      <c r="BK277"/>
      <c r="BL277"/>
      <c r="BM277"/>
      <c r="BN277"/>
      <c r="BO277"/>
      <c r="BP277" t="s">
        <v>3189</v>
      </c>
      <c r="BQ277" t="s">
        <v>3188</v>
      </c>
      <c r="BR277" t="s">
        <v>3187</v>
      </c>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t="s">
        <v>2454</v>
      </c>
      <c r="CY277">
        <v>284</v>
      </c>
      <c r="CZ277" t="s">
        <v>2453</v>
      </c>
    </row>
    <row r="278" spans="1:104" ht="14.25">
      <c r="A278" t="s">
        <v>3186</v>
      </c>
      <c r="B278" t="s">
        <v>3185</v>
      </c>
      <c r="C278" t="s">
        <v>3184</v>
      </c>
      <c r="D278">
        <v>7</v>
      </c>
      <c r="E278" t="s">
        <v>2468</v>
      </c>
      <c r="F278" t="s">
        <v>2985</v>
      </c>
      <c r="G278" t="s">
        <v>3005</v>
      </c>
      <c r="H278"/>
      <c r="I278"/>
      <c r="J278" t="s">
        <v>1997</v>
      </c>
      <c r="K278"/>
      <c r="L278"/>
      <c r="M278">
        <v>17</v>
      </c>
      <c r="N278">
        <v>126</v>
      </c>
      <c r="O278">
        <v>11</v>
      </c>
      <c r="P278">
        <v>12</v>
      </c>
      <c r="Q278">
        <v>55</v>
      </c>
      <c r="R278" t="s">
        <v>2464</v>
      </c>
      <c r="S278" t="s">
        <v>3183</v>
      </c>
      <c r="T278" t="s">
        <v>3182</v>
      </c>
      <c r="U278" t="s">
        <v>2462</v>
      </c>
      <c r="V278">
        <v>40</v>
      </c>
      <c r="W278"/>
      <c r="X278"/>
      <c r="Y278"/>
      <c r="Z278"/>
      <c r="AA278">
        <v>23</v>
      </c>
      <c r="AB278">
        <v>15</v>
      </c>
      <c r="AC278">
        <v>20</v>
      </c>
      <c r="AD278">
        <v>10</v>
      </c>
      <c r="AE278">
        <v>12</v>
      </c>
      <c r="AF278">
        <v>9</v>
      </c>
      <c r="AG278">
        <v>156</v>
      </c>
      <c r="AH278"/>
      <c r="AI278"/>
      <c r="AJ278"/>
      <c r="AK278"/>
      <c r="AL278"/>
      <c r="AM278"/>
      <c r="AN278"/>
      <c r="AO278">
        <v>316</v>
      </c>
      <c r="AP278">
        <v>18</v>
      </c>
      <c r="AQ278"/>
      <c r="AR278"/>
      <c r="AS278" t="s">
        <v>3181</v>
      </c>
      <c r="AT278"/>
      <c r="AU278"/>
      <c r="AV278"/>
      <c r="AW278"/>
      <c r="AX278"/>
      <c r="AY278" t="s">
        <v>2620</v>
      </c>
      <c r="AZ278" t="s">
        <v>3180</v>
      </c>
      <c r="BA278" t="s">
        <v>2620</v>
      </c>
      <c r="BB278"/>
      <c r="BC278"/>
      <c r="BD278"/>
      <c r="BE278"/>
      <c r="BF278"/>
      <c r="BG278"/>
      <c r="BH278"/>
      <c r="BI278"/>
      <c r="BJ278"/>
      <c r="BK278"/>
      <c r="BL278"/>
      <c r="BM278"/>
      <c r="BN278"/>
      <c r="BO278"/>
      <c r="BP278" t="s">
        <v>3178</v>
      </c>
      <c r="BQ278" t="s">
        <v>3179</v>
      </c>
      <c r="BR278" t="s">
        <v>3178</v>
      </c>
      <c r="BS278" t="s">
        <v>3177</v>
      </c>
      <c r="BT278" t="s">
        <v>3176</v>
      </c>
      <c r="BU278" t="s">
        <v>3175</v>
      </c>
      <c r="BV278" t="s">
        <v>2480</v>
      </c>
      <c r="BW278" t="s">
        <v>3174</v>
      </c>
      <c r="BX278" t="s">
        <v>2480</v>
      </c>
      <c r="BY278" t="s">
        <v>2420</v>
      </c>
      <c r="BZ278" t="s">
        <v>3173</v>
      </c>
      <c r="CA278" t="s">
        <v>3172</v>
      </c>
      <c r="CB278" t="s">
        <v>3031</v>
      </c>
      <c r="CC278" t="s">
        <v>3171</v>
      </c>
      <c r="CD278" t="s">
        <v>3170</v>
      </c>
      <c r="CE278"/>
      <c r="CF278"/>
      <c r="CG278"/>
      <c r="CH278"/>
      <c r="CI278"/>
      <c r="CJ278"/>
      <c r="CK278"/>
      <c r="CL278"/>
      <c r="CM278"/>
      <c r="CN278"/>
      <c r="CO278"/>
      <c r="CP278"/>
      <c r="CQ278"/>
      <c r="CR278"/>
      <c r="CS278"/>
      <c r="CT278"/>
      <c r="CU278"/>
      <c r="CV278" t="s">
        <v>3169</v>
      </c>
      <c r="CW278" t="s">
        <v>3168</v>
      </c>
      <c r="CX278" t="s">
        <v>2454</v>
      </c>
      <c r="CY278">
        <v>156</v>
      </c>
      <c r="CZ278" t="s">
        <v>2453</v>
      </c>
    </row>
    <row r="279" spans="1:104" ht="14.25">
      <c r="A279" t="s">
        <v>3167</v>
      </c>
      <c r="B279" t="s">
        <v>3166</v>
      </c>
      <c r="C279" t="s">
        <v>3165</v>
      </c>
      <c r="D279">
        <v>10</v>
      </c>
      <c r="E279" t="s">
        <v>2468</v>
      </c>
      <c r="F279" t="s">
        <v>2489</v>
      </c>
      <c r="G279" t="s">
        <v>3164</v>
      </c>
      <c r="H279" t="s">
        <v>3163</v>
      </c>
      <c r="I279"/>
      <c r="J279" t="s">
        <v>2013</v>
      </c>
      <c r="K279"/>
      <c r="L279"/>
      <c r="M279">
        <v>17</v>
      </c>
      <c r="N279">
        <v>178</v>
      </c>
      <c r="O279">
        <v>17</v>
      </c>
      <c r="P279">
        <v>10</v>
      </c>
      <c r="Q279">
        <v>85</v>
      </c>
      <c r="R279" t="s">
        <v>2464</v>
      </c>
      <c r="S279" t="s">
        <v>3162</v>
      </c>
      <c r="T279" t="s">
        <v>2462</v>
      </c>
      <c r="U279" t="s">
        <v>2462</v>
      </c>
      <c r="V279">
        <v>30</v>
      </c>
      <c r="W279"/>
      <c r="X279"/>
      <c r="Y279"/>
      <c r="Z279"/>
      <c r="AA279">
        <v>22</v>
      </c>
      <c r="AB279">
        <v>9</v>
      </c>
      <c r="AC279">
        <v>20</v>
      </c>
      <c r="AD279">
        <v>3</v>
      </c>
      <c r="AE279">
        <v>11</v>
      </c>
      <c r="AF279">
        <v>1</v>
      </c>
      <c r="AG279">
        <v>170</v>
      </c>
      <c r="AH279"/>
      <c r="AI279"/>
      <c r="AJ279"/>
      <c r="AK279"/>
      <c r="AL279"/>
      <c r="AM279"/>
      <c r="AN279">
        <v>45</v>
      </c>
      <c r="AO279">
        <v>320</v>
      </c>
      <c r="AP279">
        <v>18</v>
      </c>
      <c r="AQ279"/>
      <c r="AR279"/>
      <c r="AS279"/>
      <c r="AT279"/>
      <c r="AU279"/>
      <c r="AV279"/>
      <c r="AW279"/>
      <c r="AX279" t="s">
        <v>3161</v>
      </c>
      <c r="AY279" t="s">
        <v>3159</v>
      </c>
      <c r="AZ279" t="s">
        <v>3160</v>
      </c>
      <c r="BA279" t="s">
        <v>3159</v>
      </c>
      <c r="BB279" t="s">
        <v>2873</v>
      </c>
      <c r="BC279" t="s">
        <v>3158</v>
      </c>
      <c r="BD279" t="s">
        <v>2873</v>
      </c>
      <c r="BE279" t="s">
        <v>2966</v>
      </c>
      <c r="BF279" t="s">
        <v>3157</v>
      </c>
      <c r="BG279" t="s">
        <v>2966</v>
      </c>
      <c r="BH279"/>
      <c r="BI279"/>
      <c r="BJ279"/>
      <c r="BK279"/>
      <c r="BL279"/>
      <c r="BM279"/>
      <c r="BN279"/>
      <c r="BO279"/>
      <c r="BP279" t="s">
        <v>2480</v>
      </c>
      <c r="BQ279" t="s">
        <v>3156</v>
      </c>
      <c r="BR279" t="s">
        <v>2480</v>
      </c>
      <c r="BS279" t="s">
        <v>2457</v>
      </c>
      <c r="BT279" t="s">
        <v>3155</v>
      </c>
      <c r="BU279" t="s">
        <v>3154</v>
      </c>
      <c r="BV279" t="s">
        <v>3152</v>
      </c>
      <c r="BW279" t="s">
        <v>3153</v>
      </c>
      <c r="BX279" t="s">
        <v>3152</v>
      </c>
      <c r="BY279"/>
      <c r="BZ279"/>
      <c r="CA279"/>
      <c r="CB279"/>
      <c r="CC279"/>
      <c r="CD279"/>
      <c r="CE279"/>
      <c r="CF279"/>
      <c r="CG279"/>
      <c r="CH279"/>
      <c r="CI279"/>
      <c r="CJ279"/>
      <c r="CK279"/>
      <c r="CL279"/>
      <c r="CM279"/>
      <c r="CN279"/>
      <c r="CO279"/>
      <c r="CP279"/>
      <c r="CQ279"/>
      <c r="CR279"/>
      <c r="CS279"/>
      <c r="CT279"/>
      <c r="CU279"/>
      <c r="CV279"/>
      <c r="CW279"/>
      <c r="CX279" t="s">
        <v>2454</v>
      </c>
      <c r="CY279">
        <v>170</v>
      </c>
      <c r="CZ279" t="s">
        <v>2453</v>
      </c>
    </row>
    <row r="280" spans="1:104" ht="14.25">
      <c r="A280" t="s">
        <v>3151</v>
      </c>
      <c r="B280" t="s">
        <v>3150</v>
      </c>
      <c r="C280" t="s">
        <v>3149</v>
      </c>
      <c r="D280">
        <v>13</v>
      </c>
      <c r="E280" t="s">
        <v>2468</v>
      </c>
      <c r="F280" t="s">
        <v>2985</v>
      </c>
      <c r="G280" t="s">
        <v>3005</v>
      </c>
      <c r="H280"/>
      <c r="I280"/>
      <c r="J280" t="s">
        <v>2502</v>
      </c>
      <c r="K280"/>
      <c r="L280"/>
      <c r="M280">
        <v>16</v>
      </c>
      <c r="N280">
        <v>230</v>
      </c>
      <c r="O280">
        <v>20</v>
      </c>
      <c r="P280">
        <v>12</v>
      </c>
      <c r="Q280">
        <v>100</v>
      </c>
      <c r="R280" t="s">
        <v>2972</v>
      </c>
      <c r="S280" t="s">
        <v>3148</v>
      </c>
      <c r="T280" t="s">
        <v>3147</v>
      </c>
      <c r="U280" t="s">
        <v>2462</v>
      </c>
      <c r="V280">
        <v>50</v>
      </c>
      <c r="W280"/>
      <c r="X280"/>
      <c r="Y280"/>
      <c r="Z280">
        <v>50</v>
      </c>
      <c r="AA280">
        <v>29</v>
      </c>
      <c r="AB280">
        <v>14</v>
      </c>
      <c r="AC280">
        <v>20</v>
      </c>
      <c r="AD280">
        <v>16</v>
      </c>
      <c r="AE280">
        <v>18</v>
      </c>
      <c r="AF280">
        <v>18</v>
      </c>
      <c r="AG280">
        <v>156</v>
      </c>
      <c r="AH280"/>
      <c r="AI280"/>
      <c r="AJ280"/>
      <c r="AK280"/>
      <c r="AL280"/>
      <c r="AM280"/>
      <c r="AN280"/>
      <c r="AO280">
        <v>316</v>
      </c>
      <c r="AP280"/>
      <c r="AQ280"/>
      <c r="AR280"/>
      <c r="AS280"/>
      <c r="AT280"/>
      <c r="AU280"/>
      <c r="AV280"/>
      <c r="AW280"/>
      <c r="AX280"/>
      <c r="AY280" t="s">
        <v>2520</v>
      </c>
      <c r="AZ280" t="s">
        <v>3146</v>
      </c>
      <c r="BA280" t="s">
        <v>2520</v>
      </c>
      <c r="BB280" t="s">
        <v>2635</v>
      </c>
      <c r="BC280" t="s">
        <v>3145</v>
      </c>
      <c r="BD280" t="s">
        <v>2635</v>
      </c>
      <c r="BE280"/>
      <c r="BF280"/>
      <c r="BG280"/>
      <c r="BH280"/>
      <c r="BI280"/>
      <c r="BJ280"/>
      <c r="BK280"/>
      <c r="BL280"/>
      <c r="BM280"/>
      <c r="BN280"/>
      <c r="BO280"/>
      <c r="BP280" t="s">
        <v>2480</v>
      </c>
      <c r="BQ280" t="s">
        <v>3144</v>
      </c>
      <c r="BR280" t="s">
        <v>2480</v>
      </c>
      <c r="BS280" t="s">
        <v>3143</v>
      </c>
      <c r="BT280" t="s">
        <v>3142</v>
      </c>
      <c r="BU280" t="s">
        <v>3141</v>
      </c>
      <c r="BV280" t="s">
        <v>3031</v>
      </c>
      <c r="BW280" t="s">
        <v>3140</v>
      </c>
      <c r="BX280" t="s">
        <v>3139</v>
      </c>
      <c r="BY280" t="s">
        <v>3138</v>
      </c>
      <c r="BZ280" t="s">
        <v>3137</v>
      </c>
      <c r="CA280" t="s">
        <v>3136</v>
      </c>
      <c r="CB280"/>
      <c r="CC280"/>
      <c r="CD280"/>
      <c r="CE280"/>
      <c r="CF280"/>
      <c r="CG280"/>
      <c r="CH280"/>
      <c r="CI280"/>
      <c r="CJ280"/>
      <c r="CK280"/>
      <c r="CL280"/>
      <c r="CM280"/>
      <c r="CN280"/>
      <c r="CO280"/>
      <c r="CP280"/>
      <c r="CQ280"/>
      <c r="CR280"/>
      <c r="CS280"/>
      <c r="CT280"/>
      <c r="CU280"/>
      <c r="CV280"/>
      <c r="CW280"/>
      <c r="CX280" t="s">
        <v>2454</v>
      </c>
      <c r="CY280">
        <v>156</v>
      </c>
      <c r="CZ280" t="s">
        <v>2453</v>
      </c>
    </row>
    <row r="281" spans="1:104" ht="14.25">
      <c r="A281" t="s">
        <v>3135</v>
      </c>
      <c r="B281" t="s">
        <v>3134</v>
      </c>
      <c r="C281" t="s">
        <v>3133</v>
      </c>
      <c r="D281">
        <v>0.25</v>
      </c>
      <c r="E281" t="s">
        <v>2680</v>
      </c>
      <c r="F281" t="s">
        <v>2467</v>
      </c>
      <c r="G281" t="s">
        <v>2690</v>
      </c>
      <c r="H281" t="s">
        <v>3083</v>
      </c>
      <c r="I281"/>
      <c r="J281" t="s">
        <v>2013</v>
      </c>
      <c r="K281"/>
      <c r="L281"/>
      <c r="M281">
        <v>12</v>
      </c>
      <c r="N281">
        <v>22</v>
      </c>
      <c r="O281">
        <v>5</v>
      </c>
      <c r="P281">
        <v>8</v>
      </c>
      <c r="Q281"/>
      <c r="R281" t="s">
        <v>2464</v>
      </c>
      <c r="S281" t="s">
        <v>3086</v>
      </c>
      <c r="T281" t="s">
        <v>2462</v>
      </c>
      <c r="U281" t="s">
        <v>2462</v>
      </c>
      <c r="V281">
        <v>0</v>
      </c>
      <c r="W281"/>
      <c r="X281"/>
      <c r="Y281">
        <v>30</v>
      </c>
      <c r="Z281"/>
      <c r="AA281">
        <v>5</v>
      </c>
      <c r="AB281">
        <v>15</v>
      </c>
      <c r="AC281">
        <v>10</v>
      </c>
      <c r="AD281">
        <v>2</v>
      </c>
      <c r="AE281">
        <v>12</v>
      </c>
      <c r="AF281">
        <v>4</v>
      </c>
      <c r="AG281">
        <v>337</v>
      </c>
      <c r="AH281"/>
      <c r="AI281"/>
      <c r="AJ281"/>
      <c r="AK281"/>
      <c r="AL281"/>
      <c r="AM281"/>
      <c r="AN281">
        <v>45</v>
      </c>
      <c r="AO281">
        <v>384</v>
      </c>
      <c r="AP281"/>
      <c r="AQ281"/>
      <c r="AR281"/>
      <c r="AS281"/>
      <c r="AT281"/>
      <c r="AU281"/>
      <c r="AV281"/>
      <c r="AW281"/>
      <c r="AX281"/>
      <c r="AY281" t="s">
        <v>3131</v>
      </c>
      <c r="AZ281" t="s">
        <v>3132</v>
      </c>
      <c r="BA281" t="s">
        <v>3131</v>
      </c>
      <c r="BB281" t="s">
        <v>3129</v>
      </c>
      <c r="BC281" t="s">
        <v>3130</v>
      </c>
      <c r="BD281" t="s">
        <v>3129</v>
      </c>
      <c r="BE281" t="s">
        <v>3083</v>
      </c>
      <c r="BF281" t="s">
        <v>3128</v>
      </c>
      <c r="BG281" t="s">
        <v>3083</v>
      </c>
      <c r="BH281"/>
      <c r="BI281"/>
      <c r="BJ281"/>
      <c r="BK281"/>
      <c r="BL281"/>
      <c r="BM281"/>
      <c r="BN281"/>
      <c r="BO281"/>
      <c r="BP281" t="s">
        <v>3092</v>
      </c>
      <c r="BQ281" t="s">
        <v>3127</v>
      </c>
      <c r="BR281" t="s">
        <v>3126</v>
      </c>
      <c r="BS281"/>
      <c r="BT281" t="s">
        <v>2462</v>
      </c>
      <c r="BU281"/>
      <c r="BV281"/>
      <c r="BW281"/>
      <c r="BX281"/>
      <c r="BY281"/>
      <c r="BZ281"/>
      <c r="CA281"/>
      <c r="CB281"/>
      <c r="CC281"/>
      <c r="CD281"/>
      <c r="CE281"/>
      <c r="CF281"/>
      <c r="CG281"/>
      <c r="CH281"/>
      <c r="CI281"/>
      <c r="CJ281"/>
      <c r="CK281"/>
      <c r="CL281"/>
      <c r="CM281"/>
      <c r="CN281"/>
      <c r="CO281"/>
      <c r="CP281"/>
      <c r="CQ281"/>
      <c r="CR281"/>
      <c r="CS281"/>
      <c r="CT281"/>
      <c r="CU281"/>
      <c r="CV281"/>
      <c r="CW281"/>
      <c r="CX281" t="s">
        <v>2454</v>
      </c>
      <c r="CY281">
        <v>337</v>
      </c>
      <c r="CZ281" t="s">
        <v>2453</v>
      </c>
    </row>
    <row r="282" spans="1:104" ht="14.25">
      <c r="A282" t="s">
        <v>3125</v>
      </c>
      <c r="B282" t="s">
        <v>3124</v>
      </c>
      <c r="C282" t="s">
        <v>3123</v>
      </c>
      <c r="D282">
        <v>0.5</v>
      </c>
      <c r="E282" t="s">
        <v>2680</v>
      </c>
      <c r="F282" t="s">
        <v>2467</v>
      </c>
      <c r="G282" t="s">
        <v>2690</v>
      </c>
      <c r="H282" t="s">
        <v>3083</v>
      </c>
      <c r="I282"/>
      <c r="J282" t="s">
        <v>2013</v>
      </c>
      <c r="K282"/>
      <c r="L282"/>
      <c r="M282">
        <v>12</v>
      </c>
      <c r="N282">
        <v>22</v>
      </c>
      <c r="O282">
        <v>5</v>
      </c>
      <c r="P282">
        <v>8</v>
      </c>
      <c r="Q282"/>
      <c r="R282" t="s">
        <v>2464</v>
      </c>
      <c r="S282" t="s">
        <v>3086</v>
      </c>
      <c r="T282" t="s">
        <v>2462</v>
      </c>
      <c r="U282" t="s">
        <v>2462</v>
      </c>
      <c r="V282">
        <v>20</v>
      </c>
      <c r="W282"/>
      <c r="X282">
        <v>20</v>
      </c>
      <c r="Y282"/>
      <c r="Z282"/>
      <c r="AA282">
        <v>3</v>
      </c>
      <c r="AB282">
        <v>13</v>
      </c>
      <c r="AC282">
        <v>10</v>
      </c>
      <c r="AD282">
        <v>1</v>
      </c>
      <c r="AE282">
        <v>7</v>
      </c>
      <c r="AF282">
        <v>1</v>
      </c>
      <c r="AG282">
        <v>338</v>
      </c>
      <c r="AH282"/>
      <c r="AI282"/>
      <c r="AJ282"/>
      <c r="AK282"/>
      <c r="AL282"/>
      <c r="AM282"/>
      <c r="AN282">
        <v>45</v>
      </c>
      <c r="AO282">
        <v>384</v>
      </c>
      <c r="AP282">
        <v>18</v>
      </c>
      <c r="AQ282"/>
      <c r="AR282"/>
      <c r="AS282"/>
      <c r="AT282"/>
      <c r="AU282"/>
      <c r="AV282" t="s">
        <v>3122</v>
      </c>
      <c r="AW282"/>
      <c r="AX282"/>
      <c r="AY282" t="s">
        <v>3083</v>
      </c>
      <c r="AZ282" t="s">
        <v>3121</v>
      </c>
      <c r="BA282" t="s">
        <v>3083</v>
      </c>
      <c r="BB282"/>
      <c r="BC282"/>
      <c r="BD282"/>
      <c r="BE282"/>
      <c r="BF282"/>
      <c r="BG282"/>
      <c r="BH282"/>
      <c r="BI282"/>
      <c r="BJ282"/>
      <c r="BK282"/>
      <c r="BL282"/>
      <c r="BM282"/>
      <c r="BN282"/>
      <c r="BO282"/>
      <c r="BP282" t="s">
        <v>3092</v>
      </c>
      <c r="BQ282" t="s">
        <v>3120</v>
      </c>
      <c r="BR282" t="s">
        <v>3119</v>
      </c>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t="s">
        <v>2454</v>
      </c>
      <c r="CY282">
        <v>338</v>
      </c>
      <c r="CZ282" t="s">
        <v>2453</v>
      </c>
    </row>
    <row r="283" spans="1:104" ht="14.25">
      <c r="A283" t="s">
        <v>3118</v>
      </c>
      <c r="B283" t="s">
        <v>3117</v>
      </c>
      <c r="C283" t="s">
        <v>3116</v>
      </c>
      <c r="D283">
        <v>2</v>
      </c>
      <c r="E283" t="s">
        <v>2680</v>
      </c>
      <c r="F283" t="s">
        <v>2467</v>
      </c>
      <c r="G283" t="s">
        <v>2690</v>
      </c>
      <c r="H283" t="s">
        <v>3083</v>
      </c>
      <c r="I283"/>
      <c r="J283" t="s">
        <v>2013</v>
      </c>
      <c r="K283"/>
      <c r="L283"/>
      <c r="M283">
        <v>14</v>
      </c>
      <c r="N283">
        <v>36</v>
      </c>
      <c r="O283">
        <v>8</v>
      </c>
      <c r="P283">
        <v>8</v>
      </c>
      <c r="Q283"/>
      <c r="R283" t="s">
        <v>2464</v>
      </c>
      <c r="S283" t="s">
        <v>3086</v>
      </c>
      <c r="T283" t="s">
        <v>2462</v>
      </c>
      <c r="U283" t="s">
        <v>2462</v>
      </c>
      <c r="V283">
        <v>30</v>
      </c>
      <c r="W283"/>
      <c r="X283"/>
      <c r="Y283"/>
      <c r="Z283">
        <v>30</v>
      </c>
      <c r="AA283">
        <v>8</v>
      </c>
      <c r="AB283">
        <v>18</v>
      </c>
      <c r="AC283">
        <v>11</v>
      </c>
      <c r="AD283">
        <v>1</v>
      </c>
      <c r="AE283">
        <v>10</v>
      </c>
      <c r="AF283">
        <v>3</v>
      </c>
      <c r="AG283">
        <v>338</v>
      </c>
      <c r="AH283"/>
      <c r="AI283"/>
      <c r="AJ283"/>
      <c r="AK283"/>
      <c r="AL283"/>
      <c r="AM283"/>
      <c r="AN283">
        <v>46</v>
      </c>
      <c r="AO283">
        <v>385</v>
      </c>
      <c r="AP283"/>
      <c r="AQ283">
        <v>22</v>
      </c>
      <c r="AR283"/>
      <c r="AS283"/>
      <c r="AT283"/>
      <c r="AU283"/>
      <c r="AV283"/>
      <c r="AW283"/>
      <c r="AX283"/>
      <c r="AY283" t="s">
        <v>3083</v>
      </c>
      <c r="AZ283" t="s">
        <v>3115</v>
      </c>
      <c r="BA283" t="s">
        <v>3083</v>
      </c>
      <c r="BB283"/>
      <c r="BC283"/>
      <c r="BD283"/>
      <c r="BE283"/>
      <c r="BF283"/>
      <c r="BG283"/>
      <c r="BH283"/>
      <c r="BI283"/>
      <c r="BJ283"/>
      <c r="BK283"/>
      <c r="BL283"/>
      <c r="BM283"/>
      <c r="BN283"/>
      <c r="BO283"/>
      <c r="BP283" t="s">
        <v>3092</v>
      </c>
      <c r="BQ283" t="s">
        <v>3114</v>
      </c>
      <c r="BR283" t="s">
        <v>3113</v>
      </c>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t="s">
        <v>2454</v>
      </c>
      <c r="CY283">
        <v>338</v>
      </c>
      <c r="CZ283" t="s">
        <v>2453</v>
      </c>
    </row>
    <row r="284" spans="1:104" ht="14.25">
      <c r="A284" t="s">
        <v>3112</v>
      </c>
      <c r="B284" t="s">
        <v>3111</v>
      </c>
      <c r="C284" t="s">
        <v>3110</v>
      </c>
      <c r="D284">
        <v>1</v>
      </c>
      <c r="E284" t="s">
        <v>2680</v>
      </c>
      <c r="F284" t="s">
        <v>2467</v>
      </c>
      <c r="G284" t="s">
        <v>2690</v>
      </c>
      <c r="H284" t="s">
        <v>3083</v>
      </c>
      <c r="I284"/>
      <c r="J284" t="s">
        <v>2013</v>
      </c>
      <c r="K284"/>
      <c r="L284"/>
      <c r="M284">
        <v>13</v>
      </c>
      <c r="N284">
        <v>28</v>
      </c>
      <c r="O284">
        <v>8</v>
      </c>
      <c r="P284">
        <v>8</v>
      </c>
      <c r="Q284">
        <v>-8</v>
      </c>
      <c r="R284" t="s">
        <v>2464</v>
      </c>
      <c r="S284" t="s">
        <v>3086</v>
      </c>
      <c r="T284" t="s">
        <v>2462</v>
      </c>
      <c r="U284" t="s">
        <v>2462</v>
      </c>
      <c r="V284">
        <v>0</v>
      </c>
      <c r="W284"/>
      <c r="X284"/>
      <c r="Y284"/>
      <c r="Z284">
        <v>40</v>
      </c>
      <c r="AA284">
        <v>13</v>
      </c>
      <c r="AB284">
        <v>16</v>
      </c>
      <c r="AC284">
        <v>9</v>
      </c>
      <c r="AD284">
        <v>1</v>
      </c>
      <c r="AE284">
        <v>7</v>
      </c>
      <c r="AF284">
        <v>2</v>
      </c>
      <c r="AG284">
        <v>338</v>
      </c>
      <c r="AH284"/>
      <c r="AI284"/>
      <c r="AJ284"/>
      <c r="AK284"/>
      <c r="AL284"/>
      <c r="AM284"/>
      <c r="AN284">
        <v>46</v>
      </c>
      <c r="AO284">
        <v>385</v>
      </c>
      <c r="AP284"/>
      <c r="AQ284"/>
      <c r="AR284"/>
      <c r="AS284" t="s">
        <v>3109</v>
      </c>
      <c r="AT284"/>
      <c r="AU284"/>
      <c r="AV284" t="s">
        <v>3108</v>
      </c>
      <c r="AW284"/>
      <c r="AX284" t="s">
        <v>3107</v>
      </c>
      <c r="AY284" t="s">
        <v>3105</v>
      </c>
      <c r="AZ284" t="s">
        <v>3106</v>
      </c>
      <c r="BA284" t="s">
        <v>3105</v>
      </c>
      <c r="BB284" t="s">
        <v>3083</v>
      </c>
      <c r="BC284" t="s">
        <v>3104</v>
      </c>
      <c r="BD284" t="s">
        <v>3083</v>
      </c>
      <c r="BE284" t="s">
        <v>3102</v>
      </c>
      <c r="BF284" t="s">
        <v>3103</v>
      </c>
      <c r="BG284" t="s">
        <v>3102</v>
      </c>
      <c r="BH284"/>
      <c r="BI284"/>
      <c r="BJ284"/>
      <c r="BK284"/>
      <c r="BL284"/>
      <c r="BM284"/>
      <c r="BN284"/>
      <c r="BO284"/>
      <c r="BP284" t="s">
        <v>3092</v>
      </c>
      <c r="BQ284" t="s">
        <v>3101</v>
      </c>
      <c r="BR284" t="s">
        <v>3100</v>
      </c>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t="s">
        <v>2454</v>
      </c>
      <c r="CY284">
        <v>338</v>
      </c>
      <c r="CZ284" t="s">
        <v>2453</v>
      </c>
    </row>
    <row r="285" spans="1:104" ht="14.25">
      <c r="A285" t="s">
        <v>3099</v>
      </c>
      <c r="B285" t="s">
        <v>3098</v>
      </c>
      <c r="C285" t="s">
        <v>3097</v>
      </c>
      <c r="D285">
        <v>0.25</v>
      </c>
      <c r="E285" t="s">
        <v>2680</v>
      </c>
      <c r="F285" t="s">
        <v>2467</v>
      </c>
      <c r="G285" t="s">
        <v>2690</v>
      </c>
      <c r="H285" t="s">
        <v>3083</v>
      </c>
      <c r="I285"/>
      <c r="J285" t="s">
        <v>2013</v>
      </c>
      <c r="K285"/>
      <c r="L285"/>
      <c r="M285">
        <v>10</v>
      </c>
      <c r="N285">
        <v>24</v>
      </c>
      <c r="O285">
        <v>7</v>
      </c>
      <c r="P285">
        <v>8</v>
      </c>
      <c r="Q285">
        <v>-7</v>
      </c>
      <c r="R285" t="s">
        <v>2464</v>
      </c>
      <c r="S285" t="s">
        <v>3086</v>
      </c>
      <c r="T285" t="s">
        <v>2462</v>
      </c>
      <c r="U285" t="s">
        <v>2462</v>
      </c>
      <c r="V285">
        <v>30</v>
      </c>
      <c r="W285"/>
      <c r="X285"/>
      <c r="Y285"/>
      <c r="Z285"/>
      <c r="AA285">
        <v>9</v>
      </c>
      <c r="AB285">
        <v>11</v>
      </c>
      <c r="AC285">
        <v>9</v>
      </c>
      <c r="AD285">
        <v>2</v>
      </c>
      <c r="AE285">
        <v>10</v>
      </c>
      <c r="AF285">
        <v>3</v>
      </c>
      <c r="AG285">
        <v>339</v>
      </c>
      <c r="AH285"/>
      <c r="AI285"/>
      <c r="AJ285"/>
      <c r="AK285"/>
      <c r="AL285"/>
      <c r="AM285"/>
      <c r="AN285">
        <v>46</v>
      </c>
      <c r="AO285">
        <v>385</v>
      </c>
      <c r="AP285">
        <v>19</v>
      </c>
      <c r="AQ285"/>
      <c r="AR285"/>
      <c r="AS285"/>
      <c r="AT285"/>
      <c r="AU285"/>
      <c r="AV285" t="s">
        <v>3096</v>
      </c>
      <c r="AW285"/>
      <c r="AX285" t="s">
        <v>3095</v>
      </c>
      <c r="AY285" t="s">
        <v>2581</v>
      </c>
      <c r="AZ285" t="s">
        <v>3094</v>
      </c>
      <c r="BA285" t="s">
        <v>2581</v>
      </c>
      <c r="BB285" t="s">
        <v>3083</v>
      </c>
      <c r="BC285" t="s">
        <v>3093</v>
      </c>
      <c r="BD285" t="s">
        <v>3083</v>
      </c>
      <c r="BE285"/>
      <c r="BF285"/>
      <c r="BG285"/>
      <c r="BH285"/>
      <c r="BI285"/>
      <c r="BJ285"/>
      <c r="BK285"/>
      <c r="BL285"/>
      <c r="BM285"/>
      <c r="BN285"/>
      <c r="BO285"/>
      <c r="BP285" t="s">
        <v>3092</v>
      </c>
      <c r="BQ285" t="s">
        <v>3091</v>
      </c>
      <c r="BR285" t="s">
        <v>3090</v>
      </c>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t="s">
        <v>2454</v>
      </c>
      <c r="CY285">
        <v>339</v>
      </c>
      <c r="CZ285" t="s">
        <v>2453</v>
      </c>
    </row>
    <row r="286" spans="1:104" ht="14.25">
      <c r="A286" t="s">
        <v>3089</v>
      </c>
      <c r="B286" t="s">
        <v>3088</v>
      </c>
      <c r="C286" t="s">
        <v>3087</v>
      </c>
      <c r="D286">
        <v>0.25</v>
      </c>
      <c r="E286" t="s">
        <v>2680</v>
      </c>
      <c r="F286" t="s">
        <v>2467</v>
      </c>
      <c r="G286" t="s">
        <v>2690</v>
      </c>
      <c r="H286" t="s">
        <v>3083</v>
      </c>
      <c r="I286"/>
      <c r="J286" t="s">
        <v>2013</v>
      </c>
      <c r="K286"/>
      <c r="L286"/>
      <c r="M286">
        <v>12</v>
      </c>
      <c r="N286">
        <v>24</v>
      </c>
      <c r="O286">
        <v>7</v>
      </c>
      <c r="P286">
        <v>8</v>
      </c>
      <c r="Q286">
        <v>-7</v>
      </c>
      <c r="R286" t="s">
        <v>2464</v>
      </c>
      <c r="S286" t="s">
        <v>3086</v>
      </c>
      <c r="T286" t="s">
        <v>2462</v>
      </c>
      <c r="U286" t="s">
        <v>2462</v>
      </c>
      <c r="V286">
        <v>10</v>
      </c>
      <c r="W286"/>
      <c r="X286"/>
      <c r="Y286">
        <v>50</v>
      </c>
      <c r="Z286"/>
      <c r="AA286">
        <v>6</v>
      </c>
      <c r="AB286">
        <v>14</v>
      </c>
      <c r="AC286">
        <v>8</v>
      </c>
      <c r="AD286">
        <v>3</v>
      </c>
      <c r="AE286">
        <v>12</v>
      </c>
      <c r="AF286">
        <v>6</v>
      </c>
      <c r="AG286">
        <v>339</v>
      </c>
      <c r="AH286"/>
      <c r="AI286"/>
      <c r="AJ286"/>
      <c r="AK286"/>
      <c r="AL286"/>
      <c r="AM286"/>
      <c r="AN286">
        <v>46</v>
      </c>
      <c r="AO286">
        <v>386</v>
      </c>
      <c r="AP286"/>
      <c r="AQ286">
        <v>22</v>
      </c>
      <c r="AR286"/>
      <c r="AS286"/>
      <c r="AT286"/>
      <c r="AU286"/>
      <c r="AV286" t="s">
        <v>3085</v>
      </c>
      <c r="AW286"/>
      <c r="AX286"/>
      <c r="AY286" t="s">
        <v>3083</v>
      </c>
      <c r="AZ286" t="s">
        <v>3084</v>
      </c>
      <c r="BA286" t="s">
        <v>3083</v>
      </c>
      <c r="BB286"/>
      <c r="BC286"/>
      <c r="BD286"/>
      <c r="BE286"/>
      <c r="BF286"/>
      <c r="BG286"/>
      <c r="BH286"/>
      <c r="BI286"/>
      <c r="BJ286"/>
      <c r="BK286"/>
      <c r="BL286"/>
      <c r="BM286"/>
      <c r="BN286"/>
      <c r="BO286"/>
      <c r="BP286" t="s">
        <v>3082</v>
      </c>
      <c r="BQ286" t="s">
        <v>3081</v>
      </c>
      <c r="BR286" t="s">
        <v>3080</v>
      </c>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t="s">
        <v>2454</v>
      </c>
      <c r="CY286">
        <v>339</v>
      </c>
      <c r="CZ286" t="s">
        <v>2453</v>
      </c>
    </row>
    <row r="287" spans="1:104" ht="14.25">
      <c r="A287" t="s">
        <v>3079</v>
      </c>
      <c r="B287" t="s">
        <v>3079</v>
      </c>
      <c r="C287" t="s">
        <v>3078</v>
      </c>
      <c r="D287">
        <v>30</v>
      </c>
      <c r="E287" t="s">
        <v>2468</v>
      </c>
      <c r="F287" t="s">
        <v>3077</v>
      </c>
      <c r="G287" t="s">
        <v>2587</v>
      </c>
      <c r="H287" t="s">
        <v>3076</v>
      </c>
      <c r="I287"/>
      <c r="J287" t="s">
        <v>2013</v>
      </c>
      <c r="K287"/>
      <c r="L287"/>
      <c r="M287">
        <v>25</v>
      </c>
      <c r="N287">
        <v>676</v>
      </c>
      <c r="O287">
        <v>33</v>
      </c>
      <c r="P287">
        <v>20</v>
      </c>
      <c r="Q287">
        <v>330</v>
      </c>
      <c r="R287" t="s">
        <v>2464</v>
      </c>
      <c r="S287" t="s">
        <v>3075</v>
      </c>
      <c r="T287" t="s">
        <v>3074</v>
      </c>
      <c r="U287" t="s">
        <v>2462</v>
      </c>
      <c r="V287">
        <v>40</v>
      </c>
      <c r="W287"/>
      <c r="X287"/>
      <c r="Y287"/>
      <c r="Z287"/>
      <c r="AA287">
        <v>30</v>
      </c>
      <c r="AB287">
        <v>11</v>
      </c>
      <c r="AC287">
        <v>30</v>
      </c>
      <c r="AD287">
        <v>3</v>
      </c>
      <c r="AE287">
        <v>11</v>
      </c>
      <c r="AF287">
        <v>11</v>
      </c>
      <c r="AG287">
        <v>286</v>
      </c>
      <c r="AH287"/>
      <c r="AI287"/>
      <c r="AJ287"/>
      <c r="AK287"/>
      <c r="AL287"/>
      <c r="AM287"/>
      <c r="AN287"/>
      <c r="AO287">
        <v>353</v>
      </c>
      <c r="AP287"/>
      <c r="AQ287"/>
      <c r="AR287"/>
      <c r="AS287"/>
      <c r="AT287"/>
      <c r="AU287"/>
      <c r="AV287"/>
      <c r="AW287"/>
      <c r="AX287"/>
      <c r="AY287" t="s">
        <v>2945</v>
      </c>
      <c r="AZ287" t="s">
        <v>3073</v>
      </c>
      <c r="BA287" t="s">
        <v>2945</v>
      </c>
      <c r="BB287" t="s">
        <v>2873</v>
      </c>
      <c r="BC287" t="s">
        <v>3072</v>
      </c>
      <c r="BD287" t="s">
        <v>2873</v>
      </c>
      <c r="BE287" t="s">
        <v>3070</v>
      </c>
      <c r="BF287" t="s">
        <v>3071</v>
      </c>
      <c r="BG287" t="s">
        <v>3070</v>
      </c>
      <c r="BH287" t="s">
        <v>3035</v>
      </c>
      <c r="BI287" t="s">
        <v>3069</v>
      </c>
      <c r="BJ287"/>
      <c r="BK287"/>
      <c r="BL287"/>
      <c r="BM287"/>
      <c r="BN287"/>
      <c r="BO287"/>
      <c r="BP287" t="s">
        <v>2480</v>
      </c>
      <c r="BQ287" t="s">
        <v>3068</v>
      </c>
      <c r="BR287" t="s">
        <v>2480</v>
      </c>
      <c r="BS287" t="s">
        <v>2479</v>
      </c>
      <c r="BT287" t="s">
        <v>3067</v>
      </c>
      <c r="BU287" t="s">
        <v>3066</v>
      </c>
      <c r="BV287" t="s">
        <v>2476</v>
      </c>
      <c r="BW287" t="s">
        <v>3065</v>
      </c>
      <c r="BX287" t="s">
        <v>3064</v>
      </c>
      <c r="BY287" t="s">
        <v>3063</v>
      </c>
      <c r="BZ287" t="s">
        <v>3062</v>
      </c>
      <c r="CA287" t="s">
        <v>3061</v>
      </c>
      <c r="CB287" t="s">
        <v>2978</v>
      </c>
      <c r="CC287" t="s">
        <v>3060</v>
      </c>
      <c r="CD287" t="s">
        <v>3059</v>
      </c>
      <c r="CE287" t="s">
        <v>3057</v>
      </c>
      <c r="CF287" t="s">
        <v>3058</v>
      </c>
      <c r="CG287" t="s">
        <v>3057</v>
      </c>
      <c r="CH287" t="s">
        <v>3055</v>
      </c>
      <c r="CI287" t="s">
        <v>3056</v>
      </c>
      <c r="CJ287" t="s">
        <v>3055</v>
      </c>
      <c r="CK287" t="s">
        <v>3054</v>
      </c>
      <c r="CL287" t="s">
        <v>3053</v>
      </c>
      <c r="CM287" t="s">
        <v>2929</v>
      </c>
      <c r="CN287" t="s">
        <v>3052</v>
      </c>
      <c r="CO287" t="s">
        <v>3051</v>
      </c>
      <c r="CP287" t="s">
        <v>3050</v>
      </c>
      <c r="CQ287"/>
      <c r="CR287"/>
      <c r="CS287"/>
      <c r="CT287"/>
      <c r="CU287"/>
      <c r="CV287"/>
      <c r="CW287"/>
      <c r="CX287" t="s">
        <v>2454</v>
      </c>
      <c r="CY287">
        <v>286</v>
      </c>
      <c r="CZ287" t="s">
        <v>2453</v>
      </c>
    </row>
    <row r="288" spans="1:104" ht="14.25">
      <c r="A288" t="s">
        <v>3049</v>
      </c>
      <c r="B288" t="s">
        <v>3049</v>
      </c>
      <c r="C288" t="s">
        <v>2610</v>
      </c>
      <c r="D288">
        <v>0.5</v>
      </c>
      <c r="E288" t="s">
        <v>2609</v>
      </c>
      <c r="F288" t="s">
        <v>2467</v>
      </c>
      <c r="G288" t="s">
        <v>2608</v>
      </c>
      <c r="H288" t="s">
        <v>2607</v>
      </c>
      <c r="I288"/>
      <c r="J288" t="s">
        <v>2606</v>
      </c>
      <c r="K288"/>
      <c r="L288"/>
      <c r="M288">
        <v>11</v>
      </c>
      <c r="N288">
        <v>32</v>
      </c>
      <c r="O288">
        <v>5</v>
      </c>
      <c r="P288">
        <v>8</v>
      </c>
      <c r="Q288">
        <v>10</v>
      </c>
      <c r="R288" t="s">
        <v>2464</v>
      </c>
      <c r="S288" t="s">
        <v>2605</v>
      </c>
      <c r="T288" t="s">
        <v>2604</v>
      </c>
      <c r="U288" t="s">
        <v>2462</v>
      </c>
      <c r="V288">
        <v>30</v>
      </c>
      <c r="W288"/>
      <c r="X288"/>
      <c r="Y288"/>
      <c r="Z288"/>
      <c r="AA288">
        <v>15</v>
      </c>
      <c r="AB288">
        <v>11</v>
      </c>
      <c r="AC288">
        <v>14</v>
      </c>
      <c r="AD288">
        <v>10</v>
      </c>
      <c r="AE288">
        <v>10</v>
      </c>
      <c r="AF288">
        <v>11</v>
      </c>
      <c r="AG288">
        <v>350</v>
      </c>
      <c r="AH288"/>
      <c r="AI288"/>
      <c r="AJ288"/>
      <c r="AK288"/>
      <c r="AL288"/>
      <c r="AM288"/>
      <c r="AN288">
        <v>55</v>
      </c>
      <c r="AO288">
        <v>397</v>
      </c>
      <c r="AP288"/>
      <c r="AQ288"/>
      <c r="AR288"/>
      <c r="AS288" t="s">
        <v>2603</v>
      </c>
      <c r="AT288"/>
      <c r="AU288"/>
      <c r="AV288" t="s">
        <v>2602</v>
      </c>
      <c r="AW288"/>
      <c r="AX288" t="s">
        <v>2601</v>
      </c>
      <c r="AY288" t="s">
        <v>2599</v>
      </c>
      <c r="AZ288" t="s">
        <v>2600</v>
      </c>
      <c r="BA288" t="s">
        <v>2599</v>
      </c>
      <c r="BB288"/>
      <c r="BC288"/>
      <c r="BD288"/>
      <c r="BE288"/>
      <c r="BF288"/>
      <c r="BG288"/>
      <c r="BH288"/>
      <c r="BI288"/>
      <c r="BJ288"/>
      <c r="BK288"/>
      <c r="BL288"/>
      <c r="BM288"/>
      <c r="BN288"/>
      <c r="BO288"/>
      <c r="BP288" t="s">
        <v>2480</v>
      </c>
      <c r="BQ288" t="s">
        <v>2598</v>
      </c>
      <c r="BR288" t="s">
        <v>2480</v>
      </c>
      <c r="BS288" t="s">
        <v>2597</v>
      </c>
      <c r="BT288" t="s">
        <v>2596</v>
      </c>
      <c r="BU288" t="s">
        <v>2595</v>
      </c>
      <c r="BV288" t="s">
        <v>2594</v>
      </c>
      <c r="BW288" t="s">
        <v>2593</v>
      </c>
      <c r="BX288" t="s">
        <v>2592</v>
      </c>
      <c r="BY288"/>
      <c r="BZ288"/>
      <c r="CA288"/>
      <c r="CB288"/>
      <c r="CC288"/>
      <c r="CD288"/>
      <c r="CE288"/>
      <c r="CF288"/>
      <c r="CG288"/>
      <c r="CH288"/>
      <c r="CI288"/>
      <c r="CJ288"/>
      <c r="CK288"/>
      <c r="CL288"/>
      <c r="CM288"/>
      <c r="CN288"/>
      <c r="CO288"/>
      <c r="CP288"/>
      <c r="CQ288"/>
      <c r="CR288"/>
      <c r="CS288"/>
      <c r="CT288"/>
      <c r="CU288"/>
      <c r="CV288"/>
      <c r="CW288"/>
      <c r="CX288" t="s">
        <v>2454</v>
      </c>
      <c r="CY288">
        <v>350</v>
      </c>
      <c r="CZ288" t="s">
        <v>2453</v>
      </c>
    </row>
    <row r="289" spans="1:104" ht="14.25">
      <c r="A289" t="s">
        <v>3048</v>
      </c>
      <c r="B289" t="s">
        <v>3048</v>
      </c>
      <c r="C289" t="s">
        <v>3047</v>
      </c>
      <c r="D289">
        <v>1</v>
      </c>
      <c r="E289" t="s">
        <v>2680</v>
      </c>
      <c r="F289" t="s">
        <v>2489</v>
      </c>
      <c r="G289" t="s">
        <v>2690</v>
      </c>
      <c r="H289"/>
      <c r="I289"/>
      <c r="J289" t="s">
        <v>2013</v>
      </c>
      <c r="K289"/>
      <c r="L289"/>
      <c r="M289">
        <v>12</v>
      </c>
      <c r="N289">
        <v>37</v>
      </c>
      <c r="O289">
        <v>5</v>
      </c>
      <c r="P289">
        <v>10</v>
      </c>
      <c r="Q289">
        <v>10</v>
      </c>
      <c r="R289" t="s">
        <v>2464</v>
      </c>
      <c r="S289" t="s">
        <v>2778</v>
      </c>
      <c r="T289" t="s">
        <v>2777</v>
      </c>
      <c r="U289" t="s">
        <v>2462</v>
      </c>
      <c r="V289">
        <v>40</v>
      </c>
      <c r="W289"/>
      <c r="X289"/>
      <c r="Y289"/>
      <c r="Z289"/>
      <c r="AA289">
        <v>17</v>
      </c>
      <c r="AB289">
        <v>15</v>
      </c>
      <c r="AC289">
        <v>14</v>
      </c>
      <c r="AD289">
        <v>3</v>
      </c>
      <c r="AE289">
        <v>12</v>
      </c>
      <c r="AF289">
        <v>8</v>
      </c>
      <c r="AG289">
        <v>339</v>
      </c>
      <c r="AH289">
        <v>311</v>
      </c>
      <c r="AI289"/>
      <c r="AJ289"/>
      <c r="AK289"/>
      <c r="AL289"/>
      <c r="AM289"/>
      <c r="AN289">
        <v>47</v>
      </c>
      <c r="AO289">
        <v>386</v>
      </c>
      <c r="AP289"/>
      <c r="AQ289"/>
      <c r="AR289"/>
      <c r="AS289"/>
      <c r="AT289"/>
      <c r="AU289"/>
      <c r="AV289"/>
      <c r="AW289"/>
      <c r="AX289"/>
      <c r="AY289" t="s">
        <v>2581</v>
      </c>
      <c r="AZ289" t="s">
        <v>3046</v>
      </c>
      <c r="BA289" t="s">
        <v>2581</v>
      </c>
      <c r="BB289" t="s">
        <v>3044</v>
      </c>
      <c r="BC289" t="s">
        <v>3045</v>
      </c>
      <c r="BD289" t="s">
        <v>3044</v>
      </c>
      <c r="BE289"/>
      <c r="BF289"/>
      <c r="BG289"/>
      <c r="BH289"/>
      <c r="BI289"/>
      <c r="BJ289"/>
      <c r="BK289"/>
      <c r="BL289"/>
      <c r="BM289"/>
      <c r="BN289"/>
      <c r="BO289"/>
      <c r="BP289" t="s">
        <v>2479</v>
      </c>
      <c r="BQ289" t="s">
        <v>3043</v>
      </c>
      <c r="BR289" t="s">
        <v>2769</v>
      </c>
      <c r="BS289" t="s">
        <v>2476</v>
      </c>
      <c r="BT289" t="s">
        <v>2767</v>
      </c>
      <c r="BU289" t="s">
        <v>2766</v>
      </c>
      <c r="BV289"/>
      <c r="BW289"/>
      <c r="BX289"/>
      <c r="BY289"/>
      <c r="BZ289"/>
      <c r="CA289"/>
      <c r="CB289"/>
      <c r="CC289"/>
      <c r="CD289"/>
      <c r="CE289"/>
      <c r="CF289"/>
      <c r="CG289"/>
      <c r="CH289"/>
      <c r="CI289"/>
      <c r="CJ289"/>
      <c r="CK289"/>
      <c r="CL289"/>
      <c r="CM289"/>
      <c r="CN289"/>
      <c r="CO289"/>
      <c r="CP289"/>
      <c r="CQ289"/>
      <c r="CR289"/>
      <c r="CS289"/>
      <c r="CT289"/>
      <c r="CU289"/>
      <c r="CV289"/>
      <c r="CW289"/>
      <c r="CX289" t="s">
        <v>2454</v>
      </c>
      <c r="CY289">
        <v>339</v>
      </c>
      <c r="CZ289" t="s">
        <v>2453</v>
      </c>
    </row>
    <row r="290" spans="1:104" ht="14.25">
      <c r="A290" t="s">
        <v>3042</v>
      </c>
      <c r="B290" t="s">
        <v>3042</v>
      </c>
      <c r="C290" t="s">
        <v>3041</v>
      </c>
      <c r="D290">
        <v>9</v>
      </c>
      <c r="E290" t="s">
        <v>2468</v>
      </c>
      <c r="F290" t="s">
        <v>2985</v>
      </c>
      <c r="G290" t="s">
        <v>2890</v>
      </c>
      <c r="H290"/>
      <c r="I290"/>
      <c r="J290" t="s">
        <v>2535</v>
      </c>
      <c r="K290"/>
      <c r="L290"/>
      <c r="M290">
        <v>16</v>
      </c>
      <c r="N290">
        <v>138</v>
      </c>
      <c r="O290">
        <v>12</v>
      </c>
      <c r="P290">
        <v>12</v>
      </c>
      <c r="Q290">
        <v>60</v>
      </c>
      <c r="R290" t="s">
        <v>2464</v>
      </c>
      <c r="S290" t="s">
        <v>3040</v>
      </c>
      <c r="T290" t="s">
        <v>3039</v>
      </c>
      <c r="U290" t="s">
        <v>2462</v>
      </c>
      <c r="V290">
        <v>30</v>
      </c>
      <c r="W290"/>
      <c r="X290"/>
      <c r="Y290"/>
      <c r="Z290"/>
      <c r="AA290">
        <v>23</v>
      </c>
      <c r="AB290">
        <v>8</v>
      </c>
      <c r="AC290">
        <v>21</v>
      </c>
      <c r="AD290">
        <v>12</v>
      </c>
      <c r="AE290">
        <v>16</v>
      </c>
      <c r="AF290">
        <v>12</v>
      </c>
      <c r="AG290">
        <v>289</v>
      </c>
      <c r="AH290"/>
      <c r="AI290"/>
      <c r="AJ290"/>
      <c r="AK290"/>
      <c r="AL290"/>
      <c r="AM290"/>
      <c r="AN290"/>
      <c r="AO290">
        <v>354</v>
      </c>
      <c r="AP290"/>
      <c r="AQ290"/>
      <c r="AR290"/>
      <c r="AS290"/>
      <c r="AT290"/>
      <c r="AU290"/>
      <c r="AV290"/>
      <c r="AW290"/>
      <c r="AX290" t="s">
        <v>3038</v>
      </c>
      <c r="AY290" t="s">
        <v>2886</v>
      </c>
      <c r="AZ290" t="s">
        <v>3037</v>
      </c>
      <c r="BA290" t="s">
        <v>2886</v>
      </c>
      <c r="BB290" t="s">
        <v>3035</v>
      </c>
      <c r="BC290" t="s">
        <v>3036</v>
      </c>
      <c r="BD290" t="s">
        <v>3035</v>
      </c>
      <c r="BE290"/>
      <c r="BF290"/>
      <c r="BG290"/>
      <c r="BH290"/>
      <c r="BI290"/>
      <c r="BJ290"/>
      <c r="BK290"/>
      <c r="BL290"/>
      <c r="BM290"/>
      <c r="BN290"/>
      <c r="BO290"/>
      <c r="BP290" t="s">
        <v>2480</v>
      </c>
      <c r="BQ290" t="s">
        <v>3034</v>
      </c>
      <c r="BR290" t="s">
        <v>2480</v>
      </c>
      <c r="BS290" t="s">
        <v>2457</v>
      </c>
      <c r="BT290" t="s">
        <v>3033</v>
      </c>
      <c r="BU290" t="s">
        <v>3032</v>
      </c>
      <c r="BV290" t="s">
        <v>3031</v>
      </c>
      <c r="BW290" t="s">
        <v>3030</v>
      </c>
      <c r="BX290" t="s">
        <v>3029</v>
      </c>
      <c r="BY290" t="s">
        <v>3027</v>
      </c>
      <c r="BZ290" t="s">
        <v>3028</v>
      </c>
      <c r="CA290" t="s">
        <v>3027</v>
      </c>
      <c r="CB290"/>
      <c r="CC290"/>
      <c r="CD290"/>
      <c r="CE290"/>
      <c r="CF290"/>
      <c r="CG290"/>
      <c r="CH290"/>
      <c r="CI290"/>
      <c r="CJ290"/>
      <c r="CK290"/>
      <c r="CL290"/>
      <c r="CM290"/>
      <c r="CN290"/>
      <c r="CO290"/>
      <c r="CP290"/>
      <c r="CQ290"/>
      <c r="CR290"/>
      <c r="CS290"/>
      <c r="CT290"/>
      <c r="CU290"/>
      <c r="CV290"/>
      <c r="CW290"/>
      <c r="CX290" t="s">
        <v>2454</v>
      </c>
      <c r="CY290">
        <v>289</v>
      </c>
      <c r="CZ290" t="s">
        <v>2453</v>
      </c>
    </row>
    <row r="291" spans="1:104" ht="14.25">
      <c r="A291" t="s">
        <v>3026</v>
      </c>
      <c r="B291" t="s">
        <v>3025</v>
      </c>
      <c r="C291" t="s">
        <v>3024</v>
      </c>
      <c r="D291">
        <v>0.125</v>
      </c>
      <c r="E291" t="s">
        <v>2609</v>
      </c>
      <c r="F291" t="s">
        <v>2467</v>
      </c>
      <c r="G291" t="s">
        <v>2608</v>
      </c>
      <c r="H291" t="s">
        <v>2607</v>
      </c>
      <c r="I291"/>
      <c r="J291" t="s">
        <v>2607</v>
      </c>
      <c r="K291"/>
      <c r="L291"/>
      <c r="M291">
        <v>12</v>
      </c>
      <c r="N291">
        <v>11</v>
      </c>
      <c r="O291">
        <v>2</v>
      </c>
      <c r="P291">
        <v>8</v>
      </c>
      <c r="Q291">
        <v>2</v>
      </c>
      <c r="R291" t="s">
        <v>2464</v>
      </c>
      <c r="S291" t="s">
        <v>3023</v>
      </c>
      <c r="T291" t="s">
        <v>2462</v>
      </c>
      <c r="U291" t="s">
        <v>2462</v>
      </c>
      <c r="V291">
        <v>30</v>
      </c>
      <c r="W291"/>
      <c r="X291"/>
      <c r="Y291"/>
      <c r="Z291"/>
      <c r="AA291">
        <v>13</v>
      </c>
      <c r="AB291">
        <v>11</v>
      </c>
      <c r="AC291">
        <v>12</v>
      </c>
      <c r="AD291">
        <v>8</v>
      </c>
      <c r="AE291">
        <v>11</v>
      </c>
      <c r="AF291">
        <v>8</v>
      </c>
      <c r="AG291">
        <v>350</v>
      </c>
      <c r="AH291"/>
      <c r="AI291"/>
      <c r="AJ291"/>
      <c r="AK291"/>
      <c r="AL291"/>
      <c r="AM291"/>
      <c r="AN291"/>
      <c r="AO291">
        <v>397</v>
      </c>
      <c r="AP291"/>
      <c r="AQ291">
        <v>23</v>
      </c>
      <c r="AR291"/>
      <c r="AS291" t="s">
        <v>3022</v>
      </c>
      <c r="AT291">
        <v>34</v>
      </c>
      <c r="AU291"/>
      <c r="AV291"/>
      <c r="AW291"/>
      <c r="AX291"/>
      <c r="AY291" t="s">
        <v>2599</v>
      </c>
      <c r="AZ291" t="s">
        <v>3021</v>
      </c>
      <c r="BA291" t="s">
        <v>2599</v>
      </c>
      <c r="BB291"/>
      <c r="BC291"/>
      <c r="BD291"/>
      <c r="BE291"/>
      <c r="BF291"/>
      <c r="BG291"/>
      <c r="BH291"/>
      <c r="BI291"/>
      <c r="BJ291"/>
      <c r="BK291"/>
      <c r="BL291"/>
      <c r="BM291"/>
      <c r="BN291"/>
      <c r="BO291"/>
      <c r="BP291" t="s">
        <v>2402</v>
      </c>
      <c r="BQ291" t="s">
        <v>3020</v>
      </c>
      <c r="BR291" t="s">
        <v>3019</v>
      </c>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t="s">
        <v>2454</v>
      </c>
      <c r="CY291">
        <v>350</v>
      </c>
      <c r="CZ291" t="s">
        <v>2453</v>
      </c>
    </row>
    <row r="292" spans="1:104" ht="14.25">
      <c r="A292" t="s">
        <v>3018</v>
      </c>
      <c r="B292" t="s">
        <v>3018</v>
      </c>
      <c r="C292" t="s">
        <v>3017</v>
      </c>
      <c r="D292">
        <v>5</v>
      </c>
      <c r="E292" t="s">
        <v>2468</v>
      </c>
      <c r="F292" t="s">
        <v>2985</v>
      </c>
      <c r="G292" t="s">
        <v>2690</v>
      </c>
      <c r="H292" t="s">
        <v>2984</v>
      </c>
      <c r="I292"/>
      <c r="J292" t="s">
        <v>2013</v>
      </c>
      <c r="K292"/>
      <c r="L292"/>
      <c r="M292">
        <v>13</v>
      </c>
      <c r="N292">
        <v>95</v>
      </c>
      <c r="O292">
        <v>10</v>
      </c>
      <c r="P292">
        <v>12</v>
      </c>
      <c r="Q292">
        <v>30</v>
      </c>
      <c r="R292" t="s">
        <v>2464</v>
      </c>
      <c r="S292" t="s">
        <v>3016</v>
      </c>
      <c r="T292" t="s">
        <v>3015</v>
      </c>
      <c r="U292" t="s">
        <v>2462</v>
      </c>
      <c r="V292">
        <v>50</v>
      </c>
      <c r="W292"/>
      <c r="X292"/>
      <c r="Y292"/>
      <c r="Z292"/>
      <c r="AA292">
        <v>22</v>
      </c>
      <c r="AB292">
        <v>9</v>
      </c>
      <c r="AC292">
        <v>17</v>
      </c>
      <c r="AD292">
        <v>2</v>
      </c>
      <c r="AE292">
        <v>11</v>
      </c>
      <c r="AF292">
        <v>5</v>
      </c>
      <c r="AG292">
        <v>80</v>
      </c>
      <c r="AH292"/>
      <c r="AI292"/>
      <c r="AJ292"/>
      <c r="AK292"/>
      <c r="AL292"/>
      <c r="AM292"/>
      <c r="AN292">
        <v>47</v>
      </c>
      <c r="AO292"/>
      <c r="AP292"/>
      <c r="AQ292"/>
      <c r="AR292"/>
      <c r="AS292"/>
      <c r="AT292"/>
      <c r="AU292"/>
      <c r="AV292"/>
      <c r="AW292"/>
      <c r="AX292"/>
      <c r="AY292" t="s">
        <v>2848</v>
      </c>
      <c r="AZ292" t="s">
        <v>3014</v>
      </c>
      <c r="BA292" t="s">
        <v>2848</v>
      </c>
      <c r="BB292"/>
      <c r="BC292"/>
      <c r="BD292"/>
      <c r="BE292"/>
      <c r="BF292"/>
      <c r="BG292"/>
      <c r="BH292"/>
      <c r="BI292"/>
      <c r="BJ292"/>
      <c r="BK292"/>
      <c r="BL292"/>
      <c r="BM292"/>
      <c r="BN292"/>
      <c r="BO292"/>
      <c r="BP292" t="s">
        <v>3013</v>
      </c>
      <c r="BQ292" t="s">
        <v>3012</v>
      </c>
      <c r="BR292" t="s">
        <v>3011</v>
      </c>
      <c r="BS292" t="s">
        <v>3010</v>
      </c>
      <c r="BT292" t="s">
        <v>3009</v>
      </c>
      <c r="BU292" t="s">
        <v>3008</v>
      </c>
      <c r="BV292"/>
      <c r="BW292"/>
      <c r="BX292"/>
      <c r="BY292"/>
      <c r="BZ292"/>
      <c r="CA292"/>
      <c r="CB292"/>
      <c r="CC292"/>
      <c r="CD292"/>
      <c r="CE292"/>
      <c r="CF292"/>
      <c r="CG292"/>
      <c r="CH292"/>
      <c r="CI292"/>
      <c r="CJ292"/>
      <c r="CK292"/>
      <c r="CL292"/>
      <c r="CM292"/>
      <c r="CN292"/>
      <c r="CO292"/>
      <c r="CP292"/>
      <c r="CQ292"/>
      <c r="CR292"/>
      <c r="CS292"/>
      <c r="CT292"/>
      <c r="CU292"/>
      <c r="CV292"/>
      <c r="CW292"/>
      <c r="CX292" t="s">
        <v>2454</v>
      </c>
      <c r="CY292">
        <v>80</v>
      </c>
      <c r="CZ292" t="s">
        <v>2453</v>
      </c>
    </row>
    <row r="293" spans="1:104" ht="14.25">
      <c r="A293" t="s">
        <v>3007</v>
      </c>
      <c r="B293" t="s">
        <v>3007</v>
      </c>
      <c r="C293" t="s">
        <v>3006</v>
      </c>
      <c r="D293">
        <v>5</v>
      </c>
      <c r="E293" t="s">
        <v>2468</v>
      </c>
      <c r="F293" t="s">
        <v>2489</v>
      </c>
      <c r="G293" t="s">
        <v>3005</v>
      </c>
      <c r="H293"/>
      <c r="I293"/>
      <c r="J293" t="s">
        <v>2487</v>
      </c>
      <c r="K293"/>
      <c r="L293"/>
      <c r="M293">
        <v>15</v>
      </c>
      <c r="N293">
        <v>84</v>
      </c>
      <c r="O293">
        <v>8</v>
      </c>
      <c r="P293">
        <v>10</v>
      </c>
      <c r="Q293">
        <v>40</v>
      </c>
      <c r="R293" t="s">
        <v>2464</v>
      </c>
      <c r="S293" t="s">
        <v>3004</v>
      </c>
      <c r="T293" t="s">
        <v>2485</v>
      </c>
      <c r="U293" t="s">
        <v>2462</v>
      </c>
      <c r="V293">
        <v>30</v>
      </c>
      <c r="W293"/>
      <c r="X293"/>
      <c r="Y293"/>
      <c r="Z293"/>
      <c r="AA293">
        <v>18</v>
      </c>
      <c r="AB293">
        <v>13</v>
      </c>
      <c r="AC293">
        <v>20</v>
      </c>
      <c r="AD293">
        <v>7</v>
      </c>
      <c r="AE293">
        <v>9</v>
      </c>
      <c r="AF293">
        <v>7</v>
      </c>
      <c r="AG293">
        <v>291</v>
      </c>
      <c r="AH293"/>
      <c r="AI293"/>
      <c r="AJ293"/>
      <c r="AK293"/>
      <c r="AL293"/>
      <c r="AM293"/>
      <c r="AN293">
        <v>47</v>
      </c>
      <c r="AO293">
        <v>354</v>
      </c>
      <c r="AP293">
        <v>19</v>
      </c>
      <c r="AQ293">
        <v>23</v>
      </c>
      <c r="AR293"/>
      <c r="AS293" t="s">
        <v>3003</v>
      </c>
      <c r="AT293"/>
      <c r="AU293"/>
      <c r="AV293"/>
      <c r="AW293"/>
      <c r="AX293"/>
      <c r="AY293" t="s">
        <v>2581</v>
      </c>
      <c r="AZ293" t="s">
        <v>3002</v>
      </c>
      <c r="BA293" t="s">
        <v>2581</v>
      </c>
      <c r="BB293" t="s">
        <v>2917</v>
      </c>
      <c r="BC293" t="s">
        <v>3001</v>
      </c>
      <c r="BD293" t="s">
        <v>2917</v>
      </c>
      <c r="BE293" t="s">
        <v>2999</v>
      </c>
      <c r="BF293" t="s">
        <v>3000</v>
      </c>
      <c r="BG293" t="s">
        <v>2999</v>
      </c>
      <c r="BH293"/>
      <c r="BI293"/>
      <c r="BJ293"/>
      <c r="BK293"/>
      <c r="BL293"/>
      <c r="BM293"/>
      <c r="BN293"/>
      <c r="BO293"/>
      <c r="BP293" t="s">
        <v>2480</v>
      </c>
      <c r="BQ293" t="s">
        <v>2998</v>
      </c>
      <c r="BR293" t="s">
        <v>2480</v>
      </c>
      <c r="BS293" t="s">
        <v>2479</v>
      </c>
      <c r="BT293" t="s">
        <v>2997</v>
      </c>
      <c r="BU293" t="s">
        <v>2996</v>
      </c>
      <c r="BV293" t="s">
        <v>2476</v>
      </c>
      <c r="BW293" t="s">
        <v>2475</v>
      </c>
      <c r="BX293" t="s">
        <v>2474</v>
      </c>
      <c r="BY293"/>
      <c r="BZ293"/>
      <c r="CA293"/>
      <c r="CB293"/>
      <c r="CC293"/>
      <c r="CD293"/>
      <c r="CE293"/>
      <c r="CF293"/>
      <c r="CG293"/>
      <c r="CH293"/>
      <c r="CI293"/>
      <c r="CJ293"/>
      <c r="CK293"/>
      <c r="CL293"/>
      <c r="CM293"/>
      <c r="CN293"/>
      <c r="CO293"/>
      <c r="CP293"/>
      <c r="CQ293"/>
      <c r="CR293"/>
      <c r="CS293"/>
      <c r="CT293"/>
      <c r="CU293"/>
      <c r="CV293"/>
      <c r="CW293"/>
      <c r="CX293" t="s">
        <v>2454</v>
      </c>
      <c r="CY293">
        <v>291</v>
      </c>
      <c r="CZ293" t="s">
        <v>2453</v>
      </c>
    </row>
    <row r="294" spans="1:104" ht="14.25">
      <c r="A294" t="s">
        <v>2995</v>
      </c>
      <c r="B294" t="s">
        <v>2994</v>
      </c>
      <c r="C294" t="s">
        <v>2993</v>
      </c>
      <c r="D294">
        <v>0.125</v>
      </c>
      <c r="E294" t="s">
        <v>2468</v>
      </c>
      <c r="F294" t="s">
        <v>2644</v>
      </c>
      <c r="G294" t="s">
        <v>2890</v>
      </c>
      <c r="H294"/>
      <c r="I294"/>
      <c r="J294" t="s">
        <v>2465</v>
      </c>
      <c r="K294"/>
      <c r="L294"/>
      <c r="M294">
        <v>13</v>
      </c>
      <c r="N294">
        <v>4</v>
      </c>
      <c r="O294">
        <v>1</v>
      </c>
      <c r="P294">
        <v>6</v>
      </c>
      <c r="Q294">
        <v>1</v>
      </c>
      <c r="R294" t="s">
        <v>2464</v>
      </c>
      <c r="S294" t="s">
        <v>2992</v>
      </c>
      <c r="T294" t="s">
        <v>2462</v>
      </c>
      <c r="U294" t="s">
        <v>2462</v>
      </c>
      <c r="V294">
        <v>20</v>
      </c>
      <c r="W294"/>
      <c r="X294"/>
      <c r="Y294"/>
      <c r="Z294"/>
      <c r="AA294">
        <v>6</v>
      </c>
      <c r="AB294">
        <v>13</v>
      </c>
      <c r="AC294">
        <v>12</v>
      </c>
      <c r="AD294">
        <v>4</v>
      </c>
      <c r="AE294">
        <v>8</v>
      </c>
      <c r="AF294">
        <v>3</v>
      </c>
      <c r="AG294">
        <v>32</v>
      </c>
      <c r="AH294"/>
      <c r="AI294"/>
      <c r="AJ294">
        <v>63</v>
      </c>
      <c r="AK294"/>
      <c r="AL294"/>
      <c r="AM294"/>
      <c r="AN294">
        <v>47</v>
      </c>
      <c r="AO294"/>
      <c r="AP294"/>
      <c r="AQ294"/>
      <c r="AR294"/>
      <c r="AS294"/>
      <c r="AT294"/>
      <c r="AU294"/>
      <c r="AV294"/>
      <c r="AW294"/>
      <c r="AX294"/>
      <c r="AY294" t="s">
        <v>2886</v>
      </c>
      <c r="AZ294" t="s">
        <v>2991</v>
      </c>
      <c r="BA294" t="s">
        <v>2886</v>
      </c>
      <c r="BB294"/>
      <c r="BC294"/>
      <c r="BD294"/>
      <c r="BE294"/>
      <c r="BF294"/>
      <c r="BG294"/>
      <c r="BH294"/>
      <c r="BI294"/>
      <c r="BJ294"/>
      <c r="BK294"/>
      <c r="BL294"/>
      <c r="BM294"/>
      <c r="BN294"/>
      <c r="BO294"/>
      <c r="BP294" t="s">
        <v>2652</v>
      </c>
      <c r="BQ294" t="s">
        <v>2990</v>
      </c>
      <c r="BR294" t="s">
        <v>2989</v>
      </c>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t="s">
        <v>2454</v>
      </c>
      <c r="CY294">
        <v>32</v>
      </c>
      <c r="CZ294" t="s">
        <v>2453</v>
      </c>
    </row>
    <row r="295" spans="1:104" ht="14.25">
      <c r="A295" t="s">
        <v>2988</v>
      </c>
      <c r="B295" t="s">
        <v>2987</v>
      </c>
      <c r="C295" t="s">
        <v>2986</v>
      </c>
      <c r="D295">
        <v>8</v>
      </c>
      <c r="E295" t="s">
        <v>2468</v>
      </c>
      <c r="F295" t="s">
        <v>2985</v>
      </c>
      <c r="G295" t="s">
        <v>2690</v>
      </c>
      <c r="H295" t="s">
        <v>2984</v>
      </c>
      <c r="I295"/>
      <c r="J295" t="s">
        <v>2013</v>
      </c>
      <c r="K295"/>
      <c r="L295"/>
      <c r="M295">
        <v>13</v>
      </c>
      <c r="N295">
        <v>136</v>
      </c>
      <c r="O295">
        <v>13</v>
      </c>
      <c r="P295">
        <v>12</v>
      </c>
      <c r="Q295">
        <v>52</v>
      </c>
      <c r="R295" t="s">
        <v>2464</v>
      </c>
      <c r="S295" t="s">
        <v>2983</v>
      </c>
      <c r="T295" t="s">
        <v>2982</v>
      </c>
      <c r="U295" t="s">
        <v>2462</v>
      </c>
      <c r="V295">
        <v>50</v>
      </c>
      <c r="W295"/>
      <c r="X295"/>
      <c r="Y295"/>
      <c r="Z295"/>
      <c r="AA295">
        <v>25</v>
      </c>
      <c r="AB295">
        <v>10</v>
      </c>
      <c r="AC295">
        <v>19</v>
      </c>
      <c r="AD295">
        <v>2</v>
      </c>
      <c r="AE295">
        <v>12</v>
      </c>
      <c r="AF295">
        <v>9</v>
      </c>
      <c r="AG295">
        <v>80</v>
      </c>
      <c r="AH295"/>
      <c r="AI295"/>
      <c r="AJ295"/>
      <c r="AK295"/>
      <c r="AL295"/>
      <c r="AM295"/>
      <c r="AN295">
        <v>48</v>
      </c>
      <c r="AO295">
        <v>282</v>
      </c>
      <c r="AP295"/>
      <c r="AQ295"/>
      <c r="AR295"/>
      <c r="AS295"/>
      <c r="AT295"/>
      <c r="AU295"/>
      <c r="AV295"/>
      <c r="AW295"/>
      <c r="AX295"/>
      <c r="AY295"/>
      <c r="AZ295"/>
      <c r="BA295"/>
      <c r="BB295"/>
      <c r="BC295"/>
      <c r="BD295"/>
      <c r="BE295"/>
      <c r="BF295"/>
      <c r="BG295"/>
      <c r="BH295"/>
      <c r="BI295"/>
      <c r="BJ295"/>
      <c r="BK295"/>
      <c r="BL295"/>
      <c r="BM295"/>
      <c r="BN295"/>
      <c r="BO295"/>
      <c r="BP295" t="s">
        <v>2480</v>
      </c>
      <c r="BQ295" t="s">
        <v>2981</v>
      </c>
      <c r="BR295" t="s">
        <v>2480</v>
      </c>
      <c r="BS295" t="s">
        <v>2479</v>
      </c>
      <c r="BT295" t="s">
        <v>2980</v>
      </c>
      <c r="BU295" t="s">
        <v>2979</v>
      </c>
      <c r="BV295" t="s">
        <v>2978</v>
      </c>
      <c r="BW295" t="s">
        <v>2977</v>
      </c>
      <c r="BX295" t="s">
        <v>2976</v>
      </c>
      <c r="BY295"/>
      <c r="BZ295"/>
      <c r="CA295"/>
      <c r="CB295"/>
      <c r="CC295"/>
      <c r="CD295"/>
      <c r="CE295"/>
      <c r="CF295"/>
      <c r="CG295"/>
      <c r="CH295"/>
      <c r="CI295"/>
      <c r="CJ295"/>
      <c r="CK295"/>
      <c r="CL295"/>
      <c r="CM295"/>
      <c r="CN295"/>
      <c r="CO295"/>
      <c r="CP295"/>
      <c r="CQ295"/>
      <c r="CR295"/>
      <c r="CS295"/>
      <c r="CT295"/>
      <c r="CU295"/>
      <c r="CV295"/>
      <c r="CW295"/>
      <c r="CX295" t="s">
        <v>2454</v>
      </c>
      <c r="CY295">
        <v>80</v>
      </c>
      <c r="CZ295" t="s">
        <v>2453</v>
      </c>
    </row>
    <row r="296" spans="1:104" ht="14.25">
      <c r="A296" t="s">
        <v>2975</v>
      </c>
      <c r="B296" t="s">
        <v>2975</v>
      </c>
      <c r="C296" t="s">
        <v>2974</v>
      </c>
      <c r="D296">
        <v>5</v>
      </c>
      <c r="E296" t="s">
        <v>2468</v>
      </c>
      <c r="F296" t="s">
        <v>2489</v>
      </c>
      <c r="G296" t="s">
        <v>2973</v>
      </c>
      <c r="H296"/>
      <c r="I296"/>
      <c r="J296" t="s">
        <v>2502</v>
      </c>
      <c r="K296"/>
      <c r="L296"/>
      <c r="M296">
        <v>12</v>
      </c>
      <c r="N296">
        <v>67</v>
      </c>
      <c r="O296">
        <v>9</v>
      </c>
      <c r="P296">
        <v>10</v>
      </c>
      <c r="Q296">
        <v>18</v>
      </c>
      <c r="R296" t="s">
        <v>2972</v>
      </c>
      <c r="S296" t="s">
        <v>2485</v>
      </c>
      <c r="T296" t="s">
        <v>2484</v>
      </c>
      <c r="U296" t="s">
        <v>2462</v>
      </c>
      <c r="V296">
        <v>50</v>
      </c>
      <c r="W296"/>
      <c r="X296"/>
      <c r="Y296"/>
      <c r="Z296"/>
      <c r="AA296">
        <v>18</v>
      </c>
      <c r="AB296">
        <v>14</v>
      </c>
      <c r="AC296">
        <v>15</v>
      </c>
      <c r="AD296">
        <v>11</v>
      </c>
      <c r="AE296">
        <v>17</v>
      </c>
      <c r="AF296">
        <v>16</v>
      </c>
      <c r="AG296">
        <v>294</v>
      </c>
      <c r="AH296"/>
      <c r="AI296"/>
      <c r="AJ296"/>
      <c r="AK296"/>
      <c r="AL296"/>
      <c r="AM296"/>
      <c r="AN296"/>
      <c r="AO296">
        <v>354</v>
      </c>
      <c r="AP296"/>
      <c r="AQ296"/>
      <c r="AR296"/>
      <c r="AS296"/>
      <c r="AT296"/>
      <c r="AU296"/>
      <c r="AV296"/>
      <c r="AW296"/>
      <c r="AX296"/>
      <c r="AY296" t="s">
        <v>2971</v>
      </c>
      <c r="AZ296" t="s">
        <v>2970</v>
      </c>
      <c r="BA296" t="s">
        <v>2969</v>
      </c>
      <c r="BB296" t="s">
        <v>2635</v>
      </c>
      <c r="BC296" t="s">
        <v>2968</v>
      </c>
      <c r="BD296" t="s">
        <v>2635</v>
      </c>
      <c r="BE296" t="s">
        <v>2873</v>
      </c>
      <c r="BF296" t="s">
        <v>2967</v>
      </c>
      <c r="BG296" t="s">
        <v>2873</v>
      </c>
      <c r="BH296" t="s">
        <v>2966</v>
      </c>
      <c r="BI296" t="s">
        <v>2965</v>
      </c>
      <c r="BJ296"/>
      <c r="BK296"/>
      <c r="BL296"/>
      <c r="BM296"/>
      <c r="BN296"/>
      <c r="BO296"/>
      <c r="BP296" t="s">
        <v>2480</v>
      </c>
      <c r="BQ296" t="s">
        <v>2964</v>
      </c>
      <c r="BR296" t="s">
        <v>2480</v>
      </c>
      <c r="BS296" t="s">
        <v>2844</v>
      </c>
      <c r="BT296" t="s">
        <v>2963</v>
      </c>
      <c r="BU296" t="s">
        <v>2962</v>
      </c>
      <c r="BV296" t="s">
        <v>2961</v>
      </c>
      <c r="BW296" t="s">
        <v>2960</v>
      </c>
      <c r="BX296" t="s">
        <v>2959</v>
      </c>
      <c r="BY296" t="s">
        <v>2957</v>
      </c>
      <c r="BZ296" t="s">
        <v>2958</v>
      </c>
      <c r="CA296" t="s">
        <v>2957</v>
      </c>
      <c r="CB296" t="s">
        <v>2955</v>
      </c>
      <c r="CC296" t="s">
        <v>2956</v>
      </c>
      <c r="CD296" t="s">
        <v>2955</v>
      </c>
      <c r="CE296"/>
      <c r="CF296"/>
      <c r="CG296"/>
      <c r="CH296"/>
      <c r="CI296"/>
      <c r="CJ296"/>
      <c r="CK296" t="s">
        <v>2844</v>
      </c>
      <c r="CL296" t="s">
        <v>2954</v>
      </c>
      <c r="CM296" t="s">
        <v>2953</v>
      </c>
      <c r="CN296" t="s">
        <v>2952</v>
      </c>
      <c r="CO296" t="s">
        <v>2951</v>
      </c>
      <c r="CP296" t="s">
        <v>2950</v>
      </c>
      <c r="CQ296"/>
      <c r="CR296"/>
      <c r="CS296"/>
      <c r="CT296"/>
      <c r="CU296"/>
      <c r="CV296"/>
      <c r="CW296"/>
      <c r="CX296" t="s">
        <v>2454</v>
      </c>
      <c r="CY296">
        <v>294</v>
      </c>
      <c r="CZ296" t="s">
        <v>2453</v>
      </c>
    </row>
    <row r="297" spans="1:104" ht="14.25">
      <c r="A297" t="s">
        <v>2920</v>
      </c>
      <c r="B297" t="s">
        <v>2920</v>
      </c>
      <c r="C297" t="s">
        <v>2949</v>
      </c>
      <c r="D297">
        <v>13</v>
      </c>
      <c r="E297" t="s">
        <v>2468</v>
      </c>
      <c r="F297" t="s">
        <v>2467</v>
      </c>
      <c r="G297" t="s">
        <v>2466</v>
      </c>
      <c r="H297" t="s">
        <v>2920</v>
      </c>
      <c r="I297">
        <v>1</v>
      </c>
      <c r="J297" t="s">
        <v>2522</v>
      </c>
      <c r="K297"/>
      <c r="L297"/>
      <c r="M297">
        <v>16</v>
      </c>
      <c r="N297">
        <v>144</v>
      </c>
      <c r="O297">
        <v>17</v>
      </c>
      <c r="P297">
        <v>8</v>
      </c>
      <c r="Q297">
        <v>68</v>
      </c>
      <c r="R297" t="s">
        <v>2464</v>
      </c>
      <c r="S297" t="s">
        <v>2948</v>
      </c>
      <c r="T297" t="s">
        <v>2462</v>
      </c>
      <c r="U297" t="s">
        <v>2462</v>
      </c>
      <c r="V297">
        <v>30</v>
      </c>
      <c r="W297"/>
      <c r="X297"/>
      <c r="Y297"/>
      <c r="Z297"/>
      <c r="AA297">
        <v>18</v>
      </c>
      <c r="AB297">
        <v>18</v>
      </c>
      <c r="AC297">
        <v>18</v>
      </c>
      <c r="AD297">
        <v>17</v>
      </c>
      <c r="AE297">
        <v>15</v>
      </c>
      <c r="AF297">
        <v>18</v>
      </c>
      <c r="AG297">
        <v>297</v>
      </c>
      <c r="AH297"/>
      <c r="AI297"/>
      <c r="AJ297"/>
      <c r="AK297"/>
      <c r="AL297"/>
      <c r="AM297"/>
      <c r="AN297"/>
      <c r="AO297">
        <v>355</v>
      </c>
      <c r="AP297">
        <v>20</v>
      </c>
      <c r="AQ297">
        <v>24</v>
      </c>
      <c r="AR297"/>
      <c r="AS297"/>
      <c r="AT297"/>
      <c r="AU297"/>
      <c r="AV297"/>
      <c r="AW297"/>
      <c r="AX297"/>
      <c r="AY297" t="s">
        <v>2755</v>
      </c>
      <c r="AZ297" t="s">
        <v>2947</v>
      </c>
      <c r="BA297" t="s">
        <v>2755</v>
      </c>
      <c r="BB297" t="s">
        <v>2945</v>
      </c>
      <c r="BC297" t="s">
        <v>2946</v>
      </c>
      <c r="BD297" t="s">
        <v>2945</v>
      </c>
      <c r="BE297" t="s">
        <v>2943</v>
      </c>
      <c r="BF297" t="s">
        <v>2944</v>
      </c>
      <c r="BG297" t="s">
        <v>2943</v>
      </c>
      <c r="BH297" t="s">
        <v>2917</v>
      </c>
      <c r="BI297" t="s">
        <v>2942</v>
      </c>
      <c r="BJ297" t="s">
        <v>2915</v>
      </c>
      <c r="BK297" t="s">
        <v>2916</v>
      </c>
      <c r="BL297" t="s">
        <v>2913</v>
      </c>
      <c r="BM297" t="s">
        <v>2941</v>
      </c>
      <c r="BN297"/>
      <c r="BO297"/>
      <c r="BP297" t="s">
        <v>2940</v>
      </c>
      <c r="BQ297" t="s">
        <v>2912</v>
      </c>
      <c r="BR297" t="s">
        <v>2940</v>
      </c>
      <c r="BS297" t="s">
        <v>2939</v>
      </c>
      <c r="BT297" t="s">
        <v>2938</v>
      </c>
      <c r="BU297" t="s">
        <v>2937</v>
      </c>
      <c r="BV297" t="s">
        <v>2936</v>
      </c>
      <c r="BW297" t="s">
        <v>2935</v>
      </c>
      <c r="BX297" t="s">
        <v>2934</v>
      </c>
      <c r="BY297" t="s">
        <v>2932</v>
      </c>
      <c r="BZ297" t="s">
        <v>2933</v>
      </c>
      <c r="CA297" t="s">
        <v>2932</v>
      </c>
      <c r="CB297" t="s">
        <v>2930</v>
      </c>
      <c r="CC297" t="s">
        <v>2931</v>
      </c>
      <c r="CD297" t="s">
        <v>2930</v>
      </c>
      <c r="CE297"/>
      <c r="CF297"/>
      <c r="CG297"/>
      <c r="CH297"/>
      <c r="CI297"/>
      <c r="CJ297"/>
      <c r="CK297" t="s">
        <v>2929</v>
      </c>
      <c r="CL297" t="s">
        <v>2928</v>
      </c>
      <c r="CM297" t="s">
        <v>2927</v>
      </c>
      <c r="CN297" t="s">
        <v>2926</v>
      </c>
      <c r="CO297" t="s">
        <v>2925</v>
      </c>
      <c r="CP297" t="s">
        <v>2924</v>
      </c>
      <c r="CQ297"/>
      <c r="CR297"/>
      <c r="CS297"/>
      <c r="CT297"/>
      <c r="CU297"/>
      <c r="CV297"/>
      <c r="CW297"/>
      <c r="CX297" t="s">
        <v>2454</v>
      </c>
      <c r="CY297">
        <v>297</v>
      </c>
      <c r="CZ297" t="s">
        <v>2453</v>
      </c>
    </row>
    <row r="298" spans="1:104" ht="14.25">
      <c r="A298" t="s">
        <v>2923</v>
      </c>
      <c r="B298" t="s">
        <v>2922</v>
      </c>
      <c r="C298" t="s">
        <v>2921</v>
      </c>
      <c r="D298">
        <v>5</v>
      </c>
      <c r="E298" t="s">
        <v>2468</v>
      </c>
      <c r="F298" t="s">
        <v>2467</v>
      </c>
      <c r="G298" t="s">
        <v>2466</v>
      </c>
      <c r="H298" t="s">
        <v>2920</v>
      </c>
      <c r="I298"/>
      <c r="J298" t="s">
        <v>2465</v>
      </c>
      <c r="K298"/>
      <c r="L298"/>
      <c r="M298">
        <v>15</v>
      </c>
      <c r="N298">
        <v>82</v>
      </c>
      <c r="O298">
        <v>11</v>
      </c>
      <c r="P298">
        <v>8</v>
      </c>
      <c r="Q298">
        <v>33</v>
      </c>
      <c r="R298" t="s">
        <v>2464</v>
      </c>
      <c r="S298" t="s">
        <v>2919</v>
      </c>
      <c r="T298" t="s">
        <v>2624</v>
      </c>
      <c r="U298" t="s">
        <v>2462</v>
      </c>
      <c r="V298">
        <v>30</v>
      </c>
      <c r="W298"/>
      <c r="X298"/>
      <c r="Y298"/>
      <c r="Z298"/>
      <c r="AA298">
        <v>16</v>
      </c>
      <c r="AB298">
        <v>16</v>
      </c>
      <c r="AC298">
        <v>16</v>
      </c>
      <c r="AD298">
        <v>11</v>
      </c>
      <c r="AE298">
        <v>10</v>
      </c>
      <c r="AF298">
        <v>12</v>
      </c>
      <c r="AG298">
        <v>298</v>
      </c>
      <c r="AH298"/>
      <c r="AI298"/>
      <c r="AJ298"/>
      <c r="AK298"/>
      <c r="AL298"/>
      <c r="AM298"/>
      <c r="AN298"/>
      <c r="AO298">
        <v>357</v>
      </c>
      <c r="AP298">
        <v>21</v>
      </c>
      <c r="AQ298">
        <v>23</v>
      </c>
      <c r="AR298"/>
      <c r="AS298"/>
      <c r="AT298">
        <v>35</v>
      </c>
      <c r="AU298"/>
      <c r="AV298"/>
      <c r="AW298"/>
      <c r="AX298"/>
      <c r="AY298" t="s">
        <v>2917</v>
      </c>
      <c r="AZ298" t="s">
        <v>2918</v>
      </c>
      <c r="BA298" t="s">
        <v>2917</v>
      </c>
      <c r="BB298" t="s">
        <v>2915</v>
      </c>
      <c r="BC298" t="s">
        <v>2916</v>
      </c>
      <c r="BD298" t="s">
        <v>2915</v>
      </c>
      <c r="BE298" t="s">
        <v>2913</v>
      </c>
      <c r="BF298" t="s">
        <v>2914</v>
      </c>
      <c r="BG298" t="s">
        <v>2913</v>
      </c>
      <c r="BH298"/>
      <c r="BI298"/>
      <c r="BJ298"/>
      <c r="BK298"/>
      <c r="BL298"/>
      <c r="BM298"/>
      <c r="BN298"/>
      <c r="BO298"/>
      <c r="BP298" t="s">
        <v>2480</v>
      </c>
      <c r="BQ298" t="s">
        <v>2912</v>
      </c>
      <c r="BR298" t="s">
        <v>2480</v>
      </c>
      <c r="BS298" t="s">
        <v>2479</v>
      </c>
      <c r="BT298" t="s">
        <v>2911</v>
      </c>
      <c r="BU298" t="s">
        <v>2910</v>
      </c>
      <c r="BV298" t="s">
        <v>2652</v>
      </c>
      <c r="BW298" t="s">
        <v>2909</v>
      </c>
      <c r="BX298" t="s">
        <v>2908</v>
      </c>
      <c r="BY298"/>
      <c r="BZ298"/>
      <c r="CA298"/>
      <c r="CB298"/>
      <c r="CC298"/>
      <c r="CD298"/>
      <c r="CE298"/>
      <c r="CF298"/>
      <c r="CG298"/>
      <c r="CH298"/>
      <c r="CI298"/>
      <c r="CJ298"/>
      <c r="CK298"/>
      <c r="CL298"/>
      <c r="CM298"/>
      <c r="CN298"/>
      <c r="CO298"/>
      <c r="CP298"/>
      <c r="CQ298"/>
      <c r="CR298"/>
      <c r="CS298"/>
      <c r="CT298"/>
      <c r="CU298"/>
      <c r="CV298"/>
      <c r="CW298"/>
      <c r="CX298" t="s">
        <v>2454</v>
      </c>
      <c r="CY298">
        <v>298</v>
      </c>
      <c r="CZ298" t="s">
        <v>2453</v>
      </c>
    </row>
    <row r="299" spans="1:104" ht="14.25">
      <c r="A299" t="s">
        <v>2907</v>
      </c>
      <c r="B299" t="s">
        <v>2907</v>
      </c>
      <c r="C299" t="s">
        <v>2906</v>
      </c>
      <c r="D299">
        <v>3</v>
      </c>
      <c r="E299" t="s">
        <v>2609</v>
      </c>
      <c r="F299" t="s">
        <v>2467</v>
      </c>
      <c r="G299" t="s">
        <v>2608</v>
      </c>
      <c r="H299" t="s">
        <v>2607</v>
      </c>
      <c r="I299"/>
      <c r="J299" t="s">
        <v>2607</v>
      </c>
      <c r="K299"/>
      <c r="L299"/>
      <c r="M299">
        <v>17</v>
      </c>
      <c r="N299">
        <v>58</v>
      </c>
      <c r="O299">
        <v>9</v>
      </c>
      <c r="P299">
        <v>8</v>
      </c>
      <c r="Q299">
        <v>18</v>
      </c>
      <c r="R299" t="s">
        <v>2464</v>
      </c>
      <c r="S299" t="s">
        <v>2778</v>
      </c>
      <c r="T299" t="s">
        <v>2905</v>
      </c>
      <c r="U299" t="s">
        <v>2462</v>
      </c>
      <c r="V299">
        <v>30</v>
      </c>
      <c r="W299"/>
      <c r="X299"/>
      <c r="Y299"/>
      <c r="Z299"/>
      <c r="AA299">
        <v>16</v>
      </c>
      <c r="AB299">
        <v>13</v>
      </c>
      <c r="AC299">
        <v>14</v>
      </c>
      <c r="AD299">
        <v>10</v>
      </c>
      <c r="AE299">
        <v>11</v>
      </c>
      <c r="AF299">
        <v>10</v>
      </c>
      <c r="AG299">
        <v>350</v>
      </c>
      <c r="AH299"/>
      <c r="AI299"/>
      <c r="AJ299"/>
      <c r="AK299"/>
      <c r="AL299"/>
      <c r="AM299"/>
      <c r="AN299"/>
      <c r="AO299">
        <v>398</v>
      </c>
      <c r="AP299">
        <v>21</v>
      </c>
      <c r="AQ299"/>
      <c r="AR299"/>
      <c r="AS299" t="s">
        <v>2904</v>
      </c>
      <c r="AT299">
        <v>35</v>
      </c>
      <c r="AU299"/>
      <c r="AV299" t="s">
        <v>2903</v>
      </c>
      <c r="AW299"/>
      <c r="AX299" t="s">
        <v>2902</v>
      </c>
      <c r="AY299"/>
      <c r="AZ299"/>
      <c r="BA299"/>
      <c r="BB299"/>
      <c r="BC299"/>
      <c r="BD299"/>
      <c r="BE299"/>
      <c r="BF299"/>
      <c r="BG299"/>
      <c r="BH299"/>
      <c r="BI299"/>
      <c r="BJ299"/>
      <c r="BK299"/>
      <c r="BL299"/>
      <c r="BM299"/>
      <c r="BN299"/>
      <c r="BO299"/>
      <c r="BP299" t="s">
        <v>2480</v>
      </c>
      <c r="BQ299" t="s">
        <v>2901</v>
      </c>
      <c r="BR299" t="s">
        <v>2480</v>
      </c>
      <c r="BS299" t="s">
        <v>2727</v>
      </c>
      <c r="BT299" t="s">
        <v>2900</v>
      </c>
      <c r="BU299" t="s">
        <v>2899</v>
      </c>
      <c r="BV299" t="s">
        <v>2898</v>
      </c>
      <c r="BW299" t="s">
        <v>2897</v>
      </c>
      <c r="BX299" t="s">
        <v>2896</v>
      </c>
      <c r="BY299" t="s">
        <v>2594</v>
      </c>
      <c r="BZ299" t="s">
        <v>2895</v>
      </c>
      <c r="CA299" t="s">
        <v>2894</v>
      </c>
      <c r="CB299"/>
      <c r="CC299"/>
      <c r="CD299"/>
      <c r="CE299"/>
      <c r="CF299"/>
      <c r="CG299"/>
      <c r="CH299"/>
      <c r="CI299"/>
      <c r="CJ299"/>
      <c r="CK299"/>
      <c r="CL299"/>
      <c r="CM299"/>
      <c r="CN299"/>
      <c r="CO299"/>
      <c r="CP299"/>
      <c r="CQ299"/>
      <c r="CR299"/>
      <c r="CS299"/>
      <c r="CT299"/>
      <c r="CU299"/>
      <c r="CV299"/>
      <c r="CW299"/>
      <c r="CX299" t="s">
        <v>2454</v>
      </c>
      <c r="CY299">
        <v>350</v>
      </c>
      <c r="CZ299" t="s">
        <v>2453</v>
      </c>
    </row>
    <row r="300" spans="1:104" ht="14.25">
      <c r="A300" t="s">
        <v>2893</v>
      </c>
      <c r="B300" t="s">
        <v>2892</v>
      </c>
      <c r="C300" t="s">
        <v>2891</v>
      </c>
      <c r="D300">
        <v>0.25</v>
      </c>
      <c r="E300" t="s">
        <v>2468</v>
      </c>
      <c r="F300" t="s">
        <v>2467</v>
      </c>
      <c r="G300" t="s">
        <v>2890</v>
      </c>
      <c r="H300"/>
      <c r="I300"/>
      <c r="J300" t="s">
        <v>2013</v>
      </c>
      <c r="K300"/>
      <c r="L300"/>
      <c r="M300">
        <v>5</v>
      </c>
      <c r="N300">
        <v>18</v>
      </c>
      <c r="O300">
        <v>4</v>
      </c>
      <c r="P300">
        <v>8</v>
      </c>
      <c r="Q300"/>
      <c r="R300" t="s">
        <v>2464</v>
      </c>
      <c r="S300" t="s">
        <v>2889</v>
      </c>
      <c r="T300" t="s">
        <v>2462</v>
      </c>
      <c r="U300" t="s">
        <v>2462</v>
      </c>
      <c r="V300">
        <v>5</v>
      </c>
      <c r="W300"/>
      <c r="X300"/>
      <c r="Y300"/>
      <c r="Z300"/>
      <c r="AA300">
        <v>3</v>
      </c>
      <c r="AB300">
        <v>1</v>
      </c>
      <c r="AC300">
        <v>10</v>
      </c>
      <c r="AD300">
        <v>1</v>
      </c>
      <c r="AE300">
        <v>3</v>
      </c>
      <c r="AF300">
        <v>1</v>
      </c>
      <c r="AG300">
        <v>138</v>
      </c>
      <c r="AH300"/>
      <c r="AI300"/>
      <c r="AJ300"/>
      <c r="AK300"/>
      <c r="AL300"/>
      <c r="AM300"/>
      <c r="AN300"/>
      <c r="AO300">
        <v>312</v>
      </c>
      <c r="AP300">
        <v>21</v>
      </c>
      <c r="AQ300"/>
      <c r="AR300"/>
      <c r="AS300"/>
      <c r="AT300">
        <v>36</v>
      </c>
      <c r="AU300"/>
      <c r="AV300" t="s">
        <v>2888</v>
      </c>
      <c r="AW300"/>
      <c r="AX300"/>
      <c r="AY300" t="s">
        <v>2886</v>
      </c>
      <c r="AZ300" t="s">
        <v>2887</v>
      </c>
      <c r="BA300" t="s">
        <v>2886</v>
      </c>
      <c r="BB300"/>
      <c r="BC300"/>
      <c r="BD300"/>
      <c r="BE300"/>
      <c r="BF300"/>
      <c r="BG300"/>
      <c r="BH300"/>
      <c r="BI300"/>
      <c r="BJ300"/>
      <c r="BK300"/>
      <c r="BL300"/>
      <c r="BM300"/>
      <c r="BN300"/>
      <c r="BO300"/>
      <c r="BP300" t="s">
        <v>2480</v>
      </c>
      <c r="BQ300" t="s">
        <v>2885</v>
      </c>
      <c r="BR300" t="s">
        <v>2480</v>
      </c>
      <c r="BS300" t="s">
        <v>2884</v>
      </c>
      <c r="BT300" t="s">
        <v>2883</v>
      </c>
      <c r="BU300" t="s">
        <v>2882</v>
      </c>
      <c r="BV300"/>
      <c r="BW300"/>
      <c r="BX300"/>
      <c r="BY300"/>
      <c r="BZ300"/>
      <c r="CA300"/>
      <c r="CB300"/>
      <c r="CC300"/>
      <c r="CD300"/>
      <c r="CE300"/>
      <c r="CF300"/>
      <c r="CG300"/>
      <c r="CH300"/>
      <c r="CI300"/>
      <c r="CJ300"/>
      <c r="CK300"/>
      <c r="CL300"/>
      <c r="CM300"/>
      <c r="CN300"/>
      <c r="CO300"/>
      <c r="CP300"/>
      <c r="CQ300"/>
      <c r="CR300"/>
      <c r="CS300"/>
      <c r="CT300"/>
      <c r="CU300"/>
      <c r="CV300"/>
      <c r="CW300"/>
      <c r="CX300" t="s">
        <v>2454</v>
      </c>
      <c r="CY300">
        <v>138</v>
      </c>
      <c r="CZ300" t="s">
        <v>2453</v>
      </c>
    </row>
    <row r="301" spans="1:104" ht="14.25">
      <c r="A301" t="s">
        <v>2881</v>
      </c>
      <c r="B301" t="s">
        <v>2881</v>
      </c>
      <c r="C301" t="s">
        <v>2880</v>
      </c>
      <c r="D301">
        <v>6</v>
      </c>
      <c r="E301" t="s">
        <v>2468</v>
      </c>
      <c r="F301" t="s">
        <v>2489</v>
      </c>
      <c r="G301" t="s">
        <v>2879</v>
      </c>
      <c r="H301" t="s">
        <v>2878</v>
      </c>
      <c r="I301"/>
      <c r="J301" t="s">
        <v>2487</v>
      </c>
      <c r="K301"/>
      <c r="L301"/>
      <c r="M301">
        <v>15</v>
      </c>
      <c r="N301">
        <v>104</v>
      </c>
      <c r="O301">
        <v>11</v>
      </c>
      <c r="P301">
        <v>10</v>
      </c>
      <c r="Q301">
        <v>44</v>
      </c>
      <c r="R301" t="s">
        <v>2464</v>
      </c>
      <c r="S301" t="s">
        <v>2877</v>
      </c>
      <c r="T301" t="s">
        <v>2876</v>
      </c>
      <c r="U301" t="s">
        <v>2462</v>
      </c>
      <c r="V301">
        <v>40</v>
      </c>
      <c r="W301"/>
      <c r="X301"/>
      <c r="Y301">
        <v>60</v>
      </c>
      <c r="Z301"/>
      <c r="AA301">
        <v>17</v>
      </c>
      <c r="AB301">
        <v>15</v>
      </c>
      <c r="AC301">
        <v>18</v>
      </c>
      <c r="AD301">
        <v>8</v>
      </c>
      <c r="AE301">
        <v>13</v>
      </c>
      <c r="AF301">
        <v>8</v>
      </c>
      <c r="AG301">
        <v>64</v>
      </c>
      <c r="AH301"/>
      <c r="AI301"/>
      <c r="AJ301"/>
      <c r="AK301"/>
      <c r="AL301"/>
      <c r="AM301"/>
      <c r="AN301"/>
      <c r="AO301">
        <v>276</v>
      </c>
      <c r="AP301"/>
      <c r="AQ301"/>
      <c r="AR301"/>
      <c r="AS301"/>
      <c r="AT301">
        <v>36</v>
      </c>
      <c r="AU301"/>
      <c r="AV301"/>
      <c r="AW301"/>
      <c r="AX301" t="s">
        <v>2875</v>
      </c>
      <c r="AY301" t="s">
        <v>2873</v>
      </c>
      <c r="AZ301" t="s">
        <v>2874</v>
      </c>
      <c r="BA301" t="s">
        <v>2873</v>
      </c>
      <c r="BB301"/>
      <c r="BC301"/>
      <c r="BD301"/>
      <c r="BE301"/>
      <c r="BF301"/>
      <c r="BG301"/>
      <c r="BH301"/>
      <c r="BI301"/>
      <c r="BJ301"/>
      <c r="BK301"/>
      <c r="BL301"/>
      <c r="BM301"/>
      <c r="BN301"/>
      <c r="BO301"/>
      <c r="BP301" t="s">
        <v>2480</v>
      </c>
      <c r="BQ301" t="s">
        <v>2872</v>
      </c>
      <c r="BR301" t="s">
        <v>2480</v>
      </c>
      <c r="BS301" t="s">
        <v>2854</v>
      </c>
      <c r="BT301" t="s">
        <v>2871</v>
      </c>
      <c r="BU301" t="s">
        <v>2870</v>
      </c>
      <c r="BV301" t="s">
        <v>2869</v>
      </c>
      <c r="BW301" t="s">
        <v>2868</v>
      </c>
      <c r="BX301" t="s">
        <v>2867</v>
      </c>
      <c r="BY301" t="s">
        <v>2865</v>
      </c>
      <c r="BZ301" t="s">
        <v>2866</v>
      </c>
      <c r="CA301" t="s">
        <v>2865</v>
      </c>
      <c r="CB301" t="s">
        <v>2863</v>
      </c>
      <c r="CC301" t="s">
        <v>2864</v>
      </c>
      <c r="CD301" t="s">
        <v>2863</v>
      </c>
      <c r="CE301" t="s">
        <v>2861</v>
      </c>
      <c r="CF301" t="s">
        <v>2862</v>
      </c>
      <c r="CG301" t="s">
        <v>2861</v>
      </c>
      <c r="CH301"/>
      <c r="CI301"/>
      <c r="CJ301"/>
      <c r="CK301"/>
      <c r="CL301"/>
      <c r="CM301"/>
      <c r="CN301"/>
      <c r="CO301"/>
      <c r="CP301"/>
      <c r="CQ301"/>
      <c r="CR301"/>
      <c r="CS301"/>
      <c r="CT301"/>
      <c r="CU301"/>
      <c r="CV301"/>
      <c r="CW301"/>
      <c r="CX301" t="s">
        <v>2454</v>
      </c>
      <c r="CY301">
        <v>64</v>
      </c>
      <c r="CZ301" t="s">
        <v>2453</v>
      </c>
    </row>
    <row r="302" spans="1:104" ht="14.25">
      <c r="A302" t="s">
        <v>2860</v>
      </c>
      <c r="B302" t="s">
        <v>2860</v>
      </c>
      <c r="C302" t="s">
        <v>2859</v>
      </c>
      <c r="D302">
        <v>0</v>
      </c>
      <c r="E302" t="s">
        <v>2680</v>
      </c>
      <c r="F302" t="s">
        <v>2467</v>
      </c>
      <c r="G302" t="s">
        <v>2690</v>
      </c>
      <c r="H302"/>
      <c r="I302"/>
      <c r="J302" t="s">
        <v>2013</v>
      </c>
      <c r="K302"/>
      <c r="L302"/>
      <c r="M302">
        <v>10</v>
      </c>
      <c r="N302">
        <v>5</v>
      </c>
      <c r="O302">
        <v>1</v>
      </c>
      <c r="P302">
        <v>8</v>
      </c>
      <c r="Q302">
        <v>1</v>
      </c>
      <c r="R302" t="s">
        <v>2464</v>
      </c>
      <c r="S302" t="s">
        <v>2858</v>
      </c>
      <c r="T302" t="s">
        <v>2462</v>
      </c>
      <c r="U302" t="s">
        <v>2462</v>
      </c>
      <c r="V302">
        <v>10</v>
      </c>
      <c r="W302"/>
      <c r="X302"/>
      <c r="Y302">
        <v>50</v>
      </c>
      <c r="Z302"/>
      <c r="AA302">
        <v>7</v>
      </c>
      <c r="AB302">
        <v>10</v>
      </c>
      <c r="AC302">
        <v>13</v>
      </c>
      <c r="AD302">
        <v>2</v>
      </c>
      <c r="AE302">
        <v>12</v>
      </c>
      <c r="AF302">
        <v>4</v>
      </c>
      <c r="AG302">
        <v>339</v>
      </c>
      <c r="AH302"/>
      <c r="AI302"/>
      <c r="AJ302"/>
      <c r="AK302"/>
      <c r="AL302"/>
      <c r="AM302"/>
      <c r="AN302">
        <v>48</v>
      </c>
      <c r="AO302">
        <v>387</v>
      </c>
      <c r="AP302"/>
      <c r="AQ302"/>
      <c r="AR302"/>
      <c r="AS302"/>
      <c r="AT302"/>
      <c r="AU302"/>
      <c r="AV302"/>
      <c r="AW302"/>
      <c r="AX302"/>
      <c r="AY302" t="s">
        <v>2856</v>
      </c>
      <c r="AZ302" t="s">
        <v>2857</v>
      </c>
      <c r="BA302" t="s">
        <v>2856</v>
      </c>
      <c r="BB302" t="s">
        <v>2599</v>
      </c>
      <c r="BC302" t="s">
        <v>2855</v>
      </c>
      <c r="BD302" t="s">
        <v>2599</v>
      </c>
      <c r="BE302"/>
      <c r="BF302"/>
      <c r="BG302"/>
      <c r="BH302"/>
      <c r="BI302"/>
      <c r="BJ302"/>
      <c r="BK302"/>
      <c r="BL302"/>
      <c r="BM302"/>
      <c r="BN302"/>
      <c r="BO302"/>
      <c r="BP302" t="s">
        <v>2854</v>
      </c>
      <c r="BQ302" t="s">
        <v>2853</v>
      </c>
      <c r="BR302" t="s">
        <v>2852</v>
      </c>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t="s">
        <v>2454</v>
      </c>
      <c r="CY302">
        <v>339</v>
      </c>
      <c r="CZ302" t="s">
        <v>2453</v>
      </c>
    </row>
    <row r="303" spans="1:104" ht="14.25">
      <c r="A303" t="s">
        <v>2851</v>
      </c>
      <c r="B303" t="s">
        <v>2851</v>
      </c>
      <c r="C303" t="s">
        <v>2850</v>
      </c>
      <c r="D303">
        <v>0.5</v>
      </c>
      <c r="E303" t="s">
        <v>2680</v>
      </c>
      <c r="F303" t="s">
        <v>2489</v>
      </c>
      <c r="G303" t="s">
        <v>2690</v>
      </c>
      <c r="H303"/>
      <c r="I303"/>
      <c r="J303" t="s">
        <v>2013</v>
      </c>
      <c r="K303"/>
      <c r="L303"/>
      <c r="M303">
        <v>11</v>
      </c>
      <c r="N303">
        <v>19</v>
      </c>
      <c r="O303">
        <v>3</v>
      </c>
      <c r="P303">
        <v>10</v>
      </c>
      <c r="Q303">
        <v>3</v>
      </c>
      <c r="R303" t="s">
        <v>2464</v>
      </c>
      <c r="S303" t="s">
        <v>2586</v>
      </c>
      <c r="T303" t="s">
        <v>2462</v>
      </c>
      <c r="U303" t="s">
        <v>2462</v>
      </c>
      <c r="V303">
        <v>60</v>
      </c>
      <c r="W303"/>
      <c r="X303"/>
      <c r="Y303"/>
      <c r="Z303"/>
      <c r="AA303">
        <v>18</v>
      </c>
      <c r="AB303">
        <v>12</v>
      </c>
      <c r="AC303">
        <v>13</v>
      </c>
      <c r="AD303">
        <v>2</v>
      </c>
      <c r="AE303">
        <v>12</v>
      </c>
      <c r="AF303">
        <v>7</v>
      </c>
      <c r="AG303">
        <v>340</v>
      </c>
      <c r="AH303">
        <v>311</v>
      </c>
      <c r="AI303"/>
      <c r="AJ303"/>
      <c r="AK303"/>
      <c r="AL303"/>
      <c r="AM303"/>
      <c r="AN303">
        <v>48</v>
      </c>
      <c r="AO303">
        <v>387</v>
      </c>
      <c r="AP303"/>
      <c r="AQ303">
        <v>25</v>
      </c>
      <c r="AR303"/>
      <c r="AS303"/>
      <c r="AT303"/>
      <c r="AU303"/>
      <c r="AV303"/>
      <c r="AW303"/>
      <c r="AX303"/>
      <c r="AY303" t="s">
        <v>2848</v>
      </c>
      <c r="AZ303" t="s">
        <v>2849</v>
      </c>
      <c r="BA303" t="s">
        <v>2848</v>
      </c>
      <c r="BB303"/>
      <c r="BC303"/>
      <c r="BD303"/>
      <c r="BE303"/>
      <c r="BF303"/>
      <c r="BG303"/>
      <c r="BH303"/>
      <c r="BI303"/>
      <c r="BJ303"/>
      <c r="BK303"/>
      <c r="BL303"/>
      <c r="BM303"/>
      <c r="BN303"/>
      <c r="BO303"/>
      <c r="BP303" t="s">
        <v>2844</v>
      </c>
      <c r="BQ303" t="s">
        <v>2843</v>
      </c>
      <c r="BR303" t="s">
        <v>2842</v>
      </c>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t="s">
        <v>2454</v>
      </c>
      <c r="CY303">
        <v>340</v>
      </c>
      <c r="CZ303" t="s">
        <v>2453</v>
      </c>
    </row>
    <row r="304" spans="1:104" ht="14.25">
      <c r="A304" t="s">
        <v>2847</v>
      </c>
      <c r="B304" t="s">
        <v>2846</v>
      </c>
      <c r="C304" t="s">
        <v>2845</v>
      </c>
      <c r="D304">
        <v>0.5</v>
      </c>
      <c r="E304" t="s">
        <v>2468</v>
      </c>
      <c r="F304" t="s">
        <v>2489</v>
      </c>
      <c r="G304" t="s">
        <v>2466</v>
      </c>
      <c r="H304"/>
      <c r="I304"/>
      <c r="J304" t="s">
        <v>2522</v>
      </c>
      <c r="K304"/>
      <c r="L304"/>
      <c r="M304">
        <v>13</v>
      </c>
      <c r="N304">
        <v>22</v>
      </c>
      <c r="O304">
        <v>3</v>
      </c>
      <c r="P304">
        <v>10</v>
      </c>
      <c r="Q304">
        <v>6</v>
      </c>
      <c r="R304" t="s">
        <v>2464</v>
      </c>
      <c r="S304" t="s">
        <v>2586</v>
      </c>
      <c r="T304" t="s">
        <v>2462</v>
      </c>
      <c r="U304" t="s">
        <v>2462</v>
      </c>
      <c r="V304">
        <v>60</v>
      </c>
      <c r="W304"/>
      <c r="X304"/>
      <c r="Y304"/>
      <c r="Z304"/>
      <c r="AA304">
        <v>18</v>
      </c>
      <c r="AB304">
        <v>12</v>
      </c>
      <c r="AC304">
        <v>15</v>
      </c>
      <c r="AD304">
        <v>2</v>
      </c>
      <c r="AE304">
        <v>8</v>
      </c>
      <c r="AF304">
        <v>5</v>
      </c>
      <c r="AG304">
        <v>273</v>
      </c>
      <c r="AH304"/>
      <c r="AI304"/>
      <c r="AJ304"/>
      <c r="AK304"/>
      <c r="AL304"/>
      <c r="AM304"/>
      <c r="AN304"/>
      <c r="AO304">
        <v>349</v>
      </c>
      <c r="AP304"/>
      <c r="AQ304"/>
      <c r="AR304"/>
      <c r="AS304"/>
      <c r="AT304"/>
      <c r="AU304"/>
      <c r="AV304"/>
      <c r="AW304"/>
      <c r="AX304"/>
      <c r="AY304"/>
      <c r="AZ304"/>
      <c r="BA304"/>
      <c r="BB304"/>
      <c r="BC304"/>
      <c r="BD304"/>
      <c r="BE304"/>
      <c r="BF304"/>
      <c r="BG304"/>
      <c r="BH304"/>
      <c r="BI304"/>
      <c r="BJ304"/>
      <c r="BK304"/>
      <c r="BL304"/>
      <c r="BM304"/>
      <c r="BN304"/>
      <c r="BO304"/>
      <c r="BP304" t="s">
        <v>2844</v>
      </c>
      <c r="BQ304" t="s">
        <v>2843</v>
      </c>
      <c r="BR304" t="s">
        <v>2842</v>
      </c>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t="s">
        <v>2454</v>
      </c>
      <c r="CY304">
        <v>273</v>
      </c>
      <c r="CZ304" t="s">
        <v>2453</v>
      </c>
    </row>
    <row r="305" spans="1:104" ht="14.25">
      <c r="A305" t="s">
        <v>2841</v>
      </c>
      <c r="B305" t="s">
        <v>2840</v>
      </c>
      <c r="C305" t="s">
        <v>2839</v>
      </c>
      <c r="D305">
        <v>5</v>
      </c>
      <c r="E305" t="s">
        <v>2468</v>
      </c>
      <c r="F305" t="s">
        <v>2489</v>
      </c>
      <c r="G305" t="s">
        <v>2626</v>
      </c>
      <c r="H305"/>
      <c r="I305"/>
      <c r="J305" t="s">
        <v>1997</v>
      </c>
      <c r="K305"/>
      <c r="L305"/>
      <c r="M305">
        <v>14</v>
      </c>
      <c r="N305">
        <v>114</v>
      </c>
      <c r="O305">
        <v>12</v>
      </c>
      <c r="P305">
        <v>10</v>
      </c>
      <c r="Q305">
        <v>48</v>
      </c>
      <c r="R305" t="s">
        <v>2464</v>
      </c>
      <c r="S305" t="s">
        <v>2657</v>
      </c>
      <c r="T305" t="s">
        <v>2462</v>
      </c>
      <c r="U305" t="s">
        <v>2462</v>
      </c>
      <c r="V305">
        <v>30</v>
      </c>
      <c r="W305"/>
      <c r="X305"/>
      <c r="Y305"/>
      <c r="Z305">
        <v>90</v>
      </c>
      <c r="AA305">
        <v>18</v>
      </c>
      <c r="AB305">
        <v>14</v>
      </c>
      <c r="AC305">
        <v>18</v>
      </c>
      <c r="AD305">
        <v>5</v>
      </c>
      <c r="AE305">
        <v>10</v>
      </c>
      <c r="AF305">
        <v>8</v>
      </c>
      <c r="AG305">
        <v>125</v>
      </c>
      <c r="AH305"/>
      <c r="AI305"/>
      <c r="AJ305"/>
      <c r="AK305"/>
      <c r="AL305"/>
      <c r="AM305"/>
      <c r="AN305">
        <v>49</v>
      </c>
      <c r="AO305">
        <v>310</v>
      </c>
      <c r="AP305"/>
      <c r="AQ305">
        <v>25</v>
      </c>
      <c r="AR305"/>
      <c r="AS305"/>
      <c r="AT305"/>
      <c r="AU305"/>
      <c r="AV305" t="s">
        <v>2838</v>
      </c>
      <c r="AW305"/>
      <c r="AX305"/>
      <c r="AY305" t="s">
        <v>2836</v>
      </c>
      <c r="AZ305" t="s">
        <v>2837</v>
      </c>
      <c r="BA305" t="s">
        <v>2836</v>
      </c>
      <c r="BB305" t="s">
        <v>2834</v>
      </c>
      <c r="BC305" t="s">
        <v>2835</v>
      </c>
      <c r="BD305" t="s">
        <v>2834</v>
      </c>
      <c r="BE305"/>
      <c r="BF305"/>
      <c r="BG305"/>
      <c r="BH305"/>
      <c r="BI305"/>
      <c r="BJ305"/>
      <c r="BK305"/>
      <c r="BL305"/>
      <c r="BM305"/>
      <c r="BN305"/>
      <c r="BO305"/>
      <c r="BP305" t="s">
        <v>2480</v>
      </c>
      <c r="BQ305" t="s">
        <v>2833</v>
      </c>
      <c r="BR305" t="s">
        <v>2480</v>
      </c>
      <c r="BS305" t="s">
        <v>2457</v>
      </c>
      <c r="BT305" t="s">
        <v>2832</v>
      </c>
      <c r="BU305" t="s">
        <v>2831</v>
      </c>
      <c r="BV305" t="s">
        <v>2829</v>
      </c>
      <c r="BW305" t="s">
        <v>2830</v>
      </c>
      <c r="BX305" t="s">
        <v>2829</v>
      </c>
      <c r="BY305"/>
      <c r="BZ305"/>
      <c r="CA305"/>
      <c r="CB305"/>
      <c r="CC305"/>
      <c r="CD305"/>
      <c r="CE305"/>
      <c r="CF305"/>
      <c r="CG305"/>
      <c r="CH305"/>
      <c r="CI305"/>
      <c r="CJ305"/>
      <c r="CK305"/>
      <c r="CL305"/>
      <c r="CM305"/>
      <c r="CN305"/>
      <c r="CO305"/>
      <c r="CP305"/>
      <c r="CQ305"/>
      <c r="CR305"/>
      <c r="CS305"/>
      <c r="CT305"/>
      <c r="CU305"/>
      <c r="CV305"/>
      <c r="CW305"/>
      <c r="CX305" t="s">
        <v>2454</v>
      </c>
      <c r="CY305">
        <v>125</v>
      </c>
      <c r="CZ305" t="s">
        <v>2453</v>
      </c>
    </row>
    <row r="306" spans="1:104" ht="14.25">
      <c r="A306" t="s">
        <v>2828</v>
      </c>
      <c r="B306" t="s">
        <v>2828</v>
      </c>
      <c r="C306" t="s">
        <v>2827</v>
      </c>
      <c r="D306">
        <v>0</v>
      </c>
      <c r="E306" t="s">
        <v>2680</v>
      </c>
      <c r="F306" t="s">
        <v>2719</v>
      </c>
      <c r="G306" t="s">
        <v>2690</v>
      </c>
      <c r="H306"/>
      <c r="I306"/>
      <c r="J306" t="s">
        <v>2013</v>
      </c>
      <c r="K306"/>
      <c r="L306"/>
      <c r="M306">
        <v>13</v>
      </c>
      <c r="N306">
        <v>1</v>
      </c>
      <c r="O306">
        <v>1</v>
      </c>
      <c r="P306">
        <v>4</v>
      </c>
      <c r="Q306">
        <v>-1</v>
      </c>
      <c r="R306" t="s">
        <v>2464</v>
      </c>
      <c r="S306" t="s">
        <v>2826</v>
      </c>
      <c r="T306" t="s">
        <v>2462</v>
      </c>
      <c r="U306" t="s">
        <v>2462</v>
      </c>
      <c r="V306">
        <v>30</v>
      </c>
      <c r="W306"/>
      <c r="X306"/>
      <c r="Y306"/>
      <c r="Z306"/>
      <c r="AA306">
        <v>3</v>
      </c>
      <c r="AB306">
        <v>16</v>
      </c>
      <c r="AC306">
        <v>8</v>
      </c>
      <c r="AD306">
        <v>2</v>
      </c>
      <c r="AE306">
        <v>12</v>
      </c>
      <c r="AF306">
        <v>3</v>
      </c>
      <c r="AG306">
        <v>340</v>
      </c>
      <c r="AH306"/>
      <c r="AI306"/>
      <c r="AJ306"/>
      <c r="AK306"/>
      <c r="AL306"/>
      <c r="AM306"/>
      <c r="AN306">
        <v>49</v>
      </c>
      <c r="AO306">
        <v>387</v>
      </c>
      <c r="AP306"/>
      <c r="AQ306"/>
      <c r="AR306"/>
      <c r="AS306"/>
      <c r="AT306"/>
      <c r="AU306"/>
      <c r="AV306"/>
      <c r="AW306"/>
      <c r="AX306"/>
      <c r="AY306" t="s">
        <v>2675</v>
      </c>
      <c r="AZ306" t="s">
        <v>2825</v>
      </c>
      <c r="BA306" t="s">
        <v>2675</v>
      </c>
      <c r="BB306"/>
      <c r="BC306"/>
      <c r="BD306"/>
      <c r="BE306"/>
      <c r="BF306"/>
      <c r="BG306"/>
      <c r="BH306"/>
      <c r="BI306"/>
      <c r="BJ306"/>
      <c r="BK306"/>
      <c r="BL306"/>
      <c r="BM306"/>
      <c r="BN306"/>
      <c r="BO306"/>
      <c r="BP306" t="s">
        <v>2479</v>
      </c>
      <c r="BQ306" t="s">
        <v>2824</v>
      </c>
      <c r="BR306" t="s">
        <v>2823</v>
      </c>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t="s">
        <v>2454</v>
      </c>
      <c r="CY306">
        <v>340</v>
      </c>
      <c r="CZ306" t="s">
        <v>2453</v>
      </c>
    </row>
    <row r="307" spans="1:104" ht="14.25">
      <c r="A307" t="s">
        <v>2822</v>
      </c>
      <c r="B307" t="s">
        <v>2822</v>
      </c>
      <c r="C307" t="s">
        <v>2821</v>
      </c>
      <c r="D307">
        <v>5</v>
      </c>
      <c r="E307" t="s">
        <v>2468</v>
      </c>
      <c r="F307" t="s">
        <v>2467</v>
      </c>
      <c r="G307" t="s">
        <v>2608</v>
      </c>
      <c r="H307" t="s">
        <v>2759</v>
      </c>
      <c r="I307">
        <v>1</v>
      </c>
      <c r="J307" t="s">
        <v>2642</v>
      </c>
      <c r="K307"/>
      <c r="L307"/>
      <c r="M307">
        <v>11</v>
      </c>
      <c r="N307">
        <v>135</v>
      </c>
      <c r="O307">
        <v>18</v>
      </c>
      <c r="P307">
        <v>8</v>
      </c>
      <c r="Q307">
        <v>54</v>
      </c>
      <c r="R307" t="s">
        <v>2464</v>
      </c>
      <c r="S307" t="s">
        <v>2486</v>
      </c>
      <c r="T307" t="s">
        <v>2462</v>
      </c>
      <c r="U307" t="s">
        <v>2462</v>
      </c>
      <c r="V307">
        <v>40</v>
      </c>
      <c r="W307"/>
      <c r="X307">
        <v>30</v>
      </c>
      <c r="Y307"/>
      <c r="Z307"/>
      <c r="AA307">
        <v>19</v>
      </c>
      <c r="AB307">
        <v>10</v>
      </c>
      <c r="AC307">
        <v>17</v>
      </c>
      <c r="AD307">
        <v>11</v>
      </c>
      <c r="AE307">
        <v>12</v>
      </c>
      <c r="AF307">
        <v>12</v>
      </c>
      <c r="AG307">
        <v>208</v>
      </c>
      <c r="AH307"/>
      <c r="AI307"/>
      <c r="AJ307"/>
      <c r="AK307"/>
      <c r="AL307"/>
      <c r="AM307"/>
      <c r="AN307"/>
      <c r="AO307">
        <v>329</v>
      </c>
      <c r="AP307"/>
      <c r="AQ307"/>
      <c r="AR307"/>
      <c r="AS307"/>
      <c r="AT307"/>
      <c r="AU307"/>
      <c r="AV307"/>
      <c r="AW307"/>
      <c r="AX307"/>
      <c r="AY307" t="s">
        <v>2755</v>
      </c>
      <c r="AZ307" t="s">
        <v>2820</v>
      </c>
      <c r="BA307" t="s">
        <v>2755</v>
      </c>
      <c r="BB307" t="s">
        <v>2581</v>
      </c>
      <c r="BC307" t="s">
        <v>2819</v>
      </c>
      <c r="BD307" t="s">
        <v>2581</v>
      </c>
      <c r="BE307"/>
      <c r="BF307"/>
      <c r="BG307"/>
      <c r="BH307"/>
      <c r="BI307"/>
      <c r="BJ307"/>
      <c r="BK307"/>
      <c r="BL307"/>
      <c r="BM307"/>
      <c r="BN307"/>
      <c r="BO307"/>
      <c r="BP307" t="s">
        <v>2480</v>
      </c>
      <c r="BQ307" t="s">
        <v>2818</v>
      </c>
      <c r="BR307" t="s">
        <v>2480</v>
      </c>
      <c r="BS307" t="s">
        <v>2817</v>
      </c>
      <c r="BT307" t="s">
        <v>2816</v>
      </c>
      <c r="BU307" t="s">
        <v>2533</v>
      </c>
      <c r="BV307" t="s">
        <v>2815</v>
      </c>
      <c r="BW307" t="s">
        <v>2651</v>
      </c>
      <c r="BX307" t="s">
        <v>2814</v>
      </c>
      <c r="BY307" t="s">
        <v>2813</v>
      </c>
      <c r="BZ307" t="s">
        <v>2812</v>
      </c>
      <c r="CA307" t="s">
        <v>2811</v>
      </c>
      <c r="CB307"/>
      <c r="CC307"/>
      <c r="CD307"/>
      <c r="CE307"/>
      <c r="CF307"/>
      <c r="CG307"/>
      <c r="CH307"/>
      <c r="CI307"/>
      <c r="CJ307"/>
      <c r="CK307"/>
      <c r="CL307"/>
      <c r="CM307"/>
      <c r="CN307"/>
      <c r="CO307"/>
      <c r="CP307"/>
      <c r="CQ307"/>
      <c r="CR307"/>
      <c r="CS307"/>
      <c r="CT307"/>
      <c r="CU307"/>
      <c r="CV307"/>
      <c r="CW307"/>
      <c r="CX307" t="s">
        <v>2454</v>
      </c>
      <c r="CY307">
        <v>208</v>
      </c>
      <c r="CZ307" t="s">
        <v>2453</v>
      </c>
    </row>
    <row r="308" spans="1:104" ht="14.25">
      <c r="A308" t="s">
        <v>2810</v>
      </c>
      <c r="B308" t="s">
        <v>2810</v>
      </c>
      <c r="C308" t="s">
        <v>2809</v>
      </c>
      <c r="D308">
        <v>4</v>
      </c>
      <c r="E308" t="s">
        <v>2468</v>
      </c>
      <c r="F308" t="s">
        <v>2467</v>
      </c>
      <c r="G308" t="s">
        <v>2608</v>
      </c>
      <c r="H308" t="s">
        <v>2759</v>
      </c>
      <c r="I308">
        <v>1</v>
      </c>
      <c r="J308" t="s">
        <v>2465</v>
      </c>
      <c r="K308"/>
      <c r="L308"/>
      <c r="M308">
        <v>11</v>
      </c>
      <c r="N308">
        <v>78</v>
      </c>
      <c r="O308">
        <v>12</v>
      </c>
      <c r="P308">
        <v>8</v>
      </c>
      <c r="Q308">
        <v>24</v>
      </c>
      <c r="R308" t="s">
        <v>2464</v>
      </c>
      <c r="S308" t="s">
        <v>2679</v>
      </c>
      <c r="T308" t="s">
        <v>2679</v>
      </c>
      <c r="U308" t="s">
        <v>2462</v>
      </c>
      <c r="V308">
        <v>30</v>
      </c>
      <c r="W308"/>
      <c r="X308"/>
      <c r="Y308"/>
      <c r="Z308"/>
      <c r="AA308">
        <v>17</v>
      </c>
      <c r="AB308">
        <v>10</v>
      </c>
      <c r="AC308">
        <v>15</v>
      </c>
      <c r="AD308">
        <v>10</v>
      </c>
      <c r="AE308">
        <v>11</v>
      </c>
      <c r="AF308">
        <v>8</v>
      </c>
      <c r="AG308">
        <v>209</v>
      </c>
      <c r="AH308"/>
      <c r="AI308"/>
      <c r="AJ308"/>
      <c r="AK308"/>
      <c r="AL308"/>
      <c r="AM308"/>
      <c r="AN308"/>
      <c r="AO308">
        <v>330</v>
      </c>
      <c r="AP308"/>
      <c r="AQ308"/>
      <c r="AR308"/>
      <c r="AS308"/>
      <c r="AT308">
        <v>37</v>
      </c>
      <c r="AU308"/>
      <c r="AV308"/>
      <c r="AW308"/>
      <c r="AX308"/>
      <c r="AY308" t="s">
        <v>2755</v>
      </c>
      <c r="AZ308" t="s">
        <v>2808</v>
      </c>
      <c r="BA308" t="s">
        <v>2755</v>
      </c>
      <c r="BB308" t="s">
        <v>2807</v>
      </c>
      <c r="BC308" t="s">
        <v>2806</v>
      </c>
      <c r="BD308" t="s">
        <v>2805</v>
      </c>
      <c r="BE308" t="s">
        <v>2803</v>
      </c>
      <c r="BF308" t="s">
        <v>2804</v>
      </c>
      <c r="BG308" t="s">
        <v>2803</v>
      </c>
      <c r="BH308"/>
      <c r="BI308"/>
      <c r="BJ308"/>
      <c r="BK308"/>
      <c r="BL308"/>
      <c r="BM308"/>
      <c r="BN308"/>
      <c r="BO308"/>
      <c r="BP308" t="s">
        <v>2752</v>
      </c>
      <c r="BQ308" t="s">
        <v>2802</v>
      </c>
      <c r="BR308" t="s">
        <v>2752</v>
      </c>
      <c r="BS308" t="s">
        <v>2801</v>
      </c>
      <c r="BT308" t="s">
        <v>2800</v>
      </c>
      <c r="BU308" t="s">
        <v>2799</v>
      </c>
      <c r="BV308" t="s">
        <v>2798</v>
      </c>
      <c r="BW308" t="s">
        <v>2797</v>
      </c>
      <c r="BX308" t="s">
        <v>2796</v>
      </c>
      <c r="BY308"/>
      <c r="BZ308"/>
      <c r="CA308"/>
      <c r="CB308"/>
      <c r="CC308"/>
      <c r="CD308"/>
      <c r="CE308"/>
      <c r="CF308"/>
      <c r="CG308"/>
      <c r="CH308"/>
      <c r="CI308"/>
      <c r="CJ308"/>
      <c r="CK308"/>
      <c r="CL308"/>
      <c r="CM308"/>
      <c r="CN308"/>
      <c r="CO308"/>
      <c r="CP308"/>
      <c r="CQ308"/>
      <c r="CR308"/>
      <c r="CS308"/>
      <c r="CT308"/>
      <c r="CU308"/>
      <c r="CV308"/>
      <c r="CW308"/>
      <c r="CX308" t="s">
        <v>2454</v>
      </c>
      <c r="CY308">
        <v>209</v>
      </c>
      <c r="CZ308" t="s">
        <v>2453</v>
      </c>
    </row>
    <row r="309" spans="1:104" ht="14.25">
      <c r="A309" t="s">
        <v>2795</v>
      </c>
      <c r="B309" t="s">
        <v>2795</v>
      </c>
      <c r="C309" t="s">
        <v>2794</v>
      </c>
      <c r="D309">
        <v>2</v>
      </c>
      <c r="E309" t="s">
        <v>2468</v>
      </c>
      <c r="F309" t="s">
        <v>2467</v>
      </c>
      <c r="G309" t="s">
        <v>2608</v>
      </c>
      <c r="H309" t="s">
        <v>2759</v>
      </c>
      <c r="I309">
        <v>1</v>
      </c>
      <c r="J309" t="s">
        <v>2522</v>
      </c>
      <c r="K309"/>
      <c r="L309"/>
      <c r="M309">
        <v>12</v>
      </c>
      <c r="N309">
        <v>33</v>
      </c>
      <c r="O309">
        <v>6</v>
      </c>
      <c r="P309">
        <v>8</v>
      </c>
      <c r="Q309">
        <v>6</v>
      </c>
      <c r="R309" t="s">
        <v>2464</v>
      </c>
      <c r="S309" t="s">
        <v>2793</v>
      </c>
      <c r="T309" t="s">
        <v>2605</v>
      </c>
      <c r="U309" t="s">
        <v>2462</v>
      </c>
      <c r="V309">
        <v>30</v>
      </c>
      <c r="W309"/>
      <c r="X309"/>
      <c r="Y309"/>
      <c r="Z309"/>
      <c r="AA309">
        <v>10</v>
      </c>
      <c r="AB309">
        <v>15</v>
      </c>
      <c r="AC309">
        <v>12</v>
      </c>
      <c r="AD309">
        <v>11</v>
      </c>
      <c r="AE309">
        <v>10</v>
      </c>
      <c r="AF309">
        <v>8</v>
      </c>
      <c r="AG309">
        <v>209</v>
      </c>
      <c r="AH309"/>
      <c r="AI309"/>
      <c r="AJ309"/>
      <c r="AK309"/>
      <c r="AL309"/>
      <c r="AM309"/>
      <c r="AN309"/>
      <c r="AO309">
        <v>330</v>
      </c>
      <c r="AP309"/>
      <c r="AQ309"/>
      <c r="AR309"/>
      <c r="AS309"/>
      <c r="AT309"/>
      <c r="AU309"/>
      <c r="AV309"/>
      <c r="AW309"/>
      <c r="AX309"/>
      <c r="AY309" t="s">
        <v>2755</v>
      </c>
      <c r="AZ309" t="s">
        <v>2792</v>
      </c>
      <c r="BA309" t="s">
        <v>2755</v>
      </c>
      <c r="BB309" t="s">
        <v>2581</v>
      </c>
      <c r="BC309" t="s">
        <v>2791</v>
      </c>
      <c r="BD309" t="s">
        <v>2581</v>
      </c>
      <c r="BE309"/>
      <c r="BF309"/>
      <c r="BG309"/>
      <c r="BH309"/>
      <c r="BI309"/>
      <c r="BJ309"/>
      <c r="BK309"/>
      <c r="BL309"/>
      <c r="BM309"/>
      <c r="BN309"/>
      <c r="BO309"/>
      <c r="BP309" t="s">
        <v>2752</v>
      </c>
      <c r="BQ309" t="s">
        <v>2790</v>
      </c>
      <c r="BR309" t="s">
        <v>2752</v>
      </c>
      <c r="BS309" t="s">
        <v>2789</v>
      </c>
      <c r="BT309" t="s">
        <v>2788</v>
      </c>
      <c r="BU309" t="s">
        <v>2787</v>
      </c>
      <c r="BV309" t="s">
        <v>2786</v>
      </c>
      <c r="BW309" t="s">
        <v>2785</v>
      </c>
      <c r="BX309" t="s">
        <v>2784</v>
      </c>
      <c r="BY309" t="s">
        <v>2783</v>
      </c>
      <c r="BZ309" t="s">
        <v>2782</v>
      </c>
      <c r="CA309" t="s">
        <v>2781</v>
      </c>
      <c r="CB309"/>
      <c r="CC309"/>
      <c r="CD309"/>
      <c r="CE309"/>
      <c r="CF309"/>
      <c r="CG309"/>
      <c r="CH309"/>
      <c r="CI309"/>
      <c r="CJ309"/>
      <c r="CK309"/>
      <c r="CL309"/>
      <c r="CM309"/>
      <c r="CN309"/>
      <c r="CO309"/>
      <c r="CP309"/>
      <c r="CQ309"/>
      <c r="CR309"/>
      <c r="CS309"/>
      <c r="CT309"/>
      <c r="CU309"/>
      <c r="CV309"/>
      <c r="CW309"/>
      <c r="CX309" t="s">
        <v>2454</v>
      </c>
      <c r="CY309">
        <v>209</v>
      </c>
      <c r="CZ309" t="s">
        <v>2453</v>
      </c>
    </row>
    <row r="310" spans="1:104" ht="14.25">
      <c r="A310" t="s">
        <v>2780</v>
      </c>
      <c r="B310" t="s">
        <v>2780</v>
      </c>
      <c r="C310" t="s">
        <v>2779</v>
      </c>
      <c r="D310">
        <v>4</v>
      </c>
      <c r="E310" t="s">
        <v>2468</v>
      </c>
      <c r="F310" t="s">
        <v>2467</v>
      </c>
      <c r="G310" t="s">
        <v>2608</v>
      </c>
      <c r="H310" t="s">
        <v>2759</v>
      </c>
      <c r="I310">
        <v>1</v>
      </c>
      <c r="J310" t="s">
        <v>1997</v>
      </c>
      <c r="K310"/>
      <c r="L310"/>
      <c r="M310">
        <v>12</v>
      </c>
      <c r="N310">
        <v>120</v>
      </c>
      <c r="O310">
        <v>16</v>
      </c>
      <c r="P310">
        <v>8</v>
      </c>
      <c r="Q310">
        <v>48</v>
      </c>
      <c r="R310" t="s">
        <v>2464</v>
      </c>
      <c r="S310" t="s">
        <v>2778</v>
      </c>
      <c r="T310" t="s">
        <v>2777</v>
      </c>
      <c r="U310" t="s">
        <v>2462</v>
      </c>
      <c r="V310">
        <v>30</v>
      </c>
      <c r="W310"/>
      <c r="X310"/>
      <c r="Y310"/>
      <c r="Z310"/>
      <c r="AA310">
        <v>17</v>
      </c>
      <c r="AB310">
        <v>15</v>
      </c>
      <c r="AC310">
        <v>16</v>
      </c>
      <c r="AD310">
        <v>10</v>
      </c>
      <c r="AE310">
        <v>13</v>
      </c>
      <c r="AF310">
        <v>11</v>
      </c>
      <c r="AG310">
        <v>210</v>
      </c>
      <c r="AH310"/>
      <c r="AI310"/>
      <c r="AJ310"/>
      <c r="AK310"/>
      <c r="AL310"/>
      <c r="AM310"/>
      <c r="AN310"/>
      <c r="AO310">
        <v>331</v>
      </c>
      <c r="AP310"/>
      <c r="AQ310"/>
      <c r="AR310"/>
      <c r="AS310"/>
      <c r="AT310"/>
      <c r="AU310"/>
      <c r="AV310"/>
      <c r="AW310"/>
      <c r="AX310"/>
      <c r="AY310" t="s">
        <v>2755</v>
      </c>
      <c r="AZ310" t="s">
        <v>2776</v>
      </c>
      <c r="BA310" t="s">
        <v>2755</v>
      </c>
      <c r="BB310" t="s">
        <v>2675</v>
      </c>
      <c r="BC310" t="s">
        <v>2775</v>
      </c>
      <c r="BD310" t="s">
        <v>2675</v>
      </c>
      <c r="BE310" t="s">
        <v>2773</v>
      </c>
      <c r="BF310" t="s">
        <v>2774</v>
      </c>
      <c r="BG310" t="s">
        <v>2773</v>
      </c>
      <c r="BH310"/>
      <c r="BI310"/>
      <c r="BJ310"/>
      <c r="BK310"/>
      <c r="BL310"/>
      <c r="BM310"/>
      <c r="BN310"/>
      <c r="BO310"/>
      <c r="BP310" t="s">
        <v>2752</v>
      </c>
      <c r="BQ310" t="s">
        <v>2772</v>
      </c>
      <c r="BR310" t="s">
        <v>2752</v>
      </c>
      <c r="BS310" t="s">
        <v>2771</v>
      </c>
      <c r="BT310" t="s">
        <v>2770</v>
      </c>
      <c r="BU310" t="s">
        <v>2769</v>
      </c>
      <c r="BV310" t="s">
        <v>2768</v>
      </c>
      <c r="BW310" t="s">
        <v>2767</v>
      </c>
      <c r="BX310" t="s">
        <v>2766</v>
      </c>
      <c r="BY310" t="s">
        <v>2765</v>
      </c>
      <c r="BZ310" t="s">
        <v>2764</v>
      </c>
      <c r="CA310" t="s">
        <v>2763</v>
      </c>
      <c r="CB310" t="s">
        <v>2762</v>
      </c>
      <c r="CC310" t="s">
        <v>2723</v>
      </c>
      <c r="CD310" t="s">
        <v>2722</v>
      </c>
      <c r="CE310"/>
      <c r="CF310"/>
      <c r="CG310"/>
      <c r="CH310"/>
      <c r="CI310"/>
      <c r="CJ310"/>
      <c r="CK310"/>
      <c r="CL310"/>
      <c r="CM310"/>
      <c r="CN310"/>
      <c r="CO310"/>
      <c r="CP310"/>
      <c r="CQ310"/>
      <c r="CR310"/>
      <c r="CS310"/>
      <c r="CT310"/>
      <c r="CU310"/>
      <c r="CV310"/>
      <c r="CW310"/>
      <c r="CX310" t="s">
        <v>2454</v>
      </c>
      <c r="CY310">
        <v>210</v>
      </c>
      <c r="CZ310" t="s">
        <v>2453</v>
      </c>
    </row>
    <row r="311" spans="1:104" ht="14.25">
      <c r="A311" t="s">
        <v>2761</v>
      </c>
      <c r="B311" t="s">
        <v>2761</v>
      </c>
      <c r="C311" t="s">
        <v>2760</v>
      </c>
      <c r="D311">
        <v>3</v>
      </c>
      <c r="E311" t="s">
        <v>2468</v>
      </c>
      <c r="F311" t="s">
        <v>2467</v>
      </c>
      <c r="G311" t="s">
        <v>2608</v>
      </c>
      <c r="H311" t="s">
        <v>2759</v>
      </c>
      <c r="I311">
        <v>1</v>
      </c>
      <c r="J311" t="s">
        <v>2487</v>
      </c>
      <c r="K311"/>
      <c r="L311"/>
      <c r="M311">
        <v>12</v>
      </c>
      <c r="N311">
        <v>58</v>
      </c>
      <c r="O311">
        <v>9</v>
      </c>
      <c r="P311">
        <v>8</v>
      </c>
      <c r="Q311">
        <v>18</v>
      </c>
      <c r="R311" t="s">
        <v>2464</v>
      </c>
      <c r="S311" t="s">
        <v>2758</v>
      </c>
      <c r="T311" t="s">
        <v>2757</v>
      </c>
      <c r="U311" t="s">
        <v>2462</v>
      </c>
      <c r="V311">
        <v>30</v>
      </c>
      <c r="W311"/>
      <c r="X311"/>
      <c r="Y311"/>
      <c r="Z311"/>
      <c r="AA311">
        <v>15</v>
      </c>
      <c r="AB311">
        <v>13</v>
      </c>
      <c r="AC311">
        <v>14</v>
      </c>
      <c r="AD311">
        <v>10</v>
      </c>
      <c r="AE311">
        <v>11</v>
      </c>
      <c r="AF311">
        <v>10</v>
      </c>
      <c r="AG311">
        <v>211</v>
      </c>
      <c r="AH311"/>
      <c r="AI311"/>
      <c r="AJ311"/>
      <c r="AK311"/>
      <c r="AL311"/>
      <c r="AM311"/>
      <c r="AN311">
        <v>49</v>
      </c>
      <c r="AO311">
        <v>331</v>
      </c>
      <c r="AP311"/>
      <c r="AQ311"/>
      <c r="AR311"/>
      <c r="AS311"/>
      <c r="AT311"/>
      <c r="AU311"/>
      <c r="AV311"/>
      <c r="AW311"/>
      <c r="AX311"/>
      <c r="AY311" t="s">
        <v>2755</v>
      </c>
      <c r="AZ311" t="s">
        <v>2756</v>
      </c>
      <c r="BA311" t="s">
        <v>2755</v>
      </c>
      <c r="BB311" t="s">
        <v>2675</v>
      </c>
      <c r="BC311" t="s">
        <v>2754</v>
      </c>
      <c r="BD311" t="s">
        <v>2675</v>
      </c>
      <c r="BE311"/>
      <c r="BF311"/>
      <c r="BG311"/>
      <c r="BH311"/>
      <c r="BI311"/>
      <c r="BJ311"/>
      <c r="BK311"/>
      <c r="BL311"/>
      <c r="BM311"/>
      <c r="BN311"/>
      <c r="BO311"/>
      <c r="BP311" t="s">
        <v>2752</v>
      </c>
      <c r="BQ311" t="s">
        <v>2753</v>
      </c>
      <c r="BR311" t="s">
        <v>2752</v>
      </c>
      <c r="BS311" t="s">
        <v>2751</v>
      </c>
      <c r="BT311" t="s">
        <v>2750</v>
      </c>
      <c r="BU311" t="s">
        <v>2749</v>
      </c>
      <c r="BV311" t="s">
        <v>2748</v>
      </c>
      <c r="BW311" t="s">
        <v>2747</v>
      </c>
      <c r="BX311" t="s">
        <v>2746</v>
      </c>
      <c r="BY311" t="s">
        <v>2745</v>
      </c>
      <c r="BZ311" t="s">
        <v>2744</v>
      </c>
      <c r="CA311" t="s">
        <v>2743</v>
      </c>
      <c r="CB311"/>
      <c r="CC311"/>
      <c r="CD311"/>
      <c r="CE311"/>
      <c r="CF311"/>
      <c r="CG311"/>
      <c r="CH311"/>
      <c r="CI311"/>
      <c r="CJ311"/>
      <c r="CK311"/>
      <c r="CL311"/>
      <c r="CM311"/>
      <c r="CN311"/>
      <c r="CO311"/>
      <c r="CP311"/>
      <c r="CQ311"/>
      <c r="CR311"/>
      <c r="CS311"/>
      <c r="CT311"/>
      <c r="CU311"/>
      <c r="CV311"/>
      <c r="CW311"/>
      <c r="CX311" t="s">
        <v>2454</v>
      </c>
      <c r="CY311">
        <v>211</v>
      </c>
      <c r="CZ311" t="s">
        <v>2453</v>
      </c>
    </row>
    <row r="312" spans="1:104" ht="14.25">
      <c r="A312" t="s">
        <v>2742</v>
      </c>
      <c r="B312" t="s">
        <v>2741</v>
      </c>
      <c r="C312" t="s">
        <v>2740</v>
      </c>
      <c r="D312">
        <v>2</v>
      </c>
      <c r="E312" t="s">
        <v>2468</v>
      </c>
      <c r="F312" t="s">
        <v>2467</v>
      </c>
      <c r="G312" t="s">
        <v>2488</v>
      </c>
      <c r="H312"/>
      <c r="I312"/>
      <c r="J312" t="s">
        <v>2487</v>
      </c>
      <c r="K312"/>
      <c r="L312"/>
      <c r="M312">
        <v>16</v>
      </c>
      <c r="N312">
        <v>32</v>
      </c>
      <c r="O312">
        <v>5</v>
      </c>
      <c r="P312">
        <v>8</v>
      </c>
      <c r="Q312">
        <v>10</v>
      </c>
      <c r="R312" t="s">
        <v>2641</v>
      </c>
      <c r="S312" t="s">
        <v>2641</v>
      </c>
      <c r="T312" t="s">
        <v>2641</v>
      </c>
      <c r="U312" t="s">
        <v>2641</v>
      </c>
      <c r="V312">
        <v>30</v>
      </c>
      <c r="W312">
        <v>15</v>
      </c>
      <c r="X312"/>
      <c r="Y312">
        <v>60</v>
      </c>
      <c r="Z312">
        <v>30</v>
      </c>
      <c r="AA312">
        <v>14</v>
      </c>
      <c r="AB312">
        <v>10</v>
      </c>
      <c r="AC312">
        <v>14</v>
      </c>
      <c r="AD312">
        <v>5</v>
      </c>
      <c r="AE312">
        <v>10</v>
      </c>
      <c r="AF312">
        <v>11</v>
      </c>
      <c r="AG312">
        <v>102</v>
      </c>
      <c r="AH312"/>
      <c r="AI312"/>
      <c r="AJ312"/>
      <c r="AK312"/>
      <c r="AL312"/>
      <c r="AM312"/>
      <c r="AN312"/>
      <c r="AO312">
        <v>293</v>
      </c>
      <c r="AP312"/>
      <c r="AQ312"/>
      <c r="AR312"/>
      <c r="AS312"/>
      <c r="AT312"/>
      <c r="AU312"/>
      <c r="AV312"/>
      <c r="AW312"/>
      <c r="AX312"/>
      <c r="AY312"/>
      <c r="AZ312"/>
      <c r="BA312"/>
      <c r="BB312"/>
      <c r="BC312"/>
      <c r="BD312"/>
      <c r="BE312"/>
      <c r="BF312"/>
      <c r="BG312"/>
      <c r="BH312"/>
      <c r="BI312"/>
      <c r="BJ312"/>
      <c r="BK312"/>
      <c r="BL312"/>
      <c r="BM312"/>
      <c r="BN312"/>
      <c r="BO312"/>
      <c r="BP312" t="s">
        <v>2479</v>
      </c>
      <c r="BQ312" t="s">
        <v>2739</v>
      </c>
      <c r="BR312" t="s">
        <v>2738</v>
      </c>
      <c r="BS312" t="s">
        <v>2473</v>
      </c>
      <c r="BT312" t="s">
        <v>2737</v>
      </c>
      <c r="BU312" t="s">
        <v>2736</v>
      </c>
      <c r="BV312"/>
      <c r="BW312"/>
      <c r="BX312"/>
      <c r="BY312"/>
      <c r="BZ312"/>
      <c r="CA312"/>
      <c r="CB312"/>
      <c r="CC312"/>
      <c r="CD312"/>
      <c r="CE312"/>
      <c r="CF312"/>
      <c r="CG312"/>
      <c r="CH312"/>
      <c r="CI312"/>
      <c r="CJ312"/>
      <c r="CK312"/>
      <c r="CL312"/>
      <c r="CM312"/>
      <c r="CN312"/>
      <c r="CO312"/>
      <c r="CP312"/>
      <c r="CQ312"/>
      <c r="CR312"/>
      <c r="CS312"/>
      <c r="CT312"/>
      <c r="CU312"/>
      <c r="CV312"/>
      <c r="CW312"/>
      <c r="CX312" t="s">
        <v>2454</v>
      </c>
      <c r="CY312">
        <v>102</v>
      </c>
      <c r="CZ312" t="s">
        <v>2453</v>
      </c>
    </row>
    <row r="313" spans="1:104" ht="14.25">
      <c r="A313" t="s">
        <v>2735</v>
      </c>
      <c r="B313" t="s">
        <v>2735</v>
      </c>
      <c r="C313" t="s">
        <v>2734</v>
      </c>
      <c r="D313">
        <v>3</v>
      </c>
      <c r="E313" t="s">
        <v>2468</v>
      </c>
      <c r="F313" t="s">
        <v>2467</v>
      </c>
      <c r="G313" t="s">
        <v>2466</v>
      </c>
      <c r="H313"/>
      <c r="I313"/>
      <c r="J313" t="s">
        <v>2465</v>
      </c>
      <c r="K313"/>
      <c r="L313"/>
      <c r="M313">
        <v>14</v>
      </c>
      <c r="N313">
        <v>45</v>
      </c>
      <c r="O313">
        <v>6</v>
      </c>
      <c r="P313">
        <v>8</v>
      </c>
      <c r="Q313">
        <v>18</v>
      </c>
      <c r="R313" t="s">
        <v>2464</v>
      </c>
      <c r="S313" t="s">
        <v>2605</v>
      </c>
      <c r="T313" t="s">
        <v>2733</v>
      </c>
      <c r="U313" t="s">
        <v>2462</v>
      </c>
      <c r="V313">
        <v>30</v>
      </c>
      <c r="W313"/>
      <c r="X313"/>
      <c r="Y313"/>
      <c r="Z313"/>
      <c r="AA313">
        <v>15</v>
      </c>
      <c r="AB313">
        <v>14</v>
      </c>
      <c r="AC313">
        <v>16</v>
      </c>
      <c r="AD313">
        <v>10</v>
      </c>
      <c r="AE313">
        <v>13</v>
      </c>
      <c r="AF313">
        <v>15</v>
      </c>
      <c r="AG313">
        <v>300</v>
      </c>
      <c r="AH313"/>
      <c r="AI313"/>
      <c r="AJ313"/>
      <c r="AK313"/>
      <c r="AL313"/>
      <c r="AM313"/>
      <c r="AN313">
        <v>50</v>
      </c>
      <c r="AO313">
        <v>357</v>
      </c>
      <c r="AP313"/>
      <c r="AQ313">
        <v>26</v>
      </c>
      <c r="AR313"/>
      <c r="AS313" t="s">
        <v>2732</v>
      </c>
      <c r="AT313"/>
      <c r="AU313"/>
      <c r="AV313"/>
      <c r="AW313"/>
      <c r="AX313"/>
      <c r="AY313" t="s">
        <v>2665</v>
      </c>
      <c r="AZ313" t="s">
        <v>2731</v>
      </c>
      <c r="BA313" t="s">
        <v>2665</v>
      </c>
      <c r="BB313"/>
      <c r="BC313"/>
      <c r="BD313"/>
      <c r="BE313"/>
      <c r="BF313"/>
      <c r="BG313"/>
      <c r="BH313"/>
      <c r="BI313"/>
      <c r="BJ313"/>
      <c r="BK313"/>
      <c r="BL313"/>
      <c r="BM313"/>
      <c r="BN313"/>
      <c r="BO313"/>
      <c r="BP313" t="s">
        <v>2480</v>
      </c>
      <c r="BQ313" t="s">
        <v>2730</v>
      </c>
      <c r="BR313" t="s">
        <v>2480</v>
      </c>
      <c r="BS313" t="s">
        <v>2664</v>
      </c>
      <c r="BT313" t="s">
        <v>2729</v>
      </c>
      <c r="BU313" t="s">
        <v>2728</v>
      </c>
      <c r="BV313" t="s">
        <v>2727</v>
      </c>
      <c r="BW313" t="s">
        <v>2726</v>
      </c>
      <c r="BX313" t="s">
        <v>2725</v>
      </c>
      <c r="BY313" t="s">
        <v>2724</v>
      </c>
      <c r="BZ313" t="s">
        <v>2723</v>
      </c>
      <c r="CA313" t="s">
        <v>2722</v>
      </c>
      <c r="CB313"/>
      <c r="CC313"/>
      <c r="CD313"/>
      <c r="CE313"/>
      <c r="CF313"/>
      <c r="CG313"/>
      <c r="CH313"/>
      <c r="CI313"/>
      <c r="CJ313"/>
      <c r="CK313"/>
      <c r="CL313"/>
      <c r="CM313"/>
      <c r="CN313"/>
      <c r="CO313"/>
      <c r="CP313"/>
      <c r="CQ313"/>
      <c r="CR313"/>
      <c r="CS313"/>
      <c r="CT313"/>
      <c r="CU313"/>
      <c r="CV313"/>
      <c r="CW313"/>
      <c r="CX313" t="s">
        <v>2454</v>
      </c>
      <c r="CY313">
        <v>300</v>
      </c>
      <c r="CZ313" t="s">
        <v>2453</v>
      </c>
    </row>
    <row r="314" spans="1:104" ht="14.25">
      <c r="A314" t="s">
        <v>2721</v>
      </c>
      <c r="B314" t="s">
        <v>2721</v>
      </c>
      <c r="C314" t="s">
        <v>2720</v>
      </c>
      <c r="D314">
        <v>2</v>
      </c>
      <c r="E314" t="s">
        <v>2468</v>
      </c>
      <c r="F314" t="s">
        <v>2719</v>
      </c>
      <c r="G314" t="s">
        <v>2466</v>
      </c>
      <c r="H314"/>
      <c r="I314"/>
      <c r="J314" t="s">
        <v>2487</v>
      </c>
      <c r="K314"/>
      <c r="L314"/>
      <c r="M314">
        <v>19</v>
      </c>
      <c r="N314">
        <v>22</v>
      </c>
      <c r="O314">
        <v>9</v>
      </c>
      <c r="P314">
        <v>4</v>
      </c>
      <c r="Q314"/>
      <c r="R314" t="s">
        <v>2464</v>
      </c>
      <c r="S314" t="s">
        <v>2718</v>
      </c>
      <c r="T314" t="s">
        <v>2462</v>
      </c>
      <c r="U314" t="s">
        <v>2462</v>
      </c>
      <c r="V314">
        <v>0</v>
      </c>
      <c r="W314"/>
      <c r="X314"/>
      <c r="Y314">
        <v>50</v>
      </c>
      <c r="Z314"/>
      <c r="AA314">
        <v>1</v>
      </c>
      <c r="AB314">
        <v>28</v>
      </c>
      <c r="AC314">
        <v>10</v>
      </c>
      <c r="AD314">
        <v>13</v>
      </c>
      <c r="AE314">
        <v>14</v>
      </c>
      <c r="AF314">
        <v>11</v>
      </c>
      <c r="AG314">
        <v>301</v>
      </c>
      <c r="AH314"/>
      <c r="AI314"/>
      <c r="AJ314"/>
      <c r="AK314"/>
      <c r="AL314"/>
      <c r="AM314"/>
      <c r="AN314"/>
      <c r="AO314">
        <v>358</v>
      </c>
      <c r="AP314">
        <v>22</v>
      </c>
      <c r="AQ314"/>
      <c r="AR314"/>
      <c r="AS314" t="s">
        <v>2717</v>
      </c>
      <c r="AT314">
        <v>37</v>
      </c>
      <c r="AU314"/>
      <c r="AV314" t="s">
        <v>2716</v>
      </c>
      <c r="AW314"/>
      <c r="AX314" t="s">
        <v>2715</v>
      </c>
      <c r="AY314" t="s">
        <v>2713</v>
      </c>
      <c r="AZ314" t="s">
        <v>2714</v>
      </c>
      <c r="BA314" t="s">
        <v>2713</v>
      </c>
      <c r="BB314" t="s">
        <v>2711</v>
      </c>
      <c r="BC314" t="s">
        <v>2712</v>
      </c>
      <c r="BD314" t="s">
        <v>2711</v>
      </c>
      <c r="BE314" t="s">
        <v>2667</v>
      </c>
      <c r="BF314" t="s">
        <v>2710</v>
      </c>
      <c r="BG314" t="s">
        <v>2667</v>
      </c>
      <c r="BH314" t="s">
        <v>2709</v>
      </c>
      <c r="BI314" t="s">
        <v>2708</v>
      </c>
      <c r="BJ314"/>
      <c r="BK314"/>
      <c r="BL314"/>
      <c r="BM314"/>
      <c r="BN314"/>
      <c r="BO314"/>
      <c r="BP314" t="s">
        <v>2707</v>
      </c>
      <c r="BQ314" t="s">
        <v>2706</v>
      </c>
      <c r="BR314" t="s">
        <v>2705</v>
      </c>
      <c r="BS314" t="s">
        <v>2703</v>
      </c>
      <c r="BT314" t="s">
        <v>2704</v>
      </c>
      <c r="BU314" t="s">
        <v>2703</v>
      </c>
      <c r="BV314"/>
      <c r="BW314"/>
      <c r="BX314"/>
      <c r="BY314"/>
      <c r="BZ314"/>
      <c r="CA314"/>
      <c r="CB314"/>
      <c r="CC314"/>
      <c r="CD314"/>
      <c r="CE314"/>
      <c r="CF314"/>
      <c r="CG314"/>
      <c r="CH314"/>
      <c r="CI314"/>
      <c r="CJ314"/>
      <c r="CK314"/>
      <c r="CL314"/>
      <c r="CM314"/>
      <c r="CN314"/>
      <c r="CO314"/>
      <c r="CP314"/>
      <c r="CQ314"/>
      <c r="CR314"/>
      <c r="CS314"/>
      <c r="CT314"/>
      <c r="CU314"/>
      <c r="CV314"/>
      <c r="CW314"/>
      <c r="CX314" t="s">
        <v>2454</v>
      </c>
      <c r="CY314">
        <v>301</v>
      </c>
      <c r="CZ314" t="s">
        <v>2453</v>
      </c>
    </row>
    <row r="315" spans="1:104" ht="14.25">
      <c r="A315" t="s">
        <v>2702</v>
      </c>
      <c r="B315" t="s">
        <v>2701</v>
      </c>
      <c r="C315" t="s">
        <v>2700</v>
      </c>
      <c r="D315">
        <v>3</v>
      </c>
      <c r="E315" t="s">
        <v>2680</v>
      </c>
      <c r="F315" t="s">
        <v>2489</v>
      </c>
      <c r="G315" t="s">
        <v>2587</v>
      </c>
      <c r="H315"/>
      <c r="I315"/>
      <c r="J315" t="s">
        <v>2465</v>
      </c>
      <c r="K315"/>
      <c r="L315"/>
      <c r="M315">
        <v>13</v>
      </c>
      <c r="N315">
        <v>75</v>
      </c>
      <c r="O315">
        <v>10</v>
      </c>
      <c r="P315">
        <v>10</v>
      </c>
      <c r="Q315">
        <v>20</v>
      </c>
      <c r="R315" t="s">
        <v>2464</v>
      </c>
      <c r="S315" t="s">
        <v>2586</v>
      </c>
      <c r="T315" t="s">
        <v>2699</v>
      </c>
      <c r="U315" t="s">
        <v>2462</v>
      </c>
      <c r="V315">
        <v>50</v>
      </c>
      <c r="W315"/>
      <c r="X315"/>
      <c r="Y315"/>
      <c r="Z315"/>
      <c r="AA315">
        <v>18</v>
      </c>
      <c r="AB315">
        <v>13</v>
      </c>
      <c r="AC315">
        <v>14</v>
      </c>
      <c r="AD315">
        <v>7</v>
      </c>
      <c r="AE315">
        <v>12</v>
      </c>
      <c r="AF315">
        <v>8</v>
      </c>
      <c r="AG315">
        <v>340</v>
      </c>
      <c r="AH315"/>
      <c r="AI315"/>
      <c r="AJ315"/>
      <c r="AK315"/>
      <c r="AL315"/>
      <c r="AM315"/>
      <c r="AN315">
        <v>50</v>
      </c>
      <c r="AO315">
        <v>387</v>
      </c>
      <c r="AP315"/>
      <c r="AQ315"/>
      <c r="AR315"/>
      <c r="AS315"/>
      <c r="AT315"/>
      <c r="AU315"/>
      <c r="AV315" t="s">
        <v>2698</v>
      </c>
      <c r="AW315"/>
      <c r="AX315"/>
      <c r="AY315" t="s">
        <v>2675</v>
      </c>
      <c r="AZ315" t="s">
        <v>2686</v>
      </c>
      <c r="BA315" t="s">
        <v>2675</v>
      </c>
      <c r="BB315" t="s">
        <v>2599</v>
      </c>
      <c r="BC315" t="s">
        <v>2685</v>
      </c>
      <c r="BD315" t="s">
        <v>2599</v>
      </c>
      <c r="BE315" t="s">
        <v>2579</v>
      </c>
      <c r="BF315" t="s">
        <v>2697</v>
      </c>
      <c r="BG315" t="s">
        <v>2579</v>
      </c>
      <c r="BH315"/>
      <c r="BI315"/>
      <c r="BJ315"/>
      <c r="BK315"/>
      <c r="BL315"/>
      <c r="BM315"/>
      <c r="BN315"/>
      <c r="BO315"/>
      <c r="BP315" t="s">
        <v>2479</v>
      </c>
      <c r="BQ315" t="s">
        <v>2696</v>
      </c>
      <c r="BR315" t="s">
        <v>2695</v>
      </c>
      <c r="BS315" t="s">
        <v>2473</v>
      </c>
      <c r="BT315" t="s">
        <v>2694</v>
      </c>
      <c r="BU315" t="s">
        <v>2693</v>
      </c>
      <c r="BV315"/>
      <c r="BW315"/>
      <c r="BX315"/>
      <c r="BY315"/>
      <c r="BZ315"/>
      <c r="CA315"/>
      <c r="CB315"/>
      <c r="CC315"/>
      <c r="CD315"/>
      <c r="CE315"/>
      <c r="CF315"/>
      <c r="CG315"/>
      <c r="CH315"/>
      <c r="CI315"/>
      <c r="CJ315"/>
      <c r="CK315"/>
      <c r="CL315"/>
      <c r="CM315"/>
      <c r="CN315"/>
      <c r="CO315"/>
      <c r="CP315"/>
      <c r="CQ315"/>
      <c r="CR315"/>
      <c r="CS315"/>
      <c r="CT315"/>
      <c r="CU315"/>
      <c r="CV315"/>
      <c r="CW315"/>
      <c r="CX315" t="s">
        <v>2454</v>
      </c>
      <c r="CY315">
        <v>340</v>
      </c>
      <c r="CZ315" t="s">
        <v>2453</v>
      </c>
    </row>
    <row r="316" spans="1:104" ht="14.25">
      <c r="A316" t="s">
        <v>2692</v>
      </c>
      <c r="B316" t="s">
        <v>2692</v>
      </c>
      <c r="C316" t="s">
        <v>2691</v>
      </c>
      <c r="D316">
        <v>0.25</v>
      </c>
      <c r="E316" t="s">
        <v>2680</v>
      </c>
      <c r="F316" t="s">
        <v>2467</v>
      </c>
      <c r="G316" t="s">
        <v>2690</v>
      </c>
      <c r="H316"/>
      <c r="I316"/>
      <c r="J316" t="s">
        <v>2013</v>
      </c>
      <c r="K316"/>
      <c r="L316"/>
      <c r="M316">
        <v>13</v>
      </c>
      <c r="N316">
        <v>11</v>
      </c>
      <c r="O316">
        <v>2</v>
      </c>
      <c r="P316">
        <v>8</v>
      </c>
      <c r="Q316">
        <v>2</v>
      </c>
      <c r="R316" t="s">
        <v>2464</v>
      </c>
      <c r="S316" t="s">
        <v>2689</v>
      </c>
      <c r="T316" t="s">
        <v>2462</v>
      </c>
      <c r="U316" t="s">
        <v>2462</v>
      </c>
      <c r="V316">
        <v>40</v>
      </c>
      <c r="W316"/>
      <c r="X316"/>
      <c r="Y316"/>
      <c r="Z316"/>
      <c r="AA316">
        <v>12</v>
      </c>
      <c r="AB316">
        <v>15</v>
      </c>
      <c r="AC316">
        <v>12</v>
      </c>
      <c r="AD316">
        <v>3</v>
      </c>
      <c r="AE316">
        <v>12</v>
      </c>
      <c r="AF316">
        <v>6</v>
      </c>
      <c r="AG316">
        <v>341</v>
      </c>
      <c r="AH316">
        <v>311</v>
      </c>
      <c r="AI316"/>
      <c r="AJ316">
        <v>63</v>
      </c>
      <c r="AK316"/>
      <c r="AL316"/>
      <c r="AM316"/>
      <c r="AN316">
        <v>50</v>
      </c>
      <c r="AO316">
        <v>388</v>
      </c>
      <c r="AP316"/>
      <c r="AQ316">
        <v>26</v>
      </c>
      <c r="AR316"/>
      <c r="AS316" t="s">
        <v>2688</v>
      </c>
      <c r="AT316"/>
      <c r="AU316"/>
      <c r="AV316"/>
      <c r="AW316"/>
      <c r="AX316" t="s">
        <v>2687</v>
      </c>
      <c r="AY316" t="s">
        <v>2675</v>
      </c>
      <c r="AZ316" t="s">
        <v>2686</v>
      </c>
      <c r="BA316" t="s">
        <v>2675</v>
      </c>
      <c r="BB316" t="s">
        <v>2599</v>
      </c>
      <c r="BC316" t="s">
        <v>2685</v>
      </c>
      <c r="BD316" t="s">
        <v>2599</v>
      </c>
      <c r="BE316"/>
      <c r="BF316"/>
      <c r="BG316"/>
      <c r="BH316"/>
      <c r="BI316"/>
      <c r="BJ316"/>
      <c r="BK316"/>
      <c r="BL316"/>
      <c r="BM316"/>
      <c r="BN316"/>
      <c r="BO316"/>
      <c r="BP316" t="s">
        <v>2479</v>
      </c>
      <c r="BQ316" t="s">
        <v>2684</v>
      </c>
      <c r="BR316" t="s">
        <v>2683</v>
      </c>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t="s">
        <v>2454</v>
      </c>
      <c r="CY316">
        <v>341</v>
      </c>
      <c r="CZ316" t="s">
        <v>2453</v>
      </c>
    </row>
    <row r="317" spans="1:104" ht="14.25">
      <c r="A317" t="s">
        <v>2682</v>
      </c>
      <c r="B317" t="s">
        <v>2682</v>
      </c>
      <c r="C317" t="s">
        <v>2681</v>
      </c>
      <c r="D317">
        <v>0.5</v>
      </c>
      <c r="E317" t="s">
        <v>2680</v>
      </c>
      <c r="F317" t="s">
        <v>2489</v>
      </c>
      <c r="G317" t="s">
        <v>2587</v>
      </c>
      <c r="H317"/>
      <c r="I317"/>
      <c r="J317" t="s">
        <v>2465</v>
      </c>
      <c r="K317"/>
      <c r="L317"/>
      <c r="M317">
        <v>13</v>
      </c>
      <c r="N317">
        <v>26</v>
      </c>
      <c r="O317">
        <v>4</v>
      </c>
      <c r="P317">
        <v>10</v>
      </c>
      <c r="Q317">
        <v>4</v>
      </c>
      <c r="R317" t="s">
        <v>2464</v>
      </c>
      <c r="S317" t="s">
        <v>2679</v>
      </c>
      <c r="T317" t="s">
        <v>2462</v>
      </c>
      <c r="U317" t="s">
        <v>2462</v>
      </c>
      <c r="V317">
        <v>50</v>
      </c>
      <c r="W317"/>
      <c r="X317"/>
      <c r="Y317"/>
      <c r="Z317"/>
      <c r="AA317">
        <v>16</v>
      </c>
      <c r="AB317">
        <v>13</v>
      </c>
      <c r="AC317">
        <v>13</v>
      </c>
      <c r="AD317">
        <v>7</v>
      </c>
      <c r="AE317">
        <v>11</v>
      </c>
      <c r="AF317">
        <v>8</v>
      </c>
      <c r="AG317">
        <v>341</v>
      </c>
      <c r="AH317"/>
      <c r="AI317"/>
      <c r="AJ317"/>
      <c r="AK317"/>
      <c r="AL317"/>
      <c r="AM317"/>
      <c r="AN317">
        <v>51</v>
      </c>
      <c r="AO317">
        <v>388</v>
      </c>
      <c r="AP317"/>
      <c r="AQ317"/>
      <c r="AR317"/>
      <c r="AS317" t="s">
        <v>2678</v>
      </c>
      <c r="AT317"/>
      <c r="AU317"/>
      <c r="AV317"/>
      <c r="AW317"/>
      <c r="AX317" t="s">
        <v>2677</v>
      </c>
      <c r="AY317" t="s">
        <v>2675</v>
      </c>
      <c r="AZ317" t="s">
        <v>2676</v>
      </c>
      <c r="BA317" t="s">
        <v>2675</v>
      </c>
      <c r="BB317"/>
      <c r="BC317"/>
      <c r="BD317"/>
      <c r="BE317"/>
      <c r="BF317"/>
      <c r="BG317"/>
      <c r="BH317"/>
      <c r="BI317"/>
      <c r="BJ317"/>
      <c r="BK317"/>
      <c r="BL317"/>
      <c r="BM317"/>
      <c r="BN317"/>
      <c r="BO317"/>
      <c r="BP317" t="s">
        <v>2479</v>
      </c>
      <c r="BQ317" t="s">
        <v>2674</v>
      </c>
      <c r="BR317" t="s">
        <v>2673</v>
      </c>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t="s">
        <v>2454</v>
      </c>
      <c r="CY317">
        <v>341</v>
      </c>
      <c r="CZ317" t="s">
        <v>2453</v>
      </c>
    </row>
    <row r="318" spans="1:104" ht="14.25">
      <c r="A318" t="s">
        <v>2672</v>
      </c>
      <c r="B318" t="s">
        <v>2672</v>
      </c>
      <c r="C318" t="s">
        <v>2671</v>
      </c>
      <c r="D318">
        <v>5</v>
      </c>
      <c r="E318" t="s">
        <v>2468</v>
      </c>
      <c r="F318" t="s">
        <v>2467</v>
      </c>
      <c r="G318" t="s">
        <v>2466</v>
      </c>
      <c r="H318"/>
      <c r="I318"/>
      <c r="J318" t="s">
        <v>2465</v>
      </c>
      <c r="K318"/>
      <c r="L318"/>
      <c r="M318">
        <v>13</v>
      </c>
      <c r="N318">
        <v>67</v>
      </c>
      <c r="O318">
        <v>9</v>
      </c>
      <c r="P318">
        <v>8</v>
      </c>
      <c r="Q318">
        <v>27</v>
      </c>
      <c r="R318" t="s">
        <v>2464</v>
      </c>
      <c r="S318" t="s">
        <v>2670</v>
      </c>
      <c r="T318" t="s">
        <v>2462</v>
      </c>
      <c r="U318" t="s">
        <v>2462</v>
      </c>
      <c r="V318">
        <v>0</v>
      </c>
      <c r="W318"/>
      <c r="X318"/>
      <c r="Y318">
        <v>60</v>
      </c>
      <c r="Z318"/>
      <c r="AA318">
        <v>6</v>
      </c>
      <c r="AB318">
        <v>16</v>
      </c>
      <c r="AC318">
        <v>16</v>
      </c>
      <c r="AD318">
        <v>12</v>
      </c>
      <c r="AE318">
        <v>14</v>
      </c>
      <c r="AF318">
        <v>15</v>
      </c>
      <c r="AG318">
        <v>302</v>
      </c>
      <c r="AH318"/>
      <c r="AI318"/>
      <c r="AJ318"/>
      <c r="AK318"/>
      <c r="AL318"/>
      <c r="AM318"/>
      <c r="AN318"/>
      <c r="AO318">
        <v>358</v>
      </c>
      <c r="AP318"/>
      <c r="AQ318">
        <v>27</v>
      </c>
      <c r="AR318"/>
      <c r="AS318"/>
      <c r="AT318"/>
      <c r="AU318"/>
      <c r="AV318"/>
      <c r="AW318"/>
      <c r="AX318" t="s">
        <v>2669</v>
      </c>
      <c r="AY318" t="s">
        <v>2667</v>
      </c>
      <c r="AZ318" t="s">
        <v>2668</v>
      </c>
      <c r="BA318" t="s">
        <v>2667</v>
      </c>
      <c r="BB318" t="s">
        <v>2665</v>
      </c>
      <c r="BC318" t="s">
        <v>2666</v>
      </c>
      <c r="BD318" t="s">
        <v>2665</v>
      </c>
      <c r="BE318"/>
      <c r="BF318"/>
      <c r="BG318"/>
      <c r="BH318"/>
      <c r="BI318"/>
      <c r="BJ318"/>
      <c r="BK318"/>
      <c r="BL318"/>
      <c r="BM318"/>
      <c r="BN318"/>
      <c r="BO318"/>
      <c r="BP318" t="s">
        <v>2664</v>
      </c>
      <c r="BQ318" t="s">
        <v>2663</v>
      </c>
      <c r="BR318" t="s">
        <v>2662</v>
      </c>
      <c r="BS318" t="s">
        <v>2660</v>
      </c>
      <c r="BT318" t="s">
        <v>2661</v>
      </c>
      <c r="BU318" t="s">
        <v>2660</v>
      </c>
      <c r="BV318"/>
      <c r="BW318"/>
      <c r="BX318"/>
      <c r="BY318"/>
      <c r="BZ318"/>
      <c r="CA318"/>
      <c r="CB318"/>
      <c r="CC318"/>
      <c r="CD318"/>
      <c r="CE318"/>
      <c r="CF318"/>
      <c r="CG318"/>
      <c r="CH318"/>
      <c r="CI318"/>
      <c r="CJ318"/>
      <c r="CK318"/>
      <c r="CL318"/>
      <c r="CM318"/>
      <c r="CN318"/>
      <c r="CO318"/>
      <c r="CP318"/>
      <c r="CQ318"/>
      <c r="CR318"/>
      <c r="CS318"/>
      <c r="CT318"/>
      <c r="CU318"/>
      <c r="CV318"/>
      <c r="CW318"/>
      <c r="CX318" t="s">
        <v>2454</v>
      </c>
      <c r="CY318">
        <v>302</v>
      </c>
      <c r="CZ318" t="s">
        <v>2453</v>
      </c>
    </row>
    <row r="319" spans="1:104" ht="14.25">
      <c r="A319" t="s">
        <v>2659</v>
      </c>
      <c r="B319" t="s">
        <v>2659</v>
      </c>
      <c r="C319" t="s">
        <v>2658</v>
      </c>
      <c r="D319">
        <v>6</v>
      </c>
      <c r="E319" t="s">
        <v>2468</v>
      </c>
      <c r="F319" t="s">
        <v>2489</v>
      </c>
      <c r="G319" t="s">
        <v>2488</v>
      </c>
      <c r="H319"/>
      <c r="I319"/>
      <c r="J319" t="s">
        <v>2013</v>
      </c>
      <c r="K319"/>
      <c r="L319"/>
      <c r="M319">
        <v>13</v>
      </c>
      <c r="N319">
        <v>110</v>
      </c>
      <c r="O319">
        <v>13</v>
      </c>
      <c r="P319">
        <v>10</v>
      </c>
      <c r="Q319">
        <v>39</v>
      </c>
      <c r="R319" t="s">
        <v>2464</v>
      </c>
      <c r="S319" t="s">
        <v>2485</v>
      </c>
      <c r="T319" t="s">
        <v>2657</v>
      </c>
      <c r="U319" t="s">
        <v>2462</v>
      </c>
      <c r="V319">
        <v>20</v>
      </c>
      <c r="W319"/>
      <c r="X319"/>
      <c r="Y319">
        <v>80</v>
      </c>
      <c r="Z319"/>
      <c r="AA319">
        <v>19</v>
      </c>
      <c r="AB319">
        <v>10</v>
      </c>
      <c r="AC319">
        <v>16</v>
      </c>
      <c r="AD319">
        <v>5</v>
      </c>
      <c r="AE319">
        <v>12</v>
      </c>
      <c r="AF319">
        <v>6</v>
      </c>
      <c r="AG319">
        <v>303</v>
      </c>
      <c r="AH319"/>
      <c r="AI319"/>
      <c r="AJ319"/>
      <c r="AK319"/>
      <c r="AL319"/>
      <c r="AM319"/>
      <c r="AN319">
        <v>51</v>
      </c>
      <c r="AO319">
        <v>359</v>
      </c>
      <c r="AP319">
        <v>22</v>
      </c>
      <c r="AQ319"/>
      <c r="AR319"/>
      <c r="AS319" t="s">
        <v>2656</v>
      </c>
      <c r="AT319"/>
      <c r="AU319"/>
      <c r="AV319"/>
      <c r="AW319"/>
      <c r="AX319"/>
      <c r="AY319"/>
      <c r="AZ319"/>
      <c r="BA319"/>
      <c r="BB319"/>
      <c r="BC319"/>
      <c r="BD319"/>
      <c r="BE319"/>
      <c r="BF319"/>
      <c r="BG319"/>
      <c r="BH319"/>
      <c r="BI319"/>
      <c r="BJ319"/>
      <c r="BK319"/>
      <c r="BL319"/>
      <c r="BM319"/>
      <c r="BN319"/>
      <c r="BO319"/>
      <c r="BP319" t="s">
        <v>2480</v>
      </c>
      <c r="BQ319" t="s">
        <v>2655</v>
      </c>
      <c r="BR319" t="s">
        <v>2480</v>
      </c>
      <c r="BS319" t="s">
        <v>2479</v>
      </c>
      <c r="BT319" t="s">
        <v>2654</v>
      </c>
      <c r="BU319" t="s">
        <v>2653</v>
      </c>
      <c r="BV319" t="s">
        <v>2652</v>
      </c>
      <c r="BW319" t="s">
        <v>2651</v>
      </c>
      <c r="BX319" t="s">
        <v>2650</v>
      </c>
      <c r="BY319" t="s">
        <v>2649</v>
      </c>
      <c r="BZ319" t="s">
        <v>2648</v>
      </c>
      <c r="CA319" t="s">
        <v>2647</v>
      </c>
      <c r="CB319"/>
      <c r="CC319"/>
      <c r="CD319"/>
      <c r="CE319"/>
      <c r="CF319"/>
      <c r="CG319"/>
      <c r="CH319"/>
      <c r="CI319"/>
      <c r="CJ319"/>
      <c r="CK319"/>
      <c r="CL319"/>
      <c r="CM319"/>
      <c r="CN319"/>
      <c r="CO319"/>
      <c r="CP319"/>
      <c r="CQ319"/>
      <c r="CR319"/>
      <c r="CS319"/>
      <c r="CT319"/>
      <c r="CU319"/>
      <c r="CV319"/>
      <c r="CW319"/>
      <c r="CX319" t="s">
        <v>2454</v>
      </c>
      <c r="CY319">
        <v>303</v>
      </c>
      <c r="CZ319" t="s">
        <v>2453</v>
      </c>
    </row>
    <row r="320" spans="1:104" ht="14.25">
      <c r="A320" t="s">
        <v>2646</v>
      </c>
      <c r="B320" t="s">
        <v>2646</v>
      </c>
      <c r="C320" t="s">
        <v>2645</v>
      </c>
      <c r="D320">
        <v>0.5</v>
      </c>
      <c r="E320" t="s">
        <v>2468</v>
      </c>
      <c r="F320" t="s">
        <v>2644</v>
      </c>
      <c r="G320" t="s">
        <v>2608</v>
      </c>
      <c r="H320" t="s">
        <v>2643</v>
      </c>
      <c r="I320"/>
      <c r="J320" t="s">
        <v>2642</v>
      </c>
      <c r="K320"/>
      <c r="L320"/>
      <c r="M320">
        <v>15</v>
      </c>
      <c r="N320">
        <v>16</v>
      </c>
      <c r="O320">
        <v>3</v>
      </c>
      <c r="P320">
        <v>6</v>
      </c>
      <c r="Q320">
        <v>6</v>
      </c>
      <c r="R320" t="s">
        <v>2641</v>
      </c>
      <c r="S320" t="s">
        <v>2641</v>
      </c>
      <c r="T320" t="s">
        <v>2641</v>
      </c>
      <c r="U320" t="s">
        <v>2641</v>
      </c>
      <c r="V320">
        <v>20</v>
      </c>
      <c r="W320"/>
      <c r="X320"/>
      <c r="Y320"/>
      <c r="Z320"/>
      <c r="AA320">
        <v>15</v>
      </c>
      <c r="AB320">
        <v>14</v>
      </c>
      <c r="AC320">
        <v>14</v>
      </c>
      <c r="AD320">
        <v>12</v>
      </c>
      <c r="AE320">
        <v>10</v>
      </c>
      <c r="AF320">
        <v>9</v>
      </c>
      <c r="AG320">
        <v>164</v>
      </c>
      <c r="AH320"/>
      <c r="AI320"/>
      <c r="AJ320"/>
      <c r="AK320"/>
      <c r="AL320"/>
      <c r="AM320"/>
      <c r="AN320"/>
      <c r="AO320">
        <v>318</v>
      </c>
      <c r="AP320"/>
      <c r="AQ320"/>
      <c r="AR320"/>
      <c r="AS320"/>
      <c r="AT320">
        <v>13</v>
      </c>
      <c r="AU320"/>
      <c r="AV320" t="s">
        <v>2640</v>
      </c>
      <c r="AW320"/>
      <c r="AX320"/>
      <c r="AY320" t="s">
        <v>2620</v>
      </c>
      <c r="AZ320" t="s">
        <v>2639</v>
      </c>
      <c r="BA320" t="s">
        <v>2620</v>
      </c>
      <c r="BB320" t="s">
        <v>2637</v>
      </c>
      <c r="BC320" t="s">
        <v>2638</v>
      </c>
      <c r="BD320" t="s">
        <v>2637</v>
      </c>
      <c r="BE320" t="s">
        <v>2635</v>
      </c>
      <c r="BF320" t="s">
        <v>2636</v>
      </c>
      <c r="BG320" t="s">
        <v>2635</v>
      </c>
      <c r="BH320"/>
      <c r="BI320"/>
      <c r="BJ320"/>
      <c r="BK320"/>
      <c r="BL320"/>
      <c r="BM320"/>
      <c r="BN320"/>
      <c r="BO320"/>
      <c r="BP320" t="s">
        <v>2634</v>
      </c>
      <c r="BQ320" t="s">
        <v>2633</v>
      </c>
      <c r="BR320" t="s">
        <v>2632</v>
      </c>
      <c r="BS320" t="s">
        <v>2631</v>
      </c>
      <c r="BT320" t="s">
        <v>2630</v>
      </c>
      <c r="BU320" t="s">
        <v>2629</v>
      </c>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row>
    <row r="321" spans="1:104" ht="14.25">
      <c r="A321" t="s">
        <v>2628</v>
      </c>
      <c r="B321" t="s">
        <v>2628</v>
      </c>
      <c r="C321" t="s">
        <v>2627</v>
      </c>
      <c r="D321">
        <v>5</v>
      </c>
      <c r="E321" t="s">
        <v>2468</v>
      </c>
      <c r="F321" t="s">
        <v>2467</v>
      </c>
      <c r="G321" t="s">
        <v>2626</v>
      </c>
      <c r="H321"/>
      <c r="I321"/>
      <c r="J321" t="s">
        <v>1997</v>
      </c>
      <c r="K321"/>
      <c r="L321"/>
      <c r="M321">
        <v>19</v>
      </c>
      <c r="N321">
        <v>73</v>
      </c>
      <c r="O321">
        <v>7</v>
      </c>
      <c r="P321">
        <v>8</v>
      </c>
      <c r="Q321">
        <v>42</v>
      </c>
      <c r="R321" t="s">
        <v>2464</v>
      </c>
      <c r="S321" t="s">
        <v>2625</v>
      </c>
      <c r="T321" t="s">
        <v>2624</v>
      </c>
      <c r="U321" t="s">
        <v>2462</v>
      </c>
      <c r="V321">
        <v>20</v>
      </c>
      <c r="W321">
        <v>20</v>
      </c>
      <c r="X321"/>
      <c r="Y321"/>
      <c r="Z321"/>
      <c r="AA321">
        <v>17</v>
      </c>
      <c r="AB321">
        <v>10</v>
      </c>
      <c r="AC321">
        <v>22</v>
      </c>
      <c r="AD321">
        <v>11</v>
      </c>
      <c r="AE321">
        <v>10</v>
      </c>
      <c r="AF321">
        <v>11</v>
      </c>
      <c r="AG321">
        <v>304</v>
      </c>
      <c r="AH321"/>
      <c r="AI321"/>
      <c r="AJ321"/>
      <c r="AK321"/>
      <c r="AL321"/>
      <c r="AM321"/>
      <c r="AN321"/>
      <c r="AO321">
        <v>359</v>
      </c>
      <c r="AP321"/>
      <c r="AQ321"/>
      <c r="AR321"/>
      <c r="AS321"/>
      <c r="AT321">
        <v>38</v>
      </c>
      <c r="AU321"/>
      <c r="AV321"/>
      <c r="AW321"/>
      <c r="AX321"/>
      <c r="AY321" t="s">
        <v>2622</v>
      </c>
      <c r="AZ321" t="s">
        <v>2623</v>
      </c>
      <c r="BA321" t="s">
        <v>2622</v>
      </c>
      <c r="BB321" t="s">
        <v>2620</v>
      </c>
      <c r="BC321" t="s">
        <v>2621</v>
      </c>
      <c r="BD321" t="s">
        <v>2620</v>
      </c>
      <c r="BE321" t="s">
        <v>2618</v>
      </c>
      <c r="BF321" t="s">
        <v>2619</v>
      </c>
      <c r="BG321" t="s">
        <v>2618</v>
      </c>
      <c r="BH321"/>
      <c r="BI321"/>
      <c r="BJ321"/>
      <c r="BK321"/>
      <c r="BL321"/>
      <c r="BM321"/>
      <c r="BN321"/>
      <c r="BO321"/>
      <c r="BP321" t="s">
        <v>2480</v>
      </c>
      <c r="BQ321" t="s">
        <v>2617</v>
      </c>
      <c r="BR321" t="s">
        <v>2480</v>
      </c>
      <c r="BS321" t="s">
        <v>2479</v>
      </c>
      <c r="BT321" t="s">
        <v>2616</v>
      </c>
      <c r="BU321" t="s">
        <v>2615</v>
      </c>
      <c r="BV321" t="s">
        <v>2476</v>
      </c>
      <c r="BW321" t="s">
        <v>2614</v>
      </c>
      <c r="BX321" t="s">
        <v>2613</v>
      </c>
      <c r="BY321"/>
      <c r="BZ321"/>
      <c r="CA321"/>
      <c r="CB321"/>
      <c r="CC321"/>
      <c r="CD321"/>
      <c r="CE321"/>
      <c r="CF321"/>
      <c r="CG321"/>
      <c r="CH321"/>
      <c r="CI321"/>
      <c r="CJ321"/>
      <c r="CK321"/>
      <c r="CL321"/>
      <c r="CM321"/>
      <c r="CN321"/>
      <c r="CO321"/>
      <c r="CP321"/>
      <c r="CQ321"/>
      <c r="CR321"/>
      <c r="CS321"/>
      <c r="CT321"/>
      <c r="CU321"/>
      <c r="CV321"/>
      <c r="CW321"/>
      <c r="CX321" t="s">
        <v>2454</v>
      </c>
      <c r="CY321">
        <v>304</v>
      </c>
      <c r="CZ321" t="s">
        <v>2453</v>
      </c>
    </row>
    <row r="322" spans="1:104" ht="14.25">
      <c r="A322" t="s">
        <v>2612</v>
      </c>
      <c r="B322" t="s">
        <v>2611</v>
      </c>
      <c r="C322" t="s">
        <v>2610</v>
      </c>
      <c r="D322">
        <v>0.5</v>
      </c>
      <c r="E322" t="s">
        <v>2609</v>
      </c>
      <c r="F322" t="s">
        <v>2467</v>
      </c>
      <c r="G322" t="s">
        <v>2608</v>
      </c>
      <c r="H322" t="s">
        <v>2607</v>
      </c>
      <c r="I322"/>
      <c r="J322" t="s">
        <v>2606</v>
      </c>
      <c r="K322"/>
      <c r="L322"/>
      <c r="M322">
        <v>11</v>
      </c>
      <c r="N322">
        <v>32</v>
      </c>
      <c r="O322">
        <v>5</v>
      </c>
      <c r="P322">
        <v>8</v>
      </c>
      <c r="Q322">
        <v>10</v>
      </c>
      <c r="R322" t="s">
        <v>2464</v>
      </c>
      <c r="S322" t="s">
        <v>2605</v>
      </c>
      <c r="T322" t="s">
        <v>2604</v>
      </c>
      <c r="U322" t="s">
        <v>2462</v>
      </c>
      <c r="V322">
        <v>30</v>
      </c>
      <c r="W322"/>
      <c r="X322"/>
      <c r="Y322"/>
      <c r="Z322"/>
      <c r="AA322">
        <v>15</v>
      </c>
      <c r="AB322">
        <v>11</v>
      </c>
      <c r="AC322">
        <v>14</v>
      </c>
      <c r="AD322">
        <v>10</v>
      </c>
      <c r="AE322">
        <v>10</v>
      </c>
      <c r="AF322">
        <v>11</v>
      </c>
      <c r="AG322">
        <v>350</v>
      </c>
      <c r="AH322"/>
      <c r="AI322"/>
      <c r="AJ322"/>
      <c r="AK322"/>
      <c r="AL322"/>
      <c r="AM322"/>
      <c r="AN322">
        <v>55</v>
      </c>
      <c r="AO322">
        <v>397</v>
      </c>
      <c r="AP322"/>
      <c r="AQ322"/>
      <c r="AR322"/>
      <c r="AS322" t="s">
        <v>2603</v>
      </c>
      <c r="AT322"/>
      <c r="AU322"/>
      <c r="AV322" t="s">
        <v>2602</v>
      </c>
      <c r="AW322"/>
      <c r="AX322" t="s">
        <v>2601</v>
      </c>
      <c r="AY322" t="s">
        <v>2599</v>
      </c>
      <c r="AZ322" t="s">
        <v>2600</v>
      </c>
      <c r="BA322" t="s">
        <v>2599</v>
      </c>
      <c r="BB322"/>
      <c r="BC322"/>
      <c r="BD322"/>
      <c r="BE322"/>
      <c r="BF322"/>
      <c r="BG322"/>
      <c r="BH322"/>
      <c r="BI322"/>
      <c r="BJ322"/>
      <c r="BK322"/>
      <c r="BL322"/>
      <c r="BM322"/>
      <c r="BN322"/>
      <c r="BO322"/>
      <c r="BP322" t="s">
        <v>2480</v>
      </c>
      <c r="BQ322" t="s">
        <v>2598</v>
      </c>
      <c r="BR322" t="s">
        <v>2480</v>
      </c>
      <c r="BS322" t="s">
        <v>2597</v>
      </c>
      <c r="BT322" t="s">
        <v>2596</v>
      </c>
      <c r="BU322" t="s">
        <v>2595</v>
      </c>
      <c r="BV322" t="s">
        <v>2594</v>
      </c>
      <c r="BW322" t="s">
        <v>2593</v>
      </c>
      <c r="BX322" t="s">
        <v>2592</v>
      </c>
      <c r="BY322"/>
      <c r="BZ322"/>
      <c r="CA322"/>
      <c r="CB322"/>
      <c r="CC322"/>
      <c r="CD322"/>
      <c r="CE322"/>
      <c r="CF322"/>
      <c r="CG322"/>
      <c r="CH322"/>
      <c r="CI322"/>
      <c r="CJ322"/>
      <c r="CK322"/>
      <c r="CL322"/>
      <c r="CM322"/>
      <c r="CN322"/>
      <c r="CO322"/>
      <c r="CP322"/>
      <c r="CQ322"/>
      <c r="CR322"/>
      <c r="CS322"/>
      <c r="CT322"/>
      <c r="CU322"/>
      <c r="CV322"/>
      <c r="CW322"/>
      <c r="CX322"/>
      <c r="CY322" t="s">
        <v>2591</v>
      </c>
      <c r="CZ322" t="s">
        <v>2590</v>
      </c>
    </row>
    <row r="323" spans="1:104" ht="14.25">
      <c r="A323" t="s">
        <v>2589</v>
      </c>
      <c r="B323" t="s">
        <v>2589</v>
      </c>
      <c r="C323" t="s">
        <v>2588</v>
      </c>
      <c r="D323">
        <v>3</v>
      </c>
      <c r="E323" t="s">
        <v>2468</v>
      </c>
      <c r="F323" t="s">
        <v>2489</v>
      </c>
      <c r="G323" t="s">
        <v>2587</v>
      </c>
      <c r="H323"/>
      <c r="I323"/>
      <c r="J323" t="s">
        <v>2487</v>
      </c>
      <c r="K323"/>
      <c r="L323"/>
      <c r="M323">
        <v>12</v>
      </c>
      <c r="N323">
        <v>51</v>
      </c>
      <c r="O323">
        <v>6</v>
      </c>
      <c r="P323">
        <v>10</v>
      </c>
      <c r="Q323">
        <v>18</v>
      </c>
      <c r="R323" t="s">
        <v>2464</v>
      </c>
      <c r="S323" t="s">
        <v>2586</v>
      </c>
      <c r="T323" t="s">
        <v>2462</v>
      </c>
      <c r="U323" t="s">
        <v>2462</v>
      </c>
      <c r="V323">
        <v>40</v>
      </c>
      <c r="W323"/>
      <c r="X323">
        <v>40</v>
      </c>
      <c r="Y323"/>
      <c r="Z323"/>
      <c r="AA323">
        <v>18</v>
      </c>
      <c r="AB323">
        <v>13</v>
      </c>
      <c r="AC323">
        <v>16</v>
      </c>
      <c r="AD323">
        <v>8</v>
      </c>
      <c r="AE323">
        <v>12</v>
      </c>
      <c r="AF323">
        <v>7</v>
      </c>
      <c r="AG323">
        <v>305</v>
      </c>
      <c r="AH323"/>
      <c r="AI323"/>
      <c r="AJ323"/>
      <c r="AK323"/>
      <c r="AL323"/>
      <c r="AM323"/>
      <c r="AN323">
        <v>51</v>
      </c>
      <c r="AO323"/>
      <c r="AP323"/>
      <c r="AQ323"/>
      <c r="AR323"/>
      <c r="AS323"/>
      <c r="AT323"/>
      <c r="AU323"/>
      <c r="AV323" t="s">
        <v>2585</v>
      </c>
      <c r="AW323"/>
      <c r="AX323"/>
      <c r="AY323" t="s">
        <v>2583</v>
      </c>
      <c r="AZ323" t="s">
        <v>2584</v>
      </c>
      <c r="BA323" t="s">
        <v>2583</v>
      </c>
      <c r="BB323" t="s">
        <v>2581</v>
      </c>
      <c r="BC323" t="s">
        <v>2582</v>
      </c>
      <c r="BD323" t="s">
        <v>2581</v>
      </c>
      <c r="BE323" t="s">
        <v>2579</v>
      </c>
      <c r="BF323" t="s">
        <v>2580</v>
      </c>
      <c r="BG323" t="s">
        <v>2579</v>
      </c>
      <c r="BH323"/>
      <c r="BI323"/>
      <c r="BJ323"/>
      <c r="BK323"/>
      <c r="BL323"/>
      <c r="BM323"/>
      <c r="BN323"/>
      <c r="BO323"/>
      <c r="BP323" t="s">
        <v>2480</v>
      </c>
      <c r="BQ323" t="s">
        <v>2578</v>
      </c>
      <c r="BR323" t="s">
        <v>2480</v>
      </c>
      <c r="BS323" t="s">
        <v>2476</v>
      </c>
      <c r="BT323" t="s">
        <v>2577</v>
      </c>
      <c r="BU323" t="s">
        <v>2576</v>
      </c>
      <c r="BV323" t="s">
        <v>2574</v>
      </c>
      <c r="BW323" t="s">
        <v>2575</v>
      </c>
      <c r="BX323" t="s">
        <v>2574</v>
      </c>
      <c r="BY323"/>
      <c r="BZ323"/>
      <c r="CA323"/>
      <c r="CB323"/>
      <c r="CC323"/>
      <c r="CD323"/>
      <c r="CE323"/>
      <c r="CF323"/>
      <c r="CG323"/>
      <c r="CH323"/>
      <c r="CI323"/>
      <c r="CJ323"/>
      <c r="CK323"/>
      <c r="CL323"/>
      <c r="CM323"/>
      <c r="CN323"/>
      <c r="CO323"/>
      <c r="CP323"/>
      <c r="CQ323"/>
      <c r="CR323"/>
      <c r="CS323"/>
      <c r="CT323"/>
      <c r="CU323"/>
      <c r="CV323"/>
      <c r="CW323"/>
      <c r="CX323" t="s">
        <v>2454</v>
      </c>
      <c r="CY323">
        <v>305</v>
      </c>
      <c r="CZ323" t="s">
        <v>2453</v>
      </c>
    </row>
    <row r="324" spans="1:104" ht="14.25">
      <c r="A324" t="s">
        <v>2573</v>
      </c>
      <c r="B324" t="s">
        <v>2572</v>
      </c>
      <c r="C324" t="s">
        <v>2571</v>
      </c>
      <c r="D324">
        <v>7</v>
      </c>
      <c r="E324" t="s">
        <v>2468</v>
      </c>
      <c r="F324" t="s">
        <v>2489</v>
      </c>
      <c r="G324" t="s">
        <v>2488</v>
      </c>
      <c r="H324"/>
      <c r="I324"/>
      <c r="J324" t="s">
        <v>2487</v>
      </c>
      <c r="K324"/>
      <c r="L324"/>
      <c r="M324">
        <v>18</v>
      </c>
      <c r="N324">
        <v>127</v>
      </c>
      <c r="O324">
        <v>15</v>
      </c>
      <c r="P324">
        <v>10</v>
      </c>
      <c r="Q324">
        <v>45</v>
      </c>
      <c r="R324" t="s">
        <v>2464</v>
      </c>
      <c r="S324" t="s">
        <v>2486</v>
      </c>
      <c r="T324" t="s">
        <v>2485</v>
      </c>
      <c r="U324" t="s">
        <v>2484</v>
      </c>
      <c r="V324">
        <v>40</v>
      </c>
      <c r="W324"/>
      <c r="X324"/>
      <c r="Y324">
        <v>80</v>
      </c>
      <c r="Z324">
        <v>40</v>
      </c>
      <c r="AA324">
        <v>19</v>
      </c>
      <c r="AB324">
        <v>14</v>
      </c>
      <c r="AC324">
        <v>17</v>
      </c>
      <c r="AD324">
        <v>12</v>
      </c>
      <c r="AE324">
        <v>11</v>
      </c>
      <c r="AF324">
        <v>15</v>
      </c>
      <c r="AG324">
        <v>88</v>
      </c>
      <c r="AH324"/>
      <c r="AI324"/>
      <c r="AJ324"/>
      <c r="AK324"/>
      <c r="AL324"/>
      <c r="AM324"/>
      <c r="AN324"/>
      <c r="AO324">
        <v>284</v>
      </c>
      <c r="AP324"/>
      <c r="AQ324"/>
      <c r="AR324"/>
      <c r="AS324" t="s">
        <v>2570</v>
      </c>
      <c r="AT324"/>
      <c r="AU324"/>
      <c r="AV324"/>
      <c r="AW324"/>
      <c r="AX324"/>
      <c r="AY324" t="s">
        <v>2520</v>
      </c>
      <c r="AZ324" t="s">
        <v>2521</v>
      </c>
      <c r="BA324" t="s">
        <v>2520</v>
      </c>
      <c r="BB324"/>
      <c r="BC324"/>
      <c r="BD324"/>
      <c r="BE324"/>
      <c r="BF324"/>
      <c r="BG324"/>
      <c r="BH324"/>
      <c r="BI324"/>
      <c r="BJ324"/>
      <c r="BK324"/>
      <c r="BL324"/>
      <c r="BM324"/>
      <c r="BN324"/>
      <c r="BO324"/>
      <c r="BP324" t="s">
        <v>2480</v>
      </c>
      <c r="BQ324" t="s">
        <v>2481</v>
      </c>
      <c r="BR324" t="s">
        <v>2480</v>
      </c>
      <c r="BS324" t="s">
        <v>2479</v>
      </c>
      <c r="BT324" t="s">
        <v>2569</v>
      </c>
      <c r="BU324" t="s">
        <v>2477</v>
      </c>
      <c r="BV324" t="s">
        <v>2476</v>
      </c>
      <c r="BW324" t="s">
        <v>2475</v>
      </c>
      <c r="BX324" t="s">
        <v>2474</v>
      </c>
      <c r="BY324" t="s">
        <v>2568</v>
      </c>
      <c r="BZ324" t="s">
        <v>2567</v>
      </c>
      <c r="CA324" t="s">
        <v>2566</v>
      </c>
      <c r="CB324"/>
      <c r="CC324"/>
      <c r="CD324"/>
      <c r="CE324"/>
      <c r="CF324"/>
      <c r="CG324"/>
      <c r="CH324"/>
      <c r="CI324"/>
      <c r="CJ324"/>
      <c r="CK324"/>
      <c r="CL324"/>
      <c r="CM324"/>
      <c r="CN324"/>
      <c r="CO324"/>
      <c r="CP324"/>
      <c r="CQ324"/>
      <c r="CR324"/>
      <c r="CS324"/>
      <c r="CT324"/>
      <c r="CU324"/>
      <c r="CV324"/>
      <c r="CW324"/>
      <c r="CX324" t="s">
        <v>2454</v>
      </c>
      <c r="CY324">
        <v>88</v>
      </c>
      <c r="CZ324" t="s">
        <v>2453</v>
      </c>
    </row>
    <row r="325" spans="1:104" ht="14.25">
      <c r="A325" t="s">
        <v>2565</v>
      </c>
      <c r="B325" t="s">
        <v>2564</v>
      </c>
      <c r="C325" t="s">
        <v>2563</v>
      </c>
      <c r="D325">
        <v>9</v>
      </c>
      <c r="E325" t="s">
        <v>2468</v>
      </c>
      <c r="F325" t="s">
        <v>2489</v>
      </c>
      <c r="G325" t="s">
        <v>2488</v>
      </c>
      <c r="H325"/>
      <c r="I325"/>
      <c r="J325" t="s">
        <v>2522</v>
      </c>
      <c r="K325"/>
      <c r="L325"/>
      <c r="M325">
        <v>18</v>
      </c>
      <c r="N325">
        <v>152</v>
      </c>
      <c r="O325">
        <v>16</v>
      </c>
      <c r="P325">
        <v>10</v>
      </c>
      <c r="Q325">
        <v>64</v>
      </c>
      <c r="R325" t="s">
        <v>2464</v>
      </c>
      <c r="S325" t="s">
        <v>2562</v>
      </c>
      <c r="T325" t="s">
        <v>2561</v>
      </c>
      <c r="U325" t="s">
        <v>2462</v>
      </c>
      <c r="V325">
        <v>40</v>
      </c>
      <c r="W325">
        <v>20</v>
      </c>
      <c r="X325"/>
      <c r="Y325">
        <v>80</v>
      </c>
      <c r="Z325"/>
      <c r="AA325">
        <v>21</v>
      </c>
      <c r="AB325">
        <v>10</v>
      </c>
      <c r="AC325">
        <v>19</v>
      </c>
      <c r="AD325">
        <v>14</v>
      </c>
      <c r="AE325">
        <v>13</v>
      </c>
      <c r="AF325">
        <v>17</v>
      </c>
      <c r="AG325">
        <v>91</v>
      </c>
      <c r="AH325"/>
      <c r="AI325"/>
      <c r="AJ325"/>
      <c r="AK325"/>
      <c r="AL325"/>
      <c r="AM325"/>
      <c r="AN325"/>
      <c r="AO325">
        <v>286</v>
      </c>
      <c r="AP325"/>
      <c r="AQ325"/>
      <c r="AR325"/>
      <c r="AS325"/>
      <c r="AT325"/>
      <c r="AU325"/>
      <c r="AV325"/>
      <c r="AW325"/>
      <c r="AX325"/>
      <c r="AY325"/>
      <c r="AZ325"/>
      <c r="BA325"/>
      <c r="BB325"/>
      <c r="BC325"/>
      <c r="BD325"/>
      <c r="BE325"/>
      <c r="BF325"/>
      <c r="BG325"/>
      <c r="BH325"/>
      <c r="BI325"/>
      <c r="BJ325"/>
      <c r="BK325"/>
      <c r="BL325"/>
      <c r="BM325"/>
      <c r="BN325"/>
      <c r="BO325"/>
      <c r="BP325" t="s">
        <v>2480</v>
      </c>
      <c r="BQ325" t="s">
        <v>2481</v>
      </c>
      <c r="BR325" t="s">
        <v>2480</v>
      </c>
      <c r="BS325" t="s">
        <v>2479</v>
      </c>
      <c r="BT325" t="s">
        <v>2560</v>
      </c>
      <c r="BU325" t="s">
        <v>2559</v>
      </c>
      <c r="BV325" t="s">
        <v>2476</v>
      </c>
      <c r="BW325" t="s">
        <v>2558</v>
      </c>
      <c r="BX325" t="s">
        <v>2557</v>
      </c>
      <c r="BY325" t="s">
        <v>2556</v>
      </c>
      <c r="BZ325" t="s">
        <v>2555</v>
      </c>
      <c r="CA325" t="s">
        <v>2539</v>
      </c>
      <c r="CB325"/>
      <c r="CC325"/>
      <c r="CD325"/>
      <c r="CE325"/>
      <c r="CF325"/>
      <c r="CG325"/>
      <c r="CH325"/>
      <c r="CI325"/>
      <c r="CJ325"/>
      <c r="CK325"/>
      <c r="CL325"/>
      <c r="CM325"/>
      <c r="CN325"/>
      <c r="CO325"/>
      <c r="CP325"/>
      <c r="CQ325"/>
      <c r="CR325"/>
      <c r="CS325"/>
      <c r="CT325"/>
      <c r="CU325"/>
      <c r="CV325"/>
      <c r="CW325"/>
      <c r="CX325" t="s">
        <v>2454</v>
      </c>
      <c r="CY325">
        <v>91</v>
      </c>
      <c r="CZ325" t="s">
        <v>2453</v>
      </c>
    </row>
    <row r="326" spans="1:104" ht="14.25">
      <c r="A326" t="s">
        <v>2554</v>
      </c>
      <c r="B326" t="s">
        <v>2553</v>
      </c>
      <c r="C326" t="s">
        <v>2552</v>
      </c>
      <c r="D326">
        <v>6</v>
      </c>
      <c r="E326" t="s">
        <v>2468</v>
      </c>
      <c r="F326" t="s">
        <v>2489</v>
      </c>
      <c r="G326" t="s">
        <v>2488</v>
      </c>
      <c r="H326"/>
      <c r="I326"/>
      <c r="J326" t="s">
        <v>2535</v>
      </c>
      <c r="K326"/>
      <c r="L326"/>
      <c r="M326">
        <v>17</v>
      </c>
      <c r="N326">
        <v>110</v>
      </c>
      <c r="O326">
        <v>13</v>
      </c>
      <c r="P326">
        <v>10</v>
      </c>
      <c r="Q326">
        <v>39</v>
      </c>
      <c r="R326" t="s">
        <v>2464</v>
      </c>
      <c r="S326" t="s">
        <v>2486</v>
      </c>
      <c r="T326" t="s">
        <v>2485</v>
      </c>
      <c r="U326" t="s">
        <v>2462</v>
      </c>
      <c r="V326">
        <v>40</v>
      </c>
      <c r="W326">
        <v>20</v>
      </c>
      <c r="X326"/>
      <c r="Y326">
        <v>80</v>
      </c>
      <c r="Z326"/>
      <c r="AA326">
        <v>19</v>
      </c>
      <c r="AB326">
        <v>10</v>
      </c>
      <c r="AC326">
        <v>17</v>
      </c>
      <c r="AD326">
        <v>12</v>
      </c>
      <c r="AE326">
        <v>11</v>
      </c>
      <c r="AF326">
        <v>15</v>
      </c>
      <c r="AG326">
        <v>105</v>
      </c>
      <c r="AH326"/>
      <c r="AI326"/>
      <c r="AJ326"/>
      <c r="AK326"/>
      <c r="AL326"/>
      <c r="AM326"/>
      <c r="AN326"/>
      <c r="AO326">
        <v>295</v>
      </c>
      <c r="AP326"/>
      <c r="AQ326"/>
      <c r="AR326"/>
      <c r="AS326"/>
      <c r="AT326"/>
      <c r="AU326"/>
      <c r="AV326"/>
      <c r="AW326"/>
      <c r="AX326"/>
      <c r="AY326"/>
      <c r="AZ326"/>
      <c r="BA326"/>
      <c r="BB326"/>
      <c r="BC326"/>
      <c r="BD326"/>
      <c r="BE326"/>
      <c r="BF326"/>
      <c r="BG326"/>
      <c r="BH326"/>
      <c r="BI326"/>
      <c r="BJ326"/>
      <c r="BK326"/>
      <c r="BL326"/>
      <c r="BM326"/>
      <c r="BN326"/>
      <c r="BO326"/>
      <c r="BP326" t="s">
        <v>2480</v>
      </c>
      <c r="BQ326" t="s">
        <v>2481</v>
      </c>
      <c r="BR326" t="s">
        <v>2480</v>
      </c>
      <c r="BS326" t="s">
        <v>2479</v>
      </c>
      <c r="BT326" t="s">
        <v>2534</v>
      </c>
      <c r="BU326" t="s">
        <v>2533</v>
      </c>
      <c r="BV326" t="s">
        <v>2476</v>
      </c>
      <c r="BW326" t="s">
        <v>2475</v>
      </c>
      <c r="BX326" t="s">
        <v>2474</v>
      </c>
      <c r="BY326" t="s">
        <v>2495</v>
      </c>
      <c r="BZ326" t="s">
        <v>2551</v>
      </c>
      <c r="CA326" t="s">
        <v>2550</v>
      </c>
      <c r="CB326"/>
      <c r="CC326"/>
      <c r="CD326"/>
      <c r="CE326"/>
      <c r="CF326"/>
      <c r="CG326"/>
      <c r="CH326"/>
      <c r="CI326"/>
      <c r="CJ326"/>
      <c r="CK326"/>
      <c r="CL326"/>
      <c r="CM326"/>
      <c r="CN326"/>
      <c r="CO326"/>
      <c r="CP326"/>
      <c r="CQ326"/>
      <c r="CR326"/>
      <c r="CS326"/>
      <c r="CT326"/>
      <c r="CU326"/>
      <c r="CV326"/>
      <c r="CW326"/>
      <c r="CX326" t="s">
        <v>2454</v>
      </c>
      <c r="CY326">
        <v>105</v>
      </c>
      <c r="CZ326" t="s">
        <v>2453</v>
      </c>
    </row>
    <row r="327" spans="1:104" ht="14.25">
      <c r="A327" t="s">
        <v>2549</v>
      </c>
      <c r="B327" t="s">
        <v>2548</v>
      </c>
      <c r="C327" t="s">
        <v>2547</v>
      </c>
      <c r="D327">
        <v>8</v>
      </c>
      <c r="E327" t="s">
        <v>2468</v>
      </c>
      <c r="F327" t="s">
        <v>2489</v>
      </c>
      <c r="G327" t="s">
        <v>2488</v>
      </c>
      <c r="H327"/>
      <c r="I327"/>
      <c r="J327" t="s">
        <v>2502</v>
      </c>
      <c r="K327"/>
      <c r="L327"/>
      <c r="M327">
        <v>18</v>
      </c>
      <c r="N327">
        <v>142</v>
      </c>
      <c r="O327">
        <v>15</v>
      </c>
      <c r="P327">
        <v>10</v>
      </c>
      <c r="Q327">
        <v>60</v>
      </c>
      <c r="R327" t="s">
        <v>2464</v>
      </c>
      <c r="S327" t="s">
        <v>2546</v>
      </c>
      <c r="T327" t="s">
        <v>2545</v>
      </c>
      <c r="U327" t="s">
        <v>2462</v>
      </c>
      <c r="V327">
        <v>40</v>
      </c>
      <c r="W327"/>
      <c r="X327"/>
      <c r="Y327">
        <v>80</v>
      </c>
      <c r="Z327">
        <v>40</v>
      </c>
      <c r="AA327">
        <v>21</v>
      </c>
      <c r="AB327">
        <v>10</v>
      </c>
      <c r="AC327">
        <v>19</v>
      </c>
      <c r="AD327">
        <v>14</v>
      </c>
      <c r="AE327">
        <v>13</v>
      </c>
      <c r="AF327">
        <v>17</v>
      </c>
      <c r="AG327">
        <v>108</v>
      </c>
      <c r="AH327"/>
      <c r="AI327"/>
      <c r="AJ327"/>
      <c r="AK327"/>
      <c r="AL327"/>
      <c r="AM327"/>
      <c r="AN327"/>
      <c r="AO327">
        <v>298</v>
      </c>
      <c r="AP327"/>
      <c r="AQ327"/>
      <c r="AR327"/>
      <c r="AS327"/>
      <c r="AT327"/>
      <c r="AU327"/>
      <c r="AV327"/>
      <c r="AW327"/>
      <c r="AX327"/>
      <c r="AY327" t="s">
        <v>2520</v>
      </c>
      <c r="AZ327" t="s">
        <v>2521</v>
      </c>
      <c r="BA327" t="s">
        <v>2520</v>
      </c>
      <c r="BB327"/>
      <c r="BC327"/>
      <c r="BD327"/>
      <c r="BE327"/>
      <c r="BF327"/>
      <c r="BG327"/>
      <c r="BH327"/>
      <c r="BI327"/>
      <c r="BJ327"/>
      <c r="BK327"/>
      <c r="BL327"/>
      <c r="BM327"/>
      <c r="BN327"/>
      <c r="BO327"/>
      <c r="BP327" t="s">
        <v>2480</v>
      </c>
      <c r="BQ327" t="s">
        <v>2481</v>
      </c>
      <c r="BR327" t="s">
        <v>2480</v>
      </c>
      <c r="BS327" t="s">
        <v>2479</v>
      </c>
      <c r="BT327" t="s">
        <v>2544</v>
      </c>
      <c r="BU327" t="s">
        <v>2543</v>
      </c>
      <c r="BV327" t="s">
        <v>2476</v>
      </c>
      <c r="BW327" t="s">
        <v>2542</v>
      </c>
      <c r="BX327" t="s">
        <v>2541</v>
      </c>
      <c r="BY327" t="s">
        <v>2495</v>
      </c>
      <c r="BZ327" t="s">
        <v>2540</v>
      </c>
      <c r="CA327" t="s">
        <v>2539</v>
      </c>
      <c r="CB327"/>
      <c r="CC327"/>
      <c r="CD327"/>
      <c r="CE327"/>
      <c r="CF327"/>
      <c r="CG327"/>
      <c r="CH327"/>
      <c r="CI327"/>
      <c r="CJ327"/>
      <c r="CK327"/>
      <c r="CL327"/>
      <c r="CM327"/>
      <c r="CN327"/>
      <c r="CO327"/>
      <c r="CP327"/>
      <c r="CQ327"/>
      <c r="CR327"/>
      <c r="CS327"/>
      <c r="CT327"/>
      <c r="CU327"/>
      <c r="CV327"/>
      <c r="CW327"/>
      <c r="CX327" t="s">
        <v>2454</v>
      </c>
      <c r="CY327">
        <v>108</v>
      </c>
      <c r="CZ327" t="s">
        <v>2453</v>
      </c>
    </row>
    <row r="328" spans="1:104" ht="14.25">
      <c r="A328" t="s">
        <v>2538</v>
      </c>
      <c r="B328" t="s">
        <v>2537</v>
      </c>
      <c r="C328" t="s">
        <v>2536</v>
      </c>
      <c r="D328">
        <v>7</v>
      </c>
      <c r="E328" t="s">
        <v>2468</v>
      </c>
      <c r="F328" t="s">
        <v>2489</v>
      </c>
      <c r="G328" t="s">
        <v>2488</v>
      </c>
      <c r="H328"/>
      <c r="I328"/>
      <c r="J328" t="s">
        <v>2535</v>
      </c>
      <c r="K328"/>
      <c r="L328"/>
      <c r="M328">
        <v>17</v>
      </c>
      <c r="N328">
        <v>119</v>
      </c>
      <c r="O328">
        <v>14</v>
      </c>
      <c r="P328">
        <v>10</v>
      </c>
      <c r="Q328">
        <v>42</v>
      </c>
      <c r="R328" t="s">
        <v>2464</v>
      </c>
      <c r="S328" t="s">
        <v>2486</v>
      </c>
      <c r="T328" t="s">
        <v>2485</v>
      </c>
      <c r="U328" t="s">
        <v>2462</v>
      </c>
      <c r="V328">
        <v>40</v>
      </c>
      <c r="W328"/>
      <c r="X328">
        <v>40</v>
      </c>
      <c r="Y328">
        <v>80</v>
      </c>
      <c r="Z328"/>
      <c r="AA328">
        <v>19</v>
      </c>
      <c r="AB328">
        <v>12</v>
      </c>
      <c r="AC328">
        <v>17</v>
      </c>
      <c r="AD328">
        <v>16</v>
      </c>
      <c r="AE328">
        <v>13</v>
      </c>
      <c r="AF328">
        <v>15</v>
      </c>
      <c r="AG328">
        <v>111</v>
      </c>
      <c r="AH328"/>
      <c r="AI328"/>
      <c r="AJ328"/>
      <c r="AK328"/>
      <c r="AL328"/>
      <c r="AM328"/>
      <c r="AN328"/>
      <c r="AO328">
        <v>300</v>
      </c>
      <c r="AP328"/>
      <c r="AQ328"/>
      <c r="AR328"/>
      <c r="AS328"/>
      <c r="AT328"/>
      <c r="AU328"/>
      <c r="AV328"/>
      <c r="AW328"/>
      <c r="AX328"/>
      <c r="AY328"/>
      <c r="AZ328"/>
      <c r="BA328"/>
      <c r="BB328"/>
      <c r="BC328"/>
      <c r="BD328"/>
      <c r="BE328"/>
      <c r="BF328"/>
      <c r="BG328"/>
      <c r="BH328"/>
      <c r="BI328"/>
      <c r="BJ328"/>
      <c r="BK328"/>
      <c r="BL328"/>
      <c r="BM328"/>
      <c r="BN328"/>
      <c r="BO328"/>
      <c r="BP328" t="s">
        <v>2480</v>
      </c>
      <c r="BQ328" t="s">
        <v>2481</v>
      </c>
      <c r="BR328" t="s">
        <v>2480</v>
      </c>
      <c r="BS328" t="s">
        <v>2479</v>
      </c>
      <c r="BT328" t="s">
        <v>2534</v>
      </c>
      <c r="BU328" t="s">
        <v>2533</v>
      </c>
      <c r="BV328" t="s">
        <v>2476</v>
      </c>
      <c r="BW328" t="s">
        <v>2475</v>
      </c>
      <c r="BX328" t="s">
        <v>2474</v>
      </c>
      <c r="BY328" t="s">
        <v>2495</v>
      </c>
      <c r="BZ328" t="s">
        <v>2532</v>
      </c>
      <c r="CA328" t="s">
        <v>2531</v>
      </c>
      <c r="CB328"/>
      <c r="CC328"/>
      <c r="CD328"/>
      <c r="CE328"/>
      <c r="CF328"/>
      <c r="CG328"/>
      <c r="CH328"/>
      <c r="CI328"/>
      <c r="CJ328"/>
      <c r="CK328"/>
      <c r="CL328"/>
      <c r="CM328"/>
      <c r="CN328"/>
      <c r="CO328"/>
      <c r="CP328"/>
      <c r="CQ328"/>
      <c r="CR328"/>
      <c r="CS328"/>
      <c r="CT328"/>
      <c r="CU328"/>
      <c r="CV328"/>
      <c r="CW328"/>
      <c r="CX328" t="s">
        <v>2454</v>
      </c>
      <c r="CY328">
        <v>111</v>
      </c>
      <c r="CZ328" t="s">
        <v>2453</v>
      </c>
    </row>
    <row r="329" spans="1:104" ht="14.25">
      <c r="A329" t="s">
        <v>2530</v>
      </c>
      <c r="B329" t="s">
        <v>2529</v>
      </c>
      <c r="C329" t="s">
        <v>2528</v>
      </c>
      <c r="D329">
        <v>10</v>
      </c>
      <c r="E329" t="s">
        <v>2468</v>
      </c>
      <c r="F329" t="s">
        <v>2489</v>
      </c>
      <c r="G329" t="s">
        <v>2488</v>
      </c>
      <c r="H329"/>
      <c r="I329"/>
      <c r="J329" t="s">
        <v>2502</v>
      </c>
      <c r="K329"/>
      <c r="L329"/>
      <c r="M329">
        <v>18</v>
      </c>
      <c r="N329">
        <v>178</v>
      </c>
      <c r="O329">
        <v>17</v>
      </c>
      <c r="P329">
        <v>10</v>
      </c>
      <c r="Q329">
        <v>85</v>
      </c>
      <c r="R329" t="s">
        <v>2464</v>
      </c>
      <c r="S329" t="s">
        <v>2501</v>
      </c>
      <c r="T329" t="s">
        <v>2500</v>
      </c>
      <c r="U329" t="s">
        <v>2462</v>
      </c>
      <c r="V329">
        <v>40</v>
      </c>
      <c r="W329"/>
      <c r="X329"/>
      <c r="Y329">
        <v>80</v>
      </c>
      <c r="Z329">
        <v>40</v>
      </c>
      <c r="AA329">
        <v>23</v>
      </c>
      <c r="AB329">
        <v>14</v>
      </c>
      <c r="AC329">
        <v>21</v>
      </c>
      <c r="AD329">
        <v>16</v>
      </c>
      <c r="AE329">
        <v>13</v>
      </c>
      <c r="AF329">
        <v>20</v>
      </c>
      <c r="AG329">
        <v>115</v>
      </c>
      <c r="AH329"/>
      <c r="AI329"/>
      <c r="AJ329"/>
      <c r="AK329"/>
      <c r="AL329"/>
      <c r="AM329"/>
      <c r="AN329"/>
      <c r="AO329">
        <v>303</v>
      </c>
      <c r="AP329"/>
      <c r="AQ329"/>
      <c r="AR329"/>
      <c r="AS329"/>
      <c r="AT329"/>
      <c r="AU329"/>
      <c r="AV329"/>
      <c r="AW329"/>
      <c r="AX329"/>
      <c r="AY329" t="s">
        <v>2520</v>
      </c>
      <c r="AZ329" t="s">
        <v>2521</v>
      </c>
      <c r="BA329" t="s">
        <v>2520</v>
      </c>
      <c r="BB329"/>
      <c r="BC329"/>
      <c r="BD329"/>
      <c r="BE329"/>
      <c r="BF329"/>
      <c r="BG329"/>
      <c r="BH329"/>
      <c r="BI329"/>
      <c r="BJ329"/>
      <c r="BK329"/>
      <c r="BL329"/>
      <c r="BM329"/>
      <c r="BN329"/>
      <c r="BO329"/>
      <c r="BP329" t="s">
        <v>2480</v>
      </c>
      <c r="BQ329" t="s">
        <v>2481</v>
      </c>
      <c r="BR329" t="s">
        <v>2480</v>
      </c>
      <c r="BS329" t="s">
        <v>2479</v>
      </c>
      <c r="BT329" t="s">
        <v>2499</v>
      </c>
      <c r="BU329" t="s">
        <v>2498</v>
      </c>
      <c r="BV329" t="s">
        <v>2476</v>
      </c>
      <c r="BW329" t="s">
        <v>2497</v>
      </c>
      <c r="BX329" t="s">
        <v>2496</v>
      </c>
      <c r="BY329" t="s">
        <v>2495</v>
      </c>
      <c r="BZ329" t="s">
        <v>2527</v>
      </c>
      <c r="CA329" t="s">
        <v>2526</v>
      </c>
      <c r="CB329"/>
      <c r="CC329"/>
      <c r="CD329"/>
      <c r="CE329"/>
      <c r="CF329"/>
      <c r="CG329"/>
      <c r="CH329"/>
      <c r="CI329"/>
      <c r="CJ329"/>
      <c r="CK329"/>
      <c r="CL329"/>
      <c r="CM329"/>
      <c r="CN329"/>
      <c r="CO329"/>
      <c r="CP329"/>
      <c r="CQ329"/>
      <c r="CR329"/>
      <c r="CS329"/>
      <c r="CT329"/>
      <c r="CU329"/>
      <c r="CV329"/>
      <c r="CW329"/>
      <c r="CX329" t="s">
        <v>2454</v>
      </c>
      <c r="CY329">
        <v>115</v>
      </c>
      <c r="CZ329" t="s">
        <v>2453</v>
      </c>
    </row>
    <row r="330" spans="1:104" ht="14.25">
      <c r="A330" t="s">
        <v>2525</v>
      </c>
      <c r="B330" t="s">
        <v>2524</v>
      </c>
      <c r="C330" t="s">
        <v>2523</v>
      </c>
      <c r="D330">
        <v>8</v>
      </c>
      <c r="E330" t="s">
        <v>2468</v>
      </c>
      <c r="F330" t="s">
        <v>2489</v>
      </c>
      <c r="G330" t="s">
        <v>2488</v>
      </c>
      <c r="H330"/>
      <c r="I330"/>
      <c r="J330" t="s">
        <v>2522</v>
      </c>
      <c r="K330"/>
      <c r="L330"/>
      <c r="M330">
        <v>18</v>
      </c>
      <c r="N330">
        <v>136</v>
      </c>
      <c r="O330">
        <v>16</v>
      </c>
      <c r="P330">
        <v>10</v>
      </c>
      <c r="Q330">
        <v>48</v>
      </c>
      <c r="R330" t="s">
        <v>2464</v>
      </c>
      <c r="S330" t="s">
        <v>2486</v>
      </c>
      <c r="T330" t="s">
        <v>2485</v>
      </c>
      <c r="U330" t="s">
        <v>2485</v>
      </c>
      <c r="V330">
        <v>40</v>
      </c>
      <c r="W330"/>
      <c r="X330"/>
      <c r="Y330">
        <v>80</v>
      </c>
      <c r="Z330">
        <v>40</v>
      </c>
      <c r="AA330">
        <v>19</v>
      </c>
      <c r="AB330">
        <v>12</v>
      </c>
      <c r="AC330">
        <v>17</v>
      </c>
      <c r="AD330">
        <v>16</v>
      </c>
      <c r="AE330">
        <v>13</v>
      </c>
      <c r="AF330">
        <v>15</v>
      </c>
      <c r="AG330">
        <v>94</v>
      </c>
      <c r="AH330"/>
      <c r="AI330"/>
      <c r="AJ330">
        <v>63</v>
      </c>
      <c r="AK330"/>
      <c r="AL330"/>
      <c r="AM330"/>
      <c r="AN330">
        <v>52</v>
      </c>
      <c r="AO330">
        <v>288</v>
      </c>
      <c r="AP330"/>
      <c r="AQ330"/>
      <c r="AR330"/>
      <c r="AS330"/>
      <c r="AT330"/>
      <c r="AU330"/>
      <c r="AV330"/>
      <c r="AW330"/>
      <c r="AX330"/>
      <c r="AY330" t="s">
        <v>2520</v>
      </c>
      <c r="AZ330" t="s">
        <v>2521</v>
      </c>
      <c r="BA330" t="s">
        <v>2520</v>
      </c>
      <c r="BB330"/>
      <c r="BC330"/>
      <c r="BD330"/>
      <c r="BE330"/>
      <c r="BF330"/>
      <c r="BG330"/>
      <c r="BH330"/>
      <c r="BI330"/>
      <c r="BJ330"/>
      <c r="BK330"/>
      <c r="BL330"/>
      <c r="BM330"/>
      <c r="BN330"/>
      <c r="BO330"/>
      <c r="BP330" t="s">
        <v>2480</v>
      </c>
      <c r="BQ330" t="s">
        <v>2481</v>
      </c>
      <c r="BR330" t="s">
        <v>2480</v>
      </c>
      <c r="BS330" t="s">
        <v>2479</v>
      </c>
      <c r="BT330" t="s">
        <v>2519</v>
      </c>
      <c r="BU330" t="s">
        <v>2518</v>
      </c>
      <c r="BV330" t="s">
        <v>2476</v>
      </c>
      <c r="BW330" t="s">
        <v>2475</v>
      </c>
      <c r="BX330" t="s">
        <v>2474</v>
      </c>
      <c r="BY330" t="s">
        <v>2517</v>
      </c>
      <c r="BZ330" t="s">
        <v>2516</v>
      </c>
      <c r="CA330" t="s">
        <v>2515</v>
      </c>
      <c r="CB330"/>
      <c r="CC330"/>
      <c r="CD330"/>
      <c r="CE330"/>
      <c r="CF330"/>
      <c r="CG330"/>
      <c r="CH330"/>
      <c r="CI330"/>
      <c r="CJ330"/>
      <c r="CK330"/>
      <c r="CL330"/>
      <c r="CM330"/>
      <c r="CN330"/>
      <c r="CO330"/>
      <c r="CP330"/>
      <c r="CQ330"/>
      <c r="CR330"/>
      <c r="CS330"/>
      <c r="CT330"/>
      <c r="CU330"/>
      <c r="CV330"/>
      <c r="CW330"/>
      <c r="CX330" t="s">
        <v>2454</v>
      </c>
      <c r="CY330">
        <v>94</v>
      </c>
      <c r="CZ330" t="s">
        <v>2453</v>
      </c>
    </row>
    <row r="331" spans="1:104" ht="14.25">
      <c r="A331" t="s">
        <v>2514</v>
      </c>
      <c r="B331" t="s">
        <v>2513</v>
      </c>
      <c r="C331" t="s">
        <v>2512</v>
      </c>
      <c r="D331">
        <v>10</v>
      </c>
      <c r="E331" t="s">
        <v>2468</v>
      </c>
      <c r="F331" t="s">
        <v>2489</v>
      </c>
      <c r="G331" t="s">
        <v>2488</v>
      </c>
      <c r="H331"/>
      <c r="I331"/>
      <c r="J331" t="s">
        <v>2487</v>
      </c>
      <c r="K331"/>
      <c r="L331"/>
      <c r="M331">
        <v>18</v>
      </c>
      <c r="N331">
        <v>178</v>
      </c>
      <c r="O331">
        <v>17</v>
      </c>
      <c r="P331">
        <v>10</v>
      </c>
      <c r="Q331">
        <v>85</v>
      </c>
      <c r="R331" t="s">
        <v>2464</v>
      </c>
      <c r="S331" t="s">
        <v>2501</v>
      </c>
      <c r="T331" t="s">
        <v>2500</v>
      </c>
      <c r="U331" t="s">
        <v>2511</v>
      </c>
      <c r="V331">
        <v>40</v>
      </c>
      <c r="W331"/>
      <c r="X331">
        <v>40</v>
      </c>
      <c r="Y331">
        <v>80</v>
      </c>
      <c r="Z331"/>
      <c r="AA331">
        <v>23</v>
      </c>
      <c r="AB331">
        <v>10</v>
      </c>
      <c r="AC331">
        <v>21</v>
      </c>
      <c r="AD331">
        <v>14</v>
      </c>
      <c r="AE331">
        <v>11</v>
      </c>
      <c r="AF331">
        <v>19</v>
      </c>
      <c r="AG331">
        <v>98</v>
      </c>
      <c r="AH331"/>
      <c r="AI331"/>
      <c r="AJ331"/>
      <c r="AK331"/>
      <c r="AL331"/>
      <c r="AM331"/>
      <c r="AN331"/>
      <c r="AO331">
        <v>291</v>
      </c>
      <c r="AP331"/>
      <c r="AQ331"/>
      <c r="AR331"/>
      <c r="AS331"/>
      <c r="AT331">
        <v>38</v>
      </c>
      <c r="AU331"/>
      <c r="AV331"/>
      <c r="AW331"/>
      <c r="AX331"/>
      <c r="AY331"/>
      <c r="AZ331"/>
      <c r="BA331"/>
      <c r="BB331"/>
      <c r="BC331"/>
      <c r="BD331"/>
      <c r="BE331"/>
      <c r="BF331"/>
      <c r="BG331"/>
      <c r="BH331"/>
      <c r="BI331"/>
      <c r="BJ331"/>
      <c r="BK331"/>
      <c r="BL331"/>
      <c r="BM331"/>
      <c r="BN331"/>
      <c r="BO331"/>
      <c r="BP331" t="s">
        <v>2480</v>
      </c>
      <c r="BQ331" t="s">
        <v>2481</v>
      </c>
      <c r="BR331" t="s">
        <v>2480</v>
      </c>
      <c r="BS331" t="s">
        <v>2479</v>
      </c>
      <c r="BT331" t="s">
        <v>2510</v>
      </c>
      <c r="BU331" t="s">
        <v>2509</v>
      </c>
      <c r="BV331" t="s">
        <v>2476</v>
      </c>
      <c r="BW331" t="s">
        <v>2497</v>
      </c>
      <c r="BX331" t="s">
        <v>2496</v>
      </c>
      <c r="BY331" t="s">
        <v>2508</v>
      </c>
      <c r="BZ331" t="s">
        <v>2507</v>
      </c>
      <c r="CA331" t="s">
        <v>2506</v>
      </c>
      <c r="CB331"/>
      <c r="CC331"/>
      <c r="CD331"/>
      <c r="CE331"/>
      <c r="CF331"/>
      <c r="CG331"/>
      <c r="CH331"/>
      <c r="CI331"/>
      <c r="CJ331"/>
      <c r="CK331"/>
      <c r="CL331"/>
      <c r="CM331"/>
      <c r="CN331"/>
      <c r="CO331"/>
      <c r="CP331"/>
      <c r="CQ331"/>
      <c r="CR331"/>
      <c r="CS331"/>
      <c r="CT331"/>
      <c r="CU331"/>
      <c r="CV331"/>
      <c r="CW331"/>
      <c r="CX331" t="s">
        <v>2454</v>
      </c>
      <c r="CY331">
        <v>98</v>
      </c>
      <c r="CZ331" t="s">
        <v>2453</v>
      </c>
    </row>
    <row r="332" spans="1:104" ht="14.25">
      <c r="A332" t="s">
        <v>2505</v>
      </c>
      <c r="B332" t="s">
        <v>2504</v>
      </c>
      <c r="C332" t="s">
        <v>2503</v>
      </c>
      <c r="D332">
        <v>9</v>
      </c>
      <c r="E332" t="s">
        <v>2468</v>
      </c>
      <c r="F332" t="s">
        <v>2489</v>
      </c>
      <c r="G332" t="s">
        <v>2488</v>
      </c>
      <c r="H332"/>
      <c r="I332"/>
      <c r="J332" t="s">
        <v>2502</v>
      </c>
      <c r="K332"/>
      <c r="L332"/>
      <c r="M332">
        <v>18</v>
      </c>
      <c r="N332">
        <v>168</v>
      </c>
      <c r="O332">
        <v>16</v>
      </c>
      <c r="P332">
        <v>10</v>
      </c>
      <c r="Q332">
        <v>80</v>
      </c>
      <c r="R332" t="s">
        <v>2464</v>
      </c>
      <c r="S332" t="s">
        <v>2501</v>
      </c>
      <c r="T332" t="s">
        <v>2500</v>
      </c>
      <c r="U332" t="s">
        <v>2462</v>
      </c>
      <c r="V332">
        <v>40</v>
      </c>
      <c r="W332"/>
      <c r="X332"/>
      <c r="Y332">
        <v>80</v>
      </c>
      <c r="Z332"/>
      <c r="AA332">
        <v>23</v>
      </c>
      <c r="AB332">
        <v>10</v>
      </c>
      <c r="AC332">
        <v>21</v>
      </c>
      <c r="AD332">
        <v>14</v>
      </c>
      <c r="AE332">
        <v>11</v>
      </c>
      <c r="AF332">
        <v>19</v>
      </c>
      <c r="AG332">
        <v>118</v>
      </c>
      <c r="AH332"/>
      <c r="AI332"/>
      <c r="AJ332"/>
      <c r="AK332"/>
      <c r="AL332"/>
      <c r="AM332"/>
      <c r="AN332"/>
      <c r="AO332">
        <v>306</v>
      </c>
      <c r="AP332"/>
      <c r="AQ332"/>
      <c r="AR332"/>
      <c r="AS332"/>
      <c r="AT332"/>
      <c r="AU332"/>
      <c r="AV332"/>
      <c r="AW332"/>
      <c r="AX332"/>
      <c r="AY332"/>
      <c r="AZ332"/>
      <c r="BA332"/>
      <c r="BB332"/>
      <c r="BC332"/>
      <c r="BD332"/>
      <c r="BE332"/>
      <c r="BF332"/>
      <c r="BG332"/>
      <c r="BH332"/>
      <c r="BI332"/>
      <c r="BJ332"/>
      <c r="BK332"/>
      <c r="BL332"/>
      <c r="BM332"/>
      <c r="BN332"/>
      <c r="BO332"/>
      <c r="BP332" t="s">
        <v>2480</v>
      </c>
      <c r="BQ332" t="s">
        <v>2481</v>
      </c>
      <c r="BR332" t="s">
        <v>2480</v>
      </c>
      <c r="BS332" t="s">
        <v>2479</v>
      </c>
      <c r="BT332" t="s">
        <v>2499</v>
      </c>
      <c r="BU332" t="s">
        <v>2498</v>
      </c>
      <c r="BV332" t="s">
        <v>2476</v>
      </c>
      <c r="BW332" t="s">
        <v>2497</v>
      </c>
      <c r="BX332" t="s">
        <v>2496</v>
      </c>
      <c r="BY332" t="s">
        <v>2495</v>
      </c>
      <c r="BZ332" t="s">
        <v>2494</v>
      </c>
      <c r="CA332" t="s">
        <v>2493</v>
      </c>
      <c r="CB332"/>
      <c r="CC332"/>
      <c r="CD332"/>
      <c r="CE332"/>
      <c r="CF332"/>
      <c r="CG332"/>
      <c r="CH332"/>
      <c r="CI332"/>
      <c r="CJ332"/>
      <c r="CK332"/>
      <c r="CL332"/>
      <c r="CM332"/>
      <c r="CN332"/>
      <c r="CO332"/>
      <c r="CP332"/>
      <c r="CQ332"/>
      <c r="CR332"/>
      <c r="CS332"/>
      <c r="CT332"/>
      <c r="CU332"/>
      <c r="CV332"/>
      <c r="CW332"/>
      <c r="CX332" t="s">
        <v>2454</v>
      </c>
      <c r="CY332">
        <v>118</v>
      </c>
      <c r="CZ332" t="s">
        <v>2453</v>
      </c>
    </row>
    <row r="333" spans="1:104" ht="14.25">
      <c r="A333" t="s">
        <v>2492</v>
      </c>
      <c r="B333" t="s">
        <v>2491</v>
      </c>
      <c r="C333" t="s">
        <v>2490</v>
      </c>
      <c r="D333">
        <v>6</v>
      </c>
      <c r="E333" t="s">
        <v>2468</v>
      </c>
      <c r="F333" t="s">
        <v>2489</v>
      </c>
      <c r="G333" t="s">
        <v>2488</v>
      </c>
      <c r="H333"/>
      <c r="I333"/>
      <c r="J333" t="s">
        <v>2487</v>
      </c>
      <c r="K333"/>
      <c r="L333"/>
      <c r="M333">
        <v>17</v>
      </c>
      <c r="N333">
        <v>133</v>
      </c>
      <c r="O333">
        <v>14</v>
      </c>
      <c r="P333">
        <v>10</v>
      </c>
      <c r="Q333">
        <v>56</v>
      </c>
      <c r="R333" t="s">
        <v>2464</v>
      </c>
      <c r="S333" t="s">
        <v>2486</v>
      </c>
      <c r="T333" t="s">
        <v>2485</v>
      </c>
      <c r="U333" t="s">
        <v>2484</v>
      </c>
      <c r="V333">
        <v>40</v>
      </c>
      <c r="W333">
        <v>20</v>
      </c>
      <c r="X333"/>
      <c r="Y333">
        <v>80</v>
      </c>
      <c r="Z333">
        <v>40</v>
      </c>
      <c r="AA333">
        <v>18</v>
      </c>
      <c r="AB333">
        <v>10</v>
      </c>
      <c r="AC333">
        <v>18</v>
      </c>
      <c r="AD333">
        <v>6</v>
      </c>
      <c r="AE333">
        <v>11</v>
      </c>
      <c r="AF333">
        <v>12</v>
      </c>
      <c r="AG333">
        <v>101</v>
      </c>
      <c r="AH333"/>
      <c r="AI333"/>
      <c r="AJ333"/>
      <c r="AK333"/>
      <c r="AL333"/>
      <c r="AM333"/>
      <c r="AN333"/>
      <c r="AO333">
        <v>293</v>
      </c>
      <c r="AP333"/>
      <c r="AQ333"/>
      <c r="AR333"/>
      <c r="AS333"/>
      <c r="AT333"/>
      <c r="AU333"/>
      <c r="AV333"/>
      <c r="AW333"/>
      <c r="AX333"/>
      <c r="AY333" t="s">
        <v>2482</v>
      </c>
      <c r="AZ333" t="s">
        <v>2483</v>
      </c>
      <c r="BA333" t="s">
        <v>2482</v>
      </c>
      <c r="BB333"/>
      <c r="BC333"/>
      <c r="BD333"/>
      <c r="BE333"/>
      <c r="BF333"/>
      <c r="BG333"/>
      <c r="BH333"/>
      <c r="BI333"/>
      <c r="BJ333"/>
      <c r="BK333"/>
      <c r="BL333"/>
      <c r="BM333"/>
      <c r="BN333"/>
      <c r="BO333"/>
      <c r="BP333" t="s">
        <v>2480</v>
      </c>
      <c r="BQ333" t="s">
        <v>2481</v>
      </c>
      <c r="BR333" t="s">
        <v>2480</v>
      </c>
      <c r="BS333" t="s">
        <v>2479</v>
      </c>
      <c r="BT333" t="s">
        <v>2478</v>
      </c>
      <c r="BU333" t="s">
        <v>2477</v>
      </c>
      <c r="BV333" t="s">
        <v>2476</v>
      </c>
      <c r="BW333" t="s">
        <v>2475</v>
      </c>
      <c r="BX333" t="s">
        <v>2474</v>
      </c>
      <c r="BY333" t="s">
        <v>2473</v>
      </c>
      <c r="BZ333" t="s">
        <v>2472</v>
      </c>
      <c r="CA333" t="s">
        <v>2471</v>
      </c>
      <c r="CB333"/>
      <c r="CC333"/>
      <c r="CD333"/>
      <c r="CE333"/>
      <c r="CF333"/>
      <c r="CG333"/>
      <c r="CH333"/>
      <c r="CI333"/>
      <c r="CJ333"/>
      <c r="CK333"/>
      <c r="CL333"/>
      <c r="CM333"/>
      <c r="CN333"/>
      <c r="CO333"/>
      <c r="CP333"/>
      <c r="CQ333"/>
      <c r="CR333"/>
      <c r="CS333"/>
      <c r="CT333"/>
      <c r="CU333"/>
      <c r="CV333"/>
      <c r="CW333"/>
      <c r="CX333" t="s">
        <v>2454</v>
      </c>
      <c r="CY333">
        <v>101</v>
      </c>
      <c r="CZ333" t="s">
        <v>2453</v>
      </c>
    </row>
    <row r="334" spans="1:104" ht="14.25">
      <c r="A334" t="s">
        <v>2470</v>
      </c>
      <c r="B334" t="s">
        <v>2470</v>
      </c>
      <c r="C334" t="s">
        <v>2469</v>
      </c>
      <c r="D334">
        <v>0.25</v>
      </c>
      <c r="E334" t="s">
        <v>2468</v>
      </c>
      <c r="F334" t="s">
        <v>2467</v>
      </c>
      <c r="G334" t="s">
        <v>2466</v>
      </c>
      <c r="H334"/>
      <c r="I334"/>
      <c r="J334" t="s">
        <v>2465</v>
      </c>
      <c r="K334"/>
      <c r="L334"/>
      <c r="M334">
        <v>8</v>
      </c>
      <c r="N334">
        <v>22</v>
      </c>
      <c r="O334">
        <v>3</v>
      </c>
      <c r="P334">
        <v>8</v>
      </c>
      <c r="Q334">
        <v>9</v>
      </c>
      <c r="R334" t="s">
        <v>2464</v>
      </c>
      <c r="S334" t="s">
        <v>2463</v>
      </c>
      <c r="T334" t="s">
        <v>2462</v>
      </c>
      <c r="U334" t="s">
        <v>2462</v>
      </c>
      <c r="V334">
        <v>20</v>
      </c>
      <c r="W334"/>
      <c r="X334"/>
      <c r="Y334"/>
      <c r="Z334"/>
      <c r="AA334">
        <v>13</v>
      </c>
      <c r="AB334">
        <v>6</v>
      </c>
      <c r="AC334">
        <v>16</v>
      </c>
      <c r="AD334">
        <v>3</v>
      </c>
      <c r="AE334">
        <v>6</v>
      </c>
      <c r="AF334">
        <v>5</v>
      </c>
      <c r="AG334">
        <v>316</v>
      </c>
      <c r="AH334">
        <v>311</v>
      </c>
      <c r="AI334"/>
      <c r="AJ334">
        <v>63</v>
      </c>
      <c r="AK334"/>
      <c r="AL334"/>
      <c r="AM334"/>
      <c r="AN334">
        <v>52</v>
      </c>
      <c r="AO334">
        <v>359</v>
      </c>
      <c r="AP334"/>
      <c r="AQ334"/>
      <c r="AR334"/>
      <c r="AS334" t="s">
        <v>2461</v>
      </c>
      <c r="AT334"/>
      <c r="AU334"/>
      <c r="AV334" t="s">
        <v>2460</v>
      </c>
      <c r="AW334"/>
      <c r="AX334"/>
      <c r="AY334" t="s">
        <v>2458</v>
      </c>
      <c r="AZ334" t="s">
        <v>2459</v>
      </c>
      <c r="BA334" t="s">
        <v>2458</v>
      </c>
      <c r="BB334"/>
      <c r="BC334"/>
      <c r="BD334"/>
      <c r="BE334"/>
      <c r="BF334"/>
      <c r="BG334"/>
      <c r="BH334"/>
      <c r="BI334"/>
      <c r="BJ334"/>
      <c r="BK334"/>
      <c r="BL334"/>
      <c r="BM334"/>
      <c r="BN334"/>
      <c r="BO334"/>
      <c r="BP334" t="s">
        <v>2457</v>
      </c>
      <c r="BQ334" t="s">
        <v>2456</v>
      </c>
      <c r="BR334" t="s">
        <v>2455</v>
      </c>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t="s">
        <v>2454</v>
      </c>
      <c r="CY334">
        <v>316</v>
      </c>
      <c r="CZ334" t="s">
        <v>2453</v>
      </c>
    </row>
  </sheetData>
  <hyperlinks>
    <hyperlink ref="C4" r:id="rId1" xr:uid="{4B511CE7-E8FB-4701-A397-E852C89FFB13}"/>
    <hyperlink ref="C5" r:id="rId2" xr:uid="{0D0767E9-BEE8-4118-9568-6706DCD3493C}"/>
    <hyperlink ref="C6" r:id="rId3" xr:uid="{FDB8CD2C-ECA4-49E7-BAF0-5A747586E2A7}"/>
    <hyperlink ref="C7" r:id="rId4" xr:uid="{753E9E68-F0CE-418A-91E9-C66AF374202C}"/>
    <hyperlink ref="C8" r:id="rId5" xr:uid="{564BF413-580C-4FFC-BD8B-AE37024074FA}"/>
    <hyperlink ref="C9" r:id="rId6" xr:uid="{DA239DB6-0E82-41FB-A557-4CBD5AD9373D}"/>
    <hyperlink ref="C10" r:id="rId7" xr:uid="{B76B69A7-411B-472E-A30D-2EF166588081}"/>
    <hyperlink ref="C11" r:id="rId8" xr:uid="{B411E468-7F58-4EF9-8720-6F5B27A33B1C}"/>
    <hyperlink ref="C12" r:id="rId9" xr:uid="{A5B77F7D-A22A-483F-9020-F6E89E6765DA}"/>
    <hyperlink ref="C13" r:id="rId10" xr:uid="{5E98CA22-3F1A-463E-9B17-68EDFBDA8317}"/>
    <hyperlink ref="C14" r:id="rId11" xr:uid="{3C7D2D5C-0958-4500-A9B7-ADEA1F819610}"/>
    <hyperlink ref="C15" r:id="rId12" xr:uid="{2FE80D74-211B-4C32-9BB5-A514845B9983}"/>
    <hyperlink ref="C16" r:id="rId13" xr:uid="{26A9F1D1-5310-40A2-9C61-7F93885E2579}"/>
    <hyperlink ref="C17" r:id="rId14" xr:uid="{C0173D71-7077-44FA-8728-55061DB8FD48}"/>
    <hyperlink ref="C18" r:id="rId15" xr:uid="{D1E2D317-2487-474F-9735-42F1309CA0E1}"/>
    <hyperlink ref="C19" r:id="rId16" xr:uid="{B285B6CA-D466-4797-9E3F-92E9B11CA11B}"/>
    <hyperlink ref="C20" r:id="rId17" xr:uid="{FC41D073-7E2D-419B-AE73-551EE201F2AF}"/>
    <hyperlink ref="C21" r:id="rId18" xr:uid="{BDEBE0ED-88CC-4689-B640-0AB80FDB204F}"/>
    <hyperlink ref="C22" r:id="rId19" xr:uid="{A72B19B0-3DE9-47C2-90BB-95234FF1291E}"/>
    <hyperlink ref="C23" r:id="rId20" xr:uid="{0BCDCE59-1E7A-4ED6-B005-09F70F89295A}"/>
    <hyperlink ref="C24" r:id="rId21" xr:uid="{6E33E128-A28D-4EE8-9532-F98E1C2C1320}"/>
    <hyperlink ref="C25" r:id="rId22" xr:uid="{A777EC5C-674A-465A-8FA3-BF93F4E7C335}"/>
    <hyperlink ref="C26" r:id="rId23" xr:uid="{69D53F26-1467-4915-8A4F-16F834A18069}"/>
    <hyperlink ref="C27" r:id="rId24" xr:uid="{8F8A8BFF-C340-403C-9057-9F5931B66068}"/>
    <hyperlink ref="C28" r:id="rId25" xr:uid="{59B883C0-FCFD-4818-AD0A-7130DC9A0FFE}"/>
    <hyperlink ref="C29" r:id="rId26" xr:uid="{E0DD9CC2-7038-438C-92CD-D3E79D8CDA5E}"/>
    <hyperlink ref="C30" r:id="rId27" xr:uid="{6EC6CF50-5346-494B-AA43-C6790017351C}"/>
    <hyperlink ref="C31" r:id="rId28" xr:uid="{1735542D-3012-41D7-81B0-4FC7A8E1D80D}"/>
    <hyperlink ref="C32" r:id="rId29" xr:uid="{B82DB814-FDD7-4D9A-BDE8-F6C492BB6CB2}"/>
    <hyperlink ref="C34" r:id="rId30" xr:uid="{57339680-A28B-4269-BA33-20868DDF6577}"/>
    <hyperlink ref="C35" r:id="rId31" xr:uid="{57C713E5-D37D-47D9-8AC8-AD074A71999A}"/>
    <hyperlink ref="C36" r:id="rId32" xr:uid="{1BFD2E28-ADCF-41A8-B00B-AF2D6A54E1CF}"/>
    <hyperlink ref="C37" r:id="rId33" xr:uid="{3DF2C261-8C93-4CF8-93CC-C0D05E1CDFC9}"/>
    <hyperlink ref="C38" r:id="rId34" xr:uid="{BAF36D95-922B-41B9-AE45-7D67D5FA6DDE}"/>
    <hyperlink ref="C39" r:id="rId35" xr:uid="{2EF8BAE3-DC1A-4F91-A799-7A01D7E51E9E}"/>
    <hyperlink ref="C40" r:id="rId36" xr:uid="{84D78556-0EC2-46A1-9D96-30021110A785}"/>
    <hyperlink ref="C41" r:id="rId37" xr:uid="{F79D51DA-C709-4B76-BCF3-16896E587D3A}"/>
    <hyperlink ref="C42" r:id="rId38" xr:uid="{A3B89AB5-CFAC-4E7B-904F-21A13B681561}"/>
    <hyperlink ref="C43" r:id="rId39" xr:uid="{BC1690C8-15BB-46F4-B7FE-CBC002DAF663}"/>
    <hyperlink ref="C44" r:id="rId40" xr:uid="{4642DF8D-BF07-4A7A-B33E-6026BEE1C75F}"/>
    <hyperlink ref="C45" r:id="rId41" xr:uid="{E70BF7B6-8E36-4160-812A-5C9C3257B458}"/>
    <hyperlink ref="C46" r:id="rId42" xr:uid="{056FAE53-B996-4018-8F41-C78B98BE713B}"/>
    <hyperlink ref="C47" r:id="rId43" xr:uid="{46140A72-1E71-4D64-9915-7BADA42EF9E8}"/>
    <hyperlink ref="C48" r:id="rId44" xr:uid="{36A7E90A-F32C-4E7B-9C2D-2C312B66BC36}"/>
    <hyperlink ref="C49" r:id="rId45" xr:uid="{0C3915AA-F6BA-457F-BBAA-6808A3C6776B}"/>
    <hyperlink ref="C50" r:id="rId46" xr:uid="{25040A45-1146-41E3-A88E-01B579D210FC}"/>
    <hyperlink ref="C51" r:id="rId47" xr:uid="{A46CD914-4A64-4FF4-A347-83271E8B57C7}"/>
    <hyperlink ref="C52" r:id="rId48" xr:uid="{666A162A-44E1-4BD6-B0FC-B9DE8CC39CDB}"/>
    <hyperlink ref="C53" r:id="rId49" xr:uid="{7AE185FD-702E-4D1D-B752-C46878BD3815}"/>
    <hyperlink ref="C54" r:id="rId50" xr:uid="{26FEEB73-E2A8-4957-96C1-4AF7870933E0}"/>
    <hyperlink ref="C55" r:id="rId51" xr:uid="{6B6350F5-2CB6-42C9-BF39-629E081EB505}"/>
    <hyperlink ref="C56" r:id="rId52" xr:uid="{DB9EDB51-40BC-4B86-93A5-D458942F2FCF}"/>
    <hyperlink ref="C57" r:id="rId53" xr:uid="{AB41308D-EB97-4F7D-8DAC-2C43566C1D9A}"/>
    <hyperlink ref="C58" r:id="rId54" xr:uid="{07574F42-B0EA-4AC0-BCE0-916989E3B37C}"/>
    <hyperlink ref="C59" r:id="rId55" xr:uid="{9CBB8E51-A4B0-4ECF-85A8-4F1FC8E7FFCB}"/>
    <hyperlink ref="C60" r:id="rId56" xr:uid="{2132AF75-3001-48E0-ADDC-2683C220EF36}"/>
    <hyperlink ref="C61" r:id="rId57" xr:uid="{3A378DA7-7A3B-43C6-B760-30CFE696B28E}"/>
    <hyperlink ref="C62" r:id="rId58" xr:uid="{60109DE0-C035-4594-BE62-B5AAFFE00889}"/>
    <hyperlink ref="C63" r:id="rId59" xr:uid="{741D1D18-D31A-45F5-9DC2-3F1D4FE09A09}"/>
    <hyperlink ref="C64" r:id="rId60" xr:uid="{8A7BB481-423D-4BAD-82EB-77BDDAC03E70}"/>
    <hyperlink ref="C65" r:id="rId61" xr:uid="{6E453160-FDBF-4EF4-A405-F602A2C08BE5}"/>
    <hyperlink ref="C66" r:id="rId62" xr:uid="{D4C73306-C034-4538-A363-160AD5E5220D}"/>
    <hyperlink ref="C67" r:id="rId63" xr:uid="{286B8D67-6DB1-4D59-815B-8BA34EDC0CD0}"/>
    <hyperlink ref="C68" r:id="rId64" xr:uid="{B3BC7A27-407A-4A00-8CF3-41D87E460BB0}"/>
    <hyperlink ref="C69" r:id="rId65" xr:uid="{B8ED86AE-AC8C-439C-8295-2012DD032D3B}"/>
    <hyperlink ref="C70" r:id="rId66" xr:uid="{D1D752D8-BA45-4DB2-B401-1F6A00E2FDD7}"/>
    <hyperlink ref="C71" r:id="rId67" xr:uid="{FAFEBCE4-539C-4F0C-A7EA-64C285660868}"/>
    <hyperlink ref="C72" r:id="rId68" xr:uid="{1E23B997-41A8-4E15-8D83-1510AF9C2172}"/>
    <hyperlink ref="C73" r:id="rId69" xr:uid="{6A4CE15B-C24C-4CCF-9785-3023439EB2C2}"/>
    <hyperlink ref="C74" r:id="rId70" xr:uid="{3781FF1B-BA54-4482-A94D-638273B12014}"/>
    <hyperlink ref="C75" r:id="rId71" xr:uid="{A99934D0-8407-4578-AE28-C5BEE864D69D}"/>
    <hyperlink ref="C76" r:id="rId72" xr:uid="{D3AFAA84-953E-4629-9FFA-43BAB4976C4E}"/>
    <hyperlink ref="C77" r:id="rId73" xr:uid="{0D92495F-C7B8-4CBA-A87A-765D0CC145B9}"/>
    <hyperlink ref="C78" r:id="rId74" xr:uid="{DC884B85-50CF-45EC-B11C-6974A2B579E3}"/>
    <hyperlink ref="C79" r:id="rId75" xr:uid="{59DAE24B-F28A-4C4D-9392-7D2295B5CFC9}"/>
    <hyperlink ref="C80" r:id="rId76" xr:uid="{BF63B0F7-590A-4131-B681-ADAD5C32A7E6}"/>
    <hyperlink ref="C81" r:id="rId77" xr:uid="{38FCF167-E602-458B-BF1E-1CD791AA3705}"/>
    <hyperlink ref="C82" r:id="rId78" xr:uid="{9361FFC2-E0E7-444E-B67A-2E8436388E87}"/>
    <hyperlink ref="C83" r:id="rId79" xr:uid="{9FEB3823-2743-45DD-986C-49B255F650E5}"/>
    <hyperlink ref="C84" r:id="rId80" xr:uid="{274FB196-2F43-44E4-BF1D-8BE122F7F145}"/>
    <hyperlink ref="C85" r:id="rId81" xr:uid="{2BF46471-78CE-4F85-9F4A-DA2F9B7C12BA}"/>
    <hyperlink ref="C86" r:id="rId82" xr:uid="{FF17D9BD-6CFA-4B58-87A4-005AC9886653}"/>
    <hyperlink ref="C87" r:id="rId83" xr:uid="{5CECB3B3-3B65-4449-98AD-F0EDF293FC5E}"/>
    <hyperlink ref="C88" r:id="rId84" xr:uid="{B56EE2A5-BF59-4069-A698-4FB3610C2C88}"/>
    <hyperlink ref="C89" r:id="rId85" xr:uid="{808A80BB-2804-4B1A-936B-0B81222F0F92}"/>
    <hyperlink ref="C90" r:id="rId86" xr:uid="{31918DED-DE92-4771-BBE2-5A317D152787}"/>
    <hyperlink ref="C91" r:id="rId87" xr:uid="{9C850104-8BDA-4804-A2BB-061CE097D4C9}"/>
    <hyperlink ref="C92" r:id="rId88" xr:uid="{03CA193E-36E1-4CDA-8E94-010FD8A453C2}"/>
    <hyperlink ref="C93" r:id="rId89" xr:uid="{15D0AF03-BE9F-4B11-B7F3-CAC7D09FAD62}"/>
    <hyperlink ref="C94" r:id="rId90" xr:uid="{2CEDE144-09CF-4B3B-9A76-1D8BDD62369E}"/>
    <hyperlink ref="C95" r:id="rId91" xr:uid="{203885C7-06BD-4E7A-B04B-A62EDDA7A7AF}"/>
    <hyperlink ref="C96" r:id="rId92" xr:uid="{A0D5A297-BAC1-44E3-AFC5-2CD84D0EA390}"/>
    <hyperlink ref="C97" r:id="rId93" xr:uid="{20F596F8-FBE4-4527-BD7C-8E5AAA2D388E}"/>
    <hyperlink ref="C98" r:id="rId94" xr:uid="{0B4635B7-D480-44AF-B4A1-452F9711F383}"/>
    <hyperlink ref="C99" r:id="rId95" xr:uid="{663C72B6-240A-4DAD-9285-A2D9983FEFC6}"/>
    <hyperlink ref="C101" r:id="rId96" xr:uid="{0FB37E0E-7306-4896-91CA-D3013BB88624}"/>
    <hyperlink ref="C102" r:id="rId97" xr:uid="{CBCED206-EA53-4707-861A-33EA8922E4ED}"/>
    <hyperlink ref="C103" r:id="rId98" xr:uid="{C34B4029-9B91-46CE-9868-A25202A62E1C}"/>
    <hyperlink ref="C104" r:id="rId99" xr:uid="{87395AA5-C8FC-42EC-81F9-BCA629714F04}"/>
    <hyperlink ref="C105" r:id="rId100" xr:uid="{6D4A3399-088C-4203-805C-83C66A587FA8}"/>
    <hyperlink ref="C106" r:id="rId101" xr:uid="{B83A8E2C-8451-428F-BDA0-EA45CBA1ED95}"/>
    <hyperlink ref="C107" r:id="rId102" xr:uid="{92E81D98-6E6E-4DA8-9293-C2F231CEEF96}"/>
    <hyperlink ref="C108" r:id="rId103" xr:uid="{9D268DA4-87F4-4389-95D5-C4C421D2C90F}"/>
    <hyperlink ref="C109" r:id="rId104" xr:uid="{51D286D1-2D05-4CC1-AB44-8C979C611C70}"/>
    <hyperlink ref="C110" r:id="rId105" xr:uid="{21203459-63A0-426C-8B63-0997FBAB4FEA}"/>
    <hyperlink ref="C111" r:id="rId106" xr:uid="{60C2D5FF-6AAA-4256-96DF-A1B7C5B746B0}"/>
    <hyperlink ref="C112" r:id="rId107" xr:uid="{1AD4EE04-4F29-41B5-9954-BEDCC0A69D10}"/>
    <hyperlink ref="C113" r:id="rId108" xr:uid="{D1182BE1-AA51-4FE7-B2CD-E849A79FBA4D}"/>
    <hyperlink ref="C114" r:id="rId109" xr:uid="{5C93B5CA-725F-478D-8087-622CB1BAA34A}"/>
    <hyperlink ref="C115" r:id="rId110" xr:uid="{0D561D8A-596F-42F0-BE1F-F01A745E2DAF}"/>
    <hyperlink ref="C116" r:id="rId111" xr:uid="{B0DE3A14-4933-4D92-B832-0746C063081E}"/>
    <hyperlink ref="C117" r:id="rId112" xr:uid="{ECA38255-A52A-4B9E-A43D-C7E492E88598}"/>
    <hyperlink ref="C118" r:id="rId113" xr:uid="{9EE10DC0-57CF-4BD8-AF4E-5A663EBE1E5E}"/>
    <hyperlink ref="C120" r:id="rId114" xr:uid="{88E415F9-4076-49B5-BD28-4C334C4CA299}"/>
    <hyperlink ref="C121" r:id="rId115" xr:uid="{675CB963-2543-46D3-85A3-5FE37E0A2A31}"/>
    <hyperlink ref="C122" r:id="rId116" xr:uid="{F5EA2710-CA58-4E72-A0AA-D9B2BC609BAF}"/>
    <hyperlink ref="C123" r:id="rId117" xr:uid="{FF77553F-E4C3-45EB-967C-7955491E8AFE}"/>
    <hyperlink ref="C124" r:id="rId118" xr:uid="{5AA7786C-731F-4DFD-B041-C445A83F84C4}"/>
    <hyperlink ref="C125" r:id="rId119" xr:uid="{F2909519-45B7-4956-BAF9-00C0DEAE7799}"/>
    <hyperlink ref="C126" r:id="rId120" xr:uid="{DDC69EF6-328B-4C3B-BD40-97D4368731AE}"/>
    <hyperlink ref="C127" r:id="rId121" xr:uid="{95D4F707-3F08-4C1A-88D7-82677559E596}"/>
    <hyperlink ref="C128" r:id="rId122" xr:uid="{1185EB1E-312E-4F50-A7B8-540C0D7AD91F}"/>
    <hyperlink ref="C129" r:id="rId123" xr:uid="{5D500B79-DE7B-4573-B1AE-E8207471ED4D}"/>
    <hyperlink ref="C130" r:id="rId124" xr:uid="{9A1F0266-BED0-4816-ADE8-4A5498686425}"/>
    <hyperlink ref="C131" r:id="rId125" xr:uid="{0B403CC4-4A85-429A-8C0C-C66645F39825}"/>
    <hyperlink ref="C132" r:id="rId126" xr:uid="{1D7D5940-8943-4205-96C2-7C220AD3DB2C}"/>
    <hyperlink ref="C133" r:id="rId127" xr:uid="{296229B2-7189-41FB-8A39-7C01FE6ED8C7}"/>
    <hyperlink ref="C134" r:id="rId128" xr:uid="{0EE19F19-1DA8-4B17-B4D4-7381823B9E13}"/>
    <hyperlink ref="C135" r:id="rId129" xr:uid="{01447899-A897-4E96-BA8A-19CE0639F4CD}"/>
    <hyperlink ref="C136" r:id="rId130" xr:uid="{23EEF2F0-15C5-4273-BA64-0F997E8DFF94}"/>
    <hyperlink ref="C137" r:id="rId131" xr:uid="{FE3313F1-1FE6-4E4E-A634-A23728F6F5C1}"/>
    <hyperlink ref="C138" r:id="rId132" xr:uid="{16CCDABD-D2A5-4CD9-8681-2EE840F8051B}"/>
    <hyperlink ref="C139" r:id="rId133" xr:uid="{6A1C2B22-35B9-42DA-9B6A-4B1C7EA10119}"/>
    <hyperlink ref="C140" r:id="rId134" xr:uid="{86ED480E-3B42-495B-B9FE-C01F8E06B994}"/>
    <hyperlink ref="C141" r:id="rId135" xr:uid="{037B92AB-BC87-4D63-8E73-72AE301BCE3C}"/>
    <hyperlink ref="C142" r:id="rId136" xr:uid="{BA740C20-8A73-4763-A0A1-5C44118149F5}"/>
    <hyperlink ref="C143" r:id="rId137" xr:uid="{CBC11988-DA0F-417F-ADB7-AADB2151D487}"/>
    <hyperlink ref="C144" r:id="rId138" xr:uid="{24FEC0DC-0C34-43BD-8620-6FCF8E063175}"/>
    <hyperlink ref="C145" r:id="rId139" xr:uid="{839A3491-0CF2-4B90-B640-EF5327287D59}"/>
    <hyperlink ref="C146" r:id="rId140" xr:uid="{1E987E23-B9E5-4267-8F39-41F22356BF68}"/>
    <hyperlink ref="C147" r:id="rId141" xr:uid="{E2B3ECF3-8258-4E80-A19F-1AEE42176099}"/>
    <hyperlink ref="C148" r:id="rId142" xr:uid="{91FE83F2-3BCE-49F1-8139-531D6F7133C4}"/>
    <hyperlink ref="C149" r:id="rId143" xr:uid="{763173C6-829A-4AB2-96FB-92D450EB0A9A}"/>
    <hyperlink ref="C150" r:id="rId144" xr:uid="{22B64102-81A3-4A94-B1B6-CB58D9A7585A}"/>
    <hyperlink ref="C151" r:id="rId145" xr:uid="{AAEBE990-A101-4395-AC5C-B7FE8212F3FF}"/>
    <hyperlink ref="C152" r:id="rId146" xr:uid="{FE443C63-A4AE-4462-8EFC-10FB87D50F38}"/>
    <hyperlink ref="C153" r:id="rId147" xr:uid="{81F5A9C5-D8F8-4273-815D-B52728835BCE}"/>
    <hyperlink ref="C154" r:id="rId148" xr:uid="{EC3C1604-DE9C-4BC6-8795-871EBE90C2D2}"/>
    <hyperlink ref="C155" r:id="rId149" xr:uid="{36672853-9C6B-49EB-8E74-D7837DFA6050}"/>
    <hyperlink ref="C156" r:id="rId150" xr:uid="{1705FCF0-E21E-48E9-AEB0-733392A5B8CE}"/>
    <hyperlink ref="C157" r:id="rId151" xr:uid="{ABDF3E9F-99FA-452B-98CF-FAB6606B7F19}"/>
    <hyperlink ref="C158" r:id="rId152" xr:uid="{A4B9D2BB-42B9-4818-AD9E-CD83F78530B2}"/>
    <hyperlink ref="C159" r:id="rId153" xr:uid="{A5C1F9C0-5E2E-4E73-B83B-19978E7C9BD2}"/>
    <hyperlink ref="C160" r:id="rId154" xr:uid="{AA840D87-522D-4986-A98E-AC357DF2E900}"/>
    <hyperlink ref="C161" r:id="rId155" xr:uid="{8002CA7D-22E3-4123-A322-13F12628AF61}"/>
    <hyperlink ref="C162" r:id="rId156" xr:uid="{E5BA33C8-EB98-4364-AF30-4F4DD8B5F61D}"/>
    <hyperlink ref="C163" r:id="rId157" xr:uid="{2D8EC6B1-00A5-4C2C-A44D-C730092CBBDC}"/>
    <hyperlink ref="C164" r:id="rId158" xr:uid="{EB74252E-953E-4950-A19F-8A3EAB3E56E0}"/>
    <hyperlink ref="C165" r:id="rId159" xr:uid="{C61EE8CE-15C8-469F-AD52-1D82D7BC6AFD}"/>
    <hyperlink ref="C166" r:id="rId160" xr:uid="{228A2CF3-0265-4C2E-912C-9133F04F2AB5}"/>
    <hyperlink ref="C167" r:id="rId161" xr:uid="{97AEC308-9F09-459D-912A-E18BA1A033BA}"/>
    <hyperlink ref="C168" r:id="rId162" xr:uid="{21945A13-DF4A-4BC4-BD3B-19A58AF3D290}"/>
    <hyperlink ref="C169" r:id="rId163" xr:uid="{84AF2933-D83F-427D-B797-DE71D0CA0858}"/>
    <hyperlink ref="C170" r:id="rId164" xr:uid="{F61980E5-1A0F-4A20-B433-A071F2523AEE}"/>
    <hyperlink ref="C171" r:id="rId165" xr:uid="{EA91EBD7-E0F6-4D4E-9793-5E29E964A6B6}"/>
    <hyperlink ref="C172" r:id="rId166" xr:uid="{75FB47DF-F419-4FB6-8215-F56CBBCBB853}"/>
    <hyperlink ref="C173" r:id="rId167" xr:uid="{AF08E6FB-3C59-475F-B587-1B516075DADB}"/>
    <hyperlink ref="C174" r:id="rId168" xr:uid="{B82E78E1-904B-493D-8BF4-B179ADE350A7}"/>
    <hyperlink ref="C175" r:id="rId169" xr:uid="{64D471FA-9658-4166-B9B1-7757E3CBB2DB}"/>
    <hyperlink ref="C176" r:id="rId170" xr:uid="{1A37C01A-863C-4C94-B42C-D276C8517B18}"/>
    <hyperlink ref="C177" r:id="rId171" xr:uid="{900791C0-6091-43FB-AFDF-C4082A0A672B}"/>
    <hyperlink ref="C178" r:id="rId172" xr:uid="{3D12D6FF-BDF6-4386-9BDD-1AB1B8584F57}"/>
    <hyperlink ref="C179" r:id="rId173" xr:uid="{74457C93-F526-44A2-B185-0E11507B1734}"/>
    <hyperlink ref="C180" r:id="rId174" xr:uid="{45711FAA-328F-43DF-848E-FF5087406E54}"/>
    <hyperlink ref="C181" r:id="rId175" xr:uid="{184A2D77-03D3-42F9-B401-8B0B92F1DA88}"/>
    <hyperlink ref="C182" r:id="rId176" xr:uid="{35313F6B-A0A7-42E4-A81A-23A4EA57C8BA}"/>
    <hyperlink ref="C183" r:id="rId177" xr:uid="{B7F4E2A4-D5AE-4D41-858A-E950046AD794}"/>
    <hyperlink ref="C184" r:id="rId178" xr:uid="{CEFF12EF-BEEB-44AC-838E-B57FAF3BCE31}"/>
    <hyperlink ref="C185" r:id="rId179" xr:uid="{273EEB0A-F209-49C0-B96D-7F194DBCE01C}"/>
    <hyperlink ref="C186" r:id="rId180" xr:uid="{E90D3A9C-DEBA-4C28-9067-24EEB8C6AE53}"/>
    <hyperlink ref="C187" r:id="rId181" xr:uid="{77158CDA-B9BD-4F81-AE3D-D67B6683E92D}"/>
    <hyperlink ref="C188" r:id="rId182" xr:uid="{61BE3017-A134-458C-9629-DA69E116D276}"/>
    <hyperlink ref="C189" r:id="rId183" xr:uid="{2B7E97C8-5544-477E-AEEE-7962F416F5D6}"/>
    <hyperlink ref="C190" r:id="rId184" xr:uid="{9EC5E1C7-A6EC-4533-BB99-30B4C92D9AB0}"/>
    <hyperlink ref="C191" r:id="rId185" xr:uid="{16EEF17E-2494-480E-8259-A685E130F04F}"/>
    <hyperlink ref="C192" r:id="rId186" xr:uid="{266E61A7-C8FD-4DD1-99DF-48650C871DC6}"/>
    <hyperlink ref="C193" r:id="rId187" xr:uid="{07D521BA-A13D-4AC5-B697-478EB8D58929}"/>
    <hyperlink ref="C194" r:id="rId188" xr:uid="{BCCB0651-6E9C-4186-927C-9ACEFDA80E84}"/>
    <hyperlink ref="C195" r:id="rId189" xr:uid="{37460DEA-D56B-41AA-8B72-CA21AFD57723}"/>
    <hyperlink ref="C196" r:id="rId190" xr:uid="{BBBAB7A3-FB26-427B-B161-FE541B2A02EE}"/>
    <hyperlink ref="C197" r:id="rId191" xr:uid="{22D2C9A9-CC9F-4BD1-ACFA-D4839A935D65}"/>
    <hyperlink ref="C198" r:id="rId192" xr:uid="{A62CBCB2-B815-4F50-AB8D-19D4A38F41DD}"/>
    <hyperlink ref="C199" r:id="rId193" xr:uid="{716AA4AA-9282-4B1C-B0CF-679D59C0A151}"/>
    <hyperlink ref="C200" r:id="rId194" xr:uid="{B0DF0BE2-D59E-4A7C-88C5-29E3E0FE76C0}"/>
    <hyperlink ref="C201" r:id="rId195" xr:uid="{CB352F17-1D81-4B20-B9E8-F05E35FFDF2C}"/>
    <hyperlink ref="C202" r:id="rId196" xr:uid="{939777FA-A7B9-4207-8D6F-04C6EF62F58D}"/>
    <hyperlink ref="C203" r:id="rId197" xr:uid="{80A6B26A-AA5B-4FB3-A31D-70CAF3E0CA04}"/>
    <hyperlink ref="C204" r:id="rId198" xr:uid="{12559B9A-1626-4C89-BD32-4CD6973A0B16}"/>
    <hyperlink ref="C205" r:id="rId199" xr:uid="{7EC96A73-32BE-4146-8984-6039429786D5}"/>
    <hyperlink ref="C206" r:id="rId200" xr:uid="{BB6DE339-8D5E-474C-A324-C6ACEA4C485F}"/>
    <hyperlink ref="C207" r:id="rId201" xr:uid="{2DA771F1-8C5F-4C89-A17C-2C7D3334193C}"/>
    <hyperlink ref="C208" r:id="rId202" xr:uid="{017263CF-3018-42E5-812B-4E0ACF511C2B}"/>
    <hyperlink ref="C209" r:id="rId203" xr:uid="{FC354F9C-E5F0-40C2-92D0-0ED01BA57240}"/>
    <hyperlink ref="C210" r:id="rId204" xr:uid="{9DC9549A-FE1C-4BF6-909D-605A04E45F39}"/>
    <hyperlink ref="C211" r:id="rId205" xr:uid="{A29EFF63-BE0B-4C87-8BB2-8607D543D23E}"/>
    <hyperlink ref="C212" r:id="rId206" xr:uid="{EAB7C704-C573-4C55-AC59-E5127EFD145E}"/>
    <hyperlink ref="C213" r:id="rId207" xr:uid="{E3AB632E-3E5E-4CCD-A70E-C768467C9118}"/>
    <hyperlink ref="C214" r:id="rId208" xr:uid="{A59C65AC-E5C4-4833-96CA-922391E5C6E7}"/>
    <hyperlink ref="C215" r:id="rId209" xr:uid="{41FE5D76-B7BE-4D3E-9117-C86D44C622E3}"/>
    <hyperlink ref="C216" r:id="rId210" xr:uid="{61687F70-F4F8-4319-90D4-0CA6F079B0ED}"/>
    <hyperlink ref="C217" r:id="rId211" xr:uid="{5AB3BD80-1683-4101-A6D3-0367DCE6ED82}"/>
    <hyperlink ref="C218" r:id="rId212" xr:uid="{E0CC1C00-9A7A-4AED-B0A9-A2D5544E74A0}"/>
    <hyperlink ref="C219" r:id="rId213" xr:uid="{16122636-BC62-4668-BB0A-75B31795C74E}"/>
    <hyperlink ref="C220" r:id="rId214" xr:uid="{77190ACC-B1CE-4941-B0E2-82B7B5E90E9F}"/>
    <hyperlink ref="C221" r:id="rId215" xr:uid="{2B7C047A-6970-483E-B055-423B2AAD0BF5}"/>
    <hyperlink ref="C222" r:id="rId216" xr:uid="{8CE34396-E79D-4CB7-B5C4-BD1D0C3A22FA}"/>
    <hyperlink ref="C223" r:id="rId217" xr:uid="{E919ED65-4261-4FC7-8DE9-8CB4F6EC410B}"/>
    <hyperlink ref="C224" r:id="rId218" xr:uid="{6214028E-2470-43DF-85A9-B71D50A9E5BC}"/>
    <hyperlink ref="C225" r:id="rId219" xr:uid="{AB0C5AA8-CF1A-4CFE-A346-8B451389E48C}"/>
    <hyperlink ref="C226" r:id="rId220" xr:uid="{36684370-CB09-4EAD-8A7B-33F1F044D4B1}"/>
    <hyperlink ref="C227" r:id="rId221" xr:uid="{B0C4432A-3FEE-4E3A-8EF9-60BC13D9B0D2}"/>
    <hyperlink ref="C228" r:id="rId222" xr:uid="{38310324-8DDF-4762-9CE6-657CCE02201F}"/>
    <hyperlink ref="C229" r:id="rId223" xr:uid="{7B01AEF0-C2A9-46AA-9E3D-4065513B7594}"/>
    <hyperlink ref="C230" r:id="rId224" xr:uid="{E7EB5EC4-61AF-4444-839B-455BCF7A004A}"/>
    <hyperlink ref="C231" r:id="rId225" xr:uid="{4717F751-9E17-458F-82F5-2486CEFCEEBA}"/>
    <hyperlink ref="C232" r:id="rId226" xr:uid="{AD14BDC6-B9FF-495C-B591-4DF01AA27EF8}"/>
    <hyperlink ref="C233" r:id="rId227" xr:uid="{1C1EF375-2CDA-4953-9DC7-E70CAC3881CD}"/>
    <hyperlink ref="C234" r:id="rId228" xr:uid="{2C1382B6-0A38-45C7-9D88-28B5BC097583}"/>
    <hyperlink ref="C235" r:id="rId229" xr:uid="{00C2F49F-5AE0-4958-B8EE-C497989725A9}"/>
    <hyperlink ref="C236" r:id="rId230" xr:uid="{1282993B-0859-40E7-AB56-18894A7B1365}"/>
    <hyperlink ref="C237" r:id="rId231" xr:uid="{A942E6C5-A8B0-474D-BCC8-CF08DA6AD3B3}"/>
    <hyperlink ref="C238" r:id="rId232" xr:uid="{BA25AFA5-8A3A-466D-A1A2-C4DD14D0A6E9}"/>
    <hyperlink ref="C239" r:id="rId233" xr:uid="{AE985CA7-BACA-424C-9A51-16D3A5563BBD}"/>
    <hyperlink ref="C240" r:id="rId234" xr:uid="{B608B0A5-C9C0-45D4-BAA3-C1F94FB8FB14}"/>
    <hyperlink ref="C241" r:id="rId235" xr:uid="{183FCFFD-6A92-4A7E-AE58-26CC71CA2700}"/>
    <hyperlink ref="C242" r:id="rId236" xr:uid="{0DBD4709-0F2E-45E7-A0D4-02B2B35F7235}"/>
    <hyperlink ref="C244" r:id="rId237" xr:uid="{80DDD660-7241-4FF8-8BC5-7DA34A8730CF}"/>
    <hyperlink ref="C245" r:id="rId238" xr:uid="{F5A2644B-7059-4A65-9D67-637868EE60CF}"/>
    <hyperlink ref="C246" r:id="rId239" xr:uid="{BE89903B-5647-4AB0-86EF-8ABF2B9831B3}"/>
    <hyperlink ref="C247" r:id="rId240" xr:uid="{A56047AA-B3BA-415E-8A92-FE122C4C7F8E}"/>
    <hyperlink ref="C248" r:id="rId241" xr:uid="{510402BD-096D-484E-9F08-0F7BDB4D46C5}"/>
    <hyperlink ref="C249" r:id="rId242" xr:uid="{9252B1B9-37DC-47E7-89CD-19799E8DE417}"/>
    <hyperlink ref="C250" r:id="rId243" xr:uid="{1D3EF1FA-69C4-423D-8361-FAE62B3E2BE0}"/>
    <hyperlink ref="C251" r:id="rId244" xr:uid="{4A0A88CE-8067-4B01-BE8B-849C7E865B3B}"/>
    <hyperlink ref="C252" r:id="rId245" xr:uid="{47D179DA-AC75-4336-A03F-6F56DC7E35C4}"/>
    <hyperlink ref="C253" r:id="rId246" xr:uid="{78872B90-2FE9-49A8-BF70-4BBE7E4D199C}"/>
    <hyperlink ref="C254" r:id="rId247" xr:uid="{9DEF6DF4-0BDC-46CA-A867-6A632B6DAF0B}"/>
    <hyperlink ref="C255" r:id="rId248" xr:uid="{400BDD9B-5ED7-4B06-AD9D-E352F8C25F53}"/>
    <hyperlink ref="C256" r:id="rId249" xr:uid="{8A4E1550-71DA-4440-B059-1E9FAE623234}"/>
    <hyperlink ref="C257" r:id="rId250" xr:uid="{934677C7-0566-4224-BE8B-4C9EC56DA0D4}"/>
    <hyperlink ref="C258" r:id="rId251" xr:uid="{07ACFF4F-042F-4C6A-909B-43D11AFB764F}"/>
    <hyperlink ref="C259" r:id="rId252" xr:uid="{6000F64C-9E5B-4076-82AB-6BEF2588D209}"/>
    <hyperlink ref="C260" r:id="rId253" xr:uid="{6BB78B94-CB81-470A-841B-5D5BD737C17A}"/>
    <hyperlink ref="C261" r:id="rId254" xr:uid="{4A098613-4FE2-468F-BCF8-A61B8142A1F3}"/>
    <hyperlink ref="C262" r:id="rId255" xr:uid="{E1E48DA2-1A1A-46BA-9D7A-AA339A67F898}"/>
    <hyperlink ref="C263" r:id="rId256" xr:uid="{8083AF30-783E-4939-99CA-CF295BF97D8A}"/>
    <hyperlink ref="C264" r:id="rId257" xr:uid="{C08B43AB-A699-424F-A510-82825191ED03}"/>
    <hyperlink ref="C265" r:id="rId258" xr:uid="{42A6244A-E2E1-4514-888F-5027F6CBD443}"/>
    <hyperlink ref="C266" r:id="rId259" xr:uid="{4C33357B-4641-435B-8AA3-E5A070B1D62D}"/>
    <hyperlink ref="C267" r:id="rId260" xr:uid="{3ED35955-EE43-4518-985A-6F144A5CE0C9}"/>
    <hyperlink ref="C268" r:id="rId261" xr:uid="{0ACBC73F-F90E-4FF0-8E8C-6535C89BE0B2}"/>
    <hyperlink ref="C269" r:id="rId262" xr:uid="{5236F4BF-4CD2-4961-A732-1A641AF20257}"/>
    <hyperlink ref="C270" r:id="rId263" xr:uid="{5BD8DEC1-6F6C-4650-9A3D-D2BB1994F0A7}"/>
    <hyperlink ref="C271" r:id="rId264" xr:uid="{6F3636F6-3E37-4841-A3EA-6AAD26D5B0D1}"/>
    <hyperlink ref="C272" r:id="rId265" xr:uid="{5C6CBC00-CED7-460C-BFBC-B42FA8527EBA}"/>
    <hyperlink ref="C273" r:id="rId266" xr:uid="{368DB8CD-40AD-407B-AF7B-EA8E341C33EA}"/>
    <hyperlink ref="C274" r:id="rId267" xr:uid="{694156F1-0868-4E4C-8578-6275C86A2D82}"/>
    <hyperlink ref="C275" r:id="rId268" xr:uid="{B9493F6E-CB5C-4764-BA8E-FF51181C5988}"/>
    <hyperlink ref="C276" r:id="rId269" xr:uid="{EB118999-8AFB-4E06-AC9C-9CCF06B69F3A}"/>
    <hyperlink ref="C277" r:id="rId270" xr:uid="{1700650F-20CE-492B-95DB-5B25D2D4F469}"/>
    <hyperlink ref="C278" r:id="rId271" xr:uid="{7637C76F-6057-4AD4-A060-29ABBD714F0B}"/>
    <hyperlink ref="C279" r:id="rId272" xr:uid="{6EAC791B-760E-400F-AD80-D90224EAB668}"/>
    <hyperlink ref="C280" r:id="rId273" xr:uid="{3AF27066-5D46-4E40-AB23-7F488A9D91F9}"/>
    <hyperlink ref="C281" r:id="rId274" xr:uid="{CB185680-AB55-4611-9E92-FFDA859BFB1C}"/>
    <hyperlink ref="C282" r:id="rId275" xr:uid="{953363CE-56C3-40F4-BB0D-C2C97707D743}"/>
    <hyperlink ref="C283" r:id="rId276" xr:uid="{A0B7C367-0DA7-4C40-A6E4-B3F52A90363F}"/>
    <hyperlink ref="C284" r:id="rId277" xr:uid="{8BE26451-C3DF-486A-877C-10C212F3F11A}"/>
    <hyperlink ref="C285" r:id="rId278" xr:uid="{3CAA4BAA-1FAF-473A-9FDB-4514665CE995}"/>
    <hyperlink ref="C286" r:id="rId279" xr:uid="{887CBDE8-7A98-45AD-88DB-85A5F3697C05}"/>
    <hyperlink ref="C287" r:id="rId280" xr:uid="{43D11DD5-2205-4207-B516-5FCC30026A6D}"/>
    <hyperlink ref="C288" r:id="rId281" xr:uid="{7E073198-2FD5-439D-A252-80146D2B9E83}"/>
    <hyperlink ref="C289" r:id="rId282" xr:uid="{89602A13-6041-4AF3-9768-5F684C157276}"/>
    <hyperlink ref="C290" r:id="rId283" xr:uid="{162D1F36-B307-482C-8E13-535D264579D7}"/>
    <hyperlink ref="C291" r:id="rId284" xr:uid="{18EAEA9C-CD0B-4E95-A03F-F36CABC2338D}"/>
    <hyperlink ref="C292" r:id="rId285" xr:uid="{872109FC-CD8E-48F7-A4D7-B411169F6A66}"/>
    <hyperlink ref="C293" r:id="rId286" xr:uid="{183A7A58-F574-4CFF-92D4-8C06EF32BC38}"/>
    <hyperlink ref="C294" r:id="rId287" xr:uid="{87C49BAF-DF1E-475E-9613-24B88919CF19}"/>
    <hyperlink ref="C295" r:id="rId288" xr:uid="{7B89ACC8-7FD1-4315-AA1F-F2DA3ED1515D}"/>
    <hyperlink ref="C296" r:id="rId289" xr:uid="{08A324E0-6901-447D-9E27-739F691C57C7}"/>
    <hyperlink ref="C297" r:id="rId290" xr:uid="{FA1EBB93-21CD-4128-AF3D-7A85337E50D5}"/>
    <hyperlink ref="C298" r:id="rId291" xr:uid="{54CF8F87-C463-4409-990D-424DAFE89DF6}"/>
    <hyperlink ref="C299" r:id="rId292" xr:uid="{6D1B3B35-5EB9-4822-B924-C8907CC81F1B}"/>
    <hyperlink ref="C300" r:id="rId293" xr:uid="{066514E6-1A91-4F24-8E25-46FFFB1EA45C}"/>
    <hyperlink ref="C301" r:id="rId294" xr:uid="{EC21BE7F-3974-4C0B-B56C-D38A123E4B55}"/>
    <hyperlink ref="C302" r:id="rId295" xr:uid="{7F3CC323-9B23-4832-9AAB-7477A504DB22}"/>
    <hyperlink ref="C303" r:id="rId296" xr:uid="{9A918DD7-AE72-4951-9514-5FDEC2FE63DF}"/>
    <hyperlink ref="C304" r:id="rId297" xr:uid="{15C2012D-6F2F-4DB7-81D7-081876C13251}"/>
    <hyperlink ref="C305" r:id="rId298" xr:uid="{2B654F4B-C5BD-4AF2-B4BF-7D662CB75C1C}"/>
    <hyperlink ref="C306" r:id="rId299" xr:uid="{BE63E539-E5FC-47DA-A8E2-9B83402DC49A}"/>
    <hyperlink ref="C307" r:id="rId300" xr:uid="{E3DDA139-8E9F-49B2-8E58-603DCA473B11}"/>
    <hyperlink ref="C308" r:id="rId301" xr:uid="{8E5D4045-E5BB-4743-AA97-E5BA23BA3F24}"/>
    <hyperlink ref="C309" r:id="rId302" xr:uid="{E4C13D9E-C2C5-445E-97EC-7BD91AE81C94}"/>
    <hyperlink ref="C310" r:id="rId303" xr:uid="{453F8132-CFE6-4EFE-9118-10D81C1AD6B3}"/>
    <hyperlink ref="C311" r:id="rId304" xr:uid="{65842F97-A964-408D-8D4B-7A24CA04E782}"/>
    <hyperlink ref="C312" r:id="rId305" xr:uid="{397672C1-2965-480D-9060-30C78F49C77D}"/>
    <hyperlink ref="C313" r:id="rId306" xr:uid="{3A4CB465-A7C1-4840-AF3E-8FF1CBC0BC37}"/>
    <hyperlink ref="C314" r:id="rId307" xr:uid="{CE2A36A7-8A9F-4C7C-9C51-554580EC4B9A}"/>
    <hyperlink ref="C315" r:id="rId308" xr:uid="{48745EF2-3A8C-440E-BAA2-4550A7175C8A}"/>
    <hyperlink ref="C316" r:id="rId309" xr:uid="{713ACCAC-EE3E-4380-8F8B-D41023C7BC5F}"/>
    <hyperlink ref="C317" r:id="rId310" xr:uid="{C871475B-F98B-481F-AA5C-210D26BBDF63}"/>
    <hyperlink ref="C318" r:id="rId311" xr:uid="{A6AA5939-849B-4128-898B-2FDF4866D2C8}"/>
    <hyperlink ref="C319" r:id="rId312" xr:uid="{986860BD-8978-4CEE-AFF3-0027DAC8BEB4}"/>
    <hyperlink ref="C320" r:id="rId313" xr:uid="{1EFCEA29-AA9A-4245-91DA-1DF4AD7DDC1D}"/>
    <hyperlink ref="C321" r:id="rId314" xr:uid="{DC353F55-0E55-470F-AD65-5AAFE98BC405}"/>
    <hyperlink ref="C322" r:id="rId315" xr:uid="{E7D0FF19-29DB-4DE1-92AB-B2A715F773CC}"/>
    <hyperlink ref="C323" r:id="rId316" xr:uid="{9B48E414-415B-4A33-93E6-C328A1F03D09}"/>
    <hyperlink ref="C324" r:id="rId317" xr:uid="{F35DDED0-0AC0-49D4-A28C-3DB8B70E83C1}"/>
    <hyperlink ref="C325" r:id="rId318" xr:uid="{22EF775D-9BCE-4D61-B8B1-279CB3DA2E26}"/>
    <hyperlink ref="C326" r:id="rId319" xr:uid="{FC0FC0A4-BE17-4747-BE98-FB48792CA74A}"/>
    <hyperlink ref="C327" r:id="rId320" xr:uid="{1DFD5935-0EFE-4AFF-97D6-0D8B8E0C0AEA}"/>
    <hyperlink ref="C328" r:id="rId321" xr:uid="{B1F6DA1D-D7E2-45E2-B8C6-F3B139779D20}"/>
    <hyperlink ref="C329" r:id="rId322" xr:uid="{0E950D77-F731-4234-8726-06DFAD1C9C58}"/>
    <hyperlink ref="C330" r:id="rId323" xr:uid="{165ADB4B-B090-4439-B3A4-3591DC3DCADB}"/>
    <hyperlink ref="C331" r:id="rId324" xr:uid="{F5DDC342-917A-49FE-9B57-70F92AB63E3D}"/>
    <hyperlink ref="C332" r:id="rId325" xr:uid="{72B09D8C-981E-4EC7-AD88-6DBF73FC7B93}"/>
    <hyperlink ref="C333" r:id="rId326" xr:uid="{DDE77D2D-1D1D-402C-AFCF-0E4B52CB613F}"/>
    <hyperlink ref="C334" r:id="rId327" xr:uid="{5E808BBC-33C0-4D53-A577-11AF68EAA87A}"/>
  </hyperlinks>
  <pageMargins left="0.7" right="0.7" top="0.75" bottom="0.75" header="0" footer="0"/>
  <pageSetup paperSize="9" orientation="portrait"/>
  <legacyDrawing r:id="rId328"/>
  <tableParts count="1">
    <tablePart r:id="rId329"/>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003E4-3A64-4C3B-B3E2-C2735BF5C355}">
  <sheetPr codeName="Аркуш26">
    <tabColor theme="5" tint="-0.499984740745262"/>
  </sheetPr>
  <dimension ref="A1:BB785"/>
  <sheetViews>
    <sheetView topLeftCell="J31" workbookViewId="0">
      <selection activeCell="Y83" sqref="Y83"/>
    </sheetView>
  </sheetViews>
  <sheetFormatPr defaultColWidth="9" defaultRowHeight="18"/>
  <cols>
    <col min="1" max="1" width="36.6640625" style="96" bestFit="1" customWidth="1"/>
    <col min="2" max="2" width="11.21875" style="96" bestFit="1" customWidth="1"/>
    <col min="3" max="3" width="6.6640625" style="96" bestFit="1" customWidth="1"/>
    <col min="4" max="4" width="15.88671875" style="96" bestFit="1" customWidth="1"/>
    <col min="5" max="5" width="2.21875" style="96" bestFit="1" customWidth="1"/>
    <col min="6" max="6" width="6.33203125" style="122" bestFit="1" customWidth="1"/>
    <col min="7" max="7" width="2.88671875" style="96" bestFit="1" customWidth="1"/>
    <col min="8" max="8" width="3.5546875" style="122" bestFit="1" customWidth="1"/>
    <col min="9" max="9" width="2.77734375" style="96" bestFit="1" customWidth="1"/>
    <col min="10" max="10" width="3.5546875" style="123" bestFit="1" customWidth="1"/>
    <col min="11" max="11" width="2.77734375" style="96" bestFit="1" customWidth="1"/>
    <col min="12" max="12" width="7" style="96" bestFit="1" customWidth="1"/>
    <col min="13" max="13" width="16.33203125" style="96" bestFit="1" customWidth="1"/>
    <col min="14" max="14" width="3.109375" style="122" bestFit="1" customWidth="1"/>
    <col min="15" max="15" width="6.5546875" style="96" bestFit="1" customWidth="1"/>
    <col min="16" max="16" width="9.109375" style="96" bestFit="1" customWidth="1"/>
    <col min="17" max="17" width="9" style="96"/>
    <col min="18" max="18" width="2.77734375" style="96" bestFit="1" customWidth="1"/>
    <col min="19" max="19" width="9" style="96"/>
    <col min="20" max="20" width="2.77734375" style="96" bestFit="1" customWidth="1"/>
    <col min="21" max="249" width="9" style="96"/>
    <col min="250" max="250" width="36.6640625" style="96" bestFit="1" customWidth="1"/>
    <col min="251" max="251" width="11.21875" style="96" bestFit="1" customWidth="1"/>
    <col min="252" max="252" width="6.6640625" style="96" bestFit="1" customWidth="1"/>
    <col min="253" max="253" width="15.88671875" style="96" bestFit="1" customWidth="1"/>
    <col min="254" max="254" width="2.21875" style="96" bestFit="1" customWidth="1"/>
    <col min="255" max="255" width="6.33203125" style="96" bestFit="1" customWidth="1"/>
    <col min="256" max="256" width="2.88671875" style="96" bestFit="1" customWidth="1"/>
    <col min="257" max="257" width="3.5546875" style="96" bestFit="1" customWidth="1"/>
    <col min="258" max="258" width="2.77734375" style="96" bestFit="1" customWidth="1"/>
    <col min="259" max="259" width="3.5546875" style="96" bestFit="1" customWidth="1"/>
    <col min="260" max="260" width="2.77734375" style="96" bestFit="1" customWidth="1"/>
    <col min="261" max="261" width="7" style="96" bestFit="1" customWidth="1"/>
    <col min="262" max="262" width="16.33203125" style="96" bestFit="1" customWidth="1"/>
    <col min="263" max="263" width="3.109375" style="96" bestFit="1" customWidth="1"/>
    <col min="264" max="264" width="6.5546875" style="96" bestFit="1" customWidth="1"/>
    <col min="265" max="265" width="9.109375" style="96" bestFit="1" customWidth="1"/>
    <col min="266" max="266" width="9" style="96"/>
    <col min="267" max="267" width="2.77734375" style="96" bestFit="1" customWidth="1"/>
    <col min="268" max="268" width="9" style="96"/>
    <col min="269" max="269" width="2.77734375" style="96" bestFit="1" customWidth="1"/>
    <col min="270" max="505" width="9" style="96"/>
    <col min="506" max="506" width="36.6640625" style="96" bestFit="1" customWidth="1"/>
    <col min="507" max="507" width="11.21875" style="96" bestFit="1" customWidth="1"/>
    <col min="508" max="508" width="6.6640625" style="96" bestFit="1" customWidth="1"/>
    <col min="509" max="509" width="15.88671875" style="96" bestFit="1" customWidth="1"/>
    <col min="510" max="510" width="2.21875" style="96" bestFit="1" customWidth="1"/>
    <col min="511" max="511" width="6.33203125" style="96" bestFit="1" customWidth="1"/>
    <col min="512" max="512" width="2.88671875" style="96" bestFit="1" customWidth="1"/>
    <col min="513" max="513" width="3.5546875" style="96" bestFit="1" customWidth="1"/>
    <col min="514" max="514" width="2.77734375" style="96" bestFit="1" customWidth="1"/>
    <col min="515" max="515" width="3.5546875" style="96" bestFit="1" customWidth="1"/>
    <col min="516" max="516" width="2.77734375" style="96" bestFit="1" customWidth="1"/>
    <col min="517" max="517" width="7" style="96" bestFit="1" customWidth="1"/>
    <col min="518" max="518" width="16.33203125" style="96" bestFit="1" customWidth="1"/>
    <col min="519" max="519" width="3.109375" style="96" bestFit="1" customWidth="1"/>
    <col min="520" max="520" width="6.5546875" style="96" bestFit="1" customWidth="1"/>
    <col min="521" max="521" width="9.109375" style="96" bestFit="1" customWidth="1"/>
    <col min="522" max="522" width="9" style="96"/>
    <col min="523" max="523" width="2.77734375" style="96" bestFit="1" customWidth="1"/>
    <col min="524" max="524" width="9" style="96"/>
    <col min="525" max="525" width="2.77734375" style="96" bestFit="1" customWidth="1"/>
    <col min="526" max="761" width="9" style="96"/>
    <col min="762" max="762" width="36.6640625" style="96" bestFit="1" customWidth="1"/>
    <col min="763" max="763" width="11.21875" style="96" bestFit="1" customWidth="1"/>
    <col min="764" max="764" width="6.6640625" style="96" bestFit="1" customWidth="1"/>
    <col min="765" max="765" width="15.88671875" style="96" bestFit="1" customWidth="1"/>
    <col min="766" max="766" width="2.21875" style="96" bestFit="1" customWidth="1"/>
    <col min="767" max="767" width="6.33203125" style="96" bestFit="1" customWidth="1"/>
    <col min="768" max="768" width="2.88671875" style="96" bestFit="1" customWidth="1"/>
    <col min="769" max="769" width="3.5546875" style="96" bestFit="1" customWidth="1"/>
    <col min="770" max="770" width="2.77734375" style="96" bestFit="1" customWidth="1"/>
    <col min="771" max="771" width="3.5546875" style="96" bestFit="1" customWidth="1"/>
    <col min="772" max="772" width="2.77734375" style="96" bestFit="1" customWidth="1"/>
    <col min="773" max="773" width="7" style="96" bestFit="1" customWidth="1"/>
    <col min="774" max="774" width="16.33203125" style="96" bestFit="1" customWidth="1"/>
    <col min="775" max="775" width="3.109375" style="96" bestFit="1" customWidth="1"/>
    <col min="776" max="776" width="6.5546875" style="96" bestFit="1" customWidth="1"/>
    <col min="777" max="777" width="9.109375" style="96" bestFit="1" customWidth="1"/>
    <col min="778" max="778" width="9" style="96"/>
    <col min="779" max="779" width="2.77734375" style="96" bestFit="1" customWidth="1"/>
    <col min="780" max="780" width="9" style="96"/>
    <col min="781" max="781" width="2.77734375" style="96" bestFit="1" customWidth="1"/>
    <col min="782" max="1017" width="9" style="96"/>
    <col min="1018" max="1018" width="36.6640625" style="96" bestFit="1" customWidth="1"/>
    <col min="1019" max="1019" width="11.21875" style="96" bestFit="1" customWidth="1"/>
    <col min="1020" max="1020" width="6.6640625" style="96" bestFit="1" customWidth="1"/>
    <col min="1021" max="1021" width="15.88671875" style="96" bestFit="1" customWidth="1"/>
    <col min="1022" max="1022" width="2.21875" style="96" bestFit="1" customWidth="1"/>
    <col min="1023" max="1023" width="6.33203125" style="96" bestFit="1" customWidth="1"/>
    <col min="1024" max="1024" width="2.88671875" style="96" bestFit="1" customWidth="1"/>
    <col min="1025" max="1025" width="3.5546875" style="96" bestFit="1" customWidth="1"/>
    <col min="1026" max="1026" width="2.77734375" style="96" bestFit="1" customWidth="1"/>
    <col min="1027" max="1027" width="3.5546875" style="96" bestFit="1" customWidth="1"/>
    <col min="1028" max="1028" width="2.77734375" style="96" bestFit="1" customWidth="1"/>
    <col min="1029" max="1029" width="7" style="96" bestFit="1" customWidth="1"/>
    <col min="1030" max="1030" width="16.33203125" style="96" bestFit="1" customWidth="1"/>
    <col min="1031" max="1031" width="3.109375" style="96" bestFit="1" customWidth="1"/>
    <col min="1032" max="1032" width="6.5546875" style="96" bestFit="1" customWidth="1"/>
    <col min="1033" max="1033" width="9.109375" style="96" bestFit="1" customWidth="1"/>
    <col min="1034" max="1034" width="9" style="96"/>
    <col min="1035" max="1035" width="2.77734375" style="96" bestFit="1" customWidth="1"/>
    <col min="1036" max="1036" width="9" style="96"/>
    <col min="1037" max="1037" width="2.77734375" style="96" bestFit="1" customWidth="1"/>
    <col min="1038" max="1273" width="9" style="96"/>
    <col min="1274" max="1274" width="36.6640625" style="96" bestFit="1" customWidth="1"/>
    <col min="1275" max="1275" width="11.21875" style="96" bestFit="1" customWidth="1"/>
    <col min="1276" max="1276" width="6.6640625" style="96" bestFit="1" customWidth="1"/>
    <col min="1277" max="1277" width="15.88671875" style="96" bestFit="1" customWidth="1"/>
    <col min="1278" max="1278" width="2.21875" style="96" bestFit="1" customWidth="1"/>
    <col min="1279" max="1279" width="6.33203125" style="96" bestFit="1" customWidth="1"/>
    <col min="1280" max="1280" width="2.88671875" style="96" bestFit="1" customWidth="1"/>
    <col min="1281" max="1281" width="3.5546875" style="96" bestFit="1" customWidth="1"/>
    <col min="1282" max="1282" width="2.77734375" style="96" bestFit="1" customWidth="1"/>
    <col min="1283" max="1283" width="3.5546875" style="96" bestFit="1" customWidth="1"/>
    <col min="1284" max="1284" width="2.77734375" style="96" bestFit="1" customWidth="1"/>
    <col min="1285" max="1285" width="7" style="96" bestFit="1" customWidth="1"/>
    <col min="1286" max="1286" width="16.33203125" style="96" bestFit="1" customWidth="1"/>
    <col min="1287" max="1287" width="3.109375" style="96" bestFit="1" customWidth="1"/>
    <col min="1288" max="1288" width="6.5546875" style="96" bestFit="1" customWidth="1"/>
    <col min="1289" max="1289" width="9.109375" style="96" bestFit="1" customWidth="1"/>
    <col min="1290" max="1290" width="9" style="96"/>
    <col min="1291" max="1291" width="2.77734375" style="96" bestFit="1" customWidth="1"/>
    <col min="1292" max="1292" width="9" style="96"/>
    <col min="1293" max="1293" width="2.77734375" style="96" bestFit="1" customWidth="1"/>
    <col min="1294" max="1529" width="9" style="96"/>
    <col min="1530" max="1530" width="36.6640625" style="96" bestFit="1" customWidth="1"/>
    <col min="1531" max="1531" width="11.21875" style="96" bestFit="1" customWidth="1"/>
    <col min="1532" max="1532" width="6.6640625" style="96" bestFit="1" customWidth="1"/>
    <col min="1533" max="1533" width="15.88671875" style="96" bestFit="1" customWidth="1"/>
    <col min="1534" max="1534" width="2.21875" style="96" bestFit="1" customWidth="1"/>
    <col min="1535" max="1535" width="6.33203125" style="96" bestFit="1" customWidth="1"/>
    <col min="1536" max="1536" width="2.88671875" style="96" bestFit="1" customWidth="1"/>
    <col min="1537" max="1537" width="3.5546875" style="96" bestFit="1" customWidth="1"/>
    <col min="1538" max="1538" width="2.77734375" style="96" bestFit="1" customWidth="1"/>
    <col min="1539" max="1539" width="3.5546875" style="96" bestFit="1" customWidth="1"/>
    <col min="1540" max="1540" width="2.77734375" style="96" bestFit="1" customWidth="1"/>
    <col min="1541" max="1541" width="7" style="96" bestFit="1" customWidth="1"/>
    <col min="1542" max="1542" width="16.33203125" style="96" bestFit="1" customWidth="1"/>
    <col min="1543" max="1543" width="3.109375" style="96" bestFit="1" customWidth="1"/>
    <col min="1544" max="1544" width="6.5546875" style="96" bestFit="1" customWidth="1"/>
    <col min="1545" max="1545" width="9.109375" style="96" bestFit="1" customWidth="1"/>
    <col min="1546" max="1546" width="9" style="96"/>
    <col min="1547" max="1547" width="2.77734375" style="96" bestFit="1" customWidth="1"/>
    <col min="1548" max="1548" width="9" style="96"/>
    <col min="1549" max="1549" width="2.77734375" style="96" bestFit="1" customWidth="1"/>
    <col min="1550" max="1785" width="9" style="96"/>
    <col min="1786" max="1786" width="36.6640625" style="96" bestFit="1" customWidth="1"/>
    <col min="1787" max="1787" width="11.21875" style="96" bestFit="1" customWidth="1"/>
    <col min="1788" max="1788" width="6.6640625" style="96" bestFit="1" customWidth="1"/>
    <col min="1789" max="1789" width="15.88671875" style="96" bestFit="1" customWidth="1"/>
    <col min="1790" max="1790" width="2.21875" style="96" bestFit="1" customWidth="1"/>
    <col min="1791" max="1791" width="6.33203125" style="96" bestFit="1" customWidth="1"/>
    <col min="1792" max="1792" width="2.88671875" style="96" bestFit="1" customWidth="1"/>
    <col min="1793" max="1793" width="3.5546875" style="96" bestFit="1" customWidth="1"/>
    <col min="1794" max="1794" width="2.77734375" style="96" bestFit="1" customWidth="1"/>
    <col min="1795" max="1795" width="3.5546875" style="96" bestFit="1" customWidth="1"/>
    <col min="1796" max="1796" width="2.77734375" style="96" bestFit="1" customWidth="1"/>
    <col min="1797" max="1797" width="7" style="96" bestFit="1" customWidth="1"/>
    <col min="1798" max="1798" width="16.33203125" style="96" bestFit="1" customWidth="1"/>
    <col min="1799" max="1799" width="3.109375" style="96" bestFit="1" customWidth="1"/>
    <col min="1800" max="1800" width="6.5546875" style="96" bestFit="1" customWidth="1"/>
    <col min="1801" max="1801" width="9.109375" style="96" bestFit="1" customWidth="1"/>
    <col min="1802" max="1802" width="9" style="96"/>
    <col min="1803" max="1803" width="2.77734375" style="96" bestFit="1" customWidth="1"/>
    <col min="1804" max="1804" width="9" style="96"/>
    <col min="1805" max="1805" width="2.77734375" style="96" bestFit="1" customWidth="1"/>
    <col min="1806" max="2041" width="9" style="96"/>
    <col min="2042" max="2042" width="36.6640625" style="96" bestFit="1" customWidth="1"/>
    <col min="2043" max="2043" width="11.21875" style="96" bestFit="1" customWidth="1"/>
    <col min="2044" max="2044" width="6.6640625" style="96" bestFit="1" customWidth="1"/>
    <col min="2045" max="2045" width="15.88671875" style="96" bestFit="1" customWidth="1"/>
    <col min="2046" max="2046" width="2.21875" style="96" bestFit="1" customWidth="1"/>
    <col min="2047" max="2047" width="6.33203125" style="96" bestFit="1" customWidth="1"/>
    <col min="2048" max="2048" width="2.88671875" style="96" bestFit="1" customWidth="1"/>
    <col min="2049" max="2049" width="3.5546875" style="96" bestFit="1" customWidth="1"/>
    <col min="2050" max="2050" width="2.77734375" style="96" bestFit="1" customWidth="1"/>
    <col min="2051" max="2051" width="3.5546875" style="96" bestFit="1" customWidth="1"/>
    <col min="2052" max="2052" width="2.77734375" style="96" bestFit="1" customWidth="1"/>
    <col min="2053" max="2053" width="7" style="96" bestFit="1" customWidth="1"/>
    <col min="2054" max="2054" width="16.33203125" style="96" bestFit="1" customWidth="1"/>
    <col min="2055" max="2055" width="3.109375" style="96" bestFit="1" customWidth="1"/>
    <col min="2056" max="2056" width="6.5546875" style="96" bestFit="1" customWidth="1"/>
    <col min="2057" max="2057" width="9.109375" style="96" bestFit="1" customWidth="1"/>
    <col min="2058" max="2058" width="9" style="96"/>
    <col min="2059" max="2059" width="2.77734375" style="96" bestFit="1" customWidth="1"/>
    <col min="2060" max="2060" width="9" style="96"/>
    <col min="2061" max="2061" width="2.77734375" style="96" bestFit="1" customWidth="1"/>
    <col min="2062" max="2297" width="9" style="96"/>
    <col min="2298" max="2298" width="36.6640625" style="96" bestFit="1" customWidth="1"/>
    <col min="2299" max="2299" width="11.21875" style="96" bestFit="1" customWidth="1"/>
    <col min="2300" max="2300" width="6.6640625" style="96" bestFit="1" customWidth="1"/>
    <col min="2301" max="2301" width="15.88671875" style="96" bestFit="1" customWidth="1"/>
    <col min="2302" max="2302" width="2.21875" style="96" bestFit="1" customWidth="1"/>
    <col min="2303" max="2303" width="6.33203125" style="96" bestFit="1" customWidth="1"/>
    <col min="2304" max="2304" width="2.88671875" style="96" bestFit="1" customWidth="1"/>
    <col min="2305" max="2305" width="3.5546875" style="96" bestFit="1" customWidth="1"/>
    <col min="2306" max="2306" width="2.77734375" style="96" bestFit="1" customWidth="1"/>
    <col min="2307" max="2307" width="3.5546875" style="96" bestFit="1" customWidth="1"/>
    <col min="2308" max="2308" width="2.77734375" style="96" bestFit="1" customWidth="1"/>
    <col min="2309" max="2309" width="7" style="96" bestFit="1" customWidth="1"/>
    <col min="2310" max="2310" width="16.33203125" style="96" bestFit="1" customWidth="1"/>
    <col min="2311" max="2311" width="3.109375" style="96" bestFit="1" customWidth="1"/>
    <col min="2312" max="2312" width="6.5546875" style="96" bestFit="1" customWidth="1"/>
    <col min="2313" max="2313" width="9.109375" style="96" bestFit="1" customWidth="1"/>
    <col min="2314" max="2314" width="9" style="96"/>
    <col min="2315" max="2315" width="2.77734375" style="96" bestFit="1" customWidth="1"/>
    <col min="2316" max="2316" width="9" style="96"/>
    <col min="2317" max="2317" width="2.77734375" style="96" bestFit="1" customWidth="1"/>
    <col min="2318" max="2553" width="9" style="96"/>
    <col min="2554" max="2554" width="36.6640625" style="96" bestFit="1" customWidth="1"/>
    <col min="2555" max="2555" width="11.21875" style="96" bestFit="1" customWidth="1"/>
    <col min="2556" max="2556" width="6.6640625" style="96" bestFit="1" customWidth="1"/>
    <col min="2557" max="2557" width="15.88671875" style="96" bestFit="1" customWidth="1"/>
    <col min="2558" max="2558" width="2.21875" style="96" bestFit="1" customWidth="1"/>
    <col min="2559" max="2559" width="6.33203125" style="96" bestFit="1" customWidth="1"/>
    <col min="2560" max="2560" width="2.88671875" style="96" bestFit="1" customWidth="1"/>
    <col min="2561" max="2561" width="3.5546875" style="96" bestFit="1" customWidth="1"/>
    <col min="2562" max="2562" width="2.77734375" style="96" bestFit="1" customWidth="1"/>
    <col min="2563" max="2563" width="3.5546875" style="96" bestFit="1" customWidth="1"/>
    <col min="2564" max="2564" width="2.77734375" style="96" bestFit="1" customWidth="1"/>
    <col min="2565" max="2565" width="7" style="96" bestFit="1" customWidth="1"/>
    <col min="2566" max="2566" width="16.33203125" style="96" bestFit="1" customWidth="1"/>
    <col min="2567" max="2567" width="3.109375" style="96" bestFit="1" customWidth="1"/>
    <col min="2568" max="2568" width="6.5546875" style="96" bestFit="1" customWidth="1"/>
    <col min="2569" max="2569" width="9.109375" style="96" bestFit="1" customWidth="1"/>
    <col min="2570" max="2570" width="9" style="96"/>
    <col min="2571" max="2571" width="2.77734375" style="96" bestFit="1" customWidth="1"/>
    <col min="2572" max="2572" width="9" style="96"/>
    <col min="2573" max="2573" width="2.77734375" style="96" bestFit="1" customWidth="1"/>
    <col min="2574" max="2809" width="9" style="96"/>
    <col min="2810" max="2810" width="36.6640625" style="96" bestFit="1" customWidth="1"/>
    <col min="2811" max="2811" width="11.21875" style="96" bestFit="1" customWidth="1"/>
    <col min="2812" max="2812" width="6.6640625" style="96" bestFit="1" customWidth="1"/>
    <col min="2813" max="2813" width="15.88671875" style="96" bestFit="1" customWidth="1"/>
    <col min="2814" max="2814" width="2.21875" style="96" bestFit="1" customWidth="1"/>
    <col min="2815" max="2815" width="6.33203125" style="96" bestFit="1" customWidth="1"/>
    <col min="2816" max="2816" width="2.88671875" style="96" bestFit="1" customWidth="1"/>
    <col min="2817" max="2817" width="3.5546875" style="96" bestFit="1" customWidth="1"/>
    <col min="2818" max="2818" width="2.77734375" style="96" bestFit="1" customWidth="1"/>
    <col min="2819" max="2819" width="3.5546875" style="96" bestFit="1" customWidth="1"/>
    <col min="2820" max="2820" width="2.77734375" style="96" bestFit="1" customWidth="1"/>
    <col min="2821" max="2821" width="7" style="96" bestFit="1" customWidth="1"/>
    <col min="2822" max="2822" width="16.33203125" style="96" bestFit="1" customWidth="1"/>
    <col min="2823" max="2823" width="3.109375" style="96" bestFit="1" customWidth="1"/>
    <col min="2824" max="2824" width="6.5546875" style="96" bestFit="1" customWidth="1"/>
    <col min="2825" max="2825" width="9.109375" style="96" bestFit="1" customWidth="1"/>
    <col min="2826" max="2826" width="9" style="96"/>
    <col min="2827" max="2827" width="2.77734375" style="96" bestFit="1" customWidth="1"/>
    <col min="2828" max="2828" width="9" style="96"/>
    <col min="2829" max="2829" width="2.77734375" style="96" bestFit="1" customWidth="1"/>
    <col min="2830" max="3065" width="9" style="96"/>
    <col min="3066" max="3066" width="36.6640625" style="96" bestFit="1" customWidth="1"/>
    <col min="3067" max="3067" width="11.21875" style="96" bestFit="1" customWidth="1"/>
    <col min="3068" max="3068" width="6.6640625" style="96" bestFit="1" customWidth="1"/>
    <col min="3069" max="3069" width="15.88671875" style="96" bestFit="1" customWidth="1"/>
    <col min="3070" max="3070" width="2.21875" style="96" bestFit="1" customWidth="1"/>
    <col min="3071" max="3071" width="6.33203125" style="96" bestFit="1" customWidth="1"/>
    <col min="3072" max="3072" width="2.88671875" style="96" bestFit="1" customWidth="1"/>
    <col min="3073" max="3073" width="3.5546875" style="96" bestFit="1" customWidth="1"/>
    <col min="3074" max="3074" width="2.77734375" style="96" bestFit="1" customWidth="1"/>
    <col min="3075" max="3075" width="3.5546875" style="96" bestFit="1" customWidth="1"/>
    <col min="3076" max="3076" width="2.77734375" style="96" bestFit="1" customWidth="1"/>
    <col min="3077" max="3077" width="7" style="96" bestFit="1" customWidth="1"/>
    <col min="3078" max="3078" width="16.33203125" style="96" bestFit="1" customWidth="1"/>
    <col min="3079" max="3079" width="3.109375" style="96" bestFit="1" customWidth="1"/>
    <col min="3080" max="3080" width="6.5546875" style="96" bestFit="1" customWidth="1"/>
    <col min="3081" max="3081" width="9.109375" style="96" bestFit="1" customWidth="1"/>
    <col min="3082" max="3082" width="9" style="96"/>
    <col min="3083" max="3083" width="2.77734375" style="96" bestFit="1" customWidth="1"/>
    <col min="3084" max="3084" width="9" style="96"/>
    <col min="3085" max="3085" width="2.77734375" style="96" bestFit="1" customWidth="1"/>
    <col min="3086" max="3321" width="9" style="96"/>
    <col min="3322" max="3322" width="36.6640625" style="96" bestFit="1" customWidth="1"/>
    <col min="3323" max="3323" width="11.21875" style="96" bestFit="1" customWidth="1"/>
    <col min="3324" max="3324" width="6.6640625" style="96" bestFit="1" customWidth="1"/>
    <col min="3325" max="3325" width="15.88671875" style="96" bestFit="1" customWidth="1"/>
    <col min="3326" max="3326" width="2.21875" style="96" bestFit="1" customWidth="1"/>
    <col min="3327" max="3327" width="6.33203125" style="96" bestFit="1" customWidth="1"/>
    <col min="3328" max="3328" width="2.88671875" style="96" bestFit="1" customWidth="1"/>
    <col min="3329" max="3329" width="3.5546875" style="96" bestFit="1" customWidth="1"/>
    <col min="3330" max="3330" width="2.77734375" style="96" bestFit="1" customWidth="1"/>
    <col min="3331" max="3331" width="3.5546875" style="96" bestFit="1" customWidth="1"/>
    <col min="3332" max="3332" width="2.77734375" style="96" bestFit="1" customWidth="1"/>
    <col min="3333" max="3333" width="7" style="96" bestFit="1" customWidth="1"/>
    <col min="3334" max="3334" width="16.33203125" style="96" bestFit="1" customWidth="1"/>
    <col min="3335" max="3335" width="3.109375" style="96" bestFit="1" customWidth="1"/>
    <col min="3336" max="3336" width="6.5546875" style="96" bestFit="1" customWidth="1"/>
    <col min="3337" max="3337" width="9.109375" style="96" bestFit="1" customWidth="1"/>
    <col min="3338" max="3338" width="9" style="96"/>
    <col min="3339" max="3339" width="2.77734375" style="96" bestFit="1" customWidth="1"/>
    <col min="3340" max="3340" width="9" style="96"/>
    <col min="3341" max="3341" width="2.77734375" style="96" bestFit="1" customWidth="1"/>
    <col min="3342" max="3577" width="9" style="96"/>
    <col min="3578" max="3578" width="36.6640625" style="96" bestFit="1" customWidth="1"/>
    <col min="3579" max="3579" width="11.21875" style="96" bestFit="1" customWidth="1"/>
    <col min="3580" max="3580" width="6.6640625" style="96" bestFit="1" customWidth="1"/>
    <col min="3581" max="3581" width="15.88671875" style="96" bestFit="1" customWidth="1"/>
    <col min="3582" max="3582" width="2.21875" style="96" bestFit="1" customWidth="1"/>
    <col min="3583" max="3583" width="6.33203125" style="96" bestFit="1" customWidth="1"/>
    <col min="3584" max="3584" width="2.88671875" style="96" bestFit="1" customWidth="1"/>
    <col min="3585" max="3585" width="3.5546875" style="96" bestFit="1" customWidth="1"/>
    <col min="3586" max="3586" width="2.77734375" style="96" bestFit="1" customWidth="1"/>
    <col min="3587" max="3587" width="3.5546875" style="96" bestFit="1" customWidth="1"/>
    <col min="3588" max="3588" width="2.77734375" style="96" bestFit="1" customWidth="1"/>
    <col min="3589" max="3589" width="7" style="96" bestFit="1" customWidth="1"/>
    <col min="3590" max="3590" width="16.33203125" style="96" bestFit="1" customWidth="1"/>
    <col min="3591" max="3591" width="3.109375" style="96" bestFit="1" customWidth="1"/>
    <col min="3592" max="3592" width="6.5546875" style="96" bestFit="1" customWidth="1"/>
    <col min="3593" max="3593" width="9.109375" style="96" bestFit="1" customWidth="1"/>
    <col min="3594" max="3594" width="9" style="96"/>
    <col min="3595" max="3595" width="2.77734375" style="96" bestFit="1" customWidth="1"/>
    <col min="3596" max="3596" width="9" style="96"/>
    <col min="3597" max="3597" width="2.77734375" style="96" bestFit="1" customWidth="1"/>
    <col min="3598" max="3833" width="9" style="96"/>
    <col min="3834" max="3834" width="36.6640625" style="96" bestFit="1" customWidth="1"/>
    <col min="3835" max="3835" width="11.21875" style="96" bestFit="1" customWidth="1"/>
    <col min="3836" max="3836" width="6.6640625" style="96" bestFit="1" customWidth="1"/>
    <col min="3837" max="3837" width="15.88671875" style="96" bestFit="1" customWidth="1"/>
    <col min="3838" max="3838" width="2.21875" style="96" bestFit="1" customWidth="1"/>
    <col min="3839" max="3839" width="6.33203125" style="96" bestFit="1" customWidth="1"/>
    <col min="3840" max="3840" width="2.88671875" style="96" bestFit="1" customWidth="1"/>
    <col min="3841" max="3841" width="3.5546875" style="96" bestFit="1" customWidth="1"/>
    <col min="3842" max="3842" width="2.77734375" style="96" bestFit="1" customWidth="1"/>
    <col min="3843" max="3843" width="3.5546875" style="96" bestFit="1" customWidth="1"/>
    <col min="3844" max="3844" width="2.77734375" style="96" bestFit="1" customWidth="1"/>
    <col min="3845" max="3845" width="7" style="96" bestFit="1" customWidth="1"/>
    <col min="3846" max="3846" width="16.33203125" style="96" bestFit="1" customWidth="1"/>
    <col min="3847" max="3847" width="3.109375" style="96" bestFit="1" customWidth="1"/>
    <col min="3848" max="3848" width="6.5546875" style="96" bestFit="1" customWidth="1"/>
    <col min="3849" max="3849" width="9.109375" style="96" bestFit="1" customWidth="1"/>
    <col min="3850" max="3850" width="9" style="96"/>
    <col min="3851" max="3851" width="2.77734375" style="96" bestFit="1" customWidth="1"/>
    <col min="3852" max="3852" width="9" style="96"/>
    <col min="3853" max="3853" width="2.77734375" style="96" bestFit="1" customWidth="1"/>
    <col min="3854" max="4089" width="9" style="96"/>
    <col min="4090" max="4090" width="36.6640625" style="96" bestFit="1" customWidth="1"/>
    <col min="4091" max="4091" width="11.21875" style="96" bestFit="1" customWidth="1"/>
    <col min="4092" max="4092" width="6.6640625" style="96" bestFit="1" customWidth="1"/>
    <col min="4093" max="4093" width="15.88671875" style="96" bestFit="1" customWidth="1"/>
    <col min="4094" max="4094" width="2.21875" style="96" bestFit="1" customWidth="1"/>
    <col min="4095" max="4095" width="6.33203125" style="96" bestFit="1" customWidth="1"/>
    <col min="4096" max="4096" width="2.88671875" style="96" bestFit="1" customWidth="1"/>
    <col min="4097" max="4097" width="3.5546875" style="96" bestFit="1" customWidth="1"/>
    <col min="4098" max="4098" width="2.77734375" style="96" bestFit="1" customWidth="1"/>
    <col min="4099" max="4099" width="3.5546875" style="96" bestFit="1" customWidth="1"/>
    <col min="4100" max="4100" width="2.77734375" style="96" bestFit="1" customWidth="1"/>
    <col min="4101" max="4101" width="7" style="96" bestFit="1" customWidth="1"/>
    <col min="4102" max="4102" width="16.33203125" style="96" bestFit="1" customWidth="1"/>
    <col min="4103" max="4103" width="3.109375" style="96" bestFit="1" customWidth="1"/>
    <col min="4104" max="4104" width="6.5546875" style="96" bestFit="1" customWidth="1"/>
    <col min="4105" max="4105" width="9.109375" style="96" bestFit="1" customWidth="1"/>
    <col min="4106" max="4106" width="9" style="96"/>
    <col min="4107" max="4107" width="2.77734375" style="96" bestFit="1" customWidth="1"/>
    <col min="4108" max="4108" width="9" style="96"/>
    <col min="4109" max="4109" width="2.77734375" style="96" bestFit="1" customWidth="1"/>
    <col min="4110" max="4345" width="9" style="96"/>
    <col min="4346" max="4346" width="36.6640625" style="96" bestFit="1" customWidth="1"/>
    <col min="4347" max="4347" width="11.21875" style="96" bestFit="1" customWidth="1"/>
    <col min="4348" max="4348" width="6.6640625" style="96" bestFit="1" customWidth="1"/>
    <col min="4349" max="4349" width="15.88671875" style="96" bestFit="1" customWidth="1"/>
    <col min="4350" max="4350" width="2.21875" style="96" bestFit="1" customWidth="1"/>
    <col min="4351" max="4351" width="6.33203125" style="96" bestFit="1" customWidth="1"/>
    <col min="4352" max="4352" width="2.88671875" style="96" bestFit="1" customWidth="1"/>
    <col min="4353" max="4353" width="3.5546875" style="96" bestFit="1" customWidth="1"/>
    <col min="4354" max="4354" width="2.77734375" style="96" bestFit="1" customWidth="1"/>
    <col min="4355" max="4355" width="3.5546875" style="96" bestFit="1" customWidth="1"/>
    <col min="4356" max="4356" width="2.77734375" style="96" bestFit="1" customWidth="1"/>
    <col min="4357" max="4357" width="7" style="96" bestFit="1" customWidth="1"/>
    <col min="4358" max="4358" width="16.33203125" style="96" bestFit="1" customWidth="1"/>
    <col min="4359" max="4359" width="3.109375" style="96" bestFit="1" customWidth="1"/>
    <col min="4360" max="4360" width="6.5546875" style="96" bestFit="1" customWidth="1"/>
    <col min="4361" max="4361" width="9.109375" style="96" bestFit="1" customWidth="1"/>
    <col min="4362" max="4362" width="9" style="96"/>
    <col min="4363" max="4363" width="2.77734375" style="96" bestFit="1" customWidth="1"/>
    <col min="4364" max="4364" width="9" style="96"/>
    <col min="4365" max="4365" width="2.77734375" style="96" bestFit="1" customWidth="1"/>
    <col min="4366" max="4601" width="9" style="96"/>
    <col min="4602" max="4602" width="36.6640625" style="96" bestFit="1" customWidth="1"/>
    <col min="4603" max="4603" width="11.21875" style="96" bestFit="1" customWidth="1"/>
    <col min="4604" max="4604" width="6.6640625" style="96" bestFit="1" customWidth="1"/>
    <col min="4605" max="4605" width="15.88671875" style="96" bestFit="1" customWidth="1"/>
    <col min="4606" max="4606" width="2.21875" style="96" bestFit="1" customWidth="1"/>
    <col min="4607" max="4607" width="6.33203125" style="96" bestFit="1" customWidth="1"/>
    <col min="4608" max="4608" width="2.88671875" style="96" bestFit="1" customWidth="1"/>
    <col min="4609" max="4609" width="3.5546875" style="96" bestFit="1" customWidth="1"/>
    <col min="4610" max="4610" width="2.77734375" style="96" bestFit="1" customWidth="1"/>
    <col min="4611" max="4611" width="3.5546875" style="96" bestFit="1" customWidth="1"/>
    <col min="4612" max="4612" width="2.77734375" style="96" bestFit="1" customWidth="1"/>
    <col min="4613" max="4613" width="7" style="96" bestFit="1" customWidth="1"/>
    <col min="4614" max="4614" width="16.33203125" style="96" bestFit="1" customWidth="1"/>
    <col min="4615" max="4615" width="3.109375" style="96" bestFit="1" customWidth="1"/>
    <col min="4616" max="4616" width="6.5546875" style="96" bestFit="1" customWidth="1"/>
    <col min="4617" max="4617" width="9.109375" style="96" bestFit="1" customWidth="1"/>
    <col min="4618" max="4618" width="9" style="96"/>
    <col min="4619" max="4619" width="2.77734375" style="96" bestFit="1" customWidth="1"/>
    <col min="4620" max="4620" width="9" style="96"/>
    <col min="4621" max="4621" width="2.77734375" style="96" bestFit="1" customWidth="1"/>
    <col min="4622" max="4857" width="9" style="96"/>
    <col min="4858" max="4858" width="36.6640625" style="96" bestFit="1" customWidth="1"/>
    <col min="4859" max="4859" width="11.21875" style="96" bestFit="1" customWidth="1"/>
    <col min="4860" max="4860" width="6.6640625" style="96" bestFit="1" customWidth="1"/>
    <col min="4861" max="4861" width="15.88671875" style="96" bestFit="1" customWidth="1"/>
    <col min="4862" max="4862" width="2.21875" style="96" bestFit="1" customWidth="1"/>
    <col min="4863" max="4863" width="6.33203125" style="96" bestFit="1" customWidth="1"/>
    <col min="4864" max="4864" width="2.88671875" style="96" bestFit="1" customWidth="1"/>
    <col min="4865" max="4865" width="3.5546875" style="96" bestFit="1" customWidth="1"/>
    <col min="4866" max="4866" width="2.77734375" style="96" bestFit="1" customWidth="1"/>
    <col min="4867" max="4867" width="3.5546875" style="96" bestFit="1" customWidth="1"/>
    <col min="4868" max="4868" width="2.77734375" style="96" bestFit="1" customWidth="1"/>
    <col min="4869" max="4869" width="7" style="96" bestFit="1" customWidth="1"/>
    <col min="4870" max="4870" width="16.33203125" style="96" bestFit="1" customWidth="1"/>
    <col min="4871" max="4871" width="3.109375" style="96" bestFit="1" customWidth="1"/>
    <col min="4872" max="4872" width="6.5546875" style="96" bestFit="1" customWidth="1"/>
    <col min="4873" max="4873" width="9.109375" style="96" bestFit="1" customWidth="1"/>
    <col min="4874" max="4874" width="9" style="96"/>
    <col min="4875" max="4875" width="2.77734375" style="96" bestFit="1" customWidth="1"/>
    <col min="4876" max="4876" width="9" style="96"/>
    <col min="4877" max="4877" width="2.77734375" style="96" bestFit="1" customWidth="1"/>
    <col min="4878" max="5113" width="9" style="96"/>
    <col min="5114" max="5114" width="36.6640625" style="96" bestFit="1" customWidth="1"/>
    <col min="5115" max="5115" width="11.21875" style="96" bestFit="1" customWidth="1"/>
    <col min="5116" max="5116" width="6.6640625" style="96" bestFit="1" customWidth="1"/>
    <col min="5117" max="5117" width="15.88671875" style="96" bestFit="1" customWidth="1"/>
    <col min="5118" max="5118" width="2.21875" style="96" bestFit="1" customWidth="1"/>
    <col min="5119" max="5119" width="6.33203125" style="96" bestFit="1" customWidth="1"/>
    <col min="5120" max="5120" width="2.88671875" style="96" bestFit="1" customWidth="1"/>
    <col min="5121" max="5121" width="3.5546875" style="96" bestFit="1" customWidth="1"/>
    <col min="5122" max="5122" width="2.77734375" style="96" bestFit="1" customWidth="1"/>
    <col min="5123" max="5123" width="3.5546875" style="96" bestFit="1" customWidth="1"/>
    <col min="5124" max="5124" width="2.77734375" style="96" bestFit="1" customWidth="1"/>
    <col min="5125" max="5125" width="7" style="96" bestFit="1" customWidth="1"/>
    <col min="5126" max="5126" width="16.33203125" style="96" bestFit="1" customWidth="1"/>
    <col min="5127" max="5127" width="3.109375" style="96" bestFit="1" customWidth="1"/>
    <col min="5128" max="5128" width="6.5546875" style="96" bestFit="1" customWidth="1"/>
    <col min="5129" max="5129" width="9.109375" style="96" bestFit="1" customWidth="1"/>
    <col min="5130" max="5130" width="9" style="96"/>
    <col min="5131" max="5131" width="2.77734375" style="96" bestFit="1" customWidth="1"/>
    <col min="5132" max="5132" width="9" style="96"/>
    <col min="5133" max="5133" width="2.77734375" style="96" bestFit="1" customWidth="1"/>
    <col min="5134" max="5369" width="9" style="96"/>
    <col min="5370" max="5370" width="36.6640625" style="96" bestFit="1" customWidth="1"/>
    <col min="5371" max="5371" width="11.21875" style="96" bestFit="1" customWidth="1"/>
    <col min="5372" max="5372" width="6.6640625" style="96" bestFit="1" customWidth="1"/>
    <col min="5373" max="5373" width="15.88671875" style="96" bestFit="1" customWidth="1"/>
    <col min="5374" max="5374" width="2.21875" style="96" bestFit="1" customWidth="1"/>
    <col min="5375" max="5375" width="6.33203125" style="96" bestFit="1" customWidth="1"/>
    <col min="5376" max="5376" width="2.88671875" style="96" bestFit="1" customWidth="1"/>
    <col min="5377" max="5377" width="3.5546875" style="96" bestFit="1" customWidth="1"/>
    <col min="5378" max="5378" width="2.77734375" style="96" bestFit="1" customWidth="1"/>
    <col min="5379" max="5379" width="3.5546875" style="96" bestFit="1" customWidth="1"/>
    <col min="5380" max="5380" width="2.77734375" style="96" bestFit="1" customWidth="1"/>
    <col min="5381" max="5381" width="7" style="96" bestFit="1" customWidth="1"/>
    <col min="5382" max="5382" width="16.33203125" style="96" bestFit="1" customWidth="1"/>
    <col min="5383" max="5383" width="3.109375" style="96" bestFit="1" customWidth="1"/>
    <col min="5384" max="5384" width="6.5546875" style="96" bestFit="1" customWidth="1"/>
    <col min="5385" max="5385" width="9.109375" style="96" bestFit="1" customWidth="1"/>
    <col min="5386" max="5386" width="9" style="96"/>
    <col min="5387" max="5387" width="2.77734375" style="96" bestFit="1" customWidth="1"/>
    <col min="5388" max="5388" width="9" style="96"/>
    <col min="5389" max="5389" width="2.77734375" style="96" bestFit="1" customWidth="1"/>
    <col min="5390" max="5625" width="9" style="96"/>
    <col min="5626" max="5626" width="36.6640625" style="96" bestFit="1" customWidth="1"/>
    <col min="5627" max="5627" width="11.21875" style="96" bestFit="1" customWidth="1"/>
    <col min="5628" max="5628" width="6.6640625" style="96" bestFit="1" customWidth="1"/>
    <col min="5629" max="5629" width="15.88671875" style="96" bestFit="1" customWidth="1"/>
    <col min="5630" max="5630" width="2.21875" style="96" bestFit="1" customWidth="1"/>
    <col min="5631" max="5631" width="6.33203125" style="96" bestFit="1" customWidth="1"/>
    <col min="5632" max="5632" width="2.88671875" style="96" bestFit="1" customWidth="1"/>
    <col min="5633" max="5633" width="3.5546875" style="96" bestFit="1" customWidth="1"/>
    <col min="5634" max="5634" width="2.77734375" style="96" bestFit="1" customWidth="1"/>
    <col min="5635" max="5635" width="3.5546875" style="96" bestFit="1" customWidth="1"/>
    <col min="5636" max="5636" width="2.77734375" style="96" bestFit="1" customWidth="1"/>
    <col min="5637" max="5637" width="7" style="96" bestFit="1" customWidth="1"/>
    <col min="5638" max="5638" width="16.33203125" style="96" bestFit="1" customWidth="1"/>
    <col min="5639" max="5639" width="3.109375" style="96" bestFit="1" customWidth="1"/>
    <col min="5640" max="5640" width="6.5546875" style="96" bestFit="1" customWidth="1"/>
    <col min="5641" max="5641" width="9.109375" style="96" bestFit="1" customWidth="1"/>
    <col min="5642" max="5642" width="9" style="96"/>
    <col min="5643" max="5643" width="2.77734375" style="96" bestFit="1" customWidth="1"/>
    <col min="5644" max="5644" width="9" style="96"/>
    <col min="5645" max="5645" width="2.77734375" style="96" bestFit="1" customWidth="1"/>
    <col min="5646" max="5881" width="9" style="96"/>
    <col min="5882" max="5882" width="36.6640625" style="96" bestFit="1" customWidth="1"/>
    <col min="5883" max="5883" width="11.21875" style="96" bestFit="1" customWidth="1"/>
    <col min="5884" max="5884" width="6.6640625" style="96" bestFit="1" customWidth="1"/>
    <col min="5885" max="5885" width="15.88671875" style="96" bestFit="1" customWidth="1"/>
    <col min="5886" max="5886" width="2.21875" style="96" bestFit="1" customWidth="1"/>
    <col min="5887" max="5887" width="6.33203125" style="96" bestFit="1" customWidth="1"/>
    <col min="5888" max="5888" width="2.88671875" style="96" bestFit="1" customWidth="1"/>
    <col min="5889" max="5889" width="3.5546875" style="96" bestFit="1" customWidth="1"/>
    <col min="5890" max="5890" width="2.77734375" style="96" bestFit="1" customWidth="1"/>
    <col min="5891" max="5891" width="3.5546875" style="96" bestFit="1" customWidth="1"/>
    <col min="5892" max="5892" width="2.77734375" style="96" bestFit="1" customWidth="1"/>
    <col min="5893" max="5893" width="7" style="96" bestFit="1" customWidth="1"/>
    <col min="5894" max="5894" width="16.33203125" style="96" bestFit="1" customWidth="1"/>
    <col min="5895" max="5895" width="3.109375" style="96" bestFit="1" customWidth="1"/>
    <col min="5896" max="5896" width="6.5546875" style="96" bestFit="1" customWidth="1"/>
    <col min="5897" max="5897" width="9.109375" style="96" bestFit="1" customWidth="1"/>
    <col min="5898" max="5898" width="9" style="96"/>
    <col min="5899" max="5899" width="2.77734375" style="96" bestFit="1" customWidth="1"/>
    <col min="5900" max="5900" width="9" style="96"/>
    <col min="5901" max="5901" width="2.77734375" style="96" bestFit="1" customWidth="1"/>
    <col min="5902" max="6137" width="9" style="96"/>
    <col min="6138" max="6138" width="36.6640625" style="96" bestFit="1" customWidth="1"/>
    <col min="6139" max="6139" width="11.21875" style="96" bestFit="1" customWidth="1"/>
    <col min="6140" max="6140" width="6.6640625" style="96" bestFit="1" customWidth="1"/>
    <col min="6141" max="6141" width="15.88671875" style="96" bestFit="1" customWidth="1"/>
    <col min="6142" max="6142" width="2.21875" style="96" bestFit="1" customWidth="1"/>
    <col min="6143" max="6143" width="6.33203125" style="96" bestFit="1" customWidth="1"/>
    <col min="6144" max="6144" width="2.88671875" style="96" bestFit="1" customWidth="1"/>
    <col min="6145" max="6145" width="3.5546875" style="96" bestFit="1" customWidth="1"/>
    <col min="6146" max="6146" width="2.77734375" style="96" bestFit="1" customWidth="1"/>
    <col min="6147" max="6147" width="3.5546875" style="96" bestFit="1" customWidth="1"/>
    <col min="6148" max="6148" width="2.77734375" style="96" bestFit="1" customWidth="1"/>
    <col min="6149" max="6149" width="7" style="96" bestFit="1" customWidth="1"/>
    <col min="6150" max="6150" width="16.33203125" style="96" bestFit="1" customWidth="1"/>
    <col min="6151" max="6151" width="3.109375" style="96" bestFit="1" customWidth="1"/>
    <col min="6152" max="6152" width="6.5546875" style="96" bestFit="1" customWidth="1"/>
    <col min="6153" max="6153" width="9.109375" style="96" bestFit="1" customWidth="1"/>
    <col min="6154" max="6154" width="9" style="96"/>
    <col min="6155" max="6155" width="2.77734375" style="96" bestFit="1" customWidth="1"/>
    <col min="6156" max="6156" width="9" style="96"/>
    <col min="6157" max="6157" width="2.77734375" style="96" bestFit="1" customWidth="1"/>
    <col min="6158" max="6393" width="9" style="96"/>
    <col min="6394" max="6394" width="36.6640625" style="96" bestFit="1" customWidth="1"/>
    <col min="6395" max="6395" width="11.21875" style="96" bestFit="1" customWidth="1"/>
    <col min="6396" max="6396" width="6.6640625" style="96" bestFit="1" customWidth="1"/>
    <col min="6397" max="6397" width="15.88671875" style="96" bestFit="1" customWidth="1"/>
    <col min="6398" max="6398" width="2.21875" style="96" bestFit="1" customWidth="1"/>
    <col min="6399" max="6399" width="6.33203125" style="96" bestFit="1" customWidth="1"/>
    <col min="6400" max="6400" width="2.88671875" style="96" bestFit="1" customWidth="1"/>
    <col min="6401" max="6401" width="3.5546875" style="96" bestFit="1" customWidth="1"/>
    <col min="6402" max="6402" width="2.77734375" style="96" bestFit="1" customWidth="1"/>
    <col min="6403" max="6403" width="3.5546875" style="96" bestFit="1" customWidth="1"/>
    <col min="6404" max="6404" width="2.77734375" style="96" bestFit="1" customWidth="1"/>
    <col min="6405" max="6405" width="7" style="96" bestFit="1" customWidth="1"/>
    <col min="6406" max="6406" width="16.33203125" style="96" bestFit="1" customWidth="1"/>
    <col min="6407" max="6407" width="3.109375" style="96" bestFit="1" customWidth="1"/>
    <col min="6408" max="6408" width="6.5546875" style="96" bestFit="1" customWidth="1"/>
    <col min="6409" max="6409" width="9.109375" style="96" bestFit="1" customWidth="1"/>
    <col min="6410" max="6410" width="9" style="96"/>
    <col min="6411" max="6411" width="2.77734375" style="96" bestFit="1" customWidth="1"/>
    <col min="6412" max="6412" width="9" style="96"/>
    <col min="6413" max="6413" width="2.77734375" style="96" bestFit="1" customWidth="1"/>
    <col min="6414" max="6649" width="9" style="96"/>
    <col min="6650" max="6650" width="36.6640625" style="96" bestFit="1" customWidth="1"/>
    <col min="6651" max="6651" width="11.21875" style="96" bestFit="1" customWidth="1"/>
    <col min="6652" max="6652" width="6.6640625" style="96" bestFit="1" customWidth="1"/>
    <col min="6653" max="6653" width="15.88671875" style="96" bestFit="1" customWidth="1"/>
    <col min="6654" max="6654" width="2.21875" style="96" bestFit="1" customWidth="1"/>
    <col min="6655" max="6655" width="6.33203125" style="96" bestFit="1" customWidth="1"/>
    <col min="6656" max="6656" width="2.88671875" style="96" bestFit="1" customWidth="1"/>
    <col min="6657" max="6657" width="3.5546875" style="96" bestFit="1" customWidth="1"/>
    <col min="6658" max="6658" width="2.77734375" style="96" bestFit="1" customWidth="1"/>
    <col min="6659" max="6659" width="3.5546875" style="96" bestFit="1" customWidth="1"/>
    <col min="6660" max="6660" width="2.77734375" style="96" bestFit="1" customWidth="1"/>
    <col min="6661" max="6661" width="7" style="96" bestFit="1" customWidth="1"/>
    <col min="6662" max="6662" width="16.33203125" style="96" bestFit="1" customWidth="1"/>
    <col min="6663" max="6663" width="3.109375" style="96" bestFit="1" customWidth="1"/>
    <col min="6664" max="6664" width="6.5546875" style="96" bestFit="1" customWidth="1"/>
    <col min="6665" max="6665" width="9.109375" style="96" bestFit="1" customWidth="1"/>
    <col min="6666" max="6666" width="9" style="96"/>
    <col min="6667" max="6667" width="2.77734375" style="96" bestFit="1" customWidth="1"/>
    <col min="6668" max="6668" width="9" style="96"/>
    <col min="6669" max="6669" width="2.77734375" style="96" bestFit="1" customWidth="1"/>
    <col min="6670" max="6905" width="9" style="96"/>
    <col min="6906" max="6906" width="36.6640625" style="96" bestFit="1" customWidth="1"/>
    <col min="6907" max="6907" width="11.21875" style="96" bestFit="1" customWidth="1"/>
    <col min="6908" max="6908" width="6.6640625" style="96" bestFit="1" customWidth="1"/>
    <col min="6909" max="6909" width="15.88671875" style="96" bestFit="1" customWidth="1"/>
    <col min="6910" max="6910" width="2.21875" style="96" bestFit="1" customWidth="1"/>
    <col min="6911" max="6911" width="6.33203125" style="96" bestFit="1" customWidth="1"/>
    <col min="6912" max="6912" width="2.88671875" style="96" bestFit="1" customWidth="1"/>
    <col min="6913" max="6913" width="3.5546875" style="96" bestFit="1" customWidth="1"/>
    <col min="6914" max="6914" width="2.77734375" style="96" bestFit="1" customWidth="1"/>
    <col min="6915" max="6915" width="3.5546875" style="96" bestFit="1" customWidth="1"/>
    <col min="6916" max="6916" width="2.77734375" style="96" bestFit="1" customWidth="1"/>
    <col min="6917" max="6917" width="7" style="96" bestFit="1" customWidth="1"/>
    <col min="6918" max="6918" width="16.33203125" style="96" bestFit="1" customWidth="1"/>
    <col min="6919" max="6919" width="3.109375" style="96" bestFit="1" customWidth="1"/>
    <col min="6920" max="6920" width="6.5546875" style="96" bestFit="1" customWidth="1"/>
    <col min="6921" max="6921" width="9.109375" style="96" bestFit="1" customWidth="1"/>
    <col min="6922" max="6922" width="9" style="96"/>
    <col min="6923" max="6923" width="2.77734375" style="96" bestFit="1" customWidth="1"/>
    <col min="6924" max="6924" width="9" style="96"/>
    <col min="6925" max="6925" width="2.77734375" style="96" bestFit="1" customWidth="1"/>
    <col min="6926" max="7161" width="9" style="96"/>
    <col min="7162" max="7162" width="36.6640625" style="96" bestFit="1" customWidth="1"/>
    <col min="7163" max="7163" width="11.21875" style="96" bestFit="1" customWidth="1"/>
    <col min="7164" max="7164" width="6.6640625" style="96" bestFit="1" customWidth="1"/>
    <col min="7165" max="7165" width="15.88671875" style="96" bestFit="1" customWidth="1"/>
    <col min="7166" max="7166" width="2.21875" style="96" bestFit="1" customWidth="1"/>
    <col min="7167" max="7167" width="6.33203125" style="96" bestFit="1" customWidth="1"/>
    <col min="7168" max="7168" width="2.88671875" style="96" bestFit="1" customWidth="1"/>
    <col min="7169" max="7169" width="3.5546875" style="96" bestFit="1" customWidth="1"/>
    <col min="7170" max="7170" width="2.77734375" style="96" bestFit="1" customWidth="1"/>
    <col min="7171" max="7171" width="3.5546875" style="96" bestFit="1" customWidth="1"/>
    <col min="7172" max="7172" width="2.77734375" style="96" bestFit="1" customWidth="1"/>
    <col min="7173" max="7173" width="7" style="96" bestFit="1" customWidth="1"/>
    <col min="7174" max="7174" width="16.33203125" style="96" bestFit="1" customWidth="1"/>
    <col min="7175" max="7175" width="3.109375" style="96" bestFit="1" customWidth="1"/>
    <col min="7176" max="7176" width="6.5546875" style="96" bestFit="1" customWidth="1"/>
    <col min="7177" max="7177" width="9.109375" style="96" bestFit="1" customWidth="1"/>
    <col min="7178" max="7178" width="9" style="96"/>
    <col min="7179" max="7179" width="2.77734375" style="96" bestFit="1" customWidth="1"/>
    <col min="7180" max="7180" width="9" style="96"/>
    <col min="7181" max="7181" width="2.77734375" style="96" bestFit="1" customWidth="1"/>
    <col min="7182" max="7417" width="9" style="96"/>
    <col min="7418" max="7418" width="36.6640625" style="96" bestFit="1" customWidth="1"/>
    <col min="7419" max="7419" width="11.21875" style="96" bestFit="1" customWidth="1"/>
    <col min="7420" max="7420" width="6.6640625" style="96" bestFit="1" customWidth="1"/>
    <col min="7421" max="7421" width="15.88671875" style="96" bestFit="1" customWidth="1"/>
    <col min="7422" max="7422" width="2.21875" style="96" bestFit="1" customWidth="1"/>
    <col min="7423" max="7423" width="6.33203125" style="96" bestFit="1" customWidth="1"/>
    <col min="7424" max="7424" width="2.88671875" style="96" bestFit="1" customWidth="1"/>
    <col min="7425" max="7425" width="3.5546875" style="96" bestFit="1" customWidth="1"/>
    <col min="7426" max="7426" width="2.77734375" style="96" bestFit="1" customWidth="1"/>
    <col min="7427" max="7427" width="3.5546875" style="96" bestFit="1" customWidth="1"/>
    <col min="7428" max="7428" width="2.77734375" style="96" bestFit="1" customWidth="1"/>
    <col min="7429" max="7429" width="7" style="96" bestFit="1" customWidth="1"/>
    <col min="7430" max="7430" width="16.33203125" style="96" bestFit="1" customWidth="1"/>
    <col min="7431" max="7431" width="3.109375" style="96" bestFit="1" customWidth="1"/>
    <col min="7432" max="7432" width="6.5546875" style="96" bestFit="1" customWidth="1"/>
    <col min="7433" max="7433" width="9.109375" style="96" bestFit="1" customWidth="1"/>
    <col min="7434" max="7434" width="9" style="96"/>
    <col min="7435" max="7435" width="2.77734375" style="96" bestFit="1" customWidth="1"/>
    <col min="7436" max="7436" width="9" style="96"/>
    <col min="7437" max="7437" width="2.77734375" style="96" bestFit="1" customWidth="1"/>
    <col min="7438" max="7673" width="9" style="96"/>
    <col min="7674" max="7674" width="36.6640625" style="96" bestFit="1" customWidth="1"/>
    <col min="7675" max="7675" width="11.21875" style="96" bestFit="1" customWidth="1"/>
    <col min="7676" max="7676" width="6.6640625" style="96" bestFit="1" customWidth="1"/>
    <col min="7677" max="7677" width="15.88671875" style="96" bestFit="1" customWidth="1"/>
    <col min="7678" max="7678" width="2.21875" style="96" bestFit="1" customWidth="1"/>
    <col min="7679" max="7679" width="6.33203125" style="96" bestFit="1" customWidth="1"/>
    <col min="7680" max="7680" width="2.88671875" style="96" bestFit="1" customWidth="1"/>
    <col min="7681" max="7681" width="3.5546875" style="96" bestFit="1" customWidth="1"/>
    <col min="7682" max="7682" width="2.77734375" style="96" bestFit="1" customWidth="1"/>
    <col min="7683" max="7683" width="3.5546875" style="96" bestFit="1" customWidth="1"/>
    <col min="7684" max="7684" width="2.77734375" style="96" bestFit="1" customWidth="1"/>
    <col min="7685" max="7685" width="7" style="96" bestFit="1" customWidth="1"/>
    <col min="7686" max="7686" width="16.33203125" style="96" bestFit="1" customWidth="1"/>
    <col min="7687" max="7687" width="3.109375" style="96" bestFit="1" customWidth="1"/>
    <col min="7688" max="7688" width="6.5546875" style="96" bestFit="1" customWidth="1"/>
    <col min="7689" max="7689" width="9.109375" style="96" bestFit="1" customWidth="1"/>
    <col min="7690" max="7690" width="9" style="96"/>
    <col min="7691" max="7691" width="2.77734375" style="96" bestFit="1" customWidth="1"/>
    <col min="7692" max="7692" width="9" style="96"/>
    <col min="7693" max="7693" width="2.77734375" style="96" bestFit="1" customWidth="1"/>
    <col min="7694" max="7929" width="9" style="96"/>
    <col min="7930" max="7930" width="36.6640625" style="96" bestFit="1" customWidth="1"/>
    <col min="7931" max="7931" width="11.21875" style="96" bestFit="1" customWidth="1"/>
    <col min="7932" max="7932" width="6.6640625" style="96" bestFit="1" customWidth="1"/>
    <col min="7933" max="7933" width="15.88671875" style="96" bestFit="1" customWidth="1"/>
    <col min="7934" max="7934" width="2.21875" style="96" bestFit="1" customWidth="1"/>
    <col min="7935" max="7935" width="6.33203125" style="96" bestFit="1" customWidth="1"/>
    <col min="7936" max="7936" width="2.88671875" style="96" bestFit="1" customWidth="1"/>
    <col min="7937" max="7937" width="3.5546875" style="96" bestFit="1" customWidth="1"/>
    <col min="7938" max="7938" width="2.77734375" style="96" bestFit="1" customWidth="1"/>
    <col min="7939" max="7939" width="3.5546875" style="96" bestFit="1" customWidth="1"/>
    <col min="7940" max="7940" width="2.77734375" style="96" bestFit="1" customWidth="1"/>
    <col min="7941" max="7941" width="7" style="96" bestFit="1" customWidth="1"/>
    <col min="7942" max="7942" width="16.33203125" style="96" bestFit="1" customWidth="1"/>
    <col min="7943" max="7943" width="3.109375" style="96" bestFit="1" customWidth="1"/>
    <col min="7944" max="7944" width="6.5546875" style="96" bestFit="1" customWidth="1"/>
    <col min="7945" max="7945" width="9.109375" style="96" bestFit="1" customWidth="1"/>
    <col min="7946" max="7946" width="9" style="96"/>
    <col min="7947" max="7947" width="2.77734375" style="96" bestFit="1" customWidth="1"/>
    <col min="7948" max="7948" width="9" style="96"/>
    <col min="7949" max="7949" width="2.77734375" style="96" bestFit="1" customWidth="1"/>
    <col min="7950" max="8185" width="9" style="96"/>
    <col min="8186" max="8186" width="36.6640625" style="96" bestFit="1" customWidth="1"/>
    <col min="8187" max="8187" width="11.21875" style="96" bestFit="1" customWidth="1"/>
    <col min="8188" max="8188" width="6.6640625" style="96" bestFit="1" customWidth="1"/>
    <col min="8189" max="8189" width="15.88671875" style="96" bestFit="1" customWidth="1"/>
    <col min="8190" max="8190" width="2.21875" style="96" bestFit="1" customWidth="1"/>
    <col min="8191" max="8191" width="6.33203125" style="96" bestFit="1" customWidth="1"/>
    <col min="8192" max="8192" width="2.88671875" style="96" bestFit="1" customWidth="1"/>
    <col min="8193" max="8193" width="3.5546875" style="96" bestFit="1" customWidth="1"/>
    <col min="8194" max="8194" width="2.77734375" style="96" bestFit="1" customWidth="1"/>
    <col min="8195" max="8195" width="3.5546875" style="96" bestFit="1" customWidth="1"/>
    <col min="8196" max="8196" width="2.77734375" style="96" bestFit="1" customWidth="1"/>
    <col min="8197" max="8197" width="7" style="96" bestFit="1" customWidth="1"/>
    <col min="8198" max="8198" width="16.33203125" style="96" bestFit="1" customWidth="1"/>
    <col min="8199" max="8199" width="3.109375" style="96" bestFit="1" customWidth="1"/>
    <col min="8200" max="8200" width="6.5546875" style="96" bestFit="1" customWidth="1"/>
    <col min="8201" max="8201" width="9.109375" style="96" bestFit="1" customWidth="1"/>
    <col min="8202" max="8202" width="9" style="96"/>
    <col min="8203" max="8203" width="2.77734375" style="96" bestFit="1" customWidth="1"/>
    <col min="8204" max="8204" width="9" style="96"/>
    <col min="8205" max="8205" width="2.77734375" style="96" bestFit="1" customWidth="1"/>
    <col min="8206" max="8441" width="9" style="96"/>
    <col min="8442" max="8442" width="36.6640625" style="96" bestFit="1" customWidth="1"/>
    <col min="8443" max="8443" width="11.21875" style="96" bestFit="1" customWidth="1"/>
    <col min="8444" max="8444" width="6.6640625" style="96" bestFit="1" customWidth="1"/>
    <col min="8445" max="8445" width="15.88671875" style="96" bestFit="1" customWidth="1"/>
    <col min="8446" max="8446" width="2.21875" style="96" bestFit="1" customWidth="1"/>
    <col min="8447" max="8447" width="6.33203125" style="96" bestFit="1" customWidth="1"/>
    <col min="8448" max="8448" width="2.88671875" style="96" bestFit="1" customWidth="1"/>
    <col min="8449" max="8449" width="3.5546875" style="96" bestFit="1" customWidth="1"/>
    <col min="8450" max="8450" width="2.77734375" style="96" bestFit="1" customWidth="1"/>
    <col min="8451" max="8451" width="3.5546875" style="96" bestFit="1" customWidth="1"/>
    <col min="8452" max="8452" width="2.77734375" style="96" bestFit="1" customWidth="1"/>
    <col min="8453" max="8453" width="7" style="96" bestFit="1" customWidth="1"/>
    <col min="8454" max="8454" width="16.33203125" style="96" bestFit="1" customWidth="1"/>
    <col min="8455" max="8455" width="3.109375" style="96" bestFit="1" customWidth="1"/>
    <col min="8456" max="8456" width="6.5546875" style="96" bestFit="1" customWidth="1"/>
    <col min="8457" max="8457" width="9.109375" style="96" bestFit="1" customWidth="1"/>
    <col min="8458" max="8458" width="9" style="96"/>
    <col min="8459" max="8459" width="2.77734375" style="96" bestFit="1" customWidth="1"/>
    <col min="8460" max="8460" width="9" style="96"/>
    <col min="8461" max="8461" width="2.77734375" style="96" bestFit="1" customWidth="1"/>
    <col min="8462" max="8697" width="9" style="96"/>
    <col min="8698" max="8698" width="36.6640625" style="96" bestFit="1" customWidth="1"/>
    <col min="8699" max="8699" width="11.21875" style="96" bestFit="1" customWidth="1"/>
    <col min="8700" max="8700" width="6.6640625" style="96" bestFit="1" customWidth="1"/>
    <col min="8701" max="8701" width="15.88671875" style="96" bestFit="1" customWidth="1"/>
    <col min="8702" max="8702" width="2.21875" style="96" bestFit="1" customWidth="1"/>
    <col min="8703" max="8703" width="6.33203125" style="96" bestFit="1" customWidth="1"/>
    <col min="8704" max="8704" width="2.88671875" style="96" bestFit="1" customWidth="1"/>
    <col min="8705" max="8705" width="3.5546875" style="96" bestFit="1" customWidth="1"/>
    <col min="8706" max="8706" width="2.77734375" style="96" bestFit="1" customWidth="1"/>
    <col min="8707" max="8707" width="3.5546875" style="96" bestFit="1" customWidth="1"/>
    <col min="8708" max="8708" width="2.77734375" style="96" bestFit="1" customWidth="1"/>
    <col min="8709" max="8709" width="7" style="96" bestFit="1" customWidth="1"/>
    <col min="8710" max="8710" width="16.33203125" style="96" bestFit="1" customWidth="1"/>
    <col min="8711" max="8711" width="3.109375" style="96" bestFit="1" customWidth="1"/>
    <col min="8712" max="8712" width="6.5546875" style="96" bestFit="1" customWidth="1"/>
    <col min="8713" max="8713" width="9.109375" style="96" bestFit="1" customWidth="1"/>
    <col min="8714" max="8714" width="9" style="96"/>
    <col min="8715" max="8715" width="2.77734375" style="96" bestFit="1" customWidth="1"/>
    <col min="8716" max="8716" width="9" style="96"/>
    <col min="8717" max="8717" width="2.77734375" style="96" bestFit="1" customWidth="1"/>
    <col min="8718" max="8953" width="9" style="96"/>
    <col min="8954" max="8954" width="36.6640625" style="96" bestFit="1" customWidth="1"/>
    <col min="8955" max="8955" width="11.21875" style="96" bestFit="1" customWidth="1"/>
    <col min="8956" max="8956" width="6.6640625" style="96" bestFit="1" customWidth="1"/>
    <col min="8957" max="8957" width="15.88671875" style="96" bestFit="1" customWidth="1"/>
    <col min="8958" max="8958" width="2.21875" style="96" bestFit="1" customWidth="1"/>
    <col min="8959" max="8959" width="6.33203125" style="96" bestFit="1" customWidth="1"/>
    <col min="8960" max="8960" width="2.88671875" style="96" bestFit="1" customWidth="1"/>
    <col min="8961" max="8961" width="3.5546875" style="96" bestFit="1" customWidth="1"/>
    <col min="8962" max="8962" width="2.77734375" style="96" bestFit="1" customWidth="1"/>
    <col min="8963" max="8963" width="3.5546875" style="96" bestFit="1" customWidth="1"/>
    <col min="8964" max="8964" width="2.77734375" style="96" bestFit="1" customWidth="1"/>
    <col min="8965" max="8965" width="7" style="96" bestFit="1" customWidth="1"/>
    <col min="8966" max="8966" width="16.33203125" style="96" bestFit="1" customWidth="1"/>
    <col min="8967" max="8967" width="3.109375" style="96" bestFit="1" customWidth="1"/>
    <col min="8968" max="8968" width="6.5546875" style="96" bestFit="1" customWidth="1"/>
    <col min="8969" max="8969" width="9.109375" style="96" bestFit="1" customWidth="1"/>
    <col min="8970" max="8970" width="9" style="96"/>
    <col min="8971" max="8971" width="2.77734375" style="96" bestFit="1" customWidth="1"/>
    <col min="8972" max="8972" width="9" style="96"/>
    <col min="8973" max="8973" width="2.77734375" style="96" bestFit="1" customWidth="1"/>
    <col min="8974" max="9209" width="9" style="96"/>
    <col min="9210" max="9210" width="36.6640625" style="96" bestFit="1" customWidth="1"/>
    <col min="9211" max="9211" width="11.21875" style="96" bestFit="1" customWidth="1"/>
    <col min="9212" max="9212" width="6.6640625" style="96" bestFit="1" customWidth="1"/>
    <col min="9213" max="9213" width="15.88671875" style="96" bestFit="1" customWidth="1"/>
    <col min="9214" max="9214" width="2.21875" style="96" bestFit="1" customWidth="1"/>
    <col min="9215" max="9215" width="6.33203125" style="96" bestFit="1" customWidth="1"/>
    <col min="9216" max="9216" width="2.88671875" style="96" bestFit="1" customWidth="1"/>
    <col min="9217" max="9217" width="3.5546875" style="96" bestFit="1" customWidth="1"/>
    <col min="9218" max="9218" width="2.77734375" style="96" bestFit="1" customWidth="1"/>
    <col min="9219" max="9219" width="3.5546875" style="96" bestFit="1" customWidth="1"/>
    <col min="9220" max="9220" width="2.77734375" style="96" bestFit="1" customWidth="1"/>
    <col min="9221" max="9221" width="7" style="96" bestFit="1" customWidth="1"/>
    <col min="9222" max="9222" width="16.33203125" style="96" bestFit="1" customWidth="1"/>
    <col min="9223" max="9223" width="3.109375" style="96" bestFit="1" customWidth="1"/>
    <col min="9224" max="9224" width="6.5546875" style="96" bestFit="1" customWidth="1"/>
    <col min="9225" max="9225" width="9.109375" style="96" bestFit="1" customWidth="1"/>
    <col min="9226" max="9226" width="9" style="96"/>
    <col min="9227" max="9227" width="2.77734375" style="96" bestFit="1" customWidth="1"/>
    <col min="9228" max="9228" width="9" style="96"/>
    <col min="9229" max="9229" width="2.77734375" style="96" bestFit="1" customWidth="1"/>
    <col min="9230" max="9465" width="9" style="96"/>
    <col min="9466" max="9466" width="36.6640625" style="96" bestFit="1" customWidth="1"/>
    <col min="9467" max="9467" width="11.21875" style="96" bestFit="1" customWidth="1"/>
    <col min="9468" max="9468" width="6.6640625" style="96" bestFit="1" customWidth="1"/>
    <col min="9469" max="9469" width="15.88671875" style="96" bestFit="1" customWidth="1"/>
    <col min="9470" max="9470" width="2.21875" style="96" bestFit="1" customWidth="1"/>
    <col min="9471" max="9471" width="6.33203125" style="96" bestFit="1" customWidth="1"/>
    <col min="9472" max="9472" width="2.88671875" style="96" bestFit="1" customWidth="1"/>
    <col min="9473" max="9473" width="3.5546875" style="96" bestFit="1" customWidth="1"/>
    <col min="9474" max="9474" width="2.77734375" style="96" bestFit="1" customWidth="1"/>
    <col min="9475" max="9475" width="3.5546875" style="96" bestFit="1" customWidth="1"/>
    <col min="9476" max="9476" width="2.77734375" style="96" bestFit="1" customWidth="1"/>
    <col min="9477" max="9477" width="7" style="96" bestFit="1" customWidth="1"/>
    <col min="9478" max="9478" width="16.33203125" style="96" bestFit="1" customWidth="1"/>
    <col min="9479" max="9479" width="3.109375" style="96" bestFit="1" customWidth="1"/>
    <col min="9480" max="9480" width="6.5546875" style="96" bestFit="1" customWidth="1"/>
    <col min="9481" max="9481" width="9.109375" style="96" bestFit="1" customWidth="1"/>
    <col min="9482" max="9482" width="9" style="96"/>
    <col min="9483" max="9483" width="2.77734375" style="96" bestFit="1" customWidth="1"/>
    <col min="9484" max="9484" width="9" style="96"/>
    <col min="9485" max="9485" width="2.77734375" style="96" bestFit="1" customWidth="1"/>
    <col min="9486" max="9721" width="9" style="96"/>
    <col min="9722" max="9722" width="36.6640625" style="96" bestFit="1" customWidth="1"/>
    <col min="9723" max="9723" width="11.21875" style="96" bestFit="1" customWidth="1"/>
    <col min="9724" max="9724" width="6.6640625" style="96" bestFit="1" customWidth="1"/>
    <col min="9725" max="9725" width="15.88671875" style="96" bestFit="1" customWidth="1"/>
    <col min="9726" max="9726" width="2.21875" style="96" bestFit="1" customWidth="1"/>
    <col min="9727" max="9727" width="6.33203125" style="96" bestFit="1" customWidth="1"/>
    <col min="9728" max="9728" width="2.88671875" style="96" bestFit="1" customWidth="1"/>
    <col min="9729" max="9729" width="3.5546875" style="96" bestFit="1" customWidth="1"/>
    <col min="9730" max="9730" width="2.77734375" style="96" bestFit="1" customWidth="1"/>
    <col min="9731" max="9731" width="3.5546875" style="96" bestFit="1" customWidth="1"/>
    <col min="9732" max="9732" width="2.77734375" style="96" bestFit="1" customWidth="1"/>
    <col min="9733" max="9733" width="7" style="96" bestFit="1" customWidth="1"/>
    <col min="9734" max="9734" width="16.33203125" style="96" bestFit="1" customWidth="1"/>
    <col min="9735" max="9735" width="3.109375" style="96" bestFit="1" customWidth="1"/>
    <col min="9736" max="9736" width="6.5546875" style="96" bestFit="1" customWidth="1"/>
    <col min="9737" max="9737" width="9.109375" style="96" bestFit="1" customWidth="1"/>
    <col min="9738" max="9738" width="9" style="96"/>
    <col min="9739" max="9739" width="2.77734375" style="96" bestFit="1" customWidth="1"/>
    <col min="9740" max="9740" width="9" style="96"/>
    <col min="9741" max="9741" width="2.77734375" style="96" bestFit="1" customWidth="1"/>
    <col min="9742" max="9977" width="9" style="96"/>
    <col min="9978" max="9978" width="36.6640625" style="96" bestFit="1" customWidth="1"/>
    <col min="9979" max="9979" width="11.21875" style="96" bestFit="1" customWidth="1"/>
    <col min="9980" max="9980" width="6.6640625" style="96" bestFit="1" customWidth="1"/>
    <col min="9981" max="9981" width="15.88671875" style="96" bestFit="1" customWidth="1"/>
    <col min="9982" max="9982" width="2.21875" style="96" bestFit="1" customWidth="1"/>
    <col min="9983" max="9983" width="6.33203125" style="96" bestFit="1" customWidth="1"/>
    <col min="9984" max="9984" width="2.88671875" style="96" bestFit="1" customWidth="1"/>
    <col min="9985" max="9985" width="3.5546875" style="96" bestFit="1" customWidth="1"/>
    <col min="9986" max="9986" width="2.77734375" style="96" bestFit="1" customWidth="1"/>
    <col min="9987" max="9987" width="3.5546875" style="96" bestFit="1" customWidth="1"/>
    <col min="9988" max="9988" width="2.77734375" style="96" bestFit="1" customWidth="1"/>
    <col min="9989" max="9989" width="7" style="96" bestFit="1" customWidth="1"/>
    <col min="9990" max="9990" width="16.33203125" style="96" bestFit="1" customWidth="1"/>
    <col min="9991" max="9991" width="3.109375" style="96" bestFit="1" customWidth="1"/>
    <col min="9992" max="9992" width="6.5546875" style="96" bestFit="1" customWidth="1"/>
    <col min="9993" max="9993" width="9.109375" style="96" bestFit="1" customWidth="1"/>
    <col min="9994" max="9994" width="9" style="96"/>
    <col min="9995" max="9995" width="2.77734375" style="96" bestFit="1" customWidth="1"/>
    <col min="9996" max="9996" width="9" style="96"/>
    <col min="9997" max="9997" width="2.77734375" style="96" bestFit="1" customWidth="1"/>
    <col min="9998" max="10233" width="9" style="96"/>
    <col min="10234" max="10234" width="36.6640625" style="96" bestFit="1" customWidth="1"/>
    <col min="10235" max="10235" width="11.21875" style="96" bestFit="1" customWidth="1"/>
    <col min="10236" max="10236" width="6.6640625" style="96" bestFit="1" customWidth="1"/>
    <col min="10237" max="10237" width="15.88671875" style="96" bestFit="1" customWidth="1"/>
    <col min="10238" max="10238" width="2.21875" style="96" bestFit="1" customWidth="1"/>
    <col min="10239" max="10239" width="6.33203125" style="96" bestFit="1" customWidth="1"/>
    <col min="10240" max="10240" width="2.88671875" style="96" bestFit="1" customWidth="1"/>
    <col min="10241" max="10241" width="3.5546875" style="96" bestFit="1" customWidth="1"/>
    <col min="10242" max="10242" width="2.77734375" style="96" bestFit="1" customWidth="1"/>
    <col min="10243" max="10243" width="3.5546875" style="96" bestFit="1" customWidth="1"/>
    <col min="10244" max="10244" width="2.77734375" style="96" bestFit="1" customWidth="1"/>
    <col min="10245" max="10245" width="7" style="96" bestFit="1" customWidth="1"/>
    <col min="10246" max="10246" width="16.33203125" style="96" bestFit="1" customWidth="1"/>
    <col min="10247" max="10247" width="3.109375" style="96" bestFit="1" customWidth="1"/>
    <col min="10248" max="10248" width="6.5546875" style="96" bestFit="1" customWidth="1"/>
    <col min="10249" max="10249" width="9.109375" style="96" bestFit="1" customWidth="1"/>
    <col min="10250" max="10250" width="9" style="96"/>
    <col min="10251" max="10251" width="2.77734375" style="96" bestFit="1" customWidth="1"/>
    <col min="10252" max="10252" width="9" style="96"/>
    <col min="10253" max="10253" width="2.77734375" style="96" bestFit="1" customWidth="1"/>
    <col min="10254" max="10489" width="9" style="96"/>
    <col min="10490" max="10490" width="36.6640625" style="96" bestFit="1" customWidth="1"/>
    <col min="10491" max="10491" width="11.21875" style="96" bestFit="1" customWidth="1"/>
    <col min="10492" max="10492" width="6.6640625" style="96" bestFit="1" customWidth="1"/>
    <col min="10493" max="10493" width="15.88671875" style="96" bestFit="1" customWidth="1"/>
    <col min="10494" max="10494" width="2.21875" style="96" bestFit="1" customWidth="1"/>
    <col min="10495" max="10495" width="6.33203125" style="96" bestFit="1" customWidth="1"/>
    <col min="10496" max="10496" width="2.88671875" style="96" bestFit="1" customWidth="1"/>
    <col min="10497" max="10497" width="3.5546875" style="96" bestFit="1" customWidth="1"/>
    <col min="10498" max="10498" width="2.77734375" style="96" bestFit="1" customWidth="1"/>
    <col min="10499" max="10499" width="3.5546875" style="96" bestFit="1" customWidth="1"/>
    <col min="10500" max="10500" width="2.77734375" style="96" bestFit="1" customWidth="1"/>
    <col min="10501" max="10501" width="7" style="96" bestFit="1" customWidth="1"/>
    <col min="10502" max="10502" width="16.33203125" style="96" bestFit="1" customWidth="1"/>
    <col min="10503" max="10503" width="3.109375" style="96" bestFit="1" customWidth="1"/>
    <col min="10504" max="10504" width="6.5546875" style="96" bestFit="1" customWidth="1"/>
    <col min="10505" max="10505" width="9.109375" style="96" bestFit="1" customWidth="1"/>
    <col min="10506" max="10506" width="9" style="96"/>
    <col min="10507" max="10507" width="2.77734375" style="96" bestFit="1" customWidth="1"/>
    <col min="10508" max="10508" width="9" style="96"/>
    <col min="10509" max="10509" width="2.77734375" style="96" bestFit="1" customWidth="1"/>
    <col min="10510" max="10745" width="9" style="96"/>
    <col min="10746" max="10746" width="36.6640625" style="96" bestFit="1" customWidth="1"/>
    <col min="10747" max="10747" width="11.21875" style="96" bestFit="1" customWidth="1"/>
    <col min="10748" max="10748" width="6.6640625" style="96" bestFit="1" customWidth="1"/>
    <col min="10749" max="10749" width="15.88671875" style="96" bestFit="1" customWidth="1"/>
    <col min="10750" max="10750" width="2.21875" style="96" bestFit="1" customWidth="1"/>
    <col min="10751" max="10751" width="6.33203125" style="96" bestFit="1" customWidth="1"/>
    <col min="10752" max="10752" width="2.88671875" style="96" bestFit="1" customWidth="1"/>
    <col min="10753" max="10753" width="3.5546875" style="96" bestFit="1" customWidth="1"/>
    <col min="10754" max="10754" width="2.77734375" style="96" bestFit="1" customWidth="1"/>
    <col min="10755" max="10755" width="3.5546875" style="96" bestFit="1" customWidth="1"/>
    <col min="10756" max="10756" width="2.77734375" style="96" bestFit="1" customWidth="1"/>
    <col min="10757" max="10757" width="7" style="96" bestFit="1" customWidth="1"/>
    <col min="10758" max="10758" width="16.33203125" style="96" bestFit="1" customWidth="1"/>
    <col min="10759" max="10759" width="3.109375" style="96" bestFit="1" customWidth="1"/>
    <col min="10760" max="10760" width="6.5546875" style="96" bestFit="1" customWidth="1"/>
    <col min="10761" max="10761" width="9.109375" style="96" bestFit="1" customWidth="1"/>
    <col min="10762" max="10762" width="9" style="96"/>
    <col min="10763" max="10763" width="2.77734375" style="96" bestFit="1" customWidth="1"/>
    <col min="10764" max="10764" width="9" style="96"/>
    <col min="10765" max="10765" width="2.77734375" style="96" bestFit="1" customWidth="1"/>
    <col min="10766" max="11001" width="9" style="96"/>
    <col min="11002" max="11002" width="36.6640625" style="96" bestFit="1" customWidth="1"/>
    <col min="11003" max="11003" width="11.21875" style="96" bestFit="1" customWidth="1"/>
    <col min="11004" max="11004" width="6.6640625" style="96" bestFit="1" customWidth="1"/>
    <col min="11005" max="11005" width="15.88671875" style="96" bestFit="1" customWidth="1"/>
    <col min="11006" max="11006" width="2.21875" style="96" bestFit="1" customWidth="1"/>
    <col min="11007" max="11007" width="6.33203125" style="96" bestFit="1" customWidth="1"/>
    <col min="11008" max="11008" width="2.88671875" style="96" bestFit="1" customWidth="1"/>
    <col min="11009" max="11009" width="3.5546875" style="96" bestFit="1" customWidth="1"/>
    <col min="11010" max="11010" width="2.77734375" style="96" bestFit="1" customWidth="1"/>
    <col min="11011" max="11011" width="3.5546875" style="96" bestFit="1" customWidth="1"/>
    <col min="11012" max="11012" width="2.77734375" style="96" bestFit="1" customWidth="1"/>
    <col min="11013" max="11013" width="7" style="96" bestFit="1" customWidth="1"/>
    <col min="11014" max="11014" width="16.33203125" style="96" bestFit="1" customWidth="1"/>
    <col min="11015" max="11015" width="3.109375" style="96" bestFit="1" customWidth="1"/>
    <col min="11016" max="11016" width="6.5546875" style="96" bestFit="1" customWidth="1"/>
    <col min="11017" max="11017" width="9.109375" style="96" bestFit="1" customWidth="1"/>
    <col min="11018" max="11018" width="9" style="96"/>
    <col min="11019" max="11019" width="2.77734375" style="96" bestFit="1" customWidth="1"/>
    <col min="11020" max="11020" width="9" style="96"/>
    <col min="11021" max="11021" width="2.77734375" style="96" bestFit="1" customWidth="1"/>
    <col min="11022" max="11257" width="9" style="96"/>
    <col min="11258" max="11258" width="36.6640625" style="96" bestFit="1" customWidth="1"/>
    <col min="11259" max="11259" width="11.21875" style="96" bestFit="1" customWidth="1"/>
    <col min="11260" max="11260" width="6.6640625" style="96" bestFit="1" customWidth="1"/>
    <col min="11261" max="11261" width="15.88671875" style="96" bestFit="1" customWidth="1"/>
    <col min="11262" max="11262" width="2.21875" style="96" bestFit="1" customWidth="1"/>
    <col min="11263" max="11263" width="6.33203125" style="96" bestFit="1" customWidth="1"/>
    <col min="11264" max="11264" width="2.88671875" style="96" bestFit="1" customWidth="1"/>
    <col min="11265" max="11265" width="3.5546875" style="96" bestFit="1" customWidth="1"/>
    <col min="11266" max="11266" width="2.77734375" style="96" bestFit="1" customWidth="1"/>
    <col min="11267" max="11267" width="3.5546875" style="96" bestFit="1" customWidth="1"/>
    <col min="11268" max="11268" width="2.77734375" style="96" bestFit="1" customWidth="1"/>
    <col min="11269" max="11269" width="7" style="96" bestFit="1" customWidth="1"/>
    <col min="11270" max="11270" width="16.33203125" style="96" bestFit="1" customWidth="1"/>
    <col min="11271" max="11271" width="3.109375" style="96" bestFit="1" customWidth="1"/>
    <col min="11272" max="11272" width="6.5546875" style="96" bestFit="1" customWidth="1"/>
    <col min="11273" max="11273" width="9.109375" style="96" bestFit="1" customWidth="1"/>
    <col min="11274" max="11274" width="9" style="96"/>
    <col min="11275" max="11275" width="2.77734375" style="96" bestFit="1" customWidth="1"/>
    <col min="11276" max="11276" width="9" style="96"/>
    <col min="11277" max="11277" width="2.77734375" style="96" bestFit="1" customWidth="1"/>
    <col min="11278" max="11513" width="9" style="96"/>
    <col min="11514" max="11514" width="36.6640625" style="96" bestFit="1" customWidth="1"/>
    <col min="11515" max="11515" width="11.21875" style="96" bestFit="1" customWidth="1"/>
    <col min="11516" max="11516" width="6.6640625" style="96" bestFit="1" customWidth="1"/>
    <col min="11517" max="11517" width="15.88671875" style="96" bestFit="1" customWidth="1"/>
    <col min="11518" max="11518" width="2.21875" style="96" bestFit="1" customWidth="1"/>
    <col min="11519" max="11519" width="6.33203125" style="96" bestFit="1" customWidth="1"/>
    <col min="11520" max="11520" width="2.88671875" style="96" bestFit="1" customWidth="1"/>
    <col min="11521" max="11521" width="3.5546875" style="96" bestFit="1" customWidth="1"/>
    <col min="11522" max="11522" width="2.77734375" style="96" bestFit="1" customWidth="1"/>
    <col min="11523" max="11523" width="3.5546875" style="96" bestFit="1" customWidth="1"/>
    <col min="11524" max="11524" width="2.77734375" style="96" bestFit="1" customWidth="1"/>
    <col min="11525" max="11525" width="7" style="96" bestFit="1" customWidth="1"/>
    <col min="11526" max="11526" width="16.33203125" style="96" bestFit="1" customWidth="1"/>
    <col min="11527" max="11527" width="3.109375" style="96" bestFit="1" customWidth="1"/>
    <col min="11528" max="11528" width="6.5546875" style="96" bestFit="1" customWidth="1"/>
    <col min="11529" max="11529" width="9.109375" style="96" bestFit="1" customWidth="1"/>
    <col min="11530" max="11530" width="9" style="96"/>
    <col min="11531" max="11531" width="2.77734375" style="96" bestFit="1" customWidth="1"/>
    <col min="11532" max="11532" width="9" style="96"/>
    <col min="11533" max="11533" width="2.77734375" style="96" bestFit="1" customWidth="1"/>
    <col min="11534" max="11769" width="9" style="96"/>
    <col min="11770" max="11770" width="36.6640625" style="96" bestFit="1" customWidth="1"/>
    <col min="11771" max="11771" width="11.21875" style="96" bestFit="1" customWidth="1"/>
    <col min="11772" max="11772" width="6.6640625" style="96" bestFit="1" customWidth="1"/>
    <col min="11773" max="11773" width="15.88671875" style="96" bestFit="1" customWidth="1"/>
    <col min="11774" max="11774" width="2.21875" style="96" bestFit="1" customWidth="1"/>
    <col min="11775" max="11775" width="6.33203125" style="96" bestFit="1" customWidth="1"/>
    <col min="11776" max="11776" width="2.88671875" style="96" bestFit="1" customWidth="1"/>
    <col min="11777" max="11777" width="3.5546875" style="96" bestFit="1" customWidth="1"/>
    <col min="11778" max="11778" width="2.77734375" style="96" bestFit="1" customWidth="1"/>
    <col min="11779" max="11779" width="3.5546875" style="96" bestFit="1" customWidth="1"/>
    <col min="11780" max="11780" width="2.77734375" style="96" bestFit="1" customWidth="1"/>
    <col min="11781" max="11781" width="7" style="96" bestFit="1" customWidth="1"/>
    <col min="11782" max="11782" width="16.33203125" style="96" bestFit="1" customWidth="1"/>
    <col min="11783" max="11783" width="3.109375" style="96" bestFit="1" customWidth="1"/>
    <col min="11784" max="11784" width="6.5546875" style="96" bestFit="1" customWidth="1"/>
    <col min="11785" max="11785" width="9.109375" style="96" bestFit="1" customWidth="1"/>
    <col min="11786" max="11786" width="9" style="96"/>
    <col min="11787" max="11787" width="2.77734375" style="96" bestFit="1" customWidth="1"/>
    <col min="11788" max="11788" width="9" style="96"/>
    <col min="11789" max="11789" width="2.77734375" style="96" bestFit="1" customWidth="1"/>
    <col min="11790" max="12025" width="9" style="96"/>
    <col min="12026" max="12026" width="36.6640625" style="96" bestFit="1" customWidth="1"/>
    <col min="12027" max="12027" width="11.21875" style="96" bestFit="1" customWidth="1"/>
    <col min="12028" max="12028" width="6.6640625" style="96" bestFit="1" customWidth="1"/>
    <col min="12029" max="12029" width="15.88671875" style="96" bestFit="1" customWidth="1"/>
    <col min="12030" max="12030" width="2.21875" style="96" bestFit="1" customWidth="1"/>
    <col min="12031" max="12031" width="6.33203125" style="96" bestFit="1" customWidth="1"/>
    <col min="12032" max="12032" width="2.88671875" style="96" bestFit="1" customWidth="1"/>
    <col min="12033" max="12033" width="3.5546875" style="96" bestFit="1" customWidth="1"/>
    <col min="12034" max="12034" width="2.77734375" style="96" bestFit="1" customWidth="1"/>
    <col min="12035" max="12035" width="3.5546875" style="96" bestFit="1" customWidth="1"/>
    <col min="12036" max="12036" width="2.77734375" style="96" bestFit="1" customWidth="1"/>
    <col min="12037" max="12037" width="7" style="96" bestFit="1" customWidth="1"/>
    <col min="12038" max="12038" width="16.33203125" style="96" bestFit="1" customWidth="1"/>
    <col min="12039" max="12039" width="3.109375" style="96" bestFit="1" customWidth="1"/>
    <col min="12040" max="12040" width="6.5546875" style="96" bestFit="1" customWidth="1"/>
    <col min="12041" max="12041" width="9.109375" style="96" bestFit="1" customWidth="1"/>
    <col min="12042" max="12042" width="9" style="96"/>
    <col min="12043" max="12043" width="2.77734375" style="96" bestFit="1" customWidth="1"/>
    <col min="12044" max="12044" width="9" style="96"/>
    <col min="12045" max="12045" width="2.77734375" style="96" bestFit="1" customWidth="1"/>
    <col min="12046" max="12281" width="9" style="96"/>
    <col min="12282" max="12282" width="36.6640625" style="96" bestFit="1" customWidth="1"/>
    <col min="12283" max="12283" width="11.21875" style="96" bestFit="1" customWidth="1"/>
    <col min="12284" max="12284" width="6.6640625" style="96" bestFit="1" customWidth="1"/>
    <col min="12285" max="12285" width="15.88671875" style="96" bestFit="1" customWidth="1"/>
    <col min="12286" max="12286" width="2.21875" style="96" bestFit="1" customWidth="1"/>
    <col min="12287" max="12287" width="6.33203125" style="96" bestFit="1" customWidth="1"/>
    <col min="12288" max="12288" width="2.88671875" style="96" bestFit="1" customWidth="1"/>
    <col min="12289" max="12289" width="3.5546875" style="96" bestFit="1" customWidth="1"/>
    <col min="12290" max="12290" width="2.77734375" style="96" bestFit="1" customWidth="1"/>
    <col min="12291" max="12291" width="3.5546875" style="96" bestFit="1" customWidth="1"/>
    <col min="12292" max="12292" width="2.77734375" style="96" bestFit="1" customWidth="1"/>
    <col min="12293" max="12293" width="7" style="96" bestFit="1" customWidth="1"/>
    <col min="12294" max="12294" width="16.33203125" style="96" bestFit="1" customWidth="1"/>
    <col min="12295" max="12295" width="3.109375" style="96" bestFit="1" customWidth="1"/>
    <col min="12296" max="12296" width="6.5546875" style="96" bestFit="1" customWidth="1"/>
    <col min="12297" max="12297" width="9.109375" style="96" bestFit="1" customWidth="1"/>
    <col min="12298" max="12298" width="9" style="96"/>
    <col min="12299" max="12299" width="2.77734375" style="96" bestFit="1" customWidth="1"/>
    <col min="12300" max="12300" width="9" style="96"/>
    <col min="12301" max="12301" width="2.77734375" style="96" bestFit="1" customWidth="1"/>
    <col min="12302" max="12537" width="9" style="96"/>
    <col min="12538" max="12538" width="36.6640625" style="96" bestFit="1" customWidth="1"/>
    <col min="12539" max="12539" width="11.21875" style="96" bestFit="1" customWidth="1"/>
    <col min="12540" max="12540" width="6.6640625" style="96" bestFit="1" customWidth="1"/>
    <col min="12541" max="12541" width="15.88671875" style="96" bestFit="1" customWidth="1"/>
    <col min="12542" max="12542" width="2.21875" style="96" bestFit="1" customWidth="1"/>
    <col min="12543" max="12543" width="6.33203125" style="96" bestFit="1" customWidth="1"/>
    <col min="12544" max="12544" width="2.88671875" style="96" bestFit="1" customWidth="1"/>
    <col min="12545" max="12545" width="3.5546875" style="96" bestFit="1" customWidth="1"/>
    <col min="12546" max="12546" width="2.77734375" style="96" bestFit="1" customWidth="1"/>
    <col min="12547" max="12547" width="3.5546875" style="96" bestFit="1" customWidth="1"/>
    <col min="12548" max="12548" width="2.77734375" style="96" bestFit="1" customWidth="1"/>
    <col min="12549" max="12549" width="7" style="96" bestFit="1" customWidth="1"/>
    <col min="12550" max="12550" width="16.33203125" style="96" bestFit="1" customWidth="1"/>
    <col min="12551" max="12551" width="3.109375" style="96" bestFit="1" customWidth="1"/>
    <col min="12552" max="12552" width="6.5546875" style="96" bestFit="1" customWidth="1"/>
    <col min="12553" max="12553" width="9.109375" style="96" bestFit="1" customWidth="1"/>
    <col min="12554" max="12554" width="9" style="96"/>
    <col min="12555" max="12555" width="2.77734375" style="96" bestFit="1" customWidth="1"/>
    <col min="12556" max="12556" width="9" style="96"/>
    <col min="12557" max="12557" width="2.77734375" style="96" bestFit="1" customWidth="1"/>
    <col min="12558" max="12793" width="9" style="96"/>
    <col min="12794" max="12794" width="36.6640625" style="96" bestFit="1" customWidth="1"/>
    <col min="12795" max="12795" width="11.21875" style="96" bestFit="1" customWidth="1"/>
    <col min="12796" max="12796" width="6.6640625" style="96" bestFit="1" customWidth="1"/>
    <col min="12797" max="12797" width="15.88671875" style="96" bestFit="1" customWidth="1"/>
    <col min="12798" max="12798" width="2.21875" style="96" bestFit="1" customWidth="1"/>
    <col min="12799" max="12799" width="6.33203125" style="96" bestFit="1" customWidth="1"/>
    <col min="12800" max="12800" width="2.88671875" style="96" bestFit="1" customWidth="1"/>
    <col min="12801" max="12801" width="3.5546875" style="96" bestFit="1" customWidth="1"/>
    <col min="12802" max="12802" width="2.77734375" style="96" bestFit="1" customWidth="1"/>
    <col min="12803" max="12803" width="3.5546875" style="96" bestFit="1" customWidth="1"/>
    <col min="12804" max="12804" width="2.77734375" style="96" bestFit="1" customWidth="1"/>
    <col min="12805" max="12805" width="7" style="96" bestFit="1" customWidth="1"/>
    <col min="12806" max="12806" width="16.33203125" style="96" bestFit="1" customWidth="1"/>
    <col min="12807" max="12807" width="3.109375" style="96" bestFit="1" customWidth="1"/>
    <col min="12808" max="12808" width="6.5546875" style="96" bestFit="1" customWidth="1"/>
    <col min="12809" max="12809" width="9.109375" style="96" bestFit="1" customWidth="1"/>
    <col min="12810" max="12810" width="9" style="96"/>
    <col min="12811" max="12811" width="2.77734375" style="96" bestFit="1" customWidth="1"/>
    <col min="12812" max="12812" width="9" style="96"/>
    <col min="12813" max="12813" width="2.77734375" style="96" bestFit="1" customWidth="1"/>
    <col min="12814" max="13049" width="9" style="96"/>
    <col min="13050" max="13050" width="36.6640625" style="96" bestFit="1" customWidth="1"/>
    <col min="13051" max="13051" width="11.21875" style="96" bestFit="1" customWidth="1"/>
    <col min="13052" max="13052" width="6.6640625" style="96" bestFit="1" customWidth="1"/>
    <col min="13053" max="13053" width="15.88671875" style="96" bestFit="1" customWidth="1"/>
    <col min="13054" max="13054" width="2.21875" style="96" bestFit="1" customWidth="1"/>
    <col min="13055" max="13055" width="6.33203125" style="96" bestFit="1" customWidth="1"/>
    <col min="13056" max="13056" width="2.88671875" style="96" bestFit="1" customWidth="1"/>
    <col min="13057" max="13057" width="3.5546875" style="96" bestFit="1" customWidth="1"/>
    <col min="13058" max="13058" width="2.77734375" style="96" bestFit="1" customWidth="1"/>
    <col min="13059" max="13059" width="3.5546875" style="96" bestFit="1" customWidth="1"/>
    <col min="13060" max="13060" width="2.77734375" style="96" bestFit="1" customWidth="1"/>
    <col min="13061" max="13061" width="7" style="96" bestFit="1" customWidth="1"/>
    <col min="13062" max="13062" width="16.33203125" style="96" bestFit="1" customWidth="1"/>
    <col min="13063" max="13063" width="3.109375" style="96" bestFit="1" customWidth="1"/>
    <col min="13064" max="13064" width="6.5546875" style="96" bestFit="1" customWidth="1"/>
    <col min="13065" max="13065" width="9.109375" style="96" bestFit="1" customWidth="1"/>
    <col min="13066" max="13066" width="9" style="96"/>
    <col min="13067" max="13067" width="2.77734375" style="96" bestFit="1" customWidth="1"/>
    <col min="13068" max="13068" width="9" style="96"/>
    <col min="13069" max="13069" width="2.77734375" style="96" bestFit="1" customWidth="1"/>
    <col min="13070" max="13305" width="9" style="96"/>
    <col min="13306" max="13306" width="36.6640625" style="96" bestFit="1" customWidth="1"/>
    <col min="13307" max="13307" width="11.21875" style="96" bestFit="1" customWidth="1"/>
    <col min="13308" max="13308" width="6.6640625" style="96" bestFit="1" customWidth="1"/>
    <col min="13309" max="13309" width="15.88671875" style="96" bestFit="1" customWidth="1"/>
    <col min="13310" max="13310" width="2.21875" style="96" bestFit="1" customWidth="1"/>
    <col min="13311" max="13311" width="6.33203125" style="96" bestFit="1" customWidth="1"/>
    <col min="13312" max="13312" width="2.88671875" style="96" bestFit="1" customWidth="1"/>
    <col min="13313" max="13313" width="3.5546875" style="96" bestFit="1" customWidth="1"/>
    <col min="13314" max="13314" width="2.77734375" style="96" bestFit="1" customWidth="1"/>
    <col min="13315" max="13315" width="3.5546875" style="96" bestFit="1" customWidth="1"/>
    <col min="13316" max="13316" width="2.77734375" style="96" bestFit="1" customWidth="1"/>
    <col min="13317" max="13317" width="7" style="96" bestFit="1" customWidth="1"/>
    <col min="13318" max="13318" width="16.33203125" style="96" bestFit="1" customWidth="1"/>
    <col min="13319" max="13319" width="3.109375" style="96" bestFit="1" customWidth="1"/>
    <col min="13320" max="13320" width="6.5546875" style="96" bestFit="1" customWidth="1"/>
    <col min="13321" max="13321" width="9.109375" style="96" bestFit="1" customWidth="1"/>
    <col min="13322" max="13322" width="9" style="96"/>
    <col min="13323" max="13323" width="2.77734375" style="96" bestFit="1" customWidth="1"/>
    <col min="13324" max="13324" width="9" style="96"/>
    <col min="13325" max="13325" width="2.77734375" style="96" bestFit="1" customWidth="1"/>
    <col min="13326" max="13561" width="9" style="96"/>
    <col min="13562" max="13562" width="36.6640625" style="96" bestFit="1" customWidth="1"/>
    <col min="13563" max="13563" width="11.21875" style="96" bestFit="1" customWidth="1"/>
    <col min="13564" max="13564" width="6.6640625" style="96" bestFit="1" customWidth="1"/>
    <col min="13565" max="13565" width="15.88671875" style="96" bestFit="1" customWidth="1"/>
    <col min="13566" max="13566" width="2.21875" style="96" bestFit="1" customWidth="1"/>
    <col min="13567" max="13567" width="6.33203125" style="96" bestFit="1" customWidth="1"/>
    <col min="13568" max="13568" width="2.88671875" style="96" bestFit="1" customWidth="1"/>
    <col min="13569" max="13569" width="3.5546875" style="96" bestFit="1" customWidth="1"/>
    <col min="13570" max="13570" width="2.77734375" style="96" bestFit="1" customWidth="1"/>
    <col min="13571" max="13571" width="3.5546875" style="96" bestFit="1" customWidth="1"/>
    <col min="13572" max="13572" width="2.77734375" style="96" bestFit="1" customWidth="1"/>
    <col min="13573" max="13573" width="7" style="96" bestFit="1" customWidth="1"/>
    <col min="13574" max="13574" width="16.33203125" style="96" bestFit="1" customWidth="1"/>
    <col min="13575" max="13575" width="3.109375" style="96" bestFit="1" customWidth="1"/>
    <col min="13576" max="13576" width="6.5546875" style="96" bestFit="1" customWidth="1"/>
    <col min="13577" max="13577" width="9.109375" style="96" bestFit="1" customWidth="1"/>
    <col min="13578" max="13578" width="9" style="96"/>
    <col min="13579" max="13579" width="2.77734375" style="96" bestFit="1" customWidth="1"/>
    <col min="13580" max="13580" width="9" style="96"/>
    <col min="13581" max="13581" width="2.77734375" style="96" bestFit="1" customWidth="1"/>
    <col min="13582" max="13817" width="9" style="96"/>
    <col min="13818" max="13818" width="36.6640625" style="96" bestFit="1" customWidth="1"/>
    <col min="13819" max="13819" width="11.21875" style="96" bestFit="1" customWidth="1"/>
    <col min="13820" max="13820" width="6.6640625" style="96" bestFit="1" customWidth="1"/>
    <col min="13821" max="13821" width="15.88671875" style="96" bestFit="1" customWidth="1"/>
    <col min="13822" max="13822" width="2.21875" style="96" bestFit="1" customWidth="1"/>
    <col min="13823" max="13823" width="6.33203125" style="96" bestFit="1" customWidth="1"/>
    <col min="13824" max="13824" width="2.88671875" style="96" bestFit="1" customWidth="1"/>
    <col min="13825" max="13825" width="3.5546875" style="96" bestFit="1" customWidth="1"/>
    <col min="13826" max="13826" width="2.77734375" style="96" bestFit="1" customWidth="1"/>
    <col min="13827" max="13827" width="3.5546875" style="96" bestFit="1" customWidth="1"/>
    <col min="13828" max="13828" width="2.77734375" style="96" bestFit="1" customWidth="1"/>
    <col min="13829" max="13829" width="7" style="96" bestFit="1" customWidth="1"/>
    <col min="13830" max="13830" width="16.33203125" style="96" bestFit="1" customWidth="1"/>
    <col min="13831" max="13831" width="3.109375" style="96" bestFit="1" customWidth="1"/>
    <col min="13832" max="13832" width="6.5546875" style="96" bestFit="1" customWidth="1"/>
    <col min="13833" max="13833" width="9.109375" style="96" bestFit="1" customWidth="1"/>
    <col min="13834" max="13834" width="9" style="96"/>
    <col min="13835" max="13835" width="2.77734375" style="96" bestFit="1" customWidth="1"/>
    <col min="13836" max="13836" width="9" style="96"/>
    <col min="13837" max="13837" width="2.77734375" style="96" bestFit="1" customWidth="1"/>
    <col min="13838" max="14073" width="9" style="96"/>
    <col min="14074" max="14074" width="36.6640625" style="96" bestFit="1" customWidth="1"/>
    <col min="14075" max="14075" width="11.21875" style="96" bestFit="1" customWidth="1"/>
    <col min="14076" max="14076" width="6.6640625" style="96" bestFit="1" customWidth="1"/>
    <col min="14077" max="14077" width="15.88671875" style="96" bestFit="1" customWidth="1"/>
    <col min="14078" max="14078" width="2.21875" style="96" bestFit="1" customWidth="1"/>
    <col min="14079" max="14079" width="6.33203125" style="96" bestFit="1" customWidth="1"/>
    <col min="14080" max="14080" width="2.88671875" style="96" bestFit="1" customWidth="1"/>
    <col min="14081" max="14081" width="3.5546875" style="96" bestFit="1" customWidth="1"/>
    <col min="14082" max="14082" width="2.77734375" style="96" bestFit="1" customWidth="1"/>
    <col min="14083" max="14083" width="3.5546875" style="96" bestFit="1" customWidth="1"/>
    <col min="14084" max="14084" width="2.77734375" style="96" bestFit="1" customWidth="1"/>
    <col min="14085" max="14085" width="7" style="96" bestFit="1" customWidth="1"/>
    <col min="14086" max="14086" width="16.33203125" style="96" bestFit="1" customWidth="1"/>
    <col min="14087" max="14087" width="3.109375" style="96" bestFit="1" customWidth="1"/>
    <col min="14088" max="14088" width="6.5546875" style="96" bestFit="1" customWidth="1"/>
    <col min="14089" max="14089" width="9.109375" style="96" bestFit="1" customWidth="1"/>
    <col min="14090" max="14090" width="9" style="96"/>
    <col min="14091" max="14091" width="2.77734375" style="96" bestFit="1" customWidth="1"/>
    <col min="14092" max="14092" width="9" style="96"/>
    <col min="14093" max="14093" width="2.77734375" style="96" bestFit="1" customWidth="1"/>
    <col min="14094" max="14329" width="9" style="96"/>
    <col min="14330" max="14330" width="36.6640625" style="96" bestFit="1" customWidth="1"/>
    <col min="14331" max="14331" width="11.21875" style="96" bestFit="1" customWidth="1"/>
    <col min="14332" max="14332" width="6.6640625" style="96" bestFit="1" customWidth="1"/>
    <col min="14333" max="14333" width="15.88671875" style="96" bestFit="1" customWidth="1"/>
    <col min="14334" max="14334" width="2.21875" style="96" bestFit="1" customWidth="1"/>
    <col min="14335" max="14335" width="6.33203125" style="96" bestFit="1" customWidth="1"/>
    <col min="14336" max="14336" width="2.88671875" style="96" bestFit="1" customWidth="1"/>
    <col min="14337" max="14337" width="3.5546875" style="96" bestFit="1" customWidth="1"/>
    <col min="14338" max="14338" width="2.77734375" style="96" bestFit="1" customWidth="1"/>
    <col min="14339" max="14339" width="3.5546875" style="96" bestFit="1" customWidth="1"/>
    <col min="14340" max="14340" width="2.77734375" style="96" bestFit="1" customWidth="1"/>
    <col min="14341" max="14341" width="7" style="96" bestFit="1" customWidth="1"/>
    <col min="14342" max="14342" width="16.33203125" style="96" bestFit="1" customWidth="1"/>
    <col min="14343" max="14343" width="3.109375" style="96" bestFit="1" customWidth="1"/>
    <col min="14344" max="14344" width="6.5546875" style="96" bestFit="1" customWidth="1"/>
    <col min="14345" max="14345" width="9.109375" style="96" bestFit="1" customWidth="1"/>
    <col min="14346" max="14346" width="9" style="96"/>
    <col min="14347" max="14347" width="2.77734375" style="96" bestFit="1" customWidth="1"/>
    <col min="14348" max="14348" width="9" style="96"/>
    <col min="14349" max="14349" width="2.77734375" style="96" bestFit="1" customWidth="1"/>
    <col min="14350" max="14585" width="9" style="96"/>
    <col min="14586" max="14586" width="36.6640625" style="96" bestFit="1" customWidth="1"/>
    <col min="14587" max="14587" width="11.21875" style="96" bestFit="1" customWidth="1"/>
    <col min="14588" max="14588" width="6.6640625" style="96" bestFit="1" customWidth="1"/>
    <col min="14589" max="14589" width="15.88671875" style="96" bestFit="1" customWidth="1"/>
    <col min="14590" max="14590" width="2.21875" style="96" bestFit="1" customWidth="1"/>
    <col min="14591" max="14591" width="6.33203125" style="96" bestFit="1" customWidth="1"/>
    <col min="14592" max="14592" width="2.88671875" style="96" bestFit="1" customWidth="1"/>
    <col min="14593" max="14593" width="3.5546875" style="96" bestFit="1" customWidth="1"/>
    <col min="14594" max="14594" width="2.77734375" style="96" bestFit="1" customWidth="1"/>
    <col min="14595" max="14595" width="3.5546875" style="96" bestFit="1" customWidth="1"/>
    <col min="14596" max="14596" width="2.77734375" style="96" bestFit="1" customWidth="1"/>
    <col min="14597" max="14597" width="7" style="96" bestFit="1" customWidth="1"/>
    <col min="14598" max="14598" width="16.33203125" style="96" bestFit="1" customWidth="1"/>
    <col min="14599" max="14599" width="3.109375" style="96" bestFit="1" customWidth="1"/>
    <col min="14600" max="14600" width="6.5546875" style="96" bestFit="1" customWidth="1"/>
    <col min="14601" max="14601" width="9.109375" style="96" bestFit="1" customWidth="1"/>
    <col min="14602" max="14602" width="9" style="96"/>
    <col min="14603" max="14603" width="2.77734375" style="96" bestFit="1" customWidth="1"/>
    <col min="14604" max="14604" width="9" style="96"/>
    <col min="14605" max="14605" width="2.77734375" style="96" bestFit="1" customWidth="1"/>
    <col min="14606" max="14841" width="9" style="96"/>
    <col min="14842" max="14842" width="36.6640625" style="96" bestFit="1" customWidth="1"/>
    <col min="14843" max="14843" width="11.21875" style="96" bestFit="1" customWidth="1"/>
    <col min="14844" max="14844" width="6.6640625" style="96" bestFit="1" customWidth="1"/>
    <col min="14845" max="14845" width="15.88671875" style="96" bestFit="1" customWidth="1"/>
    <col min="14846" max="14846" width="2.21875" style="96" bestFit="1" customWidth="1"/>
    <col min="14847" max="14847" width="6.33203125" style="96" bestFit="1" customWidth="1"/>
    <col min="14848" max="14848" width="2.88671875" style="96" bestFit="1" customWidth="1"/>
    <col min="14849" max="14849" width="3.5546875" style="96" bestFit="1" customWidth="1"/>
    <col min="14850" max="14850" width="2.77734375" style="96" bestFit="1" customWidth="1"/>
    <col min="14851" max="14851" width="3.5546875" style="96" bestFit="1" customWidth="1"/>
    <col min="14852" max="14852" width="2.77734375" style="96" bestFit="1" customWidth="1"/>
    <col min="14853" max="14853" width="7" style="96" bestFit="1" customWidth="1"/>
    <col min="14854" max="14854" width="16.33203125" style="96" bestFit="1" customWidth="1"/>
    <col min="14855" max="14855" width="3.109375" style="96" bestFit="1" customWidth="1"/>
    <col min="14856" max="14856" width="6.5546875" style="96" bestFit="1" customWidth="1"/>
    <col min="14857" max="14857" width="9.109375" style="96" bestFit="1" customWidth="1"/>
    <col min="14858" max="14858" width="9" style="96"/>
    <col min="14859" max="14859" width="2.77734375" style="96" bestFit="1" customWidth="1"/>
    <col min="14860" max="14860" width="9" style="96"/>
    <col min="14861" max="14861" width="2.77734375" style="96" bestFit="1" customWidth="1"/>
    <col min="14862" max="15097" width="9" style="96"/>
    <col min="15098" max="15098" width="36.6640625" style="96" bestFit="1" customWidth="1"/>
    <col min="15099" max="15099" width="11.21875" style="96" bestFit="1" customWidth="1"/>
    <col min="15100" max="15100" width="6.6640625" style="96" bestFit="1" customWidth="1"/>
    <col min="15101" max="15101" width="15.88671875" style="96" bestFit="1" customWidth="1"/>
    <col min="15102" max="15102" width="2.21875" style="96" bestFit="1" customWidth="1"/>
    <col min="15103" max="15103" width="6.33203125" style="96" bestFit="1" customWidth="1"/>
    <col min="15104" max="15104" width="2.88671875" style="96" bestFit="1" customWidth="1"/>
    <col min="15105" max="15105" width="3.5546875" style="96" bestFit="1" customWidth="1"/>
    <col min="15106" max="15106" width="2.77734375" style="96" bestFit="1" customWidth="1"/>
    <col min="15107" max="15107" width="3.5546875" style="96" bestFit="1" customWidth="1"/>
    <col min="15108" max="15108" width="2.77734375" style="96" bestFit="1" customWidth="1"/>
    <col min="15109" max="15109" width="7" style="96" bestFit="1" customWidth="1"/>
    <col min="15110" max="15110" width="16.33203125" style="96" bestFit="1" customWidth="1"/>
    <col min="15111" max="15111" width="3.109375" style="96" bestFit="1" customWidth="1"/>
    <col min="15112" max="15112" width="6.5546875" style="96" bestFit="1" customWidth="1"/>
    <col min="15113" max="15113" width="9.109375" style="96" bestFit="1" customWidth="1"/>
    <col min="15114" max="15114" width="9" style="96"/>
    <col min="15115" max="15115" width="2.77734375" style="96" bestFit="1" customWidth="1"/>
    <col min="15116" max="15116" width="9" style="96"/>
    <col min="15117" max="15117" width="2.77734375" style="96" bestFit="1" customWidth="1"/>
    <col min="15118" max="15353" width="9" style="96"/>
    <col min="15354" max="15354" width="36.6640625" style="96" bestFit="1" customWidth="1"/>
    <col min="15355" max="15355" width="11.21875" style="96" bestFit="1" customWidth="1"/>
    <col min="15356" max="15356" width="6.6640625" style="96" bestFit="1" customWidth="1"/>
    <col min="15357" max="15357" width="15.88671875" style="96" bestFit="1" customWidth="1"/>
    <col min="15358" max="15358" width="2.21875" style="96" bestFit="1" customWidth="1"/>
    <col min="15359" max="15359" width="6.33203125" style="96" bestFit="1" customWidth="1"/>
    <col min="15360" max="15360" width="2.88671875" style="96" bestFit="1" customWidth="1"/>
    <col min="15361" max="15361" width="3.5546875" style="96" bestFit="1" customWidth="1"/>
    <col min="15362" max="15362" width="2.77734375" style="96" bestFit="1" customWidth="1"/>
    <col min="15363" max="15363" width="3.5546875" style="96" bestFit="1" customWidth="1"/>
    <col min="15364" max="15364" width="2.77734375" style="96" bestFit="1" customWidth="1"/>
    <col min="15365" max="15365" width="7" style="96" bestFit="1" customWidth="1"/>
    <col min="15366" max="15366" width="16.33203125" style="96" bestFit="1" customWidth="1"/>
    <col min="15367" max="15367" width="3.109375" style="96" bestFit="1" customWidth="1"/>
    <col min="15368" max="15368" width="6.5546875" style="96" bestFit="1" customWidth="1"/>
    <col min="15369" max="15369" width="9.109375" style="96" bestFit="1" customWidth="1"/>
    <col min="15370" max="15370" width="9" style="96"/>
    <col min="15371" max="15371" width="2.77734375" style="96" bestFit="1" customWidth="1"/>
    <col min="15372" max="15372" width="9" style="96"/>
    <col min="15373" max="15373" width="2.77734375" style="96" bestFit="1" customWidth="1"/>
    <col min="15374" max="15609" width="9" style="96"/>
    <col min="15610" max="15610" width="36.6640625" style="96" bestFit="1" customWidth="1"/>
    <col min="15611" max="15611" width="11.21875" style="96" bestFit="1" customWidth="1"/>
    <col min="15612" max="15612" width="6.6640625" style="96" bestFit="1" customWidth="1"/>
    <col min="15613" max="15613" width="15.88671875" style="96" bestFit="1" customWidth="1"/>
    <col min="15614" max="15614" width="2.21875" style="96" bestFit="1" customWidth="1"/>
    <col min="15615" max="15615" width="6.33203125" style="96" bestFit="1" customWidth="1"/>
    <col min="15616" max="15616" width="2.88671875" style="96" bestFit="1" customWidth="1"/>
    <col min="15617" max="15617" width="3.5546875" style="96" bestFit="1" customWidth="1"/>
    <col min="15618" max="15618" width="2.77734375" style="96" bestFit="1" customWidth="1"/>
    <col min="15619" max="15619" width="3.5546875" style="96" bestFit="1" customWidth="1"/>
    <col min="15620" max="15620" width="2.77734375" style="96" bestFit="1" customWidth="1"/>
    <col min="15621" max="15621" width="7" style="96" bestFit="1" customWidth="1"/>
    <col min="15622" max="15622" width="16.33203125" style="96" bestFit="1" customWidth="1"/>
    <col min="15623" max="15623" width="3.109375" style="96" bestFit="1" customWidth="1"/>
    <col min="15624" max="15624" width="6.5546875" style="96" bestFit="1" customWidth="1"/>
    <col min="15625" max="15625" width="9.109375" style="96" bestFit="1" customWidth="1"/>
    <col min="15626" max="15626" width="9" style="96"/>
    <col min="15627" max="15627" width="2.77734375" style="96" bestFit="1" customWidth="1"/>
    <col min="15628" max="15628" width="9" style="96"/>
    <col min="15629" max="15629" width="2.77734375" style="96" bestFit="1" customWidth="1"/>
    <col min="15630" max="15865" width="9" style="96"/>
    <col min="15866" max="15866" width="36.6640625" style="96" bestFit="1" customWidth="1"/>
    <col min="15867" max="15867" width="11.21875" style="96" bestFit="1" customWidth="1"/>
    <col min="15868" max="15868" width="6.6640625" style="96" bestFit="1" customWidth="1"/>
    <col min="15869" max="15869" width="15.88671875" style="96" bestFit="1" customWidth="1"/>
    <col min="15870" max="15870" width="2.21875" style="96" bestFit="1" customWidth="1"/>
    <col min="15871" max="15871" width="6.33203125" style="96" bestFit="1" customWidth="1"/>
    <col min="15872" max="15872" width="2.88671875" style="96" bestFit="1" customWidth="1"/>
    <col min="15873" max="15873" width="3.5546875" style="96" bestFit="1" customWidth="1"/>
    <col min="15874" max="15874" width="2.77734375" style="96" bestFit="1" customWidth="1"/>
    <col min="15875" max="15875" width="3.5546875" style="96" bestFit="1" customWidth="1"/>
    <col min="15876" max="15876" width="2.77734375" style="96" bestFit="1" customWidth="1"/>
    <col min="15877" max="15877" width="7" style="96" bestFit="1" customWidth="1"/>
    <col min="15878" max="15878" width="16.33203125" style="96" bestFit="1" customWidth="1"/>
    <col min="15879" max="15879" width="3.109375" style="96" bestFit="1" customWidth="1"/>
    <col min="15880" max="15880" width="6.5546875" style="96" bestFit="1" customWidth="1"/>
    <col min="15881" max="15881" width="9.109375" style="96" bestFit="1" customWidth="1"/>
    <col min="15882" max="15882" width="9" style="96"/>
    <col min="15883" max="15883" width="2.77734375" style="96" bestFit="1" customWidth="1"/>
    <col min="15884" max="15884" width="9" style="96"/>
    <col min="15885" max="15885" width="2.77734375" style="96" bestFit="1" customWidth="1"/>
    <col min="15886" max="16121" width="9" style="96"/>
    <col min="16122" max="16122" width="36.6640625" style="96" bestFit="1" customWidth="1"/>
    <col min="16123" max="16123" width="11.21875" style="96" bestFit="1" customWidth="1"/>
    <col min="16124" max="16124" width="6.6640625" style="96" bestFit="1" customWidth="1"/>
    <col min="16125" max="16125" width="15.88671875" style="96" bestFit="1" customWidth="1"/>
    <col min="16126" max="16126" width="2.21875" style="96" bestFit="1" customWidth="1"/>
    <col min="16127" max="16127" width="6.33203125" style="96" bestFit="1" customWidth="1"/>
    <col min="16128" max="16128" width="2.88671875" style="96" bestFit="1" customWidth="1"/>
    <col min="16129" max="16129" width="3.5546875" style="96" bestFit="1" customWidth="1"/>
    <col min="16130" max="16130" width="2.77734375" style="96" bestFit="1" customWidth="1"/>
    <col min="16131" max="16131" width="3.5546875" style="96" bestFit="1" customWidth="1"/>
    <col min="16132" max="16132" width="2.77734375" style="96" bestFit="1" customWidth="1"/>
    <col min="16133" max="16133" width="7" style="96" bestFit="1" customWidth="1"/>
    <col min="16134" max="16134" width="16.33203125" style="96" bestFit="1" customWidth="1"/>
    <col min="16135" max="16135" width="3.109375" style="96" bestFit="1" customWidth="1"/>
    <col min="16136" max="16136" width="6.5546875" style="96" bestFit="1" customWidth="1"/>
    <col min="16137" max="16137" width="9.109375" style="96" bestFit="1" customWidth="1"/>
    <col min="16138" max="16138" width="9" style="96"/>
    <col min="16139" max="16139" width="2.77734375" style="96" bestFit="1" customWidth="1"/>
    <col min="16140" max="16140" width="9" style="96"/>
    <col min="16141" max="16141" width="2.77734375" style="96" bestFit="1" customWidth="1"/>
    <col min="16142" max="16384" width="9" style="96"/>
  </cols>
  <sheetData>
    <row r="1" spans="1:54" ht="31.5">
      <c r="A1" s="3943" t="s">
        <v>2258</v>
      </c>
      <c r="B1" s="3943"/>
      <c r="C1" s="3943"/>
      <c r="D1" s="3943"/>
      <c r="E1" s="3943"/>
      <c r="F1" s="3943"/>
      <c r="G1" s="3943"/>
      <c r="H1" s="3943"/>
      <c r="I1" s="3943"/>
      <c r="J1" s="3943"/>
      <c r="K1" s="3943"/>
      <c r="L1" s="3943"/>
      <c r="M1" s="3943"/>
      <c r="N1" s="3943"/>
      <c r="O1" s="3943"/>
      <c r="P1" s="3943"/>
      <c r="Q1" s="3943"/>
      <c r="R1" s="3943"/>
      <c r="S1" s="3943"/>
      <c r="T1" s="3943"/>
      <c r="U1" s="3943"/>
      <c r="X1" s="3925" t="s">
        <v>2257</v>
      </c>
      <c r="Y1" s="3925"/>
      <c r="Z1" s="3925"/>
      <c r="AA1" s="3925"/>
      <c r="AB1" s="3925"/>
      <c r="AC1" s="3925"/>
      <c r="AD1" s="3925"/>
      <c r="AE1" s="3925"/>
      <c r="AF1" s="3925"/>
      <c r="AG1" s="3925"/>
      <c r="AH1" s="3925"/>
      <c r="AI1" s="3925"/>
      <c r="AJ1" s="3925"/>
      <c r="AK1" s="3925"/>
      <c r="AL1" s="3925"/>
      <c r="AM1" s="3925"/>
      <c r="AN1" s="3925"/>
      <c r="AO1" s="3925"/>
      <c r="AP1" s="3925"/>
      <c r="AQ1" s="3925"/>
      <c r="AT1" s="106" t="s">
        <v>2225</v>
      </c>
      <c r="AU1" s="118" t="s">
        <v>2224</v>
      </c>
      <c r="AV1" s="118" t="s">
        <v>2223</v>
      </c>
      <c r="AW1" s="118" t="s">
        <v>2222</v>
      </c>
      <c r="AX1" s="118" t="s">
        <v>2221</v>
      </c>
      <c r="AY1" s="118" t="s">
        <v>2220</v>
      </c>
      <c r="AZ1" s="118" t="s">
        <v>2219</v>
      </c>
      <c r="BA1" s="118" t="s">
        <v>2218</v>
      </c>
      <c r="BB1" s="118" t="s">
        <v>2217</v>
      </c>
    </row>
    <row r="2" spans="1:54">
      <c r="A2" s="100" t="s">
        <v>772</v>
      </c>
      <c r="B2" s="100" t="s">
        <v>2256</v>
      </c>
      <c r="C2" s="100" t="s">
        <v>2259</v>
      </c>
      <c r="D2" s="100" t="s">
        <v>2255</v>
      </c>
      <c r="E2" s="100" t="s">
        <v>2229</v>
      </c>
      <c r="F2" s="101" t="s">
        <v>2254</v>
      </c>
      <c r="G2" s="100" t="s">
        <v>2022</v>
      </c>
      <c r="H2" s="101" t="s">
        <v>2253</v>
      </c>
      <c r="I2" s="100" t="s">
        <v>2018</v>
      </c>
      <c r="J2" s="121" t="s">
        <v>2252</v>
      </c>
      <c r="K2" s="100" t="s">
        <v>2005</v>
      </c>
      <c r="L2" s="100" t="s">
        <v>2251</v>
      </c>
      <c r="M2" s="3924" t="s">
        <v>2250</v>
      </c>
      <c r="N2" s="3924"/>
      <c r="O2" s="106" t="s">
        <v>2244</v>
      </c>
      <c r="P2" s="107" t="s">
        <v>2243</v>
      </c>
      <c r="Q2" s="3928" t="s">
        <v>2240</v>
      </c>
      <c r="R2" s="3929"/>
      <c r="S2" s="3929"/>
      <c r="T2" s="3929"/>
      <c r="U2" s="3930"/>
      <c r="X2" s="112" t="s">
        <v>772</v>
      </c>
      <c r="Y2" s="112" t="s">
        <v>2256</v>
      </c>
      <c r="Z2" s="112" t="s">
        <v>2255</v>
      </c>
      <c r="AA2" s="112" t="s">
        <v>2229</v>
      </c>
      <c r="AB2" s="112" t="s">
        <v>2254</v>
      </c>
      <c r="AC2" s="112" t="s">
        <v>2022</v>
      </c>
      <c r="AD2" s="112" t="s">
        <v>2253</v>
      </c>
      <c r="AE2" s="112" t="s">
        <v>2018</v>
      </c>
      <c r="AF2" s="113" t="s">
        <v>2252</v>
      </c>
      <c r="AG2" s="112" t="s">
        <v>2005</v>
      </c>
      <c r="AH2" s="112" t="s">
        <v>2251</v>
      </c>
      <c r="AI2" s="3924" t="s">
        <v>2250</v>
      </c>
      <c r="AJ2" s="3924"/>
      <c r="AK2" s="106" t="s">
        <v>2244</v>
      </c>
      <c r="AL2" s="107" t="s">
        <v>2243</v>
      </c>
      <c r="AM2" s="3928" t="s">
        <v>2240</v>
      </c>
      <c r="AN2" s="3929"/>
      <c r="AO2" s="3929"/>
      <c r="AP2" s="3929"/>
      <c r="AQ2" s="3930"/>
      <c r="AT2" s="119" t="s">
        <v>2216</v>
      </c>
      <c r="AU2" s="120">
        <v>-3</v>
      </c>
      <c r="AV2" s="120">
        <v>-2</v>
      </c>
      <c r="AW2" s="120">
        <v>-1</v>
      </c>
      <c r="AX2" s="120">
        <v>0</v>
      </c>
      <c r="AY2" s="120">
        <v>1</v>
      </c>
      <c r="AZ2" s="120">
        <v>2</v>
      </c>
      <c r="BA2" s="120">
        <v>3</v>
      </c>
      <c r="BB2" s="120">
        <v>4</v>
      </c>
    </row>
    <row r="3" spans="1:54" ht="18.75">
      <c r="A3" s="125" t="s">
        <v>2260</v>
      </c>
      <c r="B3" s="125">
        <v>1500</v>
      </c>
      <c r="C3" s="125">
        <v>65</v>
      </c>
      <c r="D3" s="124">
        <f t="shared" ref="D3:D66" si="0">B3*$O$6</f>
        <v>1500</v>
      </c>
      <c r="E3" s="125" t="s">
        <v>2229</v>
      </c>
      <c r="F3" s="126">
        <f t="shared" ref="F3:F66" si="1">_xlfn.FLOOR.MATH(D3,1)</f>
        <v>1500</v>
      </c>
      <c r="G3" s="125" t="s">
        <v>2228</v>
      </c>
      <c r="H3" s="126">
        <f t="shared" ref="H3:H66" si="2">_xlfn.FLOOR.MATH(((D3-F3)*10), 1)</f>
        <v>0</v>
      </c>
      <c r="I3" s="125" t="s">
        <v>2227</v>
      </c>
      <c r="J3" s="126">
        <f t="shared" ref="J3:J66" si="3">((D3-F3)*10-H3)*10</f>
        <v>0</v>
      </c>
      <c r="K3" s="125" t="s">
        <v>2226</v>
      </c>
      <c r="L3" s="124">
        <v>60</v>
      </c>
      <c r="M3" s="119" t="s">
        <v>2249</v>
      </c>
      <c r="N3" s="98">
        <v>0</v>
      </c>
      <c r="O3" s="108">
        <f>IF(N3=-3,'Basic Price Sheet'!AU4,IF(N3=-2,'Basic Price Sheet'!AV4,IF(N3=-1,'Basic Price Sheet'!AW4,IF(N3=0,'Basic Price Sheet'!AX4,IF(N3=1,'Basic Price Sheet'!AY4,IF(N3=2,'Basic Price Sheet'!AZ4,IF(N3=3,'Basic Price Sheet'!BA4,IF(N3=4,'Basic Price Sheet'!BB4))))))))</f>
        <v>1</v>
      </c>
      <c r="P3" s="109">
        <f>1-O3</f>
        <v>0</v>
      </c>
      <c r="Q3" s="3944" t="s">
        <v>2248</v>
      </c>
      <c r="R3" s="3945"/>
      <c r="S3" s="3945"/>
      <c r="T3" s="3945"/>
      <c r="U3" s="3946"/>
      <c r="X3" s="114" t="s">
        <v>13746</v>
      </c>
      <c r="Y3" s="115">
        <v>31250.25</v>
      </c>
      <c r="Z3" s="116">
        <f t="shared" ref="Z3:Z66" si="4">Y3*$AK$6*$AK$11</f>
        <v>31250.25</v>
      </c>
      <c r="AA3" s="114" t="s">
        <v>2229</v>
      </c>
      <c r="AB3" s="117">
        <f t="shared" ref="AB3:AB66" si="5">_xlfn.FLOOR.MATH(Z3,1)</f>
        <v>31250</v>
      </c>
      <c r="AC3" s="114" t="s">
        <v>2228</v>
      </c>
      <c r="AD3" s="117">
        <f t="shared" ref="AD3:AD66" si="6">_xlfn.FLOOR.MATH(((Z3-AB3)*10), 1)</f>
        <v>2</v>
      </c>
      <c r="AE3" s="114" t="s">
        <v>2227</v>
      </c>
      <c r="AF3" s="117">
        <f t="shared" ref="AF3:AF66" si="7">((Z3-AB3)*10-AD3)*10</f>
        <v>5</v>
      </c>
      <c r="AG3" s="114" t="s">
        <v>2226</v>
      </c>
      <c r="AH3" s="116">
        <v>1250.01</v>
      </c>
      <c r="AI3" s="119" t="s">
        <v>2249</v>
      </c>
      <c r="AJ3" s="98">
        <v>0</v>
      </c>
      <c r="AK3" s="108">
        <f>IF(AJ3=-3,'Basic Price Sheet'!$AU$4,IF($AJ$3=-2,'Basic Price Sheet'!$AV$4,IF($AJ$3=-1,'Basic Price Sheet'!AW4,IF(AJ3=0,'Basic Price Sheet'!AX4,IF(AJ3=1,'Basic Price Sheet'!AY4,IF(AJ3=2,'Basic Price Sheet'!AZ4,IF(AJ3=3,'Basic Price Sheet'!BA4,IF(AJ3=4,'Basic Price Sheet'!BB4))))))))</f>
        <v>1</v>
      </c>
      <c r="AL3" s="109">
        <f>1-AK3</f>
        <v>0</v>
      </c>
      <c r="AM3" s="3927" t="s">
        <v>2248</v>
      </c>
      <c r="AN3" s="3927"/>
      <c r="AO3" s="3927"/>
      <c r="AP3" s="3927"/>
      <c r="AQ3" s="3927"/>
      <c r="AT3" s="119" t="s">
        <v>2215</v>
      </c>
      <c r="AU3" s="120">
        <v>1.08</v>
      </c>
      <c r="AV3" s="120">
        <v>1.05</v>
      </c>
      <c r="AW3" s="120">
        <v>1.02</v>
      </c>
      <c r="AX3" s="120">
        <v>1</v>
      </c>
      <c r="AY3" s="120">
        <v>0.98</v>
      </c>
      <c r="AZ3" s="120">
        <v>0.95</v>
      </c>
      <c r="BA3" s="120">
        <v>0.93</v>
      </c>
      <c r="BB3" s="120">
        <v>0.9</v>
      </c>
    </row>
    <row r="4" spans="1:54" ht="18.75">
      <c r="A4" s="125" t="s">
        <v>2261</v>
      </c>
      <c r="B4" s="127">
        <v>1000</v>
      </c>
      <c r="C4" s="125">
        <v>1</v>
      </c>
      <c r="D4" s="124">
        <f t="shared" si="0"/>
        <v>1000</v>
      </c>
      <c r="E4" s="125" t="s">
        <v>2229</v>
      </c>
      <c r="F4" s="126">
        <f t="shared" si="1"/>
        <v>1000</v>
      </c>
      <c r="G4" s="125" t="s">
        <v>2228</v>
      </c>
      <c r="H4" s="126">
        <f t="shared" si="2"/>
        <v>0</v>
      </c>
      <c r="I4" s="125" t="s">
        <v>2227</v>
      </c>
      <c r="J4" s="126">
        <f t="shared" si="3"/>
        <v>0</v>
      </c>
      <c r="K4" s="125" t="s">
        <v>2226</v>
      </c>
      <c r="L4" s="124">
        <v>40</v>
      </c>
      <c r="M4" s="119" t="s">
        <v>2231</v>
      </c>
      <c r="N4" s="98">
        <v>0</v>
      </c>
      <c r="O4" s="108">
        <f>IF(N4=-3,'Basic Price Sheet'!AU3,IF(N4=-2,'Basic Price Sheet'!AV3,IF(N4=-1,'Basic Price Sheet'!AW3,IF(N4=0,'Basic Price Sheet'!AX3,IF(N4=1,'Basic Price Sheet'!AY3,IF(N4=2,'Basic Price Sheet'!AZ3,IF(N4=3,'Basic Price Sheet'!BA3,IF(N4=4,'Basic Price Sheet'!BB3))))))))</f>
        <v>1</v>
      </c>
      <c r="P4" s="109">
        <f>1-O4</f>
        <v>0</v>
      </c>
      <c r="Q4" s="3944" t="s">
        <v>2231</v>
      </c>
      <c r="R4" s="3945"/>
      <c r="S4" s="3945"/>
      <c r="T4" s="3945"/>
      <c r="U4" s="3946"/>
      <c r="X4" s="114" t="s">
        <v>13747</v>
      </c>
      <c r="Y4" s="115">
        <v>31250.25</v>
      </c>
      <c r="Z4" s="116">
        <f t="shared" si="4"/>
        <v>31250.25</v>
      </c>
      <c r="AA4" s="114" t="s">
        <v>2229</v>
      </c>
      <c r="AB4" s="117">
        <f t="shared" si="5"/>
        <v>31250</v>
      </c>
      <c r="AC4" s="114" t="s">
        <v>2228</v>
      </c>
      <c r="AD4" s="117">
        <f t="shared" si="6"/>
        <v>2</v>
      </c>
      <c r="AE4" s="114" t="s">
        <v>2227</v>
      </c>
      <c r="AF4" s="117">
        <f t="shared" si="7"/>
        <v>5</v>
      </c>
      <c r="AG4" s="114" t="s">
        <v>2226</v>
      </c>
      <c r="AH4" s="116">
        <v>1250.01</v>
      </c>
      <c r="AI4" s="119" t="s">
        <v>2231</v>
      </c>
      <c r="AJ4" s="98">
        <v>0</v>
      </c>
      <c r="AK4" s="108">
        <f>IF(AJ4=-3,'Basic Price Sheet'!AU3,IF(AJ4=-2,'Basic Price Sheet'!AV3,IF(AJ4=-1,'Basic Price Sheet'!AW3,IF(AJ4=0,'Basic Price Sheet'!AX3,IF(AJ4=1,'Basic Price Sheet'!AY3,IF(AJ4=2,'Basic Price Sheet'!AZ3,IF(AJ4=3,'Basic Price Sheet'!BA3,IF(AJ4=4,'Basic Price Sheet'!BB3))))))))</f>
        <v>1</v>
      </c>
      <c r="AL4" s="109">
        <f>1-AK4</f>
        <v>0</v>
      </c>
      <c r="AM4" s="3927" t="s">
        <v>2231</v>
      </c>
      <c r="AN4" s="3927"/>
      <c r="AO4" s="3927"/>
      <c r="AP4" s="3927"/>
      <c r="AQ4" s="3927"/>
      <c r="AT4" s="119" t="s">
        <v>2214</v>
      </c>
      <c r="AU4" s="120">
        <v>1.3</v>
      </c>
      <c r="AV4" s="120">
        <v>1.1000000000000001</v>
      </c>
      <c r="AW4" s="120">
        <v>1.05</v>
      </c>
      <c r="AX4" s="120">
        <v>1</v>
      </c>
      <c r="AY4" s="120">
        <v>0.96</v>
      </c>
      <c r="AZ4" s="120">
        <v>0.95</v>
      </c>
      <c r="BA4" s="120">
        <v>0.9</v>
      </c>
      <c r="BB4" s="120">
        <v>0.85</v>
      </c>
    </row>
    <row r="5" spans="1:54" ht="18" customHeight="1">
      <c r="A5" s="125" t="s">
        <v>2262</v>
      </c>
      <c r="B5" s="125">
        <v>750</v>
      </c>
      <c r="C5" s="125">
        <v>40</v>
      </c>
      <c r="D5" s="124">
        <f t="shared" si="0"/>
        <v>750</v>
      </c>
      <c r="E5" s="125" t="s">
        <v>2229</v>
      </c>
      <c r="F5" s="126">
        <f t="shared" si="1"/>
        <v>750</v>
      </c>
      <c r="G5" s="125" t="s">
        <v>2228</v>
      </c>
      <c r="H5" s="126">
        <f t="shared" si="2"/>
        <v>0</v>
      </c>
      <c r="I5" s="125" t="s">
        <v>2227</v>
      </c>
      <c r="J5" s="126">
        <f t="shared" si="3"/>
        <v>0</v>
      </c>
      <c r="K5" s="125" t="s">
        <v>2226</v>
      </c>
      <c r="L5" s="124">
        <v>30</v>
      </c>
      <c r="M5" s="119" t="s">
        <v>2247</v>
      </c>
      <c r="N5" s="98" t="s">
        <v>1997</v>
      </c>
      <c r="O5" s="110" t="str">
        <f>IF(N5="Y", 'Basic Price Sheet'!AU5, IF(N5="N","1"))</f>
        <v>1</v>
      </c>
      <c r="P5" s="109">
        <f>1-O5</f>
        <v>0</v>
      </c>
      <c r="Q5" s="3937" t="s">
        <v>2246</v>
      </c>
      <c r="R5" s="3938"/>
      <c r="S5" s="3938"/>
      <c r="T5" s="3938"/>
      <c r="U5" s="3939"/>
      <c r="X5" s="114" t="s">
        <v>13748</v>
      </c>
      <c r="Y5" s="115">
        <v>3887.625</v>
      </c>
      <c r="Z5" s="116">
        <f t="shared" si="4"/>
        <v>3887.625</v>
      </c>
      <c r="AA5" s="114" t="s">
        <v>2229</v>
      </c>
      <c r="AB5" s="117">
        <f t="shared" si="5"/>
        <v>3887</v>
      </c>
      <c r="AC5" s="114" t="s">
        <v>2228</v>
      </c>
      <c r="AD5" s="117">
        <f t="shared" si="6"/>
        <v>6</v>
      </c>
      <c r="AE5" s="114" t="s">
        <v>2227</v>
      </c>
      <c r="AF5" s="117">
        <f t="shared" si="7"/>
        <v>2.5</v>
      </c>
      <c r="AG5" s="114" t="s">
        <v>2226</v>
      </c>
      <c r="AH5" s="116">
        <v>155.5</v>
      </c>
      <c r="AI5" s="119" t="s">
        <v>2247</v>
      </c>
      <c r="AJ5" s="98" t="s">
        <v>1997</v>
      </c>
      <c r="AK5" s="110" t="str">
        <f>IF(AJ5="Y", 'Basic Price Sheet'!AU5, IF(AJ5="N","1"))</f>
        <v>1</v>
      </c>
      <c r="AL5" s="109">
        <f>1-AK5</f>
        <v>0</v>
      </c>
      <c r="AM5" s="3926" t="s">
        <v>2246</v>
      </c>
      <c r="AN5" s="3926"/>
      <c r="AO5" s="3926"/>
      <c r="AP5" s="3926"/>
      <c r="AQ5" s="3926"/>
      <c r="AT5" s="119" t="s">
        <v>2213</v>
      </c>
      <c r="AU5" s="120">
        <v>0.95</v>
      </c>
      <c r="AV5" s="120"/>
      <c r="AW5" s="120"/>
      <c r="AX5" s="120"/>
      <c r="AY5" s="120"/>
      <c r="AZ5" s="120"/>
      <c r="BA5" s="120"/>
      <c r="BB5" s="120"/>
    </row>
    <row r="6" spans="1:54" ht="18.75">
      <c r="A6" s="125" t="s">
        <v>2263</v>
      </c>
      <c r="B6" s="125">
        <v>400</v>
      </c>
      <c r="C6" s="125">
        <v>20</v>
      </c>
      <c r="D6" s="124">
        <f t="shared" si="0"/>
        <v>400</v>
      </c>
      <c r="E6" s="125" t="s">
        <v>2229</v>
      </c>
      <c r="F6" s="126">
        <f t="shared" si="1"/>
        <v>400</v>
      </c>
      <c r="G6" s="125" t="s">
        <v>2228</v>
      </c>
      <c r="H6" s="126">
        <f t="shared" si="2"/>
        <v>0</v>
      </c>
      <c r="I6" s="125" t="s">
        <v>2227</v>
      </c>
      <c r="J6" s="126">
        <f t="shared" si="3"/>
        <v>0</v>
      </c>
      <c r="K6" s="125" t="s">
        <v>2226</v>
      </c>
      <c r="L6" s="124">
        <v>16</v>
      </c>
      <c r="M6" s="119" t="s">
        <v>2240</v>
      </c>
      <c r="N6" s="97"/>
      <c r="O6" s="108">
        <f>O3*O4*O5</f>
        <v>1</v>
      </c>
      <c r="P6" s="109">
        <f>1-O6</f>
        <v>0</v>
      </c>
      <c r="Q6" s="3940"/>
      <c r="R6" s="3941"/>
      <c r="S6" s="3941"/>
      <c r="T6" s="3941"/>
      <c r="U6" s="3942"/>
      <c r="X6" s="114" t="s">
        <v>8879</v>
      </c>
      <c r="Y6" s="115">
        <v>500</v>
      </c>
      <c r="Z6" s="116">
        <f t="shared" si="4"/>
        <v>500</v>
      </c>
      <c r="AA6" s="114" t="s">
        <v>2229</v>
      </c>
      <c r="AB6" s="117">
        <f t="shared" si="5"/>
        <v>500</v>
      </c>
      <c r="AC6" s="114" t="s">
        <v>2228</v>
      </c>
      <c r="AD6" s="117">
        <f t="shared" si="6"/>
        <v>0</v>
      </c>
      <c r="AE6" s="114" t="s">
        <v>2227</v>
      </c>
      <c r="AF6" s="117">
        <f t="shared" si="7"/>
        <v>0</v>
      </c>
      <c r="AG6" s="114" t="s">
        <v>2226</v>
      </c>
      <c r="AH6" s="116">
        <v>20</v>
      </c>
      <c r="AI6" s="119" t="s">
        <v>2240</v>
      </c>
      <c r="AJ6" s="97"/>
      <c r="AK6" s="108">
        <f>AK3*AK4*AK5</f>
        <v>1</v>
      </c>
      <c r="AL6" s="109">
        <f>1-AK6</f>
        <v>0</v>
      </c>
      <c r="AM6" s="3926"/>
      <c r="AN6" s="3926"/>
      <c r="AO6" s="3926"/>
      <c r="AP6" s="3926"/>
      <c r="AQ6" s="3926"/>
      <c r="AT6" s="119" t="s">
        <v>2212</v>
      </c>
      <c r="AU6" s="120">
        <v>-2</v>
      </c>
      <c r="AV6" s="120">
        <v>-1</v>
      </c>
      <c r="AW6" s="120">
        <v>0</v>
      </c>
      <c r="AX6" s="120">
        <v>1</v>
      </c>
      <c r="AY6" s="120">
        <v>2</v>
      </c>
      <c r="AZ6" s="95"/>
      <c r="BA6" s="95"/>
      <c r="BB6" s="95"/>
    </row>
    <row r="7" spans="1:54" ht="18.75">
      <c r="A7" s="125" t="s">
        <v>2264</v>
      </c>
      <c r="B7" s="125">
        <v>200</v>
      </c>
      <c r="C7" s="125">
        <v>60</v>
      </c>
      <c r="D7" s="124">
        <f t="shared" si="0"/>
        <v>200</v>
      </c>
      <c r="E7" s="125" t="s">
        <v>2229</v>
      </c>
      <c r="F7" s="126">
        <f t="shared" si="1"/>
        <v>200</v>
      </c>
      <c r="G7" s="125" t="s">
        <v>2228</v>
      </c>
      <c r="H7" s="126">
        <f t="shared" si="2"/>
        <v>0</v>
      </c>
      <c r="I7" s="125" t="s">
        <v>2227</v>
      </c>
      <c r="J7" s="126">
        <f t="shared" si="3"/>
        <v>0</v>
      </c>
      <c r="K7" s="125" t="s">
        <v>2226</v>
      </c>
      <c r="L7" s="124">
        <v>8</v>
      </c>
      <c r="M7" s="100"/>
      <c r="N7" s="101"/>
      <c r="O7" s="100"/>
      <c r="P7" s="100"/>
      <c r="Q7" s="100"/>
      <c r="R7" s="100"/>
      <c r="S7" s="100"/>
      <c r="T7" s="100"/>
      <c r="U7" s="100"/>
      <c r="X7" s="114" t="s">
        <v>13749</v>
      </c>
      <c r="Y7" s="115">
        <v>6875.25</v>
      </c>
      <c r="Z7" s="116">
        <f t="shared" si="4"/>
        <v>6875.25</v>
      </c>
      <c r="AA7" s="114" t="s">
        <v>2229</v>
      </c>
      <c r="AB7" s="117">
        <f t="shared" si="5"/>
        <v>6875</v>
      </c>
      <c r="AC7" s="114" t="s">
        <v>2228</v>
      </c>
      <c r="AD7" s="117">
        <f t="shared" si="6"/>
        <v>2</v>
      </c>
      <c r="AE7" s="114" t="s">
        <v>2227</v>
      </c>
      <c r="AF7" s="117">
        <f t="shared" si="7"/>
        <v>5</v>
      </c>
      <c r="AG7" s="114" t="s">
        <v>2226</v>
      </c>
      <c r="AH7" s="116">
        <v>275.01</v>
      </c>
      <c r="AI7" s="100"/>
      <c r="AJ7" s="101"/>
      <c r="AK7" s="100"/>
      <c r="AL7" s="100"/>
      <c r="AM7" s="100"/>
      <c r="AN7" s="100"/>
      <c r="AO7" s="100"/>
      <c r="AP7" s="100"/>
      <c r="AQ7" s="100"/>
      <c r="AT7" s="119" t="s">
        <v>2211</v>
      </c>
      <c r="AU7" s="120">
        <v>1.25</v>
      </c>
      <c r="AV7" s="120">
        <v>1.1000000000000001</v>
      </c>
      <c r="AW7" s="120">
        <v>1</v>
      </c>
      <c r="AX7" s="120">
        <v>0.9</v>
      </c>
      <c r="AY7" s="120">
        <v>0.85</v>
      </c>
      <c r="AZ7" s="95"/>
      <c r="BA7" s="95"/>
      <c r="BB7" s="95"/>
    </row>
    <row r="8" spans="1:54" ht="18.75">
      <c r="A8" s="125" t="s">
        <v>2265</v>
      </c>
      <c r="B8" s="125">
        <v>100</v>
      </c>
      <c r="C8" s="125">
        <v>0</v>
      </c>
      <c r="D8" s="124">
        <f t="shared" si="0"/>
        <v>100</v>
      </c>
      <c r="E8" s="125" t="s">
        <v>2229</v>
      </c>
      <c r="F8" s="126">
        <f t="shared" si="1"/>
        <v>100</v>
      </c>
      <c r="G8" s="125" t="s">
        <v>2228</v>
      </c>
      <c r="H8" s="126">
        <f t="shared" si="2"/>
        <v>0</v>
      </c>
      <c r="I8" s="125" t="s">
        <v>2227</v>
      </c>
      <c r="J8" s="126">
        <f t="shared" si="3"/>
        <v>0</v>
      </c>
      <c r="K8" s="125" t="s">
        <v>2226</v>
      </c>
      <c r="L8" s="124">
        <v>4</v>
      </c>
      <c r="M8" s="3935" t="s">
        <v>2238</v>
      </c>
      <c r="N8" s="3936"/>
      <c r="O8" s="3936"/>
      <c r="P8" s="3936"/>
      <c r="Q8" s="3936"/>
      <c r="R8" s="3936"/>
      <c r="S8" s="3936"/>
      <c r="T8" s="3936"/>
      <c r="U8" s="3936"/>
      <c r="X8" s="114" t="s">
        <v>8980</v>
      </c>
      <c r="Y8" s="115">
        <v>3050</v>
      </c>
      <c r="Z8" s="116">
        <f t="shared" si="4"/>
        <v>3050</v>
      </c>
      <c r="AA8" s="114" t="s">
        <v>2229</v>
      </c>
      <c r="AB8" s="117">
        <f t="shared" si="5"/>
        <v>3050</v>
      </c>
      <c r="AC8" s="114" t="s">
        <v>2228</v>
      </c>
      <c r="AD8" s="117">
        <f t="shared" si="6"/>
        <v>0</v>
      </c>
      <c r="AE8" s="114" t="s">
        <v>2227</v>
      </c>
      <c r="AF8" s="117">
        <f t="shared" si="7"/>
        <v>0</v>
      </c>
      <c r="AG8" s="114" t="s">
        <v>2226</v>
      </c>
      <c r="AH8" s="116">
        <v>122</v>
      </c>
      <c r="AI8" s="3924" t="s">
        <v>2245</v>
      </c>
      <c r="AJ8" s="3924"/>
      <c r="AK8" s="106" t="s">
        <v>2244</v>
      </c>
      <c r="AL8" s="107" t="s">
        <v>2243</v>
      </c>
      <c r="AM8" s="3931" t="s">
        <v>2240</v>
      </c>
      <c r="AN8" s="3931"/>
      <c r="AO8" s="3931"/>
      <c r="AP8" s="3931"/>
      <c r="AQ8" s="3931"/>
      <c r="AT8" s="119" t="s">
        <v>2210</v>
      </c>
      <c r="AU8" s="120">
        <v>-2</v>
      </c>
      <c r="AV8" s="120">
        <v>-1</v>
      </c>
      <c r="AW8" s="120">
        <v>0</v>
      </c>
      <c r="AX8" s="120">
        <v>1</v>
      </c>
      <c r="AY8" s="120">
        <v>2</v>
      </c>
      <c r="AZ8" s="95"/>
      <c r="BA8" s="95"/>
      <c r="BB8" s="95"/>
    </row>
    <row r="9" spans="1:54" ht="18.75">
      <c r="A9" s="125" t="s">
        <v>2266</v>
      </c>
      <c r="B9" s="125">
        <v>100</v>
      </c>
      <c r="C9" s="125">
        <v>0</v>
      </c>
      <c r="D9" s="124">
        <f t="shared" si="0"/>
        <v>100</v>
      </c>
      <c r="E9" s="125" t="s">
        <v>2229</v>
      </c>
      <c r="F9" s="126">
        <f t="shared" si="1"/>
        <v>100</v>
      </c>
      <c r="G9" s="125" t="s">
        <v>2228</v>
      </c>
      <c r="H9" s="126">
        <f t="shared" si="2"/>
        <v>0</v>
      </c>
      <c r="I9" s="125" t="s">
        <v>2227</v>
      </c>
      <c r="J9" s="126">
        <f t="shared" si="3"/>
        <v>0</v>
      </c>
      <c r="K9" s="125" t="s">
        <v>2226</v>
      </c>
      <c r="L9" s="124">
        <v>4</v>
      </c>
      <c r="M9" s="3935"/>
      <c r="N9" s="3936"/>
      <c r="O9" s="3936"/>
      <c r="P9" s="3936"/>
      <c r="Q9" s="3936"/>
      <c r="R9" s="3936"/>
      <c r="S9" s="3936"/>
      <c r="T9" s="3936"/>
      <c r="U9" s="3936"/>
      <c r="X9" s="114" t="s">
        <v>13750</v>
      </c>
      <c r="Y9" s="115">
        <v>37.5</v>
      </c>
      <c r="Z9" s="116">
        <f t="shared" si="4"/>
        <v>37.5</v>
      </c>
      <c r="AA9" s="114" t="s">
        <v>2229</v>
      </c>
      <c r="AB9" s="117">
        <f t="shared" si="5"/>
        <v>37</v>
      </c>
      <c r="AC9" s="114" t="s">
        <v>2228</v>
      </c>
      <c r="AD9" s="117">
        <f t="shared" si="6"/>
        <v>5</v>
      </c>
      <c r="AE9" s="114" t="s">
        <v>2227</v>
      </c>
      <c r="AF9" s="117">
        <f t="shared" si="7"/>
        <v>0</v>
      </c>
      <c r="AG9" s="114" t="s">
        <v>2226</v>
      </c>
      <c r="AH9" s="116">
        <v>1.5</v>
      </c>
      <c r="AI9" s="119" t="s">
        <v>2212</v>
      </c>
      <c r="AJ9" s="102">
        <v>0</v>
      </c>
      <c r="AK9" s="108">
        <f>IF(AJ9=-2,'Basic Price Sheet'!AU7,IF(AJ9=-1,'Basic Price Sheet'!AV7,IF(AJ9=0,'Basic Price Sheet'!AW7,IF(AJ9=1,'Basic Price Sheet'!AX7,IF(AJ9=2,'Basic Price Sheet'!AY7)))))</f>
        <v>1</v>
      </c>
      <c r="AL9" s="109">
        <f>1-AK9</f>
        <v>0</v>
      </c>
      <c r="AM9" s="3927" t="s">
        <v>2242</v>
      </c>
      <c r="AN9" s="3927"/>
      <c r="AO9" s="3927"/>
      <c r="AP9" s="3927"/>
      <c r="AQ9" s="3927"/>
      <c r="AT9" s="119" t="s">
        <v>2209</v>
      </c>
      <c r="AU9" s="120">
        <v>1.5</v>
      </c>
      <c r="AV9" s="120">
        <v>1.25</v>
      </c>
      <c r="AW9" s="120">
        <v>1</v>
      </c>
      <c r="AX9" s="120">
        <v>0.9</v>
      </c>
      <c r="AY9" s="120">
        <v>0.8</v>
      </c>
      <c r="AZ9" s="95"/>
      <c r="BA9" s="95"/>
      <c r="BB9" s="95"/>
    </row>
    <row r="10" spans="1:54" ht="18.75">
      <c r="A10" s="125" t="s">
        <v>2267</v>
      </c>
      <c r="B10" s="125">
        <v>75</v>
      </c>
      <c r="C10" s="125">
        <v>55</v>
      </c>
      <c r="D10" s="124">
        <f t="shared" si="0"/>
        <v>75</v>
      </c>
      <c r="E10" s="125" t="s">
        <v>2229</v>
      </c>
      <c r="F10" s="126">
        <f t="shared" si="1"/>
        <v>75</v>
      </c>
      <c r="G10" s="125" t="s">
        <v>2228</v>
      </c>
      <c r="H10" s="126">
        <f t="shared" si="2"/>
        <v>0</v>
      </c>
      <c r="I10" s="125" t="s">
        <v>2227</v>
      </c>
      <c r="J10" s="126">
        <f t="shared" si="3"/>
        <v>0</v>
      </c>
      <c r="K10" s="125" t="s">
        <v>2226</v>
      </c>
      <c r="L10" s="124">
        <v>3</v>
      </c>
      <c r="M10" s="100"/>
      <c r="N10" s="101"/>
      <c r="O10" s="100"/>
      <c r="P10" s="100"/>
      <c r="Q10" s="100"/>
      <c r="R10" s="100"/>
      <c r="S10" s="100"/>
      <c r="T10" s="100"/>
      <c r="U10" s="100"/>
      <c r="X10" s="114" t="s">
        <v>13751</v>
      </c>
      <c r="Y10" s="115">
        <v>175</v>
      </c>
      <c r="Z10" s="116">
        <f t="shared" si="4"/>
        <v>175</v>
      </c>
      <c r="AA10" s="114" t="s">
        <v>2229</v>
      </c>
      <c r="AB10" s="117">
        <f t="shared" si="5"/>
        <v>175</v>
      </c>
      <c r="AC10" s="114" t="s">
        <v>2228</v>
      </c>
      <c r="AD10" s="117">
        <f t="shared" si="6"/>
        <v>0</v>
      </c>
      <c r="AE10" s="114" t="s">
        <v>2227</v>
      </c>
      <c r="AF10" s="117">
        <f t="shared" si="7"/>
        <v>0</v>
      </c>
      <c r="AG10" s="114" t="s">
        <v>2226</v>
      </c>
      <c r="AH10" s="116">
        <v>7</v>
      </c>
      <c r="AI10" s="119" t="s">
        <v>2210</v>
      </c>
      <c r="AJ10" s="102">
        <v>0</v>
      </c>
      <c r="AK10" s="108">
        <f>IF(AJ10=-2,'Basic Price Sheet'!AU9,IF(AJ10=-1,'Basic Price Sheet'!AV9,IF(AJ10=0,'Basic Price Sheet'!AW9,IF(AJ10=1,'Basic Price Sheet'!AX9,IF(AJ10=2,'Basic Price Sheet'!AY9)))))</f>
        <v>1</v>
      </c>
      <c r="AL10" s="109">
        <f>1-AK10</f>
        <v>0</v>
      </c>
      <c r="AM10" s="3927" t="s">
        <v>2241</v>
      </c>
      <c r="AN10" s="3927"/>
      <c r="AO10" s="3927"/>
      <c r="AP10" s="3927"/>
      <c r="AQ10" s="3927"/>
    </row>
    <row r="11" spans="1:54" ht="18.75">
      <c r="A11" s="125" t="s">
        <v>2268</v>
      </c>
      <c r="B11" s="125">
        <v>75</v>
      </c>
      <c r="C11" s="125">
        <v>3</v>
      </c>
      <c r="D11" s="124">
        <f t="shared" si="0"/>
        <v>75</v>
      </c>
      <c r="E11" s="125" t="s">
        <v>2229</v>
      </c>
      <c r="F11" s="126">
        <f t="shared" si="1"/>
        <v>75</v>
      </c>
      <c r="G11" s="125" t="s">
        <v>2228</v>
      </c>
      <c r="H11" s="126">
        <f t="shared" si="2"/>
        <v>0</v>
      </c>
      <c r="I11" s="125" t="s">
        <v>2227</v>
      </c>
      <c r="J11" s="126">
        <f t="shared" si="3"/>
        <v>0</v>
      </c>
      <c r="K11" s="125" t="s">
        <v>2226</v>
      </c>
      <c r="L11" s="124">
        <v>3</v>
      </c>
      <c r="M11" s="3924" t="s">
        <v>2237</v>
      </c>
      <c r="N11" s="3924"/>
      <c r="O11" s="3924"/>
      <c r="P11" s="100"/>
      <c r="Q11" s="100"/>
      <c r="R11" s="100"/>
      <c r="S11" s="100"/>
      <c r="T11" s="100"/>
      <c r="U11" s="100"/>
      <c r="X11" s="114" t="s">
        <v>13752</v>
      </c>
      <c r="Y11" s="115">
        <v>1450</v>
      </c>
      <c r="Z11" s="116">
        <f t="shared" si="4"/>
        <v>1450</v>
      </c>
      <c r="AA11" s="114" t="s">
        <v>2229</v>
      </c>
      <c r="AB11" s="117">
        <f t="shared" si="5"/>
        <v>1450</v>
      </c>
      <c r="AC11" s="114" t="s">
        <v>2228</v>
      </c>
      <c r="AD11" s="117">
        <f t="shared" si="6"/>
        <v>0</v>
      </c>
      <c r="AE11" s="114" t="s">
        <v>2227</v>
      </c>
      <c r="AF11" s="117">
        <f t="shared" si="7"/>
        <v>0</v>
      </c>
      <c r="AG11" s="114" t="s">
        <v>2226</v>
      </c>
      <c r="AH11" s="116">
        <v>58</v>
      </c>
      <c r="AI11" s="119" t="s">
        <v>2240</v>
      </c>
      <c r="AJ11" s="99"/>
      <c r="AK11" s="110">
        <f>AK9*AK10</f>
        <v>1</v>
      </c>
      <c r="AL11" s="109"/>
      <c r="AM11" s="3927" t="s">
        <v>2239</v>
      </c>
      <c r="AN11" s="3927"/>
      <c r="AO11" s="3927"/>
      <c r="AP11" s="3927"/>
      <c r="AQ11" s="3927"/>
    </row>
    <row r="12" spans="1:54" ht="18.75">
      <c r="A12" s="125" t="s">
        <v>2269</v>
      </c>
      <c r="B12" s="125">
        <v>50</v>
      </c>
      <c r="C12" s="125">
        <v>1</v>
      </c>
      <c r="D12" s="124">
        <f t="shared" si="0"/>
        <v>50</v>
      </c>
      <c r="E12" s="125" t="s">
        <v>2229</v>
      </c>
      <c r="F12" s="126">
        <f t="shared" si="1"/>
        <v>50</v>
      </c>
      <c r="G12" s="125" t="s">
        <v>2228</v>
      </c>
      <c r="H12" s="126">
        <f t="shared" si="2"/>
        <v>0</v>
      </c>
      <c r="I12" s="125" t="s">
        <v>2227</v>
      </c>
      <c r="J12" s="126">
        <f t="shared" si="3"/>
        <v>0</v>
      </c>
      <c r="K12" s="125" t="s">
        <v>2226</v>
      </c>
      <c r="L12" s="124">
        <v>2</v>
      </c>
      <c r="M12" s="119" t="s">
        <v>2236</v>
      </c>
      <c r="N12" s="119"/>
      <c r="O12" s="103"/>
      <c r="P12" s="100"/>
      <c r="Q12" s="100"/>
      <c r="R12" s="100"/>
      <c r="S12" s="100"/>
      <c r="T12" s="100"/>
      <c r="U12" s="100"/>
      <c r="X12" s="114" t="s">
        <v>13753</v>
      </c>
      <c r="Y12" s="115">
        <v>6000</v>
      </c>
      <c r="Z12" s="116">
        <f t="shared" si="4"/>
        <v>6000</v>
      </c>
      <c r="AA12" s="114" t="s">
        <v>2229</v>
      </c>
      <c r="AB12" s="117">
        <f t="shared" si="5"/>
        <v>6000</v>
      </c>
      <c r="AC12" s="114" t="s">
        <v>2228</v>
      </c>
      <c r="AD12" s="117">
        <f t="shared" si="6"/>
        <v>0</v>
      </c>
      <c r="AE12" s="114" t="s">
        <v>2227</v>
      </c>
      <c r="AF12" s="117">
        <f t="shared" si="7"/>
        <v>0</v>
      </c>
      <c r="AG12" s="114" t="s">
        <v>2226</v>
      </c>
      <c r="AH12" s="116">
        <v>240</v>
      </c>
      <c r="AI12"/>
      <c r="AJ12"/>
      <c r="AK12"/>
      <c r="AL12"/>
      <c r="AM12"/>
      <c r="AN12"/>
      <c r="AO12"/>
      <c r="AP12"/>
      <c r="AQ12"/>
    </row>
    <row r="13" spans="1:54" ht="18.75">
      <c r="A13" s="125" t="s">
        <v>2270</v>
      </c>
      <c r="B13" s="125">
        <v>50</v>
      </c>
      <c r="C13" s="125">
        <v>8</v>
      </c>
      <c r="D13" s="124">
        <f t="shared" si="0"/>
        <v>50</v>
      </c>
      <c r="E13" s="125" t="s">
        <v>2229</v>
      </c>
      <c r="F13" s="126">
        <f t="shared" si="1"/>
        <v>50</v>
      </c>
      <c r="G13" s="125" t="s">
        <v>2228</v>
      </c>
      <c r="H13" s="126">
        <f t="shared" si="2"/>
        <v>0</v>
      </c>
      <c r="I13" s="125" t="s">
        <v>2227</v>
      </c>
      <c r="J13" s="126">
        <f t="shared" si="3"/>
        <v>0</v>
      </c>
      <c r="K13" s="125" t="s">
        <v>2226</v>
      </c>
      <c r="L13" s="124">
        <v>2</v>
      </c>
      <c r="M13" s="119" t="s">
        <v>2235</v>
      </c>
      <c r="N13" s="119"/>
      <c r="O13" s="103"/>
      <c r="P13" s="100"/>
      <c r="Q13" s="100"/>
      <c r="R13" s="100"/>
      <c r="S13" s="100"/>
      <c r="T13" s="100"/>
      <c r="U13" s="100"/>
      <c r="X13" s="114" t="s">
        <v>13754</v>
      </c>
      <c r="Y13" s="115">
        <v>10200</v>
      </c>
      <c r="Z13" s="116">
        <f t="shared" si="4"/>
        <v>10200</v>
      </c>
      <c r="AA13" s="114" t="s">
        <v>2229</v>
      </c>
      <c r="AB13" s="117">
        <f t="shared" si="5"/>
        <v>10200</v>
      </c>
      <c r="AC13" s="114" t="s">
        <v>2228</v>
      </c>
      <c r="AD13" s="117">
        <f t="shared" si="6"/>
        <v>0</v>
      </c>
      <c r="AE13" s="114" t="s">
        <v>2227</v>
      </c>
      <c r="AF13" s="117">
        <f t="shared" si="7"/>
        <v>0</v>
      </c>
      <c r="AG13" s="114" t="s">
        <v>2226</v>
      </c>
      <c r="AH13" s="116">
        <v>408</v>
      </c>
      <c r="AI13"/>
      <c r="AJ13"/>
      <c r="AK13"/>
      <c r="AL13"/>
      <c r="AM13"/>
      <c r="AN13"/>
      <c r="AO13"/>
      <c r="AP13"/>
      <c r="AQ13"/>
    </row>
    <row r="14" spans="1:54" ht="18.75">
      <c r="A14" s="125" t="s">
        <v>2271</v>
      </c>
      <c r="B14" s="125">
        <v>50</v>
      </c>
      <c r="C14" s="125">
        <v>0</v>
      </c>
      <c r="D14" s="124">
        <f t="shared" si="0"/>
        <v>50</v>
      </c>
      <c r="E14" s="125" t="s">
        <v>2229</v>
      </c>
      <c r="F14" s="126">
        <f t="shared" si="1"/>
        <v>50</v>
      </c>
      <c r="G14" s="125" t="s">
        <v>2228</v>
      </c>
      <c r="H14" s="126">
        <f t="shared" si="2"/>
        <v>0</v>
      </c>
      <c r="I14" s="125" t="s">
        <v>2227</v>
      </c>
      <c r="J14" s="126">
        <f t="shared" si="3"/>
        <v>0</v>
      </c>
      <c r="K14" s="125" t="s">
        <v>2226</v>
      </c>
      <c r="L14" s="124">
        <v>2</v>
      </c>
      <c r="M14" s="119" t="s">
        <v>2234</v>
      </c>
      <c r="N14" s="119"/>
      <c r="O14" s="108">
        <f>O12-O13</f>
        <v>0</v>
      </c>
      <c r="P14" s="100"/>
      <c r="Q14" s="100"/>
      <c r="R14" s="100"/>
      <c r="S14" s="100"/>
      <c r="T14" s="100"/>
      <c r="U14" s="100"/>
      <c r="X14" s="114" t="s">
        <v>13755</v>
      </c>
      <c r="Y14" s="115">
        <v>5237.625</v>
      </c>
      <c r="Z14" s="116">
        <f t="shared" si="4"/>
        <v>5237.625</v>
      </c>
      <c r="AA14" s="114" t="s">
        <v>2229</v>
      </c>
      <c r="AB14" s="117">
        <f t="shared" si="5"/>
        <v>5237</v>
      </c>
      <c r="AC14" s="114" t="s">
        <v>2228</v>
      </c>
      <c r="AD14" s="117">
        <f t="shared" si="6"/>
        <v>6</v>
      </c>
      <c r="AE14" s="114" t="s">
        <v>2227</v>
      </c>
      <c r="AF14" s="117">
        <f t="shared" si="7"/>
        <v>2.5</v>
      </c>
      <c r="AG14" s="114" t="s">
        <v>2226</v>
      </c>
      <c r="AH14" s="116">
        <v>209.5</v>
      </c>
      <c r="AI14"/>
      <c r="AJ14"/>
      <c r="AK14"/>
      <c r="AL14"/>
      <c r="AM14"/>
      <c r="AN14"/>
      <c r="AO14"/>
      <c r="AP14"/>
      <c r="AQ14"/>
    </row>
    <row r="15" spans="1:54" ht="18.75">
      <c r="A15" s="125" t="s">
        <v>2272</v>
      </c>
      <c r="B15" s="125">
        <v>50</v>
      </c>
      <c r="C15" s="125">
        <v>20</v>
      </c>
      <c r="D15" s="124">
        <f t="shared" si="0"/>
        <v>50</v>
      </c>
      <c r="E15" s="125" t="s">
        <v>2229</v>
      </c>
      <c r="F15" s="126">
        <f t="shared" si="1"/>
        <v>50</v>
      </c>
      <c r="G15" s="125" t="s">
        <v>2228</v>
      </c>
      <c r="H15" s="126">
        <f t="shared" si="2"/>
        <v>0</v>
      </c>
      <c r="I15" s="125" t="s">
        <v>2227</v>
      </c>
      <c r="J15" s="126">
        <f t="shared" si="3"/>
        <v>0</v>
      </c>
      <c r="K15" s="125" t="s">
        <v>2226</v>
      </c>
      <c r="L15" s="124">
        <v>2</v>
      </c>
      <c r="M15" s="100"/>
      <c r="N15" s="101"/>
      <c r="O15" s="100"/>
      <c r="P15" s="100"/>
      <c r="Q15" s="100"/>
      <c r="R15" s="100"/>
      <c r="S15" s="100"/>
      <c r="T15" s="100"/>
      <c r="U15" s="100"/>
      <c r="X15" s="114" t="s">
        <v>13756</v>
      </c>
      <c r="Y15" s="115">
        <v>18825.125</v>
      </c>
      <c r="Z15" s="116">
        <f t="shared" si="4"/>
        <v>18825.125</v>
      </c>
      <c r="AA15" s="114" t="s">
        <v>2229</v>
      </c>
      <c r="AB15" s="117">
        <f t="shared" si="5"/>
        <v>18825</v>
      </c>
      <c r="AC15" s="114" t="s">
        <v>2228</v>
      </c>
      <c r="AD15" s="117">
        <f t="shared" si="6"/>
        <v>1</v>
      </c>
      <c r="AE15" s="114" t="s">
        <v>2227</v>
      </c>
      <c r="AF15" s="117">
        <f t="shared" si="7"/>
        <v>2.5</v>
      </c>
      <c r="AG15" s="114" t="s">
        <v>2226</v>
      </c>
      <c r="AH15" s="116">
        <v>753</v>
      </c>
      <c r="AI15"/>
      <c r="AJ15"/>
      <c r="AK15"/>
      <c r="AL15"/>
      <c r="AM15"/>
      <c r="AN15"/>
      <c r="AO15"/>
      <c r="AP15"/>
      <c r="AQ15"/>
    </row>
    <row r="16" spans="1:54" ht="18.75">
      <c r="A16" s="125" t="s">
        <v>2273</v>
      </c>
      <c r="B16" s="125">
        <v>50</v>
      </c>
      <c r="C16" s="125">
        <v>18</v>
      </c>
      <c r="D16" s="124">
        <f t="shared" si="0"/>
        <v>50</v>
      </c>
      <c r="E16" s="125" t="s">
        <v>2229</v>
      </c>
      <c r="F16" s="126">
        <f t="shared" si="1"/>
        <v>50</v>
      </c>
      <c r="G16" s="125" t="s">
        <v>2228</v>
      </c>
      <c r="H16" s="126">
        <f t="shared" si="2"/>
        <v>0</v>
      </c>
      <c r="I16" s="125" t="s">
        <v>2227</v>
      </c>
      <c r="J16" s="126">
        <f t="shared" si="3"/>
        <v>0</v>
      </c>
      <c r="K16" s="125" t="s">
        <v>2226</v>
      </c>
      <c r="L16" s="124">
        <v>2</v>
      </c>
      <c r="M16" s="100"/>
      <c r="N16" s="101"/>
      <c r="O16" s="100"/>
      <c r="P16" s="100"/>
      <c r="Q16" s="100"/>
      <c r="R16" s="100"/>
      <c r="S16" s="100"/>
      <c r="T16" s="100"/>
      <c r="U16" s="100"/>
      <c r="X16" s="114" t="s">
        <v>13757</v>
      </c>
      <c r="Y16" s="115">
        <v>412.625</v>
      </c>
      <c r="Z16" s="116">
        <f t="shared" si="4"/>
        <v>412.625</v>
      </c>
      <c r="AA16" s="114" t="s">
        <v>2229</v>
      </c>
      <c r="AB16" s="117">
        <f t="shared" si="5"/>
        <v>412</v>
      </c>
      <c r="AC16" s="114" t="s">
        <v>2228</v>
      </c>
      <c r="AD16" s="117">
        <f t="shared" si="6"/>
        <v>6</v>
      </c>
      <c r="AE16" s="114" t="s">
        <v>2227</v>
      </c>
      <c r="AF16" s="117">
        <f t="shared" si="7"/>
        <v>2.5</v>
      </c>
      <c r="AG16" s="114" t="s">
        <v>2226</v>
      </c>
      <c r="AH16" s="116">
        <v>16.5</v>
      </c>
      <c r="AI16" s="3924" t="s">
        <v>2237</v>
      </c>
      <c r="AJ16" s="3924"/>
      <c r="AK16" s="3924"/>
      <c r="AL16" s="100"/>
      <c r="AM16" s="100"/>
      <c r="AN16" s="100"/>
      <c r="AO16" s="100"/>
      <c r="AP16" s="100"/>
      <c r="AQ16" s="100"/>
    </row>
    <row r="17" spans="1:48" ht="18.75">
      <c r="A17" s="125" t="s">
        <v>2274</v>
      </c>
      <c r="B17" s="125">
        <v>50</v>
      </c>
      <c r="C17" s="125">
        <v>6</v>
      </c>
      <c r="D17" s="124">
        <f t="shared" si="0"/>
        <v>50</v>
      </c>
      <c r="E17" s="125" t="s">
        <v>2229</v>
      </c>
      <c r="F17" s="126">
        <f t="shared" si="1"/>
        <v>50</v>
      </c>
      <c r="G17" s="125" t="s">
        <v>2228</v>
      </c>
      <c r="H17" s="126">
        <f t="shared" si="2"/>
        <v>0</v>
      </c>
      <c r="I17" s="125" t="s">
        <v>2227</v>
      </c>
      <c r="J17" s="126">
        <f t="shared" si="3"/>
        <v>0</v>
      </c>
      <c r="K17" s="125" t="s">
        <v>2226</v>
      </c>
      <c r="L17" s="124">
        <v>2</v>
      </c>
      <c r="M17" s="3932" t="s">
        <v>2233</v>
      </c>
      <c r="N17" s="3933"/>
      <c r="O17" s="3933"/>
      <c r="P17" s="3934"/>
      <c r="X17" s="114" t="s">
        <v>13758</v>
      </c>
      <c r="Y17" s="115">
        <v>101500</v>
      </c>
      <c r="Z17" s="116">
        <f t="shared" si="4"/>
        <v>101500</v>
      </c>
      <c r="AA17" s="114" t="s">
        <v>2229</v>
      </c>
      <c r="AB17" s="117">
        <f t="shared" si="5"/>
        <v>101500</v>
      </c>
      <c r="AC17" s="114" t="s">
        <v>2228</v>
      </c>
      <c r="AD17" s="117">
        <f t="shared" si="6"/>
        <v>0</v>
      </c>
      <c r="AE17" s="114" t="s">
        <v>2227</v>
      </c>
      <c r="AF17" s="117">
        <f t="shared" si="7"/>
        <v>0</v>
      </c>
      <c r="AG17" s="114" t="s">
        <v>2226</v>
      </c>
      <c r="AH17" s="116">
        <v>4060</v>
      </c>
      <c r="AI17" s="3922" t="s">
        <v>2236</v>
      </c>
      <c r="AJ17" s="3923"/>
      <c r="AK17" s="111"/>
      <c r="AL17" s="100"/>
      <c r="AM17" s="100"/>
      <c r="AN17" s="100"/>
      <c r="AO17" s="100"/>
      <c r="AP17" s="100"/>
      <c r="AQ17" s="100"/>
    </row>
    <row r="18" spans="1:48" ht="18.75">
      <c r="A18" s="125" t="s">
        <v>2275</v>
      </c>
      <c r="B18" s="125">
        <v>50</v>
      </c>
      <c r="C18" s="125">
        <v>2</v>
      </c>
      <c r="D18" s="124">
        <f t="shared" si="0"/>
        <v>50</v>
      </c>
      <c r="E18" s="125" t="s">
        <v>2229</v>
      </c>
      <c r="F18" s="126">
        <f t="shared" si="1"/>
        <v>50</v>
      </c>
      <c r="G18" s="125" t="s">
        <v>2228</v>
      </c>
      <c r="H18" s="126">
        <f t="shared" si="2"/>
        <v>0</v>
      </c>
      <c r="I18" s="125" t="s">
        <v>2227</v>
      </c>
      <c r="J18" s="126">
        <f t="shared" si="3"/>
        <v>0</v>
      </c>
      <c r="K18" s="125" t="s">
        <v>2226</v>
      </c>
      <c r="L18" s="124">
        <v>2</v>
      </c>
      <c r="M18" s="3932" t="s">
        <v>2230</v>
      </c>
      <c r="N18" s="3933"/>
      <c r="O18" s="3933"/>
      <c r="P18" s="3934"/>
      <c r="X18" s="114" t="s">
        <v>9380</v>
      </c>
      <c r="Y18" s="115">
        <v>6000</v>
      </c>
      <c r="Z18" s="116">
        <f t="shared" si="4"/>
        <v>6000</v>
      </c>
      <c r="AA18" s="114" t="s">
        <v>2229</v>
      </c>
      <c r="AB18" s="117">
        <f t="shared" si="5"/>
        <v>6000</v>
      </c>
      <c r="AC18" s="114" t="s">
        <v>2228</v>
      </c>
      <c r="AD18" s="117">
        <f t="shared" si="6"/>
        <v>0</v>
      </c>
      <c r="AE18" s="114" t="s">
        <v>2227</v>
      </c>
      <c r="AF18" s="117">
        <f t="shared" si="7"/>
        <v>0</v>
      </c>
      <c r="AG18" s="114" t="s">
        <v>2226</v>
      </c>
      <c r="AH18" s="116">
        <v>240</v>
      </c>
      <c r="AI18" s="3922" t="s">
        <v>2235</v>
      </c>
      <c r="AJ18" s="3923"/>
      <c r="AK18" s="111"/>
      <c r="AL18" s="100"/>
      <c r="AM18" s="100"/>
      <c r="AN18" s="100"/>
      <c r="AO18" s="100"/>
      <c r="AP18" s="100"/>
      <c r="AQ18" s="100"/>
    </row>
    <row r="19" spans="1:48" ht="18.75">
      <c r="A19" s="125" t="s">
        <v>2276</v>
      </c>
      <c r="B19" s="125">
        <v>50</v>
      </c>
      <c r="C19" s="125">
        <v>2</v>
      </c>
      <c r="D19" s="124">
        <f t="shared" si="0"/>
        <v>50</v>
      </c>
      <c r="E19" s="125" t="s">
        <v>2229</v>
      </c>
      <c r="F19" s="126">
        <f t="shared" si="1"/>
        <v>50</v>
      </c>
      <c r="G19" s="125" t="s">
        <v>2228</v>
      </c>
      <c r="H19" s="126">
        <f t="shared" si="2"/>
        <v>0</v>
      </c>
      <c r="I19" s="125" t="s">
        <v>2227</v>
      </c>
      <c r="J19" s="126">
        <f t="shared" si="3"/>
        <v>0</v>
      </c>
      <c r="K19" s="125" t="s">
        <v>2226</v>
      </c>
      <c r="L19" s="124">
        <v>2</v>
      </c>
      <c r="M19" s="3932" t="s">
        <v>2232</v>
      </c>
      <c r="N19" s="3933"/>
      <c r="O19" s="3933"/>
      <c r="P19" s="3934"/>
      <c r="X19" s="114" t="s">
        <v>13759</v>
      </c>
      <c r="Y19" s="115">
        <v>50000</v>
      </c>
      <c r="Z19" s="116">
        <f t="shared" si="4"/>
        <v>50000</v>
      </c>
      <c r="AA19" s="114" t="s">
        <v>2229</v>
      </c>
      <c r="AB19" s="117">
        <f t="shared" si="5"/>
        <v>50000</v>
      </c>
      <c r="AC19" s="114" t="s">
        <v>2228</v>
      </c>
      <c r="AD19" s="117">
        <f t="shared" si="6"/>
        <v>0</v>
      </c>
      <c r="AE19" s="114" t="s">
        <v>2227</v>
      </c>
      <c r="AF19" s="117">
        <f t="shared" si="7"/>
        <v>0</v>
      </c>
      <c r="AG19" s="114" t="s">
        <v>2226</v>
      </c>
      <c r="AH19" s="116">
        <v>2000</v>
      </c>
      <c r="AI19" s="3922" t="s">
        <v>2234</v>
      </c>
      <c r="AJ19" s="3923"/>
      <c r="AK19" s="110">
        <f>AK17-AK18</f>
        <v>0</v>
      </c>
      <c r="AL19" s="100"/>
      <c r="AM19" s="100"/>
      <c r="AN19" s="100"/>
      <c r="AO19" s="100"/>
      <c r="AP19" s="100"/>
      <c r="AQ19" s="100"/>
    </row>
    <row r="20" spans="1:48" ht="18.75">
      <c r="A20" s="125" t="s">
        <v>2277</v>
      </c>
      <c r="B20" s="125">
        <v>50</v>
      </c>
      <c r="C20" s="125">
        <v>0.5</v>
      </c>
      <c r="D20" s="124">
        <f t="shared" si="0"/>
        <v>50</v>
      </c>
      <c r="E20" s="125" t="s">
        <v>2229</v>
      </c>
      <c r="F20" s="126">
        <f t="shared" si="1"/>
        <v>50</v>
      </c>
      <c r="G20" s="125" t="s">
        <v>2228</v>
      </c>
      <c r="H20" s="126">
        <f t="shared" si="2"/>
        <v>0</v>
      </c>
      <c r="I20" s="125" t="s">
        <v>2227</v>
      </c>
      <c r="J20" s="126">
        <f t="shared" si="3"/>
        <v>0</v>
      </c>
      <c r="K20" s="125" t="s">
        <v>2226</v>
      </c>
      <c r="L20" s="124">
        <v>2</v>
      </c>
      <c r="M20" s="3932" t="s">
        <v>2231</v>
      </c>
      <c r="N20" s="3933"/>
      <c r="O20" s="3933"/>
      <c r="P20" s="3934"/>
      <c r="X20" s="114" t="s">
        <v>13760</v>
      </c>
      <c r="Y20" s="115">
        <v>50000</v>
      </c>
      <c r="Z20" s="116">
        <f t="shared" si="4"/>
        <v>50000</v>
      </c>
      <c r="AA20" s="114" t="s">
        <v>2229</v>
      </c>
      <c r="AB20" s="117">
        <f t="shared" si="5"/>
        <v>50000</v>
      </c>
      <c r="AC20" s="114" t="s">
        <v>2228</v>
      </c>
      <c r="AD20" s="117">
        <f t="shared" si="6"/>
        <v>0</v>
      </c>
      <c r="AE20" s="114" t="s">
        <v>2227</v>
      </c>
      <c r="AF20" s="117">
        <f t="shared" si="7"/>
        <v>0</v>
      </c>
      <c r="AG20" s="114" t="s">
        <v>2226</v>
      </c>
      <c r="AH20" s="116">
        <v>2000</v>
      </c>
      <c r="AI20" s="100"/>
      <c r="AJ20" s="101"/>
      <c r="AK20" s="100"/>
      <c r="AL20" s="100"/>
      <c r="AM20" s="100"/>
      <c r="AN20" s="100"/>
      <c r="AO20" s="100"/>
      <c r="AP20" s="100"/>
      <c r="AQ20" s="100"/>
    </row>
    <row r="21" spans="1:48" ht="18.75">
      <c r="A21" s="125" t="s">
        <v>2278</v>
      </c>
      <c r="B21" s="125">
        <v>50</v>
      </c>
      <c r="C21" s="125">
        <v>45</v>
      </c>
      <c r="D21" s="124">
        <f t="shared" si="0"/>
        <v>50</v>
      </c>
      <c r="E21" s="125" t="s">
        <v>2229</v>
      </c>
      <c r="F21" s="126">
        <f t="shared" si="1"/>
        <v>50</v>
      </c>
      <c r="G21" s="125" t="s">
        <v>2228</v>
      </c>
      <c r="H21" s="126">
        <f t="shared" si="2"/>
        <v>0</v>
      </c>
      <c r="I21" s="125" t="s">
        <v>2227</v>
      </c>
      <c r="J21" s="126">
        <f t="shared" si="3"/>
        <v>0</v>
      </c>
      <c r="K21" s="125" t="s">
        <v>2226</v>
      </c>
      <c r="L21" s="124">
        <v>2</v>
      </c>
      <c r="N21" s="96"/>
      <c r="X21" s="114" t="s">
        <v>13761</v>
      </c>
      <c r="Y21" s="115">
        <v>18875.125</v>
      </c>
      <c r="Z21" s="116">
        <f t="shared" si="4"/>
        <v>18875.125</v>
      </c>
      <c r="AA21" s="114" t="s">
        <v>2229</v>
      </c>
      <c r="AB21" s="117">
        <f t="shared" si="5"/>
        <v>18875</v>
      </c>
      <c r="AC21" s="114" t="s">
        <v>2228</v>
      </c>
      <c r="AD21" s="117">
        <f t="shared" si="6"/>
        <v>1</v>
      </c>
      <c r="AE21" s="114" t="s">
        <v>2227</v>
      </c>
      <c r="AF21" s="117">
        <f t="shared" si="7"/>
        <v>2.5</v>
      </c>
      <c r="AG21" s="114" t="s">
        <v>2226</v>
      </c>
      <c r="AH21" s="116">
        <v>755</v>
      </c>
      <c r="AI21" s="100"/>
      <c r="AJ21" s="100"/>
      <c r="AK21" s="100"/>
      <c r="AL21" s="100"/>
      <c r="AM21" s="100"/>
      <c r="AN21" s="100"/>
      <c r="AO21" s="100"/>
      <c r="AP21" s="100"/>
      <c r="AQ21" s="100"/>
      <c r="AR21" s="100"/>
      <c r="AS21" s="100"/>
      <c r="AT21" s="100"/>
      <c r="AU21" s="100"/>
      <c r="AV21" s="100"/>
    </row>
    <row r="22" spans="1:48" ht="18.75">
      <c r="A22" s="125" t="s">
        <v>2279</v>
      </c>
      <c r="B22" s="125">
        <v>50</v>
      </c>
      <c r="C22" s="125">
        <v>3</v>
      </c>
      <c r="D22" s="124">
        <f t="shared" si="0"/>
        <v>50</v>
      </c>
      <c r="E22" s="125" t="s">
        <v>2229</v>
      </c>
      <c r="F22" s="126">
        <f t="shared" si="1"/>
        <v>50</v>
      </c>
      <c r="G22" s="125" t="s">
        <v>2228</v>
      </c>
      <c r="H22" s="126">
        <f t="shared" si="2"/>
        <v>0</v>
      </c>
      <c r="I22" s="125" t="s">
        <v>2227</v>
      </c>
      <c r="J22" s="126">
        <f t="shared" si="3"/>
        <v>0</v>
      </c>
      <c r="K22" s="125" t="s">
        <v>2226</v>
      </c>
      <c r="L22" s="124">
        <v>2</v>
      </c>
      <c r="N22" s="96"/>
      <c r="X22" s="114" t="s">
        <v>13762</v>
      </c>
      <c r="Y22" s="115">
        <v>18175.125</v>
      </c>
      <c r="Z22" s="116">
        <f t="shared" si="4"/>
        <v>18175.125</v>
      </c>
      <c r="AA22" s="114" t="s">
        <v>2229</v>
      </c>
      <c r="AB22" s="117">
        <f t="shared" si="5"/>
        <v>18175</v>
      </c>
      <c r="AC22" s="114" t="s">
        <v>2228</v>
      </c>
      <c r="AD22" s="117">
        <f t="shared" si="6"/>
        <v>1</v>
      </c>
      <c r="AE22" s="114" t="s">
        <v>2227</v>
      </c>
      <c r="AF22" s="117">
        <f t="shared" si="7"/>
        <v>2.5</v>
      </c>
      <c r="AG22" s="114" t="s">
        <v>2226</v>
      </c>
      <c r="AH22" s="116">
        <v>727</v>
      </c>
      <c r="AI22" s="100"/>
      <c r="AJ22" s="100"/>
      <c r="AK22" s="100"/>
      <c r="AL22" s="100"/>
      <c r="AM22" s="100"/>
      <c r="AN22" s="100"/>
      <c r="AO22" s="100"/>
      <c r="AP22" s="100"/>
      <c r="AQ22" s="100"/>
      <c r="AR22" s="100"/>
      <c r="AS22" s="100"/>
      <c r="AT22" s="100"/>
      <c r="AU22" s="100"/>
      <c r="AV22" s="100"/>
    </row>
    <row r="23" spans="1:48" ht="18.75">
      <c r="A23" s="125" t="s">
        <v>2280</v>
      </c>
      <c r="B23" s="125">
        <v>50</v>
      </c>
      <c r="C23" s="125">
        <v>10</v>
      </c>
      <c r="D23" s="124">
        <f t="shared" si="0"/>
        <v>50</v>
      </c>
      <c r="E23" s="125" t="s">
        <v>2229</v>
      </c>
      <c r="F23" s="126">
        <f t="shared" si="1"/>
        <v>50</v>
      </c>
      <c r="G23" s="125" t="s">
        <v>2228</v>
      </c>
      <c r="H23" s="126">
        <f t="shared" si="2"/>
        <v>0</v>
      </c>
      <c r="I23" s="125" t="s">
        <v>2227</v>
      </c>
      <c r="J23" s="126">
        <f t="shared" si="3"/>
        <v>0</v>
      </c>
      <c r="K23" s="125" t="s">
        <v>2226</v>
      </c>
      <c r="L23" s="124">
        <v>2</v>
      </c>
      <c r="N23" s="96"/>
      <c r="X23" s="114" t="s">
        <v>13763</v>
      </c>
      <c r="Y23" s="115">
        <v>6875.25</v>
      </c>
      <c r="Z23" s="116">
        <f t="shared" si="4"/>
        <v>6875.25</v>
      </c>
      <c r="AA23" s="114" t="s">
        <v>2229</v>
      </c>
      <c r="AB23" s="117">
        <f t="shared" si="5"/>
        <v>6875</v>
      </c>
      <c r="AC23" s="114" t="s">
        <v>2228</v>
      </c>
      <c r="AD23" s="117">
        <f t="shared" si="6"/>
        <v>2</v>
      </c>
      <c r="AE23" s="114" t="s">
        <v>2227</v>
      </c>
      <c r="AF23" s="117">
        <f t="shared" si="7"/>
        <v>5</v>
      </c>
      <c r="AG23" s="114" t="s">
        <v>2226</v>
      </c>
      <c r="AH23" s="116">
        <v>275.01</v>
      </c>
      <c r="AI23" s="100"/>
      <c r="AJ23" s="100"/>
      <c r="AK23" s="100"/>
      <c r="AL23" s="100"/>
      <c r="AM23" s="100"/>
      <c r="AN23" s="100"/>
      <c r="AO23" s="100"/>
      <c r="AP23" s="100"/>
      <c r="AQ23" s="100"/>
      <c r="AR23" s="100"/>
      <c r="AS23" s="100"/>
      <c r="AT23" s="100"/>
      <c r="AU23" s="100"/>
      <c r="AV23" s="100"/>
    </row>
    <row r="24" spans="1:48" ht="18.75">
      <c r="A24" s="125" t="s">
        <v>2281</v>
      </c>
      <c r="B24" s="125">
        <v>45</v>
      </c>
      <c r="C24" s="125">
        <v>13</v>
      </c>
      <c r="D24" s="124">
        <f t="shared" si="0"/>
        <v>45</v>
      </c>
      <c r="E24" s="125" t="s">
        <v>2229</v>
      </c>
      <c r="F24" s="126">
        <f t="shared" si="1"/>
        <v>45</v>
      </c>
      <c r="G24" s="125" t="s">
        <v>2228</v>
      </c>
      <c r="H24" s="126">
        <f t="shared" si="2"/>
        <v>0</v>
      </c>
      <c r="I24" s="125" t="s">
        <v>2227</v>
      </c>
      <c r="J24" s="126">
        <f t="shared" si="3"/>
        <v>0</v>
      </c>
      <c r="K24" s="125" t="s">
        <v>2226</v>
      </c>
      <c r="L24" s="124">
        <v>1.8</v>
      </c>
      <c r="N24" s="96"/>
      <c r="X24" s="114" t="s">
        <v>13764</v>
      </c>
      <c r="Y24" s="115">
        <v>80</v>
      </c>
      <c r="Z24" s="116">
        <f t="shared" si="4"/>
        <v>80</v>
      </c>
      <c r="AA24" s="114" t="s">
        <v>2229</v>
      </c>
      <c r="AB24" s="117">
        <f t="shared" si="5"/>
        <v>80</v>
      </c>
      <c r="AC24" s="114" t="s">
        <v>2228</v>
      </c>
      <c r="AD24" s="117">
        <f t="shared" si="6"/>
        <v>0</v>
      </c>
      <c r="AE24" s="114" t="s">
        <v>2227</v>
      </c>
      <c r="AF24" s="117">
        <f t="shared" si="7"/>
        <v>0</v>
      </c>
      <c r="AG24" s="114" t="s">
        <v>2226</v>
      </c>
      <c r="AH24" s="116">
        <v>3.2</v>
      </c>
      <c r="AI24" s="100"/>
      <c r="AJ24" s="100"/>
      <c r="AK24" s="100"/>
      <c r="AL24" s="100"/>
      <c r="AM24" s="100"/>
      <c r="AN24" s="100"/>
      <c r="AO24" s="100"/>
      <c r="AP24" s="100"/>
      <c r="AQ24" s="100"/>
      <c r="AR24" s="100"/>
      <c r="AS24" s="100"/>
      <c r="AT24" s="100"/>
      <c r="AU24" s="100"/>
      <c r="AV24" s="100"/>
    </row>
    <row r="25" spans="1:48" ht="18.75">
      <c r="A25" s="125" t="s">
        <v>2282</v>
      </c>
      <c r="B25" s="125">
        <v>35</v>
      </c>
      <c r="C25" s="125">
        <v>2</v>
      </c>
      <c r="D25" s="124">
        <f t="shared" si="0"/>
        <v>35</v>
      </c>
      <c r="E25" s="125" t="s">
        <v>2229</v>
      </c>
      <c r="F25" s="126">
        <f t="shared" si="1"/>
        <v>35</v>
      </c>
      <c r="G25" s="125" t="s">
        <v>2228</v>
      </c>
      <c r="H25" s="126">
        <f t="shared" si="2"/>
        <v>0</v>
      </c>
      <c r="I25" s="125" t="s">
        <v>2227</v>
      </c>
      <c r="J25" s="126">
        <f t="shared" si="3"/>
        <v>0</v>
      </c>
      <c r="K25" s="125" t="s">
        <v>2226</v>
      </c>
      <c r="L25" s="124">
        <v>1.4000000000000001</v>
      </c>
      <c r="N25" s="96"/>
      <c r="X25" s="114" t="s">
        <v>13764</v>
      </c>
      <c r="Y25" s="115">
        <v>80</v>
      </c>
      <c r="Z25" s="116">
        <f t="shared" si="4"/>
        <v>80</v>
      </c>
      <c r="AA25" s="114" t="s">
        <v>2229</v>
      </c>
      <c r="AB25" s="117">
        <f t="shared" si="5"/>
        <v>80</v>
      </c>
      <c r="AC25" s="114" t="s">
        <v>2228</v>
      </c>
      <c r="AD25" s="117">
        <f t="shared" si="6"/>
        <v>0</v>
      </c>
      <c r="AE25" s="114" t="s">
        <v>2227</v>
      </c>
      <c r="AF25" s="117">
        <f t="shared" si="7"/>
        <v>0</v>
      </c>
      <c r="AG25" s="114" t="s">
        <v>2226</v>
      </c>
      <c r="AH25" s="116">
        <v>3.2</v>
      </c>
      <c r="AI25" s="100"/>
      <c r="AJ25" s="100"/>
      <c r="AK25" s="100"/>
      <c r="AL25" s="100"/>
      <c r="AM25" s="100"/>
      <c r="AN25" s="100"/>
      <c r="AO25" s="100"/>
      <c r="AP25" s="100"/>
      <c r="AQ25" s="100"/>
      <c r="AR25" s="100"/>
      <c r="AS25" s="100"/>
      <c r="AT25" s="100"/>
      <c r="AU25" s="100"/>
      <c r="AV25" s="100"/>
    </row>
    <row r="26" spans="1:48" ht="18.75">
      <c r="A26" s="125" t="s">
        <v>2283</v>
      </c>
      <c r="B26" s="125">
        <v>30</v>
      </c>
      <c r="C26" s="125">
        <v>6</v>
      </c>
      <c r="D26" s="124">
        <f t="shared" si="0"/>
        <v>30</v>
      </c>
      <c r="E26" s="125" t="s">
        <v>2229</v>
      </c>
      <c r="F26" s="126">
        <f t="shared" si="1"/>
        <v>30</v>
      </c>
      <c r="G26" s="125" t="s">
        <v>2228</v>
      </c>
      <c r="H26" s="126">
        <f t="shared" si="2"/>
        <v>0</v>
      </c>
      <c r="I26" s="125" t="s">
        <v>2227</v>
      </c>
      <c r="J26" s="126">
        <f t="shared" si="3"/>
        <v>0</v>
      </c>
      <c r="K26" s="125" t="s">
        <v>2226</v>
      </c>
      <c r="L26" s="124">
        <v>1.2</v>
      </c>
      <c r="N26" s="96"/>
      <c r="U26" s="100"/>
      <c r="V26" s="100"/>
      <c r="X26" s="114" t="s">
        <v>13765</v>
      </c>
      <c r="Y26" s="115">
        <v>67.5</v>
      </c>
      <c r="Z26" s="116">
        <f t="shared" si="4"/>
        <v>67.5</v>
      </c>
      <c r="AA26" s="114" t="s">
        <v>2229</v>
      </c>
      <c r="AB26" s="117">
        <f t="shared" si="5"/>
        <v>67</v>
      </c>
      <c r="AC26" s="114" t="s">
        <v>2228</v>
      </c>
      <c r="AD26" s="117">
        <f t="shared" si="6"/>
        <v>5</v>
      </c>
      <c r="AE26" s="114" t="s">
        <v>2227</v>
      </c>
      <c r="AF26" s="117">
        <f t="shared" si="7"/>
        <v>0</v>
      </c>
      <c r="AG26" s="114" t="s">
        <v>2226</v>
      </c>
      <c r="AH26" s="116">
        <v>2.7</v>
      </c>
      <c r="AI26" s="100"/>
      <c r="AJ26" s="100"/>
      <c r="AK26" s="100"/>
      <c r="AL26" s="100"/>
      <c r="AM26" s="100"/>
      <c r="AN26" s="100"/>
      <c r="AO26" s="100"/>
      <c r="AP26" s="100"/>
      <c r="AQ26" s="100"/>
      <c r="AR26" s="100"/>
      <c r="AS26" s="100"/>
      <c r="AT26" s="100"/>
      <c r="AU26" s="100"/>
      <c r="AV26" s="100"/>
    </row>
    <row r="27" spans="1:48" ht="18.75">
      <c r="A27" s="125" t="s">
        <v>2284</v>
      </c>
      <c r="B27" s="125">
        <v>30</v>
      </c>
      <c r="C27" s="125">
        <v>5</v>
      </c>
      <c r="D27" s="124">
        <f t="shared" si="0"/>
        <v>30</v>
      </c>
      <c r="E27" s="125" t="s">
        <v>2229</v>
      </c>
      <c r="F27" s="126">
        <f t="shared" si="1"/>
        <v>30</v>
      </c>
      <c r="G27" s="125" t="s">
        <v>2228</v>
      </c>
      <c r="H27" s="126">
        <f t="shared" si="2"/>
        <v>0</v>
      </c>
      <c r="I27" s="125" t="s">
        <v>2227</v>
      </c>
      <c r="J27" s="126">
        <f t="shared" si="3"/>
        <v>0</v>
      </c>
      <c r="K27" s="125" t="s">
        <v>2226</v>
      </c>
      <c r="L27" s="124">
        <v>1.2</v>
      </c>
      <c r="N27" s="96"/>
      <c r="X27" s="114" t="s">
        <v>13766</v>
      </c>
      <c r="Y27" s="115">
        <v>44000</v>
      </c>
      <c r="Z27" s="116">
        <f t="shared" si="4"/>
        <v>44000</v>
      </c>
      <c r="AA27" s="114" t="s">
        <v>2229</v>
      </c>
      <c r="AB27" s="117">
        <f t="shared" si="5"/>
        <v>44000</v>
      </c>
      <c r="AC27" s="114" t="s">
        <v>2228</v>
      </c>
      <c r="AD27" s="117">
        <f t="shared" si="6"/>
        <v>0</v>
      </c>
      <c r="AE27" s="114" t="s">
        <v>2227</v>
      </c>
      <c r="AF27" s="117">
        <f t="shared" si="7"/>
        <v>0</v>
      </c>
      <c r="AG27" s="114" t="s">
        <v>2226</v>
      </c>
      <c r="AH27" s="116">
        <v>1760</v>
      </c>
      <c r="AI27" s="100"/>
      <c r="AJ27" s="100"/>
      <c r="AK27" s="100"/>
      <c r="AL27" s="100"/>
      <c r="AM27" s="100"/>
      <c r="AN27" s="100"/>
      <c r="AO27" s="100"/>
      <c r="AP27" s="100"/>
      <c r="AQ27" s="100"/>
      <c r="AR27" s="100"/>
      <c r="AS27" s="100"/>
      <c r="AT27" s="100"/>
      <c r="AU27" s="100"/>
      <c r="AV27" s="100"/>
    </row>
    <row r="28" spans="1:48" ht="18.75">
      <c r="A28" s="125" t="s">
        <v>2285</v>
      </c>
      <c r="B28" s="125">
        <v>30</v>
      </c>
      <c r="C28" s="125">
        <v>7</v>
      </c>
      <c r="D28" s="124">
        <f t="shared" si="0"/>
        <v>30</v>
      </c>
      <c r="E28" s="125" t="s">
        <v>2229</v>
      </c>
      <c r="F28" s="126">
        <f t="shared" si="1"/>
        <v>30</v>
      </c>
      <c r="G28" s="125" t="s">
        <v>2228</v>
      </c>
      <c r="H28" s="126">
        <f t="shared" si="2"/>
        <v>0</v>
      </c>
      <c r="I28" s="125" t="s">
        <v>2227</v>
      </c>
      <c r="J28" s="126">
        <f t="shared" si="3"/>
        <v>0</v>
      </c>
      <c r="K28" s="125" t="s">
        <v>2226</v>
      </c>
      <c r="L28" s="124">
        <v>1.2</v>
      </c>
      <c r="N28" s="96"/>
      <c r="X28" s="114" t="s">
        <v>13767</v>
      </c>
      <c r="Y28" s="115">
        <v>4500</v>
      </c>
      <c r="Z28" s="116">
        <f t="shared" si="4"/>
        <v>4500</v>
      </c>
      <c r="AA28" s="114" t="s">
        <v>2229</v>
      </c>
      <c r="AB28" s="117">
        <f t="shared" si="5"/>
        <v>4500</v>
      </c>
      <c r="AC28" s="114" t="s">
        <v>2228</v>
      </c>
      <c r="AD28" s="117">
        <f t="shared" si="6"/>
        <v>0</v>
      </c>
      <c r="AE28" s="114" t="s">
        <v>2227</v>
      </c>
      <c r="AF28" s="117">
        <f t="shared" si="7"/>
        <v>0</v>
      </c>
      <c r="AG28" s="114" t="s">
        <v>2226</v>
      </c>
      <c r="AH28" s="116">
        <v>180</v>
      </c>
      <c r="AI28" s="100"/>
      <c r="AJ28" s="100"/>
      <c r="AK28" s="100"/>
      <c r="AL28" s="100"/>
      <c r="AM28" s="100"/>
      <c r="AN28" s="100"/>
      <c r="AO28" s="100"/>
      <c r="AP28" s="100"/>
      <c r="AQ28" s="100"/>
      <c r="AR28" s="100"/>
      <c r="AS28" s="100"/>
      <c r="AT28" s="100"/>
      <c r="AU28" s="100"/>
      <c r="AV28" s="100"/>
    </row>
    <row r="29" spans="1:48" ht="18.75">
      <c r="A29" s="125" t="s">
        <v>2286</v>
      </c>
      <c r="B29" s="125">
        <v>30</v>
      </c>
      <c r="C29" s="125">
        <v>2</v>
      </c>
      <c r="D29" s="124">
        <f t="shared" si="0"/>
        <v>30</v>
      </c>
      <c r="E29" s="125" t="s">
        <v>2229</v>
      </c>
      <c r="F29" s="126">
        <f t="shared" si="1"/>
        <v>30</v>
      </c>
      <c r="G29" s="125" t="s">
        <v>2228</v>
      </c>
      <c r="H29" s="126">
        <f t="shared" si="2"/>
        <v>0</v>
      </c>
      <c r="I29" s="125" t="s">
        <v>2227</v>
      </c>
      <c r="J29" s="126">
        <f t="shared" si="3"/>
        <v>0</v>
      </c>
      <c r="K29" s="125" t="s">
        <v>2226</v>
      </c>
      <c r="L29" s="124">
        <v>1.2</v>
      </c>
      <c r="N29" s="96"/>
      <c r="X29" s="114" t="s">
        <v>13768</v>
      </c>
      <c r="Y29" s="115">
        <v>4187.625</v>
      </c>
      <c r="Z29" s="116">
        <f t="shared" si="4"/>
        <v>4187.625</v>
      </c>
      <c r="AA29" s="114" t="s">
        <v>2229</v>
      </c>
      <c r="AB29" s="117">
        <f t="shared" si="5"/>
        <v>4187</v>
      </c>
      <c r="AC29" s="114" t="s">
        <v>2228</v>
      </c>
      <c r="AD29" s="117">
        <f t="shared" si="6"/>
        <v>6</v>
      </c>
      <c r="AE29" s="114" t="s">
        <v>2227</v>
      </c>
      <c r="AF29" s="117">
        <f t="shared" si="7"/>
        <v>2.5</v>
      </c>
      <c r="AG29" s="114" t="s">
        <v>2226</v>
      </c>
      <c r="AH29" s="116">
        <v>167.5</v>
      </c>
      <c r="AI29" s="100"/>
      <c r="AJ29" s="100"/>
      <c r="AK29" s="100"/>
      <c r="AL29" s="100"/>
      <c r="AM29" s="100"/>
      <c r="AN29" s="100"/>
      <c r="AO29" s="100"/>
      <c r="AP29" s="100"/>
      <c r="AQ29" s="100"/>
      <c r="AR29" s="100"/>
      <c r="AS29" s="100"/>
      <c r="AT29" s="100"/>
      <c r="AU29" s="100"/>
      <c r="AV29" s="100"/>
    </row>
    <row r="30" spans="1:48" ht="18.75">
      <c r="A30" s="125" t="s">
        <v>2287</v>
      </c>
      <c r="B30" s="125">
        <v>30</v>
      </c>
      <c r="C30" s="125">
        <v>40</v>
      </c>
      <c r="D30" s="124">
        <f t="shared" si="0"/>
        <v>30</v>
      </c>
      <c r="E30" s="125" t="s">
        <v>2229</v>
      </c>
      <c r="F30" s="126">
        <f t="shared" si="1"/>
        <v>30</v>
      </c>
      <c r="G30" s="125" t="s">
        <v>2228</v>
      </c>
      <c r="H30" s="126">
        <f t="shared" si="2"/>
        <v>0</v>
      </c>
      <c r="I30" s="125" t="s">
        <v>2227</v>
      </c>
      <c r="J30" s="126">
        <f t="shared" si="3"/>
        <v>0</v>
      </c>
      <c r="K30" s="125" t="s">
        <v>2226</v>
      </c>
      <c r="L30" s="124">
        <v>1.2</v>
      </c>
      <c r="N30" s="96"/>
      <c r="X30" s="114" t="s">
        <v>13769</v>
      </c>
      <c r="Y30" s="115">
        <v>2250</v>
      </c>
      <c r="Z30" s="116">
        <f t="shared" si="4"/>
        <v>2250</v>
      </c>
      <c r="AA30" s="114" t="s">
        <v>2229</v>
      </c>
      <c r="AB30" s="117">
        <f t="shared" si="5"/>
        <v>2250</v>
      </c>
      <c r="AC30" s="114" t="s">
        <v>2228</v>
      </c>
      <c r="AD30" s="117">
        <f t="shared" si="6"/>
        <v>0</v>
      </c>
      <c r="AE30" s="114" t="s">
        <v>2227</v>
      </c>
      <c r="AF30" s="117">
        <f t="shared" si="7"/>
        <v>0</v>
      </c>
      <c r="AG30" s="114" t="s">
        <v>2226</v>
      </c>
      <c r="AH30" s="116">
        <v>90</v>
      </c>
      <c r="AI30" s="100"/>
      <c r="AJ30" s="100"/>
      <c r="AK30" s="100"/>
      <c r="AL30" s="100"/>
      <c r="AM30" s="100"/>
      <c r="AN30" s="100"/>
      <c r="AO30" s="100"/>
      <c r="AP30" s="100"/>
      <c r="AQ30" s="100"/>
      <c r="AR30" s="100"/>
      <c r="AS30" s="100"/>
      <c r="AT30" s="100"/>
      <c r="AU30" s="100"/>
      <c r="AV30" s="100"/>
    </row>
    <row r="31" spans="1:48" ht="18.75">
      <c r="A31" s="125" t="s">
        <v>2288</v>
      </c>
      <c r="B31" s="125">
        <v>30</v>
      </c>
      <c r="C31" s="125">
        <v>1</v>
      </c>
      <c r="D31" s="124">
        <f t="shared" si="0"/>
        <v>30</v>
      </c>
      <c r="E31" s="125" t="s">
        <v>2229</v>
      </c>
      <c r="F31" s="126">
        <f t="shared" si="1"/>
        <v>30</v>
      </c>
      <c r="G31" s="125" t="s">
        <v>2228</v>
      </c>
      <c r="H31" s="126">
        <f t="shared" si="2"/>
        <v>0</v>
      </c>
      <c r="I31" s="125" t="s">
        <v>2227</v>
      </c>
      <c r="J31" s="126">
        <f t="shared" si="3"/>
        <v>0</v>
      </c>
      <c r="K31" s="125" t="s">
        <v>2226</v>
      </c>
      <c r="L31" s="124">
        <v>1.2</v>
      </c>
      <c r="N31" s="96"/>
      <c r="X31" s="114" t="s">
        <v>9382</v>
      </c>
      <c r="Y31" s="115">
        <v>13000</v>
      </c>
      <c r="Z31" s="116">
        <f t="shared" si="4"/>
        <v>13000</v>
      </c>
      <c r="AA31" s="114" t="s">
        <v>2229</v>
      </c>
      <c r="AB31" s="117">
        <f t="shared" si="5"/>
        <v>13000</v>
      </c>
      <c r="AC31" s="114" t="s">
        <v>2228</v>
      </c>
      <c r="AD31" s="117">
        <f t="shared" si="6"/>
        <v>0</v>
      </c>
      <c r="AE31" s="114" t="s">
        <v>2227</v>
      </c>
      <c r="AF31" s="117">
        <f t="shared" si="7"/>
        <v>0</v>
      </c>
      <c r="AG31" s="114" t="s">
        <v>2226</v>
      </c>
      <c r="AH31" s="116">
        <v>520</v>
      </c>
      <c r="AI31" s="100"/>
      <c r="AJ31" s="100"/>
      <c r="AK31" s="100"/>
      <c r="AL31" s="100"/>
      <c r="AM31" s="100"/>
      <c r="AN31" s="100"/>
      <c r="AO31" s="100"/>
      <c r="AP31" s="100"/>
      <c r="AQ31" s="100"/>
      <c r="AR31" s="100"/>
      <c r="AS31" s="100"/>
      <c r="AT31" s="100"/>
      <c r="AU31" s="100"/>
      <c r="AV31" s="100"/>
    </row>
    <row r="32" spans="1:48" ht="18.75">
      <c r="A32" s="125" t="s">
        <v>2289</v>
      </c>
      <c r="B32" s="125">
        <v>25</v>
      </c>
      <c r="C32" s="125">
        <v>1</v>
      </c>
      <c r="D32" s="124">
        <f t="shared" si="0"/>
        <v>25</v>
      </c>
      <c r="E32" s="125" t="s">
        <v>2229</v>
      </c>
      <c r="F32" s="126">
        <f t="shared" si="1"/>
        <v>25</v>
      </c>
      <c r="G32" s="125" t="s">
        <v>2228</v>
      </c>
      <c r="H32" s="126">
        <f t="shared" si="2"/>
        <v>0</v>
      </c>
      <c r="I32" s="125" t="s">
        <v>2227</v>
      </c>
      <c r="J32" s="126">
        <f t="shared" si="3"/>
        <v>0</v>
      </c>
      <c r="K32" s="125" t="s">
        <v>2226</v>
      </c>
      <c r="L32" s="124">
        <v>1</v>
      </c>
      <c r="N32" s="96"/>
      <c r="X32" s="114" t="s">
        <v>9424</v>
      </c>
      <c r="Y32" s="115">
        <v>37500</v>
      </c>
      <c r="Z32" s="116">
        <f t="shared" si="4"/>
        <v>37500</v>
      </c>
      <c r="AA32" s="114" t="s">
        <v>2229</v>
      </c>
      <c r="AB32" s="117">
        <f t="shared" si="5"/>
        <v>37500</v>
      </c>
      <c r="AC32" s="114" t="s">
        <v>2228</v>
      </c>
      <c r="AD32" s="117">
        <f t="shared" si="6"/>
        <v>0</v>
      </c>
      <c r="AE32" s="114" t="s">
        <v>2227</v>
      </c>
      <c r="AF32" s="117">
        <f t="shared" si="7"/>
        <v>0</v>
      </c>
      <c r="AG32" s="114" t="s">
        <v>2226</v>
      </c>
      <c r="AH32" s="116">
        <v>1500</v>
      </c>
      <c r="AI32" s="100"/>
      <c r="AJ32" s="100"/>
      <c r="AK32" s="100"/>
      <c r="AL32" s="100"/>
      <c r="AM32" s="100"/>
      <c r="AN32" s="100"/>
      <c r="AO32" s="100"/>
      <c r="AP32" s="100"/>
      <c r="AQ32" s="100"/>
      <c r="AR32" s="100"/>
      <c r="AS32" s="100"/>
      <c r="AT32" s="100"/>
      <c r="AU32" s="100"/>
      <c r="AV32" s="100"/>
    </row>
    <row r="33" spans="1:48" ht="18.75">
      <c r="A33" s="125" t="s">
        <v>2290</v>
      </c>
      <c r="B33" s="125">
        <v>25</v>
      </c>
      <c r="C33" s="125">
        <v>5</v>
      </c>
      <c r="D33" s="124">
        <f t="shared" si="0"/>
        <v>25</v>
      </c>
      <c r="E33" s="125" t="s">
        <v>2229</v>
      </c>
      <c r="F33" s="126">
        <f t="shared" si="1"/>
        <v>25</v>
      </c>
      <c r="G33" s="125" t="s">
        <v>2228</v>
      </c>
      <c r="H33" s="126">
        <f t="shared" si="2"/>
        <v>0</v>
      </c>
      <c r="I33" s="125" t="s">
        <v>2227</v>
      </c>
      <c r="J33" s="126">
        <f t="shared" si="3"/>
        <v>0</v>
      </c>
      <c r="K33" s="125" t="s">
        <v>2226</v>
      </c>
      <c r="L33" s="124">
        <v>1</v>
      </c>
      <c r="M33" s="100"/>
      <c r="N33" s="101"/>
      <c r="O33" s="100"/>
      <c r="P33" s="100"/>
      <c r="Q33" s="100"/>
      <c r="R33" s="101"/>
      <c r="X33" s="114" t="s">
        <v>13770</v>
      </c>
      <c r="Y33" s="115">
        <v>800</v>
      </c>
      <c r="Z33" s="116">
        <f t="shared" si="4"/>
        <v>800</v>
      </c>
      <c r="AA33" s="114" t="s">
        <v>2229</v>
      </c>
      <c r="AB33" s="117">
        <f t="shared" si="5"/>
        <v>800</v>
      </c>
      <c r="AC33" s="114" t="s">
        <v>2228</v>
      </c>
      <c r="AD33" s="117">
        <f t="shared" si="6"/>
        <v>0</v>
      </c>
      <c r="AE33" s="114" t="s">
        <v>2227</v>
      </c>
      <c r="AF33" s="117">
        <f t="shared" si="7"/>
        <v>0</v>
      </c>
      <c r="AG33" s="114" t="s">
        <v>2226</v>
      </c>
      <c r="AH33" s="116">
        <v>32</v>
      </c>
      <c r="AI33" s="100"/>
      <c r="AJ33" s="100"/>
      <c r="AK33" s="100"/>
      <c r="AL33" s="100"/>
      <c r="AM33" s="100"/>
      <c r="AN33" s="100"/>
      <c r="AO33" s="100"/>
      <c r="AP33" s="100"/>
      <c r="AQ33" s="100"/>
      <c r="AR33" s="100"/>
      <c r="AS33" s="100"/>
      <c r="AT33" s="100"/>
      <c r="AU33" s="100"/>
      <c r="AV33" s="100"/>
    </row>
    <row r="34" spans="1:48" ht="18.75">
      <c r="A34" s="125" t="s">
        <v>2291</v>
      </c>
      <c r="B34" s="125">
        <v>25</v>
      </c>
      <c r="C34" s="125">
        <v>12</v>
      </c>
      <c r="D34" s="124">
        <f t="shared" si="0"/>
        <v>25</v>
      </c>
      <c r="E34" s="125" t="s">
        <v>2229</v>
      </c>
      <c r="F34" s="126">
        <f t="shared" si="1"/>
        <v>25</v>
      </c>
      <c r="G34" s="125" t="s">
        <v>2228</v>
      </c>
      <c r="H34" s="126">
        <f t="shared" si="2"/>
        <v>0</v>
      </c>
      <c r="I34" s="125" t="s">
        <v>2227</v>
      </c>
      <c r="J34" s="126">
        <f t="shared" si="3"/>
        <v>0</v>
      </c>
      <c r="K34" s="125" t="s">
        <v>2226</v>
      </c>
      <c r="L34" s="124">
        <v>1</v>
      </c>
      <c r="X34" s="114" t="s">
        <v>12926</v>
      </c>
      <c r="Y34" s="115">
        <v>5250</v>
      </c>
      <c r="Z34" s="116">
        <f t="shared" si="4"/>
        <v>5250</v>
      </c>
      <c r="AA34" s="114" t="s">
        <v>2229</v>
      </c>
      <c r="AB34" s="117">
        <f t="shared" si="5"/>
        <v>5250</v>
      </c>
      <c r="AC34" s="114" t="s">
        <v>2228</v>
      </c>
      <c r="AD34" s="117">
        <f t="shared" si="6"/>
        <v>0</v>
      </c>
      <c r="AE34" s="114" t="s">
        <v>2227</v>
      </c>
      <c r="AF34" s="117">
        <f t="shared" si="7"/>
        <v>0</v>
      </c>
      <c r="AG34" s="114" t="s">
        <v>2226</v>
      </c>
      <c r="AH34" s="116">
        <v>210</v>
      </c>
      <c r="AI34" s="100"/>
      <c r="AJ34" s="100"/>
      <c r="AK34" s="100"/>
      <c r="AL34" s="100"/>
      <c r="AM34" s="100"/>
      <c r="AN34" s="100"/>
      <c r="AO34" s="100"/>
      <c r="AP34" s="100"/>
      <c r="AQ34" s="100"/>
      <c r="AR34" s="100"/>
      <c r="AS34" s="100"/>
      <c r="AT34" s="100"/>
      <c r="AU34" s="100"/>
      <c r="AV34" s="100"/>
    </row>
    <row r="35" spans="1:48" ht="18.75">
      <c r="A35" s="125" t="s">
        <v>2292</v>
      </c>
      <c r="B35" s="125">
        <v>25</v>
      </c>
      <c r="C35" s="125">
        <v>2</v>
      </c>
      <c r="D35" s="124">
        <f t="shared" si="0"/>
        <v>25</v>
      </c>
      <c r="E35" s="125" t="s">
        <v>2229</v>
      </c>
      <c r="F35" s="126">
        <f t="shared" si="1"/>
        <v>25</v>
      </c>
      <c r="G35" s="125" t="s">
        <v>2228</v>
      </c>
      <c r="H35" s="126">
        <f t="shared" si="2"/>
        <v>0</v>
      </c>
      <c r="I35" s="125" t="s">
        <v>2227</v>
      </c>
      <c r="J35" s="126">
        <f t="shared" si="3"/>
        <v>0</v>
      </c>
      <c r="K35" s="125" t="s">
        <v>2226</v>
      </c>
      <c r="L35" s="124">
        <v>1</v>
      </c>
      <c r="X35" s="114" t="s">
        <v>13771</v>
      </c>
      <c r="Y35" s="115">
        <v>6875.25</v>
      </c>
      <c r="Z35" s="116">
        <f t="shared" si="4"/>
        <v>6875.25</v>
      </c>
      <c r="AA35" s="114" t="s">
        <v>2229</v>
      </c>
      <c r="AB35" s="117">
        <f t="shared" si="5"/>
        <v>6875</v>
      </c>
      <c r="AC35" s="114" t="s">
        <v>2228</v>
      </c>
      <c r="AD35" s="117">
        <f t="shared" si="6"/>
        <v>2</v>
      </c>
      <c r="AE35" s="114" t="s">
        <v>2227</v>
      </c>
      <c r="AF35" s="117">
        <f t="shared" si="7"/>
        <v>5</v>
      </c>
      <c r="AG35" s="114" t="s">
        <v>2226</v>
      </c>
      <c r="AH35" s="116">
        <v>275.01</v>
      </c>
      <c r="AI35" s="100"/>
      <c r="AJ35" s="100"/>
      <c r="AK35" s="100"/>
      <c r="AL35" s="100"/>
      <c r="AM35" s="100"/>
      <c r="AN35" s="100"/>
      <c r="AO35" s="100"/>
      <c r="AP35" s="100"/>
      <c r="AQ35" s="100"/>
      <c r="AR35" s="100"/>
      <c r="AS35" s="100"/>
      <c r="AT35" s="100"/>
      <c r="AU35" s="100"/>
      <c r="AV35" s="100"/>
    </row>
    <row r="36" spans="1:48" ht="18.75">
      <c r="A36" s="125" t="s">
        <v>2293</v>
      </c>
      <c r="B36" s="125">
        <v>25</v>
      </c>
      <c r="C36" s="125">
        <v>5</v>
      </c>
      <c r="D36" s="124">
        <f t="shared" si="0"/>
        <v>25</v>
      </c>
      <c r="E36" s="125" t="s">
        <v>2229</v>
      </c>
      <c r="F36" s="126">
        <f t="shared" si="1"/>
        <v>25</v>
      </c>
      <c r="G36" s="125" t="s">
        <v>2228</v>
      </c>
      <c r="H36" s="126">
        <f t="shared" si="2"/>
        <v>0</v>
      </c>
      <c r="I36" s="125" t="s">
        <v>2227</v>
      </c>
      <c r="J36" s="126">
        <f t="shared" si="3"/>
        <v>0</v>
      </c>
      <c r="K36" s="125" t="s">
        <v>2226</v>
      </c>
      <c r="L36" s="124">
        <v>1</v>
      </c>
      <c r="X36" s="114" t="s">
        <v>13772</v>
      </c>
      <c r="Y36" s="115">
        <v>6875.25</v>
      </c>
      <c r="Z36" s="116">
        <f t="shared" si="4"/>
        <v>6875.25</v>
      </c>
      <c r="AA36" s="114" t="s">
        <v>2229</v>
      </c>
      <c r="AB36" s="117">
        <f t="shared" si="5"/>
        <v>6875</v>
      </c>
      <c r="AC36" s="114" t="s">
        <v>2228</v>
      </c>
      <c r="AD36" s="117">
        <f t="shared" si="6"/>
        <v>2</v>
      </c>
      <c r="AE36" s="114" t="s">
        <v>2227</v>
      </c>
      <c r="AF36" s="117">
        <f t="shared" si="7"/>
        <v>5</v>
      </c>
      <c r="AG36" s="114" t="s">
        <v>2226</v>
      </c>
      <c r="AH36" s="116">
        <v>275.01</v>
      </c>
      <c r="AI36" s="100"/>
      <c r="AJ36" s="100"/>
      <c r="AK36" s="100"/>
      <c r="AL36" s="100"/>
      <c r="AM36" s="100"/>
      <c r="AN36" s="100"/>
      <c r="AO36" s="100"/>
      <c r="AP36" s="100"/>
      <c r="AQ36" s="100"/>
      <c r="AR36" s="100"/>
      <c r="AS36" s="100"/>
      <c r="AT36" s="100"/>
      <c r="AU36" s="100"/>
      <c r="AV36" s="100"/>
    </row>
    <row r="37" spans="1:48" ht="18.75">
      <c r="A37" s="125" t="s">
        <v>2294</v>
      </c>
      <c r="B37" s="125">
        <v>25</v>
      </c>
      <c r="C37" s="125">
        <v>3</v>
      </c>
      <c r="D37" s="124">
        <f t="shared" si="0"/>
        <v>25</v>
      </c>
      <c r="E37" s="125" t="s">
        <v>2229</v>
      </c>
      <c r="F37" s="126">
        <f t="shared" si="1"/>
        <v>25</v>
      </c>
      <c r="G37" s="125" t="s">
        <v>2228</v>
      </c>
      <c r="H37" s="126">
        <f t="shared" si="2"/>
        <v>0</v>
      </c>
      <c r="I37" s="125" t="s">
        <v>2227</v>
      </c>
      <c r="J37" s="126">
        <f t="shared" si="3"/>
        <v>0</v>
      </c>
      <c r="K37" s="125" t="s">
        <v>2226</v>
      </c>
      <c r="L37" s="124">
        <v>1</v>
      </c>
      <c r="X37" s="114" t="s">
        <v>13773</v>
      </c>
      <c r="Y37" s="115">
        <v>6875.25</v>
      </c>
      <c r="Z37" s="116">
        <f t="shared" si="4"/>
        <v>6875.25</v>
      </c>
      <c r="AA37" s="114" t="s">
        <v>2229</v>
      </c>
      <c r="AB37" s="117">
        <f t="shared" si="5"/>
        <v>6875</v>
      </c>
      <c r="AC37" s="114" t="s">
        <v>2228</v>
      </c>
      <c r="AD37" s="117">
        <f t="shared" si="6"/>
        <v>2</v>
      </c>
      <c r="AE37" s="114" t="s">
        <v>2227</v>
      </c>
      <c r="AF37" s="117">
        <f t="shared" si="7"/>
        <v>5</v>
      </c>
      <c r="AG37" s="114" t="s">
        <v>2226</v>
      </c>
      <c r="AH37" s="116">
        <v>275.01</v>
      </c>
      <c r="AI37" s="100"/>
      <c r="AJ37" s="100"/>
      <c r="AK37" s="100"/>
      <c r="AL37" s="100"/>
      <c r="AM37" s="100"/>
      <c r="AN37" s="100"/>
      <c r="AO37" s="100"/>
      <c r="AP37" s="100"/>
      <c r="AQ37" s="100"/>
      <c r="AR37" s="100"/>
      <c r="AS37" s="100"/>
      <c r="AT37" s="100"/>
      <c r="AU37" s="100"/>
      <c r="AV37" s="100"/>
    </row>
    <row r="38" spans="1:48" ht="18.75">
      <c r="A38" s="125" t="s">
        <v>2295</v>
      </c>
      <c r="B38" s="125">
        <v>25</v>
      </c>
      <c r="C38" s="125">
        <v>10</v>
      </c>
      <c r="D38" s="124">
        <f t="shared" si="0"/>
        <v>25</v>
      </c>
      <c r="E38" s="125" t="s">
        <v>2229</v>
      </c>
      <c r="F38" s="126">
        <f t="shared" si="1"/>
        <v>25</v>
      </c>
      <c r="G38" s="125" t="s">
        <v>2228</v>
      </c>
      <c r="H38" s="126">
        <f t="shared" si="2"/>
        <v>0</v>
      </c>
      <c r="I38" s="125" t="s">
        <v>2227</v>
      </c>
      <c r="J38" s="126">
        <f t="shared" si="3"/>
        <v>0</v>
      </c>
      <c r="K38" s="125" t="s">
        <v>2226</v>
      </c>
      <c r="L38" s="124">
        <v>1</v>
      </c>
      <c r="U38" s="100"/>
      <c r="X38" s="114" t="s">
        <v>13774</v>
      </c>
      <c r="Y38" s="115">
        <v>82750.25</v>
      </c>
      <c r="Z38" s="116">
        <f t="shared" si="4"/>
        <v>82750.25</v>
      </c>
      <c r="AA38" s="114" t="s">
        <v>2229</v>
      </c>
      <c r="AB38" s="117">
        <f t="shared" si="5"/>
        <v>82750</v>
      </c>
      <c r="AC38" s="114" t="s">
        <v>2228</v>
      </c>
      <c r="AD38" s="117">
        <f t="shared" si="6"/>
        <v>2</v>
      </c>
      <c r="AE38" s="114" t="s">
        <v>2227</v>
      </c>
      <c r="AF38" s="117">
        <f t="shared" si="7"/>
        <v>5</v>
      </c>
      <c r="AG38" s="114" t="s">
        <v>2226</v>
      </c>
      <c r="AH38" s="116">
        <v>3310.01</v>
      </c>
      <c r="AI38" s="100"/>
      <c r="AJ38" s="100"/>
      <c r="AK38" s="100"/>
      <c r="AL38" s="100"/>
      <c r="AM38" s="100"/>
      <c r="AN38" s="100"/>
      <c r="AO38" s="100"/>
      <c r="AP38" s="100"/>
      <c r="AQ38" s="100"/>
      <c r="AR38" s="100"/>
      <c r="AS38" s="100"/>
      <c r="AT38" s="100"/>
      <c r="AU38" s="100"/>
      <c r="AV38" s="100"/>
    </row>
    <row r="39" spans="1:48" ht="18.75">
      <c r="A39" s="125" t="s">
        <v>2296</v>
      </c>
      <c r="B39" s="125">
        <v>25</v>
      </c>
      <c r="C39" s="125">
        <v>1</v>
      </c>
      <c r="D39" s="124">
        <f t="shared" si="0"/>
        <v>25</v>
      </c>
      <c r="E39" s="125" t="s">
        <v>2229</v>
      </c>
      <c r="F39" s="126">
        <f t="shared" si="1"/>
        <v>25</v>
      </c>
      <c r="G39" s="125" t="s">
        <v>2228</v>
      </c>
      <c r="H39" s="126">
        <f t="shared" si="2"/>
        <v>0</v>
      </c>
      <c r="I39" s="125" t="s">
        <v>2227</v>
      </c>
      <c r="J39" s="126">
        <f t="shared" si="3"/>
        <v>0</v>
      </c>
      <c r="K39" s="125" t="s">
        <v>2226</v>
      </c>
      <c r="L39" s="124">
        <v>1</v>
      </c>
      <c r="U39" s="100"/>
      <c r="X39" s="114" t="s">
        <v>13775</v>
      </c>
      <c r="Y39" s="115">
        <v>5062.625</v>
      </c>
      <c r="Z39" s="116">
        <f t="shared" si="4"/>
        <v>5062.625</v>
      </c>
      <c r="AA39" s="114" t="s">
        <v>2229</v>
      </c>
      <c r="AB39" s="117">
        <f t="shared" si="5"/>
        <v>5062</v>
      </c>
      <c r="AC39" s="114" t="s">
        <v>2228</v>
      </c>
      <c r="AD39" s="117">
        <f t="shared" si="6"/>
        <v>6</v>
      </c>
      <c r="AE39" s="114" t="s">
        <v>2227</v>
      </c>
      <c r="AF39" s="117">
        <f t="shared" si="7"/>
        <v>2.5</v>
      </c>
      <c r="AG39" s="114" t="s">
        <v>2226</v>
      </c>
      <c r="AH39" s="116">
        <v>202.5</v>
      </c>
      <c r="AI39" s="100"/>
      <c r="AJ39" s="100"/>
      <c r="AK39" s="100"/>
      <c r="AL39" s="100"/>
      <c r="AM39" s="100"/>
      <c r="AN39" s="100"/>
      <c r="AO39" s="100"/>
      <c r="AP39" s="100"/>
      <c r="AQ39" s="100"/>
      <c r="AR39" s="100"/>
      <c r="AS39" s="100"/>
      <c r="AT39" s="100"/>
      <c r="AU39" s="100"/>
      <c r="AV39" s="100"/>
    </row>
    <row r="40" spans="1:48" ht="18.75">
      <c r="A40" s="125" t="s">
        <v>2297</v>
      </c>
      <c r="B40" s="125">
        <v>25</v>
      </c>
      <c r="C40" s="125">
        <v>1</v>
      </c>
      <c r="D40" s="124">
        <f t="shared" si="0"/>
        <v>25</v>
      </c>
      <c r="E40" s="125" t="s">
        <v>2229</v>
      </c>
      <c r="F40" s="126">
        <f t="shared" si="1"/>
        <v>25</v>
      </c>
      <c r="G40" s="125" t="s">
        <v>2228</v>
      </c>
      <c r="H40" s="126">
        <f t="shared" si="2"/>
        <v>0</v>
      </c>
      <c r="I40" s="125" t="s">
        <v>2227</v>
      </c>
      <c r="J40" s="126">
        <f t="shared" si="3"/>
        <v>0</v>
      </c>
      <c r="K40" s="125" t="s">
        <v>2226</v>
      </c>
      <c r="L40" s="124">
        <v>1</v>
      </c>
      <c r="U40" s="100"/>
      <c r="X40" s="114" t="s">
        <v>13776</v>
      </c>
      <c r="Y40" s="115">
        <v>5537.625</v>
      </c>
      <c r="Z40" s="116">
        <f t="shared" si="4"/>
        <v>5537.625</v>
      </c>
      <c r="AA40" s="114" t="s">
        <v>2229</v>
      </c>
      <c r="AB40" s="117">
        <f t="shared" si="5"/>
        <v>5537</v>
      </c>
      <c r="AC40" s="114" t="s">
        <v>2228</v>
      </c>
      <c r="AD40" s="117">
        <f t="shared" si="6"/>
        <v>6</v>
      </c>
      <c r="AE40" s="114" t="s">
        <v>2227</v>
      </c>
      <c r="AF40" s="117">
        <f t="shared" si="7"/>
        <v>2.5</v>
      </c>
      <c r="AG40" s="114" t="s">
        <v>2226</v>
      </c>
      <c r="AH40" s="116">
        <v>221.5</v>
      </c>
      <c r="AI40" s="100"/>
      <c r="AJ40" s="100"/>
      <c r="AK40" s="100"/>
      <c r="AL40" s="100"/>
      <c r="AM40" s="100"/>
      <c r="AN40" s="100"/>
      <c r="AO40" s="100"/>
      <c r="AP40" s="100"/>
      <c r="AQ40" s="100"/>
      <c r="AR40" s="100"/>
      <c r="AS40" s="100"/>
      <c r="AT40" s="100"/>
      <c r="AU40" s="100"/>
      <c r="AV40" s="100"/>
    </row>
    <row r="41" spans="1:48" ht="18.75">
      <c r="A41" s="125" t="s">
        <v>2298</v>
      </c>
      <c r="B41" s="125">
        <v>25</v>
      </c>
      <c r="C41" s="125">
        <v>2</v>
      </c>
      <c r="D41" s="124">
        <f t="shared" si="0"/>
        <v>25</v>
      </c>
      <c r="E41" s="125" t="s">
        <v>2229</v>
      </c>
      <c r="F41" s="126">
        <f t="shared" si="1"/>
        <v>25</v>
      </c>
      <c r="G41" s="125" t="s">
        <v>2228</v>
      </c>
      <c r="H41" s="126">
        <f t="shared" si="2"/>
        <v>0</v>
      </c>
      <c r="I41" s="125" t="s">
        <v>2227</v>
      </c>
      <c r="J41" s="126">
        <f t="shared" si="3"/>
        <v>0</v>
      </c>
      <c r="K41" s="125" t="s">
        <v>2226</v>
      </c>
      <c r="L41" s="124">
        <v>1</v>
      </c>
      <c r="U41" s="100"/>
      <c r="X41" s="114" t="s">
        <v>13777</v>
      </c>
      <c r="Y41" s="115">
        <v>325.25</v>
      </c>
      <c r="Z41" s="116">
        <f t="shared" si="4"/>
        <v>325.25</v>
      </c>
      <c r="AA41" s="114" t="s">
        <v>2229</v>
      </c>
      <c r="AB41" s="117">
        <f t="shared" si="5"/>
        <v>325</v>
      </c>
      <c r="AC41" s="114" t="s">
        <v>2228</v>
      </c>
      <c r="AD41" s="117">
        <f t="shared" si="6"/>
        <v>2</v>
      </c>
      <c r="AE41" s="114" t="s">
        <v>2227</v>
      </c>
      <c r="AF41" s="117">
        <f t="shared" si="7"/>
        <v>5</v>
      </c>
      <c r="AG41" s="114" t="s">
        <v>2226</v>
      </c>
      <c r="AH41" s="116">
        <v>13.01</v>
      </c>
      <c r="AI41" s="100"/>
      <c r="AJ41" s="100"/>
      <c r="AK41" s="100"/>
      <c r="AL41" s="100"/>
      <c r="AM41" s="100"/>
      <c r="AN41" s="100"/>
      <c r="AO41" s="100"/>
      <c r="AP41" s="100"/>
      <c r="AQ41" s="100"/>
      <c r="AR41" s="100"/>
      <c r="AS41" s="100"/>
      <c r="AT41" s="100"/>
      <c r="AU41" s="100"/>
      <c r="AV41" s="100"/>
    </row>
    <row r="42" spans="1:48" ht="18.75">
      <c r="A42" s="125" t="s">
        <v>2299</v>
      </c>
      <c r="B42" s="125">
        <v>25</v>
      </c>
      <c r="C42" s="125">
        <v>2</v>
      </c>
      <c r="D42" s="124">
        <f t="shared" si="0"/>
        <v>25</v>
      </c>
      <c r="E42" s="125" t="s">
        <v>2229</v>
      </c>
      <c r="F42" s="126">
        <f t="shared" si="1"/>
        <v>25</v>
      </c>
      <c r="G42" s="125" t="s">
        <v>2228</v>
      </c>
      <c r="H42" s="126">
        <f t="shared" si="2"/>
        <v>0</v>
      </c>
      <c r="I42" s="125" t="s">
        <v>2227</v>
      </c>
      <c r="J42" s="126">
        <f t="shared" si="3"/>
        <v>0</v>
      </c>
      <c r="K42" s="125" t="s">
        <v>2226</v>
      </c>
      <c r="L42" s="124">
        <v>1</v>
      </c>
      <c r="U42" s="100"/>
      <c r="X42" s="114" t="s">
        <v>13777</v>
      </c>
      <c r="Y42" s="115">
        <v>325.25</v>
      </c>
      <c r="Z42" s="116">
        <f t="shared" si="4"/>
        <v>325.25</v>
      </c>
      <c r="AA42" s="114" t="s">
        <v>2229</v>
      </c>
      <c r="AB42" s="117">
        <f t="shared" si="5"/>
        <v>325</v>
      </c>
      <c r="AC42" s="114" t="s">
        <v>2228</v>
      </c>
      <c r="AD42" s="117">
        <f t="shared" si="6"/>
        <v>2</v>
      </c>
      <c r="AE42" s="114" t="s">
        <v>2227</v>
      </c>
      <c r="AF42" s="117">
        <f t="shared" si="7"/>
        <v>5</v>
      </c>
      <c r="AG42" s="114" t="s">
        <v>2226</v>
      </c>
      <c r="AH42" s="116">
        <v>13.01</v>
      </c>
      <c r="AI42" s="100"/>
      <c r="AJ42" s="100"/>
      <c r="AK42" s="100"/>
      <c r="AL42" s="100"/>
      <c r="AM42" s="100"/>
      <c r="AN42" s="100"/>
      <c r="AO42" s="100"/>
      <c r="AP42" s="100"/>
      <c r="AQ42" s="100"/>
      <c r="AR42" s="100"/>
      <c r="AS42" s="100"/>
      <c r="AT42" s="100"/>
      <c r="AU42" s="100"/>
      <c r="AV42" s="100"/>
    </row>
    <row r="43" spans="1:48" ht="18.75">
      <c r="A43" s="125" t="s">
        <v>2300</v>
      </c>
      <c r="B43" s="125">
        <v>25</v>
      </c>
      <c r="C43" s="125">
        <v>2</v>
      </c>
      <c r="D43" s="124">
        <f t="shared" si="0"/>
        <v>25</v>
      </c>
      <c r="E43" s="125" t="s">
        <v>2229</v>
      </c>
      <c r="F43" s="126">
        <f t="shared" si="1"/>
        <v>25</v>
      </c>
      <c r="G43" s="125" t="s">
        <v>2228</v>
      </c>
      <c r="H43" s="126">
        <f t="shared" si="2"/>
        <v>0</v>
      </c>
      <c r="I43" s="125" t="s">
        <v>2227</v>
      </c>
      <c r="J43" s="126">
        <f t="shared" si="3"/>
        <v>0</v>
      </c>
      <c r="K43" s="125" t="s">
        <v>2226</v>
      </c>
      <c r="L43" s="124">
        <v>1</v>
      </c>
      <c r="U43" s="100"/>
      <c r="X43" s="114" t="s">
        <v>13778</v>
      </c>
      <c r="Y43" s="115">
        <v>21625.125</v>
      </c>
      <c r="Z43" s="116">
        <f t="shared" si="4"/>
        <v>21625.125</v>
      </c>
      <c r="AA43" s="114" t="s">
        <v>2229</v>
      </c>
      <c r="AB43" s="117">
        <f t="shared" si="5"/>
        <v>21625</v>
      </c>
      <c r="AC43" s="114" t="s">
        <v>2228</v>
      </c>
      <c r="AD43" s="117">
        <f t="shared" si="6"/>
        <v>1</v>
      </c>
      <c r="AE43" s="114" t="s">
        <v>2227</v>
      </c>
      <c r="AF43" s="117">
        <f t="shared" si="7"/>
        <v>2.5</v>
      </c>
      <c r="AG43" s="114" t="s">
        <v>2226</v>
      </c>
      <c r="AH43" s="116">
        <v>865</v>
      </c>
      <c r="AI43" s="100"/>
      <c r="AJ43" s="100"/>
      <c r="AK43" s="100"/>
      <c r="AL43" s="100"/>
      <c r="AM43" s="100"/>
      <c r="AN43" s="100"/>
      <c r="AO43" s="100"/>
      <c r="AP43" s="100"/>
      <c r="AQ43" s="100"/>
      <c r="AR43" s="100"/>
      <c r="AS43" s="100"/>
      <c r="AT43" s="100"/>
      <c r="AU43" s="100"/>
      <c r="AV43" s="100"/>
    </row>
    <row r="44" spans="1:48" ht="18.75">
      <c r="A44" s="125" t="s">
        <v>2301</v>
      </c>
      <c r="B44" s="125">
        <v>25</v>
      </c>
      <c r="C44" s="125">
        <v>3</v>
      </c>
      <c r="D44" s="124">
        <f t="shared" si="0"/>
        <v>25</v>
      </c>
      <c r="E44" s="125" t="s">
        <v>2229</v>
      </c>
      <c r="F44" s="126">
        <f t="shared" si="1"/>
        <v>25</v>
      </c>
      <c r="G44" s="125" t="s">
        <v>2228</v>
      </c>
      <c r="H44" s="126">
        <f t="shared" si="2"/>
        <v>0</v>
      </c>
      <c r="I44" s="125" t="s">
        <v>2227</v>
      </c>
      <c r="J44" s="126">
        <f t="shared" si="3"/>
        <v>0</v>
      </c>
      <c r="K44" s="125" t="s">
        <v>2226</v>
      </c>
      <c r="L44" s="124">
        <v>1</v>
      </c>
      <c r="U44" s="100"/>
      <c r="X44" s="114" t="s">
        <v>13779</v>
      </c>
      <c r="Y44" s="115">
        <v>2250</v>
      </c>
      <c r="Z44" s="116">
        <f t="shared" si="4"/>
        <v>2250</v>
      </c>
      <c r="AA44" s="114" t="s">
        <v>2229</v>
      </c>
      <c r="AB44" s="117">
        <f t="shared" si="5"/>
        <v>2250</v>
      </c>
      <c r="AC44" s="114" t="s">
        <v>2228</v>
      </c>
      <c r="AD44" s="117">
        <f t="shared" si="6"/>
        <v>0</v>
      </c>
      <c r="AE44" s="114" t="s">
        <v>2227</v>
      </c>
      <c r="AF44" s="117">
        <f t="shared" si="7"/>
        <v>0</v>
      </c>
      <c r="AG44" s="114" t="s">
        <v>2226</v>
      </c>
      <c r="AH44" s="116">
        <v>90</v>
      </c>
      <c r="AI44" s="100"/>
      <c r="AJ44" s="100"/>
      <c r="AK44" s="100"/>
      <c r="AL44" s="100"/>
      <c r="AM44" s="100"/>
      <c r="AN44" s="100"/>
      <c r="AO44" s="100"/>
      <c r="AP44" s="100"/>
      <c r="AQ44" s="100"/>
      <c r="AR44" s="100"/>
      <c r="AS44" s="100"/>
      <c r="AT44" s="100"/>
      <c r="AU44" s="100"/>
      <c r="AV44" s="100"/>
    </row>
    <row r="45" spans="1:48" ht="18.75">
      <c r="A45" s="125" t="s">
        <v>2302</v>
      </c>
      <c r="B45" s="125">
        <v>25</v>
      </c>
      <c r="C45" s="125">
        <v>2</v>
      </c>
      <c r="D45" s="124">
        <f t="shared" si="0"/>
        <v>25</v>
      </c>
      <c r="E45" s="125" t="s">
        <v>2229</v>
      </c>
      <c r="F45" s="126">
        <f t="shared" si="1"/>
        <v>25</v>
      </c>
      <c r="G45" s="125" t="s">
        <v>2228</v>
      </c>
      <c r="H45" s="126">
        <f t="shared" si="2"/>
        <v>0</v>
      </c>
      <c r="I45" s="125" t="s">
        <v>2227</v>
      </c>
      <c r="J45" s="126">
        <f t="shared" si="3"/>
        <v>0</v>
      </c>
      <c r="K45" s="125" t="s">
        <v>2226</v>
      </c>
      <c r="L45" s="124">
        <v>1</v>
      </c>
      <c r="U45" s="100"/>
      <c r="X45" s="114" t="s">
        <v>13780</v>
      </c>
      <c r="Y45" s="115">
        <v>337.625</v>
      </c>
      <c r="Z45" s="116">
        <f t="shared" si="4"/>
        <v>337.625</v>
      </c>
      <c r="AA45" s="114" t="s">
        <v>2229</v>
      </c>
      <c r="AB45" s="117">
        <f t="shared" si="5"/>
        <v>337</v>
      </c>
      <c r="AC45" s="114" t="s">
        <v>2228</v>
      </c>
      <c r="AD45" s="117">
        <f t="shared" si="6"/>
        <v>6</v>
      </c>
      <c r="AE45" s="114" t="s">
        <v>2227</v>
      </c>
      <c r="AF45" s="117">
        <f t="shared" si="7"/>
        <v>2.5</v>
      </c>
      <c r="AG45" s="114" t="s">
        <v>2226</v>
      </c>
      <c r="AH45" s="116">
        <v>13.5</v>
      </c>
      <c r="AI45" s="100"/>
      <c r="AJ45" s="100"/>
      <c r="AK45" s="100"/>
      <c r="AL45" s="100"/>
      <c r="AM45" s="100"/>
      <c r="AN45" s="100"/>
      <c r="AO45" s="100"/>
      <c r="AP45" s="100"/>
      <c r="AQ45" s="100"/>
      <c r="AR45" s="100"/>
      <c r="AS45" s="100"/>
      <c r="AT45" s="100"/>
      <c r="AU45" s="100"/>
      <c r="AV45" s="100"/>
    </row>
    <row r="46" spans="1:48" ht="18.75">
      <c r="A46" s="125" t="s">
        <v>2303</v>
      </c>
      <c r="B46" s="125">
        <v>25</v>
      </c>
      <c r="C46" s="125">
        <v>1</v>
      </c>
      <c r="D46" s="124">
        <f t="shared" si="0"/>
        <v>25</v>
      </c>
      <c r="E46" s="125" t="s">
        <v>2229</v>
      </c>
      <c r="F46" s="126">
        <f t="shared" si="1"/>
        <v>25</v>
      </c>
      <c r="G46" s="125" t="s">
        <v>2228</v>
      </c>
      <c r="H46" s="126">
        <f t="shared" si="2"/>
        <v>0</v>
      </c>
      <c r="I46" s="125" t="s">
        <v>2227</v>
      </c>
      <c r="J46" s="126">
        <f t="shared" si="3"/>
        <v>0</v>
      </c>
      <c r="K46" s="125" t="s">
        <v>2226</v>
      </c>
      <c r="L46" s="124">
        <v>1</v>
      </c>
      <c r="U46" s="100"/>
      <c r="X46" s="114" t="s">
        <v>13781</v>
      </c>
      <c r="Y46" s="115">
        <v>262.625</v>
      </c>
      <c r="Z46" s="116">
        <f t="shared" si="4"/>
        <v>262.625</v>
      </c>
      <c r="AA46" s="114" t="s">
        <v>2229</v>
      </c>
      <c r="AB46" s="117">
        <f t="shared" si="5"/>
        <v>262</v>
      </c>
      <c r="AC46" s="114" t="s">
        <v>2228</v>
      </c>
      <c r="AD46" s="117">
        <f t="shared" si="6"/>
        <v>6</v>
      </c>
      <c r="AE46" s="114" t="s">
        <v>2227</v>
      </c>
      <c r="AF46" s="117">
        <f t="shared" si="7"/>
        <v>2.5</v>
      </c>
      <c r="AG46" s="114" t="s">
        <v>2226</v>
      </c>
      <c r="AH46" s="116">
        <v>10.5</v>
      </c>
      <c r="AI46" s="100"/>
      <c r="AJ46" s="100"/>
      <c r="AK46" s="100"/>
      <c r="AL46" s="100"/>
      <c r="AM46" s="100"/>
      <c r="AN46" s="100"/>
      <c r="AO46" s="100"/>
      <c r="AP46" s="100"/>
      <c r="AQ46" s="100"/>
      <c r="AR46" s="100"/>
      <c r="AS46" s="100"/>
      <c r="AT46" s="100"/>
      <c r="AU46" s="100"/>
      <c r="AV46" s="100"/>
    </row>
    <row r="47" spans="1:48" ht="18.75">
      <c r="A47" s="125" t="s">
        <v>2304</v>
      </c>
      <c r="B47" s="125">
        <v>20</v>
      </c>
      <c r="C47" s="125">
        <v>9</v>
      </c>
      <c r="D47" s="124">
        <f t="shared" si="0"/>
        <v>20</v>
      </c>
      <c r="E47" s="125" t="s">
        <v>2229</v>
      </c>
      <c r="F47" s="126">
        <f t="shared" si="1"/>
        <v>20</v>
      </c>
      <c r="G47" s="125" t="s">
        <v>2228</v>
      </c>
      <c r="H47" s="126">
        <f t="shared" si="2"/>
        <v>0</v>
      </c>
      <c r="I47" s="125" t="s">
        <v>2227</v>
      </c>
      <c r="J47" s="126">
        <f t="shared" si="3"/>
        <v>0</v>
      </c>
      <c r="K47" s="125" t="s">
        <v>2226</v>
      </c>
      <c r="L47" s="124">
        <v>0.8</v>
      </c>
      <c r="U47" s="100"/>
      <c r="X47" s="114" t="s">
        <v>13782</v>
      </c>
      <c r="Y47" s="115">
        <v>300.125</v>
      </c>
      <c r="Z47" s="116">
        <f t="shared" si="4"/>
        <v>300.125</v>
      </c>
      <c r="AA47" s="114" t="s">
        <v>2229</v>
      </c>
      <c r="AB47" s="117">
        <f t="shared" si="5"/>
        <v>300</v>
      </c>
      <c r="AC47" s="114" t="s">
        <v>2228</v>
      </c>
      <c r="AD47" s="117">
        <f t="shared" si="6"/>
        <v>1</v>
      </c>
      <c r="AE47" s="114" t="s">
        <v>2227</v>
      </c>
      <c r="AF47" s="117">
        <f t="shared" si="7"/>
        <v>2.5</v>
      </c>
      <c r="AG47" s="114" t="s">
        <v>2226</v>
      </c>
      <c r="AH47" s="116">
        <v>12</v>
      </c>
      <c r="AI47" s="100"/>
      <c r="AJ47" s="100"/>
      <c r="AK47" s="100"/>
      <c r="AL47" s="100"/>
      <c r="AM47" s="100"/>
      <c r="AN47" s="100"/>
      <c r="AO47" s="100"/>
      <c r="AP47" s="100"/>
      <c r="AQ47" s="100"/>
      <c r="AR47" s="100"/>
      <c r="AS47" s="100"/>
      <c r="AT47" s="100"/>
      <c r="AU47" s="100"/>
      <c r="AV47" s="100"/>
    </row>
    <row r="48" spans="1:48" ht="18.75">
      <c r="A48" s="125" t="s">
        <v>2305</v>
      </c>
      <c r="B48" s="125">
        <v>20</v>
      </c>
      <c r="C48" s="125">
        <v>6</v>
      </c>
      <c r="D48" s="124">
        <f t="shared" si="0"/>
        <v>20</v>
      </c>
      <c r="E48" s="125" t="s">
        <v>2229</v>
      </c>
      <c r="F48" s="126">
        <f t="shared" si="1"/>
        <v>20</v>
      </c>
      <c r="G48" s="125" t="s">
        <v>2228</v>
      </c>
      <c r="H48" s="126">
        <f t="shared" si="2"/>
        <v>0</v>
      </c>
      <c r="I48" s="125" t="s">
        <v>2227</v>
      </c>
      <c r="J48" s="126">
        <f t="shared" si="3"/>
        <v>0</v>
      </c>
      <c r="K48" s="125" t="s">
        <v>2226</v>
      </c>
      <c r="L48" s="124">
        <v>0.8</v>
      </c>
      <c r="U48" s="100"/>
      <c r="X48" s="114" t="s">
        <v>13783</v>
      </c>
      <c r="Y48" s="115">
        <v>325.25</v>
      </c>
      <c r="Z48" s="116">
        <f t="shared" si="4"/>
        <v>325.25</v>
      </c>
      <c r="AA48" s="114" t="s">
        <v>2229</v>
      </c>
      <c r="AB48" s="117">
        <f t="shared" si="5"/>
        <v>325</v>
      </c>
      <c r="AC48" s="114" t="s">
        <v>2228</v>
      </c>
      <c r="AD48" s="117">
        <f t="shared" si="6"/>
        <v>2</v>
      </c>
      <c r="AE48" s="114" t="s">
        <v>2227</v>
      </c>
      <c r="AF48" s="117">
        <f t="shared" si="7"/>
        <v>5</v>
      </c>
      <c r="AG48" s="114" t="s">
        <v>2226</v>
      </c>
      <c r="AH48" s="116">
        <v>13.01</v>
      </c>
      <c r="AI48" s="100"/>
      <c r="AJ48" s="100"/>
      <c r="AK48" s="100"/>
      <c r="AL48" s="100"/>
      <c r="AM48" s="100"/>
      <c r="AN48" s="100"/>
      <c r="AO48" s="100"/>
      <c r="AP48" s="100"/>
      <c r="AQ48" s="100"/>
      <c r="AR48" s="100"/>
      <c r="AS48" s="100"/>
      <c r="AT48" s="100"/>
      <c r="AU48" s="100"/>
      <c r="AV48" s="100"/>
    </row>
    <row r="49" spans="1:48" ht="18.75">
      <c r="A49" s="125" t="s">
        <v>2306</v>
      </c>
      <c r="B49" s="125">
        <v>20</v>
      </c>
      <c r="C49" s="125">
        <v>6</v>
      </c>
      <c r="D49" s="124">
        <f t="shared" si="0"/>
        <v>20</v>
      </c>
      <c r="E49" s="125" t="s">
        <v>2229</v>
      </c>
      <c r="F49" s="126">
        <f t="shared" si="1"/>
        <v>20</v>
      </c>
      <c r="G49" s="125" t="s">
        <v>2228</v>
      </c>
      <c r="H49" s="126">
        <f t="shared" si="2"/>
        <v>0</v>
      </c>
      <c r="I49" s="125" t="s">
        <v>2227</v>
      </c>
      <c r="J49" s="126">
        <f t="shared" si="3"/>
        <v>0</v>
      </c>
      <c r="K49" s="125" t="s">
        <v>2226</v>
      </c>
      <c r="L49" s="124">
        <v>0.8</v>
      </c>
      <c r="Q49" s="100"/>
      <c r="R49" s="100"/>
      <c r="S49" s="100"/>
      <c r="T49" s="100"/>
      <c r="U49" s="100"/>
      <c r="X49" s="114" t="s">
        <v>13783</v>
      </c>
      <c r="Y49" s="115">
        <v>60</v>
      </c>
      <c r="Z49" s="116">
        <f t="shared" si="4"/>
        <v>60</v>
      </c>
      <c r="AA49" s="114" t="s">
        <v>2229</v>
      </c>
      <c r="AB49" s="117">
        <f t="shared" si="5"/>
        <v>60</v>
      </c>
      <c r="AC49" s="114" t="s">
        <v>2228</v>
      </c>
      <c r="AD49" s="117">
        <f t="shared" si="6"/>
        <v>0</v>
      </c>
      <c r="AE49" s="114" t="s">
        <v>2227</v>
      </c>
      <c r="AF49" s="117">
        <f t="shared" si="7"/>
        <v>0</v>
      </c>
      <c r="AG49" s="114" t="s">
        <v>2226</v>
      </c>
      <c r="AH49" s="116">
        <v>2.4</v>
      </c>
      <c r="AI49" s="100"/>
      <c r="AJ49" s="100"/>
      <c r="AK49" s="100"/>
      <c r="AL49" s="100"/>
      <c r="AM49" s="100"/>
      <c r="AN49" s="100"/>
      <c r="AO49" s="100"/>
      <c r="AP49" s="100"/>
      <c r="AQ49" s="100"/>
      <c r="AR49" s="100"/>
      <c r="AS49" s="100"/>
      <c r="AT49" s="100"/>
      <c r="AU49" s="100"/>
      <c r="AV49" s="100"/>
    </row>
    <row r="50" spans="1:48" ht="18.75">
      <c r="A50" s="125" t="s">
        <v>2307</v>
      </c>
      <c r="B50" s="125">
        <v>20</v>
      </c>
      <c r="C50" s="125">
        <v>3</v>
      </c>
      <c r="D50" s="124">
        <f t="shared" si="0"/>
        <v>20</v>
      </c>
      <c r="E50" s="125" t="s">
        <v>2229</v>
      </c>
      <c r="F50" s="126">
        <f t="shared" si="1"/>
        <v>20</v>
      </c>
      <c r="G50" s="125" t="s">
        <v>2228</v>
      </c>
      <c r="H50" s="126">
        <f t="shared" si="2"/>
        <v>0</v>
      </c>
      <c r="I50" s="125" t="s">
        <v>2227</v>
      </c>
      <c r="J50" s="126">
        <f t="shared" si="3"/>
        <v>0</v>
      </c>
      <c r="K50" s="125" t="s">
        <v>2226</v>
      </c>
      <c r="L50" s="124">
        <v>0.8</v>
      </c>
      <c r="Q50" s="100"/>
      <c r="R50" s="100"/>
      <c r="S50" s="100"/>
      <c r="T50" s="100"/>
      <c r="U50" s="100"/>
      <c r="X50" s="114" t="s">
        <v>13784</v>
      </c>
      <c r="Y50" s="115">
        <v>5637.625</v>
      </c>
      <c r="Z50" s="116">
        <f t="shared" si="4"/>
        <v>5637.625</v>
      </c>
      <c r="AA50" s="114" t="s">
        <v>2229</v>
      </c>
      <c r="AB50" s="117">
        <f t="shared" si="5"/>
        <v>5637</v>
      </c>
      <c r="AC50" s="114" t="s">
        <v>2228</v>
      </c>
      <c r="AD50" s="117">
        <f t="shared" si="6"/>
        <v>6</v>
      </c>
      <c r="AE50" s="114" t="s">
        <v>2227</v>
      </c>
      <c r="AF50" s="117">
        <f t="shared" si="7"/>
        <v>2.5</v>
      </c>
      <c r="AG50" s="114" t="s">
        <v>2226</v>
      </c>
      <c r="AH50" s="116">
        <v>225.5</v>
      </c>
      <c r="AI50" s="100"/>
      <c r="AJ50" s="100"/>
      <c r="AK50" s="100"/>
      <c r="AL50" s="100"/>
      <c r="AM50" s="100"/>
      <c r="AN50" s="100"/>
      <c r="AO50" s="100"/>
      <c r="AP50" s="100"/>
      <c r="AQ50" s="100"/>
      <c r="AR50" s="100"/>
      <c r="AS50" s="100"/>
      <c r="AT50" s="100"/>
      <c r="AU50" s="100"/>
      <c r="AV50" s="100"/>
    </row>
    <row r="51" spans="1:48" ht="18.75">
      <c r="A51" s="125" t="s">
        <v>2308</v>
      </c>
      <c r="B51" s="125">
        <v>20</v>
      </c>
      <c r="C51" s="125">
        <v>8</v>
      </c>
      <c r="D51" s="124">
        <f t="shared" si="0"/>
        <v>20</v>
      </c>
      <c r="E51" s="125" t="s">
        <v>2229</v>
      </c>
      <c r="F51" s="126">
        <f t="shared" si="1"/>
        <v>20</v>
      </c>
      <c r="G51" s="125" t="s">
        <v>2228</v>
      </c>
      <c r="H51" s="126">
        <f t="shared" si="2"/>
        <v>0</v>
      </c>
      <c r="I51" s="125" t="s">
        <v>2227</v>
      </c>
      <c r="J51" s="126">
        <f t="shared" si="3"/>
        <v>0</v>
      </c>
      <c r="K51" s="125" t="s">
        <v>2226</v>
      </c>
      <c r="L51" s="124">
        <v>0.8</v>
      </c>
      <c r="Q51" s="100"/>
      <c r="R51" s="100"/>
      <c r="S51" s="100"/>
      <c r="T51" s="100"/>
      <c r="U51" s="100"/>
      <c r="X51" s="114" t="s">
        <v>13785</v>
      </c>
      <c r="Y51" s="115">
        <v>3862.625</v>
      </c>
      <c r="Z51" s="116">
        <f t="shared" si="4"/>
        <v>3862.625</v>
      </c>
      <c r="AA51" s="114" t="s">
        <v>2229</v>
      </c>
      <c r="AB51" s="117">
        <f t="shared" si="5"/>
        <v>3862</v>
      </c>
      <c r="AC51" s="114" t="s">
        <v>2228</v>
      </c>
      <c r="AD51" s="117">
        <f t="shared" si="6"/>
        <v>6</v>
      </c>
      <c r="AE51" s="114" t="s">
        <v>2227</v>
      </c>
      <c r="AF51" s="117">
        <f t="shared" si="7"/>
        <v>2.5</v>
      </c>
      <c r="AG51" s="114" t="s">
        <v>2226</v>
      </c>
      <c r="AH51" s="116">
        <v>154.5</v>
      </c>
      <c r="AI51" s="100"/>
      <c r="AJ51" s="100"/>
      <c r="AK51" s="100"/>
      <c r="AL51" s="100"/>
      <c r="AM51" s="100"/>
      <c r="AN51" s="100"/>
      <c r="AO51" s="100"/>
      <c r="AP51" s="100"/>
      <c r="AQ51" s="100"/>
      <c r="AR51" s="100"/>
      <c r="AS51" s="100"/>
      <c r="AT51" s="100"/>
      <c r="AU51" s="100"/>
      <c r="AV51" s="100"/>
    </row>
    <row r="52" spans="1:48" ht="18.75">
      <c r="A52" s="125" t="s">
        <v>2309</v>
      </c>
      <c r="B52" s="125">
        <v>15</v>
      </c>
      <c r="C52" s="125">
        <v>6</v>
      </c>
      <c r="D52" s="124">
        <f t="shared" si="0"/>
        <v>15</v>
      </c>
      <c r="E52" s="125" t="s">
        <v>2229</v>
      </c>
      <c r="F52" s="126">
        <f t="shared" si="1"/>
        <v>15</v>
      </c>
      <c r="G52" s="125" t="s">
        <v>2228</v>
      </c>
      <c r="H52" s="126">
        <f t="shared" si="2"/>
        <v>0</v>
      </c>
      <c r="I52" s="125" t="s">
        <v>2227</v>
      </c>
      <c r="J52" s="126">
        <f t="shared" si="3"/>
        <v>0</v>
      </c>
      <c r="K52" s="125" t="s">
        <v>2226</v>
      </c>
      <c r="L52" s="124">
        <v>0.6</v>
      </c>
      <c r="Q52" s="100"/>
      <c r="R52" s="100"/>
      <c r="S52" s="100"/>
      <c r="T52" s="100"/>
      <c r="U52" s="100"/>
      <c r="X52" s="114" t="s">
        <v>13786</v>
      </c>
      <c r="Y52" s="115">
        <v>18625.125</v>
      </c>
      <c r="Z52" s="116">
        <f t="shared" si="4"/>
        <v>18625.125</v>
      </c>
      <c r="AA52" s="114" t="s">
        <v>2229</v>
      </c>
      <c r="AB52" s="117">
        <f t="shared" si="5"/>
        <v>18625</v>
      </c>
      <c r="AC52" s="114" t="s">
        <v>2228</v>
      </c>
      <c r="AD52" s="117">
        <f t="shared" si="6"/>
        <v>1</v>
      </c>
      <c r="AE52" s="114" t="s">
        <v>2227</v>
      </c>
      <c r="AF52" s="117">
        <f t="shared" si="7"/>
        <v>2.5</v>
      </c>
      <c r="AG52" s="114" t="s">
        <v>2226</v>
      </c>
      <c r="AH52" s="116">
        <v>745</v>
      </c>
      <c r="AI52" s="100"/>
      <c r="AJ52" s="100"/>
      <c r="AK52" s="100"/>
      <c r="AL52" s="100"/>
      <c r="AM52" s="100"/>
      <c r="AN52" s="100"/>
      <c r="AO52" s="100"/>
      <c r="AP52" s="100"/>
      <c r="AQ52" s="100"/>
      <c r="AR52" s="100"/>
      <c r="AS52" s="100"/>
      <c r="AT52" s="100"/>
      <c r="AU52" s="100"/>
      <c r="AV52" s="100"/>
    </row>
    <row r="53" spans="1:48" ht="18.75">
      <c r="A53" s="125" t="s">
        <v>2310</v>
      </c>
      <c r="B53" s="125">
        <v>15</v>
      </c>
      <c r="C53" s="125">
        <v>6</v>
      </c>
      <c r="D53" s="124">
        <f t="shared" si="0"/>
        <v>15</v>
      </c>
      <c r="E53" s="125" t="s">
        <v>2229</v>
      </c>
      <c r="F53" s="126">
        <f t="shared" si="1"/>
        <v>15</v>
      </c>
      <c r="G53" s="125" t="s">
        <v>2228</v>
      </c>
      <c r="H53" s="126">
        <f t="shared" si="2"/>
        <v>0</v>
      </c>
      <c r="I53" s="125" t="s">
        <v>2227</v>
      </c>
      <c r="J53" s="126">
        <f t="shared" si="3"/>
        <v>0</v>
      </c>
      <c r="K53" s="125" t="s">
        <v>2226</v>
      </c>
      <c r="L53" s="124">
        <v>0.6</v>
      </c>
      <c r="Q53" s="100"/>
      <c r="R53" s="100"/>
      <c r="S53" s="100"/>
      <c r="T53" s="100"/>
      <c r="U53" s="100"/>
      <c r="X53" s="114" t="s">
        <v>13787</v>
      </c>
      <c r="Y53" s="115">
        <v>1980</v>
      </c>
      <c r="Z53" s="116">
        <f t="shared" si="4"/>
        <v>1980</v>
      </c>
      <c r="AA53" s="114" t="s">
        <v>2229</v>
      </c>
      <c r="AB53" s="117">
        <f t="shared" si="5"/>
        <v>1980</v>
      </c>
      <c r="AC53" s="114" t="s">
        <v>2228</v>
      </c>
      <c r="AD53" s="117">
        <f t="shared" si="6"/>
        <v>0</v>
      </c>
      <c r="AE53" s="114" t="s">
        <v>2227</v>
      </c>
      <c r="AF53" s="117">
        <f t="shared" si="7"/>
        <v>0</v>
      </c>
      <c r="AG53" s="114" t="s">
        <v>2226</v>
      </c>
      <c r="AH53" s="116">
        <v>79.2</v>
      </c>
      <c r="AI53" s="100"/>
      <c r="AJ53" s="100"/>
      <c r="AK53" s="100"/>
      <c r="AL53" s="100"/>
      <c r="AM53" s="100"/>
      <c r="AN53" s="100"/>
      <c r="AO53" s="100"/>
      <c r="AP53" s="100"/>
      <c r="AQ53" s="100"/>
      <c r="AR53" s="100"/>
      <c r="AS53" s="100"/>
      <c r="AT53" s="100"/>
      <c r="AU53" s="100"/>
      <c r="AV53" s="100"/>
    </row>
    <row r="54" spans="1:48" ht="18.75">
      <c r="A54" s="125" t="s">
        <v>2311</v>
      </c>
      <c r="B54" s="125">
        <v>15</v>
      </c>
      <c r="C54" s="125">
        <v>5</v>
      </c>
      <c r="D54" s="124">
        <f t="shared" si="0"/>
        <v>15</v>
      </c>
      <c r="E54" s="125" t="s">
        <v>2229</v>
      </c>
      <c r="F54" s="126">
        <f t="shared" si="1"/>
        <v>15</v>
      </c>
      <c r="G54" s="125" t="s">
        <v>2228</v>
      </c>
      <c r="H54" s="126">
        <f t="shared" si="2"/>
        <v>0</v>
      </c>
      <c r="I54" s="125" t="s">
        <v>2227</v>
      </c>
      <c r="J54" s="126">
        <f t="shared" si="3"/>
        <v>0</v>
      </c>
      <c r="K54" s="125" t="s">
        <v>2226</v>
      </c>
      <c r="L54" s="124">
        <v>0.6</v>
      </c>
      <c r="Q54" s="100"/>
      <c r="R54" s="100"/>
      <c r="S54" s="100"/>
      <c r="T54" s="100"/>
      <c r="U54" s="100"/>
      <c r="X54" s="114" t="s">
        <v>13788</v>
      </c>
      <c r="Y54" s="115">
        <v>42.5</v>
      </c>
      <c r="Z54" s="116">
        <f t="shared" si="4"/>
        <v>42.5</v>
      </c>
      <c r="AA54" s="114" t="s">
        <v>2229</v>
      </c>
      <c r="AB54" s="117">
        <f t="shared" si="5"/>
        <v>42</v>
      </c>
      <c r="AC54" s="114" t="s">
        <v>2228</v>
      </c>
      <c r="AD54" s="117">
        <f t="shared" si="6"/>
        <v>5</v>
      </c>
      <c r="AE54" s="114" t="s">
        <v>2227</v>
      </c>
      <c r="AF54" s="117">
        <f t="shared" si="7"/>
        <v>0</v>
      </c>
      <c r="AG54" s="114" t="s">
        <v>2226</v>
      </c>
      <c r="AH54" s="116">
        <v>1.7</v>
      </c>
      <c r="AI54" s="100"/>
      <c r="AJ54" s="100"/>
      <c r="AK54" s="100"/>
      <c r="AL54" s="100"/>
      <c r="AM54" s="100"/>
      <c r="AN54" s="100"/>
      <c r="AO54" s="100"/>
      <c r="AP54" s="100"/>
      <c r="AQ54" s="100"/>
      <c r="AR54" s="100"/>
      <c r="AS54" s="100"/>
      <c r="AT54" s="100"/>
      <c r="AU54" s="100"/>
      <c r="AV54" s="100"/>
    </row>
    <row r="55" spans="1:48" ht="18.75">
      <c r="A55" s="125" t="s">
        <v>2312</v>
      </c>
      <c r="B55" s="125">
        <v>15</v>
      </c>
      <c r="C55" s="125">
        <v>3</v>
      </c>
      <c r="D55" s="124">
        <f t="shared" si="0"/>
        <v>15</v>
      </c>
      <c r="E55" s="125" t="s">
        <v>2229</v>
      </c>
      <c r="F55" s="126">
        <f t="shared" si="1"/>
        <v>15</v>
      </c>
      <c r="G55" s="125" t="s">
        <v>2228</v>
      </c>
      <c r="H55" s="126">
        <f t="shared" si="2"/>
        <v>0</v>
      </c>
      <c r="I55" s="125" t="s">
        <v>2227</v>
      </c>
      <c r="J55" s="126">
        <f t="shared" si="3"/>
        <v>0</v>
      </c>
      <c r="K55" s="125" t="s">
        <v>2226</v>
      </c>
      <c r="L55" s="124">
        <v>0.6</v>
      </c>
      <c r="Q55" s="100"/>
      <c r="R55" s="100"/>
      <c r="S55" s="100"/>
      <c r="T55" s="100"/>
      <c r="U55" s="100"/>
      <c r="X55" s="114" t="s">
        <v>13789</v>
      </c>
      <c r="Y55" s="115">
        <v>42.5</v>
      </c>
      <c r="Z55" s="116">
        <f t="shared" si="4"/>
        <v>42.5</v>
      </c>
      <c r="AA55" s="114" t="s">
        <v>2229</v>
      </c>
      <c r="AB55" s="117">
        <f t="shared" si="5"/>
        <v>42</v>
      </c>
      <c r="AC55" s="114" t="s">
        <v>2228</v>
      </c>
      <c r="AD55" s="117">
        <f t="shared" si="6"/>
        <v>5</v>
      </c>
      <c r="AE55" s="114" t="s">
        <v>2227</v>
      </c>
      <c r="AF55" s="117">
        <f t="shared" si="7"/>
        <v>0</v>
      </c>
      <c r="AG55" s="114" t="s">
        <v>2226</v>
      </c>
      <c r="AH55" s="116">
        <v>1.7</v>
      </c>
      <c r="AI55" s="100"/>
      <c r="AJ55" s="100"/>
      <c r="AK55" s="100"/>
      <c r="AL55" s="100"/>
      <c r="AM55" s="100"/>
      <c r="AN55" s="100"/>
      <c r="AO55" s="100"/>
      <c r="AP55" s="100"/>
      <c r="AQ55" s="100"/>
      <c r="AR55" s="100"/>
      <c r="AS55" s="100"/>
      <c r="AT55" s="100"/>
      <c r="AU55" s="100"/>
      <c r="AV55" s="100"/>
    </row>
    <row r="56" spans="1:48" ht="18.75">
      <c r="A56" s="125" t="s">
        <v>2313</v>
      </c>
      <c r="B56" s="125">
        <v>15</v>
      </c>
      <c r="C56" s="125">
        <v>4</v>
      </c>
      <c r="D56" s="124">
        <f t="shared" si="0"/>
        <v>15</v>
      </c>
      <c r="E56" s="125" t="s">
        <v>2229</v>
      </c>
      <c r="F56" s="126">
        <f t="shared" si="1"/>
        <v>15</v>
      </c>
      <c r="G56" s="125" t="s">
        <v>2228</v>
      </c>
      <c r="H56" s="126">
        <f t="shared" si="2"/>
        <v>0</v>
      </c>
      <c r="I56" s="125" t="s">
        <v>2227</v>
      </c>
      <c r="J56" s="126">
        <f t="shared" si="3"/>
        <v>0</v>
      </c>
      <c r="K56" s="125" t="s">
        <v>2226</v>
      </c>
      <c r="L56" s="124">
        <v>0.6</v>
      </c>
      <c r="Q56" s="100"/>
      <c r="R56" s="100"/>
      <c r="S56" s="100"/>
      <c r="T56" s="100"/>
      <c r="U56" s="100"/>
      <c r="X56" s="114" t="s">
        <v>13790</v>
      </c>
      <c r="Y56" s="115">
        <v>81750.25</v>
      </c>
      <c r="Z56" s="116">
        <f t="shared" si="4"/>
        <v>81750.25</v>
      </c>
      <c r="AA56" s="114" t="s">
        <v>2229</v>
      </c>
      <c r="AB56" s="117">
        <f t="shared" si="5"/>
        <v>81750</v>
      </c>
      <c r="AC56" s="114" t="s">
        <v>2228</v>
      </c>
      <c r="AD56" s="117">
        <f t="shared" si="6"/>
        <v>2</v>
      </c>
      <c r="AE56" s="114" t="s">
        <v>2227</v>
      </c>
      <c r="AF56" s="117">
        <f t="shared" si="7"/>
        <v>5</v>
      </c>
      <c r="AG56" s="114" t="s">
        <v>2226</v>
      </c>
      <c r="AH56" s="116">
        <v>3270.01</v>
      </c>
      <c r="AI56" s="100"/>
      <c r="AJ56" s="100"/>
      <c r="AK56" s="100"/>
      <c r="AL56" s="100"/>
      <c r="AM56" s="100"/>
      <c r="AN56" s="100"/>
      <c r="AO56" s="100"/>
      <c r="AP56" s="100"/>
      <c r="AQ56" s="100"/>
      <c r="AR56" s="100"/>
      <c r="AS56" s="100"/>
      <c r="AT56" s="100"/>
      <c r="AU56" s="100"/>
      <c r="AV56" s="100"/>
    </row>
    <row r="57" spans="1:48" ht="18.75">
      <c r="A57" s="125" t="s">
        <v>2314</v>
      </c>
      <c r="B57" s="125">
        <v>15</v>
      </c>
      <c r="C57" s="125">
        <v>2</v>
      </c>
      <c r="D57" s="124">
        <f t="shared" si="0"/>
        <v>15</v>
      </c>
      <c r="E57" s="125" t="s">
        <v>2229</v>
      </c>
      <c r="F57" s="126">
        <f t="shared" si="1"/>
        <v>15</v>
      </c>
      <c r="G57" s="125" t="s">
        <v>2228</v>
      </c>
      <c r="H57" s="126">
        <f t="shared" si="2"/>
        <v>0</v>
      </c>
      <c r="I57" s="125" t="s">
        <v>2227</v>
      </c>
      <c r="J57" s="126">
        <f t="shared" si="3"/>
        <v>0</v>
      </c>
      <c r="K57" s="125" t="s">
        <v>2226</v>
      </c>
      <c r="L57" s="124">
        <v>0.6</v>
      </c>
      <c r="Q57" s="100"/>
      <c r="R57" s="100"/>
      <c r="S57" s="100"/>
      <c r="T57" s="100"/>
      <c r="U57" s="100"/>
      <c r="X57" s="114" t="s">
        <v>13791</v>
      </c>
      <c r="Y57" s="115">
        <v>6875.25</v>
      </c>
      <c r="Z57" s="116">
        <f t="shared" si="4"/>
        <v>6875.25</v>
      </c>
      <c r="AA57" s="114" t="s">
        <v>2229</v>
      </c>
      <c r="AB57" s="117">
        <f t="shared" si="5"/>
        <v>6875</v>
      </c>
      <c r="AC57" s="114" t="s">
        <v>2228</v>
      </c>
      <c r="AD57" s="117">
        <f t="shared" si="6"/>
        <v>2</v>
      </c>
      <c r="AE57" s="114" t="s">
        <v>2227</v>
      </c>
      <c r="AF57" s="117">
        <f t="shared" si="7"/>
        <v>5</v>
      </c>
      <c r="AG57" s="114" t="s">
        <v>2226</v>
      </c>
      <c r="AH57" s="116">
        <v>275.01</v>
      </c>
      <c r="AI57" s="100"/>
      <c r="AJ57" s="100"/>
      <c r="AK57" s="100"/>
      <c r="AL57" s="100"/>
      <c r="AM57" s="100"/>
      <c r="AN57" s="100"/>
      <c r="AO57" s="100"/>
      <c r="AP57" s="100"/>
      <c r="AQ57" s="100"/>
      <c r="AR57" s="100"/>
      <c r="AS57" s="100"/>
      <c r="AT57" s="100"/>
      <c r="AU57" s="100"/>
      <c r="AV57" s="100"/>
    </row>
    <row r="58" spans="1:48" ht="18.75">
      <c r="A58" s="125" t="s">
        <v>2315</v>
      </c>
      <c r="B58" s="125">
        <v>12</v>
      </c>
      <c r="C58" s="125">
        <v>2</v>
      </c>
      <c r="D58" s="124">
        <f t="shared" si="0"/>
        <v>12</v>
      </c>
      <c r="E58" s="125" t="s">
        <v>2229</v>
      </c>
      <c r="F58" s="126">
        <f t="shared" si="1"/>
        <v>12</v>
      </c>
      <c r="G58" s="125" t="s">
        <v>2228</v>
      </c>
      <c r="H58" s="126">
        <f t="shared" si="2"/>
        <v>0</v>
      </c>
      <c r="I58" s="125" t="s">
        <v>2227</v>
      </c>
      <c r="J58" s="126">
        <f t="shared" si="3"/>
        <v>0</v>
      </c>
      <c r="K58" s="125" t="s">
        <v>2226</v>
      </c>
      <c r="L58" s="124">
        <v>0.48</v>
      </c>
      <c r="Q58" s="100"/>
      <c r="R58" s="100"/>
      <c r="S58" s="100"/>
      <c r="T58" s="100"/>
      <c r="U58" s="100"/>
      <c r="X58" s="114" t="s">
        <v>13792</v>
      </c>
      <c r="Y58" s="115">
        <v>5500</v>
      </c>
      <c r="Z58" s="116">
        <f t="shared" si="4"/>
        <v>5500</v>
      </c>
      <c r="AA58" s="114" t="s">
        <v>2229</v>
      </c>
      <c r="AB58" s="117">
        <f t="shared" si="5"/>
        <v>5500</v>
      </c>
      <c r="AC58" s="114" t="s">
        <v>2228</v>
      </c>
      <c r="AD58" s="117">
        <f t="shared" si="6"/>
        <v>0</v>
      </c>
      <c r="AE58" s="114" t="s">
        <v>2227</v>
      </c>
      <c r="AF58" s="117">
        <f t="shared" si="7"/>
        <v>0</v>
      </c>
      <c r="AG58" s="114" t="s">
        <v>2226</v>
      </c>
      <c r="AH58" s="116">
        <v>220</v>
      </c>
      <c r="AI58" s="100"/>
      <c r="AJ58" s="100"/>
      <c r="AK58" s="100"/>
      <c r="AL58" s="100"/>
      <c r="AM58" s="100"/>
      <c r="AN58" s="100"/>
      <c r="AO58" s="100"/>
      <c r="AP58" s="100"/>
      <c r="AQ58" s="100"/>
      <c r="AR58" s="100"/>
      <c r="AS58" s="100"/>
      <c r="AT58" s="100"/>
      <c r="AU58" s="100"/>
      <c r="AV58" s="100"/>
    </row>
    <row r="59" spans="1:48" ht="18.75">
      <c r="A59" s="125" t="s">
        <v>2316</v>
      </c>
      <c r="B59" s="125">
        <v>10</v>
      </c>
      <c r="C59" s="125">
        <v>4</v>
      </c>
      <c r="D59" s="124">
        <f t="shared" si="0"/>
        <v>10</v>
      </c>
      <c r="E59" s="125" t="s">
        <v>2229</v>
      </c>
      <c r="F59" s="126">
        <f t="shared" si="1"/>
        <v>10</v>
      </c>
      <c r="G59" s="125" t="s">
        <v>2228</v>
      </c>
      <c r="H59" s="126">
        <f t="shared" si="2"/>
        <v>0</v>
      </c>
      <c r="I59" s="125" t="s">
        <v>2227</v>
      </c>
      <c r="J59" s="126">
        <f t="shared" si="3"/>
        <v>0</v>
      </c>
      <c r="K59" s="125" t="s">
        <v>2226</v>
      </c>
      <c r="L59" s="124">
        <v>0.4</v>
      </c>
      <c r="Q59" s="100"/>
      <c r="R59" s="100"/>
      <c r="S59" s="100"/>
      <c r="T59" s="100"/>
      <c r="U59" s="100"/>
      <c r="X59" s="114" t="s">
        <v>13793</v>
      </c>
      <c r="Y59" s="115">
        <v>89250.25</v>
      </c>
      <c r="Z59" s="116">
        <f t="shared" si="4"/>
        <v>89250.25</v>
      </c>
      <c r="AA59" s="114" t="s">
        <v>2229</v>
      </c>
      <c r="AB59" s="117">
        <f t="shared" si="5"/>
        <v>89250</v>
      </c>
      <c r="AC59" s="114" t="s">
        <v>2228</v>
      </c>
      <c r="AD59" s="117">
        <f t="shared" si="6"/>
        <v>2</v>
      </c>
      <c r="AE59" s="114" t="s">
        <v>2227</v>
      </c>
      <c r="AF59" s="117">
        <f t="shared" si="7"/>
        <v>5</v>
      </c>
      <c r="AG59" s="114" t="s">
        <v>2226</v>
      </c>
      <c r="AH59" s="116">
        <v>3570.01</v>
      </c>
      <c r="AI59" s="100"/>
      <c r="AJ59" s="100"/>
      <c r="AK59" s="100"/>
      <c r="AL59" s="100"/>
      <c r="AM59" s="100"/>
      <c r="AN59" s="100"/>
      <c r="AO59" s="100"/>
      <c r="AP59" s="100"/>
      <c r="AQ59" s="100"/>
      <c r="AR59" s="100"/>
      <c r="AS59" s="100"/>
      <c r="AT59" s="100"/>
      <c r="AU59" s="100"/>
      <c r="AV59" s="100"/>
    </row>
    <row r="60" spans="1:48" ht="18.75">
      <c r="A60" s="125" t="s">
        <v>2317</v>
      </c>
      <c r="B60" s="125">
        <v>10</v>
      </c>
      <c r="C60" s="125">
        <v>1</v>
      </c>
      <c r="D60" s="124">
        <f t="shared" si="0"/>
        <v>10</v>
      </c>
      <c r="E60" s="125" t="s">
        <v>2229</v>
      </c>
      <c r="F60" s="126">
        <f t="shared" si="1"/>
        <v>10</v>
      </c>
      <c r="G60" s="125" t="s">
        <v>2228</v>
      </c>
      <c r="H60" s="126">
        <f t="shared" si="2"/>
        <v>0</v>
      </c>
      <c r="I60" s="125" t="s">
        <v>2227</v>
      </c>
      <c r="J60" s="126">
        <f t="shared" si="3"/>
        <v>0</v>
      </c>
      <c r="K60" s="125" t="s">
        <v>2226</v>
      </c>
      <c r="L60" s="124">
        <v>0.4</v>
      </c>
      <c r="Q60" s="100"/>
      <c r="R60" s="100"/>
      <c r="S60" s="100"/>
      <c r="T60" s="100"/>
      <c r="U60" s="100"/>
      <c r="X60" s="114" t="s">
        <v>13794</v>
      </c>
      <c r="Y60" s="115">
        <v>33625.125</v>
      </c>
      <c r="Z60" s="116">
        <f t="shared" si="4"/>
        <v>33625.125</v>
      </c>
      <c r="AA60" s="114" t="s">
        <v>2229</v>
      </c>
      <c r="AB60" s="117">
        <f t="shared" si="5"/>
        <v>33625</v>
      </c>
      <c r="AC60" s="114" t="s">
        <v>2228</v>
      </c>
      <c r="AD60" s="117">
        <f t="shared" si="6"/>
        <v>1</v>
      </c>
      <c r="AE60" s="114" t="s">
        <v>2227</v>
      </c>
      <c r="AF60" s="117">
        <f t="shared" si="7"/>
        <v>2.5</v>
      </c>
      <c r="AG60" s="114" t="s">
        <v>2226</v>
      </c>
      <c r="AH60" s="116">
        <v>1345</v>
      </c>
      <c r="AI60" s="100"/>
      <c r="AJ60" s="100"/>
      <c r="AK60" s="100"/>
      <c r="AL60" s="100"/>
      <c r="AM60" s="100"/>
      <c r="AN60" s="100"/>
      <c r="AO60" s="100"/>
      <c r="AP60" s="100"/>
      <c r="AQ60" s="100"/>
      <c r="AR60" s="100"/>
      <c r="AS60" s="100"/>
      <c r="AT60" s="100"/>
      <c r="AU60" s="100"/>
      <c r="AV60" s="100"/>
    </row>
    <row r="61" spans="1:48" ht="18.75">
      <c r="A61" s="125" t="s">
        <v>2318</v>
      </c>
      <c r="B61" s="125">
        <v>10</v>
      </c>
      <c r="C61" s="125">
        <v>5</v>
      </c>
      <c r="D61" s="124">
        <f t="shared" si="0"/>
        <v>10</v>
      </c>
      <c r="E61" s="125" t="s">
        <v>2229</v>
      </c>
      <c r="F61" s="126">
        <f t="shared" si="1"/>
        <v>10</v>
      </c>
      <c r="G61" s="125" t="s">
        <v>2228</v>
      </c>
      <c r="H61" s="126">
        <f t="shared" si="2"/>
        <v>0</v>
      </c>
      <c r="I61" s="125" t="s">
        <v>2227</v>
      </c>
      <c r="J61" s="126">
        <f t="shared" si="3"/>
        <v>0</v>
      </c>
      <c r="K61" s="125" t="s">
        <v>2226</v>
      </c>
      <c r="L61" s="124">
        <v>0.4</v>
      </c>
      <c r="Q61" s="100"/>
      <c r="R61" s="100"/>
      <c r="S61" s="100"/>
      <c r="T61" s="100"/>
      <c r="U61" s="100"/>
      <c r="X61" s="114" t="s">
        <v>13795</v>
      </c>
      <c r="Y61" s="115">
        <v>5437.625</v>
      </c>
      <c r="Z61" s="116">
        <f t="shared" si="4"/>
        <v>5437.625</v>
      </c>
      <c r="AA61" s="114" t="s">
        <v>2229</v>
      </c>
      <c r="AB61" s="117">
        <f t="shared" si="5"/>
        <v>5437</v>
      </c>
      <c r="AC61" s="114" t="s">
        <v>2228</v>
      </c>
      <c r="AD61" s="117">
        <f t="shared" si="6"/>
        <v>6</v>
      </c>
      <c r="AE61" s="114" t="s">
        <v>2227</v>
      </c>
      <c r="AF61" s="117">
        <f t="shared" si="7"/>
        <v>2.5</v>
      </c>
      <c r="AG61" s="114" t="s">
        <v>2226</v>
      </c>
      <c r="AH61" s="116">
        <v>217.5</v>
      </c>
      <c r="AI61" s="100"/>
      <c r="AJ61" s="100"/>
      <c r="AK61" s="100"/>
      <c r="AL61" s="100"/>
      <c r="AM61" s="100"/>
      <c r="AN61" s="100"/>
      <c r="AO61" s="100"/>
      <c r="AP61" s="100"/>
      <c r="AQ61" s="100"/>
      <c r="AR61" s="100"/>
      <c r="AS61" s="100"/>
      <c r="AT61" s="100"/>
      <c r="AU61" s="100"/>
      <c r="AV61" s="100"/>
    </row>
    <row r="62" spans="1:48" ht="18.75">
      <c r="A62" s="125" t="s">
        <v>2319</v>
      </c>
      <c r="B62" s="125">
        <v>10</v>
      </c>
      <c r="C62" s="125">
        <v>1</v>
      </c>
      <c r="D62" s="124">
        <f t="shared" si="0"/>
        <v>10</v>
      </c>
      <c r="E62" s="125" t="s">
        <v>2229</v>
      </c>
      <c r="F62" s="126">
        <f t="shared" si="1"/>
        <v>10</v>
      </c>
      <c r="G62" s="125" t="s">
        <v>2228</v>
      </c>
      <c r="H62" s="126">
        <f t="shared" si="2"/>
        <v>0</v>
      </c>
      <c r="I62" s="125" t="s">
        <v>2227</v>
      </c>
      <c r="J62" s="126">
        <f t="shared" si="3"/>
        <v>0</v>
      </c>
      <c r="K62" s="125" t="s">
        <v>2226</v>
      </c>
      <c r="L62" s="124">
        <v>0.4</v>
      </c>
      <c r="Q62" s="100"/>
      <c r="R62" s="100"/>
      <c r="S62" s="100"/>
      <c r="T62" s="100"/>
      <c r="U62" s="100"/>
      <c r="X62" s="114" t="s">
        <v>13796</v>
      </c>
      <c r="Y62" s="115">
        <v>21625.125</v>
      </c>
      <c r="Z62" s="116">
        <f t="shared" si="4"/>
        <v>21625.125</v>
      </c>
      <c r="AA62" s="114" t="s">
        <v>2229</v>
      </c>
      <c r="AB62" s="117">
        <f t="shared" si="5"/>
        <v>21625</v>
      </c>
      <c r="AC62" s="114" t="s">
        <v>2228</v>
      </c>
      <c r="AD62" s="117">
        <f t="shared" si="6"/>
        <v>1</v>
      </c>
      <c r="AE62" s="114" t="s">
        <v>2227</v>
      </c>
      <c r="AF62" s="117">
        <f t="shared" si="7"/>
        <v>2.5</v>
      </c>
      <c r="AG62" s="114" t="s">
        <v>2226</v>
      </c>
      <c r="AH62" s="116">
        <v>865</v>
      </c>
      <c r="AI62" s="100"/>
      <c r="AJ62" s="100"/>
      <c r="AK62" s="100"/>
      <c r="AL62" s="100"/>
      <c r="AM62" s="100"/>
      <c r="AN62" s="100"/>
      <c r="AO62" s="100"/>
      <c r="AP62" s="100"/>
      <c r="AQ62" s="100"/>
      <c r="AR62" s="100"/>
      <c r="AS62" s="100"/>
      <c r="AT62" s="100"/>
      <c r="AU62" s="100"/>
      <c r="AV62" s="100"/>
    </row>
    <row r="63" spans="1:48" ht="18.75">
      <c r="A63" s="125" t="s">
        <v>2320</v>
      </c>
      <c r="B63" s="125">
        <v>10</v>
      </c>
      <c r="C63" s="125">
        <v>2</v>
      </c>
      <c r="D63" s="124">
        <f t="shared" si="0"/>
        <v>10</v>
      </c>
      <c r="E63" s="125" t="s">
        <v>2229</v>
      </c>
      <c r="F63" s="126">
        <f t="shared" si="1"/>
        <v>10</v>
      </c>
      <c r="G63" s="125" t="s">
        <v>2228</v>
      </c>
      <c r="H63" s="126">
        <f t="shared" si="2"/>
        <v>0</v>
      </c>
      <c r="I63" s="125" t="s">
        <v>2227</v>
      </c>
      <c r="J63" s="126">
        <f t="shared" si="3"/>
        <v>0</v>
      </c>
      <c r="K63" s="125" t="s">
        <v>2226</v>
      </c>
      <c r="L63" s="124">
        <v>0.4</v>
      </c>
      <c r="Q63" s="100"/>
      <c r="R63" s="100"/>
      <c r="S63" s="100"/>
      <c r="T63" s="100"/>
      <c r="U63" s="100"/>
      <c r="X63" s="114" t="s">
        <v>13797</v>
      </c>
      <c r="Y63" s="115">
        <v>106250.25</v>
      </c>
      <c r="Z63" s="116">
        <f t="shared" si="4"/>
        <v>106250.25</v>
      </c>
      <c r="AA63" s="114" t="s">
        <v>2229</v>
      </c>
      <c r="AB63" s="117">
        <f t="shared" si="5"/>
        <v>106250</v>
      </c>
      <c r="AC63" s="114" t="s">
        <v>2228</v>
      </c>
      <c r="AD63" s="117">
        <f t="shared" si="6"/>
        <v>2</v>
      </c>
      <c r="AE63" s="114" t="s">
        <v>2227</v>
      </c>
      <c r="AF63" s="117">
        <f t="shared" si="7"/>
        <v>5</v>
      </c>
      <c r="AG63" s="114" t="s">
        <v>2226</v>
      </c>
      <c r="AH63" s="116">
        <v>4250.01</v>
      </c>
      <c r="AI63" s="100"/>
      <c r="AJ63" s="100"/>
      <c r="AK63" s="100"/>
      <c r="AL63" s="100"/>
      <c r="AM63" s="100"/>
      <c r="AN63" s="100"/>
      <c r="AO63" s="100"/>
      <c r="AP63" s="100"/>
      <c r="AQ63" s="100"/>
      <c r="AR63" s="100"/>
      <c r="AS63" s="100"/>
      <c r="AT63" s="100"/>
      <c r="AU63" s="100"/>
      <c r="AV63" s="100"/>
    </row>
    <row r="64" spans="1:48" ht="18.75">
      <c r="A64" s="125" t="s">
        <v>2321</v>
      </c>
      <c r="B64" s="125">
        <v>10</v>
      </c>
      <c r="C64" s="125">
        <v>12</v>
      </c>
      <c r="D64" s="124">
        <f t="shared" si="0"/>
        <v>10</v>
      </c>
      <c r="E64" s="125" t="s">
        <v>2229</v>
      </c>
      <c r="F64" s="126">
        <f t="shared" si="1"/>
        <v>10</v>
      </c>
      <c r="G64" s="125" t="s">
        <v>2228</v>
      </c>
      <c r="H64" s="126">
        <f t="shared" si="2"/>
        <v>0</v>
      </c>
      <c r="I64" s="125" t="s">
        <v>2227</v>
      </c>
      <c r="J64" s="126">
        <f t="shared" si="3"/>
        <v>0</v>
      </c>
      <c r="K64" s="125" t="s">
        <v>2226</v>
      </c>
      <c r="L64" s="124">
        <v>0.4</v>
      </c>
      <c r="Q64" s="100"/>
      <c r="R64" s="100"/>
      <c r="S64" s="100"/>
      <c r="T64" s="100"/>
      <c r="U64" s="100"/>
      <c r="X64" s="114" t="s">
        <v>13798</v>
      </c>
      <c r="Y64" s="115">
        <v>4437.625</v>
      </c>
      <c r="Z64" s="116">
        <f t="shared" si="4"/>
        <v>4437.625</v>
      </c>
      <c r="AA64" s="114" t="s">
        <v>2229</v>
      </c>
      <c r="AB64" s="117">
        <f t="shared" si="5"/>
        <v>4437</v>
      </c>
      <c r="AC64" s="114" t="s">
        <v>2228</v>
      </c>
      <c r="AD64" s="117">
        <f t="shared" si="6"/>
        <v>6</v>
      </c>
      <c r="AE64" s="114" t="s">
        <v>2227</v>
      </c>
      <c r="AF64" s="117">
        <f t="shared" si="7"/>
        <v>2.5</v>
      </c>
      <c r="AG64" s="114" t="s">
        <v>2226</v>
      </c>
      <c r="AH64" s="116">
        <v>177.5</v>
      </c>
      <c r="AI64" s="100"/>
      <c r="AJ64" s="100"/>
      <c r="AK64" s="100"/>
      <c r="AL64" s="100"/>
      <c r="AM64" s="100"/>
      <c r="AN64" s="100"/>
      <c r="AO64" s="100"/>
      <c r="AP64" s="100"/>
      <c r="AQ64" s="100"/>
      <c r="AR64" s="100"/>
      <c r="AS64" s="100"/>
      <c r="AT64" s="100"/>
      <c r="AU64" s="100"/>
      <c r="AV64" s="100"/>
    </row>
    <row r="65" spans="1:48" ht="18.75">
      <c r="A65" s="125" t="s">
        <v>2322</v>
      </c>
      <c r="B65" s="125">
        <v>10</v>
      </c>
      <c r="C65" s="125">
        <v>0</v>
      </c>
      <c r="D65" s="124">
        <f t="shared" si="0"/>
        <v>10</v>
      </c>
      <c r="E65" s="125" t="s">
        <v>2229</v>
      </c>
      <c r="F65" s="126">
        <f t="shared" si="1"/>
        <v>10</v>
      </c>
      <c r="G65" s="125" t="s">
        <v>2228</v>
      </c>
      <c r="H65" s="126">
        <f t="shared" si="2"/>
        <v>0</v>
      </c>
      <c r="I65" s="125" t="s">
        <v>2227</v>
      </c>
      <c r="J65" s="126">
        <f t="shared" si="3"/>
        <v>0</v>
      </c>
      <c r="K65" s="125" t="s">
        <v>2226</v>
      </c>
      <c r="L65" s="124">
        <v>0.4</v>
      </c>
      <c r="Q65" s="100"/>
      <c r="R65" s="100"/>
      <c r="S65" s="100"/>
      <c r="T65" s="100"/>
      <c r="U65" s="100"/>
      <c r="X65" s="114" t="s">
        <v>13799</v>
      </c>
      <c r="Y65" s="115">
        <v>112500.5</v>
      </c>
      <c r="Z65" s="116">
        <f t="shared" si="4"/>
        <v>112500.5</v>
      </c>
      <c r="AA65" s="114" t="s">
        <v>2229</v>
      </c>
      <c r="AB65" s="117">
        <f t="shared" si="5"/>
        <v>112500</v>
      </c>
      <c r="AC65" s="114" t="s">
        <v>2228</v>
      </c>
      <c r="AD65" s="117">
        <f t="shared" si="6"/>
        <v>5</v>
      </c>
      <c r="AE65" s="114" t="s">
        <v>2227</v>
      </c>
      <c r="AF65" s="117">
        <f t="shared" si="7"/>
        <v>0</v>
      </c>
      <c r="AG65" s="114" t="s">
        <v>2226</v>
      </c>
      <c r="AH65" s="116">
        <v>4500.0200000000004</v>
      </c>
      <c r="AI65" s="100"/>
      <c r="AJ65" s="100"/>
      <c r="AK65" s="100"/>
      <c r="AL65" s="100"/>
      <c r="AM65" s="100"/>
      <c r="AN65" s="100"/>
      <c r="AO65" s="100"/>
      <c r="AP65" s="100"/>
      <c r="AQ65" s="100"/>
      <c r="AR65" s="100"/>
      <c r="AS65" s="100"/>
      <c r="AT65" s="100"/>
      <c r="AU65" s="100"/>
      <c r="AV65" s="100"/>
    </row>
    <row r="66" spans="1:48" ht="18.75">
      <c r="A66" s="125" t="s">
        <v>2323</v>
      </c>
      <c r="B66" s="125">
        <v>10</v>
      </c>
      <c r="C66" s="125">
        <v>6</v>
      </c>
      <c r="D66" s="124">
        <f t="shared" si="0"/>
        <v>10</v>
      </c>
      <c r="E66" s="125" t="s">
        <v>2229</v>
      </c>
      <c r="F66" s="126">
        <f t="shared" si="1"/>
        <v>10</v>
      </c>
      <c r="G66" s="125" t="s">
        <v>2228</v>
      </c>
      <c r="H66" s="126">
        <f t="shared" si="2"/>
        <v>0</v>
      </c>
      <c r="I66" s="125" t="s">
        <v>2227</v>
      </c>
      <c r="J66" s="126">
        <f t="shared" si="3"/>
        <v>0</v>
      </c>
      <c r="K66" s="125" t="s">
        <v>2226</v>
      </c>
      <c r="L66" s="124">
        <v>0.4</v>
      </c>
      <c r="M66" s="100"/>
      <c r="N66" s="101"/>
      <c r="O66" s="100"/>
      <c r="P66" s="100"/>
      <c r="Q66" s="100"/>
      <c r="R66" s="100"/>
      <c r="S66" s="100"/>
      <c r="T66" s="100"/>
      <c r="U66" s="100"/>
      <c r="X66" s="114" t="s">
        <v>13800</v>
      </c>
      <c r="Y66" s="115">
        <v>103750.25</v>
      </c>
      <c r="Z66" s="116">
        <f t="shared" si="4"/>
        <v>103750.25</v>
      </c>
      <c r="AA66" s="114" t="s">
        <v>2229</v>
      </c>
      <c r="AB66" s="117">
        <f t="shared" si="5"/>
        <v>103750</v>
      </c>
      <c r="AC66" s="114" t="s">
        <v>2228</v>
      </c>
      <c r="AD66" s="117">
        <f t="shared" si="6"/>
        <v>2</v>
      </c>
      <c r="AE66" s="114" t="s">
        <v>2227</v>
      </c>
      <c r="AF66" s="117">
        <f t="shared" si="7"/>
        <v>5</v>
      </c>
      <c r="AG66" s="114" t="s">
        <v>2226</v>
      </c>
      <c r="AH66" s="116">
        <v>4150.01</v>
      </c>
      <c r="AI66" s="100"/>
      <c r="AJ66" s="100"/>
      <c r="AK66" s="100"/>
      <c r="AL66" s="100"/>
      <c r="AM66" s="100"/>
      <c r="AN66" s="100"/>
      <c r="AO66" s="100"/>
      <c r="AP66" s="100"/>
      <c r="AQ66" s="100"/>
      <c r="AR66" s="100"/>
      <c r="AS66" s="100"/>
      <c r="AT66" s="100"/>
      <c r="AU66" s="100"/>
      <c r="AV66" s="100"/>
    </row>
    <row r="67" spans="1:48" ht="18.75">
      <c r="A67" s="125" t="s">
        <v>2324</v>
      </c>
      <c r="B67" s="125">
        <v>10</v>
      </c>
      <c r="C67" s="125">
        <v>2</v>
      </c>
      <c r="D67" s="124">
        <f t="shared" ref="D67:D130" si="8">B67*$O$6</f>
        <v>10</v>
      </c>
      <c r="E67" s="125" t="s">
        <v>2229</v>
      </c>
      <c r="F67" s="126">
        <f t="shared" ref="F67:F130" si="9">_xlfn.FLOOR.MATH(D67,1)</f>
        <v>10</v>
      </c>
      <c r="G67" s="125" t="s">
        <v>2228</v>
      </c>
      <c r="H67" s="126">
        <f t="shared" ref="H67:H130" si="10">_xlfn.FLOOR.MATH(((D67-F67)*10), 1)</f>
        <v>0</v>
      </c>
      <c r="I67" s="125" t="s">
        <v>2227</v>
      </c>
      <c r="J67" s="126">
        <f t="shared" ref="J67:J130" si="11">((D67-F67)*10-H67)*10</f>
        <v>0</v>
      </c>
      <c r="K67" s="125" t="s">
        <v>2226</v>
      </c>
      <c r="L67" s="124">
        <v>0.4</v>
      </c>
      <c r="M67" s="100"/>
      <c r="N67" s="101"/>
      <c r="O67" s="100"/>
      <c r="P67" s="100"/>
      <c r="Q67" s="100"/>
      <c r="R67" s="100"/>
      <c r="S67" s="100"/>
      <c r="T67" s="100"/>
      <c r="U67" s="100"/>
      <c r="X67" s="114" t="s">
        <v>13801</v>
      </c>
      <c r="Y67" s="115">
        <v>112500.5</v>
      </c>
      <c r="Z67" s="116">
        <f t="shared" ref="Z67:Z130" si="12">Y67*$AK$6*$AK$11</f>
        <v>112500.5</v>
      </c>
      <c r="AA67" s="114" t="s">
        <v>2229</v>
      </c>
      <c r="AB67" s="117">
        <f t="shared" ref="AB67:AB130" si="13">_xlfn.FLOOR.MATH(Z67,1)</f>
        <v>112500</v>
      </c>
      <c r="AC67" s="114" t="s">
        <v>2228</v>
      </c>
      <c r="AD67" s="117">
        <f t="shared" ref="AD67:AD130" si="14">_xlfn.FLOOR.MATH(((Z67-AB67)*10), 1)</f>
        <v>5</v>
      </c>
      <c r="AE67" s="114" t="s">
        <v>2227</v>
      </c>
      <c r="AF67" s="117">
        <f t="shared" ref="AF67:AF130" si="15">((Z67-AB67)*10-AD67)*10</f>
        <v>0</v>
      </c>
      <c r="AG67" s="114" t="s">
        <v>2226</v>
      </c>
      <c r="AH67" s="116">
        <v>4500.0200000000004</v>
      </c>
      <c r="AI67" s="100"/>
      <c r="AJ67" s="100"/>
      <c r="AK67" s="100"/>
      <c r="AL67" s="100"/>
      <c r="AM67" s="100"/>
      <c r="AN67" s="100"/>
      <c r="AO67" s="100"/>
      <c r="AP67" s="100"/>
      <c r="AQ67" s="100"/>
      <c r="AR67" s="100"/>
      <c r="AS67" s="100"/>
      <c r="AT67" s="100"/>
      <c r="AU67" s="100"/>
      <c r="AV67" s="100"/>
    </row>
    <row r="68" spans="1:48" ht="18.75">
      <c r="A68" s="125" t="s">
        <v>2325</v>
      </c>
      <c r="B68" s="125">
        <v>10</v>
      </c>
      <c r="C68" s="125">
        <v>10</v>
      </c>
      <c r="D68" s="124">
        <f t="shared" si="8"/>
        <v>10</v>
      </c>
      <c r="E68" s="125" t="s">
        <v>2229</v>
      </c>
      <c r="F68" s="126">
        <f t="shared" si="9"/>
        <v>10</v>
      </c>
      <c r="G68" s="125" t="s">
        <v>2228</v>
      </c>
      <c r="H68" s="126">
        <f t="shared" si="10"/>
        <v>0</v>
      </c>
      <c r="I68" s="125" t="s">
        <v>2227</v>
      </c>
      <c r="J68" s="126">
        <f t="shared" si="11"/>
        <v>0</v>
      </c>
      <c r="K68" s="125" t="s">
        <v>2226</v>
      </c>
      <c r="L68" s="124">
        <v>0.4</v>
      </c>
      <c r="M68" s="100"/>
      <c r="N68" s="101"/>
      <c r="O68" s="100"/>
      <c r="P68" s="100"/>
      <c r="Q68" s="100"/>
      <c r="R68" s="100"/>
      <c r="S68" s="100"/>
      <c r="T68" s="100"/>
      <c r="U68" s="100"/>
      <c r="X68" s="114" t="s">
        <v>13802</v>
      </c>
      <c r="Y68" s="115">
        <v>92250.25</v>
      </c>
      <c r="Z68" s="116">
        <f t="shared" si="12"/>
        <v>92250.25</v>
      </c>
      <c r="AA68" s="114" t="s">
        <v>2229</v>
      </c>
      <c r="AB68" s="117">
        <f t="shared" si="13"/>
        <v>92250</v>
      </c>
      <c r="AC68" s="114" t="s">
        <v>2228</v>
      </c>
      <c r="AD68" s="117">
        <f t="shared" si="14"/>
        <v>2</v>
      </c>
      <c r="AE68" s="114" t="s">
        <v>2227</v>
      </c>
      <c r="AF68" s="117">
        <f t="shared" si="15"/>
        <v>5</v>
      </c>
      <c r="AG68" s="114" t="s">
        <v>2226</v>
      </c>
      <c r="AH68" s="116">
        <v>3690.01</v>
      </c>
      <c r="AI68" s="100"/>
      <c r="AJ68" s="100"/>
      <c r="AK68" s="100"/>
      <c r="AL68" s="100"/>
      <c r="AM68" s="100"/>
      <c r="AN68" s="100"/>
      <c r="AO68" s="100"/>
      <c r="AP68" s="100"/>
      <c r="AQ68" s="100"/>
      <c r="AR68" s="100"/>
      <c r="AS68" s="100"/>
      <c r="AT68" s="100"/>
      <c r="AU68" s="100"/>
      <c r="AV68" s="100"/>
    </row>
    <row r="69" spans="1:48" ht="18.75">
      <c r="A69" s="125" t="s">
        <v>2326</v>
      </c>
      <c r="B69" s="125">
        <v>10</v>
      </c>
      <c r="C69" s="125">
        <v>1</v>
      </c>
      <c r="D69" s="124">
        <f t="shared" si="8"/>
        <v>10</v>
      </c>
      <c r="E69" s="125" t="s">
        <v>2229</v>
      </c>
      <c r="F69" s="126">
        <f t="shared" si="9"/>
        <v>10</v>
      </c>
      <c r="G69" s="125" t="s">
        <v>2228</v>
      </c>
      <c r="H69" s="126">
        <f t="shared" si="10"/>
        <v>0</v>
      </c>
      <c r="I69" s="125" t="s">
        <v>2227</v>
      </c>
      <c r="J69" s="126">
        <f t="shared" si="11"/>
        <v>0</v>
      </c>
      <c r="K69" s="125" t="s">
        <v>2226</v>
      </c>
      <c r="L69" s="124">
        <v>0.4</v>
      </c>
      <c r="M69" s="100"/>
      <c r="N69" s="101"/>
      <c r="O69" s="100"/>
      <c r="P69" s="100"/>
      <c r="Q69" s="100"/>
      <c r="R69" s="100"/>
      <c r="S69" s="100"/>
      <c r="T69" s="100"/>
      <c r="U69" s="100"/>
      <c r="X69" s="114" t="s">
        <v>13803</v>
      </c>
      <c r="Y69" s="115">
        <v>31250.25</v>
      </c>
      <c r="Z69" s="116">
        <f t="shared" si="12"/>
        <v>31250.25</v>
      </c>
      <c r="AA69" s="114" t="s">
        <v>2229</v>
      </c>
      <c r="AB69" s="117">
        <f t="shared" si="13"/>
        <v>31250</v>
      </c>
      <c r="AC69" s="114" t="s">
        <v>2228</v>
      </c>
      <c r="AD69" s="117">
        <f t="shared" si="14"/>
        <v>2</v>
      </c>
      <c r="AE69" s="114" t="s">
        <v>2227</v>
      </c>
      <c r="AF69" s="117">
        <f t="shared" si="15"/>
        <v>5</v>
      </c>
      <c r="AG69" s="114" t="s">
        <v>2226</v>
      </c>
      <c r="AH69" s="116">
        <v>1250.01</v>
      </c>
      <c r="AI69" s="100"/>
      <c r="AJ69" s="100"/>
      <c r="AK69" s="100"/>
      <c r="AL69" s="100"/>
      <c r="AM69" s="100"/>
      <c r="AN69" s="100"/>
      <c r="AO69" s="100"/>
      <c r="AP69" s="100"/>
      <c r="AQ69" s="100"/>
      <c r="AR69" s="100"/>
      <c r="AS69" s="100"/>
      <c r="AT69" s="100"/>
      <c r="AU69" s="100"/>
      <c r="AV69" s="100"/>
    </row>
    <row r="70" spans="1:48" ht="18.75">
      <c r="A70" s="125" t="s">
        <v>2327</v>
      </c>
      <c r="B70" s="125">
        <v>10</v>
      </c>
      <c r="C70" s="125">
        <v>8</v>
      </c>
      <c r="D70" s="124">
        <f t="shared" si="8"/>
        <v>10</v>
      </c>
      <c r="E70" s="125" t="s">
        <v>2229</v>
      </c>
      <c r="F70" s="126">
        <f t="shared" si="9"/>
        <v>10</v>
      </c>
      <c r="G70" s="125" t="s">
        <v>2228</v>
      </c>
      <c r="H70" s="126">
        <f t="shared" si="10"/>
        <v>0</v>
      </c>
      <c r="I70" s="125" t="s">
        <v>2227</v>
      </c>
      <c r="J70" s="126">
        <f t="shared" si="11"/>
        <v>0</v>
      </c>
      <c r="K70" s="125" t="s">
        <v>2226</v>
      </c>
      <c r="L70" s="124">
        <v>0.4</v>
      </c>
      <c r="M70" s="100"/>
      <c r="N70" s="101"/>
      <c r="O70" s="100"/>
      <c r="P70" s="100"/>
      <c r="Q70" s="100"/>
      <c r="R70" s="100"/>
      <c r="S70" s="100"/>
      <c r="T70" s="100"/>
      <c r="U70" s="100"/>
      <c r="X70" s="114" t="s">
        <v>13804</v>
      </c>
      <c r="Y70" s="115">
        <v>31250.25</v>
      </c>
      <c r="Z70" s="116">
        <f t="shared" si="12"/>
        <v>31250.25</v>
      </c>
      <c r="AA70" s="114" t="s">
        <v>2229</v>
      </c>
      <c r="AB70" s="117">
        <f t="shared" si="13"/>
        <v>31250</v>
      </c>
      <c r="AC70" s="114" t="s">
        <v>2228</v>
      </c>
      <c r="AD70" s="117">
        <f t="shared" si="14"/>
        <v>2</v>
      </c>
      <c r="AE70" s="114" t="s">
        <v>2227</v>
      </c>
      <c r="AF70" s="117">
        <f t="shared" si="15"/>
        <v>5</v>
      </c>
      <c r="AG70" s="114" t="s">
        <v>2226</v>
      </c>
      <c r="AH70" s="116">
        <v>1250.01</v>
      </c>
      <c r="AI70" s="100"/>
      <c r="AJ70" s="100"/>
      <c r="AK70" s="100"/>
      <c r="AL70" s="100"/>
      <c r="AM70" s="100"/>
      <c r="AN70" s="100"/>
      <c r="AO70" s="100"/>
      <c r="AP70" s="100"/>
      <c r="AQ70" s="100"/>
      <c r="AR70" s="100"/>
      <c r="AS70" s="100"/>
      <c r="AT70" s="100"/>
      <c r="AU70" s="100"/>
      <c r="AV70" s="100"/>
    </row>
    <row r="71" spans="1:48" ht="18.75">
      <c r="A71" s="125" t="s">
        <v>2328</v>
      </c>
      <c r="B71" s="125">
        <v>10</v>
      </c>
      <c r="C71" s="125">
        <v>10</v>
      </c>
      <c r="D71" s="124">
        <f t="shared" si="8"/>
        <v>10</v>
      </c>
      <c r="E71" s="125" t="s">
        <v>2229</v>
      </c>
      <c r="F71" s="126">
        <f t="shared" si="9"/>
        <v>10</v>
      </c>
      <c r="G71" s="125" t="s">
        <v>2228</v>
      </c>
      <c r="H71" s="126">
        <f t="shared" si="10"/>
        <v>0</v>
      </c>
      <c r="I71" s="125" t="s">
        <v>2227</v>
      </c>
      <c r="J71" s="126">
        <f t="shared" si="11"/>
        <v>0</v>
      </c>
      <c r="K71" s="125" t="s">
        <v>2226</v>
      </c>
      <c r="L71" s="124">
        <v>0.4</v>
      </c>
      <c r="M71" s="100"/>
      <c r="N71" s="101"/>
      <c r="O71" s="100"/>
      <c r="P71" s="100"/>
      <c r="Q71" s="100"/>
      <c r="R71" s="100"/>
      <c r="S71" s="100"/>
      <c r="T71" s="100"/>
      <c r="U71" s="100"/>
      <c r="X71" s="114" t="s">
        <v>13805</v>
      </c>
      <c r="Y71" s="115">
        <v>6687.625</v>
      </c>
      <c r="Z71" s="116">
        <f t="shared" si="12"/>
        <v>6687.625</v>
      </c>
      <c r="AA71" s="114" t="s">
        <v>2229</v>
      </c>
      <c r="AB71" s="117">
        <f t="shared" si="13"/>
        <v>6687</v>
      </c>
      <c r="AC71" s="114" t="s">
        <v>2228</v>
      </c>
      <c r="AD71" s="117">
        <f t="shared" si="14"/>
        <v>6</v>
      </c>
      <c r="AE71" s="114" t="s">
        <v>2227</v>
      </c>
      <c r="AF71" s="117">
        <f t="shared" si="15"/>
        <v>2.5</v>
      </c>
      <c r="AG71" s="114" t="s">
        <v>2226</v>
      </c>
      <c r="AH71" s="116">
        <v>267.5</v>
      </c>
      <c r="AI71" s="100"/>
      <c r="AJ71" s="100"/>
      <c r="AK71" s="100"/>
      <c r="AL71" s="100"/>
      <c r="AM71" s="100"/>
      <c r="AN71" s="100"/>
      <c r="AO71" s="100"/>
      <c r="AP71" s="100"/>
      <c r="AQ71" s="100"/>
      <c r="AR71" s="100"/>
      <c r="AS71" s="100"/>
      <c r="AT71" s="100"/>
      <c r="AU71" s="100"/>
      <c r="AV71" s="100"/>
    </row>
    <row r="72" spans="1:48" ht="18.75">
      <c r="A72" s="125" t="s">
        <v>2329</v>
      </c>
      <c r="B72" s="125">
        <v>10</v>
      </c>
      <c r="C72" s="125">
        <v>5</v>
      </c>
      <c r="D72" s="124">
        <f t="shared" si="8"/>
        <v>10</v>
      </c>
      <c r="E72" s="125" t="s">
        <v>2229</v>
      </c>
      <c r="F72" s="126">
        <f t="shared" si="9"/>
        <v>10</v>
      </c>
      <c r="G72" s="125" t="s">
        <v>2228</v>
      </c>
      <c r="H72" s="126">
        <f t="shared" si="10"/>
        <v>0</v>
      </c>
      <c r="I72" s="125" t="s">
        <v>2227</v>
      </c>
      <c r="J72" s="126">
        <f t="shared" si="11"/>
        <v>0</v>
      </c>
      <c r="K72" s="125" t="s">
        <v>2226</v>
      </c>
      <c r="L72" s="124">
        <v>0.4</v>
      </c>
      <c r="M72" s="100"/>
      <c r="N72" s="101"/>
      <c r="O72" s="100"/>
      <c r="P72" s="100"/>
      <c r="Q72" s="100"/>
      <c r="R72" s="100"/>
      <c r="S72" s="100"/>
      <c r="T72" s="100"/>
      <c r="U72" s="100"/>
      <c r="X72" s="114" t="s">
        <v>13806</v>
      </c>
      <c r="Y72" s="115">
        <v>112500.5</v>
      </c>
      <c r="Z72" s="116">
        <f t="shared" si="12"/>
        <v>112500.5</v>
      </c>
      <c r="AA72" s="114" t="s">
        <v>2229</v>
      </c>
      <c r="AB72" s="117">
        <f t="shared" si="13"/>
        <v>112500</v>
      </c>
      <c r="AC72" s="114" t="s">
        <v>2228</v>
      </c>
      <c r="AD72" s="117">
        <f t="shared" si="14"/>
        <v>5</v>
      </c>
      <c r="AE72" s="114" t="s">
        <v>2227</v>
      </c>
      <c r="AF72" s="117">
        <f t="shared" si="15"/>
        <v>0</v>
      </c>
      <c r="AG72" s="114" t="s">
        <v>2226</v>
      </c>
      <c r="AH72" s="116">
        <v>4500.0200000000004</v>
      </c>
      <c r="AI72" s="100"/>
      <c r="AJ72" s="100"/>
      <c r="AK72" s="100"/>
      <c r="AL72" s="100"/>
      <c r="AM72" s="100"/>
      <c r="AN72" s="100"/>
      <c r="AO72" s="100"/>
      <c r="AP72" s="100"/>
      <c r="AQ72" s="100"/>
      <c r="AR72" s="100"/>
      <c r="AS72" s="100"/>
      <c r="AT72" s="100"/>
      <c r="AU72" s="100"/>
      <c r="AV72" s="100"/>
    </row>
    <row r="73" spans="1:48" ht="18.75">
      <c r="A73" s="125" t="s">
        <v>2330</v>
      </c>
      <c r="B73" s="125">
        <v>10</v>
      </c>
      <c r="C73" s="125">
        <v>3</v>
      </c>
      <c r="D73" s="124">
        <f t="shared" si="8"/>
        <v>10</v>
      </c>
      <c r="E73" s="125" t="s">
        <v>2229</v>
      </c>
      <c r="F73" s="126">
        <f t="shared" si="9"/>
        <v>10</v>
      </c>
      <c r="G73" s="125" t="s">
        <v>2228</v>
      </c>
      <c r="H73" s="126">
        <f t="shared" si="10"/>
        <v>0</v>
      </c>
      <c r="I73" s="125" t="s">
        <v>2227</v>
      </c>
      <c r="J73" s="126">
        <f t="shared" si="11"/>
        <v>0</v>
      </c>
      <c r="K73" s="125" t="s">
        <v>2226</v>
      </c>
      <c r="L73" s="124">
        <v>0.4</v>
      </c>
      <c r="M73" s="100"/>
      <c r="N73" s="101"/>
      <c r="O73" s="100"/>
      <c r="P73" s="100"/>
      <c r="Q73" s="100"/>
      <c r="R73" s="100"/>
      <c r="S73" s="100"/>
      <c r="T73" s="100"/>
      <c r="U73" s="100"/>
      <c r="X73" s="114" t="s">
        <v>13807</v>
      </c>
      <c r="Y73" s="115">
        <v>350.125</v>
      </c>
      <c r="Z73" s="116">
        <f t="shared" si="12"/>
        <v>350.125</v>
      </c>
      <c r="AA73" s="114" t="s">
        <v>2229</v>
      </c>
      <c r="AB73" s="117">
        <f t="shared" si="13"/>
        <v>350</v>
      </c>
      <c r="AC73" s="114" t="s">
        <v>2228</v>
      </c>
      <c r="AD73" s="117">
        <f t="shared" si="14"/>
        <v>1</v>
      </c>
      <c r="AE73" s="114" t="s">
        <v>2227</v>
      </c>
      <c r="AF73" s="117">
        <f t="shared" si="15"/>
        <v>2.5</v>
      </c>
      <c r="AG73" s="114" t="s">
        <v>2226</v>
      </c>
      <c r="AH73" s="116">
        <v>14</v>
      </c>
      <c r="AI73" s="100"/>
      <c r="AJ73" s="100"/>
      <c r="AK73" s="100"/>
      <c r="AL73" s="100"/>
      <c r="AM73" s="100"/>
      <c r="AN73" s="100"/>
      <c r="AO73" s="100"/>
      <c r="AP73" s="100"/>
      <c r="AQ73" s="100"/>
      <c r="AR73" s="100"/>
      <c r="AS73" s="100"/>
      <c r="AT73" s="100"/>
      <c r="AU73" s="100"/>
      <c r="AV73" s="100"/>
    </row>
    <row r="74" spans="1:48" ht="18.75">
      <c r="A74" s="125" t="s">
        <v>2331</v>
      </c>
      <c r="B74" s="125">
        <v>10</v>
      </c>
      <c r="C74" s="125">
        <v>2</v>
      </c>
      <c r="D74" s="124">
        <f t="shared" si="8"/>
        <v>10</v>
      </c>
      <c r="E74" s="125" t="s">
        <v>2229</v>
      </c>
      <c r="F74" s="126">
        <f t="shared" si="9"/>
        <v>10</v>
      </c>
      <c r="G74" s="125" t="s">
        <v>2228</v>
      </c>
      <c r="H74" s="126">
        <f t="shared" si="10"/>
        <v>0</v>
      </c>
      <c r="I74" s="125" t="s">
        <v>2227</v>
      </c>
      <c r="J74" s="126">
        <f t="shared" si="11"/>
        <v>0</v>
      </c>
      <c r="K74" s="125" t="s">
        <v>2226</v>
      </c>
      <c r="L74" s="124">
        <v>0.4</v>
      </c>
      <c r="M74" s="100"/>
      <c r="N74" s="101"/>
      <c r="O74" s="100"/>
      <c r="P74" s="100"/>
      <c r="Q74" s="100"/>
      <c r="R74" s="100"/>
      <c r="S74" s="100"/>
      <c r="T74" s="100"/>
      <c r="U74" s="100"/>
      <c r="X74" s="114" t="s">
        <v>13808</v>
      </c>
      <c r="Y74" s="115">
        <v>29125.125</v>
      </c>
      <c r="Z74" s="116">
        <f t="shared" si="12"/>
        <v>29125.125</v>
      </c>
      <c r="AA74" s="114" t="s">
        <v>2229</v>
      </c>
      <c r="AB74" s="117">
        <f t="shared" si="13"/>
        <v>29125</v>
      </c>
      <c r="AC74" s="114" t="s">
        <v>2228</v>
      </c>
      <c r="AD74" s="117">
        <f t="shared" si="14"/>
        <v>1</v>
      </c>
      <c r="AE74" s="114" t="s">
        <v>2227</v>
      </c>
      <c r="AF74" s="117">
        <f t="shared" si="15"/>
        <v>2.5</v>
      </c>
      <c r="AG74" s="114" t="s">
        <v>2226</v>
      </c>
      <c r="AH74" s="116">
        <v>1165</v>
      </c>
      <c r="AI74" s="100"/>
      <c r="AJ74" s="100"/>
      <c r="AK74" s="100"/>
      <c r="AL74" s="100"/>
      <c r="AM74" s="100"/>
      <c r="AN74" s="100"/>
      <c r="AO74" s="100"/>
      <c r="AP74" s="100"/>
      <c r="AQ74" s="100"/>
      <c r="AR74" s="100"/>
      <c r="AS74" s="100"/>
      <c r="AT74" s="100"/>
      <c r="AU74" s="100"/>
      <c r="AV74" s="100"/>
    </row>
    <row r="75" spans="1:48" ht="18.75">
      <c r="A75" s="125" t="s">
        <v>2332</v>
      </c>
      <c r="B75" s="125">
        <v>10</v>
      </c>
      <c r="C75" s="125">
        <v>5</v>
      </c>
      <c r="D75" s="124">
        <f t="shared" si="8"/>
        <v>10</v>
      </c>
      <c r="E75" s="125" t="s">
        <v>2229</v>
      </c>
      <c r="F75" s="126">
        <f t="shared" si="9"/>
        <v>10</v>
      </c>
      <c r="G75" s="125" t="s">
        <v>2228</v>
      </c>
      <c r="H75" s="126">
        <f t="shared" si="10"/>
        <v>0</v>
      </c>
      <c r="I75" s="125" t="s">
        <v>2227</v>
      </c>
      <c r="J75" s="126">
        <f t="shared" si="11"/>
        <v>0</v>
      </c>
      <c r="K75" s="125" t="s">
        <v>2226</v>
      </c>
      <c r="L75" s="124">
        <v>0.4</v>
      </c>
      <c r="M75" s="100"/>
      <c r="N75" s="101"/>
      <c r="O75" s="100"/>
      <c r="P75" s="100"/>
      <c r="Q75" s="100"/>
      <c r="R75" s="100"/>
      <c r="S75" s="100"/>
      <c r="T75" s="100"/>
      <c r="U75" s="100"/>
      <c r="X75" s="114" t="s">
        <v>13809</v>
      </c>
      <c r="Y75" s="115">
        <v>112500.5</v>
      </c>
      <c r="Z75" s="116">
        <f t="shared" si="12"/>
        <v>112500.5</v>
      </c>
      <c r="AA75" s="114" t="s">
        <v>2229</v>
      </c>
      <c r="AB75" s="117">
        <f t="shared" si="13"/>
        <v>112500</v>
      </c>
      <c r="AC75" s="114" t="s">
        <v>2228</v>
      </c>
      <c r="AD75" s="117">
        <f t="shared" si="14"/>
        <v>5</v>
      </c>
      <c r="AE75" s="114" t="s">
        <v>2227</v>
      </c>
      <c r="AF75" s="117">
        <f t="shared" si="15"/>
        <v>0</v>
      </c>
      <c r="AG75" s="114" t="s">
        <v>2226</v>
      </c>
      <c r="AH75" s="116">
        <v>4500.0200000000004</v>
      </c>
      <c r="AI75" s="100"/>
      <c r="AJ75" s="100"/>
      <c r="AK75" s="100"/>
      <c r="AL75" s="100"/>
      <c r="AM75" s="100"/>
      <c r="AN75" s="100"/>
      <c r="AO75" s="100"/>
      <c r="AP75" s="100"/>
      <c r="AQ75" s="100"/>
      <c r="AR75" s="100"/>
      <c r="AS75" s="100"/>
      <c r="AT75" s="100"/>
      <c r="AU75" s="100"/>
      <c r="AV75" s="100"/>
    </row>
    <row r="76" spans="1:48" ht="18.75">
      <c r="A76" s="125" t="s">
        <v>2333</v>
      </c>
      <c r="B76" s="125">
        <v>10</v>
      </c>
      <c r="C76" s="125">
        <v>6</v>
      </c>
      <c r="D76" s="124">
        <f t="shared" si="8"/>
        <v>10</v>
      </c>
      <c r="E76" s="125" t="s">
        <v>2229</v>
      </c>
      <c r="F76" s="126">
        <f t="shared" si="9"/>
        <v>10</v>
      </c>
      <c r="G76" s="125" t="s">
        <v>2228</v>
      </c>
      <c r="H76" s="126">
        <f t="shared" si="10"/>
        <v>0</v>
      </c>
      <c r="I76" s="125" t="s">
        <v>2227</v>
      </c>
      <c r="J76" s="126">
        <f t="shared" si="11"/>
        <v>0</v>
      </c>
      <c r="K76" s="125" t="s">
        <v>2226</v>
      </c>
      <c r="L76" s="124">
        <v>0.4</v>
      </c>
      <c r="M76" s="100"/>
      <c r="N76" s="101"/>
      <c r="O76" s="100"/>
      <c r="P76" s="100"/>
      <c r="Q76" s="100"/>
      <c r="R76" s="100"/>
      <c r="S76" s="100"/>
      <c r="T76" s="100"/>
      <c r="U76" s="100"/>
      <c r="X76" s="114" t="s">
        <v>13810</v>
      </c>
      <c r="Y76" s="115">
        <v>6875.25</v>
      </c>
      <c r="Z76" s="116">
        <f t="shared" si="12"/>
        <v>6875.25</v>
      </c>
      <c r="AA76" s="114" t="s">
        <v>2229</v>
      </c>
      <c r="AB76" s="117">
        <f t="shared" si="13"/>
        <v>6875</v>
      </c>
      <c r="AC76" s="114" t="s">
        <v>2228</v>
      </c>
      <c r="AD76" s="117">
        <f t="shared" si="14"/>
        <v>2</v>
      </c>
      <c r="AE76" s="114" t="s">
        <v>2227</v>
      </c>
      <c r="AF76" s="117">
        <f t="shared" si="15"/>
        <v>5</v>
      </c>
      <c r="AG76" s="114" t="s">
        <v>2226</v>
      </c>
      <c r="AH76" s="116">
        <v>275.01</v>
      </c>
      <c r="AI76" s="100"/>
      <c r="AJ76" s="100"/>
      <c r="AK76" s="100"/>
      <c r="AL76" s="100"/>
      <c r="AM76" s="100"/>
      <c r="AN76" s="100"/>
      <c r="AO76" s="100"/>
      <c r="AP76" s="100"/>
      <c r="AQ76" s="100"/>
      <c r="AR76" s="100"/>
      <c r="AS76" s="100"/>
      <c r="AT76" s="100"/>
      <c r="AU76" s="100"/>
      <c r="AV76" s="100"/>
    </row>
    <row r="77" spans="1:48" ht="18.75">
      <c r="A77" s="125" t="s">
        <v>2334</v>
      </c>
      <c r="B77" s="125">
        <v>10</v>
      </c>
      <c r="C77" s="125">
        <v>2</v>
      </c>
      <c r="D77" s="124">
        <f t="shared" si="8"/>
        <v>10</v>
      </c>
      <c r="E77" s="125" t="s">
        <v>2229</v>
      </c>
      <c r="F77" s="126">
        <f t="shared" si="9"/>
        <v>10</v>
      </c>
      <c r="G77" s="125" t="s">
        <v>2228</v>
      </c>
      <c r="H77" s="126">
        <f t="shared" si="10"/>
        <v>0</v>
      </c>
      <c r="I77" s="125" t="s">
        <v>2227</v>
      </c>
      <c r="J77" s="126">
        <f t="shared" si="11"/>
        <v>0</v>
      </c>
      <c r="K77" s="125" t="s">
        <v>2226</v>
      </c>
      <c r="L77" s="124">
        <v>0.4</v>
      </c>
      <c r="M77" s="100"/>
      <c r="N77" s="101"/>
      <c r="O77" s="100"/>
      <c r="P77" s="100"/>
      <c r="Q77" s="100"/>
      <c r="R77" s="100"/>
      <c r="S77" s="100"/>
      <c r="T77" s="100"/>
      <c r="U77" s="100"/>
      <c r="X77" s="114" t="s">
        <v>13811</v>
      </c>
      <c r="Y77" s="115">
        <v>71250.25</v>
      </c>
      <c r="Z77" s="116">
        <f t="shared" si="12"/>
        <v>71250.25</v>
      </c>
      <c r="AA77" s="114" t="s">
        <v>2229</v>
      </c>
      <c r="AB77" s="117">
        <f t="shared" si="13"/>
        <v>71250</v>
      </c>
      <c r="AC77" s="114" t="s">
        <v>2228</v>
      </c>
      <c r="AD77" s="117">
        <f t="shared" si="14"/>
        <v>2</v>
      </c>
      <c r="AE77" s="114" t="s">
        <v>2227</v>
      </c>
      <c r="AF77" s="117">
        <f t="shared" si="15"/>
        <v>5</v>
      </c>
      <c r="AG77" s="114" t="s">
        <v>2226</v>
      </c>
      <c r="AH77" s="116">
        <v>2850.01</v>
      </c>
      <c r="AI77" s="100"/>
      <c r="AJ77" s="100"/>
      <c r="AK77" s="100"/>
      <c r="AL77" s="100"/>
      <c r="AM77" s="100"/>
      <c r="AN77" s="100"/>
      <c r="AO77" s="100"/>
      <c r="AP77" s="100"/>
      <c r="AQ77" s="100"/>
      <c r="AR77" s="100"/>
      <c r="AS77" s="100"/>
      <c r="AT77" s="100"/>
      <c r="AU77" s="100"/>
      <c r="AV77" s="100"/>
    </row>
    <row r="78" spans="1:48" ht="18.75">
      <c r="A78" s="125" t="s">
        <v>2335</v>
      </c>
      <c r="B78" s="125">
        <v>10</v>
      </c>
      <c r="C78" s="125">
        <v>1</v>
      </c>
      <c r="D78" s="124">
        <f t="shared" si="8"/>
        <v>10</v>
      </c>
      <c r="E78" s="125" t="s">
        <v>2229</v>
      </c>
      <c r="F78" s="126">
        <f t="shared" si="9"/>
        <v>10</v>
      </c>
      <c r="G78" s="125" t="s">
        <v>2228</v>
      </c>
      <c r="H78" s="126">
        <f t="shared" si="10"/>
        <v>0</v>
      </c>
      <c r="I78" s="125" t="s">
        <v>2227</v>
      </c>
      <c r="J78" s="126">
        <f t="shared" si="11"/>
        <v>0</v>
      </c>
      <c r="K78" s="125" t="s">
        <v>2226</v>
      </c>
      <c r="L78" s="124">
        <v>0.4</v>
      </c>
      <c r="M78" s="100"/>
      <c r="N78" s="101"/>
      <c r="O78" s="100"/>
      <c r="P78" s="100"/>
      <c r="Q78" s="100"/>
      <c r="R78" s="100"/>
      <c r="S78" s="100"/>
      <c r="T78" s="100"/>
      <c r="U78" s="100"/>
      <c r="X78" s="114" t="s">
        <v>13812</v>
      </c>
      <c r="Y78" s="115">
        <v>325.25</v>
      </c>
      <c r="Z78" s="116">
        <f t="shared" si="12"/>
        <v>325.25</v>
      </c>
      <c r="AA78" s="114" t="s">
        <v>2229</v>
      </c>
      <c r="AB78" s="117">
        <f t="shared" si="13"/>
        <v>325</v>
      </c>
      <c r="AC78" s="114" t="s">
        <v>2228</v>
      </c>
      <c r="AD78" s="117">
        <f t="shared" si="14"/>
        <v>2</v>
      </c>
      <c r="AE78" s="114" t="s">
        <v>2227</v>
      </c>
      <c r="AF78" s="117">
        <f t="shared" si="15"/>
        <v>5</v>
      </c>
      <c r="AG78" s="114" t="s">
        <v>2226</v>
      </c>
      <c r="AH78" s="116">
        <v>13.01</v>
      </c>
      <c r="AI78" s="100"/>
      <c r="AJ78" s="100"/>
      <c r="AK78" s="100"/>
      <c r="AL78" s="100"/>
      <c r="AM78" s="100"/>
      <c r="AN78" s="100"/>
      <c r="AO78" s="100"/>
      <c r="AP78" s="100"/>
      <c r="AQ78" s="100"/>
      <c r="AR78" s="100"/>
      <c r="AS78" s="100"/>
      <c r="AT78" s="100"/>
      <c r="AU78" s="100"/>
      <c r="AV78" s="100"/>
    </row>
    <row r="79" spans="1:48" ht="18.75">
      <c r="A79" s="125" t="s">
        <v>2336</v>
      </c>
      <c r="B79" s="125">
        <v>10</v>
      </c>
      <c r="C79" s="125">
        <v>1</v>
      </c>
      <c r="D79" s="124">
        <f t="shared" si="8"/>
        <v>10</v>
      </c>
      <c r="E79" s="125" t="s">
        <v>2229</v>
      </c>
      <c r="F79" s="126">
        <f t="shared" si="9"/>
        <v>10</v>
      </c>
      <c r="G79" s="125" t="s">
        <v>2228</v>
      </c>
      <c r="H79" s="126">
        <f t="shared" si="10"/>
        <v>0</v>
      </c>
      <c r="I79" s="125" t="s">
        <v>2227</v>
      </c>
      <c r="J79" s="126">
        <f t="shared" si="11"/>
        <v>0</v>
      </c>
      <c r="K79" s="125" t="s">
        <v>2226</v>
      </c>
      <c r="L79" s="124">
        <v>0.4</v>
      </c>
      <c r="M79" s="100"/>
      <c r="N79" s="101"/>
      <c r="O79" s="100"/>
      <c r="P79" s="100"/>
      <c r="Q79" s="100"/>
      <c r="R79" s="100"/>
      <c r="S79" s="100"/>
      <c r="T79" s="100"/>
      <c r="U79" s="100"/>
      <c r="X79" s="114" t="s">
        <v>13813</v>
      </c>
      <c r="Y79" s="115">
        <v>325.25</v>
      </c>
      <c r="Z79" s="116">
        <f t="shared" si="12"/>
        <v>325.25</v>
      </c>
      <c r="AA79" s="114" t="s">
        <v>2229</v>
      </c>
      <c r="AB79" s="117">
        <f t="shared" si="13"/>
        <v>325</v>
      </c>
      <c r="AC79" s="114" t="s">
        <v>2228</v>
      </c>
      <c r="AD79" s="117">
        <f t="shared" si="14"/>
        <v>2</v>
      </c>
      <c r="AE79" s="114" t="s">
        <v>2227</v>
      </c>
      <c r="AF79" s="117">
        <f t="shared" si="15"/>
        <v>5</v>
      </c>
      <c r="AG79" s="114" t="s">
        <v>2226</v>
      </c>
      <c r="AH79" s="116">
        <v>13.01</v>
      </c>
      <c r="AI79" s="100"/>
      <c r="AJ79" s="100"/>
      <c r="AK79" s="100"/>
      <c r="AL79" s="100"/>
      <c r="AM79" s="100"/>
      <c r="AN79" s="100"/>
      <c r="AO79" s="100"/>
      <c r="AP79" s="100"/>
      <c r="AQ79" s="100"/>
      <c r="AR79" s="100"/>
      <c r="AS79" s="100"/>
      <c r="AT79" s="100"/>
      <c r="AU79" s="100"/>
      <c r="AV79" s="100"/>
    </row>
    <row r="80" spans="1:48" ht="18.75">
      <c r="A80" s="125" t="s">
        <v>2337</v>
      </c>
      <c r="B80" s="125">
        <v>8</v>
      </c>
      <c r="C80" s="125">
        <v>6</v>
      </c>
      <c r="D80" s="124">
        <f t="shared" si="8"/>
        <v>8</v>
      </c>
      <c r="E80" s="125" t="s">
        <v>2229</v>
      </c>
      <c r="F80" s="126">
        <f t="shared" si="9"/>
        <v>8</v>
      </c>
      <c r="G80" s="125" t="s">
        <v>2228</v>
      </c>
      <c r="H80" s="126">
        <f t="shared" si="10"/>
        <v>0</v>
      </c>
      <c r="I80" s="125" t="s">
        <v>2227</v>
      </c>
      <c r="J80" s="126">
        <f t="shared" si="11"/>
        <v>0</v>
      </c>
      <c r="K80" s="125" t="s">
        <v>2226</v>
      </c>
      <c r="L80" s="124">
        <v>0.32</v>
      </c>
      <c r="M80" s="100"/>
      <c r="N80" s="101"/>
      <c r="O80" s="100"/>
      <c r="P80" s="100"/>
      <c r="Q80" s="100"/>
      <c r="R80" s="100"/>
      <c r="S80" s="100"/>
      <c r="T80" s="100"/>
      <c r="U80" s="100"/>
      <c r="X80" s="114" t="s">
        <v>13814</v>
      </c>
      <c r="Y80" s="115">
        <v>6875.25</v>
      </c>
      <c r="Z80" s="116">
        <f t="shared" si="12"/>
        <v>6875.25</v>
      </c>
      <c r="AA80" s="114" t="s">
        <v>2229</v>
      </c>
      <c r="AB80" s="117">
        <f t="shared" si="13"/>
        <v>6875</v>
      </c>
      <c r="AC80" s="114" t="s">
        <v>2228</v>
      </c>
      <c r="AD80" s="117">
        <f t="shared" si="14"/>
        <v>2</v>
      </c>
      <c r="AE80" s="114" t="s">
        <v>2227</v>
      </c>
      <c r="AF80" s="117">
        <f t="shared" si="15"/>
        <v>5</v>
      </c>
      <c r="AG80" s="114" t="s">
        <v>2226</v>
      </c>
      <c r="AH80" s="116">
        <v>275.01</v>
      </c>
      <c r="AI80" s="100"/>
      <c r="AJ80" s="100"/>
      <c r="AK80" s="100"/>
      <c r="AL80" s="100"/>
      <c r="AM80" s="100"/>
      <c r="AN80" s="100"/>
      <c r="AO80" s="100"/>
      <c r="AP80" s="100"/>
      <c r="AQ80" s="100"/>
      <c r="AR80" s="100"/>
      <c r="AS80" s="100"/>
      <c r="AT80" s="100"/>
      <c r="AU80" s="100"/>
      <c r="AV80" s="100"/>
    </row>
    <row r="81" spans="1:48" ht="18.75">
      <c r="A81" s="125" t="s">
        <v>2338</v>
      </c>
      <c r="B81" s="125">
        <v>6</v>
      </c>
      <c r="C81" s="125">
        <v>3</v>
      </c>
      <c r="D81" s="124">
        <f t="shared" si="8"/>
        <v>6</v>
      </c>
      <c r="E81" s="125" t="s">
        <v>2229</v>
      </c>
      <c r="F81" s="126">
        <f t="shared" si="9"/>
        <v>6</v>
      </c>
      <c r="G81" s="125" t="s">
        <v>2228</v>
      </c>
      <c r="H81" s="126">
        <f t="shared" si="10"/>
        <v>0</v>
      </c>
      <c r="I81" s="125" t="s">
        <v>2227</v>
      </c>
      <c r="J81" s="126">
        <f t="shared" si="11"/>
        <v>0</v>
      </c>
      <c r="K81" s="125" t="s">
        <v>2226</v>
      </c>
      <c r="L81" s="124">
        <v>0.24</v>
      </c>
      <c r="M81" s="100"/>
      <c r="N81" s="101"/>
      <c r="O81" s="100"/>
      <c r="P81" s="100"/>
      <c r="Q81" s="100"/>
      <c r="R81" s="100"/>
      <c r="S81" s="100"/>
      <c r="T81" s="100"/>
      <c r="U81" s="100"/>
      <c r="X81" s="114" t="s">
        <v>13815</v>
      </c>
      <c r="Y81" s="115">
        <v>1450</v>
      </c>
      <c r="Z81" s="116">
        <f t="shared" si="12"/>
        <v>1450</v>
      </c>
      <c r="AA81" s="114" t="s">
        <v>2229</v>
      </c>
      <c r="AB81" s="117">
        <f t="shared" si="13"/>
        <v>1450</v>
      </c>
      <c r="AC81" s="114" t="s">
        <v>2228</v>
      </c>
      <c r="AD81" s="117">
        <f t="shared" si="14"/>
        <v>0</v>
      </c>
      <c r="AE81" s="114" t="s">
        <v>2227</v>
      </c>
      <c r="AF81" s="117">
        <f t="shared" si="15"/>
        <v>0</v>
      </c>
      <c r="AG81" s="114" t="s">
        <v>2226</v>
      </c>
      <c r="AH81" s="116">
        <v>58</v>
      </c>
      <c r="AI81" s="100"/>
      <c r="AJ81" s="100"/>
      <c r="AK81" s="100"/>
      <c r="AL81" s="100"/>
      <c r="AM81" s="100"/>
      <c r="AN81" s="100"/>
      <c r="AO81" s="100"/>
      <c r="AP81" s="100"/>
      <c r="AQ81" s="100"/>
      <c r="AR81" s="100"/>
      <c r="AS81" s="100"/>
      <c r="AT81" s="100"/>
      <c r="AU81" s="100"/>
      <c r="AV81" s="100"/>
    </row>
    <row r="82" spans="1:48" ht="18.75">
      <c r="A82" s="125" t="s">
        <v>2339</v>
      </c>
      <c r="B82" s="125">
        <v>5</v>
      </c>
      <c r="C82" s="125">
        <v>1</v>
      </c>
      <c r="D82" s="124">
        <f t="shared" si="8"/>
        <v>5</v>
      </c>
      <c r="E82" s="125" t="s">
        <v>2229</v>
      </c>
      <c r="F82" s="126">
        <f t="shared" si="9"/>
        <v>5</v>
      </c>
      <c r="G82" s="125" t="s">
        <v>2228</v>
      </c>
      <c r="H82" s="126">
        <f t="shared" si="10"/>
        <v>0</v>
      </c>
      <c r="I82" s="125" t="s">
        <v>2227</v>
      </c>
      <c r="J82" s="126">
        <f t="shared" si="11"/>
        <v>0</v>
      </c>
      <c r="K82" s="125" t="s">
        <v>2226</v>
      </c>
      <c r="L82" s="124">
        <v>0.2</v>
      </c>
      <c r="M82" s="100"/>
      <c r="N82" s="101"/>
      <c r="O82" s="100"/>
      <c r="P82" s="100"/>
      <c r="Q82" s="100"/>
      <c r="R82" s="100"/>
      <c r="S82" s="100"/>
      <c r="T82" s="100"/>
      <c r="U82" s="100"/>
      <c r="X82" s="114" t="s">
        <v>13816</v>
      </c>
      <c r="Y82" s="115">
        <v>60</v>
      </c>
      <c r="Z82" s="116">
        <f t="shared" si="12"/>
        <v>60</v>
      </c>
      <c r="AA82" s="114" t="s">
        <v>2229</v>
      </c>
      <c r="AB82" s="117">
        <f t="shared" si="13"/>
        <v>60</v>
      </c>
      <c r="AC82" s="114" t="s">
        <v>2228</v>
      </c>
      <c r="AD82" s="117">
        <f t="shared" si="14"/>
        <v>0</v>
      </c>
      <c r="AE82" s="114" t="s">
        <v>2227</v>
      </c>
      <c r="AF82" s="117">
        <f t="shared" si="15"/>
        <v>0</v>
      </c>
      <c r="AG82" s="114" t="s">
        <v>2226</v>
      </c>
      <c r="AH82" s="116">
        <v>2.4</v>
      </c>
      <c r="AI82" s="100"/>
      <c r="AJ82" s="100"/>
      <c r="AK82" s="100"/>
      <c r="AL82" s="100"/>
      <c r="AM82" s="100"/>
      <c r="AN82" s="100"/>
      <c r="AO82" s="100"/>
      <c r="AP82" s="100"/>
      <c r="AQ82" s="100"/>
      <c r="AR82" s="100"/>
      <c r="AS82" s="100"/>
      <c r="AT82" s="100"/>
      <c r="AU82" s="100"/>
      <c r="AV82" s="100"/>
    </row>
    <row r="83" spans="1:48" ht="18.75">
      <c r="A83" s="125" t="s">
        <v>2340</v>
      </c>
      <c r="B83" s="125">
        <v>5</v>
      </c>
      <c r="C83" s="125">
        <v>10</v>
      </c>
      <c r="D83" s="124">
        <f t="shared" si="8"/>
        <v>5</v>
      </c>
      <c r="E83" s="125" t="s">
        <v>2229</v>
      </c>
      <c r="F83" s="126">
        <f t="shared" si="9"/>
        <v>5</v>
      </c>
      <c r="G83" s="125" t="s">
        <v>2228</v>
      </c>
      <c r="H83" s="126">
        <f t="shared" si="10"/>
        <v>0</v>
      </c>
      <c r="I83" s="125" t="s">
        <v>2227</v>
      </c>
      <c r="J83" s="126">
        <f t="shared" si="11"/>
        <v>0</v>
      </c>
      <c r="K83" s="125" t="s">
        <v>2226</v>
      </c>
      <c r="L83" s="124">
        <v>0.2</v>
      </c>
      <c r="M83" s="100"/>
      <c r="N83" s="101"/>
      <c r="O83" s="100"/>
      <c r="P83" s="100"/>
      <c r="Q83" s="100"/>
      <c r="R83" s="100"/>
      <c r="S83" s="100"/>
      <c r="T83" s="100"/>
      <c r="U83" s="100"/>
      <c r="X83" s="114" t="s">
        <v>13817</v>
      </c>
      <c r="Y83" s="115">
        <v>4250</v>
      </c>
      <c r="Z83" s="116">
        <f t="shared" si="12"/>
        <v>4250</v>
      </c>
      <c r="AA83" s="114" t="s">
        <v>2229</v>
      </c>
      <c r="AB83" s="117">
        <f t="shared" si="13"/>
        <v>4250</v>
      </c>
      <c r="AC83" s="114" t="s">
        <v>2228</v>
      </c>
      <c r="AD83" s="117">
        <f t="shared" si="14"/>
        <v>0</v>
      </c>
      <c r="AE83" s="114" t="s">
        <v>2227</v>
      </c>
      <c r="AF83" s="117">
        <f t="shared" si="15"/>
        <v>0</v>
      </c>
      <c r="AG83" s="114" t="s">
        <v>2226</v>
      </c>
      <c r="AH83" s="116">
        <v>170</v>
      </c>
      <c r="AI83" s="100"/>
      <c r="AJ83" s="100"/>
      <c r="AK83" s="100"/>
      <c r="AL83" s="100"/>
      <c r="AM83" s="100"/>
      <c r="AN83" s="100"/>
      <c r="AO83" s="100"/>
      <c r="AP83" s="100"/>
      <c r="AQ83" s="100"/>
      <c r="AR83" s="100"/>
      <c r="AS83" s="100"/>
      <c r="AT83" s="100"/>
      <c r="AU83" s="100"/>
      <c r="AV83" s="100"/>
    </row>
    <row r="84" spans="1:48" ht="18.75">
      <c r="A84" s="125" t="s">
        <v>2341</v>
      </c>
      <c r="B84" s="125">
        <v>5</v>
      </c>
      <c r="C84" s="125">
        <v>25</v>
      </c>
      <c r="D84" s="124">
        <f t="shared" si="8"/>
        <v>5</v>
      </c>
      <c r="E84" s="125" t="s">
        <v>2229</v>
      </c>
      <c r="F84" s="126">
        <f t="shared" si="9"/>
        <v>5</v>
      </c>
      <c r="G84" s="125" t="s">
        <v>2228</v>
      </c>
      <c r="H84" s="126">
        <f t="shared" si="10"/>
        <v>0</v>
      </c>
      <c r="I84" s="125" t="s">
        <v>2227</v>
      </c>
      <c r="J84" s="126">
        <f t="shared" si="11"/>
        <v>0</v>
      </c>
      <c r="K84" s="125" t="s">
        <v>2226</v>
      </c>
      <c r="L84" s="124">
        <v>0.2</v>
      </c>
      <c r="M84" s="100"/>
      <c r="N84" s="101"/>
      <c r="O84" s="100"/>
      <c r="P84" s="100"/>
      <c r="Q84" s="100"/>
      <c r="R84" s="100"/>
      <c r="S84" s="100"/>
      <c r="T84" s="100"/>
      <c r="U84" s="100"/>
      <c r="X84" s="114" t="s">
        <v>13818</v>
      </c>
      <c r="Y84" s="115">
        <v>3500</v>
      </c>
      <c r="Z84" s="116">
        <f t="shared" si="12"/>
        <v>3500</v>
      </c>
      <c r="AA84" s="114" t="s">
        <v>2229</v>
      </c>
      <c r="AB84" s="117">
        <f t="shared" si="13"/>
        <v>3500</v>
      </c>
      <c r="AC84" s="114" t="s">
        <v>2228</v>
      </c>
      <c r="AD84" s="117">
        <f t="shared" si="14"/>
        <v>0</v>
      </c>
      <c r="AE84" s="114" t="s">
        <v>2227</v>
      </c>
      <c r="AF84" s="117">
        <f t="shared" si="15"/>
        <v>0</v>
      </c>
      <c r="AG84" s="114" t="s">
        <v>2226</v>
      </c>
      <c r="AH84" s="116">
        <v>140</v>
      </c>
      <c r="AI84" s="100"/>
      <c r="AJ84" s="100"/>
      <c r="AK84" s="100"/>
      <c r="AL84" s="100"/>
      <c r="AM84" s="100"/>
      <c r="AN84" s="100"/>
      <c r="AO84" s="100"/>
      <c r="AP84" s="100"/>
      <c r="AQ84" s="100"/>
      <c r="AR84" s="100"/>
      <c r="AS84" s="100"/>
      <c r="AT84" s="100"/>
      <c r="AU84" s="100"/>
      <c r="AV84" s="100"/>
    </row>
    <row r="85" spans="1:48" ht="18.75">
      <c r="A85" s="125" t="s">
        <v>2342</v>
      </c>
      <c r="B85" s="125">
        <v>5</v>
      </c>
      <c r="C85" s="125">
        <v>4</v>
      </c>
      <c r="D85" s="124">
        <f t="shared" si="8"/>
        <v>5</v>
      </c>
      <c r="E85" s="125" t="s">
        <v>2229</v>
      </c>
      <c r="F85" s="126">
        <f t="shared" si="9"/>
        <v>5</v>
      </c>
      <c r="G85" s="125" t="s">
        <v>2228</v>
      </c>
      <c r="H85" s="126">
        <f t="shared" si="10"/>
        <v>0</v>
      </c>
      <c r="I85" s="125" t="s">
        <v>2227</v>
      </c>
      <c r="J85" s="126">
        <f t="shared" si="11"/>
        <v>0</v>
      </c>
      <c r="K85" s="125" t="s">
        <v>2226</v>
      </c>
      <c r="L85" s="124">
        <v>0.2</v>
      </c>
      <c r="M85" s="100"/>
      <c r="N85" s="101"/>
      <c r="O85" s="100"/>
      <c r="P85" s="100"/>
      <c r="Q85" s="100"/>
      <c r="R85" s="100"/>
      <c r="S85" s="100"/>
      <c r="T85" s="100"/>
      <c r="U85" s="100"/>
      <c r="X85" s="114" t="s">
        <v>13819</v>
      </c>
      <c r="Y85" s="115">
        <v>2600</v>
      </c>
      <c r="Z85" s="116">
        <f t="shared" si="12"/>
        <v>2600</v>
      </c>
      <c r="AA85" s="114" t="s">
        <v>2229</v>
      </c>
      <c r="AB85" s="117">
        <f t="shared" si="13"/>
        <v>2600</v>
      </c>
      <c r="AC85" s="114" t="s">
        <v>2228</v>
      </c>
      <c r="AD85" s="117">
        <f t="shared" si="14"/>
        <v>0</v>
      </c>
      <c r="AE85" s="114" t="s">
        <v>2227</v>
      </c>
      <c r="AF85" s="117">
        <f t="shared" si="15"/>
        <v>0</v>
      </c>
      <c r="AG85" s="114" t="s">
        <v>2226</v>
      </c>
      <c r="AH85" s="116">
        <v>104</v>
      </c>
      <c r="AI85" s="100"/>
      <c r="AJ85" s="100"/>
      <c r="AK85" s="100"/>
      <c r="AL85" s="100"/>
      <c r="AM85" s="100"/>
      <c r="AN85" s="100"/>
      <c r="AO85" s="100"/>
      <c r="AP85" s="100"/>
      <c r="AQ85" s="100"/>
      <c r="AR85" s="100"/>
      <c r="AS85" s="100"/>
      <c r="AT85" s="100"/>
      <c r="AU85" s="100"/>
      <c r="AV85" s="100"/>
    </row>
    <row r="86" spans="1:48" ht="18.75">
      <c r="A86" s="125" t="s">
        <v>2343</v>
      </c>
      <c r="B86" s="125">
        <v>5</v>
      </c>
      <c r="C86" s="125">
        <v>5</v>
      </c>
      <c r="D86" s="124">
        <f t="shared" si="8"/>
        <v>5</v>
      </c>
      <c r="E86" s="125" t="s">
        <v>2229</v>
      </c>
      <c r="F86" s="126">
        <f t="shared" si="9"/>
        <v>5</v>
      </c>
      <c r="G86" s="125" t="s">
        <v>2228</v>
      </c>
      <c r="H86" s="126">
        <f t="shared" si="10"/>
        <v>0</v>
      </c>
      <c r="I86" s="125" t="s">
        <v>2227</v>
      </c>
      <c r="J86" s="126">
        <f t="shared" si="11"/>
        <v>0</v>
      </c>
      <c r="K86" s="125" t="s">
        <v>2226</v>
      </c>
      <c r="L86" s="124">
        <v>0.2</v>
      </c>
      <c r="M86" s="100"/>
      <c r="N86" s="101"/>
      <c r="O86" s="100"/>
      <c r="P86" s="100"/>
      <c r="Q86" s="100"/>
      <c r="R86" s="100"/>
      <c r="S86" s="100"/>
      <c r="T86" s="100"/>
      <c r="U86" s="100"/>
      <c r="X86" s="114" t="s">
        <v>13820</v>
      </c>
      <c r="Y86" s="115">
        <v>5150</v>
      </c>
      <c r="Z86" s="116">
        <f t="shared" si="12"/>
        <v>5150</v>
      </c>
      <c r="AA86" s="114" t="s">
        <v>2229</v>
      </c>
      <c r="AB86" s="117">
        <f t="shared" si="13"/>
        <v>5150</v>
      </c>
      <c r="AC86" s="114" t="s">
        <v>2228</v>
      </c>
      <c r="AD86" s="117">
        <f t="shared" si="14"/>
        <v>0</v>
      </c>
      <c r="AE86" s="114" t="s">
        <v>2227</v>
      </c>
      <c r="AF86" s="117">
        <f t="shared" si="15"/>
        <v>0</v>
      </c>
      <c r="AG86" s="114" t="s">
        <v>2226</v>
      </c>
      <c r="AH86" s="116">
        <v>206</v>
      </c>
      <c r="AI86" s="100"/>
      <c r="AJ86" s="100"/>
      <c r="AK86" s="100"/>
      <c r="AL86" s="100"/>
      <c r="AM86" s="100"/>
      <c r="AN86" s="100"/>
      <c r="AO86" s="100"/>
      <c r="AP86" s="100"/>
      <c r="AQ86" s="100"/>
      <c r="AR86" s="100"/>
      <c r="AS86" s="100"/>
      <c r="AT86" s="100"/>
      <c r="AU86" s="100"/>
      <c r="AV86" s="100"/>
    </row>
    <row r="87" spans="1:48" ht="18.75">
      <c r="A87" s="125" t="s">
        <v>2344</v>
      </c>
      <c r="B87" s="125">
        <v>5</v>
      </c>
      <c r="C87" s="125">
        <v>0</v>
      </c>
      <c r="D87" s="124">
        <f t="shared" si="8"/>
        <v>5</v>
      </c>
      <c r="E87" s="125" t="s">
        <v>2229</v>
      </c>
      <c r="F87" s="126">
        <f t="shared" si="9"/>
        <v>5</v>
      </c>
      <c r="G87" s="125" t="s">
        <v>2228</v>
      </c>
      <c r="H87" s="126">
        <f t="shared" si="10"/>
        <v>0</v>
      </c>
      <c r="I87" s="125" t="s">
        <v>2227</v>
      </c>
      <c r="J87" s="126">
        <f t="shared" si="11"/>
        <v>0</v>
      </c>
      <c r="K87" s="125" t="s">
        <v>2226</v>
      </c>
      <c r="L87" s="124">
        <v>0.2</v>
      </c>
      <c r="M87" s="100"/>
      <c r="N87" s="101"/>
      <c r="O87" s="100"/>
      <c r="P87" s="100"/>
      <c r="Q87" s="100"/>
      <c r="R87" s="100"/>
      <c r="S87" s="100"/>
      <c r="T87" s="100"/>
      <c r="U87" s="100"/>
      <c r="X87" s="114" t="s">
        <v>13821</v>
      </c>
      <c r="Y87" s="115">
        <v>337.625</v>
      </c>
      <c r="Z87" s="116">
        <f t="shared" si="12"/>
        <v>337.625</v>
      </c>
      <c r="AA87" s="114" t="s">
        <v>2229</v>
      </c>
      <c r="AB87" s="117">
        <f t="shared" si="13"/>
        <v>337</v>
      </c>
      <c r="AC87" s="114" t="s">
        <v>2228</v>
      </c>
      <c r="AD87" s="117">
        <f t="shared" si="14"/>
        <v>6</v>
      </c>
      <c r="AE87" s="114" t="s">
        <v>2227</v>
      </c>
      <c r="AF87" s="117">
        <f t="shared" si="15"/>
        <v>2.5</v>
      </c>
      <c r="AG87" s="114" t="s">
        <v>2226</v>
      </c>
      <c r="AH87" s="116">
        <v>13.5</v>
      </c>
      <c r="AI87" s="100"/>
      <c r="AJ87" s="100"/>
      <c r="AK87" s="100"/>
      <c r="AL87" s="100"/>
      <c r="AM87" s="100"/>
      <c r="AN87" s="100"/>
      <c r="AO87" s="100"/>
      <c r="AP87" s="100"/>
      <c r="AQ87" s="100"/>
      <c r="AR87" s="100"/>
      <c r="AS87" s="100"/>
      <c r="AT87" s="100"/>
      <c r="AU87" s="100"/>
      <c r="AV87" s="100"/>
    </row>
    <row r="88" spans="1:48" ht="18.75">
      <c r="A88" s="125" t="s">
        <v>2345</v>
      </c>
      <c r="B88" s="125">
        <v>5</v>
      </c>
      <c r="C88" s="125">
        <v>2</v>
      </c>
      <c r="D88" s="124">
        <f t="shared" si="8"/>
        <v>5</v>
      </c>
      <c r="E88" s="125" t="s">
        <v>2229</v>
      </c>
      <c r="F88" s="126">
        <f t="shared" si="9"/>
        <v>5</v>
      </c>
      <c r="G88" s="125" t="s">
        <v>2228</v>
      </c>
      <c r="H88" s="126">
        <f t="shared" si="10"/>
        <v>0</v>
      </c>
      <c r="I88" s="125" t="s">
        <v>2227</v>
      </c>
      <c r="J88" s="126">
        <f t="shared" si="11"/>
        <v>0</v>
      </c>
      <c r="K88" s="125" t="s">
        <v>2226</v>
      </c>
      <c r="L88" s="124">
        <v>0.2</v>
      </c>
      <c r="M88" s="100"/>
      <c r="N88" s="101"/>
      <c r="O88" s="100"/>
      <c r="P88" s="100"/>
      <c r="Q88" s="100"/>
      <c r="R88" s="100"/>
      <c r="S88" s="100"/>
      <c r="T88" s="100"/>
      <c r="U88" s="100"/>
      <c r="X88" s="114" t="s">
        <v>13822</v>
      </c>
      <c r="Y88" s="115">
        <v>6350</v>
      </c>
      <c r="Z88" s="116">
        <f t="shared" si="12"/>
        <v>6350</v>
      </c>
      <c r="AA88" s="114" t="s">
        <v>2229</v>
      </c>
      <c r="AB88" s="117">
        <f t="shared" si="13"/>
        <v>6350</v>
      </c>
      <c r="AC88" s="114" t="s">
        <v>2228</v>
      </c>
      <c r="AD88" s="117">
        <f t="shared" si="14"/>
        <v>0</v>
      </c>
      <c r="AE88" s="114" t="s">
        <v>2227</v>
      </c>
      <c r="AF88" s="117">
        <f t="shared" si="15"/>
        <v>0</v>
      </c>
      <c r="AG88" s="114" t="s">
        <v>2226</v>
      </c>
      <c r="AH88" s="116">
        <v>254</v>
      </c>
      <c r="AI88" s="100"/>
      <c r="AJ88" s="100"/>
      <c r="AK88" s="100"/>
      <c r="AL88" s="100"/>
      <c r="AM88" s="100"/>
      <c r="AN88" s="100"/>
      <c r="AO88" s="100"/>
      <c r="AP88" s="100"/>
      <c r="AQ88" s="100"/>
      <c r="AR88" s="100"/>
      <c r="AS88" s="100"/>
      <c r="AT88" s="100"/>
      <c r="AU88" s="100"/>
      <c r="AV88" s="100"/>
    </row>
    <row r="89" spans="1:48" ht="18.75">
      <c r="A89" s="125" t="s">
        <v>2346</v>
      </c>
      <c r="B89" s="125">
        <v>5</v>
      </c>
      <c r="C89" s="125">
        <v>3</v>
      </c>
      <c r="D89" s="124">
        <f t="shared" si="8"/>
        <v>5</v>
      </c>
      <c r="E89" s="125" t="s">
        <v>2229</v>
      </c>
      <c r="F89" s="126">
        <f t="shared" si="9"/>
        <v>5</v>
      </c>
      <c r="G89" s="125" t="s">
        <v>2228</v>
      </c>
      <c r="H89" s="126">
        <f t="shared" si="10"/>
        <v>0</v>
      </c>
      <c r="I89" s="125" t="s">
        <v>2227</v>
      </c>
      <c r="J89" s="126">
        <f t="shared" si="11"/>
        <v>0</v>
      </c>
      <c r="K89" s="125" t="s">
        <v>2226</v>
      </c>
      <c r="L89" s="124">
        <v>0.2</v>
      </c>
      <c r="M89" s="100"/>
      <c r="N89" s="101"/>
      <c r="O89" s="100"/>
      <c r="P89" s="100"/>
      <c r="Q89" s="100"/>
      <c r="R89" s="100"/>
      <c r="S89" s="100"/>
      <c r="T89" s="100"/>
      <c r="U89" s="100"/>
      <c r="X89" s="114" t="s">
        <v>13823</v>
      </c>
      <c r="Y89" s="115">
        <v>20125.125</v>
      </c>
      <c r="Z89" s="116">
        <f t="shared" si="12"/>
        <v>20125.125</v>
      </c>
      <c r="AA89" s="114" t="s">
        <v>2229</v>
      </c>
      <c r="AB89" s="117">
        <f t="shared" si="13"/>
        <v>20125</v>
      </c>
      <c r="AC89" s="114" t="s">
        <v>2228</v>
      </c>
      <c r="AD89" s="117">
        <f t="shared" si="14"/>
        <v>1</v>
      </c>
      <c r="AE89" s="114" t="s">
        <v>2227</v>
      </c>
      <c r="AF89" s="117">
        <f t="shared" si="15"/>
        <v>2.5</v>
      </c>
      <c r="AG89" s="114" t="s">
        <v>2226</v>
      </c>
      <c r="AH89" s="116">
        <v>805</v>
      </c>
      <c r="AI89" s="100"/>
      <c r="AJ89" s="100"/>
      <c r="AK89" s="100"/>
      <c r="AL89" s="100"/>
      <c r="AM89" s="100"/>
      <c r="AN89" s="100"/>
      <c r="AO89" s="100"/>
      <c r="AP89" s="100"/>
      <c r="AQ89" s="100"/>
      <c r="AR89" s="100"/>
      <c r="AS89" s="100"/>
      <c r="AT89" s="100"/>
      <c r="AU89" s="100"/>
      <c r="AV89" s="100"/>
    </row>
    <row r="90" spans="1:48" ht="18.75">
      <c r="A90" s="125" t="s">
        <v>2347</v>
      </c>
      <c r="B90" s="125">
        <v>5</v>
      </c>
      <c r="C90" s="125">
        <v>3</v>
      </c>
      <c r="D90" s="124">
        <f t="shared" si="8"/>
        <v>5</v>
      </c>
      <c r="E90" s="125" t="s">
        <v>2229</v>
      </c>
      <c r="F90" s="126">
        <f t="shared" si="9"/>
        <v>5</v>
      </c>
      <c r="G90" s="125" t="s">
        <v>2228</v>
      </c>
      <c r="H90" s="126">
        <f t="shared" si="10"/>
        <v>0</v>
      </c>
      <c r="I90" s="125" t="s">
        <v>2227</v>
      </c>
      <c r="J90" s="126">
        <f t="shared" si="11"/>
        <v>0</v>
      </c>
      <c r="K90" s="125" t="s">
        <v>2226</v>
      </c>
      <c r="L90" s="124">
        <v>0.2</v>
      </c>
      <c r="M90" s="100"/>
      <c r="N90" s="101"/>
      <c r="O90" s="100"/>
      <c r="P90" s="100"/>
      <c r="Q90" s="100"/>
      <c r="R90" s="100"/>
      <c r="S90" s="100"/>
      <c r="T90" s="100"/>
      <c r="U90" s="100"/>
      <c r="X90" s="114" t="s">
        <v>13824</v>
      </c>
      <c r="Y90" s="115">
        <v>3937.625</v>
      </c>
      <c r="Z90" s="116">
        <f t="shared" si="12"/>
        <v>3937.625</v>
      </c>
      <c r="AA90" s="114" t="s">
        <v>2229</v>
      </c>
      <c r="AB90" s="117">
        <f t="shared" si="13"/>
        <v>3937</v>
      </c>
      <c r="AC90" s="114" t="s">
        <v>2228</v>
      </c>
      <c r="AD90" s="117">
        <f t="shared" si="14"/>
        <v>6</v>
      </c>
      <c r="AE90" s="114" t="s">
        <v>2227</v>
      </c>
      <c r="AF90" s="117">
        <f t="shared" si="15"/>
        <v>2.5</v>
      </c>
      <c r="AG90" s="114" t="s">
        <v>2226</v>
      </c>
      <c r="AH90" s="116">
        <v>157.5</v>
      </c>
      <c r="AI90" s="100"/>
      <c r="AJ90" s="100"/>
      <c r="AK90" s="100"/>
      <c r="AL90" s="100"/>
      <c r="AM90" s="100"/>
      <c r="AN90" s="100"/>
      <c r="AO90" s="100"/>
      <c r="AP90" s="100"/>
      <c r="AQ90" s="100"/>
      <c r="AR90" s="100"/>
      <c r="AS90" s="100"/>
      <c r="AT90" s="100"/>
      <c r="AU90" s="100"/>
      <c r="AV90" s="100"/>
    </row>
    <row r="91" spans="1:48" ht="18.75">
      <c r="A91" s="125" t="s">
        <v>2348</v>
      </c>
      <c r="B91" s="125">
        <v>5</v>
      </c>
      <c r="C91" s="125">
        <v>25</v>
      </c>
      <c r="D91" s="124">
        <f t="shared" si="8"/>
        <v>5</v>
      </c>
      <c r="E91" s="125" t="s">
        <v>2229</v>
      </c>
      <c r="F91" s="126">
        <f t="shared" si="9"/>
        <v>5</v>
      </c>
      <c r="G91" s="125" t="s">
        <v>2228</v>
      </c>
      <c r="H91" s="126">
        <f t="shared" si="10"/>
        <v>0</v>
      </c>
      <c r="I91" s="125" t="s">
        <v>2227</v>
      </c>
      <c r="J91" s="126">
        <f t="shared" si="11"/>
        <v>0</v>
      </c>
      <c r="K91" s="125" t="s">
        <v>2226</v>
      </c>
      <c r="L91" s="124">
        <v>0.2</v>
      </c>
      <c r="M91" s="100"/>
      <c r="N91" s="101"/>
      <c r="O91" s="100"/>
      <c r="P91" s="100"/>
      <c r="Q91" s="100"/>
      <c r="R91" s="100"/>
      <c r="S91" s="100"/>
      <c r="T91" s="100"/>
      <c r="U91" s="100"/>
      <c r="X91" s="114" t="s">
        <v>13825</v>
      </c>
      <c r="Y91" s="115">
        <v>925</v>
      </c>
      <c r="Z91" s="116">
        <f t="shared" si="12"/>
        <v>925</v>
      </c>
      <c r="AA91" s="114" t="s">
        <v>2229</v>
      </c>
      <c r="AB91" s="117">
        <f t="shared" si="13"/>
        <v>925</v>
      </c>
      <c r="AC91" s="114" t="s">
        <v>2228</v>
      </c>
      <c r="AD91" s="117">
        <f t="shared" si="14"/>
        <v>0</v>
      </c>
      <c r="AE91" s="114" t="s">
        <v>2227</v>
      </c>
      <c r="AF91" s="117">
        <f t="shared" si="15"/>
        <v>0</v>
      </c>
      <c r="AG91" s="114" t="s">
        <v>2226</v>
      </c>
      <c r="AH91" s="116">
        <v>37</v>
      </c>
      <c r="AI91" s="100"/>
      <c r="AJ91" s="100"/>
      <c r="AK91" s="100"/>
      <c r="AL91" s="100"/>
      <c r="AM91" s="100"/>
      <c r="AN91" s="100"/>
      <c r="AO91" s="100"/>
      <c r="AP91" s="100"/>
      <c r="AQ91" s="100"/>
      <c r="AR91" s="100"/>
      <c r="AS91" s="100"/>
      <c r="AT91" s="100"/>
      <c r="AU91" s="100"/>
      <c r="AV91" s="100"/>
    </row>
    <row r="92" spans="1:48" ht="18.75">
      <c r="A92" s="125" t="s">
        <v>2349</v>
      </c>
      <c r="B92" s="125">
        <v>5</v>
      </c>
      <c r="C92" s="125">
        <v>2</v>
      </c>
      <c r="D92" s="124">
        <f t="shared" si="8"/>
        <v>5</v>
      </c>
      <c r="E92" s="125" t="s">
        <v>2229</v>
      </c>
      <c r="F92" s="126">
        <f t="shared" si="9"/>
        <v>5</v>
      </c>
      <c r="G92" s="125" t="s">
        <v>2228</v>
      </c>
      <c r="H92" s="126">
        <f t="shared" si="10"/>
        <v>0</v>
      </c>
      <c r="I92" s="125" t="s">
        <v>2227</v>
      </c>
      <c r="J92" s="126">
        <f t="shared" si="11"/>
        <v>0</v>
      </c>
      <c r="K92" s="125" t="s">
        <v>2226</v>
      </c>
      <c r="L92" s="124">
        <v>0.2</v>
      </c>
      <c r="M92" s="100"/>
      <c r="N92" s="101"/>
      <c r="O92" s="100"/>
      <c r="P92" s="100"/>
      <c r="Q92" s="100"/>
      <c r="R92" s="100"/>
      <c r="S92" s="100"/>
      <c r="T92" s="100"/>
      <c r="U92" s="100"/>
      <c r="X92" s="114" t="s">
        <v>13826</v>
      </c>
      <c r="Y92" s="115">
        <v>5000</v>
      </c>
      <c r="Z92" s="116">
        <f t="shared" si="12"/>
        <v>5000</v>
      </c>
      <c r="AA92" s="114" t="s">
        <v>2229</v>
      </c>
      <c r="AB92" s="117">
        <f t="shared" si="13"/>
        <v>5000</v>
      </c>
      <c r="AC92" s="114" t="s">
        <v>2228</v>
      </c>
      <c r="AD92" s="117">
        <f t="shared" si="14"/>
        <v>0</v>
      </c>
      <c r="AE92" s="114" t="s">
        <v>2227</v>
      </c>
      <c r="AF92" s="117">
        <f t="shared" si="15"/>
        <v>0</v>
      </c>
      <c r="AG92" s="114" t="s">
        <v>2226</v>
      </c>
      <c r="AH92" s="116">
        <v>200</v>
      </c>
      <c r="AI92" s="100"/>
      <c r="AJ92" s="100"/>
      <c r="AK92" s="100"/>
      <c r="AL92" s="100"/>
      <c r="AM92" s="100"/>
      <c r="AN92" s="100"/>
      <c r="AO92" s="100"/>
      <c r="AP92" s="100"/>
      <c r="AQ92" s="100"/>
      <c r="AR92" s="100"/>
      <c r="AS92" s="100"/>
      <c r="AT92" s="100"/>
      <c r="AU92" s="100"/>
      <c r="AV92" s="100"/>
    </row>
    <row r="93" spans="1:48" ht="18.75">
      <c r="A93" s="125" t="s">
        <v>2350</v>
      </c>
      <c r="B93" s="125">
        <v>5</v>
      </c>
      <c r="C93" s="125">
        <v>5</v>
      </c>
      <c r="D93" s="124">
        <f t="shared" si="8"/>
        <v>5</v>
      </c>
      <c r="E93" s="125" t="s">
        <v>2229</v>
      </c>
      <c r="F93" s="126">
        <f t="shared" si="9"/>
        <v>5</v>
      </c>
      <c r="G93" s="125" t="s">
        <v>2228</v>
      </c>
      <c r="H93" s="126">
        <f t="shared" si="10"/>
        <v>0</v>
      </c>
      <c r="I93" s="125" t="s">
        <v>2227</v>
      </c>
      <c r="J93" s="126">
        <f t="shared" si="11"/>
        <v>0</v>
      </c>
      <c r="K93" s="125" t="s">
        <v>2226</v>
      </c>
      <c r="L93" s="124">
        <v>0.2</v>
      </c>
      <c r="M93" s="100"/>
      <c r="N93" s="101"/>
      <c r="O93" s="100"/>
      <c r="P93" s="100"/>
      <c r="Q93" s="100"/>
      <c r="R93" s="100"/>
      <c r="S93" s="100"/>
      <c r="T93" s="100"/>
      <c r="U93" s="100"/>
      <c r="X93" s="114" t="s">
        <v>13827</v>
      </c>
      <c r="Y93" s="115">
        <v>6350</v>
      </c>
      <c r="Z93" s="116">
        <f t="shared" si="12"/>
        <v>6350</v>
      </c>
      <c r="AA93" s="114" t="s">
        <v>2229</v>
      </c>
      <c r="AB93" s="117">
        <f t="shared" si="13"/>
        <v>6350</v>
      </c>
      <c r="AC93" s="114" t="s">
        <v>2228</v>
      </c>
      <c r="AD93" s="117">
        <f t="shared" si="14"/>
        <v>0</v>
      </c>
      <c r="AE93" s="114" t="s">
        <v>2227</v>
      </c>
      <c r="AF93" s="117">
        <f t="shared" si="15"/>
        <v>0</v>
      </c>
      <c r="AG93" s="114" t="s">
        <v>2226</v>
      </c>
      <c r="AH93" s="116">
        <v>254</v>
      </c>
      <c r="AI93" s="100"/>
      <c r="AJ93" s="100"/>
      <c r="AK93" s="100"/>
      <c r="AL93" s="100"/>
      <c r="AM93" s="100"/>
      <c r="AN93" s="100"/>
      <c r="AO93" s="100"/>
      <c r="AP93" s="100"/>
      <c r="AQ93" s="100"/>
      <c r="AR93" s="100"/>
      <c r="AS93" s="100"/>
      <c r="AT93" s="100"/>
      <c r="AU93" s="100"/>
      <c r="AV93" s="100"/>
    </row>
    <row r="94" spans="1:48" ht="18.75">
      <c r="A94" s="125" t="s">
        <v>2351</v>
      </c>
      <c r="B94" s="125">
        <v>5</v>
      </c>
      <c r="C94" s="125">
        <v>4</v>
      </c>
      <c r="D94" s="124">
        <f t="shared" si="8"/>
        <v>5</v>
      </c>
      <c r="E94" s="125" t="s">
        <v>2229</v>
      </c>
      <c r="F94" s="126">
        <f t="shared" si="9"/>
        <v>5</v>
      </c>
      <c r="G94" s="125" t="s">
        <v>2228</v>
      </c>
      <c r="H94" s="126">
        <f t="shared" si="10"/>
        <v>0</v>
      </c>
      <c r="I94" s="125" t="s">
        <v>2227</v>
      </c>
      <c r="J94" s="126">
        <f t="shared" si="11"/>
        <v>0</v>
      </c>
      <c r="K94" s="125" t="s">
        <v>2226</v>
      </c>
      <c r="L94" s="124">
        <v>0.2</v>
      </c>
      <c r="M94" s="100"/>
      <c r="N94" s="101"/>
      <c r="O94" s="100"/>
      <c r="P94" s="100"/>
      <c r="Q94" s="100"/>
      <c r="R94" s="100"/>
      <c r="S94" s="100"/>
      <c r="T94" s="100"/>
      <c r="U94" s="100"/>
      <c r="X94" s="114" t="s">
        <v>13828</v>
      </c>
      <c r="Y94" s="115">
        <v>55</v>
      </c>
      <c r="Z94" s="116">
        <f t="shared" si="12"/>
        <v>55</v>
      </c>
      <c r="AA94" s="114" t="s">
        <v>2229</v>
      </c>
      <c r="AB94" s="117">
        <f t="shared" si="13"/>
        <v>55</v>
      </c>
      <c r="AC94" s="114" t="s">
        <v>2228</v>
      </c>
      <c r="AD94" s="117">
        <f t="shared" si="14"/>
        <v>0</v>
      </c>
      <c r="AE94" s="114" t="s">
        <v>2227</v>
      </c>
      <c r="AF94" s="117">
        <f t="shared" si="15"/>
        <v>0</v>
      </c>
      <c r="AG94" s="114" t="s">
        <v>2226</v>
      </c>
      <c r="AH94" s="116">
        <v>2.2000000000000002</v>
      </c>
      <c r="AI94" s="100"/>
      <c r="AJ94" s="100"/>
      <c r="AK94" s="100"/>
      <c r="AL94" s="100"/>
      <c r="AM94" s="100"/>
      <c r="AN94" s="100"/>
      <c r="AO94" s="100"/>
      <c r="AP94" s="100"/>
      <c r="AQ94" s="100"/>
    </row>
    <row r="95" spans="1:48" ht="18.75">
      <c r="A95" s="125" t="s">
        <v>2352</v>
      </c>
      <c r="B95" s="125">
        <v>5</v>
      </c>
      <c r="C95" s="125">
        <v>0.5</v>
      </c>
      <c r="D95" s="124">
        <f t="shared" si="8"/>
        <v>5</v>
      </c>
      <c r="E95" s="125" t="s">
        <v>2229</v>
      </c>
      <c r="F95" s="126">
        <f t="shared" si="9"/>
        <v>5</v>
      </c>
      <c r="G95" s="125" t="s">
        <v>2228</v>
      </c>
      <c r="H95" s="126">
        <f t="shared" si="10"/>
        <v>0</v>
      </c>
      <c r="I95" s="125" t="s">
        <v>2227</v>
      </c>
      <c r="J95" s="126">
        <f t="shared" si="11"/>
        <v>0</v>
      </c>
      <c r="K95" s="125" t="s">
        <v>2226</v>
      </c>
      <c r="L95" s="124">
        <v>0.2</v>
      </c>
      <c r="M95" s="100"/>
      <c r="N95" s="101"/>
      <c r="O95" s="100"/>
      <c r="P95" s="100"/>
      <c r="Q95" s="100"/>
      <c r="R95" s="100"/>
      <c r="S95" s="100"/>
      <c r="T95" s="100"/>
      <c r="U95" s="100"/>
      <c r="X95" s="114" t="s">
        <v>13829</v>
      </c>
      <c r="Y95" s="115">
        <v>287.625</v>
      </c>
      <c r="Z95" s="116">
        <f t="shared" si="12"/>
        <v>287.625</v>
      </c>
      <c r="AA95" s="114" t="s">
        <v>2229</v>
      </c>
      <c r="AB95" s="117">
        <f t="shared" si="13"/>
        <v>287</v>
      </c>
      <c r="AC95" s="114" t="s">
        <v>2228</v>
      </c>
      <c r="AD95" s="117">
        <f t="shared" si="14"/>
        <v>6</v>
      </c>
      <c r="AE95" s="114" t="s">
        <v>2227</v>
      </c>
      <c r="AF95" s="117">
        <f t="shared" si="15"/>
        <v>2.5</v>
      </c>
      <c r="AG95" s="114" t="s">
        <v>2226</v>
      </c>
      <c r="AH95" s="116">
        <v>11.5</v>
      </c>
      <c r="AI95" s="100"/>
      <c r="AJ95" s="100"/>
      <c r="AK95" s="100"/>
      <c r="AL95" s="100"/>
      <c r="AM95" s="100"/>
      <c r="AN95" s="100"/>
      <c r="AO95" s="100"/>
      <c r="AP95" s="100"/>
      <c r="AQ95" s="100"/>
    </row>
    <row r="96" spans="1:48" ht="18.75">
      <c r="A96" s="125" t="s">
        <v>2353</v>
      </c>
      <c r="B96" s="125">
        <v>5</v>
      </c>
      <c r="C96" s="125">
        <v>8</v>
      </c>
      <c r="D96" s="124">
        <f t="shared" si="8"/>
        <v>5</v>
      </c>
      <c r="E96" s="125" t="s">
        <v>2229</v>
      </c>
      <c r="F96" s="126">
        <f t="shared" si="9"/>
        <v>5</v>
      </c>
      <c r="G96" s="125" t="s">
        <v>2228</v>
      </c>
      <c r="H96" s="126">
        <f t="shared" si="10"/>
        <v>0</v>
      </c>
      <c r="I96" s="125" t="s">
        <v>2227</v>
      </c>
      <c r="J96" s="126">
        <f t="shared" si="11"/>
        <v>0</v>
      </c>
      <c r="K96" s="125" t="s">
        <v>2226</v>
      </c>
      <c r="L96" s="124">
        <v>0.2</v>
      </c>
      <c r="M96" s="100"/>
      <c r="N96" s="101"/>
      <c r="O96" s="100"/>
      <c r="P96" s="100"/>
      <c r="Q96" s="100"/>
      <c r="R96" s="100"/>
      <c r="S96" s="100"/>
      <c r="T96" s="100"/>
      <c r="U96" s="100"/>
      <c r="X96" s="114" t="s">
        <v>13830</v>
      </c>
      <c r="Y96" s="115">
        <v>3937.5</v>
      </c>
      <c r="Z96" s="116">
        <f t="shared" si="12"/>
        <v>3937.5</v>
      </c>
      <c r="AA96" s="114" t="s">
        <v>2229</v>
      </c>
      <c r="AB96" s="117">
        <f t="shared" si="13"/>
        <v>3937</v>
      </c>
      <c r="AC96" s="114" t="s">
        <v>2228</v>
      </c>
      <c r="AD96" s="117">
        <f t="shared" si="14"/>
        <v>5</v>
      </c>
      <c r="AE96" s="114" t="s">
        <v>2227</v>
      </c>
      <c r="AF96" s="117">
        <f t="shared" si="15"/>
        <v>0</v>
      </c>
      <c r="AG96" s="114" t="s">
        <v>2226</v>
      </c>
      <c r="AH96" s="116">
        <v>157.5</v>
      </c>
      <c r="AI96" s="100"/>
      <c r="AJ96" s="100"/>
      <c r="AK96" s="100"/>
      <c r="AL96" s="100"/>
      <c r="AM96" s="100"/>
      <c r="AN96" s="100"/>
      <c r="AO96" s="100"/>
      <c r="AP96" s="100"/>
      <c r="AQ96" s="100"/>
    </row>
    <row r="97" spans="1:43" ht="18.75">
      <c r="A97" s="125" t="s">
        <v>2354</v>
      </c>
      <c r="B97" s="125">
        <v>5</v>
      </c>
      <c r="C97" s="125">
        <v>0</v>
      </c>
      <c r="D97" s="124">
        <f t="shared" si="8"/>
        <v>5</v>
      </c>
      <c r="E97" s="125" t="s">
        <v>2229</v>
      </c>
      <c r="F97" s="126">
        <f t="shared" si="9"/>
        <v>5</v>
      </c>
      <c r="G97" s="125" t="s">
        <v>2228</v>
      </c>
      <c r="H97" s="126">
        <f t="shared" si="10"/>
        <v>0</v>
      </c>
      <c r="I97" s="125" t="s">
        <v>2227</v>
      </c>
      <c r="J97" s="126">
        <f t="shared" si="11"/>
        <v>0</v>
      </c>
      <c r="K97" s="125" t="s">
        <v>2226</v>
      </c>
      <c r="L97" s="124">
        <v>0.2</v>
      </c>
      <c r="M97" s="100"/>
      <c r="N97" s="101"/>
      <c r="O97" s="100"/>
      <c r="P97" s="100"/>
      <c r="Q97" s="100"/>
      <c r="R97" s="100"/>
      <c r="S97" s="100"/>
      <c r="T97" s="100"/>
      <c r="U97" s="100"/>
      <c r="X97" s="114" t="s">
        <v>13831</v>
      </c>
      <c r="Y97" s="115">
        <v>4225</v>
      </c>
      <c r="Z97" s="116">
        <f t="shared" si="12"/>
        <v>4225</v>
      </c>
      <c r="AA97" s="114" t="s">
        <v>2229</v>
      </c>
      <c r="AB97" s="117">
        <f t="shared" si="13"/>
        <v>4225</v>
      </c>
      <c r="AC97" s="114" t="s">
        <v>2228</v>
      </c>
      <c r="AD97" s="117">
        <f t="shared" si="14"/>
        <v>0</v>
      </c>
      <c r="AE97" s="114" t="s">
        <v>2227</v>
      </c>
      <c r="AF97" s="117">
        <f t="shared" si="15"/>
        <v>0</v>
      </c>
      <c r="AG97" s="114" t="s">
        <v>2226</v>
      </c>
      <c r="AH97" s="116">
        <v>169</v>
      </c>
      <c r="AI97" s="100"/>
      <c r="AJ97" s="100"/>
      <c r="AK97" s="100"/>
      <c r="AL97" s="100"/>
      <c r="AM97" s="100"/>
      <c r="AN97" s="100"/>
      <c r="AO97" s="100"/>
      <c r="AP97" s="100"/>
      <c r="AQ97" s="100"/>
    </row>
    <row r="98" spans="1:43" ht="18.75">
      <c r="A98" s="125" t="s">
        <v>2355</v>
      </c>
      <c r="B98" s="125">
        <v>5</v>
      </c>
      <c r="C98" s="125">
        <v>18</v>
      </c>
      <c r="D98" s="124">
        <f t="shared" si="8"/>
        <v>5</v>
      </c>
      <c r="E98" s="125" t="s">
        <v>2229</v>
      </c>
      <c r="F98" s="126">
        <f t="shared" si="9"/>
        <v>5</v>
      </c>
      <c r="G98" s="125" t="s">
        <v>2228</v>
      </c>
      <c r="H98" s="126">
        <f t="shared" si="10"/>
        <v>0</v>
      </c>
      <c r="I98" s="125" t="s">
        <v>2227</v>
      </c>
      <c r="J98" s="126">
        <f t="shared" si="11"/>
        <v>0</v>
      </c>
      <c r="K98" s="125" t="s">
        <v>2226</v>
      </c>
      <c r="L98" s="124">
        <v>0.2</v>
      </c>
      <c r="M98" s="100"/>
      <c r="N98" s="101"/>
      <c r="O98" s="100"/>
      <c r="P98" s="100"/>
      <c r="Q98" s="100"/>
      <c r="R98" s="100"/>
      <c r="S98" s="100"/>
      <c r="T98" s="100"/>
      <c r="U98" s="100"/>
      <c r="X98" s="114" t="s">
        <v>13832</v>
      </c>
      <c r="Y98" s="115">
        <v>4812.625</v>
      </c>
      <c r="Z98" s="116">
        <f t="shared" si="12"/>
        <v>4812.625</v>
      </c>
      <c r="AA98" s="114" t="s">
        <v>2229</v>
      </c>
      <c r="AB98" s="117">
        <f t="shared" si="13"/>
        <v>4812</v>
      </c>
      <c r="AC98" s="114" t="s">
        <v>2228</v>
      </c>
      <c r="AD98" s="117">
        <f t="shared" si="14"/>
        <v>6</v>
      </c>
      <c r="AE98" s="114" t="s">
        <v>2227</v>
      </c>
      <c r="AF98" s="117">
        <f t="shared" si="15"/>
        <v>2.5</v>
      </c>
      <c r="AG98" s="114" t="s">
        <v>2226</v>
      </c>
      <c r="AH98" s="116">
        <v>192.5</v>
      </c>
      <c r="AI98" s="100"/>
      <c r="AJ98" s="100"/>
      <c r="AK98" s="100"/>
      <c r="AL98" s="100"/>
      <c r="AM98" s="100"/>
      <c r="AN98" s="100"/>
      <c r="AO98" s="100"/>
      <c r="AP98" s="100"/>
      <c r="AQ98" s="100"/>
    </row>
    <row r="99" spans="1:43" ht="18.75">
      <c r="A99" s="125" t="s">
        <v>2356</v>
      </c>
      <c r="B99" s="125">
        <v>5</v>
      </c>
      <c r="C99" s="125">
        <v>2</v>
      </c>
      <c r="D99" s="124">
        <f t="shared" si="8"/>
        <v>5</v>
      </c>
      <c r="E99" s="125" t="s">
        <v>2229</v>
      </c>
      <c r="F99" s="126">
        <f t="shared" si="9"/>
        <v>5</v>
      </c>
      <c r="G99" s="125" t="s">
        <v>2228</v>
      </c>
      <c r="H99" s="126">
        <f t="shared" si="10"/>
        <v>0</v>
      </c>
      <c r="I99" s="125" t="s">
        <v>2227</v>
      </c>
      <c r="J99" s="126">
        <f t="shared" si="11"/>
        <v>0</v>
      </c>
      <c r="K99" s="125" t="s">
        <v>2226</v>
      </c>
      <c r="L99" s="124">
        <v>0.2</v>
      </c>
      <c r="M99" s="100"/>
      <c r="N99" s="101"/>
      <c r="O99" s="100"/>
      <c r="P99" s="100"/>
      <c r="Q99" s="100"/>
      <c r="R99" s="100"/>
      <c r="S99" s="100"/>
      <c r="T99" s="100"/>
      <c r="U99" s="100"/>
      <c r="X99" s="114" t="s">
        <v>13833</v>
      </c>
      <c r="Y99" s="115">
        <v>19825.125</v>
      </c>
      <c r="Z99" s="116">
        <f t="shared" si="12"/>
        <v>19825.125</v>
      </c>
      <c r="AA99" s="114" t="s">
        <v>2229</v>
      </c>
      <c r="AB99" s="117">
        <f t="shared" si="13"/>
        <v>19825</v>
      </c>
      <c r="AC99" s="114" t="s">
        <v>2228</v>
      </c>
      <c r="AD99" s="117">
        <f t="shared" si="14"/>
        <v>1</v>
      </c>
      <c r="AE99" s="114" t="s">
        <v>2227</v>
      </c>
      <c r="AF99" s="117">
        <f t="shared" si="15"/>
        <v>2.5</v>
      </c>
      <c r="AG99" s="114" t="s">
        <v>2226</v>
      </c>
      <c r="AH99" s="116">
        <v>793</v>
      </c>
      <c r="AI99" s="100"/>
      <c r="AJ99" s="100"/>
      <c r="AK99" s="100"/>
      <c r="AL99" s="100"/>
      <c r="AM99" s="100"/>
      <c r="AN99" s="100"/>
      <c r="AO99" s="100"/>
      <c r="AP99" s="100"/>
      <c r="AQ99" s="100"/>
    </row>
    <row r="100" spans="1:43" ht="18.75">
      <c r="A100" s="125" t="s">
        <v>2357</v>
      </c>
      <c r="B100" s="125">
        <v>5</v>
      </c>
      <c r="C100" s="125">
        <v>3</v>
      </c>
      <c r="D100" s="124">
        <f t="shared" si="8"/>
        <v>5</v>
      </c>
      <c r="E100" s="125" t="s">
        <v>2229</v>
      </c>
      <c r="F100" s="126">
        <f t="shared" si="9"/>
        <v>5</v>
      </c>
      <c r="G100" s="125" t="s">
        <v>2228</v>
      </c>
      <c r="H100" s="126">
        <f t="shared" si="10"/>
        <v>0</v>
      </c>
      <c r="I100" s="125" t="s">
        <v>2227</v>
      </c>
      <c r="J100" s="126">
        <f t="shared" si="11"/>
        <v>0</v>
      </c>
      <c r="K100" s="125" t="s">
        <v>2226</v>
      </c>
      <c r="L100" s="124">
        <v>0.2</v>
      </c>
      <c r="M100" s="100"/>
      <c r="N100" s="101"/>
      <c r="O100" s="100"/>
      <c r="P100" s="100"/>
      <c r="Q100" s="100"/>
      <c r="R100" s="100"/>
      <c r="S100" s="100"/>
      <c r="T100" s="100"/>
      <c r="U100" s="100"/>
      <c r="X100" s="114" t="s">
        <v>13834</v>
      </c>
      <c r="Y100" s="115">
        <v>55</v>
      </c>
      <c r="Z100" s="116">
        <f t="shared" si="12"/>
        <v>55</v>
      </c>
      <c r="AA100" s="114" t="s">
        <v>2229</v>
      </c>
      <c r="AB100" s="117">
        <f t="shared" si="13"/>
        <v>55</v>
      </c>
      <c r="AC100" s="114" t="s">
        <v>2228</v>
      </c>
      <c r="AD100" s="117">
        <f t="shared" si="14"/>
        <v>0</v>
      </c>
      <c r="AE100" s="114" t="s">
        <v>2227</v>
      </c>
      <c r="AF100" s="117">
        <f t="shared" si="15"/>
        <v>0</v>
      </c>
      <c r="AG100" s="114" t="s">
        <v>2226</v>
      </c>
      <c r="AH100" s="116">
        <v>2.2000000000000002</v>
      </c>
      <c r="AI100" s="100"/>
      <c r="AJ100" s="100"/>
      <c r="AK100" s="100"/>
      <c r="AL100" s="100"/>
      <c r="AM100" s="100"/>
      <c r="AN100" s="100"/>
      <c r="AO100" s="100"/>
      <c r="AP100" s="100"/>
      <c r="AQ100" s="100"/>
    </row>
    <row r="101" spans="1:43" ht="18.75">
      <c r="A101" s="125" t="s">
        <v>2358</v>
      </c>
      <c r="B101" s="125">
        <v>5</v>
      </c>
      <c r="C101" s="125">
        <v>0</v>
      </c>
      <c r="D101" s="124">
        <f t="shared" si="8"/>
        <v>5</v>
      </c>
      <c r="E101" s="125" t="s">
        <v>2229</v>
      </c>
      <c r="F101" s="126">
        <f t="shared" si="9"/>
        <v>5</v>
      </c>
      <c r="G101" s="125" t="s">
        <v>2228</v>
      </c>
      <c r="H101" s="126">
        <f t="shared" si="10"/>
        <v>0</v>
      </c>
      <c r="I101" s="125" t="s">
        <v>2227</v>
      </c>
      <c r="J101" s="126">
        <f t="shared" si="11"/>
        <v>0</v>
      </c>
      <c r="K101" s="125" t="s">
        <v>2226</v>
      </c>
      <c r="L101" s="124">
        <v>0.2</v>
      </c>
      <c r="M101" s="100"/>
      <c r="N101" s="101"/>
      <c r="O101" s="100"/>
      <c r="P101" s="100"/>
      <c r="Q101" s="100"/>
      <c r="R101" s="100"/>
      <c r="S101" s="100"/>
      <c r="T101" s="100"/>
      <c r="U101" s="100"/>
      <c r="X101" s="114" t="s">
        <v>13835</v>
      </c>
      <c r="Y101" s="115">
        <v>725</v>
      </c>
      <c r="Z101" s="116">
        <f t="shared" si="12"/>
        <v>725</v>
      </c>
      <c r="AA101" s="114" t="s">
        <v>2229</v>
      </c>
      <c r="AB101" s="117">
        <f t="shared" si="13"/>
        <v>725</v>
      </c>
      <c r="AC101" s="114" t="s">
        <v>2228</v>
      </c>
      <c r="AD101" s="117">
        <f t="shared" si="14"/>
        <v>0</v>
      </c>
      <c r="AE101" s="114" t="s">
        <v>2227</v>
      </c>
      <c r="AF101" s="117">
        <f t="shared" si="15"/>
        <v>0</v>
      </c>
      <c r="AG101" s="114" t="s">
        <v>2226</v>
      </c>
      <c r="AH101" s="116">
        <v>29</v>
      </c>
      <c r="AI101" s="100"/>
      <c r="AJ101" s="100"/>
      <c r="AK101" s="100"/>
      <c r="AL101" s="100"/>
      <c r="AM101" s="100"/>
      <c r="AN101" s="100"/>
      <c r="AO101" s="100"/>
      <c r="AP101" s="100"/>
      <c r="AQ101" s="100"/>
    </row>
    <row r="102" spans="1:43" ht="18.75">
      <c r="A102" s="125" t="s">
        <v>2359</v>
      </c>
      <c r="B102" s="125">
        <v>5</v>
      </c>
      <c r="C102" s="125">
        <v>4</v>
      </c>
      <c r="D102" s="124">
        <f t="shared" si="8"/>
        <v>5</v>
      </c>
      <c r="E102" s="125" t="s">
        <v>2229</v>
      </c>
      <c r="F102" s="126">
        <f t="shared" si="9"/>
        <v>5</v>
      </c>
      <c r="G102" s="125" t="s">
        <v>2228</v>
      </c>
      <c r="H102" s="126">
        <f t="shared" si="10"/>
        <v>0</v>
      </c>
      <c r="I102" s="125" t="s">
        <v>2227</v>
      </c>
      <c r="J102" s="126">
        <f t="shared" si="11"/>
        <v>0</v>
      </c>
      <c r="K102" s="125" t="s">
        <v>2226</v>
      </c>
      <c r="L102" s="124">
        <v>0.2</v>
      </c>
      <c r="M102" s="100"/>
      <c r="N102" s="101"/>
      <c r="O102" s="100"/>
      <c r="P102" s="100"/>
      <c r="Q102" s="100"/>
      <c r="R102" s="100"/>
      <c r="S102" s="100"/>
      <c r="T102" s="100"/>
      <c r="U102" s="100"/>
      <c r="X102" s="114" t="s">
        <v>13836</v>
      </c>
      <c r="Y102" s="115">
        <v>5950</v>
      </c>
      <c r="Z102" s="116">
        <f t="shared" si="12"/>
        <v>5950</v>
      </c>
      <c r="AA102" s="114" t="s">
        <v>2229</v>
      </c>
      <c r="AB102" s="117">
        <f t="shared" si="13"/>
        <v>5950</v>
      </c>
      <c r="AC102" s="114" t="s">
        <v>2228</v>
      </c>
      <c r="AD102" s="117">
        <f t="shared" si="14"/>
        <v>0</v>
      </c>
      <c r="AE102" s="114" t="s">
        <v>2227</v>
      </c>
      <c r="AF102" s="117">
        <f t="shared" si="15"/>
        <v>0</v>
      </c>
      <c r="AG102" s="114" t="s">
        <v>2226</v>
      </c>
      <c r="AH102" s="116">
        <v>238</v>
      </c>
      <c r="AI102" s="100"/>
      <c r="AJ102" s="100"/>
      <c r="AK102" s="100"/>
      <c r="AL102" s="100"/>
      <c r="AM102" s="100"/>
      <c r="AN102" s="100"/>
      <c r="AO102" s="100"/>
      <c r="AP102" s="100"/>
      <c r="AQ102" s="100"/>
    </row>
    <row r="103" spans="1:43" ht="18.75">
      <c r="A103" s="125" t="s">
        <v>2360</v>
      </c>
      <c r="B103" s="125">
        <v>5</v>
      </c>
      <c r="C103" s="125">
        <v>4</v>
      </c>
      <c r="D103" s="124">
        <f t="shared" si="8"/>
        <v>5</v>
      </c>
      <c r="E103" s="125" t="s">
        <v>2229</v>
      </c>
      <c r="F103" s="126">
        <f t="shared" si="9"/>
        <v>5</v>
      </c>
      <c r="G103" s="125" t="s">
        <v>2228</v>
      </c>
      <c r="H103" s="126">
        <f t="shared" si="10"/>
        <v>0</v>
      </c>
      <c r="I103" s="125" t="s">
        <v>2227</v>
      </c>
      <c r="J103" s="126">
        <f t="shared" si="11"/>
        <v>0</v>
      </c>
      <c r="K103" s="125" t="s">
        <v>2226</v>
      </c>
      <c r="L103" s="124">
        <v>0.2</v>
      </c>
      <c r="M103" s="100"/>
      <c r="N103" s="101"/>
      <c r="O103" s="100"/>
      <c r="P103" s="100"/>
      <c r="Q103" s="100"/>
      <c r="R103" s="100"/>
      <c r="S103" s="100"/>
      <c r="T103" s="100"/>
      <c r="U103" s="100"/>
      <c r="X103" s="114" t="s">
        <v>13837</v>
      </c>
      <c r="Y103" s="115">
        <v>28000</v>
      </c>
      <c r="Z103" s="116">
        <f t="shared" si="12"/>
        <v>28000</v>
      </c>
      <c r="AA103" s="114" t="s">
        <v>2229</v>
      </c>
      <c r="AB103" s="117">
        <f t="shared" si="13"/>
        <v>28000</v>
      </c>
      <c r="AC103" s="114" t="s">
        <v>2228</v>
      </c>
      <c r="AD103" s="117">
        <f t="shared" si="14"/>
        <v>0</v>
      </c>
      <c r="AE103" s="114" t="s">
        <v>2227</v>
      </c>
      <c r="AF103" s="117">
        <f t="shared" si="15"/>
        <v>0</v>
      </c>
      <c r="AG103" s="114" t="s">
        <v>2226</v>
      </c>
      <c r="AH103" s="116">
        <v>1120</v>
      </c>
      <c r="AI103" s="100"/>
      <c r="AJ103" s="100"/>
      <c r="AK103" s="100"/>
      <c r="AL103" s="100"/>
      <c r="AM103" s="100"/>
      <c r="AN103" s="100"/>
      <c r="AO103" s="100"/>
      <c r="AP103" s="100"/>
      <c r="AQ103" s="100"/>
    </row>
    <row r="104" spans="1:43" ht="18.75">
      <c r="A104" s="125" t="s">
        <v>2361</v>
      </c>
      <c r="B104" s="125">
        <v>5</v>
      </c>
      <c r="C104" s="125">
        <v>2</v>
      </c>
      <c r="D104" s="124">
        <f t="shared" si="8"/>
        <v>5</v>
      </c>
      <c r="E104" s="125" t="s">
        <v>2229</v>
      </c>
      <c r="F104" s="126">
        <f t="shared" si="9"/>
        <v>5</v>
      </c>
      <c r="G104" s="125" t="s">
        <v>2228</v>
      </c>
      <c r="H104" s="126">
        <f t="shared" si="10"/>
        <v>0</v>
      </c>
      <c r="I104" s="125" t="s">
        <v>2227</v>
      </c>
      <c r="J104" s="126">
        <f t="shared" si="11"/>
        <v>0</v>
      </c>
      <c r="K104" s="125" t="s">
        <v>2226</v>
      </c>
      <c r="L104" s="124">
        <v>0.2</v>
      </c>
      <c r="M104" s="100"/>
      <c r="N104" s="101"/>
      <c r="O104" s="100"/>
      <c r="P104" s="100"/>
      <c r="Q104" s="100"/>
      <c r="R104" s="100"/>
      <c r="S104" s="100"/>
      <c r="T104" s="100"/>
      <c r="U104" s="100"/>
      <c r="X104" s="114" t="s">
        <v>13838</v>
      </c>
      <c r="Y104" s="115">
        <v>60</v>
      </c>
      <c r="Z104" s="116">
        <f t="shared" si="12"/>
        <v>60</v>
      </c>
      <c r="AA104" s="114" t="s">
        <v>2229</v>
      </c>
      <c r="AB104" s="117">
        <f t="shared" si="13"/>
        <v>60</v>
      </c>
      <c r="AC104" s="114" t="s">
        <v>2228</v>
      </c>
      <c r="AD104" s="117">
        <f t="shared" si="14"/>
        <v>0</v>
      </c>
      <c r="AE104" s="114" t="s">
        <v>2227</v>
      </c>
      <c r="AF104" s="117">
        <f t="shared" si="15"/>
        <v>0</v>
      </c>
      <c r="AG104" s="114" t="s">
        <v>2226</v>
      </c>
      <c r="AH104" s="116">
        <v>2.4</v>
      </c>
      <c r="AI104" s="100"/>
      <c r="AJ104" s="100"/>
      <c r="AK104" s="100"/>
      <c r="AL104" s="100"/>
      <c r="AM104" s="100"/>
      <c r="AN104" s="100"/>
      <c r="AO104" s="100"/>
      <c r="AP104" s="100"/>
      <c r="AQ104" s="100"/>
    </row>
    <row r="105" spans="1:43" ht="18.75">
      <c r="A105" s="125" t="s">
        <v>2362</v>
      </c>
      <c r="B105" s="125">
        <v>5</v>
      </c>
      <c r="C105" s="125">
        <v>4</v>
      </c>
      <c r="D105" s="124">
        <f t="shared" si="8"/>
        <v>5</v>
      </c>
      <c r="E105" s="125" t="s">
        <v>2229</v>
      </c>
      <c r="F105" s="126">
        <f t="shared" si="9"/>
        <v>5</v>
      </c>
      <c r="G105" s="125" t="s">
        <v>2228</v>
      </c>
      <c r="H105" s="126">
        <f t="shared" si="10"/>
        <v>0</v>
      </c>
      <c r="I105" s="125" t="s">
        <v>2227</v>
      </c>
      <c r="J105" s="126">
        <f t="shared" si="11"/>
        <v>0</v>
      </c>
      <c r="K105" s="125" t="s">
        <v>2226</v>
      </c>
      <c r="L105" s="124">
        <v>0.2</v>
      </c>
      <c r="M105" s="100"/>
      <c r="N105" s="101"/>
      <c r="O105" s="100"/>
      <c r="P105" s="100"/>
      <c r="Q105" s="100"/>
      <c r="R105" s="100"/>
      <c r="S105" s="100"/>
      <c r="T105" s="100"/>
      <c r="U105" s="100"/>
      <c r="X105" s="114" t="s">
        <v>13839</v>
      </c>
      <c r="Y105" s="115">
        <v>55</v>
      </c>
      <c r="Z105" s="116">
        <f t="shared" si="12"/>
        <v>55</v>
      </c>
      <c r="AA105" s="114" t="s">
        <v>2229</v>
      </c>
      <c r="AB105" s="117">
        <f t="shared" si="13"/>
        <v>55</v>
      </c>
      <c r="AC105" s="114" t="s">
        <v>2228</v>
      </c>
      <c r="AD105" s="117">
        <f t="shared" si="14"/>
        <v>0</v>
      </c>
      <c r="AE105" s="114" t="s">
        <v>2227</v>
      </c>
      <c r="AF105" s="117">
        <f t="shared" si="15"/>
        <v>0</v>
      </c>
      <c r="AG105" s="114" t="s">
        <v>2226</v>
      </c>
      <c r="AH105" s="116">
        <v>2.2000000000000002</v>
      </c>
      <c r="AI105" s="100"/>
      <c r="AJ105" s="100"/>
      <c r="AK105" s="100"/>
      <c r="AL105" s="100"/>
      <c r="AM105" s="100"/>
      <c r="AN105" s="100"/>
      <c r="AO105" s="100"/>
      <c r="AP105" s="100"/>
      <c r="AQ105" s="100"/>
    </row>
    <row r="106" spans="1:43" ht="18.75">
      <c r="A106" s="125" t="s">
        <v>2363</v>
      </c>
      <c r="B106" s="125">
        <v>4</v>
      </c>
      <c r="C106" s="125">
        <v>35</v>
      </c>
      <c r="D106" s="124">
        <f t="shared" si="8"/>
        <v>4</v>
      </c>
      <c r="E106" s="125" t="s">
        <v>2229</v>
      </c>
      <c r="F106" s="126">
        <f t="shared" si="9"/>
        <v>4</v>
      </c>
      <c r="G106" s="125" t="s">
        <v>2228</v>
      </c>
      <c r="H106" s="126">
        <f t="shared" si="10"/>
        <v>0</v>
      </c>
      <c r="I106" s="125" t="s">
        <v>2227</v>
      </c>
      <c r="J106" s="126">
        <f t="shared" si="11"/>
        <v>0</v>
      </c>
      <c r="K106" s="125" t="s">
        <v>2226</v>
      </c>
      <c r="L106" s="124">
        <v>0.16</v>
      </c>
      <c r="M106" s="100"/>
      <c r="N106" s="101"/>
      <c r="O106" s="100"/>
      <c r="P106" s="100"/>
      <c r="Q106" s="100"/>
      <c r="R106" s="100"/>
      <c r="S106" s="100"/>
      <c r="T106" s="100"/>
      <c r="U106" s="100"/>
      <c r="X106" s="114" t="s">
        <v>13840</v>
      </c>
      <c r="Y106" s="115">
        <v>6875.25</v>
      </c>
      <c r="Z106" s="116">
        <f t="shared" si="12"/>
        <v>6875.25</v>
      </c>
      <c r="AA106" s="114" t="s">
        <v>2229</v>
      </c>
      <c r="AB106" s="117">
        <f t="shared" si="13"/>
        <v>6875</v>
      </c>
      <c r="AC106" s="114" t="s">
        <v>2228</v>
      </c>
      <c r="AD106" s="117">
        <f t="shared" si="14"/>
        <v>2</v>
      </c>
      <c r="AE106" s="114" t="s">
        <v>2227</v>
      </c>
      <c r="AF106" s="117">
        <f t="shared" si="15"/>
        <v>5</v>
      </c>
      <c r="AG106" s="114" t="s">
        <v>2226</v>
      </c>
      <c r="AH106" s="116">
        <v>275.01</v>
      </c>
      <c r="AI106" s="100"/>
      <c r="AJ106" s="100"/>
      <c r="AK106" s="100"/>
      <c r="AL106" s="100"/>
      <c r="AM106" s="100"/>
      <c r="AN106" s="100"/>
      <c r="AO106" s="100"/>
      <c r="AP106" s="100"/>
      <c r="AQ106" s="100"/>
    </row>
    <row r="107" spans="1:43" ht="18.75">
      <c r="A107" s="125" t="s">
        <v>2364</v>
      </c>
      <c r="B107" s="125">
        <v>3</v>
      </c>
      <c r="C107" s="125">
        <v>2</v>
      </c>
      <c r="D107" s="124">
        <f t="shared" si="8"/>
        <v>3</v>
      </c>
      <c r="E107" s="125" t="s">
        <v>2229</v>
      </c>
      <c r="F107" s="126">
        <f t="shared" si="9"/>
        <v>3</v>
      </c>
      <c r="G107" s="125" t="s">
        <v>2228</v>
      </c>
      <c r="H107" s="126">
        <f t="shared" si="10"/>
        <v>0</v>
      </c>
      <c r="I107" s="125" t="s">
        <v>2227</v>
      </c>
      <c r="J107" s="126">
        <f t="shared" si="11"/>
        <v>0</v>
      </c>
      <c r="K107" s="125" t="s">
        <v>2226</v>
      </c>
      <c r="L107" s="124">
        <v>0.12</v>
      </c>
      <c r="M107" s="100"/>
      <c r="N107" s="101"/>
      <c r="O107" s="100"/>
      <c r="P107" s="100"/>
      <c r="Q107" s="100"/>
      <c r="R107" s="100"/>
      <c r="S107" s="100"/>
      <c r="T107" s="100"/>
      <c r="U107" s="100"/>
      <c r="X107" s="114" t="s">
        <v>13841</v>
      </c>
      <c r="Y107" s="115">
        <v>31250.25</v>
      </c>
      <c r="Z107" s="116">
        <f t="shared" si="12"/>
        <v>31250.25</v>
      </c>
      <c r="AA107" s="114" t="s">
        <v>2229</v>
      </c>
      <c r="AB107" s="117">
        <f t="shared" si="13"/>
        <v>31250</v>
      </c>
      <c r="AC107" s="114" t="s">
        <v>2228</v>
      </c>
      <c r="AD107" s="117">
        <f t="shared" si="14"/>
        <v>2</v>
      </c>
      <c r="AE107" s="114" t="s">
        <v>2227</v>
      </c>
      <c r="AF107" s="117">
        <f t="shared" si="15"/>
        <v>5</v>
      </c>
      <c r="AG107" s="114" t="s">
        <v>2226</v>
      </c>
      <c r="AH107" s="116">
        <v>1250.01</v>
      </c>
      <c r="AI107" s="100"/>
      <c r="AJ107" s="100"/>
      <c r="AK107" s="100"/>
      <c r="AL107" s="100"/>
      <c r="AM107" s="100"/>
      <c r="AN107" s="100"/>
      <c r="AO107" s="100"/>
      <c r="AP107" s="100"/>
      <c r="AQ107" s="100"/>
    </row>
    <row r="108" spans="1:43" ht="18.75">
      <c r="A108" s="125" t="s">
        <v>2365</v>
      </c>
      <c r="B108" s="125">
        <v>2</v>
      </c>
      <c r="C108" s="125">
        <v>2</v>
      </c>
      <c r="D108" s="124">
        <f t="shared" si="8"/>
        <v>2</v>
      </c>
      <c r="E108" s="125" t="s">
        <v>2229</v>
      </c>
      <c r="F108" s="126">
        <f t="shared" si="9"/>
        <v>2</v>
      </c>
      <c r="G108" s="125" t="s">
        <v>2228</v>
      </c>
      <c r="H108" s="126">
        <f t="shared" si="10"/>
        <v>0</v>
      </c>
      <c r="I108" s="125" t="s">
        <v>2227</v>
      </c>
      <c r="J108" s="126">
        <f t="shared" si="11"/>
        <v>0</v>
      </c>
      <c r="K108" s="125" t="s">
        <v>2226</v>
      </c>
      <c r="L108" s="124">
        <v>0.08</v>
      </c>
      <c r="M108" s="100"/>
      <c r="N108" s="101"/>
      <c r="O108" s="100"/>
      <c r="P108" s="100"/>
      <c r="Q108" s="100"/>
      <c r="R108" s="100"/>
      <c r="S108" s="100"/>
      <c r="T108" s="100"/>
      <c r="U108" s="100"/>
      <c r="X108" s="114" t="s">
        <v>13842</v>
      </c>
      <c r="Y108" s="115">
        <v>6350</v>
      </c>
      <c r="Z108" s="116">
        <f t="shared" si="12"/>
        <v>6350</v>
      </c>
      <c r="AA108" s="114" t="s">
        <v>2229</v>
      </c>
      <c r="AB108" s="117">
        <f t="shared" si="13"/>
        <v>6350</v>
      </c>
      <c r="AC108" s="114" t="s">
        <v>2228</v>
      </c>
      <c r="AD108" s="117">
        <f t="shared" si="14"/>
        <v>0</v>
      </c>
      <c r="AE108" s="114" t="s">
        <v>2227</v>
      </c>
      <c r="AF108" s="117">
        <f t="shared" si="15"/>
        <v>0</v>
      </c>
      <c r="AG108" s="114" t="s">
        <v>2226</v>
      </c>
      <c r="AH108" s="116">
        <v>254</v>
      </c>
      <c r="AI108" s="100"/>
      <c r="AJ108" s="100"/>
      <c r="AK108" s="100"/>
      <c r="AL108" s="100"/>
      <c r="AM108" s="100"/>
      <c r="AN108" s="100"/>
      <c r="AO108" s="100"/>
      <c r="AP108" s="100"/>
      <c r="AQ108" s="100"/>
    </row>
    <row r="109" spans="1:43" ht="18.75">
      <c r="A109" s="125" t="s">
        <v>2366</v>
      </c>
      <c r="B109" s="125">
        <v>2</v>
      </c>
      <c r="C109" s="125">
        <v>5</v>
      </c>
      <c r="D109" s="124">
        <f t="shared" si="8"/>
        <v>2</v>
      </c>
      <c r="E109" s="125" t="s">
        <v>2229</v>
      </c>
      <c r="F109" s="126">
        <f t="shared" si="9"/>
        <v>2</v>
      </c>
      <c r="G109" s="125" t="s">
        <v>2228</v>
      </c>
      <c r="H109" s="126">
        <f t="shared" si="10"/>
        <v>0</v>
      </c>
      <c r="I109" s="125" t="s">
        <v>2227</v>
      </c>
      <c r="J109" s="126">
        <f t="shared" si="11"/>
        <v>0</v>
      </c>
      <c r="K109" s="125" t="s">
        <v>2226</v>
      </c>
      <c r="L109" s="124">
        <v>0.08</v>
      </c>
      <c r="M109" s="100"/>
      <c r="N109" s="101"/>
      <c r="O109" s="100"/>
      <c r="P109" s="100"/>
      <c r="Q109" s="100"/>
      <c r="R109" s="100"/>
      <c r="S109" s="100"/>
      <c r="T109" s="100"/>
      <c r="U109" s="100"/>
      <c r="X109" s="114" t="s">
        <v>13843</v>
      </c>
      <c r="Y109" s="115">
        <v>70</v>
      </c>
      <c r="Z109" s="116">
        <f t="shared" si="12"/>
        <v>70</v>
      </c>
      <c r="AA109" s="114" t="s">
        <v>2229</v>
      </c>
      <c r="AB109" s="117">
        <f t="shared" si="13"/>
        <v>70</v>
      </c>
      <c r="AC109" s="114" t="s">
        <v>2228</v>
      </c>
      <c r="AD109" s="117">
        <f t="shared" si="14"/>
        <v>0</v>
      </c>
      <c r="AE109" s="114" t="s">
        <v>2227</v>
      </c>
      <c r="AF109" s="117">
        <f t="shared" si="15"/>
        <v>0</v>
      </c>
      <c r="AG109" s="114" t="s">
        <v>2226</v>
      </c>
      <c r="AH109" s="116">
        <v>2.8000000000000003</v>
      </c>
      <c r="AI109" s="100"/>
      <c r="AJ109" s="100"/>
      <c r="AK109" s="100"/>
      <c r="AL109" s="100"/>
      <c r="AM109" s="100"/>
      <c r="AN109" s="100"/>
      <c r="AO109" s="100"/>
      <c r="AP109" s="100"/>
      <c r="AQ109" s="100"/>
    </row>
    <row r="110" spans="1:43" ht="18.75">
      <c r="A110" s="125" t="s">
        <v>2367</v>
      </c>
      <c r="B110" s="125">
        <v>2</v>
      </c>
      <c r="C110" s="125">
        <v>70</v>
      </c>
      <c r="D110" s="124">
        <f t="shared" si="8"/>
        <v>2</v>
      </c>
      <c r="E110" s="125" t="s">
        <v>2229</v>
      </c>
      <c r="F110" s="126">
        <f t="shared" si="9"/>
        <v>2</v>
      </c>
      <c r="G110" s="125" t="s">
        <v>2228</v>
      </c>
      <c r="H110" s="126">
        <f t="shared" si="10"/>
        <v>0</v>
      </c>
      <c r="I110" s="125" t="s">
        <v>2227</v>
      </c>
      <c r="J110" s="126">
        <f t="shared" si="11"/>
        <v>0</v>
      </c>
      <c r="K110" s="125" t="s">
        <v>2226</v>
      </c>
      <c r="L110" s="124">
        <v>0.08</v>
      </c>
      <c r="M110" s="100"/>
      <c r="N110" s="101"/>
      <c r="O110" s="100"/>
      <c r="P110" s="100"/>
      <c r="Q110" s="100"/>
      <c r="R110" s="100"/>
      <c r="S110" s="100"/>
      <c r="T110" s="100"/>
      <c r="U110" s="100"/>
      <c r="X110" s="114" t="s">
        <v>13844</v>
      </c>
      <c r="Y110" s="115">
        <v>4187.625</v>
      </c>
      <c r="Z110" s="116">
        <f t="shared" si="12"/>
        <v>4187.625</v>
      </c>
      <c r="AA110" s="114" t="s">
        <v>2229</v>
      </c>
      <c r="AB110" s="117">
        <f t="shared" si="13"/>
        <v>4187</v>
      </c>
      <c r="AC110" s="114" t="s">
        <v>2228</v>
      </c>
      <c r="AD110" s="117">
        <f t="shared" si="14"/>
        <v>6</v>
      </c>
      <c r="AE110" s="114" t="s">
        <v>2227</v>
      </c>
      <c r="AF110" s="117">
        <f t="shared" si="15"/>
        <v>2.5</v>
      </c>
      <c r="AG110" s="114" t="s">
        <v>2226</v>
      </c>
      <c r="AH110" s="116">
        <v>167.5</v>
      </c>
      <c r="AI110" s="100"/>
      <c r="AJ110" s="100"/>
      <c r="AK110" s="100"/>
      <c r="AL110" s="100"/>
      <c r="AM110" s="100"/>
      <c r="AN110" s="100"/>
      <c r="AO110" s="100"/>
      <c r="AP110" s="100"/>
      <c r="AQ110" s="100"/>
    </row>
    <row r="111" spans="1:43" ht="18.75">
      <c r="A111" s="125" t="s">
        <v>2368</v>
      </c>
      <c r="B111" s="125">
        <v>2</v>
      </c>
      <c r="C111" s="125">
        <v>2</v>
      </c>
      <c r="D111" s="124">
        <f t="shared" si="8"/>
        <v>2</v>
      </c>
      <c r="E111" s="125" t="s">
        <v>2229</v>
      </c>
      <c r="F111" s="126">
        <f t="shared" si="9"/>
        <v>2</v>
      </c>
      <c r="G111" s="125" t="s">
        <v>2228</v>
      </c>
      <c r="H111" s="126">
        <f t="shared" si="10"/>
        <v>0</v>
      </c>
      <c r="I111" s="125" t="s">
        <v>2227</v>
      </c>
      <c r="J111" s="126">
        <f t="shared" si="11"/>
        <v>0</v>
      </c>
      <c r="K111" s="125" t="s">
        <v>2226</v>
      </c>
      <c r="L111" s="124">
        <v>0.08</v>
      </c>
      <c r="M111" s="100"/>
      <c r="N111" s="101"/>
      <c r="O111" s="100"/>
      <c r="P111" s="100"/>
      <c r="Q111" s="100"/>
      <c r="R111" s="100"/>
      <c r="S111" s="100"/>
      <c r="T111" s="100"/>
      <c r="U111" s="100"/>
      <c r="X111" s="114" t="s">
        <v>13845</v>
      </c>
      <c r="Y111" s="115">
        <v>60</v>
      </c>
      <c r="Z111" s="116">
        <f t="shared" si="12"/>
        <v>60</v>
      </c>
      <c r="AA111" s="114" t="s">
        <v>2229</v>
      </c>
      <c r="AB111" s="117">
        <f t="shared" si="13"/>
        <v>60</v>
      </c>
      <c r="AC111" s="114" t="s">
        <v>2228</v>
      </c>
      <c r="AD111" s="117">
        <f t="shared" si="14"/>
        <v>0</v>
      </c>
      <c r="AE111" s="114" t="s">
        <v>2227</v>
      </c>
      <c r="AF111" s="117">
        <f t="shared" si="15"/>
        <v>0</v>
      </c>
      <c r="AG111" s="114" t="s">
        <v>2226</v>
      </c>
      <c r="AH111" s="116">
        <v>2.4</v>
      </c>
      <c r="AI111" s="100"/>
      <c r="AJ111" s="100"/>
      <c r="AK111" s="100"/>
      <c r="AL111" s="100"/>
      <c r="AM111" s="100"/>
      <c r="AN111" s="100"/>
      <c r="AO111" s="100"/>
      <c r="AP111" s="100"/>
      <c r="AQ111" s="100"/>
    </row>
    <row r="112" spans="1:43" ht="18.75">
      <c r="A112" s="125" t="s">
        <v>2369</v>
      </c>
      <c r="B112" s="125">
        <v>2</v>
      </c>
      <c r="C112" s="125">
        <v>4</v>
      </c>
      <c r="D112" s="124">
        <f t="shared" si="8"/>
        <v>2</v>
      </c>
      <c r="E112" s="125" t="s">
        <v>2229</v>
      </c>
      <c r="F112" s="126">
        <f t="shared" si="9"/>
        <v>2</v>
      </c>
      <c r="G112" s="125" t="s">
        <v>2228</v>
      </c>
      <c r="H112" s="126">
        <f t="shared" si="10"/>
        <v>0</v>
      </c>
      <c r="I112" s="125" t="s">
        <v>2227</v>
      </c>
      <c r="J112" s="126">
        <f t="shared" si="11"/>
        <v>0</v>
      </c>
      <c r="K112" s="125" t="s">
        <v>2226</v>
      </c>
      <c r="L112" s="124">
        <v>0.08</v>
      </c>
      <c r="M112" s="100"/>
      <c r="N112" s="101"/>
      <c r="O112" s="100"/>
      <c r="P112" s="100"/>
      <c r="Q112" s="100"/>
      <c r="R112" s="100"/>
      <c r="S112" s="100"/>
      <c r="T112" s="100"/>
      <c r="U112" s="100"/>
      <c r="X112" s="114" t="s">
        <v>13846</v>
      </c>
      <c r="Y112" s="115">
        <v>2250</v>
      </c>
      <c r="Z112" s="116">
        <f t="shared" si="12"/>
        <v>2250</v>
      </c>
      <c r="AA112" s="114" t="s">
        <v>2229</v>
      </c>
      <c r="AB112" s="117">
        <f t="shared" si="13"/>
        <v>2250</v>
      </c>
      <c r="AC112" s="114" t="s">
        <v>2228</v>
      </c>
      <c r="AD112" s="117">
        <f t="shared" si="14"/>
        <v>0</v>
      </c>
      <c r="AE112" s="114" t="s">
        <v>2227</v>
      </c>
      <c r="AF112" s="117">
        <f t="shared" si="15"/>
        <v>0</v>
      </c>
      <c r="AG112" s="114" t="s">
        <v>2226</v>
      </c>
      <c r="AH112" s="116">
        <v>90</v>
      </c>
      <c r="AI112" s="100"/>
      <c r="AJ112" s="100"/>
      <c r="AK112" s="100"/>
      <c r="AL112" s="100"/>
      <c r="AM112" s="100"/>
      <c r="AN112" s="100"/>
      <c r="AO112" s="100"/>
      <c r="AP112" s="100"/>
      <c r="AQ112" s="100"/>
    </row>
    <row r="113" spans="1:43" ht="18.75">
      <c r="A113" s="125" t="s">
        <v>2370</v>
      </c>
      <c r="B113" s="125">
        <v>2</v>
      </c>
      <c r="C113" s="125">
        <v>5</v>
      </c>
      <c r="D113" s="124">
        <f t="shared" si="8"/>
        <v>2</v>
      </c>
      <c r="E113" s="125" t="s">
        <v>2229</v>
      </c>
      <c r="F113" s="126">
        <f t="shared" si="9"/>
        <v>2</v>
      </c>
      <c r="G113" s="125" t="s">
        <v>2228</v>
      </c>
      <c r="H113" s="126">
        <f t="shared" si="10"/>
        <v>0</v>
      </c>
      <c r="I113" s="125" t="s">
        <v>2227</v>
      </c>
      <c r="J113" s="126">
        <f t="shared" si="11"/>
        <v>0</v>
      </c>
      <c r="K113" s="125" t="s">
        <v>2226</v>
      </c>
      <c r="L113" s="124">
        <v>0.08</v>
      </c>
      <c r="M113" s="100"/>
      <c r="N113" s="101"/>
      <c r="O113" s="100"/>
      <c r="P113" s="100"/>
      <c r="Q113" s="100"/>
      <c r="R113" s="100"/>
      <c r="S113" s="100"/>
      <c r="T113" s="100"/>
      <c r="U113" s="100"/>
      <c r="X113" s="114" t="s">
        <v>13847</v>
      </c>
      <c r="Y113" s="115">
        <v>21875.125</v>
      </c>
      <c r="Z113" s="116">
        <f t="shared" si="12"/>
        <v>21875.125</v>
      </c>
      <c r="AA113" s="114" t="s">
        <v>2229</v>
      </c>
      <c r="AB113" s="117">
        <f t="shared" si="13"/>
        <v>21875</v>
      </c>
      <c r="AC113" s="114" t="s">
        <v>2228</v>
      </c>
      <c r="AD113" s="117">
        <f t="shared" si="14"/>
        <v>1</v>
      </c>
      <c r="AE113" s="114" t="s">
        <v>2227</v>
      </c>
      <c r="AF113" s="117">
        <f t="shared" si="15"/>
        <v>2.5</v>
      </c>
      <c r="AG113" s="114" t="s">
        <v>2226</v>
      </c>
      <c r="AH113" s="116">
        <v>875</v>
      </c>
      <c r="AI113" s="100"/>
      <c r="AJ113" s="100"/>
      <c r="AK113" s="100"/>
      <c r="AL113" s="100"/>
      <c r="AM113" s="100"/>
      <c r="AN113" s="100"/>
      <c r="AO113" s="100"/>
      <c r="AP113" s="100"/>
      <c r="AQ113" s="100"/>
    </row>
    <row r="114" spans="1:43" ht="18.75">
      <c r="A114" s="125" t="s">
        <v>2371</v>
      </c>
      <c r="B114" s="125">
        <v>2</v>
      </c>
      <c r="C114" s="125">
        <v>1</v>
      </c>
      <c r="D114" s="124">
        <f t="shared" si="8"/>
        <v>2</v>
      </c>
      <c r="E114" s="125" t="s">
        <v>2229</v>
      </c>
      <c r="F114" s="126">
        <f t="shared" si="9"/>
        <v>2</v>
      </c>
      <c r="G114" s="125" t="s">
        <v>2228</v>
      </c>
      <c r="H114" s="126">
        <f t="shared" si="10"/>
        <v>0</v>
      </c>
      <c r="I114" s="125" t="s">
        <v>2227</v>
      </c>
      <c r="J114" s="126">
        <f t="shared" si="11"/>
        <v>0</v>
      </c>
      <c r="K114" s="125" t="s">
        <v>2226</v>
      </c>
      <c r="L114" s="124">
        <v>0.08</v>
      </c>
      <c r="M114" s="100"/>
      <c r="N114" s="101"/>
      <c r="O114" s="100"/>
      <c r="P114" s="100"/>
      <c r="Q114" s="100"/>
      <c r="R114" s="100"/>
      <c r="S114" s="100"/>
      <c r="T114" s="100"/>
      <c r="U114" s="100"/>
      <c r="X114" s="114" t="s">
        <v>13848</v>
      </c>
      <c r="Y114" s="115">
        <v>925</v>
      </c>
      <c r="Z114" s="116">
        <f t="shared" si="12"/>
        <v>925</v>
      </c>
      <c r="AA114" s="114" t="s">
        <v>2229</v>
      </c>
      <c r="AB114" s="117">
        <f t="shared" si="13"/>
        <v>925</v>
      </c>
      <c r="AC114" s="114" t="s">
        <v>2228</v>
      </c>
      <c r="AD114" s="117">
        <f t="shared" si="14"/>
        <v>0</v>
      </c>
      <c r="AE114" s="114" t="s">
        <v>2227</v>
      </c>
      <c r="AF114" s="117">
        <f t="shared" si="15"/>
        <v>0</v>
      </c>
      <c r="AG114" s="114" t="s">
        <v>2226</v>
      </c>
      <c r="AH114" s="116">
        <v>37</v>
      </c>
      <c r="AI114" s="100"/>
      <c r="AJ114" s="100"/>
      <c r="AK114" s="100"/>
      <c r="AL114" s="100"/>
      <c r="AM114" s="100"/>
      <c r="AN114" s="100"/>
      <c r="AO114" s="100"/>
      <c r="AP114" s="100"/>
      <c r="AQ114" s="100"/>
    </row>
    <row r="115" spans="1:43" ht="18.75">
      <c r="A115" s="125" t="s">
        <v>2372</v>
      </c>
      <c r="B115" s="125">
        <v>2</v>
      </c>
      <c r="C115" s="125">
        <v>1</v>
      </c>
      <c r="D115" s="124">
        <f t="shared" si="8"/>
        <v>2</v>
      </c>
      <c r="E115" s="125" t="s">
        <v>2229</v>
      </c>
      <c r="F115" s="126">
        <f t="shared" si="9"/>
        <v>2</v>
      </c>
      <c r="G115" s="125" t="s">
        <v>2228</v>
      </c>
      <c r="H115" s="126">
        <f t="shared" si="10"/>
        <v>0</v>
      </c>
      <c r="I115" s="125" t="s">
        <v>2227</v>
      </c>
      <c r="J115" s="126">
        <f t="shared" si="11"/>
        <v>0</v>
      </c>
      <c r="K115" s="125" t="s">
        <v>2226</v>
      </c>
      <c r="L115" s="124">
        <v>0.08</v>
      </c>
      <c r="M115" s="100"/>
      <c r="N115" s="101"/>
      <c r="O115" s="100"/>
      <c r="P115" s="100"/>
      <c r="Q115" s="100"/>
      <c r="R115" s="100"/>
      <c r="S115" s="100"/>
      <c r="T115" s="100"/>
      <c r="U115" s="100"/>
      <c r="X115" s="114" t="s">
        <v>13849</v>
      </c>
      <c r="Y115" s="115">
        <v>325.25</v>
      </c>
      <c r="Z115" s="116">
        <f t="shared" si="12"/>
        <v>325.25</v>
      </c>
      <c r="AA115" s="114" t="s">
        <v>2229</v>
      </c>
      <c r="AB115" s="117">
        <f t="shared" si="13"/>
        <v>325</v>
      </c>
      <c r="AC115" s="114" t="s">
        <v>2228</v>
      </c>
      <c r="AD115" s="117">
        <f t="shared" si="14"/>
        <v>2</v>
      </c>
      <c r="AE115" s="114" t="s">
        <v>2227</v>
      </c>
      <c r="AF115" s="117">
        <f t="shared" si="15"/>
        <v>5</v>
      </c>
      <c r="AG115" s="114" t="s">
        <v>2226</v>
      </c>
      <c r="AH115" s="116">
        <v>13.01</v>
      </c>
      <c r="AI115" s="100"/>
      <c r="AJ115" s="100"/>
      <c r="AK115" s="100"/>
      <c r="AL115" s="100"/>
      <c r="AM115" s="100"/>
      <c r="AN115" s="100"/>
      <c r="AO115" s="100"/>
      <c r="AP115" s="100"/>
      <c r="AQ115" s="100"/>
    </row>
    <row r="116" spans="1:43" ht="18.75">
      <c r="A116" s="125" t="s">
        <v>2373</v>
      </c>
      <c r="B116" s="125">
        <v>2</v>
      </c>
      <c r="C116" s="125">
        <v>4</v>
      </c>
      <c r="D116" s="124">
        <f t="shared" si="8"/>
        <v>2</v>
      </c>
      <c r="E116" s="125" t="s">
        <v>2229</v>
      </c>
      <c r="F116" s="126">
        <f t="shared" si="9"/>
        <v>2</v>
      </c>
      <c r="G116" s="125" t="s">
        <v>2228</v>
      </c>
      <c r="H116" s="126">
        <f t="shared" si="10"/>
        <v>0</v>
      </c>
      <c r="I116" s="125" t="s">
        <v>2227</v>
      </c>
      <c r="J116" s="126">
        <f t="shared" si="11"/>
        <v>0</v>
      </c>
      <c r="K116" s="125" t="s">
        <v>2226</v>
      </c>
      <c r="L116" s="124">
        <v>0.08</v>
      </c>
      <c r="M116" s="100"/>
      <c r="N116" s="101"/>
      <c r="O116" s="100"/>
      <c r="P116" s="100"/>
      <c r="Q116" s="100"/>
      <c r="R116" s="100"/>
      <c r="S116" s="100"/>
      <c r="T116" s="100"/>
      <c r="U116" s="100"/>
      <c r="X116" s="114" t="s">
        <v>13850</v>
      </c>
      <c r="Y116" s="115">
        <v>5637.625</v>
      </c>
      <c r="Z116" s="116">
        <f t="shared" si="12"/>
        <v>5637.625</v>
      </c>
      <c r="AA116" s="114" t="s">
        <v>2229</v>
      </c>
      <c r="AB116" s="117">
        <f t="shared" si="13"/>
        <v>5637</v>
      </c>
      <c r="AC116" s="114" t="s">
        <v>2228</v>
      </c>
      <c r="AD116" s="117">
        <f t="shared" si="14"/>
        <v>6</v>
      </c>
      <c r="AE116" s="114" t="s">
        <v>2227</v>
      </c>
      <c r="AF116" s="117">
        <f t="shared" si="15"/>
        <v>2.5</v>
      </c>
      <c r="AG116" s="114" t="s">
        <v>2226</v>
      </c>
      <c r="AH116" s="116">
        <v>225.5</v>
      </c>
      <c r="AI116" s="100"/>
      <c r="AJ116" s="100"/>
      <c r="AK116" s="100"/>
      <c r="AL116" s="100"/>
      <c r="AM116" s="100"/>
      <c r="AN116" s="100"/>
      <c r="AO116" s="100"/>
      <c r="AP116" s="100"/>
      <c r="AQ116" s="100"/>
    </row>
    <row r="117" spans="1:43" ht="18.75">
      <c r="A117" s="125" t="s">
        <v>2374</v>
      </c>
      <c r="B117" s="125">
        <v>2</v>
      </c>
      <c r="C117" s="125">
        <v>10</v>
      </c>
      <c r="D117" s="124">
        <f t="shared" si="8"/>
        <v>2</v>
      </c>
      <c r="E117" s="125" t="s">
        <v>2229</v>
      </c>
      <c r="F117" s="126">
        <f t="shared" si="9"/>
        <v>2</v>
      </c>
      <c r="G117" s="125" t="s">
        <v>2228</v>
      </c>
      <c r="H117" s="126">
        <f t="shared" si="10"/>
        <v>0</v>
      </c>
      <c r="I117" s="125" t="s">
        <v>2227</v>
      </c>
      <c r="J117" s="126">
        <f t="shared" si="11"/>
        <v>0</v>
      </c>
      <c r="K117" s="125" t="s">
        <v>2226</v>
      </c>
      <c r="L117" s="124">
        <v>0.08</v>
      </c>
      <c r="M117" s="100"/>
      <c r="N117" s="101"/>
      <c r="O117" s="100"/>
      <c r="P117" s="100"/>
      <c r="Q117" s="100"/>
      <c r="R117" s="100"/>
      <c r="S117" s="100"/>
      <c r="T117" s="100"/>
      <c r="U117" s="100"/>
      <c r="X117" s="114" t="s">
        <v>13851</v>
      </c>
      <c r="Y117" s="115">
        <v>5587.625</v>
      </c>
      <c r="Z117" s="116">
        <f t="shared" si="12"/>
        <v>5587.625</v>
      </c>
      <c r="AA117" s="114" t="s">
        <v>2229</v>
      </c>
      <c r="AB117" s="117">
        <f t="shared" si="13"/>
        <v>5587</v>
      </c>
      <c r="AC117" s="114" t="s">
        <v>2228</v>
      </c>
      <c r="AD117" s="117">
        <f t="shared" si="14"/>
        <v>6</v>
      </c>
      <c r="AE117" s="114" t="s">
        <v>2227</v>
      </c>
      <c r="AF117" s="117">
        <f t="shared" si="15"/>
        <v>2.5</v>
      </c>
      <c r="AG117" s="114" t="s">
        <v>2226</v>
      </c>
      <c r="AH117" s="116">
        <v>223.5</v>
      </c>
      <c r="AI117" s="100"/>
      <c r="AJ117" s="100"/>
      <c r="AK117" s="100"/>
      <c r="AL117" s="100"/>
      <c r="AM117" s="100"/>
      <c r="AN117" s="100"/>
      <c r="AO117" s="100"/>
      <c r="AP117" s="100"/>
      <c r="AQ117" s="100"/>
    </row>
    <row r="118" spans="1:43" ht="18.75">
      <c r="A118" s="125" t="s">
        <v>2375</v>
      </c>
      <c r="B118" s="125">
        <v>2</v>
      </c>
      <c r="C118" s="125">
        <v>2</v>
      </c>
      <c r="D118" s="124">
        <f t="shared" si="8"/>
        <v>2</v>
      </c>
      <c r="E118" s="125" t="s">
        <v>2229</v>
      </c>
      <c r="F118" s="126">
        <f t="shared" si="9"/>
        <v>2</v>
      </c>
      <c r="G118" s="125" t="s">
        <v>2228</v>
      </c>
      <c r="H118" s="126">
        <f t="shared" si="10"/>
        <v>0</v>
      </c>
      <c r="I118" s="125" t="s">
        <v>2227</v>
      </c>
      <c r="J118" s="126">
        <f t="shared" si="11"/>
        <v>0</v>
      </c>
      <c r="K118" s="125" t="s">
        <v>2226</v>
      </c>
      <c r="L118" s="124">
        <v>0.08</v>
      </c>
      <c r="M118" s="100"/>
      <c r="N118" s="101"/>
      <c r="O118" s="100"/>
      <c r="P118" s="100"/>
      <c r="Q118" s="100"/>
      <c r="R118" s="100"/>
      <c r="S118" s="100"/>
      <c r="T118" s="100"/>
      <c r="U118" s="100"/>
      <c r="X118" s="114" t="s">
        <v>13852</v>
      </c>
      <c r="Y118" s="115">
        <v>55</v>
      </c>
      <c r="Z118" s="116">
        <f t="shared" si="12"/>
        <v>55</v>
      </c>
      <c r="AA118" s="114" t="s">
        <v>2229</v>
      </c>
      <c r="AB118" s="117">
        <f t="shared" si="13"/>
        <v>55</v>
      </c>
      <c r="AC118" s="114" t="s">
        <v>2228</v>
      </c>
      <c r="AD118" s="117">
        <f t="shared" si="14"/>
        <v>0</v>
      </c>
      <c r="AE118" s="114" t="s">
        <v>2227</v>
      </c>
      <c r="AF118" s="117">
        <f t="shared" si="15"/>
        <v>0</v>
      </c>
      <c r="AG118" s="114" t="s">
        <v>2226</v>
      </c>
      <c r="AH118" s="116">
        <v>2.2000000000000002</v>
      </c>
      <c r="AI118" s="100"/>
      <c r="AJ118" s="100"/>
      <c r="AK118" s="100"/>
      <c r="AL118" s="100"/>
      <c r="AM118" s="100"/>
      <c r="AN118" s="100"/>
      <c r="AO118" s="100"/>
      <c r="AP118" s="100"/>
      <c r="AQ118" s="100"/>
    </row>
    <row r="119" spans="1:43" ht="18.75">
      <c r="A119" s="125" t="s">
        <v>2376</v>
      </c>
      <c r="B119" s="125">
        <v>2</v>
      </c>
      <c r="C119" s="125">
        <v>6</v>
      </c>
      <c r="D119" s="124">
        <f t="shared" si="8"/>
        <v>2</v>
      </c>
      <c r="E119" s="125" t="s">
        <v>2229</v>
      </c>
      <c r="F119" s="126">
        <f t="shared" si="9"/>
        <v>2</v>
      </c>
      <c r="G119" s="125" t="s">
        <v>2228</v>
      </c>
      <c r="H119" s="126">
        <f t="shared" si="10"/>
        <v>0</v>
      </c>
      <c r="I119" s="125" t="s">
        <v>2227</v>
      </c>
      <c r="J119" s="126">
        <f t="shared" si="11"/>
        <v>0</v>
      </c>
      <c r="K119" s="125" t="s">
        <v>2226</v>
      </c>
      <c r="L119" s="124">
        <v>0.08</v>
      </c>
      <c r="M119" s="100"/>
      <c r="N119" s="101"/>
      <c r="O119" s="100"/>
      <c r="P119" s="100"/>
      <c r="Q119" s="100"/>
      <c r="R119" s="100"/>
      <c r="S119" s="100"/>
      <c r="T119" s="100"/>
      <c r="U119" s="100"/>
      <c r="X119" s="114" t="s">
        <v>13852</v>
      </c>
      <c r="Y119" s="115">
        <v>55</v>
      </c>
      <c r="Z119" s="116">
        <f t="shared" si="12"/>
        <v>55</v>
      </c>
      <c r="AA119" s="114" t="s">
        <v>2229</v>
      </c>
      <c r="AB119" s="117">
        <f t="shared" si="13"/>
        <v>55</v>
      </c>
      <c r="AC119" s="114" t="s">
        <v>2228</v>
      </c>
      <c r="AD119" s="117">
        <f t="shared" si="14"/>
        <v>0</v>
      </c>
      <c r="AE119" s="114" t="s">
        <v>2227</v>
      </c>
      <c r="AF119" s="117">
        <f t="shared" si="15"/>
        <v>0</v>
      </c>
      <c r="AG119" s="114" t="s">
        <v>2226</v>
      </c>
      <c r="AH119" s="116">
        <v>2.2000000000000002</v>
      </c>
      <c r="AI119" s="100"/>
      <c r="AJ119" s="100"/>
      <c r="AK119" s="100"/>
      <c r="AL119" s="100"/>
      <c r="AM119" s="100"/>
      <c r="AN119" s="100"/>
      <c r="AO119" s="100"/>
      <c r="AP119" s="100"/>
      <c r="AQ119" s="100"/>
    </row>
    <row r="120" spans="1:43" ht="18.75">
      <c r="A120" s="125" t="s">
        <v>2377</v>
      </c>
      <c r="B120" s="125">
        <v>2</v>
      </c>
      <c r="C120" s="125">
        <v>10</v>
      </c>
      <c r="D120" s="124">
        <f t="shared" si="8"/>
        <v>2</v>
      </c>
      <c r="E120" s="125" t="s">
        <v>2229</v>
      </c>
      <c r="F120" s="126">
        <f t="shared" si="9"/>
        <v>2</v>
      </c>
      <c r="G120" s="125" t="s">
        <v>2228</v>
      </c>
      <c r="H120" s="126">
        <f t="shared" si="10"/>
        <v>0</v>
      </c>
      <c r="I120" s="125" t="s">
        <v>2227</v>
      </c>
      <c r="J120" s="126">
        <f t="shared" si="11"/>
        <v>0</v>
      </c>
      <c r="K120" s="125" t="s">
        <v>2226</v>
      </c>
      <c r="L120" s="124">
        <v>0.08</v>
      </c>
      <c r="M120" s="100"/>
      <c r="N120" s="101"/>
      <c r="O120" s="100"/>
      <c r="P120" s="100"/>
      <c r="Q120" s="100"/>
      <c r="R120" s="100"/>
      <c r="S120" s="100"/>
      <c r="T120" s="100"/>
      <c r="U120" s="100"/>
      <c r="X120" s="114" t="s">
        <v>13853</v>
      </c>
      <c r="Y120" s="115">
        <v>9500</v>
      </c>
      <c r="Z120" s="116">
        <f t="shared" si="12"/>
        <v>9500</v>
      </c>
      <c r="AA120" s="114" t="s">
        <v>2229</v>
      </c>
      <c r="AB120" s="117">
        <f t="shared" si="13"/>
        <v>9500</v>
      </c>
      <c r="AC120" s="114" t="s">
        <v>2228</v>
      </c>
      <c r="AD120" s="117">
        <f t="shared" si="14"/>
        <v>0</v>
      </c>
      <c r="AE120" s="114" t="s">
        <v>2227</v>
      </c>
      <c r="AF120" s="117">
        <f t="shared" si="15"/>
        <v>0</v>
      </c>
      <c r="AG120" s="114" t="s">
        <v>2226</v>
      </c>
      <c r="AH120" s="116">
        <v>380</v>
      </c>
      <c r="AI120" s="100"/>
      <c r="AJ120" s="100"/>
      <c r="AK120" s="100"/>
      <c r="AL120" s="100"/>
      <c r="AM120" s="100"/>
      <c r="AN120" s="100"/>
      <c r="AO120" s="100"/>
      <c r="AP120" s="100"/>
      <c r="AQ120" s="100"/>
    </row>
    <row r="121" spans="1:43" ht="18.75">
      <c r="A121" s="125" t="s">
        <v>2378</v>
      </c>
      <c r="B121" s="125">
        <v>2</v>
      </c>
      <c r="C121" s="125">
        <v>10</v>
      </c>
      <c r="D121" s="124">
        <f t="shared" si="8"/>
        <v>2</v>
      </c>
      <c r="E121" s="125" t="s">
        <v>2229</v>
      </c>
      <c r="F121" s="126">
        <f t="shared" si="9"/>
        <v>2</v>
      </c>
      <c r="G121" s="125" t="s">
        <v>2228</v>
      </c>
      <c r="H121" s="126">
        <f t="shared" si="10"/>
        <v>0</v>
      </c>
      <c r="I121" s="125" t="s">
        <v>2227</v>
      </c>
      <c r="J121" s="126">
        <f t="shared" si="11"/>
        <v>0</v>
      </c>
      <c r="K121" s="125" t="s">
        <v>2226</v>
      </c>
      <c r="L121" s="124">
        <v>0.08</v>
      </c>
      <c r="M121" s="100"/>
      <c r="N121" s="101"/>
      <c r="O121" s="100"/>
      <c r="P121" s="100"/>
      <c r="Q121" s="100"/>
      <c r="R121" s="100"/>
      <c r="S121" s="100"/>
      <c r="T121" s="100"/>
      <c r="U121" s="100"/>
      <c r="X121" s="114" t="s">
        <v>13854</v>
      </c>
      <c r="Y121" s="115">
        <v>80</v>
      </c>
      <c r="Z121" s="116">
        <f t="shared" si="12"/>
        <v>80</v>
      </c>
      <c r="AA121" s="114" t="s">
        <v>2229</v>
      </c>
      <c r="AB121" s="117">
        <f t="shared" si="13"/>
        <v>80</v>
      </c>
      <c r="AC121" s="114" t="s">
        <v>2228</v>
      </c>
      <c r="AD121" s="117">
        <f t="shared" si="14"/>
        <v>0</v>
      </c>
      <c r="AE121" s="114" t="s">
        <v>2227</v>
      </c>
      <c r="AF121" s="117">
        <f t="shared" si="15"/>
        <v>0</v>
      </c>
      <c r="AG121" s="114" t="s">
        <v>2226</v>
      </c>
      <c r="AH121" s="116">
        <v>3.2</v>
      </c>
      <c r="AI121" s="100"/>
      <c r="AJ121" s="100"/>
      <c r="AK121" s="100"/>
      <c r="AL121" s="100"/>
      <c r="AM121" s="100"/>
      <c r="AN121" s="100"/>
      <c r="AO121" s="100"/>
      <c r="AP121" s="100"/>
      <c r="AQ121" s="100"/>
    </row>
    <row r="122" spans="1:43" ht="18.75">
      <c r="A122" s="125" t="s">
        <v>2379</v>
      </c>
      <c r="B122" s="125">
        <v>2</v>
      </c>
      <c r="C122" s="125">
        <v>1</v>
      </c>
      <c r="D122" s="124">
        <f t="shared" si="8"/>
        <v>2</v>
      </c>
      <c r="E122" s="125" t="s">
        <v>2229</v>
      </c>
      <c r="F122" s="126">
        <f t="shared" si="9"/>
        <v>2</v>
      </c>
      <c r="G122" s="125" t="s">
        <v>2228</v>
      </c>
      <c r="H122" s="126">
        <f t="shared" si="10"/>
        <v>0</v>
      </c>
      <c r="I122" s="125" t="s">
        <v>2227</v>
      </c>
      <c r="J122" s="126">
        <f t="shared" si="11"/>
        <v>0</v>
      </c>
      <c r="K122" s="125" t="s">
        <v>2226</v>
      </c>
      <c r="L122" s="124">
        <v>0.08</v>
      </c>
      <c r="M122" s="100"/>
      <c r="N122" s="101"/>
      <c r="O122" s="100"/>
      <c r="P122" s="100"/>
      <c r="Q122" s="100"/>
      <c r="R122" s="100"/>
      <c r="S122" s="100"/>
      <c r="T122" s="100"/>
      <c r="U122" s="100"/>
      <c r="X122" s="114" t="s">
        <v>13855</v>
      </c>
      <c r="Y122" s="115">
        <v>31800</v>
      </c>
      <c r="Z122" s="116">
        <f t="shared" si="12"/>
        <v>31800</v>
      </c>
      <c r="AA122" s="114" t="s">
        <v>2229</v>
      </c>
      <c r="AB122" s="117">
        <f t="shared" si="13"/>
        <v>31800</v>
      </c>
      <c r="AC122" s="114" t="s">
        <v>2228</v>
      </c>
      <c r="AD122" s="117">
        <f t="shared" si="14"/>
        <v>0</v>
      </c>
      <c r="AE122" s="114" t="s">
        <v>2227</v>
      </c>
      <c r="AF122" s="117">
        <f t="shared" si="15"/>
        <v>0</v>
      </c>
      <c r="AG122" s="114" t="s">
        <v>2226</v>
      </c>
      <c r="AH122" s="116">
        <v>1272</v>
      </c>
      <c r="AI122" s="100"/>
      <c r="AJ122" s="100"/>
      <c r="AK122" s="100"/>
      <c r="AL122" s="100"/>
      <c r="AM122" s="100"/>
      <c r="AN122" s="100"/>
      <c r="AO122" s="100"/>
      <c r="AP122" s="100"/>
      <c r="AQ122" s="100"/>
    </row>
    <row r="123" spans="1:43" ht="18.75">
      <c r="A123" s="125" t="s">
        <v>2380</v>
      </c>
      <c r="B123" s="125">
        <v>2</v>
      </c>
      <c r="C123" s="125">
        <v>5</v>
      </c>
      <c r="D123" s="124">
        <f t="shared" si="8"/>
        <v>2</v>
      </c>
      <c r="E123" s="125" t="s">
        <v>2229</v>
      </c>
      <c r="F123" s="126">
        <f t="shared" si="9"/>
        <v>2</v>
      </c>
      <c r="G123" s="125" t="s">
        <v>2228</v>
      </c>
      <c r="H123" s="126">
        <f t="shared" si="10"/>
        <v>0</v>
      </c>
      <c r="I123" s="125" t="s">
        <v>2227</v>
      </c>
      <c r="J123" s="126">
        <f t="shared" si="11"/>
        <v>0</v>
      </c>
      <c r="K123" s="125" t="s">
        <v>2226</v>
      </c>
      <c r="L123" s="124">
        <v>0.08</v>
      </c>
      <c r="M123" s="100"/>
      <c r="N123" s="101"/>
      <c r="O123" s="100"/>
      <c r="P123" s="100"/>
      <c r="Q123" s="100"/>
      <c r="R123" s="100"/>
      <c r="S123" s="100"/>
      <c r="T123" s="100"/>
      <c r="U123" s="100"/>
      <c r="X123" s="114" t="s">
        <v>13856</v>
      </c>
      <c r="Y123" s="115">
        <v>2625</v>
      </c>
      <c r="Z123" s="116">
        <f t="shared" si="12"/>
        <v>2625</v>
      </c>
      <c r="AA123" s="114" t="s">
        <v>2229</v>
      </c>
      <c r="AB123" s="117">
        <f t="shared" si="13"/>
        <v>2625</v>
      </c>
      <c r="AC123" s="114" t="s">
        <v>2228</v>
      </c>
      <c r="AD123" s="117">
        <f t="shared" si="14"/>
        <v>0</v>
      </c>
      <c r="AE123" s="114" t="s">
        <v>2227</v>
      </c>
      <c r="AF123" s="117">
        <f t="shared" si="15"/>
        <v>0</v>
      </c>
      <c r="AG123" s="114" t="s">
        <v>2226</v>
      </c>
      <c r="AH123" s="116">
        <v>105</v>
      </c>
      <c r="AI123" s="100"/>
      <c r="AJ123" s="100"/>
      <c r="AK123" s="100"/>
      <c r="AL123" s="100"/>
      <c r="AM123" s="100"/>
      <c r="AN123" s="100"/>
      <c r="AO123" s="100"/>
      <c r="AP123" s="100"/>
      <c r="AQ123" s="100"/>
    </row>
    <row r="124" spans="1:43" ht="18.75">
      <c r="A124" s="125" t="s">
        <v>2381</v>
      </c>
      <c r="B124" s="125">
        <v>2</v>
      </c>
      <c r="C124" s="125">
        <v>20</v>
      </c>
      <c r="D124" s="124">
        <f t="shared" si="8"/>
        <v>2</v>
      </c>
      <c r="E124" s="125" t="s">
        <v>2229</v>
      </c>
      <c r="F124" s="126">
        <f t="shared" si="9"/>
        <v>2</v>
      </c>
      <c r="G124" s="125" t="s">
        <v>2228</v>
      </c>
      <c r="H124" s="126">
        <f t="shared" si="10"/>
        <v>0</v>
      </c>
      <c r="I124" s="125" t="s">
        <v>2227</v>
      </c>
      <c r="J124" s="126">
        <f t="shared" si="11"/>
        <v>0</v>
      </c>
      <c r="K124" s="125" t="s">
        <v>2226</v>
      </c>
      <c r="L124" s="124">
        <v>0.08</v>
      </c>
      <c r="M124" s="100"/>
      <c r="N124" s="101"/>
      <c r="O124" s="100"/>
      <c r="P124" s="100"/>
      <c r="Q124" s="100"/>
      <c r="R124" s="100"/>
      <c r="S124" s="100"/>
      <c r="T124" s="100"/>
      <c r="U124" s="100"/>
      <c r="X124" s="114" t="s">
        <v>13857</v>
      </c>
      <c r="Y124" s="115">
        <v>67000</v>
      </c>
      <c r="Z124" s="116">
        <f t="shared" si="12"/>
        <v>67000</v>
      </c>
      <c r="AA124" s="114" t="s">
        <v>2229</v>
      </c>
      <c r="AB124" s="117">
        <f t="shared" si="13"/>
        <v>67000</v>
      </c>
      <c r="AC124" s="114" t="s">
        <v>2228</v>
      </c>
      <c r="AD124" s="117">
        <f t="shared" si="14"/>
        <v>0</v>
      </c>
      <c r="AE124" s="114" t="s">
        <v>2227</v>
      </c>
      <c r="AF124" s="117">
        <f t="shared" si="15"/>
        <v>0</v>
      </c>
      <c r="AG124" s="114" t="s">
        <v>2226</v>
      </c>
      <c r="AH124" s="116">
        <v>2680</v>
      </c>
      <c r="AI124" s="100"/>
      <c r="AJ124" s="100"/>
      <c r="AK124" s="100"/>
      <c r="AL124" s="100"/>
      <c r="AM124" s="100"/>
      <c r="AN124" s="100"/>
      <c r="AO124" s="100"/>
      <c r="AP124" s="100"/>
      <c r="AQ124" s="100"/>
    </row>
    <row r="125" spans="1:43" ht="18.75">
      <c r="A125" s="125" t="s">
        <v>2382</v>
      </c>
      <c r="B125" s="125">
        <v>2</v>
      </c>
      <c r="C125" s="125">
        <v>3</v>
      </c>
      <c r="D125" s="124">
        <f t="shared" si="8"/>
        <v>2</v>
      </c>
      <c r="E125" s="125" t="s">
        <v>2229</v>
      </c>
      <c r="F125" s="126">
        <f t="shared" si="9"/>
        <v>2</v>
      </c>
      <c r="G125" s="125" t="s">
        <v>2228</v>
      </c>
      <c r="H125" s="126">
        <f t="shared" si="10"/>
        <v>0</v>
      </c>
      <c r="I125" s="125" t="s">
        <v>2227</v>
      </c>
      <c r="J125" s="126">
        <f t="shared" si="11"/>
        <v>0</v>
      </c>
      <c r="K125" s="125" t="s">
        <v>2226</v>
      </c>
      <c r="L125" s="124">
        <v>0.08</v>
      </c>
      <c r="M125" s="100"/>
      <c r="N125" s="101"/>
      <c r="O125" s="100"/>
      <c r="P125" s="100"/>
      <c r="Q125" s="100"/>
      <c r="R125" s="100"/>
      <c r="S125" s="100"/>
      <c r="T125" s="100"/>
      <c r="U125" s="100"/>
      <c r="X125" s="114" t="s">
        <v>13858</v>
      </c>
      <c r="Y125" s="115">
        <v>75</v>
      </c>
      <c r="Z125" s="116">
        <f t="shared" si="12"/>
        <v>75</v>
      </c>
      <c r="AA125" s="114" t="s">
        <v>2229</v>
      </c>
      <c r="AB125" s="117">
        <f t="shared" si="13"/>
        <v>75</v>
      </c>
      <c r="AC125" s="114" t="s">
        <v>2228</v>
      </c>
      <c r="AD125" s="117">
        <f t="shared" si="14"/>
        <v>0</v>
      </c>
      <c r="AE125" s="114" t="s">
        <v>2227</v>
      </c>
      <c r="AF125" s="117">
        <f t="shared" si="15"/>
        <v>0</v>
      </c>
      <c r="AG125" s="114" t="s">
        <v>2226</v>
      </c>
      <c r="AH125" s="116">
        <v>3</v>
      </c>
      <c r="AI125" s="100"/>
      <c r="AJ125" s="100"/>
      <c r="AK125" s="100"/>
      <c r="AL125" s="100"/>
      <c r="AM125" s="100"/>
      <c r="AN125" s="100"/>
      <c r="AO125" s="100"/>
      <c r="AP125" s="100"/>
      <c r="AQ125" s="100"/>
    </row>
    <row r="126" spans="1:43" ht="18.75">
      <c r="A126" s="125" t="s">
        <v>2383</v>
      </c>
      <c r="B126" s="125">
        <v>1</v>
      </c>
      <c r="C126" s="125">
        <v>1</v>
      </c>
      <c r="D126" s="124">
        <f t="shared" si="8"/>
        <v>1</v>
      </c>
      <c r="E126" s="125" t="s">
        <v>2229</v>
      </c>
      <c r="F126" s="126">
        <f t="shared" si="9"/>
        <v>1</v>
      </c>
      <c r="G126" s="125" t="s">
        <v>2228</v>
      </c>
      <c r="H126" s="126">
        <f t="shared" si="10"/>
        <v>0</v>
      </c>
      <c r="I126" s="125" t="s">
        <v>2227</v>
      </c>
      <c r="J126" s="126">
        <f t="shared" si="11"/>
        <v>0</v>
      </c>
      <c r="K126" s="125" t="s">
        <v>2226</v>
      </c>
      <c r="L126" s="124">
        <v>0.04</v>
      </c>
      <c r="M126" s="100"/>
      <c r="N126" s="101"/>
      <c r="O126" s="100"/>
      <c r="P126" s="100"/>
      <c r="Q126" s="100"/>
      <c r="R126" s="100"/>
      <c r="S126" s="100"/>
      <c r="T126" s="100"/>
      <c r="U126" s="100"/>
      <c r="X126" s="114" t="s">
        <v>13859</v>
      </c>
      <c r="Y126" s="115">
        <v>1950</v>
      </c>
      <c r="Z126" s="116">
        <f t="shared" si="12"/>
        <v>1950</v>
      </c>
      <c r="AA126" s="114" t="s">
        <v>2229</v>
      </c>
      <c r="AB126" s="117">
        <f t="shared" si="13"/>
        <v>1950</v>
      </c>
      <c r="AC126" s="114" t="s">
        <v>2228</v>
      </c>
      <c r="AD126" s="117">
        <f t="shared" si="14"/>
        <v>0</v>
      </c>
      <c r="AE126" s="114" t="s">
        <v>2227</v>
      </c>
      <c r="AF126" s="117">
        <f t="shared" si="15"/>
        <v>0</v>
      </c>
      <c r="AG126" s="114" t="s">
        <v>2226</v>
      </c>
      <c r="AH126" s="116">
        <v>78</v>
      </c>
      <c r="AI126" s="100"/>
      <c r="AJ126" s="100"/>
      <c r="AK126" s="100"/>
      <c r="AL126" s="100"/>
      <c r="AM126" s="100"/>
      <c r="AN126" s="100"/>
      <c r="AO126" s="100"/>
      <c r="AP126" s="100"/>
      <c r="AQ126" s="100"/>
    </row>
    <row r="127" spans="1:43" ht="18.75">
      <c r="A127" s="125" t="s">
        <v>2384</v>
      </c>
      <c r="B127" s="125">
        <v>1</v>
      </c>
      <c r="C127" s="125">
        <v>2</v>
      </c>
      <c r="D127" s="124">
        <f t="shared" si="8"/>
        <v>1</v>
      </c>
      <c r="E127" s="125" t="s">
        <v>2229</v>
      </c>
      <c r="F127" s="126">
        <f t="shared" si="9"/>
        <v>1</v>
      </c>
      <c r="G127" s="125" t="s">
        <v>2228</v>
      </c>
      <c r="H127" s="126">
        <f t="shared" si="10"/>
        <v>0</v>
      </c>
      <c r="I127" s="125" t="s">
        <v>2227</v>
      </c>
      <c r="J127" s="126">
        <f t="shared" si="11"/>
        <v>0</v>
      </c>
      <c r="K127" s="125" t="s">
        <v>2226</v>
      </c>
      <c r="L127" s="124">
        <v>0.04</v>
      </c>
      <c r="M127" s="100"/>
      <c r="N127" s="101"/>
      <c r="O127" s="100"/>
      <c r="P127" s="100"/>
      <c r="Q127" s="100"/>
      <c r="R127" s="100"/>
      <c r="S127" s="100"/>
      <c r="T127" s="100"/>
      <c r="U127" s="100"/>
      <c r="X127" s="114" t="s">
        <v>13860</v>
      </c>
      <c r="Y127" s="115">
        <v>5300</v>
      </c>
      <c r="Z127" s="116">
        <f t="shared" si="12"/>
        <v>5300</v>
      </c>
      <c r="AA127" s="114" t="s">
        <v>2229</v>
      </c>
      <c r="AB127" s="117">
        <f t="shared" si="13"/>
        <v>5300</v>
      </c>
      <c r="AC127" s="114" t="s">
        <v>2228</v>
      </c>
      <c r="AD127" s="117">
        <f t="shared" si="14"/>
        <v>0</v>
      </c>
      <c r="AE127" s="114" t="s">
        <v>2227</v>
      </c>
      <c r="AF127" s="117">
        <f t="shared" si="15"/>
        <v>0</v>
      </c>
      <c r="AG127" s="114" t="s">
        <v>2226</v>
      </c>
      <c r="AH127" s="116">
        <v>212</v>
      </c>
      <c r="AI127" s="100"/>
      <c r="AJ127" s="100"/>
      <c r="AK127" s="100"/>
      <c r="AL127" s="100"/>
      <c r="AM127" s="100"/>
      <c r="AN127" s="100"/>
      <c r="AO127" s="100"/>
      <c r="AP127" s="100"/>
      <c r="AQ127" s="100"/>
    </row>
    <row r="128" spans="1:43" ht="18.75">
      <c r="A128" s="125" t="s">
        <v>2385</v>
      </c>
      <c r="B128" s="125">
        <v>1</v>
      </c>
      <c r="C128" s="125">
        <v>7</v>
      </c>
      <c r="D128" s="124">
        <f t="shared" si="8"/>
        <v>1</v>
      </c>
      <c r="E128" s="125" t="s">
        <v>2229</v>
      </c>
      <c r="F128" s="126">
        <f t="shared" si="9"/>
        <v>1</v>
      </c>
      <c r="G128" s="125" t="s">
        <v>2228</v>
      </c>
      <c r="H128" s="126">
        <f t="shared" si="10"/>
        <v>0</v>
      </c>
      <c r="I128" s="125" t="s">
        <v>2227</v>
      </c>
      <c r="J128" s="126">
        <f t="shared" si="11"/>
        <v>0</v>
      </c>
      <c r="K128" s="125" t="s">
        <v>2226</v>
      </c>
      <c r="L128" s="124">
        <v>0.04</v>
      </c>
      <c r="M128" s="100"/>
      <c r="N128" s="101"/>
      <c r="O128" s="100"/>
      <c r="P128" s="100"/>
      <c r="Q128" s="100"/>
      <c r="R128" s="100"/>
      <c r="S128" s="100"/>
      <c r="T128" s="100"/>
      <c r="U128" s="100"/>
      <c r="X128" s="114" t="s">
        <v>13861</v>
      </c>
      <c r="Y128" s="115">
        <v>3175</v>
      </c>
      <c r="Z128" s="116">
        <f t="shared" si="12"/>
        <v>3175</v>
      </c>
      <c r="AA128" s="114" t="s">
        <v>2229</v>
      </c>
      <c r="AB128" s="117">
        <f t="shared" si="13"/>
        <v>3175</v>
      </c>
      <c r="AC128" s="114" t="s">
        <v>2228</v>
      </c>
      <c r="AD128" s="117">
        <f t="shared" si="14"/>
        <v>0</v>
      </c>
      <c r="AE128" s="114" t="s">
        <v>2227</v>
      </c>
      <c r="AF128" s="117">
        <f t="shared" si="15"/>
        <v>0</v>
      </c>
      <c r="AG128" s="114" t="s">
        <v>2226</v>
      </c>
      <c r="AH128" s="116">
        <v>127</v>
      </c>
      <c r="AI128" s="100"/>
      <c r="AJ128" s="100"/>
      <c r="AK128" s="100"/>
      <c r="AL128" s="100"/>
      <c r="AM128" s="100"/>
      <c r="AN128" s="100"/>
      <c r="AO128" s="100"/>
      <c r="AP128" s="100"/>
      <c r="AQ128" s="100"/>
    </row>
    <row r="129" spans="1:43" ht="18.75">
      <c r="A129" s="125" t="s">
        <v>2386</v>
      </c>
      <c r="B129" s="125">
        <v>1</v>
      </c>
      <c r="C129" s="125">
        <v>0</v>
      </c>
      <c r="D129" s="124">
        <f t="shared" si="8"/>
        <v>1</v>
      </c>
      <c r="E129" s="125" t="s">
        <v>2229</v>
      </c>
      <c r="F129" s="126">
        <f t="shared" si="9"/>
        <v>1</v>
      </c>
      <c r="G129" s="125" t="s">
        <v>2228</v>
      </c>
      <c r="H129" s="126">
        <f t="shared" si="10"/>
        <v>0</v>
      </c>
      <c r="I129" s="125" t="s">
        <v>2227</v>
      </c>
      <c r="J129" s="126">
        <f t="shared" si="11"/>
        <v>0</v>
      </c>
      <c r="K129" s="125" t="s">
        <v>2226</v>
      </c>
      <c r="L129" s="124">
        <v>0.04</v>
      </c>
      <c r="M129" s="100"/>
      <c r="N129" s="101"/>
      <c r="O129" s="100"/>
      <c r="P129" s="100"/>
      <c r="Q129" s="100"/>
      <c r="R129" s="100"/>
      <c r="S129" s="100"/>
      <c r="T129" s="100"/>
      <c r="U129" s="100"/>
      <c r="X129" s="114" t="s">
        <v>13862</v>
      </c>
      <c r="Y129" s="115">
        <v>80</v>
      </c>
      <c r="Z129" s="116">
        <f t="shared" si="12"/>
        <v>80</v>
      </c>
      <c r="AA129" s="114" t="s">
        <v>2229</v>
      </c>
      <c r="AB129" s="117">
        <f t="shared" si="13"/>
        <v>80</v>
      </c>
      <c r="AC129" s="114" t="s">
        <v>2228</v>
      </c>
      <c r="AD129" s="117">
        <f t="shared" si="14"/>
        <v>0</v>
      </c>
      <c r="AE129" s="114" t="s">
        <v>2227</v>
      </c>
      <c r="AF129" s="117">
        <f t="shared" si="15"/>
        <v>0</v>
      </c>
      <c r="AG129" s="114" t="s">
        <v>2226</v>
      </c>
      <c r="AH129" s="116">
        <v>3.2</v>
      </c>
      <c r="AI129" s="100"/>
      <c r="AJ129" s="100"/>
      <c r="AK129" s="100"/>
      <c r="AL129" s="100"/>
      <c r="AM129" s="100"/>
      <c r="AN129" s="100"/>
      <c r="AO129" s="100"/>
      <c r="AP129" s="100"/>
      <c r="AQ129" s="100"/>
    </row>
    <row r="130" spans="1:43" ht="18.75">
      <c r="A130" s="125" t="s">
        <v>2387</v>
      </c>
      <c r="B130" s="125">
        <v>1</v>
      </c>
      <c r="C130" s="125">
        <v>5</v>
      </c>
      <c r="D130" s="124">
        <f t="shared" si="8"/>
        <v>1</v>
      </c>
      <c r="E130" s="125" t="s">
        <v>2229</v>
      </c>
      <c r="F130" s="126">
        <f t="shared" si="9"/>
        <v>1</v>
      </c>
      <c r="G130" s="125" t="s">
        <v>2228</v>
      </c>
      <c r="H130" s="126">
        <f t="shared" si="10"/>
        <v>0</v>
      </c>
      <c r="I130" s="125" t="s">
        <v>2227</v>
      </c>
      <c r="J130" s="126">
        <f t="shared" si="11"/>
        <v>0</v>
      </c>
      <c r="K130" s="125" t="s">
        <v>2226</v>
      </c>
      <c r="L130" s="124">
        <v>0.04</v>
      </c>
      <c r="M130" s="100"/>
      <c r="N130" s="101"/>
      <c r="O130" s="100"/>
      <c r="P130" s="100"/>
      <c r="Q130" s="100"/>
      <c r="R130" s="100"/>
      <c r="S130" s="100"/>
      <c r="T130" s="100"/>
      <c r="U130" s="100"/>
      <c r="X130" s="114" t="s">
        <v>13863</v>
      </c>
      <c r="Y130" s="115">
        <v>55</v>
      </c>
      <c r="Z130" s="116">
        <f t="shared" si="12"/>
        <v>55</v>
      </c>
      <c r="AA130" s="114" t="s">
        <v>2229</v>
      </c>
      <c r="AB130" s="117">
        <f t="shared" si="13"/>
        <v>55</v>
      </c>
      <c r="AC130" s="114" t="s">
        <v>2228</v>
      </c>
      <c r="AD130" s="117">
        <f t="shared" si="14"/>
        <v>0</v>
      </c>
      <c r="AE130" s="114" t="s">
        <v>2227</v>
      </c>
      <c r="AF130" s="117">
        <f t="shared" si="15"/>
        <v>0</v>
      </c>
      <c r="AG130" s="114" t="s">
        <v>2226</v>
      </c>
      <c r="AH130" s="116">
        <v>2.2000000000000002</v>
      </c>
      <c r="AI130" s="100"/>
      <c r="AJ130" s="100"/>
      <c r="AK130" s="100"/>
      <c r="AL130" s="100"/>
      <c r="AM130" s="100"/>
      <c r="AN130" s="100"/>
      <c r="AO130" s="100"/>
      <c r="AP130" s="100"/>
      <c r="AQ130" s="100"/>
    </row>
    <row r="131" spans="1:43" ht="18.75">
      <c r="A131" s="125" t="s">
        <v>2388</v>
      </c>
      <c r="B131" s="125">
        <v>1</v>
      </c>
      <c r="C131" s="125">
        <v>1</v>
      </c>
      <c r="D131" s="124">
        <f t="shared" ref="D131:D189" si="16">B131*$O$6</f>
        <v>1</v>
      </c>
      <c r="E131" s="125" t="s">
        <v>2229</v>
      </c>
      <c r="F131" s="126">
        <f t="shared" ref="F131:F189" si="17">_xlfn.FLOOR.MATH(D131,1)</f>
        <v>1</v>
      </c>
      <c r="G131" s="125" t="s">
        <v>2228</v>
      </c>
      <c r="H131" s="126">
        <f t="shared" ref="H131:H189" si="18">_xlfn.FLOOR.MATH(((D131-F131)*10), 1)</f>
        <v>0</v>
      </c>
      <c r="I131" s="125" t="s">
        <v>2227</v>
      </c>
      <c r="J131" s="126">
        <f t="shared" ref="J131:J189" si="19">((D131-F131)*10-H131)*10</f>
        <v>0</v>
      </c>
      <c r="K131" s="125" t="s">
        <v>2226</v>
      </c>
      <c r="L131" s="124">
        <v>0.04</v>
      </c>
      <c r="M131" s="100"/>
      <c r="N131" s="101"/>
      <c r="O131" s="100"/>
      <c r="P131" s="100"/>
      <c r="Q131" s="100"/>
      <c r="R131" s="100"/>
      <c r="S131" s="100"/>
      <c r="T131" s="100"/>
      <c r="U131" s="100"/>
      <c r="X131" s="114" t="s">
        <v>13864</v>
      </c>
      <c r="Y131" s="115">
        <v>325.25</v>
      </c>
      <c r="Z131" s="116">
        <f t="shared" ref="Z131:Z194" si="20">Y131*$AK$6*$AK$11</f>
        <v>325.25</v>
      </c>
      <c r="AA131" s="114" t="s">
        <v>2229</v>
      </c>
      <c r="AB131" s="117">
        <f t="shared" ref="AB131:AB194" si="21">_xlfn.FLOOR.MATH(Z131,1)</f>
        <v>325</v>
      </c>
      <c r="AC131" s="114" t="s">
        <v>2228</v>
      </c>
      <c r="AD131" s="117">
        <f t="shared" ref="AD131:AD194" si="22">_xlfn.FLOOR.MATH(((Z131-AB131)*10), 1)</f>
        <v>2</v>
      </c>
      <c r="AE131" s="114" t="s">
        <v>2227</v>
      </c>
      <c r="AF131" s="117">
        <f t="shared" ref="AF131:AF194" si="23">((Z131-AB131)*10-AD131)*10</f>
        <v>5</v>
      </c>
      <c r="AG131" s="114" t="s">
        <v>2226</v>
      </c>
      <c r="AH131" s="116">
        <v>13.01</v>
      </c>
      <c r="AI131" s="100"/>
      <c r="AJ131" s="100"/>
      <c r="AK131" s="100"/>
      <c r="AL131" s="100"/>
      <c r="AM131" s="100"/>
      <c r="AN131" s="100"/>
      <c r="AO131" s="100"/>
      <c r="AP131" s="100"/>
      <c r="AQ131" s="100"/>
    </row>
    <row r="132" spans="1:43" ht="18.75">
      <c r="A132" s="125" t="s">
        <v>2389</v>
      </c>
      <c r="B132" s="125">
        <v>1</v>
      </c>
      <c r="C132" s="125">
        <v>2</v>
      </c>
      <c r="D132" s="124">
        <f t="shared" si="16"/>
        <v>1</v>
      </c>
      <c r="E132" s="125" t="s">
        <v>2229</v>
      </c>
      <c r="F132" s="126">
        <f t="shared" si="17"/>
        <v>1</v>
      </c>
      <c r="G132" s="125" t="s">
        <v>2228</v>
      </c>
      <c r="H132" s="126">
        <f t="shared" si="18"/>
        <v>0</v>
      </c>
      <c r="I132" s="125" t="s">
        <v>2227</v>
      </c>
      <c r="J132" s="126">
        <f t="shared" si="19"/>
        <v>0</v>
      </c>
      <c r="K132" s="125" t="s">
        <v>2226</v>
      </c>
      <c r="L132" s="124">
        <v>0.04</v>
      </c>
      <c r="M132" s="100"/>
      <c r="N132" s="101"/>
      <c r="O132" s="100"/>
      <c r="P132" s="100"/>
      <c r="Q132" s="100"/>
      <c r="R132" s="100"/>
      <c r="S132" s="100"/>
      <c r="T132" s="100"/>
      <c r="U132" s="100"/>
      <c r="X132" s="114" t="s">
        <v>13865</v>
      </c>
      <c r="Y132" s="115">
        <v>55</v>
      </c>
      <c r="Z132" s="116">
        <f t="shared" si="20"/>
        <v>55</v>
      </c>
      <c r="AA132" s="114" t="s">
        <v>2229</v>
      </c>
      <c r="AB132" s="117">
        <f t="shared" si="21"/>
        <v>55</v>
      </c>
      <c r="AC132" s="114" t="s">
        <v>2228</v>
      </c>
      <c r="AD132" s="117">
        <f t="shared" si="22"/>
        <v>0</v>
      </c>
      <c r="AE132" s="114" t="s">
        <v>2227</v>
      </c>
      <c r="AF132" s="117">
        <f t="shared" si="23"/>
        <v>0</v>
      </c>
      <c r="AG132" s="114" t="s">
        <v>2226</v>
      </c>
      <c r="AH132" s="116">
        <v>2.2000000000000002</v>
      </c>
      <c r="AI132" s="100"/>
      <c r="AJ132" s="100"/>
      <c r="AK132" s="100"/>
      <c r="AL132" s="100"/>
      <c r="AM132" s="100"/>
      <c r="AN132" s="100"/>
      <c r="AO132" s="100"/>
      <c r="AP132" s="100"/>
      <c r="AQ132" s="100"/>
    </row>
    <row r="133" spans="1:43" ht="18.75">
      <c r="A133" s="125" t="s">
        <v>2390</v>
      </c>
      <c r="B133" s="125">
        <v>1</v>
      </c>
      <c r="C133" s="125">
        <v>1</v>
      </c>
      <c r="D133" s="124">
        <f t="shared" si="16"/>
        <v>1</v>
      </c>
      <c r="E133" s="125" t="s">
        <v>2229</v>
      </c>
      <c r="F133" s="126">
        <f t="shared" si="17"/>
        <v>1</v>
      </c>
      <c r="G133" s="125" t="s">
        <v>2228</v>
      </c>
      <c r="H133" s="126">
        <f t="shared" si="18"/>
        <v>0</v>
      </c>
      <c r="I133" s="125" t="s">
        <v>2227</v>
      </c>
      <c r="J133" s="126">
        <f t="shared" si="19"/>
        <v>0</v>
      </c>
      <c r="K133" s="125" t="s">
        <v>2226</v>
      </c>
      <c r="L133" s="124">
        <v>0.04</v>
      </c>
      <c r="M133" s="100"/>
      <c r="N133" s="101"/>
      <c r="O133" s="100"/>
      <c r="P133" s="100"/>
      <c r="Q133" s="100"/>
      <c r="R133" s="100"/>
      <c r="S133" s="100"/>
      <c r="T133" s="100"/>
      <c r="U133" s="100"/>
      <c r="X133" s="114" t="s">
        <v>13866</v>
      </c>
      <c r="Y133" s="115">
        <v>16550.125</v>
      </c>
      <c r="Z133" s="116">
        <f t="shared" si="20"/>
        <v>16550.125</v>
      </c>
      <c r="AA133" s="114" t="s">
        <v>2229</v>
      </c>
      <c r="AB133" s="117">
        <f t="shared" si="21"/>
        <v>16550</v>
      </c>
      <c r="AC133" s="114" t="s">
        <v>2228</v>
      </c>
      <c r="AD133" s="117">
        <f t="shared" si="22"/>
        <v>1</v>
      </c>
      <c r="AE133" s="114" t="s">
        <v>2227</v>
      </c>
      <c r="AF133" s="117">
        <f t="shared" si="23"/>
        <v>2.5</v>
      </c>
      <c r="AG133" s="114" t="s">
        <v>2226</v>
      </c>
      <c r="AH133" s="116">
        <v>662</v>
      </c>
      <c r="AI133" s="100"/>
      <c r="AJ133" s="100"/>
      <c r="AK133" s="100"/>
      <c r="AL133" s="100"/>
      <c r="AM133" s="100"/>
      <c r="AN133" s="100"/>
      <c r="AO133" s="100"/>
      <c r="AP133" s="100"/>
      <c r="AQ133" s="100"/>
    </row>
    <row r="134" spans="1:43" ht="18.75">
      <c r="A134" s="125" t="s">
        <v>2391</v>
      </c>
      <c r="B134" s="125">
        <v>1</v>
      </c>
      <c r="C134" s="125">
        <v>1</v>
      </c>
      <c r="D134" s="124">
        <f t="shared" si="16"/>
        <v>1</v>
      </c>
      <c r="E134" s="125" t="s">
        <v>2229</v>
      </c>
      <c r="F134" s="126">
        <f t="shared" si="17"/>
        <v>1</v>
      </c>
      <c r="G134" s="125" t="s">
        <v>2228</v>
      </c>
      <c r="H134" s="126">
        <f t="shared" si="18"/>
        <v>0</v>
      </c>
      <c r="I134" s="125" t="s">
        <v>2227</v>
      </c>
      <c r="J134" s="126">
        <f t="shared" si="19"/>
        <v>0</v>
      </c>
      <c r="K134" s="125" t="s">
        <v>2226</v>
      </c>
      <c r="L134" s="124">
        <v>0.04</v>
      </c>
      <c r="M134" s="100"/>
      <c r="N134" s="101"/>
      <c r="O134" s="100"/>
      <c r="P134" s="100"/>
      <c r="Q134" s="100"/>
      <c r="R134" s="100"/>
      <c r="S134" s="100"/>
      <c r="T134" s="100"/>
      <c r="U134" s="100"/>
      <c r="X134" s="114" t="s">
        <v>13867</v>
      </c>
      <c r="Y134" s="115">
        <v>4087.625</v>
      </c>
      <c r="Z134" s="116">
        <f t="shared" si="20"/>
        <v>4087.625</v>
      </c>
      <c r="AA134" s="114" t="s">
        <v>2229</v>
      </c>
      <c r="AB134" s="117">
        <f t="shared" si="21"/>
        <v>4087</v>
      </c>
      <c r="AC134" s="114" t="s">
        <v>2228</v>
      </c>
      <c r="AD134" s="117">
        <f t="shared" si="22"/>
        <v>6</v>
      </c>
      <c r="AE134" s="114" t="s">
        <v>2227</v>
      </c>
      <c r="AF134" s="117">
        <f t="shared" si="23"/>
        <v>2.5</v>
      </c>
      <c r="AG134" s="114" t="s">
        <v>2226</v>
      </c>
      <c r="AH134" s="116">
        <v>163.5</v>
      </c>
      <c r="AI134" s="100"/>
      <c r="AJ134" s="100"/>
      <c r="AK134" s="100"/>
      <c r="AL134" s="100"/>
      <c r="AM134" s="100"/>
      <c r="AN134" s="100"/>
      <c r="AO134" s="100"/>
      <c r="AP134" s="100"/>
      <c r="AQ134" s="100"/>
    </row>
    <row r="135" spans="1:43" ht="18.75">
      <c r="A135" s="125" t="s">
        <v>2392</v>
      </c>
      <c r="B135" s="125">
        <v>1</v>
      </c>
      <c r="C135" s="125">
        <v>8</v>
      </c>
      <c r="D135" s="124">
        <f t="shared" si="16"/>
        <v>1</v>
      </c>
      <c r="E135" s="125" t="s">
        <v>2229</v>
      </c>
      <c r="F135" s="126">
        <f t="shared" si="17"/>
        <v>1</v>
      </c>
      <c r="G135" s="125" t="s">
        <v>2228</v>
      </c>
      <c r="H135" s="126">
        <f t="shared" si="18"/>
        <v>0</v>
      </c>
      <c r="I135" s="125" t="s">
        <v>2227</v>
      </c>
      <c r="J135" s="126">
        <f t="shared" si="19"/>
        <v>0</v>
      </c>
      <c r="K135" s="125" t="s">
        <v>2226</v>
      </c>
      <c r="L135" s="124">
        <v>0.04</v>
      </c>
      <c r="M135" s="100"/>
      <c r="N135" s="101"/>
      <c r="O135" s="100"/>
      <c r="P135" s="100"/>
      <c r="Q135" s="100"/>
      <c r="R135" s="100"/>
      <c r="S135" s="100"/>
      <c r="T135" s="100"/>
      <c r="U135" s="100"/>
      <c r="X135" s="114" t="s">
        <v>9397</v>
      </c>
      <c r="Y135" s="115">
        <v>46000</v>
      </c>
      <c r="Z135" s="116">
        <f t="shared" si="20"/>
        <v>46000</v>
      </c>
      <c r="AA135" s="114" t="s">
        <v>2229</v>
      </c>
      <c r="AB135" s="117">
        <f t="shared" si="21"/>
        <v>46000</v>
      </c>
      <c r="AC135" s="114" t="s">
        <v>2228</v>
      </c>
      <c r="AD135" s="117">
        <f t="shared" si="22"/>
        <v>0</v>
      </c>
      <c r="AE135" s="114" t="s">
        <v>2227</v>
      </c>
      <c r="AF135" s="117">
        <f t="shared" si="23"/>
        <v>0</v>
      </c>
      <c r="AG135" s="114" t="s">
        <v>2226</v>
      </c>
      <c r="AH135" s="116">
        <v>1840</v>
      </c>
      <c r="AI135" s="100"/>
      <c r="AJ135" s="100"/>
      <c r="AK135" s="100"/>
      <c r="AL135" s="100"/>
      <c r="AM135" s="100"/>
      <c r="AN135" s="100"/>
      <c r="AO135" s="100"/>
      <c r="AP135" s="100"/>
      <c r="AQ135" s="100"/>
    </row>
    <row r="136" spans="1:43" ht="18.75">
      <c r="A136" s="125" t="s">
        <v>2393</v>
      </c>
      <c r="B136" s="125">
        <v>1</v>
      </c>
      <c r="C136" s="128">
        <v>1.5</v>
      </c>
      <c r="D136" s="124">
        <f t="shared" si="16"/>
        <v>1</v>
      </c>
      <c r="E136" s="125" t="s">
        <v>2229</v>
      </c>
      <c r="F136" s="126">
        <f t="shared" si="17"/>
        <v>1</v>
      </c>
      <c r="G136" s="125" t="s">
        <v>2228</v>
      </c>
      <c r="H136" s="126">
        <f t="shared" si="18"/>
        <v>0</v>
      </c>
      <c r="I136" s="125" t="s">
        <v>2227</v>
      </c>
      <c r="J136" s="126">
        <f t="shared" si="19"/>
        <v>0</v>
      </c>
      <c r="K136" s="125" t="s">
        <v>2226</v>
      </c>
      <c r="L136" s="124">
        <v>0.04</v>
      </c>
      <c r="M136" s="100"/>
      <c r="N136" s="101"/>
      <c r="O136" s="100"/>
      <c r="P136" s="100"/>
      <c r="Q136" s="100"/>
      <c r="R136" s="100"/>
      <c r="S136" s="100"/>
      <c r="T136" s="100"/>
      <c r="U136" s="100"/>
      <c r="X136" s="114" t="s">
        <v>13868</v>
      </c>
      <c r="Y136" s="115">
        <v>81750.25</v>
      </c>
      <c r="Z136" s="116">
        <f t="shared" si="20"/>
        <v>81750.25</v>
      </c>
      <c r="AA136" s="114" t="s">
        <v>2229</v>
      </c>
      <c r="AB136" s="117">
        <f t="shared" si="21"/>
        <v>81750</v>
      </c>
      <c r="AC136" s="114" t="s">
        <v>2228</v>
      </c>
      <c r="AD136" s="117">
        <f t="shared" si="22"/>
        <v>2</v>
      </c>
      <c r="AE136" s="114" t="s">
        <v>2227</v>
      </c>
      <c r="AF136" s="117">
        <f t="shared" si="23"/>
        <v>5</v>
      </c>
      <c r="AG136" s="114" t="s">
        <v>2226</v>
      </c>
      <c r="AH136" s="116">
        <v>3270.01</v>
      </c>
      <c r="AI136" s="100"/>
      <c r="AJ136" s="100"/>
      <c r="AK136" s="100"/>
      <c r="AL136" s="100"/>
      <c r="AM136" s="100"/>
      <c r="AN136" s="100"/>
      <c r="AO136" s="100"/>
      <c r="AP136" s="100"/>
      <c r="AQ136" s="100"/>
    </row>
    <row r="137" spans="1:43" ht="18.75">
      <c r="A137" s="125" t="s">
        <v>2394</v>
      </c>
      <c r="B137" s="125">
        <v>1</v>
      </c>
      <c r="C137" s="125">
        <v>0.5</v>
      </c>
      <c r="D137" s="124">
        <f t="shared" si="16"/>
        <v>1</v>
      </c>
      <c r="E137" s="125" t="s">
        <v>2229</v>
      </c>
      <c r="F137" s="126">
        <f t="shared" si="17"/>
        <v>1</v>
      </c>
      <c r="G137" s="125" t="s">
        <v>2228</v>
      </c>
      <c r="H137" s="126">
        <f t="shared" si="18"/>
        <v>0</v>
      </c>
      <c r="I137" s="125" t="s">
        <v>2227</v>
      </c>
      <c r="J137" s="126">
        <f t="shared" si="19"/>
        <v>0</v>
      </c>
      <c r="K137" s="125" t="s">
        <v>2226</v>
      </c>
      <c r="L137" s="124">
        <v>0.04</v>
      </c>
      <c r="M137" s="100"/>
      <c r="N137" s="101"/>
      <c r="O137" s="100"/>
      <c r="P137" s="100"/>
      <c r="Q137" s="100"/>
      <c r="R137" s="100"/>
      <c r="S137" s="100"/>
      <c r="T137" s="100"/>
      <c r="U137" s="100"/>
      <c r="X137" s="114" t="s">
        <v>13869</v>
      </c>
      <c r="Y137" s="115">
        <v>91250.25</v>
      </c>
      <c r="Z137" s="116">
        <f t="shared" si="20"/>
        <v>91250.25</v>
      </c>
      <c r="AA137" s="114" t="s">
        <v>2229</v>
      </c>
      <c r="AB137" s="117">
        <f t="shared" si="21"/>
        <v>91250</v>
      </c>
      <c r="AC137" s="114" t="s">
        <v>2228</v>
      </c>
      <c r="AD137" s="117">
        <f t="shared" si="22"/>
        <v>2</v>
      </c>
      <c r="AE137" s="114" t="s">
        <v>2227</v>
      </c>
      <c r="AF137" s="117">
        <f t="shared" si="23"/>
        <v>5</v>
      </c>
      <c r="AG137" s="114" t="s">
        <v>2226</v>
      </c>
      <c r="AH137" s="116">
        <v>3650.01</v>
      </c>
      <c r="AI137" s="100"/>
      <c r="AJ137" s="100"/>
      <c r="AK137" s="100"/>
      <c r="AL137" s="100"/>
      <c r="AM137" s="100"/>
      <c r="AN137" s="100"/>
      <c r="AO137" s="100"/>
      <c r="AP137" s="100"/>
      <c r="AQ137" s="100"/>
    </row>
    <row r="138" spans="1:43" ht="18.75">
      <c r="A138" s="125" t="s">
        <v>2395</v>
      </c>
      <c r="B138" s="125">
        <v>1</v>
      </c>
      <c r="C138" s="125">
        <v>4</v>
      </c>
      <c r="D138" s="124">
        <f t="shared" si="16"/>
        <v>1</v>
      </c>
      <c r="E138" s="125" t="s">
        <v>2229</v>
      </c>
      <c r="F138" s="126">
        <f t="shared" si="17"/>
        <v>1</v>
      </c>
      <c r="G138" s="125" t="s">
        <v>2228</v>
      </c>
      <c r="H138" s="126">
        <f t="shared" si="18"/>
        <v>0</v>
      </c>
      <c r="I138" s="125" t="s">
        <v>2227</v>
      </c>
      <c r="J138" s="126">
        <f t="shared" si="19"/>
        <v>0</v>
      </c>
      <c r="K138" s="125" t="s">
        <v>2226</v>
      </c>
      <c r="L138" s="124">
        <v>0.04</v>
      </c>
      <c r="M138" s="100"/>
      <c r="N138" s="101"/>
      <c r="O138" s="100"/>
      <c r="P138" s="100"/>
      <c r="Q138" s="100"/>
      <c r="R138" s="100"/>
      <c r="S138" s="100"/>
      <c r="T138" s="100"/>
      <c r="U138" s="100"/>
      <c r="X138" s="114" t="s">
        <v>13870</v>
      </c>
      <c r="Y138" s="115">
        <v>96250.25</v>
      </c>
      <c r="Z138" s="116">
        <f t="shared" si="20"/>
        <v>96250.25</v>
      </c>
      <c r="AA138" s="114" t="s">
        <v>2229</v>
      </c>
      <c r="AB138" s="117">
        <f t="shared" si="21"/>
        <v>96250</v>
      </c>
      <c r="AC138" s="114" t="s">
        <v>2228</v>
      </c>
      <c r="AD138" s="117">
        <f t="shared" si="22"/>
        <v>2</v>
      </c>
      <c r="AE138" s="114" t="s">
        <v>2227</v>
      </c>
      <c r="AF138" s="117">
        <f t="shared" si="23"/>
        <v>5</v>
      </c>
      <c r="AG138" s="114" t="s">
        <v>2226</v>
      </c>
      <c r="AH138" s="116">
        <v>3850.01</v>
      </c>
      <c r="AI138" s="100"/>
      <c r="AJ138" s="100"/>
      <c r="AK138" s="100"/>
      <c r="AL138" s="100"/>
      <c r="AM138" s="100"/>
      <c r="AN138" s="100"/>
      <c r="AO138" s="100"/>
      <c r="AP138" s="100"/>
      <c r="AQ138" s="100"/>
    </row>
    <row r="139" spans="1:43" ht="18.75">
      <c r="A139" s="125" t="s">
        <v>2396</v>
      </c>
      <c r="B139" s="125">
        <v>1</v>
      </c>
      <c r="C139" s="125">
        <v>3</v>
      </c>
      <c r="D139" s="124">
        <f t="shared" si="16"/>
        <v>1</v>
      </c>
      <c r="E139" s="125" t="s">
        <v>2229</v>
      </c>
      <c r="F139" s="126">
        <f t="shared" si="17"/>
        <v>1</v>
      </c>
      <c r="G139" s="125" t="s">
        <v>2228</v>
      </c>
      <c r="H139" s="126">
        <f t="shared" si="18"/>
        <v>0</v>
      </c>
      <c r="I139" s="125" t="s">
        <v>2227</v>
      </c>
      <c r="J139" s="126">
        <f t="shared" si="19"/>
        <v>0</v>
      </c>
      <c r="K139" s="125" t="s">
        <v>2226</v>
      </c>
      <c r="L139" s="124">
        <v>0.04</v>
      </c>
      <c r="M139" s="100"/>
      <c r="N139" s="101"/>
      <c r="O139" s="100"/>
      <c r="P139" s="100"/>
      <c r="Q139" s="100"/>
      <c r="R139" s="100"/>
      <c r="S139" s="100"/>
      <c r="T139" s="100"/>
      <c r="U139" s="100"/>
      <c r="X139" s="114" t="s">
        <v>13871</v>
      </c>
      <c r="Y139" s="115">
        <v>31250.25</v>
      </c>
      <c r="Z139" s="116">
        <f t="shared" si="20"/>
        <v>31250.25</v>
      </c>
      <c r="AA139" s="114" t="s">
        <v>2229</v>
      </c>
      <c r="AB139" s="117">
        <f t="shared" si="21"/>
        <v>31250</v>
      </c>
      <c r="AC139" s="114" t="s">
        <v>2228</v>
      </c>
      <c r="AD139" s="117">
        <f t="shared" si="22"/>
        <v>2</v>
      </c>
      <c r="AE139" s="114" t="s">
        <v>2227</v>
      </c>
      <c r="AF139" s="117">
        <f t="shared" si="23"/>
        <v>5</v>
      </c>
      <c r="AG139" s="114" t="s">
        <v>2226</v>
      </c>
      <c r="AH139" s="116">
        <v>1250.01</v>
      </c>
      <c r="AI139" s="100"/>
      <c r="AJ139" s="100"/>
      <c r="AK139" s="100"/>
      <c r="AL139" s="100"/>
      <c r="AM139" s="100"/>
      <c r="AN139" s="100"/>
      <c r="AO139" s="100"/>
      <c r="AP139" s="100"/>
      <c r="AQ139" s="100"/>
    </row>
    <row r="140" spans="1:43" ht="18.75">
      <c r="A140" s="125" t="s">
        <v>2397</v>
      </c>
      <c r="B140" s="125">
        <v>1</v>
      </c>
      <c r="C140" s="125">
        <v>3</v>
      </c>
      <c r="D140" s="124">
        <f t="shared" si="16"/>
        <v>1</v>
      </c>
      <c r="E140" s="125" t="s">
        <v>2229</v>
      </c>
      <c r="F140" s="126">
        <f t="shared" si="17"/>
        <v>1</v>
      </c>
      <c r="G140" s="125" t="s">
        <v>2228</v>
      </c>
      <c r="H140" s="126">
        <f t="shared" si="18"/>
        <v>0</v>
      </c>
      <c r="I140" s="125" t="s">
        <v>2227</v>
      </c>
      <c r="J140" s="126">
        <f t="shared" si="19"/>
        <v>0</v>
      </c>
      <c r="K140" s="125" t="s">
        <v>2226</v>
      </c>
      <c r="L140" s="124">
        <v>0.04</v>
      </c>
      <c r="M140" s="100"/>
      <c r="N140" s="101"/>
      <c r="O140" s="100"/>
      <c r="P140" s="100"/>
      <c r="Q140" s="100"/>
      <c r="R140" s="100"/>
      <c r="S140" s="100"/>
      <c r="T140" s="100"/>
      <c r="U140" s="100"/>
      <c r="X140" s="114" t="s">
        <v>13872</v>
      </c>
      <c r="Y140" s="115">
        <v>10500</v>
      </c>
      <c r="Z140" s="116">
        <f t="shared" si="20"/>
        <v>10500</v>
      </c>
      <c r="AA140" s="114" t="s">
        <v>2229</v>
      </c>
      <c r="AB140" s="117">
        <f t="shared" si="21"/>
        <v>10500</v>
      </c>
      <c r="AC140" s="114" t="s">
        <v>2228</v>
      </c>
      <c r="AD140" s="117">
        <f t="shared" si="22"/>
        <v>0</v>
      </c>
      <c r="AE140" s="114" t="s">
        <v>2227</v>
      </c>
      <c r="AF140" s="117">
        <f t="shared" si="23"/>
        <v>0</v>
      </c>
      <c r="AG140" s="114" t="s">
        <v>2226</v>
      </c>
      <c r="AH140" s="116">
        <v>420</v>
      </c>
      <c r="AI140" s="100"/>
      <c r="AJ140" s="100"/>
      <c r="AK140" s="100"/>
      <c r="AL140" s="100"/>
      <c r="AM140" s="100"/>
      <c r="AN140" s="100"/>
      <c r="AO140" s="100"/>
      <c r="AP140" s="100"/>
      <c r="AQ140" s="100"/>
    </row>
    <row r="141" spans="1:43" ht="18.75">
      <c r="A141" s="125" t="s">
        <v>2398</v>
      </c>
      <c r="B141" s="125">
        <v>1</v>
      </c>
      <c r="C141" s="125">
        <v>1</v>
      </c>
      <c r="D141" s="124">
        <f t="shared" si="16"/>
        <v>1</v>
      </c>
      <c r="E141" s="125" t="s">
        <v>2229</v>
      </c>
      <c r="F141" s="126">
        <f t="shared" si="17"/>
        <v>1</v>
      </c>
      <c r="G141" s="125" t="s">
        <v>2228</v>
      </c>
      <c r="H141" s="126">
        <f t="shared" si="18"/>
        <v>0</v>
      </c>
      <c r="I141" s="125" t="s">
        <v>2227</v>
      </c>
      <c r="J141" s="126">
        <f t="shared" si="19"/>
        <v>0</v>
      </c>
      <c r="K141" s="125" t="s">
        <v>2226</v>
      </c>
      <c r="L141" s="124">
        <v>0.04</v>
      </c>
      <c r="M141" s="100"/>
      <c r="N141" s="101"/>
      <c r="O141" s="100"/>
      <c r="P141" s="100"/>
      <c r="Q141" s="100"/>
      <c r="R141" s="100"/>
      <c r="S141" s="100"/>
      <c r="T141" s="100"/>
      <c r="U141" s="100"/>
      <c r="X141" s="114" t="s">
        <v>9455</v>
      </c>
      <c r="Y141" s="115">
        <v>102000</v>
      </c>
      <c r="Z141" s="116">
        <f t="shared" si="20"/>
        <v>102000</v>
      </c>
      <c r="AA141" s="114" t="s">
        <v>2229</v>
      </c>
      <c r="AB141" s="117">
        <f t="shared" si="21"/>
        <v>102000</v>
      </c>
      <c r="AC141" s="114" t="s">
        <v>2228</v>
      </c>
      <c r="AD141" s="117">
        <f t="shared" si="22"/>
        <v>0</v>
      </c>
      <c r="AE141" s="114" t="s">
        <v>2227</v>
      </c>
      <c r="AF141" s="117">
        <f t="shared" si="23"/>
        <v>0</v>
      </c>
      <c r="AG141" s="114" t="s">
        <v>2226</v>
      </c>
      <c r="AH141" s="116">
        <v>4080</v>
      </c>
      <c r="AI141" s="100"/>
      <c r="AJ141" s="100"/>
      <c r="AK141" s="100"/>
      <c r="AL141" s="100"/>
      <c r="AM141" s="100"/>
      <c r="AN141" s="100"/>
      <c r="AO141" s="100"/>
      <c r="AP141" s="100"/>
      <c r="AQ141" s="100"/>
    </row>
    <row r="142" spans="1:43" ht="18.75">
      <c r="A142" s="125" t="s">
        <v>2399</v>
      </c>
      <c r="B142" s="125">
        <v>1</v>
      </c>
      <c r="C142" s="125">
        <v>4</v>
      </c>
      <c r="D142" s="124">
        <f t="shared" si="16"/>
        <v>1</v>
      </c>
      <c r="E142" s="125" t="s">
        <v>2229</v>
      </c>
      <c r="F142" s="126">
        <f t="shared" si="17"/>
        <v>1</v>
      </c>
      <c r="G142" s="125" t="s">
        <v>2228</v>
      </c>
      <c r="H142" s="126">
        <f t="shared" si="18"/>
        <v>0</v>
      </c>
      <c r="I142" s="125" t="s">
        <v>2227</v>
      </c>
      <c r="J142" s="126">
        <f t="shared" si="19"/>
        <v>0</v>
      </c>
      <c r="K142" s="125" t="s">
        <v>2226</v>
      </c>
      <c r="L142" s="124">
        <v>0.04</v>
      </c>
      <c r="M142" s="100"/>
      <c r="N142" s="101"/>
      <c r="O142" s="100"/>
      <c r="P142" s="100"/>
      <c r="Q142" s="100"/>
      <c r="R142" s="100"/>
      <c r="S142" s="100"/>
      <c r="T142" s="100"/>
      <c r="U142" s="100"/>
      <c r="X142" s="114" t="s">
        <v>13873</v>
      </c>
      <c r="Y142" s="115">
        <v>287.625</v>
      </c>
      <c r="Z142" s="116">
        <f t="shared" si="20"/>
        <v>287.625</v>
      </c>
      <c r="AA142" s="114" t="s">
        <v>2229</v>
      </c>
      <c r="AB142" s="117">
        <f t="shared" si="21"/>
        <v>287</v>
      </c>
      <c r="AC142" s="114" t="s">
        <v>2228</v>
      </c>
      <c r="AD142" s="117">
        <f t="shared" si="22"/>
        <v>6</v>
      </c>
      <c r="AE142" s="114" t="s">
        <v>2227</v>
      </c>
      <c r="AF142" s="117">
        <f t="shared" si="23"/>
        <v>2.5</v>
      </c>
      <c r="AG142" s="114" t="s">
        <v>2226</v>
      </c>
      <c r="AH142" s="116">
        <v>11.5</v>
      </c>
      <c r="AI142" s="100"/>
      <c r="AJ142" s="100"/>
      <c r="AK142" s="100"/>
      <c r="AL142" s="100"/>
      <c r="AM142" s="100"/>
      <c r="AN142" s="100"/>
      <c r="AO142" s="100"/>
      <c r="AP142" s="100"/>
      <c r="AQ142" s="100"/>
    </row>
    <row r="143" spans="1:43" ht="18.75">
      <c r="A143" s="125" t="s">
        <v>2400</v>
      </c>
      <c r="B143" s="125">
        <v>1</v>
      </c>
      <c r="C143" s="125">
        <v>10</v>
      </c>
      <c r="D143" s="124">
        <f t="shared" si="16"/>
        <v>1</v>
      </c>
      <c r="E143" s="125" t="s">
        <v>2229</v>
      </c>
      <c r="F143" s="126">
        <f t="shared" si="17"/>
        <v>1</v>
      </c>
      <c r="G143" s="125" t="s">
        <v>2228</v>
      </c>
      <c r="H143" s="126">
        <f t="shared" si="18"/>
        <v>0</v>
      </c>
      <c r="I143" s="125" t="s">
        <v>2227</v>
      </c>
      <c r="J143" s="126">
        <f t="shared" si="19"/>
        <v>0</v>
      </c>
      <c r="K143" s="125" t="s">
        <v>2226</v>
      </c>
      <c r="L143" s="124">
        <v>0.04</v>
      </c>
      <c r="M143" s="100"/>
      <c r="N143" s="101"/>
      <c r="O143" s="100"/>
      <c r="P143" s="100"/>
      <c r="Q143" s="100"/>
      <c r="R143" s="100"/>
      <c r="S143" s="100"/>
      <c r="T143" s="100"/>
      <c r="U143" s="100"/>
      <c r="X143" s="114" t="s">
        <v>9282</v>
      </c>
      <c r="Y143" s="115">
        <v>40000</v>
      </c>
      <c r="Z143" s="116">
        <f t="shared" si="20"/>
        <v>40000</v>
      </c>
      <c r="AA143" s="114" t="s">
        <v>2229</v>
      </c>
      <c r="AB143" s="117">
        <f t="shared" si="21"/>
        <v>40000</v>
      </c>
      <c r="AC143" s="114" t="s">
        <v>2228</v>
      </c>
      <c r="AD143" s="117">
        <f t="shared" si="22"/>
        <v>0</v>
      </c>
      <c r="AE143" s="114" t="s">
        <v>2227</v>
      </c>
      <c r="AF143" s="117">
        <f t="shared" si="23"/>
        <v>0</v>
      </c>
      <c r="AG143" s="114" t="s">
        <v>2226</v>
      </c>
      <c r="AH143" s="116">
        <v>1600</v>
      </c>
      <c r="AI143" s="100"/>
      <c r="AJ143" s="100"/>
      <c r="AK143" s="100"/>
      <c r="AL143" s="100"/>
      <c r="AM143" s="100"/>
      <c r="AN143" s="100"/>
      <c r="AO143" s="100"/>
      <c r="AP143" s="100"/>
      <c r="AQ143" s="100"/>
    </row>
    <row r="144" spans="1:43" ht="18.75">
      <c r="A144" s="125" t="s">
        <v>2401</v>
      </c>
      <c r="B144" s="125">
        <v>1</v>
      </c>
      <c r="C144" s="125">
        <v>2</v>
      </c>
      <c r="D144" s="124">
        <f t="shared" si="16"/>
        <v>1</v>
      </c>
      <c r="E144" s="125" t="s">
        <v>2229</v>
      </c>
      <c r="F144" s="126">
        <f t="shared" si="17"/>
        <v>1</v>
      </c>
      <c r="G144" s="125" t="s">
        <v>2228</v>
      </c>
      <c r="H144" s="126">
        <f t="shared" si="18"/>
        <v>0</v>
      </c>
      <c r="I144" s="125" t="s">
        <v>2227</v>
      </c>
      <c r="J144" s="126">
        <f t="shared" si="19"/>
        <v>0</v>
      </c>
      <c r="K144" s="125" t="s">
        <v>2226</v>
      </c>
      <c r="L144" s="124">
        <v>0.04</v>
      </c>
      <c r="M144" s="100"/>
      <c r="N144" s="101"/>
      <c r="O144" s="100"/>
      <c r="P144" s="100"/>
      <c r="Q144" s="100"/>
      <c r="R144" s="100"/>
      <c r="S144" s="100"/>
      <c r="T144" s="100"/>
      <c r="U144" s="100"/>
      <c r="X144" s="114" t="s">
        <v>13874</v>
      </c>
      <c r="Y144" s="115">
        <v>6875.25</v>
      </c>
      <c r="Z144" s="116">
        <f t="shared" si="20"/>
        <v>6875.25</v>
      </c>
      <c r="AA144" s="114" t="s">
        <v>2229</v>
      </c>
      <c r="AB144" s="117">
        <f t="shared" si="21"/>
        <v>6875</v>
      </c>
      <c r="AC144" s="114" t="s">
        <v>2228</v>
      </c>
      <c r="AD144" s="117">
        <f t="shared" si="22"/>
        <v>2</v>
      </c>
      <c r="AE144" s="114" t="s">
        <v>2227</v>
      </c>
      <c r="AF144" s="117">
        <f t="shared" si="23"/>
        <v>5</v>
      </c>
      <c r="AG144" s="114" t="s">
        <v>2226</v>
      </c>
      <c r="AH144" s="116">
        <v>275.01</v>
      </c>
      <c r="AI144" s="100"/>
      <c r="AJ144" s="100"/>
      <c r="AK144" s="100"/>
      <c r="AL144" s="100"/>
      <c r="AM144" s="100"/>
      <c r="AN144" s="100"/>
      <c r="AO144" s="100"/>
      <c r="AP144" s="100"/>
      <c r="AQ144" s="100"/>
    </row>
    <row r="145" spans="1:43" ht="18.75">
      <c r="A145" s="125" t="s">
        <v>2402</v>
      </c>
      <c r="B145" s="125">
        <v>1</v>
      </c>
      <c r="C145" s="125">
        <v>3</v>
      </c>
      <c r="D145" s="124">
        <f t="shared" si="16"/>
        <v>1</v>
      </c>
      <c r="E145" s="125" t="s">
        <v>2229</v>
      </c>
      <c r="F145" s="126">
        <f t="shared" si="17"/>
        <v>1</v>
      </c>
      <c r="G145" s="125" t="s">
        <v>2228</v>
      </c>
      <c r="H145" s="126">
        <f t="shared" si="18"/>
        <v>0</v>
      </c>
      <c r="I145" s="125" t="s">
        <v>2227</v>
      </c>
      <c r="J145" s="126">
        <f t="shared" si="19"/>
        <v>0</v>
      </c>
      <c r="K145" s="125" t="s">
        <v>2226</v>
      </c>
      <c r="L145" s="124">
        <v>0.04</v>
      </c>
      <c r="M145" s="100"/>
      <c r="N145" s="101"/>
      <c r="O145" s="100"/>
      <c r="P145" s="100"/>
      <c r="Q145" s="100"/>
      <c r="R145" s="100"/>
      <c r="S145" s="100"/>
      <c r="T145" s="100"/>
      <c r="U145" s="100"/>
      <c r="X145" s="114" t="s">
        <v>13875</v>
      </c>
      <c r="Y145" s="115">
        <v>2000</v>
      </c>
      <c r="Z145" s="116">
        <f t="shared" si="20"/>
        <v>2000</v>
      </c>
      <c r="AA145" s="114" t="s">
        <v>2229</v>
      </c>
      <c r="AB145" s="117">
        <f t="shared" si="21"/>
        <v>2000</v>
      </c>
      <c r="AC145" s="114" t="s">
        <v>2228</v>
      </c>
      <c r="AD145" s="117">
        <f t="shared" si="22"/>
        <v>0</v>
      </c>
      <c r="AE145" s="114" t="s">
        <v>2227</v>
      </c>
      <c r="AF145" s="117">
        <f t="shared" si="23"/>
        <v>0</v>
      </c>
      <c r="AG145" s="114" t="s">
        <v>2226</v>
      </c>
      <c r="AH145" s="116">
        <v>80</v>
      </c>
      <c r="AI145" s="100"/>
      <c r="AJ145" s="100"/>
      <c r="AK145" s="100"/>
      <c r="AL145" s="100"/>
      <c r="AM145" s="100"/>
      <c r="AN145" s="100"/>
      <c r="AO145" s="100"/>
      <c r="AP145" s="100"/>
      <c r="AQ145" s="100"/>
    </row>
    <row r="146" spans="1:43" ht="18.75">
      <c r="A146" s="125" t="s">
        <v>2403</v>
      </c>
      <c r="B146" s="125">
        <v>1</v>
      </c>
      <c r="C146" s="125">
        <v>5</v>
      </c>
      <c r="D146" s="124">
        <f t="shared" si="16"/>
        <v>1</v>
      </c>
      <c r="E146" s="125" t="s">
        <v>2229</v>
      </c>
      <c r="F146" s="126">
        <f t="shared" si="17"/>
        <v>1</v>
      </c>
      <c r="G146" s="125" t="s">
        <v>2228</v>
      </c>
      <c r="H146" s="126">
        <f t="shared" si="18"/>
        <v>0</v>
      </c>
      <c r="I146" s="125" t="s">
        <v>2227</v>
      </c>
      <c r="J146" s="126">
        <f t="shared" si="19"/>
        <v>0</v>
      </c>
      <c r="K146" s="125" t="s">
        <v>2226</v>
      </c>
      <c r="L146" s="124">
        <v>0.04</v>
      </c>
      <c r="M146" s="100"/>
      <c r="N146" s="101"/>
      <c r="O146" s="100"/>
      <c r="P146" s="100"/>
      <c r="Q146" s="100"/>
      <c r="R146" s="100"/>
      <c r="S146" s="100"/>
      <c r="T146" s="100"/>
      <c r="U146" s="100"/>
      <c r="X146" s="114" t="s">
        <v>13876</v>
      </c>
      <c r="Y146" s="115">
        <v>6000</v>
      </c>
      <c r="Z146" s="116">
        <f t="shared" si="20"/>
        <v>6000</v>
      </c>
      <c r="AA146" s="114" t="s">
        <v>2229</v>
      </c>
      <c r="AB146" s="117">
        <f t="shared" si="21"/>
        <v>6000</v>
      </c>
      <c r="AC146" s="114" t="s">
        <v>2228</v>
      </c>
      <c r="AD146" s="117">
        <f t="shared" si="22"/>
        <v>0</v>
      </c>
      <c r="AE146" s="114" t="s">
        <v>2227</v>
      </c>
      <c r="AF146" s="117">
        <f t="shared" si="23"/>
        <v>0</v>
      </c>
      <c r="AG146" s="114" t="s">
        <v>2226</v>
      </c>
      <c r="AH146" s="116">
        <v>240</v>
      </c>
      <c r="AI146" s="100"/>
      <c r="AJ146" s="100"/>
      <c r="AK146" s="100"/>
      <c r="AL146" s="100"/>
      <c r="AM146" s="100"/>
      <c r="AN146" s="100"/>
      <c r="AO146" s="100"/>
      <c r="AP146" s="100"/>
      <c r="AQ146" s="100"/>
    </row>
    <row r="147" spans="1:43" ht="18.75">
      <c r="A147" s="125" t="s">
        <v>2404</v>
      </c>
      <c r="B147" s="125">
        <v>1</v>
      </c>
      <c r="C147" s="125">
        <v>0</v>
      </c>
      <c r="D147" s="124">
        <f t="shared" si="16"/>
        <v>1</v>
      </c>
      <c r="E147" s="125" t="s">
        <v>2229</v>
      </c>
      <c r="F147" s="126">
        <f t="shared" si="17"/>
        <v>1</v>
      </c>
      <c r="G147" s="125" t="s">
        <v>2228</v>
      </c>
      <c r="H147" s="126">
        <f t="shared" si="18"/>
        <v>0</v>
      </c>
      <c r="I147" s="125" t="s">
        <v>2227</v>
      </c>
      <c r="J147" s="126">
        <f t="shared" si="19"/>
        <v>0</v>
      </c>
      <c r="K147" s="125" t="s">
        <v>2226</v>
      </c>
      <c r="L147" s="124">
        <v>0.04</v>
      </c>
      <c r="M147" s="100"/>
      <c r="N147" s="101"/>
      <c r="O147" s="100"/>
      <c r="P147" s="100"/>
      <c r="Q147" s="100"/>
      <c r="R147" s="100"/>
      <c r="S147" s="100"/>
      <c r="T147" s="100"/>
      <c r="U147" s="100"/>
      <c r="X147" s="114" t="s">
        <v>13877</v>
      </c>
      <c r="Y147" s="115">
        <v>112500.5</v>
      </c>
      <c r="Z147" s="116">
        <f t="shared" si="20"/>
        <v>112500.5</v>
      </c>
      <c r="AA147" s="114" t="s">
        <v>2229</v>
      </c>
      <c r="AB147" s="117">
        <f t="shared" si="21"/>
        <v>112500</v>
      </c>
      <c r="AC147" s="114" t="s">
        <v>2228</v>
      </c>
      <c r="AD147" s="117">
        <f t="shared" si="22"/>
        <v>5</v>
      </c>
      <c r="AE147" s="114" t="s">
        <v>2227</v>
      </c>
      <c r="AF147" s="117">
        <f t="shared" si="23"/>
        <v>0</v>
      </c>
      <c r="AG147" s="114" t="s">
        <v>2226</v>
      </c>
      <c r="AH147" s="116">
        <v>4500.0200000000004</v>
      </c>
      <c r="AI147" s="100"/>
      <c r="AJ147" s="100"/>
      <c r="AK147" s="100"/>
      <c r="AL147" s="100"/>
      <c r="AM147" s="100"/>
      <c r="AN147" s="100"/>
      <c r="AO147" s="100"/>
      <c r="AP147" s="100"/>
      <c r="AQ147" s="100"/>
    </row>
    <row r="148" spans="1:43" ht="18.75">
      <c r="A148" s="125" t="s">
        <v>2405</v>
      </c>
      <c r="B148" s="125">
        <v>1</v>
      </c>
      <c r="C148" s="125">
        <v>0</v>
      </c>
      <c r="D148" s="124">
        <f t="shared" si="16"/>
        <v>1</v>
      </c>
      <c r="E148" s="125" t="s">
        <v>2229</v>
      </c>
      <c r="F148" s="126">
        <f t="shared" si="17"/>
        <v>1</v>
      </c>
      <c r="G148" s="125" t="s">
        <v>2228</v>
      </c>
      <c r="H148" s="126">
        <f t="shared" si="18"/>
        <v>0</v>
      </c>
      <c r="I148" s="125" t="s">
        <v>2227</v>
      </c>
      <c r="J148" s="126">
        <f t="shared" si="19"/>
        <v>0</v>
      </c>
      <c r="K148" s="125" t="s">
        <v>2226</v>
      </c>
      <c r="L148" s="124">
        <v>0.04</v>
      </c>
      <c r="M148" s="100"/>
      <c r="N148" s="101"/>
      <c r="O148" s="100"/>
      <c r="P148" s="100"/>
      <c r="Q148" s="100"/>
      <c r="R148" s="100"/>
      <c r="S148" s="100"/>
      <c r="T148" s="100"/>
      <c r="U148" s="100"/>
      <c r="X148" s="114" t="s">
        <v>13878</v>
      </c>
      <c r="Y148" s="115">
        <v>67.5</v>
      </c>
      <c r="Z148" s="116">
        <f t="shared" si="20"/>
        <v>67.5</v>
      </c>
      <c r="AA148" s="114" t="s">
        <v>2229</v>
      </c>
      <c r="AB148" s="117">
        <f t="shared" si="21"/>
        <v>67</v>
      </c>
      <c r="AC148" s="114" t="s">
        <v>2228</v>
      </c>
      <c r="AD148" s="117">
        <f t="shared" si="22"/>
        <v>5</v>
      </c>
      <c r="AE148" s="114" t="s">
        <v>2227</v>
      </c>
      <c r="AF148" s="117">
        <f t="shared" si="23"/>
        <v>0</v>
      </c>
      <c r="AG148" s="114" t="s">
        <v>2226</v>
      </c>
      <c r="AH148" s="116">
        <v>2.7</v>
      </c>
      <c r="AI148" s="100"/>
      <c r="AJ148" s="100"/>
      <c r="AK148" s="100"/>
      <c r="AL148" s="100"/>
      <c r="AM148" s="100"/>
      <c r="AN148" s="100"/>
      <c r="AO148" s="100"/>
      <c r="AP148" s="100"/>
      <c r="AQ148" s="100"/>
    </row>
    <row r="149" spans="1:43" ht="18.75">
      <c r="A149" s="125" t="s">
        <v>2406</v>
      </c>
      <c r="B149" s="125">
        <v>1</v>
      </c>
      <c r="C149" s="125">
        <v>0</v>
      </c>
      <c r="D149" s="124">
        <f t="shared" si="16"/>
        <v>1</v>
      </c>
      <c r="E149" s="125" t="s">
        <v>2229</v>
      </c>
      <c r="F149" s="126">
        <f t="shared" si="17"/>
        <v>1</v>
      </c>
      <c r="G149" s="125" t="s">
        <v>2228</v>
      </c>
      <c r="H149" s="126">
        <f t="shared" si="18"/>
        <v>0</v>
      </c>
      <c r="I149" s="125" t="s">
        <v>2227</v>
      </c>
      <c r="J149" s="126">
        <f t="shared" si="19"/>
        <v>0</v>
      </c>
      <c r="K149" s="125" t="s">
        <v>2226</v>
      </c>
      <c r="L149" s="124">
        <v>0.04</v>
      </c>
      <c r="M149" s="100"/>
      <c r="N149" s="101"/>
      <c r="O149" s="100"/>
      <c r="P149" s="100"/>
      <c r="Q149" s="100"/>
      <c r="R149" s="100"/>
      <c r="S149" s="100"/>
      <c r="T149" s="100"/>
      <c r="U149" s="100"/>
      <c r="X149" s="114" t="s">
        <v>13879</v>
      </c>
      <c r="Y149" s="115">
        <v>84750.25</v>
      </c>
      <c r="Z149" s="116">
        <f t="shared" si="20"/>
        <v>84750.25</v>
      </c>
      <c r="AA149" s="114" t="s">
        <v>2229</v>
      </c>
      <c r="AB149" s="117">
        <f t="shared" si="21"/>
        <v>84750</v>
      </c>
      <c r="AC149" s="114" t="s">
        <v>2228</v>
      </c>
      <c r="AD149" s="117">
        <f t="shared" si="22"/>
        <v>2</v>
      </c>
      <c r="AE149" s="114" t="s">
        <v>2227</v>
      </c>
      <c r="AF149" s="117">
        <f t="shared" si="23"/>
        <v>5</v>
      </c>
      <c r="AG149" s="114" t="s">
        <v>2226</v>
      </c>
      <c r="AH149" s="116">
        <v>3390.01</v>
      </c>
      <c r="AI149" s="100"/>
      <c r="AJ149" s="100"/>
      <c r="AK149" s="100"/>
      <c r="AL149" s="100"/>
      <c r="AM149" s="100"/>
      <c r="AN149" s="100"/>
      <c r="AO149" s="100"/>
      <c r="AP149" s="100"/>
      <c r="AQ149" s="100"/>
    </row>
    <row r="150" spans="1:43" ht="18.75">
      <c r="A150" s="125" t="s">
        <v>2407</v>
      </c>
      <c r="B150" s="125">
        <v>1</v>
      </c>
      <c r="C150" s="125">
        <v>0</v>
      </c>
      <c r="D150" s="124">
        <f t="shared" si="16"/>
        <v>1</v>
      </c>
      <c r="E150" s="125" t="s">
        <v>2229</v>
      </c>
      <c r="F150" s="126">
        <f t="shared" si="17"/>
        <v>1</v>
      </c>
      <c r="G150" s="125" t="s">
        <v>2228</v>
      </c>
      <c r="H150" s="126">
        <f t="shared" si="18"/>
        <v>0</v>
      </c>
      <c r="I150" s="125" t="s">
        <v>2227</v>
      </c>
      <c r="J150" s="126">
        <f t="shared" si="19"/>
        <v>0</v>
      </c>
      <c r="K150" s="125" t="s">
        <v>2226</v>
      </c>
      <c r="L150" s="124">
        <v>0.04</v>
      </c>
      <c r="M150" s="100"/>
      <c r="N150" s="101"/>
      <c r="O150" s="100"/>
      <c r="P150" s="100"/>
      <c r="Q150" s="100"/>
      <c r="R150" s="100"/>
      <c r="S150" s="100"/>
      <c r="T150" s="100"/>
      <c r="U150" s="100"/>
      <c r="X150" s="114" t="s">
        <v>13880</v>
      </c>
      <c r="Y150" s="115">
        <v>67650</v>
      </c>
      <c r="Z150" s="116">
        <f t="shared" si="20"/>
        <v>67650</v>
      </c>
      <c r="AA150" s="114" t="s">
        <v>2229</v>
      </c>
      <c r="AB150" s="117">
        <f t="shared" si="21"/>
        <v>67650</v>
      </c>
      <c r="AC150" s="114" t="s">
        <v>2228</v>
      </c>
      <c r="AD150" s="117">
        <f t="shared" si="22"/>
        <v>0</v>
      </c>
      <c r="AE150" s="114" t="s">
        <v>2227</v>
      </c>
      <c r="AF150" s="117">
        <f t="shared" si="23"/>
        <v>0</v>
      </c>
      <c r="AG150" s="114" t="s">
        <v>2226</v>
      </c>
      <c r="AH150" s="116">
        <v>2706</v>
      </c>
      <c r="AI150" s="100"/>
      <c r="AJ150" s="100"/>
      <c r="AK150" s="100"/>
      <c r="AL150" s="100"/>
      <c r="AM150" s="100"/>
      <c r="AN150" s="100"/>
      <c r="AO150" s="100"/>
      <c r="AP150" s="100"/>
      <c r="AQ150" s="100"/>
    </row>
    <row r="151" spans="1:43" ht="18.75">
      <c r="A151" s="125" t="s">
        <v>2408</v>
      </c>
      <c r="B151" s="125">
        <v>1</v>
      </c>
      <c r="C151" s="125">
        <v>5</v>
      </c>
      <c r="D151" s="124">
        <f t="shared" si="16"/>
        <v>1</v>
      </c>
      <c r="E151" s="125" t="s">
        <v>2229</v>
      </c>
      <c r="F151" s="126">
        <f t="shared" si="17"/>
        <v>1</v>
      </c>
      <c r="G151" s="125" t="s">
        <v>2228</v>
      </c>
      <c r="H151" s="126">
        <f t="shared" si="18"/>
        <v>0</v>
      </c>
      <c r="I151" s="125" t="s">
        <v>2227</v>
      </c>
      <c r="J151" s="126">
        <f t="shared" si="19"/>
        <v>0</v>
      </c>
      <c r="K151" s="125" t="s">
        <v>2226</v>
      </c>
      <c r="L151" s="124">
        <v>0.04</v>
      </c>
      <c r="M151" s="100"/>
      <c r="N151" s="101"/>
      <c r="O151" s="100"/>
      <c r="P151" s="100"/>
      <c r="Q151" s="100"/>
      <c r="R151" s="100"/>
      <c r="S151" s="100"/>
      <c r="T151" s="100"/>
      <c r="U151" s="100"/>
      <c r="X151" s="114" t="s">
        <v>13881</v>
      </c>
      <c r="Y151" s="115">
        <v>3285</v>
      </c>
      <c r="Z151" s="116">
        <f t="shared" si="20"/>
        <v>3285</v>
      </c>
      <c r="AA151" s="114" t="s">
        <v>2229</v>
      </c>
      <c r="AB151" s="117">
        <f t="shared" si="21"/>
        <v>3285</v>
      </c>
      <c r="AC151" s="114" t="s">
        <v>2228</v>
      </c>
      <c r="AD151" s="117">
        <f t="shared" si="22"/>
        <v>0</v>
      </c>
      <c r="AE151" s="114" t="s">
        <v>2227</v>
      </c>
      <c r="AF151" s="117">
        <f t="shared" si="23"/>
        <v>0</v>
      </c>
      <c r="AG151" s="114" t="s">
        <v>2226</v>
      </c>
      <c r="AH151" s="116">
        <v>131.4</v>
      </c>
      <c r="AI151" s="100"/>
      <c r="AJ151" s="100"/>
      <c r="AK151" s="100"/>
      <c r="AL151" s="100"/>
      <c r="AM151" s="100"/>
      <c r="AN151" s="100"/>
      <c r="AO151" s="100"/>
      <c r="AP151" s="100"/>
      <c r="AQ151" s="100"/>
    </row>
    <row r="152" spans="1:43" ht="18.75">
      <c r="A152" s="125" t="s">
        <v>2409</v>
      </c>
      <c r="B152" s="125">
        <v>1</v>
      </c>
      <c r="C152" s="125">
        <v>5</v>
      </c>
      <c r="D152" s="124">
        <f t="shared" si="16"/>
        <v>1</v>
      </c>
      <c r="E152" s="125" t="s">
        <v>2229</v>
      </c>
      <c r="F152" s="126">
        <f t="shared" si="17"/>
        <v>1</v>
      </c>
      <c r="G152" s="125" t="s">
        <v>2228</v>
      </c>
      <c r="H152" s="126">
        <f t="shared" si="18"/>
        <v>0</v>
      </c>
      <c r="I152" s="125" t="s">
        <v>2227</v>
      </c>
      <c r="J152" s="126">
        <f t="shared" si="19"/>
        <v>0</v>
      </c>
      <c r="K152" s="125" t="s">
        <v>2226</v>
      </c>
      <c r="L152" s="124">
        <v>0.04</v>
      </c>
      <c r="M152" s="100"/>
      <c r="N152" s="101"/>
      <c r="O152" s="100"/>
      <c r="P152" s="100"/>
      <c r="Q152" s="100"/>
      <c r="R152" s="100"/>
      <c r="S152" s="100"/>
      <c r="T152" s="100"/>
      <c r="U152" s="100"/>
      <c r="X152" s="114" t="s">
        <v>13882</v>
      </c>
      <c r="Y152" s="115">
        <v>156250.25</v>
      </c>
      <c r="Z152" s="116">
        <f t="shared" si="20"/>
        <v>156250.25</v>
      </c>
      <c r="AA152" s="114" t="s">
        <v>2229</v>
      </c>
      <c r="AB152" s="117">
        <f t="shared" si="21"/>
        <v>156250</v>
      </c>
      <c r="AC152" s="114" t="s">
        <v>2228</v>
      </c>
      <c r="AD152" s="117">
        <f t="shared" si="22"/>
        <v>2</v>
      </c>
      <c r="AE152" s="114" t="s">
        <v>2227</v>
      </c>
      <c r="AF152" s="117">
        <f t="shared" si="23"/>
        <v>5</v>
      </c>
      <c r="AG152" s="114" t="s">
        <v>2226</v>
      </c>
      <c r="AH152" s="116">
        <v>6250.01</v>
      </c>
      <c r="AI152" s="100"/>
      <c r="AJ152" s="100"/>
      <c r="AK152" s="100"/>
      <c r="AL152" s="100"/>
      <c r="AM152" s="100"/>
      <c r="AN152" s="100"/>
      <c r="AO152" s="100"/>
      <c r="AP152" s="100"/>
      <c r="AQ152" s="100"/>
    </row>
    <row r="153" spans="1:43" ht="18.75">
      <c r="A153" s="125" t="s">
        <v>2410</v>
      </c>
      <c r="B153" s="125">
        <v>0.5</v>
      </c>
      <c r="C153" s="125">
        <v>3</v>
      </c>
      <c r="D153" s="124">
        <f t="shared" si="16"/>
        <v>0.5</v>
      </c>
      <c r="E153" s="125" t="s">
        <v>2229</v>
      </c>
      <c r="F153" s="126">
        <f t="shared" si="17"/>
        <v>0</v>
      </c>
      <c r="G153" s="125" t="s">
        <v>2228</v>
      </c>
      <c r="H153" s="126">
        <f t="shared" si="18"/>
        <v>5</v>
      </c>
      <c r="I153" s="125" t="s">
        <v>2227</v>
      </c>
      <c r="J153" s="126">
        <f t="shared" si="19"/>
        <v>0</v>
      </c>
      <c r="K153" s="125" t="s">
        <v>2226</v>
      </c>
      <c r="L153" s="124">
        <v>0.02</v>
      </c>
      <c r="M153" s="100"/>
      <c r="N153" s="101"/>
      <c r="O153" s="100"/>
      <c r="P153" s="100"/>
      <c r="Q153" s="100"/>
      <c r="R153" s="100"/>
      <c r="S153" s="100"/>
      <c r="T153" s="100"/>
      <c r="U153" s="100"/>
      <c r="X153" s="114" t="s">
        <v>13883</v>
      </c>
      <c r="Y153" s="115">
        <v>112500.5</v>
      </c>
      <c r="Z153" s="116">
        <f t="shared" si="20"/>
        <v>112500.5</v>
      </c>
      <c r="AA153" s="114" t="s">
        <v>2229</v>
      </c>
      <c r="AB153" s="117">
        <f t="shared" si="21"/>
        <v>112500</v>
      </c>
      <c r="AC153" s="114" t="s">
        <v>2228</v>
      </c>
      <c r="AD153" s="117">
        <f t="shared" si="22"/>
        <v>5</v>
      </c>
      <c r="AE153" s="114" t="s">
        <v>2227</v>
      </c>
      <c r="AF153" s="117">
        <f t="shared" si="23"/>
        <v>0</v>
      </c>
      <c r="AG153" s="114" t="s">
        <v>2226</v>
      </c>
      <c r="AH153" s="116">
        <v>4500.0200000000004</v>
      </c>
      <c r="AI153" s="100"/>
      <c r="AJ153" s="100"/>
      <c r="AK153" s="100"/>
      <c r="AL153" s="100"/>
      <c r="AM153" s="100"/>
      <c r="AN153" s="100"/>
      <c r="AO153" s="100"/>
      <c r="AP153" s="100"/>
      <c r="AQ153" s="100"/>
    </row>
    <row r="154" spans="1:43" ht="18.75">
      <c r="A154" s="125" t="s">
        <v>2411</v>
      </c>
      <c r="B154" s="125">
        <v>0.5</v>
      </c>
      <c r="C154" s="125">
        <v>3</v>
      </c>
      <c r="D154" s="124">
        <f t="shared" si="16"/>
        <v>0.5</v>
      </c>
      <c r="E154" s="125" t="s">
        <v>2229</v>
      </c>
      <c r="F154" s="126">
        <f t="shared" si="17"/>
        <v>0</v>
      </c>
      <c r="G154" s="125" t="s">
        <v>2228</v>
      </c>
      <c r="H154" s="126">
        <f t="shared" si="18"/>
        <v>5</v>
      </c>
      <c r="I154" s="125" t="s">
        <v>2227</v>
      </c>
      <c r="J154" s="126">
        <f t="shared" si="19"/>
        <v>0</v>
      </c>
      <c r="K154" s="125" t="s">
        <v>2226</v>
      </c>
      <c r="L154" s="124">
        <v>0.02</v>
      </c>
      <c r="M154" s="100"/>
      <c r="N154" s="101"/>
      <c r="O154" s="100"/>
      <c r="P154" s="100"/>
      <c r="Q154" s="100"/>
      <c r="R154" s="100"/>
      <c r="S154" s="100"/>
      <c r="T154" s="100"/>
      <c r="U154" s="100"/>
      <c r="X154" s="114" t="s">
        <v>13884</v>
      </c>
      <c r="Y154" s="115">
        <v>39500</v>
      </c>
      <c r="Z154" s="116">
        <f t="shared" si="20"/>
        <v>39500</v>
      </c>
      <c r="AA154" s="114" t="s">
        <v>2229</v>
      </c>
      <c r="AB154" s="117">
        <f t="shared" si="21"/>
        <v>39500</v>
      </c>
      <c r="AC154" s="114" t="s">
        <v>2228</v>
      </c>
      <c r="AD154" s="117">
        <f t="shared" si="22"/>
        <v>0</v>
      </c>
      <c r="AE154" s="114" t="s">
        <v>2227</v>
      </c>
      <c r="AF154" s="117">
        <f t="shared" si="23"/>
        <v>0</v>
      </c>
      <c r="AG154" s="114" t="s">
        <v>2226</v>
      </c>
      <c r="AH154" s="116">
        <v>1580</v>
      </c>
      <c r="AI154" s="100"/>
      <c r="AJ154" s="100"/>
      <c r="AK154" s="100"/>
      <c r="AL154" s="100"/>
      <c r="AM154" s="100"/>
      <c r="AN154" s="100"/>
      <c r="AO154" s="100"/>
      <c r="AP154" s="100"/>
      <c r="AQ154" s="100"/>
    </row>
    <row r="155" spans="1:43" ht="18.75">
      <c r="A155" s="125" t="s">
        <v>2412</v>
      </c>
      <c r="B155" s="125">
        <v>0.5</v>
      </c>
      <c r="C155" s="125">
        <v>2</v>
      </c>
      <c r="D155" s="124">
        <f t="shared" si="16"/>
        <v>0.5</v>
      </c>
      <c r="E155" s="125" t="s">
        <v>2229</v>
      </c>
      <c r="F155" s="126">
        <f t="shared" si="17"/>
        <v>0</v>
      </c>
      <c r="G155" s="125" t="s">
        <v>2228</v>
      </c>
      <c r="H155" s="126">
        <f t="shared" si="18"/>
        <v>5</v>
      </c>
      <c r="I155" s="125" t="s">
        <v>2227</v>
      </c>
      <c r="J155" s="126">
        <f t="shared" si="19"/>
        <v>0</v>
      </c>
      <c r="K155" s="125" t="s">
        <v>2226</v>
      </c>
      <c r="L155" s="124">
        <v>0.02</v>
      </c>
      <c r="M155" s="100"/>
      <c r="N155" s="101"/>
      <c r="O155" s="100"/>
      <c r="P155" s="100"/>
      <c r="Q155" s="100"/>
      <c r="R155" s="100"/>
      <c r="S155" s="100"/>
      <c r="T155" s="100"/>
      <c r="U155" s="100"/>
      <c r="X155" s="114" t="s">
        <v>13885</v>
      </c>
      <c r="Y155" s="115">
        <v>19375.125</v>
      </c>
      <c r="Z155" s="116">
        <f t="shared" si="20"/>
        <v>19375.125</v>
      </c>
      <c r="AA155" s="114" t="s">
        <v>2229</v>
      </c>
      <c r="AB155" s="117">
        <f t="shared" si="21"/>
        <v>19375</v>
      </c>
      <c r="AC155" s="114" t="s">
        <v>2228</v>
      </c>
      <c r="AD155" s="117">
        <f t="shared" si="22"/>
        <v>1</v>
      </c>
      <c r="AE155" s="114" t="s">
        <v>2227</v>
      </c>
      <c r="AF155" s="117">
        <f t="shared" si="23"/>
        <v>2.5</v>
      </c>
      <c r="AG155" s="114" t="s">
        <v>2226</v>
      </c>
      <c r="AH155" s="116">
        <v>775</v>
      </c>
      <c r="AI155" s="100"/>
      <c r="AJ155" s="100"/>
      <c r="AK155" s="100"/>
      <c r="AL155" s="100"/>
      <c r="AM155" s="100"/>
      <c r="AN155" s="100"/>
      <c r="AO155" s="100"/>
      <c r="AP155" s="100"/>
      <c r="AQ155" s="100"/>
    </row>
    <row r="156" spans="1:43" ht="18.75">
      <c r="A156" s="125" t="s">
        <v>2413</v>
      </c>
      <c r="B156" s="125">
        <v>0.5</v>
      </c>
      <c r="C156" s="125">
        <v>1</v>
      </c>
      <c r="D156" s="124">
        <f t="shared" si="16"/>
        <v>0.5</v>
      </c>
      <c r="E156" s="125" t="s">
        <v>2229</v>
      </c>
      <c r="F156" s="126">
        <f t="shared" si="17"/>
        <v>0</v>
      </c>
      <c r="G156" s="125" t="s">
        <v>2228</v>
      </c>
      <c r="H156" s="126">
        <f t="shared" si="18"/>
        <v>5</v>
      </c>
      <c r="I156" s="125" t="s">
        <v>2227</v>
      </c>
      <c r="J156" s="126">
        <f t="shared" si="19"/>
        <v>0</v>
      </c>
      <c r="K156" s="125" t="s">
        <v>2226</v>
      </c>
      <c r="L156" s="124">
        <v>0.02</v>
      </c>
      <c r="M156" s="100"/>
      <c r="N156" s="101"/>
      <c r="O156" s="100"/>
      <c r="P156" s="100"/>
      <c r="Q156" s="100"/>
      <c r="R156" s="100"/>
      <c r="S156" s="100"/>
      <c r="T156" s="100"/>
      <c r="U156" s="100"/>
      <c r="X156" s="114" t="s">
        <v>13886</v>
      </c>
      <c r="Y156" s="115">
        <v>19625.125</v>
      </c>
      <c r="Z156" s="116">
        <f t="shared" si="20"/>
        <v>19625.125</v>
      </c>
      <c r="AA156" s="114" t="s">
        <v>2229</v>
      </c>
      <c r="AB156" s="117">
        <f t="shared" si="21"/>
        <v>19625</v>
      </c>
      <c r="AC156" s="114" t="s">
        <v>2228</v>
      </c>
      <c r="AD156" s="117">
        <f t="shared" si="22"/>
        <v>1</v>
      </c>
      <c r="AE156" s="114" t="s">
        <v>2227</v>
      </c>
      <c r="AF156" s="117">
        <f t="shared" si="23"/>
        <v>2.5</v>
      </c>
      <c r="AG156" s="114" t="s">
        <v>2226</v>
      </c>
      <c r="AH156" s="116">
        <v>785</v>
      </c>
      <c r="AI156" s="100"/>
      <c r="AJ156" s="100"/>
      <c r="AK156" s="100"/>
      <c r="AL156" s="100"/>
      <c r="AM156" s="100"/>
      <c r="AN156" s="100"/>
      <c r="AO156" s="100"/>
      <c r="AP156" s="100"/>
      <c r="AQ156" s="100"/>
    </row>
    <row r="157" spans="1:43" ht="18.75">
      <c r="A157" s="125" t="s">
        <v>2414</v>
      </c>
      <c r="B157" s="125">
        <v>0.5</v>
      </c>
      <c r="C157" s="125">
        <v>0</v>
      </c>
      <c r="D157" s="124">
        <f t="shared" si="16"/>
        <v>0.5</v>
      </c>
      <c r="E157" s="125" t="s">
        <v>2229</v>
      </c>
      <c r="F157" s="126">
        <f t="shared" si="17"/>
        <v>0</v>
      </c>
      <c r="G157" s="125" t="s">
        <v>2228</v>
      </c>
      <c r="H157" s="126">
        <f t="shared" si="18"/>
        <v>5</v>
      </c>
      <c r="I157" s="125" t="s">
        <v>2227</v>
      </c>
      <c r="J157" s="126">
        <f t="shared" si="19"/>
        <v>0</v>
      </c>
      <c r="K157" s="125" t="s">
        <v>2226</v>
      </c>
      <c r="L157" s="124">
        <v>0.02</v>
      </c>
      <c r="M157" s="100"/>
      <c r="N157" s="101"/>
      <c r="O157" s="100"/>
      <c r="P157" s="100"/>
      <c r="Q157" s="100"/>
      <c r="R157" s="100"/>
      <c r="S157" s="100"/>
      <c r="T157" s="100"/>
      <c r="U157" s="100"/>
      <c r="X157" s="114" t="s">
        <v>13887</v>
      </c>
      <c r="Y157" s="115">
        <v>21125.125</v>
      </c>
      <c r="Z157" s="116">
        <f t="shared" si="20"/>
        <v>21125.125</v>
      </c>
      <c r="AA157" s="114" t="s">
        <v>2229</v>
      </c>
      <c r="AB157" s="117">
        <f t="shared" si="21"/>
        <v>21125</v>
      </c>
      <c r="AC157" s="114" t="s">
        <v>2228</v>
      </c>
      <c r="AD157" s="117">
        <f t="shared" si="22"/>
        <v>1</v>
      </c>
      <c r="AE157" s="114" t="s">
        <v>2227</v>
      </c>
      <c r="AF157" s="117">
        <f t="shared" si="23"/>
        <v>2.5</v>
      </c>
      <c r="AG157" s="114" t="s">
        <v>2226</v>
      </c>
      <c r="AH157" s="116">
        <v>845</v>
      </c>
      <c r="AI157" s="100"/>
      <c r="AJ157" s="100"/>
      <c r="AK157" s="100"/>
      <c r="AL157" s="100"/>
      <c r="AM157" s="100"/>
      <c r="AN157" s="100"/>
      <c r="AO157" s="100"/>
      <c r="AP157" s="100"/>
      <c r="AQ157" s="100"/>
    </row>
    <row r="158" spans="1:43" ht="18.75">
      <c r="A158" s="125" t="s">
        <v>2415</v>
      </c>
      <c r="B158" s="125">
        <v>0.5</v>
      </c>
      <c r="C158" s="125">
        <v>1</v>
      </c>
      <c r="D158" s="124">
        <f t="shared" si="16"/>
        <v>0.5</v>
      </c>
      <c r="E158" s="125" t="s">
        <v>2229</v>
      </c>
      <c r="F158" s="126">
        <f t="shared" si="17"/>
        <v>0</v>
      </c>
      <c r="G158" s="125" t="s">
        <v>2228</v>
      </c>
      <c r="H158" s="126">
        <f t="shared" si="18"/>
        <v>5</v>
      </c>
      <c r="I158" s="125" t="s">
        <v>2227</v>
      </c>
      <c r="J158" s="126">
        <f t="shared" si="19"/>
        <v>0</v>
      </c>
      <c r="K158" s="125" t="s">
        <v>2226</v>
      </c>
      <c r="L158" s="124">
        <v>0.02</v>
      </c>
      <c r="M158" s="100"/>
      <c r="N158" s="101"/>
      <c r="O158" s="100"/>
      <c r="P158" s="100"/>
      <c r="Q158" s="100"/>
      <c r="R158" s="100"/>
      <c r="S158" s="100"/>
      <c r="T158" s="100"/>
      <c r="U158" s="100"/>
      <c r="X158" s="114" t="s">
        <v>13888</v>
      </c>
      <c r="Y158" s="115">
        <v>20375.125</v>
      </c>
      <c r="Z158" s="116">
        <f t="shared" si="20"/>
        <v>20375.125</v>
      </c>
      <c r="AA158" s="114" t="s">
        <v>2229</v>
      </c>
      <c r="AB158" s="117">
        <f t="shared" si="21"/>
        <v>20375</v>
      </c>
      <c r="AC158" s="114" t="s">
        <v>2228</v>
      </c>
      <c r="AD158" s="117">
        <f t="shared" si="22"/>
        <v>1</v>
      </c>
      <c r="AE158" s="114" t="s">
        <v>2227</v>
      </c>
      <c r="AF158" s="117">
        <f t="shared" si="23"/>
        <v>2.5</v>
      </c>
      <c r="AG158" s="114" t="s">
        <v>2226</v>
      </c>
      <c r="AH158" s="116">
        <v>815</v>
      </c>
      <c r="AI158" s="100"/>
      <c r="AJ158" s="100"/>
      <c r="AK158" s="100"/>
      <c r="AL158" s="100"/>
      <c r="AM158" s="100"/>
      <c r="AN158" s="100"/>
      <c r="AO158" s="100"/>
      <c r="AP158" s="100"/>
      <c r="AQ158" s="100"/>
    </row>
    <row r="159" spans="1:43" ht="18.75">
      <c r="A159" s="125" t="s">
        <v>2416</v>
      </c>
      <c r="B159" s="125">
        <v>0.5</v>
      </c>
      <c r="C159" s="125">
        <v>2</v>
      </c>
      <c r="D159" s="124">
        <f t="shared" si="16"/>
        <v>0.5</v>
      </c>
      <c r="E159" s="125" t="s">
        <v>2229</v>
      </c>
      <c r="F159" s="126">
        <f t="shared" si="17"/>
        <v>0</v>
      </c>
      <c r="G159" s="125" t="s">
        <v>2228</v>
      </c>
      <c r="H159" s="126">
        <f t="shared" si="18"/>
        <v>5</v>
      </c>
      <c r="I159" s="125" t="s">
        <v>2227</v>
      </c>
      <c r="J159" s="126">
        <f t="shared" si="19"/>
        <v>0</v>
      </c>
      <c r="K159" s="125" t="s">
        <v>2226</v>
      </c>
      <c r="L159" s="124">
        <v>0.02</v>
      </c>
      <c r="M159" s="100"/>
      <c r="N159" s="101"/>
      <c r="O159" s="100"/>
      <c r="P159" s="100"/>
      <c r="Q159" s="100"/>
      <c r="R159" s="100"/>
      <c r="S159" s="100"/>
      <c r="T159" s="100"/>
      <c r="U159" s="100"/>
      <c r="X159" s="114" t="s">
        <v>13889</v>
      </c>
      <c r="Y159" s="115">
        <v>20375.125</v>
      </c>
      <c r="Z159" s="116">
        <f t="shared" si="20"/>
        <v>20375.125</v>
      </c>
      <c r="AA159" s="114" t="s">
        <v>2229</v>
      </c>
      <c r="AB159" s="117">
        <f t="shared" si="21"/>
        <v>20375</v>
      </c>
      <c r="AC159" s="114" t="s">
        <v>2228</v>
      </c>
      <c r="AD159" s="117">
        <f t="shared" si="22"/>
        <v>1</v>
      </c>
      <c r="AE159" s="114" t="s">
        <v>2227</v>
      </c>
      <c r="AF159" s="117">
        <f t="shared" si="23"/>
        <v>2.5</v>
      </c>
      <c r="AG159" s="114" t="s">
        <v>2226</v>
      </c>
      <c r="AH159" s="116">
        <v>815</v>
      </c>
      <c r="AI159" s="100"/>
      <c r="AJ159" s="100"/>
      <c r="AK159" s="100"/>
      <c r="AL159" s="100"/>
      <c r="AM159" s="100"/>
      <c r="AN159" s="100"/>
      <c r="AO159" s="100"/>
      <c r="AP159" s="100"/>
      <c r="AQ159" s="100"/>
    </row>
    <row r="160" spans="1:43" ht="18.75">
      <c r="A160" s="125" t="s">
        <v>2417</v>
      </c>
      <c r="B160" s="125">
        <v>0.5</v>
      </c>
      <c r="C160" s="125">
        <v>0</v>
      </c>
      <c r="D160" s="124">
        <f t="shared" si="16"/>
        <v>0.5</v>
      </c>
      <c r="E160" s="125" t="s">
        <v>2229</v>
      </c>
      <c r="F160" s="126">
        <f t="shared" si="17"/>
        <v>0</v>
      </c>
      <c r="G160" s="125" t="s">
        <v>2228</v>
      </c>
      <c r="H160" s="126">
        <f t="shared" si="18"/>
        <v>5</v>
      </c>
      <c r="I160" s="125" t="s">
        <v>2227</v>
      </c>
      <c r="J160" s="126">
        <f t="shared" si="19"/>
        <v>0</v>
      </c>
      <c r="K160" s="125" t="s">
        <v>2226</v>
      </c>
      <c r="L160" s="124">
        <v>0.02</v>
      </c>
      <c r="M160" s="100"/>
      <c r="N160" s="101"/>
      <c r="O160" s="100"/>
      <c r="P160" s="100"/>
      <c r="Q160" s="100"/>
      <c r="R160" s="100"/>
      <c r="S160" s="100"/>
      <c r="T160" s="100"/>
      <c r="U160" s="100"/>
      <c r="X160" s="114" t="s">
        <v>13890</v>
      </c>
      <c r="Y160" s="115">
        <v>6875.25</v>
      </c>
      <c r="Z160" s="116">
        <f t="shared" si="20"/>
        <v>6875.25</v>
      </c>
      <c r="AA160" s="114" t="s">
        <v>2229</v>
      </c>
      <c r="AB160" s="117">
        <f t="shared" si="21"/>
        <v>6875</v>
      </c>
      <c r="AC160" s="114" t="s">
        <v>2228</v>
      </c>
      <c r="AD160" s="117">
        <f t="shared" si="22"/>
        <v>2</v>
      </c>
      <c r="AE160" s="114" t="s">
        <v>2227</v>
      </c>
      <c r="AF160" s="117">
        <f t="shared" si="23"/>
        <v>5</v>
      </c>
      <c r="AG160" s="114" t="s">
        <v>2226</v>
      </c>
      <c r="AH160" s="116">
        <v>275.01</v>
      </c>
      <c r="AI160" s="100"/>
      <c r="AJ160" s="100"/>
      <c r="AK160" s="100"/>
      <c r="AL160" s="100"/>
      <c r="AM160" s="100"/>
      <c r="AN160" s="100"/>
      <c r="AO160" s="100"/>
      <c r="AP160" s="100"/>
      <c r="AQ160" s="100"/>
    </row>
    <row r="161" spans="1:43" ht="18.75">
      <c r="A161" s="125" t="s">
        <v>2418</v>
      </c>
      <c r="B161" s="125">
        <v>0.5</v>
      </c>
      <c r="C161" s="125">
        <v>1</v>
      </c>
      <c r="D161" s="124">
        <f t="shared" si="16"/>
        <v>0.5</v>
      </c>
      <c r="E161" s="125" t="s">
        <v>2229</v>
      </c>
      <c r="F161" s="126">
        <f t="shared" si="17"/>
        <v>0</v>
      </c>
      <c r="G161" s="125" t="s">
        <v>2228</v>
      </c>
      <c r="H161" s="126">
        <f t="shared" si="18"/>
        <v>5</v>
      </c>
      <c r="I161" s="125" t="s">
        <v>2227</v>
      </c>
      <c r="J161" s="126">
        <f t="shared" si="19"/>
        <v>0</v>
      </c>
      <c r="K161" s="125" t="s">
        <v>2226</v>
      </c>
      <c r="L161" s="124">
        <v>0.02</v>
      </c>
      <c r="M161" s="100"/>
      <c r="N161" s="101"/>
      <c r="O161" s="100"/>
      <c r="P161" s="100"/>
      <c r="Q161" s="100"/>
      <c r="R161" s="100"/>
      <c r="S161" s="100"/>
      <c r="T161" s="100"/>
      <c r="U161" s="100"/>
      <c r="X161" s="114" t="s">
        <v>13891</v>
      </c>
      <c r="Y161" s="115">
        <v>18625.125</v>
      </c>
      <c r="Z161" s="116">
        <f t="shared" si="20"/>
        <v>18625.125</v>
      </c>
      <c r="AA161" s="114" t="s">
        <v>2229</v>
      </c>
      <c r="AB161" s="117">
        <f t="shared" si="21"/>
        <v>18625</v>
      </c>
      <c r="AC161" s="114" t="s">
        <v>2228</v>
      </c>
      <c r="AD161" s="117">
        <f t="shared" si="22"/>
        <v>1</v>
      </c>
      <c r="AE161" s="114" t="s">
        <v>2227</v>
      </c>
      <c r="AF161" s="117">
        <f t="shared" si="23"/>
        <v>2.5</v>
      </c>
      <c r="AG161" s="114" t="s">
        <v>2226</v>
      </c>
      <c r="AH161" s="116">
        <v>745</v>
      </c>
      <c r="AI161" s="100"/>
      <c r="AJ161" s="100"/>
      <c r="AK161" s="100"/>
      <c r="AL161" s="100"/>
      <c r="AM161" s="100"/>
      <c r="AN161" s="100"/>
      <c r="AO161" s="100"/>
      <c r="AP161" s="100"/>
      <c r="AQ161" s="100"/>
    </row>
    <row r="162" spans="1:43" ht="18.75">
      <c r="A162" s="125" t="s">
        <v>2419</v>
      </c>
      <c r="B162" s="125">
        <v>0.4</v>
      </c>
      <c r="C162" s="125">
        <v>2</v>
      </c>
      <c r="D162" s="124">
        <f t="shared" si="16"/>
        <v>0.4</v>
      </c>
      <c r="E162" s="125" t="s">
        <v>2229</v>
      </c>
      <c r="F162" s="126">
        <f t="shared" si="17"/>
        <v>0</v>
      </c>
      <c r="G162" s="125" t="s">
        <v>2228</v>
      </c>
      <c r="H162" s="126">
        <f t="shared" si="18"/>
        <v>4</v>
      </c>
      <c r="I162" s="125" t="s">
        <v>2227</v>
      </c>
      <c r="J162" s="126">
        <f t="shared" si="19"/>
        <v>0</v>
      </c>
      <c r="K162" s="125" t="s">
        <v>2226</v>
      </c>
      <c r="L162" s="124">
        <v>0.01</v>
      </c>
      <c r="M162" s="100"/>
      <c r="N162" s="101"/>
      <c r="O162" s="100"/>
      <c r="P162" s="100"/>
      <c r="Q162" s="100"/>
      <c r="R162" s="100"/>
      <c r="S162" s="100"/>
      <c r="T162" s="100"/>
      <c r="U162" s="100"/>
      <c r="X162" s="114" t="s">
        <v>13892</v>
      </c>
      <c r="Y162" s="115">
        <v>112500.5</v>
      </c>
      <c r="Z162" s="116">
        <f t="shared" si="20"/>
        <v>112500.5</v>
      </c>
      <c r="AA162" s="114" t="s">
        <v>2229</v>
      </c>
      <c r="AB162" s="117">
        <f t="shared" si="21"/>
        <v>112500</v>
      </c>
      <c r="AC162" s="114" t="s">
        <v>2228</v>
      </c>
      <c r="AD162" s="117">
        <f t="shared" si="22"/>
        <v>5</v>
      </c>
      <c r="AE162" s="114" t="s">
        <v>2227</v>
      </c>
      <c r="AF162" s="117">
        <f t="shared" si="23"/>
        <v>0</v>
      </c>
      <c r="AG162" s="114" t="s">
        <v>2226</v>
      </c>
      <c r="AH162" s="116">
        <v>4500.0200000000004</v>
      </c>
      <c r="AI162" s="100"/>
      <c r="AJ162" s="100"/>
      <c r="AK162" s="100"/>
      <c r="AL162" s="100"/>
      <c r="AM162" s="100"/>
      <c r="AN162" s="100"/>
      <c r="AO162" s="100"/>
      <c r="AP162" s="100"/>
      <c r="AQ162" s="100"/>
    </row>
    <row r="163" spans="1:43" ht="18.75">
      <c r="A163" s="125" t="s">
        <v>2420</v>
      </c>
      <c r="B163" s="125">
        <v>0.2</v>
      </c>
      <c r="C163" s="125">
        <v>10</v>
      </c>
      <c r="D163" s="124">
        <f t="shared" si="16"/>
        <v>0.2</v>
      </c>
      <c r="E163" s="125" t="s">
        <v>2229</v>
      </c>
      <c r="F163" s="126">
        <f t="shared" si="17"/>
        <v>0</v>
      </c>
      <c r="G163" s="125" t="s">
        <v>2228</v>
      </c>
      <c r="H163" s="126">
        <f t="shared" si="18"/>
        <v>2</v>
      </c>
      <c r="I163" s="125" t="s">
        <v>2227</v>
      </c>
      <c r="J163" s="126">
        <f t="shared" si="19"/>
        <v>0</v>
      </c>
      <c r="K163" s="125" t="s">
        <v>2226</v>
      </c>
      <c r="L163" s="124">
        <v>0</v>
      </c>
      <c r="M163" s="100"/>
      <c r="N163" s="101"/>
      <c r="O163" s="100"/>
      <c r="P163" s="100"/>
      <c r="Q163" s="100"/>
      <c r="R163" s="100"/>
      <c r="S163" s="100"/>
      <c r="T163" s="100"/>
      <c r="U163" s="100"/>
      <c r="X163" s="114" t="s">
        <v>13892</v>
      </c>
      <c r="Y163" s="115">
        <v>112500.5</v>
      </c>
      <c r="Z163" s="116">
        <f t="shared" si="20"/>
        <v>112500.5</v>
      </c>
      <c r="AA163" s="114" t="s">
        <v>2229</v>
      </c>
      <c r="AB163" s="117">
        <f t="shared" si="21"/>
        <v>112500</v>
      </c>
      <c r="AC163" s="114" t="s">
        <v>2228</v>
      </c>
      <c r="AD163" s="117">
        <f t="shared" si="22"/>
        <v>5</v>
      </c>
      <c r="AE163" s="114" t="s">
        <v>2227</v>
      </c>
      <c r="AF163" s="117">
        <f t="shared" si="23"/>
        <v>0</v>
      </c>
      <c r="AG163" s="114" t="s">
        <v>2226</v>
      </c>
      <c r="AH163" s="116">
        <v>4500.0200000000004</v>
      </c>
      <c r="AI163" s="100"/>
      <c r="AJ163" s="100"/>
      <c r="AK163" s="100"/>
      <c r="AL163" s="100"/>
      <c r="AM163" s="100"/>
      <c r="AN163" s="100"/>
      <c r="AO163" s="100"/>
      <c r="AP163" s="100"/>
      <c r="AQ163" s="100"/>
    </row>
    <row r="164" spans="1:43" ht="18.75">
      <c r="A164" s="125" t="s">
        <v>2421</v>
      </c>
      <c r="B164" s="125">
        <v>0.2</v>
      </c>
      <c r="C164" s="125">
        <v>1</v>
      </c>
      <c r="D164" s="124">
        <f t="shared" si="16"/>
        <v>0.2</v>
      </c>
      <c r="E164" s="125" t="s">
        <v>2229</v>
      </c>
      <c r="F164" s="126">
        <f t="shared" si="17"/>
        <v>0</v>
      </c>
      <c r="G164" s="125" t="s">
        <v>2228</v>
      </c>
      <c r="H164" s="126">
        <f t="shared" si="18"/>
        <v>2</v>
      </c>
      <c r="I164" s="125" t="s">
        <v>2227</v>
      </c>
      <c r="J164" s="126">
        <f t="shared" si="19"/>
        <v>0</v>
      </c>
      <c r="K164" s="125" t="s">
        <v>2226</v>
      </c>
      <c r="L164" s="124">
        <v>0</v>
      </c>
      <c r="M164" s="100"/>
      <c r="N164" s="101"/>
      <c r="O164" s="100"/>
      <c r="P164" s="100"/>
      <c r="Q164" s="100"/>
      <c r="R164" s="100"/>
      <c r="S164" s="100"/>
      <c r="T164" s="100"/>
      <c r="U164" s="100"/>
      <c r="X164" s="114" t="s">
        <v>9285</v>
      </c>
      <c r="Y164" s="115">
        <v>2900</v>
      </c>
      <c r="Z164" s="116">
        <f t="shared" si="20"/>
        <v>2900</v>
      </c>
      <c r="AA164" s="114" t="s">
        <v>2229</v>
      </c>
      <c r="AB164" s="117">
        <f t="shared" si="21"/>
        <v>2900</v>
      </c>
      <c r="AC164" s="114" t="s">
        <v>2228</v>
      </c>
      <c r="AD164" s="117">
        <f t="shared" si="22"/>
        <v>0</v>
      </c>
      <c r="AE164" s="114" t="s">
        <v>2227</v>
      </c>
      <c r="AF164" s="117">
        <f t="shared" si="23"/>
        <v>0</v>
      </c>
      <c r="AG164" s="114" t="s">
        <v>2226</v>
      </c>
      <c r="AH164" s="116">
        <v>116</v>
      </c>
      <c r="AI164" s="100"/>
      <c r="AJ164" s="100"/>
      <c r="AK164" s="100"/>
      <c r="AL164" s="100"/>
      <c r="AM164" s="100"/>
      <c r="AN164" s="100"/>
      <c r="AO164" s="100"/>
      <c r="AP164" s="100"/>
      <c r="AQ164" s="100"/>
    </row>
    <row r="165" spans="1:43" ht="18.75">
      <c r="A165" s="125" t="s">
        <v>2422</v>
      </c>
      <c r="B165" s="125">
        <v>0.2</v>
      </c>
      <c r="C165" s="125">
        <v>0</v>
      </c>
      <c r="D165" s="124">
        <f t="shared" si="16"/>
        <v>0.2</v>
      </c>
      <c r="E165" s="125" t="s">
        <v>2229</v>
      </c>
      <c r="F165" s="126">
        <f t="shared" si="17"/>
        <v>0</v>
      </c>
      <c r="G165" s="125" t="s">
        <v>2228</v>
      </c>
      <c r="H165" s="126">
        <f t="shared" si="18"/>
        <v>2</v>
      </c>
      <c r="I165" s="125" t="s">
        <v>2227</v>
      </c>
      <c r="J165" s="126">
        <f t="shared" si="19"/>
        <v>0</v>
      </c>
      <c r="K165" s="125" t="s">
        <v>2226</v>
      </c>
      <c r="L165" s="124">
        <v>0</v>
      </c>
      <c r="M165" s="100"/>
      <c r="N165" s="101"/>
      <c r="O165" s="100"/>
      <c r="P165" s="100"/>
      <c r="Q165" s="100"/>
      <c r="R165" s="100"/>
      <c r="S165" s="100"/>
      <c r="T165" s="100"/>
      <c r="U165" s="100"/>
      <c r="X165" s="114" t="s">
        <v>13893</v>
      </c>
      <c r="Y165" s="115">
        <v>19125.125</v>
      </c>
      <c r="Z165" s="116">
        <f t="shared" si="20"/>
        <v>19125.125</v>
      </c>
      <c r="AA165" s="114" t="s">
        <v>2229</v>
      </c>
      <c r="AB165" s="117">
        <f t="shared" si="21"/>
        <v>19125</v>
      </c>
      <c r="AC165" s="114" t="s">
        <v>2228</v>
      </c>
      <c r="AD165" s="117">
        <f t="shared" si="22"/>
        <v>1</v>
      </c>
      <c r="AE165" s="114" t="s">
        <v>2227</v>
      </c>
      <c r="AF165" s="117">
        <f t="shared" si="23"/>
        <v>2.5</v>
      </c>
      <c r="AG165" s="114" t="s">
        <v>2226</v>
      </c>
      <c r="AH165" s="116">
        <v>765</v>
      </c>
      <c r="AI165" s="100"/>
      <c r="AJ165" s="100"/>
      <c r="AK165" s="100"/>
      <c r="AL165" s="100"/>
      <c r="AM165" s="100"/>
      <c r="AN165" s="100"/>
      <c r="AO165" s="100"/>
      <c r="AP165" s="100"/>
      <c r="AQ165" s="100"/>
    </row>
    <row r="166" spans="1:43" ht="18.75">
      <c r="A166" s="125" t="s">
        <v>2423</v>
      </c>
      <c r="B166" s="125">
        <v>0.2</v>
      </c>
      <c r="C166" s="125">
        <v>4</v>
      </c>
      <c r="D166" s="124">
        <f t="shared" si="16"/>
        <v>0.2</v>
      </c>
      <c r="E166" s="125" t="s">
        <v>2229</v>
      </c>
      <c r="F166" s="126">
        <f t="shared" si="17"/>
        <v>0</v>
      </c>
      <c r="G166" s="125" t="s">
        <v>2228</v>
      </c>
      <c r="H166" s="126">
        <f t="shared" si="18"/>
        <v>2</v>
      </c>
      <c r="I166" s="125" t="s">
        <v>2227</v>
      </c>
      <c r="J166" s="126">
        <f t="shared" si="19"/>
        <v>0</v>
      </c>
      <c r="K166" s="125" t="s">
        <v>2226</v>
      </c>
      <c r="L166" s="124">
        <v>0</v>
      </c>
      <c r="M166" s="100"/>
      <c r="N166" s="101"/>
      <c r="O166" s="100"/>
      <c r="P166" s="100"/>
      <c r="Q166" s="100"/>
      <c r="R166" s="100"/>
      <c r="S166" s="100"/>
      <c r="T166" s="100"/>
      <c r="U166" s="100"/>
      <c r="X166" s="114" t="s">
        <v>13894</v>
      </c>
      <c r="Y166" s="115">
        <v>5687.625</v>
      </c>
      <c r="Z166" s="116">
        <f t="shared" si="20"/>
        <v>5687.625</v>
      </c>
      <c r="AA166" s="114" t="s">
        <v>2229</v>
      </c>
      <c r="AB166" s="117">
        <f t="shared" si="21"/>
        <v>5687</v>
      </c>
      <c r="AC166" s="114" t="s">
        <v>2228</v>
      </c>
      <c r="AD166" s="117">
        <f t="shared" si="22"/>
        <v>6</v>
      </c>
      <c r="AE166" s="114" t="s">
        <v>2227</v>
      </c>
      <c r="AF166" s="117">
        <f t="shared" si="23"/>
        <v>2.5</v>
      </c>
      <c r="AG166" s="114" t="s">
        <v>2226</v>
      </c>
      <c r="AH166" s="116">
        <v>227.5</v>
      </c>
      <c r="AI166" s="100"/>
      <c r="AJ166" s="100"/>
      <c r="AK166" s="100"/>
      <c r="AL166" s="100"/>
      <c r="AM166" s="100"/>
      <c r="AN166" s="100"/>
      <c r="AO166" s="100"/>
      <c r="AP166" s="100"/>
      <c r="AQ166" s="100"/>
    </row>
    <row r="167" spans="1:43" ht="18.75">
      <c r="A167" s="125" t="s">
        <v>2424</v>
      </c>
      <c r="B167" s="125">
        <v>0.2</v>
      </c>
      <c r="C167" s="125">
        <v>5</v>
      </c>
      <c r="D167" s="124">
        <f t="shared" si="16"/>
        <v>0.2</v>
      </c>
      <c r="E167" s="125" t="s">
        <v>2229</v>
      </c>
      <c r="F167" s="126">
        <f t="shared" si="17"/>
        <v>0</v>
      </c>
      <c r="G167" s="125" t="s">
        <v>2228</v>
      </c>
      <c r="H167" s="126">
        <f t="shared" si="18"/>
        <v>2</v>
      </c>
      <c r="I167" s="125" t="s">
        <v>2227</v>
      </c>
      <c r="J167" s="126">
        <f t="shared" si="19"/>
        <v>0</v>
      </c>
      <c r="K167" s="125" t="s">
        <v>2226</v>
      </c>
      <c r="L167" s="124">
        <v>0</v>
      </c>
      <c r="M167" s="100"/>
      <c r="N167" s="101"/>
      <c r="O167" s="100"/>
      <c r="P167" s="100"/>
      <c r="Q167" s="100"/>
      <c r="R167" s="100"/>
      <c r="S167" s="100"/>
      <c r="T167" s="100"/>
      <c r="U167" s="100"/>
      <c r="X167" s="114" t="s">
        <v>13894</v>
      </c>
      <c r="Y167" s="115">
        <v>5687.625</v>
      </c>
      <c r="Z167" s="116">
        <f t="shared" si="20"/>
        <v>5687.625</v>
      </c>
      <c r="AA167" s="114" t="s">
        <v>2229</v>
      </c>
      <c r="AB167" s="117">
        <f t="shared" si="21"/>
        <v>5687</v>
      </c>
      <c r="AC167" s="114" t="s">
        <v>2228</v>
      </c>
      <c r="AD167" s="117">
        <f t="shared" si="22"/>
        <v>6</v>
      </c>
      <c r="AE167" s="114" t="s">
        <v>2227</v>
      </c>
      <c r="AF167" s="117">
        <f t="shared" si="23"/>
        <v>2.5</v>
      </c>
      <c r="AG167" s="114" t="s">
        <v>2226</v>
      </c>
      <c r="AH167" s="116">
        <v>227.5</v>
      </c>
      <c r="AI167" s="100"/>
      <c r="AJ167" s="100"/>
      <c r="AK167" s="100"/>
      <c r="AL167" s="100"/>
      <c r="AM167" s="100"/>
      <c r="AN167" s="100"/>
      <c r="AO167" s="100"/>
      <c r="AP167" s="100"/>
      <c r="AQ167" s="100"/>
    </row>
    <row r="168" spans="1:43" ht="18.75">
      <c r="A168" s="125" t="s">
        <v>2425</v>
      </c>
      <c r="B168" s="125">
        <v>0.1</v>
      </c>
      <c r="C168" s="125">
        <v>2</v>
      </c>
      <c r="D168" s="124">
        <f t="shared" si="16"/>
        <v>0.1</v>
      </c>
      <c r="E168" s="125" t="s">
        <v>2229</v>
      </c>
      <c r="F168" s="126">
        <f t="shared" si="17"/>
        <v>0</v>
      </c>
      <c r="G168" s="125" t="s">
        <v>2228</v>
      </c>
      <c r="H168" s="126">
        <f t="shared" si="18"/>
        <v>1</v>
      </c>
      <c r="I168" s="125" t="s">
        <v>2227</v>
      </c>
      <c r="J168" s="126">
        <f t="shared" si="19"/>
        <v>0</v>
      </c>
      <c r="K168" s="125" t="s">
        <v>2226</v>
      </c>
      <c r="L168" s="124">
        <v>0</v>
      </c>
      <c r="M168" s="100"/>
      <c r="N168" s="101"/>
      <c r="O168" s="100"/>
      <c r="P168" s="100"/>
      <c r="Q168" s="100"/>
      <c r="R168" s="100"/>
      <c r="S168" s="100"/>
      <c r="T168" s="100"/>
      <c r="U168" s="100"/>
      <c r="X168" s="114" t="s">
        <v>13895</v>
      </c>
      <c r="Y168" s="115">
        <v>6875.25</v>
      </c>
      <c r="Z168" s="116">
        <f t="shared" si="20"/>
        <v>6875.25</v>
      </c>
      <c r="AA168" s="114" t="s">
        <v>2229</v>
      </c>
      <c r="AB168" s="117">
        <f t="shared" si="21"/>
        <v>6875</v>
      </c>
      <c r="AC168" s="114" t="s">
        <v>2228</v>
      </c>
      <c r="AD168" s="117">
        <f t="shared" si="22"/>
        <v>2</v>
      </c>
      <c r="AE168" s="114" t="s">
        <v>2227</v>
      </c>
      <c r="AF168" s="117">
        <f t="shared" si="23"/>
        <v>5</v>
      </c>
      <c r="AG168" s="114" t="s">
        <v>2226</v>
      </c>
      <c r="AH168" s="116">
        <v>275.01</v>
      </c>
      <c r="AI168" s="100"/>
      <c r="AJ168" s="100"/>
      <c r="AK168" s="100"/>
      <c r="AL168" s="100"/>
      <c r="AM168" s="100"/>
      <c r="AN168" s="100"/>
      <c r="AO168" s="100"/>
      <c r="AP168" s="100"/>
      <c r="AQ168" s="100"/>
    </row>
    <row r="169" spans="1:43" ht="18.75">
      <c r="A169" s="125" t="s">
        <v>2426</v>
      </c>
      <c r="B169" s="125">
        <v>0.1</v>
      </c>
      <c r="C169" s="125">
        <v>0</v>
      </c>
      <c r="D169" s="124">
        <f t="shared" si="16"/>
        <v>0.1</v>
      </c>
      <c r="E169" s="125" t="s">
        <v>2229</v>
      </c>
      <c r="F169" s="126">
        <f t="shared" si="17"/>
        <v>0</v>
      </c>
      <c r="G169" s="125" t="s">
        <v>2228</v>
      </c>
      <c r="H169" s="126">
        <f t="shared" si="18"/>
        <v>1</v>
      </c>
      <c r="I169" s="125" t="s">
        <v>2227</v>
      </c>
      <c r="J169" s="126">
        <f t="shared" si="19"/>
        <v>0</v>
      </c>
      <c r="K169" s="125" t="s">
        <v>2226</v>
      </c>
      <c r="L169" s="124">
        <v>0</v>
      </c>
      <c r="M169" s="100"/>
      <c r="N169" s="101"/>
      <c r="O169" s="100"/>
      <c r="P169" s="100"/>
      <c r="Q169" s="100"/>
      <c r="R169" s="100"/>
      <c r="S169" s="100"/>
      <c r="T169" s="100"/>
      <c r="U169" s="100"/>
      <c r="X169" s="114" t="s">
        <v>9385</v>
      </c>
      <c r="Y169" s="115">
        <v>9500</v>
      </c>
      <c r="Z169" s="116">
        <f t="shared" si="20"/>
        <v>9500</v>
      </c>
      <c r="AA169" s="114" t="s">
        <v>2229</v>
      </c>
      <c r="AB169" s="117">
        <f t="shared" si="21"/>
        <v>9500</v>
      </c>
      <c r="AC169" s="114" t="s">
        <v>2228</v>
      </c>
      <c r="AD169" s="117">
        <f t="shared" si="22"/>
        <v>0</v>
      </c>
      <c r="AE169" s="114" t="s">
        <v>2227</v>
      </c>
      <c r="AF169" s="117">
        <f t="shared" si="23"/>
        <v>0</v>
      </c>
      <c r="AG169" s="114" t="s">
        <v>2226</v>
      </c>
      <c r="AH169" s="116">
        <v>380</v>
      </c>
      <c r="AI169" s="100"/>
      <c r="AJ169" s="100"/>
      <c r="AK169" s="100"/>
      <c r="AL169" s="100"/>
      <c r="AM169" s="100"/>
      <c r="AN169" s="100"/>
      <c r="AO169" s="100"/>
      <c r="AP169" s="100"/>
      <c r="AQ169" s="100"/>
    </row>
    <row r="170" spans="1:43" ht="18.75">
      <c r="A170" s="125" t="s">
        <v>2427</v>
      </c>
      <c r="B170" s="125">
        <v>0.1</v>
      </c>
      <c r="C170" s="125">
        <v>25</v>
      </c>
      <c r="D170" s="124">
        <f t="shared" si="16"/>
        <v>0.1</v>
      </c>
      <c r="E170" s="125" t="s">
        <v>2229</v>
      </c>
      <c r="F170" s="126">
        <f t="shared" si="17"/>
        <v>0</v>
      </c>
      <c r="G170" s="125" t="s">
        <v>2228</v>
      </c>
      <c r="H170" s="126">
        <f t="shared" si="18"/>
        <v>1</v>
      </c>
      <c r="I170" s="125" t="s">
        <v>2227</v>
      </c>
      <c r="J170" s="126">
        <f t="shared" si="19"/>
        <v>0</v>
      </c>
      <c r="K170" s="125" t="s">
        <v>2226</v>
      </c>
      <c r="L170" s="124">
        <v>0</v>
      </c>
      <c r="M170" s="100"/>
      <c r="N170" s="101"/>
      <c r="O170" s="100"/>
      <c r="P170" s="100"/>
      <c r="Q170" s="100"/>
      <c r="R170" s="100"/>
      <c r="S170" s="100"/>
      <c r="T170" s="100"/>
      <c r="U170" s="100"/>
      <c r="X170" s="114" t="s">
        <v>13896</v>
      </c>
      <c r="Y170" s="115">
        <v>6500</v>
      </c>
      <c r="Z170" s="116">
        <f t="shared" si="20"/>
        <v>6500</v>
      </c>
      <c r="AA170" s="114" t="s">
        <v>2229</v>
      </c>
      <c r="AB170" s="117">
        <f t="shared" si="21"/>
        <v>6500</v>
      </c>
      <c r="AC170" s="114" t="s">
        <v>2228</v>
      </c>
      <c r="AD170" s="117">
        <f t="shared" si="22"/>
        <v>0</v>
      </c>
      <c r="AE170" s="114" t="s">
        <v>2227</v>
      </c>
      <c r="AF170" s="117">
        <f t="shared" si="23"/>
        <v>0</v>
      </c>
      <c r="AG170" s="114" t="s">
        <v>2226</v>
      </c>
      <c r="AH170" s="116">
        <v>260</v>
      </c>
      <c r="AI170" s="100"/>
      <c r="AJ170" s="100"/>
      <c r="AK170" s="100"/>
      <c r="AL170" s="100"/>
      <c r="AM170" s="100"/>
      <c r="AN170" s="100"/>
      <c r="AO170" s="100"/>
      <c r="AP170" s="100"/>
      <c r="AQ170" s="100"/>
    </row>
    <row r="171" spans="1:43" ht="18.75">
      <c r="A171" s="125" t="s">
        <v>2428</v>
      </c>
      <c r="B171" s="125">
        <v>0.1</v>
      </c>
      <c r="C171" s="125">
        <v>1</v>
      </c>
      <c r="D171" s="124">
        <f t="shared" si="16"/>
        <v>0.1</v>
      </c>
      <c r="E171" s="125" t="s">
        <v>2229</v>
      </c>
      <c r="F171" s="126">
        <f t="shared" si="17"/>
        <v>0</v>
      </c>
      <c r="G171" s="125" t="s">
        <v>2228</v>
      </c>
      <c r="H171" s="126">
        <f t="shared" si="18"/>
        <v>1</v>
      </c>
      <c r="I171" s="125" t="s">
        <v>2227</v>
      </c>
      <c r="J171" s="126">
        <f t="shared" si="19"/>
        <v>0</v>
      </c>
      <c r="K171" s="125" t="s">
        <v>2226</v>
      </c>
      <c r="L171" s="124">
        <v>0</v>
      </c>
      <c r="M171" s="100"/>
      <c r="N171" s="101"/>
      <c r="O171" s="100"/>
      <c r="P171" s="100"/>
      <c r="Q171" s="100"/>
      <c r="R171" s="100"/>
      <c r="S171" s="100"/>
      <c r="T171" s="100"/>
      <c r="U171" s="100"/>
      <c r="X171" s="114" t="s">
        <v>13897</v>
      </c>
      <c r="Y171" s="115">
        <v>6875.25</v>
      </c>
      <c r="Z171" s="116">
        <f t="shared" si="20"/>
        <v>6875.25</v>
      </c>
      <c r="AA171" s="114" t="s">
        <v>2229</v>
      </c>
      <c r="AB171" s="117">
        <f t="shared" si="21"/>
        <v>6875</v>
      </c>
      <c r="AC171" s="114" t="s">
        <v>2228</v>
      </c>
      <c r="AD171" s="117">
        <f t="shared" si="22"/>
        <v>2</v>
      </c>
      <c r="AE171" s="114" t="s">
        <v>2227</v>
      </c>
      <c r="AF171" s="117">
        <f t="shared" si="23"/>
        <v>5</v>
      </c>
      <c r="AG171" s="114" t="s">
        <v>2226</v>
      </c>
      <c r="AH171" s="116">
        <v>275.01</v>
      </c>
      <c r="AI171" s="100"/>
      <c r="AJ171" s="100"/>
      <c r="AK171" s="100"/>
      <c r="AL171" s="100"/>
      <c r="AM171" s="100"/>
      <c r="AN171" s="100"/>
      <c r="AO171" s="100"/>
      <c r="AP171" s="100"/>
      <c r="AQ171" s="100"/>
    </row>
    <row r="172" spans="1:43" ht="18.75">
      <c r="A172" s="125" t="s">
        <v>2429</v>
      </c>
      <c r="B172" s="125">
        <v>0.1</v>
      </c>
      <c r="C172" s="125">
        <v>0</v>
      </c>
      <c r="D172" s="124">
        <f t="shared" si="16"/>
        <v>0.1</v>
      </c>
      <c r="E172" s="125" t="s">
        <v>2229</v>
      </c>
      <c r="F172" s="126">
        <f t="shared" si="17"/>
        <v>0</v>
      </c>
      <c r="G172" s="125" t="s">
        <v>2228</v>
      </c>
      <c r="H172" s="126">
        <f t="shared" si="18"/>
        <v>1</v>
      </c>
      <c r="I172" s="125" t="s">
        <v>2227</v>
      </c>
      <c r="J172" s="126">
        <f t="shared" si="19"/>
        <v>0</v>
      </c>
      <c r="K172" s="125" t="s">
        <v>2226</v>
      </c>
      <c r="L172" s="124">
        <v>0</v>
      </c>
      <c r="M172" s="100"/>
      <c r="N172" s="101"/>
      <c r="O172" s="100"/>
      <c r="P172" s="100"/>
      <c r="Q172" s="100"/>
      <c r="R172" s="100"/>
      <c r="S172" s="100"/>
      <c r="T172" s="100"/>
      <c r="U172" s="100"/>
      <c r="X172" s="114" t="s">
        <v>13898</v>
      </c>
      <c r="Y172" s="115">
        <v>81500.25</v>
      </c>
      <c r="Z172" s="116">
        <f t="shared" si="20"/>
        <v>81500.25</v>
      </c>
      <c r="AA172" s="114" t="s">
        <v>2229</v>
      </c>
      <c r="AB172" s="117">
        <f t="shared" si="21"/>
        <v>81500</v>
      </c>
      <c r="AC172" s="114" t="s">
        <v>2228</v>
      </c>
      <c r="AD172" s="117">
        <f t="shared" si="22"/>
        <v>2</v>
      </c>
      <c r="AE172" s="114" t="s">
        <v>2227</v>
      </c>
      <c r="AF172" s="117">
        <f t="shared" si="23"/>
        <v>5</v>
      </c>
      <c r="AG172" s="114" t="s">
        <v>2226</v>
      </c>
      <c r="AH172" s="116">
        <v>3260.01</v>
      </c>
      <c r="AI172" s="100"/>
      <c r="AJ172" s="100"/>
      <c r="AK172" s="100"/>
      <c r="AL172" s="100"/>
      <c r="AM172" s="100"/>
      <c r="AN172" s="100"/>
      <c r="AO172" s="100"/>
      <c r="AP172" s="100"/>
      <c r="AQ172" s="100"/>
    </row>
    <row r="173" spans="1:43" ht="18.75">
      <c r="A173" s="125" t="s">
        <v>2430</v>
      </c>
      <c r="B173" s="125">
        <v>0.1</v>
      </c>
      <c r="C173" s="125">
        <v>0</v>
      </c>
      <c r="D173" s="124">
        <f t="shared" si="16"/>
        <v>0.1</v>
      </c>
      <c r="E173" s="125" t="s">
        <v>2229</v>
      </c>
      <c r="F173" s="126">
        <f t="shared" si="17"/>
        <v>0</v>
      </c>
      <c r="G173" s="125" t="s">
        <v>2228</v>
      </c>
      <c r="H173" s="126">
        <f t="shared" si="18"/>
        <v>1</v>
      </c>
      <c r="I173" s="125" t="s">
        <v>2227</v>
      </c>
      <c r="J173" s="126">
        <f t="shared" si="19"/>
        <v>0</v>
      </c>
      <c r="K173" s="125" t="s">
        <v>2226</v>
      </c>
      <c r="L173" s="124">
        <v>0</v>
      </c>
      <c r="M173" s="100"/>
      <c r="N173" s="101"/>
      <c r="O173" s="100"/>
      <c r="P173" s="100"/>
      <c r="Q173" s="100"/>
      <c r="R173" s="100"/>
      <c r="S173" s="100"/>
      <c r="T173" s="100"/>
      <c r="U173" s="100"/>
      <c r="X173" s="114" t="s">
        <v>13899</v>
      </c>
      <c r="Y173" s="115">
        <v>5937.625</v>
      </c>
      <c r="Z173" s="116">
        <f t="shared" si="20"/>
        <v>5937.625</v>
      </c>
      <c r="AA173" s="114" t="s">
        <v>2229</v>
      </c>
      <c r="AB173" s="117">
        <f t="shared" si="21"/>
        <v>5937</v>
      </c>
      <c r="AC173" s="114" t="s">
        <v>2228</v>
      </c>
      <c r="AD173" s="117">
        <f t="shared" si="22"/>
        <v>6</v>
      </c>
      <c r="AE173" s="114" t="s">
        <v>2227</v>
      </c>
      <c r="AF173" s="117">
        <f t="shared" si="23"/>
        <v>2.5</v>
      </c>
      <c r="AG173" s="114" t="s">
        <v>2226</v>
      </c>
      <c r="AH173" s="116">
        <v>237.5</v>
      </c>
      <c r="AI173" s="100"/>
      <c r="AJ173" s="100"/>
      <c r="AK173" s="100"/>
      <c r="AL173" s="100"/>
      <c r="AM173" s="100"/>
      <c r="AN173" s="100"/>
      <c r="AO173" s="100"/>
      <c r="AP173" s="100"/>
      <c r="AQ173" s="100"/>
    </row>
    <row r="174" spans="1:43" ht="18.75">
      <c r="A174" s="125" t="s">
        <v>2431</v>
      </c>
      <c r="B174" s="125">
        <v>0.05</v>
      </c>
      <c r="C174" s="125">
        <v>2</v>
      </c>
      <c r="D174" s="124">
        <f t="shared" si="16"/>
        <v>0.05</v>
      </c>
      <c r="E174" s="125" t="s">
        <v>2229</v>
      </c>
      <c r="F174" s="126">
        <f t="shared" si="17"/>
        <v>0</v>
      </c>
      <c r="G174" s="125" t="s">
        <v>2228</v>
      </c>
      <c r="H174" s="126">
        <f t="shared" si="18"/>
        <v>0</v>
      </c>
      <c r="I174" s="125" t="s">
        <v>2227</v>
      </c>
      <c r="J174" s="126">
        <f t="shared" si="19"/>
        <v>5</v>
      </c>
      <c r="K174" s="125" t="s">
        <v>2226</v>
      </c>
      <c r="L174" s="124">
        <v>0</v>
      </c>
      <c r="M174" s="100"/>
      <c r="N174" s="101"/>
      <c r="O174" s="100"/>
      <c r="P174" s="100"/>
      <c r="Q174" s="100"/>
      <c r="R174" s="100"/>
      <c r="S174" s="100"/>
      <c r="T174" s="100"/>
      <c r="U174" s="100"/>
      <c r="X174" s="114" t="s">
        <v>13900</v>
      </c>
      <c r="Y174" s="115">
        <v>57.5</v>
      </c>
      <c r="Z174" s="116">
        <f t="shared" si="20"/>
        <v>57.5</v>
      </c>
      <c r="AA174" s="114" t="s">
        <v>2229</v>
      </c>
      <c r="AB174" s="117">
        <f t="shared" si="21"/>
        <v>57</v>
      </c>
      <c r="AC174" s="114" t="s">
        <v>2228</v>
      </c>
      <c r="AD174" s="117">
        <f t="shared" si="22"/>
        <v>5</v>
      </c>
      <c r="AE174" s="114" t="s">
        <v>2227</v>
      </c>
      <c r="AF174" s="117">
        <f t="shared" si="23"/>
        <v>0</v>
      </c>
      <c r="AG174" s="114" t="s">
        <v>2226</v>
      </c>
      <c r="AH174" s="116">
        <v>2.3000000000000003</v>
      </c>
      <c r="AI174" s="100"/>
      <c r="AJ174" s="100"/>
      <c r="AK174" s="100"/>
      <c r="AL174" s="100"/>
      <c r="AM174" s="100"/>
      <c r="AN174" s="100"/>
      <c r="AO174" s="100"/>
      <c r="AP174" s="100"/>
      <c r="AQ174" s="100"/>
    </row>
    <row r="175" spans="1:43" ht="18.75">
      <c r="A175" s="125" t="s">
        <v>2432</v>
      </c>
      <c r="B175" s="125">
        <v>0.05</v>
      </c>
      <c r="C175" s="125">
        <v>0.25</v>
      </c>
      <c r="D175" s="124">
        <f t="shared" si="16"/>
        <v>0.05</v>
      </c>
      <c r="E175" s="125" t="s">
        <v>2229</v>
      </c>
      <c r="F175" s="126">
        <f t="shared" si="17"/>
        <v>0</v>
      </c>
      <c r="G175" s="125" t="s">
        <v>2228</v>
      </c>
      <c r="H175" s="126">
        <f t="shared" si="18"/>
        <v>0</v>
      </c>
      <c r="I175" s="125" t="s">
        <v>2227</v>
      </c>
      <c r="J175" s="126">
        <f t="shared" si="19"/>
        <v>5</v>
      </c>
      <c r="K175" s="125" t="s">
        <v>2226</v>
      </c>
      <c r="L175" s="124">
        <v>0</v>
      </c>
      <c r="M175" s="100"/>
      <c r="N175" s="101"/>
      <c r="O175" s="100"/>
      <c r="P175" s="100"/>
      <c r="Q175" s="100"/>
      <c r="R175" s="100"/>
      <c r="S175" s="100"/>
      <c r="T175" s="100"/>
      <c r="U175" s="100"/>
      <c r="X175" s="114" t="s">
        <v>9030</v>
      </c>
      <c r="Y175" s="115">
        <v>425</v>
      </c>
      <c r="Z175" s="116">
        <f t="shared" si="20"/>
        <v>425</v>
      </c>
      <c r="AA175" s="114" t="s">
        <v>2229</v>
      </c>
      <c r="AB175" s="117">
        <f t="shared" si="21"/>
        <v>425</v>
      </c>
      <c r="AC175" s="114" t="s">
        <v>2228</v>
      </c>
      <c r="AD175" s="117">
        <f t="shared" si="22"/>
        <v>0</v>
      </c>
      <c r="AE175" s="114" t="s">
        <v>2227</v>
      </c>
      <c r="AF175" s="117">
        <f t="shared" si="23"/>
        <v>0</v>
      </c>
      <c r="AG175" s="114" t="s">
        <v>2226</v>
      </c>
      <c r="AH175" s="116">
        <v>17</v>
      </c>
      <c r="AI175" s="100"/>
      <c r="AJ175" s="100"/>
      <c r="AK175" s="100"/>
      <c r="AL175" s="100"/>
      <c r="AM175" s="100"/>
      <c r="AN175" s="100"/>
      <c r="AO175" s="100"/>
      <c r="AP175" s="100"/>
      <c r="AQ175" s="100"/>
    </row>
    <row r="176" spans="1:43" ht="18.75">
      <c r="A176" s="125" t="s">
        <v>2433</v>
      </c>
      <c r="B176" s="125">
        <v>0.05</v>
      </c>
      <c r="C176" s="125">
        <v>0.25</v>
      </c>
      <c r="D176" s="124">
        <f t="shared" si="16"/>
        <v>0.05</v>
      </c>
      <c r="E176" s="125" t="s">
        <v>2229</v>
      </c>
      <c r="F176" s="126">
        <f t="shared" si="17"/>
        <v>0</v>
      </c>
      <c r="G176" s="125" t="s">
        <v>2228</v>
      </c>
      <c r="H176" s="126">
        <f t="shared" si="18"/>
        <v>0</v>
      </c>
      <c r="I176" s="125" t="s">
        <v>2227</v>
      </c>
      <c r="J176" s="126">
        <f t="shared" si="19"/>
        <v>5</v>
      </c>
      <c r="K176" s="125" t="s">
        <v>2226</v>
      </c>
      <c r="L176" s="124">
        <v>0</v>
      </c>
      <c r="M176" s="100"/>
      <c r="N176" s="101"/>
      <c r="O176" s="100"/>
      <c r="P176" s="100"/>
      <c r="Q176" s="100"/>
      <c r="R176" s="100"/>
      <c r="S176" s="100"/>
      <c r="T176" s="100"/>
      <c r="U176" s="100"/>
      <c r="X176" s="114" t="s">
        <v>13901</v>
      </c>
      <c r="Y176" s="115">
        <v>89250.25</v>
      </c>
      <c r="Z176" s="116">
        <f t="shared" si="20"/>
        <v>89250.25</v>
      </c>
      <c r="AA176" s="114" t="s">
        <v>2229</v>
      </c>
      <c r="AB176" s="117">
        <f t="shared" si="21"/>
        <v>89250</v>
      </c>
      <c r="AC176" s="114" t="s">
        <v>2228</v>
      </c>
      <c r="AD176" s="117">
        <f t="shared" si="22"/>
        <v>2</v>
      </c>
      <c r="AE176" s="114" t="s">
        <v>2227</v>
      </c>
      <c r="AF176" s="117">
        <f t="shared" si="23"/>
        <v>5</v>
      </c>
      <c r="AG176" s="114" t="s">
        <v>2226</v>
      </c>
      <c r="AH176" s="116">
        <v>3570.01</v>
      </c>
      <c r="AI176" s="100"/>
      <c r="AJ176" s="100"/>
      <c r="AK176" s="100"/>
      <c r="AL176" s="100"/>
      <c r="AM176" s="100"/>
      <c r="AN176" s="100"/>
      <c r="AO176" s="100"/>
      <c r="AP176" s="100"/>
      <c r="AQ176" s="100"/>
    </row>
    <row r="177" spans="1:43" ht="18.75">
      <c r="A177" s="125" t="s">
        <v>2434</v>
      </c>
      <c r="B177" s="125">
        <v>0.05</v>
      </c>
      <c r="C177" s="125">
        <v>7</v>
      </c>
      <c r="D177" s="124">
        <f t="shared" si="16"/>
        <v>0.05</v>
      </c>
      <c r="E177" s="125" t="s">
        <v>2229</v>
      </c>
      <c r="F177" s="126">
        <f t="shared" si="17"/>
        <v>0</v>
      </c>
      <c r="G177" s="125" t="s">
        <v>2228</v>
      </c>
      <c r="H177" s="126">
        <f t="shared" si="18"/>
        <v>0</v>
      </c>
      <c r="I177" s="125" t="s">
        <v>2227</v>
      </c>
      <c r="J177" s="126">
        <f t="shared" si="19"/>
        <v>5</v>
      </c>
      <c r="K177" s="125" t="s">
        <v>2226</v>
      </c>
      <c r="L177" s="124">
        <v>0</v>
      </c>
      <c r="M177" s="100"/>
      <c r="N177" s="101"/>
      <c r="O177" s="100"/>
      <c r="P177" s="100"/>
      <c r="Q177" s="100"/>
      <c r="R177" s="100"/>
      <c r="S177" s="100"/>
      <c r="T177" s="100"/>
      <c r="U177" s="100"/>
      <c r="X177" s="114" t="s">
        <v>13902</v>
      </c>
      <c r="Y177" s="115">
        <v>6875.25</v>
      </c>
      <c r="Z177" s="116">
        <f t="shared" si="20"/>
        <v>6875.25</v>
      </c>
      <c r="AA177" s="114" t="s">
        <v>2229</v>
      </c>
      <c r="AB177" s="117">
        <f t="shared" si="21"/>
        <v>6875</v>
      </c>
      <c r="AC177" s="114" t="s">
        <v>2228</v>
      </c>
      <c r="AD177" s="117">
        <f t="shared" si="22"/>
        <v>2</v>
      </c>
      <c r="AE177" s="114" t="s">
        <v>2227</v>
      </c>
      <c r="AF177" s="117">
        <f t="shared" si="23"/>
        <v>5</v>
      </c>
      <c r="AG177" s="114" t="s">
        <v>2226</v>
      </c>
      <c r="AH177" s="116">
        <v>275.01</v>
      </c>
      <c r="AI177" s="100"/>
      <c r="AJ177" s="100"/>
      <c r="AK177" s="100"/>
      <c r="AL177" s="100"/>
      <c r="AM177" s="100"/>
      <c r="AN177" s="100"/>
      <c r="AO177" s="100"/>
      <c r="AP177" s="100"/>
      <c r="AQ177" s="100"/>
    </row>
    <row r="178" spans="1:43" ht="18.75">
      <c r="A178" s="125" t="s">
        <v>2435</v>
      </c>
      <c r="B178" s="125">
        <v>0.05</v>
      </c>
      <c r="C178" s="125">
        <v>0</v>
      </c>
      <c r="D178" s="124">
        <f t="shared" si="16"/>
        <v>0.05</v>
      </c>
      <c r="E178" s="125" t="s">
        <v>2229</v>
      </c>
      <c r="F178" s="126">
        <f t="shared" si="17"/>
        <v>0</v>
      </c>
      <c r="G178" s="125" t="s">
        <v>2228</v>
      </c>
      <c r="H178" s="126">
        <f t="shared" si="18"/>
        <v>0</v>
      </c>
      <c r="I178" s="125" t="s">
        <v>2227</v>
      </c>
      <c r="J178" s="126">
        <f t="shared" si="19"/>
        <v>5</v>
      </c>
      <c r="K178" s="125" t="s">
        <v>2226</v>
      </c>
      <c r="L178" s="124">
        <v>0</v>
      </c>
      <c r="M178" s="100"/>
      <c r="N178" s="101"/>
      <c r="O178" s="100"/>
      <c r="P178" s="100"/>
      <c r="Q178" s="100"/>
      <c r="R178" s="100"/>
      <c r="S178" s="100"/>
      <c r="T178" s="100"/>
      <c r="U178" s="100"/>
      <c r="X178" s="114" t="s">
        <v>13903</v>
      </c>
      <c r="Y178" s="115">
        <v>19875.125</v>
      </c>
      <c r="Z178" s="116">
        <f t="shared" si="20"/>
        <v>19875.125</v>
      </c>
      <c r="AA178" s="114" t="s">
        <v>2229</v>
      </c>
      <c r="AB178" s="117">
        <f t="shared" si="21"/>
        <v>19875</v>
      </c>
      <c r="AC178" s="114" t="s">
        <v>2228</v>
      </c>
      <c r="AD178" s="117">
        <f t="shared" si="22"/>
        <v>1</v>
      </c>
      <c r="AE178" s="114" t="s">
        <v>2227</v>
      </c>
      <c r="AF178" s="117">
        <f t="shared" si="23"/>
        <v>2.5</v>
      </c>
      <c r="AG178" s="114" t="s">
        <v>2226</v>
      </c>
      <c r="AH178" s="116">
        <v>795</v>
      </c>
      <c r="AI178" s="100"/>
      <c r="AJ178" s="100"/>
      <c r="AK178" s="100"/>
      <c r="AL178" s="100"/>
      <c r="AM178" s="100"/>
      <c r="AN178" s="100"/>
      <c r="AO178" s="100"/>
      <c r="AP178" s="100"/>
      <c r="AQ178" s="100"/>
    </row>
    <row r="179" spans="1:43" ht="18.75">
      <c r="A179" s="125" t="s">
        <v>2436</v>
      </c>
      <c r="B179" s="125">
        <v>0.04</v>
      </c>
      <c r="C179" s="128">
        <v>1.5</v>
      </c>
      <c r="D179" s="124">
        <f t="shared" si="16"/>
        <v>0.04</v>
      </c>
      <c r="E179" s="125" t="s">
        <v>2229</v>
      </c>
      <c r="F179" s="126">
        <f t="shared" si="17"/>
        <v>0</v>
      </c>
      <c r="G179" s="125" t="s">
        <v>2228</v>
      </c>
      <c r="H179" s="126">
        <f t="shared" si="18"/>
        <v>0</v>
      </c>
      <c r="I179" s="125" t="s">
        <v>2227</v>
      </c>
      <c r="J179" s="126">
        <f t="shared" si="19"/>
        <v>4</v>
      </c>
      <c r="K179" s="125" t="s">
        <v>2226</v>
      </c>
      <c r="L179" s="124">
        <v>0</v>
      </c>
      <c r="M179" s="100"/>
      <c r="N179" s="101"/>
      <c r="O179" s="100"/>
      <c r="P179" s="100"/>
      <c r="Q179" s="100"/>
      <c r="R179" s="100"/>
      <c r="S179" s="100"/>
      <c r="T179" s="100"/>
      <c r="U179" s="100"/>
      <c r="X179" s="114" t="s">
        <v>13904</v>
      </c>
      <c r="Y179" s="115">
        <v>237.625</v>
      </c>
      <c r="Z179" s="116">
        <f t="shared" si="20"/>
        <v>237.625</v>
      </c>
      <c r="AA179" s="114" t="s">
        <v>2229</v>
      </c>
      <c r="AB179" s="117">
        <f t="shared" si="21"/>
        <v>237</v>
      </c>
      <c r="AC179" s="114" t="s">
        <v>2228</v>
      </c>
      <c r="AD179" s="117">
        <f t="shared" si="22"/>
        <v>6</v>
      </c>
      <c r="AE179" s="114" t="s">
        <v>2227</v>
      </c>
      <c r="AF179" s="117">
        <f t="shared" si="23"/>
        <v>2.5</v>
      </c>
      <c r="AG179" s="114" t="s">
        <v>2226</v>
      </c>
      <c r="AH179" s="116">
        <v>9.5</v>
      </c>
      <c r="AI179" s="100"/>
      <c r="AJ179" s="100"/>
      <c r="AK179" s="100"/>
      <c r="AL179" s="100"/>
      <c r="AM179" s="100"/>
      <c r="AN179" s="100"/>
      <c r="AO179" s="100"/>
      <c r="AP179" s="100"/>
      <c r="AQ179" s="100"/>
    </row>
    <row r="180" spans="1:43" ht="18.75">
      <c r="A180" s="125" t="s">
        <v>2437</v>
      </c>
      <c r="B180" s="125">
        <v>0.02</v>
      </c>
      <c r="C180" s="125">
        <v>1</v>
      </c>
      <c r="D180" s="124">
        <f t="shared" si="16"/>
        <v>0.02</v>
      </c>
      <c r="E180" s="125" t="s">
        <v>2229</v>
      </c>
      <c r="F180" s="126">
        <f t="shared" si="17"/>
        <v>0</v>
      </c>
      <c r="G180" s="125" t="s">
        <v>2228</v>
      </c>
      <c r="H180" s="126">
        <f t="shared" si="18"/>
        <v>0</v>
      </c>
      <c r="I180" s="125" t="s">
        <v>2227</v>
      </c>
      <c r="J180" s="126">
        <f t="shared" si="19"/>
        <v>2</v>
      </c>
      <c r="K180" s="125" t="s">
        <v>2226</v>
      </c>
      <c r="L180" s="124">
        <v>0</v>
      </c>
      <c r="M180" s="100"/>
      <c r="N180" s="101"/>
      <c r="O180" s="100"/>
      <c r="P180" s="100"/>
      <c r="Q180" s="100"/>
      <c r="R180" s="100"/>
      <c r="S180" s="100"/>
      <c r="T180" s="100"/>
      <c r="U180" s="100"/>
      <c r="X180" s="114" t="s">
        <v>13905</v>
      </c>
      <c r="Y180" s="115">
        <v>250</v>
      </c>
      <c r="Z180" s="116">
        <f t="shared" si="20"/>
        <v>250</v>
      </c>
      <c r="AA180" s="114" t="s">
        <v>2229</v>
      </c>
      <c r="AB180" s="117">
        <f t="shared" si="21"/>
        <v>250</v>
      </c>
      <c r="AC180" s="114" t="s">
        <v>2228</v>
      </c>
      <c r="AD180" s="117">
        <f t="shared" si="22"/>
        <v>0</v>
      </c>
      <c r="AE180" s="114" t="s">
        <v>2227</v>
      </c>
      <c r="AF180" s="117">
        <f t="shared" si="23"/>
        <v>0</v>
      </c>
      <c r="AG180" s="114" t="s">
        <v>2226</v>
      </c>
      <c r="AH180" s="116">
        <v>10</v>
      </c>
      <c r="AI180" s="100"/>
      <c r="AJ180" s="100"/>
      <c r="AK180" s="100"/>
      <c r="AL180" s="100"/>
      <c r="AM180" s="100"/>
      <c r="AN180" s="100"/>
      <c r="AO180" s="100"/>
      <c r="AP180" s="100"/>
      <c r="AQ180" s="100"/>
    </row>
    <row r="181" spans="1:43" ht="18.75">
      <c r="A181" s="125" t="s">
        <v>2438</v>
      </c>
      <c r="B181" s="125">
        <v>0.02</v>
      </c>
      <c r="C181" s="125">
        <v>0</v>
      </c>
      <c r="D181" s="124">
        <f t="shared" si="16"/>
        <v>0.02</v>
      </c>
      <c r="E181" s="125" t="s">
        <v>2229</v>
      </c>
      <c r="F181" s="126">
        <f t="shared" si="17"/>
        <v>0</v>
      </c>
      <c r="G181" s="125" t="s">
        <v>2228</v>
      </c>
      <c r="H181" s="126">
        <f t="shared" si="18"/>
        <v>0</v>
      </c>
      <c r="I181" s="125" t="s">
        <v>2227</v>
      </c>
      <c r="J181" s="126">
        <f t="shared" si="19"/>
        <v>2</v>
      </c>
      <c r="K181" s="125" t="s">
        <v>2226</v>
      </c>
      <c r="L181" s="124">
        <v>0</v>
      </c>
      <c r="M181" s="100"/>
      <c r="N181" s="101"/>
      <c r="O181" s="100"/>
      <c r="P181" s="100"/>
      <c r="Q181" s="100"/>
      <c r="R181" s="100"/>
      <c r="S181" s="100"/>
      <c r="T181" s="100"/>
      <c r="U181" s="100"/>
      <c r="X181" s="114" t="s">
        <v>13906</v>
      </c>
      <c r="Y181" s="115">
        <v>235</v>
      </c>
      <c r="Z181" s="116">
        <f t="shared" si="20"/>
        <v>235</v>
      </c>
      <c r="AA181" s="114" t="s">
        <v>2229</v>
      </c>
      <c r="AB181" s="117">
        <f t="shared" si="21"/>
        <v>235</v>
      </c>
      <c r="AC181" s="114" t="s">
        <v>2228</v>
      </c>
      <c r="AD181" s="117">
        <f t="shared" si="22"/>
        <v>0</v>
      </c>
      <c r="AE181" s="114" t="s">
        <v>2227</v>
      </c>
      <c r="AF181" s="117">
        <f t="shared" si="23"/>
        <v>0</v>
      </c>
      <c r="AG181" s="114" t="s">
        <v>2226</v>
      </c>
      <c r="AH181" s="116">
        <v>9.4</v>
      </c>
      <c r="AI181" s="100"/>
      <c r="AJ181" s="100"/>
      <c r="AK181" s="100"/>
      <c r="AL181" s="100"/>
      <c r="AM181" s="100"/>
      <c r="AN181" s="100"/>
      <c r="AO181" s="100"/>
      <c r="AP181" s="100"/>
      <c r="AQ181" s="100"/>
    </row>
    <row r="182" spans="1:43" ht="18.75">
      <c r="A182" s="125" t="s">
        <v>2439</v>
      </c>
      <c r="B182" s="125">
        <v>0.02</v>
      </c>
      <c r="C182" s="125">
        <v>4</v>
      </c>
      <c r="D182" s="124">
        <f t="shared" si="16"/>
        <v>0.02</v>
      </c>
      <c r="E182" s="125" t="s">
        <v>2229</v>
      </c>
      <c r="F182" s="126">
        <f t="shared" si="17"/>
        <v>0</v>
      </c>
      <c r="G182" s="125" t="s">
        <v>2228</v>
      </c>
      <c r="H182" s="126">
        <f t="shared" si="18"/>
        <v>0</v>
      </c>
      <c r="I182" s="125" t="s">
        <v>2227</v>
      </c>
      <c r="J182" s="126">
        <f t="shared" si="19"/>
        <v>2</v>
      </c>
      <c r="K182" s="125" t="s">
        <v>2226</v>
      </c>
      <c r="L182" s="124">
        <v>0</v>
      </c>
      <c r="M182" s="100"/>
      <c r="N182" s="101"/>
      <c r="O182" s="100"/>
      <c r="P182" s="100"/>
      <c r="Q182" s="100"/>
      <c r="R182" s="100"/>
      <c r="S182" s="100"/>
      <c r="T182" s="100"/>
      <c r="U182" s="100"/>
      <c r="X182" s="114" t="s">
        <v>13907</v>
      </c>
      <c r="Y182" s="115">
        <v>315</v>
      </c>
      <c r="Z182" s="116">
        <f t="shared" si="20"/>
        <v>315</v>
      </c>
      <c r="AA182" s="114" t="s">
        <v>2229</v>
      </c>
      <c r="AB182" s="117">
        <f t="shared" si="21"/>
        <v>315</v>
      </c>
      <c r="AC182" s="114" t="s">
        <v>2228</v>
      </c>
      <c r="AD182" s="117">
        <f t="shared" si="22"/>
        <v>0</v>
      </c>
      <c r="AE182" s="114" t="s">
        <v>2227</v>
      </c>
      <c r="AF182" s="117">
        <f t="shared" si="23"/>
        <v>0</v>
      </c>
      <c r="AG182" s="114" t="s">
        <v>2226</v>
      </c>
      <c r="AH182" s="116">
        <v>12.6</v>
      </c>
      <c r="AI182" s="100"/>
      <c r="AJ182" s="100"/>
      <c r="AK182" s="100"/>
      <c r="AL182" s="100"/>
      <c r="AM182" s="100"/>
      <c r="AN182" s="100"/>
      <c r="AO182" s="100"/>
      <c r="AP182" s="100"/>
      <c r="AQ182" s="100"/>
    </row>
    <row r="183" spans="1:43" ht="18.75">
      <c r="A183" s="125" t="s">
        <v>2440</v>
      </c>
      <c r="B183" s="125">
        <v>0.02</v>
      </c>
      <c r="C183" s="125">
        <v>0</v>
      </c>
      <c r="D183" s="124">
        <f t="shared" si="16"/>
        <v>0.02</v>
      </c>
      <c r="E183" s="125" t="s">
        <v>2229</v>
      </c>
      <c r="F183" s="126">
        <f t="shared" si="17"/>
        <v>0</v>
      </c>
      <c r="G183" s="125" t="s">
        <v>2228</v>
      </c>
      <c r="H183" s="126">
        <f t="shared" si="18"/>
        <v>0</v>
      </c>
      <c r="I183" s="125" t="s">
        <v>2227</v>
      </c>
      <c r="J183" s="126">
        <f t="shared" si="19"/>
        <v>2</v>
      </c>
      <c r="K183" s="125" t="s">
        <v>2226</v>
      </c>
      <c r="L183" s="124">
        <v>0</v>
      </c>
      <c r="M183" s="100"/>
      <c r="N183" s="101"/>
      <c r="O183" s="100"/>
      <c r="P183" s="100"/>
      <c r="Q183" s="100"/>
      <c r="R183" s="100"/>
      <c r="S183" s="100"/>
      <c r="T183" s="100"/>
      <c r="U183" s="100"/>
      <c r="X183" s="114" t="s">
        <v>9386</v>
      </c>
      <c r="Y183" s="115">
        <v>17000</v>
      </c>
      <c r="Z183" s="116">
        <f t="shared" si="20"/>
        <v>17000</v>
      </c>
      <c r="AA183" s="114" t="s">
        <v>2229</v>
      </c>
      <c r="AB183" s="117">
        <f t="shared" si="21"/>
        <v>17000</v>
      </c>
      <c r="AC183" s="114" t="s">
        <v>2228</v>
      </c>
      <c r="AD183" s="117">
        <f t="shared" si="22"/>
        <v>0</v>
      </c>
      <c r="AE183" s="114" t="s">
        <v>2227</v>
      </c>
      <c r="AF183" s="117">
        <f t="shared" si="23"/>
        <v>0</v>
      </c>
      <c r="AG183" s="114" t="s">
        <v>2226</v>
      </c>
      <c r="AH183" s="116">
        <v>680</v>
      </c>
      <c r="AI183" s="100"/>
      <c r="AJ183" s="100"/>
      <c r="AK183" s="100"/>
      <c r="AL183" s="100"/>
      <c r="AM183" s="100"/>
      <c r="AN183" s="100"/>
      <c r="AO183" s="100"/>
      <c r="AP183" s="100"/>
      <c r="AQ183" s="100"/>
    </row>
    <row r="184" spans="1:43" ht="18.75">
      <c r="A184" s="125" t="s">
        <v>2441</v>
      </c>
      <c r="B184" s="125">
        <v>0.01</v>
      </c>
      <c r="C184" s="125">
        <v>0</v>
      </c>
      <c r="D184" s="124">
        <f t="shared" si="16"/>
        <v>0.01</v>
      </c>
      <c r="E184" s="125" t="s">
        <v>2229</v>
      </c>
      <c r="F184" s="126">
        <f t="shared" si="17"/>
        <v>0</v>
      </c>
      <c r="G184" s="125" t="s">
        <v>2228</v>
      </c>
      <c r="H184" s="126">
        <f t="shared" si="18"/>
        <v>0</v>
      </c>
      <c r="I184" s="125" t="s">
        <v>2227</v>
      </c>
      <c r="J184" s="126">
        <f t="shared" si="19"/>
        <v>1</v>
      </c>
      <c r="K184" s="125" t="s">
        <v>2226</v>
      </c>
      <c r="L184" s="124">
        <v>0</v>
      </c>
      <c r="M184" s="100"/>
      <c r="N184" s="101"/>
      <c r="O184" s="100"/>
      <c r="P184" s="100"/>
      <c r="Q184" s="100"/>
      <c r="R184" s="100"/>
      <c r="S184" s="100"/>
      <c r="T184" s="100"/>
      <c r="U184" s="100"/>
      <c r="X184" s="114" t="s">
        <v>13908</v>
      </c>
      <c r="Y184" s="115">
        <v>21500</v>
      </c>
      <c r="Z184" s="116">
        <f t="shared" si="20"/>
        <v>21500</v>
      </c>
      <c r="AA184" s="114" t="s">
        <v>2229</v>
      </c>
      <c r="AB184" s="117">
        <f t="shared" si="21"/>
        <v>21500</v>
      </c>
      <c r="AC184" s="114" t="s">
        <v>2228</v>
      </c>
      <c r="AD184" s="117">
        <f t="shared" si="22"/>
        <v>0</v>
      </c>
      <c r="AE184" s="114" t="s">
        <v>2227</v>
      </c>
      <c r="AF184" s="117">
        <f t="shared" si="23"/>
        <v>0</v>
      </c>
      <c r="AG184" s="114" t="s">
        <v>2226</v>
      </c>
      <c r="AH184" s="116">
        <v>860</v>
      </c>
      <c r="AI184" s="100"/>
      <c r="AJ184" s="100"/>
      <c r="AK184" s="100"/>
      <c r="AL184" s="100"/>
      <c r="AM184" s="100"/>
      <c r="AN184" s="100"/>
      <c r="AO184" s="100"/>
      <c r="AP184" s="100"/>
      <c r="AQ184" s="100"/>
    </row>
    <row r="185" spans="1:43" ht="18.75">
      <c r="A185" s="125" t="s">
        <v>2442</v>
      </c>
      <c r="B185" s="125">
        <v>0.01</v>
      </c>
      <c r="C185" s="125">
        <v>0</v>
      </c>
      <c r="D185" s="124">
        <f t="shared" si="16"/>
        <v>0.01</v>
      </c>
      <c r="E185" s="125" t="s">
        <v>2229</v>
      </c>
      <c r="F185" s="126">
        <f t="shared" si="17"/>
        <v>0</v>
      </c>
      <c r="G185" s="125" t="s">
        <v>2228</v>
      </c>
      <c r="H185" s="126">
        <f t="shared" si="18"/>
        <v>0</v>
      </c>
      <c r="I185" s="125" t="s">
        <v>2227</v>
      </c>
      <c r="J185" s="126">
        <f t="shared" si="19"/>
        <v>1</v>
      </c>
      <c r="K185" s="125" t="s">
        <v>2226</v>
      </c>
      <c r="L185" s="124">
        <v>0</v>
      </c>
      <c r="M185" s="100"/>
      <c r="N185" s="101"/>
      <c r="O185" s="100"/>
      <c r="P185" s="100"/>
      <c r="Q185" s="100"/>
      <c r="R185" s="100"/>
      <c r="S185" s="100"/>
      <c r="T185" s="100"/>
      <c r="U185" s="100"/>
      <c r="X185" s="114" t="s">
        <v>13909</v>
      </c>
      <c r="Y185" s="115">
        <v>24125.125</v>
      </c>
      <c r="Z185" s="116">
        <f t="shared" si="20"/>
        <v>24125.125</v>
      </c>
      <c r="AA185" s="114" t="s">
        <v>2229</v>
      </c>
      <c r="AB185" s="117">
        <f t="shared" si="21"/>
        <v>24125</v>
      </c>
      <c r="AC185" s="114" t="s">
        <v>2228</v>
      </c>
      <c r="AD185" s="117">
        <f t="shared" si="22"/>
        <v>1</v>
      </c>
      <c r="AE185" s="114" t="s">
        <v>2227</v>
      </c>
      <c r="AF185" s="117">
        <f t="shared" si="23"/>
        <v>2.5</v>
      </c>
      <c r="AG185" s="114" t="s">
        <v>2226</v>
      </c>
      <c r="AH185" s="116">
        <v>965</v>
      </c>
      <c r="AI185" s="100"/>
      <c r="AJ185" s="100"/>
      <c r="AK185" s="100"/>
      <c r="AL185" s="100"/>
      <c r="AM185" s="100"/>
      <c r="AN185" s="100"/>
      <c r="AO185" s="100"/>
      <c r="AP185" s="100"/>
      <c r="AQ185" s="100"/>
    </row>
    <row r="186" spans="1:43" ht="18.75">
      <c r="A186" s="125" t="s">
        <v>2443</v>
      </c>
      <c r="B186" s="125">
        <v>0.01</v>
      </c>
      <c r="C186" s="125">
        <v>0.5</v>
      </c>
      <c r="D186" s="124">
        <f t="shared" si="16"/>
        <v>0.01</v>
      </c>
      <c r="E186" s="125" t="s">
        <v>2229</v>
      </c>
      <c r="F186" s="126">
        <f t="shared" si="17"/>
        <v>0</v>
      </c>
      <c r="G186" s="125" t="s">
        <v>2228</v>
      </c>
      <c r="H186" s="126">
        <f t="shared" si="18"/>
        <v>0</v>
      </c>
      <c r="I186" s="125" t="s">
        <v>2227</v>
      </c>
      <c r="J186" s="126">
        <f t="shared" si="19"/>
        <v>1</v>
      </c>
      <c r="K186" s="125" t="s">
        <v>2226</v>
      </c>
      <c r="L186" s="124">
        <v>0</v>
      </c>
      <c r="M186" s="100"/>
      <c r="N186" s="101"/>
      <c r="O186" s="100"/>
      <c r="P186" s="100"/>
      <c r="Q186" s="100"/>
      <c r="R186" s="100"/>
      <c r="S186" s="100"/>
      <c r="T186" s="100"/>
      <c r="U186" s="100"/>
      <c r="X186" s="114" t="s">
        <v>13910</v>
      </c>
      <c r="Y186" s="115">
        <v>3737.625</v>
      </c>
      <c r="Z186" s="116">
        <f t="shared" si="20"/>
        <v>3737.625</v>
      </c>
      <c r="AA186" s="114" t="s">
        <v>2229</v>
      </c>
      <c r="AB186" s="117">
        <f t="shared" si="21"/>
        <v>3737</v>
      </c>
      <c r="AC186" s="114" t="s">
        <v>2228</v>
      </c>
      <c r="AD186" s="117">
        <f t="shared" si="22"/>
        <v>6</v>
      </c>
      <c r="AE186" s="114" t="s">
        <v>2227</v>
      </c>
      <c r="AF186" s="117">
        <f t="shared" si="23"/>
        <v>2.5</v>
      </c>
      <c r="AG186" s="114" t="s">
        <v>2226</v>
      </c>
      <c r="AH186" s="116">
        <v>149.5</v>
      </c>
      <c r="AI186" s="100"/>
      <c r="AJ186" s="100"/>
      <c r="AK186" s="100"/>
      <c r="AL186" s="100"/>
      <c r="AM186" s="100"/>
      <c r="AN186" s="100"/>
      <c r="AO186" s="100"/>
      <c r="AP186" s="100"/>
      <c r="AQ186" s="100"/>
    </row>
    <row r="187" spans="1:43" ht="18.75">
      <c r="A187" s="125" t="s">
        <v>2444</v>
      </c>
      <c r="B187" s="125">
        <v>0.01</v>
      </c>
      <c r="C187" s="125">
        <v>1</v>
      </c>
      <c r="D187" s="124">
        <f t="shared" si="16"/>
        <v>0.01</v>
      </c>
      <c r="E187" s="125" t="s">
        <v>2229</v>
      </c>
      <c r="F187" s="126">
        <f t="shared" si="17"/>
        <v>0</v>
      </c>
      <c r="G187" s="125" t="s">
        <v>2228</v>
      </c>
      <c r="H187" s="126">
        <f t="shared" si="18"/>
        <v>0</v>
      </c>
      <c r="I187" s="125" t="s">
        <v>2227</v>
      </c>
      <c r="J187" s="126">
        <f t="shared" si="19"/>
        <v>1</v>
      </c>
      <c r="K187" s="125" t="s">
        <v>2226</v>
      </c>
      <c r="L187" s="124">
        <v>0</v>
      </c>
      <c r="M187" s="100"/>
      <c r="N187" s="101"/>
      <c r="O187" s="100"/>
      <c r="P187" s="100"/>
      <c r="Q187" s="100"/>
      <c r="R187" s="100"/>
      <c r="S187" s="100"/>
      <c r="T187" s="100"/>
      <c r="U187" s="100"/>
      <c r="X187" s="114" t="s">
        <v>13911</v>
      </c>
      <c r="Y187" s="115">
        <v>67.5</v>
      </c>
      <c r="Z187" s="116">
        <f t="shared" si="20"/>
        <v>67.5</v>
      </c>
      <c r="AA187" s="114" t="s">
        <v>2229</v>
      </c>
      <c r="AB187" s="117">
        <f t="shared" si="21"/>
        <v>67</v>
      </c>
      <c r="AC187" s="114" t="s">
        <v>2228</v>
      </c>
      <c r="AD187" s="117">
        <f t="shared" si="22"/>
        <v>5</v>
      </c>
      <c r="AE187" s="114" t="s">
        <v>2227</v>
      </c>
      <c r="AF187" s="117">
        <f t="shared" si="23"/>
        <v>0</v>
      </c>
      <c r="AG187" s="114" t="s">
        <v>2226</v>
      </c>
      <c r="AH187" s="116">
        <v>2.7</v>
      </c>
      <c r="AI187" s="100"/>
      <c r="AJ187" s="100"/>
      <c r="AK187" s="100"/>
      <c r="AL187" s="100"/>
      <c r="AM187" s="100"/>
      <c r="AN187" s="100"/>
      <c r="AO187" s="100"/>
      <c r="AP187" s="100"/>
      <c r="AQ187" s="100"/>
    </row>
    <row r="188" spans="1:43" ht="18.75">
      <c r="A188" s="125" t="s">
        <v>2445</v>
      </c>
      <c r="B188" s="125">
        <v>0.01</v>
      </c>
      <c r="C188" s="125">
        <v>1</v>
      </c>
      <c r="D188" s="124">
        <f t="shared" si="16"/>
        <v>0.01</v>
      </c>
      <c r="E188" s="125" t="s">
        <v>2229</v>
      </c>
      <c r="F188" s="126">
        <f t="shared" si="17"/>
        <v>0</v>
      </c>
      <c r="G188" s="125" t="s">
        <v>2228</v>
      </c>
      <c r="H188" s="126">
        <f t="shared" si="18"/>
        <v>0</v>
      </c>
      <c r="I188" s="125" t="s">
        <v>2227</v>
      </c>
      <c r="J188" s="126">
        <f t="shared" si="19"/>
        <v>1</v>
      </c>
      <c r="K188" s="125" t="s">
        <v>2226</v>
      </c>
      <c r="L188" s="124">
        <v>0</v>
      </c>
      <c r="M188" s="100"/>
      <c r="N188" s="101"/>
      <c r="O188" s="100"/>
      <c r="P188" s="100"/>
      <c r="Q188" s="100"/>
      <c r="R188" s="100"/>
      <c r="S188" s="100"/>
      <c r="T188" s="100"/>
      <c r="U188" s="100"/>
      <c r="X188" s="114" t="s">
        <v>13912</v>
      </c>
      <c r="Y188" s="115">
        <v>275.125</v>
      </c>
      <c r="Z188" s="116">
        <f t="shared" si="20"/>
        <v>275.125</v>
      </c>
      <c r="AA188" s="114" t="s">
        <v>2229</v>
      </c>
      <c r="AB188" s="117">
        <f t="shared" si="21"/>
        <v>275</v>
      </c>
      <c r="AC188" s="114" t="s">
        <v>2228</v>
      </c>
      <c r="AD188" s="117">
        <f t="shared" si="22"/>
        <v>1</v>
      </c>
      <c r="AE188" s="114" t="s">
        <v>2227</v>
      </c>
      <c r="AF188" s="117">
        <f t="shared" si="23"/>
        <v>2.5</v>
      </c>
      <c r="AG188" s="114" t="s">
        <v>2226</v>
      </c>
      <c r="AH188" s="116">
        <v>11</v>
      </c>
      <c r="AI188" s="100"/>
      <c r="AJ188" s="100"/>
      <c r="AK188" s="100"/>
      <c r="AL188" s="100"/>
      <c r="AM188" s="100"/>
      <c r="AN188" s="100"/>
      <c r="AO188" s="100"/>
      <c r="AP188" s="100"/>
      <c r="AQ188" s="100"/>
    </row>
    <row r="189" spans="1:43" ht="18.75">
      <c r="A189" s="125" t="s">
        <v>2446</v>
      </c>
      <c r="B189" s="125">
        <v>0</v>
      </c>
      <c r="C189" s="125">
        <v>0</v>
      </c>
      <c r="D189" s="124">
        <f t="shared" si="16"/>
        <v>0</v>
      </c>
      <c r="E189" s="125" t="s">
        <v>2229</v>
      </c>
      <c r="F189" s="126">
        <f t="shared" si="17"/>
        <v>0</v>
      </c>
      <c r="G189" s="125" t="s">
        <v>2228</v>
      </c>
      <c r="H189" s="126">
        <f t="shared" si="18"/>
        <v>0</v>
      </c>
      <c r="I189" s="125" t="s">
        <v>2227</v>
      </c>
      <c r="J189" s="126">
        <f t="shared" si="19"/>
        <v>0</v>
      </c>
      <c r="K189" s="125" t="s">
        <v>2226</v>
      </c>
      <c r="L189" s="124">
        <v>0</v>
      </c>
      <c r="M189" s="100"/>
      <c r="N189" s="101"/>
      <c r="O189" s="100"/>
      <c r="P189" s="100"/>
      <c r="Q189" s="100"/>
      <c r="R189" s="100"/>
      <c r="S189" s="100"/>
      <c r="T189" s="100"/>
      <c r="U189" s="100"/>
      <c r="X189" s="114" t="s">
        <v>13913</v>
      </c>
      <c r="Y189" s="115">
        <v>325.25</v>
      </c>
      <c r="Z189" s="116">
        <f t="shared" si="20"/>
        <v>325.25</v>
      </c>
      <c r="AA189" s="114" t="s">
        <v>2229</v>
      </c>
      <c r="AB189" s="117">
        <f t="shared" si="21"/>
        <v>325</v>
      </c>
      <c r="AC189" s="114" t="s">
        <v>2228</v>
      </c>
      <c r="AD189" s="117">
        <f t="shared" si="22"/>
        <v>2</v>
      </c>
      <c r="AE189" s="114" t="s">
        <v>2227</v>
      </c>
      <c r="AF189" s="117">
        <f t="shared" si="23"/>
        <v>5</v>
      </c>
      <c r="AG189" s="114" t="s">
        <v>2226</v>
      </c>
      <c r="AH189" s="116">
        <v>13.01</v>
      </c>
      <c r="AI189" s="100"/>
      <c r="AJ189" s="100"/>
      <c r="AK189" s="100"/>
      <c r="AL189" s="100"/>
      <c r="AM189" s="100"/>
      <c r="AN189" s="100"/>
      <c r="AO189" s="100"/>
      <c r="AP189" s="100"/>
      <c r="AQ189" s="100"/>
    </row>
    <row r="190" spans="1:43" ht="18.75">
      <c r="A190" s="2476" t="s">
        <v>11507</v>
      </c>
      <c r="B190" s="2476">
        <v>1000</v>
      </c>
      <c r="C190" s="2476">
        <v>0</v>
      </c>
      <c r="D190" s="2477">
        <f>B190*$O$6</f>
        <v>1000</v>
      </c>
      <c r="E190" s="125" t="s">
        <v>2229</v>
      </c>
      <c r="F190" s="2478">
        <f>_xlfn.FLOOR.MATH(D190,1)</f>
        <v>1000</v>
      </c>
      <c r="G190" s="2476"/>
      <c r="H190" s="2478">
        <f>_xlfn.FLOOR.MATH(((D190-F190)*10), 1)</f>
        <v>0</v>
      </c>
      <c r="I190" s="2476"/>
      <c r="J190" s="2478">
        <f>((D190-F190)*10-H190)*10</f>
        <v>0</v>
      </c>
      <c r="K190" s="2476"/>
      <c r="L190" s="2477">
        <v>40</v>
      </c>
      <c r="X190" s="114" t="s">
        <v>9398</v>
      </c>
      <c r="Y190" s="115">
        <v>38125.125</v>
      </c>
      <c r="Z190" s="116">
        <f t="shared" si="20"/>
        <v>38125.125</v>
      </c>
      <c r="AA190" s="114" t="s">
        <v>2229</v>
      </c>
      <c r="AB190" s="117">
        <f t="shared" si="21"/>
        <v>38125</v>
      </c>
      <c r="AC190" s="114" t="s">
        <v>2228</v>
      </c>
      <c r="AD190" s="117">
        <f t="shared" si="22"/>
        <v>1</v>
      </c>
      <c r="AE190" s="114" t="s">
        <v>2227</v>
      </c>
      <c r="AF190" s="117">
        <f t="shared" si="23"/>
        <v>2.5</v>
      </c>
      <c r="AG190" s="114" t="s">
        <v>2226</v>
      </c>
      <c r="AH190" s="116">
        <v>1525</v>
      </c>
      <c r="AI190" s="100"/>
      <c r="AJ190" s="100"/>
      <c r="AK190" s="100"/>
      <c r="AL190" s="100"/>
      <c r="AM190" s="100"/>
      <c r="AN190" s="100"/>
      <c r="AO190" s="100"/>
      <c r="AP190" s="100"/>
      <c r="AQ190" s="100"/>
    </row>
    <row r="191" spans="1:43" ht="18.75">
      <c r="A191" s="2476" t="s">
        <v>11508</v>
      </c>
      <c r="B191" s="2476">
        <v>20000</v>
      </c>
      <c r="C191" s="2476">
        <v>0</v>
      </c>
      <c r="D191" s="2477">
        <f>B191*$O$6</f>
        <v>20000</v>
      </c>
      <c r="E191" s="2476"/>
      <c r="F191" s="2478">
        <f>_xlfn.FLOOR.MATH(D191,1)</f>
        <v>20000</v>
      </c>
      <c r="G191" s="2476"/>
      <c r="H191" s="2478">
        <f>_xlfn.FLOOR.MATH(((D191-F191)*10), 1)</f>
        <v>0</v>
      </c>
      <c r="I191" s="2476"/>
      <c r="J191" s="2478">
        <f>((D191-F191)*10-H191)*10</f>
        <v>0</v>
      </c>
      <c r="K191" s="2476"/>
      <c r="L191" s="2477">
        <v>800</v>
      </c>
      <c r="X191" s="114" t="s">
        <v>13914</v>
      </c>
      <c r="Y191" s="115">
        <v>50000</v>
      </c>
      <c r="Z191" s="116">
        <f t="shared" si="20"/>
        <v>50000</v>
      </c>
      <c r="AA191" s="114" t="s">
        <v>2229</v>
      </c>
      <c r="AB191" s="117">
        <f t="shared" si="21"/>
        <v>50000</v>
      </c>
      <c r="AC191" s="114" t="s">
        <v>2228</v>
      </c>
      <c r="AD191" s="117">
        <f t="shared" si="22"/>
        <v>0</v>
      </c>
      <c r="AE191" s="114" t="s">
        <v>2227</v>
      </c>
      <c r="AF191" s="117">
        <f t="shared" si="23"/>
        <v>0</v>
      </c>
      <c r="AG191" s="114" t="s">
        <v>2226</v>
      </c>
      <c r="AH191" s="116">
        <v>2000</v>
      </c>
      <c r="AI191" s="100"/>
      <c r="AJ191" s="100"/>
      <c r="AK191" s="100"/>
      <c r="AL191" s="100"/>
      <c r="AM191" s="100"/>
      <c r="AN191" s="100"/>
      <c r="AO191" s="100"/>
      <c r="AP191" s="100"/>
      <c r="AQ191" s="100"/>
    </row>
    <row r="192" spans="1:43">
      <c r="X192" s="114" t="s">
        <v>13915</v>
      </c>
      <c r="Y192" s="115">
        <v>325.25</v>
      </c>
      <c r="Z192" s="116">
        <f t="shared" si="20"/>
        <v>325.25</v>
      </c>
      <c r="AA192" s="114" t="s">
        <v>2229</v>
      </c>
      <c r="AB192" s="117">
        <f t="shared" si="21"/>
        <v>325</v>
      </c>
      <c r="AC192" s="114" t="s">
        <v>2228</v>
      </c>
      <c r="AD192" s="117">
        <f t="shared" si="22"/>
        <v>2</v>
      </c>
      <c r="AE192" s="114" t="s">
        <v>2227</v>
      </c>
      <c r="AF192" s="117">
        <f t="shared" si="23"/>
        <v>5</v>
      </c>
      <c r="AG192" s="114" t="s">
        <v>2226</v>
      </c>
      <c r="AH192" s="116">
        <v>13.01</v>
      </c>
      <c r="AI192" s="100"/>
      <c r="AJ192" s="100"/>
      <c r="AK192" s="100"/>
      <c r="AL192" s="100"/>
      <c r="AM192" s="100"/>
      <c r="AN192" s="100"/>
      <c r="AO192" s="100"/>
      <c r="AP192" s="100"/>
      <c r="AQ192" s="100"/>
    </row>
    <row r="193" spans="1:43">
      <c r="X193" s="114" t="s">
        <v>13916</v>
      </c>
      <c r="Y193" s="115">
        <v>325.25</v>
      </c>
      <c r="Z193" s="116">
        <f t="shared" si="20"/>
        <v>325.25</v>
      </c>
      <c r="AA193" s="114" t="s">
        <v>2229</v>
      </c>
      <c r="AB193" s="117">
        <f t="shared" si="21"/>
        <v>325</v>
      </c>
      <c r="AC193" s="114" t="s">
        <v>2228</v>
      </c>
      <c r="AD193" s="117">
        <f t="shared" si="22"/>
        <v>2</v>
      </c>
      <c r="AE193" s="114" t="s">
        <v>2227</v>
      </c>
      <c r="AF193" s="117">
        <f t="shared" si="23"/>
        <v>5</v>
      </c>
      <c r="AG193" s="114" t="s">
        <v>2226</v>
      </c>
      <c r="AH193" s="116">
        <v>13.01</v>
      </c>
      <c r="AI193" s="100"/>
      <c r="AJ193" s="100"/>
      <c r="AK193" s="100"/>
      <c r="AL193" s="100"/>
      <c r="AM193" s="100"/>
      <c r="AN193" s="100"/>
      <c r="AO193" s="100"/>
      <c r="AP193" s="100"/>
      <c r="AQ193" s="100"/>
    </row>
    <row r="194" spans="1:43">
      <c r="X194" s="114" t="s">
        <v>13917</v>
      </c>
      <c r="Y194" s="115">
        <v>6875.25</v>
      </c>
      <c r="Z194" s="116">
        <f t="shared" si="20"/>
        <v>6875.25</v>
      </c>
      <c r="AA194" s="114" t="s">
        <v>2229</v>
      </c>
      <c r="AB194" s="117">
        <f t="shared" si="21"/>
        <v>6875</v>
      </c>
      <c r="AC194" s="114" t="s">
        <v>2228</v>
      </c>
      <c r="AD194" s="117">
        <f t="shared" si="22"/>
        <v>2</v>
      </c>
      <c r="AE194" s="114" t="s">
        <v>2227</v>
      </c>
      <c r="AF194" s="117">
        <f t="shared" si="23"/>
        <v>5</v>
      </c>
      <c r="AG194" s="114" t="s">
        <v>2226</v>
      </c>
      <c r="AH194" s="116">
        <v>275.01</v>
      </c>
      <c r="AI194" s="100"/>
      <c r="AJ194" s="100"/>
      <c r="AK194" s="100"/>
      <c r="AL194" s="100"/>
      <c r="AM194" s="100"/>
      <c r="AN194" s="100"/>
      <c r="AO194" s="100"/>
      <c r="AP194" s="100"/>
      <c r="AQ194" s="100"/>
    </row>
    <row r="195" spans="1:43">
      <c r="X195" s="114" t="s">
        <v>9026</v>
      </c>
      <c r="Y195" s="115">
        <v>605</v>
      </c>
      <c r="Z195" s="116">
        <f t="shared" ref="Z195:Z258" si="24">Y195*$AK$6*$AK$11</f>
        <v>605</v>
      </c>
      <c r="AA195" s="114" t="s">
        <v>2229</v>
      </c>
      <c r="AB195" s="117">
        <f t="shared" ref="AB195:AB258" si="25">_xlfn.FLOOR.MATH(Z195,1)</f>
        <v>605</v>
      </c>
      <c r="AC195" s="114" t="s">
        <v>2228</v>
      </c>
      <c r="AD195" s="117">
        <f t="shared" ref="AD195:AD258" si="26">_xlfn.FLOOR.MATH(((Z195-AB195)*10), 1)</f>
        <v>0</v>
      </c>
      <c r="AE195" s="114" t="s">
        <v>2227</v>
      </c>
      <c r="AF195" s="117">
        <f t="shared" ref="AF195:AF258" si="27">((Z195-AB195)*10-AD195)*10</f>
        <v>0</v>
      </c>
      <c r="AG195" s="114" t="s">
        <v>2226</v>
      </c>
      <c r="AH195" s="116">
        <v>24.2</v>
      </c>
      <c r="AI195" s="100"/>
      <c r="AJ195" s="100"/>
      <c r="AK195" s="100"/>
      <c r="AL195" s="100"/>
      <c r="AM195" s="100"/>
      <c r="AN195" s="100"/>
      <c r="AO195" s="100"/>
      <c r="AP195" s="100"/>
      <c r="AQ195" s="100"/>
    </row>
    <row r="196" spans="1:43">
      <c r="X196" s="114" t="s">
        <v>13918</v>
      </c>
      <c r="Y196" s="115">
        <v>1060</v>
      </c>
      <c r="Z196" s="116">
        <f t="shared" si="24"/>
        <v>1060</v>
      </c>
      <c r="AA196" s="114" t="s">
        <v>2229</v>
      </c>
      <c r="AB196" s="117">
        <f t="shared" si="25"/>
        <v>1060</v>
      </c>
      <c r="AC196" s="114" t="s">
        <v>2228</v>
      </c>
      <c r="AD196" s="117">
        <f t="shared" si="26"/>
        <v>0</v>
      </c>
      <c r="AE196" s="114" t="s">
        <v>2227</v>
      </c>
      <c r="AF196" s="117">
        <f t="shared" si="27"/>
        <v>0</v>
      </c>
      <c r="AG196" s="114" t="s">
        <v>2226</v>
      </c>
      <c r="AH196" s="116">
        <v>42.4</v>
      </c>
      <c r="AI196" s="100"/>
      <c r="AJ196" s="100"/>
      <c r="AK196" s="100"/>
      <c r="AL196" s="100"/>
      <c r="AM196" s="100"/>
      <c r="AN196" s="100"/>
      <c r="AO196" s="100"/>
      <c r="AP196" s="100"/>
      <c r="AQ196" s="100"/>
    </row>
    <row r="197" spans="1:43">
      <c r="X197" s="114" t="s">
        <v>9133</v>
      </c>
      <c r="Y197" s="115">
        <v>4250</v>
      </c>
      <c r="Z197" s="116">
        <f t="shared" si="24"/>
        <v>4250</v>
      </c>
      <c r="AA197" s="114" t="s">
        <v>2229</v>
      </c>
      <c r="AB197" s="117">
        <f t="shared" si="25"/>
        <v>4250</v>
      </c>
      <c r="AC197" s="114" t="s">
        <v>2228</v>
      </c>
      <c r="AD197" s="117">
        <f t="shared" si="26"/>
        <v>0</v>
      </c>
      <c r="AE197" s="114" t="s">
        <v>2227</v>
      </c>
      <c r="AF197" s="117">
        <f t="shared" si="27"/>
        <v>0</v>
      </c>
      <c r="AG197" s="114" t="s">
        <v>2226</v>
      </c>
      <c r="AH197" s="116">
        <v>170</v>
      </c>
      <c r="AI197" s="100"/>
      <c r="AJ197" s="100"/>
      <c r="AK197" s="100"/>
      <c r="AL197" s="100"/>
      <c r="AM197" s="100"/>
      <c r="AN197" s="100"/>
      <c r="AO197" s="100"/>
      <c r="AP197" s="100"/>
      <c r="AQ197" s="100"/>
    </row>
    <row r="198" spans="1:43">
      <c r="X198" s="114" t="s">
        <v>13919</v>
      </c>
      <c r="Y198" s="115">
        <v>80</v>
      </c>
      <c r="Z198" s="116">
        <f t="shared" si="24"/>
        <v>80</v>
      </c>
      <c r="AA198" s="114" t="s">
        <v>2229</v>
      </c>
      <c r="AB198" s="117">
        <f t="shared" si="25"/>
        <v>80</v>
      </c>
      <c r="AC198" s="114" t="s">
        <v>2228</v>
      </c>
      <c r="AD198" s="117">
        <f t="shared" si="26"/>
        <v>0</v>
      </c>
      <c r="AE198" s="114" t="s">
        <v>2227</v>
      </c>
      <c r="AF198" s="117">
        <f t="shared" si="27"/>
        <v>0</v>
      </c>
      <c r="AG198" s="114" t="s">
        <v>2226</v>
      </c>
      <c r="AH198" s="116">
        <v>3.2</v>
      </c>
      <c r="AI198" s="100"/>
      <c r="AJ198" s="100"/>
      <c r="AK198" s="100"/>
      <c r="AL198" s="100"/>
      <c r="AM198" s="100"/>
      <c r="AN198" s="100"/>
      <c r="AO198" s="100"/>
      <c r="AP198" s="100"/>
      <c r="AQ198" s="100"/>
    </row>
    <row r="199" spans="1:43">
      <c r="A199" s="96" t="s">
        <v>11531</v>
      </c>
      <c r="X199" s="114" t="s">
        <v>13920</v>
      </c>
      <c r="Y199" s="115">
        <v>67.5</v>
      </c>
      <c r="Z199" s="116">
        <f t="shared" si="24"/>
        <v>67.5</v>
      </c>
      <c r="AA199" s="114" t="s">
        <v>2229</v>
      </c>
      <c r="AB199" s="117">
        <f t="shared" si="25"/>
        <v>67</v>
      </c>
      <c r="AC199" s="114" t="s">
        <v>2228</v>
      </c>
      <c r="AD199" s="117">
        <f t="shared" si="26"/>
        <v>5</v>
      </c>
      <c r="AE199" s="114" t="s">
        <v>2227</v>
      </c>
      <c r="AF199" s="117">
        <f t="shared" si="27"/>
        <v>0</v>
      </c>
      <c r="AG199" s="114" t="s">
        <v>2226</v>
      </c>
      <c r="AH199" s="116">
        <v>2.7</v>
      </c>
      <c r="AI199" s="100"/>
      <c r="AJ199" s="100"/>
      <c r="AK199" s="100"/>
      <c r="AL199" s="100"/>
      <c r="AM199" s="100"/>
      <c r="AN199" s="100"/>
      <c r="AO199" s="100"/>
      <c r="AP199" s="100"/>
      <c r="AQ199" s="100"/>
    </row>
    <row r="200" spans="1:43">
      <c r="A200" s="96" t="s">
        <v>11532</v>
      </c>
      <c r="X200" s="114" t="s">
        <v>13921</v>
      </c>
      <c r="Y200" s="115">
        <v>80</v>
      </c>
      <c r="Z200" s="116">
        <f t="shared" si="24"/>
        <v>80</v>
      </c>
      <c r="AA200" s="114" t="s">
        <v>2229</v>
      </c>
      <c r="AB200" s="117">
        <f t="shared" si="25"/>
        <v>80</v>
      </c>
      <c r="AC200" s="114" t="s">
        <v>2228</v>
      </c>
      <c r="AD200" s="117">
        <f t="shared" si="26"/>
        <v>0</v>
      </c>
      <c r="AE200" s="114" t="s">
        <v>2227</v>
      </c>
      <c r="AF200" s="117">
        <f t="shared" si="27"/>
        <v>0</v>
      </c>
      <c r="AG200" s="114" t="s">
        <v>2226</v>
      </c>
      <c r="AH200" s="116">
        <v>3.2</v>
      </c>
      <c r="AI200" s="100"/>
      <c r="AJ200" s="100"/>
      <c r="AK200" s="100"/>
      <c r="AL200" s="100"/>
      <c r="AM200" s="100"/>
      <c r="AN200" s="100"/>
      <c r="AO200" s="100"/>
      <c r="AP200" s="100"/>
      <c r="AQ200" s="100"/>
    </row>
    <row r="201" spans="1:43">
      <c r="A201" s="96" t="s">
        <v>11533</v>
      </c>
      <c r="X201" s="114" t="s">
        <v>13921</v>
      </c>
      <c r="Y201" s="115">
        <v>80</v>
      </c>
      <c r="Z201" s="116">
        <f t="shared" si="24"/>
        <v>80</v>
      </c>
      <c r="AA201" s="114" t="s">
        <v>2229</v>
      </c>
      <c r="AB201" s="117">
        <f t="shared" si="25"/>
        <v>80</v>
      </c>
      <c r="AC201" s="114" t="s">
        <v>2228</v>
      </c>
      <c r="AD201" s="117">
        <f t="shared" si="26"/>
        <v>0</v>
      </c>
      <c r="AE201" s="114" t="s">
        <v>2227</v>
      </c>
      <c r="AF201" s="117">
        <f t="shared" si="27"/>
        <v>0</v>
      </c>
      <c r="AG201" s="114" t="s">
        <v>2226</v>
      </c>
      <c r="AH201" s="116">
        <v>3.2</v>
      </c>
      <c r="AI201" s="100"/>
      <c r="AJ201" s="100"/>
      <c r="AK201" s="100"/>
      <c r="AL201" s="100"/>
      <c r="AM201" s="100"/>
      <c r="AN201" s="100"/>
      <c r="AO201" s="100"/>
      <c r="AP201" s="100"/>
      <c r="AQ201" s="100"/>
    </row>
    <row r="202" spans="1:43">
      <c r="A202" s="96" t="s">
        <v>11534</v>
      </c>
      <c r="X202" s="114" t="s">
        <v>9042</v>
      </c>
      <c r="Y202" s="115">
        <v>635</v>
      </c>
      <c r="Z202" s="116">
        <f t="shared" si="24"/>
        <v>635</v>
      </c>
      <c r="AA202" s="114" t="s">
        <v>2229</v>
      </c>
      <c r="AB202" s="117">
        <f t="shared" si="25"/>
        <v>635</v>
      </c>
      <c r="AC202" s="114" t="s">
        <v>2228</v>
      </c>
      <c r="AD202" s="117">
        <f t="shared" si="26"/>
        <v>0</v>
      </c>
      <c r="AE202" s="114" t="s">
        <v>2227</v>
      </c>
      <c r="AF202" s="117">
        <f t="shared" si="27"/>
        <v>0</v>
      </c>
      <c r="AG202" s="114" t="s">
        <v>2226</v>
      </c>
      <c r="AH202" s="116">
        <v>25.400000000000002</v>
      </c>
      <c r="AI202" s="100"/>
      <c r="AJ202" s="100"/>
      <c r="AK202" s="100"/>
      <c r="AL202" s="100"/>
      <c r="AM202" s="100"/>
      <c r="AN202" s="100"/>
      <c r="AO202" s="100"/>
      <c r="AP202" s="100"/>
      <c r="AQ202" s="100"/>
    </row>
    <row r="203" spans="1:43">
      <c r="X203" s="114" t="s">
        <v>13922</v>
      </c>
      <c r="Y203" s="115">
        <v>1650</v>
      </c>
      <c r="Z203" s="116">
        <f t="shared" si="24"/>
        <v>1650</v>
      </c>
      <c r="AA203" s="114" t="s">
        <v>2229</v>
      </c>
      <c r="AB203" s="117">
        <f t="shared" si="25"/>
        <v>1650</v>
      </c>
      <c r="AC203" s="114" t="s">
        <v>2228</v>
      </c>
      <c r="AD203" s="117">
        <f t="shared" si="26"/>
        <v>0</v>
      </c>
      <c r="AE203" s="114" t="s">
        <v>2227</v>
      </c>
      <c r="AF203" s="117">
        <f t="shared" si="27"/>
        <v>0</v>
      </c>
      <c r="AG203" s="114" t="s">
        <v>2226</v>
      </c>
      <c r="AH203" s="116">
        <v>66</v>
      </c>
      <c r="AI203" s="100"/>
      <c r="AJ203" s="100"/>
      <c r="AK203" s="100"/>
      <c r="AL203" s="100"/>
      <c r="AM203" s="100"/>
      <c r="AN203" s="100"/>
      <c r="AO203" s="100"/>
      <c r="AP203" s="100"/>
      <c r="AQ203" s="100"/>
    </row>
    <row r="204" spans="1:43">
      <c r="X204" s="114" t="s">
        <v>13923</v>
      </c>
      <c r="Y204" s="115">
        <v>1325</v>
      </c>
      <c r="Z204" s="116">
        <f t="shared" si="24"/>
        <v>1325</v>
      </c>
      <c r="AA204" s="114" t="s">
        <v>2229</v>
      </c>
      <c r="AB204" s="117">
        <f t="shared" si="25"/>
        <v>1325</v>
      </c>
      <c r="AC204" s="114" t="s">
        <v>2228</v>
      </c>
      <c r="AD204" s="117">
        <f t="shared" si="26"/>
        <v>0</v>
      </c>
      <c r="AE204" s="114" t="s">
        <v>2227</v>
      </c>
      <c r="AF204" s="117">
        <f t="shared" si="27"/>
        <v>0</v>
      </c>
      <c r="AG204" s="114" t="s">
        <v>2226</v>
      </c>
      <c r="AH204" s="116">
        <v>53</v>
      </c>
      <c r="AI204" s="100"/>
      <c r="AJ204" s="100"/>
      <c r="AK204" s="100"/>
      <c r="AL204" s="100"/>
      <c r="AM204" s="100"/>
      <c r="AN204" s="100"/>
      <c r="AO204" s="100"/>
      <c r="AP204" s="100"/>
      <c r="AQ204" s="100"/>
    </row>
    <row r="205" spans="1:43">
      <c r="X205" s="114" t="s">
        <v>13924</v>
      </c>
      <c r="Y205" s="115">
        <v>1450</v>
      </c>
      <c r="Z205" s="116">
        <f t="shared" si="24"/>
        <v>1450</v>
      </c>
      <c r="AA205" s="114" t="s">
        <v>2229</v>
      </c>
      <c r="AB205" s="117">
        <f t="shared" si="25"/>
        <v>1450</v>
      </c>
      <c r="AC205" s="114" t="s">
        <v>2228</v>
      </c>
      <c r="AD205" s="117">
        <f t="shared" si="26"/>
        <v>0</v>
      </c>
      <c r="AE205" s="114" t="s">
        <v>2227</v>
      </c>
      <c r="AF205" s="117">
        <f t="shared" si="27"/>
        <v>0</v>
      </c>
      <c r="AG205" s="114" t="s">
        <v>2226</v>
      </c>
      <c r="AH205" s="116">
        <v>58</v>
      </c>
      <c r="AI205" s="100"/>
      <c r="AJ205" s="100"/>
      <c r="AK205" s="100"/>
      <c r="AL205" s="100"/>
      <c r="AM205" s="100"/>
      <c r="AN205" s="100"/>
      <c r="AO205" s="100"/>
      <c r="AP205" s="100"/>
      <c r="AQ205" s="100"/>
    </row>
    <row r="206" spans="1:43">
      <c r="X206" s="114" t="s">
        <v>13925</v>
      </c>
      <c r="Y206" s="115">
        <v>6875.25</v>
      </c>
      <c r="Z206" s="116">
        <f t="shared" si="24"/>
        <v>6875.25</v>
      </c>
      <c r="AA206" s="114" t="s">
        <v>2229</v>
      </c>
      <c r="AB206" s="117">
        <f t="shared" si="25"/>
        <v>6875</v>
      </c>
      <c r="AC206" s="114" t="s">
        <v>2228</v>
      </c>
      <c r="AD206" s="117">
        <f t="shared" si="26"/>
        <v>2</v>
      </c>
      <c r="AE206" s="114" t="s">
        <v>2227</v>
      </c>
      <c r="AF206" s="117">
        <f t="shared" si="27"/>
        <v>5</v>
      </c>
      <c r="AG206" s="114" t="s">
        <v>2226</v>
      </c>
      <c r="AH206" s="116">
        <v>275.01</v>
      </c>
      <c r="AI206" s="100"/>
      <c r="AJ206" s="100"/>
      <c r="AK206" s="100"/>
      <c r="AL206" s="100"/>
      <c r="AM206" s="100"/>
      <c r="AN206" s="100"/>
      <c r="AO206" s="100"/>
      <c r="AP206" s="100"/>
      <c r="AQ206" s="100"/>
    </row>
    <row r="207" spans="1:43">
      <c r="X207" s="114" t="s">
        <v>13926</v>
      </c>
      <c r="Y207" s="115">
        <v>83750.25</v>
      </c>
      <c r="Z207" s="116">
        <f t="shared" si="24"/>
        <v>83750.25</v>
      </c>
      <c r="AA207" s="114" t="s">
        <v>2229</v>
      </c>
      <c r="AB207" s="117">
        <f t="shared" si="25"/>
        <v>83750</v>
      </c>
      <c r="AC207" s="114" t="s">
        <v>2228</v>
      </c>
      <c r="AD207" s="117">
        <f t="shared" si="26"/>
        <v>2</v>
      </c>
      <c r="AE207" s="114" t="s">
        <v>2227</v>
      </c>
      <c r="AF207" s="117">
        <f t="shared" si="27"/>
        <v>5</v>
      </c>
      <c r="AG207" s="114" t="s">
        <v>2226</v>
      </c>
      <c r="AH207" s="116">
        <v>3350.01</v>
      </c>
      <c r="AI207" s="100"/>
      <c r="AJ207" s="100"/>
      <c r="AK207" s="100"/>
      <c r="AL207" s="100"/>
      <c r="AM207" s="100"/>
      <c r="AN207" s="100"/>
      <c r="AO207" s="100"/>
      <c r="AP207" s="100"/>
      <c r="AQ207" s="100"/>
    </row>
    <row r="208" spans="1:43">
      <c r="X208" s="114" t="s">
        <v>13927</v>
      </c>
      <c r="Y208" s="115">
        <v>19375.125</v>
      </c>
      <c r="Z208" s="116">
        <f t="shared" si="24"/>
        <v>19375.125</v>
      </c>
      <c r="AA208" s="114" t="s">
        <v>2229</v>
      </c>
      <c r="AB208" s="117">
        <f t="shared" si="25"/>
        <v>19375</v>
      </c>
      <c r="AC208" s="114" t="s">
        <v>2228</v>
      </c>
      <c r="AD208" s="117">
        <f t="shared" si="26"/>
        <v>1</v>
      </c>
      <c r="AE208" s="114" t="s">
        <v>2227</v>
      </c>
      <c r="AF208" s="117">
        <f t="shared" si="27"/>
        <v>2.5</v>
      </c>
      <c r="AG208" s="114" t="s">
        <v>2226</v>
      </c>
      <c r="AH208" s="116">
        <v>775</v>
      </c>
      <c r="AI208" s="100"/>
      <c r="AJ208" s="100"/>
      <c r="AK208" s="100"/>
      <c r="AL208" s="100"/>
      <c r="AM208" s="100"/>
      <c r="AN208" s="100"/>
      <c r="AO208" s="100"/>
      <c r="AP208" s="100"/>
      <c r="AQ208" s="100"/>
    </row>
    <row r="209" spans="24:43">
      <c r="X209" s="114" t="s">
        <v>13928</v>
      </c>
      <c r="Y209" s="115">
        <v>6875.25</v>
      </c>
      <c r="Z209" s="116">
        <f t="shared" si="24"/>
        <v>6875.25</v>
      </c>
      <c r="AA209" s="114" t="s">
        <v>2229</v>
      </c>
      <c r="AB209" s="117">
        <f t="shared" si="25"/>
        <v>6875</v>
      </c>
      <c r="AC209" s="114" t="s">
        <v>2228</v>
      </c>
      <c r="AD209" s="117">
        <f t="shared" si="26"/>
        <v>2</v>
      </c>
      <c r="AE209" s="114" t="s">
        <v>2227</v>
      </c>
      <c r="AF209" s="117">
        <f t="shared" si="27"/>
        <v>5</v>
      </c>
      <c r="AG209" s="114" t="s">
        <v>2226</v>
      </c>
      <c r="AH209" s="116">
        <v>275.01</v>
      </c>
      <c r="AI209" s="100"/>
      <c r="AJ209" s="100"/>
      <c r="AK209" s="100"/>
      <c r="AL209" s="100"/>
      <c r="AM209" s="100"/>
      <c r="AN209" s="100"/>
      <c r="AO209" s="100"/>
      <c r="AP209" s="100"/>
      <c r="AQ209" s="100"/>
    </row>
    <row r="210" spans="24:43">
      <c r="X210" s="114" t="s">
        <v>13929</v>
      </c>
      <c r="Y210" s="115">
        <v>3737.625</v>
      </c>
      <c r="Z210" s="116">
        <f t="shared" si="24"/>
        <v>3737.625</v>
      </c>
      <c r="AA210" s="114" t="s">
        <v>2229</v>
      </c>
      <c r="AB210" s="117">
        <f t="shared" si="25"/>
        <v>3737</v>
      </c>
      <c r="AC210" s="114" t="s">
        <v>2228</v>
      </c>
      <c r="AD210" s="117">
        <f t="shared" si="26"/>
        <v>6</v>
      </c>
      <c r="AE210" s="114" t="s">
        <v>2227</v>
      </c>
      <c r="AF210" s="117">
        <f t="shared" si="27"/>
        <v>2.5</v>
      </c>
      <c r="AG210" s="114" t="s">
        <v>2226</v>
      </c>
      <c r="AH210" s="116">
        <v>149.5</v>
      </c>
      <c r="AI210" s="100"/>
      <c r="AJ210" s="100"/>
      <c r="AK210" s="100"/>
      <c r="AL210" s="100"/>
      <c r="AM210" s="100"/>
      <c r="AN210" s="100"/>
      <c r="AO210" s="100"/>
      <c r="AP210" s="100"/>
      <c r="AQ210" s="100"/>
    </row>
    <row r="211" spans="24:43">
      <c r="X211" s="114" t="s">
        <v>13930</v>
      </c>
      <c r="Y211" s="115">
        <v>3450.125</v>
      </c>
      <c r="Z211" s="116">
        <f t="shared" si="24"/>
        <v>3450.125</v>
      </c>
      <c r="AA211" s="114" t="s">
        <v>2229</v>
      </c>
      <c r="AB211" s="117">
        <f t="shared" si="25"/>
        <v>3450</v>
      </c>
      <c r="AC211" s="114" t="s">
        <v>2228</v>
      </c>
      <c r="AD211" s="117">
        <f t="shared" si="26"/>
        <v>1</v>
      </c>
      <c r="AE211" s="114" t="s">
        <v>2227</v>
      </c>
      <c r="AF211" s="117">
        <f t="shared" si="27"/>
        <v>2.5</v>
      </c>
      <c r="AG211" s="114" t="s">
        <v>2226</v>
      </c>
      <c r="AH211" s="116">
        <v>138</v>
      </c>
      <c r="AI211" s="100"/>
      <c r="AJ211" s="100"/>
      <c r="AK211" s="100"/>
      <c r="AL211" s="100"/>
      <c r="AM211" s="100"/>
      <c r="AN211" s="100"/>
      <c r="AO211" s="100"/>
      <c r="AP211" s="100"/>
      <c r="AQ211" s="100"/>
    </row>
    <row r="212" spans="24:43">
      <c r="X212" s="114" t="s">
        <v>13931</v>
      </c>
      <c r="Y212" s="115">
        <v>42.5</v>
      </c>
      <c r="Z212" s="116">
        <f t="shared" si="24"/>
        <v>42.5</v>
      </c>
      <c r="AA212" s="114" t="s">
        <v>2229</v>
      </c>
      <c r="AB212" s="117">
        <f t="shared" si="25"/>
        <v>42</v>
      </c>
      <c r="AC212" s="114" t="s">
        <v>2228</v>
      </c>
      <c r="AD212" s="117">
        <f t="shared" si="26"/>
        <v>5</v>
      </c>
      <c r="AE212" s="114" t="s">
        <v>2227</v>
      </c>
      <c r="AF212" s="117">
        <f t="shared" si="27"/>
        <v>0</v>
      </c>
      <c r="AG212" s="114" t="s">
        <v>2226</v>
      </c>
      <c r="AH212" s="116">
        <v>1.7</v>
      </c>
      <c r="AI212" s="100"/>
      <c r="AJ212" s="100"/>
      <c r="AK212" s="100"/>
      <c r="AL212" s="100"/>
      <c r="AM212" s="100"/>
      <c r="AN212" s="100"/>
      <c r="AO212" s="100"/>
      <c r="AP212" s="100"/>
      <c r="AQ212" s="100"/>
    </row>
    <row r="213" spans="24:43">
      <c r="X213" s="114" t="s">
        <v>13932</v>
      </c>
      <c r="Y213" s="115">
        <v>42.5</v>
      </c>
      <c r="Z213" s="116">
        <f t="shared" si="24"/>
        <v>42.5</v>
      </c>
      <c r="AA213" s="114" t="s">
        <v>2229</v>
      </c>
      <c r="AB213" s="117">
        <f t="shared" si="25"/>
        <v>42</v>
      </c>
      <c r="AC213" s="114" t="s">
        <v>2228</v>
      </c>
      <c r="AD213" s="117">
        <f t="shared" si="26"/>
        <v>5</v>
      </c>
      <c r="AE213" s="114" t="s">
        <v>2227</v>
      </c>
      <c r="AF213" s="117">
        <f t="shared" si="27"/>
        <v>0</v>
      </c>
      <c r="AG213" s="114" t="s">
        <v>2226</v>
      </c>
      <c r="AH213" s="116">
        <v>1.7</v>
      </c>
      <c r="AI213" s="100"/>
      <c r="AJ213" s="100"/>
      <c r="AK213" s="100"/>
      <c r="AL213" s="100"/>
      <c r="AM213" s="100"/>
      <c r="AN213" s="100"/>
      <c r="AO213" s="100"/>
      <c r="AP213" s="100"/>
      <c r="AQ213" s="100"/>
    </row>
    <row r="214" spans="24:43">
      <c r="X214" s="114" t="s">
        <v>13933</v>
      </c>
      <c r="Y214" s="115">
        <v>60</v>
      </c>
      <c r="Z214" s="116">
        <f t="shared" si="24"/>
        <v>60</v>
      </c>
      <c r="AA214" s="114" t="s">
        <v>2229</v>
      </c>
      <c r="AB214" s="117">
        <f t="shared" si="25"/>
        <v>60</v>
      </c>
      <c r="AC214" s="114" t="s">
        <v>2228</v>
      </c>
      <c r="AD214" s="117">
        <f t="shared" si="26"/>
        <v>0</v>
      </c>
      <c r="AE214" s="114" t="s">
        <v>2227</v>
      </c>
      <c r="AF214" s="117">
        <f t="shared" si="27"/>
        <v>0</v>
      </c>
      <c r="AG214" s="114" t="s">
        <v>2226</v>
      </c>
      <c r="AH214" s="116">
        <v>2.4</v>
      </c>
      <c r="AI214" s="100"/>
      <c r="AJ214" s="100"/>
      <c r="AK214" s="100"/>
      <c r="AL214" s="100"/>
      <c r="AM214" s="100"/>
      <c r="AN214" s="100"/>
      <c r="AO214" s="100"/>
      <c r="AP214" s="100"/>
      <c r="AQ214" s="100"/>
    </row>
    <row r="215" spans="24:43">
      <c r="X215" s="114" t="s">
        <v>13933</v>
      </c>
      <c r="Y215" s="115">
        <v>60</v>
      </c>
      <c r="Z215" s="116">
        <f t="shared" si="24"/>
        <v>60</v>
      </c>
      <c r="AA215" s="114" t="s">
        <v>2229</v>
      </c>
      <c r="AB215" s="117">
        <f t="shared" si="25"/>
        <v>60</v>
      </c>
      <c r="AC215" s="114" t="s">
        <v>2228</v>
      </c>
      <c r="AD215" s="117">
        <f t="shared" si="26"/>
        <v>0</v>
      </c>
      <c r="AE215" s="114" t="s">
        <v>2227</v>
      </c>
      <c r="AF215" s="117">
        <f t="shared" si="27"/>
        <v>0</v>
      </c>
      <c r="AG215" s="114" t="s">
        <v>2226</v>
      </c>
      <c r="AH215" s="116">
        <v>2.4</v>
      </c>
      <c r="AI215" s="100"/>
      <c r="AJ215" s="100"/>
      <c r="AK215" s="100"/>
      <c r="AL215" s="100"/>
      <c r="AM215" s="100"/>
      <c r="AN215" s="100"/>
      <c r="AO215" s="100"/>
      <c r="AP215" s="100"/>
      <c r="AQ215" s="100"/>
    </row>
    <row r="216" spans="24:43">
      <c r="X216" s="114" t="s">
        <v>13934</v>
      </c>
      <c r="Y216" s="115">
        <v>325.25</v>
      </c>
      <c r="Z216" s="116">
        <f t="shared" si="24"/>
        <v>325.25</v>
      </c>
      <c r="AA216" s="114" t="s">
        <v>2229</v>
      </c>
      <c r="AB216" s="117">
        <f t="shared" si="25"/>
        <v>325</v>
      </c>
      <c r="AC216" s="114" t="s">
        <v>2228</v>
      </c>
      <c r="AD216" s="117">
        <f t="shared" si="26"/>
        <v>2</v>
      </c>
      <c r="AE216" s="114" t="s">
        <v>2227</v>
      </c>
      <c r="AF216" s="117">
        <f t="shared" si="27"/>
        <v>5</v>
      </c>
      <c r="AG216" s="114" t="s">
        <v>2226</v>
      </c>
      <c r="AH216" s="116">
        <v>13.01</v>
      </c>
      <c r="AI216" s="100"/>
      <c r="AJ216" s="100"/>
      <c r="AK216" s="100"/>
      <c r="AL216" s="100"/>
      <c r="AM216" s="100"/>
      <c r="AN216" s="100"/>
      <c r="AO216" s="100"/>
      <c r="AP216" s="100"/>
      <c r="AQ216" s="100"/>
    </row>
    <row r="217" spans="24:43">
      <c r="X217" s="114" t="s">
        <v>13935</v>
      </c>
      <c r="Y217" s="115">
        <v>5800</v>
      </c>
      <c r="Z217" s="116">
        <f t="shared" si="24"/>
        <v>5800</v>
      </c>
      <c r="AA217" s="114" t="s">
        <v>2229</v>
      </c>
      <c r="AB217" s="117">
        <f t="shared" si="25"/>
        <v>5800</v>
      </c>
      <c r="AC217" s="114" t="s">
        <v>2228</v>
      </c>
      <c r="AD217" s="117">
        <f t="shared" si="26"/>
        <v>0</v>
      </c>
      <c r="AE217" s="114" t="s">
        <v>2227</v>
      </c>
      <c r="AF217" s="117">
        <f t="shared" si="27"/>
        <v>0</v>
      </c>
      <c r="AG217" s="114" t="s">
        <v>2226</v>
      </c>
      <c r="AH217" s="116">
        <v>232</v>
      </c>
      <c r="AI217" s="100"/>
      <c r="AJ217" s="100"/>
      <c r="AK217" s="100"/>
      <c r="AL217" s="100"/>
      <c r="AM217" s="100"/>
      <c r="AN217" s="100"/>
      <c r="AO217" s="100"/>
      <c r="AP217" s="100"/>
      <c r="AQ217" s="100"/>
    </row>
    <row r="218" spans="24:43">
      <c r="X218" s="114" t="s">
        <v>13936</v>
      </c>
      <c r="Y218" s="115">
        <v>4800</v>
      </c>
      <c r="Z218" s="116">
        <f t="shared" si="24"/>
        <v>4800</v>
      </c>
      <c r="AA218" s="114" t="s">
        <v>2229</v>
      </c>
      <c r="AB218" s="117">
        <f t="shared" si="25"/>
        <v>4800</v>
      </c>
      <c r="AC218" s="114" t="s">
        <v>2228</v>
      </c>
      <c r="AD218" s="117">
        <f t="shared" si="26"/>
        <v>0</v>
      </c>
      <c r="AE218" s="114" t="s">
        <v>2227</v>
      </c>
      <c r="AF218" s="117">
        <f t="shared" si="27"/>
        <v>0</v>
      </c>
      <c r="AG218" s="114" t="s">
        <v>2226</v>
      </c>
      <c r="AH218" s="116">
        <v>192</v>
      </c>
      <c r="AI218" s="100"/>
      <c r="AJ218" s="100"/>
      <c r="AK218" s="100"/>
      <c r="AL218" s="100"/>
      <c r="AM218" s="100"/>
      <c r="AN218" s="100"/>
      <c r="AO218" s="100"/>
      <c r="AP218" s="100"/>
      <c r="AQ218" s="100"/>
    </row>
    <row r="219" spans="24:43">
      <c r="X219" s="114" t="s">
        <v>13937</v>
      </c>
      <c r="Y219" s="115">
        <v>2800</v>
      </c>
      <c r="Z219" s="116">
        <f t="shared" si="24"/>
        <v>2800</v>
      </c>
      <c r="AA219" s="114" t="s">
        <v>2229</v>
      </c>
      <c r="AB219" s="117">
        <f t="shared" si="25"/>
        <v>2800</v>
      </c>
      <c r="AC219" s="114" t="s">
        <v>2228</v>
      </c>
      <c r="AD219" s="117">
        <f t="shared" si="26"/>
        <v>0</v>
      </c>
      <c r="AE219" s="114" t="s">
        <v>2227</v>
      </c>
      <c r="AF219" s="117">
        <f t="shared" si="27"/>
        <v>0</v>
      </c>
      <c r="AG219" s="114" t="s">
        <v>2226</v>
      </c>
      <c r="AH219" s="116">
        <v>112</v>
      </c>
      <c r="AI219" s="100"/>
      <c r="AJ219" s="100"/>
      <c r="AK219" s="100"/>
      <c r="AL219" s="100"/>
      <c r="AM219" s="100"/>
      <c r="AN219" s="100"/>
      <c r="AO219" s="100"/>
      <c r="AP219" s="100"/>
      <c r="AQ219" s="100"/>
    </row>
    <row r="220" spans="24:43">
      <c r="X220" s="114" t="s">
        <v>13938</v>
      </c>
      <c r="Y220" s="115">
        <v>12500</v>
      </c>
      <c r="Z220" s="116">
        <f t="shared" si="24"/>
        <v>12500</v>
      </c>
      <c r="AA220" s="114" t="s">
        <v>2229</v>
      </c>
      <c r="AB220" s="117">
        <f t="shared" si="25"/>
        <v>12500</v>
      </c>
      <c r="AC220" s="114" t="s">
        <v>2228</v>
      </c>
      <c r="AD220" s="117">
        <f t="shared" si="26"/>
        <v>0</v>
      </c>
      <c r="AE220" s="114" t="s">
        <v>2227</v>
      </c>
      <c r="AF220" s="117">
        <f t="shared" si="27"/>
        <v>0</v>
      </c>
      <c r="AG220" s="114" t="s">
        <v>2226</v>
      </c>
      <c r="AH220" s="116">
        <v>500</v>
      </c>
      <c r="AI220" s="100"/>
      <c r="AJ220" s="100"/>
      <c r="AK220" s="100"/>
      <c r="AL220" s="100"/>
      <c r="AM220" s="100"/>
      <c r="AN220" s="100"/>
      <c r="AO220" s="100"/>
      <c r="AP220" s="100"/>
      <c r="AQ220" s="100"/>
    </row>
    <row r="221" spans="24:43">
      <c r="X221" s="114" t="s">
        <v>13939</v>
      </c>
      <c r="Y221" s="115">
        <v>2700</v>
      </c>
      <c r="Z221" s="116">
        <f t="shared" si="24"/>
        <v>2700</v>
      </c>
      <c r="AA221" s="114" t="s">
        <v>2229</v>
      </c>
      <c r="AB221" s="117">
        <f t="shared" si="25"/>
        <v>2700</v>
      </c>
      <c r="AC221" s="114" t="s">
        <v>2228</v>
      </c>
      <c r="AD221" s="117">
        <f t="shared" si="26"/>
        <v>0</v>
      </c>
      <c r="AE221" s="114" t="s">
        <v>2227</v>
      </c>
      <c r="AF221" s="117">
        <f t="shared" si="27"/>
        <v>0</v>
      </c>
      <c r="AG221" s="114" t="s">
        <v>2226</v>
      </c>
      <c r="AH221" s="116">
        <v>108</v>
      </c>
      <c r="AI221" s="100"/>
      <c r="AJ221" s="100"/>
      <c r="AK221" s="100"/>
      <c r="AL221" s="100"/>
      <c r="AM221" s="100"/>
      <c r="AN221" s="100"/>
      <c r="AO221" s="100"/>
      <c r="AP221" s="100"/>
      <c r="AQ221" s="100"/>
    </row>
    <row r="222" spans="24:43">
      <c r="X222" s="114" t="s">
        <v>13940</v>
      </c>
      <c r="Y222" s="115">
        <v>3000</v>
      </c>
      <c r="Z222" s="116">
        <f t="shared" si="24"/>
        <v>3000</v>
      </c>
      <c r="AA222" s="114" t="s">
        <v>2229</v>
      </c>
      <c r="AB222" s="117">
        <f t="shared" si="25"/>
        <v>3000</v>
      </c>
      <c r="AC222" s="114" t="s">
        <v>2228</v>
      </c>
      <c r="AD222" s="117">
        <f t="shared" si="26"/>
        <v>0</v>
      </c>
      <c r="AE222" s="114" t="s">
        <v>2227</v>
      </c>
      <c r="AF222" s="117">
        <f t="shared" si="27"/>
        <v>0</v>
      </c>
      <c r="AG222" s="114" t="s">
        <v>2226</v>
      </c>
      <c r="AH222" s="116">
        <v>120</v>
      </c>
      <c r="AI222" s="100"/>
      <c r="AJ222" s="100"/>
      <c r="AK222" s="100"/>
      <c r="AL222" s="100"/>
      <c r="AM222" s="100"/>
      <c r="AN222" s="100"/>
      <c r="AO222" s="100"/>
      <c r="AP222" s="100"/>
      <c r="AQ222" s="100"/>
    </row>
    <row r="223" spans="24:43">
      <c r="X223" s="114" t="s">
        <v>13941</v>
      </c>
      <c r="Y223" s="115">
        <v>5500</v>
      </c>
      <c r="Z223" s="116">
        <f t="shared" si="24"/>
        <v>5500</v>
      </c>
      <c r="AA223" s="114" t="s">
        <v>2229</v>
      </c>
      <c r="AB223" s="117">
        <f t="shared" si="25"/>
        <v>5500</v>
      </c>
      <c r="AC223" s="114" t="s">
        <v>2228</v>
      </c>
      <c r="AD223" s="117">
        <f t="shared" si="26"/>
        <v>0</v>
      </c>
      <c r="AE223" s="114" t="s">
        <v>2227</v>
      </c>
      <c r="AF223" s="117">
        <f t="shared" si="27"/>
        <v>0</v>
      </c>
      <c r="AG223" s="114" t="s">
        <v>2226</v>
      </c>
      <c r="AH223" s="116">
        <v>220</v>
      </c>
      <c r="AI223" s="100"/>
      <c r="AJ223" s="100"/>
      <c r="AK223" s="100"/>
      <c r="AL223" s="100"/>
      <c r="AM223" s="100"/>
      <c r="AN223" s="100"/>
      <c r="AO223" s="100"/>
      <c r="AP223" s="100"/>
      <c r="AQ223" s="100"/>
    </row>
    <row r="224" spans="24:43">
      <c r="X224" s="114" t="s">
        <v>13942</v>
      </c>
      <c r="Y224" s="115">
        <v>78250</v>
      </c>
      <c r="Z224" s="116">
        <f t="shared" si="24"/>
        <v>78250</v>
      </c>
      <c r="AA224" s="114" t="s">
        <v>2229</v>
      </c>
      <c r="AB224" s="117">
        <f t="shared" si="25"/>
        <v>78250</v>
      </c>
      <c r="AC224" s="114" t="s">
        <v>2228</v>
      </c>
      <c r="AD224" s="117">
        <f t="shared" si="26"/>
        <v>0</v>
      </c>
      <c r="AE224" s="114" t="s">
        <v>2227</v>
      </c>
      <c r="AF224" s="117">
        <f t="shared" si="27"/>
        <v>0</v>
      </c>
      <c r="AG224" s="114" t="s">
        <v>2226</v>
      </c>
      <c r="AH224" s="116">
        <v>3130</v>
      </c>
      <c r="AI224" s="100"/>
      <c r="AJ224" s="100"/>
      <c r="AK224" s="100"/>
      <c r="AL224" s="100"/>
      <c r="AM224" s="100"/>
      <c r="AN224" s="100"/>
      <c r="AO224" s="100"/>
      <c r="AP224" s="100"/>
      <c r="AQ224" s="100"/>
    </row>
    <row r="225" spans="24:43">
      <c r="X225" s="114" t="s">
        <v>13943</v>
      </c>
      <c r="Y225" s="115">
        <v>3100</v>
      </c>
      <c r="Z225" s="116">
        <f t="shared" si="24"/>
        <v>3100</v>
      </c>
      <c r="AA225" s="114" t="s">
        <v>2229</v>
      </c>
      <c r="AB225" s="117">
        <f t="shared" si="25"/>
        <v>3100</v>
      </c>
      <c r="AC225" s="114" t="s">
        <v>2228</v>
      </c>
      <c r="AD225" s="117">
        <f t="shared" si="26"/>
        <v>0</v>
      </c>
      <c r="AE225" s="114" t="s">
        <v>2227</v>
      </c>
      <c r="AF225" s="117">
        <f t="shared" si="27"/>
        <v>0</v>
      </c>
      <c r="AG225" s="114" t="s">
        <v>2226</v>
      </c>
      <c r="AH225" s="116">
        <v>124</v>
      </c>
      <c r="AI225" s="100"/>
      <c r="AJ225" s="100"/>
      <c r="AK225" s="100"/>
      <c r="AL225" s="100"/>
      <c r="AM225" s="100"/>
      <c r="AN225" s="100"/>
      <c r="AO225" s="100"/>
      <c r="AP225" s="100"/>
      <c r="AQ225" s="100"/>
    </row>
    <row r="226" spans="24:43">
      <c r="X226" s="114" t="s">
        <v>13944</v>
      </c>
      <c r="Y226" s="115">
        <v>5500</v>
      </c>
      <c r="Z226" s="116">
        <f t="shared" si="24"/>
        <v>5500</v>
      </c>
      <c r="AA226" s="114" t="s">
        <v>2229</v>
      </c>
      <c r="AB226" s="117">
        <f t="shared" si="25"/>
        <v>5500</v>
      </c>
      <c r="AC226" s="114" t="s">
        <v>2228</v>
      </c>
      <c r="AD226" s="117">
        <f t="shared" si="26"/>
        <v>0</v>
      </c>
      <c r="AE226" s="114" t="s">
        <v>2227</v>
      </c>
      <c r="AF226" s="117">
        <f t="shared" si="27"/>
        <v>0</v>
      </c>
      <c r="AG226" s="114" t="s">
        <v>2226</v>
      </c>
      <c r="AH226" s="116">
        <v>220</v>
      </c>
      <c r="AI226" s="100"/>
      <c r="AJ226" s="100"/>
      <c r="AK226" s="100"/>
      <c r="AL226" s="100"/>
      <c r="AM226" s="100"/>
      <c r="AN226" s="100"/>
      <c r="AO226" s="100"/>
      <c r="AP226" s="100"/>
      <c r="AQ226" s="100"/>
    </row>
    <row r="227" spans="24:43">
      <c r="X227" s="114" t="s">
        <v>13945</v>
      </c>
      <c r="Y227" s="115">
        <v>2690</v>
      </c>
      <c r="Z227" s="116">
        <f t="shared" si="24"/>
        <v>2690</v>
      </c>
      <c r="AA227" s="114" t="s">
        <v>2229</v>
      </c>
      <c r="AB227" s="117">
        <f t="shared" si="25"/>
        <v>2690</v>
      </c>
      <c r="AC227" s="114" t="s">
        <v>2228</v>
      </c>
      <c r="AD227" s="117">
        <f t="shared" si="26"/>
        <v>0</v>
      </c>
      <c r="AE227" s="114" t="s">
        <v>2227</v>
      </c>
      <c r="AF227" s="117">
        <f t="shared" si="27"/>
        <v>0</v>
      </c>
      <c r="AG227" s="114" t="s">
        <v>2226</v>
      </c>
      <c r="AH227" s="116">
        <v>107.60000000000001</v>
      </c>
      <c r="AI227" s="100"/>
      <c r="AJ227" s="100"/>
      <c r="AK227" s="100"/>
      <c r="AL227" s="100"/>
      <c r="AM227" s="100"/>
      <c r="AN227" s="100"/>
      <c r="AO227" s="100"/>
      <c r="AP227" s="100"/>
      <c r="AQ227" s="100"/>
    </row>
    <row r="228" spans="24:43">
      <c r="X228" s="114" t="s">
        <v>13946</v>
      </c>
      <c r="Y228" s="115">
        <v>412.625</v>
      </c>
      <c r="Z228" s="116">
        <f t="shared" si="24"/>
        <v>412.625</v>
      </c>
      <c r="AA228" s="114" t="s">
        <v>2229</v>
      </c>
      <c r="AB228" s="117">
        <f t="shared" si="25"/>
        <v>412</v>
      </c>
      <c r="AC228" s="114" t="s">
        <v>2228</v>
      </c>
      <c r="AD228" s="117">
        <f t="shared" si="26"/>
        <v>6</v>
      </c>
      <c r="AE228" s="114" t="s">
        <v>2227</v>
      </c>
      <c r="AF228" s="117">
        <f t="shared" si="27"/>
        <v>2.5</v>
      </c>
      <c r="AG228" s="114" t="s">
        <v>2226</v>
      </c>
      <c r="AH228" s="116">
        <v>16.5</v>
      </c>
      <c r="AI228" s="100"/>
      <c r="AJ228" s="100"/>
      <c r="AK228" s="100"/>
      <c r="AL228" s="100"/>
      <c r="AM228" s="100"/>
      <c r="AN228" s="100"/>
      <c r="AO228" s="100"/>
      <c r="AP228" s="100"/>
      <c r="AQ228" s="100"/>
    </row>
    <row r="229" spans="24:43">
      <c r="X229" s="114" t="s">
        <v>12931</v>
      </c>
      <c r="Y229" s="115">
        <v>5000</v>
      </c>
      <c r="Z229" s="116">
        <f t="shared" si="24"/>
        <v>5000</v>
      </c>
      <c r="AA229" s="114" t="s">
        <v>2229</v>
      </c>
      <c r="AB229" s="117">
        <f t="shared" si="25"/>
        <v>5000</v>
      </c>
      <c r="AC229" s="114" t="s">
        <v>2228</v>
      </c>
      <c r="AD229" s="117">
        <f t="shared" si="26"/>
        <v>0</v>
      </c>
      <c r="AE229" s="114" t="s">
        <v>2227</v>
      </c>
      <c r="AF229" s="117">
        <f t="shared" si="27"/>
        <v>0</v>
      </c>
      <c r="AG229" s="114" t="s">
        <v>2226</v>
      </c>
      <c r="AH229" s="116">
        <v>200</v>
      </c>
      <c r="AI229" s="100"/>
      <c r="AJ229" s="100"/>
      <c r="AK229" s="100"/>
      <c r="AL229" s="100"/>
      <c r="AM229" s="100"/>
      <c r="AN229" s="100"/>
      <c r="AO229" s="100"/>
      <c r="AP229" s="100"/>
      <c r="AQ229" s="100"/>
    </row>
    <row r="230" spans="24:43">
      <c r="X230" s="114" t="s">
        <v>13947</v>
      </c>
      <c r="Y230" s="115">
        <v>5812.625</v>
      </c>
      <c r="Z230" s="116">
        <f t="shared" si="24"/>
        <v>5812.625</v>
      </c>
      <c r="AA230" s="114" t="s">
        <v>2229</v>
      </c>
      <c r="AB230" s="117">
        <f t="shared" si="25"/>
        <v>5812</v>
      </c>
      <c r="AC230" s="114" t="s">
        <v>2228</v>
      </c>
      <c r="AD230" s="117">
        <f t="shared" si="26"/>
        <v>6</v>
      </c>
      <c r="AE230" s="114" t="s">
        <v>2227</v>
      </c>
      <c r="AF230" s="117">
        <f t="shared" si="27"/>
        <v>2.5</v>
      </c>
      <c r="AG230" s="114" t="s">
        <v>2226</v>
      </c>
      <c r="AH230" s="116">
        <v>232.5</v>
      </c>
      <c r="AI230" s="100"/>
      <c r="AJ230" s="100"/>
      <c r="AK230" s="100"/>
      <c r="AL230" s="100"/>
      <c r="AM230" s="100"/>
      <c r="AN230" s="100"/>
      <c r="AO230" s="100"/>
      <c r="AP230" s="100"/>
      <c r="AQ230" s="100"/>
    </row>
    <row r="231" spans="24:43">
      <c r="X231" s="114" t="s">
        <v>9302</v>
      </c>
      <c r="Y231" s="115">
        <v>7375</v>
      </c>
      <c r="Z231" s="116">
        <f t="shared" si="24"/>
        <v>7375</v>
      </c>
      <c r="AA231" s="114" t="s">
        <v>2229</v>
      </c>
      <c r="AB231" s="117">
        <f t="shared" si="25"/>
        <v>7375</v>
      </c>
      <c r="AC231" s="114" t="s">
        <v>2228</v>
      </c>
      <c r="AD231" s="117">
        <f t="shared" si="26"/>
        <v>0</v>
      </c>
      <c r="AE231" s="114" t="s">
        <v>2227</v>
      </c>
      <c r="AF231" s="117">
        <f t="shared" si="27"/>
        <v>0</v>
      </c>
      <c r="AG231" s="114" t="s">
        <v>2226</v>
      </c>
      <c r="AH231" s="116">
        <v>295</v>
      </c>
      <c r="AI231" s="100"/>
      <c r="AJ231" s="100"/>
      <c r="AK231" s="100"/>
      <c r="AL231" s="100"/>
      <c r="AM231" s="100"/>
      <c r="AN231" s="100"/>
      <c r="AO231" s="100"/>
      <c r="AP231" s="100"/>
      <c r="AQ231" s="100"/>
    </row>
    <row r="232" spans="24:43">
      <c r="X232" s="114" t="s">
        <v>13948</v>
      </c>
      <c r="Y232" s="115">
        <v>6600</v>
      </c>
      <c r="Z232" s="116">
        <f t="shared" si="24"/>
        <v>6600</v>
      </c>
      <c r="AA232" s="114" t="s">
        <v>2229</v>
      </c>
      <c r="AB232" s="117">
        <f t="shared" si="25"/>
        <v>6600</v>
      </c>
      <c r="AC232" s="114" t="s">
        <v>2228</v>
      </c>
      <c r="AD232" s="117">
        <f t="shared" si="26"/>
        <v>0</v>
      </c>
      <c r="AE232" s="114" t="s">
        <v>2227</v>
      </c>
      <c r="AF232" s="117">
        <f t="shared" si="27"/>
        <v>0</v>
      </c>
      <c r="AG232" s="114" t="s">
        <v>2226</v>
      </c>
      <c r="AH232" s="116">
        <v>264</v>
      </c>
      <c r="AI232" s="100"/>
      <c r="AJ232" s="100"/>
      <c r="AK232" s="100"/>
      <c r="AL232" s="100"/>
      <c r="AM232" s="100"/>
      <c r="AN232" s="100"/>
      <c r="AO232" s="100"/>
      <c r="AP232" s="100"/>
      <c r="AQ232" s="100"/>
    </row>
    <row r="233" spans="24:43">
      <c r="X233" s="114" t="s">
        <v>13949</v>
      </c>
      <c r="Y233" s="115">
        <v>6875.25</v>
      </c>
      <c r="Z233" s="116">
        <f t="shared" si="24"/>
        <v>6875.25</v>
      </c>
      <c r="AA233" s="114" t="s">
        <v>2229</v>
      </c>
      <c r="AB233" s="117">
        <f t="shared" si="25"/>
        <v>6875</v>
      </c>
      <c r="AC233" s="114" t="s">
        <v>2228</v>
      </c>
      <c r="AD233" s="117">
        <f t="shared" si="26"/>
        <v>2</v>
      </c>
      <c r="AE233" s="114" t="s">
        <v>2227</v>
      </c>
      <c r="AF233" s="117">
        <f t="shared" si="27"/>
        <v>5</v>
      </c>
      <c r="AG233" s="114" t="s">
        <v>2226</v>
      </c>
      <c r="AH233" s="116">
        <v>275.01</v>
      </c>
      <c r="AI233" s="100"/>
      <c r="AJ233" s="100"/>
      <c r="AK233" s="100"/>
      <c r="AL233" s="100"/>
      <c r="AM233" s="100"/>
      <c r="AN233" s="100"/>
      <c r="AO233" s="100"/>
      <c r="AP233" s="100"/>
      <c r="AQ233" s="100"/>
    </row>
    <row r="234" spans="24:43">
      <c r="X234" s="114" t="s">
        <v>13950</v>
      </c>
      <c r="Y234" s="115">
        <v>6875.25</v>
      </c>
      <c r="Z234" s="116">
        <f t="shared" si="24"/>
        <v>6875.25</v>
      </c>
      <c r="AA234" s="114" t="s">
        <v>2229</v>
      </c>
      <c r="AB234" s="117">
        <f t="shared" si="25"/>
        <v>6875</v>
      </c>
      <c r="AC234" s="114" t="s">
        <v>2228</v>
      </c>
      <c r="AD234" s="117">
        <f t="shared" si="26"/>
        <v>2</v>
      </c>
      <c r="AE234" s="114" t="s">
        <v>2227</v>
      </c>
      <c r="AF234" s="117">
        <f t="shared" si="27"/>
        <v>5</v>
      </c>
      <c r="AG234" s="114" t="s">
        <v>2226</v>
      </c>
      <c r="AH234" s="116">
        <v>275.01</v>
      </c>
      <c r="AI234" s="100"/>
      <c r="AJ234" s="100"/>
      <c r="AK234" s="100"/>
      <c r="AL234" s="100"/>
      <c r="AM234" s="100"/>
      <c r="AN234" s="100"/>
      <c r="AO234" s="100"/>
      <c r="AP234" s="100"/>
      <c r="AQ234" s="100"/>
    </row>
    <row r="235" spans="24:43">
      <c r="X235" s="114" t="s">
        <v>13951</v>
      </c>
      <c r="Y235" s="115">
        <v>6875.25</v>
      </c>
      <c r="Z235" s="116">
        <f t="shared" si="24"/>
        <v>6875.25</v>
      </c>
      <c r="AA235" s="114" t="s">
        <v>2229</v>
      </c>
      <c r="AB235" s="117">
        <f t="shared" si="25"/>
        <v>6875</v>
      </c>
      <c r="AC235" s="114" t="s">
        <v>2228</v>
      </c>
      <c r="AD235" s="117">
        <f t="shared" si="26"/>
        <v>2</v>
      </c>
      <c r="AE235" s="114" t="s">
        <v>2227</v>
      </c>
      <c r="AF235" s="117">
        <f t="shared" si="27"/>
        <v>5</v>
      </c>
      <c r="AG235" s="114" t="s">
        <v>2226</v>
      </c>
      <c r="AH235" s="116">
        <v>275.01</v>
      </c>
      <c r="AI235" s="100"/>
      <c r="AJ235" s="100"/>
      <c r="AK235" s="100"/>
      <c r="AL235" s="100"/>
      <c r="AM235" s="100"/>
      <c r="AN235" s="100"/>
      <c r="AO235" s="100"/>
      <c r="AP235" s="100"/>
      <c r="AQ235" s="100"/>
    </row>
    <row r="236" spans="24:43">
      <c r="X236" s="114" t="s">
        <v>13952</v>
      </c>
      <c r="Y236" s="115">
        <v>4437.625</v>
      </c>
      <c r="Z236" s="116">
        <f t="shared" si="24"/>
        <v>4437.625</v>
      </c>
      <c r="AA236" s="114" t="s">
        <v>2229</v>
      </c>
      <c r="AB236" s="117">
        <f t="shared" si="25"/>
        <v>4437</v>
      </c>
      <c r="AC236" s="114" t="s">
        <v>2228</v>
      </c>
      <c r="AD236" s="117">
        <f t="shared" si="26"/>
        <v>6</v>
      </c>
      <c r="AE236" s="114" t="s">
        <v>2227</v>
      </c>
      <c r="AF236" s="117">
        <f t="shared" si="27"/>
        <v>2.5</v>
      </c>
      <c r="AG236" s="114" t="s">
        <v>2226</v>
      </c>
      <c r="AH236" s="116">
        <v>177.5</v>
      </c>
      <c r="AI236" s="100"/>
      <c r="AJ236" s="100"/>
      <c r="AK236" s="100"/>
      <c r="AL236" s="100"/>
      <c r="AM236" s="100"/>
      <c r="AN236" s="100"/>
      <c r="AO236" s="100"/>
      <c r="AP236" s="100"/>
      <c r="AQ236" s="100"/>
    </row>
    <row r="237" spans="24:43">
      <c r="X237" s="114" t="s">
        <v>13953</v>
      </c>
      <c r="Y237" s="115">
        <v>4225</v>
      </c>
      <c r="Z237" s="116">
        <f t="shared" si="24"/>
        <v>4225</v>
      </c>
      <c r="AA237" s="114" t="s">
        <v>2229</v>
      </c>
      <c r="AB237" s="117">
        <f t="shared" si="25"/>
        <v>4225</v>
      </c>
      <c r="AC237" s="114" t="s">
        <v>2228</v>
      </c>
      <c r="AD237" s="117">
        <f t="shared" si="26"/>
        <v>0</v>
      </c>
      <c r="AE237" s="114" t="s">
        <v>2227</v>
      </c>
      <c r="AF237" s="117">
        <f t="shared" si="27"/>
        <v>0</v>
      </c>
      <c r="AG237" s="114" t="s">
        <v>2226</v>
      </c>
      <c r="AH237" s="116">
        <v>169</v>
      </c>
      <c r="AI237" s="100"/>
      <c r="AJ237" s="100"/>
      <c r="AK237" s="100"/>
      <c r="AL237" s="100"/>
      <c r="AM237" s="100"/>
      <c r="AN237" s="100"/>
      <c r="AO237" s="100"/>
      <c r="AP237" s="100"/>
      <c r="AQ237" s="100"/>
    </row>
    <row r="238" spans="24:43">
      <c r="X238" s="114" t="s">
        <v>13954</v>
      </c>
      <c r="Y238" s="115">
        <v>4837.625</v>
      </c>
      <c r="Z238" s="116">
        <f t="shared" si="24"/>
        <v>4837.625</v>
      </c>
      <c r="AA238" s="114" t="s">
        <v>2229</v>
      </c>
      <c r="AB238" s="117">
        <f t="shared" si="25"/>
        <v>4837</v>
      </c>
      <c r="AC238" s="114" t="s">
        <v>2228</v>
      </c>
      <c r="AD238" s="117">
        <f t="shared" si="26"/>
        <v>6</v>
      </c>
      <c r="AE238" s="114" t="s">
        <v>2227</v>
      </c>
      <c r="AF238" s="117">
        <f t="shared" si="27"/>
        <v>2.5</v>
      </c>
      <c r="AG238" s="114" t="s">
        <v>2226</v>
      </c>
      <c r="AH238" s="116">
        <v>193.5</v>
      </c>
      <c r="AI238" s="100"/>
      <c r="AJ238" s="100"/>
      <c r="AK238" s="100"/>
      <c r="AL238" s="100"/>
      <c r="AM238" s="100"/>
      <c r="AN238" s="100"/>
      <c r="AO238" s="100"/>
      <c r="AP238" s="100"/>
      <c r="AQ238" s="100"/>
    </row>
    <row r="239" spans="24:43">
      <c r="X239" s="114" t="s">
        <v>13955</v>
      </c>
      <c r="Y239" s="115">
        <v>2625</v>
      </c>
      <c r="Z239" s="116">
        <f t="shared" si="24"/>
        <v>2625</v>
      </c>
      <c r="AA239" s="114" t="s">
        <v>2229</v>
      </c>
      <c r="AB239" s="117">
        <f t="shared" si="25"/>
        <v>2625</v>
      </c>
      <c r="AC239" s="114" t="s">
        <v>2228</v>
      </c>
      <c r="AD239" s="117">
        <f t="shared" si="26"/>
        <v>0</v>
      </c>
      <c r="AE239" s="114" t="s">
        <v>2227</v>
      </c>
      <c r="AF239" s="117">
        <f t="shared" si="27"/>
        <v>0</v>
      </c>
      <c r="AG239" s="114" t="s">
        <v>2226</v>
      </c>
      <c r="AH239" s="116">
        <v>105</v>
      </c>
      <c r="AI239" s="100"/>
      <c r="AJ239" s="100"/>
      <c r="AK239" s="100"/>
      <c r="AL239" s="100"/>
      <c r="AM239" s="100"/>
      <c r="AN239" s="100"/>
      <c r="AO239" s="100"/>
      <c r="AP239" s="100"/>
      <c r="AQ239" s="100"/>
    </row>
    <row r="240" spans="24:43">
      <c r="X240" s="114" t="s">
        <v>13956</v>
      </c>
      <c r="Y240" s="115">
        <v>18500</v>
      </c>
      <c r="Z240" s="116">
        <f t="shared" si="24"/>
        <v>18500</v>
      </c>
      <c r="AA240" s="114" t="s">
        <v>2229</v>
      </c>
      <c r="AB240" s="117">
        <f t="shared" si="25"/>
        <v>18500</v>
      </c>
      <c r="AC240" s="114" t="s">
        <v>2228</v>
      </c>
      <c r="AD240" s="117">
        <f t="shared" si="26"/>
        <v>0</v>
      </c>
      <c r="AE240" s="114" t="s">
        <v>2227</v>
      </c>
      <c r="AF240" s="117">
        <f t="shared" si="27"/>
        <v>0</v>
      </c>
      <c r="AG240" s="114" t="s">
        <v>2226</v>
      </c>
      <c r="AH240" s="116">
        <v>740</v>
      </c>
      <c r="AI240" s="100"/>
      <c r="AJ240" s="100"/>
      <c r="AK240" s="100"/>
      <c r="AL240" s="100"/>
      <c r="AM240" s="100"/>
      <c r="AN240" s="100"/>
      <c r="AO240" s="100"/>
      <c r="AP240" s="100"/>
      <c r="AQ240" s="100"/>
    </row>
    <row r="241" spans="24:43">
      <c r="X241" s="114" t="s">
        <v>13957</v>
      </c>
      <c r="Y241" s="115">
        <v>4312.625</v>
      </c>
      <c r="Z241" s="116">
        <f t="shared" si="24"/>
        <v>4312.625</v>
      </c>
      <c r="AA241" s="114" t="s">
        <v>2229</v>
      </c>
      <c r="AB241" s="117">
        <f t="shared" si="25"/>
        <v>4312</v>
      </c>
      <c r="AC241" s="114" t="s">
        <v>2228</v>
      </c>
      <c r="AD241" s="117">
        <f t="shared" si="26"/>
        <v>6</v>
      </c>
      <c r="AE241" s="114" t="s">
        <v>2227</v>
      </c>
      <c r="AF241" s="117">
        <f t="shared" si="27"/>
        <v>2.5</v>
      </c>
      <c r="AG241" s="114" t="s">
        <v>2226</v>
      </c>
      <c r="AH241" s="116">
        <v>172.5</v>
      </c>
      <c r="AI241" s="100"/>
      <c r="AJ241" s="100"/>
      <c r="AK241" s="100"/>
      <c r="AL241" s="100"/>
      <c r="AM241" s="100"/>
      <c r="AN241" s="100"/>
      <c r="AO241" s="100"/>
      <c r="AP241" s="100"/>
      <c r="AQ241" s="100"/>
    </row>
    <row r="242" spans="24:43">
      <c r="X242" s="114" t="s">
        <v>13958</v>
      </c>
      <c r="Y242" s="115">
        <v>6875.25</v>
      </c>
      <c r="Z242" s="116">
        <f t="shared" si="24"/>
        <v>6875.25</v>
      </c>
      <c r="AA242" s="114" t="s">
        <v>2229</v>
      </c>
      <c r="AB242" s="117">
        <f t="shared" si="25"/>
        <v>6875</v>
      </c>
      <c r="AC242" s="114" t="s">
        <v>2228</v>
      </c>
      <c r="AD242" s="117">
        <f t="shared" si="26"/>
        <v>2</v>
      </c>
      <c r="AE242" s="114" t="s">
        <v>2227</v>
      </c>
      <c r="AF242" s="117">
        <f t="shared" si="27"/>
        <v>5</v>
      </c>
      <c r="AG242" s="114" t="s">
        <v>2226</v>
      </c>
      <c r="AH242" s="116">
        <v>275.01</v>
      </c>
      <c r="AI242" s="100"/>
      <c r="AJ242" s="100"/>
      <c r="AK242" s="100"/>
      <c r="AL242" s="100"/>
      <c r="AM242" s="100"/>
      <c r="AN242" s="100"/>
      <c r="AO242" s="100"/>
      <c r="AP242" s="100"/>
      <c r="AQ242" s="100"/>
    </row>
    <row r="243" spans="24:43">
      <c r="X243" s="114" t="s">
        <v>13959</v>
      </c>
      <c r="Y243" s="115">
        <v>5800</v>
      </c>
      <c r="Z243" s="116">
        <f t="shared" si="24"/>
        <v>5800</v>
      </c>
      <c r="AA243" s="114" t="s">
        <v>2229</v>
      </c>
      <c r="AB243" s="117">
        <f t="shared" si="25"/>
        <v>5800</v>
      </c>
      <c r="AC243" s="114" t="s">
        <v>2228</v>
      </c>
      <c r="AD243" s="117">
        <f t="shared" si="26"/>
        <v>0</v>
      </c>
      <c r="AE243" s="114" t="s">
        <v>2227</v>
      </c>
      <c r="AF243" s="117">
        <f t="shared" si="27"/>
        <v>0</v>
      </c>
      <c r="AG243" s="114" t="s">
        <v>2226</v>
      </c>
      <c r="AH243" s="116">
        <v>232</v>
      </c>
      <c r="AI243" s="100"/>
      <c r="AJ243" s="100"/>
      <c r="AK243" s="100"/>
      <c r="AL243" s="100"/>
      <c r="AM243" s="100"/>
      <c r="AN243" s="100"/>
      <c r="AO243" s="100"/>
      <c r="AP243" s="100"/>
      <c r="AQ243" s="100"/>
    </row>
    <row r="244" spans="24:43">
      <c r="X244" s="114" t="s">
        <v>13960</v>
      </c>
      <c r="Y244" s="115">
        <v>55</v>
      </c>
      <c r="Z244" s="116">
        <f t="shared" si="24"/>
        <v>55</v>
      </c>
      <c r="AA244" s="114" t="s">
        <v>2229</v>
      </c>
      <c r="AB244" s="117">
        <f t="shared" si="25"/>
        <v>55</v>
      </c>
      <c r="AC244" s="114" t="s">
        <v>2228</v>
      </c>
      <c r="AD244" s="117">
        <f t="shared" si="26"/>
        <v>0</v>
      </c>
      <c r="AE244" s="114" t="s">
        <v>2227</v>
      </c>
      <c r="AF244" s="117">
        <f t="shared" si="27"/>
        <v>0</v>
      </c>
      <c r="AG244" s="114" t="s">
        <v>2226</v>
      </c>
      <c r="AH244" s="116">
        <v>2.2000000000000002</v>
      </c>
      <c r="AI244" s="100"/>
      <c r="AJ244" s="100"/>
      <c r="AK244" s="100"/>
      <c r="AL244" s="100"/>
      <c r="AM244" s="100"/>
      <c r="AN244" s="100"/>
      <c r="AO244" s="100"/>
      <c r="AP244" s="100"/>
      <c r="AQ244" s="100"/>
    </row>
    <row r="245" spans="24:43">
      <c r="X245" s="114" t="s">
        <v>13961</v>
      </c>
      <c r="Y245" s="115">
        <v>237.625</v>
      </c>
      <c r="Z245" s="116">
        <f t="shared" si="24"/>
        <v>237.625</v>
      </c>
      <c r="AA245" s="114" t="s">
        <v>2229</v>
      </c>
      <c r="AB245" s="117">
        <f t="shared" si="25"/>
        <v>237</v>
      </c>
      <c r="AC245" s="114" t="s">
        <v>2228</v>
      </c>
      <c r="AD245" s="117">
        <f t="shared" si="26"/>
        <v>6</v>
      </c>
      <c r="AE245" s="114" t="s">
        <v>2227</v>
      </c>
      <c r="AF245" s="117">
        <f t="shared" si="27"/>
        <v>2.5</v>
      </c>
      <c r="AG245" s="114" t="s">
        <v>2226</v>
      </c>
      <c r="AH245" s="116">
        <v>9.5</v>
      </c>
      <c r="AI245" s="100"/>
      <c r="AJ245" s="100"/>
      <c r="AK245" s="100"/>
      <c r="AL245" s="100"/>
      <c r="AM245" s="100"/>
      <c r="AN245" s="100"/>
      <c r="AO245" s="100"/>
      <c r="AP245" s="100"/>
      <c r="AQ245" s="100"/>
    </row>
    <row r="246" spans="24:43">
      <c r="X246" s="114" t="s">
        <v>9135</v>
      </c>
      <c r="Y246" s="115">
        <v>3400</v>
      </c>
      <c r="Z246" s="116">
        <f t="shared" si="24"/>
        <v>3400</v>
      </c>
      <c r="AA246" s="114" t="s">
        <v>2229</v>
      </c>
      <c r="AB246" s="117">
        <f t="shared" si="25"/>
        <v>3400</v>
      </c>
      <c r="AC246" s="114" t="s">
        <v>2228</v>
      </c>
      <c r="AD246" s="117">
        <f t="shared" si="26"/>
        <v>0</v>
      </c>
      <c r="AE246" s="114" t="s">
        <v>2227</v>
      </c>
      <c r="AF246" s="117">
        <f t="shared" si="27"/>
        <v>0</v>
      </c>
      <c r="AG246" s="114" t="s">
        <v>2226</v>
      </c>
      <c r="AH246" s="116">
        <v>136</v>
      </c>
      <c r="AI246" s="100"/>
      <c r="AJ246" s="100"/>
      <c r="AK246" s="100"/>
      <c r="AL246" s="100"/>
      <c r="AM246" s="100"/>
      <c r="AN246" s="100"/>
      <c r="AO246" s="100"/>
      <c r="AP246" s="100"/>
      <c r="AQ246" s="100"/>
    </row>
    <row r="247" spans="24:43">
      <c r="X247" s="114" t="s">
        <v>13962</v>
      </c>
      <c r="Y247" s="115">
        <v>1662.5</v>
      </c>
      <c r="Z247" s="116">
        <f t="shared" si="24"/>
        <v>1662.5</v>
      </c>
      <c r="AA247" s="114" t="s">
        <v>2229</v>
      </c>
      <c r="AB247" s="117">
        <f t="shared" si="25"/>
        <v>1662</v>
      </c>
      <c r="AC247" s="114" t="s">
        <v>2228</v>
      </c>
      <c r="AD247" s="117">
        <f t="shared" si="26"/>
        <v>5</v>
      </c>
      <c r="AE247" s="114" t="s">
        <v>2227</v>
      </c>
      <c r="AF247" s="117">
        <f t="shared" si="27"/>
        <v>0</v>
      </c>
      <c r="AG247" s="114" t="s">
        <v>2226</v>
      </c>
      <c r="AH247" s="116">
        <v>66.5</v>
      </c>
      <c r="AI247" s="100"/>
      <c r="AJ247" s="100"/>
      <c r="AK247" s="100"/>
      <c r="AL247" s="100"/>
      <c r="AM247" s="100"/>
      <c r="AN247" s="100"/>
      <c r="AO247" s="100"/>
      <c r="AP247" s="100"/>
      <c r="AQ247" s="100"/>
    </row>
    <row r="248" spans="24:43">
      <c r="X248" s="114" t="s">
        <v>13963</v>
      </c>
      <c r="Y248" s="115">
        <v>1125</v>
      </c>
      <c r="Z248" s="116">
        <f t="shared" si="24"/>
        <v>1125</v>
      </c>
      <c r="AA248" s="114" t="s">
        <v>2229</v>
      </c>
      <c r="AB248" s="117">
        <f t="shared" si="25"/>
        <v>1125</v>
      </c>
      <c r="AC248" s="114" t="s">
        <v>2228</v>
      </c>
      <c r="AD248" s="117">
        <f t="shared" si="26"/>
        <v>0</v>
      </c>
      <c r="AE248" s="114" t="s">
        <v>2227</v>
      </c>
      <c r="AF248" s="117">
        <f t="shared" si="27"/>
        <v>0</v>
      </c>
      <c r="AG248" s="114" t="s">
        <v>2226</v>
      </c>
      <c r="AH248" s="116">
        <v>45</v>
      </c>
      <c r="AI248" s="100"/>
      <c r="AJ248" s="100"/>
      <c r="AK248" s="100"/>
      <c r="AL248" s="100"/>
      <c r="AM248" s="100"/>
      <c r="AN248" s="100"/>
      <c r="AO248" s="100"/>
      <c r="AP248" s="100"/>
      <c r="AQ248" s="100"/>
    </row>
    <row r="249" spans="24:43">
      <c r="X249" s="114" t="s">
        <v>13964</v>
      </c>
      <c r="Y249" s="115">
        <v>2650</v>
      </c>
      <c r="Z249" s="116">
        <f t="shared" si="24"/>
        <v>2650</v>
      </c>
      <c r="AA249" s="114" t="s">
        <v>2229</v>
      </c>
      <c r="AB249" s="117">
        <f t="shared" si="25"/>
        <v>2650</v>
      </c>
      <c r="AC249" s="114" t="s">
        <v>2228</v>
      </c>
      <c r="AD249" s="117">
        <f t="shared" si="26"/>
        <v>0</v>
      </c>
      <c r="AE249" s="114" t="s">
        <v>2227</v>
      </c>
      <c r="AF249" s="117">
        <f t="shared" si="27"/>
        <v>0</v>
      </c>
      <c r="AG249" s="114" t="s">
        <v>2226</v>
      </c>
      <c r="AH249" s="116">
        <v>106</v>
      </c>
      <c r="AI249" s="100"/>
      <c r="AJ249" s="100"/>
      <c r="AK249" s="100"/>
      <c r="AL249" s="100"/>
      <c r="AM249" s="100"/>
      <c r="AN249" s="100"/>
      <c r="AO249" s="100"/>
      <c r="AP249" s="100"/>
      <c r="AQ249" s="100"/>
    </row>
    <row r="250" spans="24:43">
      <c r="X250" s="114" t="s">
        <v>13965</v>
      </c>
      <c r="Y250" s="115">
        <v>900</v>
      </c>
      <c r="Z250" s="116">
        <f t="shared" si="24"/>
        <v>900</v>
      </c>
      <c r="AA250" s="114" t="s">
        <v>2229</v>
      </c>
      <c r="AB250" s="117">
        <f t="shared" si="25"/>
        <v>900</v>
      </c>
      <c r="AC250" s="114" t="s">
        <v>2228</v>
      </c>
      <c r="AD250" s="117">
        <f t="shared" si="26"/>
        <v>0</v>
      </c>
      <c r="AE250" s="114" t="s">
        <v>2227</v>
      </c>
      <c r="AF250" s="117">
        <f t="shared" si="27"/>
        <v>0</v>
      </c>
      <c r="AG250" s="114" t="s">
        <v>2226</v>
      </c>
      <c r="AH250" s="116">
        <v>36</v>
      </c>
      <c r="AI250" s="100"/>
      <c r="AJ250" s="100"/>
      <c r="AK250" s="100"/>
      <c r="AL250" s="100"/>
      <c r="AM250" s="100"/>
      <c r="AN250" s="100"/>
      <c r="AO250" s="100"/>
      <c r="AP250" s="100"/>
      <c r="AQ250" s="100"/>
    </row>
    <row r="251" spans="24:43">
      <c r="X251" s="114" t="s">
        <v>13966</v>
      </c>
      <c r="Y251" s="115">
        <v>337.625</v>
      </c>
      <c r="Z251" s="116">
        <f t="shared" si="24"/>
        <v>337.625</v>
      </c>
      <c r="AA251" s="114" t="s">
        <v>2229</v>
      </c>
      <c r="AB251" s="117">
        <f t="shared" si="25"/>
        <v>337</v>
      </c>
      <c r="AC251" s="114" t="s">
        <v>2228</v>
      </c>
      <c r="AD251" s="117">
        <f t="shared" si="26"/>
        <v>6</v>
      </c>
      <c r="AE251" s="114" t="s">
        <v>2227</v>
      </c>
      <c r="AF251" s="117">
        <f t="shared" si="27"/>
        <v>2.5</v>
      </c>
      <c r="AG251" s="114" t="s">
        <v>2226</v>
      </c>
      <c r="AH251" s="116">
        <v>13.5</v>
      </c>
      <c r="AI251" s="100"/>
      <c r="AJ251" s="100"/>
      <c r="AK251" s="100"/>
      <c r="AL251" s="100"/>
      <c r="AM251" s="100"/>
      <c r="AN251" s="100"/>
      <c r="AO251" s="100"/>
      <c r="AP251" s="100"/>
      <c r="AQ251" s="100"/>
    </row>
    <row r="252" spans="24:43">
      <c r="X252" s="114" t="s">
        <v>13967</v>
      </c>
      <c r="Y252" s="115">
        <v>112500.5</v>
      </c>
      <c r="Z252" s="116">
        <f t="shared" si="24"/>
        <v>112500.5</v>
      </c>
      <c r="AA252" s="114" t="s">
        <v>2229</v>
      </c>
      <c r="AB252" s="117">
        <f t="shared" si="25"/>
        <v>112500</v>
      </c>
      <c r="AC252" s="114" t="s">
        <v>2228</v>
      </c>
      <c r="AD252" s="117">
        <f t="shared" si="26"/>
        <v>5</v>
      </c>
      <c r="AE252" s="114" t="s">
        <v>2227</v>
      </c>
      <c r="AF252" s="117">
        <f t="shared" si="27"/>
        <v>0</v>
      </c>
      <c r="AG252" s="114" t="s">
        <v>2226</v>
      </c>
      <c r="AH252" s="116">
        <v>4500.0200000000004</v>
      </c>
      <c r="AI252" s="100"/>
      <c r="AJ252" s="100"/>
      <c r="AK252" s="100"/>
      <c r="AL252" s="100"/>
      <c r="AM252" s="100"/>
      <c r="AN252" s="100"/>
      <c r="AO252" s="100"/>
      <c r="AP252" s="100"/>
      <c r="AQ252" s="100"/>
    </row>
    <row r="253" spans="24:43">
      <c r="X253" s="114" t="s">
        <v>13968</v>
      </c>
      <c r="Y253" s="115">
        <v>112500.5</v>
      </c>
      <c r="Z253" s="116">
        <f t="shared" si="24"/>
        <v>112500.5</v>
      </c>
      <c r="AA253" s="114" t="s">
        <v>2229</v>
      </c>
      <c r="AB253" s="117">
        <f t="shared" si="25"/>
        <v>112500</v>
      </c>
      <c r="AC253" s="114" t="s">
        <v>2228</v>
      </c>
      <c r="AD253" s="117">
        <f t="shared" si="26"/>
        <v>5</v>
      </c>
      <c r="AE253" s="114" t="s">
        <v>2227</v>
      </c>
      <c r="AF253" s="117">
        <f t="shared" si="27"/>
        <v>0</v>
      </c>
      <c r="AG253" s="114" t="s">
        <v>2226</v>
      </c>
      <c r="AH253" s="116">
        <v>4500.0200000000004</v>
      </c>
      <c r="AI253" s="100"/>
      <c r="AJ253" s="100"/>
      <c r="AK253" s="100"/>
      <c r="AL253" s="100"/>
      <c r="AM253" s="100"/>
      <c r="AN253" s="100"/>
      <c r="AO253" s="100"/>
      <c r="AP253" s="100"/>
      <c r="AQ253" s="100"/>
    </row>
    <row r="254" spans="24:43">
      <c r="X254" s="114" t="s">
        <v>13969</v>
      </c>
      <c r="Y254" s="115">
        <v>112500.5</v>
      </c>
      <c r="Z254" s="116">
        <f t="shared" si="24"/>
        <v>112500.5</v>
      </c>
      <c r="AA254" s="114" t="s">
        <v>2229</v>
      </c>
      <c r="AB254" s="117">
        <f t="shared" si="25"/>
        <v>112500</v>
      </c>
      <c r="AC254" s="114" t="s">
        <v>2228</v>
      </c>
      <c r="AD254" s="117">
        <f t="shared" si="26"/>
        <v>5</v>
      </c>
      <c r="AE254" s="114" t="s">
        <v>2227</v>
      </c>
      <c r="AF254" s="117">
        <f t="shared" si="27"/>
        <v>0</v>
      </c>
      <c r="AG254" s="114" t="s">
        <v>2226</v>
      </c>
      <c r="AH254" s="116">
        <v>4500.0200000000004</v>
      </c>
      <c r="AI254" s="100"/>
      <c r="AJ254" s="100"/>
      <c r="AK254" s="100"/>
      <c r="AL254" s="100"/>
      <c r="AM254" s="100"/>
      <c r="AN254" s="100"/>
      <c r="AO254" s="100"/>
      <c r="AP254" s="100"/>
      <c r="AQ254" s="100"/>
    </row>
    <row r="255" spans="24:43">
      <c r="X255" s="114" t="s">
        <v>13970</v>
      </c>
      <c r="Y255" s="115">
        <v>325.25</v>
      </c>
      <c r="Z255" s="116">
        <f t="shared" si="24"/>
        <v>325.25</v>
      </c>
      <c r="AA255" s="114" t="s">
        <v>2229</v>
      </c>
      <c r="AB255" s="117">
        <f t="shared" si="25"/>
        <v>325</v>
      </c>
      <c r="AC255" s="114" t="s">
        <v>2228</v>
      </c>
      <c r="AD255" s="117">
        <f t="shared" si="26"/>
        <v>2</v>
      </c>
      <c r="AE255" s="114" t="s">
        <v>2227</v>
      </c>
      <c r="AF255" s="117">
        <f t="shared" si="27"/>
        <v>5</v>
      </c>
      <c r="AG255" s="114" t="s">
        <v>2226</v>
      </c>
      <c r="AH255" s="116">
        <v>13.01</v>
      </c>
      <c r="AI255" s="100"/>
      <c r="AJ255" s="100"/>
      <c r="AK255" s="100"/>
      <c r="AL255" s="100"/>
      <c r="AM255" s="100"/>
      <c r="AN255" s="100"/>
      <c r="AO255" s="100"/>
      <c r="AP255" s="100"/>
      <c r="AQ255" s="100"/>
    </row>
    <row r="256" spans="24:43">
      <c r="X256" s="114" t="s">
        <v>13971</v>
      </c>
      <c r="Y256" s="115">
        <v>387.625</v>
      </c>
      <c r="Z256" s="116">
        <f t="shared" si="24"/>
        <v>387.625</v>
      </c>
      <c r="AA256" s="114" t="s">
        <v>2229</v>
      </c>
      <c r="AB256" s="117">
        <f t="shared" si="25"/>
        <v>387</v>
      </c>
      <c r="AC256" s="114" t="s">
        <v>2228</v>
      </c>
      <c r="AD256" s="117">
        <f t="shared" si="26"/>
        <v>6</v>
      </c>
      <c r="AE256" s="114" t="s">
        <v>2227</v>
      </c>
      <c r="AF256" s="117">
        <f t="shared" si="27"/>
        <v>2.5</v>
      </c>
      <c r="AG256" s="114" t="s">
        <v>2226</v>
      </c>
      <c r="AH256" s="116">
        <v>15.5</v>
      </c>
      <c r="AI256" s="100"/>
      <c r="AJ256" s="100"/>
      <c r="AK256" s="100"/>
      <c r="AL256" s="100"/>
      <c r="AM256" s="100"/>
      <c r="AN256" s="100"/>
      <c r="AO256" s="100"/>
      <c r="AP256" s="100"/>
      <c r="AQ256" s="100"/>
    </row>
    <row r="257" spans="24:43">
      <c r="X257" s="114" t="s">
        <v>13972</v>
      </c>
      <c r="Y257" s="115">
        <v>3937.625</v>
      </c>
      <c r="Z257" s="116">
        <f t="shared" si="24"/>
        <v>3937.625</v>
      </c>
      <c r="AA257" s="114" t="s">
        <v>2229</v>
      </c>
      <c r="AB257" s="117">
        <f t="shared" si="25"/>
        <v>3937</v>
      </c>
      <c r="AC257" s="114" t="s">
        <v>2228</v>
      </c>
      <c r="AD257" s="117">
        <f t="shared" si="26"/>
        <v>6</v>
      </c>
      <c r="AE257" s="114" t="s">
        <v>2227</v>
      </c>
      <c r="AF257" s="117">
        <f t="shared" si="27"/>
        <v>2.5</v>
      </c>
      <c r="AG257" s="114" t="s">
        <v>2226</v>
      </c>
      <c r="AH257" s="116">
        <v>157.5</v>
      </c>
      <c r="AI257" s="100"/>
      <c r="AJ257" s="100"/>
      <c r="AK257" s="100"/>
      <c r="AL257" s="100"/>
      <c r="AM257" s="100"/>
      <c r="AN257" s="100"/>
      <c r="AO257" s="100"/>
      <c r="AP257" s="100"/>
      <c r="AQ257" s="100"/>
    </row>
    <row r="258" spans="24:43">
      <c r="X258" s="114" t="s">
        <v>13973</v>
      </c>
      <c r="Y258" s="115">
        <v>5187.625</v>
      </c>
      <c r="Z258" s="116">
        <f t="shared" si="24"/>
        <v>5187.625</v>
      </c>
      <c r="AA258" s="114" t="s">
        <v>2229</v>
      </c>
      <c r="AB258" s="117">
        <f t="shared" si="25"/>
        <v>5187</v>
      </c>
      <c r="AC258" s="114" t="s">
        <v>2228</v>
      </c>
      <c r="AD258" s="117">
        <f t="shared" si="26"/>
        <v>6</v>
      </c>
      <c r="AE258" s="114" t="s">
        <v>2227</v>
      </c>
      <c r="AF258" s="117">
        <f t="shared" si="27"/>
        <v>2.5</v>
      </c>
      <c r="AG258" s="114" t="s">
        <v>2226</v>
      </c>
      <c r="AH258" s="116">
        <v>207.5</v>
      </c>
      <c r="AI258" s="100"/>
      <c r="AJ258" s="100"/>
      <c r="AK258" s="100"/>
      <c r="AL258" s="100"/>
      <c r="AM258" s="100"/>
      <c r="AN258" s="100"/>
      <c r="AO258" s="100"/>
      <c r="AP258" s="100"/>
      <c r="AQ258" s="100"/>
    </row>
    <row r="259" spans="24:43">
      <c r="X259" s="114" t="s">
        <v>13974</v>
      </c>
      <c r="Y259" s="115">
        <v>28625.125</v>
      </c>
      <c r="Z259" s="116">
        <f t="shared" ref="Z259:Z322" si="28">Y259*$AK$6*$AK$11</f>
        <v>28625.125</v>
      </c>
      <c r="AA259" s="114" t="s">
        <v>2229</v>
      </c>
      <c r="AB259" s="117">
        <f t="shared" ref="AB259:AB322" si="29">_xlfn.FLOOR.MATH(Z259,1)</f>
        <v>28625</v>
      </c>
      <c r="AC259" s="114" t="s">
        <v>2228</v>
      </c>
      <c r="AD259" s="117">
        <f t="shared" ref="AD259:AD322" si="30">_xlfn.FLOOR.MATH(((Z259-AB259)*10), 1)</f>
        <v>1</v>
      </c>
      <c r="AE259" s="114" t="s">
        <v>2227</v>
      </c>
      <c r="AF259" s="117">
        <f t="shared" ref="AF259:AF322" si="31">((Z259-AB259)*10-AD259)*10</f>
        <v>2.5</v>
      </c>
      <c r="AG259" s="114" t="s">
        <v>2226</v>
      </c>
      <c r="AH259" s="116">
        <v>1145</v>
      </c>
      <c r="AI259" s="100"/>
      <c r="AJ259" s="100"/>
      <c r="AK259" s="100"/>
      <c r="AL259" s="100"/>
      <c r="AM259" s="100"/>
      <c r="AN259" s="100"/>
      <c r="AO259" s="100"/>
      <c r="AP259" s="100"/>
      <c r="AQ259" s="100"/>
    </row>
    <row r="260" spans="24:43">
      <c r="X260" s="114" t="s">
        <v>13975</v>
      </c>
      <c r="Y260" s="115">
        <v>19375.125</v>
      </c>
      <c r="Z260" s="116">
        <f t="shared" si="28"/>
        <v>19375.125</v>
      </c>
      <c r="AA260" s="114" t="s">
        <v>2229</v>
      </c>
      <c r="AB260" s="117">
        <f t="shared" si="29"/>
        <v>19375</v>
      </c>
      <c r="AC260" s="114" t="s">
        <v>2228</v>
      </c>
      <c r="AD260" s="117">
        <f t="shared" si="30"/>
        <v>1</v>
      </c>
      <c r="AE260" s="114" t="s">
        <v>2227</v>
      </c>
      <c r="AF260" s="117">
        <f t="shared" si="31"/>
        <v>2.5</v>
      </c>
      <c r="AG260" s="114" t="s">
        <v>2226</v>
      </c>
      <c r="AH260" s="116">
        <v>775</v>
      </c>
      <c r="AI260" s="100"/>
      <c r="AJ260" s="100"/>
      <c r="AK260" s="100"/>
      <c r="AL260" s="100"/>
      <c r="AM260" s="100"/>
      <c r="AN260" s="100"/>
      <c r="AO260" s="100"/>
      <c r="AP260" s="100"/>
      <c r="AQ260" s="100"/>
    </row>
    <row r="261" spans="24:43">
      <c r="X261" s="114" t="s">
        <v>13976</v>
      </c>
      <c r="Y261" s="115">
        <v>4837.625</v>
      </c>
      <c r="Z261" s="116">
        <f t="shared" si="28"/>
        <v>4837.625</v>
      </c>
      <c r="AA261" s="114" t="s">
        <v>2229</v>
      </c>
      <c r="AB261" s="117">
        <f t="shared" si="29"/>
        <v>4837</v>
      </c>
      <c r="AC261" s="114" t="s">
        <v>2228</v>
      </c>
      <c r="AD261" s="117">
        <f t="shared" si="30"/>
        <v>6</v>
      </c>
      <c r="AE261" s="114" t="s">
        <v>2227</v>
      </c>
      <c r="AF261" s="117">
        <f t="shared" si="31"/>
        <v>2.5</v>
      </c>
      <c r="AG261" s="114" t="s">
        <v>2226</v>
      </c>
      <c r="AH261" s="116">
        <v>193.5</v>
      </c>
      <c r="AI261" s="100"/>
      <c r="AJ261" s="100"/>
      <c r="AK261" s="100"/>
      <c r="AL261" s="100"/>
      <c r="AM261" s="100"/>
      <c r="AN261" s="100"/>
      <c r="AO261" s="100"/>
      <c r="AP261" s="100"/>
      <c r="AQ261" s="100"/>
    </row>
    <row r="262" spans="24:43">
      <c r="X262" s="114" t="s">
        <v>13977</v>
      </c>
      <c r="Y262" s="115">
        <v>4362.625</v>
      </c>
      <c r="Z262" s="116">
        <f t="shared" si="28"/>
        <v>4362.625</v>
      </c>
      <c r="AA262" s="114" t="s">
        <v>2229</v>
      </c>
      <c r="AB262" s="117">
        <f t="shared" si="29"/>
        <v>4362</v>
      </c>
      <c r="AC262" s="114" t="s">
        <v>2228</v>
      </c>
      <c r="AD262" s="117">
        <f t="shared" si="30"/>
        <v>6</v>
      </c>
      <c r="AE262" s="114" t="s">
        <v>2227</v>
      </c>
      <c r="AF262" s="117">
        <f t="shared" si="31"/>
        <v>2.5</v>
      </c>
      <c r="AG262" s="114" t="s">
        <v>2226</v>
      </c>
      <c r="AH262" s="116">
        <v>174.5</v>
      </c>
      <c r="AI262" s="100"/>
      <c r="AJ262" s="100"/>
      <c r="AK262" s="100"/>
      <c r="AL262" s="100"/>
      <c r="AM262" s="100"/>
      <c r="AN262" s="100"/>
      <c r="AO262" s="100"/>
      <c r="AP262" s="100"/>
      <c r="AQ262" s="100"/>
    </row>
    <row r="263" spans="24:43">
      <c r="X263" s="114" t="s">
        <v>13978</v>
      </c>
      <c r="Y263" s="115">
        <v>3987.625</v>
      </c>
      <c r="Z263" s="116">
        <f t="shared" si="28"/>
        <v>3987.625</v>
      </c>
      <c r="AA263" s="114" t="s">
        <v>2229</v>
      </c>
      <c r="AB263" s="117">
        <f t="shared" si="29"/>
        <v>3987</v>
      </c>
      <c r="AC263" s="114" t="s">
        <v>2228</v>
      </c>
      <c r="AD263" s="117">
        <f t="shared" si="30"/>
        <v>6</v>
      </c>
      <c r="AE263" s="114" t="s">
        <v>2227</v>
      </c>
      <c r="AF263" s="117">
        <f t="shared" si="31"/>
        <v>2.5</v>
      </c>
      <c r="AG263" s="114" t="s">
        <v>2226</v>
      </c>
      <c r="AH263" s="116">
        <v>159.5</v>
      </c>
      <c r="AI263" s="100"/>
      <c r="AJ263" s="100"/>
      <c r="AK263" s="100"/>
      <c r="AL263" s="100"/>
      <c r="AM263" s="100"/>
      <c r="AN263" s="100"/>
      <c r="AO263" s="100"/>
      <c r="AP263" s="100"/>
      <c r="AQ263" s="100"/>
    </row>
    <row r="264" spans="24:43">
      <c r="X264" s="114" t="s">
        <v>13979</v>
      </c>
      <c r="Y264" s="115">
        <v>362.625</v>
      </c>
      <c r="Z264" s="116">
        <f t="shared" si="28"/>
        <v>362.625</v>
      </c>
      <c r="AA264" s="114" t="s">
        <v>2229</v>
      </c>
      <c r="AB264" s="117">
        <f t="shared" si="29"/>
        <v>362</v>
      </c>
      <c r="AC264" s="114" t="s">
        <v>2228</v>
      </c>
      <c r="AD264" s="117">
        <f t="shared" si="30"/>
        <v>6</v>
      </c>
      <c r="AE264" s="114" t="s">
        <v>2227</v>
      </c>
      <c r="AF264" s="117">
        <f t="shared" si="31"/>
        <v>2.5</v>
      </c>
      <c r="AG264" s="114" t="s">
        <v>2226</v>
      </c>
      <c r="AH264" s="116">
        <v>14.5</v>
      </c>
      <c r="AI264" s="100"/>
      <c r="AJ264" s="100"/>
      <c r="AK264" s="100"/>
      <c r="AL264" s="100"/>
      <c r="AM264" s="100"/>
      <c r="AN264" s="100"/>
      <c r="AO264" s="100"/>
      <c r="AP264" s="100"/>
      <c r="AQ264" s="100"/>
    </row>
    <row r="265" spans="24:43">
      <c r="X265" s="114" t="s">
        <v>13980</v>
      </c>
      <c r="Y265" s="115">
        <v>4187.625</v>
      </c>
      <c r="Z265" s="116">
        <f t="shared" si="28"/>
        <v>4187.625</v>
      </c>
      <c r="AA265" s="114" t="s">
        <v>2229</v>
      </c>
      <c r="AB265" s="117">
        <f t="shared" si="29"/>
        <v>4187</v>
      </c>
      <c r="AC265" s="114" t="s">
        <v>2228</v>
      </c>
      <c r="AD265" s="117">
        <f t="shared" si="30"/>
        <v>6</v>
      </c>
      <c r="AE265" s="114" t="s">
        <v>2227</v>
      </c>
      <c r="AF265" s="117">
        <f t="shared" si="31"/>
        <v>2.5</v>
      </c>
      <c r="AG265" s="114" t="s">
        <v>2226</v>
      </c>
      <c r="AH265" s="116">
        <v>167.5</v>
      </c>
      <c r="AI265" s="100"/>
      <c r="AJ265" s="100"/>
      <c r="AK265" s="100"/>
      <c r="AL265" s="100"/>
      <c r="AM265" s="100"/>
      <c r="AN265" s="100"/>
      <c r="AO265" s="100"/>
      <c r="AP265" s="100"/>
      <c r="AQ265" s="100"/>
    </row>
    <row r="266" spans="24:43">
      <c r="X266" s="114" t="s">
        <v>13981</v>
      </c>
      <c r="Y266" s="115">
        <v>412.625</v>
      </c>
      <c r="Z266" s="116">
        <f t="shared" si="28"/>
        <v>412.625</v>
      </c>
      <c r="AA266" s="114" t="s">
        <v>2229</v>
      </c>
      <c r="AB266" s="117">
        <f t="shared" si="29"/>
        <v>412</v>
      </c>
      <c r="AC266" s="114" t="s">
        <v>2228</v>
      </c>
      <c r="AD266" s="117">
        <f t="shared" si="30"/>
        <v>6</v>
      </c>
      <c r="AE266" s="114" t="s">
        <v>2227</v>
      </c>
      <c r="AF266" s="117">
        <f t="shared" si="31"/>
        <v>2.5</v>
      </c>
      <c r="AG266" s="114" t="s">
        <v>2226</v>
      </c>
      <c r="AH266" s="116">
        <v>16.5</v>
      </c>
      <c r="AI266" s="100"/>
      <c r="AJ266" s="100"/>
      <c r="AK266" s="100"/>
      <c r="AL266" s="100"/>
      <c r="AM266" s="100"/>
      <c r="AN266" s="100"/>
      <c r="AO266" s="100"/>
      <c r="AP266" s="100"/>
      <c r="AQ266" s="100"/>
    </row>
    <row r="267" spans="24:43">
      <c r="X267" s="114" t="s">
        <v>13982</v>
      </c>
      <c r="Y267" s="115">
        <v>337.625</v>
      </c>
      <c r="Z267" s="116">
        <f t="shared" si="28"/>
        <v>337.625</v>
      </c>
      <c r="AA267" s="114" t="s">
        <v>2229</v>
      </c>
      <c r="AB267" s="117">
        <f t="shared" si="29"/>
        <v>337</v>
      </c>
      <c r="AC267" s="114" t="s">
        <v>2228</v>
      </c>
      <c r="AD267" s="117">
        <f t="shared" si="30"/>
        <v>6</v>
      </c>
      <c r="AE267" s="114" t="s">
        <v>2227</v>
      </c>
      <c r="AF267" s="117">
        <f t="shared" si="31"/>
        <v>2.5</v>
      </c>
      <c r="AG267" s="114" t="s">
        <v>2226</v>
      </c>
      <c r="AH267" s="116">
        <v>13.5</v>
      </c>
      <c r="AI267" s="100"/>
      <c r="AJ267" s="100"/>
      <c r="AK267" s="100"/>
      <c r="AL267" s="100"/>
      <c r="AM267" s="100"/>
      <c r="AN267" s="100"/>
      <c r="AO267" s="100"/>
      <c r="AP267" s="100"/>
      <c r="AQ267" s="100"/>
    </row>
    <row r="268" spans="24:43">
      <c r="X268" s="114" t="s">
        <v>13983</v>
      </c>
      <c r="Y268" s="115">
        <v>4537.625</v>
      </c>
      <c r="Z268" s="116">
        <f t="shared" si="28"/>
        <v>4537.625</v>
      </c>
      <c r="AA268" s="114" t="s">
        <v>2229</v>
      </c>
      <c r="AB268" s="117">
        <f t="shared" si="29"/>
        <v>4537</v>
      </c>
      <c r="AC268" s="114" t="s">
        <v>2228</v>
      </c>
      <c r="AD268" s="117">
        <f t="shared" si="30"/>
        <v>6</v>
      </c>
      <c r="AE268" s="114" t="s">
        <v>2227</v>
      </c>
      <c r="AF268" s="117">
        <f t="shared" si="31"/>
        <v>2.5</v>
      </c>
      <c r="AG268" s="114" t="s">
        <v>2226</v>
      </c>
      <c r="AH268" s="116">
        <v>181.5</v>
      </c>
      <c r="AI268" s="100"/>
      <c r="AJ268" s="100"/>
      <c r="AK268" s="100"/>
      <c r="AL268" s="100"/>
      <c r="AM268" s="100"/>
      <c r="AN268" s="100"/>
      <c r="AO268" s="100"/>
      <c r="AP268" s="100"/>
      <c r="AQ268" s="100"/>
    </row>
    <row r="269" spans="24:43">
      <c r="X269" s="114" t="s">
        <v>13984</v>
      </c>
      <c r="Y269" s="115">
        <v>89750.25</v>
      </c>
      <c r="Z269" s="116">
        <f t="shared" si="28"/>
        <v>89750.25</v>
      </c>
      <c r="AA269" s="114" t="s">
        <v>2229</v>
      </c>
      <c r="AB269" s="117">
        <f t="shared" si="29"/>
        <v>89750</v>
      </c>
      <c r="AC269" s="114" t="s">
        <v>2228</v>
      </c>
      <c r="AD269" s="117">
        <f t="shared" si="30"/>
        <v>2</v>
      </c>
      <c r="AE269" s="114" t="s">
        <v>2227</v>
      </c>
      <c r="AF269" s="117">
        <f t="shared" si="31"/>
        <v>5</v>
      </c>
      <c r="AG269" s="114" t="s">
        <v>2226</v>
      </c>
      <c r="AH269" s="116">
        <v>3590.01</v>
      </c>
      <c r="AI269" s="100"/>
      <c r="AJ269" s="100"/>
      <c r="AK269" s="100"/>
      <c r="AL269" s="100"/>
      <c r="AM269" s="100"/>
      <c r="AN269" s="100"/>
      <c r="AO269" s="100"/>
      <c r="AP269" s="100"/>
      <c r="AQ269" s="100"/>
    </row>
    <row r="270" spans="24:43">
      <c r="X270" s="114" t="s">
        <v>13985</v>
      </c>
      <c r="Y270" s="115">
        <v>33500</v>
      </c>
      <c r="Z270" s="116">
        <f t="shared" si="28"/>
        <v>33500</v>
      </c>
      <c r="AA270" s="114" t="s">
        <v>2229</v>
      </c>
      <c r="AB270" s="117">
        <f t="shared" si="29"/>
        <v>33500</v>
      </c>
      <c r="AC270" s="114" t="s">
        <v>2228</v>
      </c>
      <c r="AD270" s="117">
        <f t="shared" si="30"/>
        <v>0</v>
      </c>
      <c r="AE270" s="114" t="s">
        <v>2227</v>
      </c>
      <c r="AF270" s="117">
        <f t="shared" si="31"/>
        <v>0</v>
      </c>
      <c r="AG270" s="114" t="s">
        <v>2226</v>
      </c>
      <c r="AH270" s="116">
        <v>1340</v>
      </c>
      <c r="AI270" s="100"/>
      <c r="AJ270" s="100"/>
      <c r="AK270" s="100"/>
      <c r="AL270" s="100"/>
      <c r="AM270" s="100"/>
      <c r="AN270" s="100"/>
      <c r="AO270" s="100"/>
      <c r="AP270" s="100"/>
      <c r="AQ270" s="100"/>
    </row>
    <row r="271" spans="24:43">
      <c r="X271" s="114" t="s">
        <v>13986</v>
      </c>
      <c r="Y271" s="115">
        <v>2000</v>
      </c>
      <c r="Z271" s="116">
        <f t="shared" si="28"/>
        <v>2000</v>
      </c>
      <c r="AA271" s="114" t="s">
        <v>2229</v>
      </c>
      <c r="AB271" s="117">
        <f t="shared" si="29"/>
        <v>2000</v>
      </c>
      <c r="AC271" s="114" t="s">
        <v>2228</v>
      </c>
      <c r="AD271" s="117">
        <f t="shared" si="30"/>
        <v>0</v>
      </c>
      <c r="AE271" s="114" t="s">
        <v>2227</v>
      </c>
      <c r="AF271" s="117">
        <f t="shared" si="31"/>
        <v>0</v>
      </c>
      <c r="AG271" s="114" t="s">
        <v>2226</v>
      </c>
      <c r="AH271" s="116">
        <v>80</v>
      </c>
      <c r="AI271" s="100"/>
      <c r="AJ271" s="100"/>
      <c r="AK271" s="100"/>
      <c r="AL271" s="100"/>
      <c r="AM271" s="100"/>
      <c r="AN271" s="100"/>
      <c r="AO271" s="100"/>
      <c r="AP271" s="100"/>
      <c r="AQ271" s="100"/>
    </row>
    <row r="272" spans="24:43">
      <c r="X272" s="114" t="s">
        <v>13987</v>
      </c>
      <c r="Y272" s="115">
        <v>2737.5</v>
      </c>
      <c r="Z272" s="116">
        <f t="shared" si="28"/>
        <v>2737.5</v>
      </c>
      <c r="AA272" s="114" t="s">
        <v>2229</v>
      </c>
      <c r="AB272" s="117">
        <f t="shared" si="29"/>
        <v>2737</v>
      </c>
      <c r="AC272" s="114" t="s">
        <v>2228</v>
      </c>
      <c r="AD272" s="117">
        <f t="shared" si="30"/>
        <v>5</v>
      </c>
      <c r="AE272" s="114" t="s">
        <v>2227</v>
      </c>
      <c r="AF272" s="117">
        <f t="shared" si="31"/>
        <v>0</v>
      </c>
      <c r="AG272" s="114" t="s">
        <v>2226</v>
      </c>
      <c r="AH272" s="116">
        <v>109.5</v>
      </c>
      <c r="AI272" s="100"/>
      <c r="AJ272" s="100"/>
      <c r="AK272" s="100"/>
      <c r="AL272" s="100"/>
      <c r="AM272" s="100"/>
      <c r="AN272" s="100"/>
      <c r="AO272" s="100"/>
      <c r="AP272" s="100"/>
      <c r="AQ272" s="100"/>
    </row>
    <row r="273" spans="24:43">
      <c r="X273" s="114" t="s">
        <v>13988</v>
      </c>
      <c r="Y273" s="115">
        <v>62.5</v>
      </c>
      <c r="Z273" s="116">
        <f t="shared" si="28"/>
        <v>62.5</v>
      </c>
      <c r="AA273" s="114" t="s">
        <v>2229</v>
      </c>
      <c r="AB273" s="117">
        <f t="shared" si="29"/>
        <v>62</v>
      </c>
      <c r="AC273" s="114" t="s">
        <v>2228</v>
      </c>
      <c r="AD273" s="117">
        <f t="shared" si="30"/>
        <v>5</v>
      </c>
      <c r="AE273" s="114" t="s">
        <v>2227</v>
      </c>
      <c r="AF273" s="117">
        <f t="shared" si="31"/>
        <v>0</v>
      </c>
      <c r="AG273" s="114" t="s">
        <v>2226</v>
      </c>
      <c r="AH273" s="116">
        <v>2.5</v>
      </c>
      <c r="AI273" s="100"/>
      <c r="AJ273" s="100"/>
      <c r="AK273" s="100"/>
      <c r="AL273" s="100"/>
      <c r="AM273" s="100"/>
      <c r="AN273" s="100"/>
      <c r="AO273" s="100"/>
      <c r="AP273" s="100"/>
      <c r="AQ273" s="100"/>
    </row>
    <row r="274" spans="24:43">
      <c r="X274" s="114" t="s">
        <v>13989</v>
      </c>
      <c r="Y274" s="115">
        <v>67.5</v>
      </c>
      <c r="Z274" s="116">
        <f t="shared" si="28"/>
        <v>67.5</v>
      </c>
      <c r="AA274" s="114" t="s">
        <v>2229</v>
      </c>
      <c r="AB274" s="117">
        <f t="shared" si="29"/>
        <v>67</v>
      </c>
      <c r="AC274" s="114" t="s">
        <v>2228</v>
      </c>
      <c r="AD274" s="117">
        <f t="shared" si="30"/>
        <v>5</v>
      </c>
      <c r="AE274" s="114" t="s">
        <v>2227</v>
      </c>
      <c r="AF274" s="117">
        <f t="shared" si="31"/>
        <v>0</v>
      </c>
      <c r="AG274" s="114" t="s">
        <v>2226</v>
      </c>
      <c r="AH274" s="116">
        <v>2.7</v>
      </c>
      <c r="AI274" s="100"/>
      <c r="AJ274" s="100"/>
      <c r="AK274" s="100"/>
      <c r="AL274" s="100"/>
      <c r="AM274" s="100"/>
      <c r="AN274" s="100"/>
      <c r="AO274" s="100"/>
      <c r="AP274" s="100"/>
      <c r="AQ274" s="100"/>
    </row>
    <row r="275" spans="24:43">
      <c r="X275" s="114" t="s">
        <v>13990</v>
      </c>
      <c r="Y275" s="115">
        <v>89250.25</v>
      </c>
      <c r="Z275" s="116">
        <f t="shared" si="28"/>
        <v>89250.25</v>
      </c>
      <c r="AA275" s="114" t="s">
        <v>2229</v>
      </c>
      <c r="AB275" s="117">
        <f t="shared" si="29"/>
        <v>89250</v>
      </c>
      <c r="AC275" s="114" t="s">
        <v>2228</v>
      </c>
      <c r="AD275" s="117">
        <f t="shared" si="30"/>
        <v>2</v>
      </c>
      <c r="AE275" s="114" t="s">
        <v>2227</v>
      </c>
      <c r="AF275" s="117">
        <f t="shared" si="31"/>
        <v>5</v>
      </c>
      <c r="AG275" s="114" t="s">
        <v>2226</v>
      </c>
      <c r="AH275" s="116">
        <v>3570.01</v>
      </c>
      <c r="AI275" s="100"/>
      <c r="AJ275" s="100"/>
      <c r="AK275" s="100"/>
      <c r="AL275" s="100"/>
      <c r="AM275" s="100"/>
      <c r="AN275" s="100"/>
      <c r="AO275" s="100"/>
      <c r="AP275" s="100"/>
      <c r="AQ275" s="100"/>
    </row>
    <row r="276" spans="24:43">
      <c r="X276" s="114" t="s">
        <v>13991</v>
      </c>
      <c r="Y276" s="115">
        <v>4225</v>
      </c>
      <c r="Z276" s="116">
        <f t="shared" si="28"/>
        <v>4225</v>
      </c>
      <c r="AA276" s="114" t="s">
        <v>2229</v>
      </c>
      <c r="AB276" s="117">
        <f t="shared" si="29"/>
        <v>4225</v>
      </c>
      <c r="AC276" s="114" t="s">
        <v>2228</v>
      </c>
      <c r="AD276" s="117">
        <f t="shared" si="30"/>
        <v>0</v>
      </c>
      <c r="AE276" s="114" t="s">
        <v>2227</v>
      </c>
      <c r="AF276" s="117">
        <f t="shared" si="31"/>
        <v>0</v>
      </c>
      <c r="AG276" s="114" t="s">
        <v>2226</v>
      </c>
      <c r="AH276" s="116">
        <v>169</v>
      </c>
      <c r="AI276" s="100"/>
      <c r="AJ276" s="100"/>
      <c r="AK276" s="100"/>
      <c r="AL276" s="100"/>
      <c r="AM276" s="100"/>
      <c r="AN276" s="100"/>
      <c r="AO276" s="100"/>
      <c r="AP276" s="100"/>
      <c r="AQ276" s="100"/>
    </row>
    <row r="277" spans="24:43">
      <c r="X277" s="114" t="s">
        <v>13992</v>
      </c>
      <c r="Y277" s="115">
        <v>6875.25</v>
      </c>
      <c r="Z277" s="116">
        <f t="shared" si="28"/>
        <v>6875.25</v>
      </c>
      <c r="AA277" s="114" t="s">
        <v>2229</v>
      </c>
      <c r="AB277" s="117">
        <f t="shared" si="29"/>
        <v>6875</v>
      </c>
      <c r="AC277" s="114" t="s">
        <v>2228</v>
      </c>
      <c r="AD277" s="117">
        <f t="shared" si="30"/>
        <v>2</v>
      </c>
      <c r="AE277" s="114" t="s">
        <v>2227</v>
      </c>
      <c r="AF277" s="117">
        <f t="shared" si="31"/>
        <v>5</v>
      </c>
      <c r="AG277" s="114" t="s">
        <v>2226</v>
      </c>
      <c r="AH277" s="116">
        <v>275.01</v>
      </c>
      <c r="AI277" s="100"/>
      <c r="AJ277" s="100"/>
      <c r="AK277" s="100"/>
      <c r="AL277" s="100"/>
      <c r="AM277" s="100"/>
      <c r="AN277" s="100"/>
      <c r="AO277" s="100"/>
      <c r="AP277" s="100"/>
      <c r="AQ277" s="100"/>
    </row>
    <row r="278" spans="24:43">
      <c r="X278" s="114" t="s">
        <v>13993</v>
      </c>
      <c r="Y278" s="115">
        <v>4287.625</v>
      </c>
      <c r="Z278" s="116">
        <f t="shared" si="28"/>
        <v>4287.625</v>
      </c>
      <c r="AA278" s="114" t="s">
        <v>2229</v>
      </c>
      <c r="AB278" s="117">
        <f t="shared" si="29"/>
        <v>4287</v>
      </c>
      <c r="AC278" s="114" t="s">
        <v>2228</v>
      </c>
      <c r="AD278" s="117">
        <f t="shared" si="30"/>
        <v>6</v>
      </c>
      <c r="AE278" s="114" t="s">
        <v>2227</v>
      </c>
      <c r="AF278" s="117">
        <f t="shared" si="31"/>
        <v>2.5</v>
      </c>
      <c r="AG278" s="114" t="s">
        <v>2226</v>
      </c>
      <c r="AH278" s="116">
        <v>171.5</v>
      </c>
      <c r="AI278" s="100"/>
      <c r="AJ278" s="100"/>
      <c r="AK278" s="100"/>
      <c r="AL278" s="100"/>
      <c r="AM278" s="100"/>
      <c r="AN278" s="100"/>
      <c r="AO278" s="100"/>
      <c r="AP278" s="100"/>
      <c r="AQ278" s="100"/>
    </row>
    <row r="279" spans="24:43">
      <c r="X279" s="114" t="s">
        <v>13994</v>
      </c>
      <c r="Y279" s="115">
        <v>412.625</v>
      </c>
      <c r="Z279" s="116">
        <f t="shared" si="28"/>
        <v>412.625</v>
      </c>
      <c r="AA279" s="114" t="s">
        <v>2229</v>
      </c>
      <c r="AB279" s="117">
        <f t="shared" si="29"/>
        <v>412</v>
      </c>
      <c r="AC279" s="114" t="s">
        <v>2228</v>
      </c>
      <c r="AD279" s="117">
        <f t="shared" si="30"/>
        <v>6</v>
      </c>
      <c r="AE279" s="114" t="s">
        <v>2227</v>
      </c>
      <c r="AF279" s="117">
        <f t="shared" si="31"/>
        <v>2.5</v>
      </c>
      <c r="AG279" s="114" t="s">
        <v>2226</v>
      </c>
      <c r="AH279" s="116">
        <v>16.5</v>
      </c>
      <c r="AI279" s="100"/>
      <c r="AJ279" s="100"/>
      <c r="AK279" s="100"/>
      <c r="AL279" s="100"/>
      <c r="AM279" s="100"/>
      <c r="AN279" s="100"/>
      <c r="AO279" s="100"/>
      <c r="AP279" s="100"/>
      <c r="AQ279" s="100"/>
    </row>
    <row r="280" spans="24:43">
      <c r="X280" s="114" t="s">
        <v>13995</v>
      </c>
      <c r="Y280" s="115">
        <v>31625.125</v>
      </c>
      <c r="Z280" s="116">
        <f t="shared" si="28"/>
        <v>31625.125</v>
      </c>
      <c r="AA280" s="114" t="s">
        <v>2229</v>
      </c>
      <c r="AB280" s="117">
        <f t="shared" si="29"/>
        <v>31625</v>
      </c>
      <c r="AC280" s="114" t="s">
        <v>2228</v>
      </c>
      <c r="AD280" s="117">
        <f t="shared" si="30"/>
        <v>1</v>
      </c>
      <c r="AE280" s="114" t="s">
        <v>2227</v>
      </c>
      <c r="AF280" s="117">
        <f t="shared" si="31"/>
        <v>2.5</v>
      </c>
      <c r="AG280" s="114" t="s">
        <v>2226</v>
      </c>
      <c r="AH280" s="116">
        <v>1265</v>
      </c>
      <c r="AI280" s="100"/>
      <c r="AJ280" s="100"/>
      <c r="AK280" s="100"/>
      <c r="AL280" s="100"/>
      <c r="AM280" s="100"/>
      <c r="AN280" s="100"/>
      <c r="AO280" s="100"/>
      <c r="AP280" s="100"/>
      <c r="AQ280" s="100"/>
    </row>
    <row r="281" spans="24:43">
      <c r="X281" s="114" t="s">
        <v>13996</v>
      </c>
      <c r="Y281" s="115">
        <v>350</v>
      </c>
      <c r="Z281" s="116">
        <f t="shared" si="28"/>
        <v>350</v>
      </c>
      <c r="AA281" s="114" t="s">
        <v>2229</v>
      </c>
      <c r="AB281" s="117">
        <f t="shared" si="29"/>
        <v>350</v>
      </c>
      <c r="AC281" s="114" t="s">
        <v>2228</v>
      </c>
      <c r="AD281" s="117">
        <f t="shared" si="30"/>
        <v>0</v>
      </c>
      <c r="AE281" s="114" t="s">
        <v>2227</v>
      </c>
      <c r="AF281" s="117">
        <f t="shared" si="31"/>
        <v>0</v>
      </c>
      <c r="AG281" s="114" t="s">
        <v>2226</v>
      </c>
      <c r="AH281" s="116">
        <v>14</v>
      </c>
      <c r="AI281" s="100"/>
      <c r="AJ281" s="100"/>
      <c r="AK281" s="100"/>
      <c r="AL281" s="100"/>
      <c r="AM281" s="100"/>
      <c r="AN281" s="100"/>
      <c r="AO281" s="100"/>
      <c r="AP281" s="100"/>
      <c r="AQ281" s="100"/>
    </row>
    <row r="282" spans="24:43">
      <c r="X282" s="114" t="s">
        <v>13997</v>
      </c>
      <c r="Y282" s="115">
        <v>26375.125</v>
      </c>
      <c r="Z282" s="116">
        <f t="shared" si="28"/>
        <v>26375.125</v>
      </c>
      <c r="AA282" s="114" t="s">
        <v>2229</v>
      </c>
      <c r="AB282" s="117">
        <f t="shared" si="29"/>
        <v>26375</v>
      </c>
      <c r="AC282" s="114" t="s">
        <v>2228</v>
      </c>
      <c r="AD282" s="117">
        <f t="shared" si="30"/>
        <v>1</v>
      </c>
      <c r="AE282" s="114" t="s">
        <v>2227</v>
      </c>
      <c r="AF282" s="117">
        <f t="shared" si="31"/>
        <v>2.5</v>
      </c>
      <c r="AG282" s="114" t="s">
        <v>2226</v>
      </c>
      <c r="AH282" s="116">
        <v>1055</v>
      </c>
      <c r="AI282" s="100"/>
      <c r="AJ282" s="100"/>
      <c r="AK282" s="100"/>
      <c r="AL282" s="100"/>
      <c r="AM282" s="100"/>
      <c r="AN282" s="100"/>
      <c r="AO282" s="100"/>
      <c r="AP282" s="100"/>
      <c r="AQ282" s="100"/>
    </row>
    <row r="283" spans="24:43">
      <c r="X283" s="114" t="s">
        <v>13998</v>
      </c>
      <c r="Y283" s="115">
        <v>6150</v>
      </c>
      <c r="Z283" s="116">
        <f t="shared" si="28"/>
        <v>6150</v>
      </c>
      <c r="AA283" s="114" t="s">
        <v>2229</v>
      </c>
      <c r="AB283" s="117">
        <f t="shared" si="29"/>
        <v>6150</v>
      </c>
      <c r="AC283" s="114" t="s">
        <v>2228</v>
      </c>
      <c r="AD283" s="117">
        <f t="shared" si="30"/>
        <v>0</v>
      </c>
      <c r="AE283" s="114" t="s">
        <v>2227</v>
      </c>
      <c r="AF283" s="117">
        <f t="shared" si="31"/>
        <v>0</v>
      </c>
      <c r="AG283" s="114" t="s">
        <v>2226</v>
      </c>
      <c r="AH283" s="116">
        <v>246</v>
      </c>
      <c r="AI283" s="100"/>
      <c r="AJ283" s="100"/>
      <c r="AK283" s="100"/>
      <c r="AL283" s="100"/>
      <c r="AM283" s="100"/>
      <c r="AN283" s="100"/>
      <c r="AO283" s="100"/>
      <c r="AP283" s="100"/>
      <c r="AQ283" s="100"/>
    </row>
    <row r="284" spans="24:43">
      <c r="X284" s="114" t="s">
        <v>13999</v>
      </c>
      <c r="Y284" s="115">
        <v>34125</v>
      </c>
      <c r="Z284" s="116">
        <f t="shared" si="28"/>
        <v>34125</v>
      </c>
      <c r="AA284" s="114" t="s">
        <v>2229</v>
      </c>
      <c r="AB284" s="117">
        <f t="shared" si="29"/>
        <v>34125</v>
      </c>
      <c r="AC284" s="114" t="s">
        <v>2228</v>
      </c>
      <c r="AD284" s="117">
        <f t="shared" si="30"/>
        <v>0</v>
      </c>
      <c r="AE284" s="114" t="s">
        <v>2227</v>
      </c>
      <c r="AF284" s="117">
        <f t="shared" si="31"/>
        <v>0</v>
      </c>
      <c r="AG284" s="114" t="s">
        <v>2226</v>
      </c>
      <c r="AH284" s="116">
        <v>1365</v>
      </c>
      <c r="AI284" s="100"/>
      <c r="AJ284" s="100"/>
      <c r="AK284" s="100"/>
      <c r="AL284" s="100"/>
      <c r="AM284" s="100"/>
      <c r="AN284" s="100"/>
      <c r="AO284" s="100"/>
      <c r="AP284" s="100"/>
      <c r="AQ284" s="100"/>
    </row>
    <row r="285" spans="24:43">
      <c r="X285" s="114" t="s">
        <v>14000</v>
      </c>
      <c r="Y285" s="115">
        <v>4037.625</v>
      </c>
      <c r="Z285" s="116">
        <f t="shared" si="28"/>
        <v>4037.625</v>
      </c>
      <c r="AA285" s="114" t="s">
        <v>2229</v>
      </c>
      <c r="AB285" s="117">
        <f t="shared" si="29"/>
        <v>4037</v>
      </c>
      <c r="AC285" s="114" t="s">
        <v>2228</v>
      </c>
      <c r="AD285" s="117">
        <f t="shared" si="30"/>
        <v>6</v>
      </c>
      <c r="AE285" s="114" t="s">
        <v>2227</v>
      </c>
      <c r="AF285" s="117">
        <f t="shared" si="31"/>
        <v>2.5</v>
      </c>
      <c r="AG285" s="114" t="s">
        <v>2226</v>
      </c>
      <c r="AH285" s="116">
        <v>161.5</v>
      </c>
      <c r="AI285" s="100"/>
      <c r="AJ285" s="100"/>
      <c r="AK285" s="100"/>
      <c r="AL285" s="100"/>
      <c r="AM285" s="100"/>
      <c r="AN285" s="100"/>
      <c r="AO285" s="100"/>
      <c r="AP285" s="100"/>
      <c r="AQ285" s="100"/>
    </row>
    <row r="286" spans="24:43">
      <c r="X286" s="114" t="s">
        <v>14001</v>
      </c>
      <c r="Y286" s="115">
        <v>112500.5</v>
      </c>
      <c r="Z286" s="116">
        <f t="shared" si="28"/>
        <v>112500.5</v>
      </c>
      <c r="AA286" s="114" t="s">
        <v>2229</v>
      </c>
      <c r="AB286" s="117">
        <f t="shared" si="29"/>
        <v>112500</v>
      </c>
      <c r="AC286" s="114" t="s">
        <v>2228</v>
      </c>
      <c r="AD286" s="117">
        <f t="shared" si="30"/>
        <v>5</v>
      </c>
      <c r="AE286" s="114" t="s">
        <v>2227</v>
      </c>
      <c r="AF286" s="117">
        <f t="shared" si="31"/>
        <v>0</v>
      </c>
      <c r="AG286" s="114" t="s">
        <v>2226</v>
      </c>
      <c r="AH286" s="116">
        <v>4500.0200000000004</v>
      </c>
      <c r="AI286" s="100"/>
      <c r="AJ286" s="100"/>
      <c r="AK286" s="100"/>
      <c r="AL286" s="100"/>
      <c r="AM286" s="100"/>
      <c r="AN286" s="100"/>
      <c r="AO286" s="100"/>
      <c r="AP286" s="100"/>
      <c r="AQ286" s="100"/>
    </row>
    <row r="287" spans="24:43">
      <c r="X287" s="114" t="s">
        <v>14002</v>
      </c>
      <c r="Y287" s="115">
        <v>412.625</v>
      </c>
      <c r="Z287" s="116">
        <f t="shared" si="28"/>
        <v>412.625</v>
      </c>
      <c r="AA287" s="114" t="s">
        <v>2229</v>
      </c>
      <c r="AB287" s="117">
        <f t="shared" si="29"/>
        <v>412</v>
      </c>
      <c r="AC287" s="114" t="s">
        <v>2228</v>
      </c>
      <c r="AD287" s="117">
        <f t="shared" si="30"/>
        <v>6</v>
      </c>
      <c r="AE287" s="114" t="s">
        <v>2227</v>
      </c>
      <c r="AF287" s="117">
        <f t="shared" si="31"/>
        <v>2.5</v>
      </c>
      <c r="AG287" s="114" t="s">
        <v>2226</v>
      </c>
      <c r="AH287" s="116">
        <v>16.5</v>
      </c>
      <c r="AI287" s="100"/>
      <c r="AJ287" s="100"/>
      <c r="AK287" s="100"/>
      <c r="AL287" s="100"/>
      <c r="AM287" s="100"/>
      <c r="AN287" s="100"/>
      <c r="AO287" s="100"/>
      <c r="AP287" s="100"/>
      <c r="AQ287" s="100"/>
    </row>
    <row r="288" spans="24:43">
      <c r="X288" s="114" t="s">
        <v>14003</v>
      </c>
      <c r="Y288" s="115">
        <v>325.25</v>
      </c>
      <c r="Z288" s="116">
        <f t="shared" si="28"/>
        <v>325.25</v>
      </c>
      <c r="AA288" s="114" t="s">
        <v>2229</v>
      </c>
      <c r="AB288" s="117">
        <f t="shared" si="29"/>
        <v>325</v>
      </c>
      <c r="AC288" s="114" t="s">
        <v>2228</v>
      </c>
      <c r="AD288" s="117">
        <f t="shared" si="30"/>
        <v>2</v>
      </c>
      <c r="AE288" s="114" t="s">
        <v>2227</v>
      </c>
      <c r="AF288" s="117">
        <f t="shared" si="31"/>
        <v>5</v>
      </c>
      <c r="AG288" s="114" t="s">
        <v>2226</v>
      </c>
      <c r="AH288" s="116">
        <v>13.01</v>
      </c>
      <c r="AI288" s="100"/>
      <c r="AJ288" s="100"/>
      <c r="AK288" s="100"/>
      <c r="AL288" s="100"/>
      <c r="AM288" s="100"/>
      <c r="AN288" s="100"/>
      <c r="AO288" s="100"/>
      <c r="AP288" s="100"/>
      <c r="AQ288" s="100"/>
    </row>
    <row r="289" spans="24:43">
      <c r="X289" s="114" t="s">
        <v>9305</v>
      </c>
      <c r="Y289" s="115">
        <v>2000</v>
      </c>
      <c r="Z289" s="116">
        <f t="shared" si="28"/>
        <v>2000</v>
      </c>
      <c r="AA289" s="114" t="s">
        <v>2229</v>
      </c>
      <c r="AB289" s="117">
        <f t="shared" si="29"/>
        <v>2000</v>
      </c>
      <c r="AC289" s="114" t="s">
        <v>2228</v>
      </c>
      <c r="AD289" s="117">
        <f t="shared" si="30"/>
        <v>0</v>
      </c>
      <c r="AE289" s="114" t="s">
        <v>2227</v>
      </c>
      <c r="AF289" s="117">
        <f t="shared" si="31"/>
        <v>0</v>
      </c>
      <c r="AG289" s="114" t="s">
        <v>2226</v>
      </c>
      <c r="AH289" s="116">
        <v>80</v>
      </c>
      <c r="AI289" s="100"/>
      <c r="AJ289" s="100"/>
      <c r="AK289" s="100"/>
      <c r="AL289" s="100"/>
      <c r="AM289" s="100"/>
      <c r="AN289" s="100"/>
      <c r="AO289" s="100"/>
      <c r="AP289" s="100"/>
      <c r="AQ289" s="100"/>
    </row>
    <row r="290" spans="24:43">
      <c r="X290" s="114" t="s">
        <v>14004</v>
      </c>
      <c r="Y290" s="115">
        <v>80</v>
      </c>
      <c r="Z290" s="116">
        <f t="shared" si="28"/>
        <v>80</v>
      </c>
      <c r="AA290" s="114" t="s">
        <v>2229</v>
      </c>
      <c r="AB290" s="117">
        <f t="shared" si="29"/>
        <v>80</v>
      </c>
      <c r="AC290" s="114" t="s">
        <v>2228</v>
      </c>
      <c r="AD290" s="117">
        <f t="shared" si="30"/>
        <v>0</v>
      </c>
      <c r="AE290" s="114" t="s">
        <v>2227</v>
      </c>
      <c r="AF290" s="117">
        <f t="shared" si="31"/>
        <v>0</v>
      </c>
      <c r="AG290" s="114" t="s">
        <v>2226</v>
      </c>
      <c r="AH290" s="116">
        <v>3.2</v>
      </c>
      <c r="AI290" s="100"/>
      <c r="AJ290" s="100"/>
      <c r="AK290" s="100"/>
      <c r="AL290" s="100"/>
      <c r="AM290" s="100"/>
      <c r="AN290" s="100"/>
      <c r="AO290" s="100"/>
      <c r="AP290" s="100"/>
      <c r="AQ290" s="100"/>
    </row>
    <row r="291" spans="24:43">
      <c r="X291" s="114" t="s">
        <v>14005</v>
      </c>
      <c r="Y291" s="115">
        <v>31250.25</v>
      </c>
      <c r="Z291" s="116">
        <f t="shared" si="28"/>
        <v>31250.25</v>
      </c>
      <c r="AA291" s="114" t="s">
        <v>2229</v>
      </c>
      <c r="AB291" s="117">
        <f t="shared" si="29"/>
        <v>31250</v>
      </c>
      <c r="AC291" s="114" t="s">
        <v>2228</v>
      </c>
      <c r="AD291" s="117">
        <f t="shared" si="30"/>
        <v>2</v>
      </c>
      <c r="AE291" s="114" t="s">
        <v>2227</v>
      </c>
      <c r="AF291" s="117">
        <f t="shared" si="31"/>
        <v>5</v>
      </c>
      <c r="AG291" s="114" t="s">
        <v>2226</v>
      </c>
      <c r="AH291" s="116">
        <v>1250.01</v>
      </c>
      <c r="AI291" s="100"/>
      <c r="AJ291" s="100"/>
      <c r="AK291" s="100"/>
      <c r="AL291" s="100"/>
      <c r="AM291" s="100"/>
      <c r="AN291" s="100"/>
      <c r="AO291" s="100"/>
      <c r="AP291" s="100"/>
      <c r="AQ291" s="100"/>
    </row>
    <row r="292" spans="24:43">
      <c r="X292" s="114" t="s">
        <v>14006</v>
      </c>
      <c r="Y292" s="115">
        <v>112500.5</v>
      </c>
      <c r="Z292" s="116">
        <f t="shared" si="28"/>
        <v>112500.5</v>
      </c>
      <c r="AA292" s="114" t="s">
        <v>2229</v>
      </c>
      <c r="AB292" s="117">
        <f t="shared" si="29"/>
        <v>112500</v>
      </c>
      <c r="AC292" s="114" t="s">
        <v>2228</v>
      </c>
      <c r="AD292" s="117">
        <f t="shared" si="30"/>
        <v>5</v>
      </c>
      <c r="AE292" s="114" t="s">
        <v>2227</v>
      </c>
      <c r="AF292" s="117">
        <f t="shared" si="31"/>
        <v>0</v>
      </c>
      <c r="AG292" s="114" t="s">
        <v>2226</v>
      </c>
      <c r="AH292" s="116">
        <v>4500.0200000000004</v>
      </c>
      <c r="AI292" s="100"/>
      <c r="AJ292" s="100"/>
      <c r="AK292" s="100"/>
      <c r="AL292" s="100"/>
      <c r="AM292" s="100"/>
      <c r="AN292" s="100"/>
      <c r="AO292" s="100"/>
      <c r="AP292" s="100"/>
      <c r="AQ292" s="100"/>
    </row>
    <row r="293" spans="24:43">
      <c r="X293" s="114" t="s">
        <v>14007</v>
      </c>
      <c r="Y293" s="115">
        <v>115000</v>
      </c>
      <c r="Z293" s="116">
        <f t="shared" si="28"/>
        <v>115000</v>
      </c>
      <c r="AA293" s="114" t="s">
        <v>2229</v>
      </c>
      <c r="AB293" s="117">
        <f t="shared" si="29"/>
        <v>115000</v>
      </c>
      <c r="AC293" s="114" t="s">
        <v>2228</v>
      </c>
      <c r="AD293" s="117">
        <f t="shared" si="30"/>
        <v>0</v>
      </c>
      <c r="AE293" s="114" t="s">
        <v>2227</v>
      </c>
      <c r="AF293" s="117">
        <f t="shared" si="31"/>
        <v>0</v>
      </c>
      <c r="AG293" s="114" t="s">
        <v>2226</v>
      </c>
      <c r="AH293" s="116">
        <v>4600</v>
      </c>
      <c r="AI293" s="100"/>
      <c r="AJ293" s="100"/>
      <c r="AK293" s="100"/>
      <c r="AL293" s="100"/>
      <c r="AM293" s="100"/>
      <c r="AN293" s="100"/>
      <c r="AO293" s="100"/>
      <c r="AP293" s="100"/>
      <c r="AQ293" s="100"/>
    </row>
    <row r="294" spans="24:43">
      <c r="X294" s="114" t="s">
        <v>14008</v>
      </c>
      <c r="Y294" s="115">
        <v>81750.25</v>
      </c>
      <c r="Z294" s="116">
        <f t="shared" si="28"/>
        <v>81750.25</v>
      </c>
      <c r="AA294" s="114" t="s">
        <v>2229</v>
      </c>
      <c r="AB294" s="117">
        <f t="shared" si="29"/>
        <v>81750</v>
      </c>
      <c r="AC294" s="114" t="s">
        <v>2228</v>
      </c>
      <c r="AD294" s="117">
        <f t="shared" si="30"/>
        <v>2</v>
      </c>
      <c r="AE294" s="114" t="s">
        <v>2227</v>
      </c>
      <c r="AF294" s="117">
        <f t="shared" si="31"/>
        <v>5</v>
      </c>
      <c r="AG294" s="114" t="s">
        <v>2226</v>
      </c>
      <c r="AH294" s="116">
        <v>3270.01</v>
      </c>
      <c r="AI294" s="100"/>
      <c r="AJ294" s="100"/>
      <c r="AK294" s="100"/>
      <c r="AL294" s="100"/>
      <c r="AM294" s="100"/>
      <c r="AN294" s="100"/>
      <c r="AO294" s="100"/>
      <c r="AP294" s="100"/>
      <c r="AQ294" s="100"/>
    </row>
    <row r="295" spans="24:43">
      <c r="X295" s="114" t="s">
        <v>14009</v>
      </c>
      <c r="Y295" s="115">
        <v>6875.25</v>
      </c>
      <c r="Z295" s="116">
        <f t="shared" si="28"/>
        <v>6875.25</v>
      </c>
      <c r="AA295" s="114" t="s">
        <v>2229</v>
      </c>
      <c r="AB295" s="117">
        <f t="shared" si="29"/>
        <v>6875</v>
      </c>
      <c r="AC295" s="114" t="s">
        <v>2228</v>
      </c>
      <c r="AD295" s="117">
        <f t="shared" si="30"/>
        <v>2</v>
      </c>
      <c r="AE295" s="114" t="s">
        <v>2227</v>
      </c>
      <c r="AF295" s="117">
        <f t="shared" si="31"/>
        <v>5</v>
      </c>
      <c r="AG295" s="114" t="s">
        <v>2226</v>
      </c>
      <c r="AH295" s="116">
        <v>275.01</v>
      </c>
      <c r="AI295" s="100"/>
      <c r="AJ295" s="100"/>
      <c r="AK295" s="100"/>
      <c r="AL295" s="100"/>
      <c r="AM295" s="100"/>
      <c r="AN295" s="100"/>
      <c r="AO295" s="100"/>
      <c r="AP295" s="100"/>
      <c r="AQ295" s="100"/>
    </row>
    <row r="296" spans="24:43">
      <c r="X296" s="114" t="s">
        <v>14010</v>
      </c>
      <c r="Y296" s="115">
        <v>1475</v>
      </c>
      <c r="Z296" s="116">
        <f t="shared" si="28"/>
        <v>1475</v>
      </c>
      <c r="AA296" s="114" t="s">
        <v>2229</v>
      </c>
      <c r="AB296" s="117">
        <f t="shared" si="29"/>
        <v>1475</v>
      </c>
      <c r="AC296" s="114" t="s">
        <v>2228</v>
      </c>
      <c r="AD296" s="117">
        <f t="shared" si="30"/>
        <v>0</v>
      </c>
      <c r="AE296" s="114" t="s">
        <v>2227</v>
      </c>
      <c r="AF296" s="117">
        <f t="shared" si="31"/>
        <v>0</v>
      </c>
      <c r="AG296" s="114" t="s">
        <v>2226</v>
      </c>
      <c r="AH296" s="116">
        <v>59</v>
      </c>
      <c r="AI296" s="100"/>
      <c r="AJ296" s="100"/>
      <c r="AK296" s="100"/>
      <c r="AL296" s="100"/>
      <c r="AM296" s="100"/>
      <c r="AN296" s="100"/>
      <c r="AO296" s="100"/>
      <c r="AP296" s="100"/>
      <c r="AQ296" s="100"/>
    </row>
    <row r="297" spans="24:43">
      <c r="X297" s="114" t="s">
        <v>14011</v>
      </c>
      <c r="Y297" s="115">
        <v>72.5</v>
      </c>
      <c r="Z297" s="116">
        <f t="shared" si="28"/>
        <v>72.5</v>
      </c>
      <c r="AA297" s="114" t="s">
        <v>2229</v>
      </c>
      <c r="AB297" s="117">
        <f t="shared" si="29"/>
        <v>72</v>
      </c>
      <c r="AC297" s="114" t="s">
        <v>2228</v>
      </c>
      <c r="AD297" s="117">
        <f t="shared" si="30"/>
        <v>5</v>
      </c>
      <c r="AE297" s="114" t="s">
        <v>2227</v>
      </c>
      <c r="AF297" s="117">
        <f t="shared" si="31"/>
        <v>0</v>
      </c>
      <c r="AG297" s="114" t="s">
        <v>2226</v>
      </c>
      <c r="AH297" s="116">
        <v>2.9</v>
      </c>
      <c r="AI297" s="100"/>
      <c r="AJ297" s="100"/>
      <c r="AK297" s="100"/>
      <c r="AL297" s="100"/>
      <c r="AM297" s="100"/>
      <c r="AN297" s="100"/>
      <c r="AO297" s="100"/>
      <c r="AP297" s="100"/>
      <c r="AQ297" s="100"/>
    </row>
    <row r="298" spans="24:43">
      <c r="X298" s="114" t="s">
        <v>14012</v>
      </c>
      <c r="Y298" s="115">
        <v>6875.25</v>
      </c>
      <c r="Z298" s="116">
        <f t="shared" si="28"/>
        <v>6875.25</v>
      </c>
      <c r="AA298" s="114" t="s">
        <v>2229</v>
      </c>
      <c r="AB298" s="117">
        <f t="shared" si="29"/>
        <v>6875</v>
      </c>
      <c r="AC298" s="114" t="s">
        <v>2228</v>
      </c>
      <c r="AD298" s="117">
        <f t="shared" si="30"/>
        <v>2</v>
      </c>
      <c r="AE298" s="114" t="s">
        <v>2227</v>
      </c>
      <c r="AF298" s="117">
        <f t="shared" si="31"/>
        <v>5</v>
      </c>
      <c r="AG298" s="114" t="s">
        <v>2226</v>
      </c>
      <c r="AH298" s="116">
        <v>275.01</v>
      </c>
      <c r="AI298" s="100"/>
      <c r="AJ298" s="100"/>
      <c r="AK298" s="100"/>
      <c r="AL298" s="100"/>
      <c r="AM298" s="100"/>
      <c r="AN298" s="100"/>
      <c r="AO298" s="100"/>
      <c r="AP298" s="100"/>
      <c r="AQ298" s="100"/>
    </row>
    <row r="299" spans="24:43">
      <c r="X299" s="114" t="s">
        <v>14013</v>
      </c>
      <c r="Y299" s="115">
        <v>6700</v>
      </c>
      <c r="Z299" s="116">
        <f t="shared" si="28"/>
        <v>6700</v>
      </c>
      <c r="AA299" s="114" t="s">
        <v>2229</v>
      </c>
      <c r="AB299" s="117">
        <f t="shared" si="29"/>
        <v>6700</v>
      </c>
      <c r="AC299" s="114" t="s">
        <v>2228</v>
      </c>
      <c r="AD299" s="117">
        <f t="shared" si="30"/>
        <v>0</v>
      </c>
      <c r="AE299" s="114" t="s">
        <v>2227</v>
      </c>
      <c r="AF299" s="117">
        <f t="shared" si="31"/>
        <v>0</v>
      </c>
      <c r="AG299" s="114" t="s">
        <v>2226</v>
      </c>
      <c r="AH299" s="116">
        <v>268</v>
      </c>
      <c r="AI299" s="100"/>
      <c r="AJ299" s="100"/>
      <c r="AK299" s="100"/>
      <c r="AL299" s="100"/>
      <c r="AM299" s="100"/>
      <c r="AN299" s="100"/>
      <c r="AO299" s="100"/>
      <c r="AP299" s="100"/>
      <c r="AQ299" s="100"/>
    </row>
    <row r="300" spans="24:43">
      <c r="X300" s="114" t="s">
        <v>14014</v>
      </c>
      <c r="Y300" s="115">
        <v>15600</v>
      </c>
      <c r="Z300" s="116">
        <f t="shared" si="28"/>
        <v>15600</v>
      </c>
      <c r="AA300" s="114" t="s">
        <v>2229</v>
      </c>
      <c r="AB300" s="117">
        <f t="shared" si="29"/>
        <v>15600</v>
      </c>
      <c r="AC300" s="114" t="s">
        <v>2228</v>
      </c>
      <c r="AD300" s="117">
        <f t="shared" si="30"/>
        <v>0</v>
      </c>
      <c r="AE300" s="114" t="s">
        <v>2227</v>
      </c>
      <c r="AF300" s="117">
        <f t="shared" si="31"/>
        <v>0</v>
      </c>
      <c r="AG300" s="114" t="s">
        <v>2226</v>
      </c>
      <c r="AH300" s="116">
        <v>624</v>
      </c>
      <c r="AI300" s="100"/>
      <c r="AJ300" s="100"/>
      <c r="AK300" s="100"/>
      <c r="AL300" s="100"/>
      <c r="AM300" s="100"/>
      <c r="AN300" s="100"/>
      <c r="AO300" s="100"/>
      <c r="AP300" s="100"/>
      <c r="AQ300" s="100"/>
    </row>
    <row r="301" spans="24:43">
      <c r="X301" s="114" t="s">
        <v>14015</v>
      </c>
      <c r="Y301" s="115">
        <v>32000</v>
      </c>
      <c r="Z301" s="116">
        <f t="shared" si="28"/>
        <v>32000</v>
      </c>
      <c r="AA301" s="114" t="s">
        <v>2229</v>
      </c>
      <c r="AB301" s="117">
        <f t="shared" si="29"/>
        <v>32000</v>
      </c>
      <c r="AC301" s="114" t="s">
        <v>2228</v>
      </c>
      <c r="AD301" s="117">
        <f t="shared" si="30"/>
        <v>0</v>
      </c>
      <c r="AE301" s="114" t="s">
        <v>2227</v>
      </c>
      <c r="AF301" s="117">
        <f t="shared" si="31"/>
        <v>0</v>
      </c>
      <c r="AG301" s="114" t="s">
        <v>2226</v>
      </c>
      <c r="AH301" s="116">
        <v>1280</v>
      </c>
      <c r="AI301" s="100"/>
      <c r="AJ301" s="100"/>
      <c r="AK301" s="100"/>
      <c r="AL301" s="100"/>
      <c r="AM301" s="100"/>
      <c r="AN301" s="100"/>
      <c r="AO301" s="100"/>
      <c r="AP301" s="100"/>
      <c r="AQ301" s="100"/>
    </row>
    <row r="302" spans="24:43">
      <c r="X302" s="114" t="s">
        <v>14016</v>
      </c>
      <c r="Y302" s="115">
        <v>5300</v>
      </c>
      <c r="Z302" s="116">
        <f t="shared" si="28"/>
        <v>5300</v>
      </c>
      <c r="AA302" s="114" t="s">
        <v>2229</v>
      </c>
      <c r="AB302" s="117">
        <f t="shared" si="29"/>
        <v>5300</v>
      </c>
      <c r="AC302" s="114" t="s">
        <v>2228</v>
      </c>
      <c r="AD302" s="117">
        <f t="shared" si="30"/>
        <v>0</v>
      </c>
      <c r="AE302" s="114" t="s">
        <v>2227</v>
      </c>
      <c r="AF302" s="117">
        <f t="shared" si="31"/>
        <v>0</v>
      </c>
      <c r="AG302" s="114" t="s">
        <v>2226</v>
      </c>
      <c r="AH302" s="116">
        <v>212</v>
      </c>
      <c r="AI302" s="100"/>
      <c r="AJ302" s="100"/>
      <c r="AK302" s="100"/>
      <c r="AL302" s="100"/>
      <c r="AM302" s="100"/>
      <c r="AN302" s="100"/>
      <c r="AO302" s="100"/>
      <c r="AP302" s="100"/>
      <c r="AQ302" s="100"/>
    </row>
    <row r="303" spans="24:43">
      <c r="X303" s="114" t="s">
        <v>14017</v>
      </c>
      <c r="Y303" s="115">
        <v>31250.25</v>
      </c>
      <c r="Z303" s="116">
        <f t="shared" si="28"/>
        <v>31250.25</v>
      </c>
      <c r="AA303" s="114" t="s">
        <v>2229</v>
      </c>
      <c r="AB303" s="117">
        <f t="shared" si="29"/>
        <v>31250</v>
      </c>
      <c r="AC303" s="114" t="s">
        <v>2228</v>
      </c>
      <c r="AD303" s="117">
        <f t="shared" si="30"/>
        <v>2</v>
      </c>
      <c r="AE303" s="114" t="s">
        <v>2227</v>
      </c>
      <c r="AF303" s="117">
        <f t="shared" si="31"/>
        <v>5</v>
      </c>
      <c r="AG303" s="114" t="s">
        <v>2226</v>
      </c>
      <c r="AH303" s="116">
        <v>1250.01</v>
      </c>
      <c r="AI303" s="100"/>
      <c r="AJ303" s="100"/>
      <c r="AK303" s="100"/>
      <c r="AL303" s="100"/>
      <c r="AM303" s="100"/>
      <c r="AN303" s="100"/>
      <c r="AO303" s="100"/>
      <c r="AP303" s="100"/>
      <c r="AQ303" s="100"/>
    </row>
    <row r="304" spans="24:43">
      <c r="X304" s="114" t="s">
        <v>14018</v>
      </c>
      <c r="Y304" s="115">
        <v>3750</v>
      </c>
      <c r="Z304" s="116">
        <f t="shared" si="28"/>
        <v>3750</v>
      </c>
      <c r="AA304" s="114" t="s">
        <v>2229</v>
      </c>
      <c r="AB304" s="117">
        <f t="shared" si="29"/>
        <v>3750</v>
      </c>
      <c r="AC304" s="114" t="s">
        <v>2228</v>
      </c>
      <c r="AD304" s="117">
        <f t="shared" si="30"/>
        <v>0</v>
      </c>
      <c r="AE304" s="114" t="s">
        <v>2227</v>
      </c>
      <c r="AF304" s="117">
        <f t="shared" si="31"/>
        <v>0</v>
      </c>
      <c r="AG304" s="114" t="s">
        <v>2226</v>
      </c>
      <c r="AH304" s="116">
        <v>150</v>
      </c>
      <c r="AI304" s="100"/>
      <c r="AJ304" s="100"/>
      <c r="AK304" s="100"/>
      <c r="AL304" s="100"/>
      <c r="AM304" s="100"/>
      <c r="AN304" s="100"/>
      <c r="AO304" s="100"/>
      <c r="AP304" s="100"/>
      <c r="AQ304" s="100"/>
    </row>
    <row r="305" spans="24:43">
      <c r="X305" s="114" t="s">
        <v>14019</v>
      </c>
      <c r="Y305" s="115">
        <v>4000</v>
      </c>
      <c r="Z305" s="116">
        <f t="shared" si="28"/>
        <v>4000</v>
      </c>
      <c r="AA305" s="114" t="s">
        <v>2229</v>
      </c>
      <c r="AB305" s="117">
        <f t="shared" si="29"/>
        <v>4000</v>
      </c>
      <c r="AC305" s="114" t="s">
        <v>2228</v>
      </c>
      <c r="AD305" s="117">
        <f t="shared" si="30"/>
        <v>0</v>
      </c>
      <c r="AE305" s="114" t="s">
        <v>2227</v>
      </c>
      <c r="AF305" s="117">
        <f t="shared" si="31"/>
        <v>0</v>
      </c>
      <c r="AG305" s="114" t="s">
        <v>2226</v>
      </c>
      <c r="AH305" s="116">
        <v>160</v>
      </c>
      <c r="AI305" s="100"/>
      <c r="AJ305" s="100"/>
      <c r="AK305" s="100"/>
      <c r="AL305" s="100"/>
      <c r="AM305" s="100"/>
      <c r="AN305" s="100"/>
      <c r="AO305" s="100"/>
      <c r="AP305" s="100"/>
      <c r="AQ305" s="100"/>
    </row>
    <row r="306" spans="24:43">
      <c r="X306" s="114" t="s">
        <v>14020</v>
      </c>
      <c r="Y306" s="115">
        <v>18125.125</v>
      </c>
      <c r="Z306" s="116">
        <f t="shared" si="28"/>
        <v>18125.125</v>
      </c>
      <c r="AA306" s="114" t="s">
        <v>2229</v>
      </c>
      <c r="AB306" s="117">
        <f t="shared" si="29"/>
        <v>18125</v>
      </c>
      <c r="AC306" s="114" t="s">
        <v>2228</v>
      </c>
      <c r="AD306" s="117">
        <f t="shared" si="30"/>
        <v>1</v>
      </c>
      <c r="AE306" s="114" t="s">
        <v>2227</v>
      </c>
      <c r="AF306" s="117">
        <f t="shared" si="31"/>
        <v>2.5</v>
      </c>
      <c r="AG306" s="114" t="s">
        <v>2226</v>
      </c>
      <c r="AH306" s="116">
        <v>725</v>
      </c>
      <c r="AI306" s="100"/>
      <c r="AJ306" s="100"/>
      <c r="AK306" s="100"/>
      <c r="AL306" s="100"/>
      <c r="AM306" s="100"/>
      <c r="AN306" s="100"/>
      <c r="AO306" s="100"/>
      <c r="AP306" s="100"/>
      <c r="AQ306" s="100"/>
    </row>
    <row r="307" spans="24:43">
      <c r="X307" s="114" t="s">
        <v>14021</v>
      </c>
      <c r="Y307" s="115">
        <v>81500.25</v>
      </c>
      <c r="Z307" s="116">
        <f t="shared" si="28"/>
        <v>81500.25</v>
      </c>
      <c r="AA307" s="114" t="s">
        <v>2229</v>
      </c>
      <c r="AB307" s="117">
        <f t="shared" si="29"/>
        <v>81500</v>
      </c>
      <c r="AC307" s="114" t="s">
        <v>2228</v>
      </c>
      <c r="AD307" s="117">
        <f t="shared" si="30"/>
        <v>2</v>
      </c>
      <c r="AE307" s="114" t="s">
        <v>2227</v>
      </c>
      <c r="AF307" s="117">
        <f t="shared" si="31"/>
        <v>5</v>
      </c>
      <c r="AG307" s="114" t="s">
        <v>2226</v>
      </c>
      <c r="AH307" s="116">
        <v>3260.01</v>
      </c>
      <c r="AI307" s="100"/>
      <c r="AJ307" s="100"/>
      <c r="AK307" s="100"/>
      <c r="AL307" s="100"/>
      <c r="AM307" s="100"/>
      <c r="AN307" s="100"/>
      <c r="AO307" s="100"/>
      <c r="AP307" s="100"/>
      <c r="AQ307" s="100"/>
    </row>
    <row r="308" spans="24:43">
      <c r="X308" s="114" t="s">
        <v>14022</v>
      </c>
      <c r="Y308" s="115">
        <v>60</v>
      </c>
      <c r="Z308" s="116">
        <f t="shared" si="28"/>
        <v>60</v>
      </c>
      <c r="AA308" s="114" t="s">
        <v>2229</v>
      </c>
      <c r="AB308" s="117">
        <f t="shared" si="29"/>
        <v>60</v>
      </c>
      <c r="AC308" s="114" t="s">
        <v>2228</v>
      </c>
      <c r="AD308" s="117">
        <f t="shared" si="30"/>
        <v>0</v>
      </c>
      <c r="AE308" s="114" t="s">
        <v>2227</v>
      </c>
      <c r="AF308" s="117">
        <f t="shared" si="31"/>
        <v>0</v>
      </c>
      <c r="AG308" s="114" t="s">
        <v>2226</v>
      </c>
      <c r="AH308" s="116">
        <v>2.4</v>
      </c>
      <c r="AI308" s="100"/>
      <c r="AJ308" s="100"/>
      <c r="AK308" s="100"/>
      <c r="AL308" s="100"/>
      <c r="AM308" s="100"/>
      <c r="AN308" s="100"/>
      <c r="AO308" s="100"/>
      <c r="AP308" s="100"/>
      <c r="AQ308" s="100"/>
    </row>
    <row r="309" spans="24:43">
      <c r="X309" s="114" t="s">
        <v>14023</v>
      </c>
      <c r="Y309" s="115">
        <v>22375.125</v>
      </c>
      <c r="Z309" s="116">
        <f t="shared" si="28"/>
        <v>22375.125</v>
      </c>
      <c r="AA309" s="114" t="s">
        <v>2229</v>
      </c>
      <c r="AB309" s="117">
        <f t="shared" si="29"/>
        <v>22375</v>
      </c>
      <c r="AC309" s="114" t="s">
        <v>2228</v>
      </c>
      <c r="AD309" s="117">
        <f t="shared" si="30"/>
        <v>1</v>
      </c>
      <c r="AE309" s="114" t="s">
        <v>2227</v>
      </c>
      <c r="AF309" s="117">
        <f t="shared" si="31"/>
        <v>2.5</v>
      </c>
      <c r="AG309" s="114" t="s">
        <v>2226</v>
      </c>
      <c r="AH309" s="116">
        <v>895</v>
      </c>
      <c r="AI309" s="100"/>
      <c r="AJ309" s="100"/>
      <c r="AK309" s="100"/>
      <c r="AL309" s="100"/>
      <c r="AM309" s="100"/>
      <c r="AN309" s="100"/>
      <c r="AO309" s="100"/>
      <c r="AP309" s="100"/>
      <c r="AQ309" s="100"/>
    </row>
    <row r="310" spans="24:43">
      <c r="X310" s="114" t="s">
        <v>14024</v>
      </c>
      <c r="Y310" s="115">
        <v>67.5</v>
      </c>
      <c r="Z310" s="116">
        <f t="shared" si="28"/>
        <v>67.5</v>
      </c>
      <c r="AA310" s="114" t="s">
        <v>2229</v>
      </c>
      <c r="AB310" s="117">
        <f t="shared" si="29"/>
        <v>67</v>
      </c>
      <c r="AC310" s="114" t="s">
        <v>2228</v>
      </c>
      <c r="AD310" s="117">
        <f t="shared" si="30"/>
        <v>5</v>
      </c>
      <c r="AE310" s="114" t="s">
        <v>2227</v>
      </c>
      <c r="AF310" s="117">
        <f t="shared" si="31"/>
        <v>0</v>
      </c>
      <c r="AG310" s="114" t="s">
        <v>2226</v>
      </c>
      <c r="AH310" s="116">
        <v>2.7</v>
      </c>
      <c r="AI310" s="100"/>
      <c r="AJ310" s="100"/>
      <c r="AK310" s="100"/>
      <c r="AL310" s="100"/>
      <c r="AM310" s="100"/>
      <c r="AN310" s="100"/>
      <c r="AO310" s="100"/>
      <c r="AP310" s="100"/>
      <c r="AQ310" s="100"/>
    </row>
    <row r="311" spans="24:43">
      <c r="X311" s="114" t="s">
        <v>8932</v>
      </c>
      <c r="Y311" s="115">
        <v>2750</v>
      </c>
      <c r="Z311" s="116">
        <f t="shared" si="28"/>
        <v>2750</v>
      </c>
      <c r="AA311" s="114" t="s">
        <v>2229</v>
      </c>
      <c r="AB311" s="117">
        <f t="shared" si="29"/>
        <v>2750</v>
      </c>
      <c r="AC311" s="114" t="s">
        <v>2228</v>
      </c>
      <c r="AD311" s="117">
        <f t="shared" si="30"/>
        <v>0</v>
      </c>
      <c r="AE311" s="114" t="s">
        <v>2227</v>
      </c>
      <c r="AF311" s="117">
        <f t="shared" si="31"/>
        <v>0</v>
      </c>
      <c r="AG311" s="114" t="s">
        <v>2226</v>
      </c>
      <c r="AH311" s="116">
        <v>110</v>
      </c>
      <c r="AI311" s="100"/>
      <c r="AJ311" s="100"/>
      <c r="AK311" s="100"/>
      <c r="AL311" s="100"/>
      <c r="AM311" s="100"/>
      <c r="AN311" s="100"/>
      <c r="AO311" s="100"/>
      <c r="AP311" s="100"/>
      <c r="AQ311" s="100"/>
    </row>
    <row r="312" spans="24:43">
      <c r="X312" s="114" t="s">
        <v>14025</v>
      </c>
      <c r="Y312" s="115">
        <v>1912.625</v>
      </c>
      <c r="Z312" s="116">
        <f t="shared" si="28"/>
        <v>1912.625</v>
      </c>
      <c r="AA312" s="114" t="s">
        <v>2229</v>
      </c>
      <c r="AB312" s="117">
        <f t="shared" si="29"/>
        <v>1912</v>
      </c>
      <c r="AC312" s="114" t="s">
        <v>2228</v>
      </c>
      <c r="AD312" s="117">
        <f t="shared" si="30"/>
        <v>6</v>
      </c>
      <c r="AE312" s="114" t="s">
        <v>2227</v>
      </c>
      <c r="AF312" s="117">
        <f t="shared" si="31"/>
        <v>2.5</v>
      </c>
      <c r="AG312" s="114" t="s">
        <v>2226</v>
      </c>
      <c r="AH312" s="116">
        <v>76.5</v>
      </c>
      <c r="AI312" s="100"/>
      <c r="AJ312" s="100"/>
      <c r="AK312" s="100"/>
      <c r="AL312" s="100"/>
      <c r="AM312" s="100"/>
      <c r="AN312" s="100"/>
      <c r="AO312" s="100"/>
      <c r="AP312" s="100"/>
      <c r="AQ312" s="100"/>
    </row>
    <row r="313" spans="24:43">
      <c r="X313" s="114" t="s">
        <v>14026</v>
      </c>
      <c r="Y313" s="115">
        <v>60250.25</v>
      </c>
      <c r="Z313" s="116">
        <f t="shared" si="28"/>
        <v>60250.25</v>
      </c>
      <c r="AA313" s="114" t="s">
        <v>2229</v>
      </c>
      <c r="AB313" s="117">
        <f t="shared" si="29"/>
        <v>60250</v>
      </c>
      <c r="AC313" s="114" t="s">
        <v>2228</v>
      </c>
      <c r="AD313" s="117">
        <f t="shared" si="30"/>
        <v>2</v>
      </c>
      <c r="AE313" s="114" t="s">
        <v>2227</v>
      </c>
      <c r="AF313" s="117">
        <f t="shared" si="31"/>
        <v>5</v>
      </c>
      <c r="AG313" s="114" t="s">
        <v>2226</v>
      </c>
      <c r="AH313" s="116">
        <v>2410.0100000000002</v>
      </c>
      <c r="AI313" s="100"/>
      <c r="AJ313" s="100"/>
      <c r="AK313" s="100"/>
      <c r="AL313" s="100"/>
      <c r="AM313" s="100"/>
      <c r="AN313" s="100"/>
      <c r="AO313" s="100"/>
      <c r="AP313" s="100"/>
      <c r="AQ313" s="100"/>
    </row>
    <row r="314" spans="24:43">
      <c r="X314" s="114" t="s">
        <v>14027</v>
      </c>
      <c r="Y314" s="115">
        <v>112500.5</v>
      </c>
      <c r="Z314" s="116">
        <f t="shared" si="28"/>
        <v>112500.5</v>
      </c>
      <c r="AA314" s="114" t="s">
        <v>2229</v>
      </c>
      <c r="AB314" s="117">
        <f t="shared" si="29"/>
        <v>112500</v>
      </c>
      <c r="AC314" s="114" t="s">
        <v>2228</v>
      </c>
      <c r="AD314" s="117">
        <f t="shared" si="30"/>
        <v>5</v>
      </c>
      <c r="AE314" s="114" t="s">
        <v>2227</v>
      </c>
      <c r="AF314" s="117">
        <f t="shared" si="31"/>
        <v>0</v>
      </c>
      <c r="AG314" s="114" t="s">
        <v>2226</v>
      </c>
      <c r="AH314" s="116">
        <v>4500.0200000000004</v>
      </c>
      <c r="AI314" s="100"/>
      <c r="AJ314" s="100"/>
      <c r="AK314" s="100"/>
      <c r="AL314" s="100"/>
      <c r="AM314" s="100"/>
      <c r="AN314" s="100"/>
      <c r="AO314" s="100"/>
      <c r="AP314" s="100"/>
      <c r="AQ314" s="100"/>
    </row>
    <row r="315" spans="24:43">
      <c r="X315" s="114" t="s">
        <v>14028</v>
      </c>
      <c r="Y315" s="115">
        <v>23125.125</v>
      </c>
      <c r="Z315" s="116">
        <f t="shared" si="28"/>
        <v>23125.125</v>
      </c>
      <c r="AA315" s="114" t="s">
        <v>2229</v>
      </c>
      <c r="AB315" s="117">
        <f t="shared" si="29"/>
        <v>23125</v>
      </c>
      <c r="AC315" s="114" t="s">
        <v>2228</v>
      </c>
      <c r="AD315" s="117">
        <f t="shared" si="30"/>
        <v>1</v>
      </c>
      <c r="AE315" s="114" t="s">
        <v>2227</v>
      </c>
      <c r="AF315" s="117">
        <f t="shared" si="31"/>
        <v>2.5</v>
      </c>
      <c r="AG315" s="114" t="s">
        <v>2226</v>
      </c>
      <c r="AH315" s="116">
        <v>925</v>
      </c>
      <c r="AI315" s="100"/>
      <c r="AJ315" s="100"/>
      <c r="AK315" s="100"/>
      <c r="AL315" s="100"/>
      <c r="AM315" s="100"/>
      <c r="AN315" s="100"/>
      <c r="AO315" s="100"/>
      <c r="AP315" s="100"/>
      <c r="AQ315" s="100"/>
    </row>
    <row r="316" spans="24:43">
      <c r="X316" s="114" t="s">
        <v>14029</v>
      </c>
      <c r="Y316" s="115">
        <v>325.25</v>
      </c>
      <c r="Z316" s="116">
        <f t="shared" si="28"/>
        <v>325.25</v>
      </c>
      <c r="AA316" s="114" t="s">
        <v>2229</v>
      </c>
      <c r="AB316" s="117">
        <f t="shared" si="29"/>
        <v>325</v>
      </c>
      <c r="AC316" s="114" t="s">
        <v>2228</v>
      </c>
      <c r="AD316" s="117">
        <f t="shared" si="30"/>
        <v>2</v>
      </c>
      <c r="AE316" s="114" t="s">
        <v>2227</v>
      </c>
      <c r="AF316" s="117">
        <f t="shared" si="31"/>
        <v>5</v>
      </c>
      <c r="AG316" s="114" t="s">
        <v>2226</v>
      </c>
      <c r="AH316" s="116">
        <v>13.01</v>
      </c>
      <c r="AI316" s="100"/>
      <c r="AJ316" s="100"/>
      <c r="AK316" s="100"/>
      <c r="AL316" s="100"/>
      <c r="AM316" s="100"/>
      <c r="AN316" s="100"/>
      <c r="AO316" s="100"/>
      <c r="AP316" s="100"/>
      <c r="AQ316" s="100"/>
    </row>
    <row r="317" spans="24:43">
      <c r="X317" s="114" t="s">
        <v>14029</v>
      </c>
      <c r="Y317" s="115">
        <v>325.25</v>
      </c>
      <c r="Z317" s="116">
        <f t="shared" si="28"/>
        <v>325.25</v>
      </c>
      <c r="AA317" s="114" t="s">
        <v>2229</v>
      </c>
      <c r="AB317" s="117">
        <f t="shared" si="29"/>
        <v>325</v>
      </c>
      <c r="AC317" s="114" t="s">
        <v>2228</v>
      </c>
      <c r="AD317" s="117">
        <f t="shared" si="30"/>
        <v>2</v>
      </c>
      <c r="AE317" s="114" t="s">
        <v>2227</v>
      </c>
      <c r="AF317" s="117">
        <f t="shared" si="31"/>
        <v>5</v>
      </c>
      <c r="AG317" s="114" t="s">
        <v>2226</v>
      </c>
      <c r="AH317" s="116">
        <v>13.01</v>
      </c>
      <c r="AI317" s="100"/>
      <c r="AJ317" s="100"/>
      <c r="AK317" s="100"/>
      <c r="AL317" s="100"/>
      <c r="AM317" s="100"/>
      <c r="AN317" s="100"/>
      <c r="AO317" s="100"/>
      <c r="AP317" s="100"/>
      <c r="AQ317" s="100"/>
    </row>
    <row r="318" spans="24:43">
      <c r="X318" s="114" t="s">
        <v>14030</v>
      </c>
      <c r="Y318" s="115">
        <v>387.625</v>
      </c>
      <c r="Z318" s="116">
        <f t="shared" si="28"/>
        <v>387.625</v>
      </c>
      <c r="AA318" s="114" t="s">
        <v>2229</v>
      </c>
      <c r="AB318" s="117">
        <f t="shared" si="29"/>
        <v>387</v>
      </c>
      <c r="AC318" s="114" t="s">
        <v>2228</v>
      </c>
      <c r="AD318" s="117">
        <f t="shared" si="30"/>
        <v>6</v>
      </c>
      <c r="AE318" s="114" t="s">
        <v>2227</v>
      </c>
      <c r="AF318" s="117">
        <f t="shared" si="31"/>
        <v>2.5</v>
      </c>
      <c r="AG318" s="114" t="s">
        <v>2226</v>
      </c>
      <c r="AH318" s="116">
        <v>15.5</v>
      </c>
      <c r="AI318" s="100"/>
      <c r="AJ318" s="100"/>
      <c r="AK318" s="100"/>
      <c r="AL318" s="100"/>
      <c r="AM318" s="100"/>
      <c r="AN318" s="100"/>
      <c r="AO318" s="100"/>
      <c r="AP318" s="100"/>
      <c r="AQ318" s="100"/>
    </row>
    <row r="319" spans="24:43">
      <c r="X319" s="114" t="s">
        <v>14031</v>
      </c>
      <c r="Y319" s="115">
        <v>5937.625</v>
      </c>
      <c r="Z319" s="116">
        <f t="shared" si="28"/>
        <v>5937.625</v>
      </c>
      <c r="AA319" s="114" t="s">
        <v>2229</v>
      </c>
      <c r="AB319" s="117">
        <f t="shared" si="29"/>
        <v>5937</v>
      </c>
      <c r="AC319" s="114" t="s">
        <v>2228</v>
      </c>
      <c r="AD319" s="117">
        <f t="shared" si="30"/>
        <v>6</v>
      </c>
      <c r="AE319" s="114" t="s">
        <v>2227</v>
      </c>
      <c r="AF319" s="117">
        <f t="shared" si="31"/>
        <v>2.5</v>
      </c>
      <c r="AG319" s="114" t="s">
        <v>2226</v>
      </c>
      <c r="AH319" s="116">
        <v>237.5</v>
      </c>
      <c r="AI319" s="100"/>
      <c r="AJ319" s="100"/>
      <c r="AK319" s="100"/>
      <c r="AL319" s="100"/>
      <c r="AM319" s="100"/>
      <c r="AN319" s="100"/>
      <c r="AO319" s="100"/>
      <c r="AP319" s="100"/>
      <c r="AQ319" s="100"/>
    </row>
    <row r="320" spans="24:43">
      <c r="X320" s="114" t="s">
        <v>14032</v>
      </c>
      <c r="Y320" s="115">
        <v>80</v>
      </c>
      <c r="Z320" s="116">
        <f t="shared" si="28"/>
        <v>80</v>
      </c>
      <c r="AA320" s="114" t="s">
        <v>2229</v>
      </c>
      <c r="AB320" s="117">
        <f t="shared" si="29"/>
        <v>80</v>
      </c>
      <c r="AC320" s="114" t="s">
        <v>2228</v>
      </c>
      <c r="AD320" s="117">
        <f t="shared" si="30"/>
        <v>0</v>
      </c>
      <c r="AE320" s="114" t="s">
        <v>2227</v>
      </c>
      <c r="AF320" s="117">
        <f t="shared" si="31"/>
        <v>0</v>
      </c>
      <c r="AG320" s="114" t="s">
        <v>2226</v>
      </c>
      <c r="AH320" s="116">
        <v>3.2</v>
      </c>
      <c r="AI320" s="100"/>
      <c r="AJ320" s="100"/>
      <c r="AK320" s="100"/>
      <c r="AL320" s="100"/>
      <c r="AM320" s="100"/>
      <c r="AN320" s="100"/>
      <c r="AO320" s="100"/>
      <c r="AP320" s="100"/>
      <c r="AQ320" s="100"/>
    </row>
    <row r="321" spans="24:43">
      <c r="X321" s="114" t="s">
        <v>14033</v>
      </c>
      <c r="Y321" s="115">
        <v>70</v>
      </c>
      <c r="Z321" s="116">
        <f t="shared" si="28"/>
        <v>70</v>
      </c>
      <c r="AA321" s="114" t="s">
        <v>2229</v>
      </c>
      <c r="AB321" s="117">
        <f t="shared" si="29"/>
        <v>70</v>
      </c>
      <c r="AC321" s="114" t="s">
        <v>2228</v>
      </c>
      <c r="AD321" s="117">
        <f t="shared" si="30"/>
        <v>0</v>
      </c>
      <c r="AE321" s="114" t="s">
        <v>2227</v>
      </c>
      <c r="AF321" s="117">
        <f t="shared" si="31"/>
        <v>0</v>
      </c>
      <c r="AG321" s="114" t="s">
        <v>2226</v>
      </c>
      <c r="AH321" s="116">
        <v>2.8000000000000003</v>
      </c>
      <c r="AI321" s="100"/>
      <c r="AJ321" s="100"/>
      <c r="AK321" s="100"/>
      <c r="AL321" s="100"/>
      <c r="AM321" s="100"/>
      <c r="AN321" s="100"/>
      <c r="AO321" s="100"/>
      <c r="AP321" s="100"/>
      <c r="AQ321" s="100"/>
    </row>
    <row r="322" spans="24:43">
      <c r="X322" s="114" t="s">
        <v>14034</v>
      </c>
      <c r="Y322" s="115">
        <v>63250</v>
      </c>
      <c r="Z322" s="116">
        <f t="shared" si="28"/>
        <v>63250</v>
      </c>
      <c r="AA322" s="114" t="s">
        <v>2229</v>
      </c>
      <c r="AB322" s="117">
        <f t="shared" si="29"/>
        <v>63250</v>
      </c>
      <c r="AC322" s="114" t="s">
        <v>2228</v>
      </c>
      <c r="AD322" s="117">
        <f t="shared" si="30"/>
        <v>0</v>
      </c>
      <c r="AE322" s="114" t="s">
        <v>2227</v>
      </c>
      <c r="AF322" s="117">
        <f t="shared" si="31"/>
        <v>0</v>
      </c>
      <c r="AG322" s="114" t="s">
        <v>2226</v>
      </c>
      <c r="AH322" s="116">
        <v>2530</v>
      </c>
      <c r="AI322" s="100"/>
      <c r="AJ322" s="100"/>
      <c r="AK322" s="100"/>
      <c r="AL322" s="100"/>
      <c r="AM322" s="100"/>
      <c r="AN322" s="100"/>
      <c r="AO322" s="100"/>
      <c r="AP322" s="100"/>
      <c r="AQ322" s="100"/>
    </row>
    <row r="323" spans="24:43">
      <c r="X323" s="114" t="s">
        <v>14035</v>
      </c>
      <c r="Y323" s="115">
        <v>16875</v>
      </c>
      <c r="Z323" s="116">
        <f t="shared" ref="Z323:Z386" si="32">Y323*$AK$6*$AK$11</f>
        <v>16875</v>
      </c>
      <c r="AA323" s="114" t="s">
        <v>2229</v>
      </c>
      <c r="AB323" s="117">
        <f t="shared" ref="AB323:AB386" si="33">_xlfn.FLOOR.MATH(Z323,1)</f>
        <v>16875</v>
      </c>
      <c r="AC323" s="114" t="s">
        <v>2228</v>
      </c>
      <c r="AD323" s="117">
        <f t="shared" ref="AD323:AD386" si="34">_xlfn.FLOOR.MATH(((Z323-AB323)*10), 1)</f>
        <v>0</v>
      </c>
      <c r="AE323" s="114" t="s">
        <v>2227</v>
      </c>
      <c r="AF323" s="117">
        <f t="shared" ref="AF323:AF386" si="35">((Z323-AB323)*10-AD323)*10</f>
        <v>0</v>
      </c>
      <c r="AG323" s="114" t="s">
        <v>2226</v>
      </c>
      <c r="AH323" s="116">
        <v>675</v>
      </c>
      <c r="AI323" s="100"/>
      <c r="AJ323" s="100"/>
      <c r="AK323" s="100"/>
      <c r="AL323" s="100"/>
      <c r="AM323" s="100"/>
      <c r="AN323" s="100"/>
      <c r="AO323" s="100"/>
      <c r="AP323" s="100"/>
      <c r="AQ323" s="100"/>
    </row>
    <row r="324" spans="24:43">
      <c r="X324" s="114" t="s">
        <v>14036</v>
      </c>
      <c r="Y324" s="115">
        <v>19625</v>
      </c>
      <c r="Z324" s="116">
        <f t="shared" si="32"/>
        <v>19625</v>
      </c>
      <c r="AA324" s="114" t="s">
        <v>2229</v>
      </c>
      <c r="AB324" s="117">
        <f t="shared" si="33"/>
        <v>19625</v>
      </c>
      <c r="AC324" s="114" t="s">
        <v>2228</v>
      </c>
      <c r="AD324" s="117">
        <f t="shared" si="34"/>
        <v>0</v>
      </c>
      <c r="AE324" s="114" t="s">
        <v>2227</v>
      </c>
      <c r="AF324" s="117">
        <f t="shared" si="35"/>
        <v>0</v>
      </c>
      <c r="AG324" s="114" t="s">
        <v>2226</v>
      </c>
      <c r="AH324" s="116">
        <v>785</v>
      </c>
      <c r="AI324" s="100"/>
      <c r="AJ324" s="100"/>
      <c r="AK324" s="100"/>
      <c r="AL324" s="100"/>
      <c r="AM324" s="100"/>
      <c r="AN324" s="100"/>
      <c r="AO324" s="100"/>
      <c r="AP324" s="100"/>
      <c r="AQ324" s="100"/>
    </row>
    <row r="325" spans="24:43">
      <c r="X325" s="114" t="s">
        <v>14037</v>
      </c>
      <c r="Y325" s="115">
        <v>14375</v>
      </c>
      <c r="Z325" s="116">
        <f t="shared" si="32"/>
        <v>14375</v>
      </c>
      <c r="AA325" s="114" t="s">
        <v>2229</v>
      </c>
      <c r="AB325" s="117">
        <f t="shared" si="33"/>
        <v>14375</v>
      </c>
      <c r="AC325" s="114" t="s">
        <v>2228</v>
      </c>
      <c r="AD325" s="117">
        <f t="shared" si="34"/>
        <v>0</v>
      </c>
      <c r="AE325" s="114" t="s">
        <v>2227</v>
      </c>
      <c r="AF325" s="117">
        <f t="shared" si="35"/>
        <v>0</v>
      </c>
      <c r="AG325" s="114" t="s">
        <v>2226</v>
      </c>
      <c r="AH325" s="116">
        <v>575</v>
      </c>
      <c r="AI325" s="100"/>
      <c r="AJ325" s="100"/>
      <c r="AK325" s="100"/>
      <c r="AL325" s="100"/>
      <c r="AM325" s="100"/>
      <c r="AN325" s="100"/>
      <c r="AO325" s="100"/>
      <c r="AP325" s="100"/>
      <c r="AQ325" s="100"/>
    </row>
    <row r="326" spans="24:43">
      <c r="X326" s="114" t="s">
        <v>14038</v>
      </c>
      <c r="Y326" s="115">
        <v>13425</v>
      </c>
      <c r="Z326" s="116">
        <f t="shared" si="32"/>
        <v>13425</v>
      </c>
      <c r="AA326" s="114" t="s">
        <v>2229</v>
      </c>
      <c r="AB326" s="117">
        <f t="shared" si="33"/>
        <v>13425</v>
      </c>
      <c r="AC326" s="114" t="s">
        <v>2228</v>
      </c>
      <c r="AD326" s="117">
        <f t="shared" si="34"/>
        <v>0</v>
      </c>
      <c r="AE326" s="114" t="s">
        <v>2227</v>
      </c>
      <c r="AF326" s="117">
        <f t="shared" si="35"/>
        <v>0</v>
      </c>
      <c r="AG326" s="114" t="s">
        <v>2226</v>
      </c>
      <c r="AH326" s="116">
        <v>537</v>
      </c>
      <c r="AI326" s="100"/>
      <c r="AJ326" s="100"/>
      <c r="AK326" s="100"/>
      <c r="AL326" s="100"/>
      <c r="AM326" s="100"/>
      <c r="AN326" s="100"/>
      <c r="AO326" s="100"/>
      <c r="AP326" s="100"/>
      <c r="AQ326" s="100"/>
    </row>
    <row r="327" spans="24:43">
      <c r="X327" s="114" t="s">
        <v>14039</v>
      </c>
      <c r="Y327" s="115">
        <v>13725</v>
      </c>
      <c r="Z327" s="116">
        <f t="shared" si="32"/>
        <v>13725</v>
      </c>
      <c r="AA327" s="114" t="s">
        <v>2229</v>
      </c>
      <c r="AB327" s="117">
        <f t="shared" si="33"/>
        <v>13725</v>
      </c>
      <c r="AC327" s="114" t="s">
        <v>2228</v>
      </c>
      <c r="AD327" s="117">
        <f t="shared" si="34"/>
        <v>0</v>
      </c>
      <c r="AE327" s="114" t="s">
        <v>2227</v>
      </c>
      <c r="AF327" s="117">
        <f t="shared" si="35"/>
        <v>0</v>
      </c>
      <c r="AG327" s="114" t="s">
        <v>2226</v>
      </c>
      <c r="AH327" s="116">
        <v>549</v>
      </c>
      <c r="AI327" s="100"/>
      <c r="AJ327" s="100"/>
      <c r="AK327" s="100"/>
      <c r="AL327" s="100"/>
      <c r="AM327" s="100"/>
      <c r="AN327" s="100"/>
      <c r="AO327" s="100"/>
      <c r="AP327" s="100"/>
      <c r="AQ327" s="100"/>
    </row>
    <row r="328" spans="24:43">
      <c r="X328" s="114" t="s">
        <v>14040</v>
      </c>
      <c r="Y328" s="115">
        <v>88000</v>
      </c>
      <c r="Z328" s="116">
        <f t="shared" si="32"/>
        <v>88000</v>
      </c>
      <c r="AA328" s="114" t="s">
        <v>2229</v>
      </c>
      <c r="AB328" s="117">
        <f t="shared" si="33"/>
        <v>88000</v>
      </c>
      <c r="AC328" s="114" t="s">
        <v>2228</v>
      </c>
      <c r="AD328" s="117">
        <f t="shared" si="34"/>
        <v>0</v>
      </c>
      <c r="AE328" s="114" t="s">
        <v>2227</v>
      </c>
      <c r="AF328" s="117">
        <f t="shared" si="35"/>
        <v>0</v>
      </c>
      <c r="AG328" s="114" t="s">
        <v>2226</v>
      </c>
      <c r="AH328" s="116">
        <v>3520</v>
      </c>
      <c r="AI328" s="100"/>
      <c r="AJ328" s="100"/>
      <c r="AK328" s="100"/>
      <c r="AL328" s="100"/>
      <c r="AM328" s="100"/>
      <c r="AN328" s="100"/>
      <c r="AO328" s="100"/>
      <c r="AP328" s="100"/>
      <c r="AQ328" s="100"/>
    </row>
    <row r="329" spans="24:43">
      <c r="X329" s="114" t="s">
        <v>14041</v>
      </c>
      <c r="Y329" s="115">
        <v>11200</v>
      </c>
      <c r="Z329" s="116">
        <f t="shared" si="32"/>
        <v>11200</v>
      </c>
      <c r="AA329" s="114" t="s">
        <v>2229</v>
      </c>
      <c r="AB329" s="117">
        <f t="shared" si="33"/>
        <v>11200</v>
      </c>
      <c r="AC329" s="114" t="s">
        <v>2228</v>
      </c>
      <c r="AD329" s="117">
        <f t="shared" si="34"/>
        <v>0</v>
      </c>
      <c r="AE329" s="114" t="s">
        <v>2227</v>
      </c>
      <c r="AF329" s="117">
        <f t="shared" si="35"/>
        <v>0</v>
      </c>
      <c r="AG329" s="114" t="s">
        <v>2226</v>
      </c>
      <c r="AH329" s="116">
        <v>448</v>
      </c>
      <c r="AI329" s="100"/>
      <c r="AJ329" s="100"/>
      <c r="AK329" s="100"/>
      <c r="AL329" s="100"/>
      <c r="AM329" s="100"/>
      <c r="AN329" s="100"/>
      <c r="AO329" s="100"/>
      <c r="AP329" s="100"/>
      <c r="AQ329" s="100"/>
    </row>
    <row r="330" spans="24:43">
      <c r="X330" s="114" t="s">
        <v>14042</v>
      </c>
      <c r="Y330" s="115">
        <v>5500</v>
      </c>
      <c r="Z330" s="116">
        <f t="shared" si="32"/>
        <v>5500</v>
      </c>
      <c r="AA330" s="114" t="s">
        <v>2229</v>
      </c>
      <c r="AB330" s="117">
        <f t="shared" si="33"/>
        <v>5500</v>
      </c>
      <c r="AC330" s="114" t="s">
        <v>2228</v>
      </c>
      <c r="AD330" s="117">
        <f t="shared" si="34"/>
        <v>0</v>
      </c>
      <c r="AE330" s="114" t="s">
        <v>2227</v>
      </c>
      <c r="AF330" s="117">
        <f t="shared" si="35"/>
        <v>0</v>
      </c>
      <c r="AG330" s="114" t="s">
        <v>2226</v>
      </c>
      <c r="AH330" s="116">
        <v>220</v>
      </c>
      <c r="AI330" s="100"/>
      <c r="AJ330" s="100"/>
      <c r="AK330" s="100"/>
      <c r="AL330" s="100"/>
      <c r="AM330" s="100"/>
      <c r="AN330" s="100"/>
      <c r="AO330" s="100"/>
      <c r="AP330" s="100"/>
      <c r="AQ330" s="100"/>
    </row>
    <row r="331" spans="24:43">
      <c r="X331" s="114" t="s">
        <v>14043</v>
      </c>
      <c r="Y331" s="115">
        <v>8000</v>
      </c>
      <c r="Z331" s="116">
        <f t="shared" si="32"/>
        <v>8000</v>
      </c>
      <c r="AA331" s="114" t="s">
        <v>2229</v>
      </c>
      <c r="AB331" s="117">
        <f t="shared" si="33"/>
        <v>8000</v>
      </c>
      <c r="AC331" s="114" t="s">
        <v>2228</v>
      </c>
      <c r="AD331" s="117">
        <f t="shared" si="34"/>
        <v>0</v>
      </c>
      <c r="AE331" s="114" t="s">
        <v>2227</v>
      </c>
      <c r="AF331" s="117">
        <f t="shared" si="35"/>
        <v>0</v>
      </c>
      <c r="AG331" s="114" t="s">
        <v>2226</v>
      </c>
      <c r="AH331" s="116">
        <v>320</v>
      </c>
      <c r="AI331" s="100"/>
      <c r="AJ331" s="100"/>
      <c r="AK331" s="100"/>
      <c r="AL331" s="100"/>
      <c r="AM331" s="100"/>
      <c r="AN331" s="100"/>
      <c r="AO331" s="100"/>
      <c r="AP331" s="100"/>
      <c r="AQ331" s="100"/>
    </row>
    <row r="332" spans="24:43">
      <c r="X332" s="114" t="s">
        <v>14044</v>
      </c>
      <c r="Y332" s="115">
        <v>5500</v>
      </c>
      <c r="Z332" s="116">
        <f t="shared" si="32"/>
        <v>5500</v>
      </c>
      <c r="AA332" s="114" t="s">
        <v>2229</v>
      </c>
      <c r="AB332" s="117">
        <f t="shared" si="33"/>
        <v>5500</v>
      </c>
      <c r="AC332" s="114" t="s">
        <v>2228</v>
      </c>
      <c r="AD332" s="117">
        <f t="shared" si="34"/>
        <v>0</v>
      </c>
      <c r="AE332" s="114" t="s">
        <v>2227</v>
      </c>
      <c r="AF332" s="117">
        <f t="shared" si="35"/>
        <v>0</v>
      </c>
      <c r="AG332" s="114" t="s">
        <v>2226</v>
      </c>
      <c r="AH332" s="116">
        <v>220</v>
      </c>
      <c r="AI332" s="100"/>
      <c r="AJ332" s="100"/>
      <c r="AK332" s="100"/>
      <c r="AL332" s="100"/>
      <c r="AM332" s="100"/>
      <c r="AN332" s="100"/>
      <c r="AO332" s="100"/>
      <c r="AP332" s="100"/>
      <c r="AQ332" s="100"/>
    </row>
    <row r="333" spans="24:43">
      <c r="X333" s="114" t="s">
        <v>14045</v>
      </c>
      <c r="Y333" s="115">
        <v>45500</v>
      </c>
      <c r="Z333" s="116">
        <f t="shared" si="32"/>
        <v>45500</v>
      </c>
      <c r="AA333" s="114" t="s">
        <v>2229</v>
      </c>
      <c r="AB333" s="117">
        <f t="shared" si="33"/>
        <v>45500</v>
      </c>
      <c r="AC333" s="114" t="s">
        <v>2228</v>
      </c>
      <c r="AD333" s="117">
        <f t="shared" si="34"/>
        <v>0</v>
      </c>
      <c r="AE333" s="114" t="s">
        <v>2227</v>
      </c>
      <c r="AF333" s="117">
        <f t="shared" si="35"/>
        <v>0</v>
      </c>
      <c r="AG333" s="114" t="s">
        <v>2226</v>
      </c>
      <c r="AH333" s="116">
        <v>1820</v>
      </c>
      <c r="AI333" s="100"/>
      <c r="AJ333" s="100"/>
      <c r="AK333" s="100"/>
      <c r="AL333" s="100"/>
      <c r="AM333" s="100"/>
      <c r="AN333" s="100"/>
      <c r="AO333" s="100"/>
      <c r="AP333" s="100"/>
      <c r="AQ333" s="100"/>
    </row>
    <row r="334" spans="24:43">
      <c r="X334" s="114" t="s">
        <v>14046</v>
      </c>
      <c r="Y334" s="115">
        <v>5500</v>
      </c>
      <c r="Z334" s="116">
        <f t="shared" si="32"/>
        <v>5500</v>
      </c>
      <c r="AA334" s="114" t="s">
        <v>2229</v>
      </c>
      <c r="AB334" s="117">
        <f t="shared" si="33"/>
        <v>5500</v>
      </c>
      <c r="AC334" s="114" t="s">
        <v>2228</v>
      </c>
      <c r="AD334" s="117">
        <f t="shared" si="34"/>
        <v>0</v>
      </c>
      <c r="AE334" s="114" t="s">
        <v>2227</v>
      </c>
      <c r="AF334" s="117">
        <f t="shared" si="35"/>
        <v>0</v>
      </c>
      <c r="AG334" s="114" t="s">
        <v>2226</v>
      </c>
      <c r="AH334" s="116">
        <v>220</v>
      </c>
      <c r="AI334" s="100"/>
      <c r="AJ334" s="100"/>
      <c r="AK334" s="100"/>
      <c r="AL334" s="100"/>
      <c r="AM334" s="100"/>
      <c r="AN334" s="100"/>
      <c r="AO334" s="100"/>
      <c r="AP334" s="100"/>
      <c r="AQ334" s="100"/>
    </row>
    <row r="335" spans="24:43">
      <c r="X335" s="114" t="s">
        <v>14047</v>
      </c>
      <c r="Y335" s="115">
        <v>5500</v>
      </c>
      <c r="Z335" s="116">
        <f t="shared" si="32"/>
        <v>5500</v>
      </c>
      <c r="AA335" s="114" t="s">
        <v>2229</v>
      </c>
      <c r="AB335" s="117">
        <f t="shared" si="33"/>
        <v>5500</v>
      </c>
      <c r="AC335" s="114" t="s">
        <v>2228</v>
      </c>
      <c r="AD335" s="117">
        <f t="shared" si="34"/>
        <v>0</v>
      </c>
      <c r="AE335" s="114" t="s">
        <v>2227</v>
      </c>
      <c r="AF335" s="117">
        <f t="shared" si="35"/>
        <v>0</v>
      </c>
      <c r="AG335" s="114" t="s">
        <v>2226</v>
      </c>
      <c r="AH335" s="116">
        <v>220</v>
      </c>
      <c r="AI335" s="100"/>
      <c r="AJ335" s="100"/>
      <c r="AK335" s="100"/>
      <c r="AL335" s="100"/>
      <c r="AM335" s="100"/>
      <c r="AN335" s="100"/>
      <c r="AO335" s="100"/>
      <c r="AP335" s="100"/>
      <c r="AQ335" s="100"/>
    </row>
    <row r="336" spans="24:43">
      <c r="X336" s="114" t="s">
        <v>14048</v>
      </c>
      <c r="Y336" s="115">
        <v>5500</v>
      </c>
      <c r="Z336" s="116">
        <f t="shared" si="32"/>
        <v>5500</v>
      </c>
      <c r="AA336" s="114" t="s">
        <v>2229</v>
      </c>
      <c r="AB336" s="117">
        <f t="shared" si="33"/>
        <v>5500</v>
      </c>
      <c r="AC336" s="114" t="s">
        <v>2228</v>
      </c>
      <c r="AD336" s="117">
        <f t="shared" si="34"/>
        <v>0</v>
      </c>
      <c r="AE336" s="114" t="s">
        <v>2227</v>
      </c>
      <c r="AF336" s="117">
        <f t="shared" si="35"/>
        <v>0</v>
      </c>
      <c r="AG336" s="114" t="s">
        <v>2226</v>
      </c>
      <c r="AH336" s="116">
        <v>220</v>
      </c>
      <c r="AI336" s="100"/>
      <c r="AJ336" s="100"/>
      <c r="AK336" s="100"/>
      <c r="AL336" s="100"/>
      <c r="AM336" s="100"/>
      <c r="AN336" s="100"/>
      <c r="AO336" s="100"/>
      <c r="AP336" s="100"/>
      <c r="AQ336" s="100"/>
    </row>
    <row r="337" spans="24:43">
      <c r="X337" s="114" t="s">
        <v>14049</v>
      </c>
      <c r="Y337" s="115">
        <v>37500</v>
      </c>
      <c r="Z337" s="116">
        <f t="shared" si="32"/>
        <v>37500</v>
      </c>
      <c r="AA337" s="114" t="s">
        <v>2229</v>
      </c>
      <c r="AB337" s="117">
        <f t="shared" si="33"/>
        <v>37500</v>
      </c>
      <c r="AC337" s="114" t="s">
        <v>2228</v>
      </c>
      <c r="AD337" s="117">
        <f t="shared" si="34"/>
        <v>0</v>
      </c>
      <c r="AE337" s="114" t="s">
        <v>2227</v>
      </c>
      <c r="AF337" s="117">
        <f t="shared" si="35"/>
        <v>0</v>
      </c>
      <c r="AG337" s="114" t="s">
        <v>2226</v>
      </c>
      <c r="AH337" s="116">
        <v>1500</v>
      </c>
      <c r="AI337" s="100"/>
      <c r="AJ337" s="100"/>
      <c r="AK337" s="100"/>
      <c r="AL337" s="100"/>
      <c r="AM337" s="100"/>
      <c r="AN337" s="100"/>
      <c r="AO337" s="100"/>
      <c r="AP337" s="100"/>
      <c r="AQ337" s="100"/>
    </row>
    <row r="338" spans="24:43">
      <c r="X338" s="114" t="s">
        <v>14050</v>
      </c>
      <c r="Y338" s="115">
        <v>2400</v>
      </c>
      <c r="Z338" s="116">
        <f t="shared" si="32"/>
        <v>2400</v>
      </c>
      <c r="AA338" s="114" t="s">
        <v>2229</v>
      </c>
      <c r="AB338" s="117">
        <f t="shared" si="33"/>
        <v>2400</v>
      </c>
      <c r="AC338" s="114" t="s">
        <v>2228</v>
      </c>
      <c r="AD338" s="117">
        <f t="shared" si="34"/>
        <v>0</v>
      </c>
      <c r="AE338" s="114" t="s">
        <v>2227</v>
      </c>
      <c r="AF338" s="117">
        <f t="shared" si="35"/>
        <v>0</v>
      </c>
      <c r="AG338" s="114" t="s">
        <v>2226</v>
      </c>
      <c r="AH338" s="116">
        <v>96</v>
      </c>
      <c r="AI338" s="100"/>
      <c r="AJ338" s="100"/>
      <c r="AK338" s="100"/>
      <c r="AL338" s="100"/>
      <c r="AM338" s="100"/>
      <c r="AN338" s="100"/>
      <c r="AO338" s="100"/>
      <c r="AP338" s="100"/>
      <c r="AQ338" s="100"/>
    </row>
    <row r="339" spans="24:43">
      <c r="X339" s="114" t="s">
        <v>14051</v>
      </c>
      <c r="Y339" s="115">
        <v>29500</v>
      </c>
      <c r="Z339" s="116">
        <f t="shared" si="32"/>
        <v>29500</v>
      </c>
      <c r="AA339" s="114" t="s">
        <v>2229</v>
      </c>
      <c r="AB339" s="117">
        <f t="shared" si="33"/>
        <v>29500</v>
      </c>
      <c r="AC339" s="114" t="s">
        <v>2228</v>
      </c>
      <c r="AD339" s="117">
        <f t="shared" si="34"/>
        <v>0</v>
      </c>
      <c r="AE339" s="114" t="s">
        <v>2227</v>
      </c>
      <c r="AF339" s="117">
        <f t="shared" si="35"/>
        <v>0</v>
      </c>
      <c r="AG339" s="114" t="s">
        <v>2226</v>
      </c>
      <c r="AH339" s="116">
        <v>1180</v>
      </c>
      <c r="AI339" s="100"/>
      <c r="AJ339" s="100"/>
      <c r="AK339" s="100"/>
      <c r="AL339" s="100"/>
      <c r="AM339" s="100"/>
      <c r="AN339" s="100"/>
      <c r="AO339" s="100"/>
      <c r="AP339" s="100"/>
      <c r="AQ339" s="100"/>
    </row>
    <row r="340" spans="24:43">
      <c r="X340" s="114" t="s">
        <v>14052</v>
      </c>
      <c r="Y340" s="115">
        <v>5250</v>
      </c>
      <c r="Z340" s="116">
        <f t="shared" si="32"/>
        <v>5250</v>
      </c>
      <c r="AA340" s="114" t="s">
        <v>2229</v>
      </c>
      <c r="AB340" s="117">
        <f t="shared" si="33"/>
        <v>5250</v>
      </c>
      <c r="AC340" s="114" t="s">
        <v>2228</v>
      </c>
      <c r="AD340" s="117">
        <f t="shared" si="34"/>
        <v>0</v>
      </c>
      <c r="AE340" s="114" t="s">
        <v>2227</v>
      </c>
      <c r="AF340" s="117">
        <f t="shared" si="35"/>
        <v>0</v>
      </c>
      <c r="AG340" s="114" t="s">
        <v>2226</v>
      </c>
      <c r="AH340" s="116">
        <v>210</v>
      </c>
      <c r="AI340" s="100"/>
      <c r="AJ340" s="100"/>
      <c r="AK340" s="100"/>
      <c r="AL340" s="100"/>
      <c r="AM340" s="100"/>
      <c r="AN340" s="100"/>
      <c r="AO340" s="100"/>
      <c r="AP340" s="100"/>
      <c r="AQ340" s="100"/>
    </row>
    <row r="341" spans="24:43">
      <c r="X341" s="114" t="s">
        <v>14053</v>
      </c>
      <c r="Y341" s="115">
        <v>5500</v>
      </c>
      <c r="Z341" s="116">
        <f t="shared" si="32"/>
        <v>5500</v>
      </c>
      <c r="AA341" s="114" t="s">
        <v>2229</v>
      </c>
      <c r="AB341" s="117">
        <f t="shared" si="33"/>
        <v>5500</v>
      </c>
      <c r="AC341" s="114" t="s">
        <v>2228</v>
      </c>
      <c r="AD341" s="117">
        <f t="shared" si="34"/>
        <v>0</v>
      </c>
      <c r="AE341" s="114" t="s">
        <v>2227</v>
      </c>
      <c r="AF341" s="117">
        <f t="shared" si="35"/>
        <v>0</v>
      </c>
      <c r="AG341" s="114" t="s">
        <v>2226</v>
      </c>
      <c r="AH341" s="116">
        <v>220</v>
      </c>
      <c r="AI341" s="100"/>
      <c r="AJ341" s="100"/>
      <c r="AK341" s="100"/>
      <c r="AL341" s="100"/>
      <c r="AM341" s="100"/>
      <c r="AN341" s="100"/>
      <c r="AO341" s="100"/>
      <c r="AP341" s="100"/>
      <c r="AQ341" s="100"/>
    </row>
    <row r="342" spans="24:43">
      <c r="X342" s="114" t="s">
        <v>14054</v>
      </c>
      <c r="Y342" s="115">
        <v>2000</v>
      </c>
      <c r="Z342" s="116">
        <f t="shared" si="32"/>
        <v>2000</v>
      </c>
      <c r="AA342" s="114" t="s">
        <v>2229</v>
      </c>
      <c r="AB342" s="117">
        <f t="shared" si="33"/>
        <v>2000</v>
      </c>
      <c r="AC342" s="114" t="s">
        <v>2228</v>
      </c>
      <c r="AD342" s="117">
        <f t="shared" si="34"/>
        <v>0</v>
      </c>
      <c r="AE342" s="114" t="s">
        <v>2227</v>
      </c>
      <c r="AF342" s="117">
        <f t="shared" si="35"/>
        <v>0</v>
      </c>
      <c r="AG342" s="114" t="s">
        <v>2226</v>
      </c>
      <c r="AH342" s="116">
        <v>80</v>
      </c>
      <c r="AI342" s="100"/>
      <c r="AJ342" s="100"/>
      <c r="AK342" s="100"/>
      <c r="AL342" s="100"/>
      <c r="AM342" s="100"/>
      <c r="AN342" s="100"/>
      <c r="AO342" s="100"/>
      <c r="AP342" s="100"/>
      <c r="AQ342" s="100"/>
    </row>
    <row r="343" spans="24:43">
      <c r="X343" s="114" t="s">
        <v>14055</v>
      </c>
      <c r="Y343" s="115">
        <v>6875.25</v>
      </c>
      <c r="Z343" s="116">
        <f t="shared" si="32"/>
        <v>6875.25</v>
      </c>
      <c r="AA343" s="114" t="s">
        <v>2229</v>
      </c>
      <c r="AB343" s="117">
        <f t="shared" si="33"/>
        <v>6875</v>
      </c>
      <c r="AC343" s="114" t="s">
        <v>2228</v>
      </c>
      <c r="AD343" s="117">
        <f t="shared" si="34"/>
        <v>2</v>
      </c>
      <c r="AE343" s="114" t="s">
        <v>2227</v>
      </c>
      <c r="AF343" s="117">
        <f t="shared" si="35"/>
        <v>5</v>
      </c>
      <c r="AG343" s="114" t="s">
        <v>2226</v>
      </c>
      <c r="AH343" s="116">
        <v>275.01</v>
      </c>
      <c r="AI343" s="100"/>
      <c r="AJ343" s="100"/>
      <c r="AK343" s="100"/>
      <c r="AL343" s="100"/>
      <c r="AM343" s="100"/>
      <c r="AN343" s="100"/>
      <c r="AO343" s="100"/>
      <c r="AP343" s="100"/>
      <c r="AQ343" s="100"/>
    </row>
    <row r="344" spans="24:43">
      <c r="X344" s="114" t="s">
        <v>14056</v>
      </c>
      <c r="Y344" s="115">
        <v>6875.25</v>
      </c>
      <c r="Z344" s="116">
        <f t="shared" si="32"/>
        <v>6875.25</v>
      </c>
      <c r="AA344" s="114" t="s">
        <v>2229</v>
      </c>
      <c r="AB344" s="117">
        <f t="shared" si="33"/>
        <v>6875</v>
      </c>
      <c r="AC344" s="114" t="s">
        <v>2228</v>
      </c>
      <c r="AD344" s="117">
        <f t="shared" si="34"/>
        <v>2</v>
      </c>
      <c r="AE344" s="114" t="s">
        <v>2227</v>
      </c>
      <c r="AF344" s="117">
        <f t="shared" si="35"/>
        <v>5</v>
      </c>
      <c r="AG344" s="114" t="s">
        <v>2226</v>
      </c>
      <c r="AH344" s="116">
        <v>275.01</v>
      </c>
      <c r="AI344" s="100"/>
      <c r="AJ344" s="100"/>
      <c r="AK344" s="100"/>
      <c r="AL344" s="100"/>
      <c r="AM344" s="100"/>
      <c r="AN344" s="100"/>
      <c r="AO344" s="100"/>
      <c r="AP344" s="100"/>
      <c r="AQ344" s="100"/>
    </row>
    <row r="345" spans="24:43">
      <c r="X345" s="114" t="s">
        <v>14057</v>
      </c>
      <c r="Y345" s="115">
        <v>6875.25</v>
      </c>
      <c r="Z345" s="116">
        <f t="shared" si="32"/>
        <v>6875.25</v>
      </c>
      <c r="AA345" s="114" t="s">
        <v>2229</v>
      </c>
      <c r="AB345" s="117">
        <f t="shared" si="33"/>
        <v>6875</v>
      </c>
      <c r="AC345" s="114" t="s">
        <v>2228</v>
      </c>
      <c r="AD345" s="117">
        <f t="shared" si="34"/>
        <v>2</v>
      </c>
      <c r="AE345" s="114" t="s">
        <v>2227</v>
      </c>
      <c r="AF345" s="117">
        <f t="shared" si="35"/>
        <v>5</v>
      </c>
      <c r="AG345" s="114" t="s">
        <v>2226</v>
      </c>
      <c r="AH345" s="116">
        <v>275.01</v>
      </c>
      <c r="AI345" s="100"/>
      <c r="AJ345" s="100"/>
      <c r="AK345" s="100"/>
      <c r="AL345" s="100"/>
      <c r="AM345" s="100"/>
      <c r="AN345" s="100"/>
      <c r="AO345" s="100"/>
      <c r="AP345" s="100"/>
      <c r="AQ345" s="100"/>
    </row>
    <row r="346" spans="24:43">
      <c r="X346" s="114" t="s">
        <v>14058</v>
      </c>
      <c r="Y346" s="115">
        <v>6875.25</v>
      </c>
      <c r="Z346" s="116">
        <f t="shared" si="32"/>
        <v>6875.25</v>
      </c>
      <c r="AA346" s="114" t="s">
        <v>2229</v>
      </c>
      <c r="AB346" s="117">
        <f t="shared" si="33"/>
        <v>6875</v>
      </c>
      <c r="AC346" s="114" t="s">
        <v>2228</v>
      </c>
      <c r="AD346" s="117">
        <f t="shared" si="34"/>
        <v>2</v>
      </c>
      <c r="AE346" s="114" t="s">
        <v>2227</v>
      </c>
      <c r="AF346" s="117">
        <f t="shared" si="35"/>
        <v>5</v>
      </c>
      <c r="AG346" s="114" t="s">
        <v>2226</v>
      </c>
      <c r="AH346" s="116">
        <v>275.01</v>
      </c>
      <c r="AI346" s="100"/>
      <c r="AJ346" s="100"/>
      <c r="AK346" s="100"/>
      <c r="AL346" s="100"/>
      <c r="AM346" s="100"/>
      <c r="AN346" s="100"/>
      <c r="AO346" s="100"/>
      <c r="AP346" s="100"/>
      <c r="AQ346" s="100"/>
    </row>
    <row r="347" spans="24:43">
      <c r="X347" s="114" t="s">
        <v>14059</v>
      </c>
      <c r="Y347" s="115">
        <v>6875.25</v>
      </c>
      <c r="Z347" s="116">
        <f t="shared" si="32"/>
        <v>6875.25</v>
      </c>
      <c r="AA347" s="114" t="s">
        <v>2229</v>
      </c>
      <c r="AB347" s="117">
        <f t="shared" si="33"/>
        <v>6875</v>
      </c>
      <c r="AC347" s="114" t="s">
        <v>2228</v>
      </c>
      <c r="AD347" s="117">
        <f t="shared" si="34"/>
        <v>2</v>
      </c>
      <c r="AE347" s="114" t="s">
        <v>2227</v>
      </c>
      <c r="AF347" s="117">
        <f t="shared" si="35"/>
        <v>5</v>
      </c>
      <c r="AG347" s="114" t="s">
        <v>2226</v>
      </c>
      <c r="AH347" s="116">
        <v>275.01</v>
      </c>
      <c r="AI347" s="100"/>
      <c r="AJ347" s="100"/>
      <c r="AK347" s="100"/>
      <c r="AL347" s="100"/>
      <c r="AM347" s="100"/>
      <c r="AN347" s="100"/>
      <c r="AO347" s="100"/>
      <c r="AP347" s="100"/>
      <c r="AQ347" s="100"/>
    </row>
    <row r="348" spans="24:43">
      <c r="X348" s="114" t="s">
        <v>14060</v>
      </c>
      <c r="Y348" s="115">
        <v>6875.25</v>
      </c>
      <c r="Z348" s="116">
        <f t="shared" si="32"/>
        <v>6875.25</v>
      </c>
      <c r="AA348" s="114" t="s">
        <v>2229</v>
      </c>
      <c r="AB348" s="117">
        <f t="shared" si="33"/>
        <v>6875</v>
      </c>
      <c r="AC348" s="114" t="s">
        <v>2228</v>
      </c>
      <c r="AD348" s="117">
        <f t="shared" si="34"/>
        <v>2</v>
      </c>
      <c r="AE348" s="114" t="s">
        <v>2227</v>
      </c>
      <c r="AF348" s="117">
        <f t="shared" si="35"/>
        <v>5</v>
      </c>
      <c r="AG348" s="114" t="s">
        <v>2226</v>
      </c>
      <c r="AH348" s="116">
        <v>275.01</v>
      </c>
      <c r="AI348" s="100"/>
      <c r="AJ348" s="100"/>
      <c r="AK348" s="100"/>
      <c r="AL348" s="100"/>
      <c r="AM348" s="100"/>
      <c r="AN348" s="100"/>
      <c r="AO348" s="100"/>
      <c r="AP348" s="100"/>
      <c r="AQ348" s="100"/>
    </row>
    <row r="349" spans="24:43">
      <c r="X349" s="114" t="s">
        <v>14061</v>
      </c>
      <c r="Y349" s="115">
        <v>60</v>
      </c>
      <c r="Z349" s="116">
        <f t="shared" si="32"/>
        <v>60</v>
      </c>
      <c r="AA349" s="114" t="s">
        <v>2229</v>
      </c>
      <c r="AB349" s="117">
        <f t="shared" si="33"/>
        <v>60</v>
      </c>
      <c r="AC349" s="114" t="s">
        <v>2228</v>
      </c>
      <c r="AD349" s="117">
        <f t="shared" si="34"/>
        <v>0</v>
      </c>
      <c r="AE349" s="114" t="s">
        <v>2227</v>
      </c>
      <c r="AF349" s="117">
        <f t="shared" si="35"/>
        <v>0</v>
      </c>
      <c r="AG349" s="114" t="s">
        <v>2226</v>
      </c>
      <c r="AH349" s="116">
        <v>2.4</v>
      </c>
      <c r="AI349" s="100"/>
      <c r="AJ349" s="100"/>
      <c r="AK349" s="100"/>
      <c r="AL349" s="100"/>
      <c r="AM349" s="100"/>
      <c r="AN349" s="100"/>
      <c r="AO349" s="100"/>
      <c r="AP349" s="100"/>
      <c r="AQ349" s="100"/>
    </row>
    <row r="350" spans="24:43">
      <c r="X350" s="114" t="s">
        <v>14061</v>
      </c>
      <c r="Y350" s="115">
        <v>60</v>
      </c>
      <c r="Z350" s="116">
        <f t="shared" si="32"/>
        <v>60</v>
      </c>
      <c r="AA350" s="114" t="s">
        <v>2229</v>
      </c>
      <c r="AB350" s="117">
        <f t="shared" si="33"/>
        <v>60</v>
      </c>
      <c r="AC350" s="114" t="s">
        <v>2228</v>
      </c>
      <c r="AD350" s="117">
        <f t="shared" si="34"/>
        <v>0</v>
      </c>
      <c r="AE350" s="114" t="s">
        <v>2227</v>
      </c>
      <c r="AF350" s="117">
        <f t="shared" si="35"/>
        <v>0</v>
      </c>
      <c r="AG350" s="114" t="s">
        <v>2226</v>
      </c>
      <c r="AH350" s="116">
        <v>2.4</v>
      </c>
      <c r="AI350" s="100"/>
      <c r="AJ350" s="100"/>
      <c r="AK350" s="100"/>
      <c r="AL350" s="100"/>
      <c r="AM350" s="100"/>
      <c r="AN350" s="100"/>
      <c r="AO350" s="100"/>
      <c r="AP350" s="100"/>
      <c r="AQ350" s="100"/>
    </row>
    <row r="351" spans="24:43">
      <c r="X351" s="114" t="s">
        <v>14062</v>
      </c>
      <c r="Y351" s="115">
        <v>3300</v>
      </c>
      <c r="Z351" s="116">
        <f t="shared" si="32"/>
        <v>3300</v>
      </c>
      <c r="AA351" s="114" t="s">
        <v>2229</v>
      </c>
      <c r="AB351" s="117">
        <f t="shared" si="33"/>
        <v>3300</v>
      </c>
      <c r="AC351" s="114" t="s">
        <v>2228</v>
      </c>
      <c r="AD351" s="117">
        <f t="shared" si="34"/>
        <v>0</v>
      </c>
      <c r="AE351" s="114" t="s">
        <v>2227</v>
      </c>
      <c r="AF351" s="117">
        <f t="shared" si="35"/>
        <v>0</v>
      </c>
      <c r="AG351" s="114" t="s">
        <v>2226</v>
      </c>
      <c r="AH351" s="116">
        <v>132</v>
      </c>
      <c r="AI351" s="100"/>
      <c r="AJ351" s="100"/>
      <c r="AK351" s="100"/>
      <c r="AL351" s="100"/>
      <c r="AM351" s="100"/>
      <c r="AN351" s="100"/>
      <c r="AO351" s="100"/>
      <c r="AP351" s="100"/>
      <c r="AQ351" s="100"/>
    </row>
    <row r="352" spans="24:43">
      <c r="X352" s="114" t="s">
        <v>14063</v>
      </c>
      <c r="Y352" s="115">
        <v>3300</v>
      </c>
      <c r="Z352" s="116">
        <f t="shared" si="32"/>
        <v>3300</v>
      </c>
      <c r="AA352" s="114" t="s">
        <v>2229</v>
      </c>
      <c r="AB352" s="117">
        <f t="shared" si="33"/>
        <v>3300</v>
      </c>
      <c r="AC352" s="114" t="s">
        <v>2228</v>
      </c>
      <c r="AD352" s="117">
        <f t="shared" si="34"/>
        <v>0</v>
      </c>
      <c r="AE352" s="114" t="s">
        <v>2227</v>
      </c>
      <c r="AF352" s="117">
        <f t="shared" si="35"/>
        <v>0</v>
      </c>
      <c r="AG352" s="114" t="s">
        <v>2226</v>
      </c>
      <c r="AH352" s="116">
        <v>132</v>
      </c>
      <c r="AI352" s="100"/>
      <c r="AJ352" s="100"/>
      <c r="AK352" s="100"/>
      <c r="AL352" s="100"/>
      <c r="AM352" s="100"/>
      <c r="AN352" s="100"/>
      <c r="AO352" s="100"/>
      <c r="AP352" s="100"/>
      <c r="AQ352" s="100"/>
    </row>
    <row r="353" spans="24:43">
      <c r="X353" s="114" t="s">
        <v>9463</v>
      </c>
      <c r="Y353" s="115">
        <v>141250.25</v>
      </c>
      <c r="Z353" s="116">
        <f t="shared" si="32"/>
        <v>141250.25</v>
      </c>
      <c r="AA353" s="114" t="s">
        <v>2229</v>
      </c>
      <c r="AB353" s="117">
        <f t="shared" si="33"/>
        <v>141250</v>
      </c>
      <c r="AC353" s="114" t="s">
        <v>2228</v>
      </c>
      <c r="AD353" s="117">
        <f t="shared" si="34"/>
        <v>2</v>
      </c>
      <c r="AE353" s="114" t="s">
        <v>2227</v>
      </c>
      <c r="AF353" s="117">
        <f t="shared" si="35"/>
        <v>5</v>
      </c>
      <c r="AG353" s="114" t="s">
        <v>2226</v>
      </c>
      <c r="AH353" s="116">
        <v>5650.01</v>
      </c>
      <c r="AI353" s="100"/>
      <c r="AJ353" s="100"/>
      <c r="AK353" s="100"/>
      <c r="AL353" s="100"/>
      <c r="AM353" s="100"/>
      <c r="AN353" s="100"/>
      <c r="AO353" s="100"/>
      <c r="AP353" s="100"/>
      <c r="AQ353" s="100"/>
    </row>
    <row r="354" spans="24:43">
      <c r="X354" s="114" t="s">
        <v>14064</v>
      </c>
      <c r="Y354" s="115">
        <v>94250.25</v>
      </c>
      <c r="Z354" s="116">
        <f t="shared" si="32"/>
        <v>94250.25</v>
      </c>
      <c r="AA354" s="114" t="s">
        <v>2229</v>
      </c>
      <c r="AB354" s="117">
        <f t="shared" si="33"/>
        <v>94250</v>
      </c>
      <c r="AC354" s="114" t="s">
        <v>2228</v>
      </c>
      <c r="AD354" s="117">
        <f t="shared" si="34"/>
        <v>2</v>
      </c>
      <c r="AE354" s="114" t="s">
        <v>2227</v>
      </c>
      <c r="AF354" s="117">
        <f t="shared" si="35"/>
        <v>5</v>
      </c>
      <c r="AG354" s="114" t="s">
        <v>2226</v>
      </c>
      <c r="AH354" s="116">
        <v>3770.01</v>
      </c>
      <c r="AI354" s="100"/>
      <c r="AJ354" s="100"/>
      <c r="AK354" s="100"/>
      <c r="AL354" s="100"/>
      <c r="AM354" s="100"/>
      <c r="AN354" s="100"/>
      <c r="AO354" s="100"/>
      <c r="AP354" s="100"/>
      <c r="AQ354" s="100"/>
    </row>
    <row r="355" spans="24:43">
      <c r="X355" s="114" t="s">
        <v>14065</v>
      </c>
      <c r="Y355" s="115">
        <v>18875.125</v>
      </c>
      <c r="Z355" s="116">
        <f t="shared" si="32"/>
        <v>18875.125</v>
      </c>
      <c r="AA355" s="114" t="s">
        <v>2229</v>
      </c>
      <c r="AB355" s="117">
        <f t="shared" si="33"/>
        <v>18875</v>
      </c>
      <c r="AC355" s="114" t="s">
        <v>2228</v>
      </c>
      <c r="AD355" s="117">
        <f t="shared" si="34"/>
        <v>1</v>
      </c>
      <c r="AE355" s="114" t="s">
        <v>2227</v>
      </c>
      <c r="AF355" s="117">
        <f t="shared" si="35"/>
        <v>2.5</v>
      </c>
      <c r="AG355" s="114" t="s">
        <v>2226</v>
      </c>
      <c r="AH355" s="116">
        <v>755</v>
      </c>
      <c r="AI355" s="100"/>
      <c r="AJ355" s="100"/>
      <c r="AK355" s="100"/>
      <c r="AL355" s="100"/>
      <c r="AM355" s="100"/>
      <c r="AN355" s="100"/>
      <c r="AO355" s="100"/>
      <c r="AP355" s="100"/>
      <c r="AQ355" s="100"/>
    </row>
    <row r="356" spans="24:43">
      <c r="X356" s="114" t="s">
        <v>14066</v>
      </c>
      <c r="Y356" s="115">
        <v>925</v>
      </c>
      <c r="Z356" s="116">
        <f t="shared" si="32"/>
        <v>925</v>
      </c>
      <c r="AA356" s="114" t="s">
        <v>2229</v>
      </c>
      <c r="AB356" s="117">
        <f t="shared" si="33"/>
        <v>925</v>
      </c>
      <c r="AC356" s="114" t="s">
        <v>2228</v>
      </c>
      <c r="AD356" s="117">
        <f t="shared" si="34"/>
        <v>0</v>
      </c>
      <c r="AE356" s="114" t="s">
        <v>2227</v>
      </c>
      <c r="AF356" s="117">
        <f t="shared" si="35"/>
        <v>0</v>
      </c>
      <c r="AG356" s="114" t="s">
        <v>2226</v>
      </c>
      <c r="AH356" s="116">
        <v>37</v>
      </c>
      <c r="AI356" s="100"/>
      <c r="AJ356" s="100"/>
      <c r="AK356" s="100"/>
      <c r="AL356" s="100"/>
      <c r="AM356" s="100"/>
      <c r="AN356" s="100"/>
      <c r="AO356" s="100"/>
      <c r="AP356" s="100"/>
      <c r="AQ356" s="100"/>
    </row>
    <row r="357" spans="24:43">
      <c r="X357" s="114" t="s">
        <v>14067</v>
      </c>
      <c r="Y357" s="115">
        <v>260</v>
      </c>
      <c r="Z357" s="116">
        <f t="shared" si="32"/>
        <v>260</v>
      </c>
      <c r="AA357" s="114" t="s">
        <v>2229</v>
      </c>
      <c r="AB357" s="117">
        <f t="shared" si="33"/>
        <v>260</v>
      </c>
      <c r="AC357" s="114" t="s">
        <v>2228</v>
      </c>
      <c r="AD357" s="117">
        <f t="shared" si="34"/>
        <v>0</v>
      </c>
      <c r="AE357" s="114" t="s">
        <v>2227</v>
      </c>
      <c r="AF357" s="117">
        <f t="shared" si="35"/>
        <v>0</v>
      </c>
      <c r="AG357" s="114" t="s">
        <v>2226</v>
      </c>
      <c r="AH357" s="116">
        <v>10.4</v>
      </c>
      <c r="AI357" s="100"/>
      <c r="AJ357" s="100"/>
      <c r="AK357" s="100"/>
      <c r="AL357" s="100"/>
      <c r="AM357" s="100"/>
      <c r="AN357" s="100"/>
      <c r="AO357" s="100"/>
      <c r="AP357" s="100"/>
      <c r="AQ357" s="100"/>
    </row>
    <row r="358" spans="24:43">
      <c r="X358" s="114" t="s">
        <v>14068</v>
      </c>
      <c r="Y358" s="115">
        <v>55</v>
      </c>
      <c r="Z358" s="116">
        <f t="shared" si="32"/>
        <v>55</v>
      </c>
      <c r="AA358" s="114" t="s">
        <v>2229</v>
      </c>
      <c r="AB358" s="117">
        <f t="shared" si="33"/>
        <v>55</v>
      </c>
      <c r="AC358" s="114" t="s">
        <v>2228</v>
      </c>
      <c r="AD358" s="117">
        <f t="shared" si="34"/>
        <v>0</v>
      </c>
      <c r="AE358" s="114" t="s">
        <v>2227</v>
      </c>
      <c r="AF358" s="117">
        <f t="shared" si="35"/>
        <v>0</v>
      </c>
      <c r="AG358" s="114" t="s">
        <v>2226</v>
      </c>
      <c r="AH358" s="116">
        <v>2.2000000000000002</v>
      </c>
      <c r="AI358" s="100"/>
      <c r="AJ358" s="100"/>
      <c r="AK358" s="100"/>
      <c r="AL358" s="100"/>
      <c r="AM358" s="100"/>
      <c r="AN358" s="100"/>
      <c r="AO358" s="100"/>
      <c r="AP358" s="100"/>
      <c r="AQ358" s="100"/>
    </row>
    <row r="359" spans="24:43">
      <c r="X359" s="114" t="s">
        <v>14069</v>
      </c>
      <c r="Y359" s="115">
        <v>4437.625</v>
      </c>
      <c r="Z359" s="116">
        <f t="shared" si="32"/>
        <v>4437.625</v>
      </c>
      <c r="AA359" s="114" t="s">
        <v>2229</v>
      </c>
      <c r="AB359" s="117">
        <f t="shared" si="33"/>
        <v>4437</v>
      </c>
      <c r="AC359" s="114" t="s">
        <v>2228</v>
      </c>
      <c r="AD359" s="117">
        <f t="shared" si="34"/>
        <v>6</v>
      </c>
      <c r="AE359" s="114" t="s">
        <v>2227</v>
      </c>
      <c r="AF359" s="117">
        <f t="shared" si="35"/>
        <v>2.5</v>
      </c>
      <c r="AG359" s="114" t="s">
        <v>2226</v>
      </c>
      <c r="AH359" s="116">
        <v>177.5</v>
      </c>
      <c r="AI359" s="100"/>
      <c r="AJ359" s="100"/>
      <c r="AK359" s="100"/>
      <c r="AL359" s="100"/>
      <c r="AM359" s="100"/>
      <c r="AN359" s="100"/>
      <c r="AO359" s="100"/>
      <c r="AP359" s="100"/>
      <c r="AQ359" s="100"/>
    </row>
    <row r="360" spans="24:43">
      <c r="X360" s="114" t="s">
        <v>14070</v>
      </c>
      <c r="Y360" s="115">
        <v>87750.25</v>
      </c>
      <c r="Z360" s="116">
        <f t="shared" si="32"/>
        <v>87750.25</v>
      </c>
      <c r="AA360" s="114" t="s">
        <v>2229</v>
      </c>
      <c r="AB360" s="117">
        <f t="shared" si="33"/>
        <v>87750</v>
      </c>
      <c r="AC360" s="114" t="s">
        <v>2228</v>
      </c>
      <c r="AD360" s="117">
        <f t="shared" si="34"/>
        <v>2</v>
      </c>
      <c r="AE360" s="114" t="s">
        <v>2227</v>
      </c>
      <c r="AF360" s="117">
        <f t="shared" si="35"/>
        <v>5</v>
      </c>
      <c r="AG360" s="114" t="s">
        <v>2226</v>
      </c>
      <c r="AH360" s="116">
        <v>3510.01</v>
      </c>
      <c r="AI360" s="100"/>
      <c r="AJ360" s="100"/>
      <c r="AK360" s="100"/>
      <c r="AL360" s="100"/>
      <c r="AM360" s="100"/>
      <c r="AN360" s="100"/>
      <c r="AO360" s="100"/>
      <c r="AP360" s="100"/>
      <c r="AQ360" s="100"/>
    </row>
    <row r="361" spans="24:43">
      <c r="X361" s="114" t="s">
        <v>14071</v>
      </c>
      <c r="Y361" s="115">
        <v>26125.125</v>
      </c>
      <c r="Z361" s="116">
        <f t="shared" si="32"/>
        <v>26125.125</v>
      </c>
      <c r="AA361" s="114" t="s">
        <v>2229</v>
      </c>
      <c r="AB361" s="117">
        <f t="shared" si="33"/>
        <v>26125</v>
      </c>
      <c r="AC361" s="114" t="s">
        <v>2228</v>
      </c>
      <c r="AD361" s="117">
        <f t="shared" si="34"/>
        <v>1</v>
      </c>
      <c r="AE361" s="114" t="s">
        <v>2227</v>
      </c>
      <c r="AF361" s="117">
        <f t="shared" si="35"/>
        <v>2.5</v>
      </c>
      <c r="AG361" s="114" t="s">
        <v>2226</v>
      </c>
      <c r="AH361" s="116">
        <v>1045</v>
      </c>
      <c r="AI361" s="100"/>
      <c r="AJ361" s="100"/>
      <c r="AK361" s="100"/>
      <c r="AL361" s="100"/>
      <c r="AM361" s="100"/>
      <c r="AN361" s="100"/>
      <c r="AO361" s="100"/>
      <c r="AP361" s="100"/>
      <c r="AQ361" s="100"/>
    </row>
    <row r="362" spans="24:43">
      <c r="X362" s="114" t="s">
        <v>14072</v>
      </c>
      <c r="Y362" s="115">
        <v>60</v>
      </c>
      <c r="Z362" s="116">
        <f t="shared" si="32"/>
        <v>60</v>
      </c>
      <c r="AA362" s="114" t="s">
        <v>2229</v>
      </c>
      <c r="AB362" s="117">
        <f t="shared" si="33"/>
        <v>60</v>
      </c>
      <c r="AC362" s="114" t="s">
        <v>2228</v>
      </c>
      <c r="AD362" s="117">
        <f t="shared" si="34"/>
        <v>0</v>
      </c>
      <c r="AE362" s="114" t="s">
        <v>2227</v>
      </c>
      <c r="AF362" s="117">
        <f t="shared" si="35"/>
        <v>0</v>
      </c>
      <c r="AG362" s="114" t="s">
        <v>2226</v>
      </c>
      <c r="AH362" s="116">
        <v>2.4</v>
      </c>
      <c r="AI362" s="100"/>
      <c r="AJ362" s="100"/>
      <c r="AK362" s="100"/>
      <c r="AL362" s="100"/>
      <c r="AM362" s="100"/>
      <c r="AN362" s="100"/>
      <c r="AO362" s="100"/>
      <c r="AP362" s="100"/>
      <c r="AQ362" s="100"/>
    </row>
    <row r="363" spans="24:43">
      <c r="X363" s="114" t="s">
        <v>14072</v>
      </c>
      <c r="Y363" s="115">
        <v>60</v>
      </c>
      <c r="Z363" s="116">
        <f t="shared" si="32"/>
        <v>60</v>
      </c>
      <c r="AA363" s="114" t="s">
        <v>2229</v>
      </c>
      <c r="AB363" s="117">
        <f t="shared" si="33"/>
        <v>60</v>
      </c>
      <c r="AC363" s="114" t="s">
        <v>2228</v>
      </c>
      <c r="AD363" s="117">
        <f t="shared" si="34"/>
        <v>0</v>
      </c>
      <c r="AE363" s="114" t="s">
        <v>2227</v>
      </c>
      <c r="AF363" s="117">
        <f t="shared" si="35"/>
        <v>0</v>
      </c>
      <c r="AG363" s="114" t="s">
        <v>2226</v>
      </c>
      <c r="AH363" s="116">
        <v>2.4</v>
      </c>
      <c r="AI363" s="100"/>
      <c r="AJ363" s="100"/>
      <c r="AK363" s="100"/>
      <c r="AL363" s="100"/>
      <c r="AM363" s="100"/>
      <c r="AN363" s="100"/>
      <c r="AO363" s="100"/>
      <c r="AP363" s="100"/>
      <c r="AQ363" s="100"/>
    </row>
    <row r="364" spans="24:43">
      <c r="X364" s="114" t="s">
        <v>14073</v>
      </c>
      <c r="Y364" s="115">
        <v>60</v>
      </c>
      <c r="Z364" s="116">
        <f t="shared" si="32"/>
        <v>60</v>
      </c>
      <c r="AA364" s="114" t="s">
        <v>2229</v>
      </c>
      <c r="AB364" s="117">
        <f t="shared" si="33"/>
        <v>60</v>
      </c>
      <c r="AC364" s="114" t="s">
        <v>2228</v>
      </c>
      <c r="AD364" s="117">
        <f t="shared" si="34"/>
        <v>0</v>
      </c>
      <c r="AE364" s="114" t="s">
        <v>2227</v>
      </c>
      <c r="AF364" s="117">
        <f t="shared" si="35"/>
        <v>0</v>
      </c>
      <c r="AG364" s="114" t="s">
        <v>2226</v>
      </c>
      <c r="AH364" s="116">
        <v>2.4</v>
      </c>
      <c r="AI364" s="100"/>
      <c r="AJ364" s="100"/>
      <c r="AK364" s="100"/>
      <c r="AL364" s="100"/>
      <c r="AM364" s="100"/>
      <c r="AN364" s="100"/>
      <c r="AO364" s="100"/>
      <c r="AP364" s="100"/>
      <c r="AQ364" s="100"/>
    </row>
    <row r="365" spans="24:43">
      <c r="X365" s="114" t="s">
        <v>14073</v>
      </c>
      <c r="Y365" s="115">
        <v>60</v>
      </c>
      <c r="Z365" s="116">
        <f t="shared" si="32"/>
        <v>60</v>
      </c>
      <c r="AA365" s="114" t="s">
        <v>2229</v>
      </c>
      <c r="AB365" s="117">
        <f t="shared" si="33"/>
        <v>60</v>
      </c>
      <c r="AC365" s="114" t="s">
        <v>2228</v>
      </c>
      <c r="AD365" s="117">
        <f t="shared" si="34"/>
        <v>0</v>
      </c>
      <c r="AE365" s="114" t="s">
        <v>2227</v>
      </c>
      <c r="AF365" s="117">
        <f t="shared" si="35"/>
        <v>0</v>
      </c>
      <c r="AG365" s="114" t="s">
        <v>2226</v>
      </c>
      <c r="AH365" s="116">
        <v>2.4</v>
      </c>
      <c r="AI365" s="100"/>
      <c r="AJ365" s="100"/>
      <c r="AK365" s="100"/>
      <c r="AL365" s="100"/>
      <c r="AM365" s="100"/>
      <c r="AN365" s="100"/>
      <c r="AO365" s="100"/>
      <c r="AP365" s="100"/>
      <c r="AQ365" s="100"/>
    </row>
    <row r="366" spans="24:43">
      <c r="X366" s="114" t="s">
        <v>14074</v>
      </c>
      <c r="Y366" s="115">
        <v>2750</v>
      </c>
      <c r="Z366" s="116">
        <f t="shared" si="32"/>
        <v>2750</v>
      </c>
      <c r="AA366" s="114" t="s">
        <v>2229</v>
      </c>
      <c r="AB366" s="117">
        <f t="shared" si="33"/>
        <v>2750</v>
      </c>
      <c r="AC366" s="114" t="s">
        <v>2228</v>
      </c>
      <c r="AD366" s="117">
        <f t="shared" si="34"/>
        <v>0</v>
      </c>
      <c r="AE366" s="114" t="s">
        <v>2227</v>
      </c>
      <c r="AF366" s="117">
        <f t="shared" si="35"/>
        <v>0</v>
      </c>
      <c r="AG366" s="114" t="s">
        <v>2226</v>
      </c>
      <c r="AH366" s="116">
        <v>110</v>
      </c>
      <c r="AI366" s="100"/>
      <c r="AJ366" s="100"/>
      <c r="AK366" s="100"/>
      <c r="AL366" s="100"/>
      <c r="AM366" s="100"/>
      <c r="AN366" s="100"/>
      <c r="AO366" s="100"/>
      <c r="AP366" s="100"/>
      <c r="AQ366" s="100"/>
    </row>
    <row r="367" spans="24:43">
      <c r="X367" s="114" t="s">
        <v>14075</v>
      </c>
      <c r="Y367" s="115">
        <v>60</v>
      </c>
      <c r="Z367" s="116">
        <f t="shared" si="32"/>
        <v>60</v>
      </c>
      <c r="AA367" s="114" t="s">
        <v>2229</v>
      </c>
      <c r="AB367" s="117">
        <f t="shared" si="33"/>
        <v>60</v>
      </c>
      <c r="AC367" s="114" t="s">
        <v>2228</v>
      </c>
      <c r="AD367" s="117">
        <f t="shared" si="34"/>
        <v>0</v>
      </c>
      <c r="AE367" s="114" t="s">
        <v>2227</v>
      </c>
      <c r="AF367" s="117">
        <f t="shared" si="35"/>
        <v>0</v>
      </c>
      <c r="AG367" s="114" t="s">
        <v>2226</v>
      </c>
      <c r="AH367" s="116">
        <v>2.4</v>
      </c>
      <c r="AI367" s="100"/>
      <c r="AJ367" s="100"/>
      <c r="AK367" s="100"/>
      <c r="AL367" s="100"/>
      <c r="AM367" s="100"/>
      <c r="AN367" s="100"/>
      <c r="AO367" s="100"/>
      <c r="AP367" s="100"/>
      <c r="AQ367" s="100"/>
    </row>
    <row r="368" spans="24:43">
      <c r="X368" s="114" t="s">
        <v>14076</v>
      </c>
      <c r="Y368" s="115">
        <v>18875.125</v>
      </c>
      <c r="Z368" s="116">
        <f t="shared" si="32"/>
        <v>18875.125</v>
      </c>
      <c r="AA368" s="114" t="s">
        <v>2229</v>
      </c>
      <c r="AB368" s="117">
        <f t="shared" si="33"/>
        <v>18875</v>
      </c>
      <c r="AC368" s="114" t="s">
        <v>2228</v>
      </c>
      <c r="AD368" s="117">
        <f t="shared" si="34"/>
        <v>1</v>
      </c>
      <c r="AE368" s="114" t="s">
        <v>2227</v>
      </c>
      <c r="AF368" s="117">
        <f t="shared" si="35"/>
        <v>2.5</v>
      </c>
      <c r="AG368" s="114" t="s">
        <v>2226</v>
      </c>
      <c r="AH368" s="116">
        <v>755</v>
      </c>
      <c r="AI368" s="100"/>
      <c r="AJ368" s="100"/>
      <c r="AK368" s="100"/>
      <c r="AL368" s="100"/>
      <c r="AM368" s="100"/>
      <c r="AN368" s="100"/>
      <c r="AO368" s="100"/>
      <c r="AP368" s="100"/>
      <c r="AQ368" s="100"/>
    </row>
    <row r="369" spans="24:43">
      <c r="X369" s="114" t="s">
        <v>14077</v>
      </c>
      <c r="Y369" s="115">
        <v>6875.25</v>
      </c>
      <c r="Z369" s="116">
        <f t="shared" si="32"/>
        <v>6875.25</v>
      </c>
      <c r="AA369" s="114" t="s">
        <v>2229</v>
      </c>
      <c r="AB369" s="117">
        <f t="shared" si="33"/>
        <v>6875</v>
      </c>
      <c r="AC369" s="114" t="s">
        <v>2228</v>
      </c>
      <c r="AD369" s="117">
        <f t="shared" si="34"/>
        <v>2</v>
      </c>
      <c r="AE369" s="114" t="s">
        <v>2227</v>
      </c>
      <c r="AF369" s="117">
        <f t="shared" si="35"/>
        <v>5</v>
      </c>
      <c r="AG369" s="114" t="s">
        <v>2226</v>
      </c>
      <c r="AH369" s="116">
        <v>275.01</v>
      </c>
      <c r="AI369" s="100"/>
      <c r="AJ369" s="100"/>
      <c r="AK369" s="100"/>
      <c r="AL369" s="100"/>
      <c r="AM369" s="100"/>
      <c r="AN369" s="100"/>
      <c r="AO369" s="100"/>
      <c r="AP369" s="100"/>
      <c r="AQ369" s="100"/>
    </row>
    <row r="370" spans="24:43">
      <c r="X370" s="114" t="s">
        <v>14078</v>
      </c>
      <c r="Y370" s="115">
        <v>6875.25</v>
      </c>
      <c r="Z370" s="116">
        <f t="shared" si="32"/>
        <v>6875.25</v>
      </c>
      <c r="AA370" s="114" t="s">
        <v>2229</v>
      </c>
      <c r="AB370" s="117">
        <f t="shared" si="33"/>
        <v>6875</v>
      </c>
      <c r="AC370" s="114" t="s">
        <v>2228</v>
      </c>
      <c r="AD370" s="117">
        <f t="shared" si="34"/>
        <v>2</v>
      </c>
      <c r="AE370" s="114" t="s">
        <v>2227</v>
      </c>
      <c r="AF370" s="117">
        <f t="shared" si="35"/>
        <v>5</v>
      </c>
      <c r="AG370" s="114" t="s">
        <v>2226</v>
      </c>
      <c r="AH370" s="116">
        <v>275.01</v>
      </c>
      <c r="AI370" s="100"/>
      <c r="AJ370" s="100"/>
      <c r="AK370" s="100"/>
      <c r="AL370" s="100"/>
      <c r="AM370" s="100"/>
      <c r="AN370" s="100"/>
      <c r="AO370" s="100"/>
      <c r="AP370" s="100"/>
      <c r="AQ370" s="100"/>
    </row>
    <row r="371" spans="24:43">
      <c r="X371" s="114" t="s">
        <v>14079</v>
      </c>
      <c r="Y371" s="115">
        <v>6875.25</v>
      </c>
      <c r="Z371" s="116">
        <f t="shared" si="32"/>
        <v>6875.25</v>
      </c>
      <c r="AA371" s="114" t="s">
        <v>2229</v>
      </c>
      <c r="AB371" s="117">
        <f t="shared" si="33"/>
        <v>6875</v>
      </c>
      <c r="AC371" s="114" t="s">
        <v>2228</v>
      </c>
      <c r="AD371" s="117">
        <f t="shared" si="34"/>
        <v>2</v>
      </c>
      <c r="AE371" s="114" t="s">
        <v>2227</v>
      </c>
      <c r="AF371" s="117">
        <f t="shared" si="35"/>
        <v>5</v>
      </c>
      <c r="AG371" s="114" t="s">
        <v>2226</v>
      </c>
      <c r="AH371" s="116">
        <v>275.01</v>
      </c>
      <c r="AI371" s="100"/>
      <c r="AJ371" s="100"/>
      <c r="AK371" s="100"/>
      <c r="AL371" s="100"/>
      <c r="AM371" s="100"/>
      <c r="AN371" s="100"/>
      <c r="AO371" s="100"/>
      <c r="AP371" s="100"/>
      <c r="AQ371" s="100"/>
    </row>
    <row r="372" spans="24:43">
      <c r="X372" s="114" t="s">
        <v>14080</v>
      </c>
      <c r="Y372" s="115">
        <v>325.25</v>
      </c>
      <c r="Z372" s="116">
        <f t="shared" si="32"/>
        <v>325.25</v>
      </c>
      <c r="AA372" s="114" t="s">
        <v>2229</v>
      </c>
      <c r="AB372" s="117">
        <f t="shared" si="33"/>
        <v>325</v>
      </c>
      <c r="AC372" s="114" t="s">
        <v>2228</v>
      </c>
      <c r="AD372" s="117">
        <f t="shared" si="34"/>
        <v>2</v>
      </c>
      <c r="AE372" s="114" t="s">
        <v>2227</v>
      </c>
      <c r="AF372" s="117">
        <f t="shared" si="35"/>
        <v>5</v>
      </c>
      <c r="AG372" s="114" t="s">
        <v>2226</v>
      </c>
      <c r="AH372" s="116">
        <v>13.01</v>
      </c>
      <c r="AI372" s="100"/>
      <c r="AJ372" s="100"/>
      <c r="AK372" s="100"/>
      <c r="AL372" s="100"/>
      <c r="AM372" s="100"/>
      <c r="AN372" s="100"/>
      <c r="AO372" s="100"/>
      <c r="AP372" s="100"/>
      <c r="AQ372" s="100"/>
    </row>
    <row r="373" spans="24:43">
      <c r="X373" s="114" t="s">
        <v>14081</v>
      </c>
      <c r="Y373" s="115">
        <v>20375.125</v>
      </c>
      <c r="Z373" s="116">
        <f t="shared" si="32"/>
        <v>20375.125</v>
      </c>
      <c r="AA373" s="114" t="s">
        <v>2229</v>
      </c>
      <c r="AB373" s="117">
        <f t="shared" si="33"/>
        <v>20375</v>
      </c>
      <c r="AC373" s="114" t="s">
        <v>2228</v>
      </c>
      <c r="AD373" s="117">
        <f t="shared" si="34"/>
        <v>1</v>
      </c>
      <c r="AE373" s="114" t="s">
        <v>2227</v>
      </c>
      <c r="AF373" s="117">
        <f t="shared" si="35"/>
        <v>2.5</v>
      </c>
      <c r="AG373" s="114" t="s">
        <v>2226</v>
      </c>
      <c r="AH373" s="116">
        <v>815</v>
      </c>
      <c r="AI373" s="100"/>
      <c r="AJ373" s="100"/>
      <c r="AK373" s="100"/>
      <c r="AL373" s="100"/>
      <c r="AM373" s="100"/>
      <c r="AN373" s="100"/>
      <c r="AO373" s="100"/>
      <c r="AP373" s="100"/>
      <c r="AQ373" s="100"/>
    </row>
    <row r="374" spans="24:43">
      <c r="X374" s="114" t="s">
        <v>14082</v>
      </c>
      <c r="Y374" s="115">
        <v>412.625</v>
      </c>
      <c r="Z374" s="116">
        <f t="shared" si="32"/>
        <v>412.625</v>
      </c>
      <c r="AA374" s="114" t="s">
        <v>2229</v>
      </c>
      <c r="AB374" s="117">
        <f t="shared" si="33"/>
        <v>412</v>
      </c>
      <c r="AC374" s="114" t="s">
        <v>2228</v>
      </c>
      <c r="AD374" s="117">
        <f t="shared" si="34"/>
        <v>6</v>
      </c>
      <c r="AE374" s="114" t="s">
        <v>2227</v>
      </c>
      <c r="AF374" s="117">
        <f t="shared" si="35"/>
        <v>2.5</v>
      </c>
      <c r="AG374" s="114" t="s">
        <v>2226</v>
      </c>
      <c r="AH374" s="116">
        <v>16.5</v>
      </c>
      <c r="AI374" s="100"/>
      <c r="AJ374" s="100"/>
      <c r="AK374" s="100"/>
      <c r="AL374" s="100"/>
      <c r="AM374" s="100"/>
      <c r="AN374" s="100"/>
      <c r="AO374" s="100"/>
      <c r="AP374" s="100"/>
      <c r="AQ374" s="100"/>
    </row>
    <row r="375" spans="24:43">
      <c r="X375" s="114" t="s">
        <v>14083</v>
      </c>
      <c r="Y375" s="115">
        <v>3512.625</v>
      </c>
      <c r="Z375" s="116">
        <f t="shared" si="32"/>
        <v>3512.625</v>
      </c>
      <c r="AA375" s="114" t="s">
        <v>2229</v>
      </c>
      <c r="AB375" s="117">
        <f t="shared" si="33"/>
        <v>3512</v>
      </c>
      <c r="AC375" s="114" t="s">
        <v>2228</v>
      </c>
      <c r="AD375" s="117">
        <f t="shared" si="34"/>
        <v>6</v>
      </c>
      <c r="AE375" s="114" t="s">
        <v>2227</v>
      </c>
      <c r="AF375" s="117">
        <f t="shared" si="35"/>
        <v>2.5</v>
      </c>
      <c r="AG375" s="114" t="s">
        <v>2226</v>
      </c>
      <c r="AH375" s="116">
        <v>140.5</v>
      </c>
      <c r="AI375" s="100"/>
      <c r="AJ375" s="100"/>
      <c r="AK375" s="100"/>
      <c r="AL375" s="100"/>
      <c r="AM375" s="100"/>
      <c r="AN375" s="100"/>
      <c r="AO375" s="100"/>
      <c r="AP375" s="100"/>
      <c r="AQ375" s="100"/>
    </row>
    <row r="376" spans="24:43">
      <c r="X376" s="114" t="s">
        <v>14084</v>
      </c>
      <c r="Y376" s="115">
        <v>55</v>
      </c>
      <c r="Z376" s="116">
        <f t="shared" si="32"/>
        <v>55</v>
      </c>
      <c r="AA376" s="114" t="s">
        <v>2229</v>
      </c>
      <c r="AB376" s="117">
        <f t="shared" si="33"/>
        <v>55</v>
      </c>
      <c r="AC376" s="114" t="s">
        <v>2228</v>
      </c>
      <c r="AD376" s="117">
        <f t="shared" si="34"/>
        <v>0</v>
      </c>
      <c r="AE376" s="114" t="s">
        <v>2227</v>
      </c>
      <c r="AF376" s="117">
        <f t="shared" si="35"/>
        <v>0</v>
      </c>
      <c r="AG376" s="114" t="s">
        <v>2226</v>
      </c>
      <c r="AH376" s="116">
        <v>2.2000000000000002</v>
      </c>
      <c r="AI376" s="100"/>
      <c r="AJ376" s="100"/>
      <c r="AK376" s="100"/>
      <c r="AL376" s="100"/>
      <c r="AM376" s="100"/>
      <c r="AN376" s="100"/>
      <c r="AO376" s="100"/>
      <c r="AP376" s="100"/>
      <c r="AQ376" s="100"/>
    </row>
    <row r="377" spans="24:43">
      <c r="X377" s="114" t="s">
        <v>14085</v>
      </c>
      <c r="Y377" s="115">
        <v>5937.625</v>
      </c>
      <c r="Z377" s="116">
        <f t="shared" si="32"/>
        <v>5937.625</v>
      </c>
      <c r="AA377" s="114" t="s">
        <v>2229</v>
      </c>
      <c r="AB377" s="117">
        <f t="shared" si="33"/>
        <v>5937</v>
      </c>
      <c r="AC377" s="114" t="s">
        <v>2228</v>
      </c>
      <c r="AD377" s="117">
        <f t="shared" si="34"/>
        <v>6</v>
      </c>
      <c r="AE377" s="114" t="s">
        <v>2227</v>
      </c>
      <c r="AF377" s="117">
        <f t="shared" si="35"/>
        <v>2.5</v>
      </c>
      <c r="AG377" s="114" t="s">
        <v>2226</v>
      </c>
      <c r="AH377" s="116">
        <v>237.5</v>
      </c>
      <c r="AI377" s="100"/>
      <c r="AJ377" s="100"/>
      <c r="AK377" s="100"/>
      <c r="AL377" s="100"/>
      <c r="AM377" s="100"/>
      <c r="AN377" s="100"/>
      <c r="AO377" s="100"/>
      <c r="AP377" s="100"/>
      <c r="AQ377" s="100"/>
    </row>
    <row r="378" spans="24:43">
      <c r="X378" s="114" t="s">
        <v>14086</v>
      </c>
      <c r="Y378" s="115">
        <v>67750.25</v>
      </c>
      <c r="Z378" s="116">
        <f t="shared" si="32"/>
        <v>67750.25</v>
      </c>
      <c r="AA378" s="114" t="s">
        <v>2229</v>
      </c>
      <c r="AB378" s="117">
        <f t="shared" si="33"/>
        <v>67750</v>
      </c>
      <c r="AC378" s="114" t="s">
        <v>2228</v>
      </c>
      <c r="AD378" s="117">
        <f t="shared" si="34"/>
        <v>2</v>
      </c>
      <c r="AE378" s="114" t="s">
        <v>2227</v>
      </c>
      <c r="AF378" s="117">
        <f t="shared" si="35"/>
        <v>5</v>
      </c>
      <c r="AG378" s="114" t="s">
        <v>2226</v>
      </c>
      <c r="AH378" s="116">
        <v>2710.01</v>
      </c>
      <c r="AI378" s="100"/>
      <c r="AJ378" s="100"/>
      <c r="AK378" s="100"/>
      <c r="AL378" s="100"/>
      <c r="AM378" s="100"/>
      <c r="AN378" s="100"/>
      <c r="AO378" s="100"/>
      <c r="AP378" s="100"/>
      <c r="AQ378" s="100"/>
    </row>
    <row r="379" spans="24:43">
      <c r="X379" s="114" t="s">
        <v>9444</v>
      </c>
      <c r="Y379" s="115">
        <v>106250.25</v>
      </c>
      <c r="Z379" s="116">
        <f t="shared" si="32"/>
        <v>106250.25</v>
      </c>
      <c r="AA379" s="114" t="s">
        <v>2229</v>
      </c>
      <c r="AB379" s="117">
        <f t="shared" si="33"/>
        <v>106250</v>
      </c>
      <c r="AC379" s="114" t="s">
        <v>2228</v>
      </c>
      <c r="AD379" s="117">
        <f t="shared" si="34"/>
        <v>2</v>
      </c>
      <c r="AE379" s="114" t="s">
        <v>2227</v>
      </c>
      <c r="AF379" s="117">
        <f t="shared" si="35"/>
        <v>5</v>
      </c>
      <c r="AG379" s="114" t="s">
        <v>2226</v>
      </c>
      <c r="AH379" s="116">
        <v>4250.01</v>
      </c>
      <c r="AI379" s="100"/>
      <c r="AJ379" s="100"/>
      <c r="AK379" s="100"/>
      <c r="AL379" s="100"/>
      <c r="AM379" s="100"/>
      <c r="AN379" s="100"/>
      <c r="AO379" s="100"/>
      <c r="AP379" s="100"/>
      <c r="AQ379" s="100"/>
    </row>
    <row r="380" spans="24:43">
      <c r="X380" s="114" t="s">
        <v>14087</v>
      </c>
      <c r="Y380" s="115">
        <v>73750.25</v>
      </c>
      <c r="Z380" s="116">
        <f t="shared" si="32"/>
        <v>73750.25</v>
      </c>
      <c r="AA380" s="114" t="s">
        <v>2229</v>
      </c>
      <c r="AB380" s="117">
        <f t="shared" si="33"/>
        <v>73750</v>
      </c>
      <c r="AC380" s="114" t="s">
        <v>2228</v>
      </c>
      <c r="AD380" s="117">
        <f t="shared" si="34"/>
        <v>2</v>
      </c>
      <c r="AE380" s="114" t="s">
        <v>2227</v>
      </c>
      <c r="AF380" s="117">
        <f t="shared" si="35"/>
        <v>5</v>
      </c>
      <c r="AG380" s="114" t="s">
        <v>2226</v>
      </c>
      <c r="AH380" s="116">
        <v>2950.01</v>
      </c>
      <c r="AI380" s="100"/>
      <c r="AJ380" s="100"/>
      <c r="AK380" s="100"/>
      <c r="AL380" s="100"/>
      <c r="AM380" s="100"/>
      <c r="AN380" s="100"/>
      <c r="AO380" s="100"/>
      <c r="AP380" s="100"/>
      <c r="AQ380" s="100"/>
    </row>
    <row r="381" spans="24:43">
      <c r="X381" s="114" t="s">
        <v>14088</v>
      </c>
      <c r="Y381" s="115">
        <v>6875.25</v>
      </c>
      <c r="Z381" s="116">
        <f t="shared" si="32"/>
        <v>6875.25</v>
      </c>
      <c r="AA381" s="114" t="s">
        <v>2229</v>
      </c>
      <c r="AB381" s="117">
        <f t="shared" si="33"/>
        <v>6875</v>
      </c>
      <c r="AC381" s="114" t="s">
        <v>2228</v>
      </c>
      <c r="AD381" s="117">
        <f t="shared" si="34"/>
        <v>2</v>
      </c>
      <c r="AE381" s="114" t="s">
        <v>2227</v>
      </c>
      <c r="AF381" s="117">
        <f t="shared" si="35"/>
        <v>5</v>
      </c>
      <c r="AG381" s="114" t="s">
        <v>2226</v>
      </c>
      <c r="AH381" s="116">
        <v>275.01</v>
      </c>
      <c r="AI381" s="100"/>
      <c r="AJ381" s="100"/>
      <c r="AK381" s="100"/>
      <c r="AL381" s="100"/>
      <c r="AM381" s="100"/>
      <c r="AN381" s="100"/>
      <c r="AO381" s="100"/>
      <c r="AP381" s="100"/>
      <c r="AQ381" s="100"/>
    </row>
    <row r="382" spans="24:43">
      <c r="X382" s="114" t="s">
        <v>14089</v>
      </c>
      <c r="Y382" s="115">
        <v>60</v>
      </c>
      <c r="Z382" s="116">
        <f t="shared" si="32"/>
        <v>60</v>
      </c>
      <c r="AA382" s="114" t="s">
        <v>2229</v>
      </c>
      <c r="AB382" s="117">
        <f t="shared" si="33"/>
        <v>60</v>
      </c>
      <c r="AC382" s="114" t="s">
        <v>2228</v>
      </c>
      <c r="AD382" s="117">
        <f t="shared" si="34"/>
        <v>0</v>
      </c>
      <c r="AE382" s="114" t="s">
        <v>2227</v>
      </c>
      <c r="AF382" s="117">
        <f t="shared" si="35"/>
        <v>0</v>
      </c>
      <c r="AG382" s="114" t="s">
        <v>2226</v>
      </c>
      <c r="AH382" s="116">
        <v>2.4</v>
      </c>
      <c r="AI382" s="100"/>
      <c r="AJ382" s="100"/>
      <c r="AK382" s="100"/>
      <c r="AL382" s="100"/>
      <c r="AM382" s="100"/>
      <c r="AN382" s="100"/>
      <c r="AO382" s="100"/>
      <c r="AP382" s="100"/>
      <c r="AQ382" s="100"/>
    </row>
    <row r="383" spans="24:43">
      <c r="X383" s="114" t="s">
        <v>14089</v>
      </c>
      <c r="Y383" s="115">
        <v>60</v>
      </c>
      <c r="Z383" s="116">
        <f t="shared" si="32"/>
        <v>60</v>
      </c>
      <c r="AA383" s="114" t="s">
        <v>2229</v>
      </c>
      <c r="AB383" s="117">
        <f t="shared" si="33"/>
        <v>60</v>
      </c>
      <c r="AC383" s="114" t="s">
        <v>2228</v>
      </c>
      <c r="AD383" s="117">
        <f t="shared" si="34"/>
        <v>0</v>
      </c>
      <c r="AE383" s="114" t="s">
        <v>2227</v>
      </c>
      <c r="AF383" s="117">
        <f t="shared" si="35"/>
        <v>0</v>
      </c>
      <c r="AG383" s="114" t="s">
        <v>2226</v>
      </c>
      <c r="AH383" s="116">
        <v>2.4</v>
      </c>
      <c r="AI383" s="100"/>
      <c r="AJ383" s="100"/>
      <c r="AK383" s="100"/>
      <c r="AL383" s="100"/>
      <c r="AM383" s="100"/>
      <c r="AN383" s="100"/>
      <c r="AO383" s="100"/>
      <c r="AP383" s="100"/>
      <c r="AQ383" s="100"/>
    </row>
    <row r="384" spans="24:43">
      <c r="X384" s="114" t="s">
        <v>14090</v>
      </c>
      <c r="Y384" s="115">
        <v>112500.5</v>
      </c>
      <c r="Z384" s="116">
        <f t="shared" si="32"/>
        <v>112500.5</v>
      </c>
      <c r="AA384" s="114" t="s">
        <v>2229</v>
      </c>
      <c r="AB384" s="117">
        <f t="shared" si="33"/>
        <v>112500</v>
      </c>
      <c r="AC384" s="114" t="s">
        <v>2228</v>
      </c>
      <c r="AD384" s="117">
        <f t="shared" si="34"/>
        <v>5</v>
      </c>
      <c r="AE384" s="114" t="s">
        <v>2227</v>
      </c>
      <c r="AF384" s="117">
        <f t="shared" si="35"/>
        <v>0</v>
      </c>
      <c r="AG384" s="114" t="s">
        <v>2226</v>
      </c>
      <c r="AH384" s="116">
        <v>4500.0200000000004</v>
      </c>
      <c r="AI384" s="100"/>
      <c r="AJ384" s="100"/>
      <c r="AK384" s="100"/>
      <c r="AL384" s="100"/>
      <c r="AM384" s="100"/>
      <c r="AN384" s="100"/>
      <c r="AO384" s="100"/>
      <c r="AP384" s="100"/>
      <c r="AQ384" s="100"/>
    </row>
    <row r="385" spans="24:43">
      <c r="X385" s="114" t="s">
        <v>14090</v>
      </c>
      <c r="Y385" s="115">
        <v>112500.5</v>
      </c>
      <c r="Z385" s="116">
        <f t="shared" si="32"/>
        <v>112500.5</v>
      </c>
      <c r="AA385" s="114" t="s">
        <v>2229</v>
      </c>
      <c r="AB385" s="117">
        <f t="shared" si="33"/>
        <v>112500</v>
      </c>
      <c r="AC385" s="114" t="s">
        <v>2228</v>
      </c>
      <c r="AD385" s="117">
        <f t="shared" si="34"/>
        <v>5</v>
      </c>
      <c r="AE385" s="114" t="s">
        <v>2227</v>
      </c>
      <c r="AF385" s="117">
        <f t="shared" si="35"/>
        <v>0</v>
      </c>
      <c r="AG385" s="114" t="s">
        <v>2226</v>
      </c>
      <c r="AH385" s="116">
        <v>4500.0200000000004</v>
      </c>
      <c r="AI385" s="100"/>
      <c r="AJ385" s="100"/>
      <c r="AK385" s="100"/>
      <c r="AL385" s="100"/>
      <c r="AM385" s="100"/>
      <c r="AN385" s="100"/>
      <c r="AO385" s="100"/>
      <c r="AP385" s="100"/>
      <c r="AQ385" s="100"/>
    </row>
    <row r="386" spans="24:43">
      <c r="X386" s="114" t="s">
        <v>14091</v>
      </c>
      <c r="Y386" s="115">
        <v>4875</v>
      </c>
      <c r="Z386" s="116">
        <f t="shared" si="32"/>
        <v>4875</v>
      </c>
      <c r="AA386" s="114" t="s">
        <v>2229</v>
      </c>
      <c r="AB386" s="117">
        <f t="shared" si="33"/>
        <v>4875</v>
      </c>
      <c r="AC386" s="114" t="s">
        <v>2228</v>
      </c>
      <c r="AD386" s="117">
        <f t="shared" si="34"/>
        <v>0</v>
      </c>
      <c r="AE386" s="114" t="s">
        <v>2227</v>
      </c>
      <c r="AF386" s="117">
        <f t="shared" si="35"/>
        <v>0</v>
      </c>
      <c r="AG386" s="114" t="s">
        <v>2226</v>
      </c>
      <c r="AH386" s="116">
        <v>195</v>
      </c>
      <c r="AI386" s="100"/>
      <c r="AJ386" s="100"/>
      <c r="AK386" s="100"/>
      <c r="AL386" s="100"/>
      <c r="AM386" s="100"/>
      <c r="AN386" s="100"/>
      <c r="AO386" s="100"/>
      <c r="AP386" s="100"/>
      <c r="AQ386" s="100"/>
    </row>
    <row r="387" spans="24:43">
      <c r="X387" s="114" t="s">
        <v>14092</v>
      </c>
      <c r="Y387" s="115">
        <v>4500</v>
      </c>
      <c r="Z387" s="116">
        <f t="shared" ref="Z387:Z450" si="36">Y387*$AK$6*$AK$11</f>
        <v>4500</v>
      </c>
      <c r="AA387" s="114" t="s">
        <v>2229</v>
      </c>
      <c r="AB387" s="117">
        <f t="shared" ref="AB387:AB450" si="37">_xlfn.FLOOR.MATH(Z387,1)</f>
        <v>4500</v>
      </c>
      <c r="AC387" s="114" t="s">
        <v>2228</v>
      </c>
      <c r="AD387" s="117">
        <f t="shared" ref="AD387:AD450" si="38">_xlfn.FLOOR.MATH(((Z387-AB387)*10), 1)</f>
        <v>0</v>
      </c>
      <c r="AE387" s="114" t="s">
        <v>2227</v>
      </c>
      <c r="AF387" s="117">
        <f t="shared" ref="AF387:AF450" si="39">((Z387-AB387)*10-AD387)*10</f>
        <v>0</v>
      </c>
      <c r="AG387" s="114" t="s">
        <v>2226</v>
      </c>
      <c r="AH387" s="116">
        <v>180</v>
      </c>
      <c r="AI387" s="100"/>
      <c r="AJ387" s="100"/>
      <c r="AK387" s="100"/>
      <c r="AL387" s="100"/>
      <c r="AM387" s="100"/>
      <c r="AN387" s="100"/>
      <c r="AO387" s="100"/>
      <c r="AP387" s="100"/>
      <c r="AQ387" s="100"/>
    </row>
    <row r="388" spans="24:43">
      <c r="X388" s="114" t="s">
        <v>14093</v>
      </c>
      <c r="Y388" s="115">
        <v>5750</v>
      </c>
      <c r="Z388" s="116">
        <f t="shared" si="36"/>
        <v>5750</v>
      </c>
      <c r="AA388" s="114" t="s">
        <v>2229</v>
      </c>
      <c r="AB388" s="117">
        <f t="shared" si="37"/>
        <v>5750</v>
      </c>
      <c r="AC388" s="114" t="s">
        <v>2228</v>
      </c>
      <c r="AD388" s="117">
        <f t="shared" si="38"/>
        <v>0</v>
      </c>
      <c r="AE388" s="114" t="s">
        <v>2227</v>
      </c>
      <c r="AF388" s="117">
        <f t="shared" si="39"/>
        <v>0</v>
      </c>
      <c r="AG388" s="114" t="s">
        <v>2226</v>
      </c>
      <c r="AH388" s="116">
        <v>230</v>
      </c>
      <c r="AI388" s="100"/>
      <c r="AJ388" s="100"/>
      <c r="AK388" s="100"/>
      <c r="AL388" s="100"/>
      <c r="AM388" s="100"/>
      <c r="AN388" s="100"/>
      <c r="AO388" s="100"/>
      <c r="AP388" s="100"/>
      <c r="AQ388" s="100"/>
    </row>
    <row r="389" spans="24:43">
      <c r="X389" s="114" t="s">
        <v>14094</v>
      </c>
      <c r="Y389" s="115">
        <v>17100</v>
      </c>
      <c r="Z389" s="116">
        <f t="shared" si="36"/>
        <v>17100</v>
      </c>
      <c r="AA389" s="114" t="s">
        <v>2229</v>
      </c>
      <c r="AB389" s="117">
        <f t="shared" si="37"/>
        <v>17100</v>
      </c>
      <c r="AC389" s="114" t="s">
        <v>2228</v>
      </c>
      <c r="AD389" s="117">
        <f t="shared" si="38"/>
        <v>0</v>
      </c>
      <c r="AE389" s="114" t="s">
        <v>2227</v>
      </c>
      <c r="AF389" s="117">
        <f t="shared" si="39"/>
        <v>0</v>
      </c>
      <c r="AG389" s="114" t="s">
        <v>2226</v>
      </c>
      <c r="AH389" s="116">
        <v>684</v>
      </c>
      <c r="AI389" s="100"/>
      <c r="AJ389" s="100"/>
      <c r="AK389" s="100"/>
      <c r="AL389" s="100"/>
      <c r="AM389" s="100"/>
      <c r="AN389" s="100"/>
      <c r="AO389" s="100"/>
      <c r="AP389" s="100"/>
      <c r="AQ389" s="100"/>
    </row>
    <row r="390" spans="24:43">
      <c r="X390" s="114" t="s">
        <v>14095</v>
      </c>
      <c r="Y390" s="115">
        <v>33625.125</v>
      </c>
      <c r="Z390" s="116">
        <f t="shared" si="36"/>
        <v>33625.125</v>
      </c>
      <c r="AA390" s="114" t="s">
        <v>2229</v>
      </c>
      <c r="AB390" s="117">
        <f t="shared" si="37"/>
        <v>33625</v>
      </c>
      <c r="AC390" s="114" t="s">
        <v>2228</v>
      </c>
      <c r="AD390" s="117">
        <f t="shared" si="38"/>
        <v>1</v>
      </c>
      <c r="AE390" s="114" t="s">
        <v>2227</v>
      </c>
      <c r="AF390" s="117">
        <f t="shared" si="39"/>
        <v>2.5</v>
      </c>
      <c r="AG390" s="114" t="s">
        <v>2226</v>
      </c>
      <c r="AH390" s="116">
        <v>1345</v>
      </c>
      <c r="AI390" s="100"/>
      <c r="AJ390" s="100"/>
      <c r="AK390" s="100"/>
      <c r="AL390" s="100"/>
      <c r="AM390" s="100"/>
      <c r="AN390" s="100"/>
      <c r="AO390" s="100"/>
      <c r="AP390" s="100"/>
      <c r="AQ390" s="100"/>
    </row>
    <row r="391" spans="24:43">
      <c r="X391" s="114" t="s">
        <v>14096</v>
      </c>
      <c r="Y391" s="115">
        <v>33625.125</v>
      </c>
      <c r="Z391" s="116">
        <f t="shared" si="36"/>
        <v>33625.125</v>
      </c>
      <c r="AA391" s="114" t="s">
        <v>2229</v>
      </c>
      <c r="AB391" s="117">
        <f t="shared" si="37"/>
        <v>33625</v>
      </c>
      <c r="AC391" s="114" t="s">
        <v>2228</v>
      </c>
      <c r="AD391" s="117">
        <f t="shared" si="38"/>
        <v>1</v>
      </c>
      <c r="AE391" s="114" t="s">
        <v>2227</v>
      </c>
      <c r="AF391" s="117">
        <f t="shared" si="39"/>
        <v>2.5</v>
      </c>
      <c r="AG391" s="114" t="s">
        <v>2226</v>
      </c>
      <c r="AH391" s="116">
        <v>1345</v>
      </c>
      <c r="AI391" s="100"/>
      <c r="AJ391" s="100"/>
      <c r="AK391" s="100"/>
      <c r="AL391" s="100"/>
      <c r="AM391" s="100"/>
      <c r="AN391" s="100"/>
      <c r="AO391" s="100"/>
      <c r="AP391" s="100"/>
      <c r="AQ391" s="100"/>
    </row>
    <row r="392" spans="24:43">
      <c r="X392" s="114" t="s">
        <v>14097</v>
      </c>
      <c r="Y392" s="115">
        <v>26625.125</v>
      </c>
      <c r="Z392" s="116">
        <f t="shared" si="36"/>
        <v>26625.125</v>
      </c>
      <c r="AA392" s="114" t="s">
        <v>2229</v>
      </c>
      <c r="AB392" s="117">
        <f t="shared" si="37"/>
        <v>26625</v>
      </c>
      <c r="AC392" s="114" t="s">
        <v>2228</v>
      </c>
      <c r="AD392" s="117">
        <f t="shared" si="38"/>
        <v>1</v>
      </c>
      <c r="AE392" s="114" t="s">
        <v>2227</v>
      </c>
      <c r="AF392" s="117">
        <f t="shared" si="39"/>
        <v>2.5</v>
      </c>
      <c r="AG392" s="114" t="s">
        <v>2226</v>
      </c>
      <c r="AH392" s="116">
        <v>1065</v>
      </c>
      <c r="AI392" s="100"/>
      <c r="AJ392" s="100"/>
      <c r="AK392" s="100"/>
      <c r="AL392" s="100"/>
      <c r="AM392" s="100"/>
      <c r="AN392" s="100"/>
      <c r="AO392" s="100"/>
      <c r="AP392" s="100"/>
      <c r="AQ392" s="100"/>
    </row>
    <row r="393" spans="24:43">
      <c r="X393" s="114" t="s">
        <v>14098</v>
      </c>
      <c r="Y393" s="115">
        <v>33625.125</v>
      </c>
      <c r="Z393" s="116">
        <f t="shared" si="36"/>
        <v>33625.125</v>
      </c>
      <c r="AA393" s="114" t="s">
        <v>2229</v>
      </c>
      <c r="AB393" s="117">
        <f t="shared" si="37"/>
        <v>33625</v>
      </c>
      <c r="AC393" s="114" t="s">
        <v>2228</v>
      </c>
      <c r="AD393" s="117">
        <f t="shared" si="38"/>
        <v>1</v>
      </c>
      <c r="AE393" s="114" t="s">
        <v>2227</v>
      </c>
      <c r="AF393" s="117">
        <f t="shared" si="39"/>
        <v>2.5</v>
      </c>
      <c r="AG393" s="114" t="s">
        <v>2226</v>
      </c>
      <c r="AH393" s="116">
        <v>1345</v>
      </c>
      <c r="AI393" s="100"/>
      <c r="AJ393" s="100"/>
      <c r="AK393" s="100"/>
      <c r="AL393" s="100"/>
      <c r="AM393" s="100"/>
      <c r="AN393" s="100"/>
      <c r="AO393" s="100"/>
      <c r="AP393" s="100"/>
      <c r="AQ393" s="100"/>
    </row>
    <row r="394" spans="24:43">
      <c r="X394" s="114" t="s">
        <v>8883</v>
      </c>
      <c r="Y394" s="115">
        <v>950</v>
      </c>
      <c r="Z394" s="116">
        <f t="shared" si="36"/>
        <v>950</v>
      </c>
      <c r="AA394" s="114" t="s">
        <v>2229</v>
      </c>
      <c r="AB394" s="117">
        <f t="shared" si="37"/>
        <v>950</v>
      </c>
      <c r="AC394" s="114" t="s">
        <v>2228</v>
      </c>
      <c r="AD394" s="117">
        <f t="shared" si="38"/>
        <v>0</v>
      </c>
      <c r="AE394" s="114" t="s">
        <v>2227</v>
      </c>
      <c r="AF394" s="117">
        <f t="shared" si="39"/>
        <v>0</v>
      </c>
      <c r="AG394" s="114" t="s">
        <v>2226</v>
      </c>
      <c r="AH394" s="116">
        <v>38</v>
      </c>
      <c r="AI394" s="100"/>
      <c r="AJ394" s="100"/>
      <c r="AK394" s="100"/>
      <c r="AL394" s="100"/>
      <c r="AM394" s="100"/>
      <c r="AN394" s="100"/>
      <c r="AO394" s="100"/>
      <c r="AP394" s="100"/>
      <c r="AQ394" s="100"/>
    </row>
    <row r="395" spans="24:43">
      <c r="X395" s="114" t="s">
        <v>14099</v>
      </c>
      <c r="Y395" s="115">
        <v>23625.125</v>
      </c>
      <c r="Z395" s="116">
        <f t="shared" si="36"/>
        <v>23625.125</v>
      </c>
      <c r="AA395" s="114" t="s">
        <v>2229</v>
      </c>
      <c r="AB395" s="117">
        <f t="shared" si="37"/>
        <v>23625</v>
      </c>
      <c r="AC395" s="114" t="s">
        <v>2228</v>
      </c>
      <c r="AD395" s="117">
        <f t="shared" si="38"/>
        <v>1</v>
      </c>
      <c r="AE395" s="114" t="s">
        <v>2227</v>
      </c>
      <c r="AF395" s="117">
        <f t="shared" si="39"/>
        <v>2.5</v>
      </c>
      <c r="AG395" s="114" t="s">
        <v>2226</v>
      </c>
      <c r="AH395" s="116">
        <v>945</v>
      </c>
      <c r="AI395" s="100"/>
      <c r="AJ395" s="100"/>
      <c r="AK395" s="100"/>
      <c r="AL395" s="100"/>
      <c r="AM395" s="100"/>
      <c r="AN395" s="100"/>
      <c r="AO395" s="100"/>
      <c r="AP395" s="100"/>
      <c r="AQ395" s="100"/>
    </row>
    <row r="396" spans="24:43">
      <c r="X396" s="114" t="s">
        <v>14100</v>
      </c>
      <c r="Y396" s="115">
        <v>262.625</v>
      </c>
      <c r="Z396" s="116">
        <f t="shared" si="36"/>
        <v>262.625</v>
      </c>
      <c r="AA396" s="114" t="s">
        <v>2229</v>
      </c>
      <c r="AB396" s="117">
        <f t="shared" si="37"/>
        <v>262</v>
      </c>
      <c r="AC396" s="114" t="s">
        <v>2228</v>
      </c>
      <c r="AD396" s="117">
        <f t="shared" si="38"/>
        <v>6</v>
      </c>
      <c r="AE396" s="114" t="s">
        <v>2227</v>
      </c>
      <c r="AF396" s="117">
        <f t="shared" si="39"/>
        <v>2.5</v>
      </c>
      <c r="AG396" s="114" t="s">
        <v>2226</v>
      </c>
      <c r="AH396" s="116">
        <v>10.5</v>
      </c>
      <c r="AI396" s="100"/>
      <c r="AJ396" s="100"/>
      <c r="AK396" s="100"/>
      <c r="AL396" s="100"/>
      <c r="AM396" s="100"/>
      <c r="AN396" s="100"/>
      <c r="AO396" s="100"/>
      <c r="AP396" s="100"/>
      <c r="AQ396" s="100"/>
    </row>
    <row r="397" spans="24:43">
      <c r="X397" s="114" t="s">
        <v>14101</v>
      </c>
      <c r="Y397" s="115">
        <v>112500.5</v>
      </c>
      <c r="Z397" s="116">
        <f t="shared" si="36"/>
        <v>112500.5</v>
      </c>
      <c r="AA397" s="114" t="s">
        <v>2229</v>
      </c>
      <c r="AB397" s="117">
        <f t="shared" si="37"/>
        <v>112500</v>
      </c>
      <c r="AC397" s="114" t="s">
        <v>2228</v>
      </c>
      <c r="AD397" s="117">
        <f t="shared" si="38"/>
        <v>5</v>
      </c>
      <c r="AE397" s="114" t="s">
        <v>2227</v>
      </c>
      <c r="AF397" s="117">
        <f t="shared" si="39"/>
        <v>0</v>
      </c>
      <c r="AG397" s="114" t="s">
        <v>2226</v>
      </c>
      <c r="AH397" s="116">
        <v>4500.0200000000004</v>
      </c>
      <c r="AI397" s="100"/>
      <c r="AJ397" s="100"/>
      <c r="AK397" s="100"/>
      <c r="AL397" s="100"/>
      <c r="AM397" s="100"/>
      <c r="AN397" s="100"/>
      <c r="AO397" s="100"/>
      <c r="AP397" s="100"/>
      <c r="AQ397" s="100"/>
    </row>
    <row r="398" spans="24:43">
      <c r="X398" s="114" t="s">
        <v>14102</v>
      </c>
      <c r="Y398" s="115">
        <v>60</v>
      </c>
      <c r="Z398" s="116">
        <f t="shared" si="36"/>
        <v>60</v>
      </c>
      <c r="AA398" s="114" t="s">
        <v>2229</v>
      </c>
      <c r="AB398" s="117">
        <f t="shared" si="37"/>
        <v>60</v>
      </c>
      <c r="AC398" s="114" t="s">
        <v>2228</v>
      </c>
      <c r="AD398" s="117">
        <f t="shared" si="38"/>
        <v>0</v>
      </c>
      <c r="AE398" s="114" t="s">
        <v>2227</v>
      </c>
      <c r="AF398" s="117">
        <f t="shared" si="39"/>
        <v>0</v>
      </c>
      <c r="AG398" s="114" t="s">
        <v>2226</v>
      </c>
      <c r="AH398" s="116">
        <v>2.4</v>
      </c>
      <c r="AI398" s="100"/>
      <c r="AJ398" s="100"/>
      <c r="AK398" s="100"/>
      <c r="AL398" s="100"/>
      <c r="AM398" s="100"/>
      <c r="AN398" s="100"/>
      <c r="AO398" s="100"/>
      <c r="AP398" s="100"/>
      <c r="AQ398" s="100"/>
    </row>
    <row r="399" spans="24:43">
      <c r="X399" s="114" t="s">
        <v>14103</v>
      </c>
      <c r="Y399" s="115">
        <v>6875.25</v>
      </c>
      <c r="Z399" s="116">
        <f t="shared" si="36"/>
        <v>6875.25</v>
      </c>
      <c r="AA399" s="114" t="s">
        <v>2229</v>
      </c>
      <c r="AB399" s="117">
        <f t="shared" si="37"/>
        <v>6875</v>
      </c>
      <c r="AC399" s="114" t="s">
        <v>2228</v>
      </c>
      <c r="AD399" s="117">
        <f t="shared" si="38"/>
        <v>2</v>
      </c>
      <c r="AE399" s="114" t="s">
        <v>2227</v>
      </c>
      <c r="AF399" s="117">
        <f t="shared" si="39"/>
        <v>5</v>
      </c>
      <c r="AG399" s="114" t="s">
        <v>2226</v>
      </c>
      <c r="AH399" s="116">
        <v>275.01</v>
      </c>
      <c r="AI399" s="100"/>
      <c r="AJ399" s="100"/>
      <c r="AK399" s="100"/>
      <c r="AL399" s="100"/>
      <c r="AM399" s="100"/>
      <c r="AN399" s="100"/>
      <c r="AO399" s="100"/>
      <c r="AP399" s="100"/>
      <c r="AQ399" s="100"/>
    </row>
    <row r="400" spans="24:43">
      <c r="X400" s="114" t="s">
        <v>14104</v>
      </c>
      <c r="Y400" s="115">
        <v>112500.5</v>
      </c>
      <c r="Z400" s="116">
        <f t="shared" si="36"/>
        <v>112500.5</v>
      </c>
      <c r="AA400" s="114" t="s">
        <v>2229</v>
      </c>
      <c r="AB400" s="117">
        <f t="shared" si="37"/>
        <v>112500</v>
      </c>
      <c r="AC400" s="114" t="s">
        <v>2228</v>
      </c>
      <c r="AD400" s="117">
        <f t="shared" si="38"/>
        <v>5</v>
      </c>
      <c r="AE400" s="114" t="s">
        <v>2227</v>
      </c>
      <c r="AF400" s="117">
        <f t="shared" si="39"/>
        <v>0</v>
      </c>
      <c r="AG400" s="114" t="s">
        <v>2226</v>
      </c>
      <c r="AH400" s="116">
        <v>4500.0200000000004</v>
      </c>
      <c r="AI400" s="100"/>
      <c r="AJ400" s="100"/>
      <c r="AK400" s="100"/>
      <c r="AL400" s="100"/>
      <c r="AM400" s="100"/>
      <c r="AN400" s="100"/>
      <c r="AO400" s="100"/>
      <c r="AP400" s="100"/>
      <c r="AQ400" s="100"/>
    </row>
    <row r="401" spans="24:43">
      <c r="X401" s="114" t="s">
        <v>14105</v>
      </c>
      <c r="Y401" s="115">
        <v>112500.5</v>
      </c>
      <c r="Z401" s="116">
        <f t="shared" si="36"/>
        <v>112500.5</v>
      </c>
      <c r="AA401" s="114" t="s">
        <v>2229</v>
      </c>
      <c r="AB401" s="117">
        <f t="shared" si="37"/>
        <v>112500</v>
      </c>
      <c r="AC401" s="114" t="s">
        <v>2228</v>
      </c>
      <c r="AD401" s="117">
        <f t="shared" si="38"/>
        <v>5</v>
      </c>
      <c r="AE401" s="114" t="s">
        <v>2227</v>
      </c>
      <c r="AF401" s="117">
        <f t="shared" si="39"/>
        <v>0</v>
      </c>
      <c r="AG401" s="114" t="s">
        <v>2226</v>
      </c>
      <c r="AH401" s="116">
        <v>4500.0200000000004</v>
      </c>
      <c r="AI401" s="100"/>
      <c r="AJ401" s="100"/>
      <c r="AK401" s="100"/>
      <c r="AL401" s="100"/>
      <c r="AM401" s="100"/>
      <c r="AN401" s="100"/>
      <c r="AO401" s="100"/>
      <c r="AP401" s="100"/>
      <c r="AQ401" s="100"/>
    </row>
    <row r="402" spans="24:43">
      <c r="X402" s="114" t="s">
        <v>14106</v>
      </c>
      <c r="Y402" s="115">
        <v>91250.25</v>
      </c>
      <c r="Z402" s="116">
        <f t="shared" si="36"/>
        <v>91250.25</v>
      </c>
      <c r="AA402" s="114" t="s">
        <v>2229</v>
      </c>
      <c r="AB402" s="117">
        <f t="shared" si="37"/>
        <v>91250</v>
      </c>
      <c r="AC402" s="114" t="s">
        <v>2228</v>
      </c>
      <c r="AD402" s="117">
        <f t="shared" si="38"/>
        <v>2</v>
      </c>
      <c r="AE402" s="114" t="s">
        <v>2227</v>
      </c>
      <c r="AF402" s="117">
        <f t="shared" si="39"/>
        <v>5</v>
      </c>
      <c r="AG402" s="114" t="s">
        <v>2226</v>
      </c>
      <c r="AH402" s="116">
        <v>3650.01</v>
      </c>
      <c r="AI402" s="100"/>
      <c r="AJ402" s="100"/>
      <c r="AK402" s="100"/>
      <c r="AL402" s="100"/>
      <c r="AM402" s="100"/>
      <c r="AN402" s="100"/>
      <c r="AO402" s="100"/>
      <c r="AP402" s="100"/>
      <c r="AQ402" s="100"/>
    </row>
    <row r="403" spans="24:43">
      <c r="X403" s="114" t="s">
        <v>14107</v>
      </c>
      <c r="Y403" s="115">
        <v>1650</v>
      </c>
      <c r="Z403" s="116">
        <f t="shared" si="36"/>
        <v>1650</v>
      </c>
      <c r="AA403" s="114" t="s">
        <v>2229</v>
      </c>
      <c r="AB403" s="117">
        <f t="shared" si="37"/>
        <v>1650</v>
      </c>
      <c r="AC403" s="114" t="s">
        <v>2228</v>
      </c>
      <c r="AD403" s="117">
        <f t="shared" si="38"/>
        <v>0</v>
      </c>
      <c r="AE403" s="114" t="s">
        <v>2227</v>
      </c>
      <c r="AF403" s="117">
        <f t="shared" si="39"/>
        <v>0</v>
      </c>
      <c r="AG403" s="114" t="s">
        <v>2226</v>
      </c>
      <c r="AH403" s="116">
        <v>66</v>
      </c>
      <c r="AI403" s="100"/>
      <c r="AJ403" s="100"/>
      <c r="AK403" s="100"/>
      <c r="AL403" s="100"/>
      <c r="AM403" s="100"/>
      <c r="AN403" s="100"/>
      <c r="AO403" s="100"/>
      <c r="AP403" s="100"/>
      <c r="AQ403" s="100"/>
    </row>
    <row r="404" spans="24:43">
      <c r="X404" s="114" t="s">
        <v>14108</v>
      </c>
      <c r="Y404" s="115">
        <v>6875.25</v>
      </c>
      <c r="Z404" s="116">
        <f t="shared" si="36"/>
        <v>6875.25</v>
      </c>
      <c r="AA404" s="114" t="s">
        <v>2229</v>
      </c>
      <c r="AB404" s="117">
        <f t="shared" si="37"/>
        <v>6875</v>
      </c>
      <c r="AC404" s="114" t="s">
        <v>2228</v>
      </c>
      <c r="AD404" s="117">
        <f t="shared" si="38"/>
        <v>2</v>
      </c>
      <c r="AE404" s="114" t="s">
        <v>2227</v>
      </c>
      <c r="AF404" s="117">
        <f t="shared" si="39"/>
        <v>5</v>
      </c>
      <c r="AG404" s="114" t="s">
        <v>2226</v>
      </c>
      <c r="AH404" s="116">
        <v>275.01</v>
      </c>
      <c r="AI404" s="100"/>
      <c r="AJ404" s="100"/>
      <c r="AK404" s="100"/>
      <c r="AL404" s="100"/>
      <c r="AM404" s="100"/>
      <c r="AN404" s="100"/>
      <c r="AO404" s="100"/>
      <c r="AP404" s="100"/>
      <c r="AQ404" s="100"/>
    </row>
    <row r="405" spans="24:43">
      <c r="X405" s="114" t="s">
        <v>14109</v>
      </c>
      <c r="Y405" s="115">
        <v>325.25</v>
      </c>
      <c r="Z405" s="116">
        <f t="shared" si="36"/>
        <v>325.25</v>
      </c>
      <c r="AA405" s="114" t="s">
        <v>2229</v>
      </c>
      <c r="AB405" s="117">
        <f t="shared" si="37"/>
        <v>325</v>
      </c>
      <c r="AC405" s="114" t="s">
        <v>2228</v>
      </c>
      <c r="AD405" s="117">
        <f t="shared" si="38"/>
        <v>2</v>
      </c>
      <c r="AE405" s="114" t="s">
        <v>2227</v>
      </c>
      <c r="AF405" s="117">
        <f t="shared" si="39"/>
        <v>5</v>
      </c>
      <c r="AG405" s="114" t="s">
        <v>2226</v>
      </c>
      <c r="AH405" s="116">
        <v>13.01</v>
      </c>
      <c r="AI405" s="100"/>
      <c r="AJ405" s="100"/>
      <c r="AK405" s="100"/>
      <c r="AL405" s="100"/>
      <c r="AM405" s="100"/>
      <c r="AN405" s="100"/>
      <c r="AO405" s="100"/>
      <c r="AP405" s="100"/>
      <c r="AQ405" s="100"/>
    </row>
    <row r="406" spans="24:43">
      <c r="X406" s="114" t="s">
        <v>14110</v>
      </c>
      <c r="Y406" s="115">
        <v>6875.25</v>
      </c>
      <c r="Z406" s="116">
        <f t="shared" si="36"/>
        <v>6875.25</v>
      </c>
      <c r="AA406" s="114" t="s">
        <v>2229</v>
      </c>
      <c r="AB406" s="117">
        <f t="shared" si="37"/>
        <v>6875</v>
      </c>
      <c r="AC406" s="114" t="s">
        <v>2228</v>
      </c>
      <c r="AD406" s="117">
        <f t="shared" si="38"/>
        <v>2</v>
      </c>
      <c r="AE406" s="114" t="s">
        <v>2227</v>
      </c>
      <c r="AF406" s="117">
        <f t="shared" si="39"/>
        <v>5</v>
      </c>
      <c r="AG406" s="114" t="s">
        <v>2226</v>
      </c>
      <c r="AH406" s="116">
        <v>275.01</v>
      </c>
      <c r="AI406" s="100"/>
      <c r="AJ406" s="100"/>
      <c r="AK406" s="100"/>
      <c r="AL406" s="100"/>
      <c r="AM406" s="100"/>
      <c r="AN406" s="100"/>
      <c r="AO406" s="100"/>
      <c r="AP406" s="100"/>
      <c r="AQ406" s="100"/>
    </row>
    <row r="407" spans="24:43">
      <c r="X407" s="114" t="s">
        <v>14111</v>
      </c>
      <c r="Y407" s="115">
        <v>34000</v>
      </c>
      <c r="Z407" s="116">
        <f t="shared" si="36"/>
        <v>34000</v>
      </c>
      <c r="AA407" s="114" t="s">
        <v>2229</v>
      </c>
      <c r="AB407" s="117">
        <f t="shared" si="37"/>
        <v>34000</v>
      </c>
      <c r="AC407" s="114" t="s">
        <v>2228</v>
      </c>
      <c r="AD407" s="117">
        <f t="shared" si="38"/>
        <v>0</v>
      </c>
      <c r="AE407" s="114" t="s">
        <v>2227</v>
      </c>
      <c r="AF407" s="117">
        <f t="shared" si="39"/>
        <v>0</v>
      </c>
      <c r="AG407" s="114" t="s">
        <v>2226</v>
      </c>
      <c r="AH407" s="116">
        <v>1360</v>
      </c>
      <c r="AI407" s="100"/>
      <c r="AJ407" s="100"/>
      <c r="AK407" s="100"/>
      <c r="AL407" s="100"/>
      <c r="AM407" s="100"/>
      <c r="AN407" s="100"/>
      <c r="AO407" s="100"/>
      <c r="AP407" s="100"/>
      <c r="AQ407" s="100"/>
    </row>
    <row r="408" spans="24:43">
      <c r="X408" s="114" t="s">
        <v>14112</v>
      </c>
      <c r="Y408" s="115">
        <v>5337.625</v>
      </c>
      <c r="Z408" s="116">
        <f t="shared" si="36"/>
        <v>5337.625</v>
      </c>
      <c r="AA408" s="114" t="s">
        <v>2229</v>
      </c>
      <c r="AB408" s="117">
        <f t="shared" si="37"/>
        <v>5337</v>
      </c>
      <c r="AC408" s="114" t="s">
        <v>2228</v>
      </c>
      <c r="AD408" s="117">
        <f t="shared" si="38"/>
        <v>6</v>
      </c>
      <c r="AE408" s="114" t="s">
        <v>2227</v>
      </c>
      <c r="AF408" s="117">
        <f t="shared" si="39"/>
        <v>2.5</v>
      </c>
      <c r="AG408" s="114" t="s">
        <v>2226</v>
      </c>
      <c r="AH408" s="116">
        <v>213.5</v>
      </c>
      <c r="AI408" s="100"/>
      <c r="AJ408" s="100"/>
      <c r="AK408" s="100"/>
      <c r="AL408" s="100"/>
      <c r="AM408" s="100"/>
      <c r="AN408" s="100"/>
      <c r="AO408" s="100"/>
      <c r="AP408" s="100"/>
      <c r="AQ408" s="100"/>
    </row>
    <row r="409" spans="24:43">
      <c r="X409" s="114" t="s">
        <v>14113</v>
      </c>
      <c r="Y409" s="115">
        <v>625</v>
      </c>
      <c r="Z409" s="116">
        <f t="shared" si="36"/>
        <v>625</v>
      </c>
      <c r="AA409" s="114" t="s">
        <v>2229</v>
      </c>
      <c r="AB409" s="117">
        <f t="shared" si="37"/>
        <v>625</v>
      </c>
      <c r="AC409" s="114" t="s">
        <v>2228</v>
      </c>
      <c r="AD409" s="117">
        <f t="shared" si="38"/>
        <v>0</v>
      </c>
      <c r="AE409" s="114" t="s">
        <v>2227</v>
      </c>
      <c r="AF409" s="117">
        <f t="shared" si="39"/>
        <v>0</v>
      </c>
      <c r="AG409" s="114" t="s">
        <v>2226</v>
      </c>
      <c r="AH409" s="116">
        <v>25</v>
      </c>
      <c r="AI409" s="100"/>
      <c r="AJ409" s="100"/>
      <c r="AK409" s="100"/>
      <c r="AL409" s="100"/>
      <c r="AM409" s="100"/>
      <c r="AN409" s="100"/>
      <c r="AO409" s="100"/>
      <c r="AP409" s="100"/>
      <c r="AQ409" s="100"/>
    </row>
    <row r="410" spans="24:43">
      <c r="X410" s="114" t="s">
        <v>14114</v>
      </c>
      <c r="Y410" s="115">
        <v>6875.25</v>
      </c>
      <c r="Z410" s="116">
        <f t="shared" si="36"/>
        <v>6875.25</v>
      </c>
      <c r="AA410" s="114" t="s">
        <v>2229</v>
      </c>
      <c r="AB410" s="117">
        <f t="shared" si="37"/>
        <v>6875</v>
      </c>
      <c r="AC410" s="114" t="s">
        <v>2228</v>
      </c>
      <c r="AD410" s="117">
        <f t="shared" si="38"/>
        <v>2</v>
      </c>
      <c r="AE410" s="114" t="s">
        <v>2227</v>
      </c>
      <c r="AF410" s="117">
        <f t="shared" si="39"/>
        <v>5</v>
      </c>
      <c r="AG410" s="114" t="s">
        <v>2226</v>
      </c>
      <c r="AH410" s="116">
        <v>275.01</v>
      </c>
      <c r="AI410" s="100"/>
      <c r="AJ410" s="100"/>
      <c r="AK410" s="100"/>
      <c r="AL410" s="100"/>
      <c r="AM410" s="100"/>
      <c r="AN410" s="100"/>
      <c r="AO410" s="100"/>
      <c r="AP410" s="100"/>
      <c r="AQ410" s="100"/>
    </row>
    <row r="411" spans="24:43">
      <c r="X411" s="114" t="s">
        <v>14115</v>
      </c>
      <c r="Y411" s="115">
        <v>412.625</v>
      </c>
      <c r="Z411" s="116">
        <f t="shared" si="36"/>
        <v>412.625</v>
      </c>
      <c r="AA411" s="114" t="s">
        <v>2229</v>
      </c>
      <c r="AB411" s="117">
        <f t="shared" si="37"/>
        <v>412</v>
      </c>
      <c r="AC411" s="114" t="s">
        <v>2228</v>
      </c>
      <c r="AD411" s="117">
        <f t="shared" si="38"/>
        <v>6</v>
      </c>
      <c r="AE411" s="114" t="s">
        <v>2227</v>
      </c>
      <c r="AF411" s="117">
        <f t="shared" si="39"/>
        <v>2.5</v>
      </c>
      <c r="AG411" s="114" t="s">
        <v>2226</v>
      </c>
      <c r="AH411" s="116">
        <v>16.5</v>
      </c>
      <c r="AI411" s="100"/>
      <c r="AJ411" s="100"/>
      <c r="AK411" s="100"/>
      <c r="AL411" s="100"/>
      <c r="AM411" s="100"/>
      <c r="AN411" s="100"/>
      <c r="AO411" s="100"/>
      <c r="AP411" s="100"/>
      <c r="AQ411" s="100"/>
    </row>
    <row r="412" spans="24:43">
      <c r="X412" s="114" t="s">
        <v>14116</v>
      </c>
      <c r="Y412" s="115">
        <v>4187.625</v>
      </c>
      <c r="Z412" s="116">
        <f t="shared" si="36"/>
        <v>4187.625</v>
      </c>
      <c r="AA412" s="114" t="s">
        <v>2229</v>
      </c>
      <c r="AB412" s="117">
        <f t="shared" si="37"/>
        <v>4187</v>
      </c>
      <c r="AC412" s="114" t="s">
        <v>2228</v>
      </c>
      <c r="AD412" s="117">
        <f t="shared" si="38"/>
        <v>6</v>
      </c>
      <c r="AE412" s="114" t="s">
        <v>2227</v>
      </c>
      <c r="AF412" s="117">
        <f t="shared" si="39"/>
        <v>2.5</v>
      </c>
      <c r="AG412" s="114" t="s">
        <v>2226</v>
      </c>
      <c r="AH412" s="116">
        <v>167.5</v>
      </c>
      <c r="AI412" s="100"/>
      <c r="AJ412" s="100"/>
      <c r="AK412" s="100"/>
      <c r="AL412" s="100"/>
      <c r="AM412" s="100"/>
      <c r="AN412" s="100"/>
      <c r="AO412" s="100"/>
      <c r="AP412" s="100"/>
      <c r="AQ412" s="100"/>
    </row>
    <row r="413" spans="24:43">
      <c r="X413" s="114" t="s">
        <v>14117</v>
      </c>
      <c r="Y413" s="115">
        <v>4487.625</v>
      </c>
      <c r="Z413" s="116">
        <f t="shared" si="36"/>
        <v>4487.625</v>
      </c>
      <c r="AA413" s="114" t="s">
        <v>2229</v>
      </c>
      <c r="AB413" s="117">
        <f t="shared" si="37"/>
        <v>4487</v>
      </c>
      <c r="AC413" s="114" t="s">
        <v>2228</v>
      </c>
      <c r="AD413" s="117">
        <f t="shared" si="38"/>
        <v>6</v>
      </c>
      <c r="AE413" s="114" t="s">
        <v>2227</v>
      </c>
      <c r="AF413" s="117">
        <f t="shared" si="39"/>
        <v>2.5</v>
      </c>
      <c r="AG413" s="114" t="s">
        <v>2226</v>
      </c>
      <c r="AH413" s="116">
        <v>179.5</v>
      </c>
      <c r="AI413" s="100"/>
      <c r="AJ413" s="100"/>
      <c r="AK413" s="100"/>
      <c r="AL413" s="100"/>
      <c r="AM413" s="100"/>
      <c r="AN413" s="100"/>
      <c r="AO413" s="100"/>
      <c r="AP413" s="100"/>
      <c r="AQ413" s="100"/>
    </row>
    <row r="414" spans="24:43">
      <c r="X414" s="114" t="s">
        <v>14118</v>
      </c>
      <c r="Y414" s="115">
        <v>4087.625</v>
      </c>
      <c r="Z414" s="116">
        <f t="shared" si="36"/>
        <v>4087.625</v>
      </c>
      <c r="AA414" s="114" t="s">
        <v>2229</v>
      </c>
      <c r="AB414" s="117">
        <f t="shared" si="37"/>
        <v>4087</v>
      </c>
      <c r="AC414" s="114" t="s">
        <v>2228</v>
      </c>
      <c r="AD414" s="117">
        <f t="shared" si="38"/>
        <v>6</v>
      </c>
      <c r="AE414" s="114" t="s">
        <v>2227</v>
      </c>
      <c r="AF414" s="117">
        <f t="shared" si="39"/>
        <v>2.5</v>
      </c>
      <c r="AG414" s="114" t="s">
        <v>2226</v>
      </c>
      <c r="AH414" s="116">
        <v>163.5</v>
      </c>
      <c r="AI414" s="100"/>
      <c r="AJ414" s="100"/>
      <c r="AK414" s="100"/>
      <c r="AL414" s="100"/>
      <c r="AM414" s="100"/>
      <c r="AN414" s="100"/>
      <c r="AO414" s="100"/>
      <c r="AP414" s="100"/>
      <c r="AQ414" s="100"/>
    </row>
    <row r="415" spans="24:43">
      <c r="X415" s="114" t="s">
        <v>14119</v>
      </c>
      <c r="Y415" s="115">
        <v>55</v>
      </c>
      <c r="Z415" s="116">
        <f t="shared" si="36"/>
        <v>55</v>
      </c>
      <c r="AA415" s="114" t="s">
        <v>2229</v>
      </c>
      <c r="AB415" s="117">
        <f t="shared" si="37"/>
        <v>55</v>
      </c>
      <c r="AC415" s="114" t="s">
        <v>2228</v>
      </c>
      <c r="AD415" s="117">
        <f t="shared" si="38"/>
        <v>0</v>
      </c>
      <c r="AE415" s="114" t="s">
        <v>2227</v>
      </c>
      <c r="AF415" s="117">
        <f t="shared" si="39"/>
        <v>0</v>
      </c>
      <c r="AG415" s="114" t="s">
        <v>2226</v>
      </c>
      <c r="AH415" s="116">
        <v>2.2000000000000002</v>
      </c>
      <c r="AI415" s="100"/>
      <c r="AJ415" s="100"/>
      <c r="AK415" s="100"/>
      <c r="AL415" s="100"/>
      <c r="AM415" s="100"/>
      <c r="AN415" s="100"/>
      <c r="AO415" s="100"/>
      <c r="AP415" s="100"/>
      <c r="AQ415" s="100"/>
    </row>
    <row r="416" spans="24:43">
      <c r="X416" s="114" t="s">
        <v>14120</v>
      </c>
      <c r="Y416" s="115">
        <v>112500.5</v>
      </c>
      <c r="Z416" s="116">
        <f t="shared" si="36"/>
        <v>112500.5</v>
      </c>
      <c r="AA416" s="114" t="s">
        <v>2229</v>
      </c>
      <c r="AB416" s="117">
        <f t="shared" si="37"/>
        <v>112500</v>
      </c>
      <c r="AC416" s="114" t="s">
        <v>2228</v>
      </c>
      <c r="AD416" s="117">
        <f t="shared" si="38"/>
        <v>5</v>
      </c>
      <c r="AE416" s="114" t="s">
        <v>2227</v>
      </c>
      <c r="AF416" s="117">
        <f t="shared" si="39"/>
        <v>0</v>
      </c>
      <c r="AG416" s="114" t="s">
        <v>2226</v>
      </c>
      <c r="AH416" s="116">
        <v>4500.0200000000004</v>
      </c>
      <c r="AI416" s="100"/>
      <c r="AJ416" s="100"/>
      <c r="AK416" s="100"/>
      <c r="AL416" s="100"/>
      <c r="AM416" s="100"/>
      <c r="AN416" s="100"/>
      <c r="AO416" s="100"/>
      <c r="AP416" s="100"/>
      <c r="AQ416" s="100"/>
    </row>
    <row r="417" spans="24:43">
      <c r="X417" s="114" t="s">
        <v>14121</v>
      </c>
      <c r="Y417" s="115">
        <v>67.5</v>
      </c>
      <c r="Z417" s="116">
        <f t="shared" si="36"/>
        <v>67.5</v>
      </c>
      <c r="AA417" s="114" t="s">
        <v>2229</v>
      </c>
      <c r="AB417" s="117">
        <f t="shared" si="37"/>
        <v>67</v>
      </c>
      <c r="AC417" s="114" t="s">
        <v>2228</v>
      </c>
      <c r="AD417" s="117">
        <f t="shared" si="38"/>
        <v>5</v>
      </c>
      <c r="AE417" s="114" t="s">
        <v>2227</v>
      </c>
      <c r="AF417" s="117">
        <f t="shared" si="39"/>
        <v>0</v>
      </c>
      <c r="AG417" s="114" t="s">
        <v>2226</v>
      </c>
      <c r="AH417" s="116">
        <v>2.7</v>
      </c>
      <c r="AI417" s="100"/>
      <c r="AJ417" s="100"/>
      <c r="AK417" s="100"/>
      <c r="AL417" s="100"/>
      <c r="AM417" s="100"/>
      <c r="AN417" s="100"/>
      <c r="AO417" s="100"/>
      <c r="AP417" s="100"/>
      <c r="AQ417" s="100"/>
    </row>
    <row r="418" spans="24:43">
      <c r="X418" s="114" t="s">
        <v>14122</v>
      </c>
      <c r="Y418" s="115">
        <v>55</v>
      </c>
      <c r="Z418" s="116">
        <f t="shared" si="36"/>
        <v>55</v>
      </c>
      <c r="AA418" s="114" t="s">
        <v>2229</v>
      </c>
      <c r="AB418" s="117">
        <f t="shared" si="37"/>
        <v>55</v>
      </c>
      <c r="AC418" s="114" t="s">
        <v>2228</v>
      </c>
      <c r="AD418" s="117">
        <f t="shared" si="38"/>
        <v>0</v>
      </c>
      <c r="AE418" s="114" t="s">
        <v>2227</v>
      </c>
      <c r="AF418" s="117">
        <f t="shared" si="39"/>
        <v>0</v>
      </c>
      <c r="AG418" s="114" t="s">
        <v>2226</v>
      </c>
      <c r="AH418" s="116">
        <v>2.2000000000000002</v>
      </c>
      <c r="AI418" s="100"/>
      <c r="AJ418" s="100"/>
      <c r="AK418" s="100"/>
      <c r="AL418" s="100"/>
      <c r="AM418" s="100"/>
      <c r="AN418" s="100"/>
      <c r="AO418" s="100"/>
      <c r="AP418" s="100"/>
      <c r="AQ418" s="100"/>
    </row>
    <row r="419" spans="24:43">
      <c r="X419" s="114" t="s">
        <v>14123</v>
      </c>
      <c r="Y419" s="115">
        <v>325.25</v>
      </c>
      <c r="Z419" s="116">
        <f t="shared" si="36"/>
        <v>325.25</v>
      </c>
      <c r="AA419" s="114" t="s">
        <v>2229</v>
      </c>
      <c r="AB419" s="117">
        <f t="shared" si="37"/>
        <v>325</v>
      </c>
      <c r="AC419" s="114" t="s">
        <v>2228</v>
      </c>
      <c r="AD419" s="117">
        <f t="shared" si="38"/>
        <v>2</v>
      </c>
      <c r="AE419" s="114" t="s">
        <v>2227</v>
      </c>
      <c r="AF419" s="117">
        <f t="shared" si="39"/>
        <v>5</v>
      </c>
      <c r="AG419" s="114" t="s">
        <v>2226</v>
      </c>
      <c r="AH419" s="116">
        <v>13.01</v>
      </c>
      <c r="AI419" s="100"/>
      <c r="AJ419" s="100"/>
      <c r="AK419" s="100"/>
      <c r="AL419" s="100"/>
      <c r="AM419" s="100"/>
      <c r="AN419" s="100"/>
      <c r="AO419" s="100"/>
      <c r="AP419" s="100"/>
      <c r="AQ419" s="100"/>
    </row>
    <row r="420" spans="24:43">
      <c r="X420" s="114" t="s">
        <v>14124</v>
      </c>
      <c r="Y420" s="115">
        <v>29125.125</v>
      </c>
      <c r="Z420" s="116">
        <f t="shared" si="36"/>
        <v>29125.125</v>
      </c>
      <c r="AA420" s="114" t="s">
        <v>2229</v>
      </c>
      <c r="AB420" s="117">
        <f t="shared" si="37"/>
        <v>29125</v>
      </c>
      <c r="AC420" s="114" t="s">
        <v>2228</v>
      </c>
      <c r="AD420" s="117">
        <f t="shared" si="38"/>
        <v>1</v>
      </c>
      <c r="AE420" s="114" t="s">
        <v>2227</v>
      </c>
      <c r="AF420" s="117">
        <f t="shared" si="39"/>
        <v>2.5</v>
      </c>
      <c r="AG420" s="114" t="s">
        <v>2226</v>
      </c>
      <c r="AH420" s="116">
        <v>1165</v>
      </c>
      <c r="AI420" s="100"/>
      <c r="AJ420" s="100"/>
      <c r="AK420" s="100"/>
      <c r="AL420" s="100"/>
      <c r="AM420" s="100"/>
      <c r="AN420" s="100"/>
      <c r="AO420" s="100"/>
      <c r="AP420" s="100"/>
      <c r="AQ420" s="100"/>
    </row>
    <row r="421" spans="24:43">
      <c r="X421" s="114" t="s">
        <v>14125</v>
      </c>
      <c r="Y421" s="115">
        <v>975</v>
      </c>
      <c r="Z421" s="116">
        <f t="shared" si="36"/>
        <v>975</v>
      </c>
      <c r="AA421" s="114" t="s">
        <v>2229</v>
      </c>
      <c r="AB421" s="117">
        <f t="shared" si="37"/>
        <v>975</v>
      </c>
      <c r="AC421" s="114" t="s">
        <v>2228</v>
      </c>
      <c r="AD421" s="117">
        <f t="shared" si="38"/>
        <v>0</v>
      </c>
      <c r="AE421" s="114" t="s">
        <v>2227</v>
      </c>
      <c r="AF421" s="117">
        <f t="shared" si="39"/>
        <v>0</v>
      </c>
      <c r="AG421" s="114" t="s">
        <v>2226</v>
      </c>
      <c r="AH421" s="116">
        <v>39</v>
      </c>
      <c r="AI421" s="100"/>
      <c r="AJ421" s="100"/>
      <c r="AK421" s="100"/>
      <c r="AL421" s="100"/>
      <c r="AM421" s="100"/>
      <c r="AN421" s="100"/>
      <c r="AO421" s="100"/>
      <c r="AP421" s="100"/>
      <c r="AQ421" s="100"/>
    </row>
    <row r="422" spans="24:43">
      <c r="X422" s="114" t="s">
        <v>14126</v>
      </c>
      <c r="Y422" s="115">
        <v>512.5</v>
      </c>
      <c r="Z422" s="116">
        <f t="shared" si="36"/>
        <v>512.5</v>
      </c>
      <c r="AA422" s="114" t="s">
        <v>2229</v>
      </c>
      <c r="AB422" s="117">
        <f t="shared" si="37"/>
        <v>512</v>
      </c>
      <c r="AC422" s="114" t="s">
        <v>2228</v>
      </c>
      <c r="AD422" s="117">
        <f t="shared" si="38"/>
        <v>5</v>
      </c>
      <c r="AE422" s="114" t="s">
        <v>2227</v>
      </c>
      <c r="AF422" s="117">
        <f t="shared" si="39"/>
        <v>0</v>
      </c>
      <c r="AG422" s="114" t="s">
        <v>2226</v>
      </c>
      <c r="AH422" s="116">
        <v>20.5</v>
      </c>
      <c r="AI422" s="100"/>
      <c r="AJ422" s="100"/>
      <c r="AK422" s="100"/>
      <c r="AL422" s="100"/>
      <c r="AM422" s="100"/>
      <c r="AN422" s="100"/>
      <c r="AO422" s="100"/>
      <c r="AP422" s="100"/>
      <c r="AQ422" s="100"/>
    </row>
    <row r="423" spans="24:43">
      <c r="X423" s="114" t="s">
        <v>14127</v>
      </c>
      <c r="Y423" s="115">
        <v>965</v>
      </c>
      <c r="Z423" s="116">
        <f t="shared" si="36"/>
        <v>965</v>
      </c>
      <c r="AA423" s="114" t="s">
        <v>2229</v>
      </c>
      <c r="AB423" s="117">
        <f t="shared" si="37"/>
        <v>965</v>
      </c>
      <c r="AC423" s="114" t="s">
        <v>2228</v>
      </c>
      <c r="AD423" s="117">
        <f t="shared" si="38"/>
        <v>0</v>
      </c>
      <c r="AE423" s="114" t="s">
        <v>2227</v>
      </c>
      <c r="AF423" s="117">
        <f t="shared" si="39"/>
        <v>0</v>
      </c>
      <c r="AG423" s="114" t="s">
        <v>2226</v>
      </c>
      <c r="AH423" s="116">
        <v>38.6</v>
      </c>
      <c r="AI423" s="100"/>
      <c r="AJ423" s="100"/>
      <c r="AK423" s="100"/>
      <c r="AL423" s="100"/>
      <c r="AM423" s="100"/>
      <c r="AN423" s="100"/>
      <c r="AO423" s="100"/>
      <c r="AP423" s="100"/>
      <c r="AQ423" s="100"/>
    </row>
    <row r="424" spans="24:43">
      <c r="X424" s="114" t="s">
        <v>14128</v>
      </c>
      <c r="Y424" s="115">
        <v>1567.5</v>
      </c>
      <c r="Z424" s="116">
        <f t="shared" si="36"/>
        <v>1567.5</v>
      </c>
      <c r="AA424" s="114" t="s">
        <v>2229</v>
      </c>
      <c r="AB424" s="117">
        <f t="shared" si="37"/>
        <v>1567</v>
      </c>
      <c r="AC424" s="114" t="s">
        <v>2228</v>
      </c>
      <c r="AD424" s="117">
        <f t="shared" si="38"/>
        <v>5</v>
      </c>
      <c r="AE424" s="114" t="s">
        <v>2227</v>
      </c>
      <c r="AF424" s="117">
        <f t="shared" si="39"/>
        <v>0</v>
      </c>
      <c r="AG424" s="114" t="s">
        <v>2226</v>
      </c>
      <c r="AH424" s="116">
        <v>62.7</v>
      </c>
      <c r="AI424" s="100"/>
      <c r="AJ424" s="100"/>
      <c r="AK424" s="100"/>
      <c r="AL424" s="100"/>
      <c r="AM424" s="100"/>
      <c r="AN424" s="100"/>
      <c r="AO424" s="100"/>
      <c r="AP424" s="100"/>
      <c r="AQ424" s="100"/>
    </row>
    <row r="425" spans="24:43">
      <c r="X425" s="114" t="s">
        <v>14129</v>
      </c>
      <c r="Y425" s="115">
        <v>2250</v>
      </c>
      <c r="Z425" s="116">
        <f t="shared" si="36"/>
        <v>2250</v>
      </c>
      <c r="AA425" s="114" t="s">
        <v>2229</v>
      </c>
      <c r="AB425" s="117">
        <f t="shared" si="37"/>
        <v>2250</v>
      </c>
      <c r="AC425" s="114" t="s">
        <v>2228</v>
      </c>
      <c r="AD425" s="117">
        <f t="shared" si="38"/>
        <v>0</v>
      </c>
      <c r="AE425" s="114" t="s">
        <v>2227</v>
      </c>
      <c r="AF425" s="117">
        <f t="shared" si="39"/>
        <v>0</v>
      </c>
      <c r="AG425" s="114" t="s">
        <v>2226</v>
      </c>
      <c r="AH425" s="116">
        <v>90</v>
      </c>
      <c r="AI425" s="100"/>
      <c r="AJ425" s="100"/>
      <c r="AK425" s="100"/>
      <c r="AL425" s="100"/>
      <c r="AM425" s="100"/>
      <c r="AN425" s="100"/>
      <c r="AO425" s="100"/>
      <c r="AP425" s="100"/>
      <c r="AQ425" s="100"/>
    </row>
    <row r="426" spans="24:43">
      <c r="X426" s="114" t="s">
        <v>14130</v>
      </c>
      <c r="Y426" s="115">
        <v>3732.5</v>
      </c>
      <c r="Z426" s="116">
        <f t="shared" si="36"/>
        <v>3732.5</v>
      </c>
      <c r="AA426" s="114" t="s">
        <v>2229</v>
      </c>
      <c r="AB426" s="117">
        <f t="shared" si="37"/>
        <v>3732</v>
      </c>
      <c r="AC426" s="114" t="s">
        <v>2228</v>
      </c>
      <c r="AD426" s="117">
        <f t="shared" si="38"/>
        <v>5</v>
      </c>
      <c r="AE426" s="114" t="s">
        <v>2227</v>
      </c>
      <c r="AF426" s="117">
        <f t="shared" si="39"/>
        <v>0</v>
      </c>
      <c r="AG426" s="114" t="s">
        <v>2226</v>
      </c>
      <c r="AH426" s="116">
        <v>149.30000000000001</v>
      </c>
      <c r="AI426" s="100"/>
      <c r="AJ426" s="100"/>
      <c r="AK426" s="100"/>
      <c r="AL426" s="100"/>
      <c r="AM426" s="100"/>
      <c r="AN426" s="100"/>
      <c r="AO426" s="100"/>
      <c r="AP426" s="100"/>
      <c r="AQ426" s="100"/>
    </row>
    <row r="427" spans="24:43">
      <c r="X427" s="114" t="s">
        <v>14131</v>
      </c>
      <c r="Y427" s="115">
        <v>6015</v>
      </c>
      <c r="Z427" s="116">
        <f t="shared" si="36"/>
        <v>6015</v>
      </c>
      <c r="AA427" s="114" t="s">
        <v>2229</v>
      </c>
      <c r="AB427" s="117">
        <f t="shared" si="37"/>
        <v>6015</v>
      </c>
      <c r="AC427" s="114" t="s">
        <v>2228</v>
      </c>
      <c r="AD427" s="117">
        <f t="shared" si="38"/>
        <v>0</v>
      </c>
      <c r="AE427" s="114" t="s">
        <v>2227</v>
      </c>
      <c r="AF427" s="117">
        <f t="shared" si="39"/>
        <v>0</v>
      </c>
      <c r="AG427" s="114" t="s">
        <v>2226</v>
      </c>
      <c r="AH427" s="116">
        <v>240.6</v>
      </c>
      <c r="AI427" s="100"/>
      <c r="AJ427" s="100"/>
      <c r="AK427" s="100"/>
      <c r="AL427" s="100"/>
      <c r="AM427" s="100"/>
      <c r="AN427" s="100"/>
      <c r="AO427" s="100"/>
      <c r="AP427" s="100"/>
      <c r="AQ427" s="100"/>
    </row>
    <row r="428" spans="24:43">
      <c r="X428" s="114" t="s">
        <v>14132</v>
      </c>
      <c r="Y428" s="115">
        <v>3500</v>
      </c>
      <c r="Z428" s="116">
        <f t="shared" si="36"/>
        <v>3500</v>
      </c>
      <c r="AA428" s="114" t="s">
        <v>2229</v>
      </c>
      <c r="AB428" s="117">
        <f t="shared" si="37"/>
        <v>3500</v>
      </c>
      <c r="AC428" s="114" t="s">
        <v>2228</v>
      </c>
      <c r="AD428" s="117">
        <f t="shared" si="38"/>
        <v>0</v>
      </c>
      <c r="AE428" s="114" t="s">
        <v>2227</v>
      </c>
      <c r="AF428" s="117">
        <f t="shared" si="39"/>
        <v>0</v>
      </c>
      <c r="AG428" s="114" t="s">
        <v>2226</v>
      </c>
      <c r="AH428" s="116">
        <v>140</v>
      </c>
      <c r="AI428" s="100"/>
      <c r="AJ428" s="100"/>
      <c r="AK428" s="100"/>
      <c r="AL428" s="100"/>
      <c r="AM428" s="100"/>
      <c r="AN428" s="100"/>
      <c r="AO428" s="100"/>
      <c r="AP428" s="100"/>
      <c r="AQ428" s="100"/>
    </row>
    <row r="429" spans="24:43">
      <c r="X429" s="114" t="s">
        <v>14133</v>
      </c>
      <c r="Y429" s="115">
        <v>4500</v>
      </c>
      <c r="Z429" s="116">
        <f t="shared" si="36"/>
        <v>4500</v>
      </c>
      <c r="AA429" s="114" t="s">
        <v>2229</v>
      </c>
      <c r="AB429" s="117">
        <f t="shared" si="37"/>
        <v>4500</v>
      </c>
      <c r="AC429" s="114" t="s">
        <v>2228</v>
      </c>
      <c r="AD429" s="117">
        <f t="shared" si="38"/>
        <v>0</v>
      </c>
      <c r="AE429" s="114" t="s">
        <v>2227</v>
      </c>
      <c r="AF429" s="117">
        <f t="shared" si="39"/>
        <v>0</v>
      </c>
      <c r="AG429" s="114" t="s">
        <v>2226</v>
      </c>
      <c r="AH429" s="116">
        <v>180</v>
      </c>
      <c r="AI429" s="100"/>
      <c r="AJ429" s="100"/>
      <c r="AK429" s="100"/>
      <c r="AL429" s="100"/>
      <c r="AM429" s="100"/>
      <c r="AN429" s="100"/>
      <c r="AO429" s="100"/>
      <c r="AP429" s="100"/>
      <c r="AQ429" s="100"/>
    </row>
    <row r="430" spans="24:43">
      <c r="X430" s="114" t="s">
        <v>14134</v>
      </c>
      <c r="Y430" s="115">
        <v>18500</v>
      </c>
      <c r="Z430" s="116">
        <f t="shared" si="36"/>
        <v>18500</v>
      </c>
      <c r="AA430" s="114" t="s">
        <v>2229</v>
      </c>
      <c r="AB430" s="117">
        <f t="shared" si="37"/>
        <v>18500</v>
      </c>
      <c r="AC430" s="114" t="s">
        <v>2228</v>
      </c>
      <c r="AD430" s="117">
        <f t="shared" si="38"/>
        <v>0</v>
      </c>
      <c r="AE430" s="114" t="s">
        <v>2227</v>
      </c>
      <c r="AF430" s="117">
        <f t="shared" si="39"/>
        <v>0</v>
      </c>
      <c r="AG430" s="114" t="s">
        <v>2226</v>
      </c>
      <c r="AH430" s="116">
        <v>740</v>
      </c>
      <c r="AI430" s="100"/>
      <c r="AJ430" s="100"/>
      <c r="AK430" s="100"/>
      <c r="AL430" s="100"/>
      <c r="AM430" s="100"/>
      <c r="AN430" s="100"/>
      <c r="AO430" s="100"/>
      <c r="AP430" s="100"/>
      <c r="AQ430" s="100"/>
    </row>
    <row r="431" spans="24:43">
      <c r="X431" s="114" t="s">
        <v>14135</v>
      </c>
      <c r="Y431" s="115">
        <v>3250</v>
      </c>
      <c r="Z431" s="116">
        <f t="shared" si="36"/>
        <v>3250</v>
      </c>
      <c r="AA431" s="114" t="s">
        <v>2229</v>
      </c>
      <c r="AB431" s="117">
        <f t="shared" si="37"/>
        <v>3250</v>
      </c>
      <c r="AC431" s="114" t="s">
        <v>2228</v>
      </c>
      <c r="AD431" s="117">
        <f t="shared" si="38"/>
        <v>0</v>
      </c>
      <c r="AE431" s="114" t="s">
        <v>2227</v>
      </c>
      <c r="AF431" s="117">
        <f t="shared" si="39"/>
        <v>0</v>
      </c>
      <c r="AG431" s="114" t="s">
        <v>2226</v>
      </c>
      <c r="AH431" s="116">
        <v>130</v>
      </c>
      <c r="AI431" s="100"/>
      <c r="AJ431" s="100"/>
      <c r="AK431" s="100"/>
      <c r="AL431" s="100"/>
      <c r="AM431" s="100"/>
      <c r="AN431" s="100"/>
      <c r="AO431" s="100"/>
      <c r="AP431" s="100"/>
      <c r="AQ431" s="100"/>
    </row>
    <row r="432" spans="24:43">
      <c r="X432" s="114" t="s">
        <v>14136</v>
      </c>
      <c r="Y432" s="115">
        <v>66500</v>
      </c>
      <c r="Z432" s="116">
        <f t="shared" si="36"/>
        <v>66500</v>
      </c>
      <c r="AA432" s="114" t="s">
        <v>2229</v>
      </c>
      <c r="AB432" s="117">
        <f t="shared" si="37"/>
        <v>66500</v>
      </c>
      <c r="AC432" s="114" t="s">
        <v>2228</v>
      </c>
      <c r="AD432" s="117">
        <f t="shared" si="38"/>
        <v>0</v>
      </c>
      <c r="AE432" s="114" t="s">
        <v>2227</v>
      </c>
      <c r="AF432" s="117">
        <f t="shared" si="39"/>
        <v>0</v>
      </c>
      <c r="AG432" s="114" t="s">
        <v>2226</v>
      </c>
      <c r="AH432" s="116">
        <v>2660</v>
      </c>
      <c r="AI432" s="100"/>
      <c r="AJ432" s="100"/>
      <c r="AK432" s="100"/>
      <c r="AL432" s="100"/>
      <c r="AM432" s="100"/>
      <c r="AN432" s="100"/>
      <c r="AO432" s="100"/>
      <c r="AP432" s="100"/>
      <c r="AQ432" s="100"/>
    </row>
    <row r="433" spans="24:43">
      <c r="X433" s="114" t="s">
        <v>14137</v>
      </c>
      <c r="Y433" s="115">
        <v>50500</v>
      </c>
      <c r="Z433" s="116">
        <f t="shared" si="36"/>
        <v>50500</v>
      </c>
      <c r="AA433" s="114" t="s">
        <v>2229</v>
      </c>
      <c r="AB433" s="117">
        <f t="shared" si="37"/>
        <v>50500</v>
      </c>
      <c r="AC433" s="114" t="s">
        <v>2228</v>
      </c>
      <c r="AD433" s="117">
        <f t="shared" si="38"/>
        <v>0</v>
      </c>
      <c r="AE433" s="114" t="s">
        <v>2227</v>
      </c>
      <c r="AF433" s="117">
        <f t="shared" si="39"/>
        <v>0</v>
      </c>
      <c r="AG433" s="114" t="s">
        <v>2226</v>
      </c>
      <c r="AH433" s="116">
        <v>2020</v>
      </c>
      <c r="AI433" s="100"/>
      <c r="AJ433" s="100"/>
      <c r="AK433" s="100"/>
      <c r="AL433" s="100"/>
      <c r="AM433" s="100"/>
      <c r="AN433" s="100"/>
      <c r="AO433" s="100"/>
      <c r="AP433" s="100"/>
      <c r="AQ433" s="100"/>
    </row>
    <row r="434" spans="24:43">
      <c r="X434" s="114" t="s">
        <v>14138</v>
      </c>
      <c r="Y434" s="115">
        <v>4137.625</v>
      </c>
      <c r="Z434" s="116">
        <f t="shared" si="36"/>
        <v>4137.625</v>
      </c>
      <c r="AA434" s="114" t="s">
        <v>2229</v>
      </c>
      <c r="AB434" s="117">
        <f t="shared" si="37"/>
        <v>4137</v>
      </c>
      <c r="AC434" s="114" t="s">
        <v>2228</v>
      </c>
      <c r="AD434" s="117">
        <f t="shared" si="38"/>
        <v>6</v>
      </c>
      <c r="AE434" s="114" t="s">
        <v>2227</v>
      </c>
      <c r="AF434" s="117">
        <f t="shared" si="39"/>
        <v>2.5</v>
      </c>
      <c r="AG434" s="114" t="s">
        <v>2226</v>
      </c>
      <c r="AH434" s="116">
        <v>165.5</v>
      </c>
      <c r="AI434" s="100"/>
      <c r="AJ434" s="100"/>
      <c r="AK434" s="100"/>
      <c r="AL434" s="100"/>
      <c r="AM434" s="100"/>
      <c r="AN434" s="100"/>
      <c r="AO434" s="100"/>
      <c r="AP434" s="100"/>
      <c r="AQ434" s="100"/>
    </row>
    <row r="435" spans="24:43">
      <c r="X435" s="114" t="s">
        <v>14139</v>
      </c>
      <c r="Y435" s="115">
        <v>337.625</v>
      </c>
      <c r="Z435" s="116">
        <f t="shared" si="36"/>
        <v>337.625</v>
      </c>
      <c r="AA435" s="114" t="s">
        <v>2229</v>
      </c>
      <c r="AB435" s="117">
        <f t="shared" si="37"/>
        <v>337</v>
      </c>
      <c r="AC435" s="114" t="s">
        <v>2228</v>
      </c>
      <c r="AD435" s="117">
        <f t="shared" si="38"/>
        <v>6</v>
      </c>
      <c r="AE435" s="114" t="s">
        <v>2227</v>
      </c>
      <c r="AF435" s="117">
        <f t="shared" si="39"/>
        <v>2.5</v>
      </c>
      <c r="AG435" s="114" t="s">
        <v>2226</v>
      </c>
      <c r="AH435" s="116">
        <v>13.5</v>
      </c>
      <c r="AI435" s="100"/>
      <c r="AJ435" s="100"/>
      <c r="AK435" s="100"/>
      <c r="AL435" s="100"/>
      <c r="AM435" s="100"/>
      <c r="AN435" s="100"/>
      <c r="AO435" s="100"/>
      <c r="AP435" s="100"/>
      <c r="AQ435" s="100"/>
    </row>
    <row r="436" spans="24:43">
      <c r="X436" s="114" t="s">
        <v>14140</v>
      </c>
      <c r="Y436" s="115">
        <v>81750.25</v>
      </c>
      <c r="Z436" s="116">
        <f t="shared" si="36"/>
        <v>81750.25</v>
      </c>
      <c r="AA436" s="114" t="s">
        <v>2229</v>
      </c>
      <c r="AB436" s="117">
        <f t="shared" si="37"/>
        <v>81750</v>
      </c>
      <c r="AC436" s="114" t="s">
        <v>2228</v>
      </c>
      <c r="AD436" s="117">
        <f t="shared" si="38"/>
        <v>2</v>
      </c>
      <c r="AE436" s="114" t="s">
        <v>2227</v>
      </c>
      <c r="AF436" s="117">
        <f t="shared" si="39"/>
        <v>5</v>
      </c>
      <c r="AG436" s="114" t="s">
        <v>2226</v>
      </c>
      <c r="AH436" s="116">
        <v>3270.01</v>
      </c>
      <c r="AI436" s="100"/>
      <c r="AJ436" s="100"/>
      <c r="AK436" s="100"/>
      <c r="AL436" s="100"/>
      <c r="AM436" s="100"/>
      <c r="AN436" s="100"/>
      <c r="AO436" s="100"/>
      <c r="AP436" s="100"/>
      <c r="AQ436" s="100"/>
    </row>
    <row r="437" spans="24:43">
      <c r="X437" s="114" t="s">
        <v>14141</v>
      </c>
      <c r="Y437" s="115">
        <v>22000</v>
      </c>
      <c r="Z437" s="116">
        <f t="shared" si="36"/>
        <v>22000</v>
      </c>
      <c r="AA437" s="114" t="s">
        <v>2229</v>
      </c>
      <c r="AB437" s="117">
        <f t="shared" si="37"/>
        <v>22000</v>
      </c>
      <c r="AC437" s="114" t="s">
        <v>2228</v>
      </c>
      <c r="AD437" s="117">
        <f t="shared" si="38"/>
        <v>0</v>
      </c>
      <c r="AE437" s="114" t="s">
        <v>2227</v>
      </c>
      <c r="AF437" s="117">
        <f t="shared" si="39"/>
        <v>0</v>
      </c>
      <c r="AG437" s="114" t="s">
        <v>2226</v>
      </c>
      <c r="AH437" s="116">
        <v>880</v>
      </c>
      <c r="AI437" s="100"/>
      <c r="AJ437" s="100"/>
      <c r="AK437" s="100"/>
      <c r="AL437" s="100"/>
      <c r="AM437" s="100"/>
      <c r="AN437" s="100"/>
      <c r="AO437" s="100"/>
      <c r="AP437" s="100"/>
      <c r="AQ437" s="100"/>
    </row>
    <row r="438" spans="24:43">
      <c r="X438" s="114" t="s">
        <v>9416</v>
      </c>
      <c r="Y438" s="115">
        <v>8100</v>
      </c>
      <c r="Z438" s="116">
        <f t="shared" si="36"/>
        <v>8100</v>
      </c>
      <c r="AA438" s="114" t="s">
        <v>2229</v>
      </c>
      <c r="AB438" s="117">
        <f t="shared" si="37"/>
        <v>8100</v>
      </c>
      <c r="AC438" s="114" t="s">
        <v>2228</v>
      </c>
      <c r="AD438" s="117">
        <f t="shared" si="38"/>
        <v>0</v>
      </c>
      <c r="AE438" s="114" t="s">
        <v>2227</v>
      </c>
      <c r="AF438" s="117">
        <f t="shared" si="39"/>
        <v>0</v>
      </c>
      <c r="AG438" s="114" t="s">
        <v>2226</v>
      </c>
      <c r="AH438" s="116">
        <v>324</v>
      </c>
      <c r="AI438" s="100"/>
      <c r="AJ438" s="100"/>
      <c r="AK438" s="100"/>
      <c r="AL438" s="100"/>
      <c r="AM438" s="100"/>
      <c r="AN438" s="100"/>
      <c r="AO438" s="100"/>
      <c r="AP438" s="100"/>
      <c r="AQ438" s="100"/>
    </row>
    <row r="439" spans="24:43">
      <c r="X439" s="114" t="s">
        <v>14142</v>
      </c>
      <c r="Y439" s="115">
        <v>8250</v>
      </c>
      <c r="Z439" s="116">
        <f t="shared" si="36"/>
        <v>8250</v>
      </c>
      <c r="AA439" s="114" t="s">
        <v>2229</v>
      </c>
      <c r="AB439" s="117">
        <f t="shared" si="37"/>
        <v>8250</v>
      </c>
      <c r="AC439" s="114" t="s">
        <v>2228</v>
      </c>
      <c r="AD439" s="117">
        <f t="shared" si="38"/>
        <v>0</v>
      </c>
      <c r="AE439" s="114" t="s">
        <v>2227</v>
      </c>
      <c r="AF439" s="117">
        <f t="shared" si="39"/>
        <v>0</v>
      </c>
      <c r="AG439" s="114" t="s">
        <v>2226</v>
      </c>
      <c r="AH439" s="116">
        <v>330</v>
      </c>
      <c r="AI439" s="100"/>
      <c r="AJ439" s="100"/>
      <c r="AK439" s="100"/>
      <c r="AL439" s="100"/>
      <c r="AM439" s="100"/>
      <c r="AN439" s="100"/>
      <c r="AO439" s="100"/>
      <c r="AP439" s="100"/>
      <c r="AQ439" s="100"/>
    </row>
    <row r="440" spans="24:43">
      <c r="X440" s="114" t="s">
        <v>14143</v>
      </c>
      <c r="Y440" s="115">
        <v>69750.25</v>
      </c>
      <c r="Z440" s="116">
        <f t="shared" si="36"/>
        <v>69750.25</v>
      </c>
      <c r="AA440" s="114" t="s">
        <v>2229</v>
      </c>
      <c r="AB440" s="117">
        <f t="shared" si="37"/>
        <v>69750</v>
      </c>
      <c r="AC440" s="114" t="s">
        <v>2228</v>
      </c>
      <c r="AD440" s="117">
        <f t="shared" si="38"/>
        <v>2</v>
      </c>
      <c r="AE440" s="114" t="s">
        <v>2227</v>
      </c>
      <c r="AF440" s="117">
        <f t="shared" si="39"/>
        <v>5</v>
      </c>
      <c r="AG440" s="114" t="s">
        <v>2226</v>
      </c>
      <c r="AH440" s="116">
        <v>2790.01</v>
      </c>
      <c r="AI440" s="100"/>
      <c r="AJ440" s="100"/>
      <c r="AK440" s="100"/>
      <c r="AL440" s="100"/>
      <c r="AM440" s="100"/>
      <c r="AN440" s="100"/>
      <c r="AO440" s="100"/>
      <c r="AP440" s="100"/>
      <c r="AQ440" s="100"/>
    </row>
    <row r="441" spans="24:43">
      <c r="X441" s="114" t="s">
        <v>14144</v>
      </c>
      <c r="Y441" s="115">
        <v>1960</v>
      </c>
      <c r="Z441" s="116">
        <f t="shared" si="36"/>
        <v>1960</v>
      </c>
      <c r="AA441" s="114" t="s">
        <v>2229</v>
      </c>
      <c r="AB441" s="117">
        <f t="shared" si="37"/>
        <v>1960</v>
      </c>
      <c r="AC441" s="114" t="s">
        <v>2228</v>
      </c>
      <c r="AD441" s="117">
        <f t="shared" si="38"/>
        <v>0</v>
      </c>
      <c r="AE441" s="114" t="s">
        <v>2227</v>
      </c>
      <c r="AF441" s="117">
        <f t="shared" si="39"/>
        <v>0</v>
      </c>
      <c r="AG441" s="114" t="s">
        <v>2226</v>
      </c>
      <c r="AH441" s="116">
        <v>78.400000000000006</v>
      </c>
      <c r="AI441" s="100"/>
      <c r="AJ441" s="100"/>
      <c r="AK441" s="100"/>
      <c r="AL441" s="100"/>
      <c r="AM441" s="100"/>
      <c r="AN441" s="100"/>
      <c r="AO441" s="100"/>
      <c r="AP441" s="100"/>
      <c r="AQ441" s="100"/>
    </row>
    <row r="442" spans="24:43">
      <c r="X442" s="114" t="s">
        <v>14145</v>
      </c>
      <c r="Y442" s="115">
        <v>2700</v>
      </c>
      <c r="Z442" s="116">
        <f t="shared" si="36"/>
        <v>2700</v>
      </c>
      <c r="AA442" s="114" t="s">
        <v>2229</v>
      </c>
      <c r="AB442" s="117">
        <f t="shared" si="37"/>
        <v>2700</v>
      </c>
      <c r="AC442" s="114" t="s">
        <v>2228</v>
      </c>
      <c r="AD442" s="117">
        <f t="shared" si="38"/>
        <v>0</v>
      </c>
      <c r="AE442" s="114" t="s">
        <v>2227</v>
      </c>
      <c r="AF442" s="117">
        <f t="shared" si="39"/>
        <v>0</v>
      </c>
      <c r="AG442" s="114" t="s">
        <v>2226</v>
      </c>
      <c r="AH442" s="116">
        <v>108</v>
      </c>
      <c r="AI442" s="100"/>
      <c r="AJ442" s="100"/>
      <c r="AK442" s="100"/>
      <c r="AL442" s="100"/>
      <c r="AM442" s="100"/>
      <c r="AN442" s="100"/>
      <c r="AO442" s="100"/>
      <c r="AP442" s="100"/>
      <c r="AQ442" s="100"/>
    </row>
    <row r="443" spans="24:43">
      <c r="X443" s="114" t="s">
        <v>14146</v>
      </c>
      <c r="Y443" s="115">
        <v>365</v>
      </c>
      <c r="Z443" s="116">
        <f t="shared" si="36"/>
        <v>365</v>
      </c>
      <c r="AA443" s="114" t="s">
        <v>2229</v>
      </c>
      <c r="AB443" s="117">
        <f t="shared" si="37"/>
        <v>365</v>
      </c>
      <c r="AC443" s="114" t="s">
        <v>2228</v>
      </c>
      <c r="AD443" s="117">
        <f t="shared" si="38"/>
        <v>0</v>
      </c>
      <c r="AE443" s="114" t="s">
        <v>2227</v>
      </c>
      <c r="AF443" s="117">
        <f t="shared" si="39"/>
        <v>0</v>
      </c>
      <c r="AG443" s="114" t="s">
        <v>2226</v>
      </c>
      <c r="AH443" s="116">
        <v>14.6</v>
      </c>
      <c r="AI443" s="100"/>
      <c r="AJ443" s="100"/>
      <c r="AK443" s="100"/>
      <c r="AL443" s="100"/>
      <c r="AM443" s="100"/>
      <c r="AN443" s="100"/>
      <c r="AO443" s="100"/>
      <c r="AP443" s="100"/>
      <c r="AQ443" s="100"/>
    </row>
    <row r="444" spans="24:43">
      <c r="X444" s="114" t="s">
        <v>14147</v>
      </c>
      <c r="Y444" s="115">
        <v>5187.625</v>
      </c>
      <c r="Z444" s="116">
        <f t="shared" si="36"/>
        <v>5187.625</v>
      </c>
      <c r="AA444" s="114" t="s">
        <v>2229</v>
      </c>
      <c r="AB444" s="117">
        <f t="shared" si="37"/>
        <v>5187</v>
      </c>
      <c r="AC444" s="114" t="s">
        <v>2228</v>
      </c>
      <c r="AD444" s="117">
        <f t="shared" si="38"/>
        <v>6</v>
      </c>
      <c r="AE444" s="114" t="s">
        <v>2227</v>
      </c>
      <c r="AF444" s="117">
        <f t="shared" si="39"/>
        <v>2.5</v>
      </c>
      <c r="AG444" s="114" t="s">
        <v>2226</v>
      </c>
      <c r="AH444" s="116">
        <v>207.5</v>
      </c>
      <c r="AI444" s="100"/>
      <c r="AJ444" s="100"/>
      <c r="AK444" s="100"/>
      <c r="AL444" s="100"/>
      <c r="AM444" s="100"/>
      <c r="AN444" s="100"/>
      <c r="AO444" s="100"/>
      <c r="AP444" s="100"/>
      <c r="AQ444" s="100"/>
    </row>
    <row r="445" spans="24:43">
      <c r="X445" s="114" t="s">
        <v>14148</v>
      </c>
      <c r="Y445" s="115">
        <v>55</v>
      </c>
      <c r="Z445" s="116">
        <f t="shared" si="36"/>
        <v>55</v>
      </c>
      <c r="AA445" s="114" t="s">
        <v>2229</v>
      </c>
      <c r="AB445" s="117">
        <f t="shared" si="37"/>
        <v>55</v>
      </c>
      <c r="AC445" s="114" t="s">
        <v>2228</v>
      </c>
      <c r="AD445" s="117">
        <f t="shared" si="38"/>
        <v>0</v>
      </c>
      <c r="AE445" s="114" t="s">
        <v>2227</v>
      </c>
      <c r="AF445" s="117">
        <f t="shared" si="39"/>
        <v>0</v>
      </c>
      <c r="AG445" s="114" t="s">
        <v>2226</v>
      </c>
      <c r="AH445" s="116">
        <v>2.2000000000000002</v>
      </c>
      <c r="AI445" s="100"/>
      <c r="AJ445" s="100"/>
      <c r="AK445" s="100"/>
      <c r="AL445" s="100"/>
      <c r="AM445" s="100"/>
      <c r="AN445" s="100"/>
      <c r="AO445" s="100"/>
      <c r="AP445" s="100"/>
      <c r="AQ445" s="100"/>
    </row>
    <row r="446" spans="24:43">
      <c r="X446" s="114" t="s">
        <v>14149</v>
      </c>
      <c r="Y446" s="115">
        <v>60</v>
      </c>
      <c r="Z446" s="116">
        <f t="shared" si="36"/>
        <v>60</v>
      </c>
      <c r="AA446" s="114" t="s">
        <v>2229</v>
      </c>
      <c r="AB446" s="117">
        <f t="shared" si="37"/>
        <v>60</v>
      </c>
      <c r="AC446" s="114" t="s">
        <v>2228</v>
      </c>
      <c r="AD446" s="117">
        <f t="shared" si="38"/>
        <v>0</v>
      </c>
      <c r="AE446" s="114" t="s">
        <v>2227</v>
      </c>
      <c r="AF446" s="117">
        <f t="shared" si="39"/>
        <v>0</v>
      </c>
      <c r="AG446" s="114" t="s">
        <v>2226</v>
      </c>
      <c r="AH446" s="116">
        <v>2.4</v>
      </c>
      <c r="AI446" s="100"/>
      <c r="AJ446" s="100"/>
      <c r="AK446" s="100"/>
      <c r="AL446" s="100"/>
      <c r="AM446" s="100"/>
      <c r="AN446" s="100"/>
      <c r="AO446" s="100"/>
      <c r="AP446" s="100"/>
      <c r="AQ446" s="100"/>
    </row>
    <row r="447" spans="24:43">
      <c r="X447" s="114" t="s">
        <v>14150</v>
      </c>
      <c r="Y447" s="115">
        <v>70</v>
      </c>
      <c r="Z447" s="116">
        <f t="shared" si="36"/>
        <v>70</v>
      </c>
      <c r="AA447" s="114" t="s">
        <v>2229</v>
      </c>
      <c r="AB447" s="117">
        <f t="shared" si="37"/>
        <v>70</v>
      </c>
      <c r="AC447" s="114" t="s">
        <v>2228</v>
      </c>
      <c r="AD447" s="117">
        <f t="shared" si="38"/>
        <v>0</v>
      </c>
      <c r="AE447" s="114" t="s">
        <v>2227</v>
      </c>
      <c r="AF447" s="117">
        <f t="shared" si="39"/>
        <v>0</v>
      </c>
      <c r="AG447" s="114" t="s">
        <v>2226</v>
      </c>
      <c r="AH447" s="116">
        <v>2.8000000000000003</v>
      </c>
      <c r="AI447" s="100"/>
      <c r="AJ447" s="100"/>
      <c r="AK447" s="100"/>
      <c r="AL447" s="100"/>
      <c r="AM447" s="100"/>
      <c r="AN447" s="100"/>
      <c r="AO447" s="100"/>
      <c r="AP447" s="100"/>
      <c r="AQ447" s="100"/>
    </row>
    <row r="448" spans="24:43">
      <c r="X448" s="114" t="s">
        <v>14150</v>
      </c>
      <c r="Y448" s="115">
        <v>70</v>
      </c>
      <c r="Z448" s="116">
        <f t="shared" si="36"/>
        <v>70</v>
      </c>
      <c r="AA448" s="114" t="s">
        <v>2229</v>
      </c>
      <c r="AB448" s="117">
        <f t="shared" si="37"/>
        <v>70</v>
      </c>
      <c r="AC448" s="114" t="s">
        <v>2228</v>
      </c>
      <c r="AD448" s="117">
        <f t="shared" si="38"/>
        <v>0</v>
      </c>
      <c r="AE448" s="114" t="s">
        <v>2227</v>
      </c>
      <c r="AF448" s="117">
        <f t="shared" si="39"/>
        <v>0</v>
      </c>
      <c r="AG448" s="114" t="s">
        <v>2226</v>
      </c>
      <c r="AH448" s="116">
        <v>2.8000000000000003</v>
      </c>
      <c r="AI448" s="100"/>
      <c r="AJ448" s="100"/>
      <c r="AK448" s="100"/>
      <c r="AL448" s="100"/>
      <c r="AM448" s="100"/>
      <c r="AN448" s="100"/>
      <c r="AO448" s="100"/>
      <c r="AP448" s="100"/>
      <c r="AQ448" s="100"/>
    </row>
    <row r="449" spans="24:43">
      <c r="X449" s="114" t="s">
        <v>14151</v>
      </c>
      <c r="Y449" s="115">
        <v>4787.625</v>
      </c>
      <c r="Z449" s="116">
        <f t="shared" si="36"/>
        <v>4787.625</v>
      </c>
      <c r="AA449" s="114" t="s">
        <v>2229</v>
      </c>
      <c r="AB449" s="117">
        <f t="shared" si="37"/>
        <v>4787</v>
      </c>
      <c r="AC449" s="114" t="s">
        <v>2228</v>
      </c>
      <c r="AD449" s="117">
        <f t="shared" si="38"/>
        <v>6</v>
      </c>
      <c r="AE449" s="114" t="s">
        <v>2227</v>
      </c>
      <c r="AF449" s="117">
        <f t="shared" si="39"/>
        <v>2.5</v>
      </c>
      <c r="AG449" s="114" t="s">
        <v>2226</v>
      </c>
      <c r="AH449" s="116">
        <v>191.5</v>
      </c>
      <c r="AI449" s="100"/>
      <c r="AJ449" s="100"/>
      <c r="AK449" s="100"/>
      <c r="AL449" s="100"/>
      <c r="AM449" s="100"/>
      <c r="AN449" s="100"/>
      <c r="AO449" s="100"/>
      <c r="AP449" s="100"/>
      <c r="AQ449" s="100"/>
    </row>
    <row r="450" spans="24:43">
      <c r="X450" s="114" t="s">
        <v>14152</v>
      </c>
      <c r="Y450" s="115">
        <v>31125.125</v>
      </c>
      <c r="Z450" s="116">
        <f t="shared" si="36"/>
        <v>31125.125</v>
      </c>
      <c r="AA450" s="114" t="s">
        <v>2229</v>
      </c>
      <c r="AB450" s="117">
        <f t="shared" si="37"/>
        <v>31125</v>
      </c>
      <c r="AC450" s="114" t="s">
        <v>2228</v>
      </c>
      <c r="AD450" s="117">
        <f t="shared" si="38"/>
        <v>1</v>
      </c>
      <c r="AE450" s="114" t="s">
        <v>2227</v>
      </c>
      <c r="AF450" s="117">
        <f t="shared" si="39"/>
        <v>2.5</v>
      </c>
      <c r="AG450" s="114" t="s">
        <v>2226</v>
      </c>
      <c r="AH450" s="116">
        <v>1245</v>
      </c>
      <c r="AI450" s="100"/>
      <c r="AJ450" s="100"/>
      <c r="AK450" s="100"/>
      <c r="AL450" s="100"/>
      <c r="AM450" s="100"/>
      <c r="AN450" s="100"/>
      <c r="AO450" s="100"/>
      <c r="AP450" s="100"/>
      <c r="AQ450" s="100"/>
    </row>
    <row r="451" spans="24:43">
      <c r="X451" s="114" t="s">
        <v>14153</v>
      </c>
      <c r="Y451" s="115">
        <v>55</v>
      </c>
      <c r="Z451" s="116">
        <f t="shared" ref="Z451:Z514" si="40">Y451*$AK$6*$AK$11</f>
        <v>55</v>
      </c>
      <c r="AA451" s="114" t="s">
        <v>2229</v>
      </c>
      <c r="AB451" s="117">
        <f t="shared" ref="AB451:AB514" si="41">_xlfn.FLOOR.MATH(Z451,1)</f>
        <v>55</v>
      </c>
      <c r="AC451" s="114" t="s">
        <v>2228</v>
      </c>
      <c r="AD451" s="117">
        <f t="shared" ref="AD451:AD514" si="42">_xlfn.FLOOR.MATH(((Z451-AB451)*10), 1)</f>
        <v>0</v>
      </c>
      <c r="AE451" s="114" t="s">
        <v>2227</v>
      </c>
      <c r="AF451" s="117">
        <f t="shared" ref="AF451:AF514" si="43">((Z451-AB451)*10-AD451)*10</f>
        <v>0</v>
      </c>
      <c r="AG451" s="114" t="s">
        <v>2226</v>
      </c>
      <c r="AH451" s="116">
        <v>2.2000000000000002</v>
      </c>
      <c r="AI451" s="100"/>
      <c r="AJ451" s="100"/>
      <c r="AK451" s="100"/>
      <c r="AL451" s="100"/>
      <c r="AM451" s="100"/>
      <c r="AN451" s="100"/>
      <c r="AO451" s="100"/>
      <c r="AP451" s="100"/>
      <c r="AQ451" s="100"/>
    </row>
    <row r="452" spans="24:43">
      <c r="X452" s="114" t="s">
        <v>14154</v>
      </c>
      <c r="Y452" s="115">
        <v>86250.25</v>
      </c>
      <c r="Z452" s="116">
        <f t="shared" si="40"/>
        <v>86250.25</v>
      </c>
      <c r="AA452" s="114" t="s">
        <v>2229</v>
      </c>
      <c r="AB452" s="117">
        <f t="shared" si="41"/>
        <v>86250</v>
      </c>
      <c r="AC452" s="114" t="s">
        <v>2228</v>
      </c>
      <c r="AD452" s="117">
        <f t="shared" si="42"/>
        <v>2</v>
      </c>
      <c r="AE452" s="114" t="s">
        <v>2227</v>
      </c>
      <c r="AF452" s="117">
        <f t="shared" si="43"/>
        <v>5</v>
      </c>
      <c r="AG452" s="114" t="s">
        <v>2226</v>
      </c>
      <c r="AH452" s="116">
        <v>3450.01</v>
      </c>
      <c r="AI452" s="100"/>
      <c r="AJ452" s="100"/>
      <c r="AK452" s="100"/>
      <c r="AL452" s="100"/>
      <c r="AM452" s="100"/>
      <c r="AN452" s="100"/>
      <c r="AO452" s="100"/>
      <c r="AP452" s="100"/>
      <c r="AQ452" s="100"/>
    </row>
    <row r="453" spans="24:43">
      <c r="X453" s="114" t="s">
        <v>14155</v>
      </c>
      <c r="Y453" s="115">
        <v>6875.25</v>
      </c>
      <c r="Z453" s="116">
        <f t="shared" si="40"/>
        <v>6875.25</v>
      </c>
      <c r="AA453" s="114" t="s">
        <v>2229</v>
      </c>
      <c r="AB453" s="117">
        <f t="shared" si="41"/>
        <v>6875</v>
      </c>
      <c r="AC453" s="114" t="s">
        <v>2228</v>
      </c>
      <c r="AD453" s="117">
        <f t="shared" si="42"/>
        <v>2</v>
      </c>
      <c r="AE453" s="114" t="s">
        <v>2227</v>
      </c>
      <c r="AF453" s="117">
        <f t="shared" si="43"/>
        <v>5</v>
      </c>
      <c r="AG453" s="114" t="s">
        <v>2226</v>
      </c>
      <c r="AH453" s="116">
        <v>275.01</v>
      </c>
      <c r="AI453" s="100"/>
      <c r="AJ453" s="100"/>
      <c r="AK453" s="100"/>
      <c r="AL453" s="100"/>
      <c r="AM453" s="100"/>
      <c r="AN453" s="100"/>
      <c r="AO453" s="100"/>
      <c r="AP453" s="100"/>
      <c r="AQ453" s="100"/>
    </row>
    <row r="454" spans="24:43">
      <c r="X454" s="114" t="s">
        <v>14156</v>
      </c>
      <c r="Y454" s="115">
        <v>337.625</v>
      </c>
      <c r="Z454" s="116">
        <f t="shared" si="40"/>
        <v>337.625</v>
      </c>
      <c r="AA454" s="114" t="s">
        <v>2229</v>
      </c>
      <c r="AB454" s="117">
        <f t="shared" si="41"/>
        <v>337</v>
      </c>
      <c r="AC454" s="114" t="s">
        <v>2228</v>
      </c>
      <c r="AD454" s="117">
        <f t="shared" si="42"/>
        <v>6</v>
      </c>
      <c r="AE454" s="114" t="s">
        <v>2227</v>
      </c>
      <c r="AF454" s="117">
        <f t="shared" si="43"/>
        <v>2.5</v>
      </c>
      <c r="AG454" s="114" t="s">
        <v>2226</v>
      </c>
      <c r="AH454" s="116">
        <v>13.5</v>
      </c>
      <c r="AI454" s="100"/>
      <c r="AJ454" s="100"/>
      <c r="AK454" s="100"/>
      <c r="AL454" s="100"/>
      <c r="AM454" s="100"/>
      <c r="AN454" s="100"/>
      <c r="AO454" s="100"/>
      <c r="AP454" s="100"/>
      <c r="AQ454" s="100"/>
    </row>
    <row r="455" spans="24:43">
      <c r="X455" s="114" t="s">
        <v>14157</v>
      </c>
      <c r="Y455" s="115">
        <v>4187.625</v>
      </c>
      <c r="Z455" s="116">
        <f t="shared" si="40"/>
        <v>4187.625</v>
      </c>
      <c r="AA455" s="114" t="s">
        <v>2229</v>
      </c>
      <c r="AB455" s="117">
        <f t="shared" si="41"/>
        <v>4187</v>
      </c>
      <c r="AC455" s="114" t="s">
        <v>2228</v>
      </c>
      <c r="AD455" s="117">
        <f t="shared" si="42"/>
        <v>6</v>
      </c>
      <c r="AE455" s="114" t="s">
        <v>2227</v>
      </c>
      <c r="AF455" s="117">
        <f t="shared" si="43"/>
        <v>2.5</v>
      </c>
      <c r="AG455" s="114" t="s">
        <v>2226</v>
      </c>
      <c r="AH455" s="116">
        <v>167.5</v>
      </c>
      <c r="AI455" s="100"/>
      <c r="AJ455" s="100"/>
      <c r="AK455" s="100"/>
      <c r="AL455" s="100"/>
      <c r="AM455" s="100"/>
      <c r="AN455" s="100"/>
      <c r="AO455" s="100"/>
      <c r="AP455" s="100"/>
      <c r="AQ455" s="100"/>
    </row>
    <row r="456" spans="24:43">
      <c r="X456" s="114" t="s">
        <v>14158</v>
      </c>
      <c r="Y456" s="115">
        <v>3200</v>
      </c>
      <c r="Z456" s="116">
        <f t="shared" si="40"/>
        <v>3200</v>
      </c>
      <c r="AA456" s="114" t="s">
        <v>2229</v>
      </c>
      <c r="AB456" s="117">
        <f t="shared" si="41"/>
        <v>3200</v>
      </c>
      <c r="AC456" s="114" t="s">
        <v>2228</v>
      </c>
      <c r="AD456" s="117">
        <f t="shared" si="42"/>
        <v>0</v>
      </c>
      <c r="AE456" s="114" t="s">
        <v>2227</v>
      </c>
      <c r="AF456" s="117">
        <f t="shared" si="43"/>
        <v>0</v>
      </c>
      <c r="AG456" s="114" t="s">
        <v>2226</v>
      </c>
      <c r="AH456" s="116">
        <v>128</v>
      </c>
      <c r="AI456" s="100"/>
      <c r="AJ456" s="100"/>
      <c r="AK456" s="100"/>
      <c r="AL456" s="100"/>
      <c r="AM456" s="100"/>
      <c r="AN456" s="100"/>
      <c r="AO456" s="100"/>
      <c r="AP456" s="100"/>
      <c r="AQ456" s="100"/>
    </row>
    <row r="457" spans="24:43">
      <c r="X457" s="114" t="s">
        <v>14159</v>
      </c>
      <c r="Y457" s="115">
        <v>22125.125</v>
      </c>
      <c r="Z457" s="116">
        <f t="shared" si="40"/>
        <v>22125.125</v>
      </c>
      <c r="AA457" s="114" t="s">
        <v>2229</v>
      </c>
      <c r="AB457" s="117">
        <f t="shared" si="41"/>
        <v>22125</v>
      </c>
      <c r="AC457" s="114" t="s">
        <v>2228</v>
      </c>
      <c r="AD457" s="117">
        <f t="shared" si="42"/>
        <v>1</v>
      </c>
      <c r="AE457" s="114" t="s">
        <v>2227</v>
      </c>
      <c r="AF457" s="117">
        <f t="shared" si="43"/>
        <v>2.5</v>
      </c>
      <c r="AG457" s="114" t="s">
        <v>2226</v>
      </c>
      <c r="AH457" s="116">
        <v>885</v>
      </c>
      <c r="AI457" s="100"/>
      <c r="AJ457" s="100"/>
      <c r="AK457" s="100"/>
      <c r="AL457" s="100"/>
      <c r="AM457" s="100"/>
      <c r="AN457" s="100"/>
      <c r="AO457" s="100"/>
      <c r="AP457" s="100"/>
      <c r="AQ457" s="100"/>
    </row>
    <row r="458" spans="24:43">
      <c r="X458" s="114" t="s">
        <v>14160</v>
      </c>
      <c r="Y458" s="115">
        <v>18625.125</v>
      </c>
      <c r="Z458" s="116">
        <f t="shared" si="40"/>
        <v>18625.125</v>
      </c>
      <c r="AA458" s="114" t="s">
        <v>2229</v>
      </c>
      <c r="AB458" s="117">
        <f t="shared" si="41"/>
        <v>18625</v>
      </c>
      <c r="AC458" s="114" t="s">
        <v>2228</v>
      </c>
      <c r="AD458" s="117">
        <f t="shared" si="42"/>
        <v>1</v>
      </c>
      <c r="AE458" s="114" t="s">
        <v>2227</v>
      </c>
      <c r="AF458" s="117">
        <f t="shared" si="43"/>
        <v>2.5</v>
      </c>
      <c r="AG458" s="114" t="s">
        <v>2226</v>
      </c>
      <c r="AH458" s="116">
        <v>745</v>
      </c>
      <c r="AI458" s="100"/>
      <c r="AJ458" s="100"/>
      <c r="AK458" s="100"/>
      <c r="AL458" s="100"/>
      <c r="AM458" s="100"/>
      <c r="AN458" s="100"/>
      <c r="AO458" s="100"/>
      <c r="AP458" s="100"/>
      <c r="AQ458" s="100"/>
    </row>
    <row r="459" spans="24:43">
      <c r="X459" s="114" t="s">
        <v>14161</v>
      </c>
      <c r="Y459" s="115">
        <v>67.5</v>
      </c>
      <c r="Z459" s="116">
        <f t="shared" si="40"/>
        <v>67.5</v>
      </c>
      <c r="AA459" s="114" t="s">
        <v>2229</v>
      </c>
      <c r="AB459" s="117">
        <f t="shared" si="41"/>
        <v>67</v>
      </c>
      <c r="AC459" s="114" t="s">
        <v>2228</v>
      </c>
      <c r="AD459" s="117">
        <f t="shared" si="42"/>
        <v>5</v>
      </c>
      <c r="AE459" s="114" t="s">
        <v>2227</v>
      </c>
      <c r="AF459" s="117">
        <f t="shared" si="43"/>
        <v>0</v>
      </c>
      <c r="AG459" s="114" t="s">
        <v>2226</v>
      </c>
      <c r="AH459" s="116">
        <v>2.7</v>
      </c>
      <c r="AI459" s="100"/>
      <c r="AJ459" s="100"/>
      <c r="AK459" s="100"/>
      <c r="AL459" s="100"/>
      <c r="AM459" s="100"/>
      <c r="AN459" s="100"/>
      <c r="AO459" s="100"/>
      <c r="AP459" s="100"/>
      <c r="AQ459" s="100"/>
    </row>
    <row r="460" spans="24:43">
      <c r="X460" s="114" t="s">
        <v>14162</v>
      </c>
      <c r="Y460" s="115">
        <v>2625</v>
      </c>
      <c r="Z460" s="116">
        <f t="shared" si="40"/>
        <v>2625</v>
      </c>
      <c r="AA460" s="114" t="s">
        <v>2229</v>
      </c>
      <c r="AB460" s="117">
        <f t="shared" si="41"/>
        <v>2625</v>
      </c>
      <c r="AC460" s="114" t="s">
        <v>2228</v>
      </c>
      <c r="AD460" s="117">
        <f t="shared" si="42"/>
        <v>0</v>
      </c>
      <c r="AE460" s="114" t="s">
        <v>2227</v>
      </c>
      <c r="AF460" s="117">
        <f t="shared" si="43"/>
        <v>0</v>
      </c>
      <c r="AG460" s="114" t="s">
        <v>2226</v>
      </c>
      <c r="AH460" s="116">
        <v>105</v>
      </c>
      <c r="AI460" s="100"/>
      <c r="AJ460" s="100"/>
      <c r="AK460" s="100"/>
      <c r="AL460" s="100"/>
      <c r="AM460" s="100"/>
      <c r="AN460" s="100"/>
      <c r="AO460" s="100"/>
      <c r="AP460" s="100"/>
      <c r="AQ460" s="100"/>
    </row>
    <row r="461" spans="24:43">
      <c r="X461" s="114" t="s">
        <v>14163</v>
      </c>
      <c r="Y461" s="115">
        <v>4850</v>
      </c>
      <c r="Z461" s="116">
        <f t="shared" si="40"/>
        <v>4850</v>
      </c>
      <c r="AA461" s="114" t="s">
        <v>2229</v>
      </c>
      <c r="AB461" s="117">
        <f t="shared" si="41"/>
        <v>4850</v>
      </c>
      <c r="AC461" s="114" t="s">
        <v>2228</v>
      </c>
      <c r="AD461" s="117">
        <f t="shared" si="42"/>
        <v>0</v>
      </c>
      <c r="AE461" s="114" t="s">
        <v>2227</v>
      </c>
      <c r="AF461" s="117">
        <f t="shared" si="43"/>
        <v>0</v>
      </c>
      <c r="AG461" s="114" t="s">
        <v>2226</v>
      </c>
      <c r="AH461" s="116">
        <v>194</v>
      </c>
      <c r="AI461" s="100"/>
      <c r="AJ461" s="100"/>
      <c r="AK461" s="100"/>
      <c r="AL461" s="100"/>
      <c r="AM461" s="100"/>
      <c r="AN461" s="100"/>
      <c r="AO461" s="100"/>
      <c r="AP461" s="100"/>
      <c r="AQ461" s="100"/>
    </row>
    <row r="462" spans="24:43">
      <c r="X462" s="114" t="s">
        <v>14164</v>
      </c>
      <c r="Y462" s="115">
        <v>2687.5</v>
      </c>
      <c r="Z462" s="116">
        <f t="shared" si="40"/>
        <v>2687.5</v>
      </c>
      <c r="AA462" s="114" t="s">
        <v>2229</v>
      </c>
      <c r="AB462" s="117">
        <f t="shared" si="41"/>
        <v>2687</v>
      </c>
      <c r="AC462" s="114" t="s">
        <v>2228</v>
      </c>
      <c r="AD462" s="117">
        <f t="shared" si="42"/>
        <v>5</v>
      </c>
      <c r="AE462" s="114" t="s">
        <v>2227</v>
      </c>
      <c r="AF462" s="117">
        <f t="shared" si="43"/>
        <v>0</v>
      </c>
      <c r="AG462" s="114" t="s">
        <v>2226</v>
      </c>
      <c r="AH462" s="116">
        <v>107.5</v>
      </c>
      <c r="AI462" s="100"/>
      <c r="AJ462" s="100"/>
      <c r="AK462" s="100"/>
      <c r="AL462" s="100"/>
      <c r="AM462" s="100"/>
      <c r="AN462" s="100"/>
      <c r="AO462" s="100"/>
      <c r="AP462" s="100"/>
      <c r="AQ462" s="100"/>
    </row>
    <row r="463" spans="24:43">
      <c r="X463" s="114" t="s">
        <v>14165</v>
      </c>
      <c r="Y463" s="115">
        <v>120</v>
      </c>
      <c r="Z463" s="116">
        <f t="shared" si="40"/>
        <v>120</v>
      </c>
      <c r="AA463" s="114" t="s">
        <v>2229</v>
      </c>
      <c r="AB463" s="117">
        <f t="shared" si="41"/>
        <v>120</v>
      </c>
      <c r="AC463" s="114" t="s">
        <v>2228</v>
      </c>
      <c r="AD463" s="117">
        <f t="shared" si="42"/>
        <v>0</v>
      </c>
      <c r="AE463" s="114" t="s">
        <v>2227</v>
      </c>
      <c r="AF463" s="117">
        <f t="shared" si="43"/>
        <v>0</v>
      </c>
      <c r="AG463" s="114" t="s">
        <v>2226</v>
      </c>
      <c r="AH463" s="116">
        <v>4.8</v>
      </c>
      <c r="AI463" s="100"/>
      <c r="AJ463" s="100"/>
      <c r="AK463" s="100"/>
      <c r="AL463" s="100"/>
      <c r="AM463" s="100"/>
      <c r="AN463" s="100"/>
      <c r="AO463" s="100"/>
      <c r="AP463" s="100"/>
      <c r="AQ463" s="100"/>
    </row>
    <row r="464" spans="24:43">
      <c r="X464" s="114" t="s">
        <v>14166</v>
      </c>
      <c r="Y464" s="115">
        <v>6875.25</v>
      </c>
      <c r="Z464" s="116">
        <f t="shared" si="40"/>
        <v>6875.25</v>
      </c>
      <c r="AA464" s="114" t="s">
        <v>2229</v>
      </c>
      <c r="AB464" s="117">
        <f t="shared" si="41"/>
        <v>6875</v>
      </c>
      <c r="AC464" s="114" t="s">
        <v>2228</v>
      </c>
      <c r="AD464" s="117">
        <f t="shared" si="42"/>
        <v>2</v>
      </c>
      <c r="AE464" s="114" t="s">
        <v>2227</v>
      </c>
      <c r="AF464" s="117">
        <f t="shared" si="43"/>
        <v>5</v>
      </c>
      <c r="AG464" s="114" t="s">
        <v>2226</v>
      </c>
      <c r="AH464" s="116">
        <v>275.01</v>
      </c>
      <c r="AI464" s="100"/>
      <c r="AJ464" s="100"/>
      <c r="AK464" s="100"/>
      <c r="AL464" s="100"/>
      <c r="AM464" s="100"/>
      <c r="AN464" s="100"/>
      <c r="AO464" s="100"/>
      <c r="AP464" s="100"/>
      <c r="AQ464" s="100"/>
    </row>
    <row r="465" spans="24:43">
      <c r="X465" s="114" t="s">
        <v>14167</v>
      </c>
      <c r="Y465" s="115">
        <v>55</v>
      </c>
      <c r="Z465" s="116">
        <f t="shared" si="40"/>
        <v>55</v>
      </c>
      <c r="AA465" s="114" t="s">
        <v>2229</v>
      </c>
      <c r="AB465" s="117">
        <f t="shared" si="41"/>
        <v>55</v>
      </c>
      <c r="AC465" s="114" t="s">
        <v>2228</v>
      </c>
      <c r="AD465" s="117">
        <f t="shared" si="42"/>
        <v>0</v>
      </c>
      <c r="AE465" s="114" t="s">
        <v>2227</v>
      </c>
      <c r="AF465" s="117">
        <f t="shared" si="43"/>
        <v>0</v>
      </c>
      <c r="AG465" s="114" t="s">
        <v>2226</v>
      </c>
      <c r="AH465" s="116">
        <v>2.2000000000000002</v>
      </c>
      <c r="AI465" s="100"/>
      <c r="AJ465" s="100"/>
      <c r="AK465" s="100"/>
      <c r="AL465" s="100"/>
      <c r="AM465" s="100"/>
      <c r="AN465" s="100"/>
      <c r="AO465" s="100"/>
      <c r="AP465" s="100"/>
      <c r="AQ465" s="100"/>
    </row>
    <row r="466" spans="24:43">
      <c r="X466" s="114" t="s">
        <v>14168</v>
      </c>
      <c r="Y466" s="115">
        <v>55</v>
      </c>
      <c r="Z466" s="116">
        <f t="shared" si="40"/>
        <v>55</v>
      </c>
      <c r="AA466" s="114" t="s">
        <v>2229</v>
      </c>
      <c r="AB466" s="117">
        <f t="shared" si="41"/>
        <v>55</v>
      </c>
      <c r="AC466" s="114" t="s">
        <v>2228</v>
      </c>
      <c r="AD466" s="117">
        <f t="shared" si="42"/>
        <v>0</v>
      </c>
      <c r="AE466" s="114" t="s">
        <v>2227</v>
      </c>
      <c r="AF466" s="117">
        <f t="shared" si="43"/>
        <v>0</v>
      </c>
      <c r="AG466" s="114" t="s">
        <v>2226</v>
      </c>
      <c r="AH466" s="116">
        <v>2.2000000000000002</v>
      </c>
      <c r="AI466" s="100"/>
      <c r="AJ466" s="100"/>
      <c r="AK466" s="100"/>
      <c r="AL466" s="100"/>
      <c r="AM466" s="100"/>
      <c r="AN466" s="100"/>
      <c r="AO466" s="100"/>
      <c r="AP466" s="100"/>
      <c r="AQ466" s="100"/>
    </row>
    <row r="467" spans="24:43">
      <c r="X467" s="114" t="s">
        <v>14169</v>
      </c>
      <c r="Y467" s="115">
        <v>3150</v>
      </c>
      <c r="Z467" s="116">
        <f t="shared" si="40"/>
        <v>3150</v>
      </c>
      <c r="AA467" s="114" t="s">
        <v>2229</v>
      </c>
      <c r="AB467" s="117">
        <f t="shared" si="41"/>
        <v>3150</v>
      </c>
      <c r="AC467" s="114" t="s">
        <v>2228</v>
      </c>
      <c r="AD467" s="117">
        <f t="shared" si="42"/>
        <v>0</v>
      </c>
      <c r="AE467" s="114" t="s">
        <v>2227</v>
      </c>
      <c r="AF467" s="117">
        <f t="shared" si="43"/>
        <v>0</v>
      </c>
      <c r="AG467" s="114" t="s">
        <v>2226</v>
      </c>
      <c r="AH467" s="116">
        <v>126</v>
      </c>
      <c r="AI467" s="100"/>
      <c r="AJ467" s="100"/>
      <c r="AK467" s="100"/>
      <c r="AL467" s="100"/>
      <c r="AM467" s="100"/>
      <c r="AN467" s="100"/>
      <c r="AO467" s="100"/>
      <c r="AP467" s="100"/>
      <c r="AQ467" s="100"/>
    </row>
    <row r="468" spans="24:43">
      <c r="X468" s="114" t="s">
        <v>14170</v>
      </c>
      <c r="Y468" s="115">
        <v>1075</v>
      </c>
      <c r="Z468" s="116">
        <f t="shared" si="40"/>
        <v>1075</v>
      </c>
      <c r="AA468" s="114" t="s">
        <v>2229</v>
      </c>
      <c r="AB468" s="117">
        <f t="shared" si="41"/>
        <v>1075</v>
      </c>
      <c r="AC468" s="114" t="s">
        <v>2228</v>
      </c>
      <c r="AD468" s="117">
        <f t="shared" si="42"/>
        <v>0</v>
      </c>
      <c r="AE468" s="114" t="s">
        <v>2227</v>
      </c>
      <c r="AF468" s="117">
        <f t="shared" si="43"/>
        <v>0</v>
      </c>
      <c r="AG468" s="114" t="s">
        <v>2226</v>
      </c>
      <c r="AH468" s="116">
        <v>43</v>
      </c>
      <c r="AI468" s="100"/>
      <c r="AJ468" s="100"/>
      <c r="AK468" s="100"/>
      <c r="AL468" s="100"/>
      <c r="AM468" s="100"/>
      <c r="AN468" s="100"/>
      <c r="AO468" s="100"/>
      <c r="AP468" s="100"/>
      <c r="AQ468" s="100"/>
    </row>
    <row r="469" spans="24:43">
      <c r="X469" s="114" t="s">
        <v>14171</v>
      </c>
      <c r="Y469" s="115">
        <v>262.625</v>
      </c>
      <c r="Z469" s="116">
        <f t="shared" si="40"/>
        <v>262.625</v>
      </c>
      <c r="AA469" s="114" t="s">
        <v>2229</v>
      </c>
      <c r="AB469" s="117">
        <f t="shared" si="41"/>
        <v>262</v>
      </c>
      <c r="AC469" s="114" t="s">
        <v>2228</v>
      </c>
      <c r="AD469" s="117">
        <f t="shared" si="42"/>
        <v>6</v>
      </c>
      <c r="AE469" s="114" t="s">
        <v>2227</v>
      </c>
      <c r="AF469" s="117">
        <f t="shared" si="43"/>
        <v>2.5</v>
      </c>
      <c r="AG469" s="114" t="s">
        <v>2226</v>
      </c>
      <c r="AH469" s="116">
        <v>10.5</v>
      </c>
      <c r="AI469" s="100"/>
      <c r="AJ469" s="100"/>
      <c r="AK469" s="100"/>
      <c r="AL469" s="100"/>
      <c r="AM469" s="100"/>
      <c r="AN469" s="100"/>
      <c r="AO469" s="100"/>
      <c r="AP469" s="100"/>
      <c r="AQ469" s="100"/>
    </row>
    <row r="470" spans="24:43">
      <c r="X470" s="114" t="s">
        <v>14172</v>
      </c>
      <c r="Y470" s="115">
        <v>4137.625</v>
      </c>
      <c r="Z470" s="116">
        <f t="shared" si="40"/>
        <v>4137.625</v>
      </c>
      <c r="AA470" s="114" t="s">
        <v>2229</v>
      </c>
      <c r="AB470" s="117">
        <f t="shared" si="41"/>
        <v>4137</v>
      </c>
      <c r="AC470" s="114" t="s">
        <v>2228</v>
      </c>
      <c r="AD470" s="117">
        <f t="shared" si="42"/>
        <v>6</v>
      </c>
      <c r="AE470" s="114" t="s">
        <v>2227</v>
      </c>
      <c r="AF470" s="117">
        <f t="shared" si="43"/>
        <v>2.5</v>
      </c>
      <c r="AG470" s="114" t="s">
        <v>2226</v>
      </c>
      <c r="AH470" s="116">
        <v>165.5</v>
      </c>
      <c r="AI470" s="100"/>
      <c r="AJ470" s="100"/>
      <c r="AK470" s="100"/>
      <c r="AL470" s="100"/>
      <c r="AM470" s="100"/>
      <c r="AN470" s="100"/>
      <c r="AO470" s="100"/>
      <c r="AP470" s="100"/>
      <c r="AQ470" s="100"/>
    </row>
    <row r="471" spans="24:43">
      <c r="X471" s="114" t="s">
        <v>14173</v>
      </c>
      <c r="Y471" s="115">
        <v>6875.25</v>
      </c>
      <c r="Z471" s="116">
        <f t="shared" si="40"/>
        <v>6875.25</v>
      </c>
      <c r="AA471" s="114" t="s">
        <v>2229</v>
      </c>
      <c r="AB471" s="117">
        <f t="shared" si="41"/>
        <v>6875</v>
      </c>
      <c r="AC471" s="114" t="s">
        <v>2228</v>
      </c>
      <c r="AD471" s="117">
        <f t="shared" si="42"/>
        <v>2</v>
      </c>
      <c r="AE471" s="114" t="s">
        <v>2227</v>
      </c>
      <c r="AF471" s="117">
        <f t="shared" si="43"/>
        <v>5</v>
      </c>
      <c r="AG471" s="114" t="s">
        <v>2226</v>
      </c>
      <c r="AH471" s="116">
        <v>275.01</v>
      </c>
      <c r="AI471" s="100"/>
      <c r="AJ471" s="100"/>
      <c r="AK471" s="100"/>
      <c r="AL471" s="100"/>
      <c r="AM471" s="100"/>
      <c r="AN471" s="100"/>
      <c r="AO471" s="100"/>
      <c r="AP471" s="100"/>
      <c r="AQ471" s="100"/>
    </row>
    <row r="472" spans="24:43">
      <c r="X472" s="114" t="s">
        <v>14174</v>
      </c>
      <c r="Y472" s="115">
        <v>54000</v>
      </c>
      <c r="Z472" s="116">
        <f t="shared" si="40"/>
        <v>54000</v>
      </c>
      <c r="AA472" s="114" t="s">
        <v>2229</v>
      </c>
      <c r="AB472" s="117">
        <f t="shared" si="41"/>
        <v>54000</v>
      </c>
      <c r="AC472" s="114" t="s">
        <v>2228</v>
      </c>
      <c r="AD472" s="117">
        <f t="shared" si="42"/>
        <v>0</v>
      </c>
      <c r="AE472" s="114" t="s">
        <v>2227</v>
      </c>
      <c r="AF472" s="117">
        <f t="shared" si="43"/>
        <v>0</v>
      </c>
      <c r="AG472" s="114" t="s">
        <v>2226</v>
      </c>
      <c r="AH472" s="116">
        <v>2160</v>
      </c>
      <c r="AI472" s="100"/>
      <c r="AJ472" s="100"/>
      <c r="AK472" s="100"/>
      <c r="AL472" s="100"/>
      <c r="AM472" s="100"/>
      <c r="AN472" s="100"/>
      <c r="AO472" s="100"/>
      <c r="AP472" s="100"/>
      <c r="AQ472" s="100"/>
    </row>
    <row r="473" spans="24:43">
      <c r="X473" s="114" t="s">
        <v>14175</v>
      </c>
      <c r="Y473" s="115">
        <v>55</v>
      </c>
      <c r="Z473" s="116">
        <f t="shared" si="40"/>
        <v>55</v>
      </c>
      <c r="AA473" s="114" t="s">
        <v>2229</v>
      </c>
      <c r="AB473" s="117">
        <f t="shared" si="41"/>
        <v>55</v>
      </c>
      <c r="AC473" s="114" t="s">
        <v>2228</v>
      </c>
      <c r="AD473" s="117">
        <f t="shared" si="42"/>
        <v>0</v>
      </c>
      <c r="AE473" s="114" t="s">
        <v>2227</v>
      </c>
      <c r="AF473" s="117">
        <f t="shared" si="43"/>
        <v>0</v>
      </c>
      <c r="AG473" s="114" t="s">
        <v>2226</v>
      </c>
      <c r="AH473" s="116">
        <v>2.2000000000000002</v>
      </c>
      <c r="AI473" s="100"/>
      <c r="AJ473" s="100"/>
      <c r="AK473" s="100"/>
      <c r="AL473" s="100"/>
      <c r="AM473" s="100"/>
      <c r="AN473" s="100"/>
      <c r="AO473" s="100"/>
      <c r="AP473" s="100"/>
      <c r="AQ473" s="100"/>
    </row>
    <row r="474" spans="24:43">
      <c r="X474" s="114" t="s">
        <v>14176</v>
      </c>
      <c r="Y474" s="115">
        <v>57.5</v>
      </c>
      <c r="Z474" s="116">
        <f t="shared" si="40"/>
        <v>57.5</v>
      </c>
      <c r="AA474" s="114" t="s">
        <v>2229</v>
      </c>
      <c r="AB474" s="117">
        <f t="shared" si="41"/>
        <v>57</v>
      </c>
      <c r="AC474" s="114" t="s">
        <v>2228</v>
      </c>
      <c r="AD474" s="117">
        <f t="shared" si="42"/>
        <v>5</v>
      </c>
      <c r="AE474" s="114" t="s">
        <v>2227</v>
      </c>
      <c r="AF474" s="117">
        <f t="shared" si="43"/>
        <v>0</v>
      </c>
      <c r="AG474" s="114" t="s">
        <v>2226</v>
      </c>
      <c r="AH474" s="116">
        <v>2.3000000000000003</v>
      </c>
      <c r="AI474" s="100"/>
      <c r="AJ474" s="100"/>
      <c r="AK474" s="100"/>
      <c r="AL474" s="100"/>
      <c r="AM474" s="100"/>
      <c r="AN474" s="100"/>
      <c r="AO474" s="100"/>
      <c r="AP474" s="100"/>
      <c r="AQ474" s="100"/>
    </row>
    <row r="475" spans="24:43">
      <c r="X475" s="114" t="s">
        <v>14177</v>
      </c>
      <c r="Y475" s="115">
        <v>31250.25</v>
      </c>
      <c r="Z475" s="116">
        <f t="shared" si="40"/>
        <v>31250.25</v>
      </c>
      <c r="AA475" s="114" t="s">
        <v>2229</v>
      </c>
      <c r="AB475" s="117">
        <f t="shared" si="41"/>
        <v>31250</v>
      </c>
      <c r="AC475" s="114" t="s">
        <v>2228</v>
      </c>
      <c r="AD475" s="117">
        <f t="shared" si="42"/>
        <v>2</v>
      </c>
      <c r="AE475" s="114" t="s">
        <v>2227</v>
      </c>
      <c r="AF475" s="117">
        <f t="shared" si="43"/>
        <v>5</v>
      </c>
      <c r="AG475" s="114" t="s">
        <v>2226</v>
      </c>
      <c r="AH475" s="116">
        <v>1250.01</v>
      </c>
      <c r="AI475" s="100"/>
      <c r="AJ475" s="100"/>
      <c r="AK475" s="100"/>
      <c r="AL475" s="100"/>
      <c r="AM475" s="100"/>
      <c r="AN475" s="100"/>
      <c r="AO475" s="100"/>
      <c r="AP475" s="100"/>
      <c r="AQ475" s="100"/>
    </row>
    <row r="476" spans="24:43">
      <c r="X476" s="114" t="s">
        <v>9324</v>
      </c>
      <c r="Y476" s="115">
        <v>6500</v>
      </c>
      <c r="Z476" s="116">
        <f t="shared" si="40"/>
        <v>6500</v>
      </c>
      <c r="AA476" s="114" t="s">
        <v>2229</v>
      </c>
      <c r="AB476" s="117">
        <f t="shared" si="41"/>
        <v>6500</v>
      </c>
      <c r="AC476" s="114" t="s">
        <v>2228</v>
      </c>
      <c r="AD476" s="117">
        <f t="shared" si="42"/>
        <v>0</v>
      </c>
      <c r="AE476" s="114" t="s">
        <v>2227</v>
      </c>
      <c r="AF476" s="117">
        <f t="shared" si="43"/>
        <v>0</v>
      </c>
      <c r="AG476" s="114" t="s">
        <v>2226</v>
      </c>
      <c r="AH476" s="116">
        <v>260</v>
      </c>
      <c r="AI476" s="100"/>
      <c r="AJ476" s="100"/>
      <c r="AK476" s="100"/>
      <c r="AL476" s="100"/>
      <c r="AM476" s="100"/>
      <c r="AN476" s="100"/>
      <c r="AO476" s="100"/>
      <c r="AP476" s="100"/>
      <c r="AQ476" s="100"/>
    </row>
    <row r="477" spans="24:43">
      <c r="X477" s="114" t="s">
        <v>14178</v>
      </c>
      <c r="Y477" s="115">
        <v>72.5</v>
      </c>
      <c r="Z477" s="116">
        <f t="shared" si="40"/>
        <v>72.5</v>
      </c>
      <c r="AA477" s="114" t="s">
        <v>2229</v>
      </c>
      <c r="AB477" s="117">
        <f t="shared" si="41"/>
        <v>72</v>
      </c>
      <c r="AC477" s="114" t="s">
        <v>2228</v>
      </c>
      <c r="AD477" s="117">
        <f t="shared" si="42"/>
        <v>5</v>
      </c>
      <c r="AE477" s="114" t="s">
        <v>2227</v>
      </c>
      <c r="AF477" s="117">
        <f t="shared" si="43"/>
        <v>0</v>
      </c>
      <c r="AG477" s="114" t="s">
        <v>2226</v>
      </c>
      <c r="AH477" s="116">
        <v>2.9</v>
      </c>
      <c r="AI477" s="100"/>
      <c r="AJ477" s="100"/>
      <c r="AK477" s="100"/>
      <c r="AL477" s="100"/>
      <c r="AM477" s="100"/>
      <c r="AN477" s="100"/>
      <c r="AO477" s="100"/>
      <c r="AP477" s="100"/>
      <c r="AQ477" s="100"/>
    </row>
    <row r="478" spans="24:43">
      <c r="X478" s="114" t="s">
        <v>14179</v>
      </c>
      <c r="Y478" s="115">
        <v>200</v>
      </c>
      <c r="Z478" s="116">
        <f t="shared" si="40"/>
        <v>200</v>
      </c>
      <c r="AA478" s="114" t="s">
        <v>2229</v>
      </c>
      <c r="AB478" s="117">
        <f t="shared" si="41"/>
        <v>200</v>
      </c>
      <c r="AC478" s="114" t="s">
        <v>2228</v>
      </c>
      <c r="AD478" s="117">
        <f t="shared" si="42"/>
        <v>0</v>
      </c>
      <c r="AE478" s="114" t="s">
        <v>2227</v>
      </c>
      <c r="AF478" s="117">
        <f t="shared" si="43"/>
        <v>0</v>
      </c>
      <c r="AG478" s="114" t="s">
        <v>2226</v>
      </c>
      <c r="AH478" s="116">
        <v>8</v>
      </c>
      <c r="AI478" s="100"/>
      <c r="AJ478" s="100"/>
      <c r="AK478" s="100"/>
      <c r="AL478" s="100"/>
      <c r="AM478" s="100"/>
      <c r="AN478" s="100"/>
      <c r="AO478" s="100"/>
      <c r="AP478" s="100"/>
      <c r="AQ478" s="100"/>
    </row>
    <row r="479" spans="24:43">
      <c r="X479" s="114" t="s">
        <v>14180</v>
      </c>
      <c r="Y479" s="115">
        <v>3937.625</v>
      </c>
      <c r="Z479" s="116">
        <f t="shared" si="40"/>
        <v>3937.625</v>
      </c>
      <c r="AA479" s="114" t="s">
        <v>2229</v>
      </c>
      <c r="AB479" s="117">
        <f t="shared" si="41"/>
        <v>3937</v>
      </c>
      <c r="AC479" s="114" t="s">
        <v>2228</v>
      </c>
      <c r="AD479" s="117">
        <f t="shared" si="42"/>
        <v>6</v>
      </c>
      <c r="AE479" s="114" t="s">
        <v>2227</v>
      </c>
      <c r="AF479" s="117">
        <f t="shared" si="43"/>
        <v>2.5</v>
      </c>
      <c r="AG479" s="114" t="s">
        <v>2226</v>
      </c>
      <c r="AH479" s="116">
        <v>157.5</v>
      </c>
      <c r="AI479" s="100"/>
      <c r="AJ479" s="100"/>
      <c r="AK479" s="100"/>
      <c r="AL479" s="100"/>
      <c r="AM479" s="100"/>
      <c r="AN479" s="100"/>
      <c r="AO479" s="100"/>
      <c r="AP479" s="100"/>
      <c r="AQ479" s="100"/>
    </row>
    <row r="480" spans="24:43">
      <c r="X480" s="114" t="s">
        <v>14181</v>
      </c>
      <c r="Y480" s="115">
        <v>930</v>
      </c>
      <c r="Z480" s="116">
        <f t="shared" si="40"/>
        <v>930</v>
      </c>
      <c r="AA480" s="114" t="s">
        <v>2229</v>
      </c>
      <c r="AB480" s="117">
        <f t="shared" si="41"/>
        <v>930</v>
      </c>
      <c r="AC480" s="114" t="s">
        <v>2228</v>
      </c>
      <c r="AD480" s="117">
        <f t="shared" si="42"/>
        <v>0</v>
      </c>
      <c r="AE480" s="114" t="s">
        <v>2227</v>
      </c>
      <c r="AF480" s="117">
        <f t="shared" si="43"/>
        <v>0</v>
      </c>
      <c r="AG480" s="114" t="s">
        <v>2226</v>
      </c>
      <c r="AH480" s="116">
        <v>37.200000000000003</v>
      </c>
      <c r="AI480" s="100"/>
      <c r="AJ480" s="100"/>
      <c r="AK480" s="100"/>
      <c r="AL480" s="100"/>
      <c r="AM480" s="100"/>
      <c r="AN480" s="100"/>
      <c r="AO480" s="100"/>
      <c r="AP480" s="100"/>
      <c r="AQ480" s="100"/>
    </row>
    <row r="481" spans="24:43">
      <c r="X481" s="114" t="s">
        <v>14182</v>
      </c>
      <c r="Y481" s="115">
        <v>105</v>
      </c>
      <c r="Z481" s="116">
        <f t="shared" si="40"/>
        <v>105</v>
      </c>
      <c r="AA481" s="114" t="s">
        <v>2229</v>
      </c>
      <c r="AB481" s="117">
        <f t="shared" si="41"/>
        <v>105</v>
      </c>
      <c r="AC481" s="114" t="s">
        <v>2228</v>
      </c>
      <c r="AD481" s="117">
        <f t="shared" si="42"/>
        <v>0</v>
      </c>
      <c r="AE481" s="114" t="s">
        <v>2227</v>
      </c>
      <c r="AF481" s="117">
        <f t="shared" si="43"/>
        <v>0</v>
      </c>
      <c r="AG481" s="114" t="s">
        <v>2226</v>
      </c>
      <c r="AH481" s="116">
        <v>4.2</v>
      </c>
      <c r="AI481" s="100"/>
      <c r="AJ481" s="100"/>
      <c r="AK481" s="100"/>
      <c r="AL481" s="100"/>
      <c r="AM481" s="100"/>
      <c r="AN481" s="100"/>
      <c r="AO481" s="100"/>
      <c r="AP481" s="100"/>
      <c r="AQ481" s="100"/>
    </row>
    <row r="482" spans="24:43">
      <c r="X482" s="114" t="s">
        <v>14183</v>
      </c>
      <c r="Y482" s="115">
        <v>60</v>
      </c>
      <c r="Z482" s="116">
        <f t="shared" si="40"/>
        <v>60</v>
      </c>
      <c r="AA482" s="114" t="s">
        <v>2229</v>
      </c>
      <c r="AB482" s="117">
        <f t="shared" si="41"/>
        <v>60</v>
      </c>
      <c r="AC482" s="114" t="s">
        <v>2228</v>
      </c>
      <c r="AD482" s="117">
        <f t="shared" si="42"/>
        <v>0</v>
      </c>
      <c r="AE482" s="114" t="s">
        <v>2227</v>
      </c>
      <c r="AF482" s="117">
        <f t="shared" si="43"/>
        <v>0</v>
      </c>
      <c r="AG482" s="114" t="s">
        <v>2226</v>
      </c>
      <c r="AH482" s="116">
        <v>2.4</v>
      </c>
      <c r="AI482" s="100"/>
      <c r="AJ482" s="100"/>
      <c r="AK482" s="100"/>
      <c r="AL482" s="100"/>
      <c r="AM482" s="100"/>
      <c r="AN482" s="100"/>
      <c r="AO482" s="100"/>
      <c r="AP482" s="100"/>
      <c r="AQ482" s="100"/>
    </row>
    <row r="483" spans="24:43">
      <c r="X483" s="114" t="s">
        <v>14184</v>
      </c>
      <c r="Y483" s="115">
        <v>385</v>
      </c>
      <c r="Z483" s="116">
        <f t="shared" si="40"/>
        <v>385</v>
      </c>
      <c r="AA483" s="114" t="s">
        <v>2229</v>
      </c>
      <c r="AB483" s="117">
        <f t="shared" si="41"/>
        <v>385</v>
      </c>
      <c r="AC483" s="114" t="s">
        <v>2228</v>
      </c>
      <c r="AD483" s="117">
        <f t="shared" si="42"/>
        <v>0</v>
      </c>
      <c r="AE483" s="114" t="s">
        <v>2227</v>
      </c>
      <c r="AF483" s="117">
        <f t="shared" si="43"/>
        <v>0</v>
      </c>
      <c r="AG483" s="114" t="s">
        <v>2226</v>
      </c>
      <c r="AH483" s="116">
        <v>15.4</v>
      </c>
      <c r="AI483" s="100"/>
      <c r="AJ483" s="100"/>
      <c r="AK483" s="100"/>
      <c r="AL483" s="100"/>
      <c r="AM483" s="100"/>
      <c r="AN483" s="100"/>
      <c r="AO483" s="100"/>
      <c r="AP483" s="100"/>
      <c r="AQ483" s="100"/>
    </row>
    <row r="484" spans="24:43">
      <c r="X484" s="114" t="s">
        <v>14185</v>
      </c>
      <c r="Y484" s="115">
        <v>250</v>
      </c>
      <c r="Z484" s="116">
        <f t="shared" si="40"/>
        <v>250</v>
      </c>
      <c r="AA484" s="114" t="s">
        <v>2229</v>
      </c>
      <c r="AB484" s="117">
        <f t="shared" si="41"/>
        <v>250</v>
      </c>
      <c r="AC484" s="114" t="s">
        <v>2228</v>
      </c>
      <c r="AD484" s="117">
        <f t="shared" si="42"/>
        <v>0</v>
      </c>
      <c r="AE484" s="114" t="s">
        <v>2227</v>
      </c>
      <c r="AF484" s="117">
        <f t="shared" si="43"/>
        <v>0</v>
      </c>
      <c r="AG484" s="114" t="s">
        <v>2226</v>
      </c>
      <c r="AH484" s="116">
        <v>10</v>
      </c>
      <c r="AI484" s="100"/>
      <c r="AJ484" s="100"/>
      <c r="AK484" s="100"/>
      <c r="AL484" s="100"/>
      <c r="AM484" s="100"/>
      <c r="AN484" s="100"/>
      <c r="AO484" s="100"/>
      <c r="AP484" s="100"/>
      <c r="AQ484" s="100"/>
    </row>
    <row r="485" spans="24:43">
      <c r="X485" s="114" t="s">
        <v>14186</v>
      </c>
      <c r="Y485" s="115">
        <v>1500</v>
      </c>
      <c r="Z485" s="116">
        <f t="shared" si="40"/>
        <v>1500</v>
      </c>
      <c r="AA485" s="114" t="s">
        <v>2229</v>
      </c>
      <c r="AB485" s="117">
        <f t="shared" si="41"/>
        <v>1500</v>
      </c>
      <c r="AC485" s="114" t="s">
        <v>2228</v>
      </c>
      <c r="AD485" s="117">
        <f t="shared" si="42"/>
        <v>0</v>
      </c>
      <c r="AE485" s="114" t="s">
        <v>2227</v>
      </c>
      <c r="AF485" s="117">
        <f t="shared" si="43"/>
        <v>0</v>
      </c>
      <c r="AG485" s="114" t="s">
        <v>2226</v>
      </c>
      <c r="AH485" s="116">
        <v>60</v>
      </c>
      <c r="AI485" s="100"/>
      <c r="AJ485" s="100"/>
      <c r="AK485" s="100"/>
      <c r="AL485" s="100"/>
      <c r="AM485" s="100"/>
      <c r="AN485" s="100"/>
      <c r="AO485" s="100"/>
      <c r="AP485" s="100"/>
      <c r="AQ485" s="100"/>
    </row>
    <row r="486" spans="24:43">
      <c r="X486" s="114" t="s">
        <v>14187</v>
      </c>
      <c r="Y486" s="115">
        <v>900</v>
      </c>
      <c r="Z486" s="116">
        <f t="shared" si="40"/>
        <v>900</v>
      </c>
      <c r="AA486" s="114" t="s">
        <v>2229</v>
      </c>
      <c r="AB486" s="117">
        <f t="shared" si="41"/>
        <v>900</v>
      </c>
      <c r="AC486" s="114" t="s">
        <v>2228</v>
      </c>
      <c r="AD486" s="117">
        <f t="shared" si="42"/>
        <v>0</v>
      </c>
      <c r="AE486" s="114" t="s">
        <v>2227</v>
      </c>
      <c r="AF486" s="117">
        <f t="shared" si="43"/>
        <v>0</v>
      </c>
      <c r="AG486" s="114" t="s">
        <v>2226</v>
      </c>
      <c r="AH486" s="116">
        <v>36</v>
      </c>
      <c r="AI486" s="100"/>
      <c r="AJ486" s="100"/>
      <c r="AK486" s="100"/>
      <c r="AL486" s="100"/>
      <c r="AM486" s="100"/>
      <c r="AN486" s="100"/>
      <c r="AO486" s="100"/>
      <c r="AP486" s="100"/>
      <c r="AQ486" s="100"/>
    </row>
    <row r="487" spans="24:43">
      <c r="X487" s="114" t="s">
        <v>14188</v>
      </c>
      <c r="Y487" s="115">
        <v>61750.25</v>
      </c>
      <c r="Z487" s="116">
        <f t="shared" si="40"/>
        <v>61750.25</v>
      </c>
      <c r="AA487" s="114" t="s">
        <v>2229</v>
      </c>
      <c r="AB487" s="117">
        <f t="shared" si="41"/>
        <v>61750</v>
      </c>
      <c r="AC487" s="114" t="s">
        <v>2228</v>
      </c>
      <c r="AD487" s="117">
        <f t="shared" si="42"/>
        <v>2</v>
      </c>
      <c r="AE487" s="114" t="s">
        <v>2227</v>
      </c>
      <c r="AF487" s="117">
        <f t="shared" si="43"/>
        <v>5</v>
      </c>
      <c r="AG487" s="114" t="s">
        <v>2226</v>
      </c>
      <c r="AH487" s="116">
        <v>2470.0100000000002</v>
      </c>
      <c r="AI487" s="100"/>
      <c r="AJ487" s="100"/>
      <c r="AK487" s="100"/>
      <c r="AL487" s="100"/>
      <c r="AM487" s="100"/>
      <c r="AN487" s="100"/>
      <c r="AO487" s="100"/>
      <c r="AP487" s="100"/>
      <c r="AQ487" s="100"/>
    </row>
    <row r="488" spans="24:43">
      <c r="X488" s="114" t="s">
        <v>14189</v>
      </c>
      <c r="Y488" s="115">
        <v>16525.125</v>
      </c>
      <c r="Z488" s="116">
        <f t="shared" si="40"/>
        <v>16525.125</v>
      </c>
      <c r="AA488" s="114" t="s">
        <v>2229</v>
      </c>
      <c r="AB488" s="117">
        <f t="shared" si="41"/>
        <v>16525</v>
      </c>
      <c r="AC488" s="114" t="s">
        <v>2228</v>
      </c>
      <c r="AD488" s="117">
        <f t="shared" si="42"/>
        <v>1</v>
      </c>
      <c r="AE488" s="114" t="s">
        <v>2227</v>
      </c>
      <c r="AF488" s="117">
        <f t="shared" si="43"/>
        <v>2.5</v>
      </c>
      <c r="AG488" s="114" t="s">
        <v>2226</v>
      </c>
      <c r="AH488" s="116">
        <v>661</v>
      </c>
      <c r="AI488" s="100"/>
      <c r="AJ488" s="100"/>
      <c r="AK488" s="100"/>
      <c r="AL488" s="100"/>
      <c r="AM488" s="100"/>
      <c r="AN488" s="100"/>
      <c r="AO488" s="100"/>
      <c r="AP488" s="100"/>
      <c r="AQ488" s="100"/>
    </row>
    <row r="489" spans="24:43">
      <c r="X489" s="114" t="s">
        <v>14190</v>
      </c>
      <c r="Y489" s="115">
        <v>4037.625</v>
      </c>
      <c r="Z489" s="116">
        <f t="shared" si="40"/>
        <v>4037.625</v>
      </c>
      <c r="AA489" s="114" t="s">
        <v>2229</v>
      </c>
      <c r="AB489" s="117">
        <f t="shared" si="41"/>
        <v>4037</v>
      </c>
      <c r="AC489" s="114" t="s">
        <v>2228</v>
      </c>
      <c r="AD489" s="117">
        <f t="shared" si="42"/>
        <v>6</v>
      </c>
      <c r="AE489" s="114" t="s">
        <v>2227</v>
      </c>
      <c r="AF489" s="117">
        <f t="shared" si="43"/>
        <v>2.5</v>
      </c>
      <c r="AG489" s="114" t="s">
        <v>2226</v>
      </c>
      <c r="AH489" s="116">
        <v>161.5</v>
      </c>
      <c r="AI489" s="100"/>
      <c r="AJ489" s="100"/>
      <c r="AK489" s="100"/>
      <c r="AL489" s="100"/>
      <c r="AM489" s="100"/>
      <c r="AN489" s="100"/>
      <c r="AO489" s="100"/>
      <c r="AP489" s="100"/>
      <c r="AQ489" s="100"/>
    </row>
    <row r="490" spans="24:43">
      <c r="X490" s="114" t="s">
        <v>14191</v>
      </c>
      <c r="Y490" s="115">
        <v>3762.625</v>
      </c>
      <c r="Z490" s="116">
        <f t="shared" si="40"/>
        <v>3762.625</v>
      </c>
      <c r="AA490" s="114" t="s">
        <v>2229</v>
      </c>
      <c r="AB490" s="117">
        <f t="shared" si="41"/>
        <v>3762</v>
      </c>
      <c r="AC490" s="114" t="s">
        <v>2228</v>
      </c>
      <c r="AD490" s="117">
        <f t="shared" si="42"/>
        <v>6</v>
      </c>
      <c r="AE490" s="114" t="s">
        <v>2227</v>
      </c>
      <c r="AF490" s="117">
        <f t="shared" si="43"/>
        <v>2.5</v>
      </c>
      <c r="AG490" s="114" t="s">
        <v>2226</v>
      </c>
      <c r="AH490" s="116">
        <v>150.5</v>
      </c>
      <c r="AI490" s="100"/>
      <c r="AJ490" s="100"/>
      <c r="AK490" s="100"/>
      <c r="AL490" s="100"/>
      <c r="AM490" s="100"/>
      <c r="AN490" s="100"/>
      <c r="AO490" s="100"/>
      <c r="AP490" s="100"/>
      <c r="AQ490" s="100"/>
    </row>
    <row r="491" spans="24:43">
      <c r="X491" s="114" t="s">
        <v>14192</v>
      </c>
      <c r="Y491" s="115">
        <v>225.125</v>
      </c>
      <c r="Z491" s="116">
        <f t="shared" si="40"/>
        <v>225.125</v>
      </c>
      <c r="AA491" s="114" t="s">
        <v>2229</v>
      </c>
      <c r="AB491" s="117">
        <f t="shared" si="41"/>
        <v>225</v>
      </c>
      <c r="AC491" s="114" t="s">
        <v>2228</v>
      </c>
      <c r="AD491" s="117">
        <f t="shared" si="42"/>
        <v>1</v>
      </c>
      <c r="AE491" s="114" t="s">
        <v>2227</v>
      </c>
      <c r="AF491" s="117">
        <f t="shared" si="43"/>
        <v>2.5</v>
      </c>
      <c r="AG491" s="114" t="s">
        <v>2226</v>
      </c>
      <c r="AH491" s="116">
        <v>9</v>
      </c>
      <c r="AI491" s="100"/>
      <c r="AJ491" s="100"/>
      <c r="AK491" s="100"/>
      <c r="AL491" s="100"/>
      <c r="AM491" s="100"/>
      <c r="AN491" s="100"/>
      <c r="AO491" s="100"/>
      <c r="AP491" s="100"/>
      <c r="AQ491" s="100"/>
    </row>
    <row r="492" spans="24:43">
      <c r="X492" s="114" t="s">
        <v>14193</v>
      </c>
      <c r="Y492" s="115">
        <v>60250.25</v>
      </c>
      <c r="Z492" s="116">
        <f t="shared" si="40"/>
        <v>60250.25</v>
      </c>
      <c r="AA492" s="114" t="s">
        <v>2229</v>
      </c>
      <c r="AB492" s="117">
        <f t="shared" si="41"/>
        <v>60250</v>
      </c>
      <c r="AC492" s="114" t="s">
        <v>2228</v>
      </c>
      <c r="AD492" s="117">
        <f t="shared" si="42"/>
        <v>2</v>
      </c>
      <c r="AE492" s="114" t="s">
        <v>2227</v>
      </c>
      <c r="AF492" s="117">
        <f t="shared" si="43"/>
        <v>5</v>
      </c>
      <c r="AG492" s="114" t="s">
        <v>2226</v>
      </c>
      <c r="AH492" s="116">
        <v>2410.0100000000002</v>
      </c>
      <c r="AI492" s="100"/>
      <c r="AJ492" s="100"/>
      <c r="AK492" s="100"/>
      <c r="AL492" s="100"/>
      <c r="AM492" s="100"/>
      <c r="AN492" s="100"/>
      <c r="AO492" s="100"/>
      <c r="AP492" s="100"/>
      <c r="AQ492" s="100"/>
    </row>
    <row r="493" spans="24:43">
      <c r="X493" s="114" t="s">
        <v>14194</v>
      </c>
      <c r="Y493" s="115">
        <v>285</v>
      </c>
      <c r="Z493" s="116">
        <f t="shared" si="40"/>
        <v>285</v>
      </c>
      <c r="AA493" s="114" t="s">
        <v>2229</v>
      </c>
      <c r="AB493" s="117">
        <f t="shared" si="41"/>
        <v>285</v>
      </c>
      <c r="AC493" s="114" t="s">
        <v>2228</v>
      </c>
      <c r="AD493" s="117">
        <f t="shared" si="42"/>
        <v>0</v>
      </c>
      <c r="AE493" s="114" t="s">
        <v>2227</v>
      </c>
      <c r="AF493" s="117">
        <f t="shared" si="43"/>
        <v>0</v>
      </c>
      <c r="AG493" s="114" t="s">
        <v>2226</v>
      </c>
      <c r="AH493" s="116">
        <v>11.4</v>
      </c>
      <c r="AI493" s="100"/>
      <c r="AJ493" s="100"/>
      <c r="AK493" s="100"/>
      <c r="AL493" s="100"/>
      <c r="AM493" s="100"/>
      <c r="AN493" s="100"/>
      <c r="AO493" s="100"/>
      <c r="AP493" s="100"/>
      <c r="AQ493" s="100"/>
    </row>
    <row r="494" spans="24:43">
      <c r="X494" s="114" t="s">
        <v>14195</v>
      </c>
      <c r="Y494" s="115">
        <v>50</v>
      </c>
      <c r="Z494" s="116">
        <f t="shared" si="40"/>
        <v>50</v>
      </c>
      <c r="AA494" s="114" t="s">
        <v>2229</v>
      </c>
      <c r="AB494" s="117">
        <f t="shared" si="41"/>
        <v>50</v>
      </c>
      <c r="AC494" s="114" t="s">
        <v>2228</v>
      </c>
      <c r="AD494" s="117">
        <f t="shared" si="42"/>
        <v>0</v>
      </c>
      <c r="AE494" s="114" t="s">
        <v>2227</v>
      </c>
      <c r="AF494" s="117">
        <f t="shared" si="43"/>
        <v>0</v>
      </c>
      <c r="AG494" s="114" t="s">
        <v>2226</v>
      </c>
      <c r="AH494" s="116">
        <v>2</v>
      </c>
      <c r="AI494" s="100"/>
      <c r="AJ494" s="100"/>
      <c r="AK494" s="100"/>
      <c r="AL494" s="100"/>
      <c r="AM494" s="100"/>
      <c r="AN494" s="100"/>
      <c r="AO494" s="100"/>
      <c r="AP494" s="100"/>
      <c r="AQ494" s="100"/>
    </row>
    <row r="495" spans="24:43">
      <c r="X495" s="114" t="s">
        <v>14196</v>
      </c>
      <c r="Y495" s="115">
        <v>225</v>
      </c>
      <c r="Z495" s="116">
        <f t="shared" si="40"/>
        <v>225</v>
      </c>
      <c r="AA495" s="114" t="s">
        <v>2229</v>
      </c>
      <c r="AB495" s="117">
        <f t="shared" si="41"/>
        <v>225</v>
      </c>
      <c r="AC495" s="114" t="s">
        <v>2228</v>
      </c>
      <c r="AD495" s="117">
        <f t="shared" si="42"/>
        <v>0</v>
      </c>
      <c r="AE495" s="114" t="s">
        <v>2227</v>
      </c>
      <c r="AF495" s="117">
        <f t="shared" si="43"/>
        <v>0</v>
      </c>
      <c r="AG495" s="114" t="s">
        <v>2226</v>
      </c>
      <c r="AH495" s="116">
        <v>9</v>
      </c>
      <c r="AI495" s="100"/>
      <c r="AJ495" s="100"/>
      <c r="AK495" s="100"/>
      <c r="AL495" s="100"/>
      <c r="AM495" s="100"/>
      <c r="AN495" s="100"/>
      <c r="AO495" s="100"/>
      <c r="AP495" s="100"/>
      <c r="AQ495" s="100"/>
    </row>
    <row r="496" spans="24:43">
      <c r="X496" s="114" t="s">
        <v>14197</v>
      </c>
      <c r="Y496" s="115">
        <v>600</v>
      </c>
      <c r="Z496" s="116">
        <f t="shared" si="40"/>
        <v>600</v>
      </c>
      <c r="AA496" s="114" t="s">
        <v>2229</v>
      </c>
      <c r="AB496" s="117">
        <f t="shared" si="41"/>
        <v>600</v>
      </c>
      <c r="AC496" s="114" t="s">
        <v>2228</v>
      </c>
      <c r="AD496" s="117">
        <f t="shared" si="42"/>
        <v>0</v>
      </c>
      <c r="AE496" s="114" t="s">
        <v>2227</v>
      </c>
      <c r="AF496" s="117">
        <f t="shared" si="43"/>
        <v>0</v>
      </c>
      <c r="AG496" s="114" t="s">
        <v>2226</v>
      </c>
      <c r="AH496" s="116">
        <v>24</v>
      </c>
      <c r="AI496" s="100"/>
      <c r="AJ496" s="100"/>
      <c r="AK496" s="100"/>
      <c r="AL496" s="100"/>
      <c r="AM496" s="100"/>
      <c r="AN496" s="100"/>
      <c r="AO496" s="100"/>
      <c r="AP496" s="100"/>
      <c r="AQ496" s="100"/>
    </row>
    <row r="497" spans="24:43">
      <c r="X497" s="114" t="s">
        <v>14198</v>
      </c>
      <c r="Y497" s="115">
        <v>1425</v>
      </c>
      <c r="Z497" s="116">
        <f t="shared" si="40"/>
        <v>1425</v>
      </c>
      <c r="AA497" s="114" t="s">
        <v>2229</v>
      </c>
      <c r="AB497" s="117">
        <f t="shared" si="41"/>
        <v>1425</v>
      </c>
      <c r="AC497" s="114" t="s">
        <v>2228</v>
      </c>
      <c r="AD497" s="117">
        <f t="shared" si="42"/>
        <v>0</v>
      </c>
      <c r="AE497" s="114" t="s">
        <v>2227</v>
      </c>
      <c r="AF497" s="117">
        <f t="shared" si="43"/>
        <v>0</v>
      </c>
      <c r="AG497" s="114" t="s">
        <v>2226</v>
      </c>
      <c r="AH497" s="116">
        <v>57</v>
      </c>
      <c r="AI497" s="100"/>
      <c r="AJ497" s="100"/>
      <c r="AK497" s="100"/>
      <c r="AL497" s="100"/>
      <c r="AM497" s="100"/>
      <c r="AN497" s="100"/>
      <c r="AO497" s="100"/>
      <c r="AP497" s="100"/>
      <c r="AQ497" s="100"/>
    </row>
    <row r="498" spans="24:43">
      <c r="X498" s="114" t="s">
        <v>14199</v>
      </c>
      <c r="Y498" s="115">
        <v>490</v>
      </c>
      <c r="Z498" s="116">
        <f t="shared" si="40"/>
        <v>490</v>
      </c>
      <c r="AA498" s="114" t="s">
        <v>2229</v>
      </c>
      <c r="AB498" s="117">
        <f t="shared" si="41"/>
        <v>490</v>
      </c>
      <c r="AC498" s="114" t="s">
        <v>2228</v>
      </c>
      <c r="AD498" s="117">
        <f t="shared" si="42"/>
        <v>0</v>
      </c>
      <c r="AE498" s="114" t="s">
        <v>2227</v>
      </c>
      <c r="AF498" s="117">
        <f t="shared" si="43"/>
        <v>0</v>
      </c>
      <c r="AG498" s="114" t="s">
        <v>2226</v>
      </c>
      <c r="AH498" s="116">
        <v>19.600000000000001</v>
      </c>
      <c r="AI498" s="100"/>
      <c r="AJ498" s="100"/>
      <c r="AK498" s="100"/>
      <c r="AL498" s="100"/>
      <c r="AM498" s="100"/>
      <c r="AN498" s="100"/>
      <c r="AO498" s="100"/>
      <c r="AP498" s="100"/>
      <c r="AQ498" s="100"/>
    </row>
    <row r="499" spans="24:43">
      <c r="X499" s="114" t="s">
        <v>14200</v>
      </c>
      <c r="Y499" s="115">
        <v>1090</v>
      </c>
      <c r="Z499" s="116">
        <f t="shared" si="40"/>
        <v>1090</v>
      </c>
      <c r="AA499" s="114" t="s">
        <v>2229</v>
      </c>
      <c r="AB499" s="117">
        <f t="shared" si="41"/>
        <v>1090</v>
      </c>
      <c r="AC499" s="114" t="s">
        <v>2228</v>
      </c>
      <c r="AD499" s="117">
        <f t="shared" si="42"/>
        <v>0</v>
      </c>
      <c r="AE499" s="114" t="s">
        <v>2227</v>
      </c>
      <c r="AF499" s="117">
        <f t="shared" si="43"/>
        <v>0</v>
      </c>
      <c r="AG499" s="114" t="s">
        <v>2226</v>
      </c>
      <c r="AH499" s="116">
        <v>43.6</v>
      </c>
      <c r="AI499" s="100"/>
      <c r="AJ499" s="100"/>
      <c r="AK499" s="100"/>
      <c r="AL499" s="100"/>
      <c r="AM499" s="100"/>
      <c r="AN499" s="100"/>
      <c r="AO499" s="100"/>
      <c r="AP499" s="100"/>
      <c r="AQ499" s="100"/>
    </row>
    <row r="500" spans="24:43">
      <c r="X500" s="114" t="s">
        <v>14201</v>
      </c>
      <c r="Y500" s="115">
        <v>2670</v>
      </c>
      <c r="Z500" s="116">
        <f t="shared" si="40"/>
        <v>2670</v>
      </c>
      <c r="AA500" s="114" t="s">
        <v>2229</v>
      </c>
      <c r="AB500" s="117">
        <f t="shared" si="41"/>
        <v>2670</v>
      </c>
      <c r="AC500" s="114" t="s">
        <v>2228</v>
      </c>
      <c r="AD500" s="117">
        <f t="shared" si="42"/>
        <v>0</v>
      </c>
      <c r="AE500" s="114" t="s">
        <v>2227</v>
      </c>
      <c r="AF500" s="117">
        <f t="shared" si="43"/>
        <v>0</v>
      </c>
      <c r="AG500" s="114" t="s">
        <v>2226</v>
      </c>
      <c r="AH500" s="116">
        <v>106.8</v>
      </c>
      <c r="AI500" s="100"/>
      <c r="AJ500" s="100"/>
      <c r="AK500" s="100"/>
      <c r="AL500" s="100"/>
      <c r="AM500" s="100"/>
      <c r="AN500" s="100"/>
      <c r="AO500" s="100"/>
      <c r="AP500" s="100"/>
      <c r="AQ500" s="100"/>
    </row>
    <row r="501" spans="24:43">
      <c r="X501" s="114" t="s">
        <v>14202</v>
      </c>
      <c r="Y501" s="115">
        <v>6000</v>
      </c>
      <c r="Z501" s="116">
        <f t="shared" si="40"/>
        <v>6000</v>
      </c>
      <c r="AA501" s="114" t="s">
        <v>2229</v>
      </c>
      <c r="AB501" s="117">
        <f t="shared" si="41"/>
        <v>6000</v>
      </c>
      <c r="AC501" s="114" t="s">
        <v>2228</v>
      </c>
      <c r="AD501" s="117">
        <f t="shared" si="42"/>
        <v>0</v>
      </c>
      <c r="AE501" s="114" t="s">
        <v>2227</v>
      </c>
      <c r="AF501" s="117">
        <f t="shared" si="43"/>
        <v>0</v>
      </c>
      <c r="AG501" s="114" t="s">
        <v>2226</v>
      </c>
      <c r="AH501" s="116">
        <v>240</v>
      </c>
      <c r="AI501" s="100"/>
      <c r="AJ501" s="100"/>
      <c r="AK501" s="100"/>
      <c r="AL501" s="100"/>
      <c r="AM501" s="100"/>
      <c r="AN501" s="100"/>
      <c r="AO501" s="100"/>
      <c r="AP501" s="100"/>
      <c r="AQ501" s="100"/>
    </row>
    <row r="502" spans="24:43">
      <c r="X502" s="114" t="s">
        <v>14203</v>
      </c>
      <c r="Y502" s="115">
        <v>4437.625</v>
      </c>
      <c r="Z502" s="116">
        <f t="shared" si="40"/>
        <v>4437.625</v>
      </c>
      <c r="AA502" s="114" t="s">
        <v>2229</v>
      </c>
      <c r="AB502" s="117">
        <f t="shared" si="41"/>
        <v>4437</v>
      </c>
      <c r="AC502" s="114" t="s">
        <v>2228</v>
      </c>
      <c r="AD502" s="117">
        <f t="shared" si="42"/>
        <v>6</v>
      </c>
      <c r="AE502" s="114" t="s">
        <v>2227</v>
      </c>
      <c r="AF502" s="117">
        <f t="shared" si="43"/>
        <v>2.5</v>
      </c>
      <c r="AG502" s="114" t="s">
        <v>2226</v>
      </c>
      <c r="AH502" s="116">
        <v>177.5</v>
      </c>
      <c r="AI502" s="100"/>
      <c r="AJ502" s="100"/>
      <c r="AK502" s="100"/>
      <c r="AL502" s="100"/>
      <c r="AM502" s="100"/>
      <c r="AN502" s="100"/>
      <c r="AO502" s="100"/>
      <c r="AP502" s="100"/>
      <c r="AQ502" s="100"/>
    </row>
    <row r="503" spans="24:43">
      <c r="X503" s="114" t="s">
        <v>14204</v>
      </c>
      <c r="Y503" s="115">
        <v>4237.625</v>
      </c>
      <c r="Z503" s="116">
        <f t="shared" si="40"/>
        <v>4237.625</v>
      </c>
      <c r="AA503" s="114" t="s">
        <v>2229</v>
      </c>
      <c r="AB503" s="117">
        <f t="shared" si="41"/>
        <v>4237</v>
      </c>
      <c r="AC503" s="114" t="s">
        <v>2228</v>
      </c>
      <c r="AD503" s="117">
        <f t="shared" si="42"/>
        <v>6</v>
      </c>
      <c r="AE503" s="114" t="s">
        <v>2227</v>
      </c>
      <c r="AF503" s="117">
        <f t="shared" si="43"/>
        <v>2.5</v>
      </c>
      <c r="AG503" s="114" t="s">
        <v>2226</v>
      </c>
      <c r="AH503" s="116">
        <v>169.5</v>
      </c>
      <c r="AI503" s="100"/>
      <c r="AJ503" s="100"/>
      <c r="AK503" s="100"/>
      <c r="AL503" s="100"/>
      <c r="AM503" s="100"/>
      <c r="AN503" s="100"/>
      <c r="AO503" s="100"/>
      <c r="AP503" s="100"/>
      <c r="AQ503" s="100"/>
    </row>
    <row r="504" spans="24:43">
      <c r="X504" s="114" t="s">
        <v>14205</v>
      </c>
      <c r="Y504" s="115">
        <v>4687.625</v>
      </c>
      <c r="Z504" s="116">
        <f t="shared" si="40"/>
        <v>4687.625</v>
      </c>
      <c r="AA504" s="114" t="s">
        <v>2229</v>
      </c>
      <c r="AB504" s="117">
        <f t="shared" si="41"/>
        <v>4687</v>
      </c>
      <c r="AC504" s="114" t="s">
        <v>2228</v>
      </c>
      <c r="AD504" s="117">
        <f t="shared" si="42"/>
        <v>6</v>
      </c>
      <c r="AE504" s="114" t="s">
        <v>2227</v>
      </c>
      <c r="AF504" s="117">
        <f t="shared" si="43"/>
        <v>2.5</v>
      </c>
      <c r="AG504" s="114" t="s">
        <v>2226</v>
      </c>
      <c r="AH504" s="116">
        <v>187.5</v>
      </c>
      <c r="AI504" s="100"/>
      <c r="AJ504" s="100"/>
      <c r="AK504" s="100"/>
      <c r="AL504" s="100"/>
      <c r="AM504" s="100"/>
      <c r="AN504" s="100"/>
      <c r="AO504" s="100"/>
      <c r="AP504" s="100"/>
      <c r="AQ504" s="100"/>
    </row>
    <row r="505" spans="24:43">
      <c r="X505" s="114" t="s">
        <v>14206</v>
      </c>
      <c r="Y505" s="115">
        <v>18625.125</v>
      </c>
      <c r="Z505" s="116">
        <f t="shared" si="40"/>
        <v>18625.125</v>
      </c>
      <c r="AA505" s="114" t="s">
        <v>2229</v>
      </c>
      <c r="AB505" s="117">
        <f t="shared" si="41"/>
        <v>18625</v>
      </c>
      <c r="AC505" s="114" t="s">
        <v>2228</v>
      </c>
      <c r="AD505" s="117">
        <f t="shared" si="42"/>
        <v>1</v>
      </c>
      <c r="AE505" s="114" t="s">
        <v>2227</v>
      </c>
      <c r="AF505" s="117">
        <f t="shared" si="43"/>
        <v>2.5</v>
      </c>
      <c r="AG505" s="114" t="s">
        <v>2226</v>
      </c>
      <c r="AH505" s="116">
        <v>745</v>
      </c>
      <c r="AI505" s="100"/>
      <c r="AJ505" s="100"/>
      <c r="AK505" s="100"/>
      <c r="AL505" s="100"/>
      <c r="AM505" s="100"/>
      <c r="AN505" s="100"/>
      <c r="AO505" s="100"/>
      <c r="AP505" s="100"/>
      <c r="AQ505" s="100"/>
    </row>
    <row r="506" spans="24:43">
      <c r="X506" s="114" t="s">
        <v>14207</v>
      </c>
      <c r="Y506" s="115">
        <v>640</v>
      </c>
      <c r="Z506" s="116">
        <f t="shared" si="40"/>
        <v>640</v>
      </c>
      <c r="AA506" s="114" t="s">
        <v>2229</v>
      </c>
      <c r="AB506" s="117">
        <f t="shared" si="41"/>
        <v>640</v>
      </c>
      <c r="AC506" s="114" t="s">
        <v>2228</v>
      </c>
      <c r="AD506" s="117">
        <f t="shared" si="42"/>
        <v>0</v>
      </c>
      <c r="AE506" s="114" t="s">
        <v>2227</v>
      </c>
      <c r="AF506" s="117">
        <f t="shared" si="43"/>
        <v>0</v>
      </c>
      <c r="AG506" s="114" t="s">
        <v>2226</v>
      </c>
      <c r="AH506" s="116">
        <v>25.6</v>
      </c>
      <c r="AI506" s="100"/>
      <c r="AJ506" s="100"/>
      <c r="AK506" s="100"/>
      <c r="AL506" s="100"/>
      <c r="AM506" s="100"/>
      <c r="AN506" s="100"/>
      <c r="AO506" s="100"/>
      <c r="AP506" s="100"/>
      <c r="AQ506" s="100"/>
    </row>
    <row r="507" spans="24:43">
      <c r="X507" s="114" t="s">
        <v>14208</v>
      </c>
      <c r="Y507" s="115">
        <v>300</v>
      </c>
      <c r="Z507" s="116">
        <f t="shared" si="40"/>
        <v>300</v>
      </c>
      <c r="AA507" s="114" t="s">
        <v>2229</v>
      </c>
      <c r="AB507" s="117">
        <f t="shared" si="41"/>
        <v>300</v>
      </c>
      <c r="AC507" s="114" t="s">
        <v>2228</v>
      </c>
      <c r="AD507" s="117">
        <f t="shared" si="42"/>
        <v>0</v>
      </c>
      <c r="AE507" s="114" t="s">
        <v>2227</v>
      </c>
      <c r="AF507" s="117">
        <f t="shared" si="43"/>
        <v>0</v>
      </c>
      <c r="AG507" s="114" t="s">
        <v>2226</v>
      </c>
      <c r="AH507" s="116">
        <v>12</v>
      </c>
      <c r="AI507" s="100"/>
      <c r="AJ507" s="100"/>
      <c r="AK507" s="100"/>
      <c r="AL507" s="100"/>
      <c r="AM507" s="100"/>
      <c r="AN507" s="100"/>
      <c r="AO507" s="100"/>
      <c r="AP507" s="100"/>
      <c r="AQ507" s="100"/>
    </row>
    <row r="508" spans="24:43">
      <c r="X508" s="114" t="s">
        <v>14209</v>
      </c>
      <c r="Y508" s="115">
        <v>16575.125</v>
      </c>
      <c r="Z508" s="116">
        <f t="shared" si="40"/>
        <v>16575.125</v>
      </c>
      <c r="AA508" s="114" t="s">
        <v>2229</v>
      </c>
      <c r="AB508" s="117">
        <f t="shared" si="41"/>
        <v>16575</v>
      </c>
      <c r="AC508" s="114" t="s">
        <v>2228</v>
      </c>
      <c r="AD508" s="117">
        <f t="shared" si="42"/>
        <v>1</v>
      </c>
      <c r="AE508" s="114" t="s">
        <v>2227</v>
      </c>
      <c r="AF508" s="117">
        <f t="shared" si="43"/>
        <v>2.5</v>
      </c>
      <c r="AG508" s="114" t="s">
        <v>2226</v>
      </c>
      <c r="AH508" s="116">
        <v>663</v>
      </c>
      <c r="AI508" s="100"/>
      <c r="AJ508" s="100"/>
      <c r="AK508" s="100"/>
      <c r="AL508" s="100"/>
      <c r="AM508" s="100"/>
      <c r="AN508" s="100"/>
      <c r="AO508" s="100"/>
      <c r="AP508" s="100"/>
      <c r="AQ508" s="100"/>
    </row>
    <row r="509" spans="24:43">
      <c r="X509" s="114" t="s">
        <v>14210</v>
      </c>
      <c r="Y509" s="115">
        <v>400</v>
      </c>
      <c r="Z509" s="116">
        <f t="shared" si="40"/>
        <v>400</v>
      </c>
      <c r="AA509" s="114" t="s">
        <v>2229</v>
      </c>
      <c r="AB509" s="117">
        <f t="shared" si="41"/>
        <v>400</v>
      </c>
      <c r="AC509" s="114" t="s">
        <v>2228</v>
      </c>
      <c r="AD509" s="117">
        <f t="shared" si="42"/>
        <v>0</v>
      </c>
      <c r="AE509" s="114" t="s">
        <v>2227</v>
      </c>
      <c r="AF509" s="117">
        <f t="shared" si="43"/>
        <v>0</v>
      </c>
      <c r="AG509" s="114" t="s">
        <v>2226</v>
      </c>
      <c r="AH509" s="116">
        <v>16</v>
      </c>
      <c r="AI509" s="100"/>
      <c r="AJ509" s="100"/>
      <c r="AK509" s="100"/>
      <c r="AL509" s="100"/>
      <c r="AM509" s="100"/>
      <c r="AN509" s="100"/>
      <c r="AO509" s="100"/>
      <c r="AP509" s="100"/>
      <c r="AQ509" s="100"/>
    </row>
    <row r="510" spans="24:43">
      <c r="X510" s="114" t="s">
        <v>14211</v>
      </c>
      <c r="Y510" s="115">
        <v>1200</v>
      </c>
      <c r="Z510" s="116">
        <f t="shared" si="40"/>
        <v>1200</v>
      </c>
      <c r="AA510" s="114" t="s">
        <v>2229</v>
      </c>
      <c r="AB510" s="117">
        <f t="shared" si="41"/>
        <v>1200</v>
      </c>
      <c r="AC510" s="114" t="s">
        <v>2228</v>
      </c>
      <c r="AD510" s="117">
        <f t="shared" si="42"/>
        <v>0</v>
      </c>
      <c r="AE510" s="114" t="s">
        <v>2227</v>
      </c>
      <c r="AF510" s="117">
        <f t="shared" si="43"/>
        <v>0</v>
      </c>
      <c r="AG510" s="114" t="s">
        <v>2226</v>
      </c>
      <c r="AH510" s="116">
        <v>48</v>
      </c>
      <c r="AI510" s="100"/>
      <c r="AJ510" s="100"/>
      <c r="AK510" s="100"/>
      <c r="AL510" s="100"/>
      <c r="AM510" s="100"/>
      <c r="AN510" s="100"/>
      <c r="AO510" s="100"/>
      <c r="AP510" s="100"/>
      <c r="AQ510" s="100"/>
    </row>
    <row r="511" spans="24:43">
      <c r="X511" s="114" t="s">
        <v>14212</v>
      </c>
      <c r="Y511" s="115">
        <v>1380</v>
      </c>
      <c r="Z511" s="116">
        <f t="shared" si="40"/>
        <v>1380</v>
      </c>
      <c r="AA511" s="114" t="s">
        <v>2229</v>
      </c>
      <c r="AB511" s="117">
        <f t="shared" si="41"/>
        <v>1380</v>
      </c>
      <c r="AC511" s="114" t="s">
        <v>2228</v>
      </c>
      <c r="AD511" s="117">
        <f t="shared" si="42"/>
        <v>0</v>
      </c>
      <c r="AE511" s="114" t="s">
        <v>2227</v>
      </c>
      <c r="AF511" s="117">
        <f t="shared" si="43"/>
        <v>0</v>
      </c>
      <c r="AG511" s="114" t="s">
        <v>2226</v>
      </c>
      <c r="AH511" s="116">
        <v>55.2</v>
      </c>
      <c r="AI511" s="100"/>
      <c r="AJ511" s="100"/>
      <c r="AK511" s="100"/>
      <c r="AL511" s="100"/>
      <c r="AM511" s="100"/>
      <c r="AN511" s="100"/>
      <c r="AO511" s="100"/>
      <c r="AP511" s="100"/>
      <c r="AQ511" s="100"/>
    </row>
    <row r="512" spans="24:43">
      <c r="X512" s="114" t="s">
        <v>14213</v>
      </c>
      <c r="Y512" s="115">
        <v>60</v>
      </c>
      <c r="Z512" s="116">
        <f t="shared" si="40"/>
        <v>60</v>
      </c>
      <c r="AA512" s="114" t="s">
        <v>2229</v>
      </c>
      <c r="AB512" s="117">
        <f t="shared" si="41"/>
        <v>60</v>
      </c>
      <c r="AC512" s="114" t="s">
        <v>2228</v>
      </c>
      <c r="AD512" s="117">
        <f t="shared" si="42"/>
        <v>0</v>
      </c>
      <c r="AE512" s="114" t="s">
        <v>2227</v>
      </c>
      <c r="AF512" s="117">
        <f t="shared" si="43"/>
        <v>0</v>
      </c>
      <c r="AG512" s="114" t="s">
        <v>2226</v>
      </c>
      <c r="AH512" s="116">
        <v>2.4</v>
      </c>
      <c r="AI512" s="100"/>
      <c r="AJ512" s="100"/>
      <c r="AK512" s="100"/>
      <c r="AL512" s="100"/>
      <c r="AM512" s="100"/>
      <c r="AN512" s="100"/>
      <c r="AO512" s="100"/>
      <c r="AP512" s="100"/>
      <c r="AQ512" s="100"/>
    </row>
    <row r="513" spans="24:43">
      <c r="X513" s="114" t="s">
        <v>14214</v>
      </c>
      <c r="Y513" s="115">
        <v>290</v>
      </c>
      <c r="Z513" s="116">
        <f t="shared" si="40"/>
        <v>290</v>
      </c>
      <c r="AA513" s="114" t="s">
        <v>2229</v>
      </c>
      <c r="AB513" s="117">
        <f t="shared" si="41"/>
        <v>290</v>
      </c>
      <c r="AC513" s="114" t="s">
        <v>2228</v>
      </c>
      <c r="AD513" s="117">
        <f t="shared" si="42"/>
        <v>0</v>
      </c>
      <c r="AE513" s="114" t="s">
        <v>2227</v>
      </c>
      <c r="AF513" s="117">
        <f t="shared" si="43"/>
        <v>0</v>
      </c>
      <c r="AG513" s="114" t="s">
        <v>2226</v>
      </c>
      <c r="AH513" s="116">
        <v>11.6</v>
      </c>
      <c r="AI513" s="100"/>
      <c r="AJ513" s="100"/>
      <c r="AK513" s="100"/>
      <c r="AL513" s="100"/>
      <c r="AM513" s="100"/>
      <c r="AN513" s="100"/>
      <c r="AO513" s="100"/>
      <c r="AP513" s="100"/>
      <c r="AQ513" s="100"/>
    </row>
    <row r="514" spans="24:43">
      <c r="X514" s="114" t="s">
        <v>14215</v>
      </c>
      <c r="Y514" s="115">
        <v>112500.5</v>
      </c>
      <c r="Z514" s="116">
        <f t="shared" si="40"/>
        <v>112500.5</v>
      </c>
      <c r="AA514" s="114" t="s">
        <v>2229</v>
      </c>
      <c r="AB514" s="117">
        <f t="shared" si="41"/>
        <v>112500</v>
      </c>
      <c r="AC514" s="114" t="s">
        <v>2228</v>
      </c>
      <c r="AD514" s="117">
        <f t="shared" si="42"/>
        <v>5</v>
      </c>
      <c r="AE514" s="114" t="s">
        <v>2227</v>
      </c>
      <c r="AF514" s="117">
        <f t="shared" si="43"/>
        <v>0</v>
      </c>
      <c r="AG514" s="114" t="s">
        <v>2226</v>
      </c>
      <c r="AH514" s="116">
        <v>4500.0200000000004</v>
      </c>
      <c r="AI514" s="100"/>
      <c r="AJ514" s="100"/>
      <c r="AK514" s="100"/>
      <c r="AL514" s="100"/>
      <c r="AM514" s="100"/>
      <c r="AN514" s="100"/>
      <c r="AO514" s="100"/>
      <c r="AP514" s="100"/>
      <c r="AQ514" s="100"/>
    </row>
    <row r="515" spans="24:43">
      <c r="X515" s="114" t="s">
        <v>14216</v>
      </c>
      <c r="Y515" s="115">
        <v>42.5</v>
      </c>
      <c r="Z515" s="116">
        <f t="shared" ref="Z515:Z578" si="44">Y515*$AK$6*$AK$11</f>
        <v>42.5</v>
      </c>
      <c r="AA515" s="114" t="s">
        <v>2229</v>
      </c>
      <c r="AB515" s="117">
        <f t="shared" ref="AB515:AB578" si="45">_xlfn.FLOOR.MATH(Z515,1)</f>
        <v>42</v>
      </c>
      <c r="AC515" s="114" t="s">
        <v>2228</v>
      </c>
      <c r="AD515" s="117">
        <f t="shared" ref="AD515:AD578" si="46">_xlfn.FLOOR.MATH(((Z515-AB515)*10), 1)</f>
        <v>5</v>
      </c>
      <c r="AE515" s="114" t="s">
        <v>2227</v>
      </c>
      <c r="AF515" s="117">
        <f t="shared" ref="AF515:AF578" si="47">((Z515-AB515)*10-AD515)*10</f>
        <v>0</v>
      </c>
      <c r="AG515" s="114" t="s">
        <v>2226</v>
      </c>
      <c r="AH515" s="116">
        <v>1.7</v>
      </c>
      <c r="AI515" s="100"/>
      <c r="AJ515" s="100"/>
      <c r="AK515" s="100"/>
      <c r="AL515" s="100"/>
      <c r="AM515" s="100"/>
      <c r="AN515" s="100"/>
      <c r="AO515" s="100"/>
      <c r="AP515" s="100"/>
      <c r="AQ515" s="100"/>
    </row>
    <row r="516" spans="24:43">
      <c r="X516" s="114" t="s">
        <v>14217</v>
      </c>
      <c r="Y516" s="115">
        <v>6875.25</v>
      </c>
      <c r="Z516" s="116">
        <f t="shared" si="44"/>
        <v>6875.25</v>
      </c>
      <c r="AA516" s="114" t="s">
        <v>2229</v>
      </c>
      <c r="AB516" s="117">
        <f t="shared" si="45"/>
        <v>6875</v>
      </c>
      <c r="AC516" s="114" t="s">
        <v>2228</v>
      </c>
      <c r="AD516" s="117">
        <f t="shared" si="46"/>
        <v>2</v>
      </c>
      <c r="AE516" s="114" t="s">
        <v>2227</v>
      </c>
      <c r="AF516" s="117">
        <f t="shared" si="47"/>
        <v>5</v>
      </c>
      <c r="AG516" s="114" t="s">
        <v>2226</v>
      </c>
      <c r="AH516" s="116">
        <v>275.01</v>
      </c>
      <c r="AI516" s="100"/>
      <c r="AJ516" s="100"/>
      <c r="AK516" s="100"/>
      <c r="AL516" s="100"/>
      <c r="AM516" s="100"/>
      <c r="AN516" s="100"/>
      <c r="AO516" s="100"/>
      <c r="AP516" s="100"/>
      <c r="AQ516" s="100"/>
    </row>
    <row r="517" spans="24:43">
      <c r="X517" s="114" t="s">
        <v>14217</v>
      </c>
      <c r="Y517" s="115">
        <v>6875.25</v>
      </c>
      <c r="Z517" s="116">
        <f t="shared" si="44"/>
        <v>6875.25</v>
      </c>
      <c r="AA517" s="114" t="s">
        <v>2229</v>
      </c>
      <c r="AB517" s="117">
        <f t="shared" si="45"/>
        <v>6875</v>
      </c>
      <c r="AC517" s="114" t="s">
        <v>2228</v>
      </c>
      <c r="AD517" s="117">
        <f t="shared" si="46"/>
        <v>2</v>
      </c>
      <c r="AE517" s="114" t="s">
        <v>2227</v>
      </c>
      <c r="AF517" s="117">
        <f t="shared" si="47"/>
        <v>5</v>
      </c>
      <c r="AG517" s="114" t="s">
        <v>2226</v>
      </c>
      <c r="AH517" s="116">
        <v>275.01</v>
      </c>
      <c r="AI517" s="100"/>
      <c r="AJ517" s="100"/>
      <c r="AK517" s="100"/>
      <c r="AL517" s="100"/>
      <c r="AM517" s="100"/>
      <c r="AN517" s="100"/>
      <c r="AO517" s="100"/>
      <c r="AP517" s="100"/>
      <c r="AQ517" s="100"/>
    </row>
    <row r="518" spans="24:43">
      <c r="X518" s="114" t="s">
        <v>14218</v>
      </c>
      <c r="Y518" s="115">
        <v>325.25</v>
      </c>
      <c r="Z518" s="116">
        <f t="shared" si="44"/>
        <v>325.25</v>
      </c>
      <c r="AA518" s="114" t="s">
        <v>2229</v>
      </c>
      <c r="AB518" s="117">
        <f t="shared" si="45"/>
        <v>325</v>
      </c>
      <c r="AC518" s="114" t="s">
        <v>2228</v>
      </c>
      <c r="AD518" s="117">
        <f t="shared" si="46"/>
        <v>2</v>
      </c>
      <c r="AE518" s="114" t="s">
        <v>2227</v>
      </c>
      <c r="AF518" s="117">
        <f t="shared" si="47"/>
        <v>5</v>
      </c>
      <c r="AG518" s="114" t="s">
        <v>2226</v>
      </c>
      <c r="AH518" s="116">
        <v>13.01</v>
      </c>
      <c r="AI518" s="100"/>
      <c r="AJ518" s="100"/>
      <c r="AK518" s="100"/>
      <c r="AL518" s="100"/>
      <c r="AM518" s="100"/>
      <c r="AN518" s="100"/>
      <c r="AO518" s="100"/>
      <c r="AP518" s="100"/>
      <c r="AQ518" s="100"/>
    </row>
    <row r="519" spans="24:43">
      <c r="X519" s="114" t="s">
        <v>14219</v>
      </c>
      <c r="Y519" s="115">
        <v>80</v>
      </c>
      <c r="Z519" s="116">
        <f t="shared" si="44"/>
        <v>80</v>
      </c>
      <c r="AA519" s="114" t="s">
        <v>2229</v>
      </c>
      <c r="AB519" s="117">
        <f t="shared" si="45"/>
        <v>80</v>
      </c>
      <c r="AC519" s="114" t="s">
        <v>2228</v>
      </c>
      <c r="AD519" s="117">
        <f t="shared" si="46"/>
        <v>0</v>
      </c>
      <c r="AE519" s="114" t="s">
        <v>2227</v>
      </c>
      <c r="AF519" s="117">
        <f t="shared" si="47"/>
        <v>0</v>
      </c>
      <c r="AG519" s="114" t="s">
        <v>2226</v>
      </c>
      <c r="AH519" s="116">
        <v>3.2</v>
      </c>
      <c r="AI519" s="100"/>
      <c r="AJ519" s="100"/>
      <c r="AK519" s="100"/>
      <c r="AL519" s="100"/>
      <c r="AM519" s="100"/>
      <c r="AN519" s="100"/>
      <c r="AO519" s="100"/>
      <c r="AP519" s="100"/>
      <c r="AQ519" s="100"/>
    </row>
    <row r="520" spans="24:43">
      <c r="X520" s="114" t="s">
        <v>14219</v>
      </c>
      <c r="Y520" s="115">
        <v>80</v>
      </c>
      <c r="Z520" s="116">
        <f t="shared" si="44"/>
        <v>80</v>
      </c>
      <c r="AA520" s="114" t="s">
        <v>2229</v>
      </c>
      <c r="AB520" s="117">
        <f t="shared" si="45"/>
        <v>80</v>
      </c>
      <c r="AC520" s="114" t="s">
        <v>2228</v>
      </c>
      <c r="AD520" s="117">
        <f t="shared" si="46"/>
        <v>0</v>
      </c>
      <c r="AE520" s="114" t="s">
        <v>2227</v>
      </c>
      <c r="AF520" s="117">
        <f t="shared" si="47"/>
        <v>0</v>
      </c>
      <c r="AG520" s="114" t="s">
        <v>2226</v>
      </c>
      <c r="AH520" s="116">
        <v>3.2</v>
      </c>
      <c r="AI520" s="100"/>
      <c r="AJ520" s="100"/>
      <c r="AK520" s="100"/>
      <c r="AL520" s="100"/>
      <c r="AM520" s="100"/>
      <c r="AN520" s="100"/>
      <c r="AO520" s="100"/>
      <c r="AP520" s="100"/>
      <c r="AQ520" s="100"/>
    </row>
    <row r="521" spans="24:43">
      <c r="X521" s="114" t="s">
        <v>14219</v>
      </c>
      <c r="Y521" s="115">
        <v>60</v>
      </c>
      <c r="Z521" s="116">
        <f t="shared" si="44"/>
        <v>60</v>
      </c>
      <c r="AA521" s="114" t="s">
        <v>2229</v>
      </c>
      <c r="AB521" s="117">
        <f t="shared" si="45"/>
        <v>60</v>
      </c>
      <c r="AC521" s="114" t="s">
        <v>2228</v>
      </c>
      <c r="AD521" s="117">
        <f t="shared" si="46"/>
        <v>0</v>
      </c>
      <c r="AE521" s="114" t="s">
        <v>2227</v>
      </c>
      <c r="AF521" s="117">
        <f t="shared" si="47"/>
        <v>0</v>
      </c>
      <c r="AG521" s="114" t="s">
        <v>2226</v>
      </c>
      <c r="AH521" s="116">
        <v>2.4</v>
      </c>
      <c r="AI521" s="100"/>
      <c r="AJ521" s="100"/>
      <c r="AK521" s="100"/>
      <c r="AL521" s="100"/>
      <c r="AM521" s="100"/>
      <c r="AN521" s="100"/>
      <c r="AO521" s="100"/>
      <c r="AP521" s="100"/>
      <c r="AQ521" s="100"/>
    </row>
    <row r="522" spans="24:43">
      <c r="X522" s="114" t="s">
        <v>14220</v>
      </c>
      <c r="Y522" s="115">
        <v>6875.25</v>
      </c>
      <c r="Z522" s="116">
        <f t="shared" si="44"/>
        <v>6875.25</v>
      </c>
      <c r="AA522" s="114" t="s">
        <v>2229</v>
      </c>
      <c r="AB522" s="117">
        <f t="shared" si="45"/>
        <v>6875</v>
      </c>
      <c r="AC522" s="114" t="s">
        <v>2228</v>
      </c>
      <c r="AD522" s="117">
        <f t="shared" si="46"/>
        <v>2</v>
      </c>
      <c r="AE522" s="114" t="s">
        <v>2227</v>
      </c>
      <c r="AF522" s="117">
        <f t="shared" si="47"/>
        <v>5</v>
      </c>
      <c r="AG522" s="114" t="s">
        <v>2226</v>
      </c>
      <c r="AH522" s="116">
        <v>275.01</v>
      </c>
      <c r="AI522" s="100"/>
      <c r="AJ522" s="100"/>
      <c r="AK522" s="100"/>
      <c r="AL522" s="100"/>
      <c r="AM522" s="100"/>
      <c r="AN522" s="100"/>
      <c r="AO522" s="100"/>
      <c r="AP522" s="100"/>
      <c r="AQ522" s="100"/>
    </row>
    <row r="523" spans="24:43">
      <c r="X523" s="114" t="s">
        <v>14221</v>
      </c>
      <c r="Y523" s="115">
        <v>325.25</v>
      </c>
      <c r="Z523" s="116">
        <f t="shared" si="44"/>
        <v>325.25</v>
      </c>
      <c r="AA523" s="114" t="s">
        <v>2229</v>
      </c>
      <c r="AB523" s="117">
        <f t="shared" si="45"/>
        <v>325</v>
      </c>
      <c r="AC523" s="114" t="s">
        <v>2228</v>
      </c>
      <c r="AD523" s="117">
        <f t="shared" si="46"/>
        <v>2</v>
      </c>
      <c r="AE523" s="114" t="s">
        <v>2227</v>
      </c>
      <c r="AF523" s="117">
        <f t="shared" si="47"/>
        <v>5</v>
      </c>
      <c r="AG523" s="114" t="s">
        <v>2226</v>
      </c>
      <c r="AH523" s="116">
        <v>13.01</v>
      </c>
      <c r="AI523" s="100"/>
      <c r="AJ523" s="100"/>
      <c r="AK523" s="100"/>
      <c r="AL523" s="100"/>
      <c r="AM523" s="100"/>
      <c r="AN523" s="100"/>
      <c r="AO523" s="100"/>
      <c r="AP523" s="100"/>
      <c r="AQ523" s="100"/>
    </row>
    <row r="524" spans="24:43">
      <c r="X524" s="114" t="s">
        <v>14222</v>
      </c>
      <c r="Y524" s="115">
        <v>287.625</v>
      </c>
      <c r="Z524" s="116">
        <f t="shared" si="44"/>
        <v>287.625</v>
      </c>
      <c r="AA524" s="114" t="s">
        <v>2229</v>
      </c>
      <c r="AB524" s="117">
        <f t="shared" si="45"/>
        <v>287</v>
      </c>
      <c r="AC524" s="114" t="s">
        <v>2228</v>
      </c>
      <c r="AD524" s="117">
        <f t="shared" si="46"/>
        <v>6</v>
      </c>
      <c r="AE524" s="114" t="s">
        <v>2227</v>
      </c>
      <c r="AF524" s="117">
        <f t="shared" si="47"/>
        <v>2.5</v>
      </c>
      <c r="AG524" s="114" t="s">
        <v>2226</v>
      </c>
      <c r="AH524" s="116">
        <v>11.5</v>
      </c>
      <c r="AI524" s="100"/>
      <c r="AJ524" s="100"/>
      <c r="AK524" s="100"/>
      <c r="AL524" s="100"/>
      <c r="AM524" s="100"/>
      <c r="AN524" s="100"/>
      <c r="AO524" s="100"/>
      <c r="AP524" s="100"/>
      <c r="AQ524" s="100"/>
    </row>
    <row r="525" spans="24:43">
      <c r="X525" s="114" t="s">
        <v>14223</v>
      </c>
      <c r="Y525" s="115">
        <v>68750.25</v>
      </c>
      <c r="Z525" s="116">
        <f t="shared" si="44"/>
        <v>68750.25</v>
      </c>
      <c r="AA525" s="114" t="s">
        <v>2229</v>
      </c>
      <c r="AB525" s="117">
        <f t="shared" si="45"/>
        <v>68750</v>
      </c>
      <c r="AC525" s="114" t="s">
        <v>2228</v>
      </c>
      <c r="AD525" s="117">
        <f t="shared" si="46"/>
        <v>2</v>
      </c>
      <c r="AE525" s="114" t="s">
        <v>2227</v>
      </c>
      <c r="AF525" s="117">
        <f t="shared" si="47"/>
        <v>5</v>
      </c>
      <c r="AG525" s="114" t="s">
        <v>2226</v>
      </c>
      <c r="AH525" s="116">
        <v>2750.01</v>
      </c>
      <c r="AI525" s="100"/>
      <c r="AJ525" s="100"/>
      <c r="AK525" s="100"/>
      <c r="AL525" s="100"/>
      <c r="AM525" s="100"/>
      <c r="AN525" s="100"/>
      <c r="AO525" s="100"/>
      <c r="AP525" s="100"/>
      <c r="AQ525" s="100"/>
    </row>
    <row r="526" spans="24:43">
      <c r="X526" s="114" t="s">
        <v>14224</v>
      </c>
      <c r="Y526" s="115">
        <v>525</v>
      </c>
      <c r="Z526" s="116">
        <f t="shared" si="44"/>
        <v>525</v>
      </c>
      <c r="AA526" s="114" t="s">
        <v>2229</v>
      </c>
      <c r="AB526" s="117">
        <f t="shared" si="45"/>
        <v>525</v>
      </c>
      <c r="AC526" s="114" t="s">
        <v>2228</v>
      </c>
      <c r="AD526" s="117">
        <f t="shared" si="46"/>
        <v>0</v>
      </c>
      <c r="AE526" s="114" t="s">
        <v>2227</v>
      </c>
      <c r="AF526" s="117">
        <f t="shared" si="47"/>
        <v>0</v>
      </c>
      <c r="AG526" s="114" t="s">
        <v>2226</v>
      </c>
      <c r="AH526" s="116">
        <v>21</v>
      </c>
      <c r="AI526" s="100"/>
      <c r="AJ526" s="100"/>
      <c r="AK526" s="100"/>
      <c r="AL526" s="100"/>
      <c r="AM526" s="100"/>
      <c r="AN526" s="100"/>
      <c r="AO526" s="100"/>
      <c r="AP526" s="100"/>
      <c r="AQ526" s="100"/>
    </row>
    <row r="527" spans="24:43">
      <c r="X527" s="114" t="s">
        <v>14225</v>
      </c>
      <c r="Y527" s="115">
        <v>2000</v>
      </c>
      <c r="Z527" s="116">
        <f t="shared" si="44"/>
        <v>2000</v>
      </c>
      <c r="AA527" s="114" t="s">
        <v>2229</v>
      </c>
      <c r="AB527" s="117">
        <f t="shared" si="45"/>
        <v>2000</v>
      </c>
      <c r="AC527" s="114" t="s">
        <v>2228</v>
      </c>
      <c r="AD527" s="117">
        <f t="shared" si="46"/>
        <v>0</v>
      </c>
      <c r="AE527" s="114" t="s">
        <v>2227</v>
      </c>
      <c r="AF527" s="117">
        <f t="shared" si="47"/>
        <v>0</v>
      </c>
      <c r="AG527" s="114" t="s">
        <v>2226</v>
      </c>
      <c r="AH527" s="116">
        <v>80</v>
      </c>
      <c r="AI527" s="100"/>
      <c r="AJ527" s="100"/>
      <c r="AK527" s="100"/>
      <c r="AL527" s="100"/>
      <c r="AM527" s="100"/>
      <c r="AN527" s="100"/>
      <c r="AO527" s="100"/>
      <c r="AP527" s="100"/>
      <c r="AQ527" s="100"/>
    </row>
    <row r="528" spans="24:43">
      <c r="X528" s="114" t="s">
        <v>14226</v>
      </c>
      <c r="Y528" s="115">
        <v>625</v>
      </c>
      <c r="Z528" s="116">
        <f t="shared" si="44"/>
        <v>625</v>
      </c>
      <c r="AA528" s="114" t="s">
        <v>2229</v>
      </c>
      <c r="AB528" s="117">
        <f t="shared" si="45"/>
        <v>625</v>
      </c>
      <c r="AC528" s="114" t="s">
        <v>2228</v>
      </c>
      <c r="AD528" s="117">
        <f t="shared" si="46"/>
        <v>0</v>
      </c>
      <c r="AE528" s="114" t="s">
        <v>2227</v>
      </c>
      <c r="AF528" s="117">
        <f t="shared" si="47"/>
        <v>0</v>
      </c>
      <c r="AG528" s="114" t="s">
        <v>2226</v>
      </c>
      <c r="AH528" s="116">
        <v>25</v>
      </c>
      <c r="AI528" s="100"/>
      <c r="AJ528" s="100"/>
      <c r="AK528" s="100"/>
      <c r="AL528" s="100"/>
      <c r="AM528" s="100"/>
      <c r="AN528" s="100"/>
      <c r="AO528" s="100"/>
      <c r="AP528" s="100"/>
      <c r="AQ528" s="100"/>
    </row>
    <row r="529" spans="24:43">
      <c r="X529" s="114" t="s">
        <v>14227</v>
      </c>
      <c r="Y529" s="115">
        <v>2000</v>
      </c>
      <c r="Z529" s="116">
        <f t="shared" si="44"/>
        <v>2000</v>
      </c>
      <c r="AA529" s="114" t="s">
        <v>2229</v>
      </c>
      <c r="AB529" s="117">
        <f t="shared" si="45"/>
        <v>2000</v>
      </c>
      <c r="AC529" s="114" t="s">
        <v>2228</v>
      </c>
      <c r="AD529" s="117">
        <f t="shared" si="46"/>
        <v>0</v>
      </c>
      <c r="AE529" s="114" t="s">
        <v>2227</v>
      </c>
      <c r="AF529" s="117">
        <f t="shared" si="47"/>
        <v>0</v>
      </c>
      <c r="AG529" s="114" t="s">
        <v>2226</v>
      </c>
      <c r="AH529" s="116">
        <v>80</v>
      </c>
      <c r="AI529" s="100"/>
      <c r="AJ529" s="100"/>
      <c r="AK529" s="100"/>
      <c r="AL529" s="100"/>
      <c r="AM529" s="100"/>
      <c r="AN529" s="100"/>
      <c r="AO529" s="100"/>
      <c r="AP529" s="100"/>
      <c r="AQ529" s="100"/>
    </row>
    <row r="530" spans="24:43">
      <c r="X530" s="114" t="s">
        <v>14228</v>
      </c>
      <c r="Y530" s="115">
        <v>625</v>
      </c>
      <c r="Z530" s="116">
        <f t="shared" si="44"/>
        <v>625</v>
      </c>
      <c r="AA530" s="114" t="s">
        <v>2229</v>
      </c>
      <c r="AB530" s="117">
        <f t="shared" si="45"/>
        <v>625</v>
      </c>
      <c r="AC530" s="114" t="s">
        <v>2228</v>
      </c>
      <c r="AD530" s="117">
        <f t="shared" si="46"/>
        <v>0</v>
      </c>
      <c r="AE530" s="114" t="s">
        <v>2227</v>
      </c>
      <c r="AF530" s="117">
        <f t="shared" si="47"/>
        <v>0</v>
      </c>
      <c r="AG530" s="114" t="s">
        <v>2226</v>
      </c>
      <c r="AH530" s="116">
        <v>25</v>
      </c>
      <c r="AI530" s="100"/>
      <c r="AJ530" s="100"/>
      <c r="AK530" s="100"/>
      <c r="AL530" s="100"/>
      <c r="AM530" s="100"/>
      <c r="AN530" s="100"/>
      <c r="AO530" s="100"/>
      <c r="AP530" s="100"/>
      <c r="AQ530" s="100"/>
    </row>
    <row r="531" spans="24:43">
      <c r="X531" s="114" t="s">
        <v>14229</v>
      </c>
      <c r="Y531" s="115">
        <v>625</v>
      </c>
      <c r="Z531" s="116">
        <f t="shared" si="44"/>
        <v>625</v>
      </c>
      <c r="AA531" s="114" t="s">
        <v>2229</v>
      </c>
      <c r="AB531" s="117">
        <f t="shared" si="45"/>
        <v>625</v>
      </c>
      <c r="AC531" s="114" t="s">
        <v>2228</v>
      </c>
      <c r="AD531" s="117">
        <f t="shared" si="46"/>
        <v>0</v>
      </c>
      <c r="AE531" s="114" t="s">
        <v>2227</v>
      </c>
      <c r="AF531" s="117">
        <f t="shared" si="47"/>
        <v>0</v>
      </c>
      <c r="AG531" s="114" t="s">
        <v>2226</v>
      </c>
      <c r="AH531" s="116">
        <v>25</v>
      </c>
      <c r="AI531" s="100"/>
      <c r="AJ531" s="100"/>
      <c r="AK531" s="100"/>
      <c r="AL531" s="100"/>
      <c r="AM531" s="100"/>
      <c r="AN531" s="100"/>
      <c r="AO531" s="100"/>
      <c r="AP531" s="100"/>
      <c r="AQ531" s="100"/>
    </row>
    <row r="532" spans="24:43">
      <c r="X532" s="114" t="s">
        <v>14230</v>
      </c>
      <c r="Y532" s="115">
        <v>60</v>
      </c>
      <c r="Z532" s="116">
        <f t="shared" si="44"/>
        <v>60</v>
      </c>
      <c r="AA532" s="114" t="s">
        <v>2229</v>
      </c>
      <c r="AB532" s="117">
        <f t="shared" si="45"/>
        <v>60</v>
      </c>
      <c r="AC532" s="114" t="s">
        <v>2228</v>
      </c>
      <c r="AD532" s="117">
        <f t="shared" si="46"/>
        <v>0</v>
      </c>
      <c r="AE532" s="114" t="s">
        <v>2227</v>
      </c>
      <c r="AF532" s="117">
        <f t="shared" si="47"/>
        <v>0</v>
      </c>
      <c r="AG532" s="114" t="s">
        <v>2226</v>
      </c>
      <c r="AH532" s="116">
        <v>2.4</v>
      </c>
      <c r="AI532" s="100"/>
      <c r="AJ532" s="100"/>
      <c r="AK532" s="100"/>
      <c r="AL532" s="100"/>
      <c r="AM532" s="100"/>
      <c r="AN532" s="100"/>
      <c r="AO532" s="100"/>
      <c r="AP532" s="100"/>
      <c r="AQ532" s="100"/>
    </row>
    <row r="533" spans="24:43">
      <c r="X533" s="114" t="s">
        <v>14230</v>
      </c>
      <c r="Y533" s="115">
        <v>60</v>
      </c>
      <c r="Z533" s="116">
        <f t="shared" si="44"/>
        <v>60</v>
      </c>
      <c r="AA533" s="114" t="s">
        <v>2229</v>
      </c>
      <c r="AB533" s="117">
        <f t="shared" si="45"/>
        <v>60</v>
      </c>
      <c r="AC533" s="114" t="s">
        <v>2228</v>
      </c>
      <c r="AD533" s="117">
        <f t="shared" si="46"/>
        <v>0</v>
      </c>
      <c r="AE533" s="114" t="s">
        <v>2227</v>
      </c>
      <c r="AF533" s="117">
        <f t="shared" si="47"/>
        <v>0</v>
      </c>
      <c r="AG533" s="114" t="s">
        <v>2226</v>
      </c>
      <c r="AH533" s="116">
        <v>2.4</v>
      </c>
      <c r="AI533" s="100"/>
      <c r="AJ533" s="100"/>
      <c r="AK533" s="100"/>
      <c r="AL533" s="100"/>
      <c r="AM533" s="100"/>
      <c r="AN533" s="100"/>
      <c r="AO533" s="100"/>
      <c r="AP533" s="100"/>
      <c r="AQ533" s="100"/>
    </row>
    <row r="534" spans="24:43">
      <c r="X534" s="114" t="s">
        <v>14231</v>
      </c>
      <c r="Y534" s="115">
        <v>86250.25</v>
      </c>
      <c r="Z534" s="116">
        <f t="shared" si="44"/>
        <v>86250.25</v>
      </c>
      <c r="AA534" s="114" t="s">
        <v>2229</v>
      </c>
      <c r="AB534" s="117">
        <f t="shared" si="45"/>
        <v>86250</v>
      </c>
      <c r="AC534" s="114" t="s">
        <v>2228</v>
      </c>
      <c r="AD534" s="117">
        <f t="shared" si="46"/>
        <v>2</v>
      </c>
      <c r="AE534" s="114" t="s">
        <v>2227</v>
      </c>
      <c r="AF534" s="117">
        <f t="shared" si="47"/>
        <v>5</v>
      </c>
      <c r="AG534" s="114" t="s">
        <v>2226</v>
      </c>
      <c r="AH534" s="116">
        <v>3450.01</v>
      </c>
      <c r="AI534" s="100"/>
      <c r="AJ534" s="100"/>
      <c r="AK534" s="100"/>
      <c r="AL534" s="100"/>
      <c r="AM534" s="100"/>
      <c r="AN534" s="100"/>
      <c r="AO534" s="100"/>
      <c r="AP534" s="100"/>
      <c r="AQ534" s="100"/>
    </row>
    <row r="535" spans="24:43">
      <c r="X535" s="114" t="s">
        <v>14232</v>
      </c>
      <c r="Y535" s="115">
        <v>112500.5</v>
      </c>
      <c r="Z535" s="116">
        <f t="shared" si="44"/>
        <v>112500.5</v>
      </c>
      <c r="AA535" s="114" t="s">
        <v>2229</v>
      </c>
      <c r="AB535" s="117">
        <f t="shared" si="45"/>
        <v>112500</v>
      </c>
      <c r="AC535" s="114" t="s">
        <v>2228</v>
      </c>
      <c r="AD535" s="117">
        <f t="shared" si="46"/>
        <v>5</v>
      </c>
      <c r="AE535" s="114" t="s">
        <v>2227</v>
      </c>
      <c r="AF535" s="117">
        <f t="shared" si="47"/>
        <v>0</v>
      </c>
      <c r="AG535" s="114" t="s">
        <v>2226</v>
      </c>
      <c r="AH535" s="116">
        <v>4500.0200000000004</v>
      </c>
      <c r="AI535" s="100"/>
      <c r="AJ535" s="100"/>
      <c r="AK535" s="100"/>
      <c r="AL535" s="100"/>
      <c r="AM535" s="100"/>
      <c r="AN535" s="100"/>
      <c r="AO535" s="100"/>
      <c r="AP535" s="100"/>
      <c r="AQ535" s="100"/>
    </row>
    <row r="536" spans="24:43">
      <c r="X536" s="114" t="s">
        <v>14233</v>
      </c>
      <c r="Y536" s="115">
        <v>17375.125</v>
      </c>
      <c r="Z536" s="116">
        <f t="shared" si="44"/>
        <v>17375.125</v>
      </c>
      <c r="AA536" s="114" t="s">
        <v>2229</v>
      </c>
      <c r="AB536" s="117">
        <f t="shared" si="45"/>
        <v>17375</v>
      </c>
      <c r="AC536" s="114" t="s">
        <v>2228</v>
      </c>
      <c r="AD536" s="117">
        <f t="shared" si="46"/>
        <v>1</v>
      </c>
      <c r="AE536" s="114" t="s">
        <v>2227</v>
      </c>
      <c r="AF536" s="117">
        <f t="shared" si="47"/>
        <v>2.5</v>
      </c>
      <c r="AG536" s="114" t="s">
        <v>2226</v>
      </c>
      <c r="AH536" s="116">
        <v>695</v>
      </c>
      <c r="AI536" s="100"/>
      <c r="AJ536" s="100"/>
      <c r="AK536" s="100"/>
      <c r="AL536" s="100"/>
      <c r="AM536" s="100"/>
      <c r="AN536" s="100"/>
      <c r="AO536" s="100"/>
      <c r="AP536" s="100"/>
      <c r="AQ536" s="100"/>
    </row>
    <row r="537" spans="24:43">
      <c r="X537" s="114" t="s">
        <v>14234</v>
      </c>
      <c r="Y537" s="115">
        <v>325.25</v>
      </c>
      <c r="Z537" s="116">
        <f t="shared" si="44"/>
        <v>325.25</v>
      </c>
      <c r="AA537" s="114" t="s">
        <v>2229</v>
      </c>
      <c r="AB537" s="117">
        <f t="shared" si="45"/>
        <v>325</v>
      </c>
      <c r="AC537" s="114" t="s">
        <v>2228</v>
      </c>
      <c r="AD537" s="117">
        <f t="shared" si="46"/>
        <v>2</v>
      </c>
      <c r="AE537" s="114" t="s">
        <v>2227</v>
      </c>
      <c r="AF537" s="117">
        <f t="shared" si="47"/>
        <v>5</v>
      </c>
      <c r="AG537" s="114" t="s">
        <v>2226</v>
      </c>
      <c r="AH537" s="116">
        <v>13.01</v>
      </c>
      <c r="AI537" s="100"/>
      <c r="AJ537" s="100"/>
      <c r="AK537" s="100"/>
      <c r="AL537" s="100"/>
      <c r="AM537" s="100"/>
      <c r="AN537" s="100"/>
      <c r="AO537" s="100"/>
      <c r="AP537" s="100"/>
      <c r="AQ537" s="100"/>
    </row>
    <row r="538" spans="24:43">
      <c r="X538" s="114" t="s">
        <v>14235</v>
      </c>
      <c r="Y538" s="115">
        <v>6875.25</v>
      </c>
      <c r="Z538" s="116">
        <f t="shared" si="44"/>
        <v>6875.25</v>
      </c>
      <c r="AA538" s="114" t="s">
        <v>2229</v>
      </c>
      <c r="AB538" s="117">
        <f t="shared" si="45"/>
        <v>6875</v>
      </c>
      <c r="AC538" s="114" t="s">
        <v>2228</v>
      </c>
      <c r="AD538" s="117">
        <f t="shared" si="46"/>
        <v>2</v>
      </c>
      <c r="AE538" s="114" t="s">
        <v>2227</v>
      </c>
      <c r="AF538" s="117">
        <f t="shared" si="47"/>
        <v>5</v>
      </c>
      <c r="AG538" s="114" t="s">
        <v>2226</v>
      </c>
      <c r="AH538" s="116">
        <v>275.01</v>
      </c>
      <c r="AI538" s="100"/>
      <c r="AJ538" s="100"/>
      <c r="AK538" s="100"/>
      <c r="AL538" s="100"/>
      <c r="AM538" s="100"/>
      <c r="AN538" s="100"/>
      <c r="AO538" s="100"/>
      <c r="AP538" s="100"/>
      <c r="AQ538" s="100"/>
    </row>
    <row r="539" spans="24:43">
      <c r="X539" s="114" t="s">
        <v>14236</v>
      </c>
      <c r="Y539" s="115">
        <v>60</v>
      </c>
      <c r="Z539" s="116">
        <f t="shared" si="44"/>
        <v>60</v>
      </c>
      <c r="AA539" s="114" t="s">
        <v>2229</v>
      </c>
      <c r="AB539" s="117">
        <f t="shared" si="45"/>
        <v>60</v>
      </c>
      <c r="AC539" s="114" t="s">
        <v>2228</v>
      </c>
      <c r="AD539" s="117">
        <f t="shared" si="46"/>
        <v>0</v>
      </c>
      <c r="AE539" s="114" t="s">
        <v>2227</v>
      </c>
      <c r="AF539" s="117">
        <f t="shared" si="47"/>
        <v>0</v>
      </c>
      <c r="AG539" s="114" t="s">
        <v>2226</v>
      </c>
      <c r="AH539" s="116">
        <v>2.4</v>
      </c>
      <c r="AI539" s="100"/>
      <c r="AJ539" s="100"/>
      <c r="AK539" s="100"/>
      <c r="AL539" s="100"/>
      <c r="AM539" s="100"/>
      <c r="AN539" s="100"/>
      <c r="AO539" s="100"/>
      <c r="AP539" s="100"/>
      <c r="AQ539" s="100"/>
    </row>
    <row r="540" spans="24:43">
      <c r="X540" s="114" t="s">
        <v>14237</v>
      </c>
      <c r="Y540" s="115">
        <v>60</v>
      </c>
      <c r="Z540" s="116">
        <f t="shared" si="44"/>
        <v>60</v>
      </c>
      <c r="AA540" s="114" t="s">
        <v>2229</v>
      </c>
      <c r="AB540" s="117">
        <f t="shared" si="45"/>
        <v>60</v>
      </c>
      <c r="AC540" s="114" t="s">
        <v>2228</v>
      </c>
      <c r="AD540" s="117">
        <f t="shared" si="46"/>
        <v>0</v>
      </c>
      <c r="AE540" s="114" t="s">
        <v>2227</v>
      </c>
      <c r="AF540" s="117">
        <f t="shared" si="47"/>
        <v>0</v>
      </c>
      <c r="AG540" s="114" t="s">
        <v>2226</v>
      </c>
      <c r="AH540" s="116">
        <v>2.4</v>
      </c>
      <c r="AI540" s="100"/>
      <c r="AJ540" s="100"/>
      <c r="AK540" s="100"/>
      <c r="AL540" s="100"/>
      <c r="AM540" s="100"/>
      <c r="AN540" s="100"/>
      <c r="AO540" s="100"/>
      <c r="AP540" s="100"/>
      <c r="AQ540" s="100"/>
    </row>
    <row r="541" spans="24:43">
      <c r="X541" s="114" t="s">
        <v>14238</v>
      </c>
      <c r="Y541" s="115">
        <v>117500</v>
      </c>
      <c r="Z541" s="116">
        <f t="shared" si="44"/>
        <v>117500</v>
      </c>
      <c r="AA541" s="114" t="s">
        <v>2229</v>
      </c>
      <c r="AB541" s="117">
        <f t="shared" si="45"/>
        <v>117500</v>
      </c>
      <c r="AC541" s="114" t="s">
        <v>2228</v>
      </c>
      <c r="AD541" s="117">
        <f t="shared" si="46"/>
        <v>0</v>
      </c>
      <c r="AE541" s="114" t="s">
        <v>2227</v>
      </c>
      <c r="AF541" s="117">
        <f t="shared" si="47"/>
        <v>0</v>
      </c>
      <c r="AG541" s="114" t="s">
        <v>2226</v>
      </c>
      <c r="AH541" s="116">
        <v>4700</v>
      </c>
      <c r="AI541" s="100"/>
      <c r="AJ541" s="100"/>
      <c r="AK541" s="100"/>
      <c r="AL541" s="100"/>
      <c r="AM541" s="100"/>
      <c r="AN541" s="100"/>
      <c r="AO541" s="100"/>
      <c r="AP541" s="100"/>
      <c r="AQ541" s="100"/>
    </row>
    <row r="542" spans="24:43">
      <c r="X542" s="114" t="s">
        <v>14239</v>
      </c>
      <c r="Y542" s="115">
        <v>2500</v>
      </c>
      <c r="Z542" s="116">
        <f t="shared" si="44"/>
        <v>2500</v>
      </c>
      <c r="AA542" s="114" t="s">
        <v>2229</v>
      </c>
      <c r="AB542" s="117">
        <f t="shared" si="45"/>
        <v>2500</v>
      </c>
      <c r="AC542" s="114" t="s">
        <v>2228</v>
      </c>
      <c r="AD542" s="117">
        <f t="shared" si="46"/>
        <v>0</v>
      </c>
      <c r="AE542" s="114" t="s">
        <v>2227</v>
      </c>
      <c r="AF542" s="117">
        <f t="shared" si="47"/>
        <v>0</v>
      </c>
      <c r="AG542" s="114" t="s">
        <v>2226</v>
      </c>
      <c r="AH542" s="116">
        <v>100</v>
      </c>
      <c r="AI542" s="100"/>
      <c r="AJ542" s="100"/>
      <c r="AK542" s="100"/>
      <c r="AL542" s="100"/>
      <c r="AM542" s="100"/>
      <c r="AN542" s="100"/>
      <c r="AO542" s="100"/>
      <c r="AP542" s="100"/>
      <c r="AQ542" s="100"/>
    </row>
    <row r="543" spans="24:43">
      <c r="X543" s="114" t="s">
        <v>14240</v>
      </c>
      <c r="Y543" s="115">
        <v>118750.25</v>
      </c>
      <c r="Z543" s="116">
        <f t="shared" si="44"/>
        <v>118750.25</v>
      </c>
      <c r="AA543" s="114" t="s">
        <v>2229</v>
      </c>
      <c r="AB543" s="117">
        <f t="shared" si="45"/>
        <v>118750</v>
      </c>
      <c r="AC543" s="114" t="s">
        <v>2228</v>
      </c>
      <c r="AD543" s="117">
        <f t="shared" si="46"/>
        <v>2</v>
      </c>
      <c r="AE543" s="114" t="s">
        <v>2227</v>
      </c>
      <c r="AF543" s="117">
        <f t="shared" si="47"/>
        <v>5</v>
      </c>
      <c r="AG543" s="114" t="s">
        <v>2226</v>
      </c>
      <c r="AH543" s="116">
        <v>4750.01</v>
      </c>
      <c r="AI543" s="100"/>
      <c r="AJ543" s="100"/>
      <c r="AK543" s="100"/>
      <c r="AL543" s="100"/>
      <c r="AM543" s="100"/>
      <c r="AN543" s="100"/>
      <c r="AO543" s="100"/>
      <c r="AP543" s="100"/>
      <c r="AQ543" s="100"/>
    </row>
    <row r="544" spans="24:43">
      <c r="X544" s="114" t="s">
        <v>14241</v>
      </c>
      <c r="Y544" s="115">
        <v>115500</v>
      </c>
      <c r="Z544" s="116">
        <f t="shared" si="44"/>
        <v>115500</v>
      </c>
      <c r="AA544" s="114" t="s">
        <v>2229</v>
      </c>
      <c r="AB544" s="117">
        <f t="shared" si="45"/>
        <v>115500</v>
      </c>
      <c r="AC544" s="114" t="s">
        <v>2228</v>
      </c>
      <c r="AD544" s="117">
        <f t="shared" si="46"/>
        <v>0</v>
      </c>
      <c r="AE544" s="114" t="s">
        <v>2227</v>
      </c>
      <c r="AF544" s="117">
        <f t="shared" si="47"/>
        <v>0</v>
      </c>
      <c r="AG544" s="114" t="s">
        <v>2226</v>
      </c>
      <c r="AH544" s="116">
        <v>4620</v>
      </c>
      <c r="AI544" s="100"/>
      <c r="AJ544" s="100"/>
      <c r="AK544" s="100"/>
      <c r="AL544" s="100"/>
      <c r="AM544" s="100"/>
      <c r="AN544" s="100"/>
      <c r="AO544" s="100"/>
      <c r="AP544" s="100"/>
      <c r="AQ544" s="100"/>
    </row>
    <row r="545" spans="24:43">
      <c r="X545" s="114" t="s">
        <v>14242</v>
      </c>
      <c r="Y545" s="115">
        <v>156250.25</v>
      </c>
      <c r="Z545" s="116">
        <f t="shared" si="44"/>
        <v>156250.25</v>
      </c>
      <c r="AA545" s="114" t="s">
        <v>2229</v>
      </c>
      <c r="AB545" s="117">
        <f t="shared" si="45"/>
        <v>156250</v>
      </c>
      <c r="AC545" s="114" t="s">
        <v>2228</v>
      </c>
      <c r="AD545" s="117">
        <f t="shared" si="46"/>
        <v>2</v>
      </c>
      <c r="AE545" s="114" t="s">
        <v>2227</v>
      </c>
      <c r="AF545" s="117">
        <f t="shared" si="47"/>
        <v>5</v>
      </c>
      <c r="AG545" s="114" t="s">
        <v>2226</v>
      </c>
      <c r="AH545" s="116">
        <v>6250.01</v>
      </c>
      <c r="AI545" s="100"/>
      <c r="AJ545" s="100"/>
      <c r="AK545" s="100"/>
      <c r="AL545" s="100"/>
      <c r="AM545" s="100"/>
      <c r="AN545" s="100"/>
      <c r="AO545" s="100"/>
      <c r="AP545" s="100"/>
      <c r="AQ545" s="100"/>
    </row>
    <row r="546" spans="24:43">
      <c r="X546" s="114" t="s">
        <v>14243</v>
      </c>
      <c r="Y546" s="115">
        <v>4950</v>
      </c>
      <c r="Z546" s="116">
        <f t="shared" si="44"/>
        <v>4950</v>
      </c>
      <c r="AA546" s="114" t="s">
        <v>2229</v>
      </c>
      <c r="AB546" s="117">
        <f t="shared" si="45"/>
        <v>4950</v>
      </c>
      <c r="AC546" s="114" t="s">
        <v>2228</v>
      </c>
      <c r="AD546" s="117">
        <f t="shared" si="46"/>
        <v>0</v>
      </c>
      <c r="AE546" s="114" t="s">
        <v>2227</v>
      </c>
      <c r="AF546" s="117">
        <f t="shared" si="47"/>
        <v>0</v>
      </c>
      <c r="AG546" s="114" t="s">
        <v>2226</v>
      </c>
      <c r="AH546" s="116">
        <v>198</v>
      </c>
      <c r="AI546" s="100"/>
      <c r="AJ546" s="100"/>
      <c r="AK546" s="100"/>
      <c r="AL546" s="100"/>
      <c r="AM546" s="100"/>
      <c r="AN546" s="100"/>
      <c r="AO546" s="100"/>
      <c r="AP546" s="100"/>
      <c r="AQ546" s="100"/>
    </row>
    <row r="547" spans="24:43">
      <c r="X547" s="114" t="s">
        <v>14244</v>
      </c>
      <c r="Y547" s="115">
        <v>2100</v>
      </c>
      <c r="Z547" s="116">
        <f t="shared" si="44"/>
        <v>2100</v>
      </c>
      <c r="AA547" s="114" t="s">
        <v>2229</v>
      </c>
      <c r="AB547" s="117">
        <f t="shared" si="45"/>
        <v>2100</v>
      </c>
      <c r="AC547" s="114" t="s">
        <v>2228</v>
      </c>
      <c r="AD547" s="117">
        <f t="shared" si="46"/>
        <v>0</v>
      </c>
      <c r="AE547" s="114" t="s">
        <v>2227</v>
      </c>
      <c r="AF547" s="117">
        <f t="shared" si="47"/>
        <v>0</v>
      </c>
      <c r="AG547" s="114" t="s">
        <v>2226</v>
      </c>
      <c r="AH547" s="116">
        <v>84</v>
      </c>
      <c r="AI547" s="100"/>
      <c r="AJ547" s="100"/>
      <c r="AK547" s="100"/>
      <c r="AL547" s="100"/>
      <c r="AM547" s="100"/>
      <c r="AN547" s="100"/>
      <c r="AO547" s="100"/>
      <c r="AP547" s="100"/>
      <c r="AQ547" s="100"/>
    </row>
    <row r="548" spans="24:43">
      <c r="X548" s="114" t="s">
        <v>14245</v>
      </c>
      <c r="Y548" s="115">
        <v>108500</v>
      </c>
      <c r="Z548" s="116">
        <f t="shared" si="44"/>
        <v>108500</v>
      </c>
      <c r="AA548" s="114" t="s">
        <v>2229</v>
      </c>
      <c r="AB548" s="117">
        <f t="shared" si="45"/>
        <v>108500</v>
      </c>
      <c r="AC548" s="114" t="s">
        <v>2228</v>
      </c>
      <c r="AD548" s="117">
        <f t="shared" si="46"/>
        <v>0</v>
      </c>
      <c r="AE548" s="114" t="s">
        <v>2227</v>
      </c>
      <c r="AF548" s="117">
        <f t="shared" si="47"/>
        <v>0</v>
      </c>
      <c r="AG548" s="114" t="s">
        <v>2226</v>
      </c>
      <c r="AH548" s="116">
        <v>4340</v>
      </c>
      <c r="AI548" s="100"/>
      <c r="AJ548" s="100"/>
      <c r="AK548" s="100"/>
      <c r="AL548" s="100"/>
      <c r="AM548" s="100"/>
      <c r="AN548" s="100"/>
      <c r="AO548" s="100"/>
      <c r="AP548" s="100"/>
      <c r="AQ548" s="100"/>
    </row>
    <row r="549" spans="24:43">
      <c r="X549" s="114" t="s">
        <v>14246</v>
      </c>
      <c r="Y549" s="115">
        <v>12250</v>
      </c>
      <c r="Z549" s="116">
        <f t="shared" si="44"/>
        <v>12250</v>
      </c>
      <c r="AA549" s="114" t="s">
        <v>2229</v>
      </c>
      <c r="AB549" s="117">
        <f t="shared" si="45"/>
        <v>12250</v>
      </c>
      <c r="AC549" s="114" t="s">
        <v>2228</v>
      </c>
      <c r="AD549" s="117">
        <f t="shared" si="46"/>
        <v>0</v>
      </c>
      <c r="AE549" s="114" t="s">
        <v>2227</v>
      </c>
      <c r="AF549" s="117">
        <f t="shared" si="47"/>
        <v>0</v>
      </c>
      <c r="AG549" s="114" t="s">
        <v>2226</v>
      </c>
      <c r="AH549" s="116">
        <v>490</v>
      </c>
      <c r="AI549" s="100"/>
      <c r="AJ549" s="100"/>
      <c r="AK549" s="100"/>
      <c r="AL549" s="100"/>
      <c r="AM549" s="100"/>
      <c r="AN549" s="100"/>
      <c r="AO549" s="100"/>
      <c r="AP549" s="100"/>
      <c r="AQ549" s="100"/>
    </row>
    <row r="550" spans="24:43">
      <c r="X550" s="114" t="s">
        <v>14247</v>
      </c>
      <c r="Y550" s="115">
        <v>42500</v>
      </c>
      <c r="Z550" s="116">
        <f t="shared" si="44"/>
        <v>42500</v>
      </c>
      <c r="AA550" s="114" t="s">
        <v>2229</v>
      </c>
      <c r="AB550" s="117">
        <f t="shared" si="45"/>
        <v>42500</v>
      </c>
      <c r="AC550" s="114" t="s">
        <v>2228</v>
      </c>
      <c r="AD550" s="117">
        <f t="shared" si="46"/>
        <v>0</v>
      </c>
      <c r="AE550" s="114" t="s">
        <v>2227</v>
      </c>
      <c r="AF550" s="117">
        <f t="shared" si="47"/>
        <v>0</v>
      </c>
      <c r="AG550" s="114" t="s">
        <v>2226</v>
      </c>
      <c r="AH550" s="116">
        <v>1700</v>
      </c>
      <c r="AI550" s="100"/>
      <c r="AJ550" s="100"/>
      <c r="AK550" s="100"/>
      <c r="AL550" s="100"/>
      <c r="AM550" s="100"/>
      <c r="AN550" s="100"/>
      <c r="AO550" s="100"/>
      <c r="AP550" s="100"/>
      <c r="AQ550" s="100"/>
    </row>
    <row r="551" spans="24:43">
      <c r="X551" s="114" t="s">
        <v>14248</v>
      </c>
      <c r="Y551" s="115">
        <v>1375</v>
      </c>
      <c r="Z551" s="116">
        <f t="shared" si="44"/>
        <v>1375</v>
      </c>
      <c r="AA551" s="114" t="s">
        <v>2229</v>
      </c>
      <c r="AB551" s="117">
        <f t="shared" si="45"/>
        <v>1375</v>
      </c>
      <c r="AC551" s="114" t="s">
        <v>2228</v>
      </c>
      <c r="AD551" s="117">
        <f t="shared" si="46"/>
        <v>0</v>
      </c>
      <c r="AE551" s="114" t="s">
        <v>2227</v>
      </c>
      <c r="AF551" s="117">
        <f t="shared" si="47"/>
        <v>0</v>
      </c>
      <c r="AG551" s="114" t="s">
        <v>2226</v>
      </c>
      <c r="AH551" s="116">
        <v>55</v>
      </c>
      <c r="AI551" s="100"/>
      <c r="AJ551" s="100"/>
      <c r="AK551" s="100"/>
      <c r="AL551" s="100"/>
      <c r="AM551" s="100"/>
      <c r="AN551" s="100"/>
      <c r="AO551" s="100"/>
      <c r="AP551" s="100"/>
      <c r="AQ551" s="100"/>
    </row>
    <row r="552" spans="24:43">
      <c r="X552" s="114" t="s">
        <v>14249</v>
      </c>
      <c r="Y552" s="115">
        <v>8125</v>
      </c>
      <c r="Z552" s="116">
        <f t="shared" si="44"/>
        <v>8125</v>
      </c>
      <c r="AA552" s="114" t="s">
        <v>2229</v>
      </c>
      <c r="AB552" s="117">
        <f t="shared" si="45"/>
        <v>8125</v>
      </c>
      <c r="AC552" s="114" t="s">
        <v>2228</v>
      </c>
      <c r="AD552" s="117">
        <f t="shared" si="46"/>
        <v>0</v>
      </c>
      <c r="AE552" s="114" t="s">
        <v>2227</v>
      </c>
      <c r="AF552" s="117">
        <f t="shared" si="47"/>
        <v>0</v>
      </c>
      <c r="AG552" s="114" t="s">
        <v>2226</v>
      </c>
      <c r="AH552" s="116">
        <v>325</v>
      </c>
      <c r="AI552" s="100"/>
      <c r="AJ552" s="100"/>
      <c r="AK552" s="100"/>
      <c r="AL552" s="100"/>
      <c r="AM552" s="100"/>
      <c r="AN552" s="100"/>
      <c r="AO552" s="100"/>
      <c r="AP552" s="100"/>
      <c r="AQ552" s="100"/>
    </row>
    <row r="553" spans="24:43">
      <c r="X553" s="114" t="s">
        <v>14250</v>
      </c>
      <c r="Y553" s="115">
        <v>237.625</v>
      </c>
      <c r="Z553" s="116">
        <f t="shared" si="44"/>
        <v>237.625</v>
      </c>
      <c r="AA553" s="114" t="s">
        <v>2229</v>
      </c>
      <c r="AB553" s="117">
        <f t="shared" si="45"/>
        <v>237</v>
      </c>
      <c r="AC553" s="114" t="s">
        <v>2228</v>
      </c>
      <c r="AD553" s="117">
        <f t="shared" si="46"/>
        <v>6</v>
      </c>
      <c r="AE553" s="114" t="s">
        <v>2227</v>
      </c>
      <c r="AF553" s="117">
        <f t="shared" si="47"/>
        <v>2.5</v>
      </c>
      <c r="AG553" s="114" t="s">
        <v>2226</v>
      </c>
      <c r="AH553" s="116">
        <v>9.5</v>
      </c>
      <c r="AI553" s="100"/>
      <c r="AJ553" s="100"/>
      <c r="AK553" s="100"/>
      <c r="AL553" s="100"/>
      <c r="AM553" s="100"/>
      <c r="AN553" s="100"/>
      <c r="AO553" s="100"/>
      <c r="AP553" s="100"/>
      <c r="AQ553" s="100"/>
    </row>
    <row r="554" spans="24:43">
      <c r="X554" s="114" t="s">
        <v>14251</v>
      </c>
      <c r="Y554" s="115">
        <v>3250</v>
      </c>
      <c r="Z554" s="116">
        <f t="shared" si="44"/>
        <v>3250</v>
      </c>
      <c r="AA554" s="114" t="s">
        <v>2229</v>
      </c>
      <c r="AB554" s="117">
        <f t="shared" si="45"/>
        <v>3250</v>
      </c>
      <c r="AC554" s="114" t="s">
        <v>2228</v>
      </c>
      <c r="AD554" s="117">
        <f t="shared" si="46"/>
        <v>0</v>
      </c>
      <c r="AE554" s="114" t="s">
        <v>2227</v>
      </c>
      <c r="AF554" s="117">
        <f t="shared" si="47"/>
        <v>0</v>
      </c>
      <c r="AG554" s="114" t="s">
        <v>2226</v>
      </c>
      <c r="AH554" s="116">
        <v>130</v>
      </c>
      <c r="AI554" s="100"/>
      <c r="AJ554" s="100"/>
      <c r="AK554" s="100"/>
      <c r="AL554" s="100"/>
      <c r="AM554" s="100"/>
      <c r="AN554" s="100"/>
      <c r="AO554" s="100"/>
      <c r="AP554" s="100"/>
      <c r="AQ554" s="100"/>
    </row>
    <row r="555" spans="24:43">
      <c r="X555" s="114" t="s">
        <v>14252</v>
      </c>
      <c r="Y555" s="115">
        <v>26000</v>
      </c>
      <c r="Z555" s="116">
        <f t="shared" si="44"/>
        <v>26000</v>
      </c>
      <c r="AA555" s="114" t="s">
        <v>2229</v>
      </c>
      <c r="AB555" s="117">
        <f t="shared" si="45"/>
        <v>26000</v>
      </c>
      <c r="AC555" s="114" t="s">
        <v>2228</v>
      </c>
      <c r="AD555" s="117">
        <f t="shared" si="46"/>
        <v>0</v>
      </c>
      <c r="AE555" s="114" t="s">
        <v>2227</v>
      </c>
      <c r="AF555" s="117">
        <f t="shared" si="47"/>
        <v>0</v>
      </c>
      <c r="AG555" s="114" t="s">
        <v>2226</v>
      </c>
      <c r="AH555" s="116">
        <v>1040</v>
      </c>
      <c r="AI555" s="100"/>
      <c r="AJ555" s="100"/>
      <c r="AK555" s="100"/>
      <c r="AL555" s="100"/>
      <c r="AM555" s="100"/>
      <c r="AN555" s="100"/>
      <c r="AO555" s="100"/>
      <c r="AP555" s="100"/>
      <c r="AQ555" s="100"/>
    </row>
    <row r="556" spans="24:43">
      <c r="X556" s="114" t="s">
        <v>14253</v>
      </c>
      <c r="Y556" s="115">
        <v>4750</v>
      </c>
      <c r="Z556" s="116">
        <f t="shared" si="44"/>
        <v>4750</v>
      </c>
      <c r="AA556" s="114" t="s">
        <v>2229</v>
      </c>
      <c r="AB556" s="117">
        <f t="shared" si="45"/>
        <v>4750</v>
      </c>
      <c r="AC556" s="114" t="s">
        <v>2228</v>
      </c>
      <c r="AD556" s="117">
        <f t="shared" si="46"/>
        <v>0</v>
      </c>
      <c r="AE556" s="114" t="s">
        <v>2227</v>
      </c>
      <c r="AF556" s="117">
        <f t="shared" si="47"/>
        <v>0</v>
      </c>
      <c r="AG556" s="114" t="s">
        <v>2226</v>
      </c>
      <c r="AH556" s="116">
        <v>190</v>
      </c>
      <c r="AI556" s="100"/>
      <c r="AJ556" s="100"/>
      <c r="AK556" s="100"/>
      <c r="AL556" s="100"/>
      <c r="AM556" s="100"/>
      <c r="AN556" s="100"/>
      <c r="AO556" s="100"/>
      <c r="AP556" s="100"/>
      <c r="AQ556" s="100"/>
    </row>
    <row r="557" spans="24:43">
      <c r="X557" s="114" t="s">
        <v>14254</v>
      </c>
      <c r="Y557" s="115">
        <v>17000</v>
      </c>
      <c r="Z557" s="116">
        <f t="shared" si="44"/>
        <v>17000</v>
      </c>
      <c r="AA557" s="114" t="s">
        <v>2229</v>
      </c>
      <c r="AB557" s="117">
        <f t="shared" si="45"/>
        <v>17000</v>
      </c>
      <c r="AC557" s="114" t="s">
        <v>2228</v>
      </c>
      <c r="AD557" s="117">
        <f t="shared" si="46"/>
        <v>0</v>
      </c>
      <c r="AE557" s="114" t="s">
        <v>2227</v>
      </c>
      <c r="AF557" s="117">
        <f t="shared" si="47"/>
        <v>0</v>
      </c>
      <c r="AG557" s="114" t="s">
        <v>2226</v>
      </c>
      <c r="AH557" s="116">
        <v>680</v>
      </c>
      <c r="AI557" s="100"/>
      <c r="AJ557" s="100"/>
      <c r="AK557" s="100"/>
      <c r="AL557" s="100"/>
      <c r="AM557" s="100"/>
      <c r="AN557" s="100"/>
      <c r="AO557" s="100"/>
      <c r="AP557" s="100"/>
      <c r="AQ557" s="100"/>
    </row>
    <row r="558" spans="24:43">
      <c r="X558" s="114" t="s">
        <v>14255</v>
      </c>
      <c r="Y558" s="115">
        <v>13800</v>
      </c>
      <c r="Z558" s="116">
        <f t="shared" si="44"/>
        <v>13800</v>
      </c>
      <c r="AA558" s="114" t="s">
        <v>2229</v>
      </c>
      <c r="AB558" s="117">
        <f t="shared" si="45"/>
        <v>13800</v>
      </c>
      <c r="AC558" s="114" t="s">
        <v>2228</v>
      </c>
      <c r="AD558" s="117">
        <f t="shared" si="46"/>
        <v>0</v>
      </c>
      <c r="AE558" s="114" t="s">
        <v>2227</v>
      </c>
      <c r="AF558" s="117">
        <f t="shared" si="47"/>
        <v>0</v>
      </c>
      <c r="AG558" s="114" t="s">
        <v>2226</v>
      </c>
      <c r="AH558" s="116">
        <v>552</v>
      </c>
      <c r="AI558" s="100"/>
      <c r="AJ558" s="100"/>
      <c r="AK558" s="100"/>
      <c r="AL558" s="100"/>
      <c r="AM558" s="100"/>
      <c r="AN558" s="100"/>
      <c r="AO558" s="100"/>
      <c r="AP558" s="100"/>
      <c r="AQ558" s="100"/>
    </row>
    <row r="559" spans="24:43">
      <c r="X559" s="114" t="s">
        <v>14256</v>
      </c>
      <c r="Y559" s="115">
        <v>48000</v>
      </c>
      <c r="Z559" s="116">
        <f t="shared" si="44"/>
        <v>48000</v>
      </c>
      <c r="AA559" s="114" t="s">
        <v>2229</v>
      </c>
      <c r="AB559" s="117">
        <f t="shared" si="45"/>
        <v>48000</v>
      </c>
      <c r="AC559" s="114" t="s">
        <v>2228</v>
      </c>
      <c r="AD559" s="117">
        <f t="shared" si="46"/>
        <v>0</v>
      </c>
      <c r="AE559" s="114" t="s">
        <v>2227</v>
      </c>
      <c r="AF559" s="117">
        <f t="shared" si="47"/>
        <v>0</v>
      </c>
      <c r="AG559" s="114" t="s">
        <v>2226</v>
      </c>
      <c r="AH559" s="116">
        <v>1920</v>
      </c>
      <c r="AI559" s="100"/>
      <c r="AJ559" s="100"/>
      <c r="AK559" s="100"/>
      <c r="AL559" s="100"/>
      <c r="AM559" s="100"/>
      <c r="AN559" s="100"/>
      <c r="AO559" s="100"/>
      <c r="AP559" s="100"/>
      <c r="AQ559" s="100"/>
    </row>
    <row r="560" spans="24:43">
      <c r="X560" s="114" t="s">
        <v>14257</v>
      </c>
      <c r="Y560" s="115">
        <v>1650</v>
      </c>
      <c r="Z560" s="116">
        <f t="shared" si="44"/>
        <v>1650</v>
      </c>
      <c r="AA560" s="114" t="s">
        <v>2229</v>
      </c>
      <c r="AB560" s="117">
        <f t="shared" si="45"/>
        <v>1650</v>
      </c>
      <c r="AC560" s="114" t="s">
        <v>2228</v>
      </c>
      <c r="AD560" s="117">
        <f t="shared" si="46"/>
        <v>0</v>
      </c>
      <c r="AE560" s="114" t="s">
        <v>2227</v>
      </c>
      <c r="AF560" s="117">
        <f t="shared" si="47"/>
        <v>0</v>
      </c>
      <c r="AG560" s="114" t="s">
        <v>2226</v>
      </c>
      <c r="AH560" s="116">
        <v>66</v>
      </c>
      <c r="AI560" s="100"/>
      <c r="AJ560" s="100"/>
      <c r="AK560" s="100"/>
      <c r="AL560" s="100"/>
      <c r="AM560" s="100"/>
      <c r="AN560" s="100"/>
      <c r="AO560" s="100"/>
      <c r="AP560" s="100"/>
      <c r="AQ560" s="100"/>
    </row>
    <row r="561" spans="24:43">
      <c r="X561" s="114" t="s">
        <v>14258</v>
      </c>
      <c r="Y561" s="115">
        <v>52500</v>
      </c>
      <c r="Z561" s="116">
        <f t="shared" si="44"/>
        <v>52500</v>
      </c>
      <c r="AA561" s="114" t="s">
        <v>2229</v>
      </c>
      <c r="AB561" s="117">
        <f t="shared" si="45"/>
        <v>52500</v>
      </c>
      <c r="AC561" s="114" t="s">
        <v>2228</v>
      </c>
      <c r="AD561" s="117">
        <f t="shared" si="46"/>
        <v>0</v>
      </c>
      <c r="AE561" s="114" t="s">
        <v>2227</v>
      </c>
      <c r="AF561" s="117">
        <f t="shared" si="47"/>
        <v>0</v>
      </c>
      <c r="AG561" s="114" t="s">
        <v>2226</v>
      </c>
      <c r="AH561" s="116">
        <v>2100</v>
      </c>
      <c r="AI561" s="100"/>
      <c r="AJ561" s="100"/>
      <c r="AK561" s="100"/>
      <c r="AL561" s="100"/>
      <c r="AM561" s="100"/>
      <c r="AN561" s="100"/>
      <c r="AO561" s="100"/>
      <c r="AP561" s="100"/>
      <c r="AQ561" s="100"/>
    </row>
    <row r="562" spans="24:43">
      <c r="X562" s="114" t="s">
        <v>14259</v>
      </c>
      <c r="Y562" s="115">
        <v>4562.625</v>
      </c>
      <c r="Z562" s="116">
        <f t="shared" si="44"/>
        <v>4562.625</v>
      </c>
      <c r="AA562" s="114" t="s">
        <v>2229</v>
      </c>
      <c r="AB562" s="117">
        <f t="shared" si="45"/>
        <v>4562</v>
      </c>
      <c r="AC562" s="114" t="s">
        <v>2228</v>
      </c>
      <c r="AD562" s="117">
        <f t="shared" si="46"/>
        <v>6</v>
      </c>
      <c r="AE562" s="114" t="s">
        <v>2227</v>
      </c>
      <c r="AF562" s="117">
        <f t="shared" si="47"/>
        <v>2.5</v>
      </c>
      <c r="AG562" s="114" t="s">
        <v>2226</v>
      </c>
      <c r="AH562" s="116">
        <v>182.5</v>
      </c>
      <c r="AI562" s="100"/>
      <c r="AJ562" s="100"/>
      <c r="AK562" s="100"/>
      <c r="AL562" s="100"/>
      <c r="AM562" s="100"/>
      <c r="AN562" s="100"/>
      <c r="AO562" s="100"/>
      <c r="AP562" s="100"/>
      <c r="AQ562" s="100"/>
    </row>
    <row r="563" spans="24:43">
      <c r="X563" s="114" t="s">
        <v>14260</v>
      </c>
      <c r="Y563" s="115">
        <v>4500</v>
      </c>
      <c r="Z563" s="116">
        <f t="shared" si="44"/>
        <v>4500</v>
      </c>
      <c r="AA563" s="114" t="s">
        <v>2229</v>
      </c>
      <c r="AB563" s="117">
        <f t="shared" si="45"/>
        <v>4500</v>
      </c>
      <c r="AC563" s="114" t="s">
        <v>2228</v>
      </c>
      <c r="AD563" s="117">
        <f t="shared" si="46"/>
        <v>0</v>
      </c>
      <c r="AE563" s="114" t="s">
        <v>2227</v>
      </c>
      <c r="AF563" s="117">
        <f t="shared" si="47"/>
        <v>0</v>
      </c>
      <c r="AG563" s="114" t="s">
        <v>2226</v>
      </c>
      <c r="AH563" s="116">
        <v>180</v>
      </c>
      <c r="AI563" s="100"/>
      <c r="AJ563" s="100"/>
      <c r="AK563" s="100"/>
      <c r="AL563" s="100"/>
      <c r="AM563" s="100"/>
      <c r="AN563" s="100"/>
      <c r="AO563" s="100"/>
      <c r="AP563" s="100"/>
      <c r="AQ563" s="100"/>
    </row>
    <row r="564" spans="24:43">
      <c r="X564" s="114" t="s">
        <v>14261</v>
      </c>
      <c r="Y564" s="115">
        <v>105225.25</v>
      </c>
      <c r="Z564" s="116">
        <f t="shared" si="44"/>
        <v>105225.25</v>
      </c>
      <c r="AA564" s="114" t="s">
        <v>2229</v>
      </c>
      <c r="AB564" s="117">
        <f t="shared" si="45"/>
        <v>105225</v>
      </c>
      <c r="AC564" s="114" t="s">
        <v>2228</v>
      </c>
      <c r="AD564" s="117">
        <f t="shared" si="46"/>
        <v>2</v>
      </c>
      <c r="AE564" s="114" t="s">
        <v>2227</v>
      </c>
      <c r="AF564" s="117">
        <f t="shared" si="47"/>
        <v>5</v>
      </c>
      <c r="AG564" s="114" t="s">
        <v>2226</v>
      </c>
      <c r="AH564" s="116">
        <v>4209.01</v>
      </c>
      <c r="AI564" s="100"/>
      <c r="AJ564" s="100"/>
      <c r="AK564" s="100"/>
      <c r="AL564" s="100"/>
      <c r="AM564" s="100"/>
      <c r="AN564" s="100"/>
      <c r="AO564" s="100"/>
      <c r="AP564" s="100"/>
      <c r="AQ564" s="100"/>
    </row>
    <row r="565" spans="24:43">
      <c r="X565" s="114" t="s">
        <v>14262</v>
      </c>
      <c r="Y565" s="115">
        <v>237.625</v>
      </c>
      <c r="Z565" s="116">
        <f t="shared" si="44"/>
        <v>237.625</v>
      </c>
      <c r="AA565" s="114" t="s">
        <v>2229</v>
      </c>
      <c r="AB565" s="117">
        <f t="shared" si="45"/>
        <v>237</v>
      </c>
      <c r="AC565" s="114" t="s">
        <v>2228</v>
      </c>
      <c r="AD565" s="117">
        <f t="shared" si="46"/>
        <v>6</v>
      </c>
      <c r="AE565" s="114" t="s">
        <v>2227</v>
      </c>
      <c r="AF565" s="117">
        <f t="shared" si="47"/>
        <v>2.5</v>
      </c>
      <c r="AG565" s="114" t="s">
        <v>2226</v>
      </c>
      <c r="AH565" s="116">
        <v>9.5</v>
      </c>
      <c r="AI565" s="100"/>
      <c r="AJ565" s="100"/>
      <c r="AK565" s="100"/>
      <c r="AL565" s="100"/>
      <c r="AM565" s="100"/>
      <c r="AN565" s="100"/>
      <c r="AO565" s="100"/>
      <c r="AP565" s="100"/>
      <c r="AQ565" s="100"/>
    </row>
    <row r="566" spans="24:43">
      <c r="X566" s="114" t="s">
        <v>14263</v>
      </c>
      <c r="Y566" s="115">
        <v>740</v>
      </c>
      <c r="Z566" s="116">
        <f t="shared" si="44"/>
        <v>740</v>
      </c>
      <c r="AA566" s="114" t="s">
        <v>2229</v>
      </c>
      <c r="AB566" s="117">
        <f t="shared" si="45"/>
        <v>740</v>
      </c>
      <c r="AC566" s="114" t="s">
        <v>2228</v>
      </c>
      <c r="AD566" s="117">
        <f t="shared" si="46"/>
        <v>0</v>
      </c>
      <c r="AE566" s="114" t="s">
        <v>2227</v>
      </c>
      <c r="AF566" s="117">
        <f t="shared" si="47"/>
        <v>0</v>
      </c>
      <c r="AG566" s="114" t="s">
        <v>2226</v>
      </c>
      <c r="AH566" s="116">
        <v>29.6</v>
      </c>
      <c r="AI566" s="100"/>
      <c r="AJ566" s="100"/>
      <c r="AK566" s="100"/>
      <c r="AL566" s="100"/>
      <c r="AM566" s="100"/>
      <c r="AN566" s="100"/>
      <c r="AO566" s="100"/>
      <c r="AP566" s="100"/>
      <c r="AQ566" s="100"/>
    </row>
    <row r="567" spans="24:43">
      <c r="X567" s="114" t="s">
        <v>14264</v>
      </c>
      <c r="Y567" s="115">
        <v>112500</v>
      </c>
      <c r="Z567" s="116">
        <f t="shared" si="44"/>
        <v>112500</v>
      </c>
      <c r="AA567" s="114" t="s">
        <v>2229</v>
      </c>
      <c r="AB567" s="117">
        <f t="shared" si="45"/>
        <v>112500</v>
      </c>
      <c r="AC567" s="114" t="s">
        <v>2228</v>
      </c>
      <c r="AD567" s="117">
        <f t="shared" si="46"/>
        <v>0</v>
      </c>
      <c r="AE567" s="114" t="s">
        <v>2227</v>
      </c>
      <c r="AF567" s="117">
        <f t="shared" si="47"/>
        <v>0</v>
      </c>
      <c r="AG567" s="114" t="s">
        <v>2226</v>
      </c>
      <c r="AH567" s="116">
        <v>4500</v>
      </c>
      <c r="AI567" s="100"/>
      <c r="AJ567" s="100"/>
      <c r="AK567" s="100"/>
      <c r="AL567" s="100"/>
      <c r="AM567" s="100"/>
      <c r="AN567" s="100"/>
      <c r="AO567" s="100"/>
      <c r="AP567" s="100"/>
      <c r="AQ567" s="100"/>
    </row>
    <row r="568" spans="24:43">
      <c r="X568" s="114" t="s">
        <v>14265</v>
      </c>
      <c r="Y568" s="115">
        <v>1000</v>
      </c>
      <c r="Z568" s="116">
        <f t="shared" si="44"/>
        <v>1000</v>
      </c>
      <c r="AA568" s="114" t="s">
        <v>2229</v>
      </c>
      <c r="AB568" s="117">
        <f t="shared" si="45"/>
        <v>1000</v>
      </c>
      <c r="AC568" s="114" t="s">
        <v>2228</v>
      </c>
      <c r="AD568" s="117">
        <f t="shared" si="46"/>
        <v>0</v>
      </c>
      <c r="AE568" s="114" t="s">
        <v>2227</v>
      </c>
      <c r="AF568" s="117">
        <f t="shared" si="47"/>
        <v>0</v>
      </c>
      <c r="AG568" s="114" t="s">
        <v>2226</v>
      </c>
      <c r="AH568" s="116">
        <v>40</v>
      </c>
      <c r="AI568" s="100"/>
      <c r="AJ568" s="100"/>
      <c r="AK568" s="100"/>
      <c r="AL568" s="100"/>
      <c r="AM568" s="100"/>
      <c r="AN568" s="100"/>
      <c r="AO568" s="100"/>
      <c r="AP568" s="100"/>
      <c r="AQ568" s="100"/>
    </row>
    <row r="569" spans="24:43">
      <c r="X569" s="114" t="s">
        <v>14266</v>
      </c>
      <c r="Y569" s="115">
        <v>4750</v>
      </c>
      <c r="Z569" s="116">
        <f t="shared" si="44"/>
        <v>4750</v>
      </c>
      <c r="AA569" s="114" t="s">
        <v>2229</v>
      </c>
      <c r="AB569" s="117">
        <f t="shared" si="45"/>
        <v>4750</v>
      </c>
      <c r="AC569" s="114" t="s">
        <v>2228</v>
      </c>
      <c r="AD569" s="117">
        <f t="shared" si="46"/>
        <v>0</v>
      </c>
      <c r="AE569" s="114" t="s">
        <v>2227</v>
      </c>
      <c r="AF569" s="117">
        <f t="shared" si="47"/>
        <v>0</v>
      </c>
      <c r="AG569" s="114" t="s">
        <v>2226</v>
      </c>
      <c r="AH569" s="116">
        <v>190</v>
      </c>
      <c r="AI569" s="100"/>
      <c r="AJ569" s="100"/>
      <c r="AK569" s="100"/>
      <c r="AL569" s="100"/>
      <c r="AM569" s="100"/>
      <c r="AN569" s="100"/>
      <c r="AO569" s="100"/>
      <c r="AP569" s="100"/>
      <c r="AQ569" s="100"/>
    </row>
    <row r="570" spans="24:43">
      <c r="X570" s="114" t="s">
        <v>14267</v>
      </c>
      <c r="Y570" s="115">
        <v>325.25</v>
      </c>
      <c r="Z570" s="116">
        <f t="shared" si="44"/>
        <v>325.25</v>
      </c>
      <c r="AA570" s="114" t="s">
        <v>2229</v>
      </c>
      <c r="AB570" s="117">
        <f t="shared" si="45"/>
        <v>325</v>
      </c>
      <c r="AC570" s="114" t="s">
        <v>2228</v>
      </c>
      <c r="AD570" s="117">
        <f t="shared" si="46"/>
        <v>2</v>
      </c>
      <c r="AE570" s="114" t="s">
        <v>2227</v>
      </c>
      <c r="AF570" s="117">
        <f t="shared" si="47"/>
        <v>5</v>
      </c>
      <c r="AG570" s="114" t="s">
        <v>2226</v>
      </c>
      <c r="AH570" s="116">
        <v>13.01</v>
      </c>
      <c r="AI570" s="100"/>
      <c r="AJ570" s="100"/>
      <c r="AK570" s="100"/>
      <c r="AL570" s="100"/>
      <c r="AM570" s="100"/>
      <c r="AN570" s="100"/>
      <c r="AO570" s="100"/>
      <c r="AP570" s="100"/>
      <c r="AQ570" s="100"/>
    </row>
    <row r="571" spans="24:43">
      <c r="X571" s="114" t="s">
        <v>14267</v>
      </c>
      <c r="Y571" s="115">
        <v>325.25</v>
      </c>
      <c r="Z571" s="116">
        <f t="shared" si="44"/>
        <v>325.25</v>
      </c>
      <c r="AA571" s="114" t="s">
        <v>2229</v>
      </c>
      <c r="AB571" s="117">
        <f t="shared" si="45"/>
        <v>325</v>
      </c>
      <c r="AC571" s="114" t="s">
        <v>2228</v>
      </c>
      <c r="AD571" s="117">
        <f t="shared" si="46"/>
        <v>2</v>
      </c>
      <c r="AE571" s="114" t="s">
        <v>2227</v>
      </c>
      <c r="AF571" s="117">
        <f t="shared" si="47"/>
        <v>5</v>
      </c>
      <c r="AG571" s="114" t="s">
        <v>2226</v>
      </c>
      <c r="AH571" s="116">
        <v>13.01</v>
      </c>
      <c r="AI571" s="100"/>
      <c r="AJ571" s="100"/>
      <c r="AK571" s="100"/>
      <c r="AL571" s="100"/>
      <c r="AM571" s="100"/>
      <c r="AN571" s="100"/>
      <c r="AO571" s="100"/>
      <c r="AP571" s="100"/>
      <c r="AQ571" s="100"/>
    </row>
    <row r="572" spans="24:43">
      <c r="X572" s="114" t="s">
        <v>14268</v>
      </c>
      <c r="Y572" s="115">
        <v>60</v>
      </c>
      <c r="Z572" s="116">
        <f t="shared" si="44"/>
        <v>60</v>
      </c>
      <c r="AA572" s="114" t="s">
        <v>2229</v>
      </c>
      <c r="AB572" s="117">
        <f t="shared" si="45"/>
        <v>60</v>
      </c>
      <c r="AC572" s="114" t="s">
        <v>2228</v>
      </c>
      <c r="AD572" s="117">
        <f t="shared" si="46"/>
        <v>0</v>
      </c>
      <c r="AE572" s="114" t="s">
        <v>2227</v>
      </c>
      <c r="AF572" s="117">
        <f t="shared" si="47"/>
        <v>0</v>
      </c>
      <c r="AG572" s="114" t="s">
        <v>2226</v>
      </c>
      <c r="AH572" s="116">
        <v>2.4</v>
      </c>
      <c r="AI572" s="100"/>
      <c r="AJ572" s="100"/>
      <c r="AK572" s="100"/>
      <c r="AL572" s="100"/>
      <c r="AM572" s="100"/>
      <c r="AN572" s="100"/>
      <c r="AO572" s="100"/>
      <c r="AP572" s="100"/>
      <c r="AQ572" s="100"/>
    </row>
    <row r="573" spans="24:43">
      <c r="X573" s="114" t="s">
        <v>14268</v>
      </c>
      <c r="Y573" s="115">
        <v>60</v>
      </c>
      <c r="Z573" s="116">
        <f t="shared" si="44"/>
        <v>60</v>
      </c>
      <c r="AA573" s="114" t="s">
        <v>2229</v>
      </c>
      <c r="AB573" s="117">
        <f t="shared" si="45"/>
        <v>60</v>
      </c>
      <c r="AC573" s="114" t="s">
        <v>2228</v>
      </c>
      <c r="AD573" s="117">
        <f t="shared" si="46"/>
        <v>0</v>
      </c>
      <c r="AE573" s="114" t="s">
        <v>2227</v>
      </c>
      <c r="AF573" s="117">
        <f t="shared" si="47"/>
        <v>0</v>
      </c>
      <c r="AG573" s="114" t="s">
        <v>2226</v>
      </c>
      <c r="AH573" s="116">
        <v>2.4</v>
      </c>
      <c r="AI573" s="100"/>
      <c r="AJ573" s="100"/>
      <c r="AK573" s="100"/>
      <c r="AL573" s="100"/>
      <c r="AM573" s="100"/>
      <c r="AN573" s="100"/>
      <c r="AO573" s="100"/>
      <c r="AP573" s="100"/>
      <c r="AQ573" s="100"/>
    </row>
    <row r="574" spans="24:43">
      <c r="X574" s="114" t="s">
        <v>14269</v>
      </c>
      <c r="Y574" s="115">
        <v>17500</v>
      </c>
      <c r="Z574" s="116">
        <f t="shared" si="44"/>
        <v>17500</v>
      </c>
      <c r="AA574" s="114" t="s">
        <v>2229</v>
      </c>
      <c r="AB574" s="117">
        <f t="shared" si="45"/>
        <v>17500</v>
      </c>
      <c r="AC574" s="114" t="s">
        <v>2228</v>
      </c>
      <c r="AD574" s="117">
        <f t="shared" si="46"/>
        <v>0</v>
      </c>
      <c r="AE574" s="114" t="s">
        <v>2227</v>
      </c>
      <c r="AF574" s="117">
        <f t="shared" si="47"/>
        <v>0</v>
      </c>
      <c r="AG574" s="114" t="s">
        <v>2226</v>
      </c>
      <c r="AH574" s="116">
        <v>700</v>
      </c>
      <c r="AI574" s="100"/>
      <c r="AJ574" s="100"/>
      <c r="AK574" s="100"/>
      <c r="AL574" s="100"/>
      <c r="AM574" s="100"/>
      <c r="AN574" s="100"/>
      <c r="AO574" s="100"/>
      <c r="AP574" s="100"/>
      <c r="AQ574" s="100"/>
    </row>
    <row r="575" spans="24:43">
      <c r="X575" s="114" t="s">
        <v>14270</v>
      </c>
      <c r="Y575" s="115">
        <v>16500</v>
      </c>
      <c r="Z575" s="116">
        <f t="shared" si="44"/>
        <v>16500</v>
      </c>
      <c r="AA575" s="114" t="s">
        <v>2229</v>
      </c>
      <c r="AB575" s="117">
        <f t="shared" si="45"/>
        <v>16500</v>
      </c>
      <c r="AC575" s="114" t="s">
        <v>2228</v>
      </c>
      <c r="AD575" s="117">
        <f t="shared" si="46"/>
        <v>0</v>
      </c>
      <c r="AE575" s="114" t="s">
        <v>2227</v>
      </c>
      <c r="AF575" s="117">
        <f t="shared" si="47"/>
        <v>0</v>
      </c>
      <c r="AG575" s="114" t="s">
        <v>2226</v>
      </c>
      <c r="AH575" s="116">
        <v>660</v>
      </c>
      <c r="AI575" s="100"/>
      <c r="AJ575" s="100"/>
      <c r="AK575" s="100"/>
      <c r="AL575" s="100"/>
      <c r="AM575" s="100"/>
      <c r="AN575" s="100"/>
      <c r="AO575" s="100"/>
      <c r="AP575" s="100"/>
      <c r="AQ575" s="100"/>
    </row>
    <row r="576" spans="24:43">
      <c r="X576" s="114" t="s">
        <v>14271</v>
      </c>
      <c r="Y576" s="115">
        <v>350.125</v>
      </c>
      <c r="Z576" s="116">
        <f t="shared" si="44"/>
        <v>350.125</v>
      </c>
      <c r="AA576" s="114" t="s">
        <v>2229</v>
      </c>
      <c r="AB576" s="117">
        <f t="shared" si="45"/>
        <v>350</v>
      </c>
      <c r="AC576" s="114" t="s">
        <v>2228</v>
      </c>
      <c r="AD576" s="117">
        <f t="shared" si="46"/>
        <v>1</v>
      </c>
      <c r="AE576" s="114" t="s">
        <v>2227</v>
      </c>
      <c r="AF576" s="117">
        <f t="shared" si="47"/>
        <v>2.5</v>
      </c>
      <c r="AG576" s="114" t="s">
        <v>2226</v>
      </c>
      <c r="AH576" s="116">
        <v>14</v>
      </c>
      <c r="AI576" s="100"/>
      <c r="AJ576" s="100"/>
      <c r="AK576" s="100"/>
      <c r="AL576" s="100"/>
      <c r="AM576" s="100"/>
      <c r="AN576" s="100"/>
      <c r="AO576" s="100"/>
      <c r="AP576" s="100"/>
      <c r="AQ576" s="100"/>
    </row>
    <row r="577" spans="24:43">
      <c r="X577" s="114" t="s">
        <v>14272</v>
      </c>
      <c r="Y577" s="115">
        <v>52500</v>
      </c>
      <c r="Z577" s="116">
        <f t="shared" si="44"/>
        <v>52500</v>
      </c>
      <c r="AA577" s="114" t="s">
        <v>2229</v>
      </c>
      <c r="AB577" s="117">
        <f t="shared" si="45"/>
        <v>52500</v>
      </c>
      <c r="AC577" s="114" t="s">
        <v>2228</v>
      </c>
      <c r="AD577" s="117">
        <f t="shared" si="46"/>
        <v>0</v>
      </c>
      <c r="AE577" s="114" t="s">
        <v>2227</v>
      </c>
      <c r="AF577" s="117">
        <f t="shared" si="47"/>
        <v>0</v>
      </c>
      <c r="AG577" s="114" t="s">
        <v>2226</v>
      </c>
      <c r="AH577" s="116">
        <v>2100</v>
      </c>
      <c r="AI577" s="100"/>
      <c r="AJ577" s="100"/>
      <c r="AK577" s="100"/>
      <c r="AL577" s="100"/>
      <c r="AM577" s="100"/>
      <c r="AN577" s="100"/>
      <c r="AO577" s="100"/>
      <c r="AP577" s="100"/>
      <c r="AQ577" s="100"/>
    </row>
    <row r="578" spans="24:43">
      <c r="X578" s="114" t="s">
        <v>14273</v>
      </c>
      <c r="Y578" s="115">
        <v>4887.625</v>
      </c>
      <c r="Z578" s="116">
        <f t="shared" si="44"/>
        <v>4887.625</v>
      </c>
      <c r="AA578" s="114" t="s">
        <v>2229</v>
      </c>
      <c r="AB578" s="117">
        <f t="shared" si="45"/>
        <v>4887</v>
      </c>
      <c r="AC578" s="114" t="s">
        <v>2228</v>
      </c>
      <c r="AD578" s="117">
        <f t="shared" si="46"/>
        <v>6</v>
      </c>
      <c r="AE578" s="114" t="s">
        <v>2227</v>
      </c>
      <c r="AF578" s="117">
        <f t="shared" si="47"/>
        <v>2.5</v>
      </c>
      <c r="AG578" s="114" t="s">
        <v>2226</v>
      </c>
      <c r="AH578" s="116">
        <v>195.5</v>
      </c>
      <c r="AI578" s="100"/>
      <c r="AJ578" s="100"/>
      <c r="AK578" s="100"/>
      <c r="AL578" s="100"/>
      <c r="AM578" s="100"/>
      <c r="AN578" s="100"/>
      <c r="AO578" s="100"/>
      <c r="AP578" s="100"/>
      <c r="AQ578" s="100"/>
    </row>
    <row r="579" spans="24:43">
      <c r="X579" s="114" t="s">
        <v>14274</v>
      </c>
      <c r="Y579" s="115">
        <v>54500</v>
      </c>
      <c r="Z579" s="116">
        <f t="shared" ref="Z579:Z642" si="48">Y579*$AK$6*$AK$11</f>
        <v>54500</v>
      </c>
      <c r="AA579" s="114" t="s">
        <v>2229</v>
      </c>
      <c r="AB579" s="117">
        <f t="shared" ref="AB579:AB642" si="49">_xlfn.FLOOR.MATH(Z579,1)</f>
        <v>54500</v>
      </c>
      <c r="AC579" s="114" t="s">
        <v>2228</v>
      </c>
      <c r="AD579" s="117">
        <f t="shared" ref="AD579:AD642" si="50">_xlfn.FLOOR.MATH(((Z579-AB579)*10), 1)</f>
        <v>0</v>
      </c>
      <c r="AE579" s="114" t="s">
        <v>2227</v>
      </c>
      <c r="AF579" s="117">
        <f t="shared" ref="AF579:AF642" si="51">((Z579-AB579)*10-AD579)*10</f>
        <v>0</v>
      </c>
      <c r="AG579" s="114" t="s">
        <v>2226</v>
      </c>
      <c r="AH579" s="116">
        <v>2180</v>
      </c>
      <c r="AI579" s="100"/>
      <c r="AJ579" s="100"/>
      <c r="AK579" s="100"/>
      <c r="AL579" s="100"/>
      <c r="AM579" s="100"/>
      <c r="AN579" s="100"/>
      <c r="AO579" s="100"/>
      <c r="AP579" s="100"/>
      <c r="AQ579" s="100"/>
    </row>
    <row r="580" spans="24:43">
      <c r="X580" s="114" t="s">
        <v>14275</v>
      </c>
      <c r="Y580" s="115">
        <v>362.625</v>
      </c>
      <c r="Z580" s="116">
        <f t="shared" si="48"/>
        <v>362.625</v>
      </c>
      <c r="AA580" s="114" t="s">
        <v>2229</v>
      </c>
      <c r="AB580" s="117">
        <f t="shared" si="49"/>
        <v>362</v>
      </c>
      <c r="AC580" s="114" t="s">
        <v>2228</v>
      </c>
      <c r="AD580" s="117">
        <f t="shared" si="50"/>
        <v>6</v>
      </c>
      <c r="AE580" s="114" t="s">
        <v>2227</v>
      </c>
      <c r="AF580" s="117">
        <f t="shared" si="51"/>
        <v>2.5</v>
      </c>
      <c r="AG580" s="114" t="s">
        <v>2226</v>
      </c>
      <c r="AH580" s="116">
        <v>14.5</v>
      </c>
      <c r="AI580" s="100"/>
      <c r="AJ580" s="100"/>
      <c r="AK580" s="100"/>
      <c r="AL580" s="100"/>
      <c r="AM580" s="100"/>
      <c r="AN580" s="100"/>
      <c r="AO580" s="100"/>
      <c r="AP580" s="100"/>
      <c r="AQ580" s="100"/>
    </row>
    <row r="581" spans="24:43">
      <c r="X581" s="114" t="s">
        <v>14276</v>
      </c>
      <c r="Y581" s="115">
        <v>49000</v>
      </c>
      <c r="Z581" s="116">
        <f t="shared" si="48"/>
        <v>49000</v>
      </c>
      <c r="AA581" s="114" t="s">
        <v>2229</v>
      </c>
      <c r="AB581" s="117">
        <f t="shared" si="49"/>
        <v>49000</v>
      </c>
      <c r="AC581" s="114" t="s">
        <v>2228</v>
      </c>
      <c r="AD581" s="117">
        <f t="shared" si="50"/>
        <v>0</v>
      </c>
      <c r="AE581" s="114" t="s">
        <v>2227</v>
      </c>
      <c r="AF581" s="117">
        <f t="shared" si="51"/>
        <v>0</v>
      </c>
      <c r="AG581" s="114" t="s">
        <v>2226</v>
      </c>
      <c r="AH581" s="116">
        <v>1960</v>
      </c>
      <c r="AI581" s="100"/>
      <c r="AJ581" s="100"/>
      <c r="AK581" s="100"/>
      <c r="AL581" s="100"/>
      <c r="AM581" s="100"/>
      <c r="AN581" s="100"/>
      <c r="AO581" s="100"/>
      <c r="AP581" s="100"/>
      <c r="AQ581" s="100"/>
    </row>
    <row r="582" spans="24:43">
      <c r="X582" s="114" t="s">
        <v>14277</v>
      </c>
      <c r="Y582" s="115">
        <v>18000</v>
      </c>
      <c r="Z582" s="116">
        <f t="shared" si="48"/>
        <v>18000</v>
      </c>
      <c r="AA582" s="114" t="s">
        <v>2229</v>
      </c>
      <c r="AB582" s="117">
        <f t="shared" si="49"/>
        <v>18000</v>
      </c>
      <c r="AC582" s="114" t="s">
        <v>2228</v>
      </c>
      <c r="AD582" s="117">
        <f t="shared" si="50"/>
        <v>0</v>
      </c>
      <c r="AE582" s="114" t="s">
        <v>2227</v>
      </c>
      <c r="AF582" s="117">
        <f t="shared" si="51"/>
        <v>0</v>
      </c>
      <c r="AG582" s="114" t="s">
        <v>2226</v>
      </c>
      <c r="AH582" s="116">
        <v>720</v>
      </c>
      <c r="AI582" s="100"/>
      <c r="AJ582" s="100"/>
      <c r="AK582" s="100"/>
      <c r="AL582" s="100"/>
      <c r="AM582" s="100"/>
      <c r="AN582" s="100"/>
      <c r="AO582" s="100"/>
      <c r="AP582" s="100"/>
      <c r="AQ582" s="100"/>
    </row>
    <row r="583" spans="24:43">
      <c r="X583" s="114" t="s">
        <v>14278</v>
      </c>
      <c r="Y583" s="115">
        <v>49000</v>
      </c>
      <c r="Z583" s="116">
        <f t="shared" si="48"/>
        <v>49000</v>
      </c>
      <c r="AA583" s="114" t="s">
        <v>2229</v>
      </c>
      <c r="AB583" s="117">
        <f t="shared" si="49"/>
        <v>49000</v>
      </c>
      <c r="AC583" s="114" t="s">
        <v>2228</v>
      </c>
      <c r="AD583" s="117">
        <f t="shared" si="50"/>
        <v>0</v>
      </c>
      <c r="AE583" s="114" t="s">
        <v>2227</v>
      </c>
      <c r="AF583" s="117">
        <f t="shared" si="51"/>
        <v>0</v>
      </c>
      <c r="AG583" s="114" t="s">
        <v>2226</v>
      </c>
      <c r="AH583" s="116">
        <v>1960</v>
      </c>
      <c r="AI583" s="100"/>
      <c r="AJ583" s="100"/>
      <c r="AK583" s="100"/>
      <c r="AL583" s="100"/>
      <c r="AM583" s="100"/>
      <c r="AN583" s="100"/>
      <c r="AO583" s="100"/>
      <c r="AP583" s="100"/>
      <c r="AQ583" s="100"/>
    </row>
    <row r="584" spans="24:43">
      <c r="X584" s="114" t="s">
        <v>14279</v>
      </c>
      <c r="Y584" s="115">
        <v>118750.25</v>
      </c>
      <c r="Z584" s="116">
        <f t="shared" si="48"/>
        <v>118750.25</v>
      </c>
      <c r="AA584" s="114" t="s">
        <v>2229</v>
      </c>
      <c r="AB584" s="117">
        <f t="shared" si="49"/>
        <v>118750</v>
      </c>
      <c r="AC584" s="114" t="s">
        <v>2228</v>
      </c>
      <c r="AD584" s="117">
        <f t="shared" si="50"/>
        <v>2</v>
      </c>
      <c r="AE584" s="114" t="s">
        <v>2227</v>
      </c>
      <c r="AF584" s="117">
        <f t="shared" si="51"/>
        <v>5</v>
      </c>
      <c r="AG584" s="114" t="s">
        <v>2226</v>
      </c>
      <c r="AH584" s="116">
        <v>4750.01</v>
      </c>
      <c r="AI584" s="100"/>
      <c r="AJ584" s="100"/>
      <c r="AK584" s="100"/>
      <c r="AL584" s="100"/>
      <c r="AM584" s="100"/>
      <c r="AN584" s="100"/>
      <c r="AO584" s="100"/>
      <c r="AP584" s="100"/>
      <c r="AQ584" s="100"/>
    </row>
    <row r="585" spans="24:43">
      <c r="X585" s="114" t="s">
        <v>14280</v>
      </c>
      <c r="Y585" s="115">
        <v>287.625</v>
      </c>
      <c r="Z585" s="116">
        <f t="shared" si="48"/>
        <v>287.625</v>
      </c>
      <c r="AA585" s="114" t="s">
        <v>2229</v>
      </c>
      <c r="AB585" s="117">
        <f t="shared" si="49"/>
        <v>287</v>
      </c>
      <c r="AC585" s="114" t="s">
        <v>2228</v>
      </c>
      <c r="AD585" s="117">
        <f t="shared" si="50"/>
        <v>6</v>
      </c>
      <c r="AE585" s="114" t="s">
        <v>2227</v>
      </c>
      <c r="AF585" s="117">
        <f t="shared" si="51"/>
        <v>2.5</v>
      </c>
      <c r="AG585" s="114" t="s">
        <v>2226</v>
      </c>
      <c r="AH585" s="116">
        <v>11.5</v>
      </c>
      <c r="AI585" s="100"/>
      <c r="AJ585" s="100"/>
      <c r="AK585" s="100"/>
      <c r="AL585" s="100"/>
      <c r="AM585" s="100"/>
      <c r="AN585" s="100"/>
      <c r="AO585" s="100"/>
      <c r="AP585" s="100"/>
      <c r="AQ585" s="100"/>
    </row>
    <row r="586" spans="24:43">
      <c r="X586" s="114" t="s">
        <v>14281</v>
      </c>
      <c r="Y586" s="115">
        <v>9800</v>
      </c>
      <c r="Z586" s="116">
        <f t="shared" si="48"/>
        <v>9800</v>
      </c>
      <c r="AA586" s="114" t="s">
        <v>2229</v>
      </c>
      <c r="AB586" s="117">
        <f t="shared" si="49"/>
        <v>9800</v>
      </c>
      <c r="AC586" s="114" t="s">
        <v>2228</v>
      </c>
      <c r="AD586" s="117">
        <f t="shared" si="50"/>
        <v>0</v>
      </c>
      <c r="AE586" s="114" t="s">
        <v>2227</v>
      </c>
      <c r="AF586" s="117">
        <f t="shared" si="51"/>
        <v>0</v>
      </c>
      <c r="AG586" s="114" t="s">
        <v>2226</v>
      </c>
      <c r="AH586" s="116">
        <v>392</v>
      </c>
      <c r="AI586" s="100"/>
      <c r="AJ586" s="100"/>
      <c r="AK586" s="100"/>
      <c r="AL586" s="100"/>
      <c r="AM586" s="100"/>
      <c r="AN586" s="100"/>
      <c r="AO586" s="100"/>
      <c r="AP586" s="100"/>
      <c r="AQ586" s="100"/>
    </row>
    <row r="587" spans="24:43">
      <c r="X587" s="114" t="s">
        <v>14282</v>
      </c>
      <c r="Y587" s="115">
        <v>67500</v>
      </c>
      <c r="Z587" s="116">
        <f t="shared" si="48"/>
        <v>67500</v>
      </c>
      <c r="AA587" s="114" t="s">
        <v>2229</v>
      </c>
      <c r="AB587" s="117">
        <f t="shared" si="49"/>
        <v>67500</v>
      </c>
      <c r="AC587" s="114" t="s">
        <v>2228</v>
      </c>
      <c r="AD587" s="117">
        <f t="shared" si="50"/>
        <v>0</v>
      </c>
      <c r="AE587" s="114" t="s">
        <v>2227</v>
      </c>
      <c r="AF587" s="117">
        <f t="shared" si="51"/>
        <v>0</v>
      </c>
      <c r="AG587" s="114" t="s">
        <v>2226</v>
      </c>
      <c r="AH587" s="116">
        <v>2700</v>
      </c>
      <c r="AI587" s="100"/>
      <c r="AJ587" s="100"/>
      <c r="AK587" s="100"/>
      <c r="AL587" s="100"/>
      <c r="AM587" s="100"/>
      <c r="AN587" s="100"/>
      <c r="AO587" s="100"/>
      <c r="AP587" s="100"/>
      <c r="AQ587" s="100"/>
    </row>
    <row r="588" spans="24:43">
      <c r="X588" s="114" t="s">
        <v>14283</v>
      </c>
      <c r="Y588" s="115">
        <v>6200</v>
      </c>
      <c r="Z588" s="116">
        <f t="shared" si="48"/>
        <v>6200</v>
      </c>
      <c r="AA588" s="114" t="s">
        <v>2229</v>
      </c>
      <c r="AB588" s="117">
        <f t="shared" si="49"/>
        <v>6200</v>
      </c>
      <c r="AC588" s="114" t="s">
        <v>2228</v>
      </c>
      <c r="AD588" s="117">
        <f t="shared" si="50"/>
        <v>0</v>
      </c>
      <c r="AE588" s="114" t="s">
        <v>2227</v>
      </c>
      <c r="AF588" s="117">
        <f t="shared" si="51"/>
        <v>0</v>
      </c>
      <c r="AG588" s="114" t="s">
        <v>2226</v>
      </c>
      <c r="AH588" s="116">
        <v>248</v>
      </c>
      <c r="AI588" s="100"/>
      <c r="AJ588" s="100"/>
      <c r="AK588" s="100"/>
      <c r="AL588" s="100"/>
      <c r="AM588" s="100"/>
      <c r="AN588" s="100"/>
      <c r="AO588" s="100"/>
      <c r="AP588" s="100"/>
      <c r="AQ588" s="100"/>
    </row>
    <row r="589" spans="24:43">
      <c r="X589" s="114" t="s">
        <v>14284</v>
      </c>
      <c r="Y589" s="115">
        <v>10000</v>
      </c>
      <c r="Z589" s="116">
        <f t="shared" si="48"/>
        <v>10000</v>
      </c>
      <c r="AA589" s="114" t="s">
        <v>2229</v>
      </c>
      <c r="AB589" s="117">
        <f t="shared" si="49"/>
        <v>10000</v>
      </c>
      <c r="AC589" s="114" t="s">
        <v>2228</v>
      </c>
      <c r="AD589" s="117">
        <f t="shared" si="50"/>
        <v>0</v>
      </c>
      <c r="AE589" s="114" t="s">
        <v>2227</v>
      </c>
      <c r="AF589" s="117">
        <f t="shared" si="51"/>
        <v>0</v>
      </c>
      <c r="AG589" s="114" t="s">
        <v>2226</v>
      </c>
      <c r="AH589" s="116">
        <v>400</v>
      </c>
      <c r="AI589" s="100"/>
      <c r="AJ589" s="100"/>
      <c r="AK589" s="100"/>
      <c r="AL589" s="100"/>
      <c r="AM589" s="100"/>
      <c r="AN589" s="100"/>
      <c r="AO589" s="100"/>
      <c r="AP589" s="100"/>
      <c r="AQ589" s="100"/>
    </row>
    <row r="590" spans="24:43">
      <c r="X590" s="114" t="s">
        <v>14285</v>
      </c>
      <c r="Y590" s="115">
        <v>21000</v>
      </c>
      <c r="Z590" s="116">
        <f t="shared" si="48"/>
        <v>21000</v>
      </c>
      <c r="AA590" s="114" t="s">
        <v>2229</v>
      </c>
      <c r="AB590" s="117">
        <f t="shared" si="49"/>
        <v>21000</v>
      </c>
      <c r="AC590" s="114" t="s">
        <v>2228</v>
      </c>
      <c r="AD590" s="117">
        <f t="shared" si="50"/>
        <v>0</v>
      </c>
      <c r="AE590" s="114" t="s">
        <v>2227</v>
      </c>
      <c r="AF590" s="117">
        <f t="shared" si="51"/>
        <v>0</v>
      </c>
      <c r="AG590" s="114" t="s">
        <v>2226</v>
      </c>
      <c r="AH590" s="116">
        <v>840</v>
      </c>
      <c r="AI590" s="100"/>
      <c r="AJ590" s="100"/>
      <c r="AK590" s="100"/>
      <c r="AL590" s="100"/>
      <c r="AM590" s="100"/>
      <c r="AN590" s="100"/>
      <c r="AO590" s="100"/>
      <c r="AP590" s="100"/>
      <c r="AQ590" s="100"/>
    </row>
    <row r="591" spans="24:43">
      <c r="X591" s="114" t="s">
        <v>14286</v>
      </c>
      <c r="Y591" s="115">
        <v>5137.625</v>
      </c>
      <c r="Z591" s="116">
        <f t="shared" si="48"/>
        <v>5137.625</v>
      </c>
      <c r="AA591" s="114" t="s">
        <v>2229</v>
      </c>
      <c r="AB591" s="117">
        <f t="shared" si="49"/>
        <v>5137</v>
      </c>
      <c r="AC591" s="114" t="s">
        <v>2228</v>
      </c>
      <c r="AD591" s="117">
        <f t="shared" si="50"/>
        <v>6</v>
      </c>
      <c r="AE591" s="114" t="s">
        <v>2227</v>
      </c>
      <c r="AF591" s="117">
        <f t="shared" si="51"/>
        <v>2.5</v>
      </c>
      <c r="AG591" s="114" t="s">
        <v>2226</v>
      </c>
      <c r="AH591" s="116">
        <v>205.5</v>
      </c>
      <c r="AI591" s="100"/>
      <c r="AJ591" s="100"/>
      <c r="AK591" s="100"/>
      <c r="AL591" s="100"/>
      <c r="AM591" s="100"/>
      <c r="AN591" s="100"/>
      <c r="AO591" s="100"/>
      <c r="AP591" s="100"/>
      <c r="AQ591" s="100"/>
    </row>
    <row r="592" spans="24:43">
      <c r="X592" s="114" t="s">
        <v>14287</v>
      </c>
      <c r="Y592" s="115">
        <v>1175</v>
      </c>
      <c r="Z592" s="116">
        <f t="shared" si="48"/>
        <v>1175</v>
      </c>
      <c r="AA592" s="114" t="s">
        <v>2229</v>
      </c>
      <c r="AB592" s="117">
        <f t="shared" si="49"/>
        <v>1175</v>
      </c>
      <c r="AC592" s="114" t="s">
        <v>2228</v>
      </c>
      <c r="AD592" s="117">
        <f t="shared" si="50"/>
        <v>0</v>
      </c>
      <c r="AE592" s="114" t="s">
        <v>2227</v>
      </c>
      <c r="AF592" s="117">
        <f t="shared" si="51"/>
        <v>0</v>
      </c>
      <c r="AG592" s="114" t="s">
        <v>2226</v>
      </c>
      <c r="AH592" s="116">
        <v>47</v>
      </c>
      <c r="AI592" s="100"/>
      <c r="AJ592" s="100"/>
      <c r="AK592" s="100"/>
      <c r="AL592" s="100"/>
      <c r="AM592" s="100"/>
      <c r="AN592" s="100"/>
      <c r="AO592" s="100"/>
      <c r="AP592" s="100"/>
      <c r="AQ592" s="100"/>
    </row>
    <row r="593" spans="24:43">
      <c r="X593" s="114" t="s">
        <v>14288</v>
      </c>
      <c r="Y593" s="115">
        <v>2500</v>
      </c>
      <c r="Z593" s="116">
        <f t="shared" si="48"/>
        <v>2500</v>
      </c>
      <c r="AA593" s="114" t="s">
        <v>2229</v>
      </c>
      <c r="AB593" s="117">
        <f t="shared" si="49"/>
        <v>2500</v>
      </c>
      <c r="AC593" s="114" t="s">
        <v>2228</v>
      </c>
      <c r="AD593" s="117">
        <f t="shared" si="50"/>
        <v>0</v>
      </c>
      <c r="AE593" s="114" t="s">
        <v>2227</v>
      </c>
      <c r="AF593" s="117">
        <f t="shared" si="51"/>
        <v>0</v>
      </c>
      <c r="AG593" s="114" t="s">
        <v>2226</v>
      </c>
      <c r="AH593" s="116">
        <v>100</v>
      </c>
      <c r="AI593" s="100"/>
      <c r="AJ593" s="100"/>
      <c r="AK593" s="100"/>
      <c r="AL593" s="100"/>
      <c r="AM593" s="100"/>
      <c r="AN593" s="100"/>
      <c r="AO593" s="100"/>
      <c r="AP593" s="100"/>
      <c r="AQ593" s="100"/>
    </row>
    <row r="594" spans="24:43">
      <c r="X594" s="114" t="s">
        <v>14289</v>
      </c>
      <c r="Y594" s="115">
        <v>55</v>
      </c>
      <c r="Z594" s="116">
        <f t="shared" si="48"/>
        <v>55</v>
      </c>
      <c r="AA594" s="114" t="s">
        <v>2229</v>
      </c>
      <c r="AB594" s="117">
        <f t="shared" si="49"/>
        <v>55</v>
      </c>
      <c r="AC594" s="114" t="s">
        <v>2228</v>
      </c>
      <c r="AD594" s="117">
        <f t="shared" si="50"/>
        <v>0</v>
      </c>
      <c r="AE594" s="114" t="s">
        <v>2227</v>
      </c>
      <c r="AF594" s="117">
        <f t="shared" si="51"/>
        <v>0</v>
      </c>
      <c r="AG594" s="114" t="s">
        <v>2226</v>
      </c>
      <c r="AH594" s="116">
        <v>2.2000000000000002</v>
      </c>
      <c r="AI594" s="100"/>
      <c r="AJ594" s="100"/>
      <c r="AK594" s="100"/>
      <c r="AL594" s="100"/>
      <c r="AM594" s="100"/>
      <c r="AN594" s="100"/>
      <c r="AO594" s="100"/>
      <c r="AP594" s="100"/>
      <c r="AQ594" s="100"/>
    </row>
    <row r="595" spans="24:43">
      <c r="X595" s="114" t="s">
        <v>14290</v>
      </c>
      <c r="Y595" s="115">
        <v>16875.125</v>
      </c>
      <c r="Z595" s="116">
        <f t="shared" si="48"/>
        <v>16875.125</v>
      </c>
      <c r="AA595" s="114" t="s">
        <v>2229</v>
      </c>
      <c r="AB595" s="117">
        <f t="shared" si="49"/>
        <v>16875</v>
      </c>
      <c r="AC595" s="114" t="s">
        <v>2228</v>
      </c>
      <c r="AD595" s="117">
        <f t="shared" si="50"/>
        <v>1</v>
      </c>
      <c r="AE595" s="114" t="s">
        <v>2227</v>
      </c>
      <c r="AF595" s="117">
        <f t="shared" si="51"/>
        <v>2.5</v>
      </c>
      <c r="AG595" s="114" t="s">
        <v>2226</v>
      </c>
      <c r="AH595" s="116">
        <v>675</v>
      </c>
      <c r="AI595" s="100"/>
      <c r="AJ595" s="100"/>
      <c r="AK595" s="100"/>
      <c r="AL595" s="100"/>
      <c r="AM595" s="100"/>
      <c r="AN595" s="100"/>
      <c r="AO595" s="100"/>
      <c r="AP595" s="100"/>
      <c r="AQ595" s="100"/>
    </row>
    <row r="596" spans="24:43">
      <c r="X596" s="114" t="s">
        <v>14291</v>
      </c>
      <c r="Y596" s="115">
        <v>80</v>
      </c>
      <c r="Z596" s="116">
        <f t="shared" si="48"/>
        <v>80</v>
      </c>
      <c r="AA596" s="114" t="s">
        <v>2229</v>
      </c>
      <c r="AB596" s="117">
        <f t="shared" si="49"/>
        <v>80</v>
      </c>
      <c r="AC596" s="114" t="s">
        <v>2228</v>
      </c>
      <c r="AD596" s="117">
        <f t="shared" si="50"/>
        <v>0</v>
      </c>
      <c r="AE596" s="114" t="s">
        <v>2227</v>
      </c>
      <c r="AF596" s="117">
        <f t="shared" si="51"/>
        <v>0</v>
      </c>
      <c r="AG596" s="114" t="s">
        <v>2226</v>
      </c>
      <c r="AH596" s="116">
        <v>3.2</v>
      </c>
      <c r="AI596" s="100"/>
      <c r="AJ596" s="100"/>
      <c r="AK596" s="100"/>
      <c r="AL596" s="100"/>
      <c r="AM596" s="100"/>
      <c r="AN596" s="100"/>
      <c r="AO596" s="100"/>
      <c r="AP596" s="100"/>
      <c r="AQ596" s="100"/>
    </row>
    <row r="597" spans="24:43">
      <c r="X597" s="114" t="s">
        <v>14292</v>
      </c>
      <c r="Y597" s="115">
        <v>1125</v>
      </c>
      <c r="Z597" s="116">
        <f t="shared" si="48"/>
        <v>1125</v>
      </c>
      <c r="AA597" s="114" t="s">
        <v>2229</v>
      </c>
      <c r="AB597" s="117">
        <f t="shared" si="49"/>
        <v>1125</v>
      </c>
      <c r="AC597" s="114" t="s">
        <v>2228</v>
      </c>
      <c r="AD597" s="117">
        <f t="shared" si="50"/>
        <v>0</v>
      </c>
      <c r="AE597" s="114" t="s">
        <v>2227</v>
      </c>
      <c r="AF597" s="117">
        <f t="shared" si="51"/>
        <v>0</v>
      </c>
      <c r="AG597" s="114" t="s">
        <v>2226</v>
      </c>
      <c r="AH597" s="116">
        <v>45</v>
      </c>
      <c r="AI597" s="100"/>
      <c r="AJ597" s="100"/>
      <c r="AK597" s="100"/>
      <c r="AL597" s="100"/>
      <c r="AM597" s="100"/>
      <c r="AN597" s="100"/>
      <c r="AO597" s="100"/>
      <c r="AP597" s="100"/>
      <c r="AQ597" s="100"/>
    </row>
    <row r="598" spans="24:43">
      <c r="X598" s="114" t="s">
        <v>14293</v>
      </c>
      <c r="Y598" s="115">
        <v>6875.25</v>
      </c>
      <c r="Z598" s="116">
        <f t="shared" si="48"/>
        <v>6875.25</v>
      </c>
      <c r="AA598" s="114" t="s">
        <v>2229</v>
      </c>
      <c r="AB598" s="117">
        <f t="shared" si="49"/>
        <v>6875</v>
      </c>
      <c r="AC598" s="114" t="s">
        <v>2228</v>
      </c>
      <c r="AD598" s="117">
        <f t="shared" si="50"/>
        <v>2</v>
      </c>
      <c r="AE598" s="114" t="s">
        <v>2227</v>
      </c>
      <c r="AF598" s="117">
        <f t="shared" si="51"/>
        <v>5</v>
      </c>
      <c r="AG598" s="114" t="s">
        <v>2226</v>
      </c>
      <c r="AH598" s="116">
        <v>275.01</v>
      </c>
      <c r="AI598" s="100"/>
      <c r="AJ598" s="100"/>
      <c r="AK598" s="100"/>
      <c r="AL598" s="100"/>
      <c r="AM598" s="100"/>
      <c r="AN598" s="100"/>
      <c r="AO598" s="100"/>
      <c r="AP598" s="100"/>
      <c r="AQ598" s="100"/>
    </row>
    <row r="599" spans="24:43">
      <c r="X599" s="114" t="s">
        <v>14294</v>
      </c>
      <c r="Y599" s="115">
        <v>47000</v>
      </c>
      <c r="Z599" s="116">
        <f t="shared" si="48"/>
        <v>47000</v>
      </c>
      <c r="AA599" s="114" t="s">
        <v>2229</v>
      </c>
      <c r="AB599" s="117">
        <f t="shared" si="49"/>
        <v>47000</v>
      </c>
      <c r="AC599" s="114" t="s">
        <v>2228</v>
      </c>
      <c r="AD599" s="117">
        <f t="shared" si="50"/>
        <v>0</v>
      </c>
      <c r="AE599" s="114" t="s">
        <v>2227</v>
      </c>
      <c r="AF599" s="117">
        <f t="shared" si="51"/>
        <v>0</v>
      </c>
      <c r="AG599" s="114" t="s">
        <v>2226</v>
      </c>
      <c r="AH599" s="116">
        <v>1880</v>
      </c>
      <c r="AI599" s="100"/>
      <c r="AJ599" s="100"/>
      <c r="AK599" s="100"/>
      <c r="AL599" s="100"/>
      <c r="AM599" s="100"/>
      <c r="AN599" s="100"/>
      <c r="AO599" s="100"/>
      <c r="AP599" s="100"/>
      <c r="AQ599" s="100"/>
    </row>
    <row r="600" spans="24:43">
      <c r="X600" s="114" t="s">
        <v>14295</v>
      </c>
      <c r="Y600" s="115">
        <v>6750</v>
      </c>
      <c r="Z600" s="116">
        <f t="shared" si="48"/>
        <v>6750</v>
      </c>
      <c r="AA600" s="114" t="s">
        <v>2229</v>
      </c>
      <c r="AB600" s="117">
        <f t="shared" si="49"/>
        <v>6750</v>
      </c>
      <c r="AC600" s="114" t="s">
        <v>2228</v>
      </c>
      <c r="AD600" s="117">
        <f t="shared" si="50"/>
        <v>0</v>
      </c>
      <c r="AE600" s="114" t="s">
        <v>2227</v>
      </c>
      <c r="AF600" s="117">
        <f t="shared" si="51"/>
        <v>0</v>
      </c>
      <c r="AG600" s="114" t="s">
        <v>2226</v>
      </c>
      <c r="AH600" s="116">
        <v>270</v>
      </c>
      <c r="AI600" s="100"/>
      <c r="AJ600" s="100"/>
      <c r="AK600" s="100"/>
      <c r="AL600" s="100"/>
      <c r="AM600" s="100"/>
      <c r="AN600" s="100"/>
      <c r="AO600" s="100"/>
      <c r="AP600" s="100"/>
      <c r="AQ600" s="100"/>
    </row>
    <row r="601" spans="24:43">
      <c r="X601" s="114" t="s">
        <v>14296</v>
      </c>
      <c r="Y601" s="115">
        <v>4487.625</v>
      </c>
      <c r="Z601" s="116">
        <f t="shared" si="48"/>
        <v>4487.625</v>
      </c>
      <c r="AA601" s="114" t="s">
        <v>2229</v>
      </c>
      <c r="AB601" s="117">
        <f t="shared" si="49"/>
        <v>4487</v>
      </c>
      <c r="AC601" s="114" t="s">
        <v>2228</v>
      </c>
      <c r="AD601" s="117">
        <f t="shared" si="50"/>
        <v>6</v>
      </c>
      <c r="AE601" s="114" t="s">
        <v>2227</v>
      </c>
      <c r="AF601" s="117">
        <f t="shared" si="51"/>
        <v>2.5</v>
      </c>
      <c r="AG601" s="114" t="s">
        <v>2226</v>
      </c>
      <c r="AH601" s="116">
        <v>179.5</v>
      </c>
      <c r="AI601" s="100"/>
      <c r="AJ601" s="100"/>
      <c r="AK601" s="100"/>
      <c r="AL601" s="100"/>
      <c r="AM601" s="100"/>
      <c r="AN601" s="100"/>
      <c r="AO601" s="100"/>
      <c r="AP601" s="100"/>
      <c r="AQ601" s="100"/>
    </row>
    <row r="602" spans="24:43">
      <c r="X602" s="114" t="s">
        <v>14297</v>
      </c>
      <c r="Y602" s="115">
        <v>60</v>
      </c>
      <c r="Z602" s="116">
        <f t="shared" si="48"/>
        <v>60</v>
      </c>
      <c r="AA602" s="114" t="s">
        <v>2229</v>
      </c>
      <c r="AB602" s="117">
        <f t="shared" si="49"/>
        <v>60</v>
      </c>
      <c r="AC602" s="114" t="s">
        <v>2228</v>
      </c>
      <c r="AD602" s="117">
        <f t="shared" si="50"/>
        <v>0</v>
      </c>
      <c r="AE602" s="114" t="s">
        <v>2227</v>
      </c>
      <c r="AF602" s="117">
        <f t="shared" si="51"/>
        <v>0</v>
      </c>
      <c r="AG602" s="114" t="s">
        <v>2226</v>
      </c>
      <c r="AH602" s="116">
        <v>2.4</v>
      </c>
      <c r="AI602" s="100"/>
      <c r="AJ602" s="100"/>
      <c r="AK602" s="100"/>
      <c r="AL602" s="100"/>
      <c r="AM602" s="100"/>
      <c r="AN602" s="100"/>
      <c r="AO602" s="100"/>
      <c r="AP602" s="100"/>
      <c r="AQ602" s="100"/>
    </row>
    <row r="603" spans="24:43">
      <c r="X603" s="114" t="s">
        <v>14298</v>
      </c>
      <c r="Y603" s="115">
        <v>60</v>
      </c>
      <c r="Z603" s="116">
        <f t="shared" si="48"/>
        <v>60</v>
      </c>
      <c r="AA603" s="114" t="s">
        <v>2229</v>
      </c>
      <c r="AB603" s="117">
        <f t="shared" si="49"/>
        <v>60</v>
      </c>
      <c r="AC603" s="114" t="s">
        <v>2228</v>
      </c>
      <c r="AD603" s="117">
        <f t="shared" si="50"/>
        <v>0</v>
      </c>
      <c r="AE603" s="114" t="s">
        <v>2227</v>
      </c>
      <c r="AF603" s="117">
        <f t="shared" si="51"/>
        <v>0</v>
      </c>
      <c r="AG603" s="114" t="s">
        <v>2226</v>
      </c>
      <c r="AH603" s="116">
        <v>2.4</v>
      </c>
      <c r="AI603" s="100"/>
      <c r="AJ603" s="100"/>
      <c r="AK603" s="100"/>
      <c r="AL603" s="100"/>
      <c r="AM603" s="100"/>
      <c r="AN603" s="100"/>
      <c r="AO603" s="100"/>
      <c r="AP603" s="100"/>
      <c r="AQ603" s="100"/>
    </row>
    <row r="604" spans="24:43">
      <c r="X604" s="114" t="s">
        <v>14299</v>
      </c>
      <c r="Y604" s="115">
        <v>1840</v>
      </c>
      <c r="Z604" s="116">
        <f t="shared" si="48"/>
        <v>1840</v>
      </c>
      <c r="AA604" s="114" t="s">
        <v>2229</v>
      </c>
      <c r="AB604" s="117">
        <f t="shared" si="49"/>
        <v>1840</v>
      </c>
      <c r="AC604" s="114" t="s">
        <v>2228</v>
      </c>
      <c r="AD604" s="117">
        <f t="shared" si="50"/>
        <v>0</v>
      </c>
      <c r="AE604" s="114" t="s">
        <v>2227</v>
      </c>
      <c r="AF604" s="117">
        <f t="shared" si="51"/>
        <v>0</v>
      </c>
      <c r="AG604" s="114" t="s">
        <v>2226</v>
      </c>
      <c r="AH604" s="116">
        <v>73.600000000000009</v>
      </c>
      <c r="AI604" s="100"/>
      <c r="AJ604" s="100"/>
      <c r="AK604" s="100"/>
      <c r="AL604" s="100"/>
      <c r="AM604" s="100"/>
      <c r="AN604" s="100"/>
      <c r="AO604" s="100"/>
      <c r="AP604" s="100"/>
      <c r="AQ604" s="100"/>
    </row>
    <row r="605" spans="24:43">
      <c r="X605" s="114" t="s">
        <v>14300</v>
      </c>
      <c r="Y605" s="115">
        <v>112500.5</v>
      </c>
      <c r="Z605" s="116">
        <f t="shared" si="48"/>
        <v>112500.5</v>
      </c>
      <c r="AA605" s="114" t="s">
        <v>2229</v>
      </c>
      <c r="AB605" s="117">
        <f t="shared" si="49"/>
        <v>112500</v>
      </c>
      <c r="AC605" s="114" t="s">
        <v>2228</v>
      </c>
      <c r="AD605" s="117">
        <f t="shared" si="50"/>
        <v>5</v>
      </c>
      <c r="AE605" s="114" t="s">
        <v>2227</v>
      </c>
      <c r="AF605" s="117">
        <f t="shared" si="51"/>
        <v>0</v>
      </c>
      <c r="AG605" s="114" t="s">
        <v>2226</v>
      </c>
      <c r="AH605" s="116">
        <v>4500.0200000000004</v>
      </c>
      <c r="AI605" s="100"/>
      <c r="AJ605" s="100"/>
      <c r="AK605" s="100"/>
      <c r="AL605" s="100"/>
      <c r="AM605" s="100"/>
      <c r="AN605" s="100"/>
      <c r="AO605" s="100"/>
      <c r="AP605" s="100"/>
      <c r="AQ605" s="100"/>
    </row>
    <row r="606" spans="24:43">
      <c r="X606" s="114" t="s">
        <v>14301</v>
      </c>
      <c r="Y606" s="115">
        <v>112500.5</v>
      </c>
      <c r="Z606" s="116">
        <f t="shared" si="48"/>
        <v>112500.5</v>
      </c>
      <c r="AA606" s="114" t="s">
        <v>2229</v>
      </c>
      <c r="AB606" s="117">
        <f t="shared" si="49"/>
        <v>112500</v>
      </c>
      <c r="AC606" s="114" t="s">
        <v>2228</v>
      </c>
      <c r="AD606" s="117">
        <f t="shared" si="50"/>
        <v>5</v>
      </c>
      <c r="AE606" s="114" t="s">
        <v>2227</v>
      </c>
      <c r="AF606" s="117">
        <f t="shared" si="51"/>
        <v>0</v>
      </c>
      <c r="AG606" s="114" t="s">
        <v>2226</v>
      </c>
      <c r="AH606" s="116">
        <v>4500.0200000000004</v>
      </c>
      <c r="AI606" s="100"/>
      <c r="AJ606" s="100"/>
      <c r="AK606" s="100"/>
      <c r="AL606" s="100"/>
      <c r="AM606" s="100"/>
      <c r="AN606" s="100"/>
      <c r="AO606" s="100"/>
      <c r="AP606" s="100"/>
      <c r="AQ606" s="100"/>
    </row>
    <row r="607" spans="24:43">
      <c r="X607" s="114" t="s">
        <v>14302</v>
      </c>
      <c r="Y607" s="115">
        <v>212.625</v>
      </c>
      <c r="Z607" s="116">
        <f t="shared" si="48"/>
        <v>212.625</v>
      </c>
      <c r="AA607" s="114" t="s">
        <v>2229</v>
      </c>
      <c r="AB607" s="117">
        <f t="shared" si="49"/>
        <v>212</v>
      </c>
      <c r="AC607" s="114" t="s">
        <v>2228</v>
      </c>
      <c r="AD607" s="117">
        <f t="shared" si="50"/>
        <v>6</v>
      </c>
      <c r="AE607" s="114" t="s">
        <v>2227</v>
      </c>
      <c r="AF607" s="117">
        <f t="shared" si="51"/>
        <v>2.5</v>
      </c>
      <c r="AG607" s="114" t="s">
        <v>2226</v>
      </c>
      <c r="AH607" s="116">
        <v>8.5</v>
      </c>
      <c r="AI607" s="100"/>
      <c r="AJ607" s="100"/>
      <c r="AK607" s="100"/>
      <c r="AL607" s="100"/>
      <c r="AM607" s="100"/>
      <c r="AN607" s="100"/>
      <c r="AO607" s="100"/>
      <c r="AP607" s="100"/>
      <c r="AQ607" s="100"/>
    </row>
    <row r="608" spans="24:43">
      <c r="X608" s="114" t="s">
        <v>14303</v>
      </c>
      <c r="Y608" s="115">
        <v>55</v>
      </c>
      <c r="Z608" s="116">
        <f t="shared" si="48"/>
        <v>55</v>
      </c>
      <c r="AA608" s="114" t="s">
        <v>2229</v>
      </c>
      <c r="AB608" s="117">
        <f t="shared" si="49"/>
        <v>55</v>
      </c>
      <c r="AC608" s="114" t="s">
        <v>2228</v>
      </c>
      <c r="AD608" s="117">
        <f t="shared" si="50"/>
        <v>0</v>
      </c>
      <c r="AE608" s="114" t="s">
        <v>2227</v>
      </c>
      <c r="AF608" s="117">
        <f t="shared" si="51"/>
        <v>0</v>
      </c>
      <c r="AG608" s="114" t="s">
        <v>2226</v>
      </c>
      <c r="AH608" s="116">
        <v>2.2000000000000002</v>
      </c>
      <c r="AI608" s="100"/>
      <c r="AJ608" s="100"/>
      <c r="AK608" s="100"/>
      <c r="AL608" s="100"/>
      <c r="AM608" s="100"/>
      <c r="AN608" s="100"/>
      <c r="AO608" s="100"/>
      <c r="AP608" s="100"/>
      <c r="AQ608" s="100"/>
    </row>
    <row r="609" spans="24:43">
      <c r="X609" s="114" t="s">
        <v>14304</v>
      </c>
      <c r="Y609" s="115">
        <v>412.625</v>
      </c>
      <c r="Z609" s="116">
        <f t="shared" si="48"/>
        <v>412.625</v>
      </c>
      <c r="AA609" s="114" t="s">
        <v>2229</v>
      </c>
      <c r="AB609" s="117">
        <f t="shared" si="49"/>
        <v>412</v>
      </c>
      <c r="AC609" s="114" t="s">
        <v>2228</v>
      </c>
      <c r="AD609" s="117">
        <f t="shared" si="50"/>
        <v>6</v>
      </c>
      <c r="AE609" s="114" t="s">
        <v>2227</v>
      </c>
      <c r="AF609" s="117">
        <f t="shared" si="51"/>
        <v>2.5</v>
      </c>
      <c r="AG609" s="114" t="s">
        <v>2226</v>
      </c>
      <c r="AH609" s="116">
        <v>16.5</v>
      </c>
      <c r="AI609" s="100"/>
      <c r="AJ609" s="100"/>
      <c r="AK609" s="100"/>
      <c r="AL609" s="100"/>
      <c r="AM609" s="100"/>
      <c r="AN609" s="100"/>
      <c r="AO609" s="100"/>
      <c r="AP609" s="100"/>
      <c r="AQ609" s="100"/>
    </row>
    <row r="610" spans="24:43">
      <c r="X610" s="114" t="s">
        <v>9114</v>
      </c>
      <c r="Y610" s="115">
        <v>1250</v>
      </c>
      <c r="Z610" s="116">
        <f t="shared" si="48"/>
        <v>1250</v>
      </c>
      <c r="AA610" s="114" t="s">
        <v>2229</v>
      </c>
      <c r="AB610" s="117">
        <f t="shared" si="49"/>
        <v>1250</v>
      </c>
      <c r="AC610" s="114" t="s">
        <v>2228</v>
      </c>
      <c r="AD610" s="117">
        <f t="shared" si="50"/>
        <v>0</v>
      </c>
      <c r="AE610" s="114" t="s">
        <v>2227</v>
      </c>
      <c r="AF610" s="117">
        <f t="shared" si="51"/>
        <v>0</v>
      </c>
      <c r="AG610" s="114" t="s">
        <v>2226</v>
      </c>
      <c r="AH610" s="116">
        <v>50</v>
      </c>
      <c r="AI610" s="100"/>
      <c r="AJ610" s="100"/>
      <c r="AK610" s="100"/>
      <c r="AL610" s="100"/>
      <c r="AM610" s="100"/>
      <c r="AN610" s="100"/>
      <c r="AO610" s="100"/>
      <c r="AP610" s="100"/>
      <c r="AQ610" s="100"/>
    </row>
    <row r="611" spans="24:43">
      <c r="X611" s="114" t="s">
        <v>8889</v>
      </c>
      <c r="Y611" s="115">
        <v>10150</v>
      </c>
      <c r="Z611" s="116">
        <f t="shared" si="48"/>
        <v>10150</v>
      </c>
      <c r="AA611" s="114" t="s">
        <v>2229</v>
      </c>
      <c r="AB611" s="117">
        <f t="shared" si="49"/>
        <v>10150</v>
      </c>
      <c r="AC611" s="114" t="s">
        <v>2228</v>
      </c>
      <c r="AD611" s="117">
        <f t="shared" si="50"/>
        <v>0</v>
      </c>
      <c r="AE611" s="114" t="s">
        <v>2227</v>
      </c>
      <c r="AF611" s="117">
        <f t="shared" si="51"/>
        <v>0</v>
      </c>
      <c r="AG611" s="114" t="s">
        <v>2226</v>
      </c>
      <c r="AH611" s="116">
        <v>406</v>
      </c>
      <c r="AI611" s="100"/>
      <c r="AJ611" s="100"/>
      <c r="AK611" s="100"/>
      <c r="AL611" s="100"/>
      <c r="AM611" s="100"/>
      <c r="AN611" s="100"/>
      <c r="AO611" s="100"/>
      <c r="AP611" s="100"/>
      <c r="AQ611" s="100"/>
    </row>
    <row r="612" spans="24:43">
      <c r="X612" s="114" t="s">
        <v>14305</v>
      </c>
      <c r="Y612" s="115">
        <v>6875.25</v>
      </c>
      <c r="Z612" s="116">
        <f t="shared" si="48"/>
        <v>6875.25</v>
      </c>
      <c r="AA612" s="114" t="s">
        <v>2229</v>
      </c>
      <c r="AB612" s="117">
        <f t="shared" si="49"/>
        <v>6875</v>
      </c>
      <c r="AC612" s="114" t="s">
        <v>2228</v>
      </c>
      <c r="AD612" s="117">
        <f t="shared" si="50"/>
        <v>2</v>
      </c>
      <c r="AE612" s="114" t="s">
        <v>2227</v>
      </c>
      <c r="AF612" s="117">
        <f t="shared" si="51"/>
        <v>5</v>
      </c>
      <c r="AG612" s="114" t="s">
        <v>2226</v>
      </c>
      <c r="AH612" s="116">
        <v>275.01</v>
      </c>
      <c r="AI612" s="100"/>
      <c r="AJ612" s="100"/>
      <c r="AK612" s="100"/>
      <c r="AL612" s="100"/>
      <c r="AM612" s="100"/>
      <c r="AN612" s="100"/>
      <c r="AO612" s="100"/>
      <c r="AP612" s="100"/>
      <c r="AQ612" s="100"/>
    </row>
    <row r="613" spans="24:43">
      <c r="X613" s="114" t="s">
        <v>14306</v>
      </c>
      <c r="Y613" s="115">
        <v>6875.25</v>
      </c>
      <c r="Z613" s="116">
        <f t="shared" si="48"/>
        <v>6875.25</v>
      </c>
      <c r="AA613" s="114" t="s">
        <v>2229</v>
      </c>
      <c r="AB613" s="117">
        <f t="shared" si="49"/>
        <v>6875</v>
      </c>
      <c r="AC613" s="114" t="s">
        <v>2228</v>
      </c>
      <c r="AD613" s="117">
        <f t="shared" si="50"/>
        <v>2</v>
      </c>
      <c r="AE613" s="114" t="s">
        <v>2227</v>
      </c>
      <c r="AF613" s="117">
        <f t="shared" si="51"/>
        <v>5</v>
      </c>
      <c r="AG613" s="114" t="s">
        <v>2226</v>
      </c>
      <c r="AH613" s="116">
        <v>275.01</v>
      </c>
      <c r="AI613" s="100"/>
      <c r="AJ613" s="100"/>
      <c r="AK613" s="100"/>
      <c r="AL613" s="100"/>
      <c r="AM613" s="100"/>
      <c r="AN613" s="100"/>
      <c r="AO613" s="100"/>
      <c r="AP613" s="100"/>
      <c r="AQ613" s="100"/>
    </row>
    <row r="614" spans="24:43">
      <c r="X614" s="114" t="s">
        <v>14307</v>
      </c>
      <c r="Y614" s="115">
        <v>20125.125</v>
      </c>
      <c r="Z614" s="116">
        <f t="shared" si="48"/>
        <v>20125.125</v>
      </c>
      <c r="AA614" s="114" t="s">
        <v>2229</v>
      </c>
      <c r="AB614" s="117">
        <f t="shared" si="49"/>
        <v>20125</v>
      </c>
      <c r="AC614" s="114" t="s">
        <v>2228</v>
      </c>
      <c r="AD614" s="117">
        <f t="shared" si="50"/>
        <v>1</v>
      </c>
      <c r="AE614" s="114" t="s">
        <v>2227</v>
      </c>
      <c r="AF614" s="117">
        <f t="shared" si="51"/>
        <v>2.5</v>
      </c>
      <c r="AG614" s="114" t="s">
        <v>2226</v>
      </c>
      <c r="AH614" s="116">
        <v>805</v>
      </c>
      <c r="AI614" s="100"/>
      <c r="AJ614" s="100"/>
      <c r="AK614" s="100"/>
      <c r="AL614" s="100"/>
      <c r="AM614" s="100"/>
      <c r="AN614" s="100"/>
      <c r="AO614" s="100"/>
      <c r="AP614" s="100"/>
      <c r="AQ614" s="100"/>
    </row>
    <row r="615" spans="24:43">
      <c r="X615" s="114" t="s">
        <v>14308</v>
      </c>
      <c r="Y615" s="115">
        <v>437.625</v>
      </c>
      <c r="Z615" s="116">
        <f t="shared" si="48"/>
        <v>437.625</v>
      </c>
      <c r="AA615" s="114" t="s">
        <v>2229</v>
      </c>
      <c r="AB615" s="117">
        <f t="shared" si="49"/>
        <v>437</v>
      </c>
      <c r="AC615" s="114" t="s">
        <v>2228</v>
      </c>
      <c r="AD615" s="117">
        <f t="shared" si="50"/>
        <v>6</v>
      </c>
      <c r="AE615" s="114" t="s">
        <v>2227</v>
      </c>
      <c r="AF615" s="117">
        <f t="shared" si="51"/>
        <v>2.5</v>
      </c>
      <c r="AG615" s="114" t="s">
        <v>2226</v>
      </c>
      <c r="AH615" s="116">
        <v>17.5</v>
      </c>
      <c r="AI615" s="100"/>
      <c r="AJ615" s="100"/>
      <c r="AK615" s="100"/>
      <c r="AL615" s="100"/>
      <c r="AM615" s="100"/>
      <c r="AN615" s="100"/>
      <c r="AO615" s="100"/>
      <c r="AP615" s="100"/>
      <c r="AQ615" s="100"/>
    </row>
    <row r="616" spans="24:43">
      <c r="X616" s="114" t="s">
        <v>14309</v>
      </c>
      <c r="Y616" s="115">
        <v>60</v>
      </c>
      <c r="Z616" s="116">
        <f t="shared" si="48"/>
        <v>60</v>
      </c>
      <c r="AA616" s="114" t="s">
        <v>2229</v>
      </c>
      <c r="AB616" s="117">
        <f t="shared" si="49"/>
        <v>60</v>
      </c>
      <c r="AC616" s="114" t="s">
        <v>2228</v>
      </c>
      <c r="AD616" s="117">
        <f t="shared" si="50"/>
        <v>0</v>
      </c>
      <c r="AE616" s="114" t="s">
        <v>2227</v>
      </c>
      <c r="AF616" s="117">
        <f t="shared" si="51"/>
        <v>0</v>
      </c>
      <c r="AG616" s="114" t="s">
        <v>2226</v>
      </c>
      <c r="AH616" s="116">
        <v>2.4</v>
      </c>
      <c r="AI616" s="100"/>
      <c r="AJ616" s="100"/>
      <c r="AK616" s="100"/>
      <c r="AL616" s="100"/>
      <c r="AM616" s="100"/>
      <c r="AN616" s="100"/>
      <c r="AO616" s="100"/>
      <c r="AP616" s="100"/>
      <c r="AQ616" s="100"/>
    </row>
    <row r="617" spans="24:43">
      <c r="X617" s="114" t="s">
        <v>14310</v>
      </c>
      <c r="Y617" s="115">
        <v>60</v>
      </c>
      <c r="Z617" s="116">
        <f t="shared" si="48"/>
        <v>60</v>
      </c>
      <c r="AA617" s="114" t="s">
        <v>2229</v>
      </c>
      <c r="AB617" s="117">
        <f t="shared" si="49"/>
        <v>60</v>
      </c>
      <c r="AC617" s="114" t="s">
        <v>2228</v>
      </c>
      <c r="AD617" s="117">
        <f t="shared" si="50"/>
        <v>0</v>
      </c>
      <c r="AE617" s="114" t="s">
        <v>2227</v>
      </c>
      <c r="AF617" s="117">
        <f t="shared" si="51"/>
        <v>0</v>
      </c>
      <c r="AG617" s="114" t="s">
        <v>2226</v>
      </c>
      <c r="AH617" s="116">
        <v>2.4</v>
      </c>
      <c r="AI617" s="100"/>
      <c r="AJ617" s="100"/>
      <c r="AK617" s="100"/>
      <c r="AL617" s="100"/>
      <c r="AM617" s="100"/>
      <c r="AN617" s="100"/>
      <c r="AO617" s="100"/>
      <c r="AP617" s="100"/>
      <c r="AQ617" s="100"/>
    </row>
    <row r="618" spans="24:43">
      <c r="X618" s="114" t="s">
        <v>14311</v>
      </c>
      <c r="Y618" s="115">
        <v>55</v>
      </c>
      <c r="Z618" s="116">
        <f t="shared" si="48"/>
        <v>55</v>
      </c>
      <c r="AA618" s="114" t="s">
        <v>2229</v>
      </c>
      <c r="AB618" s="117">
        <f t="shared" si="49"/>
        <v>55</v>
      </c>
      <c r="AC618" s="114" t="s">
        <v>2228</v>
      </c>
      <c r="AD618" s="117">
        <f t="shared" si="50"/>
        <v>0</v>
      </c>
      <c r="AE618" s="114" t="s">
        <v>2227</v>
      </c>
      <c r="AF618" s="117">
        <f t="shared" si="51"/>
        <v>0</v>
      </c>
      <c r="AG618" s="114" t="s">
        <v>2226</v>
      </c>
      <c r="AH618" s="116">
        <v>2.2000000000000002</v>
      </c>
      <c r="AI618" s="100"/>
      <c r="AJ618" s="100"/>
      <c r="AK618" s="100"/>
      <c r="AL618" s="100"/>
      <c r="AM618" s="100"/>
      <c r="AN618" s="100"/>
      <c r="AO618" s="100"/>
      <c r="AP618" s="100"/>
      <c r="AQ618" s="100"/>
    </row>
    <row r="619" spans="24:43">
      <c r="X619" s="114" t="s">
        <v>14312</v>
      </c>
      <c r="Y619" s="115">
        <v>6875.25</v>
      </c>
      <c r="Z619" s="116">
        <f t="shared" si="48"/>
        <v>6875.25</v>
      </c>
      <c r="AA619" s="114" t="s">
        <v>2229</v>
      </c>
      <c r="AB619" s="117">
        <f t="shared" si="49"/>
        <v>6875</v>
      </c>
      <c r="AC619" s="114" t="s">
        <v>2228</v>
      </c>
      <c r="AD619" s="117">
        <f t="shared" si="50"/>
        <v>2</v>
      </c>
      <c r="AE619" s="114" t="s">
        <v>2227</v>
      </c>
      <c r="AF619" s="117">
        <f t="shared" si="51"/>
        <v>5</v>
      </c>
      <c r="AG619" s="114" t="s">
        <v>2226</v>
      </c>
      <c r="AH619" s="116">
        <v>275.01</v>
      </c>
      <c r="AI619" s="100"/>
      <c r="AJ619" s="100"/>
      <c r="AK619" s="100"/>
      <c r="AL619" s="100"/>
      <c r="AM619" s="100"/>
      <c r="AN619" s="100"/>
      <c r="AO619" s="100"/>
      <c r="AP619" s="100"/>
      <c r="AQ619" s="100"/>
    </row>
    <row r="620" spans="24:43">
      <c r="X620" s="114" t="s">
        <v>14313</v>
      </c>
      <c r="Y620" s="115">
        <v>3500</v>
      </c>
      <c r="Z620" s="116">
        <f t="shared" si="48"/>
        <v>3500</v>
      </c>
      <c r="AA620" s="114" t="s">
        <v>2229</v>
      </c>
      <c r="AB620" s="117">
        <f t="shared" si="49"/>
        <v>3500</v>
      </c>
      <c r="AC620" s="114" t="s">
        <v>2228</v>
      </c>
      <c r="AD620" s="117">
        <f t="shared" si="50"/>
        <v>0</v>
      </c>
      <c r="AE620" s="114" t="s">
        <v>2227</v>
      </c>
      <c r="AF620" s="117">
        <f t="shared" si="51"/>
        <v>0</v>
      </c>
      <c r="AG620" s="114" t="s">
        <v>2226</v>
      </c>
      <c r="AH620" s="116">
        <v>140</v>
      </c>
      <c r="AI620" s="100"/>
      <c r="AJ620" s="100"/>
      <c r="AK620" s="100"/>
      <c r="AL620" s="100"/>
      <c r="AM620" s="100"/>
      <c r="AN620" s="100"/>
      <c r="AO620" s="100"/>
      <c r="AP620" s="100"/>
      <c r="AQ620" s="100"/>
    </row>
    <row r="621" spans="24:43">
      <c r="X621" s="114" t="s">
        <v>14314</v>
      </c>
      <c r="Y621" s="115">
        <v>99250.25</v>
      </c>
      <c r="Z621" s="116">
        <f t="shared" si="48"/>
        <v>99250.25</v>
      </c>
      <c r="AA621" s="114" t="s">
        <v>2229</v>
      </c>
      <c r="AB621" s="117">
        <f t="shared" si="49"/>
        <v>99250</v>
      </c>
      <c r="AC621" s="114" t="s">
        <v>2228</v>
      </c>
      <c r="AD621" s="117">
        <f t="shared" si="50"/>
        <v>2</v>
      </c>
      <c r="AE621" s="114" t="s">
        <v>2227</v>
      </c>
      <c r="AF621" s="117">
        <f t="shared" si="51"/>
        <v>5</v>
      </c>
      <c r="AG621" s="114" t="s">
        <v>2226</v>
      </c>
      <c r="AH621" s="116">
        <v>3970.01</v>
      </c>
      <c r="AI621" s="100"/>
      <c r="AJ621" s="100"/>
      <c r="AK621" s="100"/>
      <c r="AL621" s="100"/>
      <c r="AM621" s="100"/>
      <c r="AN621" s="100"/>
      <c r="AO621" s="100"/>
      <c r="AP621" s="100"/>
      <c r="AQ621" s="100"/>
    </row>
    <row r="622" spans="24:43">
      <c r="X622" s="114" t="s">
        <v>14315</v>
      </c>
      <c r="Y622" s="115">
        <v>31250.25</v>
      </c>
      <c r="Z622" s="116">
        <f t="shared" si="48"/>
        <v>31250.25</v>
      </c>
      <c r="AA622" s="114" t="s">
        <v>2229</v>
      </c>
      <c r="AB622" s="117">
        <f t="shared" si="49"/>
        <v>31250</v>
      </c>
      <c r="AC622" s="114" t="s">
        <v>2228</v>
      </c>
      <c r="AD622" s="117">
        <f t="shared" si="50"/>
        <v>2</v>
      </c>
      <c r="AE622" s="114" t="s">
        <v>2227</v>
      </c>
      <c r="AF622" s="117">
        <f t="shared" si="51"/>
        <v>5</v>
      </c>
      <c r="AG622" s="114" t="s">
        <v>2226</v>
      </c>
      <c r="AH622" s="116">
        <v>1250.01</v>
      </c>
      <c r="AI622" s="100"/>
      <c r="AJ622" s="100"/>
      <c r="AK622" s="100"/>
      <c r="AL622" s="100"/>
      <c r="AM622" s="100"/>
      <c r="AN622" s="100"/>
      <c r="AO622" s="100"/>
      <c r="AP622" s="100"/>
      <c r="AQ622" s="100"/>
    </row>
    <row r="623" spans="24:43">
      <c r="X623" s="114" t="s">
        <v>8893</v>
      </c>
      <c r="Y623" s="115">
        <v>975</v>
      </c>
      <c r="Z623" s="116">
        <f t="shared" si="48"/>
        <v>975</v>
      </c>
      <c r="AA623" s="114" t="s">
        <v>2229</v>
      </c>
      <c r="AB623" s="117">
        <f t="shared" si="49"/>
        <v>975</v>
      </c>
      <c r="AC623" s="114" t="s">
        <v>2228</v>
      </c>
      <c r="AD623" s="117">
        <f t="shared" si="50"/>
        <v>0</v>
      </c>
      <c r="AE623" s="114" t="s">
        <v>2227</v>
      </c>
      <c r="AF623" s="117">
        <f t="shared" si="51"/>
        <v>0</v>
      </c>
      <c r="AG623" s="114" t="s">
        <v>2226</v>
      </c>
      <c r="AH623" s="116">
        <v>39</v>
      </c>
      <c r="AI623" s="100"/>
      <c r="AJ623" s="100"/>
      <c r="AK623" s="100"/>
      <c r="AL623" s="100"/>
      <c r="AM623" s="100"/>
      <c r="AN623" s="100"/>
      <c r="AO623" s="100"/>
      <c r="AP623" s="100"/>
      <c r="AQ623" s="100"/>
    </row>
    <row r="624" spans="24:43">
      <c r="X624" s="114" t="s">
        <v>9139</v>
      </c>
      <c r="Y624" s="115">
        <v>5000</v>
      </c>
      <c r="Z624" s="116">
        <f t="shared" si="48"/>
        <v>5000</v>
      </c>
      <c r="AA624" s="114" t="s">
        <v>2229</v>
      </c>
      <c r="AB624" s="117">
        <f t="shared" si="49"/>
        <v>5000</v>
      </c>
      <c r="AC624" s="114" t="s">
        <v>2228</v>
      </c>
      <c r="AD624" s="117">
        <f t="shared" si="50"/>
        <v>0</v>
      </c>
      <c r="AE624" s="114" t="s">
        <v>2227</v>
      </c>
      <c r="AF624" s="117">
        <f t="shared" si="51"/>
        <v>0</v>
      </c>
      <c r="AG624" s="114" t="s">
        <v>2226</v>
      </c>
      <c r="AH624" s="116">
        <v>200</v>
      </c>
      <c r="AI624" s="100"/>
      <c r="AJ624" s="100"/>
      <c r="AK624" s="100"/>
      <c r="AL624" s="100"/>
      <c r="AM624" s="100"/>
      <c r="AN624" s="100"/>
      <c r="AO624" s="100"/>
      <c r="AP624" s="100"/>
      <c r="AQ624" s="100"/>
    </row>
    <row r="625" spans="24:43">
      <c r="X625" s="114" t="s">
        <v>9387</v>
      </c>
      <c r="Y625" s="115">
        <v>23000</v>
      </c>
      <c r="Z625" s="116">
        <f t="shared" si="48"/>
        <v>23000</v>
      </c>
      <c r="AA625" s="114" t="s">
        <v>2229</v>
      </c>
      <c r="AB625" s="117">
        <f t="shared" si="49"/>
        <v>23000</v>
      </c>
      <c r="AC625" s="114" t="s">
        <v>2228</v>
      </c>
      <c r="AD625" s="117">
        <f t="shared" si="50"/>
        <v>0</v>
      </c>
      <c r="AE625" s="114" t="s">
        <v>2227</v>
      </c>
      <c r="AF625" s="117">
        <f t="shared" si="51"/>
        <v>0</v>
      </c>
      <c r="AG625" s="114" t="s">
        <v>2226</v>
      </c>
      <c r="AH625" s="116">
        <v>920</v>
      </c>
      <c r="AI625" s="100"/>
      <c r="AJ625" s="100"/>
      <c r="AK625" s="100"/>
      <c r="AL625" s="100"/>
      <c r="AM625" s="100"/>
      <c r="AN625" s="100"/>
      <c r="AO625" s="100"/>
      <c r="AP625" s="100"/>
      <c r="AQ625" s="100"/>
    </row>
    <row r="626" spans="24:43">
      <c r="X626" s="114" t="s">
        <v>14316</v>
      </c>
      <c r="Y626" s="115">
        <v>80</v>
      </c>
      <c r="Z626" s="116">
        <f t="shared" si="48"/>
        <v>80</v>
      </c>
      <c r="AA626" s="114" t="s">
        <v>2229</v>
      </c>
      <c r="AB626" s="117">
        <f t="shared" si="49"/>
        <v>80</v>
      </c>
      <c r="AC626" s="114" t="s">
        <v>2228</v>
      </c>
      <c r="AD626" s="117">
        <f t="shared" si="50"/>
        <v>0</v>
      </c>
      <c r="AE626" s="114" t="s">
        <v>2227</v>
      </c>
      <c r="AF626" s="117">
        <f t="shared" si="51"/>
        <v>0</v>
      </c>
      <c r="AG626" s="114" t="s">
        <v>2226</v>
      </c>
      <c r="AH626" s="116">
        <v>3.2</v>
      </c>
      <c r="AI626" s="100"/>
      <c r="AJ626" s="100"/>
      <c r="AK626" s="100"/>
      <c r="AL626" s="100"/>
      <c r="AM626" s="100"/>
      <c r="AN626" s="100"/>
      <c r="AO626" s="100"/>
      <c r="AP626" s="100"/>
      <c r="AQ626" s="100"/>
    </row>
    <row r="627" spans="24:43">
      <c r="X627" s="114" t="s">
        <v>14316</v>
      </c>
      <c r="Y627" s="115">
        <v>80</v>
      </c>
      <c r="Z627" s="116">
        <f t="shared" si="48"/>
        <v>80</v>
      </c>
      <c r="AA627" s="114" t="s">
        <v>2229</v>
      </c>
      <c r="AB627" s="117">
        <f t="shared" si="49"/>
        <v>80</v>
      </c>
      <c r="AC627" s="114" t="s">
        <v>2228</v>
      </c>
      <c r="AD627" s="117">
        <f t="shared" si="50"/>
        <v>0</v>
      </c>
      <c r="AE627" s="114" t="s">
        <v>2227</v>
      </c>
      <c r="AF627" s="117">
        <f t="shared" si="51"/>
        <v>0</v>
      </c>
      <c r="AG627" s="114" t="s">
        <v>2226</v>
      </c>
      <c r="AH627" s="116">
        <v>3.2</v>
      </c>
      <c r="AI627" s="100"/>
      <c r="AJ627" s="100"/>
      <c r="AK627" s="100"/>
      <c r="AL627" s="100"/>
      <c r="AM627" s="100"/>
      <c r="AN627" s="100"/>
      <c r="AO627" s="100"/>
      <c r="AP627" s="100"/>
      <c r="AQ627" s="100"/>
    </row>
    <row r="628" spans="24:43">
      <c r="X628" s="114" t="s">
        <v>14317</v>
      </c>
      <c r="Y628" s="115">
        <v>3762.625</v>
      </c>
      <c r="Z628" s="116">
        <f t="shared" si="48"/>
        <v>3762.625</v>
      </c>
      <c r="AA628" s="114" t="s">
        <v>2229</v>
      </c>
      <c r="AB628" s="117">
        <f t="shared" si="49"/>
        <v>3762</v>
      </c>
      <c r="AC628" s="114" t="s">
        <v>2228</v>
      </c>
      <c r="AD628" s="117">
        <f t="shared" si="50"/>
        <v>6</v>
      </c>
      <c r="AE628" s="114" t="s">
        <v>2227</v>
      </c>
      <c r="AF628" s="117">
        <f t="shared" si="51"/>
        <v>2.5</v>
      </c>
      <c r="AG628" s="114" t="s">
        <v>2226</v>
      </c>
      <c r="AH628" s="116">
        <v>150.5</v>
      </c>
      <c r="AI628" s="100"/>
      <c r="AJ628" s="100"/>
      <c r="AK628" s="100"/>
      <c r="AL628" s="100"/>
      <c r="AM628" s="100"/>
      <c r="AN628" s="100"/>
      <c r="AO628" s="100"/>
      <c r="AP628" s="100"/>
      <c r="AQ628" s="100"/>
    </row>
    <row r="629" spans="24:43">
      <c r="X629" s="114" t="s">
        <v>14318</v>
      </c>
      <c r="Y629" s="115">
        <v>350.125</v>
      </c>
      <c r="Z629" s="116">
        <f t="shared" si="48"/>
        <v>350.125</v>
      </c>
      <c r="AA629" s="114" t="s">
        <v>2229</v>
      </c>
      <c r="AB629" s="117">
        <f t="shared" si="49"/>
        <v>350</v>
      </c>
      <c r="AC629" s="114" t="s">
        <v>2228</v>
      </c>
      <c r="AD629" s="117">
        <f t="shared" si="50"/>
        <v>1</v>
      </c>
      <c r="AE629" s="114" t="s">
        <v>2227</v>
      </c>
      <c r="AF629" s="117">
        <f t="shared" si="51"/>
        <v>2.5</v>
      </c>
      <c r="AG629" s="114" t="s">
        <v>2226</v>
      </c>
      <c r="AH629" s="116">
        <v>14</v>
      </c>
      <c r="AI629" s="100"/>
      <c r="AJ629" s="100"/>
      <c r="AK629" s="100"/>
      <c r="AL629" s="100"/>
      <c r="AM629" s="100"/>
      <c r="AN629" s="100"/>
      <c r="AO629" s="100"/>
      <c r="AP629" s="100"/>
      <c r="AQ629" s="100"/>
    </row>
    <row r="630" spans="24:43">
      <c r="X630" s="114" t="s">
        <v>14319</v>
      </c>
      <c r="Y630" s="115">
        <v>18375.125</v>
      </c>
      <c r="Z630" s="116">
        <f t="shared" si="48"/>
        <v>18375.125</v>
      </c>
      <c r="AA630" s="114" t="s">
        <v>2229</v>
      </c>
      <c r="AB630" s="117">
        <f t="shared" si="49"/>
        <v>18375</v>
      </c>
      <c r="AC630" s="114" t="s">
        <v>2228</v>
      </c>
      <c r="AD630" s="117">
        <f t="shared" si="50"/>
        <v>1</v>
      </c>
      <c r="AE630" s="114" t="s">
        <v>2227</v>
      </c>
      <c r="AF630" s="117">
        <f t="shared" si="51"/>
        <v>2.5</v>
      </c>
      <c r="AG630" s="114" t="s">
        <v>2226</v>
      </c>
      <c r="AH630" s="116">
        <v>735</v>
      </c>
      <c r="AI630" s="100"/>
      <c r="AJ630" s="100"/>
      <c r="AK630" s="100"/>
      <c r="AL630" s="100"/>
      <c r="AM630" s="100"/>
      <c r="AN630" s="100"/>
      <c r="AO630" s="100"/>
      <c r="AP630" s="100"/>
      <c r="AQ630" s="100"/>
    </row>
    <row r="631" spans="24:43">
      <c r="X631" s="114" t="s">
        <v>14320</v>
      </c>
      <c r="Y631" s="115">
        <v>2750</v>
      </c>
      <c r="Z631" s="116">
        <f t="shared" si="48"/>
        <v>2750</v>
      </c>
      <c r="AA631" s="114" t="s">
        <v>2229</v>
      </c>
      <c r="AB631" s="117">
        <f t="shared" si="49"/>
        <v>2750</v>
      </c>
      <c r="AC631" s="114" t="s">
        <v>2228</v>
      </c>
      <c r="AD631" s="117">
        <f t="shared" si="50"/>
        <v>0</v>
      </c>
      <c r="AE631" s="114" t="s">
        <v>2227</v>
      </c>
      <c r="AF631" s="117">
        <f t="shared" si="51"/>
        <v>0</v>
      </c>
      <c r="AG631" s="114" t="s">
        <v>2226</v>
      </c>
      <c r="AH631" s="116">
        <v>110</v>
      </c>
      <c r="AI631" s="100"/>
      <c r="AJ631" s="100"/>
      <c r="AK631" s="100"/>
      <c r="AL631" s="100"/>
      <c r="AM631" s="100"/>
      <c r="AN631" s="100"/>
      <c r="AO631" s="100"/>
      <c r="AP631" s="100"/>
      <c r="AQ631" s="100"/>
    </row>
    <row r="632" spans="24:43">
      <c r="X632" s="114" t="s">
        <v>14321</v>
      </c>
      <c r="Y632" s="115">
        <v>325.125</v>
      </c>
      <c r="Z632" s="116">
        <f t="shared" si="48"/>
        <v>325.125</v>
      </c>
      <c r="AA632" s="114" t="s">
        <v>2229</v>
      </c>
      <c r="AB632" s="117">
        <f t="shared" si="49"/>
        <v>325</v>
      </c>
      <c r="AC632" s="114" t="s">
        <v>2228</v>
      </c>
      <c r="AD632" s="117">
        <f t="shared" si="50"/>
        <v>1</v>
      </c>
      <c r="AE632" s="114" t="s">
        <v>2227</v>
      </c>
      <c r="AF632" s="117">
        <f t="shared" si="51"/>
        <v>2.5</v>
      </c>
      <c r="AG632" s="114" t="s">
        <v>2226</v>
      </c>
      <c r="AH632" s="116">
        <v>13</v>
      </c>
      <c r="AI632" s="100"/>
      <c r="AJ632" s="100"/>
      <c r="AK632" s="100"/>
      <c r="AL632" s="100"/>
      <c r="AM632" s="100"/>
      <c r="AN632" s="100"/>
      <c r="AO632" s="100"/>
      <c r="AP632" s="100"/>
      <c r="AQ632" s="100"/>
    </row>
    <row r="633" spans="24:43">
      <c r="X633" s="114" t="s">
        <v>14322</v>
      </c>
      <c r="Y633" s="115">
        <v>67.5</v>
      </c>
      <c r="Z633" s="116">
        <f t="shared" si="48"/>
        <v>67.5</v>
      </c>
      <c r="AA633" s="114" t="s">
        <v>2229</v>
      </c>
      <c r="AB633" s="117">
        <f t="shared" si="49"/>
        <v>67</v>
      </c>
      <c r="AC633" s="114" t="s">
        <v>2228</v>
      </c>
      <c r="AD633" s="117">
        <f t="shared" si="50"/>
        <v>5</v>
      </c>
      <c r="AE633" s="114" t="s">
        <v>2227</v>
      </c>
      <c r="AF633" s="117">
        <f t="shared" si="51"/>
        <v>0</v>
      </c>
      <c r="AG633" s="114" t="s">
        <v>2226</v>
      </c>
      <c r="AH633" s="116">
        <v>2.7</v>
      </c>
      <c r="AI633" s="100"/>
      <c r="AJ633" s="100"/>
      <c r="AK633" s="100"/>
      <c r="AL633" s="100"/>
      <c r="AM633" s="100"/>
      <c r="AN633" s="100"/>
      <c r="AO633" s="100"/>
      <c r="AP633" s="100"/>
      <c r="AQ633" s="100"/>
    </row>
    <row r="634" spans="24:43">
      <c r="X634" s="114" t="s">
        <v>14323</v>
      </c>
      <c r="Y634" s="115">
        <v>287.625</v>
      </c>
      <c r="Z634" s="116">
        <f t="shared" si="48"/>
        <v>287.625</v>
      </c>
      <c r="AA634" s="114" t="s">
        <v>2229</v>
      </c>
      <c r="AB634" s="117">
        <f t="shared" si="49"/>
        <v>287</v>
      </c>
      <c r="AC634" s="114" t="s">
        <v>2228</v>
      </c>
      <c r="AD634" s="117">
        <f t="shared" si="50"/>
        <v>6</v>
      </c>
      <c r="AE634" s="114" t="s">
        <v>2227</v>
      </c>
      <c r="AF634" s="117">
        <f t="shared" si="51"/>
        <v>2.5</v>
      </c>
      <c r="AG634" s="114" t="s">
        <v>2226</v>
      </c>
      <c r="AH634" s="116">
        <v>11.5</v>
      </c>
      <c r="AI634" s="100"/>
      <c r="AJ634" s="100"/>
      <c r="AK634" s="100"/>
      <c r="AL634" s="100"/>
      <c r="AM634" s="100"/>
      <c r="AN634" s="100"/>
      <c r="AO634" s="100"/>
      <c r="AP634" s="100"/>
      <c r="AQ634" s="100"/>
    </row>
    <row r="635" spans="24:43">
      <c r="X635" s="114" t="s">
        <v>9466</v>
      </c>
      <c r="Y635" s="115">
        <v>2700</v>
      </c>
      <c r="Z635" s="116">
        <f t="shared" si="48"/>
        <v>2700</v>
      </c>
      <c r="AA635" s="114" t="s">
        <v>2229</v>
      </c>
      <c r="AB635" s="117">
        <f t="shared" si="49"/>
        <v>2700</v>
      </c>
      <c r="AC635" s="114" t="s">
        <v>2228</v>
      </c>
      <c r="AD635" s="117">
        <f t="shared" si="50"/>
        <v>0</v>
      </c>
      <c r="AE635" s="114" t="s">
        <v>2227</v>
      </c>
      <c r="AF635" s="117">
        <f t="shared" si="51"/>
        <v>0</v>
      </c>
      <c r="AG635" s="114" t="s">
        <v>2226</v>
      </c>
      <c r="AH635" s="116">
        <v>108</v>
      </c>
      <c r="AI635" s="100"/>
      <c r="AJ635" s="100"/>
      <c r="AK635" s="100"/>
      <c r="AL635" s="100"/>
      <c r="AM635" s="100"/>
      <c r="AN635" s="100"/>
      <c r="AO635" s="100"/>
      <c r="AP635" s="100"/>
      <c r="AQ635" s="100"/>
    </row>
    <row r="636" spans="24:43">
      <c r="X636" s="114" t="s">
        <v>14324</v>
      </c>
      <c r="Y636" s="115">
        <v>2662.625</v>
      </c>
      <c r="Z636" s="116">
        <f t="shared" si="48"/>
        <v>2662.625</v>
      </c>
      <c r="AA636" s="114" t="s">
        <v>2229</v>
      </c>
      <c r="AB636" s="117">
        <f t="shared" si="49"/>
        <v>2662</v>
      </c>
      <c r="AC636" s="114" t="s">
        <v>2228</v>
      </c>
      <c r="AD636" s="117">
        <f t="shared" si="50"/>
        <v>6</v>
      </c>
      <c r="AE636" s="114" t="s">
        <v>2227</v>
      </c>
      <c r="AF636" s="117">
        <f t="shared" si="51"/>
        <v>2.5</v>
      </c>
      <c r="AG636" s="114" t="s">
        <v>2226</v>
      </c>
      <c r="AH636" s="116">
        <v>106.5</v>
      </c>
      <c r="AI636" s="100"/>
      <c r="AJ636" s="100"/>
      <c r="AK636" s="100"/>
      <c r="AL636" s="100"/>
      <c r="AM636" s="100"/>
      <c r="AN636" s="100"/>
      <c r="AO636" s="100"/>
      <c r="AP636" s="100"/>
      <c r="AQ636" s="100"/>
    </row>
    <row r="637" spans="24:43">
      <c r="X637" s="114" t="s">
        <v>14324</v>
      </c>
      <c r="Y637" s="115">
        <v>5937.625</v>
      </c>
      <c r="Z637" s="116">
        <f t="shared" si="48"/>
        <v>5937.625</v>
      </c>
      <c r="AA637" s="114" t="s">
        <v>2229</v>
      </c>
      <c r="AB637" s="117">
        <f t="shared" si="49"/>
        <v>5937</v>
      </c>
      <c r="AC637" s="114" t="s">
        <v>2228</v>
      </c>
      <c r="AD637" s="117">
        <f t="shared" si="50"/>
        <v>6</v>
      </c>
      <c r="AE637" s="114" t="s">
        <v>2227</v>
      </c>
      <c r="AF637" s="117">
        <f t="shared" si="51"/>
        <v>2.5</v>
      </c>
      <c r="AG637" s="114" t="s">
        <v>2226</v>
      </c>
      <c r="AH637" s="116">
        <v>237.5</v>
      </c>
      <c r="AI637" s="100"/>
      <c r="AJ637" s="100"/>
      <c r="AK637" s="100"/>
      <c r="AL637" s="100"/>
      <c r="AM637" s="100"/>
      <c r="AN637" s="100"/>
      <c r="AO637" s="100"/>
      <c r="AP637" s="100"/>
      <c r="AQ637" s="100"/>
    </row>
    <row r="638" spans="24:43">
      <c r="X638" s="114" t="s">
        <v>14325</v>
      </c>
      <c r="Y638" s="115">
        <v>18875.125</v>
      </c>
      <c r="Z638" s="116">
        <f t="shared" si="48"/>
        <v>18875.125</v>
      </c>
      <c r="AA638" s="114" t="s">
        <v>2229</v>
      </c>
      <c r="AB638" s="117">
        <f t="shared" si="49"/>
        <v>18875</v>
      </c>
      <c r="AC638" s="114" t="s">
        <v>2228</v>
      </c>
      <c r="AD638" s="117">
        <f t="shared" si="50"/>
        <v>1</v>
      </c>
      <c r="AE638" s="114" t="s">
        <v>2227</v>
      </c>
      <c r="AF638" s="117">
        <f t="shared" si="51"/>
        <v>2.5</v>
      </c>
      <c r="AG638" s="114" t="s">
        <v>2226</v>
      </c>
      <c r="AH638" s="116">
        <v>755</v>
      </c>
      <c r="AI638" s="100"/>
      <c r="AJ638" s="100"/>
      <c r="AK638" s="100"/>
      <c r="AL638" s="100"/>
      <c r="AM638" s="100"/>
      <c r="AN638" s="100"/>
      <c r="AO638" s="100"/>
      <c r="AP638" s="100"/>
      <c r="AQ638" s="100"/>
    </row>
    <row r="639" spans="24:43">
      <c r="X639" s="114" t="s">
        <v>14326</v>
      </c>
      <c r="Y639" s="115">
        <v>93750.25</v>
      </c>
      <c r="Z639" s="116">
        <f t="shared" si="48"/>
        <v>93750.25</v>
      </c>
      <c r="AA639" s="114" t="s">
        <v>2229</v>
      </c>
      <c r="AB639" s="117">
        <f t="shared" si="49"/>
        <v>93750</v>
      </c>
      <c r="AC639" s="114" t="s">
        <v>2228</v>
      </c>
      <c r="AD639" s="117">
        <f t="shared" si="50"/>
        <v>2</v>
      </c>
      <c r="AE639" s="114" t="s">
        <v>2227</v>
      </c>
      <c r="AF639" s="117">
        <f t="shared" si="51"/>
        <v>5</v>
      </c>
      <c r="AG639" s="114" t="s">
        <v>2226</v>
      </c>
      <c r="AH639" s="116">
        <v>3750.01</v>
      </c>
      <c r="AI639" s="100"/>
      <c r="AJ639" s="100"/>
      <c r="AK639" s="100"/>
      <c r="AL639" s="100"/>
      <c r="AM639" s="100"/>
      <c r="AN639" s="100"/>
      <c r="AO639" s="100"/>
      <c r="AP639" s="100"/>
      <c r="AQ639" s="100"/>
    </row>
    <row r="640" spans="24:43">
      <c r="X640" s="114" t="s">
        <v>14327</v>
      </c>
      <c r="Y640" s="115">
        <v>19625.125</v>
      </c>
      <c r="Z640" s="116">
        <f t="shared" si="48"/>
        <v>19625.125</v>
      </c>
      <c r="AA640" s="114" t="s">
        <v>2229</v>
      </c>
      <c r="AB640" s="117">
        <f t="shared" si="49"/>
        <v>19625</v>
      </c>
      <c r="AC640" s="114" t="s">
        <v>2228</v>
      </c>
      <c r="AD640" s="117">
        <f t="shared" si="50"/>
        <v>1</v>
      </c>
      <c r="AE640" s="114" t="s">
        <v>2227</v>
      </c>
      <c r="AF640" s="117">
        <f t="shared" si="51"/>
        <v>2.5</v>
      </c>
      <c r="AG640" s="114" t="s">
        <v>2226</v>
      </c>
      <c r="AH640" s="116">
        <v>785</v>
      </c>
      <c r="AI640" s="100"/>
      <c r="AJ640" s="100"/>
      <c r="AK640" s="100"/>
      <c r="AL640" s="100"/>
      <c r="AM640" s="100"/>
      <c r="AN640" s="100"/>
      <c r="AO640" s="100"/>
      <c r="AP640" s="100"/>
      <c r="AQ640" s="100"/>
    </row>
    <row r="641" spans="24:43">
      <c r="X641" s="114" t="s">
        <v>14328</v>
      </c>
      <c r="Y641" s="115">
        <v>5437.625</v>
      </c>
      <c r="Z641" s="116">
        <f t="shared" si="48"/>
        <v>5437.625</v>
      </c>
      <c r="AA641" s="114" t="s">
        <v>2229</v>
      </c>
      <c r="AB641" s="117">
        <f t="shared" si="49"/>
        <v>5437</v>
      </c>
      <c r="AC641" s="114" t="s">
        <v>2228</v>
      </c>
      <c r="AD641" s="117">
        <f t="shared" si="50"/>
        <v>6</v>
      </c>
      <c r="AE641" s="114" t="s">
        <v>2227</v>
      </c>
      <c r="AF641" s="117">
        <f t="shared" si="51"/>
        <v>2.5</v>
      </c>
      <c r="AG641" s="114" t="s">
        <v>2226</v>
      </c>
      <c r="AH641" s="116">
        <v>217.5</v>
      </c>
      <c r="AI641" s="100"/>
      <c r="AJ641" s="100"/>
      <c r="AK641" s="100"/>
      <c r="AL641" s="100"/>
      <c r="AM641" s="100"/>
      <c r="AN641" s="100"/>
      <c r="AO641" s="100"/>
      <c r="AP641" s="100"/>
      <c r="AQ641" s="100"/>
    </row>
    <row r="642" spans="24:43">
      <c r="X642" s="114" t="s">
        <v>14329</v>
      </c>
      <c r="Y642" s="115">
        <v>95250.25</v>
      </c>
      <c r="Z642" s="116">
        <f t="shared" si="48"/>
        <v>95250.25</v>
      </c>
      <c r="AA642" s="114" t="s">
        <v>2229</v>
      </c>
      <c r="AB642" s="117">
        <f t="shared" si="49"/>
        <v>95250</v>
      </c>
      <c r="AC642" s="114" t="s">
        <v>2228</v>
      </c>
      <c r="AD642" s="117">
        <f t="shared" si="50"/>
        <v>2</v>
      </c>
      <c r="AE642" s="114" t="s">
        <v>2227</v>
      </c>
      <c r="AF642" s="117">
        <f t="shared" si="51"/>
        <v>5</v>
      </c>
      <c r="AG642" s="114" t="s">
        <v>2226</v>
      </c>
      <c r="AH642" s="116">
        <v>3810.01</v>
      </c>
      <c r="AI642" s="100"/>
      <c r="AJ642" s="100"/>
      <c r="AK642" s="100"/>
      <c r="AL642" s="100"/>
      <c r="AM642" s="100"/>
      <c r="AN642" s="100"/>
      <c r="AO642" s="100"/>
      <c r="AP642" s="100"/>
      <c r="AQ642" s="100"/>
    </row>
    <row r="643" spans="24:43">
      <c r="X643" s="114" t="s">
        <v>14330</v>
      </c>
      <c r="Y643" s="115">
        <v>23125.125</v>
      </c>
      <c r="Z643" s="116">
        <f t="shared" ref="Z643:Z706" si="52">Y643*$AK$6*$AK$11</f>
        <v>23125.125</v>
      </c>
      <c r="AA643" s="114" t="s">
        <v>2229</v>
      </c>
      <c r="AB643" s="117">
        <f t="shared" ref="AB643:AB706" si="53">_xlfn.FLOOR.MATH(Z643,1)</f>
        <v>23125</v>
      </c>
      <c r="AC643" s="114" t="s">
        <v>2228</v>
      </c>
      <c r="AD643" s="117">
        <f t="shared" ref="AD643:AD706" si="54">_xlfn.FLOOR.MATH(((Z643-AB643)*10), 1)</f>
        <v>1</v>
      </c>
      <c r="AE643" s="114" t="s">
        <v>2227</v>
      </c>
      <c r="AF643" s="117">
        <f t="shared" ref="AF643:AF706" si="55">((Z643-AB643)*10-AD643)*10</f>
        <v>2.5</v>
      </c>
      <c r="AG643" s="114" t="s">
        <v>2226</v>
      </c>
      <c r="AH643" s="116">
        <v>925</v>
      </c>
      <c r="AI643" s="100"/>
      <c r="AJ643" s="100"/>
      <c r="AK643" s="100"/>
      <c r="AL643" s="100"/>
      <c r="AM643" s="100"/>
      <c r="AN643" s="100"/>
      <c r="AO643" s="100"/>
      <c r="AP643" s="100"/>
      <c r="AQ643" s="100"/>
    </row>
    <row r="644" spans="24:43">
      <c r="X644" s="114" t="s">
        <v>14331</v>
      </c>
      <c r="Y644" s="115">
        <v>337.625</v>
      </c>
      <c r="Z644" s="116">
        <f t="shared" si="52"/>
        <v>337.625</v>
      </c>
      <c r="AA644" s="114" t="s">
        <v>2229</v>
      </c>
      <c r="AB644" s="117">
        <f t="shared" si="53"/>
        <v>337</v>
      </c>
      <c r="AC644" s="114" t="s">
        <v>2228</v>
      </c>
      <c r="AD644" s="117">
        <f t="shared" si="54"/>
        <v>6</v>
      </c>
      <c r="AE644" s="114" t="s">
        <v>2227</v>
      </c>
      <c r="AF644" s="117">
        <f t="shared" si="55"/>
        <v>2.5</v>
      </c>
      <c r="AG644" s="114" t="s">
        <v>2226</v>
      </c>
      <c r="AH644" s="116">
        <v>13.5</v>
      </c>
      <c r="AI644" s="100"/>
      <c r="AJ644" s="100"/>
      <c r="AK644" s="100"/>
      <c r="AL644" s="100"/>
      <c r="AM644" s="100"/>
      <c r="AN644" s="100"/>
      <c r="AO644" s="100"/>
      <c r="AP644" s="100"/>
      <c r="AQ644" s="100"/>
    </row>
    <row r="645" spans="24:43">
      <c r="X645" s="114" t="s">
        <v>14332</v>
      </c>
      <c r="Y645" s="115">
        <v>237.625</v>
      </c>
      <c r="Z645" s="116">
        <f t="shared" si="52"/>
        <v>237.625</v>
      </c>
      <c r="AA645" s="114" t="s">
        <v>2229</v>
      </c>
      <c r="AB645" s="117">
        <f t="shared" si="53"/>
        <v>237</v>
      </c>
      <c r="AC645" s="114" t="s">
        <v>2228</v>
      </c>
      <c r="AD645" s="117">
        <f t="shared" si="54"/>
        <v>6</v>
      </c>
      <c r="AE645" s="114" t="s">
        <v>2227</v>
      </c>
      <c r="AF645" s="117">
        <f t="shared" si="55"/>
        <v>2.5</v>
      </c>
      <c r="AG645" s="114" t="s">
        <v>2226</v>
      </c>
      <c r="AH645" s="116">
        <v>9.5</v>
      </c>
      <c r="AI645" s="100"/>
      <c r="AJ645" s="100"/>
      <c r="AK645" s="100"/>
      <c r="AL645" s="100"/>
      <c r="AM645" s="100"/>
      <c r="AN645" s="100"/>
      <c r="AO645" s="100"/>
      <c r="AP645" s="100"/>
      <c r="AQ645" s="100"/>
    </row>
    <row r="646" spans="24:43">
      <c r="X646" s="114" t="s">
        <v>14333</v>
      </c>
      <c r="Y646" s="115">
        <v>4187.625</v>
      </c>
      <c r="Z646" s="116">
        <f t="shared" si="52"/>
        <v>4187.625</v>
      </c>
      <c r="AA646" s="114" t="s">
        <v>2229</v>
      </c>
      <c r="AB646" s="117">
        <f t="shared" si="53"/>
        <v>4187</v>
      </c>
      <c r="AC646" s="114" t="s">
        <v>2228</v>
      </c>
      <c r="AD646" s="117">
        <f t="shared" si="54"/>
        <v>6</v>
      </c>
      <c r="AE646" s="114" t="s">
        <v>2227</v>
      </c>
      <c r="AF646" s="117">
        <f t="shared" si="55"/>
        <v>2.5</v>
      </c>
      <c r="AG646" s="114" t="s">
        <v>2226</v>
      </c>
      <c r="AH646" s="116">
        <v>167.5</v>
      </c>
      <c r="AI646" s="100"/>
      <c r="AJ646" s="100"/>
      <c r="AK646" s="100"/>
      <c r="AL646" s="100"/>
      <c r="AM646" s="100"/>
      <c r="AN646" s="100"/>
      <c r="AO646" s="100"/>
      <c r="AP646" s="100"/>
      <c r="AQ646" s="100"/>
    </row>
    <row r="647" spans="24:43">
      <c r="X647" s="114" t="s">
        <v>14334</v>
      </c>
      <c r="Y647" s="115">
        <v>81750.25</v>
      </c>
      <c r="Z647" s="116">
        <f t="shared" si="52"/>
        <v>81750.25</v>
      </c>
      <c r="AA647" s="114" t="s">
        <v>2229</v>
      </c>
      <c r="AB647" s="117">
        <f t="shared" si="53"/>
        <v>81750</v>
      </c>
      <c r="AC647" s="114" t="s">
        <v>2228</v>
      </c>
      <c r="AD647" s="117">
        <f t="shared" si="54"/>
        <v>2</v>
      </c>
      <c r="AE647" s="114" t="s">
        <v>2227</v>
      </c>
      <c r="AF647" s="117">
        <f t="shared" si="55"/>
        <v>5</v>
      </c>
      <c r="AG647" s="114" t="s">
        <v>2226</v>
      </c>
      <c r="AH647" s="116">
        <v>3270.01</v>
      </c>
      <c r="AI647" s="100"/>
      <c r="AJ647" s="100"/>
      <c r="AK647" s="100"/>
      <c r="AL647" s="100"/>
      <c r="AM647" s="100"/>
      <c r="AN647" s="100"/>
      <c r="AO647" s="100"/>
      <c r="AP647" s="100"/>
      <c r="AQ647" s="100"/>
    </row>
    <row r="648" spans="24:43">
      <c r="X648" s="114" t="s">
        <v>14335</v>
      </c>
      <c r="Y648" s="115">
        <v>73750.25</v>
      </c>
      <c r="Z648" s="116">
        <f t="shared" si="52"/>
        <v>73750.25</v>
      </c>
      <c r="AA648" s="114" t="s">
        <v>2229</v>
      </c>
      <c r="AB648" s="117">
        <f t="shared" si="53"/>
        <v>73750</v>
      </c>
      <c r="AC648" s="114" t="s">
        <v>2228</v>
      </c>
      <c r="AD648" s="117">
        <f t="shared" si="54"/>
        <v>2</v>
      </c>
      <c r="AE648" s="114" t="s">
        <v>2227</v>
      </c>
      <c r="AF648" s="117">
        <f t="shared" si="55"/>
        <v>5</v>
      </c>
      <c r="AG648" s="114" t="s">
        <v>2226</v>
      </c>
      <c r="AH648" s="116">
        <v>2950.01</v>
      </c>
      <c r="AI648" s="100"/>
      <c r="AJ648" s="100"/>
      <c r="AK648" s="100"/>
      <c r="AL648" s="100"/>
      <c r="AM648" s="100"/>
      <c r="AN648" s="100"/>
      <c r="AO648" s="100"/>
      <c r="AP648" s="100"/>
      <c r="AQ648" s="100"/>
    </row>
    <row r="649" spans="24:43">
      <c r="X649" s="114" t="s">
        <v>14336</v>
      </c>
      <c r="Y649" s="115">
        <v>25625.125</v>
      </c>
      <c r="Z649" s="116">
        <f t="shared" si="52"/>
        <v>25625.125</v>
      </c>
      <c r="AA649" s="114" t="s">
        <v>2229</v>
      </c>
      <c r="AB649" s="117">
        <f t="shared" si="53"/>
        <v>25625</v>
      </c>
      <c r="AC649" s="114" t="s">
        <v>2228</v>
      </c>
      <c r="AD649" s="117">
        <f t="shared" si="54"/>
        <v>1</v>
      </c>
      <c r="AE649" s="114" t="s">
        <v>2227</v>
      </c>
      <c r="AF649" s="117">
        <f t="shared" si="55"/>
        <v>2.5</v>
      </c>
      <c r="AG649" s="114" t="s">
        <v>2226</v>
      </c>
      <c r="AH649" s="116">
        <v>1025</v>
      </c>
      <c r="AI649" s="100"/>
      <c r="AJ649" s="100"/>
      <c r="AK649" s="100"/>
      <c r="AL649" s="100"/>
      <c r="AM649" s="100"/>
      <c r="AN649" s="100"/>
      <c r="AO649" s="100"/>
      <c r="AP649" s="100"/>
      <c r="AQ649" s="100"/>
    </row>
    <row r="650" spans="24:43">
      <c r="X650" s="114" t="s">
        <v>14337</v>
      </c>
      <c r="Y650" s="115">
        <v>12.5</v>
      </c>
      <c r="Z650" s="116">
        <f t="shared" si="52"/>
        <v>12.5</v>
      </c>
      <c r="AA650" s="114" t="s">
        <v>2229</v>
      </c>
      <c r="AB650" s="117">
        <f t="shared" si="53"/>
        <v>12</v>
      </c>
      <c r="AC650" s="114" t="s">
        <v>2228</v>
      </c>
      <c r="AD650" s="117">
        <f t="shared" si="54"/>
        <v>5</v>
      </c>
      <c r="AE650" s="114" t="s">
        <v>2227</v>
      </c>
      <c r="AF650" s="117">
        <f t="shared" si="55"/>
        <v>0</v>
      </c>
      <c r="AG650" s="114" t="s">
        <v>2226</v>
      </c>
      <c r="AH650" s="116">
        <v>0.5</v>
      </c>
      <c r="AI650" s="100"/>
      <c r="AJ650" s="100"/>
      <c r="AK650" s="100"/>
      <c r="AL650" s="100"/>
      <c r="AM650" s="100"/>
      <c r="AN650" s="100"/>
      <c r="AO650" s="100"/>
      <c r="AP650" s="100"/>
      <c r="AQ650" s="100"/>
    </row>
    <row r="651" spans="24:43">
      <c r="X651" s="114" t="s">
        <v>14338</v>
      </c>
      <c r="Y651" s="115">
        <v>42.5</v>
      </c>
      <c r="Z651" s="116">
        <f t="shared" si="52"/>
        <v>42.5</v>
      </c>
      <c r="AA651" s="114" t="s">
        <v>2229</v>
      </c>
      <c r="AB651" s="117">
        <f t="shared" si="53"/>
        <v>42</v>
      </c>
      <c r="AC651" s="114" t="s">
        <v>2228</v>
      </c>
      <c r="AD651" s="117">
        <f t="shared" si="54"/>
        <v>5</v>
      </c>
      <c r="AE651" s="114" t="s">
        <v>2227</v>
      </c>
      <c r="AF651" s="117">
        <f t="shared" si="55"/>
        <v>0</v>
      </c>
      <c r="AG651" s="114" t="s">
        <v>2226</v>
      </c>
      <c r="AH651" s="116">
        <v>1.7</v>
      </c>
      <c r="AI651" s="100"/>
      <c r="AJ651" s="100"/>
      <c r="AK651" s="100"/>
      <c r="AL651" s="100"/>
      <c r="AM651" s="100"/>
      <c r="AN651" s="100"/>
      <c r="AO651" s="100"/>
      <c r="AP651" s="100"/>
      <c r="AQ651" s="100"/>
    </row>
    <row r="652" spans="24:43">
      <c r="X652" s="114" t="s">
        <v>14339</v>
      </c>
      <c r="Y652" s="115">
        <v>135</v>
      </c>
      <c r="Z652" s="116">
        <f t="shared" si="52"/>
        <v>135</v>
      </c>
      <c r="AA652" s="114" t="s">
        <v>2229</v>
      </c>
      <c r="AB652" s="117">
        <f t="shared" si="53"/>
        <v>135</v>
      </c>
      <c r="AC652" s="114" t="s">
        <v>2228</v>
      </c>
      <c r="AD652" s="117">
        <f t="shared" si="54"/>
        <v>0</v>
      </c>
      <c r="AE652" s="114" t="s">
        <v>2227</v>
      </c>
      <c r="AF652" s="117">
        <f t="shared" si="55"/>
        <v>0</v>
      </c>
      <c r="AG652" s="114" t="s">
        <v>2226</v>
      </c>
      <c r="AH652" s="116">
        <v>5.4</v>
      </c>
      <c r="AI652" s="100"/>
      <c r="AJ652" s="100"/>
      <c r="AK652" s="100"/>
      <c r="AL652" s="100"/>
      <c r="AM652" s="100"/>
      <c r="AN652" s="100"/>
      <c r="AO652" s="100"/>
      <c r="AP652" s="100"/>
      <c r="AQ652" s="100"/>
    </row>
    <row r="653" spans="24:43">
      <c r="X653" s="114" t="s">
        <v>14340</v>
      </c>
      <c r="Y653" s="115">
        <v>300</v>
      </c>
      <c r="Z653" s="116">
        <f t="shared" si="52"/>
        <v>300</v>
      </c>
      <c r="AA653" s="114" t="s">
        <v>2229</v>
      </c>
      <c r="AB653" s="117">
        <f t="shared" si="53"/>
        <v>300</v>
      </c>
      <c r="AC653" s="114" t="s">
        <v>2228</v>
      </c>
      <c r="AD653" s="117">
        <f t="shared" si="54"/>
        <v>0</v>
      </c>
      <c r="AE653" s="114" t="s">
        <v>2227</v>
      </c>
      <c r="AF653" s="117">
        <f t="shared" si="55"/>
        <v>0</v>
      </c>
      <c r="AG653" s="114" t="s">
        <v>2226</v>
      </c>
      <c r="AH653" s="116">
        <v>12</v>
      </c>
      <c r="AI653" s="100"/>
      <c r="AJ653" s="100"/>
      <c r="AK653" s="100"/>
      <c r="AL653" s="100"/>
      <c r="AM653" s="100"/>
      <c r="AN653" s="100"/>
      <c r="AO653" s="100"/>
      <c r="AP653" s="100"/>
      <c r="AQ653" s="100"/>
    </row>
    <row r="654" spans="24:43">
      <c r="X654" s="114" t="s">
        <v>14341</v>
      </c>
      <c r="Y654" s="115">
        <v>560</v>
      </c>
      <c r="Z654" s="116">
        <f t="shared" si="52"/>
        <v>560</v>
      </c>
      <c r="AA654" s="114" t="s">
        <v>2229</v>
      </c>
      <c r="AB654" s="117">
        <f t="shared" si="53"/>
        <v>560</v>
      </c>
      <c r="AC654" s="114" t="s">
        <v>2228</v>
      </c>
      <c r="AD654" s="117">
        <f t="shared" si="54"/>
        <v>0</v>
      </c>
      <c r="AE654" s="114" t="s">
        <v>2227</v>
      </c>
      <c r="AF654" s="117">
        <f t="shared" si="55"/>
        <v>0</v>
      </c>
      <c r="AG654" s="114" t="s">
        <v>2226</v>
      </c>
      <c r="AH654" s="116">
        <v>22.400000000000002</v>
      </c>
      <c r="AI654" s="100"/>
      <c r="AJ654" s="100"/>
      <c r="AK654" s="100"/>
      <c r="AL654" s="100"/>
      <c r="AM654" s="100"/>
      <c r="AN654" s="100"/>
      <c r="AO654" s="100"/>
      <c r="AP654" s="100"/>
      <c r="AQ654" s="100"/>
    </row>
    <row r="655" spans="24:43">
      <c r="X655" s="114" t="s">
        <v>14342</v>
      </c>
      <c r="Y655" s="115">
        <v>1070</v>
      </c>
      <c r="Z655" s="116">
        <f t="shared" si="52"/>
        <v>1070</v>
      </c>
      <c r="AA655" s="114" t="s">
        <v>2229</v>
      </c>
      <c r="AB655" s="117">
        <f t="shared" si="53"/>
        <v>1070</v>
      </c>
      <c r="AC655" s="114" t="s">
        <v>2228</v>
      </c>
      <c r="AD655" s="117">
        <f t="shared" si="54"/>
        <v>0</v>
      </c>
      <c r="AE655" s="114" t="s">
        <v>2227</v>
      </c>
      <c r="AF655" s="117">
        <f t="shared" si="55"/>
        <v>0</v>
      </c>
      <c r="AG655" s="114" t="s">
        <v>2226</v>
      </c>
      <c r="AH655" s="116">
        <v>42.800000000000004</v>
      </c>
      <c r="AI655" s="100"/>
      <c r="AJ655" s="100"/>
      <c r="AK655" s="100"/>
      <c r="AL655" s="100"/>
      <c r="AM655" s="100"/>
      <c r="AN655" s="100"/>
      <c r="AO655" s="100"/>
      <c r="AP655" s="100"/>
      <c r="AQ655" s="100"/>
    </row>
    <row r="656" spans="24:43">
      <c r="X656" s="114" t="s">
        <v>14343</v>
      </c>
      <c r="Y656" s="115">
        <v>1640</v>
      </c>
      <c r="Z656" s="116">
        <f t="shared" si="52"/>
        <v>1640</v>
      </c>
      <c r="AA656" s="114" t="s">
        <v>2229</v>
      </c>
      <c r="AB656" s="117">
        <f t="shared" si="53"/>
        <v>1640</v>
      </c>
      <c r="AC656" s="114" t="s">
        <v>2228</v>
      </c>
      <c r="AD656" s="117">
        <f t="shared" si="54"/>
        <v>0</v>
      </c>
      <c r="AE656" s="114" t="s">
        <v>2227</v>
      </c>
      <c r="AF656" s="117">
        <f t="shared" si="55"/>
        <v>0</v>
      </c>
      <c r="AG656" s="114" t="s">
        <v>2226</v>
      </c>
      <c r="AH656" s="116">
        <v>65.599999999999994</v>
      </c>
      <c r="AI656" s="100"/>
      <c r="AJ656" s="100"/>
      <c r="AK656" s="100"/>
      <c r="AL656" s="100"/>
      <c r="AM656" s="100"/>
      <c r="AN656" s="100"/>
      <c r="AO656" s="100"/>
      <c r="AP656" s="100"/>
      <c r="AQ656" s="100"/>
    </row>
    <row r="657" spans="24:43">
      <c r="X657" s="114" t="s">
        <v>14344</v>
      </c>
      <c r="Y657" s="115">
        <v>3030</v>
      </c>
      <c r="Z657" s="116">
        <f t="shared" si="52"/>
        <v>3030</v>
      </c>
      <c r="AA657" s="114" t="s">
        <v>2229</v>
      </c>
      <c r="AB657" s="117">
        <f t="shared" si="53"/>
        <v>3030</v>
      </c>
      <c r="AC657" s="114" t="s">
        <v>2228</v>
      </c>
      <c r="AD657" s="117">
        <f t="shared" si="54"/>
        <v>0</v>
      </c>
      <c r="AE657" s="114" t="s">
        <v>2227</v>
      </c>
      <c r="AF657" s="117">
        <f t="shared" si="55"/>
        <v>0</v>
      </c>
      <c r="AG657" s="114" t="s">
        <v>2226</v>
      </c>
      <c r="AH657" s="116">
        <v>121.2</v>
      </c>
      <c r="AI657" s="100"/>
      <c r="AJ657" s="100"/>
      <c r="AK657" s="100"/>
      <c r="AL657" s="100"/>
      <c r="AM657" s="100"/>
      <c r="AN657" s="100"/>
      <c r="AO657" s="100"/>
      <c r="AP657" s="100"/>
      <c r="AQ657" s="100"/>
    </row>
    <row r="658" spans="24:43">
      <c r="X658" s="114" t="s">
        <v>14345</v>
      </c>
      <c r="Y658" s="115">
        <v>5060</v>
      </c>
      <c r="Z658" s="116">
        <f t="shared" si="52"/>
        <v>5060</v>
      </c>
      <c r="AA658" s="114" t="s">
        <v>2229</v>
      </c>
      <c r="AB658" s="117">
        <f t="shared" si="53"/>
        <v>5060</v>
      </c>
      <c r="AC658" s="114" t="s">
        <v>2228</v>
      </c>
      <c r="AD658" s="117">
        <f t="shared" si="54"/>
        <v>0</v>
      </c>
      <c r="AE658" s="114" t="s">
        <v>2227</v>
      </c>
      <c r="AF658" s="117">
        <f t="shared" si="55"/>
        <v>0</v>
      </c>
      <c r="AG658" s="114" t="s">
        <v>2226</v>
      </c>
      <c r="AH658" s="116">
        <v>202.4</v>
      </c>
      <c r="AI658" s="100"/>
      <c r="AJ658" s="100"/>
      <c r="AK658" s="100"/>
      <c r="AL658" s="100"/>
      <c r="AM658" s="100"/>
      <c r="AN658" s="100"/>
      <c r="AO658" s="100"/>
      <c r="AP658" s="100"/>
      <c r="AQ658" s="100"/>
    </row>
    <row r="659" spans="24:43">
      <c r="X659" s="114" t="s">
        <v>14346</v>
      </c>
      <c r="Y659" s="115">
        <v>15120</v>
      </c>
      <c r="Z659" s="116">
        <f t="shared" si="52"/>
        <v>15120</v>
      </c>
      <c r="AA659" s="114" t="s">
        <v>2229</v>
      </c>
      <c r="AB659" s="117">
        <f t="shared" si="53"/>
        <v>15120</v>
      </c>
      <c r="AC659" s="114" t="s">
        <v>2228</v>
      </c>
      <c r="AD659" s="117">
        <f t="shared" si="54"/>
        <v>0</v>
      </c>
      <c r="AE659" s="114" t="s">
        <v>2227</v>
      </c>
      <c r="AF659" s="117">
        <f t="shared" si="55"/>
        <v>0</v>
      </c>
      <c r="AG659" s="114" t="s">
        <v>2226</v>
      </c>
      <c r="AH659" s="116">
        <v>604.80000000000007</v>
      </c>
      <c r="AI659" s="100"/>
      <c r="AJ659" s="100"/>
      <c r="AK659" s="100"/>
      <c r="AL659" s="100"/>
      <c r="AM659" s="100"/>
      <c r="AN659" s="100"/>
      <c r="AO659" s="100"/>
      <c r="AP659" s="100"/>
      <c r="AQ659" s="100"/>
    </row>
    <row r="660" spans="24:43">
      <c r="X660" s="114" t="s">
        <v>14347</v>
      </c>
      <c r="Y660" s="115">
        <v>112500.5</v>
      </c>
      <c r="Z660" s="116">
        <f t="shared" si="52"/>
        <v>112500.5</v>
      </c>
      <c r="AA660" s="114" t="s">
        <v>2229</v>
      </c>
      <c r="AB660" s="117">
        <f t="shared" si="53"/>
        <v>112500</v>
      </c>
      <c r="AC660" s="114" t="s">
        <v>2228</v>
      </c>
      <c r="AD660" s="117">
        <f t="shared" si="54"/>
        <v>5</v>
      </c>
      <c r="AE660" s="114" t="s">
        <v>2227</v>
      </c>
      <c r="AF660" s="117">
        <f t="shared" si="55"/>
        <v>0</v>
      </c>
      <c r="AG660" s="114" t="s">
        <v>2226</v>
      </c>
      <c r="AH660" s="116">
        <v>4500.0200000000004</v>
      </c>
      <c r="AI660" s="100"/>
      <c r="AJ660" s="100"/>
      <c r="AK660" s="100"/>
      <c r="AL660" s="100"/>
      <c r="AM660" s="100"/>
      <c r="AN660" s="100"/>
      <c r="AO660" s="100"/>
      <c r="AP660" s="100"/>
      <c r="AQ660" s="100"/>
    </row>
    <row r="661" spans="24:43">
      <c r="X661" s="114" t="s">
        <v>14347</v>
      </c>
      <c r="Y661" s="115">
        <v>112500.5</v>
      </c>
      <c r="Z661" s="116">
        <f t="shared" si="52"/>
        <v>112500.5</v>
      </c>
      <c r="AA661" s="114" t="s">
        <v>2229</v>
      </c>
      <c r="AB661" s="117">
        <f t="shared" si="53"/>
        <v>112500</v>
      </c>
      <c r="AC661" s="114" t="s">
        <v>2228</v>
      </c>
      <c r="AD661" s="117">
        <f t="shared" si="54"/>
        <v>5</v>
      </c>
      <c r="AE661" s="114" t="s">
        <v>2227</v>
      </c>
      <c r="AF661" s="117">
        <f t="shared" si="55"/>
        <v>0</v>
      </c>
      <c r="AG661" s="114" t="s">
        <v>2226</v>
      </c>
      <c r="AH661" s="116">
        <v>4500.0200000000004</v>
      </c>
      <c r="AI661" s="100"/>
      <c r="AJ661" s="100"/>
      <c r="AK661" s="100"/>
      <c r="AL661" s="100"/>
      <c r="AM661" s="100"/>
      <c r="AN661" s="100"/>
      <c r="AO661" s="100"/>
      <c r="AP661" s="100"/>
      <c r="AQ661" s="100"/>
    </row>
    <row r="662" spans="24:43">
      <c r="X662" s="114" t="s">
        <v>9388</v>
      </c>
      <c r="Y662" s="115">
        <v>43000</v>
      </c>
      <c r="Z662" s="116">
        <f t="shared" si="52"/>
        <v>43000</v>
      </c>
      <c r="AA662" s="114" t="s">
        <v>2229</v>
      </c>
      <c r="AB662" s="117">
        <f t="shared" si="53"/>
        <v>43000</v>
      </c>
      <c r="AC662" s="114" t="s">
        <v>2228</v>
      </c>
      <c r="AD662" s="117">
        <f t="shared" si="54"/>
        <v>0</v>
      </c>
      <c r="AE662" s="114" t="s">
        <v>2227</v>
      </c>
      <c r="AF662" s="117">
        <f t="shared" si="55"/>
        <v>0</v>
      </c>
      <c r="AG662" s="114" t="s">
        <v>2226</v>
      </c>
      <c r="AH662" s="116">
        <v>1720</v>
      </c>
      <c r="AI662" s="100"/>
      <c r="AJ662" s="100"/>
      <c r="AK662" s="100"/>
      <c r="AL662" s="100"/>
      <c r="AM662" s="100"/>
      <c r="AN662" s="100"/>
      <c r="AO662" s="100"/>
      <c r="AP662" s="100"/>
      <c r="AQ662" s="100"/>
    </row>
    <row r="663" spans="24:43">
      <c r="X663" s="114" t="s">
        <v>14348</v>
      </c>
      <c r="Y663" s="115">
        <v>80</v>
      </c>
      <c r="Z663" s="116">
        <f t="shared" si="52"/>
        <v>80</v>
      </c>
      <c r="AA663" s="114" t="s">
        <v>2229</v>
      </c>
      <c r="AB663" s="117">
        <f t="shared" si="53"/>
        <v>80</v>
      </c>
      <c r="AC663" s="114" t="s">
        <v>2228</v>
      </c>
      <c r="AD663" s="117">
        <f t="shared" si="54"/>
        <v>0</v>
      </c>
      <c r="AE663" s="114" t="s">
        <v>2227</v>
      </c>
      <c r="AF663" s="117">
        <f t="shared" si="55"/>
        <v>0</v>
      </c>
      <c r="AG663" s="114" t="s">
        <v>2226</v>
      </c>
      <c r="AH663" s="116">
        <v>3.2</v>
      </c>
      <c r="AI663" s="100"/>
      <c r="AJ663" s="100"/>
      <c r="AK663" s="100"/>
      <c r="AL663" s="100"/>
      <c r="AM663" s="100"/>
      <c r="AN663" s="100"/>
      <c r="AO663" s="100"/>
      <c r="AP663" s="100"/>
      <c r="AQ663" s="100"/>
    </row>
    <row r="664" spans="24:43">
      <c r="X664" s="114" t="s">
        <v>14348</v>
      </c>
      <c r="Y664" s="115">
        <v>80</v>
      </c>
      <c r="Z664" s="116">
        <f t="shared" si="52"/>
        <v>80</v>
      </c>
      <c r="AA664" s="114" t="s">
        <v>2229</v>
      </c>
      <c r="AB664" s="117">
        <f t="shared" si="53"/>
        <v>80</v>
      </c>
      <c r="AC664" s="114" t="s">
        <v>2228</v>
      </c>
      <c r="AD664" s="117">
        <f t="shared" si="54"/>
        <v>0</v>
      </c>
      <c r="AE664" s="114" t="s">
        <v>2227</v>
      </c>
      <c r="AF664" s="117">
        <f t="shared" si="55"/>
        <v>0</v>
      </c>
      <c r="AG664" s="114" t="s">
        <v>2226</v>
      </c>
      <c r="AH664" s="116">
        <v>3.2</v>
      </c>
      <c r="AI664" s="100"/>
      <c r="AJ664" s="100"/>
      <c r="AK664" s="100"/>
      <c r="AL664" s="100"/>
      <c r="AM664" s="100"/>
      <c r="AN664" s="100"/>
      <c r="AO664" s="100"/>
      <c r="AP664" s="100"/>
      <c r="AQ664" s="100"/>
    </row>
    <row r="665" spans="24:43">
      <c r="X665" s="114" t="s">
        <v>14349</v>
      </c>
      <c r="Y665" s="115">
        <v>107500</v>
      </c>
      <c r="Z665" s="116">
        <f t="shared" si="52"/>
        <v>107500</v>
      </c>
      <c r="AA665" s="114" t="s">
        <v>2229</v>
      </c>
      <c r="AB665" s="117">
        <f t="shared" si="53"/>
        <v>107500</v>
      </c>
      <c r="AC665" s="114" t="s">
        <v>2228</v>
      </c>
      <c r="AD665" s="117">
        <f t="shared" si="54"/>
        <v>0</v>
      </c>
      <c r="AE665" s="114" t="s">
        <v>2227</v>
      </c>
      <c r="AF665" s="117">
        <f t="shared" si="55"/>
        <v>0</v>
      </c>
      <c r="AG665" s="114" t="s">
        <v>2226</v>
      </c>
      <c r="AH665" s="116">
        <v>4300</v>
      </c>
      <c r="AI665" s="100"/>
      <c r="AJ665" s="100"/>
      <c r="AK665" s="100"/>
      <c r="AL665" s="100"/>
      <c r="AM665" s="100"/>
      <c r="AN665" s="100"/>
      <c r="AO665" s="100"/>
      <c r="AP665" s="100"/>
      <c r="AQ665" s="100"/>
    </row>
    <row r="666" spans="24:43">
      <c r="X666" s="114" t="s">
        <v>14350</v>
      </c>
      <c r="Y666" s="115">
        <v>4312.625</v>
      </c>
      <c r="Z666" s="116">
        <f t="shared" si="52"/>
        <v>4312.625</v>
      </c>
      <c r="AA666" s="114" t="s">
        <v>2229</v>
      </c>
      <c r="AB666" s="117">
        <f t="shared" si="53"/>
        <v>4312</v>
      </c>
      <c r="AC666" s="114" t="s">
        <v>2228</v>
      </c>
      <c r="AD666" s="117">
        <f t="shared" si="54"/>
        <v>6</v>
      </c>
      <c r="AE666" s="114" t="s">
        <v>2227</v>
      </c>
      <c r="AF666" s="117">
        <f t="shared" si="55"/>
        <v>2.5</v>
      </c>
      <c r="AG666" s="114" t="s">
        <v>2226</v>
      </c>
      <c r="AH666" s="116">
        <v>172.5</v>
      </c>
      <c r="AI666" s="100"/>
      <c r="AJ666" s="100"/>
      <c r="AK666" s="100"/>
      <c r="AL666" s="100"/>
      <c r="AM666" s="100"/>
      <c r="AN666" s="100"/>
      <c r="AO666" s="100"/>
      <c r="AP666" s="100"/>
      <c r="AQ666" s="100"/>
    </row>
    <row r="667" spans="24:43">
      <c r="X667" s="114" t="s">
        <v>14351</v>
      </c>
      <c r="Y667" s="115">
        <v>400.125</v>
      </c>
      <c r="Z667" s="116">
        <f t="shared" si="52"/>
        <v>400.125</v>
      </c>
      <c r="AA667" s="114" t="s">
        <v>2229</v>
      </c>
      <c r="AB667" s="117">
        <f t="shared" si="53"/>
        <v>400</v>
      </c>
      <c r="AC667" s="114" t="s">
        <v>2228</v>
      </c>
      <c r="AD667" s="117">
        <f t="shared" si="54"/>
        <v>1</v>
      </c>
      <c r="AE667" s="114" t="s">
        <v>2227</v>
      </c>
      <c r="AF667" s="117">
        <f t="shared" si="55"/>
        <v>2.5</v>
      </c>
      <c r="AG667" s="114" t="s">
        <v>2226</v>
      </c>
      <c r="AH667" s="116">
        <v>16</v>
      </c>
      <c r="AI667" s="100"/>
      <c r="AJ667" s="100"/>
      <c r="AK667" s="100"/>
      <c r="AL667" s="100"/>
      <c r="AM667" s="100"/>
      <c r="AN667" s="100"/>
      <c r="AO667" s="100"/>
      <c r="AP667" s="100"/>
      <c r="AQ667" s="100"/>
    </row>
    <row r="668" spans="24:43">
      <c r="X668" s="114" t="s">
        <v>14352</v>
      </c>
      <c r="Y668" s="115">
        <v>60</v>
      </c>
      <c r="Z668" s="116">
        <f t="shared" si="52"/>
        <v>60</v>
      </c>
      <c r="AA668" s="114" t="s">
        <v>2229</v>
      </c>
      <c r="AB668" s="117">
        <f t="shared" si="53"/>
        <v>60</v>
      </c>
      <c r="AC668" s="114" t="s">
        <v>2228</v>
      </c>
      <c r="AD668" s="117">
        <f t="shared" si="54"/>
        <v>0</v>
      </c>
      <c r="AE668" s="114" t="s">
        <v>2227</v>
      </c>
      <c r="AF668" s="117">
        <f t="shared" si="55"/>
        <v>0</v>
      </c>
      <c r="AG668" s="114" t="s">
        <v>2226</v>
      </c>
      <c r="AH668" s="116">
        <v>2.4</v>
      </c>
      <c r="AI668" s="100"/>
      <c r="AJ668" s="100"/>
      <c r="AK668" s="100"/>
      <c r="AL668" s="100"/>
      <c r="AM668" s="100"/>
      <c r="AN668" s="100"/>
      <c r="AO668" s="100"/>
      <c r="AP668" s="100"/>
      <c r="AQ668" s="100"/>
    </row>
    <row r="669" spans="24:43">
      <c r="X669" s="114" t="s">
        <v>14353</v>
      </c>
      <c r="Y669" s="115">
        <v>55</v>
      </c>
      <c r="Z669" s="116">
        <f t="shared" si="52"/>
        <v>55</v>
      </c>
      <c r="AA669" s="114" t="s">
        <v>2229</v>
      </c>
      <c r="AB669" s="117">
        <f t="shared" si="53"/>
        <v>55</v>
      </c>
      <c r="AC669" s="114" t="s">
        <v>2228</v>
      </c>
      <c r="AD669" s="117">
        <f t="shared" si="54"/>
        <v>0</v>
      </c>
      <c r="AE669" s="114" t="s">
        <v>2227</v>
      </c>
      <c r="AF669" s="117">
        <f t="shared" si="55"/>
        <v>0</v>
      </c>
      <c r="AG669" s="114" t="s">
        <v>2226</v>
      </c>
      <c r="AH669" s="116">
        <v>2.2000000000000002</v>
      </c>
      <c r="AI669" s="100"/>
      <c r="AJ669" s="100"/>
      <c r="AK669" s="100"/>
      <c r="AL669" s="100"/>
      <c r="AM669" s="100"/>
      <c r="AN669" s="100"/>
      <c r="AO669" s="100"/>
      <c r="AP669" s="100"/>
      <c r="AQ669" s="100"/>
    </row>
    <row r="670" spans="24:43">
      <c r="X670" s="114" t="s">
        <v>14354</v>
      </c>
      <c r="Y670" s="115">
        <v>65</v>
      </c>
      <c r="Z670" s="116">
        <f t="shared" si="52"/>
        <v>65</v>
      </c>
      <c r="AA670" s="114" t="s">
        <v>2229</v>
      </c>
      <c r="AB670" s="117">
        <f t="shared" si="53"/>
        <v>65</v>
      </c>
      <c r="AC670" s="114" t="s">
        <v>2228</v>
      </c>
      <c r="AD670" s="117">
        <f t="shared" si="54"/>
        <v>0</v>
      </c>
      <c r="AE670" s="114" t="s">
        <v>2227</v>
      </c>
      <c r="AF670" s="117">
        <f t="shared" si="55"/>
        <v>0</v>
      </c>
      <c r="AG670" s="114" t="s">
        <v>2226</v>
      </c>
      <c r="AH670" s="116">
        <v>2.6</v>
      </c>
      <c r="AI670" s="100"/>
      <c r="AJ670" s="100"/>
      <c r="AK670" s="100"/>
      <c r="AL670" s="100"/>
      <c r="AM670" s="100"/>
      <c r="AN670" s="100"/>
      <c r="AO670" s="100"/>
      <c r="AP670" s="100"/>
      <c r="AQ670" s="100"/>
    </row>
    <row r="671" spans="24:43">
      <c r="X671" s="114" t="s">
        <v>14355</v>
      </c>
      <c r="Y671" s="115">
        <v>6875</v>
      </c>
      <c r="Z671" s="116">
        <f t="shared" si="52"/>
        <v>6875</v>
      </c>
      <c r="AA671" s="114" t="s">
        <v>2229</v>
      </c>
      <c r="AB671" s="117">
        <f t="shared" si="53"/>
        <v>6875</v>
      </c>
      <c r="AC671" s="114" t="s">
        <v>2228</v>
      </c>
      <c r="AD671" s="117">
        <f t="shared" si="54"/>
        <v>0</v>
      </c>
      <c r="AE671" s="114" t="s">
        <v>2227</v>
      </c>
      <c r="AF671" s="117">
        <f t="shared" si="55"/>
        <v>0</v>
      </c>
      <c r="AG671" s="114" t="s">
        <v>2226</v>
      </c>
      <c r="AH671" s="116">
        <v>275</v>
      </c>
      <c r="AI671" s="100"/>
      <c r="AJ671" s="100"/>
      <c r="AK671" s="100"/>
      <c r="AL671" s="100"/>
      <c r="AM671" s="100"/>
      <c r="AN671" s="100"/>
      <c r="AO671" s="100"/>
      <c r="AP671" s="100"/>
      <c r="AQ671" s="100"/>
    </row>
    <row r="672" spans="24:43">
      <c r="X672" s="114" t="s">
        <v>14356</v>
      </c>
      <c r="Y672" s="115">
        <v>5137.625</v>
      </c>
      <c r="Z672" s="116">
        <f t="shared" si="52"/>
        <v>5137.625</v>
      </c>
      <c r="AA672" s="114" t="s">
        <v>2229</v>
      </c>
      <c r="AB672" s="117">
        <f t="shared" si="53"/>
        <v>5137</v>
      </c>
      <c r="AC672" s="114" t="s">
        <v>2228</v>
      </c>
      <c r="AD672" s="117">
        <f t="shared" si="54"/>
        <v>6</v>
      </c>
      <c r="AE672" s="114" t="s">
        <v>2227</v>
      </c>
      <c r="AF672" s="117">
        <f t="shared" si="55"/>
        <v>2.5</v>
      </c>
      <c r="AG672" s="114" t="s">
        <v>2226</v>
      </c>
      <c r="AH672" s="116">
        <v>205.5</v>
      </c>
      <c r="AI672" s="100"/>
      <c r="AJ672" s="100"/>
      <c r="AK672" s="100"/>
      <c r="AL672" s="100"/>
      <c r="AM672" s="100"/>
      <c r="AN672" s="100"/>
      <c r="AO672" s="100"/>
      <c r="AP672" s="100"/>
      <c r="AQ672" s="100"/>
    </row>
    <row r="673" spans="24:43">
      <c r="X673" s="114" t="s">
        <v>14357</v>
      </c>
      <c r="Y673" s="115">
        <v>29125.125</v>
      </c>
      <c r="Z673" s="116">
        <f t="shared" si="52"/>
        <v>29125.125</v>
      </c>
      <c r="AA673" s="114" t="s">
        <v>2229</v>
      </c>
      <c r="AB673" s="117">
        <f t="shared" si="53"/>
        <v>29125</v>
      </c>
      <c r="AC673" s="114" t="s">
        <v>2228</v>
      </c>
      <c r="AD673" s="117">
        <f t="shared" si="54"/>
        <v>1</v>
      </c>
      <c r="AE673" s="114" t="s">
        <v>2227</v>
      </c>
      <c r="AF673" s="117">
        <f t="shared" si="55"/>
        <v>2.5</v>
      </c>
      <c r="AG673" s="114" t="s">
        <v>2226</v>
      </c>
      <c r="AH673" s="116">
        <v>1165</v>
      </c>
      <c r="AI673" s="100"/>
      <c r="AJ673" s="100"/>
      <c r="AK673" s="100"/>
      <c r="AL673" s="100"/>
      <c r="AM673" s="100"/>
      <c r="AN673" s="100"/>
      <c r="AO673" s="100"/>
      <c r="AP673" s="100"/>
      <c r="AQ673" s="100"/>
    </row>
    <row r="674" spans="24:43">
      <c r="X674" s="114" t="s">
        <v>14358</v>
      </c>
      <c r="Y674" s="115">
        <v>17000</v>
      </c>
      <c r="Z674" s="116">
        <f t="shared" si="52"/>
        <v>17000</v>
      </c>
      <c r="AA674" s="114" t="s">
        <v>2229</v>
      </c>
      <c r="AB674" s="117">
        <f t="shared" si="53"/>
        <v>17000</v>
      </c>
      <c r="AC674" s="114" t="s">
        <v>2228</v>
      </c>
      <c r="AD674" s="117">
        <f t="shared" si="54"/>
        <v>0</v>
      </c>
      <c r="AE674" s="114" t="s">
        <v>2227</v>
      </c>
      <c r="AF674" s="117">
        <f t="shared" si="55"/>
        <v>0</v>
      </c>
      <c r="AG674" s="114" t="s">
        <v>2226</v>
      </c>
      <c r="AH674" s="116">
        <v>680</v>
      </c>
      <c r="AI674" s="100"/>
      <c r="AJ674" s="100"/>
      <c r="AK674" s="100"/>
      <c r="AL674" s="100"/>
      <c r="AM674" s="100"/>
      <c r="AN674" s="100"/>
      <c r="AO674" s="100"/>
      <c r="AP674" s="100"/>
      <c r="AQ674" s="100"/>
    </row>
    <row r="675" spans="24:43">
      <c r="X675" s="114" t="s">
        <v>14359</v>
      </c>
      <c r="Y675" s="115">
        <v>55</v>
      </c>
      <c r="Z675" s="116">
        <f t="shared" si="52"/>
        <v>55</v>
      </c>
      <c r="AA675" s="114" t="s">
        <v>2229</v>
      </c>
      <c r="AB675" s="117">
        <f t="shared" si="53"/>
        <v>55</v>
      </c>
      <c r="AC675" s="114" t="s">
        <v>2228</v>
      </c>
      <c r="AD675" s="117">
        <f t="shared" si="54"/>
        <v>0</v>
      </c>
      <c r="AE675" s="114" t="s">
        <v>2227</v>
      </c>
      <c r="AF675" s="117">
        <f t="shared" si="55"/>
        <v>0</v>
      </c>
      <c r="AG675" s="114" t="s">
        <v>2226</v>
      </c>
      <c r="AH675" s="116">
        <v>2.2000000000000002</v>
      </c>
      <c r="AI675" s="100"/>
      <c r="AJ675" s="100"/>
      <c r="AK675" s="100"/>
      <c r="AL675" s="100"/>
      <c r="AM675" s="100"/>
      <c r="AN675" s="100"/>
      <c r="AO675" s="100"/>
      <c r="AP675" s="100"/>
      <c r="AQ675" s="100"/>
    </row>
    <row r="676" spans="24:43">
      <c r="X676" s="114" t="s">
        <v>14360</v>
      </c>
      <c r="Y676" s="115">
        <v>22000</v>
      </c>
      <c r="Z676" s="116">
        <f t="shared" si="52"/>
        <v>22000</v>
      </c>
      <c r="AA676" s="114" t="s">
        <v>2229</v>
      </c>
      <c r="AB676" s="117">
        <f t="shared" si="53"/>
        <v>22000</v>
      </c>
      <c r="AC676" s="114" t="s">
        <v>2228</v>
      </c>
      <c r="AD676" s="117">
        <f t="shared" si="54"/>
        <v>0</v>
      </c>
      <c r="AE676" s="114" t="s">
        <v>2227</v>
      </c>
      <c r="AF676" s="117">
        <f t="shared" si="55"/>
        <v>0</v>
      </c>
      <c r="AG676" s="114" t="s">
        <v>2226</v>
      </c>
      <c r="AH676" s="116">
        <v>880</v>
      </c>
      <c r="AI676" s="100"/>
      <c r="AJ676" s="100"/>
      <c r="AK676" s="100"/>
      <c r="AL676" s="100"/>
      <c r="AM676" s="100"/>
      <c r="AN676" s="100"/>
      <c r="AO676" s="100"/>
      <c r="AP676" s="100"/>
      <c r="AQ676" s="100"/>
    </row>
    <row r="677" spans="24:43">
      <c r="X677" s="114" t="s">
        <v>14361</v>
      </c>
      <c r="Y677" s="115">
        <v>8900</v>
      </c>
      <c r="Z677" s="116">
        <f t="shared" si="52"/>
        <v>8900</v>
      </c>
      <c r="AA677" s="114" t="s">
        <v>2229</v>
      </c>
      <c r="AB677" s="117">
        <f t="shared" si="53"/>
        <v>8900</v>
      </c>
      <c r="AC677" s="114" t="s">
        <v>2228</v>
      </c>
      <c r="AD677" s="117">
        <f t="shared" si="54"/>
        <v>0</v>
      </c>
      <c r="AE677" s="114" t="s">
        <v>2227</v>
      </c>
      <c r="AF677" s="117">
        <f t="shared" si="55"/>
        <v>0</v>
      </c>
      <c r="AG677" s="114" t="s">
        <v>2226</v>
      </c>
      <c r="AH677" s="116">
        <v>356</v>
      </c>
      <c r="AI677" s="100"/>
      <c r="AJ677" s="100"/>
      <c r="AK677" s="100"/>
      <c r="AL677" s="100"/>
      <c r="AM677" s="100"/>
      <c r="AN677" s="100"/>
      <c r="AO677" s="100"/>
      <c r="AP677" s="100"/>
      <c r="AQ677" s="100"/>
    </row>
    <row r="678" spans="24:43">
      <c r="X678" s="114" t="s">
        <v>14362</v>
      </c>
      <c r="Y678" s="115">
        <v>70750</v>
      </c>
      <c r="Z678" s="116">
        <f t="shared" si="52"/>
        <v>70750</v>
      </c>
      <c r="AA678" s="114" t="s">
        <v>2229</v>
      </c>
      <c r="AB678" s="117">
        <f t="shared" si="53"/>
        <v>70750</v>
      </c>
      <c r="AC678" s="114" t="s">
        <v>2228</v>
      </c>
      <c r="AD678" s="117">
        <f t="shared" si="54"/>
        <v>0</v>
      </c>
      <c r="AE678" s="114" t="s">
        <v>2227</v>
      </c>
      <c r="AF678" s="117">
        <f t="shared" si="55"/>
        <v>0</v>
      </c>
      <c r="AG678" s="114" t="s">
        <v>2226</v>
      </c>
      <c r="AH678" s="116">
        <v>2830</v>
      </c>
      <c r="AI678" s="100"/>
      <c r="AJ678" s="100"/>
      <c r="AK678" s="100"/>
      <c r="AL678" s="100"/>
      <c r="AM678" s="100"/>
      <c r="AN678" s="100"/>
      <c r="AO678" s="100"/>
      <c r="AP678" s="100"/>
      <c r="AQ678" s="100"/>
    </row>
    <row r="679" spans="24:43">
      <c r="X679" s="114" t="s">
        <v>14363</v>
      </c>
      <c r="Y679" s="115">
        <v>28500</v>
      </c>
      <c r="Z679" s="116">
        <f t="shared" si="52"/>
        <v>28500</v>
      </c>
      <c r="AA679" s="114" t="s">
        <v>2229</v>
      </c>
      <c r="AB679" s="117">
        <f t="shared" si="53"/>
        <v>28500</v>
      </c>
      <c r="AC679" s="114" t="s">
        <v>2228</v>
      </c>
      <c r="AD679" s="117">
        <f t="shared" si="54"/>
        <v>0</v>
      </c>
      <c r="AE679" s="114" t="s">
        <v>2227</v>
      </c>
      <c r="AF679" s="117">
        <f t="shared" si="55"/>
        <v>0</v>
      </c>
      <c r="AG679" s="114" t="s">
        <v>2226</v>
      </c>
      <c r="AH679" s="116">
        <v>1140</v>
      </c>
      <c r="AI679" s="100"/>
      <c r="AJ679" s="100"/>
      <c r="AK679" s="100"/>
      <c r="AL679" s="100"/>
      <c r="AM679" s="100"/>
      <c r="AN679" s="100"/>
      <c r="AO679" s="100"/>
      <c r="AP679" s="100"/>
      <c r="AQ679" s="100"/>
    </row>
    <row r="680" spans="24:43">
      <c r="X680" s="114" t="s">
        <v>14364</v>
      </c>
      <c r="Y680" s="115">
        <v>10250</v>
      </c>
      <c r="Z680" s="116">
        <f t="shared" si="52"/>
        <v>10250</v>
      </c>
      <c r="AA680" s="114" t="s">
        <v>2229</v>
      </c>
      <c r="AB680" s="117">
        <f t="shared" si="53"/>
        <v>10250</v>
      </c>
      <c r="AC680" s="114" t="s">
        <v>2228</v>
      </c>
      <c r="AD680" s="117">
        <f t="shared" si="54"/>
        <v>0</v>
      </c>
      <c r="AE680" s="114" t="s">
        <v>2227</v>
      </c>
      <c r="AF680" s="117">
        <f t="shared" si="55"/>
        <v>0</v>
      </c>
      <c r="AG680" s="114" t="s">
        <v>2226</v>
      </c>
      <c r="AH680" s="116">
        <v>410</v>
      </c>
      <c r="AI680" s="100"/>
      <c r="AJ680" s="100"/>
      <c r="AK680" s="100"/>
      <c r="AL680" s="100"/>
      <c r="AM680" s="100"/>
      <c r="AN680" s="100"/>
      <c r="AO680" s="100"/>
      <c r="AP680" s="100"/>
      <c r="AQ680" s="100"/>
    </row>
    <row r="681" spans="24:43">
      <c r="X681" s="114" t="s">
        <v>14365</v>
      </c>
      <c r="Y681" s="115">
        <v>1075</v>
      </c>
      <c r="Z681" s="116">
        <f t="shared" si="52"/>
        <v>1075</v>
      </c>
      <c r="AA681" s="114" t="s">
        <v>2229</v>
      </c>
      <c r="AB681" s="117">
        <f t="shared" si="53"/>
        <v>1075</v>
      </c>
      <c r="AC681" s="114" t="s">
        <v>2228</v>
      </c>
      <c r="AD681" s="117">
        <f t="shared" si="54"/>
        <v>0</v>
      </c>
      <c r="AE681" s="114" t="s">
        <v>2227</v>
      </c>
      <c r="AF681" s="117">
        <f t="shared" si="55"/>
        <v>0</v>
      </c>
      <c r="AG681" s="114" t="s">
        <v>2226</v>
      </c>
      <c r="AH681" s="116">
        <v>43</v>
      </c>
      <c r="AI681" s="100"/>
      <c r="AJ681" s="100"/>
      <c r="AK681" s="100"/>
      <c r="AL681" s="100"/>
      <c r="AM681" s="100"/>
      <c r="AN681" s="100"/>
      <c r="AO681" s="100"/>
      <c r="AP681" s="100"/>
      <c r="AQ681" s="100"/>
    </row>
    <row r="682" spans="24:43">
      <c r="X682" s="114" t="s">
        <v>14366</v>
      </c>
      <c r="Y682" s="115">
        <v>3937.625</v>
      </c>
      <c r="Z682" s="116">
        <f t="shared" si="52"/>
        <v>3937.625</v>
      </c>
      <c r="AA682" s="114" t="s">
        <v>2229</v>
      </c>
      <c r="AB682" s="117">
        <f t="shared" si="53"/>
        <v>3937</v>
      </c>
      <c r="AC682" s="114" t="s">
        <v>2228</v>
      </c>
      <c r="AD682" s="117">
        <f t="shared" si="54"/>
        <v>6</v>
      </c>
      <c r="AE682" s="114" t="s">
        <v>2227</v>
      </c>
      <c r="AF682" s="117">
        <f t="shared" si="55"/>
        <v>2.5</v>
      </c>
      <c r="AG682" s="114" t="s">
        <v>2226</v>
      </c>
      <c r="AH682" s="116">
        <v>157.5</v>
      </c>
      <c r="AI682" s="100"/>
      <c r="AJ682" s="100"/>
      <c r="AK682" s="100"/>
      <c r="AL682" s="100"/>
      <c r="AM682" s="100"/>
      <c r="AN682" s="100"/>
      <c r="AO682" s="100"/>
      <c r="AP682" s="100"/>
      <c r="AQ682" s="100"/>
    </row>
    <row r="683" spans="24:43">
      <c r="X683" s="114" t="s">
        <v>14367</v>
      </c>
      <c r="Y683" s="115">
        <v>105250.25</v>
      </c>
      <c r="Z683" s="116">
        <f t="shared" si="52"/>
        <v>105250.25</v>
      </c>
      <c r="AA683" s="114" t="s">
        <v>2229</v>
      </c>
      <c r="AB683" s="117">
        <f t="shared" si="53"/>
        <v>105250</v>
      </c>
      <c r="AC683" s="114" t="s">
        <v>2228</v>
      </c>
      <c r="AD683" s="117">
        <f t="shared" si="54"/>
        <v>2</v>
      </c>
      <c r="AE683" s="114" t="s">
        <v>2227</v>
      </c>
      <c r="AF683" s="117">
        <f t="shared" si="55"/>
        <v>5</v>
      </c>
      <c r="AG683" s="114" t="s">
        <v>2226</v>
      </c>
      <c r="AH683" s="116">
        <v>4210.01</v>
      </c>
      <c r="AI683" s="100"/>
      <c r="AJ683" s="100"/>
      <c r="AK683" s="100"/>
      <c r="AL683" s="100"/>
      <c r="AM683" s="100"/>
      <c r="AN683" s="100"/>
      <c r="AO683" s="100"/>
      <c r="AP683" s="100"/>
      <c r="AQ683" s="100"/>
    </row>
    <row r="684" spans="24:43">
      <c r="X684" s="114" t="s">
        <v>14368</v>
      </c>
      <c r="Y684" s="115">
        <v>1125</v>
      </c>
      <c r="Z684" s="116">
        <f t="shared" si="52"/>
        <v>1125</v>
      </c>
      <c r="AA684" s="114" t="s">
        <v>2229</v>
      </c>
      <c r="AB684" s="117">
        <f t="shared" si="53"/>
        <v>1125</v>
      </c>
      <c r="AC684" s="114" t="s">
        <v>2228</v>
      </c>
      <c r="AD684" s="117">
        <f t="shared" si="54"/>
        <v>0</v>
      </c>
      <c r="AE684" s="114" t="s">
        <v>2227</v>
      </c>
      <c r="AF684" s="117">
        <f t="shared" si="55"/>
        <v>0</v>
      </c>
      <c r="AG684" s="114" t="s">
        <v>2226</v>
      </c>
      <c r="AH684" s="116">
        <v>45</v>
      </c>
      <c r="AI684" s="100"/>
      <c r="AJ684" s="100"/>
      <c r="AK684" s="100"/>
      <c r="AL684" s="100"/>
      <c r="AM684" s="100"/>
      <c r="AN684" s="100"/>
      <c r="AO684" s="100"/>
      <c r="AP684" s="100"/>
      <c r="AQ684" s="100"/>
    </row>
    <row r="685" spans="24:43">
      <c r="X685" s="114" t="s">
        <v>14369</v>
      </c>
      <c r="Y685" s="115">
        <v>24250</v>
      </c>
      <c r="Z685" s="116">
        <f t="shared" si="52"/>
        <v>24250</v>
      </c>
      <c r="AA685" s="114" t="s">
        <v>2229</v>
      </c>
      <c r="AB685" s="117">
        <f t="shared" si="53"/>
        <v>24250</v>
      </c>
      <c r="AC685" s="114" t="s">
        <v>2228</v>
      </c>
      <c r="AD685" s="117">
        <f t="shared" si="54"/>
        <v>0</v>
      </c>
      <c r="AE685" s="114" t="s">
        <v>2227</v>
      </c>
      <c r="AF685" s="117">
        <f t="shared" si="55"/>
        <v>0</v>
      </c>
      <c r="AG685" s="114" t="s">
        <v>2226</v>
      </c>
      <c r="AH685" s="116">
        <v>970</v>
      </c>
      <c r="AI685" s="100"/>
      <c r="AJ685" s="100"/>
      <c r="AK685" s="100"/>
      <c r="AL685" s="100"/>
      <c r="AM685" s="100"/>
      <c r="AN685" s="100"/>
      <c r="AO685" s="100"/>
      <c r="AP685" s="100"/>
      <c r="AQ685" s="100"/>
    </row>
    <row r="686" spans="24:43">
      <c r="X686" s="114" t="s">
        <v>14370</v>
      </c>
      <c r="Y686" s="115">
        <v>20000</v>
      </c>
      <c r="Z686" s="116">
        <f t="shared" si="52"/>
        <v>20000</v>
      </c>
      <c r="AA686" s="114" t="s">
        <v>2229</v>
      </c>
      <c r="AB686" s="117">
        <f t="shared" si="53"/>
        <v>20000</v>
      </c>
      <c r="AC686" s="114" t="s">
        <v>2228</v>
      </c>
      <c r="AD686" s="117">
        <f t="shared" si="54"/>
        <v>0</v>
      </c>
      <c r="AE686" s="114" t="s">
        <v>2227</v>
      </c>
      <c r="AF686" s="117">
        <f t="shared" si="55"/>
        <v>0</v>
      </c>
      <c r="AG686" s="114" t="s">
        <v>2226</v>
      </c>
      <c r="AH686" s="116">
        <v>800</v>
      </c>
      <c r="AI686" s="100"/>
      <c r="AJ686" s="100"/>
      <c r="AK686" s="100"/>
      <c r="AL686" s="100"/>
      <c r="AM686" s="100"/>
      <c r="AN686" s="100"/>
      <c r="AO686" s="100"/>
      <c r="AP686" s="100"/>
      <c r="AQ686" s="100"/>
    </row>
    <row r="687" spans="24:43">
      <c r="X687" s="114" t="s">
        <v>14371</v>
      </c>
      <c r="Y687" s="115">
        <v>2550</v>
      </c>
      <c r="Z687" s="116">
        <f t="shared" si="52"/>
        <v>2550</v>
      </c>
      <c r="AA687" s="114" t="s">
        <v>2229</v>
      </c>
      <c r="AB687" s="117">
        <f t="shared" si="53"/>
        <v>2550</v>
      </c>
      <c r="AC687" s="114" t="s">
        <v>2228</v>
      </c>
      <c r="AD687" s="117">
        <f t="shared" si="54"/>
        <v>0</v>
      </c>
      <c r="AE687" s="114" t="s">
        <v>2227</v>
      </c>
      <c r="AF687" s="117">
        <f t="shared" si="55"/>
        <v>0</v>
      </c>
      <c r="AG687" s="114" t="s">
        <v>2226</v>
      </c>
      <c r="AH687" s="116">
        <v>102</v>
      </c>
      <c r="AI687" s="100"/>
      <c r="AJ687" s="100"/>
      <c r="AK687" s="100"/>
      <c r="AL687" s="100"/>
      <c r="AM687" s="100"/>
      <c r="AN687" s="100"/>
      <c r="AO687" s="100"/>
      <c r="AP687" s="100"/>
      <c r="AQ687" s="100"/>
    </row>
    <row r="688" spans="24:43">
      <c r="X688" s="114" t="s">
        <v>14372</v>
      </c>
      <c r="Y688" s="115">
        <v>6350</v>
      </c>
      <c r="Z688" s="116">
        <f t="shared" si="52"/>
        <v>6350</v>
      </c>
      <c r="AA688" s="114" t="s">
        <v>2229</v>
      </c>
      <c r="AB688" s="117">
        <f t="shared" si="53"/>
        <v>6350</v>
      </c>
      <c r="AC688" s="114" t="s">
        <v>2228</v>
      </c>
      <c r="AD688" s="117">
        <f t="shared" si="54"/>
        <v>0</v>
      </c>
      <c r="AE688" s="114" t="s">
        <v>2227</v>
      </c>
      <c r="AF688" s="117">
        <f t="shared" si="55"/>
        <v>0</v>
      </c>
      <c r="AG688" s="114" t="s">
        <v>2226</v>
      </c>
      <c r="AH688" s="116">
        <v>254</v>
      </c>
      <c r="AI688" s="100"/>
      <c r="AJ688" s="100"/>
      <c r="AK688" s="100"/>
      <c r="AL688" s="100"/>
      <c r="AM688" s="100"/>
      <c r="AN688" s="100"/>
      <c r="AO688" s="100"/>
      <c r="AP688" s="100"/>
      <c r="AQ688" s="100"/>
    </row>
    <row r="689" spans="24:43">
      <c r="X689" s="114" t="s">
        <v>14373</v>
      </c>
      <c r="Y689" s="115">
        <v>2300</v>
      </c>
      <c r="Z689" s="116">
        <f t="shared" si="52"/>
        <v>2300</v>
      </c>
      <c r="AA689" s="114" t="s">
        <v>2229</v>
      </c>
      <c r="AB689" s="117">
        <f t="shared" si="53"/>
        <v>2300</v>
      </c>
      <c r="AC689" s="114" t="s">
        <v>2228</v>
      </c>
      <c r="AD689" s="117">
        <f t="shared" si="54"/>
        <v>0</v>
      </c>
      <c r="AE689" s="114" t="s">
        <v>2227</v>
      </c>
      <c r="AF689" s="117">
        <f t="shared" si="55"/>
        <v>0</v>
      </c>
      <c r="AG689" s="114" t="s">
        <v>2226</v>
      </c>
      <c r="AH689" s="116">
        <v>92</v>
      </c>
      <c r="AI689" s="100"/>
      <c r="AJ689" s="100"/>
      <c r="AK689" s="100"/>
      <c r="AL689" s="100"/>
      <c r="AM689" s="100"/>
      <c r="AN689" s="100"/>
      <c r="AO689" s="100"/>
      <c r="AP689" s="100"/>
      <c r="AQ689" s="100"/>
    </row>
    <row r="690" spans="24:43">
      <c r="X690" s="114" t="s">
        <v>14374</v>
      </c>
      <c r="Y690" s="115">
        <v>362.625</v>
      </c>
      <c r="Z690" s="116">
        <f t="shared" si="52"/>
        <v>362.625</v>
      </c>
      <c r="AA690" s="114" t="s">
        <v>2229</v>
      </c>
      <c r="AB690" s="117">
        <f t="shared" si="53"/>
        <v>362</v>
      </c>
      <c r="AC690" s="114" t="s">
        <v>2228</v>
      </c>
      <c r="AD690" s="117">
        <f t="shared" si="54"/>
        <v>6</v>
      </c>
      <c r="AE690" s="114" t="s">
        <v>2227</v>
      </c>
      <c r="AF690" s="117">
        <f t="shared" si="55"/>
        <v>2.5</v>
      </c>
      <c r="AG690" s="114" t="s">
        <v>2226</v>
      </c>
      <c r="AH690" s="116">
        <v>14.5</v>
      </c>
      <c r="AI690" s="100"/>
      <c r="AJ690" s="100"/>
      <c r="AK690" s="100"/>
      <c r="AL690" s="100"/>
      <c r="AM690" s="100"/>
      <c r="AN690" s="100"/>
      <c r="AO690" s="100"/>
      <c r="AP690" s="100"/>
      <c r="AQ690" s="100"/>
    </row>
    <row r="691" spans="24:43">
      <c r="X691" s="114" t="s">
        <v>14375</v>
      </c>
      <c r="Y691" s="115">
        <v>5737.625</v>
      </c>
      <c r="Z691" s="116">
        <f t="shared" si="52"/>
        <v>5737.625</v>
      </c>
      <c r="AA691" s="114" t="s">
        <v>2229</v>
      </c>
      <c r="AB691" s="117">
        <f t="shared" si="53"/>
        <v>5737</v>
      </c>
      <c r="AC691" s="114" t="s">
        <v>2228</v>
      </c>
      <c r="AD691" s="117">
        <f t="shared" si="54"/>
        <v>6</v>
      </c>
      <c r="AE691" s="114" t="s">
        <v>2227</v>
      </c>
      <c r="AF691" s="117">
        <f t="shared" si="55"/>
        <v>2.5</v>
      </c>
      <c r="AG691" s="114" t="s">
        <v>2226</v>
      </c>
      <c r="AH691" s="116">
        <v>229.5</v>
      </c>
      <c r="AI691" s="100"/>
      <c r="AJ691" s="100"/>
      <c r="AK691" s="100"/>
      <c r="AL691" s="100"/>
      <c r="AM691" s="100"/>
      <c r="AN691" s="100"/>
      <c r="AO691" s="100"/>
      <c r="AP691" s="100"/>
      <c r="AQ691" s="100"/>
    </row>
    <row r="692" spans="24:43">
      <c r="X692" s="114" t="s">
        <v>14376</v>
      </c>
      <c r="Y692" s="115">
        <v>237.625</v>
      </c>
      <c r="Z692" s="116">
        <f t="shared" si="52"/>
        <v>237.625</v>
      </c>
      <c r="AA692" s="114" t="s">
        <v>2229</v>
      </c>
      <c r="AB692" s="117">
        <f t="shared" si="53"/>
        <v>237</v>
      </c>
      <c r="AC692" s="114" t="s">
        <v>2228</v>
      </c>
      <c r="AD692" s="117">
        <f t="shared" si="54"/>
        <v>6</v>
      </c>
      <c r="AE692" s="114" t="s">
        <v>2227</v>
      </c>
      <c r="AF692" s="117">
        <f t="shared" si="55"/>
        <v>2.5</v>
      </c>
      <c r="AG692" s="114" t="s">
        <v>2226</v>
      </c>
      <c r="AH692" s="116">
        <v>9.5</v>
      </c>
      <c r="AI692" s="100"/>
      <c r="AJ692" s="100"/>
      <c r="AK692" s="100"/>
      <c r="AL692" s="100"/>
      <c r="AM692" s="100"/>
      <c r="AN692" s="100"/>
      <c r="AO692" s="100"/>
      <c r="AP692" s="100"/>
      <c r="AQ692" s="100"/>
    </row>
    <row r="693" spans="24:43">
      <c r="X693" s="114" t="s">
        <v>14377</v>
      </c>
      <c r="Y693" s="115">
        <v>112500.5</v>
      </c>
      <c r="Z693" s="116">
        <f t="shared" si="52"/>
        <v>112500.5</v>
      </c>
      <c r="AA693" s="114" t="s">
        <v>2229</v>
      </c>
      <c r="AB693" s="117">
        <f t="shared" si="53"/>
        <v>112500</v>
      </c>
      <c r="AC693" s="114" t="s">
        <v>2228</v>
      </c>
      <c r="AD693" s="117">
        <f t="shared" si="54"/>
        <v>5</v>
      </c>
      <c r="AE693" s="114" t="s">
        <v>2227</v>
      </c>
      <c r="AF693" s="117">
        <f t="shared" si="55"/>
        <v>0</v>
      </c>
      <c r="AG693" s="114" t="s">
        <v>2226</v>
      </c>
      <c r="AH693" s="116">
        <v>4500.0200000000004</v>
      </c>
      <c r="AI693" s="100"/>
      <c r="AJ693" s="100"/>
      <c r="AK693" s="100"/>
      <c r="AL693" s="100"/>
      <c r="AM693" s="100"/>
      <c r="AN693" s="100"/>
      <c r="AO693" s="100"/>
      <c r="AP693" s="100"/>
      <c r="AQ693" s="100"/>
    </row>
    <row r="694" spans="24:43">
      <c r="X694" s="114" t="s">
        <v>14377</v>
      </c>
      <c r="Y694" s="115">
        <v>112500.5</v>
      </c>
      <c r="Z694" s="116">
        <f t="shared" si="52"/>
        <v>112500.5</v>
      </c>
      <c r="AA694" s="114" t="s">
        <v>2229</v>
      </c>
      <c r="AB694" s="117">
        <f t="shared" si="53"/>
        <v>112500</v>
      </c>
      <c r="AC694" s="114" t="s">
        <v>2228</v>
      </c>
      <c r="AD694" s="117">
        <f t="shared" si="54"/>
        <v>5</v>
      </c>
      <c r="AE694" s="114" t="s">
        <v>2227</v>
      </c>
      <c r="AF694" s="117">
        <f t="shared" si="55"/>
        <v>0</v>
      </c>
      <c r="AG694" s="114" t="s">
        <v>2226</v>
      </c>
      <c r="AH694" s="116">
        <v>4500.0200000000004</v>
      </c>
      <c r="AI694" s="100"/>
      <c r="AJ694" s="100"/>
      <c r="AK694" s="100"/>
      <c r="AL694" s="100"/>
      <c r="AM694" s="100"/>
      <c r="AN694" s="100"/>
      <c r="AO694" s="100"/>
      <c r="AP694" s="100"/>
      <c r="AQ694" s="100"/>
    </row>
    <row r="695" spans="24:43">
      <c r="X695" s="114" t="s">
        <v>14378</v>
      </c>
      <c r="Y695" s="115">
        <v>112500.5</v>
      </c>
      <c r="Z695" s="116">
        <f t="shared" si="52"/>
        <v>112500.5</v>
      </c>
      <c r="AA695" s="114" t="s">
        <v>2229</v>
      </c>
      <c r="AB695" s="117">
        <f t="shared" si="53"/>
        <v>112500</v>
      </c>
      <c r="AC695" s="114" t="s">
        <v>2228</v>
      </c>
      <c r="AD695" s="117">
        <f t="shared" si="54"/>
        <v>5</v>
      </c>
      <c r="AE695" s="114" t="s">
        <v>2227</v>
      </c>
      <c r="AF695" s="117">
        <f t="shared" si="55"/>
        <v>0</v>
      </c>
      <c r="AG695" s="114" t="s">
        <v>2226</v>
      </c>
      <c r="AH695" s="116">
        <v>4500.0200000000004</v>
      </c>
      <c r="AI695" s="100"/>
      <c r="AJ695" s="100"/>
      <c r="AK695" s="100"/>
      <c r="AL695" s="100"/>
      <c r="AM695" s="100"/>
      <c r="AN695" s="100"/>
      <c r="AO695" s="100"/>
      <c r="AP695" s="100"/>
      <c r="AQ695" s="100"/>
    </row>
    <row r="696" spans="24:43">
      <c r="X696" s="114" t="s">
        <v>14379</v>
      </c>
      <c r="Y696" s="115">
        <v>7000</v>
      </c>
      <c r="Z696" s="116">
        <f t="shared" si="52"/>
        <v>7000</v>
      </c>
      <c r="AA696" s="114" t="s">
        <v>2229</v>
      </c>
      <c r="AB696" s="117">
        <f t="shared" si="53"/>
        <v>7000</v>
      </c>
      <c r="AC696" s="114" t="s">
        <v>2228</v>
      </c>
      <c r="AD696" s="117">
        <f t="shared" si="54"/>
        <v>0</v>
      </c>
      <c r="AE696" s="114" t="s">
        <v>2227</v>
      </c>
      <c r="AF696" s="117">
        <f t="shared" si="55"/>
        <v>0</v>
      </c>
      <c r="AG696" s="114" t="s">
        <v>2226</v>
      </c>
      <c r="AH696" s="116">
        <v>280</v>
      </c>
      <c r="AI696" s="100"/>
      <c r="AJ696" s="100"/>
      <c r="AK696" s="100"/>
      <c r="AL696" s="100"/>
      <c r="AM696" s="100"/>
      <c r="AN696" s="100"/>
      <c r="AO696" s="100"/>
      <c r="AP696" s="100"/>
      <c r="AQ696" s="100"/>
    </row>
    <row r="697" spans="24:43">
      <c r="X697" s="114" t="s">
        <v>14380</v>
      </c>
      <c r="Y697" s="115">
        <v>5737.625</v>
      </c>
      <c r="Z697" s="116">
        <f t="shared" si="52"/>
        <v>5737.625</v>
      </c>
      <c r="AA697" s="114" t="s">
        <v>2229</v>
      </c>
      <c r="AB697" s="117">
        <f t="shared" si="53"/>
        <v>5737</v>
      </c>
      <c r="AC697" s="114" t="s">
        <v>2228</v>
      </c>
      <c r="AD697" s="117">
        <f t="shared" si="54"/>
        <v>6</v>
      </c>
      <c r="AE697" s="114" t="s">
        <v>2227</v>
      </c>
      <c r="AF697" s="117">
        <f t="shared" si="55"/>
        <v>2.5</v>
      </c>
      <c r="AG697" s="114" t="s">
        <v>2226</v>
      </c>
      <c r="AH697" s="116">
        <v>229.5</v>
      </c>
      <c r="AI697" s="100"/>
      <c r="AJ697" s="100"/>
      <c r="AK697" s="100"/>
      <c r="AL697" s="100"/>
      <c r="AM697" s="100"/>
      <c r="AN697" s="100"/>
      <c r="AO697" s="100"/>
      <c r="AP697" s="100"/>
      <c r="AQ697" s="100"/>
    </row>
    <row r="698" spans="24:43">
      <c r="X698" s="114" t="s">
        <v>14381</v>
      </c>
      <c r="Y698" s="115">
        <v>83750.25</v>
      </c>
      <c r="Z698" s="116">
        <f t="shared" si="52"/>
        <v>83750.25</v>
      </c>
      <c r="AA698" s="114" t="s">
        <v>2229</v>
      </c>
      <c r="AB698" s="117">
        <f t="shared" si="53"/>
        <v>83750</v>
      </c>
      <c r="AC698" s="114" t="s">
        <v>2228</v>
      </c>
      <c r="AD698" s="117">
        <f t="shared" si="54"/>
        <v>2</v>
      </c>
      <c r="AE698" s="114" t="s">
        <v>2227</v>
      </c>
      <c r="AF698" s="117">
        <f t="shared" si="55"/>
        <v>5</v>
      </c>
      <c r="AG698" s="114" t="s">
        <v>2226</v>
      </c>
      <c r="AH698" s="116">
        <v>3350.01</v>
      </c>
      <c r="AI698" s="100"/>
      <c r="AJ698" s="100"/>
      <c r="AK698" s="100"/>
      <c r="AL698" s="100"/>
      <c r="AM698" s="100"/>
      <c r="AN698" s="100"/>
      <c r="AO698" s="100"/>
      <c r="AP698" s="100"/>
      <c r="AQ698" s="100"/>
    </row>
    <row r="699" spans="24:43">
      <c r="X699" s="114" t="s">
        <v>14382</v>
      </c>
      <c r="Y699" s="115">
        <v>43500</v>
      </c>
      <c r="Z699" s="116">
        <f t="shared" si="52"/>
        <v>43500</v>
      </c>
      <c r="AA699" s="114" t="s">
        <v>2229</v>
      </c>
      <c r="AB699" s="117">
        <f t="shared" si="53"/>
        <v>43500</v>
      </c>
      <c r="AC699" s="114" t="s">
        <v>2228</v>
      </c>
      <c r="AD699" s="117">
        <f t="shared" si="54"/>
        <v>0</v>
      </c>
      <c r="AE699" s="114" t="s">
        <v>2227</v>
      </c>
      <c r="AF699" s="117">
        <f t="shared" si="55"/>
        <v>0</v>
      </c>
      <c r="AG699" s="114" t="s">
        <v>2226</v>
      </c>
      <c r="AH699" s="116">
        <v>1740</v>
      </c>
      <c r="AI699" s="100"/>
      <c r="AJ699" s="100"/>
      <c r="AK699" s="100"/>
      <c r="AL699" s="100"/>
      <c r="AM699" s="100"/>
      <c r="AN699" s="100"/>
      <c r="AO699" s="100"/>
      <c r="AP699" s="100"/>
      <c r="AQ699" s="100"/>
    </row>
    <row r="700" spans="24:43">
      <c r="X700" s="114" t="s">
        <v>14383</v>
      </c>
      <c r="Y700" s="115">
        <v>1600</v>
      </c>
      <c r="Z700" s="116">
        <f t="shared" si="52"/>
        <v>1600</v>
      </c>
      <c r="AA700" s="114" t="s">
        <v>2229</v>
      </c>
      <c r="AB700" s="117">
        <f t="shared" si="53"/>
        <v>1600</v>
      </c>
      <c r="AC700" s="114" t="s">
        <v>2228</v>
      </c>
      <c r="AD700" s="117">
        <f t="shared" si="54"/>
        <v>0</v>
      </c>
      <c r="AE700" s="114" t="s">
        <v>2227</v>
      </c>
      <c r="AF700" s="117">
        <f t="shared" si="55"/>
        <v>0</v>
      </c>
      <c r="AG700" s="114" t="s">
        <v>2226</v>
      </c>
      <c r="AH700" s="116">
        <v>64</v>
      </c>
      <c r="AI700" s="100"/>
      <c r="AJ700" s="100"/>
      <c r="AK700" s="100"/>
      <c r="AL700" s="100"/>
      <c r="AM700" s="100"/>
      <c r="AN700" s="100"/>
      <c r="AO700" s="100"/>
      <c r="AP700" s="100"/>
      <c r="AQ700" s="100"/>
    </row>
    <row r="701" spans="24:43">
      <c r="X701" s="114" t="s">
        <v>14384</v>
      </c>
      <c r="Y701" s="115">
        <v>21850</v>
      </c>
      <c r="Z701" s="116">
        <f t="shared" si="52"/>
        <v>21850</v>
      </c>
      <c r="AA701" s="114" t="s">
        <v>2229</v>
      </c>
      <c r="AB701" s="117">
        <f t="shared" si="53"/>
        <v>21850</v>
      </c>
      <c r="AC701" s="114" t="s">
        <v>2228</v>
      </c>
      <c r="AD701" s="117">
        <f t="shared" si="54"/>
        <v>0</v>
      </c>
      <c r="AE701" s="114" t="s">
        <v>2227</v>
      </c>
      <c r="AF701" s="117">
        <f t="shared" si="55"/>
        <v>0</v>
      </c>
      <c r="AG701" s="114" t="s">
        <v>2226</v>
      </c>
      <c r="AH701" s="116">
        <v>874</v>
      </c>
      <c r="AI701" s="100"/>
      <c r="AJ701" s="100"/>
      <c r="AK701" s="100"/>
      <c r="AL701" s="100"/>
      <c r="AM701" s="100"/>
      <c r="AN701" s="100"/>
      <c r="AO701" s="100"/>
      <c r="AP701" s="100"/>
      <c r="AQ701" s="100"/>
    </row>
    <row r="702" spans="24:43">
      <c r="X702" s="114" t="s">
        <v>14385</v>
      </c>
      <c r="Y702" s="115">
        <v>23625.125</v>
      </c>
      <c r="Z702" s="116">
        <f t="shared" si="52"/>
        <v>23625.125</v>
      </c>
      <c r="AA702" s="114" t="s">
        <v>2229</v>
      </c>
      <c r="AB702" s="117">
        <f t="shared" si="53"/>
        <v>23625</v>
      </c>
      <c r="AC702" s="114" t="s">
        <v>2228</v>
      </c>
      <c r="AD702" s="117">
        <f t="shared" si="54"/>
        <v>1</v>
      </c>
      <c r="AE702" s="114" t="s">
        <v>2227</v>
      </c>
      <c r="AF702" s="117">
        <f t="shared" si="55"/>
        <v>2.5</v>
      </c>
      <c r="AG702" s="114" t="s">
        <v>2226</v>
      </c>
      <c r="AH702" s="116">
        <v>945</v>
      </c>
      <c r="AI702" s="100"/>
      <c r="AJ702" s="100"/>
      <c r="AK702" s="100"/>
      <c r="AL702" s="100"/>
      <c r="AM702" s="100"/>
      <c r="AN702" s="100"/>
      <c r="AO702" s="100"/>
      <c r="AP702" s="100"/>
      <c r="AQ702" s="100"/>
    </row>
    <row r="703" spans="24:43">
      <c r="X703" s="114" t="s">
        <v>14386</v>
      </c>
      <c r="Y703" s="115">
        <v>362.625</v>
      </c>
      <c r="Z703" s="116">
        <f t="shared" si="52"/>
        <v>362.625</v>
      </c>
      <c r="AA703" s="114" t="s">
        <v>2229</v>
      </c>
      <c r="AB703" s="117">
        <f t="shared" si="53"/>
        <v>362</v>
      </c>
      <c r="AC703" s="114" t="s">
        <v>2228</v>
      </c>
      <c r="AD703" s="117">
        <f t="shared" si="54"/>
        <v>6</v>
      </c>
      <c r="AE703" s="114" t="s">
        <v>2227</v>
      </c>
      <c r="AF703" s="117">
        <f t="shared" si="55"/>
        <v>2.5</v>
      </c>
      <c r="AG703" s="114" t="s">
        <v>2226</v>
      </c>
      <c r="AH703" s="116">
        <v>14.5</v>
      </c>
      <c r="AI703" s="100"/>
      <c r="AJ703" s="100"/>
      <c r="AK703" s="100"/>
      <c r="AL703" s="100"/>
      <c r="AM703" s="100"/>
      <c r="AN703" s="100"/>
      <c r="AO703" s="100"/>
      <c r="AP703" s="100"/>
      <c r="AQ703" s="100"/>
    </row>
    <row r="704" spans="24:43">
      <c r="X704" s="114" t="s">
        <v>14387</v>
      </c>
      <c r="Y704" s="115">
        <v>1600</v>
      </c>
      <c r="Z704" s="116">
        <f t="shared" si="52"/>
        <v>1600</v>
      </c>
      <c r="AA704" s="114" t="s">
        <v>2229</v>
      </c>
      <c r="AB704" s="117">
        <f t="shared" si="53"/>
        <v>1600</v>
      </c>
      <c r="AC704" s="114" t="s">
        <v>2228</v>
      </c>
      <c r="AD704" s="117">
        <f t="shared" si="54"/>
        <v>0</v>
      </c>
      <c r="AE704" s="114" t="s">
        <v>2227</v>
      </c>
      <c r="AF704" s="117">
        <f t="shared" si="55"/>
        <v>0</v>
      </c>
      <c r="AG704" s="114" t="s">
        <v>2226</v>
      </c>
      <c r="AH704" s="116">
        <v>64</v>
      </c>
      <c r="AI704" s="100"/>
      <c r="AJ704" s="100"/>
      <c r="AK704" s="100"/>
      <c r="AL704" s="100"/>
      <c r="AM704" s="100"/>
      <c r="AN704" s="100"/>
      <c r="AO704" s="100"/>
      <c r="AP704" s="100"/>
      <c r="AQ704" s="100"/>
    </row>
    <row r="705" spans="24:43">
      <c r="X705" s="114" t="s">
        <v>14388</v>
      </c>
      <c r="Y705" s="115">
        <v>98340</v>
      </c>
      <c r="Z705" s="116">
        <f t="shared" si="52"/>
        <v>98340</v>
      </c>
      <c r="AA705" s="114" t="s">
        <v>2229</v>
      </c>
      <c r="AB705" s="117">
        <f t="shared" si="53"/>
        <v>98340</v>
      </c>
      <c r="AC705" s="114" t="s">
        <v>2228</v>
      </c>
      <c r="AD705" s="117">
        <f t="shared" si="54"/>
        <v>0</v>
      </c>
      <c r="AE705" s="114" t="s">
        <v>2227</v>
      </c>
      <c r="AF705" s="117">
        <f t="shared" si="55"/>
        <v>0</v>
      </c>
      <c r="AG705" s="114" t="s">
        <v>2226</v>
      </c>
      <c r="AH705" s="116">
        <v>3933.6</v>
      </c>
      <c r="AI705" s="100"/>
      <c r="AJ705" s="100"/>
      <c r="AK705" s="100"/>
      <c r="AL705" s="100"/>
      <c r="AM705" s="100"/>
      <c r="AN705" s="100"/>
      <c r="AO705" s="100"/>
      <c r="AP705" s="100"/>
      <c r="AQ705" s="100"/>
    </row>
    <row r="706" spans="24:43">
      <c r="X706" s="114" t="s">
        <v>14389</v>
      </c>
      <c r="Y706" s="115">
        <v>47500</v>
      </c>
      <c r="Z706" s="116">
        <f t="shared" si="52"/>
        <v>47500</v>
      </c>
      <c r="AA706" s="114" t="s">
        <v>2229</v>
      </c>
      <c r="AB706" s="117">
        <f t="shared" si="53"/>
        <v>47500</v>
      </c>
      <c r="AC706" s="114" t="s">
        <v>2228</v>
      </c>
      <c r="AD706" s="117">
        <f t="shared" si="54"/>
        <v>0</v>
      </c>
      <c r="AE706" s="114" t="s">
        <v>2227</v>
      </c>
      <c r="AF706" s="117">
        <f t="shared" si="55"/>
        <v>0</v>
      </c>
      <c r="AG706" s="114" t="s">
        <v>2226</v>
      </c>
      <c r="AH706" s="116">
        <v>1900</v>
      </c>
      <c r="AI706" s="100"/>
      <c r="AJ706" s="100"/>
      <c r="AK706" s="100"/>
      <c r="AL706" s="100"/>
      <c r="AM706" s="100"/>
      <c r="AN706" s="100"/>
      <c r="AO706" s="100"/>
      <c r="AP706" s="100"/>
      <c r="AQ706" s="100"/>
    </row>
    <row r="707" spans="24:43">
      <c r="X707" s="114" t="s">
        <v>14390</v>
      </c>
      <c r="Y707" s="115">
        <v>93220</v>
      </c>
      <c r="Z707" s="116">
        <f t="shared" ref="Z707:Z770" si="56">Y707*$AK$6*$AK$11</f>
        <v>93220</v>
      </c>
      <c r="AA707" s="114" t="s">
        <v>2229</v>
      </c>
      <c r="AB707" s="117">
        <f t="shared" ref="AB707:AB770" si="57">_xlfn.FLOOR.MATH(Z707,1)</f>
        <v>93220</v>
      </c>
      <c r="AC707" s="114" t="s">
        <v>2228</v>
      </c>
      <c r="AD707" s="117">
        <f t="shared" ref="AD707:AD770" si="58">_xlfn.FLOOR.MATH(((Z707-AB707)*10), 1)</f>
        <v>0</v>
      </c>
      <c r="AE707" s="114" t="s">
        <v>2227</v>
      </c>
      <c r="AF707" s="117">
        <f t="shared" ref="AF707:AF770" si="59">((Z707-AB707)*10-AD707)*10</f>
        <v>0</v>
      </c>
      <c r="AG707" s="114" t="s">
        <v>2226</v>
      </c>
      <c r="AH707" s="116">
        <v>3728.8</v>
      </c>
      <c r="AI707" s="100"/>
      <c r="AJ707" s="100"/>
      <c r="AK707" s="100"/>
      <c r="AL707" s="100"/>
      <c r="AM707" s="100"/>
      <c r="AN707" s="100"/>
      <c r="AO707" s="100"/>
      <c r="AP707" s="100"/>
      <c r="AQ707" s="100"/>
    </row>
    <row r="708" spans="24:43">
      <c r="X708" s="114" t="s">
        <v>14391</v>
      </c>
      <c r="Y708" s="115">
        <v>67.5</v>
      </c>
      <c r="Z708" s="116">
        <f t="shared" si="56"/>
        <v>67.5</v>
      </c>
      <c r="AA708" s="114" t="s">
        <v>2229</v>
      </c>
      <c r="AB708" s="117">
        <f t="shared" si="57"/>
        <v>67</v>
      </c>
      <c r="AC708" s="114" t="s">
        <v>2228</v>
      </c>
      <c r="AD708" s="117">
        <f t="shared" si="58"/>
        <v>5</v>
      </c>
      <c r="AE708" s="114" t="s">
        <v>2227</v>
      </c>
      <c r="AF708" s="117">
        <f t="shared" si="59"/>
        <v>0</v>
      </c>
      <c r="AG708" s="114" t="s">
        <v>2226</v>
      </c>
      <c r="AH708" s="116">
        <v>2.7</v>
      </c>
      <c r="AI708" s="100"/>
      <c r="AJ708" s="100"/>
      <c r="AK708" s="100"/>
      <c r="AL708" s="100"/>
      <c r="AM708" s="100"/>
      <c r="AN708" s="100"/>
      <c r="AO708" s="100"/>
      <c r="AP708" s="100"/>
      <c r="AQ708" s="100"/>
    </row>
    <row r="709" spans="24:43">
      <c r="X709" s="114" t="s">
        <v>14392</v>
      </c>
      <c r="Y709" s="115">
        <v>60</v>
      </c>
      <c r="Z709" s="116">
        <f t="shared" si="56"/>
        <v>60</v>
      </c>
      <c r="AA709" s="114" t="s">
        <v>2229</v>
      </c>
      <c r="AB709" s="117">
        <f t="shared" si="57"/>
        <v>60</v>
      </c>
      <c r="AC709" s="114" t="s">
        <v>2228</v>
      </c>
      <c r="AD709" s="117">
        <f t="shared" si="58"/>
        <v>0</v>
      </c>
      <c r="AE709" s="114" t="s">
        <v>2227</v>
      </c>
      <c r="AF709" s="117">
        <f t="shared" si="59"/>
        <v>0</v>
      </c>
      <c r="AG709" s="114" t="s">
        <v>2226</v>
      </c>
      <c r="AH709" s="116">
        <v>2.4</v>
      </c>
      <c r="AI709" s="100"/>
      <c r="AJ709" s="100"/>
      <c r="AK709" s="100"/>
      <c r="AL709" s="100"/>
      <c r="AM709" s="100"/>
      <c r="AN709" s="100"/>
      <c r="AO709" s="100"/>
      <c r="AP709" s="100"/>
      <c r="AQ709" s="100"/>
    </row>
    <row r="710" spans="24:43">
      <c r="X710" s="114" t="s">
        <v>14393</v>
      </c>
      <c r="Y710" s="115">
        <v>70</v>
      </c>
      <c r="Z710" s="116">
        <f t="shared" si="56"/>
        <v>70</v>
      </c>
      <c r="AA710" s="114" t="s">
        <v>2229</v>
      </c>
      <c r="AB710" s="117">
        <f t="shared" si="57"/>
        <v>70</v>
      </c>
      <c r="AC710" s="114" t="s">
        <v>2228</v>
      </c>
      <c r="AD710" s="117">
        <f t="shared" si="58"/>
        <v>0</v>
      </c>
      <c r="AE710" s="114" t="s">
        <v>2227</v>
      </c>
      <c r="AF710" s="117">
        <f t="shared" si="59"/>
        <v>0</v>
      </c>
      <c r="AG710" s="114" t="s">
        <v>2226</v>
      </c>
      <c r="AH710" s="116">
        <v>2.8000000000000003</v>
      </c>
      <c r="AI710" s="100"/>
      <c r="AJ710" s="100"/>
      <c r="AK710" s="100"/>
      <c r="AL710" s="100"/>
      <c r="AM710" s="100"/>
      <c r="AN710" s="100"/>
      <c r="AO710" s="100"/>
      <c r="AP710" s="100"/>
      <c r="AQ710" s="100"/>
    </row>
    <row r="711" spans="24:43">
      <c r="X711" s="114" t="s">
        <v>9198</v>
      </c>
      <c r="Y711" s="115">
        <v>3500</v>
      </c>
      <c r="Z711" s="116">
        <f t="shared" si="56"/>
        <v>3500</v>
      </c>
      <c r="AA711" s="114" t="s">
        <v>2229</v>
      </c>
      <c r="AB711" s="117">
        <f t="shared" si="57"/>
        <v>3500</v>
      </c>
      <c r="AC711" s="114" t="s">
        <v>2228</v>
      </c>
      <c r="AD711" s="117">
        <f t="shared" si="58"/>
        <v>0</v>
      </c>
      <c r="AE711" s="114" t="s">
        <v>2227</v>
      </c>
      <c r="AF711" s="117">
        <f t="shared" si="59"/>
        <v>0</v>
      </c>
      <c r="AG711" s="114" t="s">
        <v>2226</v>
      </c>
      <c r="AH711" s="116">
        <v>140</v>
      </c>
      <c r="AI711" s="100"/>
      <c r="AJ711" s="100"/>
      <c r="AK711" s="100"/>
      <c r="AL711" s="100"/>
      <c r="AM711" s="100"/>
      <c r="AN711" s="100"/>
      <c r="AO711" s="100"/>
      <c r="AP711" s="100"/>
      <c r="AQ711" s="100"/>
    </row>
    <row r="712" spans="24:43">
      <c r="X712" s="114" t="s">
        <v>14394</v>
      </c>
      <c r="Y712" s="115">
        <v>60</v>
      </c>
      <c r="Z712" s="116">
        <f t="shared" si="56"/>
        <v>60</v>
      </c>
      <c r="AA712" s="114" t="s">
        <v>2229</v>
      </c>
      <c r="AB712" s="117">
        <f t="shared" si="57"/>
        <v>60</v>
      </c>
      <c r="AC712" s="114" t="s">
        <v>2228</v>
      </c>
      <c r="AD712" s="117">
        <f t="shared" si="58"/>
        <v>0</v>
      </c>
      <c r="AE712" s="114" t="s">
        <v>2227</v>
      </c>
      <c r="AF712" s="117">
        <f t="shared" si="59"/>
        <v>0</v>
      </c>
      <c r="AG712" s="114" t="s">
        <v>2226</v>
      </c>
      <c r="AH712" s="116">
        <v>2.4</v>
      </c>
      <c r="AI712" s="100"/>
      <c r="AJ712" s="100"/>
      <c r="AK712" s="100"/>
      <c r="AL712" s="100"/>
      <c r="AM712" s="100"/>
      <c r="AN712" s="100"/>
      <c r="AO712" s="100"/>
      <c r="AP712" s="100"/>
      <c r="AQ712" s="100"/>
    </row>
    <row r="713" spans="24:43">
      <c r="X713" s="114" t="s">
        <v>14395</v>
      </c>
      <c r="Y713" s="115">
        <v>19625.125</v>
      </c>
      <c r="Z713" s="116">
        <f t="shared" si="56"/>
        <v>19625.125</v>
      </c>
      <c r="AA713" s="114" t="s">
        <v>2229</v>
      </c>
      <c r="AB713" s="117">
        <f t="shared" si="57"/>
        <v>19625</v>
      </c>
      <c r="AC713" s="114" t="s">
        <v>2228</v>
      </c>
      <c r="AD713" s="117">
        <f t="shared" si="58"/>
        <v>1</v>
      </c>
      <c r="AE713" s="114" t="s">
        <v>2227</v>
      </c>
      <c r="AF713" s="117">
        <f t="shared" si="59"/>
        <v>2.5</v>
      </c>
      <c r="AG713" s="114" t="s">
        <v>2226</v>
      </c>
      <c r="AH713" s="116">
        <v>785</v>
      </c>
      <c r="AI713" s="100"/>
      <c r="AJ713" s="100"/>
      <c r="AK713" s="100"/>
      <c r="AL713" s="100"/>
      <c r="AM713" s="100"/>
      <c r="AN713" s="100"/>
      <c r="AO713" s="100"/>
      <c r="AP713" s="100"/>
      <c r="AQ713" s="100"/>
    </row>
    <row r="714" spans="24:43">
      <c r="X714" s="114" t="s">
        <v>14396</v>
      </c>
      <c r="Y714" s="115">
        <v>91750.25</v>
      </c>
      <c r="Z714" s="116">
        <f t="shared" si="56"/>
        <v>91750.25</v>
      </c>
      <c r="AA714" s="114" t="s">
        <v>2229</v>
      </c>
      <c r="AB714" s="117">
        <f t="shared" si="57"/>
        <v>91750</v>
      </c>
      <c r="AC714" s="114" t="s">
        <v>2228</v>
      </c>
      <c r="AD714" s="117">
        <f t="shared" si="58"/>
        <v>2</v>
      </c>
      <c r="AE714" s="114" t="s">
        <v>2227</v>
      </c>
      <c r="AF714" s="117">
        <f t="shared" si="59"/>
        <v>5</v>
      </c>
      <c r="AG714" s="114" t="s">
        <v>2226</v>
      </c>
      <c r="AH714" s="116">
        <v>3670.01</v>
      </c>
      <c r="AI714" s="100"/>
      <c r="AJ714" s="100"/>
      <c r="AK714" s="100"/>
      <c r="AL714" s="100"/>
      <c r="AM714" s="100"/>
      <c r="AN714" s="100"/>
      <c r="AO714" s="100"/>
      <c r="AP714" s="100"/>
      <c r="AQ714" s="100"/>
    </row>
    <row r="715" spans="24:43">
      <c r="X715" s="114" t="s">
        <v>14397</v>
      </c>
      <c r="Y715" s="115">
        <v>33625.125</v>
      </c>
      <c r="Z715" s="116">
        <f t="shared" si="56"/>
        <v>33625.125</v>
      </c>
      <c r="AA715" s="114" t="s">
        <v>2229</v>
      </c>
      <c r="AB715" s="117">
        <f t="shared" si="57"/>
        <v>33625</v>
      </c>
      <c r="AC715" s="114" t="s">
        <v>2228</v>
      </c>
      <c r="AD715" s="117">
        <f t="shared" si="58"/>
        <v>1</v>
      </c>
      <c r="AE715" s="114" t="s">
        <v>2227</v>
      </c>
      <c r="AF715" s="117">
        <f t="shared" si="59"/>
        <v>2.5</v>
      </c>
      <c r="AG715" s="114" t="s">
        <v>2226</v>
      </c>
      <c r="AH715" s="116">
        <v>1345</v>
      </c>
      <c r="AI715" s="100"/>
      <c r="AJ715" s="100"/>
      <c r="AK715" s="100"/>
      <c r="AL715" s="100"/>
      <c r="AM715" s="100"/>
      <c r="AN715" s="100"/>
      <c r="AO715" s="100"/>
      <c r="AP715" s="100"/>
      <c r="AQ715" s="100"/>
    </row>
    <row r="716" spans="24:43">
      <c r="X716" s="114" t="s">
        <v>14398</v>
      </c>
      <c r="Y716" s="115">
        <v>33625.125</v>
      </c>
      <c r="Z716" s="116">
        <f t="shared" si="56"/>
        <v>33625.125</v>
      </c>
      <c r="AA716" s="114" t="s">
        <v>2229</v>
      </c>
      <c r="AB716" s="117">
        <f t="shared" si="57"/>
        <v>33625</v>
      </c>
      <c r="AC716" s="114" t="s">
        <v>2228</v>
      </c>
      <c r="AD716" s="117">
        <f t="shared" si="58"/>
        <v>1</v>
      </c>
      <c r="AE716" s="114" t="s">
        <v>2227</v>
      </c>
      <c r="AF716" s="117">
        <f t="shared" si="59"/>
        <v>2.5</v>
      </c>
      <c r="AG716" s="114" t="s">
        <v>2226</v>
      </c>
      <c r="AH716" s="116">
        <v>1345</v>
      </c>
      <c r="AI716" s="100"/>
      <c r="AJ716" s="100"/>
      <c r="AK716" s="100"/>
      <c r="AL716" s="100"/>
      <c r="AM716" s="100"/>
      <c r="AN716" s="100"/>
      <c r="AO716" s="100"/>
      <c r="AP716" s="100"/>
      <c r="AQ716" s="100"/>
    </row>
    <row r="717" spans="24:43">
      <c r="X717" s="114" t="s">
        <v>14399</v>
      </c>
      <c r="Y717" s="115">
        <v>86250.25</v>
      </c>
      <c r="Z717" s="116">
        <f t="shared" si="56"/>
        <v>86250.25</v>
      </c>
      <c r="AA717" s="114" t="s">
        <v>2229</v>
      </c>
      <c r="AB717" s="117">
        <f t="shared" si="57"/>
        <v>86250</v>
      </c>
      <c r="AC717" s="114" t="s">
        <v>2228</v>
      </c>
      <c r="AD717" s="117">
        <f t="shared" si="58"/>
        <v>2</v>
      </c>
      <c r="AE717" s="114" t="s">
        <v>2227</v>
      </c>
      <c r="AF717" s="117">
        <f t="shared" si="59"/>
        <v>5</v>
      </c>
      <c r="AG717" s="114" t="s">
        <v>2226</v>
      </c>
      <c r="AH717" s="116">
        <v>3450.01</v>
      </c>
      <c r="AI717" s="100"/>
      <c r="AJ717" s="100"/>
      <c r="AK717" s="100"/>
      <c r="AL717" s="100"/>
      <c r="AM717" s="100"/>
      <c r="AN717" s="100"/>
      <c r="AO717" s="100"/>
      <c r="AP717" s="100"/>
      <c r="AQ717" s="100"/>
    </row>
    <row r="718" spans="24:43">
      <c r="X718" s="114" t="s">
        <v>14400</v>
      </c>
      <c r="Y718" s="115">
        <v>33625.125</v>
      </c>
      <c r="Z718" s="116">
        <f t="shared" si="56"/>
        <v>33625.125</v>
      </c>
      <c r="AA718" s="114" t="s">
        <v>2229</v>
      </c>
      <c r="AB718" s="117">
        <f t="shared" si="57"/>
        <v>33625</v>
      </c>
      <c r="AC718" s="114" t="s">
        <v>2228</v>
      </c>
      <c r="AD718" s="117">
        <f t="shared" si="58"/>
        <v>1</v>
      </c>
      <c r="AE718" s="114" t="s">
        <v>2227</v>
      </c>
      <c r="AF718" s="117">
        <f t="shared" si="59"/>
        <v>2.5</v>
      </c>
      <c r="AG718" s="114" t="s">
        <v>2226</v>
      </c>
      <c r="AH718" s="116">
        <v>1345</v>
      </c>
      <c r="AI718" s="100"/>
      <c r="AJ718" s="100"/>
      <c r="AK718" s="100"/>
      <c r="AL718" s="100"/>
      <c r="AM718" s="100"/>
      <c r="AN718" s="100"/>
      <c r="AO718" s="100"/>
      <c r="AP718" s="100"/>
      <c r="AQ718" s="100"/>
    </row>
    <row r="719" spans="24:43">
      <c r="X719" s="114" t="s">
        <v>14401</v>
      </c>
      <c r="Y719" s="115">
        <v>325.25</v>
      </c>
      <c r="Z719" s="116">
        <f t="shared" si="56"/>
        <v>325.25</v>
      </c>
      <c r="AA719" s="114" t="s">
        <v>2229</v>
      </c>
      <c r="AB719" s="117">
        <f t="shared" si="57"/>
        <v>325</v>
      </c>
      <c r="AC719" s="114" t="s">
        <v>2228</v>
      </c>
      <c r="AD719" s="117">
        <f t="shared" si="58"/>
        <v>2</v>
      </c>
      <c r="AE719" s="114" t="s">
        <v>2227</v>
      </c>
      <c r="AF719" s="117">
        <f t="shared" si="59"/>
        <v>5</v>
      </c>
      <c r="AG719" s="114" t="s">
        <v>2226</v>
      </c>
      <c r="AH719" s="116">
        <v>13.01</v>
      </c>
      <c r="AI719" s="100"/>
      <c r="AJ719" s="100"/>
      <c r="AK719" s="100"/>
      <c r="AL719" s="100"/>
      <c r="AM719" s="100"/>
      <c r="AN719" s="100"/>
      <c r="AO719" s="100"/>
      <c r="AP719" s="100"/>
      <c r="AQ719" s="100"/>
    </row>
    <row r="720" spans="24:43">
      <c r="X720" s="114" t="s">
        <v>14402</v>
      </c>
      <c r="Y720" s="115">
        <v>550</v>
      </c>
      <c r="Z720" s="116">
        <f t="shared" si="56"/>
        <v>550</v>
      </c>
      <c r="AA720" s="114" t="s">
        <v>2229</v>
      </c>
      <c r="AB720" s="117">
        <f t="shared" si="57"/>
        <v>550</v>
      </c>
      <c r="AC720" s="114" t="s">
        <v>2228</v>
      </c>
      <c r="AD720" s="117">
        <f t="shared" si="58"/>
        <v>0</v>
      </c>
      <c r="AE720" s="114" t="s">
        <v>2227</v>
      </c>
      <c r="AF720" s="117">
        <f t="shared" si="59"/>
        <v>0</v>
      </c>
      <c r="AG720" s="114" t="s">
        <v>2226</v>
      </c>
      <c r="AH720" s="116">
        <v>22</v>
      </c>
      <c r="AI720" s="100"/>
      <c r="AJ720" s="100"/>
      <c r="AK720" s="100"/>
      <c r="AL720" s="100"/>
      <c r="AM720" s="100"/>
      <c r="AN720" s="100"/>
      <c r="AO720" s="100"/>
      <c r="AP720" s="100"/>
      <c r="AQ720" s="100"/>
    </row>
    <row r="721" spans="24:43">
      <c r="X721" s="114" t="s">
        <v>14403</v>
      </c>
      <c r="Y721" s="115">
        <v>5437.625</v>
      </c>
      <c r="Z721" s="116">
        <f t="shared" si="56"/>
        <v>5437.625</v>
      </c>
      <c r="AA721" s="114" t="s">
        <v>2229</v>
      </c>
      <c r="AB721" s="117">
        <f t="shared" si="57"/>
        <v>5437</v>
      </c>
      <c r="AC721" s="114" t="s">
        <v>2228</v>
      </c>
      <c r="AD721" s="117">
        <f t="shared" si="58"/>
        <v>6</v>
      </c>
      <c r="AE721" s="114" t="s">
        <v>2227</v>
      </c>
      <c r="AF721" s="117">
        <f t="shared" si="59"/>
        <v>2.5</v>
      </c>
      <c r="AG721" s="114" t="s">
        <v>2226</v>
      </c>
      <c r="AH721" s="116">
        <v>217.5</v>
      </c>
      <c r="AI721" s="100"/>
      <c r="AJ721" s="100"/>
      <c r="AK721" s="100"/>
      <c r="AL721" s="100"/>
      <c r="AM721" s="100"/>
      <c r="AN721" s="100"/>
      <c r="AO721" s="100"/>
      <c r="AP721" s="100"/>
      <c r="AQ721" s="100"/>
    </row>
    <row r="722" spans="24:43">
      <c r="X722" s="114" t="s">
        <v>14404</v>
      </c>
      <c r="Y722" s="115">
        <v>42.5</v>
      </c>
      <c r="Z722" s="116">
        <f t="shared" si="56"/>
        <v>42.5</v>
      </c>
      <c r="AA722" s="114" t="s">
        <v>2229</v>
      </c>
      <c r="AB722" s="117">
        <f t="shared" si="57"/>
        <v>42</v>
      </c>
      <c r="AC722" s="114" t="s">
        <v>2228</v>
      </c>
      <c r="AD722" s="117">
        <f t="shared" si="58"/>
        <v>5</v>
      </c>
      <c r="AE722" s="114" t="s">
        <v>2227</v>
      </c>
      <c r="AF722" s="117">
        <f t="shared" si="59"/>
        <v>0</v>
      </c>
      <c r="AG722" s="114" t="s">
        <v>2226</v>
      </c>
      <c r="AH722" s="116">
        <v>1.7</v>
      </c>
      <c r="AI722" s="100"/>
      <c r="AJ722" s="100"/>
      <c r="AK722" s="100"/>
      <c r="AL722" s="100"/>
      <c r="AM722" s="100"/>
      <c r="AN722" s="100"/>
      <c r="AO722" s="100"/>
      <c r="AP722" s="100"/>
      <c r="AQ722" s="100"/>
    </row>
    <row r="723" spans="24:43">
      <c r="X723" s="114" t="s">
        <v>9475</v>
      </c>
      <c r="Y723" s="115">
        <v>2650</v>
      </c>
      <c r="Z723" s="116">
        <f t="shared" si="56"/>
        <v>2650</v>
      </c>
      <c r="AA723" s="114" t="s">
        <v>2229</v>
      </c>
      <c r="AB723" s="117">
        <f t="shared" si="57"/>
        <v>2650</v>
      </c>
      <c r="AC723" s="114" t="s">
        <v>2228</v>
      </c>
      <c r="AD723" s="117">
        <f t="shared" si="58"/>
        <v>0</v>
      </c>
      <c r="AE723" s="114" t="s">
        <v>2227</v>
      </c>
      <c r="AF723" s="117">
        <f t="shared" si="59"/>
        <v>0</v>
      </c>
      <c r="AG723" s="114" t="s">
        <v>2226</v>
      </c>
      <c r="AH723" s="116">
        <v>106</v>
      </c>
      <c r="AI723" s="100"/>
      <c r="AJ723" s="100"/>
      <c r="AK723" s="100"/>
      <c r="AL723" s="100"/>
      <c r="AM723" s="100"/>
      <c r="AN723" s="100"/>
      <c r="AO723" s="100"/>
      <c r="AP723" s="100"/>
      <c r="AQ723" s="100"/>
    </row>
    <row r="724" spans="24:43">
      <c r="X724" s="114" t="s">
        <v>14405</v>
      </c>
      <c r="Y724" s="115">
        <v>3937.625</v>
      </c>
      <c r="Z724" s="116">
        <f t="shared" si="56"/>
        <v>3937.625</v>
      </c>
      <c r="AA724" s="114" t="s">
        <v>2229</v>
      </c>
      <c r="AB724" s="117">
        <f t="shared" si="57"/>
        <v>3937</v>
      </c>
      <c r="AC724" s="114" t="s">
        <v>2228</v>
      </c>
      <c r="AD724" s="117">
        <f t="shared" si="58"/>
        <v>6</v>
      </c>
      <c r="AE724" s="114" t="s">
        <v>2227</v>
      </c>
      <c r="AF724" s="117">
        <f t="shared" si="59"/>
        <v>2.5</v>
      </c>
      <c r="AG724" s="114" t="s">
        <v>2226</v>
      </c>
      <c r="AH724" s="116">
        <v>157.5</v>
      </c>
      <c r="AI724" s="100"/>
      <c r="AJ724" s="100"/>
      <c r="AK724" s="100"/>
      <c r="AL724" s="100"/>
      <c r="AM724" s="100"/>
      <c r="AN724" s="100"/>
      <c r="AO724" s="100"/>
      <c r="AP724" s="100"/>
      <c r="AQ724" s="100"/>
    </row>
    <row r="725" spans="24:43">
      <c r="X725" s="114" t="s">
        <v>14406</v>
      </c>
      <c r="Y725" s="115">
        <v>112500.5</v>
      </c>
      <c r="Z725" s="116">
        <f t="shared" si="56"/>
        <v>112500.5</v>
      </c>
      <c r="AA725" s="114" t="s">
        <v>2229</v>
      </c>
      <c r="AB725" s="117">
        <f t="shared" si="57"/>
        <v>112500</v>
      </c>
      <c r="AC725" s="114" t="s">
        <v>2228</v>
      </c>
      <c r="AD725" s="117">
        <f t="shared" si="58"/>
        <v>5</v>
      </c>
      <c r="AE725" s="114" t="s">
        <v>2227</v>
      </c>
      <c r="AF725" s="117">
        <f t="shared" si="59"/>
        <v>0</v>
      </c>
      <c r="AG725" s="114" t="s">
        <v>2226</v>
      </c>
      <c r="AH725" s="116">
        <v>4500.0200000000004</v>
      </c>
      <c r="AI725" s="100"/>
      <c r="AJ725" s="100"/>
      <c r="AK725" s="100"/>
      <c r="AL725" s="100"/>
      <c r="AM725" s="100"/>
      <c r="AN725" s="100"/>
      <c r="AO725" s="100"/>
      <c r="AP725" s="100"/>
      <c r="AQ725" s="100"/>
    </row>
    <row r="726" spans="24:43">
      <c r="X726" s="114" t="s">
        <v>14407</v>
      </c>
      <c r="Y726" s="115">
        <v>55</v>
      </c>
      <c r="Z726" s="116">
        <f t="shared" si="56"/>
        <v>55</v>
      </c>
      <c r="AA726" s="114" t="s">
        <v>2229</v>
      </c>
      <c r="AB726" s="117">
        <f t="shared" si="57"/>
        <v>55</v>
      </c>
      <c r="AC726" s="114" t="s">
        <v>2228</v>
      </c>
      <c r="AD726" s="117">
        <f t="shared" si="58"/>
        <v>0</v>
      </c>
      <c r="AE726" s="114" t="s">
        <v>2227</v>
      </c>
      <c r="AF726" s="117">
        <f t="shared" si="59"/>
        <v>0</v>
      </c>
      <c r="AG726" s="114" t="s">
        <v>2226</v>
      </c>
      <c r="AH726" s="116">
        <v>2.2000000000000002</v>
      </c>
      <c r="AI726" s="100"/>
      <c r="AJ726" s="100"/>
      <c r="AK726" s="100"/>
      <c r="AL726" s="100"/>
      <c r="AM726" s="100"/>
      <c r="AN726" s="100"/>
      <c r="AO726" s="100"/>
      <c r="AP726" s="100"/>
      <c r="AQ726" s="100"/>
    </row>
    <row r="727" spans="24:43">
      <c r="X727" s="114" t="s">
        <v>14408</v>
      </c>
      <c r="Y727" s="115">
        <v>6875.25</v>
      </c>
      <c r="Z727" s="116">
        <f t="shared" si="56"/>
        <v>6875.25</v>
      </c>
      <c r="AA727" s="114" t="s">
        <v>2229</v>
      </c>
      <c r="AB727" s="117">
        <f t="shared" si="57"/>
        <v>6875</v>
      </c>
      <c r="AC727" s="114" t="s">
        <v>2228</v>
      </c>
      <c r="AD727" s="117">
        <f t="shared" si="58"/>
        <v>2</v>
      </c>
      <c r="AE727" s="114" t="s">
        <v>2227</v>
      </c>
      <c r="AF727" s="117">
        <f t="shared" si="59"/>
        <v>5</v>
      </c>
      <c r="AG727" s="114" t="s">
        <v>2226</v>
      </c>
      <c r="AH727" s="116">
        <v>275.01</v>
      </c>
      <c r="AI727" s="100"/>
      <c r="AJ727" s="100"/>
      <c r="AK727" s="100"/>
      <c r="AL727" s="100"/>
      <c r="AM727" s="100"/>
      <c r="AN727" s="100"/>
      <c r="AO727" s="100"/>
      <c r="AP727" s="100"/>
      <c r="AQ727" s="100"/>
    </row>
    <row r="728" spans="24:43">
      <c r="X728" s="114" t="s">
        <v>14409</v>
      </c>
      <c r="Y728" s="115">
        <v>2175</v>
      </c>
      <c r="Z728" s="116">
        <f t="shared" si="56"/>
        <v>2175</v>
      </c>
      <c r="AA728" s="114" t="s">
        <v>2229</v>
      </c>
      <c r="AB728" s="117">
        <f t="shared" si="57"/>
        <v>2175</v>
      </c>
      <c r="AC728" s="114" t="s">
        <v>2228</v>
      </c>
      <c r="AD728" s="117">
        <f t="shared" si="58"/>
        <v>0</v>
      </c>
      <c r="AE728" s="114" t="s">
        <v>2227</v>
      </c>
      <c r="AF728" s="117">
        <f t="shared" si="59"/>
        <v>0</v>
      </c>
      <c r="AG728" s="114" t="s">
        <v>2226</v>
      </c>
      <c r="AH728" s="116">
        <v>87</v>
      </c>
      <c r="AI728" s="100"/>
      <c r="AJ728" s="100"/>
      <c r="AK728" s="100"/>
      <c r="AL728" s="100"/>
      <c r="AM728" s="100"/>
      <c r="AN728" s="100"/>
      <c r="AO728" s="100"/>
      <c r="AP728" s="100"/>
      <c r="AQ728" s="100"/>
    </row>
    <row r="729" spans="24:43">
      <c r="X729" s="114" t="s">
        <v>9447</v>
      </c>
      <c r="Y729" s="115">
        <v>49500</v>
      </c>
      <c r="Z729" s="116">
        <f t="shared" si="56"/>
        <v>49500</v>
      </c>
      <c r="AA729" s="114" t="s">
        <v>2229</v>
      </c>
      <c r="AB729" s="117">
        <f t="shared" si="57"/>
        <v>49500</v>
      </c>
      <c r="AC729" s="114" t="s">
        <v>2228</v>
      </c>
      <c r="AD729" s="117">
        <f t="shared" si="58"/>
        <v>0</v>
      </c>
      <c r="AE729" s="114" t="s">
        <v>2227</v>
      </c>
      <c r="AF729" s="117">
        <f t="shared" si="59"/>
        <v>0</v>
      </c>
      <c r="AG729" s="114" t="s">
        <v>2226</v>
      </c>
      <c r="AH729" s="116">
        <v>1980</v>
      </c>
      <c r="AI729" s="100"/>
      <c r="AJ729" s="100"/>
      <c r="AK729" s="100"/>
      <c r="AL729" s="100"/>
      <c r="AM729" s="100"/>
      <c r="AN729" s="100"/>
      <c r="AO729" s="100"/>
      <c r="AP729" s="100"/>
      <c r="AQ729" s="100"/>
    </row>
    <row r="730" spans="24:43">
      <c r="X730" s="114" t="s">
        <v>14410</v>
      </c>
      <c r="Y730" s="115">
        <v>60</v>
      </c>
      <c r="Z730" s="116">
        <f t="shared" si="56"/>
        <v>60</v>
      </c>
      <c r="AA730" s="114" t="s">
        <v>2229</v>
      </c>
      <c r="AB730" s="117">
        <f t="shared" si="57"/>
        <v>60</v>
      </c>
      <c r="AC730" s="114" t="s">
        <v>2228</v>
      </c>
      <c r="AD730" s="117">
        <f t="shared" si="58"/>
        <v>0</v>
      </c>
      <c r="AE730" s="114" t="s">
        <v>2227</v>
      </c>
      <c r="AF730" s="117">
        <f t="shared" si="59"/>
        <v>0</v>
      </c>
      <c r="AG730" s="114" t="s">
        <v>2226</v>
      </c>
      <c r="AH730" s="116">
        <v>2.4</v>
      </c>
      <c r="AI730" s="100"/>
      <c r="AJ730" s="100"/>
      <c r="AK730" s="100"/>
      <c r="AL730" s="100"/>
      <c r="AM730" s="100"/>
      <c r="AN730" s="100"/>
      <c r="AO730" s="100"/>
      <c r="AP730" s="100"/>
      <c r="AQ730" s="100"/>
    </row>
    <row r="731" spans="24:43">
      <c r="X731" s="114" t="s">
        <v>14411</v>
      </c>
      <c r="Y731" s="115">
        <v>80</v>
      </c>
      <c r="Z731" s="116">
        <f t="shared" si="56"/>
        <v>80</v>
      </c>
      <c r="AA731" s="114" t="s">
        <v>2229</v>
      </c>
      <c r="AB731" s="117">
        <f t="shared" si="57"/>
        <v>80</v>
      </c>
      <c r="AC731" s="114" t="s">
        <v>2228</v>
      </c>
      <c r="AD731" s="117">
        <f t="shared" si="58"/>
        <v>0</v>
      </c>
      <c r="AE731" s="114" t="s">
        <v>2227</v>
      </c>
      <c r="AF731" s="117">
        <f t="shared" si="59"/>
        <v>0</v>
      </c>
      <c r="AG731" s="114" t="s">
        <v>2226</v>
      </c>
      <c r="AH731" s="116">
        <v>3.2</v>
      </c>
      <c r="AI731" s="100"/>
      <c r="AJ731" s="100"/>
      <c r="AK731" s="100"/>
      <c r="AL731" s="100"/>
      <c r="AM731" s="100"/>
      <c r="AN731" s="100"/>
      <c r="AO731" s="100"/>
      <c r="AP731" s="100"/>
      <c r="AQ731" s="100"/>
    </row>
    <row r="732" spans="24:43">
      <c r="X732" s="114" t="s">
        <v>14412</v>
      </c>
      <c r="Y732" s="115">
        <v>20875.125</v>
      </c>
      <c r="Z732" s="116">
        <f t="shared" si="56"/>
        <v>20875.125</v>
      </c>
      <c r="AA732" s="114" t="s">
        <v>2229</v>
      </c>
      <c r="AB732" s="117">
        <f t="shared" si="57"/>
        <v>20875</v>
      </c>
      <c r="AC732" s="114" t="s">
        <v>2228</v>
      </c>
      <c r="AD732" s="117">
        <f t="shared" si="58"/>
        <v>1</v>
      </c>
      <c r="AE732" s="114" t="s">
        <v>2227</v>
      </c>
      <c r="AF732" s="117">
        <f t="shared" si="59"/>
        <v>2.5</v>
      </c>
      <c r="AG732" s="114" t="s">
        <v>2226</v>
      </c>
      <c r="AH732" s="116">
        <v>835</v>
      </c>
      <c r="AI732" s="100"/>
      <c r="AJ732" s="100"/>
      <c r="AK732" s="100"/>
      <c r="AL732" s="100"/>
      <c r="AM732" s="100"/>
      <c r="AN732" s="100"/>
      <c r="AO732" s="100"/>
      <c r="AP732" s="100"/>
      <c r="AQ732" s="100"/>
    </row>
    <row r="733" spans="24:43">
      <c r="X733" s="114" t="s">
        <v>14413</v>
      </c>
      <c r="Y733" s="115">
        <v>45</v>
      </c>
      <c r="Z733" s="116">
        <f t="shared" si="56"/>
        <v>45</v>
      </c>
      <c r="AA733" s="114" t="s">
        <v>2229</v>
      </c>
      <c r="AB733" s="117">
        <f t="shared" si="57"/>
        <v>45</v>
      </c>
      <c r="AC733" s="114" t="s">
        <v>2228</v>
      </c>
      <c r="AD733" s="117">
        <f t="shared" si="58"/>
        <v>0</v>
      </c>
      <c r="AE733" s="114" t="s">
        <v>2227</v>
      </c>
      <c r="AF733" s="117">
        <f t="shared" si="59"/>
        <v>0</v>
      </c>
      <c r="AG733" s="114" t="s">
        <v>2226</v>
      </c>
      <c r="AH733" s="116">
        <v>1.8</v>
      </c>
      <c r="AI733" s="100"/>
      <c r="AJ733" s="100"/>
      <c r="AK733" s="100"/>
      <c r="AL733" s="100"/>
      <c r="AM733" s="100"/>
      <c r="AN733" s="100"/>
      <c r="AO733" s="100"/>
      <c r="AP733" s="100"/>
      <c r="AQ733" s="100"/>
    </row>
    <row r="734" spans="24:43">
      <c r="X734" s="114" t="s">
        <v>14414</v>
      </c>
      <c r="Y734" s="115">
        <v>6250</v>
      </c>
      <c r="Z734" s="116">
        <f t="shared" si="56"/>
        <v>6250</v>
      </c>
      <c r="AA734" s="114" t="s">
        <v>2229</v>
      </c>
      <c r="AB734" s="117">
        <f t="shared" si="57"/>
        <v>6250</v>
      </c>
      <c r="AC734" s="114" t="s">
        <v>2228</v>
      </c>
      <c r="AD734" s="117">
        <f t="shared" si="58"/>
        <v>0</v>
      </c>
      <c r="AE734" s="114" t="s">
        <v>2227</v>
      </c>
      <c r="AF734" s="117">
        <f t="shared" si="59"/>
        <v>0</v>
      </c>
      <c r="AG734" s="114" t="s">
        <v>2226</v>
      </c>
      <c r="AH734" s="116">
        <v>250</v>
      </c>
      <c r="AI734" s="100"/>
      <c r="AJ734" s="100"/>
      <c r="AK734" s="100"/>
      <c r="AL734" s="100"/>
      <c r="AM734" s="100"/>
      <c r="AN734" s="100"/>
      <c r="AO734" s="100"/>
      <c r="AP734" s="100"/>
      <c r="AQ734" s="100"/>
    </row>
    <row r="735" spans="24:43">
      <c r="X735" s="114" t="s">
        <v>14415</v>
      </c>
      <c r="Y735" s="115">
        <v>75</v>
      </c>
      <c r="Z735" s="116">
        <f t="shared" si="56"/>
        <v>75</v>
      </c>
      <c r="AA735" s="114" t="s">
        <v>2229</v>
      </c>
      <c r="AB735" s="117">
        <f t="shared" si="57"/>
        <v>75</v>
      </c>
      <c r="AC735" s="114" t="s">
        <v>2228</v>
      </c>
      <c r="AD735" s="117">
        <f t="shared" si="58"/>
        <v>0</v>
      </c>
      <c r="AE735" s="114" t="s">
        <v>2227</v>
      </c>
      <c r="AF735" s="117">
        <f t="shared" si="59"/>
        <v>0</v>
      </c>
      <c r="AG735" s="114" t="s">
        <v>2226</v>
      </c>
      <c r="AH735" s="116">
        <v>3</v>
      </c>
      <c r="AI735" s="100"/>
      <c r="AJ735" s="100"/>
      <c r="AK735" s="100"/>
      <c r="AL735" s="100"/>
      <c r="AM735" s="100"/>
      <c r="AN735" s="100"/>
      <c r="AO735" s="100"/>
      <c r="AP735" s="100"/>
      <c r="AQ735" s="100"/>
    </row>
    <row r="736" spans="24:43">
      <c r="X736" s="114" t="s">
        <v>14416</v>
      </c>
      <c r="Y736" s="115">
        <v>3875</v>
      </c>
      <c r="Z736" s="116">
        <f t="shared" si="56"/>
        <v>3875</v>
      </c>
      <c r="AA736" s="114" t="s">
        <v>2229</v>
      </c>
      <c r="AB736" s="117">
        <f t="shared" si="57"/>
        <v>3875</v>
      </c>
      <c r="AC736" s="114" t="s">
        <v>2228</v>
      </c>
      <c r="AD736" s="117">
        <f t="shared" si="58"/>
        <v>0</v>
      </c>
      <c r="AE736" s="114" t="s">
        <v>2227</v>
      </c>
      <c r="AF736" s="117">
        <f t="shared" si="59"/>
        <v>0</v>
      </c>
      <c r="AG736" s="114" t="s">
        <v>2226</v>
      </c>
      <c r="AH736" s="116">
        <v>155</v>
      </c>
      <c r="AI736" s="100"/>
      <c r="AJ736" s="100"/>
      <c r="AK736" s="100"/>
      <c r="AL736" s="100"/>
      <c r="AM736" s="100"/>
      <c r="AN736" s="100"/>
      <c r="AO736" s="100"/>
      <c r="AP736" s="100"/>
      <c r="AQ736" s="100"/>
    </row>
    <row r="737" spans="24:43">
      <c r="X737" s="114" t="s">
        <v>14417</v>
      </c>
      <c r="Y737" s="115">
        <v>312.625</v>
      </c>
      <c r="Z737" s="116">
        <f t="shared" si="56"/>
        <v>312.625</v>
      </c>
      <c r="AA737" s="114" t="s">
        <v>2229</v>
      </c>
      <c r="AB737" s="117">
        <f t="shared" si="57"/>
        <v>312</v>
      </c>
      <c r="AC737" s="114" t="s">
        <v>2228</v>
      </c>
      <c r="AD737" s="117">
        <f t="shared" si="58"/>
        <v>6</v>
      </c>
      <c r="AE737" s="114" t="s">
        <v>2227</v>
      </c>
      <c r="AF737" s="117">
        <f t="shared" si="59"/>
        <v>2.5</v>
      </c>
      <c r="AG737" s="114" t="s">
        <v>2226</v>
      </c>
      <c r="AH737" s="116">
        <v>12.5</v>
      </c>
      <c r="AI737" s="100"/>
      <c r="AJ737" s="100"/>
      <c r="AK737" s="100"/>
      <c r="AL737" s="100"/>
      <c r="AM737" s="100"/>
      <c r="AN737" s="100"/>
      <c r="AO737" s="100"/>
      <c r="AP737" s="100"/>
      <c r="AQ737" s="100"/>
    </row>
    <row r="738" spans="24:43">
      <c r="X738" s="114" t="s">
        <v>14418</v>
      </c>
      <c r="Y738" s="115">
        <v>6625</v>
      </c>
      <c r="Z738" s="116">
        <f t="shared" si="56"/>
        <v>6625</v>
      </c>
      <c r="AA738" s="114" t="s">
        <v>2229</v>
      </c>
      <c r="AB738" s="117">
        <f t="shared" si="57"/>
        <v>6625</v>
      </c>
      <c r="AC738" s="114" t="s">
        <v>2228</v>
      </c>
      <c r="AD738" s="117">
        <f t="shared" si="58"/>
        <v>0</v>
      </c>
      <c r="AE738" s="114" t="s">
        <v>2227</v>
      </c>
      <c r="AF738" s="117">
        <f t="shared" si="59"/>
        <v>0</v>
      </c>
      <c r="AG738" s="114" t="s">
        <v>2226</v>
      </c>
      <c r="AH738" s="116">
        <v>265</v>
      </c>
      <c r="AI738" s="100"/>
      <c r="AJ738" s="100"/>
      <c r="AK738" s="100"/>
      <c r="AL738" s="100"/>
      <c r="AM738" s="100"/>
      <c r="AN738" s="100"/>
      <c r="AO738" s="100"/>
      <c r="AP738" s="100"/>
      <c r="AQ738" s="100"/>
    </row>
    <row r="739" spans="24:43">
      <c r="X739" s="114" t="s">
        <v>14419</v>
      </c>
      <c r="Y739" s="115">
        <v>18400</v>
      </c>
      <c r="Z739" s="116">
        <f t="shared" si="56"/>
        <v>18400</v>
      </c>
      <c r="AA739" s="114" t="s">
        <v>2229</v>
      </c>
      <c r="AB739" s="117">
        <f t="shared" si="57"/>
        <v>18400</v>
      </c>
      <c r="AC739" s="114" t="s">
        <v>2228</v>
      </c>
      <c r="AD739" s="117">
        <f t="shared" si="58"/>
        <v>0</v>
      </c>
      <c r="AE739" s="114" t="s">
        <v>2227</v>
      </c>
      <c r="AF739" s="117">
        <f t="shared" si="59"/>
        <v>0</v>
      </c>
      <c r="AG739" s="114" t="s">
        <v>2226</v>
      </c>
      <c r="AH739" s="116">
        <v>736</v>
      </c>
      <c r="AI739" s="100"/>
      <c r="AJ739" s="100"/>
      <c r="AK739" s="100"/>
      <c r="AL739" s="100"/>
      <c r="AM739" s="100"/>
      <c r="AN739" s="100"/>
      <c r="AO739" s="100"/>
      <c r="AP739" s="100"/>
      <c r="AQ739" s="100"/>
    </row>
    <row r="740" spans="24:43">
      <c r="X740" s="114" t="s">
        <v>14420</v>
      </c>
      <c r="Y740" s="115">
        <v>18400</v>
      </c>
      <c r="Z740" s="116">
        <f t="shared" si="56"/>
        <v>18400</v>
      </c>
      <c r="AA740" s="114" t="s">
        <v>2229</v>
      </c>
      <c r="AB740" s="117">
        <f t="shared" si="57"/>
        <v>18400</v>
      </c>
      <c r="AC740" s="114" t="s">
        <v>2228</v>
      </c>
      <c r="AD740" s="117">
        <f t="shared" si="58"/>
        <v>0</v>
      </c>
      <c r="AE740" s="114" t="s">
        <v>2227</v>
      </c>
      <c r="AF740" s="117">
        <f t="shared" si="59"/>
        <v>0</v>
      </c>
      <c r="AG740" s="114" t="s">
        <v>2226</v>
      </c>
      <c r="AH740" s="116">
        <v>736</v>
      </c>
      <c r="AI740" s="100"/>
      <c r="AJ740" s="100"/>
      <c r="AK740" s="100"/>
      <c r="AL740" s="100"/>
      <c r="AM740" s="100"/>
      <c r="AN740" s="100"/>
      <c r="AO740" s="100"/>
      <c r="AP740" s="100"/>
      <c r="AQ740" s="100"/>
    </row>
    <row r="741" spans="24:43">
      <c r="X741" s="114" t="s">
        <v>14421</v>
      </c>
      <c r="Y741" s="115">
        <v>825</v>
      </c>
      <c r="Z741" s="116">
        <f t="shared" si="56"/>
        <v>825</v>
      </c>
      <c r="AA741" s="114" t="s">
        <v>2229</v>
      </c>
      <c r="AB741" s="117">
        <f t="shared" si="57"/>
        <v>825</v>
      </c>
      <c r="AC741" s="114" t="s">
        <v>2228</v>
      </c>
      <c r="AD741" s="117">
        <f t="shared" si="58"/>
        <v>0</v>
      </c>
      <c r="AE741" s="114" t="s">
        <v>2227</v>
      </c>
      <c r="AF741" s="117">
        <f t="shared" si="59"/>
        <v>0</v>
      </c>
      <c r="AG741" s="114" t="s">
        <v>2226</v>
      </c>
      <c r="AH741" s="116">
        <v>33</v>
      </c>
      <c r="AI741" s="100"/>
      <c r="AJ741" s="100"/>
      <c r="AK741" s="100"/>
      <c r="AL741" s="100"/>
      <c r="AM741" s="100"/>
      <c r="AN741" s="100"/>
      <c r="AO741" s="100"/>
      <c r="AP741" s="100"/>
      <c r="AQ741" s="100"/>
    </row>
    <row r="742" spans="24:43">
      <c r="X742" s="114" t="s">
        <v>14422</v>
      </c>
      <c r="Y742" s="115">
        <v>4150</v>
      </c>
      <c r="Z742" s="116">
        <f t="shared" si="56"/>
        <v>4150</v>
      </c>
      <c r="AA742" s="114" t="s">
        <v>2229</v>
      </c>
      <c r="AB742" s="117">
        <f t="shared" si="57"/>
        <v>4150</v>
      </c>
      <c r="AC742" s="114" t="s">
        <v>2228</v>
      </c>
      <c r="AD742" s="117">
        <f t="shared" si="58"/>
        <v>0</v>
      </c>
      <c r="AE742" s="114" t="s">
        <v>2227</v>
      </c>
      <c r="AF742" s="117">
        <f t="shared" si="59"/>
        <v>0</v>
      </c>
      <c r="AG742" s="114" t="s">
        <v>2226</v>
      </c>
      <c r="AH742" s="116">
        <v>166</v>
      </c>
      <c r="AI742" s="100"/>
      <c r="AJ742" s="100"/>
      <c r="AK742" s="100"/>
      <c r="AL742" s="100"/>
      <c r="AM742" s="100"/>
      <c r="AN742" s="100"/>
      <c r="AO742" s="100"/>
      <c r="AP742" s="100"/>
      <c r="AQ742" s="100"/>
    </row>
    <row r="743" spans="24:43">
      <c r="X743" s="114" t="s">
        <v>14423</v>
      </c>
      <c r="Y743" s="115">
        <v>10125</v>
      </c>
      <c r="Z743" s="116">
        <f t="shared" si="56"/>
        <v>10125</v>
      </c>
      <c r="AA743" s="114" t="s">
        <v>2229</v>
      </c>
      <c r="AB743" s="117">
        <f t="shared" si="57"/>
        <v>10125</v>
      </c>
      <c r="AC743" s="114" t="s">
        <v>2228</v>
      </c>
      <c r="AD743" s="117">
        <f t="shared" si="58"/>
        <v>0</v>
      </c>
      <c r="AE743" s="114" t="s">
        <v>2227</v>
      </c>
      <c r="AF743" s="117">
        <f t="shared" si="59"/>
        <v>0</v>
      </c>
      <c r="AG743" s="114" t="s">
        <v>2226</v>
      </c>
      <c r="AH743" s="116">
        <v>405</v>
      </c>
      <c r="AI743" s="100"/>
      <c r="AJ743" s="100"/>
      <c r="AK743" s="100"/>
      <c r="AL743" s="100"/>
      <c r="AM743" s="100"/>
      <c r="AN743" s="100"/>
      <c r="AO743" s="100"/>
      <c r="AP743" s="100"/>
      <c r="AQ743" s="100"/>
    </row>
    <row r="744" spans="24:43">
      <c r="X744" s="114" t="s">
        <v>14424</v>
      </c>
      <c r="Y744" s="115">
        <v>26500</v>
      </c>
      <c r="Z744" s="116">
        <f t="shared" si="56"/>
        <v>26500</v>
      </c>
      <c r="AA744" s="114" t="s">
        <v>2229</v>
      </c>
      <c r="AB744" s="117">
        <f t="shared" si="57"/>
        <v>26500</v>
      </c>
      <c r="AC744" s="114" t="s">
        <v>2228</v>
      </c>
      <c r="AD744" s="117">
        <f t="shared" si="58"/>
        <v>0</v>
      </c>
      <c r="AE744" s="114" t="s">
        <v>2227</v>
      </c>
      <c r="AF744" s="117">
        <f t="shared" si="59"/>
        <v>0</v>
      </c>
      <c r="AG744" s="114" t="s">
        <v>2226</v>
      </c>
      <c r="AH744" s="116">
        <v>1060</v>
      </c>
      <c r="AI744" s="100"/>
      <c r="AJ744" s="100"/>
      <c r="AK744" s="100"/>
      <c r="AL744" s="100"/>
      <c r="AM744" s="100"/>
      <c r="AN744" s="100"/>
      <c r="AO744" s="100"/>
      <c r="AP744" s="100"/>
      <c r="AQ744" s="100"/>
    </row>
    <row r="745" spans="24:43">
      <c r="X745" s="114" t="s">
        <v>14425</v>
      </c>
      <c r="Y745" s="115">
        <v>62.5</v>
      </c>
      <c r="Z745" s="116">
        <f t="shared" si="56"/>
        <v>62.5</v>
      </c>
      <c r="AA745" s="114" t="s">
        <v>2229</v>
      </c>
      <c r="AB745" s="117">
        <f t="shared" si="57"/>
        <v>62</v>
      </c>
      <c r="AC745" s="114" t="s">
        <v>2228</v>
      </c>
      <c r="AD745" s="117">
        <f t="shared" si="58"/>
        <v>5</v>
      </c>
      <c r="AE745" s="114" t="s">
        <v>2227</v>
      </c>
      <c r="AF745" s="117">
        <f t="shared" si="59"/>
        <v>0</v>
      </c>
      <c r="AG745" s="114" t="s">
        <v>2226</v>
      </c>
      <c r="AH745" s="116">
        <v>2.5</v>
      </c>
      <c r="AI745" s="100"/>
      <c r="AJ745" s="100"/>
      <c r="AK745" s="100"/>
      <c r="AL745" s="100"/>
      <c r="AM745" s="100"/>
      <c r="AN745" s="100"/>
      <c r="AO745" s="100"/>
      <c r="AP745" s="100"/>
      <c r="AQ745" s="100"/>
    </row>
    <row r="746" spans="24:43">
      <c r="X746" s="114" t="s">
        <v>14426</v>
      </c>
      <c r="Y746" s="115">
        <v>60</v>
      </c>
      <c r="Z746" s="116">
        <f t="shared" si="56"/>
        <v>60</v>
      </c>
      <c r="AA746" s="114" t="s">
        <v>2229</v>
      </c>
      <c r="AB746" s="117">
        <f t="shared" si="57"/>
        <v>60</v>
      </c>
      <c r="AC746" s="114" t="s">
        <v>2228</v>
      </c>
      <c r="AD746" s="117">
        <f t="shared" si="58"/>
        <v>0</v>
      </c>
      <c r="AE746" s="114" t="s">
        <v>2227</v>
      </c>
      <c r="AF746" s="117">
        <f t="shared" si="59"/>
        <v>0</v>
      </c>
      <c r="AG746" s="114" t="s">
        <v>2226</v>
      </c>
      <c r="AH746" s="116">
        <v>2.4</v>
      </c>
      <c r="AI746" s="100"/>
      <c r="AJ746" s="100"/>
      <c r="AK746" s="100"/>
      <c r="AL746" s="100"/>
      <c r="AM746" s="100"/>
      <c r="AN746" s="100"/>
      <c r="AO746" s="100"/>
      <c r="AP746" s="100"/>
      <c r="AQ746" s="100"/>
    </row>
    <row r="747" spans="24:43">
      <c r="X747" s="114" t="s">
        <v>14427</v>
      </c>
      <c r="Y747" s="115">
        <v>812.5</v>
      </c>
      <c r="Z747" s="116">
        <f t="shared" si="56"/>
        <v>812.5</v>
      </c>
      <c r="AA747" s="114" t="s">
        <v>2229</v>
      </c>
      <c r="AB747" s="117">
        <f t="shared" si="57"/>
        <v>812</v>
      </c>
      <c r="AC747" s="114" t="s">
        <v>2228</v>
      </c>
      <c r="AD747" s="117">
        <f t="shared" si="58"/>
        <v>5</v>
      </c>
      <c r="AE747" s="114" t="s">
        <v>2227</v>
      </c>
      <c r="AF747" s="117">
        <f t="shared" si="59"/>
        <v>0</v>
      </c>
      <c r="AG747" s="114" t="s">
        <v>2226</v>
      </c>
      <c r="AH747" s="116">
        <v>32.5</v>
      </c>
      <c r="AI747" s="100"/>
      <c r="AJ747" s="100"/>
      <c r="AK747" s="100"/>
      <c r="AL747" s="100"/>
      <c r="AM747" s="100"/>
      <c r="AN747" s="100"/>
      <c r="AO747" s="100"/>
      <c r="AP747" s="100"/>
      <c r="AQ747" s="100"/>
    </row>
    <row r="748" spans="24:43">
      <c r="X748" s="114" t="s">
        <v>14428</v>
      </c>
      <c r="Y748" s="115">
        <v>60</v>
      </c>
      <c r="Z748" s="116">
        <f t="shared" si="56"/>
        <v>60</v>
      </c>
      <c r="AA748" s="114" t="s">
        <v>2229</v>
      </c>
      <c r="AB748" s="117">
        <f t="shared" si="57"/>
        <v>60</v>
      </c>
      <c r="AC748" s="114" t="s">
        <v>2228</v>
      </c>
      <c r="AD748" s="117">
        <f t="shared" si="58"/>
        <v>0</v>
      </c>
      <c r="AE748" s="114" t="s">
        <v>2227</v>
      </c>
      <c r="AF748" s="117">
        <f t="shared" si="59"/>
        <v>0</v>
      </c>
      <c r="AG748" s="114" t="s">
        <v>2226</v>
      </c>
      <c r="AH748" s="116">
        <v>2.4</v>
      </c>
      <c r="AI748" s="100"/>
      <c r="AJ748" s="100"/>
      <c r="AK748" s="100"/>
      <c r="AL748" s="100"/>
      <c r="AM748" s="100"/>
      <c r="AN748" s="100"/>
      <c r="AO748" s="100"/>
      <c r="AP748" s="100"/>
      <c r="AQ748" s="100"/>
    </row>
    <row r="749" spans="24:43">
      <c r="X749" s="114" t="s">
        <v>14429</v>
      </c>
      <c r="Y749" s="115">
        <v>800</v>
      </c>
      <c r="Z749" s="116">
        <f t="shared" si="56"/>
        <v>800</v>
      </c>
      <c r="AA749" s="114" t="s">
        <v>2229</v>
      </c>
      <c r="AB749" s="117">
        <f t="shared" si="57"/>
        <v>800</v>
      </c>
      <c r="AC749" s="114" t="s">
        <v>2228</v>
      </c>
      <c r="AD749" s="117">
        <f t="shared" si="58"/>
        <v>0</v>
      </c>
      <c r="AE749" s="114" t="s">
        <v>2227</v>
      </c>
      <c r="AF749" s="117">
        <f t="shared" si="59"/>
        <v>0</v>
      </c>
      <c r="AG749" s="114" t="s">
        <v>2226</v>
      </c>
      <c r="AH749" s="116">
        <v>32</v>
      </c>
      <c r="AI749" s="100"/>
      <c r="AJ749" s="100"/>
      <c r="AK749" s="100"/>
      <c r="AL749" s="100"/>
      <c r="AM749" s="100"/>
      <c r="AN749" s="100"/>
      <c r="AO749" s="100"/>
      <c r="AP749" s="100"/>
      <c r="AQ749" s="100"/>
    </row>
    <row r="750" spans="24:43">
      <c r="X750" s="114" t="s">
        <v>14430</v>
      </c>
      <c r="Y750" s="115">
        <v>4400</v>
      </c>
      <c r="Z750" s="116">
        <f t="shared" si="56"/>
        <v>4400</v>
      </c>
      <c r="AA750" s="114" t="s">
        <v>2229</v>
      </c>
      <c r="AB750" s="117">
        <f t="shared" si="57"/>
        <v>4400</v>
      </c>
      <c r="AC750" s="114" t="s">
        <v>2228</v>
      </c>
      <c r="AD750" s="117">
        <f t="shared" si="58"/>
        <v>0</v>
      </c>
      <c r="AE750" s="114" t="s">
        <v>2227</v>
      </c>
      <c r="AF750" s="117">
        <f t="shared" si="59"/>
        <v>0</v>
      </c>
      <c r="AG750" s="114" t="s">
        <v>2226</v>
      </c>
      <c r="AH750" s="116">
        <v>176</v>
      </c>
      <c r="AI750" s="100"/>
      <c r="AJ750" s="100"/>
      <c r="AK750" s="100"/>
      <c r="AL750" s="100"/>
      <c r="AM750" s="100"/>
      <c r="AN750" s="100"/>
      <c r="AO750" s="100"/>
      <c r="AP750" s="100"/>
      <c r="AQ750" s="100"/>
    </row>
    <row r="751" spans="24:43">
      <c r="X751" s="114" t="s">
        <v>14431</v>
      </c>
      <c r="Y751" s="115">
        <v>16600</v>
      </c>
      <c r="Z751" s="116">
        <f t="shared" si="56"/>
        <v>16600</v>
      </c>
      <c r="AA751" s="114" t="s">
        <v>2229</v>
      </c>
      <c r="AB751" s="117">
        <f t="shared" si="57"/>
        <v>16600</v>
      </c>
      <c r="AC751" s="114" t="s">
        <v>2228</v>
      </c>
      <c r="AD751" s="117">
        <f t="shared" si="58"/>
        <v>0</v>
      </c>
      <c r="AE751" s="114" t="s">
        <v>2227</v>
      </c>
      <c r="AF751" s="117">
        <f t="shared" si="59"/>
        <v>0</v>
      </c>
      <c r="AG751" s="114" t="s">
        <v>2226</v>
      </c>
      <c r="AH751" s="116">
        <v>664</v>
      </c>
      <c r="AI751" s="100"/>
      <c r="AJ751" s="100"/>
      <c r="AK751" s="100"/>
      <c r="AL751" s="100"/>
      <c r="AM751" s="100"/>
      <c r="AN751" s="100"/>
      <c r="AO751" s="100"/>
      <c r="AP751" s="100"/>
      <c r="AQ751" s="100"/>
    </row>
    <row r="752" spans="24:43">
      <c r="X752" s="114" t="s">
        <v>14432</v>
      </c>
      <c r="Y752" s="115">
        <v>3887.625</v>
      </c>
      <c r="Z752" s="116">
        <f t="shared" si="56"/>
        <v>3887.625</v>
      </c>
      <c r="AA752" s="114" t="s">
        <v>2229</v>
      </c>
      <c r="AB752" s="117">
        <f t="shared" si="57"/>
        <v>3887</v>
      </c>
      <c r="AC752" s="114" t="s">
        <v>2228</v>
      </c>
      <c r="AD752" s="117">
        <f t="shared" si="58"/>
        <v>6</v>
      </c>
      <c r="AE752" s="114" t="s">
        <v>2227</v>
      </c>
      <c r="AF752" s="117">
        <f t="shared" si="59"/>
        <v>2.5</v>
      </c>
      <c r="AG752" s="114" t="s">
        <v>2226</v>
      </c>
      <c r="AH752" s="116">
        <v>155.5</v>
      </c>
      <c r="AI752" s="100"/>
      <c r="AJ752" s="100"/>
      <c r="AK752" s="100"/>
      <c r="AL752" s="100"/>
      <c r="AM752" s="100"/>
      <c r="AN752" s="100"/>
      <c r="AO752" s="100"/>
      <c r="AP752" s="100"/>
      <c r="AQ752" s="100"/>
    </row>
    <row r="753" spans="24:43">
      <c r="X753" s="114" t="s">
        <v>14433</v>
      </c>
      <c r="Y753" s="115">
        <v>4125</v>
      </c>
      <c r="Z753" s="116">
        <f t="shared" si="56"/>
        <v>4125</v>
      </c>
      <c r="AA753" s="114" t="s">
        <v>2229</v>
      </c>
      <c r="AB753" s="117">
        <f t="shared" si="57"/>
        <v>4125</v>
      </c>
      <c r="AC753" s="114" t="s">
        <v>2228</v>
      </c>
      <c r="AD753" s="117">
        <f t="shared" si="58"/>
        <v>0</v>
      </c>
      <c r="AE753" s="114" t="s">
        <v>2227</v>
      </c>
      <c r="AF753" s="117">
        <f t="shared" si="59"/>
        <v>0</v>
      </c>
      <c r="AG753" s="114" t="s">
        <v>2226</v>
      </c>
      <c r="AH753" s="116">
        <v>165</v>
      </c>
      <c r="AI753" s="100"/>
      <c r="AJ753" s="100"/>
      <c r="AK753" s="100"/>
      <c r="AL753" s="100"/>
      <c r="AM753" s="100"/>
      <c r="AN753" s="100"/>
      <c r="AO753" s="100"/>
      <c r="AP753" s="100"/>
      <c r="AQ753" s="100"/>
    </row>
    <row r="754" spans="24:43">
      <c r="X754" s="114" t="s">
        <v>14434</v>
      </c>
      <c r="Y754" s="115">
        <v>5487.625</v>
      </c>
      <c r="Z754" s="116">
        <f t="shared" si="56"/>
        <v>5487.625</v>
      </c>
      <c r="AA754" s="114" t="s">
        <v>2229</v>
      </c>
      <c r="AB754" s="117">
        <f t="shared" si="57"/>
        <v>5487</v>
      </c>
      <c r="AC754" s="114" t="s">
        <v>2228</v>
      </c>
      <c r="AD754" s="117">
        <f t="shared" si="58"/>
        <v>6</v>
      </c>
      <c r="AE754" s="114" t="s">
        <v>2227</v>
      </c>
      <c r="AF754" s="117">
        <f t="shared" si="59"/>
        <v>2.5</v>
      </c>
      <c r="AG754" s="114" t="s">
        <v>2226</v>
      </c>
      <c r="AH754" s="116">
        <v>219.5</v>
      </c>
      <c r="AI754" s="100"/>
      <c r="AJ754" s="100"/>
      <c r="AK754" s="100"/>
      <c r="AL754" s="100"/>
      <c r="AM754" s="100"/>
      <c r="AN754" s="100"/>
      <c r="AO754" s="100"/>
      <c r="AP754" s="100"/>
      <c r="AQ754" s="100"/>
    </row>
    <row r="755" spans="24:43">
      <c r="X755" s="114" t="s">
        <v>14435</v>
      </c>
      <c r="Y755" s="115">
        <v>4562.625</v>
      </c>
      <c r="Z755" s="116">
        <f t="shared" si="56"/>
        <v>4562.625</v>
      </c>
      <c r="AA755" s="114" t="s">
        <v>2229</v>
      </c>
      <c r="AB755" s="117">
        <f t="shared" si="57"/>
        <v>4562</v>
      </c>
      <c r="AC755" s="114" t="s">
        <v>2228</v>
      </c>
      <c r="AD755" s="117">
        <f t="shared" si="58"/>
        <v>6</v>
      </c>
      <c r="AE755" s="114" t="s">
        <v>2227</v>
      </c>
      <c r="AF755" s="117">
        <f t="shared" si="59"/>
        <v>2.5</v>
      </c>
      <c r="AG755" s="114" t="s">
        <v>2226</v>
      </c>
      <c r="AH755" s="116">
        <v>182.5</v>
      </c>
      <c r="AI755" s="100"/>
      <c r="AJ755" s="100"/>
      <c r="AK755" s="100"/>
      <c r="AL755" s="100"/>
      <c r="AM755" s="100"/>
      <c r="AN755" s="100"/>
      <c r="AO755" s="100"/>
      <c r="AP755" s="100"/>
      <c r="AQ755" s="100"/>
    </row>
    <row r="756" spans="24:43">
      <c r="X756" s="114" t="s">
        <v>14436</v>
      </c>
      <c r="Y756" s="115">
        <v>67.5</v>
      </c>
      <c r="Z756" s="116">
        <f t="shared" si="56"/>
        <v>67.5</v>
      </c>
      <c r="AA756" s="114" t="s">
        <v>2229</v>
      </c>
      <c r="AB756" s="117">
        <f t="shared" si="57"/>
        <v>67</v>
      </c>
      <c r="AC756" s="114" t="s">
        <v>2228</v>
      </c>
      <c r="AD756" s="117">
        <f t="shared" si="58"/>
        <v>5</v>
      </c>
      <c r="AE756" s="114" t="s">
        <v>2227</v>
      </c>
      <c r="AF756" s="117">
        <f t="shared" si="59"/>
        <v>0</v>
      </c>
      <c r="AG756" s="114" t="s">
        <v>2226</v>
      </c>
      <c r="AH756" s="116">
        <v>2.7</v>
      </c>
      <c r="AI756" s="100"/>
      <c r="AJ756" s="100"/>
      <c r="AK756" s="100"/>
      <c r="AL756" s="100"/>
      <c r="AM756" s="100"/>
      <c r="AN756" s="100"/>
      <c r="AO756" s="100"/>
      <c r="AP756" s="100"/>
      <c r="AQ756" s="100"/>
    </row>
    <row r="757" spans="24:43">
      <c r="X757" s="114" t="s">
        <v>14436</v>
      </c>
      <c r="Y757" s="115">
        <v>67.5</v>
      </c>
      <c r="Z757" s="116">
        <f t="shared" si="56"/>
        <v>67.5</v>
      </c>
      <c r="AA757" s="114" t="s">
        <v>2229</v>
      </c>
      <c r="AB757" s="117">
        <f t="shared" si="57"/>
        <v>67</v>
      </c>
      <c r="AC757" s="114" t="s">
        <v>2228</v>
      </c>
      <c r="AD757" s="117">
        <f t="shared" si="58"/>
        <v>5</v>
      </c>
      <c r="AE757" s="114" t="s">
        <v>2227</v>
      </c>
      <c r="AF757" s="117">
        <f t="shared" si="59"/>
        <v>0</v>
      </c>
      <c r="AG757" s="114" t="s">
        <v>2226</v>
      </c>
      <c r="AH757" s="116">
        <v>2.7</v>
      </c>
      <c r="AI757" s="100"/>
      <c r="AJ757" s="100"/>
      <c r="AK757" s="100"/>
      <c r="AL757" s="100"/>
      <c r="AM757" s="100"/>
      <c r="AN757" s="100"/>
      <c r="AO757" s="100"/>
      <c r="AP757" s="100"/>
      <c r="AQ757" s="100"/>
    </row>
    <row r="758" spans="24:43">
      <c r="X758" s="114" t="s">
        <v>14437</v>
      </c>
      <c r="Y758" s="115">
        <v>112500.5</v>
      </c>
      <c r="Z758" s="116">
        <f t="shared" si="56"/>
        <v>112500.5</v>
      </c>
      <c r="AA758" s="114" t="s">
        <v>2229</v>
      </c>
      <c r="AB758" s="117">
        <f t="shared" si="57"/>
        <v>112500</v>
      </c>
      <c r="AC758" s="114" t="s">
        <v>2228</v>
      </c>
      <c r="AD758" s="117">
        <f t="shared" si="58"/>
        <v>5</v>
      </c>
      <c r="AE758" s="114" t="s">
        <v>2227</v>
      </c>
      <c r="AF758" s="117">
        <f t="shared" si="59"/>
        <v>0</v>
      </c>
      <c r="AG758" s="114" t="s">
        <v>2226</v>
      </c>
      <c r="AH758" s="116">
        <v>4500.0200000000004</v>
      </c>
      <c r="AI758" s="100"/>
      <c r="AJ758" s="100"/>
      <c r="AK758" s="100"/>
      <c r="AL758" s="100"/>
      <c r="AM758" s="100"/>
      <c r="AN758" s="100"/>
      <c r="AO758" s="100"/>
      <c r="AP758" s="100"/>
      <c r="AQ758" s="100"/>
    </row>
    <row r="759" spans="24:43">
      <c r="X759" s="114" t="s">
        <v>14438</v>
      </c>
      <c r="Y759" s="115">
        <v>87250.25</v>
      </c>
      <c r="Z759" s="116">
        <f t="shared" si="56"/>
        <v>87250.25</v>
      </c>
      <c r="AA759" s="114" t="s">
        <v>2229</v>
      </c>
      <c r="AB759" s="117">
        <f t="shared" si="57"/>
        <v>87250</v>
      </c>
      <c r="AC759" s="114" t="s">
        <v>2228</v>
      </c>
      <c r="AD759" s="117">
        <f t="shared" si="58"/>
        <v>2</v>
      </c>
      <c r="AE759" s="114" t="s">
        <v>2227</v>
      </c>
      <c r="AF759" s="117">
        <f t="shared" si="59"/>
        <v>5</v>
      </c>
      <c r="AG759" s="114" t="s">
        <v>2226</v>
      </c>
      <c r="AH759" s="116">
        <v>3490.01</v>
      </c>
      <c r="AI759" s="100"/>
      <c r="AJ759" s="100"/>
      <c r="AK759" s="100"/>
      <c r="AL759" s="100"/>
      <c r="AM759" s="100"/>
      <c r="AN759" s="100"/>
      <c r="AO759" s="100"/>
      <c r="AP759" s="100"/>
      <c r="AQ759" s="100"/>
    </row>
    <row r="760" spans="24:43">
      <c r="X760" s="114" t="s">
        <v>14439</v>
      </c>
      <c r="Y760" s="115">
        <v>4187.625</v>
      </c>
      <c r="Z760" s="116">
        <f t="shared" si="56"/>
        <v>4187.625</v>
      </c>
      <c r="AA760" s="114" t="s">
        <v>2229</v>
      </c>
      <c r="AB760" s="117">
        <f t="shared" si="57"/>
        <v>4187</v>
      </c>
      <c r="AC760" s="114" t="s">
        <v>2228</v>
      </c>
      <c r="AD760" s="117">
        <f t="shared" si="58"/>
        <v>6</v>
      </c>
      <c r="AE760" s="114" t="s">
        <v>2227</v>
      </c>
      <c r="AF760" s="117">
        <f t="shared" si="59"/>
        <v>2.5</v>
      </c>
      <c r="AG760" s="114" t="s">
        <v>2226</v>
      </c>
      <c r="AH760" s="116">
        <v>167.5</v>
      </c>
      <c r="AI760" s="100"/>
      <c r="AJ760" s="100"/>
      <c r="AK760" s="100"/>
      <c r="AL760" s="100"/>
      <c r="AM760" s="100"/>
      <c r="AN760" s="100"/>
      <c r="AO760" s="100"/>
      <c r="AP760" s="100"/>
      <c r="AQ760" s="100"/>
    </row>
    <row r="761" spans="24:43">
      <c r="X761" s="114" t="s">
        <v>14440</v>
      </c>
      <c r="Y761" s="115">
        <v>30200</v>
      </c>
      <c r="Z761" s="116">
        <f t="shared" si="56"/>
        <v>30200</v>
      </c>
      <c r="AA761" s="114" t="s">
        <v>2229</v>
      </c>
      <c r="AB761" s="117">
        <f t="shared" si="57"/>
        <v>30200</v>
      </c>
      <c r="AC761" s="114" t="s">
        <v>2228</v>
      </c>
      <c r="AD761" s="117">
        <f t="shared" si="58"/>
        <v>0</v>
      </c>
      <c r="AE761" s="114" t="s">
        <v>2227</v>
      </c>
      <c r="AF761" s="117">
        <f t="shared" si="59"/>
        <v>0</v>
      </c>
      <c r="AG761" s="114" t="s">
        <v>2226</v>
      </c>
      <c r="AH761" s="116">
        <v>1208</v>
      </c>
      <c r="AI761" s="100"/>
      <c r="AJ761" s="100"/>
      <c r="AK761" s="100"/>
      <c r="AL761" s="100"/>
      <c r="AM761" s="100"/>
      <c r="AN761" s="100"/>
      <c r="AO761" s="100"/>
      <c r="AP761" s="100"/>
      <c r="AQ761" s="100"/>
    </row>
    <row r="762" spans="24:43">
      <c r="X762" s="114" t="s">
        <v>14441</v>
      </c>
      <c r="Y762" s="115">
        <v>750</v>
      </c>
      <c r="Z762" s="116">
        <f t="shared" si="56"/>
        <v>750</v>
      </c>
      <c r="AA762" s="114" t="s">
        <v>2229</v>
      </c>
      <c r="AB762" s="117">
        <f t="shared" si="57"/>
        <v>750</v>
      </c>
      <c r="AC762" s="114" t="s">
        <v>2228</v>
      </c>
      <c r="AD762" s="117">
        <f t="shared" si="58"/>
        <v>0</v>
      </c>
      <c r="AE762" s="114" t="s">
        <v>2227</v>
      </c>
      <c r="AF762" s="117">
        <f t="shared" si="59"/>
        <v>0</v>
      </c>
      <c r="AG762" s="114" t="s">
        <v>2226</v>
      </c>
      <c r="AH762" s="116">
        <v>30</v>
      </c>
      <c r="AI762" s="100"/>
      <c r="AJ762" s="100"/>
      <c r="AK762" s="100"/>
      <c r="AL762" s="100"/>
      <c r="AM762" s="100"/>
      <c r="AN762" s="100"/>
      <c r="AO762" s="100"/>
      <c r="AP762" s="100"/>
      <c r="AQ762" s="100"/>
    </row>
    <row r="763" spans="24:43">
      <c r="X763" s="114" t="s">
        <v>14442</v>
      </c>
      <c r="Y763" s="115">
        <v>3250</v>
      </c>
      <c r="Z763" s="116">
        <f t="shared" si="56"/>
        <v>3250</v>
      </c>
      <c r="AA763" s="114" t="s">
        <v>2229</v>
      </c>
      <c r="AB763" s="117">
        <f t="shared" si="57"/>
        <v>3250</v>
      </c>
      <c r="AC763" s="114" t="s">
        <v>2228</v>
      </c>
      <c r="AD763" s="117">
        <f t="shared" si="58"/>
        <v>0</v>
      </c>
      <c r="AE763" s="114" t="s">
        <v>2227</v>
      </c>
      <c r="AF763" s="117">
        <f t="shared" si="59"/>
        <v>0</v>
      </c>
      <c r="AG763" s="114" t="s">
        <v>2226</v>
      </c>
      <c r="AH763" s="116">
        <v>130</v>
      </c>
      <c r="AI763" s="100"/>
      <c r="AJ763" s="100"/>
      <c r="AK763" s="100"/>
      <c r="AL763" s="100"/>
      <c r="AM763" s="100"/>
      <c r="AN763" s="100"/>
      <c r="AO763" s="100"/>
      <c r="AP763" s="100"/>
      <c r="AQ763" s="100"/>
    </row>
    <row r="764" spans="24:43">
      <c r="X764" s="114" t="s">
        <v>9379</v>
      </c>
      <c r="Y764" s="115">
        <v>15500</v>
      </c>
      <c r="Z764" s="116">
        <f t="shared" si="56"/>
        <v>15500</v>
      </c>
      <c r="AA764" s="114" t="s">
        <v>2229</v>
      </c>
      <c r="AB764" s="117">
        <f t="shared" si="57"/>
        <v>15500</v>
      </c>
      <c r="AC764" s="114" t="s">
        <v>2228</v>
      </c>
      <c r="AD764" s="117">
        <f t="shared" si="58"/>
        <v>0</v>
      </c>
      <c r="AE764" s="114" t="s">
        <v>2227</v>
      </c>
      <c r="AF764" s="117">
        <f t="shared" si="59"/>
        <v>0</v>
      </c>
      <c r="AG764" s="114" t="s">
        <v>2226</v>
      </c>
      <c r="AH764" s="116">
        <v>620</v>
      </c>
      <c r="AI764" s="100"/>
      <c r="AJ764" s="100"/>
      <c r="AK764" s="100"/>
      <c r="AL764" s="100"/>
      <c r="AM764" s="100"/>
      <c r="AN764" s="100"/>
      <c r="AO764" s="100"/>
      <c r="AP764" s="100"/>
      <c r="AQ764" s="100"/>
    </row>
    <row r="765" spans="24:43">
      <c r="X765" s="114" t="s">
        <v>14443</v>
      </c>
      <c r="Y765" s="115">
        <v>4537.625</v>
      </c>
      <c r="Z765" s="116">
        <f t="shared" si="56"/>
        <v>4537.625</v>
      </c>
      <c r="AA765" s="114" t="s">
        <v>2229</v>
      </c>
      <c r="AB765" s="117">
        <f t="shared" si="57"/>
        <v>4537</v>
      </c>
      <c r="AC765" s="114" t="s">
        <v>2228</v>
      </c>
      <c r="AD765" s="117">
        <f t="shared" si="58"/>
        <v>6</v>
      </c>
      <c r="AE765" s="114" t="s">
        <v>2227</v>
      </c>
      <c r="AF765" s="117">
        <f t="shared" si="59"/>
        <v>2.5</v>
      </c>
      <c r="AG765" s="114" t="s">
        <v>2226</v>
      </c>
      <c r="AH765" s="116">
        <v>181.5</v>
      </c>
      <c r="AI765" s="100"/>
      <c r="AJ765" s="100"/>
      <c r="AK765" s="100"/>
      <c r="AL765" s="100"/>
      <c r="AM765" s="100"/>
      <c r="AN765" s="100"/>
      <c r="AO765" s="100"/>
      <c r="AP765" s="100"/>
      <c r="AQ765" s="100"/>
    </row>
    <row r="766" spans="24:43">
      <c r="X766" s="114" t="s">
        <v>14444</v>
      </c>
      <c r="Y766" s="115">
        <v>101250.25</v>
      </c>
      <c r="Z766" s="116">
        <f t="shared" si="56"/>
        <v>101250.25</v>
      </c>
      <c r="AA766" s="114" t="s">
        <v>2229</v>
      </c>
      <c r="AB766" s="117">
        <f t="shared" si="57"/>
        <v>101250</v>
      </c>
      <c r="AC766" s="114" t="s">
        <v>2228</v>
      </c>
      <c r="AD766" s="117">
        <f t="shared" si="58"/>
        <v>2</v>
      </c>
      <c r="AE766" s="114" t="s">
        <v>2227</v>
      </c>
      <c r="AF766" s="117">
        <f t="shared" si="59"/>
        <v>5</v>
      </c>
      <c r="AG766" s="114" t="s">
        <v>2226</v>
      </c>
      <c r="AH766" s="116">
        <v>4050.01</v>
      </c>
      <c r="AI766" s="100"/>
      <c r="AJ766" s="100"/>
      <c r="AK766" s="100"/>
      <c r="AL766" s="100"/>
      <c r="AM766" s="100"/>
      <c r="AN766" s="100"/>
      <c r="AO766" s="100"/>
      <c r="AP766" s="100"/>
      <c r="AQ766" s="100"/>
    </row>
    <row r="767" spans="24:43">
      <c r="X767" s="114" t="s">
        <v>14445</v>
      </c>
      <c r="Y767" s="115">
        <v>18875.125</v>
      </c>
      <c r="Z767" s="116">
        <f t="shared" si="56"/>
        <v>18875.125</v>
      </c>
      <c r="AA767" s="114" t="s">
        <v>2229</v>
      </c>
      <c r="AB767" s="117">
        <f t="shared" si="57"/>
        <v>18875</v>
      </c>
      <c r="AC767" s="114" t="s">
        <v>2228</v>
      </c>
      <c r="AD767" s="117">
        <f t="shared" si="58"/>
        <v>1</v>
      </c>
      <c r="AE767" s="114" t="s">
        <v>2227</v>
      </c>
      <c r="AF767" s="117">
        <f t="shared" si="59"/>
        <v>2.5</v>
      </c>
      <c r="AG767" s="114" t="s">
        <v>2226</v>
      </c>
      <c r="AH767" s="116">
        <v>755</v>
      </c>
      <c r="AI767" s="100"/>
      <c r="AJ767" s="100"/>
      <c r="AK767" s="100"/>
      <c r="AL767" s="100"/>
      <c r="AM767" s="100"/>
      <c r="AN767" s="100"/>
      <c r="AO767" s="100"/>
      <c r="AP767" s="100"/>
      <c r="AQ767" s="100"/>
    </row>
    <row r="768" spans="24:43">
      <c r="X768" s="114" t="s">
        <v>14446</v>
      </c>
      <c r="Y768" s="115">
        <v>337.625</v>
      </c>
      <c r="Z768" s="116">
        <f t="shared" si="56"/>
        <v>337.625</v>
      </c>
      <c r="AA768" s="114" t="s">
        <v>2229</v>
      </c>
      <c r="AB768" s="117">
        <f t="shared" si="57"/>
        <v>337</v>
      </c>
      <c r="AC768" s="114" t="s">
        <v>2228</v>
      </c>
      <c r="AD768" s="117">
        <f t="shared" si="58"/>
        <v>6</v>
      </c>
      <c r="AE768" s="114" t="s">
        <v>2227</v>
      </c>
      <c r="AF768" s="117">
        <f t="shared" si="59"/>
        <v>2.5</v>
      </c>
      <c r="AG768" s="114" t="s">
        <v>2226</v>
      </c>
      <c r="AH768" s="116">
        <v>13.5</v>
      </c>
      <c r="AI768" s="100"/>
      <c r="AJ768" s="100"/>
      <c r="AK768" s="100"/>
      <c r="AL768" s="100"/>
      <c r="AM768" s="100"/>
      <c r="AN768" s="100"/>
      <c r="AO768" s="100"/>
      <c r="AP768" s="100"/>
      <c r="AQ768" s="100"/>
    </row>
    <row r="769" spans="24:43">
      <c r="X769" s="114" t="s">
        <v>14446</v>
      </c>
      <c r="Y769" s="115">
        <v>337.625</v>
      </c>
      <c r="Z769" s="116">
        <f t="shared" si="56"/>
        <v>337.625</v>
      </c>
      <c r="AA769" s="114" t="s">
        <v>2229</v>
      </c>
      <c r="AB769" s="117">
        <f t="shared" si="57"/>
        <v>337</v>
      </c>
      <c r="AC769" s="114" t="s">
        <v>2228</v>
      </c>
      <c r="AD769" s="117">
        <f t="shared" si="58"/>
        <v>6</v>
      </c>
      <c r="AE769" s="114" t="s">
        <v>2227</v>
      </c>
      <c r="AF769" s="117">
        <f t="shared" si="59"/>
        <v>2.5</v>
      </c>
      <c r="AG769" s="114" t="s">
        <v>2226</v>
      </c>
      <c r="AH769" s="116">
        <v>13.5</v>
      </c>
      <c r="AI769" s="100"/>
      <c r="AJ769" s="100"/>
      <c r="AK769" s="100"/>
      <c r="AL769" s="100"/>
      <c r="AM769" s="100"/>
      <c r="AN769" s="100"/>
      <c r="AO769" s="100"/>
      <c r="AP769" s="100"/>
      <c r="AQ769" s="100"/>
    </row>
    <row r="770" spans="24:43">
      <c r="X770" s="114" t="s">
        <v>14447</v>
      </c>
      <c r="Y770" s="115">
        <v>112500.5</v>
      </c>
      <c r="Z770" s="116">
        <f t="shared" si="56"/>
        <v>112500.5</v>
      </c>
      <c r="AA770" s="114" t="s">
        <v>2229</v>
      </c>
      <c r="AB770" s="117">
        <f t="shared" si="57"/>
        <v>112500</v>
      </c>
      <c r="AC770" s="114" t="s">
        <v>2228</v>
      </c>
      <c r="AD770" s="117">
        <f t="shared" si="58"/>
        <v>5</v>
      </c>
      <c r="AE770" s="114" t="s">
        <v>2227</v>
      </c>
      <c r="AF770" s="117">
        <f t="shared" si="59"/>
        <v>0</v>
      </c>
      <c r="AG770" s="114" t="s">
        <v>2226</v>
      </c>
      <c r="AH770" s="116">
        <v>4500.0200000000004</v>
      </c>
      <c r="AI770" s="100"/>
      <c r="AJ770" s="100"/>
      <c r="AK770" s="100"/>
      <c r="AL770" s="100"/>
      <c r="AM770" s="100"/>
      <c r="AN770" s="100"/>
      <c r="AO770" s="100"/>
      <c r="AP770" s="100"/>
      <c r="AQ770" s="100"/>
    </row>
    <row r="771" spans="24:43">
      <c r="X771" s="114" t="s">
        <v>14448</v>
      </c>
      <c r="Y771" s="115">
        <v>112500.5</v>
      </c>
      <c r="Z771" s="116">
        <f t="shared" ref="Z771:Z783" si="60">Y771*$AK$6*$AK$11</f>
        <v>112500.5</v>
      </c>
      <c r="AA771" s="114" t="s">
        <v>2229</v>
      </c>
      <c r="AB771" s="117">
        <f t="shared" ref="AB771:AB783" si="61">_xlfn.FLOOR.MATH(Z771,1)</f>
        <v>112500</v>
      </c>
      <c r="AC771" s="114" t="s">
        <v>2228</v>
      </c>
      <c r="AD771" s="117">
        <f t="shared" ref="AD771:AD783" si="62">_xlfn.FLOOR.MATH(((Z771-AB771)*10), 1)</f>
        <v>5</v>
      </c>
      <c r="AE771" s="114" t="s">
        <v>2227</v>
      </c>
      <c r="AF771" s="117">
        <f t="shared" ref="AF771:AF783" si="63">((Z771-AB771)*10-AD771)*10</f>
        <v>0</v>
      </c>
      <c r="AG771" s="114" t="s">
        <v>2226</v>
      </c>
      <c r="AH771" s="116">
        <v>4500.0200000000004</v>
      </c>
      <c r="AI771" s="100"/>
      <c r="AJ771" s="100"/>
      <c r="AK771" s="100"/>
      <c r="AL771" s="100"/>
      <c r="AM771" s="100"/>
      <c r="AN771" s="100"/>
      <c r="AO771" s="100"/>
      <c r="AP771" s="100"/>
      <c r="AQ771" s="100"/>
    </row>
    <row r="772" spans="24:43">
      <c r="X772" s="114" t="s">
        <v>9121</v>
      </c>
      <c r="Y772" s="115">
        <v>825</v>
      </c>
      <c r="Z772" s="116">
        <f t="shared" si="60"/>
        <v>825</v>
      </c>
      <c r="AA772" s="114" t="s">
        <v>2229</v>
      </c>
      <c r="AB772" s="117">
        <f t="shared" si="61"/>
        <v>825</v>
      </c>
      <c r="AC772" s="114" t="s">
        <v>2228</v>
      </c>
      <c r="AD772" s="117">
        <f t="shared" si="62"/>
        <v>0</v>
      </c>
      <c r="AE772" s="114" t="s">
        <v>2227</v>
      </c>
      <c r="AF772" s="117">
        <f t="shared" si="63"/>
        <v>0</v>
      </c>
      <c r="AG772" s="114" t="s">
        <v>2226</v>
      </c>
      <c r="AH772" s="116">
        <v>33</v>
      </c>
      <c r="AI772" s="100"/>
      <c r="AJ772" s="100"/>
      <c r="AK772" s="100"/>
      <c r="AL772" s="100"/>
      <c r="AM772" s="100"/>
      <c r="AN772" s="100"/>
      <c r="AO772" s="100"/>
      <c r="AP772" s="100"/>
      <c r="AQ772" s="100"/>
    </row>
    <row r="773" spans="24:43">
      <c r="X773" s="114" t="s">
        <v>14449</v>
      </c>
      <c r="Y773" s="115">
        <v>90250.25</v>
      </c>
      <c r="Z773" s="116">
        <f t="shared" si="60"/>
        <v>90250.25</v>
      </c>
      <c r="AA773" s="114" t="s">
        <v>2229</v>
      </c>
      <c r="AB773" s="117">
        <f t="shared" si="61"/>
        <v>90250</v>
      </c>
      <c r="AC773" s="114" t="s">
        <v>2228</v>
      </c>
      <c r="AD773" s="117">
        <f t="shared" si="62"/>
        <v>2</v>
      </c>
      <c r="AE773" s="114" t="s">
        <v>2227</v>
      </c>
      <c r="AF773" s="117">
        <f t="shared" si="63"/>
        <v>5</v>
      </c>
      <c r="AG773" s="114" t="s">
        <v>2226</v>
      </c>
      <c r="AH773" s="116">
        <v>3610.01</v>
      </c>
      <c r="AI773" s="100"/>
      <c r="AJ773" s="100"/>
      <c r="AK773" s="100"/>
      <c r="AL773" s="100"/>
      <c r="AM773" s="100"/>
      <c r="AN773" s="100"/>
      <c r="AO773" s="100"/>
      <c r="AP773" s="100"/>
      <c r="AQ773" s="100"/>
    </row>
    <row r="774" spans="24:43">
      <c r="X774" s="114" t="s">
        <v>9123</v>
      </c>
      <c r="Y774" s="115">
        <v>6500</v>
      </c>
      <c r="Z774" s="116">
        <f t="shared" si="60"/>
        <v>6500</v>
      </c>
      <c r="AA774" s="114" t="s">
        <v>2229</v>
      </c>
      <c r="AB774" s="117">
        <f t="shared" si="61"/>
        <v>6500</v>
      </c>
      <c r="AC774" s="114" t="s">
        <v>2228</v>
      </c>
      <c r="AD774" s="117">
        <f t="shared" si="62"/>
        <v>0</v>
      </c>
      <c r="AE774" s="114" t="s">
        <v>2227</v>
      </c>
      <c r="AF774" s="117">
        <f t="shared" si="63"/>
        <v>0</v>
      </c>
      <c r="AG774" s="114" t="s">
        <v>2226</v>
      </c>
      <c r="AH774" s="116">
        <v>260</v>
      </c>
      <c r="AI774" s="100"/>
      <c r="AJ774" s="100"/>
      <c r="AK774" s="100"/>
      <c r="AL774" s="100"/>
      <c r="AM774" s="100"/>
      <c r="AN774" s="100"/>
      <c r="AO774" s="100"/>
      <c r="AP774" s="100"/>
      <c r="AQ774" s="100"/>
    </row>
    <row r="775" spans="24:43">
      <c r="X775" s="114" t="s">
        <v>14450</v>
      </c>
      <c r="Y775" s="115">
        <v>4300</v>
      </c>
      <c r="Z775" s="116">
        <f t="shared" si="60"/>
        <v>4300</v>
      </c>
      <c r="AA775" s="114" t="s">
        <v>2229</v>
      </c>
      <c r="AB775" s="117">
        <f t="shared" si="61"/>
        <v>4300</v>
      </c>
      <c r="AC775" s="114" t="s">
        <v>2228</v>
      </c>
      <c r="AD775" s="117">
        <f t="shared" si="62"/>
        <v>0</v>
      </c>
      <c r="AE775" s="114" t="s">
        <v>2227</v>
      </c>
      <c r="AF775" s="117">
        <f t="shared" si="63"/>
        <v>0</v>
      </c>
      <c r="AG775" s="114" t="s">
        <v>2226</v>
      </c>
      <c r="AH775" s="116">
        <v>172</v>
      </c>
      <c r="AI775" s="100"/>
      <c r="AJ775" s="100"/>
      <c r="AK775" s="100"/>
      <c r="AL775" s="100"/>
      <c r="AM775" s="100"/>
      <c r="AN775" s="100"/>
      <c r="AO775" s="100"/>
      <c r="AP775" s="100"/>
      <c r="AQ775" s="100"/>
    </row>
    <row r="776" spans="24:43">
      <c r="X776" s="114" t="s">
        <v>14451</v>
      </c>
      <c r="Y776" s="115">
        <v>312.625</v>
      </c>
      <c r="Z776" s="116">
        <f t="shared" si="60"/>
        <v>312.625</v>
      </c>
      <c r="AA776" s="114" t="s">
        <v>2229</v>
      </c>
      <c r="AB776" s="117">
        <f t="shared" si="61"/>
        <v>312</v>
      </c>
      <c r="AC776" s="114" t="s">
        <v>2228</v>
      </c>
      <c r="AD776" s="117">
        <f t="shared" si="62"/>
        <v>6</v>
      </c>
      <c r="AE776" s="114" t="s">
        <v>2227</v>
      </c>
      <c r="AF776" s="117">
        <f t="shared" si="63"/>
        <v>2.5</v>
      </c>
      <c r="AG776" s="114" t="s">
        <v>2226</v>
      </c>
      <c r="AH776" s="116">
        <v>12.5</v>
      </c>
      <c r="AI776" s="100"/>
      <c r="AJ776" s="100"/>
      <c r="AK776" s="100"/>
      <c r="AL776" s="100"/>
      <c r="AM776" s="100"/>
      <c r="AN776" s="100"/>
      <c r="AO776" s="100"/>
      <c r="AP776" s="100"/>
      <c r="AQ776" s="100"/>
    </row>
    <row r="777" spans="24:43">
      <c r="X777" s="114" t="s">
        <v>14452</v>
      </c>
      <c r="Y777" s="115">
        <v>325.25</v>
      </c>
      <c r="Z777" s="116">
        <f t="shared" si="60"/>
        <v>325.25</v>
      </c>
      <c r="AA777" s="114" t="s">
        <v>2229</v>
      </c>
      <c r="AB777" s="117">
        <f t="shared" si="61"/>
        <v>325</v>
      </c>
      <c r="AC777" s="114" t="s">
        <v>2228</v>
      </c>
      <c r="AD777" s="117">
        <f t="shared" si="62"/>
        <v>2</v>
      </c>
      <c r="AE777" s="114" t="s">
        <v>2227</v>
      </c>
      <c r="AF777" s="117">
        <f t="shared" si="63"/>
        <v>5</v>
      </c>
      <c r="AG777" s="114" t="s">
        <v>2226</v>
      </c>
      <c r="AH777" s="116">
        <v>13.01</v>
      </c>
      <c r="AI777" s="100"/>
      <c r="AJ777" s="100"/>
      <c r="AK777" s="100"/>
      <c r="AL777" s="100"/>
      <c r="AM777" s="100"/>
      <c r="AN777" s="100"/>
      <c r="AO777" s="100"/>
      <c r="AP777" s="100"/>
      <c r="AQ777" s="100"/>
    </row>
    <row r="778" spans="24:43">
      <c r="X778" s="114" t="s">
        <v>14453</v>
      </c>
      <c r="Y778" s="115">
        <v>112500.5</v>
      </c>
      <c r="Z778" s="116">
        <f t="shared" si="60"/>
        <v>112500.5</v>
      </c>
      <c r="AA778" s="114" t="s">
        <v>2229</v>
      </c>
      <c r="AB778" s="117">
        <f t="shared" si="61"/>
        <v>112500</v>
      </c>
      <c r="AC778" s="114" t="s">
        <v>2228</v>
      </c>
      <c r="AD778" s="117">
        <f t="shared" si="62"/>
        <v>5</v>
      </c>
      <c r="AE778" s="114" t="s">
        <v>2227</v>
      </c>
      <c r="AF778" s="117">
        <f t="shared" si="63"/>
        <v>0</v>
      </c>
      <c r="AG778" s="114" t="s">
        <v>2226</v>
      </c>
      <c r="AH778" s="116">
        <v>4500.0200000000004</v>
      </c>
      <c r="AI778" s="100"/>
      <c r="AJ778" s="100"/>
      <c r="AK778" s="100"/>
      <c r="AL778" s="100"/>
      <c r="AM778" s="100"/>
      <c r="AN778" s="100"/>
      <c r="AO778" s="100"/>
      <c r="AP778" s="100"/>
      <c r="AQ778" s="100"/>
    </row>
    <row r="779" spans="24:43">
      <c r="X779" s="114" t="s">
        <v>14454</v>
      </c>
      <c r="Y779" s="115">
        <v>60</v>
      </c>
      <c r="Z779" s="116">
        <f t="shared" si="60"/>
        <v>60</v>
      </c>
      <c r="AA779" s="114" t="s">
        <v>2229</v>
      </c>
      <c r="AB779" s="117">
        <f t="shared" si="61"/>
        <v>60</v>
      </c>
      <c r="AC779" s="114" t="s">
        <v>2228</v>
      </c>
      <c r="AD779" s="117">
        <f t="shared" si="62"/>
        <v>0</v>
      </c>
      <c r="AE779" s="114" t="s">
        <v>2227</v>
      </c>
      <c r="AF779" s="117">
        <f t="shared" si="63"/>
        <v>0</v>
      </c>
      <c r="AG779" s="114" t="s">
        <v>2226</v>
      </c>
      <c r="AH779" s="116">
        <v>2.4</v>
      </c>
      <c r="AI779" s="100"/>
      <c r="AJ779" s="100"/>
      <c r="AK779" s="100"/>
      <c r="AL779" s="100"/>
      <c r="AM779" s="100"/>
      <c r="AN779" s="100"/>
      <c r="AO779" s="100"/>
      <c r="AP779" s="100"/>
      <c r="AQ779" s="100"/>
    </row>
    <row r="780" spans="24:43">
      <c r="X780" s="114" t="s">
        <v>14454</v>
      </c>
      <c r="Y780" s="115">
        <v>60</v>
      </c>
      <c r="Z780" s="116">
        <f t="shared" si="60"/>
        <v>60</v>
      </c>
      <c r="AA780" s="114" t="s">
        <v>2229</v>
      </c>
      <c r="AB780" s="117">
        <f t="shared" si="61"/>
        <v>60</v>
      </c>
      <c r="AC780" s="114" t="s">
        <v>2228</v>
      </c>
      <c r="AD780" s="117">
        <f t="shared" si="62"/>
        <v>0</v>
      </c>
      <c r="AE780" s="114" t="s">
        <v>2227</v>
      </c>
      <c r="AF780" s="117">
        <f t="shared" si="63"/>
        <v>0</v>
      </c>
      <c r="AG780" s="114" t="s">
        <v>2226</v>
      </c>
      <c r="AH780" s="116">
        <v>2.4</v>
      </c>
      <c r="AI780" s="100"/>
      <c r="AJ780" s="100"/>
      <c r="AK780" s="100"/>
      <c r="AL780" s="100"/>
      <c r="AM780" s="100"/>
      <c r="AN780" s="100"/>
      <c r="AO780" s="100"/>
      <c r="AP780" s="100"/>
      <c r="AQ780" s="100"/>
    </row>
    <row r="781" spans="24:43">
      <c r="X781" s="114" t="s">
        <v>14455</v>
      </c>
      <c r="Y781" s="115">
        <v>325.25</v>
      </c>
      <c r="Z781" s="116">
        <f t="shared" si="60"/>
        <v>325.25</v>
      </c>
      <c r="AA781" s="114" t="s">
        <v>2229</v>
      </c>
      <c r="AB781" s="117">
        <f t="shared" si="61"/>
        <v>325</v>
      </c>
      <c r="AC781" s="114" t="s">
        <v>2228</v>
      </c>
      <c r="AD781" s="117">
        <f t="shared" si="62"/>
        <v>2</v>
      </c>
      <c r="AE781" s="114" t="s">
        <v>2227</v>
      </c>
      <c r="AF781" s="117">
        <f t="shared" si="63"/>
        <v>5</v>
      </c>
      <c r="AG781" s="114" t="s">
        <v>2226</v>
      </c>
      <c r="AH781" s="116">
        <v>13.01</v>
      </c>
      <c r="AI781" s="100"/>
      <c r="AJ781" s="100"/>
      <c r="AK781" s="100"/>
      <c r="AL781" s="100"/>
      <c r="AM781" s="100"/>
      <c r="AN781" s="100"/>
      <c r="AO781" s="100"/>
      <c r="AP781" s="100"/>
      <c r="AQ781" s="100"/>
    </row>
    <row r="782" spans="24:43">
      <c r="X782" s="114" t="s">
        <v>14456</v>
      </c>
      <c r="Y782" s="115">
        <v>6875.25</v>
      </c>
      <c r="Z782" s="116">
        <f t="shared" si="60"/>
        <v>6875.25</v>
      </c>
      <c r="AA782" s="114" t="s">
        <v>2229</v>
      </c>
      <c r="AB782" s="117">
        <f t="shared" si="61"/>
        <v>6875</v>
      </c>
      <c r="AC782" s="114" t="s">
        <v>2228</v>
      </c>
      <c r="AD782" s="117">
        <f t="shared" si="62"/>
        <v>2</v>
      </c>
      <c r="AE782" s="114" t="s">
        <v>2227</v>
      </c>
      <c r="AF782" s="117">
        <f t="shared" si="63"/>
        <v>5</v>
      </c>
      <c r="AG782" s="114" t="s">
        <v>2226</v>
      </c>
      <c r="AH782" s="116">
        <v>275.01</v>
      </c>
      <c r="AI782" s="100"/>
      <c r="AJ782" s="100"/>
      <c r="AK782" s="100"/>
      <c r="AL782" s="100"/>
      <c r="AM782" s="100"/>
      <c r="AN782" s="100"/>
      <c r="AO782" s="100"/>
      <c r="AP782" s="100"/>
      <c r="AQ782" s="100"/>
    </row>
    <row r="783" spans="24:43">
      <c r="X783" s="114" t="s">
        <v>14457</v>
      </c>
      <c r="Y783" s="115">
        <v>31250.25</v>
      </c>
      <c r="Z783" s="116">
        <f t="shared" si="60"/>
        <v>31250.25</v>
      </c>
      <c r="AA783" s="114" t="s">
        <v>2229</v>
      </c>
      <c r="AB783" s="117">
        <f t="shared" si="61"/>
        <v>31250</v>
      </c>
      <c r="AC783" s="114" t="s">
        <v>2228</v>
      </c>
      <c r="AD783" s="117">
        <f t="shared" si="62"/>
        <v>2</v>
      </c>
      <c r="AE783" s="114" t="s">
        <v>2227</v>
      </c>
      <c r="AF783" s="117">
        <f t="shared" si="63"/>
        <v>5</v>
      </c>
      <c r="AG783" s="114" t="s">
        <v>2226</v>
      </c>
      <c r="AH783" s="116">
        <v>1250.01</v>
      </c>
      <c r="AI783" s="100"/>
      <c r="AJ783" s="100"/>
      <c r="AK783" s="100"/>
      <c r="AL783" s="100"/>
      <c r="AM783" s="100"/>
      <c r="AN783" s="100"/>
      <c r="AO783" s="100"/>
      <c r="AP783" s="100"/>
      <c r="AQ783" s="100"/>
    </row>
    <row r="784" spans="24:43">
      <c r="X784" s="100"/>
      <c r="Y784" s="100"/>
      <c r="Z784" s="100"/>
      <c r="AA784" s="100"/>
      <c r="AB784" s="100"/>
      <c r="AC784" s="100"/>
      <c r="AD784" s="100"/>
      <c r="AE784" s="100"/>
      <c r="AF784" s="104"/>
      <c r="AG784" s="100"/>
      <c r="AH784" s="100"/>
      <c r="AI784" s="100"/>
      <c r="AJ784" s="100"/>
      <c r="AK784" s="100"/>
      <c r="AL784" s="100"/>
      <c r="AM784" s="100"/>
      <c r="AN784" s="100"/>
      <c r="AO784" s="100"/>
      <c r="AP784" s="100"/>
      <c r="AQ784" s="100"/>
    </row>
    <row r="785" spans="32:32">
      <c r="AF785" s="105"/>
    </row>
  </sheetData>
  <sheetProtection sort="0" autoFilter="0" pivotTables="0"/>
  <mergeCells count="27">
    <mergeCell ref="Q5:U6"/>
    <mergeCell ref="A1:U1"/>
    <mergeCell ref="M2:N2"/>
    <mergeCell ref="Q2:U2"/>
    <mergeCell ref="Q3:U3"/>
    <mergeCell ref="Q4:U4"/>
    <mergeCell ref="M19:P19"/>
    <mergeCell ref="M20:P20"/>
    <mergeCell ref="M18:P18"/>
    <mergeCell ref="M8:U9"/>
    <mergeCell ref="M11:O11"/>
    <mergeCell ref="M17:P17"/>
    <mergeCell ref="AI17:AJ17"/>
    <mergeCell ref="AI18:AJ18"/>
    <mergeCell ref="AI19:AJ19"/>
    <mergeCell ref="AI16:AK16"/>
    <mergeCell ref="X1:AQ1"/>
    <mergeCell ref="AM5:AQ6"/>
    <mergeCell ref="AM11:AQ11"/>
    <mergeCell ref="AI2:AJ2"/>
    <mergeCell ref="AM2:AQ2"/>
    <mergeCell ref="AM3:AQ3"/>
    <mergeCell ref="AM4:AQ4"/>
    <mergeCell ref="AM10:AQ10"/>
    <mergeCell ref="AI8:AJ8"/>
    <mergeCell ref="AM8:AQ8"/>
    <mergeCell ref="AM9:AQ9"/>
  </mergeCells>
  <dataValidations count="5">
    <dataValidation type="list" allowBlank="1" showInputMessage="1" showErrorMessage="1" sqref="N5 JC5 SY5 ACU5 AMQ5 AWM5 BGI5 BQE5 CAA5 CJW5 CTS5 DDO5 DNK5 DXG5 EHC5 EQY5 FAU5 FKQ5 FUM5 GEI5 GOE5 GYA5 HHW5 HRS5 IBO5 ILK5 IVG5 JFC5 JOY5 JYU5 KIQ5 KSM5 LCI5 LME5 LWA5 MFW5 MPS5 MZO5 NJK5 NTG5 ODC5 OMY5 OWU5 PGQ5 PQM5 QAI5 QKE5 QUA5 RDW5 RNS5 RXO5 SHK5 SRG5 TBC5 TKY5 TUU5 UEQ5 UOM5 UYI5 VIE5 VSA5 WBW5 WLS5 WVO5 N65541 JC65541 SY65541 ACU65541 AMQ65541 AWM65541 BGI65541 BQE65541 CAA65541 CJW65541 CTS65541 DDO65541 DNK65541 DXG65541 EHC65541 EQY65541 FAU65541 FKQ65541 FUM65541 GEI65541 GOE65541 GYA65541 HHW65541 HRS65541 IBO65541 ILK65541 IVG65541 JFC65541 JOY65541 JYU65541 KIQ65541 KSM65541 LCI65541 LME65541 LWA65541 MFW65541 MPS65541 MZO65541 NJK65541 NTG65541 ODC65541 OMY65541 OWU65541 PGQ65541 PQM65541 QAI65541 QKE65541 QUA65541 RDW65541 RNS65541 RXO65541 SHK65541 SRG65541 TBC65541 TKY65541 TUU65541 UEQ65541 UOM65541 UYI65541 VIE65541 VSA65541 WBW65541 WLS65541 WVO65541 N131077 JC131077 SY131077 ACU131077 AMQ131077 AWM131077 BGI131077 BQE131077 CAA131077 CJW131077 CTS131077 DDO131077 DNK131077 DXG131077 EHC131077 EQY131077 FAU131077 FKQ131077 FUM131077 GEI131077 GOE131077 GYA131077 HHW131077 HRS131077 IBO131077 ILK131077 IVG131077 JFC131077 JOY131077 JYU131077 KIQ131077 KSM131077 LCI131077 LME131077 LWA131077 MFW131077 MPS131077 MZO131077 NJK131077 NTG131077 ODC131077 OMY131077 OWU131077 PGQ131077 PQM131077 QAI131077 QKE131077 QUA131077 RDW131077 RNS131077 RXO131077 SHK131077 SRG131077 TBC131077 TKY131077 TUU131077 UEQ131077 UOM131077 UYI131077 VIE131077 VSA131077 WBW131077 WLS131077 WVO131077 N196613 JC196613 SY196613 ACU196613 AMQ196613 AWM196613 BGI196613 BQE196613 CAA196613 CJW196613 CTS196613 DDO196613 DNK196613 DXG196613 EHC196613 EQY196613 FAU196613 FKQ196613 FUM196613 GEI196613 GOE196613 GYA196613 HHW196613 HRS196613 IBO196613 ILK196613 IVG196613 JFC196613 JOY196613 JYU196613 KIQ196613 KSM196613 LCI196613 LME196613 LWA196613 MFW196613 MPS196613 MZO196613 NJK196613 NTG196613 ODC196613 OMY196613 OWU196613 PGQ196613 PQM196613 QAI196613 QKE196613 QUA196613 RDW196613 RNS196613 RXO196613 SHK196613 SRG196613 TBC196613 TKY196613 TUU196613 UEQ196613 UOM196613 UYI196613 VIE196613 VSA196613 WBW196613 WLS196613 WVO196613 N262149 JC262149 SY262149 ACU262149 AMQ262149 AWM262149 BGI262149 BQE262149 CAA262149 CJW262149 CTS262149 DDO262149 DNK262149 DXG262149 EHC262149 EQY262149 FAU262149 FKQ262149 FUM262149 GEI262149 GOE262149 GYA262149 HHW262149 HRS262149 IBO262149 ILK262149 IVG262149 JFC262149 JOY262149 JYU262149 KIQ262149 KSM262149 LCI262149 LME262149 LWA262149 MFW262149 MPS262149 MZO262149 NJK262149 NTG262149 ODC262149 OMY262149 OWU262149 PGQ262149 PQM262149 QAI262149 QKE262149 QUA262149 RDW262149 RNS262149 RXO262149 SHK262149 SRG262149 TBC262149 TKY262149 TUU262149 UEQ262149 UOM262149 UYI262149 VIE262149 VSA262149 WBW262149 WLS262149 WVO262149 N327685 JC327685 SY327685 ACU327685 AMQ327685 AWM327685 BGI327685 BQE327685 CAA327685 CJW327685 CTS327685 DDO327685 DNK327685 DXG327685 EHC327685 EQY327685 FAU327685 FKQ327685 FUM327685 GEI327685 GOE327685 GYA327685 HHW327685 HRS327685 IBO327685 ILK327685 IVG327685 JFC327685 JOY327685 JYU327685 KIQ327685 KSM327685 LCI327685 LME327685 LWA327685 MFW327685 MPS327685 MZO327685 NJK327685 NTG327685 ODC327685 OMY327685 OWU327685 PGQ327685 PQM327685 QAI327685 QKE327685 QUA327685 RDW327685 RNS327685 RXO327685 SHK327685 SRG327685 TBC327685 TKY327685 TUU327685 UEQ327685 UOM327685 UYI327685 VIE327685 VSA327685 WBW327685 WLS327685 WVO327685 N393221 JC393221 SY393221 ACU393221 AMQ393221 AWM393221 BGI393221 BQE393221 CAA393221 CJW393221 CTS393221 DDO393221 DNK393221 DXG393221 EHC393221 EQY393221 FAU393221 FKQ393221 FUM393221 GEI393221 GOE393221 GYA393221 HHW393221 HRS393221 IBO393221 ILK393221 IVG393221 JFC393221 JOY393221 JYU393221 KIQ393221 KSM393221 LCI393221 LME393221 LWA393221 MFW393221 MPS393221 MZO393221 NJK393221 NTG393221 ODC393221 OMY393221 OWU393221 PGQ393221 PQM393221 QAI393221 QKE393221 QUA393221 RDW393221 RNS393221 RXO393221 SHK393221 SRG393221 TBC393221 TKY393221 TUU393221 UEQ393221 UOM393221 UYI393221 VIE393221 VSA393221 WBW393221 WLS393221 WVO393221 N458757 JC458757 SY458757 ACU458757 AMQ458757 AWM458757 BGI458757 BQE458757 CAA458757 CJW458757 CTS458757 DDO458757 DNK458757 DXG458757 EHC458757 EQY458757 FAU458757 FKQ458757 FUM458757 GEI458757 GOE458757 GYA458757 HHW458757 HRS458757 IBO458757 ILK458757 IVG458757 JFC458757 JOY458757 JYU458757 KIQ458757 KSM458757 LCI458757 LME458757 LWA458757 MFW458757 MPS458757 MZO458757 NJK458757 NTG458757 ODC458757 OMY458757 OWU458757 PGQ458757 PQM458757 QAI458757 QKE458757 QUA458757 RDW458757 RNS458757 RXO458757 SHK458757 SRG458757 TBC458757 TKY458757 TUU458757 UEQ458757 UOM458757 UYI458757 VIE458757 VSA458757 WBW458757 WLS458757 WVO458757 N524293 JC524293 SY524293 ACU524293 AMQ524293 AWM524293 BGI524293 BQE524293 CAA524293 CJW524293 CTS524293 DDO524293 DNK524293 DXG524293 EHC524293 EQY524293 FAU524293 FKQ524293 FUM524293 GEI524293 GOE524293 GYA524293 HHW524293 HRS524293 IBO524293 ILK524293 IVG524293 JFC524293 JOY524293 JYU524293 KIQ524293 KSM524293 LCI524293 LME524293 LWA524293 MFW524293 MPS524293 MZO524293 NJK524293 NTG524293 ODC524293 OMY524293 OWU524293 PGQ524293 PQM524293 QAI524293 QKE524293 QUA524293 RDW524293 RNS524293 RXO524293 SHK524293 SRG524293 TBC524293 TKY524293 TUU524293 UEQ524293 UOM524293 UYI524293 VIE524293 VSA524293 WBW524293 WLS524293 WVO524293 N589829 JC589829 SY589829 ACU589829 AMQ589829 AWM589829 BGI589829 BQE589829 CAA589829 CJW589829 CTS589829 DDO589829 DNK589829 DXG589829 EHC589829 EQY589829 FAU589829 FKQ589829 FUM589829 GEI589829 GOE589829 GYA589829 HHW589829 HRS589829 IBO589829 ILK589829 IVG589829 JFC589829 JOY589829 JYU589829 KIQ589829 KSM589829 LCI589829 LME589829 LWA589829 MFW589829 MPS589829 MZO589829 NJK589829 NTG589829 ODC589829 OMY589829 OWU589829 PGQ589829 PQM589829 QAI589829 QKE589829 QUA589829 RDW589829 RNS589829 RXO589829 SHK589829 SRG589829 TBC589829 TKY589829 TUU589829 UEQ589829 UOM589829 UYI589829 VIE589829 VSA589829 WBW589829 WLS589829 WVO589829 N655365 JC655365 SY655365 ACU655365 AMQ655365 AWM655365 BGI655365 BQE655365 CAA655365 CJW655365 CTS655365 DDO655365 DNK655365 DXG655365 EHC655365 EQY655365 FAU655365 FKQ655365 FUM655365 GEI655365 GOE655365 GYA655365 HHW655365 HRS655365 IBO655365 ILK655365 IVG655365 JFC655365 JOY655365 JYU655365 KIQ655365 KSM655365 LCI655365 LME655365 LWA655365 MFW655365 MPS655365 MZO655365 NJK655365 NTG655365 ODC655365 OMY655365 OWU655365 PGQ655365 PQM655365 QAI655365 QKE655365 QUA655365 RDW655365 RNS655365 RXO655365 SHK655365 SRG655365 TBC655365 TKY655365 TUU655365 UEQ655365 UOM655365 UYI655365 VIE655365 VSA655365 WBW655365 WLS655365 WVO655365 N720901 JC720901 SY720901 ACU720901 AMQ720901 AWM720901 BGI720901 BQE720901 CAA720901 CJW720901 CTS720901 DDO720901 DNK720901 DXG720901 EHC720901 EQY720901 FAU720901 FKQ720901 FUM720901 GEI720901 GOE720901 GYA720901 HHW720901 HRS720901 IBO720901 ILK720901 IVG720901 JFC720901 JOY720901 JYU720901 KIQ720901 KSM720901 LCI720901 LME720901 LWA720901 MFW720901 MPS720901 MZO720901 NJK720901 NTG720901 ODC720901 OMY720901 OWU720901 PGQ720901 PQM720901 QAI720901 QKE720901 QUA720901 RDW720901 RNS720901 RXO720901 SHK720901 SRG720901 TBC720901 TKY720901 TUU720901 UEQ720901 UOM720901 UYI720901 VIE720901 VSA720901 WBW720901 WLS720901 WVO720901 N786437 JC786437 SY786437 ACU786437 AMQ786437 AWM786437 BGI786437 BQE786437 CAA786437 CJW786437 CTS786437 DDO786437 DNK786437 DXG786437 EHC786437 EQY786437 FAU786437 FKQ786437 FUM786437 GEI786437 GOE786437 GYA786437 HHW786437 HRS786437 IBO786437 ILK786437 IVG786437 JFC786437 JOY786437 JYU786437 KIQ786437 KSM786437 LCI786437 LME786437 LWA786437 MFW786437 MPS786437 MZO786437 NJK786437 NTG786437 ODC786437 OMY786437 OWU786437 PGQ786437 PQM786437 QAI786437 QKE786437 QUA786437 RDW786437 RNS786437 RXO786437 SHK786437 SRG786437 TBC786437 TKY786437 TUU786437 UEQ786437 UOM786437 UYI786437 VIE786437 VSA786437 WBW786437 WLS786437 WVO786437 N851973 JC851973 SY851973 ACU851973 AMQ851973 AWM851973 BGI851973 BQE851973 CAA851973 CJW851973 CTS851973 DDO851973 DNK851973 DXG851973 EHC851973 EQY851973 FAU851973 FKQ851973 FUM851973 GEI851973 GOE851973 GYA851973 HHW851973 HRS851973 IBO851973 ILK851973 IVG851973 JFC851973 JOY851973 JYU851973 KIQ851973 KSM851973 LCI851973 LME851973 LWA851973 MFW851973 MPS851973 MZO851973 NJK851973 NTG851973 ODC851973 OMY851973 OWU851973 PGQ851973 PQM851973 QAI851973 QKE851973 QUA851973 RDW851973 RNS851973 RXO851973 SHK851973 SRG851973 TBC851973 TKY851973 TUU851973 UEQ851973 UOM851973 UYI851973 VIE851973 VSA851973 WBW851973 WLS851973 WVO851973 N917509 JC917509 SY917509 ACU917509 AMQ917509 AWM917509 BGI917509 BQE917509 CAA917509 CJW917509 CTS917509 DDO917509 DNK917509 DXG917509 EHC917509 EQY917509 FAU917509 FKQ917509 FUM917509 GEI917509 GOE917509 GYA917509 HHW917509 HRS917509 IBO917509 ILK917509 IVG917509 JFC917509 JOY917509 JYU917509 KIQ917509 KSM917509 LCI917509 LME917509 LWA917509 MFW917509 MPS917509 MZO917509 NJK917509 NTG917509 ODC917509 OMY917509 OWU917509 PGQ917509 PQM917509 QAI917509 QKE917509 QUA917509 RDW917509 RNS917509 RXO917509 SHK917509 SRG917509 TBC917509 TKY917509 TUU917509 UEQ917509 UOM917509 UYI917509 VIE917509 VSA917509 WBW917509 WLS917509 WVO917509 N983045 JC983045 SY983045 ACU983045 AMQ983045 AWM983045 BGI983045 BQE983045 CAA983045 CJW983045 CTS983045 DDO983045 DNK983045 DXG983045 EHC983045 EQY983045 FAU983045 FKQ983045 FUM983045 GEI983045 GOE983045 GYA983045 HHW983045 HRS983045 IBO983045 ILK983045 IVG983045 JFC983045 JOY983045 JYU983045 KIQ983045 KSM983045 LCI983045 LME983045 LWA983045 MFW983045 MPS983045 MZO983045 NJK983045 NTG983045 ODC983045 OMY983045 OWU983045 PGQ983045 PQM983045 QAI983045 QKE983045 QUA983045 RDW983045 RNS983045 RXO983045 SHK983045 SRG983045 TBC983045 TKY983045 TUU983045 UEQ983045 UOM983045 UYI983045 VIE983045 VSA983045 WBW983045 WLS983045 WVO983045 AJ5" xr:uid="{741FCB57-581F-4629-97A9-BB7D4D734457}">
      <formula1>"Y,N"</formula1>
    </dataValidation>
    <dataValidation type="list" allowBlank="1" showInputMessage="1" showErrorMessage="1" sqref="N3:N4 JC3:JC4 SY3:SY4 ACU3:ACU4 AMQ3:AMQ4 AWM3:AWM4 BGI3:BGI4 BQE3:BQE4 CAA3:CAA4 CJW3:CJW4 CTS3:CTS4 DDO3:DDO4 DNK3:DNK4 DXG3:DXG4 EHC3:EHC4 EQY3:EQY4 FAU3:FAU4 FKQ3:FKQ4 FUM3:FUM4 GEI3:GEI4 GOE3:GOE4 GYA3:GYA4 HHW3:HHW4 HRS3:HRS4 IBO3:IBO4 ILK3:ILK4 IVG3:IVG4 JFC3:JFC4 JOY3:JOY4 JYU3:JYU4 KIQ3:KIQ4 KSM3:KSM4 LCI3:LCI4 LME3:LME4 LWA3:LWA4 MFW3:MFW4 MPS3:MPS4 MZO3:MZO4 NJK3:NJK4 NTG3:NTG4 ODC3:ODC4 OMY3:OMY4 OWU3:OWU4 PGQ3:PGQ4 PQM3:PQM4 QAI3:QAI4 QKE3:QKE4 QUA3:QUA4 RDW3:RDW4 RNS3:RNS4 RXO3:RXO4 SHK3:SHK4 SRG3:SRG4 TBC3:TBC4 TKY3:TKY4 TUU3:TUU4 UEQ3:UEQ4 UOM3:UOM4 UYI3:UYI4 VIE3:VIE4 VSA3:VSA4 WBW3:WBW4 WLS3:WLS4 WVO3:WVO4 N65539:N65540 JC65539:JC65540 SY65539:SY65540 ACU65539:ACU65540 AMQ65539:AMQ65540 AWM65539:AWM65540 BGI65539:BGI65540 BQE65539:BQE65540 CAA65539:CAA65540 CJW65539:CJW65540 CTS65539:CTS65540 DDO65539:DDO65540 DNK65539:DNK65540 DXG65539:DXG65540 EHC65539:EHC65540 EQY65539:EQY65540 FAU65539:FAU65540 FKQ65539:FKQ65540 FUM65539:FUM65540 GEI65539:GEI65540 GOE65539:GOE65540 GYA65539:GYA65540 HHW65539:HHW65540 HRS65539:HRS65540 IBO65539:IBO65540 ILK65539:ILK65540 IVG65539:IVG65540 JFC65539:JFC65540 JOY65539:JOY65540 JYU65539:JYU65540 KIQ65539:KIQ65540 KSM65539:KSM65540 LCI65539:LCI65540 LME65539:LME65540 LWA65539:LWA65540 MFW65539:MFW65540 MPS65539:MPS65540 MZO65539:MZO65540 NJK65539:NJK65540 NTG65539:NTG65540 ODC65539:ODC65540 OMY65539:OMY65540 OWU65539:OWU65540 PGQ65539:PGQ65540 PQM65539:PQM65540 QAI65539:QAI65540 QKE65539:QKE65540 QUA65539:QUA65540 RDW65539:RDW65540 RNS65539:RNS65540 RXO65539:RXO65540 SHK65539:SHK65540 SRG65539:SRG65540 TBC65539:TBC65540 TKY65539:TKY65540 TUU65539:TUU65540 UEQ65539:UEQ65540 UOM65539:UOM65540 UYI65539:UYI65540 VIE65539:VIE65540 VSA65539:VSA65540 WBW65539:WBW65540 WLS65539:WLS65540 WVO65539:WVO65540 N131075:N131076 JC131075:JC131076 SY131075:SY131076 ACU131075:ACU131076 AMQ131075:AMQ131076 AWM131075:AWM131076 BGI131075:BGI131076 BQE131075:BQE131076 CAA131075:CAA131076 CJW131075:CJW131076 CTS131075:CTS131076 DDO131075:DDO131076 DNK131075:DNK131076 DXG131075:DXG131076 EHC131075:EHC131076 EQY131075:EQY131076 FAU131075:FAU131076 FKQ131075:FKQ131076 FUM131075:FUM131076 GEI131075:GEI131076 GOE131075:GOE131076 GYA131075:GYA131076 HHW131075:HHW131076 HRS131075:HRS131076 IBO131075:IBO131076 ILK131075:ILK131076 IVG131075:IVG131076 JFC131075:JFC131076 JOY131075:JOY131076 JYU131075:JYU131076 KIQ131075:KIQ131076 KSM131075:KSM131076 LCI131075:LCI131076 LME131075:LME131076 LWA131075:LWA131076 MFW131075:MFW131076 MPS131075:MPS131076 MZO131075:MZO131076 NJK131075:NJK131076 NTG131075:NTG131076 ODC131075:ODC131076 OMY131075:OMY131076 OWU131075:OWU131076 PGQ131075:PGQ131076 PQM131075:PQM131076 QAI131075:QAI131076 QKE131075:QKE131076 QUA131075:QUA131076 RDW131075:RDW131076 RNS131075:RNS131076 RXO131075:RXO131076 SHK131075:SHK131076 SRG131075:SRG131076 TBC131075:TBC131076 TKY131075:TKY131076 TUU131075:TUU131076 UEQ131075:UEQ131076 UOM131075:UOM131076 UYI131075:UYI131076 VIE131075:VIE131076 VSA131075:VSA131076 WBW131075:WBW131076 WLS131075:WLS131076 WVO131075:WVO131076 N196611:N196612 JC196611:JC196612 SY196611:SY196612 ACU196611:ACU196612 AMQ196611:AMQ196612 AWM196611:AWM196612 BGI196611:BGI196612 BQE196611:BQE196612 CAA196611:CAA196612 CJW196611:CJW196612 CTS196611:CTS196612 DDO196611:DDO196612 DNK196611:DNK196612 DXG196611:DXG196612 EHC196611:EHC196612 EQY196611:EQY196612 FAU196611:FAU196612 FKQ196611:FKQ196612 FUM196611:FUM196612 GEI196611:GEI196612 GOE196611:GOE196612 GYA196611:GYA196612 HHW196611:HHW196612 HRS196611:HRS196612 IBO196611:IBO196612 ILK196611:ILK196612 IVG196611:IVG196612 JFC196611:JFC196612 JOY196611:JOY196612 JYU196611:JYU196612 KIQ196611:KIQ196612 KSM196611:KSM196612 LCI196611:LCI196612 LME196611:LME196612 LWA196611:LWA196612 MFW196611:MFW196612 MPS196611:MPS196612 MZO196611:MZO196612 NJK196611:NJK196612 NTG196611:NTG196612 ODC196611:ODC196612 OMY196611:OMY196612 OWU196611:OWU196612 PGQ196611:PGQ196612 PQM196611:PQM196612 QAI196611:QAI196612 QKE196611:QKE196612 QUA196611:QUA196612 RDW196611:RDW196612 RNS196611:RNS196612 RXO196611:RXO196612 SHK196611:SHK196612 SRG196611:SRG196612 TBC196611:TBC196612 TKY196611:TKY196612 TUU196611:TUU196612 UEQ196611:UEQ196612 UOM196611:UOM196612 UYI196611:UYI196612 VIE196611:VIE196612 VSA196611:VSA196612 WBW196611:WBW196612 WLS196611:WLS196612 WVO196611:WVO196612 N262147:N262148 JC262147:JC262148 SY262147:SY262148 ACU262147:ACU262148 AMQ262147:AMQ262148 AWM262147:AWM262148 BGI262147:BGI262148 BQE262147:BQE262148 CAA262147:CAA262148 CJW262147:CJW262148 CTS262147:CTS262148 DDO262147:DDO262148 DNK262147:DNK262148 DXG262147:DXG262148 EHC262147:EHC262148 EQY262147:EQY262148 FAU262147:FAU262148 FKQ262147:FKQ262148 FUM262147:FUM262148 GEI262147:GEI262148 GOE262147:GOE262148 GYA262147:GYA262148 HHW262147:HHW262148 HRS262147:HRS262148 IBO262147:IBO262148 ILK262147:ILK262148 IVG262147:IVG262148 JFC262147:JFC262148 JOY262147:JOY262148 JYU262147:JYU262148 KIQ262147:KIQ262148 KSM262147:KSM262148 LCI262147:LCI262148 LME262147:LME262148 LWA262147:LWA262148 MFW262147:MFW262148 MPS262147:MPS262148 MZO262147:MZO262148 NJK262147:NJK262148 NTG262147:NTG262148 ODC262147:ODC262148 OMY262147:OMY262148 OWU262147:OWU262148 PGQ262147:PGQ262148 PQM262147:PQM262148 QAI262147:QAI262148 QKE262147:QKE262148 QUA262147:QUA262148 RDW262147:RDW262148 RNS262147:RNS262148 RXO262147:RXO262148 SHK262147:SHK262148 SRG262147:SRG262148 TBC262147:TBC262148 TKY262147:TKY262148 TUU262147:TUU262148 UEQ262147:UEQ262148 UOM262147:UOM262148 UYI262147:UYI262148 VIE262147:VIE262148 VSA262147:VSA262148 WBW262147:WBW262148 WLS262147:WLS262148 WVO262147:WVO262148 N327683:N327684 JC327683:JC327684 SY327683:SY327684 ACU327683:ACU327684 AMQ327683:AMQ327684 AWM327683:AWM327684 BGI327683:BGI327684 BQE327683:BQE327684 CAA327683:CAA327684 CJW327683:CJW327684 CTS327683:CTS327684 DDO327683:DDO327684 DNK327683:DNK327684 DXG327683:DXG327684 EHC327683:EHC327684 EQY327683:EQY327684 FAU327683:FAU327684 FKQ327683:FKQ327684 FUM327683:FUM327684 GEI327683:GEI327684 GOE327683:GOE327684 GYA327683:GYA327684 HHW327683:HHW327684 HRS327683:HRS327684 IBO327683:IBO327684 ILK327683:ILK327684 IVG327683:IVG327684 JFC327683:JFC327684 JOY327683:JOY327684 JYU327683:JYU327684 KIQ327683:KIQ327684 KSM327683:KSM327684 LCI327683:LCI327684 LME327683:LME327684 LWA327683:LWA327684 MFW327683:MFW327684 MPS327683:MPS327684 MZO327683:MZO327684 NJK327683:NJK327684 NTG327683:NTG327684 ODC327683:ODC327684 OMY327683:OMY327684 OWU327683:OWU327684 PGQ327683:PGQ327684 PQM327683:PQM327684 QAI327683:QAI327684 QKE327683:QKE327684 QUA327683:QUA327684 RDW327683:RDW327684 RNS327683:RNS327684 RXO327683:RXO327684 SHK327683:SHK327684 SRG327683:SRG327684 TBC327683:TBC327684 TKY327683:TKY327684 TUU327683:TUU327684 UEQ327683:UEQ327684 UOM327683:UOM327684 UYI327683:UYI327684 VIE327683:VIE327684 VSA327683:VSA327684 WBW327683:WBW327684 WLS327683:WLS327684 WVO327683:WVO327684 N393219:N393220 JC393219:JC393220 SY393219:SY393220 ACU393219:ACU393220 AMQ393219:AMQ393220 AWM393219:AWM393220 BGI393219:BGI393220 BQE393219:BQE393220 CAA393219:CAA393220 CJW393219:CJW393220 CTS393219:CTS393220 DDO393219:DDO393220 DNK393219:DNK393220 DXG393219:DXG393220 EHC393219:EHC393220 EQY393219:EQY393220 FAU393219:FAU393220 FKQ393219:FKQ393220 FUM393219:FUM393220 GEI393219:GEI393220 GOE393219:GOE393220 GYA393219:GYA393220 HHW393219:HHW393220 HRS393219:HRS393220 IBO393219:IBO393220 ILK393219:ILK393220 IVG393219:IVG393220 JFC393219:JFC393220 JOY393219:JOY393220 JYU393219:JYU393220 KIQ393219:KIQ393220 KSM393219:KSM393220 LCI393219:LCI393220 LME393219:LME393220 LWA393219:LWA393220 MFW393219:MFW393220 MPS393219:MPS393220 MZO393219:MZO393220 NJK393219:NJK393220 NTG393219:NTG393220 ODC393219:ODC393220 OMY393219:OMY393220 OWU393219:OWU393220 PGQ393219:PGQ393220 PQM393219:PQM393220 QAI393219:QAI393220 QKE393219:QKE393220 QUA393219:QUA393220 RDW393219:RDW393220 RNS393219:RNS393220 RXO393219:RXO393220 SHK393219:SHK393220 SRG393219:SRG393220 TBC393219:TBC393220 TKY393219:TKY393220 TUU393219:TUU393220 UEQ393219:UEQ393220 UOM393219:UOM393220 UYI393219:UYI393220 VIE393219:VIE393220 VSA393219:VSA393220 WBW393219:WBW393220 WLS393219:WLS393220 WVO393219:WVO393220 N458755:N458756 JC458755:JC458756 SY458755:SY458756 ACU458755:ACU458756 AMQ458755:AMQ458756 AWM458755:AWM458756 BGI458755:BGI458756 BQE458755:BQE458756 CAA458755:CAA458756 CJW458755:CJW458756 CTS458755:CTS458756 DDO458755:DDO458756 DNK458755:DNK458756 DXG458755:DXG458756 EHC458755:EHC458756 EQY458755:EQY458756 FAU458755:FAU458756 FKQ458755:FKQ458756 FUM458755:FUM458756 GEI458755:GEI458756 GOE458755:GOE458756 GYA458755:GYA458756 HHW458755:HHW458756 HRS458755:HRS458756 IBO458755:IBO458756 ILK458755:ILK458756 IVG458755:IVG458756 JFC458755:JFC458756 JOY458755:JOY458756 JYU458755:JYU458756 KIQ458755:KIQ458756 KSM458755:KSM458756 LCI458755:LCI458756 LME458755:LME458756 LWA458755:LWA458756 MFW458755:MFW458756 MPS458755:MPS458756 MZO458755:MZO458756 NJK458755:NJK458756 NTG458755:NTG458756 ODC458755:ODC458756 OMY458755:OMY458756 OWU458755:OWU458756 PGQ458755:PGQ458756 PQM458755:PQM458756 QAI458755:QAI458756 QKE458755:QKE458756 QUA458755:QUA458756 RDW458755:RDW458756 RNS458755:RNS458756 RXO458755:RXO458756 SHK458755:SHK458756 SRG458755:SRG458756 TBC458755:TBC458756 TKY458755:TKY458756 TUU458755:TUU458756 UEQ458755:UEQ458756 UOM458755:UOM458756 UYI458755:UYI458756 VIE458755:VIE458756 VSA458755:VSA458756 WBW458755:WBW458756 WLS458755:WLS458756 WVO458755:WVO458756 N524291:N524292 JC524291:JC524292 SY524291:SY524292 ACU524291:ACU524292 AMQ524291:AMQ524292 AWM524291:AWM524292 BGI524291:BGI524292 BQE524291:BQE524292 CAA524291:CAA524292 CJW524291:CJW524292 CTS524291:CTS524292 DDO524291:DDO524292 DNK524291:DNK524292 DXG524291:DXG524292 EHC524291:EHC524292 EQY524291:EQY524292 FAU524291:FAU524292 FKQ524291:FKQ524292 FUM524291:FUM524292 GEI524291:GEI524292 GOE524291:GOE524292 GYA524291:GYA524292 HHW524291:HHW524292 HRS524291:HRS524292 IBO524291:IBO524292 ILK524291:ILK524292 IVG524291:IVG524292 JFC524291:JFC524292 JOY524291:JOY524292 JYU524291:JYU524292 KIQ524291:KIQ524292 KSM524291:KSM524292 LCI524291:LCI524292 LME524291:LME524292 LWA524291:LWA524292 MFW524291:MFW524292 MPS524291:MPS524292 MZO524291:MZO524292 NJK524291:NJK524292 NTG524291:NTG524292 ODC524291:ODC524292 OMY524291:OMY524292 OWU524291:OWU524292 PGQ524291:PGQ524292 PQM524291:PQM524292 QAI524291:QAI524292 QKE524291:QKE524292 QUA524291:QUA524292 RDW524291:RDW524292 RNS524291:RNS524292 RXO524291:RXO524292 SHK524291:SHK524292 SRG524291:SRG524292 TBC524291:TBC524292 TKY524291:TKY524292 TUU524291:TUU524292 UEQ524291:UEQ524292 UOM524291:UOM524292 UYI524291:UYI524292 VIE524291:VIE524292 VSA524291:VSA524292 WBW524291:WBW524292 WLS524291:WLS524292 WVO524291:WVO524292 N589827:N589828 JC589827:JC589828 SY589827:SY589828 ACU589827:ACU589828 AMQ589827:AMQ589828 AWM589827:AWM589828 BGI589827:BGI589828 BQE589827:BQE589828 CAA589827:CAA589828 CJW589827:CJW589828 CTS589827:CTS589828 DDO589827:DDO589828 DNK589827:DNK589828 DXG589827:DXG589828 EHC589827:EHC589828 EQY589827:EQY589828 FAU589827:FAU589828 FKQ589827:FKQ589828 FUM589827:FUM589828 GEI589827:GEI589828 GOE589827:GOE589828 GYA589827:GYA589828 HHW589827:HHW589828 HRS589827:HRS589828 IBO589827:IBO589828 ILK589827:ILK589828 IVG589827:IVG589828 JFC589827:JFC589828 JOY589827:JOY589828 JYU589827:JYU589828 KIQ589827:KIQ589828 KSM589827:KSM589828 LCI589827:LCI589828 LME589827:LME589828 LWA589827:LWA589828 MFW589827:MFW589828 MPS589827:MPS589828 MZO589827:MZO589828 NJK589827:NJK589828 NTG589827:NTG589828 ODC589827:ODC589828 OMY589827:OMY589828 OWU589827:OWU589828 PGQ589827:PGQ589828 PQM589827:PQM589828 QAI589827:QAI589828 QKE589827:QKE589828 QUA589827:QUA589828 RDW589827:RDW589828 RNS589827:RNS589828 RXO589827:RXO589828 SHK589827:SHK589828 SRG589827:SRG589828 TBC589827:TBC589828 TKY589827:TKY589828 TUU589827:TUU589828 UEQ589827:UEQ589828 UOM589827:UOM589828 UYI589827:UYI589828 VIE589827:VIE589828 VSA589827:VSA589828 WBW589827:WBW589828 WLS589827:WLS589828 WVO589827:WVO589828 N655363:N655364 JC655363:JC655364 SY655363:SY655364 ACU655363:ACU655364 AMQ655363:AMQ655364 AWM655363:AWM655364 BGI655363:BGI655364 BQE655363:BQE655364 CAA655363:CAA655364 CJW655363:CJW655364 CTS655363:CTS655364 DDO655363:DDO655364 DNK655363:DNK655364 DXG655363:DXG655364 EHC655363:EHC655364 EQY655363:EQY655364 FAU655363:FAU655364 FKQ655363:FKQ655364 FUM655363:FUM655364 GEI655363:GEI655364 GOE655363:GOE655364 GYA655363:GYA655364 HHW655363:HHW655364 HRS655363:HRS655364 IBO655363:IBO655364 ILK655363:ILK655364 IVG655363:IVG655364 JFC655363:JFC655364 JOY655363:JOY655364 JYU655363:JYU655364 KIQ655363:KIQ655364 KSM655363:KSM655364 LCI655363:LCI655364 LME655363:LME655364 LWA655363:LWA655364 MFW655363:MFW655364 MPS655363:MPS655364 MZO655363:MZO655364 NJK655363:NJK655364 NTG655363:NTG655364 ODC655363:ODC655364 OMY655363:OMY655364 OWU655363:OWU655364 PGQ655363:PGQ655364 PQM655363:PQM655364 QAI655363:QAI655364 QKE655363:QKE655364 QUA655363:QUA655364 RDW655363:RDW655364 RNS655363:RNS655364 RXO655363:RXO655364 SHK655363:SHK655364 SRG655363:SRG655364 TBC655363:TBC655364 TKY655363:TKY655364 TUU655363:TUU655364 UEQ655363:UEQ655364 UOM655363:UOM655364 UYI655363:UYI655364 VIE655363:VIE655364 VSA655363:VSA655364 WBW655363:WBW655364 WLS655363:WLS655364 WVO655363:WVO655364 N720899:N720900 JC720899:JC720900 SY720899:SY720900 ACU720899:ACU720900 AMQ720899:AMQ720900 AWM720899:AWM720900 BGI720899:BGI720900 BQE720899:BQE720900 CAA720899:CAA720900 CJW720899:CJW720900 CTS720899:CTS720900 DDO720899:DDO720900 DNK720899:DNK720900 DXG720899:DXG720900 EHC720899:EHC720900 EQY720899:EQY720900 FAU720899:FAU720900 FKQ720899:FKQ720900 FUM720899:FUM720900 GEI720899:GEI720900 GOE720899:GOE720900 GYA720899:GYA720900 HHW720899:HHW720900 HRS720899:HRS720900 IBO720899:IBO720900 ILK720899:ILK720900 IVG720899:IVG720900 JFC720899:JFC720900 JOY720899:JOY720900 JYU720899:JYU720900 KIQ720899:KIQ720900 KSM720899:KSM720900 LCI720899:LCI720900 LME720899:LME720900 LWA720899:LWA720900 MFW720899:MFW720900 MPS720899:MPS720900 MZO720899:MZO720900 NJK720899:NJK720900 NTG720899:NTG720900 ODC720899:ODC720900 OMY720899:OMY720900 OWU720899:OWU720900 PGQ720899:PGQ720900 PQM720899:PQM720900 QAI720899:QAI720900 QKE720899:QKE720900 QUA720899:QUA720900 RDW720899:RDW720900 RNS720899:RNS720900 RXO720899:RXO720900 SHK720899:SHK720900 SRG720899:SRG720900 TBC720899:TBC720900 TKY720899:TKY720900 TUU720899:TUU720900 UEQ720899:UEQ720900 UOM720899:UOM720900 UYI720899:UYI720900 VIE720899:VIE720900 VSA720899:VSA720900 WBW720899:WBW720900 WLS720899:WLS720900 WVO720899:WVO720900 N786435:N786436 JC786435:JC786436 SY786435:SY786436 ACU786435:ACU786436 AMQ786435:AMQ786436 AWM786435:AWM786436 BGI786435:BGI786436 BQE786435:BQE786436 CAA786435:CAA786436 CJW786435:CJW786436 CTS786435:CTS786436 DDO786435:DDO786436 DNK786435:DNK786436 DXG786435:DXG786436 EHC786435:EHC786436 EQY786435:EQY786436 FAU786435:FAU786436 FKQ786435:FKQ786436 FUM786435:FUM786436 GEI786435:GEI786436 GOE786435:GOE786436 GYA786435:GYA786436 HHW786435:HHW786436 HRS786435:HRS786436 IBO786435:IBO786436 ILK786435:ILK786436 IVG786435:IVG786436 JFC786435:JFC786436 JOY786435:JOY786436 JYU786435:JYU786436 KIQ786435:KIQ786436 KSM786435:KSM786436 LCI786435:LCI786436 LME786435:LME786436 LWA786435:LWA786436 MFW786435:MFW786436 MPS786435:MPS786436 MZO786435:MZO786436 NJK786435:NJK786436 NTG786435:NTG786436 ODC786435:ODC786436 OMY786435:OMY786436 OWU786435:OWU786436 PGQ786435:PGQ786436 PQM786435:PQM786436 QAI786435:QAI786436 QKE786435:QKE786436 QUA786435:QUA786436 RDW786435:RDW786436 RNS786435:RNS786436 RXO786435:RXO786436 SHK786435:SHK786436 SRG786435:SRG786436 TBC786435:TBC786436 TKY786435:TKY786436 TUU786435:TUU786436 UEQ786435:UEQ786436 UOM786435:UOM786436 UYI786435:UYI786436 VIE786435:VIE786436 VSA786435:VSA786436 WBW786435:WBW786436 WLS786435:WLS786436 WVO786435:WVO786436 N851971:N851972 JC851971:JC851972 SY851971:SY851972 ACU851971:ACU851972 AMQ851971:AMQ851972 AWM851971:AWM851972 BGI851971:BGI851972 BQE851971:BQE851972 CAA851971:CAA851972 CJW851971:CJW851972 CTS851971:CTS851972 DDO851971:DDO851972 DNK851971:DNK851972 DXG851971:DXG851972 EHC851971:EHC851972 EQY851971:EQY851972 FAU851971:FAU851972 FKQ851971:FKQ851972 FUM851971:FUM851972 GEI851971:GEI851972 GOE851971:GOE851972 GYA851971:GYA851972 HHW851971:HHW851972 HRS851971:HRS851972 IBO851971:IBO851972 ILK851971:ILK851972 IVG851971:IVG851972 JFC851971:JFC851972 JOY851971:JOY851972 JYU851971:JYU851972 KIQ851971:KIQ851972 KSM851971:KSM851972 LCI851971:LCI851972 LME851971:LME851972 LWA851971:LWA851972 MFW851971:MFW851972 MPS851971:MPS851972 MZO851971:MZO851972 NJK851971:NJK851972 NTG851971:NTG851972 ODC851971:ODC851972 OMY851971:OMY851972 OWU851971:OWU851972 PGQ851971:PGQ851972 PQM851971:PQM851972 QAI851971:QAI851972 QKE851971:QKE851972 QUA851971:QUA851972 RDW851971:RDW851972 RNS851971:RNS851972 RXO851971:RXO851972 SHK851971:SHK851972 SRG851971:SRG851972 TBC851971:TBC851972 TKY851971:TKY851972 TUU851971:TUU851972 UEQ851971:UEQ851972 UOM851971:UOM851972 UYI851971:UYI851972 VIE851971:VIE851972 VSA851971:VSA851972 WBW851971:WBW851972 WLS851971:WLS851972 WVO851971:WVO851972 N917507:N917508 JC917507:JC917508 SY917507:SY917508 ACU917507:ACU917508 AMQ917507:AMQ917508 AWM917507:AWM917508 BGI917507:BGI917508 BQE917507:BQE917508 CAA917507:CAA917508 CJW917507:CJW917508 CTS917507:CTS917508 DDO917507:DDO917508 DNK917507:DNK917508 DXG917507:DXG917508 EHC917507:EHC917508 EQY917507:EQY917508 FAU917507:FAU917508 FKQ917507:FKQ917508 FUM917507:FUM917508 GEI917507:GEI917508 GOE917507:GOE917508 GYA917507:GYA917508 HHW917507:HHW917508 HRS917507:HRS917508 IBO917507:IBO917508 ILK917507:ILK917508 IVG917507:IVG917508 JFC917507:JFC917508 JOY917507:JOY917508 JYU917507:JYU917508 KIQ917507:KIQ917508 KSM917507:KSM917508 LCI917507:LCI917508 LME917507:LME917508 LWA917507:LWA917508 MFW917507:MFW917508 MPS917507:MPS917508 MZO917507:MZO917508 NJK917507:NJK917508 NTG917507:NTG917508 ODC917507:ODC917508 OMY917507:OMY917508 OWU917507:OWU917508 PGQ917507:PGQ917508 PQM917507:PQM917508 QAI917507:QAI917508 QKE917507:QKE917508 QUA917507:QUA917508 RDW917507:RDW917508 RNS917507:RNS917508 RXO917507:RXO917508 SHK917507:SHK917508 SRG917507:SRG917508 TBC917507:TBC917508 TKY917507:TKY917508 TUU917507:TUU917508 UEQ917507:UEQ917508 UOM917507:UOM917508 UYI917507:UYI917508 VIE917507:VIE917508 VSA917507:VSA917508 WBW917507:WBW917508 WLS917507:WLS917508 WVO917507:WVO917508 N983043:N983044 JC983043:JC983044 SY983043:SY983044 ACU983043:ACU983044 AMQ983043:AMQ983044 AWM983043:AWM983044 BGI983043:BGI983044 BQE983043:BQE983044 CAA983043:CAA983044 CJW983043:CJW983044 CTS983043:CTS983044 DDO983043:DDO983044 DNK983043:DNK983044 DXG983043:DXG983044 EHC983043:EHC983044 EQY983043:EQY983044 FAU983043:FAU983044 FKQ983043:FKQ983044 FUM983043:FUM983044 GEI983043:GEI983044 GOE983043:GOE983044 GYA983043:GYA983044 HHW983043:HHW983044 HRS983043:HRS983044 IBO983043:IBO983044 ILK983043:ILK983044 IVG983043:IVG983044 JFC983043:JFC983044 JOY983043:JOY983044 JYU983043:JYU983044 KIQ983043:KIQ983044 KSM983043:KSM983044 LCI983043:LCI983044 LME983043:LME983044 LWA983043:LWA983044 MFW983043:MFW983044 MPS983043:MPS983044 MZO983043:MZO983044 NJK983043:NJK983044 NTG983043:NTG983044 ODC983043:ODC983044 OMY983043:OMY983044 OWU983043:OWU983044 PGQ983043:PGQ983044 PQM983043:PQM983044 QAI983043:QAI983044 QKE983043:QKE983044 QUA983043:QUA983044 RDW983043:RDW983044 RNS983043:RNS983044 RXO983043:RXO983044 SHK983043:SHK983044 SRG983043:SRG983044 TBC983043:TBC983044 TKY983043:TKY983044 TUU983043:TUU983044 UEQ983043:UEQ983044 UOM983043:UOM983044 UYI983043:UYI983044 VIE983043:VIE983044 VSA983043:VSA983044 WBW983043:WBW983044 WLS983043:WLS983044 WVO983043:WVO983044" xr:uid="{AC5EE95A-C0A5-42CD-B508-1E3595BBDA31}">
      <formula1>"-3,-2,-1,0,1,2,3,4"</formula1>
    </dataValidation>
    <dataValidation type="list" allowBlank="1" showInputMessage="1" promptTitle="Select" prompt="from drop-down list" sqref="AJ4" xr:uid="{DFE5E0EC-8EC6-4B74-B9A9-0413E6FA67FD}">
      <formula1>"-3,-2,-1,0,1,2,3,4"</formula1>
    </dataValidation>
    <dataValidation type="list" allowBlank="1" showInputMessage="1" showErrorMessage="1" promptTitle="Select " prompt="from drop-down list" sqref="AJ3" xr:uid="{55920D9C-9590-4B44-9982-5E4C064F9EE4}">
      <formula1>"-3,-2,-1,0,1,2,3,4"</formula1>
    </dataValidation>
    <dataValidation type="list" allowBlank="1" showInputMessage="1" showErrorMessage="1" sqref="AJ9:AJ11" xr:uid="{108CB36A-1641-4C52-A9B3-7CF33B234BBB}">
      <formula1>"-2,-1,0,1,2"</formula1>
    </dataValidation>
  </dataValidations>
  <pageMargins left="0.78749999999999998" right="0.78749999999999998" top="1.0527777777777778" bottom="1.0527777777777778" header="0.78749999999999998" footer="0.78749999999999998"/>
  <pageSetup orientation="portrait" useFirstPageNumber="1" horizontalDpi="300" verticalDpi="300" r:id="rId1"/>
  <headerFooter alignWithMargins="0">
    <oddHeader>&amp;C&amp;"Times New Roman,Regular"&amp;12&amp;A</oddHeader>
    <oddFooter>&amp;C&amp;"Times New Roman,Regular"&amp;12Page &amp;P</oddFooter>
  </headerFooter>
  <legacyDrawing r:id="rId2"/>
  <tableParts count="2">
    <tablePart r:id="rId3"/>
    <tablePart r:id="rId4"/>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F7F89-BE0E-49A2-A6DD-89A457BFB87F}">
  <sheetPr codeName="Аркуш29"/>
  <dimension ref="A1:CL49"/>
  <sheetViews>
    <sheetView topLeftCell="Z1" zoomScaleNormal="100" workbookViewId="0">
      <selection activeCell="Z22" sqref="A22:XFD22"/>
    </sheetView>
  </sheetViews>
  <sheetFormatPr defaultColWidth="1.88671875" defaultRowHeight="13.5" customHeight="1"/>
  <cols>
    <col min="1" max="1" width="2" style="74" customWidth="1"/>
    <col min="2" max="2" width="1.88671875" style="74"/>
    <col min="3" max="3" width="2.109375" style="74" customWidth="1"/>
    <col min="4" max="4" width="1.77734375" style="74" customWidth="1"/>
    <col min="5" max="6" width="2.109375" style="74" customWidth="1"/>
    <col min="7" max="8" width="2" style="74" customWidth="1"/>
    <col min="9" max="9" width="1.77734375" style="74" customWidth="1"/>
    <col min="10" max="10" width="2.109375" style="74" customWidth="1"/>
    <col min="11" max="11" width="1.88671875" style="74"/>
    <col min="12" max="12" width="2.109375" style="74" customWidth="1"/>
    <col min="13" max="14" width="2" style="74" customWidth="1"/>
    <col min="15" max="15" width="1.88671875" style="74"/>
    <col min="16" max="16" width="2.109375" style="74" customWidth="1"/>
    <col min="17" max="17" width="1.88671875" style="74"/>
    <col min="18" max="18" width="2.109375" style="74" customWidth="1"/>
    <col min="19" max="19" width="1.77734375" style="74" customWidth="1"/>
    <col min="20" max="20" width="2.109375" style="74" customWidth="1"/>
    <col min="21" max="21" width="1.88671875" style="74"/>
    <col min="22" max="22" width="2" style="74" customWidth="1"/>
    <col min="23" max="23" width="2.109375" style="74" customWidth="1"/>
    <col min="24" max="24" width="1.88671875" style="74"/>
    <col min="25" max="26" width="2.109375" style="74" customWidth="1"/>
    <col min="27" max="29" width="1.88671875" style="74"/>
    <col min="30" max="30" width="2.109375" style="74" customWidth="1"/>
    <col min="31" max="31" width="1.77734375" style="74" customWidth="1"/>
    <col min="32" max="32" width="2.21875" style="74" customWidth="1"/>
    <col min="33" max="33" width="2" style="74" customWidth="1"/>
    <col min="34" max="34" width="1.88671875" style="74"/>
    <col min="35" max="35" width="2.109375" style="74" customWidth="1"/>
    <col min="36" max="37" width="1.88671875" style="74"/>
    <col min="38" max="38" width="2.109375" style="74" customWidth="1"/>
    <col min="39" max="39" width="1.88671875" style="74"/>
    <col min="40" max="40" width="2.109375" style="74" customWidth="1"/>
    <col min="41" max="41" width="1.88671875" style="74"/>
    <col min="42" max="44" width="2" style="74" customWidth="1"/>
    <col min="45" max="45" width="1.88671875" style="74"/>
    <col min="46" max="46" width="2.109375" style="74" customWidth="1"/>
    <col min="47" max="47" width="1.88671875" style="74"/>
    <col min="48" max="48" width="2" style="74" customWidth="1"/>
    <col min="49" max="49" width="2.109375" style="74" customWidth="1"/>
    <col min="50" max="50" width="1.88671875" style="74"/>
    <col min="51" max="51" width="2.109375" style="74" customWidth="1"/>
    <col min="52" max="52" width="2" style="74" customWidth="1"/>
    <col min="53" max="54" width="1.88671875" style="74"/>
    <col min="55" max="55" width="2.109375" style="74" customWidth="1"/>
    <col min="56" max="56" width="1.88671875" style="74"/>
    <col min="57" max="57" width="2.109375" style="74" customWidth="1"/>
    <col min="58" max="58" width="1.88671875" style="74"/>
    <col min="59" max="62" width="2" style="74" customWidth="1"/>
    <col min="63" max="63" width="2.109375" style="74" customWidth="1"/>
    <col min="64" max="64" width="2" style="74" customWidth="1"/>
    <col min="65" max="65" width="1.88671875" style="74"/>
    <col min="66" max="67" width="2" style="74" customWidth="1"/>
    <col min="68" max="68" width="1.88671875" style="74"/>
    <col min="69" max="69" width="2" style="74" customWidth="1"/>
    <col min="70" max="70" width="1.88671875" style="74"/>
    <col min="71" max="71" width="2" style="74" customWidth="1"/>
    <col min="72" max="73" width="2.109375" style="74" customWidth="1"/>
    <col min="74" max="89" width="1.88671875" style="74"/>
    <col min="90" max="90" width="3" style="74" customWidth="1"/>
    <col min="91" max="16384" width="1.88671875" style="74"/>
  </cols>
  <sheetData>
    <row r="1" spans="1:90" ht="14.25" customHeight="1">
      <c r="A1" s="76"/>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c r="BM1" s="76"/>
      <c r="BN1" s="76"/>
      <c r="BO1" s="76"/>
      <c r="BP1" s="76"/>
      <c r="BQ1" s="76"/>
      <c r="BR1" s="76"/>
      <c r="BS1" s="76"/>
      <c r="BT1" s="76"/>
      <c r="BU1" s="76"/>
      <c r="BV1" s="75"/>
      <c r="BW1" s="75"/>
      <c r="BX1" s="75"/>
      <c r="BY1" s="75"/>
      <c r="BZ1" s="75"/>
      <c r="CA1" s="75"/>
      <c r="CB1" s="75"/>
      <c r="CC1" s="75"/>
      <c r="CD1" s="75"/>
      <c r="CE1" s="75"/>
      <c r="CF1" s="75"/>
      <c r="CG1" s="75"/>
      <c r="CH1" s="75"/>
      <c r="CI1" s="75"/>
      <c r="CJ1" s="75"/>
      <c r="CK1" s="75"/>
      <c r="CL1" s="75"/>
    </row>
    <row r="2" spans="1:90" ht="13.5" customHeight="1">
      <c r="A2" s="76"/>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76"/>
      <c r="BR2" s="76"/>
      <c r="BS2" s="76"/>
      <c r="BT2" s="76"/>
      <c r="BU2" s="76"/>
      <c r="BV2" s="75"/>
      <c r="BW2" s="75"/>
      <c r="BX2" s="75"/>
      <c r="BY2" s="75"/>
      <c r="BZ2" s="75"/>
      <c r="CA2" s="75"/>
      <c r="CB2" s="75"/>
      <c r="CC2" s="75"/>
      <c r="CD2" s="75"/>
      <c r="CE2" s="75"/>
      <c r="CF2" s="75"/>
      <c r="CG2" s="75"/>
      <c r="CH2" s="75"/>
      <c r="CI2" s="75"/>
      <c r="CJ2" s="75"/>
      <c r="CK2" s="75"/>
      <c r="CL2" s="75"/>
    </row>
    <row r="3" spans="1:90" ht="12.75" customHeight="1">
      <c r="A3" s="76"/>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6"/>
      <c r="BK3" s="76"/>
      <c r="BL3" s="76"/>
      <c r="BM3" s="76"/>
      <c r="BN3" s="76"/>
      <c r="BO3" s="76"/>
      <c r="BP3" s="76"/>
      <c r="BQ3" s="76"/>
      <c r="BR3" s="76"/>
      <c r="BS3" s="76"/>
      <c r="BT3" s="76"/>
      <c r="BU3" s="76"/>
      <c r="BV3" s="75"/>
      <c r="BW3" s="75"/>
      <c r="BX3" s="75"/>
      <c r="BY3" s="75"/>
      <c r="BZ3" s="75"/>
      <c r="CA3" s="75"/>
      <c r="CB3" s="75"/>
      <c r="CC3" s="75"/>
      <c r="CD3" s="75"/>
      <c r="CE3" s="75"/>
      <c r="CF3" s="75"/>
      <c r="CG3" s="75"/>
      <c r="CH3" s="75"/>
      <c r="CI3" s="75"/>
      <c r="CJ3" s="75"/>
      <c r="CK3" s="75"/>
      <c r="CL3" s="75"/>
    </row>
    <row r="4" spans="1:90" ht="13.5" customHeight="1">
      <c r="A4" s="76"/>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5"/>
      <c r="BW4" s="75"/>
      <c r="BX4" s="75"/>
      <c r="BY4" s="75"/>
      <c r="BZ4" s="75"/>
      <c r="CA4" s="75"/>
      <c r="CB4" s="75"/>
      <c r="CC4" s="75"/>
      <c r="CD4" s="75"/>
      <c r="CE4" s="75"/>
      <c r="CF4" s="75"/>
      <c r="CG4" s="75"/>
      <c r="CH4" s="75"/>
      <c r="CI4" s="75"/>
      <c r="CJ4" s="75"/>
      <c r="CK4" s="75"/>
      <c r="CL4" s="75"/>
    </row>
    <row r="5" spans="1:90" ht="13.5" customHeight="1">
      <c r="A5" s="76"/>
      <c r="B5" s="76"/>
      <c r="C5" s="76"/>
      <c r="D5" s="76"/>
      <c r="E5" s="76"/>
      <c r="F5" s="76"/>
      <c r="G5" s="76"/>
      <c r="H5" s="76"/>
      <c r="I5" s="76"/>
      <c r="J5" s="76"/>
      <c r="K5" s="76"/>
      <c r="L5" s="76"/>
      <c r="M5" s="76"/>
      <c r="N5" s="76"/>
      <c r="O5" s="76"/>
      <c r="P5" s="76"/>
      <c r="Q5" s="76"/>
      <c r="R5" s="76"/>
      <c r="S5" s="76"/>
      <c r="T5" s="76"/>
      <c r="U5" s="76"/>
      <c r="V5" s="76"/>
      <c r="W5" s="76"/>
      <c r="X5" s="76"/>
      <c r="Y5" s="76"/>
      <c r="Z5" s="76"/>
      <c r="AA5" s="76"/>
      <c r="AB5" s="76"/>
      <c r="AC5" s="76"/>
      <c r="AD5" s="76"/>
      <c r="AE5" s="76"/>
      <c r="AF5" s="76"/>
      <c r="AG5" s="76">
        <v>37</v>
      </c>
      <c r="AH5" s="76"/>
      <c r="AI5" s="76"/>
      <c r="AJ5" s="76"/>
      <c r="AK5" s="76"/>
      <c r="AL5" s="76"/>
      <c r="AM5" s="84"/>
      <c r="AN5" s="84"/>
      <c r="AO5" s="84"/>
      <c r="AP5" s="84">
        <v>38</v>
      </c>
      <c r="AQ5" s="76"/>
      <c r="AR5" s="76"/>
      <c r="AS5" s="76"/>
      <c r="AT5" s="76"/>
      <c r="AU5" s="76"/>
      <c r="AV5" s="76"/>
      <c r="AW5" s="76"/>
      <c r="AX5" s="76" t="s">
        <v>2060</v>
      </c>
      <c r="AY5" s="76"/>
      <c r="AZ5" s="76"/>
      <c r="BA5" s="76">
        <v>12</v>
      </c>
      <c r="BB5" s="76"/>
      <c r="BC5" s="76"/>
      <c r="BD5" s="76"/>
      <c r="BE5" s="76"/>
      <c r="BF5" s="76"/>
      <c r="BG5" s="76"/>
      <c r="BH5" s="76"/>
      <c r="BI5" s="76"/>
      <c r="BJ5" s="76"/>
      <c r="BK5" s="76"/>
      <c r="BL5" s="76">
        <v>11</v>
      </c>
      <c r="BM5" s="76"/>
      <c r="BN5" s="76"/>
      <c r="BO5" s="76"/>
      <c r="BP5" s="76"/>
      <c r="BQ5" s="76"/>
      <c r="BR5" s="76"/>
      <c r="BS5" s="76"/>
      <c r="BT5" s="76"/>
      <c r="BU5" s="76"/>
      <c r="BV5" s="75"/>
      <c r="BW5" s="75"/>
      <c r="BX5" s="75"/>
      <c r="BY5" s="75"/>
      <c r="BZ5" s="75"/>
      <c r="CA5" s="75"/>
      <c r="CB5" s="75"/>
      <c r="CC5" s="75"/>
      <c r="CD5" s="75"/>
      <c r="CE5" s="75"/>
      <c r="CF5" s="75"/>
      <c r="CG5" s="75"/>
      <c r="CH5" s="75"/>
      <c r="CI5" s="75"/>
      <c r="CJ5" s="75"/>
      <c r="CK5" s="75"/>
      <c r="CL5" s="75"/>
    </row>
    <row r="6" spans="1:90" ht="13.5" customHeight="1">
      <c r="A6" s="76"/>
      <c r="B6" s="76"/>
      <c r="C6" s="76"/>
      <c r="D6" s="76"/>
      <c r="E6" s="76"/>
      <c r="F6" s="76"/>
      <c r="G6" s="76"/>
      <c r="H6" s="76"/>
      <c r="I6" s="76">
        <v>58</v>
      </c>
      <c r="J6" s="76"/>
      <c r="K6" s="76"/>
      <c r="L6" s="76"/>
      <c r="M6" s="76"/>
      <c r="N6" s="76"/>
      <c r="O6" s="76"/>
      <c r="P6" s="76"/>
      <c r="Q6" s="76"/>
      <c r="R6" s="76"/>
      <c r="S6" s="76">
        <v>44</v>
      </c>
      <c r="T6" s="76"/>
      <c r="U6" s="76"/>
      <c r="V6" s="76"/>
      <c r="W6" s="76"/>
      <c r="X6" s="76"/>
      <c r="Y6" s="76"/>
      <c r="Z6" s="76"/>
      <c r="AA6" s="76">
        <v>36</v>
      </c>
      <c r="AB6" s="76"/>
      <c r="AC6" s="76"/>
      <c r="AD6" s="76"/>
      <c r="AE6" s="76"/>
      <c r="AF6" s="76"/>
      <c r="AG6" s="76"/>
      <c r="AH6" s="76"/>
      <c r="AI6" s="76"/>
      <c r="AJ6" s="76"/>
      <c r="AK6" s="76"/>
      <c r="AL6" s="76"/>
      <c r="AM6" s="76"/>
      <c r="AN6" s="76"/>
      <c r="AO6" s="76"/>
      <c r="AP6" s="76"/>
      <c r="AQ6" s="76"/>
      <c r="AR6" s="76"/>
      <c r="AS6" s="76" t="s">
        <v>2059</v>
      </c>
      <c r="AT6" s="76"/>
      <c r="AU6" s="76"/>
      <c r="AV6" s="76">
        <v>16</v>
      </c>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5"/>
      <c r="BW6" s="75"/>
      <c r="BX6" s="75"/>
      <c r="BY6" s="75"/>
      <c r="BZ6" s="75"/>
      <c r="CA6" s="75"/>
      <c r="CB6" s="75"/>
      <c r="CC6" s="75"/>
      <c r="CD6" s="75"/>
      <c r="CE6" s="75"/>
      <c r="CF6" s="75"/>
      <c r="CG6" s="75"/>
      <c r="CH6" s="75"/>
      <c r="CI6" s="75"/>
      <c r="CJ6" s="75"/>
      <c r="CK6" s="75"/>
      <c r="CL6" s="75"/>
    </row>
    <row r="7" spans="1:90" ht="13.5" customHeight="1">
      <c r="A7" s="76"/>
      <c r="B7" s="76"/>
      <c r="C7" s="76"/>
      <c r="D7" s="76"/>
      <c r="E7" s="76"/>
      <c r="F7" s="76"/>
      <c r="G7" s="76"/>
      <c r="H7" s="76"/>
      <c r="I7" s="76"/>
      <c r="J7" s="76"/>
      <c r="K7" s="76"/>
      <c r="L7" s="76"/>
      <c r="M7" s="76">
        <v>57</v>
      </c>
      <c r="N7" s="76"/>
      <c r="O7" s="76"/>
      <c r="P7" s="76"/>
      <c r="Q7" s="76"/>
      <c r="R7" s="76"/>
      <c r="S7" s="76"/>
      <c r="T7" s="76"/>
      <c r="U7" s="76"/>
      <c r="V7" s="76"/>
      <c r="W7" s="76"/>
      <c r="X7" s="76"/>
      <c r="Y7" s="76"/>
      <c r="Z7" s="76"/>
      <c r="AA7" s="76"/>
      <c r="AB7" s="76"/>
      <c r="AC7" s="76"/>
      <c r="AD7" s="76"/>
      <c r="AE7" s="76"/>
      <c r="AF7" s="76"/>
      <c r="AG7" s="76"/>
      <c r="AH7" s="76"/>
      <c r="AI7" s="76"/>
      <c r="AJ7" s="76"/>
      <c r="AK7" s="76"/>
      <c r="AL7" s="76"/>
      <c r="AM7" s="76"/>
      <c r="AN7" s="76"/>
      <c r="AO7" s="76"/>
      <c r="AP7" s="76"/>
      <c r="AQ7" s="76"/>
      <c r="AR7" s="76"/>
      <c r="AS7" s="76"/>
      <c r="AT7" s="76"/>
      <c r="AU7" s="76"/>
      <c r="AV7" s="76"/>
      <c r="AW7" s="76"/>
      <c r="AX7" s="76"/>
      <c r="AY7" s="76">
        <v>13</v>
      </c>
      <c r="AZ7" s="76"/>
      <c r="BA7" s="76"/>
      <c r="BB7" s="76"/>
      <c r="BC7" s="76"/>
      <c r="BD7" s="76"/>
      <c r="BE7" s="76"/>
      <c r="BF7" s="76"/>
      <c r="BG7" s="76"/>
      <c r="BH7" s="76"/>
      <c r="BI7" s="76"/>
      <c r="BJ7" s="76"/>
      <c r="BK7" s="76"/>
      <c r="BL7" s="76"/>
      <c r="BM7" s="76"/>
      <c r="BN7" s="76"/>
      <c r="BO7" s="76"/>
      <c r="BP7" s="76"/>
      <c r="BQ7" s="76"/>
      <c r="BR7" s="76"/>
      <c r="BS7" s="76"/>
      <c r="BT7" s="76"/>
      <c r="BU7" s="76"/>
      <c r="BV7" s="75"/>
      <c r="BW7" s="75"/>
      <c r="BX7" s="75"/>
      <c r="BY7" s="75"/>
      <c r="BZ7" s="75"/>
      <c r="CA7" s="75"/>
      <c r="CB7" s="75"/>
      <c r="CC7" s="75"/>
      <c r="CD7" s="75"/>
      <c r="CE7" s="75"/>
      <c r="CF7" s="75"/>
      <c r="CG7" s="75"/>
      <c r="CH7" s="75"/>
      <c r="CI7" s="75"/>
      <c r="CJ7" s="75"/>
      <c r="CK7" s="75"/>
      <c r="CL7" s="75"/>
    </row>
    <row r="8" spans="1:90" ht="13.5" customHeight="1">
      <c r="A8" s="76"/>
      <c r="B8" s="76"/>
      <c r="C8" s="76"/>
      <c r="D8" s="76"/>
      <c r="E8" s="76"/>
      <c r="F8" s="76"/>
      <c r="G8" s="76"/>
      <c r="H8" s="76"/>
      <c r="I8" s="76"/>
      <c r="J8" s="76"/>
      <c r="K8" s="76"/>
      <c r="L8" s="76"/>
      <c r="M8" s="76"/>
      <c r="N8" s="76"/>
      <c r="O8" s="76"/>
      <c r="P8" s="76"/>
      <c r="Q8" s="76"/>
      <c r="R8" s="76"/>
      <c r="S8" s="76"/>
      <c r="T8" s="76"/>
      <c r="U8" s="76"/>
      <c r="V8" s="76"/>
      <c r="W8" s="76"/>
      <c r="X8" s="76"/>
      <c r="Y8" s="76"/>
      <c r="Z8" s="76"/>
      <c r="AA8" s="76"/>
      <c r="AB8" s="76"/>
      <c r="AC8" s="76"/>
      <c r="AD8" s="76"/>
      <c r="AE8" s="76"/>
      <c r="AF8" s="76"/>
      <c r="AG8" s="76"/>
      <c r="AH8" s="76"/>
      <c r="AI8" s="76"/>
      <c r="AJ8" s="76"/>
      <c r="AK8" s="76"/>
      <c r="AL8" s="76"/>
      <c r="AM8" s="76"/>
      <c r="AN8" s="76"/>
      <c r="AO8" s="76"/>
      <c r="AP8" s="76"/>
      <c r="AQ8" s="76"/>
      <c r="AR8" s="76"/>
      <c r="AS8" s="76"/>
      <c r="AT8" s="76"/>
      <c r="AU8" s="76"/>
      <c r="AV8" s="76"/>
      <c r="AW8" s="76"/>
      <c r="AX8" s="76"/>
      <c r="AY8" s="76"/>
      <c r="AZ8" s="76"/>
      <c r="BA8" s="76"/>
      <c r="BB8" s="76"/>
      <c r="BC8" s="76"/>
      <c r="BD8" s="76"/>
      <c r="BE8" s="76"/>
      <c r="BF8" s="76"/>
      <c r="BG8" s="76"/>
      <c r="BH8" s="76"/>
      <c r="BI8" s="76"/>
      <c r="BJ8" s="76"/>
      <c r="BK8" s="76"/>
      <c r="BL8" s="76"/>
      <c r="BM8" s="76"/>
      <c r="BN8" s="76"/>
      <c r="BO8" s="76"/>
      <c r="BP8" s="76"/>
      <c r="BQ8" s="76">
        <v>8</v>
      </c>
      <c r="BR8" s="76"/>
      <c r="BS8" s="76"/>
      <c r="BT8" s="76"/>
      <c r="BU8" s="76"/>
      <c r="BV8" s="75"/>
      <c r="BW8" s="75"/>
      <c r="BX8" s="75"/>
      <c r="BY8" s="75"/>
      <c r="BZ8" s="75"/>
      <c r="CA8" s="75"/>
      <c r="CB8" s="75"/>
      <c r="CC8" s="75"/>
      <c r="CD8" s="75"/>
      <c r="CE8" s="75"/>
      <c r="CF8" s="75"/>
      <c r="CG8" s="75"/>
      <c r="CH8" s="75"/>
      <c r="CI8" s="75"/>
      <c r="CJ8" s="75"/>
      <c r="CK8" s="75"/>
      <c r="CL8" s="75"/>
    </row>
    <row r="9" spans="1:90" ht="13.5" customHeight="1">
      <c r="A9" s="76"/>
      <c r="B9" s="76"/>
      <c r="C9" s="76"/>
      <c r="D9" s="76"/>
      <c r="E9" s="76"/>
      <c r="F9" s="76"/>
      <c r="G9" s="76"/>
      <c r="H9" s="76"/>
      <c r="I9" s="76"/>
      <c r="J9" s="76"/>
      <c r="K9" s="76"/>
      <c r="L9" s="76"/>
      <c r="M9" s="76"/>
      <c r="N9" s="76"/>
      <c r="O9" s="76"/>
      <c r="P9" s="76"/>
      <c r="Q9" s="76"/>
      <c r="R9" s="76"/>
      <c r="S9" s="76"/>
      <c r="T9" s="76"/>
      <c r="U9" s="76"/>
      <c r="V9" s="76"/>
      <c r="W9" s="76"/>
      <c r="X9" s="76"/>
      <c r="Y9" s="76">
        <v>43</v>
      </c>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76"/>
      <c r="BF9" s="76"/>
      <c r="BG9" s="76"/>
      <c r="BH9" s="76"/>
      <c r="BI9" s="76"/>
      <c r="BJ9" s="76"/>
      <c r="BK9" s="76"/>
      <c r="BL9" s="76"/>
      <c r="BM9" s="76"/>
      <c r="BN9" s="76" t="s">
        <v>2059</v>
      </c>
      <c r="BO9" s="76"/>
      <c r="BP9" s="76"/>
      <c r="BQ9" s="76"/>
      <c r="BR9" s="76"/>
      <c r="BS9" s="76"/>
      <c r="BT9" s="76"/>
      <c r="BU9" s="76"/>
      <c r="BV9" s="75"/>
      <c r="BW9" s="75"/>
      <c r="BX9" s="75"/>
      <c r="BY9" s="75"/>
      <c r="BZ9" s="75"/>
      <c r="CA9" s="75"/>
      <c r="CB9" s="75"/>
      <c r="CC9" s="75"/>
      <c r="CD9" s="75"/>
      <c r="CE9" s="75"/>
      <c r="CF9" s="75"/>
      <c r="CG9" s="75"/>
      <c r="CH9" s="75"/>
      <c r="CI9" s="75"/>
      <c r="CJ9" s="75"/>
      <c r="CK9" s="75"/>
      <c r="CL9" s="75"/>
    </row>
    <row r="10" spans="1:90" ht="13.5" customHeight="1">
      <c r="A10" s="76"/>
      <c r="B10" s="76"/>
      <c r="C10" s="76"/>
      <c r="D10" s="76"/>
      <c r="E10" s="76"/>
      <c r="F10" s="76"/>
      <c r="G10" s="76">
        <v>59</v>
      </c>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76"/>
      <c r="AL10" s="76"/>
      <c r="AM10" s="76">
        <v>14</v>
      </c>
      <c r="AN10" s="76"/>
      <c r="AO10" s="76"/>
      <c r="AP10" s="76"/>
      <c r="AQ10" s="76"/>
      <c r="AR10" s="76"/>
      <c r="AS10" s="76"/>
      <c r="AT10" s="76"/>
      <c r="AU10" s="76"/>
      <c r="AV10" s="76"/>
      <c r="AW10" s="76"/>
      <c r="AX10" s="76"/>
      <c r="AY10" s="76"/>
      <c r="AZ10" s="76"/>
      <c r="BA10" s="76"/>
      <c r="BB10" s="76"/>
      <c r="BC10" s="76"/>
      <c r="BD10" s="76">
        <v>10</v>
      </c>
      <c r="BE10" s="76"/>
      <c r="BF10" s="76"/>
      <c r="BG10" s="76"/>
      <c r="BH10" s="76"/>
      <c r="BI10" s="76"/>
      <c r="BJ10" s="76"/>
      <c r="BK10" s="76"/>
      <c r="BL10" s="76"/>
      <c r="BM10" s="76"/>
      <c r="BN10" s="76"/>
      <c r="BO10" s="76"/>
      <c r="BP10" s="76"/>
      <c r="BQ10" s="76"/>
      <c r="BR10" s="76"/>
      <c r="BS10" s="76"/>
      <c r="BT10" s="76"/>
      <c r="BU10" s="76"/>
      <c r="BV10" s="75"/>
      <c r="BW10" s="75"/>
      <c r="BX10" s="75"/>
      <c r="BY10" s="75"/>
      <c r="BZ10" s="75"/>
      <c r="CA10" s="75"/>
      <c r="CB10" s="75"/>
      <c r="CC10" s="75"/>
      <c r="CD10" s="75"/>
      <c r="CE10" s="75"/>
      <c r="CF10" s="75"/>
      <c r="CG10" s="75"/>
      <c r="CH10" s="75"/>
      <c r="CI10" s="75"/>
      <c r="CJ10" s="75"/>
      <c r="CK10" s="75"/>
      <c r="CL10" s="75"/>
    </row>
    <row r="11" spans="1:90" ht="13.5" customHeight="1">
      <c r="A11" s="76"/>
      <c r="B11" s="76"/>
      <c r="C11" s="76"/>
      <c r="D11" s="76"/>
      <c r="E11" s="76">
        <v>59</v>
      </c>
      <c r="F11" s="76" t="s">
        <v>2059</v>
      </c>
      <c r="G11" s="76"/>
      <c r="H11" s="76"/>
      <c r="I11" s="76"/>
      <c r="J11" s="76"/>
      <c r="K11" s="76"/>
      <c r="L11" s="76"/>
      <c r="M11" s="76"/>
      <c r="N11" s="76"/>
      <c r="O11" s="76"/>
      <c r="P11" s="76"/>
      <c r="Q11" s="76"/>
      <c r="R11" s="76"/>
      <c r="S11" s="76"/>
      <c r="T11" s="76"/>
      <c r="U11" s="76"/>
      <c r="V11" s="76"/>
      <c r="W11" s="76"/>
      <c r="X11" s="76"/>
      <c r="Y11" s="76"/>
      <c r="Z11" s="76"/>
      <c r="AA11" s="76"/>
      <c r="AB11" s="76">
        <v>35</v>
      </c>
      <c r="AC11" s="76"/>
      <c r="AD11" s="76"/>
      <c r="AE11" s="76"/>
      <c r="AF11" s="76"/>
      <c r="AG11" s="76"/>
      <c r="AH11" s="76"/>
      <c r="AI11" s="76"/>
      <c r="AJ11" s="76"/>
      <c r="AK11" s="76"/>
      <c r="AL11" s="76"/>
      <c r="AM11" s="76"/>
      <c r="AN11" s="76"/>
      <c r="AO11" s="76"/>
      <c r="AP11" s="76"/>
      <c r="AQ11" s="76"/>
      <c r="AR11" s="76"/>
      <c r="AS11" s="76"/>
      <c r="AT11" s="76"/>
      <c r="AU11" s="76"/>
      <c r="AV11" s="76"/>
      <c r="AW11" s="76"/>
      <c r="AX11" s="76">
        <v>15</v>
      </c>
      <c r="AY11" s="76"/>
      <c r="AZ11" s="76"/>
      <c r="BA11" s="76"/>
      <c r="BB11" s="76"/>
      <c r="BC11" s="76"/>
      <c r="BD11" s="76"/>
      <c r="BE11" s="76"/>
      <c r="BF11" s="76"/>
      <c r="BG11" s="76"/>
      <c r="BH11" s="76"/>
      <c r="BI11" s="76">
        <v>9</v>
      </c>
      <c r="BJ11" s="76"/>
      <c r="BK11" s="76"/>
      <c r="BL11" s="76"/>
      <c r="BM11" s="76"/>
      <c r="BN11" s="76"/>
      <c r="BO11" s="76"/>
      <c r="BP11" s="76"/>
      <c r="BQ11" s="76">
        <v>7</v>
      </c>
      <c r="BR11" s="76"/>
      <c r="BS11" s="76"/>
      <c r="BT11" s="76"/>
      <c r="BU11" s="76"/>
      <c r="BV11" s="75"/>
      <c r="BW11" s="75"/>
      <c r="BX11" s="75"/>
      <c r="BY11" s="75"/>
      <c r="BZ11" s="75"/>
      <c r="CA11" s="75"/>
      <c r="CB11" s="75"/>
      <c r="CC11" s="75"/>
      <c r="CD11" s="75"/>
      <c r="CE11" s="75"/>
      <c r="CF11" s="75"/>
      <c r="CG11" s="75"/>
      <c r="CH11" s="75"/>
      <c r="CI11" s="75"/>
      <c r="CJ11" s="75"/>
      <c r="CK11" s="75"/>
      <c r="CL11" s="75"/>
    </row>
    <row r="12" spans="1:90" ht="13.5" customHeight="1">
      <c r="A12" s="76"/>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76"/>
      <c r="AL12" s="76"/>
      <c r="AM12" s="76"/>
      <c r="AN12" s="76"/>
      <c r="AO12" s="76"/>
      <c r="AP12" s="76"/>
      <c r="AQ12" s="76"/>
      <c r="AR12" s="76"/>
      <c r="AS12" s="76"/>
      <c r="AT12" s="76"/>
      <c r="AU12" s="76"/>
      <c r="AV12" s="76"/>
      <c r="AW12" s="76"/>
      <c r="AX12" s="76"/>
      <c r="AY12" s="76"/>
      <c r="AZ12" s="76"/>
      <c r="BA12" s="76"/>
      <c r="BB12" s="76"/>
      <c r="BC12" s="76"/>
      <c r="BD12" s="76"/>
      <c r="BE12" s="76"/>
      <c r="BF12" s="76"/>
      <c r="BG12" s="76"/>
      <c r="BH12" s="76"/>
      <c r="BI12" s="76"/>
      <c r="BJ12" s="76"/>
      <c r="BK12" s="76"/>
      <c r="BL12" s="76"/>
      <c r="BM12" s="76"/>
      <c r="BN12" s="76"/>
      <c r="BO12" s="76"/>
      <c r="BP12" s="76"/>
      <c r="BQ12" s="76"/>
      <c r="BR12" s="76"/>
      <c r="BS12" s="76"/>
      <c r="BT12" s="76"/>
      <c r="BU12" s="76"/>
      <c r="BV12" s="75"/>
      <c r="BW12" s="75"/>
      <c r="BX12" s="75"/>
      <c r="BY12" s="75"/>
      <c r="BZ12" s="75"/>
      <c r="CA12" s="75"/>
      <c r="CB12" s="75"/>
      <c r="CC12" s="75"/>
      <c r="CD12" s="75"/>
      <c r="CE12" s="75"/>
      <c r="CF12" s="75"/>
      <c r="CG12" s="75"/>
      <c r="CH12" s="75"/>
      <c r="CI12" s="75"/>
      <c r="CJ12" s="75"/>
      <c r="CK12" s="75"/>
      <c r="CL12" s="75"/>
    </row>
    <row r="13" spans="1:90" ht="13.5" customHeight="1">
      <c r="A13" s="76"/>
      <c r="B13" s="76"/>
      <c r="C13" s="76"/>
      <c r="D13" s="76"/>
      <c r="E13" s="76"/>
      <c r="F13" s="76"/>
      <c r="G13" s="76"/>
      <c r="H13" s="76"/>
      <c r="I13" s="76"/>
      <c r="J13" s="76"/>
      <c r="K13" s="76"/>
      <c r="L13" s="76"/>
      <c r="M13" s="76"/>
      <c r="N13" s="76"/>
      <c r="O13" s="76"/>
      <c r="P13" s="76"/>
      <c r="Q13" s="76"/>
      <c r="R13" s="76"/>
      <c r="S13" s="76"/>
      <c r="T13" s="76"/>
      <c r="U13" s="76"/>
      <c r="V13" s="76"/>
      <c r="W13" s="76"/>
      <c r="X13" s="76">
        <v>42</v>
      </c>
      <c r="Y13" s="76"/>
      <c r="Z13" s="76"/>
      <c r="AA13" s="76"/>
      <c r="AB13" s="76"/>
      <c r="AC13" s="76"/>
      <c r="AD13" s="76"/>
      <c r="AE13" s="76"/>
      <c r="AF13" s="76"/>
      <c r="AG13" s="76"/>
      <c r="AH13" s="76"/>
      <c r="AI13" s="76"/>
      <c r="AJ13" s="76"/>
      <c r="AK13" s="76"/>
      <c r="AL13" s="76"/>
      <c r="AM13" s="76"/>
      <c r="AN13" s="76"/>
      <c r="AO13" s="76"/>
      <c r="AP13" s="76"/>
      <c r="AQ13" s="76"/>
      <c r="AR13" s="76"/>
      <c r="AS13" s="76"/>
      <c r="AT13" s="76"/>
      <c r="AU13" s="76"/>
      <c r="AV13" s="76"/>
      <c r="AW13" s="76"/>
      <c r="AX13" s="76"/>
      <c r="AY13" s="76"/>
      <c r="AZ13" s="76"/>
      <c r="BA13" s="76"/>
      <c r="BB13" s="76"/>
      <c r="BC13" s="76"/>
      <c r="BD13" s="76"/>
      <c r="BE13" s="76"/>
      <c r="BF13" s="76"/>
      <c r="BG13" s="76"/>
      <c r="BH13" s="76"/>
      <c r="BI13" s="76"/>
      <c r="BJ13" s="76"/>
      <c r="BK13" s="76"/>
      <c r="BL13" s="76"/>
      <c r="BM13" s="76"/>
      <c r="BN13" s="76"/>
      <c r="BO13" s="76"/>
      <c r="BP13" s="76"/>
      <c r="BQ13" s="76"/>
      <c r="BR13" s="76"/>
      <c r="BS13" s="76"/>
      <c r="BT13" s="76"/>
      <c r="BU13" s="76"/>
      <c r="BV13" s="75"/>
      <c r="BW13" s="75"/>
      <c r="BX13" s="75"/>
      <c r="BY13" s="75"/>
      <c r="BZ13" s="75"/>
      <c r="CA13" s="75"/>
      <c r="CB13" s="75"/>
      <c r="CC13" s="75"/>
      <c r="CD13" s="75"/>
      <c r="CE13" s="75"/>
      <c r="CF13" s="75"/>
      <c r="CG13" s="75"/>
      <c r="CH13" s="75"/>
      <c r="CI13" s="75"/>
      <c r="CJ13" s="75"/>
      <c r="CK13" s="75"/>
      <c r="CL13" s="75"/>
    </row>
    <row r="14" spans="1:90" ht="13.5" customHeight="1">
      <c r="A14" s="76"/>
      <c r="B14" s="76"/>
      <c r="C14" s="76"/>
      <c r="D14" s="76"/>
      <c r="E14" s="76"/>
      <c r="F14" s="76"/>
      <c r="G14" s="76"/>
      <c r="H14" s="76"/>
      <c r="I14" s="76"/>
      <c r="J14" s="76"/>
      <c r="K14" s="76"/>
      <c r="L14" s="76"/>
      <c r="M14" s="76"/>
      <c r="N14" s="76">
        <v>45</v>
      </c>
      <c r="O14" s="76"/>
      <c r="P14" s="76"/>
      <c r="Q14" s="76"/>
      <c r="R14" s="76"/>
      <c r="S14" s="76"/>
      <c r="T14" s="76"/>
      <c r="U14" s="76"/>
      <c r="V14" s="76"/>
      <c r="W14" s="76"/>
      <c r="X14" s="76"/>
      <c r="Y14" s="76"/>
      <c r="Z14" s="76"/>
      <c r="AA14" s="76"/>
      <c r="AB14" s="76"/>
      <c r="AC14" s="76"/>
      <c r="AD14" s="76"/>
      <c r="AE14" s="76"/>
      <c r="AF14" s="76"/>
      <c r="AG14" s="76"/>
      <c r="AH14" s="76"/>
      <c r="AI14" s="76"/>
      <c r="AJ14" s="76">
        <v>39</v>
      </c>
      <c r="AK14" s="76"/>
      <c r="AL14" s="76"/>
      <c r="AM14" s="76"/>
      <c r="AN14" s="76"/>
      <c r="AO14" s="76"/>
      <c r="AP14" s="76"/>
      <c r="AQ14" s="76"/>
      <c r="AR14" s="76"/>
      <c r="AS14" s="76"/>
      <c r="AT14" s="76"/>
      <c r="AU14" s="76"/>
      <c r="AV14" s="76"/>
      <c r="AW14" s="76"/>
      <c r="AX14" s="76"/>
      <c r="AY14" s="76"/>
      <c r="AZ14" s="76"/>
      <c r="BA14" s="76"/>
      <c r="BB14" s="76"/>
      <c r="BC14" s="76">
        <v>3</v>
      </c>
      <c r="BD14" s="76"/>
      <c r="BE14" s="76"/>
      <c r="BF14" s="76"/>
      <c r="BG14" s="76"/>
      <c r="BH14" s="76"/>
      <c r="BI14" s="76"/>
      <c r="BJ14" s="76"/>
      <c r="BK14" s="76"/>
      <c r="BL14" s="76"/>
      <c r="BM14" s="76">
        <v>4</v>
      </c>
      <c r="BN14" s="76"/>
      <c r="BO14" s="76"/>
      <c r="BP14" s="76"/>
      <c r="BQ14" s="76">
        <v>5</v>
      </c>
      <c r="BR14" s="76"/>
      <c r="BS14" s="76"/>
      <c r="BT14" s="76"/>
      <c r="BU14" s="76"/>
      <c r="BV14" s="75"/>
      <c r="BW14" s="75"/>
      <c r="BX14" s="75"/>
      <c r="BY14" s="75"/>
      <c r="BZ14" s="75"/>
      <c r="CA14" s="75"/>
      <c r="CB14" s="75"/>
      <c r="CC14" s="75"/>
      <c r="CD14" s="75"/>
      <c r="CE14" s="75"/>
      <c r="CF14" s="75"/>
      <c r="CG14" s="75"/>
      <c r="CH14" s="75"/>
      <c r="CI14" s="75"/>
      <c r="CJ14" s="75"/>
      <c r="CK14" s="75"/>
      <c r="CL14" s="75"/>
    </row>
    <row r="15" spans="1:90" ht="12.75" customHeight="1">
      <c r="A15" s="76"/>
      <c r="B15" s="76"/>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76"/>
      <c r="AR15" s="76">
        <v>41</v>
      </c>
      <c r="AS15" s="76"/>
      <c r="AT15" s="76"/>
      <c r="AU15" s="76"/>
      <c r="AV15" s="76">
        <v>2</v>
      </c>
      <c r="AW15" s="76"/>
      <c r="AX15" s="76"/>
      <c r="AY15" s="76"/>
      <c r="AZ15" s="76">
        <v>1</v>
      </c>
      <c r="BA15" s="76"/>
      <c r="BB15" s="76"/>
      <c r="BC15" s="76"/>
      <c r="BD15" s="76"/>
      <c r="BE15" s="76"/>
      <c r="BF15" s="76"/>
      <c r="BG15" s="76"/>
      <c r="BH15" s="76"/>
      <c r="BI15" s="76"/>
      <c r="BJ15" s="76"/>
      <c r="BK15" s="76"/>
      <c r="BL15" s="76"/>
      <c r="BM15" s="76"/>
      <c r="BN15" s="76"/>
      <c r="BO15" s="76"/>
      <c r="BP15" s="76"/>
      <c r="BQ15" s="76"/>
      <c r="BR15" s="76"/>
      <c r="BS15" s="76"/>
      <c r="BT15" s="76"/>
      <c r="BU15" s="76"/>
      <c r="BV15" s="75"/>
      <c r="BW15" s="75"/>
      <c r="BX15" s="75"/>
      <c r="BY15" s="75"/>
      <c r="BZ15" s="75"/>
      <c r="CA15" s="75"/>
      <c r="CB15" s="75"/>
      <c r="CC15" s="75"/>
      <c r="CD15" s="75"/>
      <c r="CE15" s="75"/>
      <c r="CF15" s="75"/>
      <c r="CG15" s="75"/>
      <c r="CH15" s="75"/>
      <c r="CI15" s="75"/>
      <c r="CJ15" s="75"/>
      <c r="CK15" s="75"/>
      <c r="CL15" s="75"/>
    </row>
    <row r="16" spans="1:90" ht="13.5" customHeight="1">
      <c r="A16" s="76"/>
      <c r="B16" s="76"/>
      <c r="C16" s="76"/>
      <c r="D16" s="76"/>
      <c r="E16" s="76"/>
      <c r="F16" s="76"/>
      <c r="G16" s="76"/>
      <c r="H16" s="76"/>
      <c r="I16" s="76"/>
      <c r="J16" s="76"/>
      <c r="K16" s="76"/>
      <c r="L16" s="76"/>
      <c r="M16" s="76"/>
      <c r="N16" s="76"/>
      <c r="O16" s="76"/>
      <c r="P16" s="76"/>
      <c r="Q16" s="76"/>
      <c r="R16" s="76"/>
      <c r="S16" s="76"/>
      <c r="T16" s="76"/>
      <c r="U16" s="76"/>
      <c r="V16" s="76"/>
      <c r="W16" s="76"/>
      <c r="X16" s="76"/>
      <c r="Y16" s="76"/>
      <c r="Z16" s="76"/>
      <c r="AA16" s="76">
        <v>33</v>
      </c>
      <c r="AB16" s="76"/>
      <c r="AC16" s="76"/>
      <c r="AD16" s="76"/>
      <c r="AE16" s="76">
        <v>40</v>
      </c>
      <c r="AF16" s="76"/>
      <c r="AG16" s="76"/>
      <c r="AH16" s="76"/>
      <c r="AI16" s="76"/>
      <c r="AJ16" s="76"/>
      <c r="AK16" s="76"/>
      <c r="AL16" s="76"/>
      <c r="AM16" s="76"/>
      <c r="AN16" s="76"/>
      <c r="AO16" s="76"/>
      <c r="AP16" s="76"/>
      <c r="AQ16" s="76"/>
      <c r="AR16" s="76"/>
      <c r="AS16" s="76"/>
      <c r="AT16" s="76"/>
      <c r="AU16" s="76"/>
      <c r="AV16" s="76"/>
      <c r="AW16" s="76"/>
      <c r="AX16" s="76"/>
      <c r="AY16" s="76"/>
      <c r="AZ16" s="76"/>
      <c r="BA16" s="76"/>
      <c r="BB16" s="76"/>
      <c r="BC16" s="76"/>
      <c r="BD16" s="76"/>
      <c r="BE16" s="76"/>
      <c r="BF16" s="76"/>
      <c r="BG16" s="76"/>
      <c r="BH16" s="76"/>
      <c r="BI16" s="76"/>
      <c r="BJ16" s="76"/>
      <c r="BK16" s="76"/>
      <c r="BL16" s="76"/>
      <c r="BM16" s="76"/>
      <c r="BN16" s="76"/>
      <c r="BO16" s="76"/>
      <c r="BP16" s="76"/>
      <c r="BQ16" s="76"/>
      <c r="BR16" s="76"/>
      <c r="BS16" s="76"/>
      <c r="BT16" s="76"/>
      <c r="BU16" s="76"/>
      <c r="BV16" s="75"/>
      <c r="BW16" s="75"/>
      <c r="BX16" s="75"/>
      <c r="BY16" s="75"/>
      <c r="BZ16" s="75"/>
      <c r="CA16" s="75"/>
      <c r="CB16" s="75"/>
      <c r="CC16" s="75"/>
      <c r="CD16" s="75"/>
      <c r="CE16" s="75"/>
      <c r="CF16" s="75"/>
      <c r="CG16" s="75"/>
      <c r="CH16" s="75"/>
      <c r="CI16" s="75"/>
      <c r="CJ16" s="75"/>
      <c r="CK16" s="75"/>
      <c r="CL16" s="75"/>
    </row>
    <row r="17" spans="1:90" ht="13.5" customHeight="1">
      <c r="A17" s="76"/>
      <c r="B17" s="76"/>
      <c r="C17" s="76"/>
      <c r="D17" s="76"/>
      <c r="E17" s="76"/>
      <c r="F17" s="76"/>
      <c r="G17" s="76"/>
      <c r="H17" s="76"/>
      <c r="I17" s="76"/>
      <c r="J17" s="76">
        <v>56</v>
      </c>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76"/>
      <c r="AR17" s="76"/>
      <c r="AS17" s="76"/>
      <c r="AT17" s="76"/>
      <c r="AU17" s="76"/>
      <c r="AV17" s="76"/>
      <c r="AW17" s="76"/>
      <c r="AX17" s="76"/>
      <c r="AY17" s="76"/>
      <c r="AZ17" s="76"/>
      <c r="BA17" s="76"/>
      <c r="BB17" s="76"/>
      <c r="BC17" s="76"/>
      <c r="BD17" s="76"/>
      <c r="BE17" s="76"/>
      <c r="BF17" s="76"/>
      <c r="BG17" s="76"/>
      <c r="BH17" s="76"/>
      <c r="BI17" s="76"/>
      <c r="BJ17" s="76"/>
      <c r="BK17" s="76"/>
      <c r="BL17" s="76"/>
      <c r="BM17" s="76"/>
      <c r="BN17" s="76"/>
      <c r="BO17" s="76"/>
      <c r="BP17" s="76"/>
      <c r="BQ17" s="76"/>
      <c r="BR17" s="76"/>
      <c r="BS17" s="76"/>
      <c r="BT17" s="76"/>
      <c r="BU17" s="76"/>
      <c r="BV17" s="75"/>
      <c r="BW17" s="75"/>
      <c r="BX17" s="75"/>
      <c r="BY17" s="75"/>
      <c r="BZ17" s="75"/>
      <c r="CA17" s="75"/>
      <c r="CB17" s="75"/>
      <c r="CC17" s="75"/>
      <c r="CD17" s="75"/>
      <c r="CE17" s="75"/>
      <c r="CF17" s="75"/>
      <c r="CG17" s="75"/>
      <c r="CH17" s="75"/>
      <c r="CI17" s="75"/>
      <c r="CJ17" s="75"/>
      <c r="CK17" s="75"/>
      <c r="CL17" s="75"/>
    </row>
    <row r="18" spans="1:90" ht="12.75" customHeight="1">
      <c r="A18" s="76"/>
      <c r="B18" s="76"/>
      <c r="C18" s="76"/>
      <c r="D18" s="76"/>
      <c r="E18" s="76"/>
      <c r="F18" s="76"/>
      <c r="G18" s="76"/>
      <c r="H18" s="76"/>
      <c r="I18" s="76"/>
      <c r="J18" s="76"/>
      <c r="K18" s="76"/>
      <c r="L18" s="76"/>
      <c r="M18" s="76"/>
      <c r="N18" s="76"/>
      <c r="O18" s="76"/>
      <c r="P18" s="76"/>
      <c r="Q18" s="76"/>
      <c r="R18" s="76"/>
      <c r="S18" s="76">
        <v>61</v>
      </c>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v>6</v>
      </c>
      <c r="BO18" s="76"/>
      <c r="BP18" s="76"/>
      <c r="BQ18" s="76"/>
      <c r="BR18" s="76"/>
      <c r="BS18" s="76"/>
      <c r="BT18" s="76"/>
      <c r="BU18" s="76"/>
      <c r="BV18" s="75"/>
      <c r="BW18" s="75"/>
      <c r="BX18" s="75"/>
      <c r="BY18" s="75"/>
      <c r="BZ18" s="75"/>
      <c r="CA18" s="75"/>
      <c r="CB18" s="75"/>
      <c r="CC18" s="75"/>
      <c r="CD18" s="75"/>
      <c r="CE18" s="75"/>
      <c r="CF18" s="75"/>
      <c r="CG18" s="75"/>
      <c r="CH18" s="75"/>
      <c r="CI18" s="75"/>
      <c r="CJ18" s="75"/>
      <c r="CK18" s="75"/>
      <c r="CL18" s="75"/>
    </row>
    <row r="19" spans="1:90" ht="13.5" customHeight="1">
      <c r="A19" s="76"/>
      <c r="B19" s="76"/>
      <c r="C19" s="76"/>
      <c r="D19" s="76"/>
      <c r="E19" s="76"/>
      <c r="F19" s="76"/>
      <c r="G19" s="76"/>
      <c r="H19" s="76"/>
      <c r="I19" s="76"/>
      <c r="J19" s="76"/>
      <c r="K19" s="76"/>
      <c r="L19" s="76"/>
      <c r="M19" s="76"/>
      <c r="N19" s="76"/>
      <c r="O19" s="76"/>
      <c r="P19" s="76"/>
      <c r="Q19" s="76"/>
      <c r="R19" s="76"/>
      <c r="S19" s="76"/>
      <c r="T19" s="76"/>
      <c r="U19" s="76"/>
      <c r="V19" s="76"/>
      <c r="W19" s="76"/>
      <c r="X19" s="76">
        <v>32</v>
      </c>
      <c r="Y19" s="76"/>
      <c r="Z19" s="76"/>
      <c r="AA19" s="76"/>
      <c r="AB19" s="76"/>
      <c r="AC19" s="76"/>
      <c r="AD19" s="76"/>
      <c r="AE19" s="76"/>
      <c r="AF19" s="76"/>
      <c r="AG19" s="76"/>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5"/>
      <c r="BW19" s="75"/>
      <c r="BX19" s="75"/>
      <c r="BY19" s="75"/>
      <c r="BZ19" s="75"/>
      <c r="CA19" s="75"/>
      <c r="CB19" s="75"/>
      <c r="CC19" s="75"/>
      <c r="CD19" s="75"/>
      <c r="CE19" s="75"/>
      <c r="CF19" s="75"/>
      <c r="CG19" s="75"/>
      <c r="CH19" s="75"/>
      <c r="CI19" s="75"/>
      <c r="CJ19" s="75"/>
      <c r="CK19" s="75"/>
      <c r="CL19" s="75"/>
    </row>
    <row r="20" spans="1:90" ht="13.5" customHeight="1">
      <c r="A20" s="76"/>
      <c r="B20" s="76"/>
      <c r="C20" s="76"/>
      <c r="D20" s="76"/>
      <c r="E20" s="76"/>
      <c r="F20" s="76"/>
      <c r="G20" s="76"/>
      <c r="H20" s="76"/>
      <c r="I20" s="76"/>
      <c r="J20" s="76"/>
      <c r="K20" s="76"/>
      <c r="L20" s="76"/>
      <c r="M20" s="76"/>
      <c r="N20" s="76"/>
      <c r="O20" s="76"/>
      <c r="P20" s="76"/>
      <c r="Q20" s="76"/>
      <c r="R20" s="76"/>
      <c r="S20" s="76"/>
      <c r="T20" s="76"/>
      <c r="U20" s="76"/>
      <c r="V20" s="76"/>
      <c r="W20" s="76"/>
      <c r="X20" s="76"/>
      <c r="Y20" s="76"/>
      <c r="Z20" s="76">
        <v>32</v>
      </c>
      <c r="AA20" s="76"/>
      <c r="AB20" s="76"/>
      <c r="AC20" s="76"/>
      <c r="AD20" s="76"/>
      <c r="AE20" s="76"/>
      <c r="AF20" s="76"/>
      <c r="AG20" s="76"/>
      <c r="AH20" s="76"/>
      <c r="AI20" s="76"/>
      <c r="AJ20" s="76"/>
      <c r="AK20" s="76"/>
      <c r="AL20" s="76"/>
      <c r="AM20" s="76"/>
      <c r="AN20" s="76"/>
      <c r="AO20" s="76"/>
      <c r="AP20" s="76"/>
      <c r="AQ20" s="76"/>
      <c r="AR20" s="76"/>
      <c r="AS20" s="76"/>
      <c r="AT20" s="76"/>
      <c r="AU20" s="76"/>
      <c r="AV20" s="76"/>
      <c r="AW20" s="76"/>
      <c r="AX20" s="76"/>
      <c r="AY20" s="76"/>
      <c r="AZ20" s="76"/>
      <c r="BA20" s="76"/>
      <c r="BB20" s="76"/>
      <c r="BC20" s="76"/>
      <c r="BD20" s="76"/>
      <c r="BE20" s="76"/>
      <c r="BF20" s="76"/>
      <c r="BG20" s="76"/>
      <c r="BH20" s="76"/>
      <c r="BI20" s="76"/>
      <c r="BJ20" s="76"/>
      <c r="BK20" s="76"/>
      <c r="BL20" s="76"/>
      <c r="BM20" s="76"/>
      <c r="BN20" s="76"/>
      <c r="BO20" s="76"/>
      <c r="BP20" s="76"/>
      <c r="BQ20" s="76"/>
      <c r="BR20" s="76"/>
      <c r="BS20" s="76"/>
      <c r="BT20" s="76"/>
      <c r="BU20" s="76"/>
      <c r="BV20" s="75"/>
      <c r="BW20" s="75"/>
      <c r="BX20" s="75"/>
      <c r="BY20" s="75"/>
      <c r="BZ20" s="75"/>
      <c r="CA20" s="75"/>
      <c r="CB20" s="75"/>
      <c r="CC20" s="75"/>
      <c r="CD20" s="75"/>
      <c r="CE20" s="75"/>
      <c r="CF20" s="75"/>
      <c r="CG20" s="75"/>
      <c r="CH20" s="75"/>
      <c r="CI20" s="75"/>
      <c r="CJ20" s="75"/>
      <c r="CK20" s="75"/>
      <c r="CL20" s="75"/>
    </row>
    <row r="21" spans="1:90" ht="13.5" customHeight="1">
      <c r="A21" s="76"/>
      <c r="B21" s="76"/>
      <c r="C21" s="76"/>
      <c r="D21" s="76"/>
      <c r="E21" s="76"/>
      <c r="F21" s="76"/>
      <c r="G21" s="76"/>
      <c r="H21" s="76"/>
      <c r="I21" s="76"/>
      <c r="J21" s="76"/>
      <c r="K21" s="76"/>
      <c r="L21" s="76">
        <v>54</v>
      </c>
      <c r="M21" s="76"/>
      <c r="N21" s="76"/>
      <c r="O21" s="76"/>
      <c r="P21" s="76"/>
      <c r="Q21" s="76"/>
      <c r="R21" s="76"/>
      <c r="S21" s="76"/>
      <c r="T21" s="76"/>
      <c r="U21" s="76"/>
      <c r="V21" s="76">
        <v>32</v>
      </c>
      <c r="W21" s="76"/>
      <c r="X21" s="76"/>
      <c r="Y21" s="76"/>
      <c r="Z21" s="76"/>
      <c r="AA21" s="76"/>
      <c r="AB21" s="76"/>
      <c r="AC21" s="76"/>
      <c r="AD21" s="76"/>
      <c r="AE21" s="76"/>
      <c r="AF21" s="76"/>
      <c r="AG21" s="76"/>
      <c r="AH21" s="76"/>
      <c r="AI21" s="76"/>
      <c r="AJ21" s="76"/>
      <c r="AK21" s="76"/>
      <c r="AL21" s="76"/>
      <c r="AM21" s="76"/>
      <c r="AN21" s="76"/>
      <c r="AO21" s="76"/>
      <c r="AP21" s="76"/>
      <c r="AQ21" s="76"/>
      <c r="AR21" s="76"/>
      <c r="AS21" s="76"/>
      <c r="AT21" s="76"/>
      <c r="AU21" s="76"/>
      <c r="AV21" s="76"/>
      <c r="AW21" s="76"/>
      <c r="AX21" s="76"/>
      <c r="AY21" s="76"/>
      <c r="AZ21" s="76"/>
      <c r="BA21" s="76"/>
      <c r="BB21" s="76"/>
      <c r="BC21" s="76"/>
      <c r="BD21" s="76"/>
      <c r="BE21" s="76"/>
      <c r="BF21" s="76"/>
      <c r="BG21" s="76"/>
      <c r="BH21" s="76"/>
      <c r="BI21" s="76"/>
      <c r="BJ21" s="76"/>
      <c r="BK21" s="76"/>
      <c r="BL21" s="76"/>
      <c r="BM21" s="76"/>
      <c r="BN21" s="76"/>
      <c r="BO21" s="76"/>
      <c r="BP21" s="76"/>
      <c r="BQ21" s="76"/>
      <c r="BR21" s="76"/>
      <c r="BS21" s="76"/>
      <c r="BT21" s="76"/>
      <c r="BU21" s="76"/>
      <c r="BV21" s="75"/>
      <c r="BW21" s="75"/>
      <c r="BX21" s="75"/>
      <c r="BY21" s="75"/>
      <c r="BZ21" s="75"/>
      <c r="CA21" s="75"/>
      <c r="CB21" s="75"/>
      <c r="CC21" s="75"/>
      <c r="CD21" s="75"/>
      <c r="CE21" s="75"/>
      <c r="CF21" s="75"/>
      <c r="CG21" s="75"/>
      <c r="CH21" s="75"/>
      <c r="CI21" s="75"/>
      <c r="CJ21" s="75"/>
      <c r="CK21" s="75"/>
      <c r="CL21" s="75"/>
    </row>
    <row r="22" spans="1:90" ht="13.5" customHeight="1">
      <c r="A22" s="76"/>
      <c r="B22" s="76"/>
      <c r="C22" s="76"/>
      <c r="D22" s="76"/>
      <c r="E22" s="76"/>
      <c r="F22" s="76"/>
      <c r="G22" s="76"/>
      <c r="H22" s="76"/>
      <c r="I22" s="76"/>
      <c r="J22" s="76"/>
      <c r="K22" s="76"/>
      <c r="L22" s="76"/>
      <c r="M22" s="76"/>
      <c r="N22" s="76"/>
      <c r="O22" s="76"/>
      <c r="P22" s="76">
        <v>60</v>
      </c>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5"/>
      <c r="BW22" s="75"/>
      <c r="BX22" s="75"/>
      <c r="BY22" s="75"/>
      <c r="BZ22" s="75"/>
      <c r="CA22" s="75"/>
      <c r="CB22" s="75"/>
      <c r="CC22" s="75"/>
      <c r="CD22" s="75"/>
      <c r="CE22" s="75"/>
      <c r="CF22" s="75"/>
      <c r="CG22" s="75"/>
      <c r="CH22" s="75"/>
      <c r="CI22" s="75"/>
      <c r="CJ22" s="75"/>
      <c r="CK22" s="75"/>
      <c r="CL22" s="75"/>
    </row>
    <row r="23" spans="1:90" ht="13.5" customHeight="1">
      <c r="A23" s="76"/>
      <c r="B23" s="76"/>
      <c r="C23" s="76"/>
      <c r="D23" s="76"/>
      <c r="E23" s="76"/>
      <c r="F23" s="76"/>
      <c r="G23" s="76"/>
      <c r="H23" s="76"/>
      <c r="I23" s="76"/>
      <c r="J23" s="76"/>
      <c r="K23" s="76"/>
      <c r="L23" s="76"/>
      <c r="M23" s="76"/>
      <c r="N23" s="76"/>
      <c r="O23" s="76"/>
      <c r="P23" s="76"/>
      <c r="Q23" s="76"/>
      <c r="R23" s="76"/>
      <c r="S23" s="76"/>
      <c r="T23" s="76"/>
      <c r="U23" s="76"/>
      <c r="V23" s="76"/>
      <c r="W23" s="76"/>
      <c r="X23" s="76">
        <v>32</v>
      </c>
      <c r="Y23" s="76"/>
      <c r="Z23" s="76"/>
      <c r="AA23" s="76"/>
      <c r="AB23" s="76"/>
      <c r="AC23" s="76"/>
      <c r="AD23" s="76"/>
      <c r="AE23" s="76"/>
      <c r="AF23" s="76"/>
      <c r="AG23" s="76"/>
      <c r="AH23" s="76"/>
      <c r="AI23" s="76"/>
      <c r="AJ23" s="76"/>
      <c r="AK23" s="76"/>
      <c r="AL23" s="76"/>
      <c r="AM23" s="76"/>
      <c r="AN23" s="76"/>
      <c r="AO23" s="76"/>
      <c r="AP23" s="76"/>
      <c r="AQ23" s="76"/>
      <c r="AR23" s="76"/>
      <c r="AS23" s="76"/>
      <c r="AT23" s="76"/>
      <c r="AU23" s="76"/>
      <c r="AV23" s="76"/>
      <c r="AW23" s="76"/>
      <c r="AX23" s="76"/>
      <c r="AY23" s="76"/>
      <c r="AZ23" s="76"/>
      <c r="BA23" s="76"/>
      <c r="BB23" s="76"/>
      <c r="BC23" s="76"/>
      <c r="BD23" s="76"/>
      <c r="BE23" s="76"/>
      <c r="BF23" s="76"/>
      <c r="BG23" s="76"/>
      <c r="BH23" s="76"/>
      <c r="BI23" s="76"/>
      <c r="BJ23" s="76"/>
      <c r="BK23" s="76"/>
      <c r="BL23" s="76"/>
      <c r="BM23" s="76"/>
      <c r="BN23" s="76"/>
      <c r="BO23" s="76"/>
      <c r="BP23" s="76"/>
      <c r="BQ23" s="76"/>
      <c r="BR23" s="76"/>
      <c r="BS23" s="76"/>
      <c r="BT23" s="76"/>
      <c r="BU23" s="76"/>
      <c r="BV23" s="75"/>
      <c r="BW23" s="75"/>
      <c r="BX23" s="75"/>
      <c r="BY23" s="75"/>
      <c r="BZ23" s="75"/>
      <c r="CA23" s="75"/>
      <c r="CB23" s="75"/>
      <c r="CC23" s="75"/>
      <c r="CD23" s="75"/>
      <c r="CE23" s="75"/>
      <c r="CF23" s="75"/>
      <c r="CG23" s="75"/>
      <c r="CH23" s="75"/>
      <c r="CI23" s="75"/>
      <c r="CJ23" s="75"/>
      <c r="CK23" s="75"/>
      <c r="CL23" s="75"/>
    </row>
    <row r="24" spans="1:90" ht="13.5" customHeight="1">
      <c r="A24" s="76"/>
      <c r="B24" s="76"/>
      <c r="C24" s="76"/>
      <c r="D24" s="76"/>
      <c r="E24" s="76"/>
      <c r="F24" s="76"/>
      <c r="G24" s="76"/>
      <c r="H24" s="76"/>
      <c r="I24" s="76"/>
      <c r="J24" s="76"/>
      <c r="K24" s="76"/>
      <c r="L24" s="76"/>
      <c r="M24" s="76"/>
      <c r="N24" s="76"/>
      <c r="O24" s="76"/>
      <c r="P24" s="76"/>
      <c r="Q24" s="76"/>
      <c r="R24" s="76"/>
      <c r="S24" s="76"/>
      <c r="T24" s="76"/>
      <c r="U24" s="76">
        <v>34</v>
      </c>
      <c r="V24" s="76"/>
      <c r="W24" s="76"/>
      <c r="X24" s="76"/>
      <c r="Y24" s="76"/>
      <c r="Z24" s="76"/>
      <c r="AA24" s="76"/>
      <c r="AB24" s="76"/>
      <c r="AC24" s="76"/>
      <c r="AD24" s="76"/>
      <c r="AE24" s="76"/>
      <c r="AF24" s="76"/>
      <c r="AG24" s="76"/>
      <c r="AH24" s="76"/>
      <c r="AI24" s="76"/>
      <c r="AJ24" s="76"/>
      <c r="AK24" s="76"/>
      <c r="AL24" s="76"/>
      <c r="AM24" s="76"/>
      <c r="AN24" s="76"/>
      <c r="AO24" s="76"/>
      <c r="AP24" s="76"/>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5"/>
      <c r="BW24" s="75"/>
      <c r="BX24" s="75"/>
      <c r="BY24" s="75"/>
      <c r="BZ24" s="75"/>
      <c r="CA24" s="75"/>
      <c r="CB24" s="75"/>
      <c r="CC24" s="75"/>
      <c r="CD24" s="75"/>
      <c r="CE24" s="75"/>
      <c r="CF24" s="75"/>
      <c r="CG24" s="75"/>
      <c r="CH24" s="75"/>
      <c r="CI24" s="75"/>
      <c r="CJ24" s="75"/>
      <c r="CK24" s="75"/>
      <c r="CL24" s="75"/>
    </row>
    <row r="25" spans="1:90" ht="13.5" customHeight="1">
      <c r="A25" s="76"/>
      <c r="B25" s="76"/>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c r="BV25" s="75"/>
      <c r="BW25" s="75"/>
      <c r="BX25" s="75"/>
      <c r="BY25" s="75"/>
      <c r="BZ25" s="75"/>
      <c r="CA25" s="75"/>
      <c r="CB25" s="75"/>
      <c r="CC25" s="75"/>
      <c r="CD25" s="75"/>
      <c r="CE25" s="75"/>
      <c r="CF25" s="75"/>
      <c r="CG25" s="75"/>
      <c r="CH25" s="75"/>
      <c r="CI25" s="75"/>
      <c r="CJ25" s="75"/>
      <c r="CK25" s="75"/>
      <c r="CL25" s="75"/>
    </row>
    <row r="26" spans="1:90" ht="13.5" customHeight="1">
      <c r="A26" s="76"/>
      <c r="B26" s="76"/>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5"/>
      <c r="BW26" s="75"/>
      <c r="BX26" s="75"/>
      <c r="BY26" s="75"/>
      <c r="BZ26" s="75"/>
      <c r="CA26" s="75"/>
      <c r="CB26" s="75"/>
      <c r="CC26" s="75"/>
      <c r="CD26" s="75"/>
      <c r="CE26" s="75"/>
      <c r="CF26" s="75"/>
      <c r="CG26" s="75"/>
      <c r="CH26" s="75"/>
      <c r="CI26" s="75"/>
      <c r="CJ26" s="75"/>
      <c r="CK26" s="75"/>
      <c r="CL26" s="75"/>
    </row>
    <row r="27" spans="1:90" ht="13.5" customHeight="1">
      <c r="A27" s="76"/>
      <c r="B27" s="76"/>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5"/>
      <c r="BW27" s="75"/>
      <c r="BX27" s="75"/>
      <c r="BY27" s="75"/>
      <c r="BZ27" s="75"/>
      <c r="CA27" s="75"/>
      <c r="CB27" s="75"/>
      <c r="CC27" s="75"/>
      <c r="CD27" s="75"/>
      <c r="CE27" s="75"/>
      <c r="CF27" s="75"/>
      <c r="CG27" s="75"/>
      <c r="CH27" s="75"/>
      <c r="CI27" s="75"/>
      <c r="CJ27" s="75"/>
      <c r="CK27" s="75"/>
      <c r="CL27" s="75"/>
    </row>
    <row r="28" spans="1:90" ht="12.75" customHeight="1">
      <c r="A28" s="76"/>
      <c r="B28" s="76"/>
      <c r="C28" s="76"/>
      <c r="D28" s="76"/>
      <c r="E28" s="76"/>
      <c r="F28" s="76"/>
      <c r="G28" s="76"/>
      <c r="H28" s="76"/>
      <c r="I28" s="76"/>
      <c r="J28" s="76"/>
      <c r="K28" s="76"/>
      <c r="L28" s="76"/>
      <c r="M28" s="76"/>
      <c r="N28" s="76"/>
      <c r="O28" s="76"/>
      <c r="P28" s="76"/>
      <c r="Q28" s="76"/>
      <c r="R28" s="76"/>
      <c r="S28" s="76"/>
      <c r="T28" s="76"/>
      <c r="U28" s="76"/>
      <c r="V28" s="76"/>
      <c r="W28" s="76"/>
      <c r="X28" s="76"/>
      <c r="Y28" s="76"/>
      <c r="Z28" s="76">
        <v>62</v>
      </c>
      <c r="AA28" s="76"/>
      <c r="AB28" s="76"/>
      <c r="AC28" s="76"/>
      <c r="AD28" s="76">
        <v>28</v>
      </c>
      <c r="AE28" s="76"/>
      <c r="AF28" s="76"/>
      <c r="AG28" s="76"/>
      <c r="AH28" s="76"/>
      <c r="AI28" s="76"/>
      <c r="AJ28" s="76"/>
      <c r="AK28" s="76"/>
      <c r="AL28" s="76"/>
      <c r="AM28" s="76"/>
      <c r="AN28" s="76"/>
      <c r="AO28" s="76"/>
      <c r="AP28" s="76"/>
      <c r="AQ28" s="76"/>
      <c r="AR28" s="76"/>
      <c r="AS28" s="76"/>
      <c r="AT28" s="76"/>
      <c r="AU28" s="76"/>
      <c r="AV28" s="76"/>
      <c r="AW28" s="76"/>
      <c r="AX28" s="76"/>
      <c r="AY28" s="76"/>
      <c r="AZ28" s="76"/>
      <c r="BA28" s="76"/>
      <c r="BB28" s="76"/>
      <c r="BC28" s="76"/>
      <c r="BD28" s="76"/>
      <c r="BE28" s="76"/>
      <c r="BF28" s="76"/>
      <c r="BG28" s="76"/>
      <c r="BH28" s="76"/>
      <c r="BI28" s="76"/>
      <c r="BJ28" s="76"/>
      <c r="BK28" s="76"/>
      <c r="BL28" s="76"/>
      <c r="BM28" s="76"/>
      <c r="BN28" s="76"/>
      <c r="BO28" s="76"/>
      <c r="BP28" s="76"/>
      <c r="BQ28" s="76"/>
      <c r="BR28" s="76"/>
      <c r="BS28" s="76"/>
      <c r="BT28" s="76"/>
      <c r="BU28" s="76"/>
      <c r="BV28" s="75"/>
      <c r="BW28" s="75"/>
      <c r="BX28" s="75"/>
      <c r="BY28" s="75"/>
      <c r="BZ28" s="75"/>
      <c r="CA28" s="75"/>
      <c r="CB28" s="75"/>
      <c r="CC28" s="75"/>
      <c r="CD28" s="75"/>
      <c r="CE28" s="75"/>
      <c r="CF28" s="75"/>
      <c r="CG28" s="75"/>
      <c r="CH28" s="75"/>
      <c r="CI28" s="75"/>
      <c r="CJ28" s="75"/>
      <c r="CK28" s="75"/>
      <c r="CL28" s="75"/>
    </row>
    <row r="29" spans="1:90" ht="13.5" customHeight="1">
      <c r="A29" s="76"/>
      <c r="B29" s="76"/>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76"/>
      <c r="AR29" s="76"/>
      <c r="AS29" s="76"/>
      <c r="AT29" s="76"/>
      <c r="AU29" s="76"/>
      <c r="AV29" s="76"/>
      <c r="AW29" s="76"/>
      <c r="AX29" s="76"/>
      <c r="AY29" s="76"/>
      <c r="AZ29" s="76"/>
      <c r="BA29" s="76"/>
      <c r="BB29" s="76"/>
      <c r="BC29" s="76"/>
      <c r="BD29" s="76"/>
      <c r="BE29" s="76"/>
      <c r="BF29" s="76"/>
      <c r="BG29" s="76"/>
      <c r="BH29" s="76"/>
      <c r="BI29" s="76"/>
      <c r="BJ29" s="76"/>
      <c r="BK29" s="76"/>
      <c r="BL29" s="76"/>
      <c r="BM29" s="76"/>
      <c r="BN29" s="76"/>
      <c r="BO29" s="76"/>
      <c r="BP29" s="76"/>
      <c r="BQ29" s="76"/>
      <c r="BR29" s="76"/>
      <c r="BS29" s="76"/>
      <c r="BT29" s="76"/>
      <c r="BU29" s="76"/>
      <c r="BV29" s="75"/>
      <c r="BW29" s="75"/>
      <c r="BX29" s="75"/>
      <c r="BY29" s="75"/>
      <c r="BZ29" s="75"/>
      <c r="CA29" s="75"/>
      <c r="CB29" s="75"/>
      <c r="CC29" s="75"/>
      <c r="CD29" s="75"/>
      <c r="CE29" s="75"/>
      <c r="CF29" s="75"/>
      <c r="CG29" s="75"/>
      <c r="CH29" s="75"/>
      <c r="CI29" s="75"/>
      <c r="CJ29" s="75"/>
      <c r="CK29" s="75"/>
      <c r="CL29" s="75"/>
    </row>
    <row r="30" spans="1:90" ht="13.5" customHeight="1">
      <c r="A30" s="76"/>
      <c r="B30" s="76"/>
      <c r="C30" s="76"/>
      <c r="D30" s="76"/>
      <c r="E30" s="76"/>
      <c r="F30" s="76">
        <v>55</v>
      </c>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76"/>
      <c r="AR30" s="76"/>
      <c r="AS30" s="76"/>
      <c r="AT30" s="76"/>
      <c r="AU30" s="76"/>
      <c r="AV30" s="76"/>
      <c r="AW30" s="76"/>
      <c r="AX30" s="76"/>
      <c r="AY30" s="76"/>
      <c r="AZ30" s="76"/>
      <c r="BA30" s="76"/>
      <c r="BB30" s="76"/>
      <c r="BC30" s="76"/>
      <c r="BD30" s="76"/>
      <c r="BE30" s="76"/>
      <c r="BF30" s="76"/>
      <c r="BG30" s="76"/>
      <c r="BH30" s="76"/>
      <c r="BI30" s="76"/>
      <c r="BJ30" s="76"/>
      <c r="BK30" s="76"/>
      <c r="BL30" s="76"/>
      <c r="BM30" s="76"/>
      <c r="BN30" s="76"/>
      <c r="BO30" s="76"/>
      <c r="BP30" s="76"/>
      <c r="BQ30" s="76"/>
      <c r="BR30" s="76"/>
      <c r="BS30" s="76"/>
      <c r="BT30" s="76"/>
      <c r="BU30" s="76"/>
      <c r="BV30" s="75"/>
      <c r="BW30" s="75"/>
      <c r="BX30" s="75"/>
      <c r="BY30" s="75"/>
      <c r="BZ30" s="75"/>
      <c r="CA30" s="75"/>
      <c r="CB30" s="75"/>
      <c r="CC30" s="75"/>
      <c r="CD30" s="75"/>
      <c r="CE30" s="75"/>
      <c r="CF30" s="75"/>
      <c r="CG30" s="75"/>
      <c r="CH30" s="75"/>
      <c r="CI30" s="75"/>
      <c r="CJ30" s="75"/>
      <c r="CK30" s="75"/>
      <c r="CL30" s="75"/>
    </row>
    <row r="31" spans="1:90" ht="13.5" customHeight="1">
      <c r="A31" s="76"/>
      <c r="B31" s="76"/>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5"/>
      <c r="BW31" s="75"/>
      <c r="BX31" s="75"/>
      <c r="BY31" s="75"/>
      <c r="BZ31" s="75"/>
      <c r="CA31" s="75"/>
      <c r="CB31" s="75"/>
      <c r="CC31" s="75"/>
      <c r="CD31" s="75"/>
      <c r="CE31" s="75"/>
      <c r="CF31" s="75"/>
      <c r="CG31" s="75"/>
      <c r="CH31" s="75"/>
      <c r="CI31" s="75"/>
      <c r="CJ31" s="75"/>
      <c r="CK31" s="75"/>
      <c r="CL31" s="75"/>
    </row>
    <row r="32" spans="1:90" ht="13.5" customHeight="1">
      <c r="A32" s="76"/>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v>21</v>
      </c>
      <c r="AM32" s="76"/>
      <c r="AN32" s="76"/>
      <c r="AO32" s="76"/>
      <c r="AP32" s="76"/>
      <c r="AQ32" s="76" t="s">
        <v>2059</v>
      </c>
      <c r="AR32" s="76"/>
      <c r="AS32" s="76"/>
      <c r="AT32" s="76"/>
      <c r="AU32" s="76"/>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76"/>
      <c r="BU32" s="76"/>
      <c r="BV32" s="75"/>
      <c r="BW32" s="75"/>
      <c r="BX32" s="75"/>
      <c r="BY32" s="75"/>
      <c r="BZ32" s="75"/>
      <c r="CA32" s="75"/>
      <c r="CB32" s="75"/>
      <c r="CC32" s="75"/>
      <c r="CD32" s="75"/>
      <c r="CE32" s="75"/>
      <c r="CF32" s="75"/>
      <c r="CG32" s="75"/>
      <c r="CH32" s="75"/>
      <c r="CI32" s="75"/>
      <c r="CJ32" s="75"/>
      <c r="CK32" s="75"/>
      <c r="CL32" s="75"/>
    </row>
    <row r="33" spans="1:90" ht="13.5" customHeight="1">
      <c r="A33" s="76"/>
      <c r="B33" s="76"/>
      <c r="C33" s="76"/>
      <c r="D33" s="76"/>
      <c r="E33" s="76"/>
      <c r="F33" s="76"/>
      <c r="G33" s="76"/>
      <c r="H33" s="76"/>
      <c r="I33" s="76"/>
      <c r="J33" s="76"/>
      <c r="K33" s="76"/>
      <c r="L33" s="76"/>
      <c r="M33" s="76"/>
      <c r="N33" s="76"/>
      <c r="O33" s="76">
        <v>48</v>
      </c>
      <c r="P33" s="76"/>
      <c r="Q33" s="76"/>
      <c r="R33" s="76"/>
      <c r="S33" s="76"/>
      <c r="T33" s="76"/>
      <c r="U33" s="76">
        <v>64</v>
      </c>
      <c r="V33" s="76"/>
      <c r="W33" s="76"/>
      <c r="X33" s="76"/>
      <c r="Y33" s="76"/>
      <c r="Z33" s="76"/>
      <c r="AA33" s="76"/>
      <c r="AB33" s="76"/>
      <c r="AC33" s="76"/>
      <c r="AD33" s="76"/>
      <c r="AE33" s="76"/>
      <c r="AF33" s="76"/>
      <c r="AG33" s="76"/>
      <c r="AH33" s="76"/>
      <c r="AI33" s="76"/>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5"/>
      <c r="BW33" s="75"/>
      <c r="BX33" s="75"/>
      <c r="BY33" s="75"/>
      <c r="BZ33" s="75"/>
      <c r="CA33" s="75"/>
      <c r="CB33" s="75"/>
      <c r="CC33" s="75"/>
      <c r="CD33" s="75"/>
      <c r="CE33" s="75"/>
      <c r="CF33" s="75"/>
      <c r="CG33" s="75"/>
      <c r="CH33" s="75"/>
      <c r="CI33" s="75"/>
      <c r="CJ33" s="75"/>
      <c r="CK33" s="75"/>
      <c r="CL33" s="75"/>
    </row>
    <row r="34" spans="1:90" ht="12.75" customHeight="1">
      <c r="A34" s="76"/>
      <c r="B34" s="76"/>
      <c r="C34" s="76"/>
      <c r="D34" s="76"/>
      <c r="E34" s="76"/>
      <c r="F34" s="76"/>
      <c r="G34" s="76"/>
      <c r="H34" s="76"/>
      <c r="I34" s="76"/>
      <c r="J34" s="76"/>
      <c r="K34" s="76"/>
      <c r="L34" s="76"/>
      <c r="M34" s="76"/>
      <c r="N34" s="76"/>
      <c r="O34" s="76"/>
      <c r="P34" s="76"/>
      <c r="Q34" s="76"/>
      <c r="R34" s="76"/>
      <c r="S34" s="76"/>
      <c r="T34" s="76"/>
      <c r="U34" s="76"/>
      <c r="V34" s="76"/>
      <c r="W34" s="76"/>
      <c r="X34" s="76"/>
      <c r="Y34" s="76">
        <v>63</v>
      </c>
      <c r="Z34" s="76"/>
      <c r="AA34" s="76"/>
      <c r="AB34" s="76"/>
      <c r="AC34" s="76"/>
      <c r="AD34" s="76"/>
      <c r="AE34" s="76"/>
      <c r="AF34" s="76"/>
      <c r="AG34" s="76"/>
      <c r="AH34" s="76"/>
      <c r="AI34" s="76"/>
      <c r="AJ34" s="76"/>
      <c r="AK34" s="76"/>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5"/>
      <c r="BW34" s="75"/>
      <c r="BX34" s="75"/>
      <c r="BY34" s="75"/>
      <c r="BZ34" s="75"/>
      <c r="CA34" s="75"/>
      <c r="CB34" s="75"/>
      <c r="CC34" s="75"/>
      <c r="CD34" s="75"/>
      <c r="CE34" s="75"/>
      <c r="CF34" s="75"/>
      <c r="CG34" s="75"/>
      <c r="CH34" s="75"/>
      <c r="CI34" s="75"/>
      <c r="CJ34" s="75"/>
      <c r="CK34" s="75"/>
      <c r="CL34" s="75"/>
    </row>
    <row r="35" spans="1:90" ht="13.5" customHeight="1">
      <c r="A35" s="76"/>
      <c r="B35" s="76"/>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v>29</v>
      </c>
      <c r="AG35" s="76"/>
      <c r="AH35" s="76"/>
      <c r="AI35" s="76"/>
      <c r="AJ35" s="76"/>
      <c r="AK35" s="76"/>
      <c r="AL35" s="76"/>
      <c r="AM35" s="76"/>
      <c r="AN35" s="76"/>
      <c r="AO35" s="76"/>
      <c r="AP35" s="76"/>
      <c r="AQ35" s="76">
        <v>20</v>
      </c>
      <c r="AR35" s="76"/>
      <c r="AS35" s="76"/>
      <c r="AT35" s="76"/>
      <c r="AU35" s="76"/>
      <c r="AV35" s="76"/>
      <c r="AW35" s="76">
        <v>19</v>
      </c>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5"/>
      <c r="BW35" s="75"/>
      <c r="BX35" s="75"/>
      <c r="BY35" s="75"/>
      <c r="BZ35" s="75"/>
      <c r="CA35" s="75"/>
      <c r="CB35" s="75"/>
      <c r="CC35" s="75"/>
      <c r="CD35" s="75"/>
      <c r="CE35" s="75"/>
      <c r="CF35" s="75"/>
      <c r="CG35" s="75"/>
      <c r="CH35" s="75"/>
      <c r="CI35" s="75"/>
      <c r="CJ35" s="75"/>
      <c r="CK35" s="75"/>
      <c r="CL35" s="75"/>
    </row>
    <row r="36" spans="1:90" ht="13.5" customHeight="1">
      <c r="A36" s="76"/>
      <c r="B36" s="76"/>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v>30</v>
      </c>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v>22</v>
      </c>
      <c r="BC36" s="76"/>
      <c r="BD36" s="76"/>
      <c r="BE36" s="76"/>
      <c r="BF36" s="76"/>
      <c r="BG36" s="76"/>
      <c r="BH36" s="76"/>
      <c r="BI36" s="76"/>
      <c r="BJ36" s="76"/>
      <c r="BK36" s="76"/>
      <c r="BL36" s="76"/>
      <c r="BM36" s="76"/>
      <c r="BN36" s="76"/>
      <c r="BO36" s="76"/>
      <c r="BP36" s="76"/>
      <c r="BQ36" s="76"/>
      <c r="BR36" s="76"/>
      <c r="BS36" s="76"/>
      <c r="BT36" s="76"/>
      <c r="BU36" s="76"/>
      <c r="BV36" s="75"/>
      <c r="BW36" s="75"/>
      <c r="BX36" s="75"/>
      <c r="BY36" s="75"/>
      <c r="BZ36" s="75"/>
      <c r="CA36" s="75"/>
      <c r="CB36" s="75"/>
      <c r="CC36" s="75"/>
      <c r="CD36" s="75"/>
      <c r="CE36" s="75"/>
      <c r="CF36" s="75"/>
      <c r="CG36" s="75"/>
      <c r="CH36" s="75"/>
      <c r="CI36" s="75"/>
      <c r="CJ36" s="75"/>
      <c r="CK36" s="75"/>
      <c r="CL36" s="75"/>
    </row>
    <row r="37" spans="1:90" ht="13.5" customHeight="1">
      <c r="A37" s="76"/>
      <c r="B37" s="76"/>
      <c r="C37" s="76"/>
      <c r="D37" s="76"/>
      <c r="E37" s="76"/>
      <c r="F37" s="76"/>
      <c r="G37" s="76"/>
      <c r="H37" s="76"/>
      <c r="I37" s="76"/>
      <c r="J37" s="76"/>
      <c r="K37" s="76"/>
      <c r="L37" s="76"/>
      <c r="M37" s="76"/>
      <c r="N37" s="76"/>
      <c r="O37" s="76"/>
      <c r="P37" s="76">
        <v>47</v>
      </c>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5"/>
      <c r="BW37" s="75"/>
      <c r="BX37" s="75"/>
      <c r="BY37" s="75"/>
      <c r="BZ37" s="75"/>
      <c r="CA37" s="75"/>
      <c r="CB37" s="75"/>
      <c r="CC37" s="75"/>
      <c r="CD37" s="75"/>
      <c r="CE37" s="75"/>
      <c r="CF37" s="75"/>
      <c r="CG37" s="75"/>
      <c r="CH37" s="75"/>
      <c r="CI37" s="75"/>
      <c r="CJ37" s="75"/>
      <c r="CK37" s="75"/>
      <c r="CL37" s="75"/>
    </row>
    <row r="38" spans="1:90" ht="12.75" customHeight="1">
      <c r="A38" s="76"/>
      <c r="B38" s="76"/>
      <c r="C38" s="76"/>
      <c r="D38" s="76"/>
      <c r="E38" s="76"/>
      <c r="F38" s="76">
        <v>53</v>
      </c>
      <c r="G38" s="76"/>
      <c r="H38" s="76"/>
      <c r="I38" s="76"/>
      <c r="J38" s="76"/>
      <c r="K38" s="76"/>
      <c r="L38" s="76"/>
      <c r="M38" s="76"/>
      <c r="N38" s="76"/>
      <c r="O38" s="76"/>
      <c r="P38" s="76"/>
      <c r="Q38" s="76"/>
      <c r="R38" s="76"/>
      <c r="S38" s="76"/>
      <c r="T38" s="76"/>
      <c r="U38" s="76"/>
      <c r="V38" s="76"/>
      <c r="W38" s="76">
        <v>49</v>
      </c>
      <c r="X38" s="76"/>
      <c r="Y38" s="76"/>
      <c r="Z38" s="76"/>
      <c r="AA38" s="76"/>
      <c r="AB38" s="76"/>
      <c r="AC38" s="76"/>
      <c r="AD38" s="76"/>
      <c r="AE38" s="76">
        <v>31</v>
      </c>
      <c r="AF38" s="76"/>
      <c r="AG38" s="76"/>
      <c r="AH38" s="76"/>
      <c r="AI38" s="76"/>
      <c r="AJ38" s="76">
        <v>27</v>
      </c>
      <c r="AK38" s="76"/>
      <c r="AL38" s="76"/>
      <c r="AM38" s="76"/>
      <c r="AN38" s="76"/>
      <c r="AO38" s="76"/>
      <c r="AP38" s="76"/>
      <c r="AQ38" s="76"/>
      <c r="AR38" s="76"/>
      <c r="AS38" s="76"/>
      <c r="AT38" s="76"/>
      <c r="AU38" s="76"/>
      <c r="AV38" s="76"/>
      <c r="AW38" s="76"/>
      <c r="AX38" s="76"/>
      <c r="AY38" s="76"/>
      <c r="AZ38" s="76"/>
      <c r="BA38" s="76"/>
      <c r="BB38" s="76"/>
      <c r="BC38" s="76"/>
      <c r="BD38" s="76"/>
      <c r="BE38" s="76"/>
      <c r="BF38" s="76">
        <v>18</v>
      </c>
      <c r="BG38" s="76"/>
      <c r="BH38" s="76"/>
      <c r="BI38" s="76"/>
      <c r="BJ38" s="76"/>
      <c r="BK38" s="76"/>
      <c r="BL38" s="76"/>
      <c r="BM38" s="76"/>
      <c r="BN38" s="76"/>
      <c r="BO38" s="76"/>
      <c r="BP38" s="76"/>
      <c r="BQ38" s="76"/>
      <c r="BR38" s="76"/>
      <c r="BS38" s="76"/>
      <c r="BT38" s="76"/>
      <c r="BU38" s="76"/>
      <c r="BV38" s="75"/>
      <c r="BW38" s="75"/>
      <c r="BX38" s="75"/>
      <c r="BY38" s="75"/>
      <c r="BZ38" s="75"/>
      <c r="CA38" s="75"/>
      <c r="CB38" s="75"/>
      <c r="CC38" s="75"/>
      <c r="CD38" s="75"/>
      <c r="CE38" s="75"/>
      <c r="CF38" s="75"/>
      <c r="CG38" s="75"/>
      <c r="CH38" s="75"/>
      <c r="CI38" s="75"/>
      <c r="CJ38" s="75"/>
      <c r="CK38" s="75"/>
      <c r="CL38" s="75"/>
    </row>
    <row r="39" spans="1:90" ht="13.5" customHeight="1">
      <c r="A39" s="76"/>
      <c r="B39" s="76"/>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5"/>
      <c r="BW39" s="75"/>
      <c r="BX39" s="75"/>
      <c r="BY39" s="75"/>
      <c r="BZ39" s="75"/>
      <c r="CA39" s="75"/>
      <c r="CB39" s="75"/>
      <c r="CC39" s="75"/>
      <c r="CD39" s="75"/>
      <c r="CE39" s="75"/>
      <c r="CF39" s="75"/>
      <c r="CG39" s="75"/>
      <c r="CH39" s="75"/>
      <c r="CI39" s="75"/>
      <c r="CJ39" s="75"/>
      <c r="CK39" s="75"/>
      <c r="CL39" s="75"/>
    </row>
    <row r="40" spans="1:90" ht="12.75" customHeight="1">
      <c r="A40" s="76"/>
      <c r="B40" s="76"/>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v>26</v>
      </c>
      <c r="AN40" s="76"/>
      <c r="AO40" s="76"/>
      <c r="AP40" s="76"/>
      <c r="AQ40" s="76"/>
      <c r="AR40" s="76"/>
      <c r="AS40" s="76"/>
      <c r="AT40" s="76"/>
      <c r="AU40" s="76"/>
      <c r="AV40" s="76"/>
      <c r="AW40" s="76"/>
      <c r="AX40" s="76"/>
      <c r="AY40" s="76"/>
      <c r="AZ40" s="76"/>
      <c r="BA40" s="76"/>
      <c r="BB40" s="76"/>
      <c r="BC40" s="76"/>
      <c r="BD40" s="76"/>
      <c r="BE40" s="76"/>
      <c r="BF40" s="76"/>
      <c r="BG40" s="76"/>
      <c r="BH40" s="76"/>
      <c r="BI40" s="76"/>
      <c r="BJ40" s="76"/>
      <c r="BK40" s="76"/>
      <c r="BL40" s="76"/>
      <c r="BM40" s="76"/>
      <c r="BN40" s="76"/>
      <c r="BO40" s="76"/>
      <c r="BP40" s="76"/>
      <c r="BQ40" s="76"/>
      <c r="BR40" s="76"/>
      <c r="BS40" s="76"/>
      <c r="BT40" s="76"/>
      <c r="BU40" s="76"/>
      <c r="BV40" s="75"/>
      <c r="BW40" s="75"/>
      <c r="BX40" s="75"/>
      <c r="BY40" s="75"/>
      <c r="BZ40" s="75"/>
      <c r="CA40" s="75"/>
      <c r="CB40" s="75"/>
      <c r="CC40" s="75"/>
      <c r="CD40" s="75"/>
      <c r="CE40" s="75"/>
      <c r="CF40" s="75"/>
      <c r="CG40" s="75"/>
      <c r="CH40" s="75"/>
      <c r="CI40" s="75"/>
      <c r="CJ40" s="75"/>
      <c r="CK40" s="75"/>
      <c r="CL40" s="75"/>
    </row>
    <row r="41" spans="1:90" ht="13.5" customHeight="1">
      <c r="A41" s="76"/>
      <c r="B41" s="76"/>
      <c r="C41" s="76"/>
      <c r="D41" s="76"/>
      <c r="E41" s="76"/>
      <c r="F41" s="76"/>
      <c r="G41" s="76"/>
      <c r="H41" s="76"/>
      <c r="I41" s="76"/>
      <c r="J41" s="76">
        <v>51</v>
      </c>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5"/>
      <c r="BW41" s="75"/>
      <c r="BX41" s="75"/>
      <c r="BY41" s="75"/>
      <c r="BZ41" s="75"/>
      <c r="CA41" s="75"/>
      <c r="CB41" s="75"/>
      <c r="CC41" s="75"/>
      <c r="CD41" s="75"/>
      <c r="CE41" s="75"/>
      <c r="CF41" s="75"/>
      <c r="CG41" s="75"/>
      <c r="CH41" s="75"/>
      <c r="CI41" s="75"/>
      <c r="CJ41" s="75"/>
      <c r="CK41" s="75"/>
      <c r="CL41" s="75"/>
    </row>
    <row r="42" spans="1:90" ht="13.5" customHeight="1">
      <c r="A42" s="76"/>
      <c r="B42" s="76"/>
      <c r="C42" s="76"/>
      <c r="D42" s="76"/>
      <c r="E42" s="76"/>
      <c r="F42" s="76"/>
      <c r="G42" s="76"/>
      <c r="H42" s="76"/>
      <c r="I42" s="76"/>
      <c r="J42" s="76"/>
      <c r="K42" s="76"/>
      <c r="L42" s="76"/>
      <c r="M42" s="76"/>
      <c r="N42" s="76">
        <v>52</v>
      </c>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5"/>
      <c r="BW42" s="75"/>
      <c r="BX42" s="75"/>
      <c r="BY42" s="75"/>
      <c r="BZ42" s="75"/>
      <c r="CA42" s="75"/>
      <c r="CB42" s="75"/>
      <c r="CC42" s="75"/>
      <c r="CD42" s="75"/>
      <c r="CE42" s="75"/>
      <c r="CF42" s="75"/>
      <c r="CG42" s="75"/>
      <c r="CH42" s="75"/>
      <c r="CI42" s="75"/>
      <c r="CJ42" s="75"/>
      <c r="CK42" s="75"/>
      <c r="CL42" s="75"/>
    </row>
    <row r="43" spans="1:90" ht="13.5" customHeight="1">
      <c r="A43" s="76"/>
      <c r="B43" s="76"/>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v>50</v>
      </c>
      <c r="AE43" s="76"/>
      <c r="AF43" s="76"/>
      <c r="AG43" s="76"/>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c r="BO43" s="76"/>
      <c r="BP43" s="76">
        <v>17</v>
      </c>
      <c r="BQ43" s="76"/>
      <c r="BR43" s="76"/>
      <c r="BS43" s="76"/>
      <c r="BT43" s="76"/>
      <c r="BU43" s="76"/>
      <c r="BV43" s="75"/>
      <c r="BW43" s="75"/>
      <c r="BX43" s="75"/>
      <c r="BY43" s="75"/>
      <c r="BZ43" s="75"/>
      <c r="CA43" s="75"/>
      <c r="CB43" s="75"/>
      <c r="CC43" s="75"/>
      <c r="CD43" s="75"/>
      <c r="CE43" s="75"/>
      <c r="CF43" s="75"/>
      <c r="CG43" s="75"/>
      <c r="CH43" s="75"/>
      <c r="CI43" s="75"/>
      <c r="CJ43" s="75"/>
      <c r="CK43" s="75"/>
      <c r="CL43" s="75"/>
    </row>
    <row r="44" spans="1:90" ht="13.5" customHeight="1">
      <c r="A44" s="76"/>
      <c r="B44" s="76"/>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v>25</v>
      </c>
      <c r="AL44" s="76"/>
      <c r="AM44" s="76"/>
      <c r="AN44" s="76"/>
      <c r="AO44" s="76"/>
      <c r="AP44" s="76"/>
      <c r="AQ44" s="76"/>
      <c r="AR44" s="76"/>
      <c r="AS44" s="76"/>
      <c r="AT44" s="76"/>
      <c r="AU44" s="76"/>
      <c r="AV44" s="76"/>
      <c r="AW44" s="76"/>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c r="BV44" s="75"/>
      <c r="BW44" s="75"/>
      <c r="BX44" s="75"/>
      <c r="BY44" s="75"/>
      <c r="BZ44" s="75"/>
      <c r="CA44" s="75"/>
      <c r="CB44" s="75"/>
      <c r="CC44" s="75"/>
      <c r="CD44" s="75"/>
      <c r="CE44" s="75"/>
      <c r="CF44" s="75"/>
      <c r="CG44" s="75"/>
      <c r="CH44" s="75"/>
      <c r="CI44" s="75"/>
      <c r="CJ44" s="75"/>
      <c r="CK44" s="75"/>
      <c r="CL44" s="75"/>
    </row>
    <row r="45" spans="1:90" ht="12.75" customHeight="1">
      <c r="A45" s="76"/>
      <c r="B45" s="76"/>
      <c r="C45" s="76"/>
      <c r="D45" s="76"/>
      <c r="E45" s="76"/>
      <c r="F45" s="76"/>
      <c r="G45" s="76"/>
      <c r="H45" s="76"/>
      <c r="I45" s="76"/>
      <c r="J45" s="76"/>
      <c r="K45" s="76"/>
      <c r="L45" s="76"/>
      <c r="M45" s="76"/>
      <c r="N45" s="76"/>
      <c r="O45" s="76"/>
      <c r="P45" s="76"/>
      <c r="Q45" s="76"/>
      <c r="R45" s="76"/>
      <c r="S45" s="76"/>
      <c r="T45" s="76"/>
      <c r="U45" s="76">
        <v>46</v>
      </c>
      <c r="V45" s="76"/>
      <c r="W45" s="76"/>
      <c r="X45" s="76"/>
      <c r="Y45" s="76"/>
      <c r="Z45" s="76"/>
      <c r="AA45" s="76"/>
      <c r="AB45" s="76"/>
      <c r="AC45" s="76"/>
      <c r="AD45" s="76"/>
      <c r="AE45" s="76"/>
      <c r="AF45" s="76"/>
      <c r="AG45" s="76"/>
      <c r="AH45" s="76"/>
      <c r="AI45" s="76"/>
      <c r="AJ45" s="76"/>
      <c r="AK45" s="76"/>
      <c r="AL45" s="76"/>
      <c r="AM45" s="76"/>
      <c r="AN45" s="76"/>
      <c r="AO45" s="76"/>
      <c r="AP45" s="76"/>
      <c r="AQ45" s="76"/>
      <c r="AR45" s="76"/>
      <c r="AS45" s="76"/>
      <c r="AT45" s="76"/>
      <c r="AU45" s="76"/>
      <c r="AV45" s="76"/>
      <c r="AW45" s="76"/>
      <c r="AX45" s="76"/>
      <c r="AY45" s="76"/>
      <c r="AZ45" s="76"/>
      <c r="BA45" s="76">
        <v>24</v>
      </c>
      <c r="BB45" s="76"/>
      <c r="BC45" s="76"/>
      <c r="BD45" s="76"/>
      <c r="BE45" s="76"/>
      <c r="BF45" s="76"/>
      <c r="BG45" s="76"/>
      <c r="BH45" s="76"/>
      <c r="BI45" s="76"/>
      <c r="BJ45" s="76"/>
      <c r="BK45" s="76"/>
      <c r="BL45" s="76"/>
      <c r="BM45" s="76"/>
      <c r="BN45" s="76"/>
      <c r="BO45" s="76"/>
      <c r="BP45" s="76"/>
      <c r="BQ45" s="76"/>
      <c r="BR45" s="76"/>
      <c r="BS45" s="76"/>
      <c r="BT45" s="76"/>
      <c r="BU45" s="76"/>
      <c r="BV45" s="75"/>
      <c r="BW45" s="75"/>
      <c r="BX45" s="75"/>
      <c r="BY45" s="75"/>
      <c r="BZ45" s="75"/>
      <c r="CA45" s="75"/>
      <c r="CB45" s="75"/>
      <c r="CC45" s="75"/>
      <c r="CD45" s="75"/>
      <c r="CE45" s="75"/>
      <c r="CF45" s="75"/>
      <c r="CG45" s="75"/>
      <c r="CH45" s="75"/>
      <c r="CI45" s="75"/>
      <c r="CJ45" s="75"/>
      <c r="CK45" s="75"/>
      <c r="CL45" s="75"/>
    </row>
    <row r="46" spans="1:90" ht="13.5" customHeight="1">
      <c r="A46" s="76"/>
      <c r="B46" s="76"/>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v>23</v>
      </c>
      <c r="BM46" s="76"/>
      <c r="BN46" s="76"/>
      <c r="BO46" s="76"/>
      <c r="BP46" s="76"/>
      <c r="BQ46" s="76"/>
      <c r="BR46" s="76"/>
      <c r="BS46" s="76"/>
      <c r="BT46" s="76"/>
      <c r="BU46" s="76"/>
      <c r="BV46" s="75"/>
      <c r="BW46" s="75"/>
      <c r="BX46" s="75"/>
      <c r="BY46" s="75"/>
      <c r="BZ46" s="75"/>
      <c r="CA46" s="75"/>
      <c r="CB46" s="75"/>
      <c r="CC46" s="75"/>
      <c r="CD46" s="75"/>
      <c r="CE46" s="75"/>
      <c r="CF46" s="75"/>
      <c r="CG46" s="75"/>
      <c r="CH46" s="75"/>
      <c r="CI46" s="75"/>
      <c r="CJ46" s="75"/>
      <c r="CK46" s="75"/>
      <c r="CL46" s="75"/>
    </row>
    <row r="47" spans="1:90" ht="13.5" customHeight="1">
      <c r="A47" s="76"/>
      <c r="B47" s="76"/>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5"/>
      <c r="BW47" s="75"/>
      <c r="BX47" s="75"/>
      <c r="BY47" s="75"/>
      <c r="BZ47" s="75"/>
      <c r="CA47" s="75"/>
      <c r="CB47" s="75"/>
      <c r="CC47" s="75"/>
      <c r="CD47" s="75"/>
      <c r="CE47" s="75"/>
      <c r="CF47" s="75"/>
      <c r="CG47" s="75"/>
      <c r="CH47" s="75"/>
      <c r="CI47" s="75"/>
      <c r="CJ47" s="75"/>
      <c r="CK47" s="75"/>
      <c r="CL47" s="75"/>
    </row>
    <row r="48" spans="1:90" ht="13.5" customHeight="1">
      <c r="A48" s="76"/>
      <c r="B48" s="76"/>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c r="AR48" s="76"/>
      <c r="AS48" s="76"/>
      <c r="AT48" s="76"/>
      <c r="AU48" s="76"/>
      <c r="AV48" s="76"/>
      <c r="AW48" s="76"/>
      <c r="AX48" s="76"/>
      <c r="AY48" s="76"/>
      <c r="AZ48" s="76"/>
      <c r="BA48" s="76"/>
      <c r="BB48" s="76"/>
      <c r="BC48" s="76"/>
      <c r="BD48" s="76"/>
      <c r="BE48" s="76"/>
      <c r="BF48" s="76"/>
      <c r="BG48" s="76"/>
      <c r="BH48" s="76"/>
      <c r="BI48" s="76"/>
      <c r="BJ48" s="76"/>
      <c r="BK48" s="76"/>
      <c r="BL48" s="76"/>
      <c r="BM48" s="76"/>
      <c r="BN48" s="76"/>
      <c r="BO48" s="76"/>
      <c r="BP48" s="76"/>
      <c r="BQ48" s="76"/>
      <c r="BR48" s="76"/>
      <c r="BS48" s="76"/>
      <c r="BT48" s="76"/>
      <c r="BU48" s="76"/>
      <c r="BV48" s="75"/>
      <c r="BW48" s="75"/>
      <c r="BX48" s="75"/>
      <c r="BY48" s="75"/>
      <c r="BZ48" s="75"/>
      <c r="CA48" s="75"/>
      <c r="CB48" s="75"/>
      <c r="CC48" s="75"/>
      <c r="CD48" s="75"/>
      <c r="CE48" s="75"/>
      <c r="CF48" s="75"/>
      <c r="CG48" s="75"/>
      <c r="CH48" s="75"/>
      <c r="CI48" s="75"/>
      <c r="CJ48" s="75"/>
      <c r="CK48" s="75"/>
      <c r="CL48" s="75"/>
    </row>
    <row r="49" spans="1:90" ht="19.5" customHeight="1">
      <c r="A49" s="76"/>
      <c r="B49" s="76"/>
      <c r="C49" s="76"/>
      <c r="D49" s="76"/>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c r="BG49" s="76"/>
      <c r="BH49" s="76"/>
      <c r="BI49" s="76"/>
      <c r="BJ49" s="76"/>
      <c r="BK49" s="76"/>
      <c r="BL49" s="76"/>
      <c r="BM49" s="76"/>
      <c r="BN49" s="76"/>
      <c r="BO49" s="76"/>
      <c r="BP49" s="76"/>
      <c r="BQ49" s="76"/>
      <c r="BR49" s="76"/>
      <c r="BS49" s="76"/>
      <c r="BT49" s="76"/>
      <c r="BU49" s="76"/>
      <c r="BV49" s="75"/>
      <c r="BW49" s="75"/>
      <c r="BX49" s="75"/>
      <c r="BY49" s="75"/>
      <c r="BZ49" s="75"/>
      <c r="CA49" s="75"/>
      <c r="CB49" s="75"/>
      <c r="CC49" s="75"/>
      <c r="CD49" s="75"/>
      <c r="CE49" s="75"/>
      <c r="CF49" s="75"/>
      <c r="CG49" s="75"/>
      <c r="CH49" s="75"/>
      <c r="CI49" s="75"/>
      <c r="CJ49" s="75"/>
      <c r="CK49" s="75"/>
      <c r="CL49" s="75"/>
    </row>
  </sheetData>
  <printOptions gridLines="1"/>
  <pageMargins left="0.70866141732283472" right="0.70866141732283472" top="0.74803149606299213" bottom="0.74803149606299213" header="0.31496062992125984" footer="0.31496062992125984"/>
  <pageSetup paperSize="9" orientation="portrait" r:id="rId1"/>
  <headerFooter>
    <oddFooter>&amp;F</oddFooter>
  </headerFooter>
  <legacyDrawing r:id="rId2"/>
  <picture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3E19-007A-4CF0-B772-00BF5386565E}">
  <sheetPr codeName="Аркуш30"/>
  <dimension ref="B2:M63"/>
  <sheetViews>
    <sheetView showGridLines="0" workbookViewId="0">
      <selection activeCell="B2" sqref="B2:B3"/>
    </sheetView>
  </sheetViews>
  <sheetFormatPr defaultRowHeight="14.25"/>
  <cols>
    <col min="1" max="1" width="3.88671875" style="75" customWidth="1"/>
    <col min="2" max="2" width="6.5546875" style="75" customWidth="1"/>
    <col min="3" max="3" width="17" style="75" customWidth="1"/>
    <col min="4" max="4" width="11.109375" style="75" customWidth="1"/>
    <col min="5" max="5" width="9.88671875" style="75" customWidth="1"/>
    <col min="6" max="6" width="7.109375" style="75" customWidth="1"/>
    <col min="7" max="7" width="6.109375" style="75" customWidth="1"/>
    <col min="8" max="8" width="15.6640625" style="75" customWidth="1"/>
    <col min="9" max="9" width="9.21875" style="75" customWidth="1"/>
    <col min="10" max="10" width="8.88671875" style="75"/>
    <col min="11" max="11" width="6.6640625" style="75" customWidth="1"/>
    <col min="12" max="12" width="19.109375" style="75" customWidth="1"/>
    <col min="13" max="13" width="9.109375" style="75" customWidth="1"/>
    <col min="14" max="16384" width="8.88671875" style="75"/>
  </cols>
  <sheetData>
    <row r="2" spans="2:13">
      <c r="B2" s="132" t="s">
        <v>2068</v>
      </c>
      <c r="C2" s="3947" t="s">
        <v>2067</v>
      </c>
      <c r="D2" s="3947"/>
      <c r="E2" s="3947"/>
    </row>
    <row r="3" spans="2:13">
      <c r="B3" s="132"/>
      <c r="C3" s="3948"/>
      <c r="D3" s="3948"/>
      <c r="E3" s="3948"/>
    </row>
    <row r="4" spans="2:13" ht="24">
      <c r="B4" s="129" t="s">
        <v>2066</v>
      </c>
      <c r="C4" s="130" t="s">
        <v>2065</v>
      </c>
      <c r="D4" s="130"/>
      <c r="E4" s="131"/>
      <c r="G4" s="129" t="s">
        <v>2066</v>
      </c>
      <c r="H4" s="130" t="s">
        <v>2065</v>
      </c>
      <c r="I4" s="130"/>
      <c r="K4" s="129" t="s">
        <v>2066</v>
      </c>
      <c r="L4" s="130" t="s">
        <v>2065</v>
      </c>
      <c r="M4" s="130"/>
    </row>
    <row r="5" spans="2:13">
      <c r="B5" s="81"/>
      <c r="D5" s="75" t="s">
        <v>2064</v>
      </c>
      <c r="E5" s="80" t="s">
        <v>2063</v>
      </c>
      <c r="G5" s="81"/>
      <c r="I5" s="80" t="s">
        <v>2062</v>
      </c>
      <c r="K5" s="81"/>
      <c r="M5" s="80" t="s">
        <v>2061</v>
      </c>
    </row>
    <row r="6" spans="2:13">
      <c r="B6" s="81"/>
      <c r="E6" s="80"/>
      <c r="G6" s="81"/>
      <c r="I6" s="80"/>
      <c r="K6" s="81"/>
      <c r="M6" s="80"/>
    </row>
    <row r="7" spans="2:13">
      <c r="B7" s="81"/>
      <c r="D7" s="75" t="str">
        <f>D5</f>
        <v>Monster note</v>
      </c>
      <c r="E7" s="80" t="s">
        <v>2063</v>
      </c>
      <c r="G7" s="81"/>
      <c r="I7" s="80" t="s">
        <v>2062</v>
      </c>
      <c r="K7" s="81"/>
      <c r="M7" s="80" t="s">
        <v>2061</v>
      </c>
    </row>
    <row r="8" spans="2:13">
      <c r="B8" s="81"/>
      <c r="E8" s="80"/>
      <c r="G8" s="81"/>
      <c r="I8" s="80"/>
      <c r="K8" s="81"/>
      <c r="M8" s="80"/>
    </row>
    <row r="9" spans="2:13">
      <c r="B9" s="81"/>
      <c r="D9" s="75" t="s">
        <v>2064</v>
      </c>
      <c r="E9" s="80" t="s">
        <v>2063</v>
      </c>
      <c r="G9" s="81"/>
      <c r="I9" s="80" t="s">
        <v>2062</v>
      </c>
      <c r="K9" s="81"/>
      <c r="M9" s="80" t="s">
        <v>2061</v>
      </c>
    </row>
    <row r="10" spans="2:13">
      <c r="B10" s="81"/>
      <c r="E10" s="80"/>
      <c r="G10" s="81"/>
      <c r="I10" s="80"/>
      <c r="K10" s="81"/>
      <c r="M10" s="80"/>
    </row>
    <row r="11" spans="2:13">
      <c r="B11" s="81"/>
      <c r="D11" s="75" t="str">
        <f>D9</f>
        <v>Monster note</v>
      </c>
      <c r="E11" s="80" t="s">
        <v>2063</v>
      </c>
      <c r="G11" s="81"/>
      <c r="I11" s="80" t="s">
        <v>2062</v>
      </c>
      <c r="K11" s="81"/>
      <c r="M11" s="80" t="s">
        <v>2061</v>
      </c>
    </row>
    <row r="12" spans="2:13">
      <c r="B12" s="81"/>
      <c r="E12" s="80"/>
      <c r="G12" s="81"/>
      <c r="I12" s="80"/>
      <c r="K12" s="81"/>
      <c r="M12" s="80"/>
    </row>
    <row r="13" spans="2:13">
      <c r="B13" s="81"/>
      <c r="D13" s="75" t="s">
        <v>2064</v>
      </c>
      <c r="E13" s="80" t="s">
        <v>2063</v>
      </c>
      <c r="G13" s="81"/>
      <c r="I13" s="80" t="s">
        <v>2062</v>
      </c>
      <c r="K13" s="81"/>
      <c r="M13" s="80" t="s">
        <v>2061</v>
      </c>
    </row>
    <row r="14" spans="2:13">
      <c r="B14" s="81"/>
      <c r="E14" s="80"/>
      <c r="G14" s="81"/>
      <c r="I14" s="80"/>
      <c r="K14" s="81"/>
      <c r="M14" s="80"/>
    </row>
    <row r="15" spans="2:13">
      <c r="B15" s="81"/>
      <c r="D15" s="75" t="str">
        <f>D13</f>
        <v>Monster note</v>
      </c>
      <c r="E15" s="80" t="s">
        <v>2063</v>
      </c>
      <c r="G15" s="81"/>
      <c r="I15" s="80" t="s">
        <v>2062</v>
      </c>
      <c r="K15" s="81"/>
      <c r="M15" s="80" t="s">
        <v>2061</v>
      </c>
    </row>
    <row r="16" spans="2:13">
      <c r="B16" s="81"/>
      <c r="E16" s="80"/>
      <c r="G16" s="81"/>
      <c r="I16" s="80"/>
      <c r="K16" s="81"/>
      <c r="M16" s="80"/>
    </row>
    <row r="17" spans="2:13">
      <c r="B17" s="81"/>
      <c r="D17" s="75" t="s">
        <v>2064</v>
      </c>
      <c r="E17" s="80" t="s">
        <v>2063</v>
      </c>
      <c r="G17" s="81"/>
      <c r="I17" s="80" t="s">
        <v>2062</v>
      </c>
      <c r="K17" s="81"/>
      <c r="M17" s="80" t="s">
        <v>2061</v>
      </c>
    </row>
    <row r="18" spans="2:13">
      <c r="B18" s="81"/>
      <c r="E18" s="80"/>
      <c r="G18" s="81"/>
      <c r="I18" s="80"/>
      <c r="K18" s="81"/>
      <c r="M18" s="80"/>
    </row>
    <row r="19" spans="2:13">
      <c r="B19" s="81"/>
      <c r="D19" s="75" t="str">
        <f>D17</f>
        <v>Monster note</v>
      </c>
      <c r="E19" s="80" t="s">
        <v>2063</v>
      </c>
      <c r="G19" s="81"/>
      <c r="I19" s="80" t="s">
        <v>2062</v>
      </c>
      <c r="K19" s="81"/>
      <c r="M19" s="80" t="s">
        <v>2061</v>
      </c>
    </row>
    <row r="20" spans="2:13">
      <c r="B20" s="81"/>
      <c r="E20" s="80"/>
      <c r="G20" s="81"/>
      <c r="I20" s="80"/>
      <c r="K20" s="81"/>
      <c r="M20" s="80"/>
    </row>
    <row r="21" spans="2:13">
      <c r="B21" s="81"/>
      <c r="D21" s="75" t="s">
        <v>2064</v>
      </c>
      <c r="E21" s="80" t="s">
        <v>2063</v>
      </c>
      <c r="G21" s="81"/>
      <c r="I21" s="80" t="s">
        <v>2062</v>
      </c>
      <c r="K21" s="81"/>
      <c r="M21" s="80" t="s">
        <v>2061</v>
      </c>
    </row>
    <row r="22" spans="2:13">
      <c r="B22" s="81"/>
      <c r="E22" s="80"/>
      <c r="G22" s="81"/>
      <c r="I22" s="80"/>
      <c r="K22" s="81"/>
      <c r="M22" s="80"/>
    </row>
    <row r="23" spans="2:13">
      <c r="B23" s="81"/>
      <c r="D23" s="75" t="str">
        <f>D21</f>
        <v>Monster note</v>
      </c>
      <c r="E23" s="80" t="s">
        <v>2063</v>
      </c>
      <c r="G23" s="81"/>
      <c r="I23" s="80" t="s">
        <v>2062</v>
      </c>
      <c r="K23" s="81"/>
      <c r="M23" s="80" t="s">
        <v>2061</v>
      </c>
    </row>
    <row r="24" spans="2:13">
      <c r="B24" s="81"/>
      <c r="E24" s="80"/>
      <c r="G24" s="81"/>
      <c r="I24" s="80"/>
      <c r="K24" s="81"/>
      <c r="M24" s="80"/>
    </row>
    <row r="25" spans="2:13">
      <c r="B25" s="81"/>
      <c r="D25" s="75" t="s">
        <v>2064</v>
      </c>
      <c r="E25" s="80" t="s">
        <v>2063</v>
      </c>
      <c r="G25" s="81"/>
      <c r="I25" s="80" t="s">
        <v>2062</v>
      </c>
      <c r="K25" s="81"/>
      <c r="M25" s="80" t="s">
        <v>2061</v>
      </c>
    </row>
    <row r="26" spans="2:13">
      <c r="B26" s="81"/>
      <c r="E26" s="80"/>
      <c r="G26" s="81"/>
      <c r="I26" s="80"/>
      <c r="K26" s="81"/>
      <c r="M26" s="80"/>
    </row>
    <row r="27" spans="2:13">
      <c r="B27" s="81"/>
      <c r="D27" s="75" t="str">
        <f>D25</f>
        <v>Monster note</v>
      </c>
      <c r="E27" s="80" t="s">
        <v>2063</v>
      </c>
      <c r="G27" s="81"/>
      <c r="I27" s="80" t="s">
        <v>2062</v>
      </c>
      <c r="K27" s="81"/>
      <c r="M27" s="80" t="s">
        <v>2061</v>
      </c>
    </row>
    <row r="28" spans="2:13">
      <c r="B28" s="81"/>
      <c r="E28" s="80"/>
      <c r="G28" s="81"/>
      <c r="I28" s="80"/>
      <c r="K28" s="81"/>
      <c r="M28" s="80"/>
    </row>
    <row r="29" spans="2:13">
      <c r="B29" s="81"/>
      <c r="D29" s="75" t="s">
        <v>2064</v>
      </c>
      <c r="E29" s="80" t="s">
        <v>2063</v>
      </c>
      <c r="G29" s="81"/>
      <c r="I29" s="80" t="s">
        <v>2062</v>
      </c>
      <c r="K29" s="81"/>
      <c r="M29" s="80" t="s">
        <v>2061</v>
      </c>
    </row>
    <row r="30" spans="2:13">
      <c r="B30" s="81"/>
      <c r="E30" s="80"/>
      <c r="G30" s="81"/>
      <c r="I30" s="80"/>
      <c r="K30" s="81"/>
      <c r="M30" s="80"/>
    </row>
    <row r="31" spans="2:13">
      <c r="B31" s="81"/>
      <c r="D31" s="75" t="str">
        <f>D29</f>
        <v>Monster note</v>
      </c>
      <c r="E31" s="80" t="s">
        <v>2063</v>
      </c>
      <c r="G31" s="81"/>
      <c r="I31" s="80" t="s">
        <v>2062</v>
      </c>
      <c r="K31" s="81"/>
      <c r="M31" s="80" t="s">
        <v>2061</v>
      </c>
    </row>
    <row r="32" spans="2:13">
      <c r="B32" s="81"/>
      <c r="E32" s="80"/>
      <c r="G32" s="81"/>
      <c r="I32" s="80"/>
      <c r="K32" s="81"/>
      <c r="M32" s="80"/>
    </row>
    <row r="33" spans="2:13">
      <c r="B33" s="81"/>
      <c r="D33" s="75" t="s">
        <v>2064</v>
      </c>
      <c r="E33" s="80" t="s">
        <v>2063</v>
      </c>
      <c r="G33" s="81"/>
      <c r="I33" s="80" t="s">
        <v>2062</v>
      </c>
      <c r="K33" s="81"/>
      <c r="M33" s="80" t="s">
        <v>2061</v>
      </c>
    </row>
    <row r="34" spans="2:13">
      <c r="B34" s="81"/>
      <c r="E34" s="80"/>
      <c r="G34" s="81"/>
      <c r="I34" s="80"/>
      <c r="K34" s="81"/>
      <c r="M34" s="80"/>
    </row>
    <row r="35" spans="2:13">
      <c r="B35" s="81"/>
      <c r="D35" s="75" t="str">
        <f>D33</f>
        <v>Monster note</v>
      </c>
      <c r="E35" s="80" t="s">
        <v>2063</v>
      </c>
      <c r="G35" s="81"/>
      <c r="I35" s="80" t="s">
        <v>2062</v>
      </c>
      <c r="K35" s="81"/>
      <c r="M35" s="80" t="s">
        <v>2061</v>
      </c>
    </row>
    <row r="36" spans="2:13">
      <c r="B36" s="81"/>
      <c r="E36" s="80"/>
      <c r="G36" s="81"/>
      <c r="I36" s="80"/>
      <c r="K36" s="81"/>
      <c r="M36" s="80"/>
    </row>
    <row r="37" spans="2:13">
      <c r="B37" s="81"/>
      <c r="D37" s="75" t="s">
        <v>2064</v>
      </c>
      <c r="E37" s="80" t="s">
        <v>2063</v>
      </c>
      <c r="G37" s="81"/>
      <c r="I37" s="80" t="s">
        <v>2062</v>
      </c>
      <c r="K37" s="81"/>
      <c r="M37" s="80" t="s">
        <v>2061</v>
      </c>
    </row>
    <row r="38" spans="2:13">
      <c r="B38" s="81"/>
      <c r="E38" s="80"/>
      <c r="G38" s="81"/>
      <c r="I38" s="80"/>
      <c r="K38" s="81"/>
      <c r="M38" s="80"/>
    </row>
    <row r="39" spans="2:13">
      <c r="B39" s="81"/>
      <c r="D39" s="75" t="str">
        <f>D37</f>
        <v>Monster note</v>
      </c>
      <c r="E39" s="80" t="s">
        <v>2063</v>
      </c>
      <c r="G39" s="81"/>
      <c r="I39" s="80" t="s">
        <v>2062</v>
      </c>
      <c r="K39" s="81"/>
      <c r="M39" s="80" t="s">
        <v>2061</v>
      </c>
    </row>
    <row r="40" spans="2:13">
      <c r="B40" s="81"/>
      <c r="E40" s="80"/>
      <c r="G40" s="81"/>
      <c r="I40" s="80"/>
      <c r="K40" s="81"/>
      <c r="M40" s="80"/>
    </row>
    <row r="41" spans="2:13">
      <c r="B41" s="81"/>
      <c r="D41" s="75" t="s">
        <v>2064</v>
      </c>
      <c r="E41" s="80" t="s">
        <v>2063</v>
      </c>
      <c r="G41" s="81"/>
      <c r="I41" s="80" t="s">
        <v>2062</v>
      </c>
      <c r="K41" s="81"/>
      <c r="M41" s="80" t="s">
        <v>2061</v>
      </c>
    </row>
    <row r="42" spans="2:13">
      <c r="B42" s="81"/>
      <c r="E42" s="80"/>
      <c r="G42" s="81"/>
      <c r="I42" s="80"/>
      <c r="K42" s="81"/>
      <c r="M42" s="80"/>
    </row>
    <row r="43" spans="2:13">
      <c r="B43" s="81"/>
      <c r="D43" s="75" t="str">
        <f>D41</f>
        <v>Monster note</v>
      </c>
      <c r="E43" s="80" t="s">
        <v>2063</v>
      </c>
      <c r="G43" s="81"/>
      <c r="I43" s="80" t="s">
        <v>2062</v>
      </c>
      <c r="K43" s="81"/>
      <c r="M43" s="80" t="s">
        <v>2061</v>
      </c>
    </row>
    <row r="44" spans="2:13">
      <c r="B44" s="81"/>
      <c r="E44" s="80"/>
      <c r="G44" s="81"/>
      <c r="I44" s="80"/>
      <c r="K44" s="81"/>
      <c r="M44" s="80"/>
    </row>
    <row r="45" spans="2:13">
      <c r="B45" s="81"/>
      <c r="D45" s="75" t="s">
        <v>2064</v>
      </c>
      <c r="E45" s="80" t="s">
        <v>2063</v>
      </c>
      <c r="G45" s="81"/>
      <c r="I45" s="80" t="s">
        <v>2062</v>
      </c>
      <c r="K45" s="81"/>
      <c r="M45" s="80" t="s">
        <v>2061</v>
      </c>
    </row>
    <row r="46" spans="2:13">
      <c r="B46" s="81"/>
      <c r="E46" s="80"/>
      <c r="G46" s="81"/>
      <c r="I46" s="80"/>
      <c r="K46" s="81"/>
      <c r="M46" s="80"/>
    </row>
    <row r="47" spans="2:13">
      <c r="B47" s="81"/>
      <c r="D47" s="75" t="str">
        <f>D45</f>
        <v>Monster note</v>
      </c>
      <c r="E47" s="80" t="s">
        <v>2063</v>
      </c>
      <c r="G47" s="81"/>
      <c r="I47" s="80" t="s">
        <v>2062</v>
      </c>
      <c r="K47" s="81"/>
      <c r="M47" s="80" t="s">
        <v>2061</v>
      </c>
    </row>
    <row r="48" spans="2:13">
      <c r="B48" s="81"/>
      <c r="E48" s="80"/>
      <c r="G48" s="81"/>
      <c r="I48" s="80"/>
      <c r="K48" s="81"/>
      <c r="M48" s="80"/>
    </row>
    <row r="49" spans="2:13">
      <c r="B49" s="81"/>
      <c r="D49" s="75" t="s">
        <v>2064</v>
      </c>
      <c r="E49" s="80" t="s">
        <v>2063</v>
      </c>
      <c r="G49" s="81"/>
      <c r="I49" s="80" t="s">
        <v>2062</v>
      </c>
      <c r="K49" s="81"/>
      <c r="M49" s="80" t="s">
        <v>2061</v>
      </c>
    </row>
    <row r="50" spans="2:13">
      <c r="B50" s="81"/>
      <c r="E50" s="80"/>
      <c r="G50" s="81"/>
      <c r="I50" s="80"/>
      <c r="K50" s="81"/>
      <c r="M50" s="80"/>
    </row>
    <row r="51" spans="2:13">
      <c r="B51" s="81"/>
      <c r="D51" s="75" t="str">
        <f>D49</f>
        <v>Monster note</v>
      </c>
      <c r="E51" s="80" t="s">
        <v>2063</v>
      </c>
      <c r="G51" s="81"/>
      <c r="I51" s="80" t="s">
        <v>2062</v>
      </c>
      <c r="K51" s="81"/>
      <c r="M51" s="80" t="s">
        <v>2061</v>
      </c>
    </row>
    <row r="52" spans="2:13">
      <c r="B52" s="81"/>
      <c r="E52" s="80"/>
      <c r="G52" s="81"/>
      <c r="I52" s="80"/>
      <c r="K52" s="81"/>
      <c r="M52" s="80"/>
    </row>
    <row r="53" spans="2:13">
      <c r="B53" s="81"/>
      <c r="D53" s="75" t="s">
        <v>2064</v>
      </c>
      <c r="E53" s="80" t="s">
        <v>2063</v>
      </c>
      <c r="G53" s="81"/>
      <c r="I53" s="80" t="s">
        <v>2062</v>
      </c>
      <c r="K53" s="81"/>
      <c r="M53" s="80" t="s">
        <v>2061</v>
      </c>
    </row>
    <row r="54" spans="2:13">
      <c r="B54" s="81"/>
      <c r="E54" s="80"/>
      <c r="G54" s="81"/>
      <c r="I54" s="80"/>
      <c r="K54" s="81"/>
      <c r="M54" s="80"/>
    </row>
    <row r="55" spans="2:13">
      <c r="B55" s="81"/>
      <c r="D55" s="75" t="str">
        <f>D53</f>
        <v>Monster note</v>
      </c>
      <c r="E55" s="80" t="s">
        <v>2063</v>
      </c>
      <c r="G55" s="81"/>
      <c r="I55" s="80" t="s">
        <v>2062</v>
      </c>
      <c r="K55" s="81"/>
      <c r="M55" s="80" t="s">
        <v>2061</v>
      </c>
    </row>
    <row r="56" spans="2:13">
      <c r="B56" s="81"/>
      <c r="E56" s="80"/>
      <c r="G56" s="81"/>
      <c r="I56" s="80"/>
      <c r="K56" s="81"/>
      <c r="M56" s="80"/>
    </row>
    <row r="57" spans="2:13">
      <c r="B57" s="81"/>
      <c r="D57" s="75" t="s">
        <v>2064</v>
      </c>
      <c r="E57" s="80" t="s">
        <v>2063</v>
      </c>
      <c r="G57" s="81"/>
      <c r="I57" s="80" t="s">
        <v>2062</v>
      </c>
      <c r="K57" s="81"/>
      <c r="M57" s="80" t="s">
        <v>2061</v>
      </c>
    </row>
    <row r="58" spans="2:13">
      <c r="B58" s="81"/>
      <c r="E58" s="80"/>
      <c r="G58" s="81"/>
      <c r="I58" s="80"/>
      <c r="K58" s="81"/>
      <c r="M58" s="80"/>
    </row>
    <row r="59" spans="2:13">
      <c r="B59" s="81"/>
      <c r="D59" s="75" t="str">
        <f>D57</f>
        <v>Monster note</v>
      </c>
      <c r="E59" s="80" t="s">
        <v>2063</v>
      </c>
      <c r="G59" s="81"/>
      <c r="I59" s="80" t="s">
        <v>2062</v>
      </c>
      <c r="K59" s="81"/>
      <c r="M59" s="80" t="s">
        <v>2061</v>
      </c>
    </row>
    <row r="60" spans="2:13">
      <c r="B60" s="81"/>
      <c r="E60" s="80"/>
      <c r="G60" s="81"/>
      <c r="I60" s="80"/>
      <c r="K60" s="81"/>
      <c r="M60" s="80"/>
    </row>
    <row r="61" spans="2:13">
      <c r="B61" s="81"/>
      <c r="D61" s="75" t="s">
        <v>2064</v>
      </c>
      <c r="E61" s="80" t="s">
        <v>2063</v>
      </c>
      <c r="G61" s="81"/>
      <c r="I61" s="80" t="s">
        <v>2062</v>
      </c>
      <c r="K61" s="81"/>
      <c r="M61" s="80" t="s">
        <v>2061</v>
      </c>
    </row>
    <row r="62" spans="2:13">
      <c r="B62" s="81"/>
      <c r="E62" s="80"/>
      <c r="G62" s="81"/>
      <c r="I62" s="80"/>
      <c r="K62" s="81"/>
      <c r="M62" s="80"/>
    </row>
    <row r="63" spans="2:13">
      <c r="B63" s="79"/>
      <c r="C63" s="78"/>
      <c r="D63" s="78" t="str">
        <f>D61</f>
        <v>Monster note</v>
      </c>
      <c r="E63" s="77" t="s">
        <v>2063</v>
      </c>
      <c r="G63" s="79"/>
      <c r="H63" s="78"/>
      <c r="I63" s="77" t="s">
        <v>2062</v>
      </c>
      <c r="K63" s="79"/>
      <c r="L63" s="78"/>
      <c r="M63" s="77" t="s">
        <v>2061</v>
      </c>
    </row>
  </sheetData>
  <mergeCells count="1">
    <mergeCell ref="C2:E3"/>
  </mergeCells>
  <conditionalFormatting sqref="A1:XFD1 A4:XFD1048576 A2:C2 A3:B3 F2:XFD3">
    <cfRule type="containsText" dxfId="384" priority="106" operator="containsText" text="Monster Note">
      <formula>NOT(ISERROR(SEARCH("Monster Note",A1)))</formula>
    </cfRule>
  </conditionalFormatting>
  <conditionalFormatting sqref="D7 D67 D11 D15 D19 D23 D27 D31 D35 D39 D43 D47 D51 D55 D59 D63">
    <cfRule type="containsText" dxfId="383" priority="105" operator="containsText" text="M">
      <formula>NOT(ISERROR(SEARCH("M",D7)))</formula>
    </cfRule>
  </conditionalFormatting>
  <conditionalFormatting sqref="A1:XFD1 A4:XFD1048576 A2:C2 A3:B3 F2:XFD3">
    <cfRule type="containsText" dxfId="382" priority="104" operator="containsText" text="Stat Block">
      <formula>NOT(ISERROR(SEARCH("Stat Block",A1)))</formula>
    </cfRule>
  </conditionalFormatting>
  <conditionalFormatting sqref="E7">
    <cfRule type="containsText" dxfId="381" priority="103" operator="containsText" text="Stat Block">
      <formula>NOT(ISERROR(SEARCH("Stat Block",E7)))</formula>
    </cfRule>
  </conditionalFormatting>
  <conditionalFormatting sqref="E9">
    <cfRule type="containsText" dxfId="380" priority="102" operator="containsText" text="Stat Block">
      <formula>NOT(ISERROR(SEARCH("Stat Block",E9)))</formula>
    </cfRule>
  </conditionalFormatting>
  <conditionalFormatting sqref="E11">
    <cfRule type="containsText" dxfId="379" priority="101" operator="containsText" text="Stat Block">
      <formula>NOT(ISERROR(SEARCH("Stat Block",E11)))</formula>
    </cfRule>
  </conditionalFormatting>
  <conditionalFormatting sqref="E13">
    <cfRule type="containsText" dxfId="378" priority="100" operator="containsText" text="Stat Block">
      <formula>NOT(ISERROR(SEARCH("Stat Block",E13)))</formula>
    </cfRule>
  </conditionalFormatting>
  <conditionalFormatting sqref="E15">
    <cfRule type="containsText" dxfId="377" priority="99" operator="containsText" text="Stat Block">
      <formula>NOT(ISERROR(SEARCH("Stat Block",E15)))</formula>
    </cfRule>
  </conditionalFormatting>
  <conditionalFormatting sqref="E17">
    <cfRule type="containsText" dxfId="376" priority="98" operator="containsText" text="Stat Block">
      <formula>NOT(ISERROR(SEARCH("Stat Block",E17)))</formula>
    </cfRule>
  </conditionalFormatting>
  <conditionalFormatting sqref="E19">
    <cfRule type="containsText" dxfId="375" priority="97" operator="containsText" text="Stat Block">
      <formula>NOT(ISERROR(SEARCH("Stat Block",E19)))</formula>
    </cfRule>
  </conditionalFormatting>
  <conditionalFormatting sqref="E21">
    <cfRule type="containsText" dxfId="374" priority="96" operator="containsText" text="Stat Block">
      <formula>NOT(ISERROR(SEARCH("Stat Block",E21)))</formula>
    </cfRule>
  </conditionalFormatting>
  <conditionalFormatting sqref="E23">
    <cfRule type="containsText" dxfId="373" priority="95" operator="containsText" text="Stat Block">
      <formula>NOT(ISERROR(SEARCH("Stat Block",E23)))</formula>
    </cfRule>
  </conditionalFormatting>
  <conditionalFormatting sqref="E25">
    <cfRule type="containsText" dxfId="372" priority="94" operator="containsText" text="Stat Block">
      <formula>NOT(ISERROR(SEARCH("Stat Block",E25)))</formula>
    </cfRule>
  </conditionalFormatting>
  <conditionalFormatting sqref="E27">
    <cfRule type="containsText" dxfId="371" priority="93" operator="containsText" text="Stat Block">
      <formula>NOT(ISERROR(SEARCH("Stat Block",E27)))</formula>
    </cfRule>
  </conditionalFormatting>
  <conditionalFormatting sqref="E29">
    <cfRule type="containsText" dxfId="370" priority="92" operator="containsText" text="Stat Block">
      <formula>NOT(ISERROR(SEARCH("Stat Block",E29)))</formula>
    </cfRule>
  </conditionalFormatting>
  <conditionalFormatting sqref="E31">
    <cfRule type="containsText" dxfId="369" priority="91" operator="containsText" text="Stat Block">
      <formula>NOT(ISERROR(SEARCH("Stat Block",E31)))</formula>
    </cfRule>
  </conditionalFormatting>
  <conditionalFormatting sqref="E33">
    <cfRule type="containsText" dxfId="368" priority="90" operator="containsText" text="Stat Block">
      <formula>NOT(ISERROR(SEARCH("Stat Block",E33)))</formula>
    </cfRule>
  </conditionalFormatting>
  <conditionalFormatting sqref="E35">
    <cfRule type="containsText" dxfId="367" priority="89" operator="containsText" text="Stat Block">
      <formula>NOT(ISERROR(SEARCH("Stat Block",E35)))</formula>
    </cfRule>
  </conditionalFormatting>
  <conditionalFormatting sqref="E37">
    <cfRule type="containsText" dxfId="366" priority="88" operator="containsText" text="Stat Block">
      <formula>NOT(ISERROR(SEARCH("Stat Block",E37)))</formula>
    </cfRule>
  </conditionalFormatting>
  <conditionalFormatting sqref="E39">
    <cfRule type="containsText" dxfId="365" priority="87" operator="containsText" text="Stat Block">
      <formula>NOT(ISERROR(SEARCH("Stat Block",E39)))</formula>
    </cfRule>
  </conditionalFormatting>
  <conditionalFormatting sqref="E41">
    <cfRule type="containsText" dxfId="364" priority="86" operator="containsText" text="Stat Block">
      <formula>NOT(ISERROR(SEARCH("Stat Block",E41)))</formula>
    </cfRule>
  </conditionalFormatting>
  <conditionalFormatting sqref="E43">
    <cfRule type="containsText" dxfId="363" priority="85" operator="containsText" text="Stat Block">
      <formula>NOT(ISERROR(SEARCH("Stat Block",E43)))</formula>
    </cfRule>
  </conditionalFormatting>
  <conditionalFormatting sqref="E45">
    <cfRule type="containsText" dxfId="362" priority="84" operator="containsText" text="Stat Block">
      <formula>NOT(ISERROR(SEARCH("Stat Block",E45)))</formula>
    </cfRule>
  </conditionalFormatting>
  <conditionalFormatting sqref="E47">
    <cfRule type="containsText" dxfId="361" priority="83" operator="containsText" text="Stat Block">
      <formula>NOT(ISERROR(SEARCH("Stat Block",E47)))</formula>
    </cfRule>
  </conditionalFormatting>
  <conditionalFormatting sqref="E49">
    <cfRule type="containsText" dxfId="360" priority="82" operator="containsText" text="Stat Block">
      <formula>NOT(ISERROR(SEARCH("Stat Block",E49)))</formula>
    </cfRule>
  </conditionalFormatting>
  <conditionalFormatting sqref="E51">
    <cfRule type="containsText" dxfId="359" priority="81" operator="containsText" text="Stat Block">
      <formula>NOT(ISERROR(SEARCH("Stat Block",E51)))</formula>
    </cfRule>
  </conditionalFormatting>
  <conditionalFormatting sqref="E53">
    <cfRule type="containsText" dxfId="358" priority="80" operator="containsText" text="Stat Block">
      <formula>NOT(ISERROR(SEARCH("Stat Block",E53)))</formula>
    </cfRule>
  </conditionalFormatting>
  <conditionalFormatting sqref="E55">
    <cfRule type="containsText" dxfId="357" priority="79" operator="containsText" text="Stat Block">
      <formula>NOT(ISERROR(SEARCH("Stat Block",E55)))</formula>
    </cfRule>
  </conditionalFormatting>
  <conditionalFormatting sqref="E57">
    <cfRule type="containsText" dxfId="356" priority="78" operator="containsText" text="Stat Block">
      <formula>NOT(ISERROR(SEARCH("Stat Block",E57)))</formula>
    </cfRule>
  </conditionalFormatting>
  <conditionalFormatting sqref="E59">
    <cfRule type="containsText" dxfId="355" priority="77" operator="containsText" text="Stat Block">
      <formula>NOT(ISERROR(SEARCH("Stat Block",E59)))</formula>
    </cfRule>
  </conditionalFormatting>
  <conditionalFormatting sqref="E61">
    <cfRule type="containsText" dxfId="354" priority="76" operator="containsText" text="Stat Block">
      <formula>NOT(ISERROR(SEARCH("Stat Block",E61)))</formula>
    </cfRule>
  </conditionalFormatting>
  <conditionalFormatting sqref="E63">
    <cfRule type="containsText" dxfId="353" priority="75" operator="containsText" text="Stat Block">
      <formula>NOT(ISERROR(SEARCH("Stat Block",E63)))</formula>
    </cfRule>
  </conditionalFormatting>
  <conditionalFormatting sqref="E65">
    <cfRule type="containsText" dxfId="352" priority="74" operator="containsText" text="Stat Block">
      <formula>NOT(ISERROR(SEARCH("Stat Block",E65)))</formula>
    </cfRule>
  </conditionalFormatting>
  <conditionalFormatting sqref="E67">
    <cfRule type="containsText" dxfId="351" priority="73" operator="containsText" text="Stat Block">
      <formula>NOT(ISERROR(SEARCH("Stat Block",E67)))</formula>
    </cfRule>
  </conditionalFormatting>
  <conditionalFormatting sqref="A1:XFD1 A4:XFD1048576 A2:C2 A3:B3 F2:XFD3">
    <cfRule type="containsText" dxfId="350" priority="72" operator="containsText" text="Item Note">
      <formula>NOT(ISERROR(SEARCH("Item Note",A1)))</formula>
    </cfRule>
  </conditionalFormatting>
  <conditionalFormatting sqref="A1:XFD1 A4:XFD1048576 A2:C2 A3:B3 F2:XFD3">
    <cfRule type="containsText" dxfId="349" priority="71" operator="containsText" text="NPC Note">
      <formula>NOT(ISERROR(SEARCH("NPC Note",A1)))</formula>
    </cfRule>
  </conditionalFormatting>
  <conditionalFormatting sqref="I7">
    <cfRule type="containsText" dxfId="348" priority="70" operator="containsText" text="Item Note">
      <formula>NOT(ISERROR(SEARCH("Item Note",I7)))</formula>
    </cfRule>
  </conditionalFormatting>
  <conditionalFormatting sqref="I9">
    <cfRule type="containsText" dxfId="347" priority="69" operator="containsText" text="Item Note">
      <formula>NOT(ISERROR(SEARCH("Item Note",I9)))</formula>
    </cfRule>
  </conditionalFormatting>
  <conditionalFormatting sqref="I11">
    <cfRule type="containsText" dxfId="346" priority="68" operator="containsText" text="Item Note">
      <formula>NOT(ISERROR(SEARCH("Item Note",I11)))</formula>
    </cfRule>
  </conditionalFormatting>
  <conditionalFormatting sqref="I13">
    <cfRule type="containsText" dxfId="345" priority="67" operator="containsText" text="Item Note">
      <formula>NOT(ISERROR(SEARCH("Item Note",I13)))</formula>
    </cfRule>
  </conditionalFormatting>
  <conditionalFormatting sqref="I15">
    <cfRule type="containsText" dxfId="344" priority="66" operator="containsText" text="Item Note">
      <formula>NOT(ISERROR(SEARCH("Item Note",I15)))</formula>
    </cfRule>
  </conditionalFormatting>
  <conditionalFormatting sqref="M63">
    <cfRule type="containsText" dxfId="343" priority="1" operator="containsText" text="NPC Note">
      <formula>NOT(ISERROR(SEARCH("NPC Note",M63)))</formula>
    </cfRule>
  </conditionalFormatting>
  <conditionalFormatting sqref="I17">
    <cfRule type="containsText" dxfId="342" priority="65" operator="containsText" text="Item Note">
      <formula>NOT(ISERROR(SEARCH("Item Note",I17)))</formula>
    </cfRule>
  </conditionalFormatting>
  <conditionalFormatting sqref="I19">
    <cfRule type="containsText" dxfId="341" priority="64" operator="containsText" text="Item Note">
      <formula>NOT(ISERROR(SEARCH("Item Note",I19)))</formula>
    </cfRule>
  </conditionalFormatting>
  <conditionalFormatting sqref="I21">
    <cfRule type="containsText" dxfId="340" priority="63" operator="containsText" text="Item Note">
      <formula>NOT(ISERROR(SEARCH("Item Note",I21)))</formula>
    </cfRule>
  </conditionalFormatting>
  <conditionalFormatting sqref="I23">
    <cfRule type="containsText" dxfId="339" priority="62" operator="containsText" text="Item Note">
      <formula>NOT(ISERROR(SEARCH("Item Note",I23)))</formula>
    </cfRule>
  </conditionalFormatting>
  <conditionalFormatting sqref="I25">
    <cfRule type="containsText" dxfId="338" priority="61" operator="containsText" text="Item Note">
      <formula>NOT(ISERROR(SEARCH("Item Note",I25)))</formula>
    </cfRule>
  </conditionalFormatting>
  <conditionalFormatting sqref="I27">
    <cfRule type="containsText" dxfId="337" priority="60" operator="containsText" text="Item Note">
      <formula>NOT(ISERROR(SEARCH("Item Note",I27)))</formula>
    </cfRule>
  </conditionalFormatting>
  <conditionalFormatting sqref="I29">
    <cfRule type="containsText" dxfId="336" priority="59" operator="containsText" text="Item Note">
      <formula>NOT(ISERROR(SEARCH("Item Note",I29)))</formula>
    </cfRule>
  </conditionalFormatting>
  <conditionalFormatting sqref="I31">
    <cfRule type="containsText" dxfId="335" priority="58" operator="containsText" text="Item Note">
      <formula>NOT(ISERROR(SEARCH("Item Note",I31)))</formula>
    </cfRule>
  </conditionalFormatting>
  <conditionalFormatting sqref="I33">
    <cfRule type="containsText" dxfId="334" priority="57" operator="containsText" text="Item Note">
      <formula>NOT(ISERROR(SEARCH("Item Note",I33)))</formula>
    </cfRule>
  </conditionalFormatting>
  <conditionalFormatting sqref="I35">
    <cfRule type="containsText" dxfId="333" priority="56" operator="containsText" text="Item Note">
      <formula>NOT(ISERROR(SEARCH("Item Note",I35)))</formula>
    </cfRule>
  </conditionalFormatting>
  <conditionalFormatting sqref="I37">
    <cfRule type="containsText" dxfId="332" priority="55" operator="containsText" text="Item Note">
      <formula>NOT(ISERROR(SEARCH("Item Note",I37)))</formula>
    </cfRule>
  </conditionalFormatting>
  <conditionalFormatting sqref="I39">
    <cfRule type="containsText" dxfId="331" priority="54" operator="containsText" text="Item Note">
      <formula>NOT(ISERROR(SEARCH("Item Note",I39)))</formula>
    </cfRule>
  </conditionalFormatting>
  <conditionalFormatting sqref="I41">
    <cfRule type="containsText" dxfId="330" priority="53" operator="containsText" text="Item Note">
      <formula>NOT(ISERROR(SEARCH("Item Note",I41)))</formula>
    </cfRule>
  </conditionalFormatting>
  <conditionalFormatting sqref="I43">
    <cfRule type="containsText" dxfId="329" priority="52" operator="containsText" text="Item Note">
      <formula>NOT(ISERROR(SEARCH("Item Note",I43)))</formula>
    </cfRule>
  </conditionalFormatting>
  <conditionalFormatting sqref="I45">
    <cfRule type="containsText" dxfId="328" priority="51" operator="containsText" text="Item Note">
      <formula>NOT(ISERROR(SEARCH("Item Note",I45)))</formula>
    </cfRule>
  </conditionalFormatting>
  <conditionalFormatting sqref="I47">
    <cfRule type="containsText" dxfId="327" priority="50" operator="containsText" text="Item Note">
      <formula>NOT(ISERROR(SEARCH("Item Note",I47)))</formula>
    </cfRule>
  </conditionalFormatting>
  <conditionalFormatting sqref="I49">
    <cfRule type="containsText" dxfId="326" priority="49" operator="containsText" text="Item Note">
      <formula>NOT(ISERROR(SEARCH("Item Note",I49)))</formula>
    </cfRule>
  </conditionalFormatting>
  <conditionalFormatting sqref="I51">
    <cfRule type="containsText" dxfId="325" priority="48" operator="containsText" text="Item Note">
      <formula>NOT(ISERROR(SEARCH("Item Note",I51)))</formula>
    </cfRule>
  </conditionalFormatting>
  <conditionalFormatting sqref="I53">
    <cfRule type="containsText" dxfId="324" priority="47" operator="containsText" text="Item Note">
      <formula>NOT(ISERROR(SEARCH("Item Note",I53)))</formula>
    </cfRule>
  </conditionalFormatting>
  <conditionalFormatting sqref="I55">
    <cfRule type="containsText" dxfId="323" priority="46" operator="containsText" text="Item Note">
      <formula>NOT(ISERROR(SEARCH("Item Note",I55)))</formula>
    </cfRule>
  </conditionalFormatting>
  <conditionalFormatting sqref="I57">
    <cfRule type="containsText" dxfId="322" priority="45" operator="containsText" text="Item Note">
      <formula>NOT(ISERROR(SEARCH("Item Note",I57)))</formula>
    </cfRule>
  </conditionalFormatting>
  <conditionalFormatting sqref="I59">
    <cfRule type="containsText" dxfId="321" priority="44" operator="containsText" text="Item Note">
      <formula>NOT(ISERROR(SEARCH("Item Note",I59)))</formula>
    </cfRule>
  </conditionalFormatting>
  <conditionalFormatting sqref="M65">
    <cfRule type="containsText" dxfId="320" priority="40" operator="containsText" text="NPC Note">
      <formula>NOT(ISERROR(SEARCH("NPC Note",M65)))</formula>
    </cfRule>
  </conditionalFormatting>
  <conditionalFormatting sqref="I61">
    <cfRule type="containsText" dxfId="319" priority="43" operator="containsText" text="Item Note">
      <formula>NOT(ISERROR(SEARCH("Item Note",I61)))</formula>
    </cfRule>
  </conditionalFormatting>
  <conditionalFormatting sqref="M67">
    <cfRule type="containsText" dxfId="318" priority="38" operator="containsText" text="NPC Note">
      <formula>NOT(ISERROR(SEARCH("NPC Note",M67)))</formula>
    </cfRule>
  </conditionalFormatting>
  <conditionalFormatting sqref="I63">
    <cfRule type="containsText" dxfId="317" priority="42" operator="containsText" text="Item Note">
      <formula>NOT(ISERROR(SEARCH("Item Note",I63)))</formula>
    </cfRule>
  </conditionalFormatting>
  <conditionalFormatting sqref="M69">
    <cfRule type="containsText" dxfId="316" priority="36" operator="containsText" text="NPC Note">
      <formula>NOT(ISERROR(SEARCH("NPC Note",M69)))</formula>
    </cfRule>
  </conditionalFormatting>
  <conditionalFormatting sqref="I65">
    <cfRule type="containsText" dxfId="315" priority="41" operator="containsText" text="Item Note">
      <formula>NOT(ISERROR(SEARCH("Item Note",I65)))</formula>
    </cfRule>
  </conditionalFormatting>
  <conditionalFormatting sqref="I67">
    <cfRule type="containsText" dxfId="314" priority="39" operator="containsText" text="Item Note">
      <formula>NOT(ISERROR(SEARCH("Item Note",I67)))</formula>
    </cfRule>
  </conditionalFormatting>
  <conditionalFormatting sqref="I69">
    <cfRule type="containsText" dxfId="313" priority="37" operator="containsText" text="Item Note">
      <formula>NOT(ISERROR(SEARCH("Item Note",I69)))</formula>
    </cfRule>
  </conditionalFormatting>
  <conditionalFormatting sqref="I71">
    <cfRule type="containsText" dxfId="312" priority="35" operator="containsText" text="Item Note">
      <formula>NOT(ISERROR(SEARCH("Item Note",I71)))</formula>
    </cfRule>
  </conditionalFormatting>
  <conditionalFormatting sqref="M71">
    <cfRule type="containsText" dxfId="311" priority="34" operator="containsText" text="NPC Note">
      <formula>NOT(ISERROR(SEARCH("NPC Note",M71)))</formula>
    </cfRule>
  </conditionalFormatting>
  <conditionalFormatting sqref="I73">
    <cfRule type="containsText" dxfId="310" priority="33" operator="containsText" text="Item Note">
      <formula>NOT(ISERROR(SEARCH("Item Note",I73)))</formula>
    </cfRule>
  </conditionalFormatting>
  <conditionalFormatting sqref="M73">
    <cfRule type="containsText" dxfId="309" priority="32" operator="containsText" text="NPC Note">
      <formula>NOT(ISERROR(SEARCH("NPC Note",M73)))</formula>
    </cfRule>
  </conditionalFormatting>
  <conditionalFormatting sqref="I75">
    <cfRule type="containsText" dxfId="308" priority="31" operator="containsText" text="Item Note">
      <formula>NOT(ISERROR(SEARCH("Item Note",I75)))</formula>
    </cfRule>
  </conditionalFormatting>
  <conditionalFormatting sqref="M75">
    <cfRule type="containsText" dxfId="307" priority="30" operator="containsText" text="NPC Note">
      <formula>NOT(ISERROR(SEARCH("NPC Note",M75)))</formula>
    </cfRule>
  </conditionalFormatting>
  <conditionalFormatting sqref="M7">
    <cfRule type="containsText" dxfId="306" priority="29" operator="containsText" text="NPC Note">
      <formula>NOT(ISERROR(SEARCH("NPC Note",M7)))</formula>
    </cfRule>
  </conditionalFormatting>
  <conditionalFormatting sqref="M9">
    <cfRule type="containsText" dxfId="305" priority="28" operator="containsText" text="NPC Note">
      <formula>NOT(ISERROR(SEARCH("NPC Note",M9)))</formula>
    </cfRule>
  </conditionalFormatting>
  <conditionalFormatting sqref="M11">
    <cfRule type="containsText" dxfId="304" priority="27" operator="containsText" text="NPC Note">
      <formula>NOT(ISERROR(SEARCH("NPC Note",M11)))</formula>
    </cfRule>
  </conditionalFormatting>
  <conditionalFormatting sqref="M13">
    <cfRule type="containsText" dxfId="303" priority="26" operator="containsText" text="NPC Note">
      <formula>NOT(ISERROR(SEARCH("NPC Note",M13)))</formula>
    </cfRule>
  </conditionalFormatting>
  <conditionalFormatting sqref="M15">
    <cfRule type="containsText" dxfId="302" priority="25" operator="containsText" text="NPC Note">
      <formula>NOT(ISERROR(SEARCH("NPC Note",M15)))</formula>
    </cfRule>
  </conditionalFormatting>
  <conditionalFormatting sqref="M17">
    <cfRule type="containsText" dxfId="301" priority="24" operator="containsText" text="NPC Note">
      <formula>NOT(ISERROR(SEARCH("NPC Note",M17)))</formula>
    </cfRule>
  </conditionalFormatting>
  <conditionalFormatting sqref="M19">
    <cfRule type="containsText" dxfId="300" priority="23" operator="containsText" text="NPC Note">
      <formula>NOT(ISERROR(SEARCH("NPC Note",M19)))</formula>
    </cfRule>
  </conditionalFormatting>
  <conditionalFormatting sqref="M21">
    <cfRule type="containsText" dxfId="299" priority="22" operator="containsText" text="NPC Note">
      <formula>NOT(ISERROR(SEARCH("NPC Note",M21)))</formula>
    </cfRule>
  </conditionalFormatting>
  <conditionalFormatting sqref="M23">
    <cfRule type="containsText" dxfId="298" priority="21" operator="containsText" text="NPC Note">
      <formula>NOT(ISERROR(SEARCH("NPC Note",M23)))</formula>
    </cfRule>
  </conditionalFormatting>
  <conditionalFormatting sqref="M25">
    <cfRule type="containsText" dxfId="297" priority="20" operator="containsText" text="NPC Note">
      <formula>NOT(ISERROR(SEARCH("NPC Note",M25)))</formula>
    </cfRule>
  </conditionalFormatting>
  <conditionalFormatting sqref="M27">
    <cfRule type="containsText" dxfId="296" priority="19" operator="containsText" text="NPC Note">
      <formula>NOT(ISERROR(SEARCH("NPC Note",M27)))</formula>
    </cfRule>
  </conditionalFormatting>
  <conditionalFormatting sqref="M29">
    <cfRule type="containsText" dxfId="295" priority="18" operator="containsText" text="NPC Note">
      <formula>NOT(ISERROR(SEARCH("NPC Note",M29)))</formula>
    </cfRule>
  </conditionalFormatting>
  <conditionalFormatting sqref="M31">
    <cfRule type="containsText" dxfId="294" priority="17" operator="containsText" text="NPC Note">
      <formula>NOT(ISERROR(SEARCH("NPC Note",M31)))</formula>
    </cfRule>
  </conditionalFormatting>
  <conditionalFormatting sqref="M33">
    <cfRule type="containsText" dxfId="293" priority="16" operator="containsText" text="NPC Note">
      <formula>NOT(ISERROR(SEARCH("NPC Note",M33)))</formula>
    </cfRule>
  </conditionalFormatting>
  <conditionalFormatting sqref="M35">
    <cfRule type="containsText" dxfId="292" priority="15" operator="containsText" text="NPC Note">
      <formula>NOT(ISERROR(SEARCH("NPC Note",M35)))</formula>
    </cfRule>
  </conditionalFormatting>
  <conditionalFormatting sqref="M37">
    <cfRule type="containsText" dxfId="291" priority="14" operator="containsText" text="NPC Note">
      <formula>NOT(ISERROR(SEARCH("NPC Note",M37)))</formula>
    </cfRule>
  </conditionalFormatting>
  <conditionalFormatting sqref="M39">
    <cfRule type="containsText" dxfId="290" priority="13" operator="containsText" text="NPC Note">
      <formula>NOT(ISERROR(SEARCH("NPC Note",M39)))</formula>
    </cfRule>
  </conditionalFormatting>
  <conditionalFormatting sqref="M41">
    <cfRule type="containsText" dxfId="289" priority="12" operator="containsText" text="NPC Note">
      <formula>NOT(ISERROR(SEARCH("NPC Note",M41)))</formula>
    </cfRule>
  </conditionalFormatting>
  <conditionalFormatting sqref="M43">
    <cfRule type="containsText" dxfId="288" priority="11" operator="containsText" text="NPC Note">
      <formula>NOT(ISERROR(SEARCH("NPC Note",M43)))</formula>
    </cfRule>
  </conditionalFormatting>
  <conditionalFormatting sqref="M45">
    <cfRule type="containsText" dxfId="287" priority="10" operator="containsText" text="NPC Note">
      <formula>NOT(ISERROR(SEARCH("NPC Note",M45)))</formula>
    </cfRule>
  </conditionalFormatting>
  <conditionalFormatting sqref="M47">
    <cfRule type="containsText" dxfId="286" priority="9" operator="containsText" text="NPC Note">
      <formula>NOT(ISERROR(SEARCH("NPC Note",M47)))</formula>
    </cfRule>
  </conditionalFormatting>
  <conditionalFormatting sqref="M49">
    <cfRule type="containsText" dxfId="285" priority="8" operator="containsText" text="NPC Note">
      <formula>NOT(ISERROR(SEARCH("NPC Note",M49)))</formula>
    </cfRule>
  </conditionalFormatting>
  <conditionalFormatting sqref="M51">
    <cfRule type="containsText" dxfId="284" priority="7" operator="containsText" text="NPC Note">
      <formula>NOT(ISERROR(SEARCH("NPC Note",M51)))</formula>
    </cfRule>
  </conditionalFormatting>
  <conditionalFormatting sqref="M53">
    <cfRule type="containsText" dxfId="283" priority="6" operator="containsText" text="NPC Note">
      <formula>NOT(ISERROR(SEARCH("NPC Note",M53)))</formula>
    </cfRule>
  </conditionalFormatting>
  <conditionalFormatting sqref="M55">
    <cfRule type="containsText" dxfId="282" priority="5" operator="containsText" text="NPC Note">
      <formula>NOT(ISERROR(SEARCH("NPC Note",M55)))</formula>
    </cfRule>
  </conditionalFormatting>
  <conditionalFormatting sqref="M57">
    <cfRule type="containsText" dxfId="281" priority="4" operator="containsText" text="NPC Note">
      <formula>NOT(ISERROR(SEARCH("NPC Note",M57)))</formula>
    </cfRule>
  </conditionalFormatting>
  <conditionalFormatting sqref="M59">
    <cfRule type="containsText" dxfId="280" priority="3" operator="containsText" text="NPC Note">
      <formula>NOT(ISERROR(SEARCH("NPC Note",M59)))</formula>
    </cfRule>
  </conditionalFormatting>
  <conditionalFormatting sqref="M61">
    <cfRule type="containsText" dxfId="279" priority="2" operator="containsText" text="NPC Note">
      <formula>NOT(ISERROR(SEARCH("NPC Note",M61)))</formula>
    </cfRule>
  </conditionalFormatting>
  <pageMargins left="0.7" right="0.7" top="0.75" bottom="0.75" header="0.3" footer="0.3"/>
  <pageSetup paperSize="9" orientation="portrait" horizontalDpi="0" verticalDpi="0"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3D48-172C-489F-AB85-A3E2FBE8F9D1}">
  <sheetPr codeName="Аркуш31"/>
  <dimension ref="A1:BZ93"/>
  <sheetViews>
    <sheetView zoomScale="70" zoomScaleNormal="70" workbookViewId="0">
      <selection activeCell="AO44" sqref="AO44"/>
    </sheetView>
  </sheetViews>
  <sheetFormatPr defaultColWidth="2.88671875" defaultRowHeight="15" customHeight="1"/>
  <cols>
    <col min="1" max="7" width="2.88671875" style="38"/>
    <col min="8" max="8" width="2.88671875" style="38" customWidth="1"/>
    <col min="9" max="17" width="2.88671875" style="38"/>
    <col min="18" max="18" width="2.88671875" style="38" customWidth="1"/>
    <col min="19" max="25" width="2.88671875" style="38"/>
    <col min="26" max="26" width="2.88671875" style="38" customWidth="1"/>
    <col min="27" max="29" width="2.88671875" style="38"/>
    <col min="30" max="30" width="2.88671875" style="38" customWidth="1"/>
    <col min="31" max="31" width="2.88671875" style="38"/>
    <col min="32" max="32" width="2.88671875" style="38" customWidth="1"/>
    <col min="33" max="33" width="2.88671875" style="38"/>
    <col min="34" max="34" width="2.88671875" style="38" customWidth="1"/>
    <col min="35" max="37" width="2.88671875" style="38"/>
    <col min="38" max="38" width="2.88671875" style="38" customWidth="1"/>
    <col min="39" max="47" width="2.88671875" style="38"/>
    <col min="48" max="48" width="2.88671875" style="38" customWidth="1"/>
    <col min="49" max="49" width="2.88671875" style="38"/>
    <col min="50" max="50" width="2.88671875" style="38" customWidth="1"/>
    <col min="51" max="51" width="2.88671875" style="38"/>
    <col min="52" max="52" width="2.88671875" style="38" customWidth="1"/>
    <col min="53" max="57" width="2.88671875" style="38"/>
    <col min="58" max="58" width="2.88671875" style="38" customWidth="1"/>
    <col min="59" max="59" width="2.88671875" style="38"/>
    <col min="60" max="60" width="2.88671875" style="38" customWidth="1"/>
    <col min="61" max="61" width="2.88671875" style="38"/>
    <col min="62" max="62" width="2.88671875" style="38" customWidth="1"/>
    <col min="63" max="63" width="2.88671875" style="38"/>
    <col min="64" max="64" width="2.88671875" style="38" customWidth="1"/>
    <col min="65" max="65" width="2.88671875" style="38"/>
    <col min="66" max="66" width="2.88671875" style="38" customWidth="1"/>
    <col min="67" max="67" width="2.88671875" style="38"/>
    <col min="68" max="68" width="2.88671875" style="38" customWidth="1"/>
    <col min="69" max="69" width="2.88671875" style="38"/>
    <col min="70" max="70" width="2.88671875" style="38" customWidth="1"/>
    <col min="71" max="16384" width="2.88671875" style="38"/>
  </cols>
  <sheetData>
    <row r="1" spans="1:78" ht="15" customHeight="1">
      <c r="A1" s="37" t="s">
        <v>1989</v>
      </c>
      <c r="B1" s="37" t="s">
        <v>1989</v>
      </c>
      <c r="C1" s="37" t="s">
        <v>1989</v>
      </c>
      <c r="D1" s="37" t="s">
        <v>1989</v>
      </c>
      <c r="E1" s="37" t="s">
        <v>1989</v>
      </c>
      <c r="F1" s="37" t="s">
        <v>1989</v>
      </c>
      <c r="G1" s="37" t="s">
        <v>1989</v>
      </c>
      <c r="H1" s="37" t="s">
        <v>1989</v>
      </c>
      <c r="I1" s="37" t="s">
        <v>1989</v>
      </c>
      <c r="J1" s="37" t="s">
        <v>1989</v>
      </c>
      <c r="K1" s="37" t="s">
        <v>1989</v>
      </c>
      <c r="L1" s="37" t="s">
        <v>1989</v>
      </c>
      <c r="M1" s="37" t="s">
        <v>1989</v>
      </c>
      <c r="N1" s="37" t="s">
        <v>1989</v>
      </c>
      <c r="O1" s="37" t="s">
        <v>1989</v>
      </c>
      <c r="P1" s="37" t="s">
        <v>1989</v>
      </c>
      <c r="Q1" s="37" t="s">
        <v>1989</v>
      </c>
      <c r="R1" s="37" t="s">
        <v>1989</v>
      </c>
      <c r="S1" s="37" t="s">
        <v>1989</v>
      </c>
      <c r="T1" s="37" t="s">
        <v>1989</v>
      </c>
      <c r="U1" s="37" t="s">
        <v>1989</v>
      </c>
      <c r="V1" s="37" t="s">
        <v>1989</v>
      </c>
      <c r="W1" s="37" t="s">
        <v>1989</v>
      </c>
      <c r="X1" s="37" t="s">
        <v>1989</v>
      </c>
      <c r="Y1" s="37" t="s">
        <v>1989</v>
      </c>
      <c r="Z1" s="37" t="s">
        <v>1989</v>
      </c>
      <c r="AA1" s="37" t="s">
        <v>1989</v>
      </c>
      <c r="AB1" s="37" t="s">
        <v>1989</v>
      </c>
      <c r="AC1" s="37" t="s">
        <v>1989</v>
      </c>
      <c r="AD1" s="37" t="s">
        <v>1989</v>
      </c>
      <c r="AE1" s="37" t="s">
        <v>1989</v>
      </c>
      <c r="AF1" s="37" t="s">
        <v>1989</v>
      </c>
      <c r="AG1" s="37" t="s">
        <v>1989</v>
      </c>
      <c r="AH1" s="37" t="s">
        <v>1989</v>
      </c>
      <c r="AI1" s="37" t="s">
        <v>1989</v>
      </c>
      <c r="AJ1" s="37" t="s">
        <v>1989</v>
      </c>
      <c r="AK1" s="37" t="s">
        <v>1989</v>
      </c>
      <c r="AL1" s="37" t="s">
        <v>1989</v>
      </c>
      <c r="AM1" s="37" t="s">
        <v>1989</v>
      </c>
      <c r="AN1" s="37" t="s">
        <v>1989</v>
      </c>
      <c r="AO1" s="37" t="s">
        <v>1989</v>
      </c>
      <c r="AP1" s="37" t="s">
        <v>1989</v>
      </c>
      <c r="AQ1" s="37" t="s">
        <v>1989</v>
      </c>
      <c r="AR1" s="37" t="s">
        <v>1989</v>
      </c>
      <c r="AS1" s="37" t="s">
        <v>1989</v>
      </c>
      <c r="AT1" s="37" t="s">
        <v>1989</v>
      </c>
      <c r="AU1" s="37" t="s">
        <v>1989</v>
      </c>
      <c r="AV1" s="37" t="s">
        <v>1989</v>
      </c>
      <c r="AW1" s="37" t="s">
        <v>1989</v>
      </c>
      <c r="AX1" s="37" t="s">
        <v>1989</v>
      </c>
      <c r="AY1" s="37" t="s">
        <v>1989</v>
      </c>
      <c r="AZ1" s="37" t="s">
        <v>1989</v>
      </c>
      <c r="BA1" s="37" t="s">
        <v>1989</v>
      </c>
      <c r="BB1" s="37" t="s">
        <v>1989</v>
      </c>
      <c r="BC1" s="37" t="s">
        <v>1989</v>
      </c>
      <c r="BD1" s="37" t="s">
        <v>1989</v>
      </c>
      <c r="BE1" s="37" t="s">
        <v>1989</v>
      </c>
      <c r="BF1" s="37" t="s">
        <v>1989</v>
      </c>
      <c r="BG1" s="37" t="s">
        <v>1989</v>
      </c>
      <c r="BH1" s="37" t="s">
        <v>1989</v>
      </c>
      <c r="BI1" s="37" t="s">
        <v>1989</v>
      </c>
      <c r="BJ1" s="37" t="s">
        <v>1989</v>
      </c>
      <c r="BK1" s="37" t="s">
        <v>1989</v>
      </c>
      <c r="BL1" s="37" t="s">
        <v>1989</v>
      </c>
      <c r="BM1" s="37" t="s">
        <v>1989</v>
      </c>
      <c r="BN1" s="37" t="s">
        <v>1989</v>
      </c>
      <c r="BO1" s="37" t="s">
        <v>1989</v>
      </c>
      <c r="BP1" s="37" t="s">
        <v>1989</v>
      </c>
      <c r="BQ1" s="37" t="s">
        <v>1989</v>
      </c>
      <c r="BR1" s="37" t="s">
        <v>1989</v>
      </c>
      <c r="BS1" s="37" t="s">
        <v>1989</v>
      </c>
      <c r="BT1" s="37" t="s">
        <v>1989</v>
      </c>
      <c r="BU1" s="37" t="s">
        <v>1989</v>
      </c>
      <c r="BV1" s="37" t="s">
        <v>1989</v>
      </c>
      <c r="BW1" s="37" t="s">
        <v>1989</v>
      </c>
    </row>
    <row r="2" spans="1:78" ht="15" customHeight="1">
      <c r="A2" s="37" t="s">
        <v>1989</v>
      </c>
      <c r="B2" s="37" t="s">
        <v>1989</v>
      </c>
      <c r="C2" s="37" t="s">
        <v>1989</v>
      </c>
      <c r="D2" s="37" t="s">
        <v>1989</v>
      </c>
      <c r="E2" s="37" t="s">
        <v>1989</v>
      </c>
      <c r="F2" s="37" t="s">
        <v>1989</v>
      </c>
      <c r="G2" s="37" t="s">
        <v>1989</v>
      </c>
      <c r="H2" s="37" t="s">
        <v>1989</v>
      </c>
      <c r="I2" s="37" t="s">
        <v>1989</v>
      </c>
      <c r="J2" s="37" t="s">
        <v>1989</v>
      </c>
      <c r="K2" s="37" t="s">
        <v>1989</v>
      </c>
      <c r="L2" s="37" t="s">
        <v>1989</v>
      </c>
      <c r="M2" s="37" t="s">
        <v>1989</v>
      </c>
      <c r="N2" s="37" t="s">
        <v>1989</v>
      </c>
      <c r="O2" s="37" t="s">
        <v>1989</v>
      </c>
      <c r="P2" s="37" t="s">
        <v>1989</v>
      </c>
      <c r="Q2" s="37" t="s">
        <v>1989</v>
      </c>
      <c r="R2" s="37" t="s">
        <v>1989</v>
      </c>
      <c r="S2" s="37" t="s">
        <v>1989</v>
      </c>
      <c r="T2" s="37" t="s">
        <v>1989</v>
      </c>
      <c r="U2" s="37" t="s">
        <v>1989</v>
      </c>
      <c r="V2" s="37" t="s">
        <v>1989</v>
      </c>
      <c r="W2" s="37" t="s">
        <v>1989</v>
      </c>
      <c r="X2" s="37" t="s">
        <v>1989</v>
      </c>
      <c r="Y2" s="37" t="s">
        <v>1989</v>
      </c>
      <c r="Z2" s="37" t="s">
        <v>1989</v>
      </c>
      <c r="AA2" s="37" t="s">
        <v>1989</v>
      </c>
      <c r="AB2" s="37" t="s">
        <v>1989</v>
      </c>
      <c r="AC2" s="37" t="s">
        <v>1989</v>
      </c>
      <c r="AD2" s="37" t="s">
        <v>1989</v>
      </c>
      <c r="AE2" s="37" t="s">
        <v>1989</v>
      </c>
      <c r="AF2" s="37" t="s">
        <v>1989</v>
      </c>
      <c r="AG2" s="37" t="s">
        <v>1989</v>
      </c>
      <c r="AH2" s="37" t="s">
        <v>1989</v>
      </c>
      <c r="AI2" s="37" t="s">
        <v>1989</v>
      </c>
      <c r="AJ2" s="37" t="s">
        <v>1989</v>
      </c>
      <c r="AK2" s="37" t="s">
        <v>1989</v>
      </c>
      <c r="AL2" s="37" t="s">
        <v>1989</v>
      </c>
      <c r="AM2" s="37" t="s">
        <v>1989</v>
      </c>
      <c r="AN2" s="37" t="s">
        <v>1989</v>
      </c>
      <c r="AO2" s="37" t="s">
        <v>1989</v>
      </c>
      <c r="AP2" s="37" t="s">
        <v>1989</v>
      </c>
      <c r="AQ2" s="37" t="s">
        <v>1989</v>
      </c>
      <c r="AR2" s="37" t="s">
        <v>1989</v>
      </c>
      <c r="AS2" s="37" t="s">
        <v>1989</v>
      </c>
      <c r="AT2" s="37" t="s">
        <v>1989</v>
      </c>
      <c r="AU2" s="37" t="s">
        <v>1989</v>
      </c>
      <c r="AV2" s="37" t="s">
        <v>1989</v>
      </c>
      <c r="AW2" s="37" t="s">
        <v>1989</v>
      </c>
      <c r="AX2" s="37" t="s">
        <v>1989</v>
      </c>
      <c r="AY2" s="37" t="s">
        <v>1989</v>
      </c>
      <c r="AZ2" s="37" t="s">
        <v>1989</v>
      </c>
      <c r="BA2" s="37" t="s">
        <v>1989</v>
      </c>
      <c r="BB2" s="37" t="s">
        <v>1989</v>
      </c>
      <c r="BC2" s="37" t="s">
        <v>1989</v>
      </c>
      <c r="BD2" s="37" t="s">
        <v>1989</v>
      </c>
      <c r="BE2" s="37" t="s">
        <v>1989</v>
      </c>
      <c r="BF2" s="37" t="s">
        <v>1989</v>
      </c>
      <c r="BG2" s="37" t="s">
        <v>1989</v>
      </c>
      <c r="BH2" s="37" t="s">
        <v>1989</v>
      </c>
      <c r="BI2" s="37" t="s">
        <v>1989</v>
      </c>
      <c r="BJ2" s="37" t="s">
        <v>1989</v>
      </c>
      <c r="BK2" s="37" t="s">
        <v>1989</v>
      </c>
      <c r="BL2" s="37" t="s">
        <v>1989</v>
      </c>
      <c r="BM2" s="37" t="s">
        <v>1989</v>
      </c>
      <c r="BN2" s="37" t="s">
        <v>1989</v>
      </c>
      <c r="BO2" s="37" t="s">
        <v>1989</v>
      </c>
      <c r="BP2" s="37" t="s">
        <v>1989</v>
      </c>
      <c r="BQ2" s="37" t="s">
        <v>1989</v>
      </c>
      <c r="BR2" s="37" t="s">
        <v>1989</v>
      </c>
      <c r="BS2" s="37" t="s">
        <v>1989</v>
      </c>
      <c r="BT2" s="37" t="s">
        <v>1989</v>
      </c>
      <c r="BU2" s="37" t="s">
        <v>1989</v>
      </c>
      <c r="BV2" s="37" t="s">
        <v>1989</v>
      </c>
      <c r="BW2" s="37" t="s">
        <v>1989</v>
      </c>
    </row>
    <row r="3" spans="1:78" ht="15" customHeight="1">
      <c r="A3" s="37" t="s">
        <v>1990</v>
      </c>
      <c r="B3" s="37" t="s">
        <v>1990</v>
      </c>
      <c r="C3" s="37" t="s">
        <v>1989</v>
      </c>
      <c r="D3" s="37" t="s">
        <v>1989</v>
      </c>
      <c r="E3" s="37" t="s">
        <v>1989</v>
      </c>
      <c r="F3" s="37" t="s">
        <v>1989</v>
      </c>
      <c r="G3" s="37" t="s">
        <v>1989</v>
      </c>
      <c r="H3" s="37" t="s">
        <v>1989</v>
      </c>
      <c r="I3" s="37" t="s">
        <v>1989</v>
      </c>
      <c r="J3" s="37" t="s">
        <v>1989</v>
      </c>
      <c r="K3" s="37" t="s">
        <v>1989</v>
      </c>
      <c r="L3" s="37" t="s">
        <v>1989</v>
      </c>
      <c r="M3" s="37" t="s">
        <v>1989</v>
      </c>
      <c r="N3" s="37" t="s">
        <v>1989</v>
      </c>
      <c r="O3" s="37" t="s">
        <v>1989</v>
      </c>
      <c r="P3" s="37" t="s">
        <v>1989</v>
      </c>
      <c r="Q3" s="37" t="s">
        <v>1989</v>
      </c>
      <c r="R3" s="37" t="s">
        <v>1989</v>
      </c>
      <c r="S3" s="37" t="s">
        <v>1989</v>
      </c>
      <c r="T3" s="37" t="s">
        <v>1989</v>
      </c>
      <c r="U3" s="37" t="s">
        <v>1989</v>
      </c>
      <c r="V3" s="37" t="s">
        <v>1989</v>
      </c>
      <c r="W3" s="37" t="s">
        <v>1989</v>
      </c>
      <c r="X3" s="37" t="s">
        <v>1989</v>
      </c>
      <c r="Y3" s="37" t="s">
        <v>1989</v>
      </c>
      <c r="Z3" s="37" t="s">
        <v>1989</v>
      </c>
      <c r="AA3" s="37" t="s">
        <v>1989</v>
      </c>
      <c r="AB3" s="37" t="s">
        <v>1989</v>
      </c>
      <c r="AC3" s="37" t="s">
        <v>1989</v>
      </c>
      <c r="AD3" s="37" t="s">
        <v>1989</v>
      </c>
      <c r="AE3" s="37" t="s">
        <v>1989</v>
      </c>
      <c r="AF3" s="37" t="s">
        <v>1989</v>
      </c>
      <c r="AG3" s="37" t="s">
        <v>1989</v>
      </c>
      <c r="AH3" s="37" t="s">
        <v>1989</v>
      </c>
      <c r="AI3" s="37" t="s">
        <v>1989</v>
      </c>
      <c r="AJ3" s="37" t="s">
        <v>1989</v>
      </c>
      <c r="AK3" s="37" t="s">
        <v>1989</v>
      </c>
      <c r="AL3" s="37" t="s">
        <v>1989</v>
      </c>
      <c r="AM3" s="37" t="s">
        <v>1989</v>
      </c>
      <c r="AN3" s="37" t="s">
        <v>1989</v>
      </c>
      <c r="AO3" s="37" t="s">
        <v>1989</v>
      </c>
      <c r="AP3" s="37" t="s">
        <v>1989</v>
      </c>
      <c r="AQ3" s="37" t="s">
        <v>1989</v>
      </c>
      <c r="AR3" s="37" t="s">
        <v>1989</v>
      </c>
      <c r="AS3" s="37" t="s">
        <v>1989</v>
      </c>
      <c r="AT3" s="37" t="s">
        <v>1989</v>
      </c>
      <c r="AU3" s="37" t="s">
        <v>1989</v>
      </c>
      <c r="AV3" s="37" t="s">
        <v>1989</v>
      </c>
      <c r="AW3" s="37" t="s">
        <v>1989</v>
      </c>
      <c r="AX3" s="37" t="s">
        <v>1989</v>
      </c>
      <c r="AY3" s="37" t="s">
        <v>1989</v>
      </c>
      <c r="AZ3" s="37" t="s">
        <v>1989</v>
      </c>
      <c r="BA3" s="37" t="s">
        <v>1989</v>
      </c>
      <c r="BB3" s="37" t="s">
        <v>1989</v>
      </c>
      <c r="BC3" s="37" t="s">
        <v>1989</v>
      </c>
      <c r="BD3" s="37" t="s">
        <v>1989</v>
      </c>
      <c r="BE3" s="37" t="s">
        <v>1989</v>
      </c>
      <c r="BF3" s="37" t="s">
        <v>1989</v>
      </c>
      <c r="BG3" s="37" t="s">
        <v>1989</v>
      </c>
      <c r="BH3" s="37" t="s">
        <v>1989</v>
      </c>
      <c r="BI3" s="37" t="s">
        <v>1989</v>
      </c>
      <c r="BJ3" s="37" t="s">
        <v>1989</v>
      </c>
      <c r="BK3" s="37" t="s">
        <v>1989</v>
      </c>
      <c r="BL3" s="37" t="s">
        <v>1989</v>
      </c>
      <c r="BM3" s="37" t="s">
        <v>1989</v>
      </c>
      <c r="BN3" s="37" t="s">
        <v>1989</v>
      </c>
      <c r="BO3" s="37" t="s">
        <v>1989</v>
      </c>
      <c r="BP3" s="37" t="s">
        <v>1989</v>
      </c>
      <c r="BQ3" s="37" t="s">
        <v>1989</v>
      </c>
      <c r="BR3" s="37" t="s">
        <v>1989</v>
      </c>
      <c r="BS3" s="37" t="s">
        <v>1989</v>
      </c>
      <c r="BT3" s="37" t="s">
        <v>1989</v>
      </c>
      <c r="BU3" s="37" t="s">
        <v>1989</v>
      </c>
      <c r="BV3" s="37" t="s">
        <v>1989</v>
      </c>
      <c r="BW3" s="37" t="s">
        <v>1989</v>
      </c>
      <c r="BX3" s="37" t="s">
        <v>1989</v>
      </c>
      <c r="BY3" s="37" t="s">
        <v>1989</v>
      </c>
      <c r="BZ3" s="37" t="s">
        <v>1989</v>
      </c>
    </row>
    <row r="4" spans="1:78" ht="15" customHeight="1">
      <c r="A4" s="37" t="s">
        <v>1989</v>
      </c>
      <c r="B4" s="37" t="s">
        <v>1990</v>
      </c>
      <c r="C4" s="37" t="s">
        <v>1990</v>
      </c>
      <c r="D4" s="37" t="s">
        <v>1990</v>
      </c>
      <c r="E4" s="37" t="s">
        <v>1989</v>
      </c>
      <c r="F4" s="37" t="s">
        <v>1989</v>
      </c>
      <c r="G4" s="37" t="s">
        <v>1989</v>
      </c>
      <c r="H4" s="37" t="s">
        <v>1989</v>
      </c>
      <c r="I4" s="37" t="s">
        <v>1989</v>
      </c>
      <c r="J4" s="37" t="s">
        <v>1989</v>
      </c>
      <c r="K4" s="37" t="s">
        <v>1989</v>
      </c>
      <c r="L4" s="37" t="s">
        <v>1989</v>
      </c>
      <c r="M4" s="37" t="s">
        <v>1989</v>
      </c>
      <c r="N4" s="37" t="s">
        <v>1989</v>
      </c>
      <c r="O4" s="37" t="s">
        <v>1989</v>
      </c>
      <c r="P4" s="37" t="s">
        <v>1989</v>
      </c>
      <c r="Q4" s="37" t="s">
        <v>1989</v>
      </c>
      <c r="R4" s="37" t="s">
        <v>1989</v>
      </c>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t="s">
        <v>1989</v>
      </c>
      <c r="BF4" s="37" t="s">
        <v>1989</v>
      </c>
      <c r="BG4" s="37" t="s">
        <v>1989</v>
      </c>
      <c r="BH4" s="37" t="s">
        <v>1989</v>
      </c>
      <c r="BI4" s="37" t="s">
        <v>1989</v>
      </c>
      <c r="BJ4" s="37" t="s">
        <v>1989</v>
      </c>
      <c r="BK4" s="37" t="s">
        <v>1989</v>
      </c>
      <c r="BL4" s="37" t="s">
        <v>1989</v>
      </c>
      <c r="BM4" s="37" t="s">
        <v>1989</v>
      </c>
      <c r="BN4" s="37" t="s">
        <v>1989</v>
      </c>
      <c r="BO4" s="37" t="s">
        <v>1989</v>
      </c>
      <c r="BP4" s="37" t="s">
        <v>1989</v>
      </c>
      <c r="BQ4" s="37" t="s">
        <v>1989</v>
      </c>
      <c r="BR4" s="37" t="s">
        <v>1989</v>
      </c>
      <c r="BS4" s="37" t="s">
        <v>1989</v>
      </c>
      <c r="BT4" s="37" t="s">
        <v>1989</v>
      </c>
      <c r="BU4" s="37" t="s">
        <v>1989</v>
      </c>
      <c r="BV4" s="37" t="s">
        <v>1989</v>
      </c>
      <c r="BW4" s="37" t="s">
        <v>1989</v>
      </c>
    </row>
    <row r="5" spans="1:78" ht="15" customHeight="1">
      <c r="A5" s="37" t="s">
        <v>1989</v>
      </c>
      <c r="B5" s="37" t="s">
        <v>1989</v>
      </c>
      <c r="C5" s="37" t="s">
        <v>1989</v>
      </c>
      <c r="D5" s="37" t="s">
        <v>1990</v>
      </c>
      <c r="E5" s="37" t="s">
        <v>1990</v>
      </c>
      <c r="F5" s="37" t="s">
        <v>1990</v>
      </c>
      <c r="G5" s="37" t="s">
        <v>1989</v>
      </c>
      <c r="H5" s="37" t="s">
        <v>1989</v>
      </c>
      <c r="I5" s="37" t="s">
        <v>1989</v>
      </c>
      <c r="J5" s="37" t="s">
        <v>1989</v>
      </c>
      <c r="K5" s="37" t="s">
        <v>1989</v>
      </c>
      <c r="L5" s="37" t="s">
        <v>1989</v>
      </c>
      <c r="M5" s="37" t="s">
        <v>1989</v>
      </c>
      <c r="N5" s="37" t="s">
        <v>1989</v>
      </c>
      <c r="O5" s="37" t="s">
        <v>1989</v>
      </c>
      <c r="P5" s="37" t="s">
        <v>1989</v>
      </c>
      <c r="Q5" s="37" t="s">
        <v>1989</v>
      </c>
      <c r="R5" s="37" t="s">
        <v>1989</v>
      </c>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9">
        <v>6</v>
      </c>
      <c r="AU5" s="37"/>
      <c r="AV5" s="37"/>
      <c r="AW5" s="37"/>
      <c r="AX5" s="37"/>
      <c r="AY5" s="37"/>
      <c r="AZ5" s="37"/>
      <c r="BA5" s="37"/>
      <c r="BB5" s="37"/>
      <c r="BC5" s="37"/>
      <c r="BD5" s="37"/>
      <c r="BE5" s="37" t="s">
        <v>1989</v>
      </c>
      <c r="BF5" s="37" t="s">
        <v>1989</v>
      </c>
      <c r="BG5" s="37" t="s">
        <v>1989</v>
      </c>
      <c r="BH5" s="37" t="s">
        <v>1989</v>
      </c>
      <c r="BI5" s="37" t="s">
        <v>1989</v>
      </c>
      <c r="BJ5" s="37" t="s">
        <v>1989</v>
      </c>
      <c r="BK5" s="37" t="s">
        <v>1989</v>
      </c>
      <c r="BL5" s="37" t="s">
        <v>1989</v>
      </c>
      <c r="BM5" s="37" t="s">
        <v>1989</v>
      </c>
      <c r="BN5" s="37" t="s">
        <v>1989</v>
      </c>
      <c r="BO5" s="37" t="s">
        <v>1989</v>
      </c>
      <c r="BP5" s="37" t="s">
        <v>1989</v>
      </c>
      <c r="BQ5" s="37" t="s">
        <v>1989</v>
      </c>
      <c r="BR5" s="37" t="s">
        <v>1989</v>
      </c>
      <c r="BS5" s="37" t="s">
        <v>1989</v>
      </c>
      <c r="BT5" s="37" t="s">
        <v>1989</v>
      </c>
      <c r="BU5" s="37" t="s">
        <v>1989</v>
      </c>
      <c r="BV5" s="37" t="s">
        <v>1989</v>
      </c>
      <c r="BW5" s="37" t="s">
        <v>1989</v>
      </c>
    </row>
    <row r="6" spans="1:78" ht="15" customHeight="1">
      <c r="A6" s="37" t="s">
        <v>1989</v>
      </c>
      <c r="B6" s="37" t="s">
        <v>1989</v>
      </c>
      <c r="C6" s="37" t="s">
        <v>1989</v>
      </c>
      <c r="D6" s="37" t="s">
        <v>1989</v>
      </c>
      <c r="E6" s="37" t="s">
        <v>1989</v>
      </c>
      <c r="F6" s="37" t="s">
        <v>1990</v>
      </c>
      <c r="G6" s="37" t="s">
        <v>1990</v>
      </c>
      <c r="H6" s="37" t="s">
        <v>1989</v>
      </c>
      <c r="I6" s="37" t="s">
        <v>1989</v>
      </c>
      <c r="J6" s="37" t="s">
        <v>1989</v>
      </c>
      <c r="K6" s="37" t="s">
        <v>1989</v>
      </c>
      <c r="L6" s="37" t="s">
        <v>1989</v>
      </c>
      <c r="M6" s="37" t="s">
        <v>1989</v>
      </c>
      <c r="N6" s="37" t="s">
        <v>1989</v>
      </c>
      <c r="O6" s="37" t="s">
        <v>1989</v>
      </c>
      <c r="P6" s="37" t="s">
        <v>1989</v>
      </c>
      <c r="Q6" s="37" t="s">
        <v>1989</v>
      </c>
      <c r="R6" s="37" t="s">
        <v>1989</v>
      </c>
      <c r="S6" s="37"/>
      <c r="T6" s="37"/>
      <c r="U6" s="39">
        <v>4</v>
      </c>
      <c r="V6" s="37"/>
      <c r="W6" s="37"/>
      <c r="X6" s="37"/>
      <c r="Y6" s="37" t="s">
        <v>1989</v>
      </c>
      <c r="Z6" s="37" t="s">
        <v>1989</v>
      </c>
      <c r="AA6" s="37" t="s">
        <v>1989</v>
      </c>
      <c r="AB6" s="37" t="s">
        <v>1989</v>
      </c>
      <c r="AC6" s="37"/>
      <c r="AD6" s="37"/>
      <c r="AE6" s="37"/>
      <c r="AF6" s="37"/>
      <c r="AG6" s="37" t="s">
        <v>1989</v>
      </c>
      <c r="AH6" s="37" t="s">
        <v>1989</v>
      </c>
      <c r="AI6" s="37"/>
      <c r="AJ6" s="37"/>
      <c r="AK6" s="37" t="s">
        <v>1989</v>
      </c>
      <c r="AL6" s="37" t="s">
        <v>1989</v>
      </c>
      <c r="AM6" s="37"/>
      <c r="AN6" s="37"/>
      <c r="AO6" s="37"/>
      <c r="AP6" s="37"/>
      <c r="AQ6" s="37"/>
      <c r="AR6" s="37"/>
      <c r="AS6" s="37"/>
      <c r="AT6" s="37"/>
      <c r="AU6" s="37"/>
      <c r="AV6" s="37"/>
      <c r="AW6" s="37"/>
      <c r="AX6" s="37"/>
      <c r="AY6" s="37"/>
      <c r="AZ6" s="37"/>
      <c r="BA6" s="37"/>
      <c r="BB6" s="37"/>
      <c r="BC6" s="37"/>
      <c r="BD6" s="37"/>
      <c r="BE6" s="37" t="s">
        <v>1989</v>
      </c>
      <c r="BF6" s="37" t="s">
        <v>1989</v>
      </c>
      <c r="BG6" s="37" t="s">
        <v>1989</v>
      </c>
      <c r="BH6" s="37" t="s">
        <v>1989</v>
      </c>
      <c r="BI6" s="37" t="s">
        <v>1989</v>
      </c>
      <c r="BJ6" s="37" t="s">
        <v>1989</v>
      </c>
      <c r="BK6" s="37" t="s">
        <v>1989</v>
      </c>
      <c r="BL6" s="37" t="s">
        <v>1989</v>
      </c>
      <c r="BM6" s="37" t="s">
        <v>1989</v>
      </c>
      <c r="BN6" s="37" t="s">
        <v>1989</v>
      </c>
      <c r="BO6" s="37" t="s">
        <v>1989</v>
      </c>
      <c r="BP6" s="37" t="s">
        <v>1989</v>
      </c>
      <c r="BQ6" s="37" t="s">
        <v>1989</v>
      </c>
      <c r="BR6" s="37" t="s">
        <v>1989</v>
      </c>
      <c r="BS6" s="37" t="s">
        <v>1989</v>
      </c>
      <c r="BT6" s="37" t="s">
        <v>1989</v>
      </c>
      <c r="BU6" s="37" t="s">
        <v>1989</v>
      </c>
      <c r="BV6" s="37" t="s">
        <v>1989</v>
      </c>
      <c r="BW6" s="37" t="s">
        <v>1989</v>
      </c>
    </row>
    <row r="7" spans="1:78" ht="15" customHeight="1">
      <c r="A7" s="37" t="s">
        <v>1989</v>
      </c>
      <c r="B7" s="37" t="s">
        <v>1989</v>
      </c>
      <c r="C7" s="37" t="s">
        <v>1989</v>
      </c>
      <c r="D7" s="37" t="s">
        <v>1989</v>
      </c>
      <c r="E7" s="37" t="s">
        <v>1989</v>
      </c>
      <c r="F7" s="37" t="s">
        <v>1989</v>
      </c>
      <c r="G7" s="37" t="s">
        <v>1990</v>
      </c>
      <c r="H7" s="37" t="s">
        <v>1990</v>
      </c>
      <c r="I7" s="37" t="s">
        <v>1990</v>
      </c>
      <c r="J7" s="37" t="s">
        <v>1990</v>
      </c>
      <c r="K7" s="37" t="s">
        <v>1989</v>
      </c>
      <c r="L7" s="37" t="s">
        <v>1989</v>
      </c>
      <c r="M7" s="37" t="s">
        <v>1989</v>
      </c>
      <c r="N7" s="37" t="s">
        <v>1989</v>
      </c>
      <c r="O7" s="37" t="s">
        <v>1989</v>
      </c>
      <c r="P7" s="37" t="s">
        <v>1989</v>
      </c>
      <c r="Q7" s="37" t="s">
        <v>1989</v>
      </c>
      <c r="R7" s="37" t="s">
        <v>1989</v>
      </c>
      <c r="S7" s="37"/>
      <c r="T7" s="37"/>
      <c r="U7" s="37"/>
      <c r="V7" s="37"/>
      <c r="W7" s="37"/>
      <c r="X7" s="37"/>
      <c r="Y7" s="37" t="s">
        <v>1989</v>
      </c>
      <c r="Z7" s="37" t="s">
        <v>1989</v>
      </c>
      <c r="AA7" s="37" t="s">
        <v>1989</v>
      </c>
      <c r="AB7" s="37" t="s">
        <v>1989</v>
      </c>
      <c r="AC7" s="37"/>
      <c r="AD7" s="39">
        <v>5</v>
      </c>
      <c r="AE7" s="37"/>
      <c r="AF7" s="37"/>
      <c r="AG7" s="37" t="s">
        <v>1989</v>
      </c>
      <c r="AH7" s="37" t="s">
        <v>1989</v>
      </c>
      <c r="AI7" s="37"/>
      <c r="AJ7" s="37"/>
      <c r="AK7" s="37" t="s">
        <v>1989</v>
      </c>
      <c r="AL7" s="37" t="s">
        <v>1989</v>
      </c>
      <c r="AM7" s="37"/>
      <c r="AN7" s="37"/>
      <c r="AO7" s="37"/>
      <c r="AP7" s="37"/>
      <c r="AQ7" s="37"/>
      <c r="AR7" s="37"/>
      <c r="AS7" s="37"/>
      <c r="AT7" s="37"/>
      <c r="AU7" s="37"/>
      <c r="AV7" s="37"/>
      <c r="AW7" s="37"/>
      <c r="AX7" s="37"/>
      <c r="AY7" s="37"/>
      <c r="AZ7" s="37"/>
      <c r="BA7" s="37"/>
      <c r="BB7" s="37"/>
      <c r="BC7" s="37"/>
      <c r="BD7" s="37"/>
      <c r="BE7" s="37" t="s">
        <v>1989</v>
      </c>
      <c r="BF7" s="37" t="s">
        <v>1989</v>
      </c>
      <c r="BG7" s="37" t="s">
        <v>1989</v>
      </c>
      <c r="BH7" s="37" t="s">
        <v>1989</v>
      </c>
      <c r="BI7" s="37" t="s">
        <v>1989</v>
      </c>
      <c r="BJ7" s="37" t="s">
        <v>1989</v>
      </c>
      <c r="BK7" s="37" t="s">
        <v>1989</v>
      </c>
      <c r="BL7" s="37" t="s">
        <v>1989</v>
      </c>
      <c r="BM7" s="37" t="s">
        <v>1989</v>
      </c>
      <c r="BN7" s="37" t="s">
        <v>1989</v>
      </c>
      <c r="BO7" s="37" t="s">
        <v>1989</v>
      </c>
      <c r="BP7" s="37" t="s">
        <v>1989</v>
      </c>
      <c r="BQ7" s="37" t="s">
        <v>1989</v>
      </c>
      <c r="BR7" s="37" t="s">
        <v>1989</v>
      </c>
      <c r="BS7" s="37" t="s">
        <v>1989</v>
      </c>
      <c r="BT7" s="37" t="s">
        <v>1989</v>
      </c>
      <c r="BU7" s="37" t="s">
        <v>1989</v>
      </c>
      <c r="BV7" s="37" t="s">
        <v>1989</v>
      </c>
      <c r="BW7" s="37" t="s">
        <v>1989</v>
      </c>
    </row>
    <row r="8" spans="1:78" ht="15" customHeight="1">
      <c r="A8" s="37" t="s">
        <v>1989</v>
      </c>
      <c r="B8" s="37" t="s">
        <v>1989</v>
      </c>
      <c r="C8" s="37" t="s">
        <v>1989</v>
      </c>
      <c r="D8" s="37" t="s">
        <v>1989</v>
      </c>
      <c r="E8" s="37" t="s">
        <v>1989</v>
      </c>
      <c r="F8" s="37" t="s">
        <v>1989</v>
      </c>
      <c r="G8" s="37" t="s">
        <v>1989</v>
      </c>
      <c r="H8" s="37" t="s">
        <v>1989</v>
      </c>
      <c r="I8" s="37" t="s">
        <v>1989</v>
      </c>
      <c r="J8" s="37" t="s">
        <v>1990</v>
      </c>
      <c r="K8" s="37" t="s">
        <v>1990</v>
      </c>
      <c r="L8" s="37" t="s">
        <v>1990</v>
      </c>
      <c r="M8" s="37" t="s">
        <v>1989</v>
      </c>
      <c r="N8" s="37" t="s">
        <v>1989</v>
      </c>
      <c r="O8" s="37" t="s">
        <v>1989</v>
      </c>
      <c r="P8" s="37" t="s">
        <v>1989</v>
      </c>
      <c r="Q8" s="37" t="s">
        <v>1989</v>
      </c>
      <c r="R8" s="37" t="s">
        <v>1989</v>
      </c>
      <c r="S8" s="37"/>
      <c r="T8" s="37"/>
      <c r="U8" s="37"/>
      <c r="V8" s="37"/>
      <c r="W8" s="37"/>
      <c r="X8" s="37"/>
      <c r="Y8" s="37" t="s">
        <v>1989</v>
      </c>
      <c r="Z8" s="37" t="s">
        <v>1989</v>
      </c>
      <c r="AA8" s="37" t="s">
        <v>1989</v>
      </c>
      <c r="AB8" s="37" t="s">
        <v>1989</v>
      </c>
      <c r="AC8" s="37"/>
      <c r="AD8" s="37"/>
      <c r="AE8" s="37"/>
      <c r="AF8" s="37"/>
      <c r="AG8" s="37" t="s">
        <v>1989</v>
      </c>
      <c r="AH8" s="37" t="s">
        <v>1989</v>
      </c>
      <c r="AI8" s="37"/>
      <c r="AJ8" s="37"/>
      <c r="AK8" s="37" t="s">
        <v>1989</v>
      </c>
      <c r="AL8" s="37" t="s">
        <v>1989</v>
      </c>
      <c r="AM8" s="37" t="s">
        <v>1989</v>
      </c>
      <c r="AN8" s="37" t="s">
        <v>1989</v>
      </c>
      <c r="AO8" s="37" t="s">
        <v>1989</v>
      </c>
      <c r="AP8" s="37" t="s">
        <v>1989</v>
      </c>
      <c r="AQ8" s="37" t="s">
        <v>1989</v>
      </c>
      <c r="AR8" s="37" t="s">
        <v>1989</v>
      </c>
      <c r="AS8" s="37" t="s">
        <v>1989</v>
      </c>
      <c r="AT8" s="37" t="s">
        <v>1989</v>
      </c>
      <c r="AU8" s="37" t="s">
        <v>1989</v>
      </c>
      <c r="AV8" s="37" t="s">
        <v>1989</v>
      </c>
      <c r="AW8" s="37" t="s">
        <v>1989</v>
      </c>
      <c r="AX8" s="37" t="s">
        <v>1989</v>
      </c>
      <c r="AY8" s="37" t="s">
        <v>1989</v>
      </c>
      <c r="AZ8" s="37" t="s">
        <v>1989</v>
      </c>
      <c r="BA8" s="37" t="s">
        <v>1989</v>
      </c>
      <c r="BB8" s="37" t="s">
        <v>1989</v>
      </c>
      <c r="BC8" s="37" t="s">
        <v>1989</v>
      </c>
      <c r="BD8" s="37" t="s">
        <v>1989</v>
      </c>
      <c r="BE8" s="37" t="s">
        <v>1989</v>
      </c>
      <c r="BF8" s="37" t="s">
        <v>1989</v>
      </c>
      <c r="BG8" s="37" t="s">
        <v>1989</v>
      </c>
      <c r="BH8" s="37" t="s">
        <v>1989</v>
      </c>
      <c r="BI8" s="37" t="s">
        <v>1989</v>
      </c>
      <c r="BJ8" s="37" t="s">
        <v>1989</v>
      </c>
      <c r="BK8" s="37" t="s">
        <v>1989</v>
      </c>
      <c r="BL8" s="37" t="s">
        <v>1989</v>
      </c>
      <c r="BM8" s="37" t="s">
        <v>1989</v>
      </c>
      <c r="BN8" s="37" t="s">
        <v>1989</v>
      </c>
      <c r="BO8" s="37" t="s">
        <v>1989</v>
      </c>
      <c r="BP8" s="37" t="s">
        <v>1989</v>
      </c>
      <c r="BQ8" s="37" t="s">
        <v>1989</v>
      </c>
      <c r="BR8" s="37" t="s">
        <v>1989</v>
      </c>
      <c r="BS8" s="37" t="s">
        <v>1989</v>
      </c>
      <c r="BT8" s="37" t="s">
        <v>1989</v>
      </c>
      <c r="BU8" s="37" t="s">
        <v>1989</v>
      </c>
      <c r="BV8" s="37" t="s">
        <v>1989</v>
      </c>
      <c r="BW8" s="37" t="s">
        <v>1989</v>
      </c>
    </row>
    <row r="9" spans="1:78" ht="15" customHeight="1">
      <c r="A9" s="37" t="s">
        <v>1989</v>
      </c>
      <c r="B9" s="37" t="s">
        <v>1989</v>
      </c>
      <c r="C9" s="37" t="s">
        <v>1989</v>
      </c>
      <c r="D9" s="37" t="s">
        <v>1989</v>
      </c>
      <c r="E9" s="37" t="s">
        <v>1989</v>
      </c>
      <c r="F9" s="37" t="s">
        <v>1989</v>
      </c>
      <c r="G9" s="37" t="s">
        <v>1989</v>
      </c>
      <c r="H9" s="37" t="s">
        <v>1989</v>
      </c>
      <c r="I9" s="37" t="s">
        <v>1989</v>
      </c>
      <c r="J9" s="37" t="s">
        <v>1989</v>
      </c>
      <c r="K9" s="37" t="s">
        <v>1989</v>
      </c>
      <c r="L9" s="37" t="s">
        <v>1990</v>
      </c>
      <c r="M9" s="37" t="s">
        <v>1990</v>
      </c>
      <c r="N9" s="37" t="s">
        <v>1989</v>
      </c>
      <c r="O9" s="37" t="s">
        <v>1989</v>
      </c>
      <c r="P9" s="37" t="s">
        <v>1989</v>
      </c>
      <c r="Q9" s="37" t="s">
        <v>1989</v>
      </c>
      <c r="R9" s="37" t="s">
        <v>1989</v>
      </c>
      <c r="S9" s="37"/>
      <c r="T9" s="37"/>
      <c r="U9" s="37"/>
      <c r="V9" s="37"/>
      <c r="W9" s="37"/>
      <c r="X9" s="37"/>
      <c r="Y9" s="37" t="s">
        <v>1989</v>
      </c>
      <c r="Z9" s="37" t="s">
        <v>1989</v>
      </c>
      <c r="AA9" s="37" t="s">
        <v>1989</v>
      </c>
      <c r="AB9" s="37" t="s">
        <v>1989</v>
      </c>
      <c r="AC9" s="37"/>
      <c r="AD9" s="37"/>
      <c r="AE9" s="37"/>
      <c r="AF9" s="37"/>
      <c r="AG9" s="37" t="s">
        <v>1989</v>
      </c>
      <c r="AH9" s="37" t="s">
        <v>1989</v>
      </c>
      <c r="AI9" s="37"/>
      <c r="AJ9" s="37"/>
      <c r="AK9" s="37" t="s">
        <v>1989</v>
      </c>
      <c r="AL9" s="37" t="s">
        <v>1989</v>
      </c>
      <c r="AM9" s="37" t="s">
        <v>1989</v>
      </c>
      <c r="AN9" s="37" t="s">
        <v>1989</v>
      </c>
      <c r="AO9" s="37" t="s">
        <v>1989</v>
      </c>
      <c r="AP9" s="37" t="s">
        <v>1989</v>
      </c>
      <c r="AQ9" s="37" t="s">
        <v>1989</v>
      </c>
      <c r="AR9" s="37" t="s">
        <v>1989</v>
      </c>
      <c r="AS9" s="37" t="s">
        <v>1989</v>
      </c>
      <c r="AT9" s="37" t="s">
        <v>1989</v>
      </c>
      <c r="AU9" s="37" t="s">
        <v>1989</v>
      </c>
      <c r="AV9" s="37" t="s">
        <v>1989</v>
      </c>
      <c r="AW9" s="37" t="s">
        <v>1989</v>
      </c>
      <c r="AX9" s="37" t="s">
        <v>1989</v>
      </c>
      <c r="AY9" s="37" t="s">
        <v>1989</v>
      </c>
      <c r="AZ9" s="37" t="s">
        <v>1989</v>
      </c>
      <c r="BA9" s="37" t="s">
        <v>1989</v>
      </c>
      <c r="BB9" s="37" t="s">
        <v>1989</v>
      </c>
      <c r="BC9" s="37" t="s">
        <v>1989</v>
      </c>
      <c r="BD9" s="37" t="s">
        <v>1989</v>
      </c>
      <c r="BE9" s="37" t="s">
        <v>1989</v>
      </c>
      <c r="BF9" s="37" t="s">
        <v>1989</v>
      </c>
      <c r="BG9" s="37" t="s">
        <v>1989</v>
      </c>
      <c r="BH9" s="37" t="s">
        <v>1989</v>
      </c>
      <c r="BI9" s="37" t="s">
        <v>1989</v>
      </c>
      <c r="BJ9" s="37" t="s">
        <v>1989</v>
      </c>
      <c r="BK9" s="37" t="s">
        <v>1989</v>
      </c>
      <c r="BL9" s="37" t="s">
        <v>1989</v>
      </c>
      <c r="BM9" s="37" t="s">
        <v>1989</v>
      </c>
      <c r="BN9" s="37" t="s">
        <v>1989</v>
      </c>
      <c r="BO9" s="37" t="s">
        <v>1989</v>
      </c>
      <c r="BP9" s="37" t="s">
        <v>1989</v>
      </c>
      <c r="BQ9" s="37" t="s">
        <v>1989</v>
      </c>
      <c r="BR9" s="37" t="s">
        <v>1989</v>
      </c>
      <c r="BS9" s="37" t="s">
        <v>1989</v>
      </c>
      <c r="BT9" s="37" t="s">
        <v>1989</v>
      </c>
      <c r="BU9" s="37" t="s">
        <v>1989</v>
      </c>
      <c r="BV9" s="37" t="s">
        <v>1989</v>
      </c>
      <c r="BW9" s="37" t="s">
        <v>1989</v>
      </c>
    </row>
    <row r="10" spans="1:78" ht="15" customHeight="1">
      <c r="A10" s="37" t="s">
        <v>1989</v>
      </c>
      <c r="B10" s="37" t="s">
        <v>1989</v>
      </c>
      <c r="C10" s="37" t="s">
        <v>1989</v>
      </c>
      <c r="D10" s="37" t="s">
        <v>1989</v>
      </c>
      <c r="E10" s="37" t="s">
        <v>1989</v>
      </c>
      <c r="F10" s="37" t="s">
        <v>1989</v>
      </c>
      <c r="G10" s="37" t="s">
        <v>1989</v>
      </c>
      <c r="H10" s="37" t="s">
        <v>1989</v>
      </c>
      <c r="I10" s="37" t="s">
        <v>1989</v>
      </c>
      <c r="J10" s="37" t="s">
        <v>1989</v>
      </c>
      <c r="K10" s="37" t="s">
        <v>1989</v>
      </c>
      <c r="L10" s="37" t="s">
        <v>1989</v>
      </c>
      <c r="M10" s="37" t="s">
        <v>1990</v>
      </c>
      <c r="N10" s="37" t="s">
        <v>1990</v>
      </c>
      <c r="O10" s="37" t="s">
        <v>1989</v>
      </c>
      <c r="P10" s="37" t="s">
        <v>1989</v>
      </c>
      <c r="Q10" s="37" t="s">
        <v>1989</v>
      </c>
      <c r="R10" s="37" t="s">
        <v>1989</v>
      </c>
      <c r="S10" s="37" t="s">
        <v>1989</v>
      </c>
      <c r="T10" s="37" t="s">
        <v>1989</v>
      </c>
      <c r="U10" s="37" t="s">
        <v>1989</v>
      </c>
      <c r="V10" s="37" t="s">
        <v>1989</v>
      </c>
      <c r="W10" s="37" t="s">
        <v>1989</v>
      </c>
      <c r="X10" s="37" t="s">
        <v>1989</v>
      </c>
      <c r="Y10" s="37" t="s">
        <v>1989</v>
      </c>
      <c r="Z10" s="37" t="s">
        <v>1989</v>
      </c>
      <c r="AA10" s="37" t="s">
        <v>1989</v>
      </c>
      <c r="AB10" s="37" t="s">
        <v>1989</v>
      </c>
      <c r="AC10" s="37" t="s">
        <v>1989</v>
      </c>
      <c r="AD10" s="37" t="s">
        <v>1989</v>
      </c>
      <c r="AE10" s="37" t="s">
        <v>1989</v>
      </c>
      <c r="AF10" s="37" t="s">
        <v>1989</v>
      </c>
      <c r="AG10" s="37" t="s">
        <v>1989</v>
      </c>
      <c r="AH10" s="37" t="s">
        <v>1989</v>
      </c>
      <c r="AI10" s="37"/>
      <c r="AJ10" s="37"/>
      <c r="AK10" s="37" t="s">
        <v>1989</v>
      </c>
      <c r="AL10" s="37" t="s">
        <v>1989</v>
      </c>
      <c r="AM10" s="37" t="s">
        <v>1989</v>
      </c>
      <c r="AN10" s="37" t="s">
        <v>1989</v>
      </c>
      <c r="AO10" s="37" t="s">
        <v>1989</v>
      </c>
      <c r="AP10" s="37" t="s">
        <v>1989</v>
      </c>
      <c r="AQ10" s="37" t="s">
        <v>1989</v>
      </c>
      <c r="AR10" s="37" t="s">
        <v>1989</v>
      </c>
      <c r="AS10" s="37" t="s">
        <v>1989</v>
      </c>
      <c r="AT10" s="37" t="s">
        <v>1989</v>
      </c>
      <c r="AU10" s="37" t="s">
        <v>1989</v>
      </c>
      <c r="AV10" s="37" t="s">
        <v>1989</v>
      </c>
      <c r="AW10" s="37" t="s">
        <v>1989</v>
      </c>
      <c r="AX10" s="37" t="s">
        <v>1989</v>
      </c>
      <c r="AY10" s="37" t="s">
        <v>1989</v>
      </c>
      <c r="AZ10" s="37" t="s">
        <v>1989</v>
      </c>
      <c r="BA10" s="37" t="s">
        <v>1989</v>
      </c>
      <c r="BB10" s="37" t="s">
        <v>1989</v>
      </c>
      <c r="BC10" s="37" t="s">
        <v>1989</v>
      </c>
      <c r="BD10" s="37" t="s">
        <v>1989</v>
      </c>
      <c r="BE10" s="37" t="s">
        <v>1989</v>
      </c>
      <c r="BF10" s="37" t="s">
        <v>1989</v>
      </c>
      <c r="BG10" s="37" t="s">
        <v>1989</v>
      </c>
      <c r="BH10" s="37" t="s">
        <v>1989</v>
      </c>
      <c r="BI10" s="37" t="s">
        <v>1989</v>
      </c>
      <c r="BJ10" s="37" t="s">
        <v>1989</v>
      </c>
      <c r="BK10" s="37" t="s">
        <v>1989</v>
      </c>
      <c r="BL10" s="37" t="s">
        <v>1989</v>
      </c>
      <c r="BM10" s="37" t="s">
        <v>1989</v>
      </c>
      <c r="BN10" s="37" t="s">
        <v>1989</v>
      </c>
      <c r="BO10" s="37" t="s">
        <v>1989</v>
      </c>
      <c r="BP10" s="37" t="s">
        <v>1989</v>
      </c>
      <c r="BQ10" s="37" t="s">
        <v>1989</v>
      </c>
      <c r="BR10" s="37" t="s">
        <v>1989</v>
      </c>
      <c r="BS10" s="37" t="s">
        <v>1989</v>
      </c>
      <c r="BT10" s="37" t="s">
        <v>1989</v>
      </c>
      <c r="BU10" s="37" t="s">
        <v>1989</v>
      </c>
      <c r="BV10" s="37" t="s">
        <v>1989</v>
      </c>
      <c r="BW10" s="37" t="s">
        <v>1989</v>
      </c>
    </row>
    <row r="11" spans="1:78" ht="15" customHeight="1">
      <c r="A11" s="37" t="s">
        <v>1989</v>
      </c>
      <c r="B11" s="37" t="s">
        <v>1989</v>
      </c>
      <c r="C11" s="37" t="s">
        <v>1989</v>
      </c>
      <c r="D11" s="37" t="s">
        <v>1989</v>
      </c>
      <c r="E11" s="37" t="s">
        <v>1989</v>
      </c>
      <c r="F11" s="37" t="s">
        <v>1989</v>
      </c>
      <c r="G11" s="37" t="s">
        <v>1989</v>
      </c>
      <c r="H11" s="37" t="s">
        <v>1989</v>
      </c>
      <c r="I11" s="37" t="s">
        <v>1989</v>
      </c>
      <c r="J11" s="37" t="s">
        <v>1989</v>
      </c>
      <c r="K11" s="37" t="s">
        <v>1989</v>
      </c>
      <c r="L11" s="37" t="s">
        <v>1989</v>
      </c>
      <c r="M11" s="37" t="s">
        <v>1989</v>
      </c>
      <c r="N11" s="37" t="s">
        <v>1990</v>
      </c>
      <c r="O11" s="37" t="s">
        <v>1989</v>
      </c>
      <c r="P11" s="37" t="s">
        <v>1989</v>
      </c>
      <c r="Q11" s="37" t="s">
        <v>1989</v>
      </c>
      <c r="R11" s="37" t="s">
        <v>1989</v>
      </c>
      <c r="S11" s="37" t="s">
        <v>1989</v>
      </c>
      <c r="T11" s="37" t="s">
        <v>1989</v>
      </c>
      <c r="U11" s="37" t="s">
        <v>1989</v>
      </c>
      <c r="V11" s="37" t="s">
        <v>1989</v>
      </c>
      <c r="W11" s="37" t="s">
        <v>1989</v>
      </c>
      <c r="X11" s="37" t="s">
        <v>1989</v>
      </c>
      <c r="Y11" s="37" t="s">
        <v>1989</v>
      </c>
      <c r="Z11" s="37" t="s">
        <v>1989</v>
      </c>
      <c r="AA11" s="37" t="s">
        <v>1989</v>
      </c>
      <c r="AB11" s="37" t="s">
        <v>1989</v>
      </c>
      <c r="AC11" s="37" t="s">
        <v>1989</v>
      </c>
      <c r="AD11" s="37" t="s">
        <v>1989</v>
      </c>
      <c r="AE11" s="37" t="s">
        <v>1989</v>
      </c>
      <c r="AF11" s="37" t="s">
        <v>1989</v>
      </c>
      <c r="AG11" s="37" t="s">
        <v>1989</v>
      </c>
      <c r="AH11" s="37" t="s">
        <v>1989</v>
      </c>
      <c r="AI11" s="37"/>
      <c r="AJ11" s="37"/>
      <c r="AK11" s="37" t="s">
        <v>1989</v>
      </c>
      <c r="AL11" s="37" t="s">
        <v>1989</v>
      </c>
      <c r="AM11" s="37" t="s">
        <v>1989</v>
      </c>
      <c r="AN11" s="37" t="s">
        <v>1989</v>
      </c>
      <c r="AO11" s="37" t="s">
        <v>1989</v>
      </c>
      <c r="AP11" s="37" t="s">
        <v>1989</v>
      </c>
      <c r="AQ11" s="37" t="s">
        <v>1989</v>
      </c>
      <c r="AR11" s="37" t="s">
        <v>1989</v>
      </c>
      <c r="AS11" s="37" t="s">
        <v>1989</v>
      </c>
      <c r="AT11" s="37" t="s">
        <v>1989</v>
      </c>
      <c r="AU11" s="37" t="s">
        <v>1989</v>
      </c>
      <c r="AV11" s="37" t="s">
        <v>1989</v>
      </c>
      <c r="AW11" s="37" t="s">
        <v>1989</v>
      </c>
      <c r="AX11" s="37" t="s">
        <v>1989</v>
      </c>
      <c r="AY11" s="37" t="s">
        <v>1989</v>
      </c>
      <c r="AZ11" s="37" t="s">
        <v>1989</v>
      </c>
      <c r="BA11" s="37" t="s">
        <v>1989</v>
      </c>
      <c r="BB11" s="37" t="s">
        <v>1989</v>
      </c>
      <c r="BC11" s="37" t="s">
        <v>1989</v>
      </c>
      <c r="BD11" s="37" t="s">
        <v>1989</v>
      </c>
      <c r="BE11" s="37" t="s">
        <v>1989</v>
      </c>
      <c r="BF11" s="37" t="s">
        <v>1989</v>
      </c>
      <c r="BG11" s="37" t="s">
        <v>1989</v>
      </c>
      <c r="BH11" s="37" t="s">
        <v>1989</v>
      </c>
      <c r="BI11" s="37" t="s">
        <v>1989</v>
      </c>
      <c r="BJ11" s="37" t="s">
        <v>1989</v>
      </c>
      <c r="BK11" s="37" t="s">
        <v>1989</v>
      </c>
      <c r="BL11" s="37" t="s">
        <v>1989</v>
      </c>
      <c r="BM11" s="37" t="s">
        <v>1989</v>
      </c>
      <c r="BN11" s="37" t="s">
        <v>1989</v>
      </c>
      <c r="BO11" s="37" t="s">
        <v>1989</v>
      </c>
      <c r="BP11" s="37" t="s">
        <v>1989</v>
      </c>
      <c r="BQ11" s="37" t="s">
        <v>1989</v>
      </c>
      <c r="BR11" s="37" t="s">
        <v>1989</v>
      </c>
      <c r="BS11" s="37" t="s">
        <v>1989</v>
      </c>
      <c r="BT11" s="37" t="s">
        <v>1989</v>
      </c>
      <c r="BU11" s="37" t="s">
        <v>1989</v>
      </c>
      <c r="BV11" s="37" t="s">
        <v>1989</v>
      </c>
      <c r="BW11" s="37" t="s">
        <v>1989</v>
      </c>
    </row>
    <row r="12" spans="1:78" ht="15" customHeight="1">
      <c r="A12" s="37" t="s">
        <v>1989</v>
      </c>
      <c r="B12" s="37" t="s">
        <v>1989</v>
      </c>
      <c r="C12" s="37" t="s">
        <v>1989</v>
      </c>
      <c r="D12" s="37" t="s">
        <v>1989</v>
      </c>
      <c r="E12" s="37" t="s">
        <v>1989</v>
      </c>
      <c r="F12" s="37" t="s">
        <v>1989</v>
      </c>
      <c r="G12" s="37" t="s">
        <v>1989</v>
      </c>
      <c r="H12" s="37" t="s">
        <v>1989</v>
      </c>
      <c r="I12" s="37" t="s">
        <v>1989</v>
      </c>
      <c r="J12" s="37" t="s">
        <v>1989</v>
      </c>
      <c r="K12" s="37" t="s">
        <v>1989</v>
      </c>
      <c r="L12" s="37" t="s">
        <v>1989</v>
      </c>
      <c r="M12" s="37" t="s">
        <v>1989</v>
      </c>
      <c r="N12" s="37" t="s">
        <v>1990</v>
      </c>
      <c r="O12" s="37" t="s">
        <v>1990</v>
      </c>
      <c r="P12" s="37" t="s">
        <v>1990</v>
      </c>
      <c r="Q12" s="37"/>
      <c r="R12" s="37"/>
      <c r="S12" s="37" t="s">
        <v>1989</v>
      </c>
      <c r="T12" s="37" t="s">
        <v>1989</v>
      </c>
      <c r="U12" s="37" t="s">
        <v>1989</v>
      </c>
      <c r="V12" s="37" t="s">
        <v>1989</v>
      </c>
      <c r="W12" s="37" t="s">
        <v>1989</v>
      </c>
      <c r="X12" s="37" t="s">
        <v>1989</v>
      </c>
      <c r="Y12" s="37"/>
      <c r="Z12" s="37"/>
      <c r="AA12" s="37"/>
      <c r="AB12" s="37"/>
      <c r="AC12" s="37"/>
      <c r="AD12" s="37"/>
      <c r="AE12" s="37" t="s">
        <v>1989</v>
      </c>
      <c r="AF12" s="37" t="s">
        <v>1989</v>
      </c>
      <c r="AG12" s="37" t="s">
        <v>1989</v>
      </c>
      <c r="AH12" s="37" t="s">
        <v>1989</v>
      </c>
      <c r="AI12" s="37"/>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t="s">
        <v>1989</v>
      </c>
      <c r="BJ12" s="37" t="s">
        <v>1989</v>
      </c>
      <c r="BK12" s="37" t="s">
        <v>1989</v>
      </c>
      <c r="BL12" s="37" t="s">
        <v>1989</v>
      </c>
      <c r="BM12" s="37" t="s">
        <v>1989</v>
      </c>
      <c r="BN12" s="37" t="s">
        <v>1989</v>
      </c>
      <c r="BO12" s="37" t="s">
        <v>1989</v>
      </c>
      <c r="BP12" s="37" t="s">
        <v>1989</v>
      </c>
      <c r="BQ12" s="37" t="s">
        <v>1989</v>
      </c>
      <c r="BR12" s="37" t="s">
        <v>1989</v>
      </c>
      <c r="BS12" s="37" t="s">
        <v>1989</v>
      </c>
      <c r="BT12" s="37" t="s">
        <v>1989</v>
      </c>
      <c r="BU12" s="37" t="s">
        <v>1989</v>
      </c>
      <c r="BV12" s="37" t="s">
        <v>1989</v>
      </c>
      <c r="BW12" s="37" t="s">
        <v>1989</v>
      </c>
    </row>
    <row r="13" spans="1:78" ht="15" customHeight="1">
      <c r="A13" s="37" t="s">
        <v>1989</v>
      </c>
      <c r="B13" s="37" t="s">
        <v>1989</v>
      </c>
      <c r="C13" s="37" t="s">
        <v>1989</v>
      </c>
      <c r="D13" s="37" t="s">
        <v>1989</v>
      </c>
      <c r="E13" s="37" t="s">
        <v>1989</v>
      </c>
      <c r="F13" s="37" t="s">
        <v>1989</v>
      </c>
      <c r="G13" s="37" t="s">
        <v>1989</v>
      </c>
      <c r="H13" s="37" t="s">
        <v>1989</v>
      </c>
      <c r="I13" s="37" t="s">
        <v>1989</v>
      </c>
      <c r="J13" s="37" t="s">
        <v>1989</v>
      </c>
      <c r="K13" s="37" t="s">
        <v>1989</v>
      </c>
      <c r="L13" s="37" t="s">
        <v>1989</v>
      </c>
      <c r="M13" s="37" t="s">
        <v>1989</v>
      </c>
      <c r="N13" s="37" t="s">
        <v>1989</v>
      </c>
      <c r="O13" s="37" t="s">
        <v>1989</v>
      </c>
      <c r="P13" s="37" t="s">
        <v>1990</v>
      </c>
      <c r="Q13" s="37" t="s">
        <v>1990</v>
      </c>
      <c r="R13" s="37"/>
      <c r="S13" s="37"/>
      <c r="T13" s="37" t="s">
        <v>1989</v>
      </c>
      <c r="U13" s="37" t="s">
        <v>1989</v>
      </c>
      <c r="V13" s="37" t="s">
        <v>1989</v>
      </c>
      <c r="W13" s="37" t="s">
        <v>1989</v>
      </c>
      <c r="X13" s="37" t="s">
        <v>1989</v>
      </c>
      <c r="Y13" s="37"/>
      <c r="Z13" s="37"/>
      <c r="AA13" s="37"/>
      <c r="AB13" s="37"/>
      <c r="AC13" s="37"/>
      <c r="AD13" s="37"/>
      <c r="AE13" s="37" t="s">
        <v>1989</v>
      </c>
      <c r="AF13" s="37" t="s">
        <v>1989</v>
      </c>
      <c r="AG13" s="37" t="s">
        <v>1989</v>
      </c>
      <c r="AH13" s="37" t="s">
        <v>1989</v>
      </c>
      <c r="AI13" s="37"/>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7" t="s">
        <v>1989</v>
      </c>
      <c r="BJ13" s="37" t="s">
        <v>1989</v>
      </c>
      <c r="BK13" s="37" t="s">
        <v>1989</v>
      </c>
      <c r="BL13" s="37" t="s">
        <v>1989</v>
      </c>
      <c r="BM13" s="37" t="s">
        <v>1989</v>
      </c>
      <c r="BN13" s="37" t="s">
        <v>1989</v>
      </c>
      <c r="BO13" s="37" t="s">
        <v>1989</v>
      </c>
      <c r="BP13" s="37" t="s">
        <v>1989</v>
      </c>
      <c r="BQ13" s="37" t="s">
        <v>1989</v>
      </c>
      <c r="BR13" s="37" t="s">
        <v>1989</v>
      </c>
      <c r="BS13" s="37" t="s">
        <v>1989</v>
      </c>
      <c r="BT13" s="37" t="s">
        <v>1989</v>
      </c>
      <c r="BU13" s="37" t="s">
        <v>1989</v>
      </c>
      <c r="BV13" s="37" t="s">
        <v>1989</v>
      </c>
      <c r="BW13" s="37" t="s">
        <v>1989</v>
      </c>
    </row>
    <row r="14" spans="1:78" ht="15" customHeight="1">
      <c r="A14" s="37" t="s">
        <v>1989</v>
      </c>
      <c r="B14" s="37" t="s">
        <v>1989</v>
      </c>
      <c r="C14" s="37" t="s">
        <v>1989</v>
      </c>
      <c r="D14" s="37" t="s">
        <v>1989</v>
      </c>
      <c r="E14" s="37" t="s">
        <v>1989</v>
      </c>
      <c r="F14" s="37" t="s">
        <v>1989</v>
      </c>
      <c r="G14" s="37" t="s">
        <v>1989</v>
      </c>
      <c r="H14" s="37" t="s">
        <v>1989</v>
      </c>
      <c r="I14" s="37" t="s">
        <v>1989</v>
      </c>
      <c r="J14" s="37" t="s">
        <v>1989</v>
      </c>
      <c r="K14" s="37" t="s">
        <v>1989</v>
      </c>
      <c r="L14" s="37" t="s">
        <v>1989</v>
      </c>
      <c r="M14" s="37" t="s">
        <v>1989</v>
      </c>
      <c r="N14" s="37" t="s">
        <v>1989</v>
      </c>
      <c r="O14" s="37" t="s">
        <v>1989</v>
      </c>
      <c r="P14" s="37"/>
      <c r="Q14" s="37" t="s">
        <v>1990</v>
      </c>
      <c r="R14" s="37"/>
      <c r="S14" s="37"/>
      <c r="T14" s="37"/>
      <c r="U14" s="37"/>
      <c r="V14" s="39" t="s">
        <v>1991</v>
      </c>
      <c r="W14" s="37"/>
      <c r="X14" s="37"/>
      <c r="Y14" s="37"/>
      <c r="Z14" s="37"/>
      <c r="AA14" s="39" t="s">
        <v>1992</v>
      </c>
      <c r="AB14" s="37"/>
      <c r="AC14" s="37"/>
      <c r="AD14" s="37"/>
      <c r="AE14" s="37"/>
      <c r="AF14" s="37"/>
      <c r="AG14" s="37"/>
      <c r="AH14" s="37"/>
      <c r="AI14" s="37"/>
      <c r="AJ14" s="37"/>
      <c r="AK14" s="37" t="s">
        <v>1989</v>
      </c>
      <c r="AL14" s="37" t="s">
        <v>1989</v>
      </c>
      <c r="AM14" s="37" t="s">
        <v>1989</v>
      </c>
      <c r="AN14" s="37" t="s">
        <v>1989</v>
      </c>
      <c r="AO14" s="37" t="s">
        <v>1989</v>
      </c>
      <c r="AP14" s="37" t="s">
        <v>1989</v>
      </c>
      <c r="AQ14" s="37"/>
      <c r="AR14" s="37"/>
      <c r="AS14" s="37" t="s">
        <v>1989</v>
      </c>
      <c r="AT14" s="37" t="s">
        <v>1989</v>
      </c>
      <c r="AU14" s="37" t="s">
        <v>1989</v>
      </c>
      <c r="AV14" s="37" t="s">
        <v>1989</v>
      </c>
      <c r="AW14" s="37" t="s">
        <v>1989</v>
      </c>
      <c r="AX14" s="37" t="s">
        <v>1989</v>
      </c>
      <c r="AY14" s="37"/>
      <c r="AZ14" s="37"/>
      <c r="BA14" s="37" t="s">
        <v>1989</v>
      </c>
      <c r="BB14" s="37" t="s">
        <v>1989</v>
      </c>
      <c r="BC14" s="37" t="s">
        <v>1989</v>
      </c>
      <c r="BD14" s="37" t="s">
        <v>1989</v>
      </c>
      <c r="BE14" s="37" t="s">
        <v>1989</v>
      </c>
      <c r="BF14" s="37" t="s">
        <v>1989</v>
      </c>
      <c r="BG14" s="37"/>
      <c r="BH14" s="37"/>
      <c r="BI14" s="37" t="s">
        <v>1989</v>
      </c>
      <c r="BJ14" s="37" t="s">
        <v>1989</v>
      </c>
      <c r="BK14" s="37" t="s">
        <v>1989</v>
      </c>
      <c r="BL14" s="37" t="s">
        <v>1989</v>
      </c>
      <c r="BM14" s="37" t="s">
        <v>1989</v>
      </c>
      <c r="BN14" s="37" t="s">
        <v>1989</v>
      </c>
      <c r="BO14" s="37" t="s">
        <v>1989</v>
      </c>
      <c r="BP14" s="37" t="s">
        <v>1989</v>
      </c>
      <c r="BQ14" s="37" t="s">
        <v>1989</v>
      </c>
      <c r="BR14" s="37" t="s">
        <v>1989</v>
      </c>
      <c r="BS14" s="37" t="s">
        <v>1989</v>
      </c>
      <c r="BT14" s="37" t="s">
        <v>1989</v>
      </c>
      <c r="BU14" s="37" t="s">
        <v>1989</v>
      </c>
      <c r="BV14" s="37" t="s">
        <v>1989</v>
      </c>
      <c r="BW14" s="37" t="s">
        <v>1989</v>
      </c>
    </row>
    <row r="15" spans="1:78" ht="15" customHeight="1">
      <c r="A15" s="37" t="s">
        <v>1989</v>
      </c>
      <c r="B15" s="37" t="s">
        <v>1989</v>
      </c>
      <c r="C15" s="37" t="s">
        <v>1989</v>
      </c>
      <c r="D15" s="37" t="s">
        <v>1989</v>
      </c>
      <c r="E15" s="37" t="s">
        <v>1989</v>
      </c>
      <c r="F15" s="37" t="s">
        <v>1989</v>
      </c>
      <c r="G15" s="37" t="s">
        <v>1989</v>
      </c>
      <c r="H15" s="37" t="s">
        <v>1989</v>
      </c>
      <c r="I15" s="37" t="s">
        <v>1989</v>
      </c>
      <c r="J15" s="37" t="s">
        <v>1989</v>
      </c>
      <c r="K15" s="37" t="s">
        <v>1989</v>
      </c>
      <c r="L15" s="37" t="s">
        <v>1989</v>
      </c>
      <c r="M15" s="37" t="s">
        <v>1989</v>
      </c>
      <c r="N15" s="37" t="s">
        <v>1989</v>
      </c>
      <c r="O15" s="37" t="s">
        <v>1989</v>
      </c>
      <c r="P15" s="37"/>
      <c r="Q15" s="37" t="s">
        <v>1990</v>
      </c>
      <c r="R15" s="37"/>
      <c r="S15" s="37"/>
      <c r="T15" s="37"/>
      <c r="U15" s="37"/>
      <c r="V15" s="37"/>
      <c r="W15" s="37"/>
      <c r="X15" s="37"/>
      <c r="Y15" s="37"/>
      <c r="Z15" s="37"/>
      <c r="AA15" s="37"/>
      <c r="AB15" s="37"/>
      <c r="AC15" s="37"/>
      <c r="AD15" s="37"/>
      <c r="AE15" s="37"/>
      <c r="AF15" s="37"/>
      <c r="AG15" s="37"/>
      <c r="AH15" s="37"/>
      <c r="AI15" s="37"/>
      <c r="AJ15" s="37"/>
      <c r="AK15" s="37" t="s">
        <v>1989</v>
      </c>
      <c r="AL15" s="37" t="s">
        <v>1989</v>
      </c>
      <c r="AM15" s="37" t="s">
        <v>1989</v>
      </c>
      <c r="AN15" s="37" t="s">
        <v>1989</v>
      </c>
      <c r="AO15" s="37" t="s">
        <v>1989</v>
      </c>
      <c r="AP15" s="37" t="s">
        <v>1989</v>
      </c>
      <c r="AQ15" s="37"/>
      <c r="AR15" s="37"/>
      <c r="AS15" s="37" t="s">
        <v>1989</v>
      </c>
      <c r="AT15" s="37" t="s">
        <v>1989</v>
      </c>
      <c r="AU15" s="37" t="s">
        <v>1989</v>
      </c>
      <c r="AV15" s="37" t="s">
        <v>1989</v>
      </c>
      <c r="AW15" s="37" t="s">
        <v>1989</v>
      </c>
      <c r="AX15" s="37" t="s">
        <v>1989</v>
      </c>
      <c r="AY15" s="39">
        <v>10</v>
      </c>
      <c r="AZ15" s="37"/>
      <c r="BA15" s="37" t="s">
        <v>1989</v>
      </c>
      <c r="BB15" s="37" t="s">
        <v>1989</v>
      </c>
      <c r="BC15" s="37" t="s">
        <v>1989</v>
      </c>
      <c r="BD15" s="37" t="s">
        <v>1989</v>
      </c>
      <c r="BE15" s="37" t="s">
        <v>1989</v>
      </c>
      <c r="BF15" s="37" t="s">
        <v>1989</v>
      </c>
      <c r="BG15" s="37"/>
      <c r="BH15" s="37"/>
      <c r="BI15" s="37" t="s">
        <v>1989</v>
      </c>
      <c r="BJ15" s="37" t="s">
        <v>1989</v>
      </c>
      <c r="BK15" s="37" t="s">
        <v>1989</v>
      </c>
      <c r="BL15" s="37" t="s">
        <v>1989</v>
      </c>
      <c r="BM15" s="37" t="s">
        <v>1989</v>
      </c>
      <c r="BN15" s="37" t="s">
        <v>1989</v>
      </c>
      <c r="BO15" s="37" t="s">
        <v>1989</v>
      </c>
      <c r="BP15" s="37" t="s">
        <v>1989</v>
      </c>
      <c r="BQ15" s="37" t="s">
        <v>1989</v>
      </c>
      <c r="BR15" s="37" t="s">
        <v>1989</v>
      </c>
      <c r="BS15" s="37" t="s">
        <v>1989</v>
      </c>
      <c r="BT15" s="37" t="s">
        <v>1989</v>
      </c>
      <c r="BU15" s="37" t="s">
        <v>1989</v>
      </c>
      <c r="BV15" s="37" t="s">
        <v>1989</v>
      </c>
      <c r="BW15" s="37" t="s">
        <v>1989</v>
      </c>
    </row>
    <row r="16" spans="1:78" ht="15" customHeight="1">
      <c r="A16" s="37" t="s">
        <v>1989</v>
      </c>
      <c r="B16" s="37" t="s">
        <v>1989</v>
      </c>
      <c r="C16" s="37" t="s">
        <v>1989</v>
      </c>
      <c r="D16" s="37" t="s">
        <v>1989</v>
      </c>
      <c r="E16" s="37" t="s">
        <v>1989</v>
      </c>
      <c r="F16" s="37" t="s">
        <v>1989</v>
      </c>
      <c r="G16" s="37" t="s">
        <v>1989</v>
      </c>
      <c r="H16" s="37" t="s">
        <v>1989</v>
      </c>
      <c r="I16" s="37" t="s">
        <v>1989</v>
      </c>
      <c r="J16" s="37" t="s">
        <v>1989</v>
      </c>
      <c r="K16" s="37" t="s">
        <v>1989</v>
      </c>
      <c r="L16" s="37" t="s">
        <v>1989</v>
      </c>
      <c r="M16" s="37" t="s">
        <v>1989</v>
      </c>
      <c r="N16" s="37" t="s">
        <v>1989</v>
      </c>
      <c r="O16" s="37" t="s">
        <v>1989</v>
      </c>
      <c r="P16" s="37"/>
      <c r="Q16" s="37" t="s">
        <v>1990</v>
      </c>
      <c r="R16" s="37"/>
      <c r="S16" s="39">
        <v>2</v>
      </c>
      <c r="T16" s="37"/>
      <c r="U16" s="37" t="s">
        <v>1989</v>
      </c>
      <c r="V16" s="37" t="s">
        <v>1989</v>
      </c>
      <c r="W16" s="37" t="s">
        <v>1989</v>
      </c>
      <c r="X16" s="37" t="s">
        <v>1989</v>
      </c>
      <c r="Y16" s="37"/>
      <c r="Z16" s="37"/>
      <c r="AA16" s="37"/>
      <c r="AB16" s="37"/>
      <c r="AC16" s="37"/>
      <c r="AD16" s="37"/>
      <c r="AE16" s="37" t="s">
        <v>1989</v>
      </c>
      <c r="AF16" s="37" t="s">
        <v>1989</v>
      </c>
      <c r="AG16" s="37"/>
      <c r="AH16" s="37"/>
      <c r="AI16" s="37" t="s">
        <v>1989</v>
      </c>
      <c r="AJ16" s="37" t="s">
        <v>1989</v>
      </c>
      <c r="AK16" s="37"/>
      <c r="AL16" s="37"/>
      <c r="AM16" s="37"/>
      <c r="AN16" s="37"/>
      <c r="AO16" s="37"/>
      <c r="AP16" s="40"/>
      <c r="AQ16" s="37"/>
      <c r="AR16" s="37"/>
      <c r="AS16" s="37" t="s">
        <v>1989</v>
      </c>
      <c r="AT16" s="37" t="s">
        <v>1989</v>
      </c>
      <c r="AU16" s="37" t="s">
        <v>1989</v>
      </c>
      <c r="AV16" s="37" t="s">
        <v>1989</v>
      </c>
      <c r="AW16" s="37" t="s">
        <v>1989</v>
      </c>
      <c r="AX16" s="37" t="s">
        <v>1989</v>
      </c>
      <c r="AY16" s="37"/>
      <c r="AZ16" s="37"/>
      <c r="BA16" s="37"/>
      <c r="BB16" s="37"/>
      <c r="BC16" s="37" t="s">
        <v>1989</v>
      </c>
      <c r="BD16" s="37" t="s">
        <v>1989</v>
      </c>
      <c r="BE16" s="37" t="s">
        <v>1989</v>
      </c>
      <c r="BF16" s="37" t="s">
        <v>1989</v>
      </c>
      <c r="BG16" s="37"/>
      <c r="BH16" s="37"/>
      <c r="BI16" s="37"/>
      <c r="BJ16" s="37"/>
      <c r="BK16" s="37"/>
      <c r="BL16" s="37"/>
      <c r="BM16" s="37"/>
      <c r="BN16" s="37"/>
      <c r="BO16" s="37" t="s">
        <v>1989</v>
      </c>
      <c r="BP16" s="37" t="s">
        <v>1989</v>
      </c>
      <c r="BQ16" s="37" t="s">
        <v>1989</v>
      </c>
      <c r="BR16" s="37" t="s">
        <v>1989</v>
      </c>
      <c r="BS16" s="37" t="s">
        <v>1989</v>
      </c>
      <c r="BT16" s="37" t="s">
        <v>1989</v>
      </c>
      <c r="BU16" s="37" t="s">
        <v>1989</v>
      </c>
      <c r="BV16" s="37" t="s">
        <v>1989</v>
      </c>
      <c r="BW16" s="37" t="s">
        <v>1989</v>
      </c>
    </row>
    <row r="17" spans="1:75" ht="15" customHeight="1">
      <c r="A17" s="37" t="s">
        <v>1989</v>
      </c>
      <c r="B17" s="37" t="s">
        <v>1989</v>
      </c>
      <c r="C17" s="37" t="s">
        <v>1989</v>
      </c>
      <c r="D17" s="37" t="s">
        <v>1989</v>
      </c>
      <c r="E17" s="37" t="s">
        <v>1989</v>
      </c>
      <c r="F17" s="37" t="s">
        <v>1989</v>
      </c>
      <c r="G17" s="37" t="s">
        <v>1989</v>
      </c>
      <c r="H17" s="37" t="s">
        <v>1989</v>
      </c>
      <c r="I17" s="37" t="s">
        <v>1989</v>
      </c>
      <c r="J17" s="37" t="s">
        <v>1989</v>
      </c>
      <c r="K17" s="37" t="s">
        <v>1989</v>
      </c>
      <c r="L17" s="37" t="s">
        <v>1989</v>
      </c>
      <c r="M17" s="37" t="s">
        <v>1989</v>
      </c>
      <c r="N17" s="37" t="s">
        <v>1989</v>
      </c>
      <c r="O17" s="37" t="s">
        <v>1989</v>
      </c>
      <c r="P17" s="37" t="s">
        <v>1990</v>
      </c>
      <c r="Q17" s="37" t="s">
        <v>1990</v>
      </c>
      <c r="R17" s="37"/>
      <c r="S17" s="37"/>
      <c r="T17" s="37"/>
      <c r="U17" s="37" t="s">
        <v>1989</v>
      </c>
      <c r="V17" s="37" t="s">
        <v>1989</v>
      </c>
      <c r="W17" s="37" t="s">
        <v>1989</v>
      </c>
      <c r="X17" s="37" t="s">
        <v>1989</v>
      </c>
      <c r="Y17" s="37"/>
      <c r="Z17" s="37"/>
      <c r="AA17" s="37"/>
      <c r="AB17" s="37"/>
      <c r="AC17" s="37"/>
      <c r="AD17" s="37"/>
      <c r="AE17" s="37" t="s">
        <v>1989</v>
      </c>
      <c r="AF17" s="37" t="s">
        <v>1989</v>
      </c>
      <c r="AG17" s="37"/>
      <c r="AH17" s="37"/>
      <c r="AI17" s="37" t="s">
        <v>1989</v>
      </c>
      <c r="AJ17" s="37" t="s">
        <v>1989</v>
      </c>
      <c r="AK17" s="37"/>
      <c r="AL17" s="37"/>
      <c r="AM17" s="39">
        <v>7</v>
      </c>
      <c r="AN17" s="37"/>
      <c r="AO17" s="37"/>
      <c r="AP17" s="40"/>
      <c r="AQ17" s="37"/>
      <c r="AR17" s="37"/>
      <c r="AS17" s="37" t="s">
        <v>1989</v>
      </c>
      <c r="AT17" s="37" t="s">
        <v>1989</v>
      </c>
      <c r="AU17" s="37" t="s">
        <v>1989</v>
      </c>
      <c r="AV17" s="37" t="s">
        <v>1989</v>
      </c>
      <c r="AW17" s="37" t="s">
        <v>1989</v>
      </c>
      <c r="AX17" s="37" t="s">
        <v>1989</v>
      </c>
      <c r="AY17" s="37"/>
      <c r="AZ17" s="37"/>
      <c r="BA17" s="37"/>
      <c r="BB17" s="37"/>
      <c r="BC17" s="37" t="s">
        <v>1989</v>
      </c>
      <c r="BD17" s="37" t="s">
        <v>1989</v>
      </c>
      <c r="BE17" s="37" t="s">
        <v>1989</v>
      </c>
      <c r="BF17" s="37" t="s">
        <v>1989</v>
      </c>
      <c r="BG17" s="37"/>
      <c r="BH17" s="37"/>
      <c r="BI17" s="37"/>
      <c r="BJ17" s="37"/>
      <c r="BK17" s="37"/>
      <c r="BL17" s="37"/>
      <c r="BM17" s="37"/>
      <c r="BN17" s="37"/>
      <c r="BO17" s="37" t="s">
        <v>1989</v>
      </c>
      <c r="BP17" s="37" t="s">
        <v>1989</v>
      </c>
      <c r="BQ17" s="37" t="s">
        <v>1989</v>
      </c>
      <c r="BR17" s="37" t="s">
        <v>1989</v>
      </c>
      <c r="BS17" s="37" t="s">
        <v>1989</v>
      </c>
      <c r="BT17" s="37" t="s">
        <v>1989</v>
      </c>
      <c r="BU17" s="37" t="s">
        <v>1989</v>
      </c>
      <c r="BV17" s="37" t="s">
        <v>1989</v>
      </c>
      <c r="BW17" s="37" t="s">
        <v>1989</v>
      </c>
    </row>
    <row r="18" spans="1:75" ht="15" customHeight="1">
      <c r="A18" s="37" t="s">
        <v>1989</v>
      </c>
      <c r="B18" s="37" t="s">
        <v>1989</v>
      </c>
      <c r="C18" s="37" t="s">
        <v>1989</v>
      </c>
      <c r="D18" s="37" t="s">
        <v>1989</v>
      </c>
      <c r="E18" s="37" t="s">
        <v>1989</v>
      </c>
      <c r="F18" s="37" t="s">
        <v>1989</v>
      </c>
      <c r="G18" s="37" t="s">
        <v>1989</v>
      </c>
      <c r="H18" s="37" t="s">
        <v>1989</v>
      </c>
      <c r="I18" s="37" t="s">
        <v>1989</v>
      </c>
      <c r="J18" s="37" t="s">
        <v>1989</v>
      </c>
      <c r="K18" s="37" t="s">
        <v>1989</v>
      </c>
      <c r="L18" s="37" t="s">
        <v>1989</v>
      </c>
      <c r="M18" s="37" t="s">
        <v>1989</v>
      </c>
      <c r="N18" s="37" t="s">
        <v>1989</v>
      </c>
      <c r="O18" s="37" t="s">
        <v>1989</v>
      </c>
      <c r="P18" s="37" t="s">
        <v>1990</v>
      </c>
      <c r="Q18" s="37"/>
      <c r="R18" s="37"/>
      <c r="S18" s="37"/>
      <c r="T18" s="37"/>
      <c r="U18" s="37" t="s">
        <v>1989</v>
      </c>
      <c r="V18" s="37" t="s">
        <v>1989</v>
      </c>
      <c r="W18" s="37" t="s">
        <v>1989</v>
      </c>
      <c r="X18" s="37" t="s">
        <v>1989</v>
      </c>
      <c r="Y18" s="37" t="s">
        <v>1989</v>
      </c>
      <c r="Z18" s="37" t="s">
        <v>1989</v>
      </c>
      <c r="AA18" s="37"/>
      <c r="AB18" s="37"/>
      <c r="AC18" s="37" t="s">
        <v>1989</v>
      </c>
      <c r="AD18" s="37" t="s">
        <v>1989</v>
      </c>
      <c r="AE18" s="37"/>
      <c r="AF18" s="37"/>
      <c r="AG18" s="37"/>
      <c r="AH18" s="37"/>
      <c r="AI18" s="37" t="s">
        <v>1989</v>
      </c>
      <c r="AJ18" s="37" t="s">
        <v>1989</v>
      </c>
      <c r="AK18" s="37"/>
      <c r="AL18" s="37"/>
      <c r="AM18" s="37"/>
      <c r="AN18" s="37"/>
      <c r="AO18" s="37"/>
      <c r="AP18" s="37"/>
      <c r="AQ18" s="37"/>
      <c r="AR18" s="37"/>
      <c r="AS18" s="37" t="s">
        <v>1989</v>
      </c>
      <c r="AT18" s="37" t="s">
        <v>1989</v>
      </c>
      <c r="AU18" s="37" t="s">
        <v>1989</v>
      </c>
      <c r="AV18" s="37" t="s">
        <v>1989</v>
      </c>
      <c r="AW18" s="37"/>
      <c r="AX18" s="37"/>
      <c r="AY18" s="37"/>
      <c r="AZ18" s="37"/>
      <c r="BA18" s="37" t="s">
        <v>1989</v>
      </c>
      <c r="BB18" s="37" t="s">
        <v>1989</v>
      </c>
      <c r="BC18" s="37" t="s">
        <v>1989</v>
      </c>
      <c r="BD18" s="37" t="s">
        <v>1989</v>
      </c>
      <c r="BE18" s="37" t="s">
        <v>1989</v>
      </c>
      <c r="BF18" s="37" t="s">
        <v>1989</v>
      </c>
      <c r="BG18" s="37"/>
      <c r="BH18" s="37"/>
      <c r="BI18" s="37" t="s">
        <v>1989</v>
      </c>
      <c r="BJ18" s="37" t="s">
        <v>1989</v>
      </c>
      <c r="BK18" s="37"/>
      <c r="BL18" s="39">
        <v>12</v>
      </c>
      <c r="BM18" s="37"/>
      <c r="BN18" s="37"/>
      <c r="BO18" s="37" t="s">
        <v>1989</v>
      </c>
      <c r="BP18" s="37" t="s">
        <v>1989</v>
      </c>
      <c r="BQ18" s="37" t="s">
        <v>1989</v>
      </c>
      <c r="BR18" s="37" t="s">
        <v>1989</v>
      </c>
      <c r="BS18" s="37" t="s">
        <v>1989</v>
      </c>
      <c r="BT18" s="37" t="s">
        <v>1989</v>
      </c>
      <c r="BU18" s="37" t="s">
        <v>1989</v>
      </c>
      <c r="BV18" s="37" t="s">
        <v>1989</v>
      </c>
      <c r="BW18" s="37" t="s">
        <v>1989</v>
      </c>
    </row>
    <row r="19" spans="1:75" ht="15" customHeight="1">
      <c r="A19" s="37" t="s">
        <v>1989</v>
      </c>
      <c r="B19" s="37" t="s">
        <v>1989</v>
      </c>
      <c r="C19" s="37" t="s">
        <v>1989</v>
      </c>
      <c r="D19" s="37" t="s">
        <v>1989</v>
      </c>
      <c r="E19" s="37" t="s">
        <v>1989</v>
      </c>
      <c r="F19" s="37" t="s">
        <v>1989</v>
      </c>
      <c r="G19" s="37" t="s">
        <v>1989</v>
      </c>
      <c r="H19" s="37" t="s">
        <v>1989</v>
      </c>
      <c r="I19" s="37" t="s">
        <v>1989</v>
      </c>
      <c r="J19" s="37" t="s">
        <v>1989</v>
      </c>
      <c r="K19" s="37" t="s">
        <v>1989</v>
      </c>
      <c r="L19" s="37" t="s">
        <v>1989</v>
      </c>
      <c r="M19" s="37" t="s">
        <v>1989</v>
      </c>
      <c r="N19" s="37" t="s">
        <v>1989</v>
      </c>
      <c r="O19" s="37" t="s">
        <v>1990</v>
      </c>
      <c r="P19" s="37" t="s">
        <v>1990</v>
      </c>
      <c r="Q19" s="37" t="s">
        <v>1990</v>
      </c>
      <c r="R19" s="37"/>
      <c r="S19" s="37"/>
      <c r="T19" s="37"/>
      <c r="U19" s="37" t="s">
        <v>1989</v>
      </c>
      <c r="V19" s="37" t="s">
        <v>1989</v>
      </c>
      <c r="W19" s="37" t="s">
        <v>1989</v>
      </c>
      <c r="X19" s="37" t="s">
        <v>1989</v>
      </c>
      <c r="Y19" s="37" t="s">
        <v>1989</v>
      </c>
      <c r="Z19" s="37" t="s">
        <v>1989</v>
      </c>
      <c r="AA19" s="37"/>
      <c r="AB19" s="37"/>
      <c r="AC19" s="37" t="s">
        <v>1989</v>
      </c>
      <c r="AD19" s="37" t="s">
        <v>1989</v>
      </c>
      <c r="AE19" s="41"/>
      <c r="AF19" s="37"/>
      <c r="AG19" s="37"/>
      <c r="AH19" s="37"/>
      <c r="AI19" s="37" t="s">
        <v>1989</v>
      </c>
      <c r="AJ19" s="37" t="s">
        <v>1989</v>
      </c>
      <c r="AK19" s="37"/>
      <c r="AL19" s="37"/>
      <c r="AM19" s="37"/>
      <c r="AN19" s="37"/>
      <c r="AO19" s="37"/>
      <c r="AP19" s="37"/>
      <c r="AQ19" s="37"/>
      <c r="AR19" s="37"/>
      <c r="AS19" s="37" t="s">
        <v>1989</v>
      </c>
      <c r="AT19" s="37" t="s">
        <v>1989</v>
      </c>
      <c r="AU19" s="37" t="s">
        <v>1989</v>
      </c>
      <c r="AV19" s="37" t="s">
        <v>1989</v>
      </c>
      <c r="AW19" s="37"/>
      <c r="AX19" s="37"/>
      <c r="AY19" s="37"/>
      <c r="AZ19" s="37"/>
      <c r="BA19" s="37" t="s">
        <v>1989</v>
      </c>
      <c r="BB19" s="37" t="s">
        <v>1989</v>
      </c>
      <c r="BC19" s="37" t="s">
        <v>1989</v>
      </c>
      <c r="BD19" s="37" t="s">
        <v>1989</v>
      </c>
      <c r="BE19" s="37" t="s">
        <v>1989</v>
      </c>
      <c r="BF19" s="37" t="s">
        <v>1989</v>
      </c>
      <c r="BG19" s="37"/>
      <c r="BH19" s="37"/>
      <c r="BI19" s="37" t="s">
        <v>1989</v>
      </c>
      <c r="BJ19" s="37" t="s">
        <v>1989</v>
      </c>
      <c r="BK19" s="37"/>
      <c r="BL19" s="37"/>
      <c r="BM19" s="37"/>
      <c r="BN19" s="37"/>
      <c r="BO19" s="37" t="s">
        <v>1989</v>
      </c>
      <c r="BP19" s="37" t="s">
        <v>1989</v>
      </c>
      <c r="BQ19" s="37" t="s">
        <v>1989</v>
      </c>
      <c r="BR19" s="37" t="s">
        <v>1989</v>
      </c>
      <c r="BS19" s="37" t="s">
        <v>1989</v>
      </c>
      <c r="BT19" s="37" t="s">
        <v>1989</v>
      </c>
      <c r="BU19" s="37" t="s">
        <v>1989</v>
      </c>
      <c r="BV19" s="37" t="s">
        <v>1989</v>
      </c>
      <c r="BW19" s="37" t="s">
        <v>1989</v>
      </c>
    </row>
    <row r="20" spans="1:75" ht="15" customHeight="1">
      <c r="A20" s="37" t="s">
        <v>1989</v>
      </c>
      <c r="B20" s="37" t="s">
        <v>1989</v>
      </c>
      <c r="C20" s="37" t="s">
        <v>1989</v>
      </c>
      <c r="D20" s="37" t="s">
        <v>1989</v>
      </c>
      <c r="E20" s="37" t="s">
        <v>1989</v>
      </c>
      <c r="F20" s="37" t="s">
        <v>1989</v>
      </c>
      <c r="G20" s="37" t="s">
        <v>1989</v>
      </c>
      <c r="H20" s="37" t="s">
        <v>1989</v>
      </c>
      <c r="I20" s="37" t="s">
        <v>1989</v>
      </c>
      <c r="J20" s="37" t="s">
        <v>1989</v>
      </c>
      <c r="K20" s="37" t="s">
        <v>1989</v>
      </c>
      <c r="L20" s="37" t="s">
        <v>1989</v>
      </c>
      <c r="M20" s="37" t="s">
        <v>1989</v>
      </c>
      <c r="N20" s="37" t="s">
        <v>1989</v>
      </c>
      <c r="O20" s="37" t="s">
        <v>1990</v>
      </c>
      <c r="P20" s="39" t="s">
        <v>1993</v>
      </c>
      <c r="Q20" s="39" t="s">
        <v>1990</v>
      </c>
      <c r="R20" s="37" t="s">
        <v>1990</v>
      </c>
      <c r="S20" s="37"/>
      <c r="T20" s="37"/>
      <c r="U20" s="37" t="s">
        <v>1989</v>
      </c>
      <c r="V20" s="37" t="s">
        <v>1989</v>
      </c>
      <c r="W20" s="37" t="s">
        <v>1989</v>
      </c>
      <c r="X20" s="37" t="s">
        <v>1989</v>
      </c>
      <c r="Y20" s="37" t="s">
        <v>1989</v>
      </c>
      <c r="Z20" s="37" t="s">
        <v>1989</v>
      </c>
      <c r="AA20" s="37"/>
      <c r="AB20" s="37"/>
      <c r="AC20" s="37" t="s">
        <v>1989</v>
      </c>
      <c r="AD20" s="37" t="s">
        <v>1989</v>
      </c>
      <c r="AE20" s="37"/>
      <c r="AF20" s="37"/>
      <c r="AG20" s="37" t="s">
        <v>1989</v>
      </c>
      <c r="AH20" s="37" t="s">
        <v>1989</v>
      </c>
      <c r="AI20" s="37" t="s">
        <v>1989</v>
      </c>
      <c r="AJ20" s="37" t="s">
        <v>1989</v>
      </c>
      <c r="AK20" s="37" t="s">
        <v>1989</v>
      </c>
      <c r="AL20" s="37" t="s">
        <v>1989</v>
      </c>
      <c r="AM20" s="37" t="s">
        <v>1989</v>
      </c>
      <c r="AN20" s="37" t="s">
        <v>1989</v>
      </c>
      <c r="AO20" s="37" t="s">
        <v>1989</v>
      </c>
      <c r="AP20" s="37" t="s">
        <v>1989</v>
      </c>
      <c r="AQ20" s="37"/>
      <c r="AR20" s="37"/>
      <c r="AS20" s="37" t="s">
        <v>1989</v>
      </c>
      <c r="AT20" s="37" t="s">
        <v>1989</v>
      </c>
      <c r="AU20" s="37" t="s">
        <v>1989</v>
      </c>
      <c r="AV20" s="37" t="s">
        <v>1989</v>
      </c>
      <c r="AW20" s="37" t="s">
        <v>1989</v>
      </c>
      <c r="AX20" s="37" t="s">
        <v>1989</v>
      </c>
      <c r="AY20" s="37"/>
      <c r="AZ20" s="37"/>
      <c r="BA20" s="37"/>
      <c r="BB20" s="37"/>
      <c r="BC20" s="37" t="s">
        <v>1989</v>
      </c>
      <c r="BD20" s="37" t="s">
        <v>1989</v>
      </c>
      <c r="BE20" s="37" t="s">
        <v>1989</v>
      </c>
      <c r="BF20" s="37" t="s">
        <v>1989</v>
      </c>
      <c r="BG20" s="37"/>
      <c r="BH20" s="37"/>
      <c r="BI20" s="37"/>
      <c r="BJ20" s="37"/>
      <c r="BK20" s="37"/>
      <c r="BL20" s="37"/>
      <c r="BM20" s="37"/>
      <c r="BN20" s="37"/>
      <c r="BO20" s="37" t="s">
        <v>1989</v>
      </c>
      <c r="BP20" s="37" t="s">
        <v>1989</v>
      </c>
      <c r="BQ20" s="37" t="s">
        <v>1989</v>
      </c>
      <c r="BR20" s="37" t="s">
        <v>1989</v>
      </c>
      <c r="BS20" s="37" t="s">
        <v>1989</v>
      </c>
      <c r="BT20" s="37" t="s">
        <v>1989</v>
      </c>
      <c r="BU20" s="37" t="s">
        <v>1989</v>
      </c>
      <c r="BV20" s="37" t="s">
        <v>1989</v>
      </c>
      <c r="BW20" s="37" t="s">
        <v>1989</v>
      </c>
    </row>
    <row r="21" spans="1:75" ht="15" customHeight="1">
      <c r="A21" s="37" t="s">
        <v>1989</v>
      </c>
      <c r="B21" s="37" t="s">
        <v>1989</v>
      </c>
      <c r="C21" s="37" t="s">
        <v>1989</v>
      </c>
      <c r="D21" s="37" t="s">
        <v>1989</v>
      </c>
      <c r="E21" s="37" t="s">
        <v>1989</v>
      </c>
      <c r="F21" s="37" t="s">
        <v>1989</v>
      </c>
      <c r="G21" s="37" t="s">
        <v>1989</v>
      </c>
      <c r="H21" s="37" t="s">
        <v>1989</v>
      </c>
      <c r="I21" s="37" t="s">
        <v>1989</v>
      </c>
      <c r="J21" s="37" t="s">
        <v>1989</v>
      </c>
      <c r="K21" s="37" t="s">
        <v>1989</v>
      </c>
      <c r="L21" s="37" t="s">
        <v>1989</v>
      </c>
      <c r="M21" s="37" t="s">
        <v>1989</v>
      </c>
      <c r="N21" s="37" t="s">
        <v>1989</v>
      </c>
      <c r="O21" s="37" t="s">
        <v>1990</v>
      </c>
      <c r="P21" s="37" t="s">
        <v>1990</v>
      </c>
      <c r="Q21" s="37" t="s">
        <v>1990</v>
      </c>
      <c r="R21" s="37" t="s">
        <v>1990</v>
      </c>
      <c r="S21" s="37"/>
      <c r="T21" s="37"/>
      <c r="U21" s="37" t="s">
        <v>1989</v>
      </c>
      <c r="V21" s="37" t="s">
        <v>1989</v>
      </c>
      <c r="W21" s="37" t="s">
        <v>1989</v>
      </c>
      <c r="X21" s="37" t="s">
        <v>1989</v>
      </c>
      <c r="Y21" s="37" t="s">
        <v>1989</v>
      </c>
      <c r="Z21" s="37" t="s">
        <v>1989</v>
      </c>
      <c r="AA21" s="37"/>
      <c r="AB21" s="37"/>
      <c r="AC21" s="37" t="s">
        <v>1989</v>
      </c>
      <c r="AD21" s="37" t="s">
        <v>1989</v>
      </c>
      <c r="AE21" s="37"/>
      <c r="AF21" s="37"/>
      <c r="AG21" s="37" t="s">
        <v>1989</v>
      </c>
      <c r="AH21" s="37" t="s">
        <v>1989</v>
      </c>
      <c r="AI21" s="37" t="s">
        <v>1989</v>
      </c>
      <c r="AJ21" s="37" t="s">
        <v>1989</v>
      </c>
      <c r="AK21" s="37" t="s">
        <v>1989</v>
      </c>
      <c r="AL21" s="37" t="s">
        <v>1989</v>
      </c>
      <c r="AM21" s="37" t="s">
        <v>1989</v>
      </c>
      <c r="AN21" s="37" t="s">
        <v>1989</v>
      </c>
      <c r="AO21" s="37" t="s">
        <v>1989</v>
      </c>
      <c r="AP21" s="37" t="s">
        <v>1989</v>
      </c>
      <c r="AQ21" s="37"/>
      <c r="AR21" s="37"/>
      <c r="AS21" s="37" t="s">
        <v>1989</v>
      </c>
      <c r="AT21" s="37" t="s">
        <v>1989</v>
      </c>
      <c r="AU21" s="37" t="s">
        <v>1989</v>
      </c>
      <c r="AV21" s="37" t="s">
        <v>1989</v>
      </c>
      <c r="AW21" s="37" t="s">
        <v>1989</v>
      </c>
      <c r="AX21" s="37" t="s">
        <v>1989</v>
      </c>
      <c r="AY21" s="37"/>
      <c r="AZ21" s="37"/>
      <c r="BA21" s="37"/>
      <c r="BB21" s="37"/>
      <c r="BC21" s="37" t="s">
        <v>1989</v>
      </c>
      <c r="BD21" s="37" t="s">
        <v>1989</v>
      </c>
      <c r="BE21" s="37" t="s">
        <v>1989</v>
      </c>
      <c r="BF21" s="37" t="s">
        <v>1989</v>
      </c>
      <c r="BG21" s="37"/>
      <c r="BH21" s="37"/>
      <c r="BI21" s="37"/>
      <c r="BJ21" s="37"/>
      <c r="BK21" s="37"/>
      <c r="BL21" s="37"/>
      <c r="BM21" s="37"/>
      <c r="BN21" s="37"/>
      <c r="BO21" s="37" t="s">
        <v>1989</v>
      </c>
      <c r="BP21" s="37" t="s">
        <v>1989</v>
      </c>
      <c r="BQ21" s="37" t="s">
        <v>1989</v>
      </c>
      <c r="BR21" s="37" t="s">
        <v>1989</v>
      </c>
      <c r="BS21" s="37" t="s">
        <v>1989</v>
      </c>
      <c r="BT21" s="37" t="s">
        <v>1989</v>
      </c>
      <c r="BU21" s="37" t="s">
        <v>1989</v>
      </c>
      <c r="BV21" s="37" t="s">
        <v>1989</v>
      </c>
      <c r="BW21" s="37" t="s">
        <v>1989</v>
      </c>
    </row>
    <row r="22" spans="1:75" ht="15" customHeight="1">
      <c r="A22" s="37" t="s">
        <v>1989</v>
      </c>
      <c r="B22" s="37" t="s">
        <v>1989</v>
      </c>
      <c r="C22" s="37" t="s">
        <v>1989</v>
      </c>
      <c r="D22" s="37" t="s">
        <v>1989</v>
      </c>
      <c r="E22" s="37" t="s">
        <v>1989</v>
      </c>
      <c r="F22" s="37" t="s">
        <v>1989</v>
      </c>
      <c r="G22" s="37" t="s">
        <v>1989</v>
      </c>
      <c r="H22" s="37" t="s">
        <v>1989</v>
      </c>
      <c r="I22" s="37" t="s">
        <v>1989</v>
      </c>
      <c r="J22" s="37" t="s">
        <v>1989</v>
      </c>
      <c r="K22" s="37" t="s">
        <v>1989</v>
      </c>
      <c r="L22" s="37" t="s">
        <v>1989</v>
      </c>
      <c r="M22" s="37" t="s">
        <v>1989</v>
      </c>
      <c r="N22" s="37" t="s">
        <v>1989</v>
      </c>
      <c r="O22" s="37" t="s">
        <v>1989</v>
      </c>
      <c r="P22" s="37" t="s">
        <v>1989</v>
      </c>
      <c r="Q22" s="37" t="s">
        <v>1990</v>
      </c>
      <c r="R22" s="37"/>
      <c r="S22" s="37"/>
      <c r="T22" s="37"/>
      <c r="U22" s="37" t="s">
        <v>1989</v>
      </c>
      <c r="V22" s="37" t="s">
        <v>1989</v>
      </c>
      <c r="W22" s="37" t="s">
        <v>1989</v>
      </c>
      <c r="X22" s="37" t="s">
        <v>1989</v>
      </c>
      <c r="Y22" s="37" t="s">
        <v>1989</v>
      </c>
      <c r="Z22" s="37" t="s">
        <v>1989</v>
      </c>
      <c r="AA22" s="37"/>
      <c r="AB22" s="37"/>
      <c r="AC22" s="37" t="s">
        <v>1989</v>
      </c>
      <c r="AD22" s="37" t="s">
        <v>1989</v>
      </c>
      <c r="AE22" s="37"/>
      <c r="AF22" s="37"/>
      <c r="AG22" s="37" t="s">
        <v>1989</v>
      </c>
      <c r="AH22" s="37" t="s">
        <v>1989</v>
      </c>
      <c r="AI22" s="37" t="s">
        <v>1989</v>
      </c>
      <c r="AJ22" s="37" t="s">
        <v>1989</v>
      </c>
      <c r="AK22" s="37"/>
      <c r="AL22" s="37"/>
      <c r="AM22" s="37"/>
      <c r="AN22" s="37"/>
      <c r="AO22" s="37"/>
      <c r="AP22" s="37"/>
      <c r="AQ22" s="37"/>
      <c r="AR22" s="37"/>
      <c r="AS22" s="37" t="s">
        <v>1989</v>
      </c>
      <c r="AT22" s="37" t="s">
        <v>1989</v>
      </c>
      <c r="AU22" s="37" t="s">
        <v>1989</v>
      </c>
      <c r="AV22" s="37" t="s">
        <v>1989</v>
      </c>
      <c r="AW22" s="37"/>
      <c r="AX22" s="37"/>
      <c r="AY22" s="37"/>
      <c r="AZ22" s="37"/>
      <c r="BA22" s="37" t="s">
        <v>1989</v>
      </c>
      <c r="BB22" s="37" t="s">
        <v>1989</v>
      </c>
      <c r="BC22" s="37" t="s">
        <v>1989</v>
      </c>
      <c r="BD22" s="37" t="s">
        <v>1989</v>
      </c>
      <c r="BE22" s="37" t="s">
        <v>1989</v>
      </c>
      <c r="BF22" s="37" t="s">
        <v>1989</v>
      </c>
      <c r="BG22" s="37"/>
      <c r="BH22" s="37"/>
      <c r="BI22" s="37" t="s">
        <v>1989</v>
      </c>
      <c r="BJ22" s="37" t="s">
        <v>1989</v>
      </c>
      <c r="BK22" s="37" t="s">
        <v>1989</v>
      </c>
      <c r="BL22" s="37" t="s">
        <v>1989</v>
      </c>
      <c r="BM22" s="37" t="s">
        <v>1989</v>
      </c>
      <c r="BN22" s="37" t="s">
        <v>1989</v>
      </c>
      <c r="BO22" s="37" t="s">
        <v>1989</v>
      </c>
      <c r="BP22" s="37" t="s">
        <v>1989</v>
      </c>
      <c r="BQ22" s="37" t="s">
        <v>1989</v>
      </c>
      <c r="BR22" s="37" t="s">
        <v>1989</v>
      </c>
      <c r="BS22" s="37" t="s">
        <v>1989</v>
      </c>
      <c r="BT22" s="37" t="s">
        <v>1989</v>
      </c>
      <c r="BU22" s="37" t="s">
        <v>1989</v>
      </c>
      <c r="BV22" s="37" t="s">
        <v>1989</v>
      </c>
      <c r="BW22" s="37" t="s">
        <v>1989</v>
      </c>
    </row>
    <row r="23" spans="1:75" ht="15" customHeight="1">
      <c r="A23" s="37" t="s">
        <v>1989</v>
      </c>
      <c r="B23" s="37" t="s">
        <v>1989</v>
      </c>
      <c r="C23" s="37" t="s">
        <v>1989</v>
      </c>
      <c r="D23" s="37" t="s">
        <v>1989</v>
      </c>
      <c r="E23" s="37" t="s">
        <v>1989</v>
      </c>
      <c r="F23" s="37" t="s">
        <v>1989</v>
      </c>
      <c r="G23" s="37" t="s">
        <v>1989</v>
      </c>
      <c r="H23" s="37" t="s">
        <v>1989</v>
      </c>
      <c r="I23" s="37" t="s">
        <v>1989</v>
      </c>
      <c r="J23" s="37" t="s">
        <v>1989</v>
      </c>
      <c r="K23" s="37" t="s">
        <v>1989</v>
      </c>
      <c r="L23" s="37" t="s">
        <v>1989</v>
      </c>
      <c r="M23" s="37" t="s">
        <v>1989</v>
      </c>
      <c r="N23" s="37" t="s">
        <v>1989</v>
      </c>
      <c r="O23" s="37" t="s">
        <v>1989</v>
      </c>
      <c r="P23" s="37" t="s">
        <v>1989</v>
      </c>
      <c r="Q23" s="37" t="s">
        <v>1990</v>
      </c>
      <c r="R23" s="39" t="s">
        <v>1994</v>
      </c>
      <c r="S23" s="37"/>
      <c r="T23" s="37" t="s">
        <v>1989</v>
      </c>
      <c r="U23" s="37" t="s">
        <v>1989</v>
      </c>
      <c r="V23" s="37" t="s">
        <v>1989</v>
      </c>
      <c r="W23" s="37" t="s">
        <v>1989</v>
      </c>
      <c r="X23" s="37" t="s">
        <v>1989</v>
      </c>
      <c r="Y23" s="37" t="s">
        <v>1989</v>
      </c>
      <c r="Z23" s="37" t="s">
        <v>1989</v>
      </c>
      <c r="AA23" s="37"/>
      <c r="AB23" s="37"/>
      <c r="AC23" s="37" t="s">
        <v>1989</v>
      </c>
      <c r="AD23" s="37" t="s">
        <v>1989</v>
      </c>
      <c r="AE23" s="37"/>
      <c r="AF23" s="37"/>
      <c r="AG23" s="37" t="s">
        <v>1989</v>
      </c>
      <c r="AH23" s="37" t="s">
        <v>1989</v>
      </c>
      <c r="AI23" s="37" t="s">
        <v>1989</v>
      </c>
      <c r="AJ23" s="37" t="s">
        <v>1989</v>
      </c>
      <c r="AK23" s="37"/>
      <c r="AL23" s="37"/>
      <c r="AM23" s="37"/>
      <c r="AN23" s="37"/>
      <c r="AO23" s="37"/>
      <c r="AP23" s="37"/>
      <c r="AQ23" s="37"/>
      <c r="AR23" s="37"/>
      <c r="AS23" s="37" t="s">
        <v>1989</v>
      </c>
      <c r="AT23" s="37" t="s">
        <v>1989</v>
      </c>
      <c r="AU23" s="37" t="s">
        <v>1989</v>
      </c>
      <c r="AV23" s="37" t="s">
        <v>1989</v>
      </c>
      <c r="AW23" s="37"/>
      <c r="AX23" s="37"/>
      <c r="AY23" s="37"/>
      <c r="AZ23" s="37"/>
      <c r="BA23" s="37" t="s">
        <v>1989</v>
      </c>
      <c r="BB23" s="37" t="s">
        <v>1989</v>
      </c>
      <c r="BC23" s="37" t="s">
        <v>1989</v>
      </c>
      <c r="BD23" s="37" t="s">
        <v>1989</v>
      </c>
      <c r="BE23" s="37" t="s">
        <v>1989</v>
      </c>
      <c r="BF23" s="37" t="s">
        <v>1989</v>
      </c>
      <c r="BG23" s="37"/>
      <c r="BH23" s="37"/>
      <c r="BI23" s="37" t="s">
        <v>1989</v>
      </c>
      <c r="BJ23" s="37" t="s">
        <v>1989</v>
      </c>
      <c r="BK23" s="37" t="s">
        <v>1989</v>
      </c>
      <c r="BL23" s="37" t="s">
        <v>1989</v>
      </c>
      <c r="BM23" s="37" t="s">
        <v>1989</v>
      </c>
      <c r="BN23" s="37" t="s">
        <v>1989</v>
      </c>
      <c r="BO23" s="37" t="s">
        <v>1989</v>
      </c>
      <c r="BP23" s="37" t="s">
        <v>1989</v>
      </c>
      <c r="BQ23" s="37" t="s">
        <v>1989</v>
      </c>
      <c r="BR23" s="37" t="s">
        <v>1989</v>
      </c>
      <c r="BS23" s="37" t="s">
        <v>1989</v>
      </c>
      <c r="BT23" s="37" t="s">
        <v>1989</v>
      </c>
      <c r="BU23" s="37" t="s">
        <v>1989</v>
      </c>
      <c r="BV23" s="37" t="s">
        <v>1989</v>
      </c>
      <c r="BW23" s="37" t="s">
        <v>1989</v>
      </c>
    </row>
    <row r="24" spans="1:75" ht="15" customHeight="1">
      <c r="A24" s="37" t="s">
        <v>1989</v>
      </c>
      <c r="B24" s="37" t="s">
        <v>1989</v>
      </c>
      <c r="C24" s="37" t="s">
        <v>1989</v>
      </c>
      <c r="D24" s="37" t="s">
        <v>1989</v>
      </c>
      <c r="E24" s="37" t="s">
        <v>1989</v>
      </c>
      <c r="F24" s="37" t="s">
        <v>1989</v>
      </c>
      <c r="G24" s="37" t="s">
        <v>1989</v>
      </c>
      <c r="H24" s="37" t="s">
        <v>1989</v>
      </c>
      <c r="I24" s="37" t="s">
        <v>1989</v>
      </c>
      <c r="J24" s="37" t="s">
        <v>1989</v>
      </c>
      <c r="K24" s="37" t="s">
        <v>1989</v>
      </c>
      <c r="L24" s="37" t="s">
        <v>1989</v>
      </c>
      <c r="M24" s="37" t="s">
        <v>1989</v>
      </c>
      <c r="N24" s="37" t="s">
        <v>1989</v>
      </c>
      <c r="O24" s="37" t="s">
        <v>1990</v>
      </c>
      <c r="P24" s="37" t="s">
        <v>1990</v>
      </c>
      <c r="Q24" s="37" t="s">
        <v>1990</v>
      </c>
      <c r="R24" s="37" t="s">
        <v>1989</v>
      </c>
      <c r="S24" s="37" t="s">
        <v>1989</v>
      </c>
      <c r="T24" s="37" t="s">
        <v>1989</v>
      </c>
      <c r="U24" s="37" t="s">
        <v>1989</v>
      </c>
      <c r="V24" s="37" t="s">
        <v>1989</v>
      </c>
      <c r="W24" s="37" t="s">
        <v>1989</v>
      </c>
      <c r="X24" s="37" t="s">
        <v>1989</v>
      </c>
      <c r="Y24" s="37" t="s">
        <v>1989</v>
      </c>
      <c r="Z24" s="37" t="s">
        <v>1989</v>
      </c>
      <c r="AA24" s="37"/>
      <c r="AB24" s="37"/>
      <c r="AC24" s="37" t="s">
        <v>1989</v>
      </c>
      <c r="AD24" s="37" t="s">
        <v>1989</v>
      </c>
      <c r="AE24" s="37"/>
      <c r="AF24" s="37"/>
      <c r="AG24" s="37" t="s">
        <v>1989</v>
      </c>
      <c r="AH24" s="37" t="s">
        <v>1989</v>
      </c>
      <c r="AI24" s="37" t="s">
        <v>1989</v>
      </c>
      <c r="AJ24" s="37" t="s">
        <v>1989</v>
      </c>
      <c r="AK24" s="37"/>
      <c r="AL24" s="37"/>
      <c r="AM24" s="37" t="s">
        <v>1989</v>
      </c>
      <c r="AN24" s="37" t="s">
        <v>1989</v>
      </c>
      <c r="AO24" s="37" t="s">
        <v>1989</v>
      </c>
      <c r="AP24" s="37" t="s">
        <v>1989</v>
      </c>
      <c r="AQ24" s="37"/>
      <c r="AR24" s="37"/>
      <c r="AS24" s="37" t="s">
        <v>1989</v>
      </c>
      <c r="AT24" s="37" t="s">
        <v>1989</v>
      </c>
      <c r="AU24" s="37" t="s">
        <v>1989</v>
      </c>
      <c r="AV24" s="37" t="s">
        <v>1989</v>
      </c>
      <c r="AW24" s="37" t="s">
        <v>1989</v>
      </c>
      <c r="AX24" s="37" t="s">
        <v>1989</v>
      </c>
      <c r="AY24" s="37"/>
      <c r="AZ24" s="37"/>
      <c r="BA24" s="37"/>
      <c r="BB24" s="37"/>
      <c r="BC24" s="37" t="s">
        <v>1989</v>
      </c>
      <c r="BD24" s="37" t="s">
        <v>1989</v>
      </c>
      <c r="BE24" s="37" t="s">
        <v>1989</v>
      </c>
      <c r="BF24" s="37" t="s">
        <v>1989</v>
      </c>
      <c r="BG24" s="37"/>
      <c r="BH24" s="37"/>
      <c r="BI24" s="37" t="s">
        <v>1989</v>
      </c>
      <c r="BJ24" s="37" t="s">
        <v>1989</v>
      </c>
      <c r="BK24" s="37" t="s">
        <v>1989</v>
      </c>
      <c r="BL24" s="37" t="s">
        <v>1989</v>
      </c>
      <c r="BM24" s="37" t="s">
        <v>1989</v>
      </c>
      <c r="BN24" s="37" t="s">
        <v>1989</v>
      </c>
      <c r="BO24" s="37" t="s">
        <v>1989</v>
      </c>
      <c r="BP24" s="37" t="s">
        <v>1989</v>
      </c>
      <c r="BQ24" s="37" t="s">
        <v>1989</v>
      </c>
      <c r="BR24" s="37" t="s">
        <v>1989</v>
      </c>
      <c r="BS24" s="37" t="s">
        <v>1989</v>
      </c>
      <c r="BT24" s="37" t="s">
        <v>1989</v>
      </c>
      <c r="BU24" s="37" t="s">
        <v>1989</v>
      </c>
      <c r="BV24" s="37" t="s">
        <v>1989</v>
      </c>
      <c r="BW24" s="37" t="s">
        <v>1989</v>
      </c>
    </row>
    <row r="25" spans="1:75" ht="15" customHeight="1">
      <c r="A25" s="37" t="s">
        <v>1989</v>
      </c>
      <c r="B25" s="37" t="s">
        <v>1989</v>
      </c>
      <c r="C25" s="37" t="s">
        <v>1989</v>
      </c>
      <c r="D25" s="37" t="s">
        <v>1989</v>
      </c>
      <c r="E25" s="37" t="s">
        <v>1989</v>
      </c>
      <c r="F25" s="37" t="s">
        <v>1989</v>
      </c>
      <c r="G25" s="37" t="s">
        <v>1989</v>
      </c>
      <c r="H25" s="37" t="s">
        <v>1989</v>
      </c>
      <c r="I25" s="37" t="s">
        <v>1989</v>
      </c>
      <c r="J25" s="37" t="s">
        <v>1989</v>
      </c>
      <c r="K25" s="37" t="s">
        <v>1989</v>
      </c>
      <c r="L25" s="37" t="s">
        <v>1989</v>
      </c>
      <c r="M25" s="37" t="s">
        <v>1989</v>
      </c>
      <c r="N25" s="37" t="s">
        <v>1990</v>
      </c>
      <c r="O25" s="37" t="s">
        <v>1990</v>
      </c>
      <c r="P25" s="37" t="s">
        <v>1989</v>
      </c>
      <c r="Q25" s="37" t="s">
        <v>1989</v>
      </c>
      <c r="R25" s="37" t="s">
        <v>1989</v>
      </c>
      <c r="S25" s="37" t="s">
        <v>1989</v>
      </c>
      <c r="T25" s="37" t="s">
        <v>1989</v>
      </c>
      <c r="U25" s="37" t="s">
        <v>1989</v>
      </c>
      <c r="V25" s="37" t="s">
        <v>1989</v>
      </c>
      <c r="W25" s="37" t="s">
        <v>1989</v>
      </c>
      <c r="X25" s="37" t="s">
        <v>1989</v>
      </c>
      <c r="Y25" s="37" t="s">
        <v>1989</v>
      </c>
      <c r="Z25" s="37" t="s">
        <v>1989</v>
      </c>
      <c r="AA25" s="37"/>
      <c r="AB25" s="37"/>
      <c r="AC25" s="37" t="s">
        <v>1989</v>
      </c>
      <c r="AD25" s="37" t="s">
        <v>1989</v>
      </c>
      <c r="AE25" s="37"/>
      <c r="AF25" s="37"/>
      <c r="AG25" s="37" t="s">
        <v>1989</v>
      </c>
      <c r="AH25" s="37" t="s">
        <v>1989</v>
      </c>
      <c r="AI25" s="37" t="s">
        <v>1989</v>
      </c>
      <c r="AJ25" s="37" t="s">
        <v>1989</v>
      </c>
      <c r="AK25" s="37"/>
      <c r="AL25" s="37"/>
      <c r="AM25" s="37" t="s">
        <v>1989</v>
      </c>
      <c r="AN25" s="37" t="s">
        <v>1989</v>
      </c>
      <c r="AO25" s="37" t="s">
        <v>1989</v>
      </c>
      <c r="AP25" s="37" t="s">
        <v>1989</v>
      </c>
      <c r="AQ25" s="37"/>
      <c r="AR25" s="37"/>
      <c r="AS25" s="37" t="s">
        <v>1989</v>
      </c>
      <c r="AT25" s="37" t="s">
        <v>1989</v>
      </c>
      <c r="AU25" s="37" t="s">
        <v>1989</v>
      </c>
      <c r="AV25" s="37" t="s">
        <v>1989</v>
      </c>
      <c r="AW25" s="37" t="s">
        <v>1989</v>
      </c>
      <c r="AX25" s="37" t="s">
        <v>1989</v>
      </c>
      <c r="AY25" s="37"/>
      <c r="AZ25" s="37"/>
      <c r="BA25" s="37"/>
      <c r="BB25" s="37"/>
      <c r="BC25" s="37" t="s">
        <v>1989</v>
      </c>
      <c r="BD25" s="37" t="s">
        <v>1989</v>
      </c>
      <c r="BE25" s="37" t="s">
        <v>1989</v>
      </c>
      <c r="BF25" s="37" t="s">
        <v>1989</v>
      </c>
      <c r="BG25" s="37"/>
      <c r="BH25" s="37"/>
      <c r="BI25" s="37" t="s">
        <v>1989</v>
      </c>
      <c r="BJ25" s="37" t="s">
        <v>1989</v>
      </c>
      <c r="BK25" s="37" t="s">
        <v>1989</v>
      </c>
      <c r="BL25" s="37" t="s">
        <v>1989</v>
      </c>
      <c r="BM25" s="37" t="s">
        <v>1989</v>
      </c>
      <c r="BN25" s="37" t="s">
        <v>1989</v>
      </c>
      <c r="BO25" s="37" t="s">
        <v>1989</v>
      </c>
      <c r="BP25" s="37" t="s">
        <v>1989</v>
      </c>
      <c r="BQ25" s="37" t="s">
        <v>1989</v>
      </c>
      <c r="BR25" s="37" t="s">
        <v>1989</v>
      </c>
      <c r="BS25" s="37" t="s">
        <v>1989</v>
      </c>
      <c r="BT25" s="37" t="s">
        <v>1989</v>
      </c>
      <c r="BU25" s="37" t="s">
        <v>1989</v>
      </c>
      <c r="BV25" s="37" t="s">
        <v>1989</v>
      </c>
      <c r="BW25" s="37" t="s">
        <v>1989</v>
      </c>
    </row>
    <row r="26" spans="1:75" ht="15" customHeight="1">
      <c r="A26" s="37" t="s">
        <v>1989</v>
      </c>
      <c r="B26" s="37" t="s">
        <v>1989</v>
      </c>
      <c r="C26" s="37" t="s">
        <v>1989</v>
      </c>
      <c r="D26" s="37" t="s">
        <v>1989</v>
      </c>
      <c r="E26" s="37" t="s">
        <v>1989</v>
      </c>
      <c r="F26" s="37" t="s">
        <v>1989</v>
      </c>
      <c r="G26" s="37" t="s">
        <v>1989</v>
      </c>
      <c r="H26" s="37" t="s">
        <v>1989</v>
      </c>
      <c r="I26" s="37" t="s">
        <v>1989</v>
      </c>
      <c r="J26" s="37" t="s">
        <v>1989</v>
      </c>
      <c r="K26" s="37" t="s">
        <v>1990</v>
      </c>
      <c r="L26" s="37" t="s">
        <v>1990</v>
      </c>
      <c r="M26" s="37" t="s">
        <v>1990</v>
      </c>
      <c r="N26" s="37" t="s">
        <v>1990</v>
      </c>
      <c r="O26" s="37" t="s">
        <v>1989</v>
      </c>
      <c r="P26" s="37" t="s">
        <v>1989</v>
      </c>
      <c r="Q26" s="37" t="s">
        <v>1989</v>
      </c>
      <c r="R26" s="37" t="s">
        <v>1989</v>
      </c>
      <c r="S26" s="37" t="s">
        <v>1989</v>
      </c>
      <c r="T26" s="37" t="s">
        <v>1989</v>
      </c>
      <c r="U26" s="37" t="s">
        <v>1989</v>
      </c>
      <c r="V26" s="37" t="s">
        <v>1989</v>
      </c>
      <c r="W26" s="37" t="s">
        <v>1989</v>
      </c>
      <c r="X26" s="37" t="s">
        <v>1989</v>
      </c>
      <c r="Y26" s="37" t="s">
        <v>1989</v>
      </c>
      <c r="Z26" s="37" t="s">
        <v>1989</v>
      </c>
      <c r="AA26" s="37"/>
      <c r="AB26" s="37"/>
      <c r="AC26" s="37" t="s">
        <v>1989</v>
      </c>
      <c r="AD26" s="37" t="s">
        <v>1989</v>
      </c>
      <c r="AE26" s="37"/>
      <c r="AF26" s="37"/>
      <c r="AG26" s="37" t="s">
        <v>1989</v>
      </c>
      <c r="AH26" s="37" t="s">
        <v>1989</v>
      </c>
      <c r="AI26" s="37"/>
      <c r="AJ26" s="37"/>
      <c r="AK26" s="37"/>
      <c r="AL26" s="37"/>
      <c r="AM26" s="37"/>
      <c r="AN26" s="37"/>
      <c r="AO26" s="37" t="s">
        <v>1989</v>
      </c>
      <c r="AP26" s="37" t="s">
        <v>1989</v>
      </c>
      <c r="AQ26" s="37"/>
      <c r="AR26" s="37"/>
      <c r="AS26" s="37" t="s">
        <v>1989</v>
      </c>
      <c r="AT26" s="37" t="s">
        <v>1989</v>
      </c>
      <c r="AU26" s="37" t="s">
        <v>1989</v>
      </c>
      <c r="AV26" s="37" t="s">
        <v>1989</v>
      </c>
      <c r="AW26" s="37"/>
      <c r="AX26" s="37"/>
      <c r="AY26" s="37"/>
      <c r="AZ26" s="37"/>
      <c r="BA26" s="37" t="s">
        <v>1989</v>
      </c>
      <c r="BB26" s="37" t="s">
        <v>1989</v>
      </c>
      <c r="BC26" s="37" t="s">
        <v>1989</v>
      </c>
      <c r="BD26" s="37" t="s">
        <v>1989</v>
      </c>
      <c r="BE26" s="37" t="s">
        <v>1989</v>
      </c>
      <c r="BF26" s="37" t="s">
        <v>1989</v>
      </c>
      <c r="BG26" s="37"/>
      <c r="BH26" s="37"/>
      <c r="BI26" s="37"/>
      <c r="BJ26" s="37"/>
      <c r="BK26" s="37"/>
      <c r="BL26" s="37"/>
      <c r="BM26" s="37"/>
      <c r="BN26" s="37"/>
      <c r="BO26" s="37" t="s">
        <v>1989</v>
      </c>
      <c r="BP26" s="37" t="s">
        <v>1989</v>
      </c>
      <c r="BQ26" s="37" t="s">
        <v>1989</v>
      </c>
      <c r="BR26" s="37" t="s">
        <v>1989</v>
      </c>
      <c r="BS26" s="37" t="s">
        <v>1989</v>
      </c>
      <c r="BT26" s="37" t="s">
        <v>1989</v>
      </c>
      <c r="BU26" s="37" t="s">
        <v>1989</v>
      </c>
      <c r="BV26" s="37" t="s">
        <v>1989</v>
      </c>
      <c r="BW26" s="37" t="s">
        <v>1989</v>
      </c>
    </row>
    <row r="27" spans="1:75" ht="15" customHeight="1">
      <c r="A27" s="37" t="s">
        <v>1989</v>
      </c>
      <c r="B27" s="37" t="s">
        <v>1989</v>
      </c>
      <c r="C27" s="37" t="s">
        <v>1989</v>
      </c>
      <c r="D27" s="37" t="s">
        <v>1989</v>
      </c>
      <c r="E27" s="37" t="s">
        <v>1989</v>
      </c>
      <c r="F27" s="37" t="s">
        <v>1989</v>
      </c>
      <c r="G27" s="37" t="s">
        <v>1989</v>
      </c>
      <c r="H27" s="37" t="s">
        <v>1989</v>
      </c>
      <c r="I27" s="37" t="s">
        <v>1989</v>
      </c>
      <c r="J27" s="37" t="s">
        <v>1990</v>
      </c>
      <c r="K27" s="37" t="s">
        <v>1990</v>
      </c>
      <c r="L27" s="37" t="s">
        <v>1989</v>
      </c>
      <c r="M27" s="37" t="s">
        <v>1989</v>
      </c>
      <c r="N27" s="37" t="s">
        <v>1989</v>
      </c>
      <c r="O27" s="37" t="s">
        <v>1989</v>
      </c>
      <c r="P27" s="37" t="s">
        <v>1989</v>
      </c>
      <c r="Q27" s="37" t="s">
        <v>1989</v>
      </c>
      <c r="R27" s="37" t="s">
        <v>1989</v>
      </c>
      <c r="S27" s="37" t="s">
        <v>1989</v>
      </c>
      <c r="T27" s="37" t="s">
        <v>1989</v>
      </c>
      <c r="U27" s="37" t="s">
        <v>1989</v>
      </c>
      <c r="V27" s="37" t="s">
        <v>1989</v>
      </c>
      <c r="W27" s="37" t="s">
        <v>1989</v>
      </c>
      <c r="X27" s="37" t="s">
        <v>1989</v>
      </c>
      <c r="Y27" s="37" t="s">
        <v>1989</v>
      </c>
      <c r="Z27" s="37" t="s">
        <v>1989</v>
      </c>
      <c r="AA27" s="37"/>
      <c r="AB27" s="37"/>
      <c r="AC27" s="37" t="s">
        <v>1989</v>
      </c>
      <c r="AD27" s="37" t="s">
        <v>1989</v>
      </c>
      <c r="AE27" s="37"/>
      <c r="AF27" s="37"/>
      <c r="AG27" s="37" t="s">
        <v>1989</v>
      </c>
      <c r="AH27" s="37" t="s">
        <v>1989</v>
      </c>
      <c r="AI27" s="37"/>
      <c r="AJ27" s="37"/>
      <c r="AK27" s="37"/>
      <c r="AL27" s="37"/>
      <c r="AM27" s="37"/>
      <c r="AN27" s="37"/>
      <c r="AO27" s="37" t="s">
        <v>1989</v>
      </c>
      <c r="AP27" s="37" t="s">
        <v>1989</v>
      </c>
      <c r="AQ27" s="37"/>
      <c r="AR27" s="37"/>
      <c r="AS27" s="37" t="s">
        <v>1989</v>
      </c>
      <c r="AT27" s="37" t="s">
        <v>1989</v>
      </c>
      <c r="AU27" s="37" t="s">
        <v>1989</v>
      </c>
      <c r="AV27" s="37" t="s">
        <v>1989</v>
      </c>
      <c r="AW27" s="37"/>
      <c r="AX27" s="37"/>
      <c r="AY27" s="37"/>
      <c r="AZ27" s="37"/>
      <c r="BA27" s="37" t="s">
        <v>1989</v>
      </c>
      <c r="BB27" s="37" t="s">
        <v>1989</v>
      </c>
      <c r="BC27" s="37" t="s">
        <v>1989</v>
      </c>
      <c r="BD27" s="37" t="s">
        <v>1989</v>
      </c>
      <c r="BE27" s="37" t="s">
        <v>1989</v>
      </c>
      <c r="BF27" s="37" t="s">
        <v>1989</v>
      </c>
      <c r="BG27" s="37"/>
      <c r="BH27" s="37"/>
      <c r="BI27" s="37"/>
      <c r="BJ27" s="37"/>
      <c r="BK27" s="37"/>
      <c r="BL27" s="37"/>
      <c r="BM27" s="37"/>
      <c r="BN27" s="37"/>
      <c r="BO27" s="37" t="s">
        <v>1989</v>
      </c>
      <c r="BP27" s="37" t="s">
        <v>1989</v>
      </c>
      <c r="BQ27" s="37" t="s">
        <v>1989</v>
      </c>
      <c r="BR27" s="37" t="s">
        <v>1989</v>
      </c>
      <c r="BS27" s="37" t="s">
        <v>1989</v>
      </c>
      <c r="BT27" s="37" t="s">
        <v>1989</v>
      </c>
      <c r="BU27" s="37" t="s">
        <v>1989</v>
      </c>
      <c r="BV27" s="37" t="s">
        <v>1989</v>
      </c>
      <c r="BW27" s="37" t="s">
        <v>1989</v>
      </c>
    </row>
    <row r="28" spans="1:75" ht="15" customHeight="1">
      <c r="A28" s="37" t="s">
        <v>1989</v>
      </c>
      <c r="B28" s="37" t="s">
        <v>1989</v>
      </c>
      <c r="C28" s="37" t="s">
        <v>1989</v>
      </c>
      <c r="D28" s="37" t="s">
        <v>1989</v>
      </c>
      <c r="E28" s="37" t="s">
        <v>1989</v>
      </c>
      <c r="F28" s="37" t="s">
        <v>1989</v>
      </c>
      <c r="G28" s="37" t="s">
        <v>1989</v>
      </c>
      <c r="H28" s="37" t="s">
        <v>1990</v>
      </c>
      <c r="I28" s="37" t="s">
        <v>1990</v>
      </c>
      <c r="J28" s="37" t="s">
        <v>1990</v>
      </c>
      <c r="K28" s="37" t="s">
        <v>1989</v>
      </c>
      <c r="L28" s="37" t="s">
        <v>1989</v>
      </c>
      <c r="M28" s="37" t="s">
        <v>1989</v>
      </c>
      <c r="N28" s="37" t="s">
        <v>1989</v>
      </c>
      <c r="O28" s="37" t="s">
        <v>1989</v>
      </c>
      <c r="P28" s="37" t="s">
        <v>1989</v>
      </c>
      <c r="Q28" s="37" t="s">
        <v>1989</v>
      </c>
      <c r="R28" s="37" t="s">
        <v>1989</v>
      </c>
      <c r="S28" s="37" t="s">
        <v>1989</v>
      </c>
      <c r="T28" s="37" t="s">
        <v>1989</v>
      </c>
      <c r="U28" s="37" t="s">
        <v>1989</v>
      </c>
      <c r="V28" s="37" t="s">
        <v>1989</v>
      </c>
      <c r="W28" s="37" t="s">
        <v>1989</v>
      </c>
      <c r="X28" s="37" t="s">
        <v>1989</v>
      </c>
      <c r="Y28" s="37" t="s">
        <v>1989</v>
      </c>
      <c r="Z28" s="37" t="s">
        <v>1989</v>
      </c>
      <c r="AA28" s="37"/>
      <c r="AB28" s="37"/>
      <c r="AC28" s="37" t="s">
        <v>1989</v>
      </c>
      <c r="AD28" s="37" t="s">
        <v>1989</v>
      </c>
      <c r="AE28" s="37"/>
      <c r="AF28" s="37"/>
      <c r="AG28" s="37" t="s">
        <v>1989</v>
      </c>
      <c r="AH28" s="37" t="s">
        <v>1989</v>
      </c>
      <c r="AI28" s="37"/>
      <c r="AJ28" s="37"/>
      <c r="AK28" s="37"/>
      <c r="AL28" s="39">
        <v>8</v>
      </c>
      <c r="AM28" s="37"/>
      <c r="AN28" s="37"/>
      <c r="AO28" s="37" t="s">
        <v>1989</v>
      </c>
      <c r="AP28" s="37" t="s">
        <v>1989</v>
      </c>
      <c r="AQ28" s="37"/>
      <c r="AR28" s="37"/>
      <c r="AS28" s="37" t="s">
        <v>1989</v>
      </c>
      <c r="AT28" s="37" t="s">
        <v>1989</v>
      </c>
      <c r="AU28" s="37" t="s">
        <v>1989</v>
      </c>
      <c r="AV28" s="37" t="s">
        <v>1989</v>
      </c>
      <c r="AW28" s="37" t="s">
        <v>1989</v>
      </c>
      <c r="AX28" s="37" t="s">
        <v>1989</v>
      </c>
      <c r="AY28" s="37"/>
      <c r="AZ28" s="37"/>
      <c r="BA28" s="37"/>
      <c r="BB28" s="37"/>
      <c r="BC28" s="37" t="s">
        <v>1989</v>
      </c>
      <c r="BD28" s="37" t="s">
        <v>1989</v>
      </c>
      <c r="BE28" s="37" t="s">
        <v>1989</v>
      </c>
      <c r="BF28" s="37" t="s">
        <v>1989</v>
      </c>
      <c r="BG28" s="37"/>
      <c r="BH28" s="37"/>
      <c r="BI28" s="37" t="s">
        <v>1989</v>
      </c>
      <c r="BJ28" s="37" t="s">
        <v>1989</v>
      </c>
      <c r="BK28" s="37"/>
      <c r="BL28" s="37"/>
      <c r="BM28" s="37"/>
      <c r="BN28" s="37"/>
      <c r="BO28" s="37" t="s">
        <v>1989</v>
      </c>
      <c r="BP28" s="37" t="s">
        <v>1989</v>
      </c>
      <c r="BQ28" s="37" t="s">
        <v>1989</v>
      </c>
      <c r="BR28" s="37" t="s">
        <v>1989</v>
      </c>
      <c r="BS28" s="37" t="s">
        <v>1989</v>
      </c>
      <c r="BT28" s="37" t="s">
        <v>1989</v>
      </c>
      <c r="BU28" s="37" t="s">
        <v>1989</v>
      </c>
      <c r="BV28" s="37" t="s">
        <v>1989</v>
      </c>
      <c r="BW28" s="37" t="s">
        <v>1989</v>
      </c>
    </row>
    <row r="29" spans="1:75" ht="15" customHeight="1">
      <c r="A29" s="37" t="s">
        <v>1989</v>
      </c>
      <c r="B29" s="37" t="s">
        <v>1989</v>
      </c>
      <c r="C29" s="37" t="s">
        <v>1989</v>
      </c>
      <c r="D29" s="37" t="s">
        <v>1989</v>
      </c>
      <c r="E29" s="37" t="s">
        <v>1989</v>
      </c>
      <c r="F29" s="37" t="s">
        <v>1990</v>
      </c>
      <c r="G29" s="37" t="s">
        <v>1990</v>
      </c>
      <c r="H29" s="37" t="s">
        <v>1990</v>
      </c>
      <c r="I29" s="37" t="s">
        <v>1989</v>
      </c>
      <c r="J29" s="37" t="s">
        <v>1989</v>
      </c>
      <c r="K29" s="37" t="s">
        <v>1989</v>
      </c>
      <c r="L29" s="37" t="s">
        <v>1989</v>
      </c>
      <c r="M29" s="37" t="s">
        <v>1989</v>
      </c>
      <c r="N29" s="37" t="s">
        <v>1989</v>
      </c>
      <c r="O29" s="37" t="s">
        <v>1989</v>
      </c>
      <c r="P29" s="37" t="s">
        <v>1989</v>
      </c>
      <c r="Q29" s="37" t="s">
        <v>1989</v>
      </c>
      <c r="R29" s="37" t="s">
        <v>1989</v>
      </c>
      <c r="S29" s="37" t="s">
        <v>1989</v>
      </c>
      <c r="T29" s="37" t="s">
        <v>1989</v>
      </c>
      <c r="U29" s="37" t="s">
        <v>1989</v>
      </c>
      <c r="V29" s="37" t="s">
        <v>1989</v>
      </c>
      <c r="W29" s="37" t="s">
        <v>1989</v>
      </c>
      <c r="X29" s="37" t="s">
        <v>1989</v>
      </c>
      <c r="Y29" s="37" t="s">
        <v>1989</v>
      </c>
      <c r="Z29" s="37" t="s">
        <v>1989</v>
      </c>
      <c r="AA29" s="37"/>
      <c r="AB29" s="37"/>
      <c r="AC29" s="37" t="s">
        <v>1989</v>
      </c>
      <c r="AD29" s="37" t="s">
        <v>1989</v>
      </c>
      <c r="AE29" s="37"/>
      <c r="AF29" s="37"/>
      <c r="AG29" s="37" t="s">
        <v>1989</v>
      </c>
      <c r="AH29" s="37" t="s">
        <v>1989</v>
      </c>
      <c r="AI29" s="37"/>
      <c r="AJ29" s="37"/>
      <c r="AK29" s="37"/>
      <c r="AL29" s="37"/>
      <c r="AM29" s="37"/>
      <c r="AN29" s="37"/>
      <c r="AO29" s="37" t="s">
        <v>1989</v>
      </c>
      <c r="AP29" s="37" t="s">
        <v>1989</v>
      </c>
      <c r="AQ29" s="37"/>
      <c r="AR29" s="37"/>
      <c r="AS29" s="37" t="s">
        <v>1989</v>
      </c>
      <c r="AT29" s="37" t="s">
        <v>1989</v>
      </c>
      <c r="AU29" s="37" t="s">
        <v>1989</v>
      </c>
      <c r="AV29" s="37" t="s">
        <v>1989</v>
      </c>
      <c r="AW29" s="37" t="s">
        <v>1989</v>
      </c>
      <c r="AX29" s="37" t="s">
        <v>1989</v>
      </c>
      <c r="AY29" s="37"/>
      <c r="AZ29" s="39">
        <v>11</v>
      </c>
      <c r="BA29" s="37"/>
      <c r="BB29" s="37"/>
      <c r="BC29" s="37" t="s">
        <v>1989</v>
      </c>
      <c r="BD29" s="37" t="s">
        <v>1989</v>
      </c>
      <c r="BE29" s="37" t="s">
        <v>1989</v>
      </c>
      <c r="BF29" s="37" t="s">
        <v>1989</v>
      </c>
      <c r="BG29" s="37"/>
      <c r="BH29" s="37"/>
      <c r="BI29" s="37" t="s">
        <v>1989</v>
      </c>
      <c r="BJ29" s="37" t="s">
        <v>1989</v>
      </c>
      <c r="BK29" s="37"/>
      <c r="BL29" s="39">
        <v>13</v>
      </c>
      <c r="BM29" s="37"/>
      <c r="BN29" s="37"/>
      <c r="BO29" s="37" t="s">
        <v>1989</v>
      </c>
      <c r="BP29" s="37" t="s">
        <v>1989</v>
      </c>
      <c r="BQ29" s="37" t="s">
        <v>1989</v>
      </c>
      <c r="BR29" s="37" t="s">
        <v>1989</v>
      </c>
      <c r="BS29" s="37" t="s">
        <v>1989</v>
      </c>
      <c r="BT29" s="37" t="s">
        <v>1989</v>
      </c>
      <c r="BU29" s="37" t="s">
        <v>1989</v>
      </c>
      <c r="BV29" s="37" t="s">
        <v>1989</v>
      </c>
      <c r="BW29" s="37" t="s">
        <v>1989</v>
      </c>
    </row>
    <row r="30" spans="1:75" ht="15" customHeight="1">
      <c r="A30" s="37" t="s">
        <v>1989</v>
      </c>
      <c r="B30" s="37" t="s">
        <v>1989</v>
      </c>
      <c r="C30" s="37" t="s">
        <v>1989</v>
      </c>
      <c r="D30" s="37" t="s">
        <v>1989</v>
      </c>
      <c r="E30" s="37" t="s">
        <v>1990</v>
      </c>
      <c r="F30" s="37" t="s">
        <v>1990</v>
      </c>
      <c r="G30" s="37" t="s">
        <v>1989</v>
      </c>
      <c r="H30" s="37" t="s">
        <v>1989</v>
      </c>
      <c r="I30" s="37" t="s">
        <v>1989</v>
      </c>
      <c r="J30" s="37" t="s">
        <v>1989</v>
      </c>
      <c r="K30" s="37" t="s">
        <v>1989</v>
      </c>
      <c r="L30" s="37" t="s">
        <v>1989</v>
      </c>
      <c r="M30" s="37" t="s">
        <v>1989</v>
      </c>
      <c r="N30" s="37" t="s">
        <v>1989</v>
      </c>
      <c r="O30" s="37" t="s">
        <v>1989</v>
      </c>
      <c r="P30" s="37" t="s">
        <v>1989</v>
      </c>
      <c r="Q30" s="37" t="s">
        <v>1989</v>
      </c>
      <c r="R30" s="37" t="s">
        <v>1989</v>
      </c>
      <c r="S30" s="37" t="s">
        <v>1989</v>
      </c>
      <c r="T30" s="37" t="s">
        <v>1989</v>
      </c>
      <c r="U30" s="37" t="s">
        <v>1989</v>
      </c>
      <c r="V30" s="37" t="s">
        <v>1989</v>
      </c>
      <c r="W30" s="37" t="s">
        <v>1989</v>
      </c>
      <c r="X30" s="37" t="s">
        <v>1989</v>
      </c>
      <c r="Y30" s="37" t="s">
        <v>1989</v>
      </c>
      <c r="Z30" s="37" t="s">
        <v>1989</v>
      </c>
      <c r="AA30" s="37"/>
      <c r="AB30" s="37"/>
      <c r="AC30" s="37" t="s">
        <v>1989</v>
      </c>
      <c r="AD30" s="37" t="s">
        <v>1989</v>
      </c>
      <c r="AE30" s="37"/>
      <c r="AF30" s="37"/>
      <c r="AG30" s="37"/>
      <c r="AH30" s="37"/>
      <c r="AI30" s="37"/>
      <c r="AJ30" s="37"/>
      <c r="AK30" s="37" t="s">
        <v>1989</v>
      </c>
      <c r="AL30" s="37" t="s">
        <v>1989</v>
      </c>
      <c r="AM30" s="37" t="s">
        <v>1989</v>
      </c>
      <c r="AN30" s="37" t="s">
        <v>1989</v>
      </c>
      <c r="AO30" s="37" t="s">
        <v>1989</v>
      </c>
      <c r="AP30" s="37" t="s">
        <v>1989</v>
      </c>
      <c r="AQ30" s="37"/>
      <c r="AR30" s="37"/>
      <c r="AS30" s="37" t="s">
        <v>1989</v>
      </c>
      <c r="AT30" s="37" t="s">
        <v>1989</v>
      </c>
      <c r="AU30" s="37" t="s">
        <v>1989</v>
      </c>
      <c r="AV30" s="37" t="s">
        <v>1989</v>
      </c>
      <c r="AW30" s="37" t="s">
        <v>1989</v>
      </c>
      <c r="AX30" s="37" t="s">
        <v>1989</v>
      </c>
      <c r="AY30" s="37"/>
      <c r="AZ30" s="37"/>
      <c r="BA30" s="37"/>
      <c r="BB30" s="37"/>
      <c r="BC30" s="37" t="s">
        <v>1989</v>
      </c>
      <c r="BD30" s="37" t="s">
        <v>1989</v>
      </c>
      <c r="BE30" s="37" t="s">
        <v>1989</v>
      </c>
      <c r="BF30" s="37" t="s">
        <v>1989</v>
      </c>
      <c r="BG30" s="37"/>
      <c r="BH30" s="37"/>
      <c r="BI30" s="37"/>
      <c r="BJ30" s="37"/>
      <c r="BK30" s="37"/>
      <c r="BL30" s="37"/>
      <c r="BM30" s="37"/>
      <c r="BN30" s="37"/>
      <c r="BO30" s="37" t="s">
        <v>1989</v>
      </c>
      <c r="BP30" s="37" t="s">
        <v>1989</v>
      </c>
      <c r="BQ30" s="37" t="s">
        <v>1989</v>
      </c>
      <c r="BR30" s="37" t="s">
        <v>1989</v>
      </c>
      <c r="BS30" s="37" t="s">
        <v>1989</v>
      </c>
      <c r="BT30" s="37" t="s">
        <v>1989</v>
      </c>
      <c r="BU30" s="37" t="s">
        <v>1989</v>
      </c>
      <c r="BV30" s="37" t="s">
        <v>1989</v>
      </c>
      <c r="BW30" s="37" t="s">
        <v>1989</v>
      </c>
    </row>
    <row r="31" spans="1:75" ht="15" customHeight="1">
      <c r="A31" s="37" t="s">
        <v>1989</v>
      </c>
      <c r="B31" s="37" t="s">
        <v>1989</v>
      </c>
      <c r="C31" s="37" t="s">
        <v>1990</v>
      </c>
      <c r="D31" s="37" t="s">
        <v>1990</v>
      </c>
      <c r="E31" s="37" t="s">
        <v>1990</v>
      </c>
      <c r="F31" s="37" t="s">
        <v>1989</v>
      </c>
      <c r="G31" s="37" t="s">
        <v>1989</v>
      </c>
      <c r="H31" s="37" t="s">
        <v>1989</v>
      </c>
      <c r="I31" s="37" t="s">
        <v>1989</v>
      </c>
      <c r="J31" s="37" t="s">
        <v>1989</v>
      </c>
      <c r="K31" s="37" t="s">
        <v>1989</v>
      </c>
      <c r="L31" s="37" t="s">
        <v>1989</v>
      </c>
      <c r="M31" s="37" t="s">
        <v>1989</v>
      </c>
      <c r="N31" s="37" t="s">
        <v>1989</v>
      </c>
      <c r="O31" s="37" t="s">
        <v>1989</v>
      </c>
      <c r="P31" s="37" t="s">
        <v>1989</v>
      </c>
      <c r="Q31" s="37" t="s">
        <v>1989</v>
      </c>
      <c r="R31" s="37" t="s">
        <v>1989</v>
      </c>
      <c r="S31" s="37" t="s">
        <v>1989</v>
      </c>
      <c r="T31" s="37" t="s">
        <v>1989</v>
      </c>
      <c r="U31" s="37" t="s">
        <v>1989</v>
      </c>
      <c r="V31" s="37" t="s">
        <v>1989</v>
      </c>
      <c r="W31" s="37" t="s">
        <v>1989</v>
      </c>
      <c r="X31" s="37" t="s">
        <v>1989</v>
      </c>
      <c r="Y31" s="37" t="s">
        <v>1989</v>
      </c>
      <c r="Z31" s="37" t="s">
        <v>1989</v>
      </c>
      <c r="AA31" s="37"/>
      <c r="AB31" s="37"/>
      <c r="AC31" s="37" t="s">
        <v>1989</v>
      </c>
      <c r="AD31" s="37" t="s">
        <v>1989</v>
      </c>
      <c r="AE31" s="37"/>
      <c r="AF31" s="37"/>
      <c r="AG31" s="37"/>
      <c r="AH31" s="37"/>
      <c r="AI31" s="37"/>
      <c r="AJ31" s="37"/>
      <c r="AK31" s="37" t="s">
        <v>1989</v>
      </c>
      <c r="AL31" s="37" t="s">
        <v>1989</v>
      </c>
      <c r="AM31" s="37" t="s">
        <v>1989</v>
      </c>
      <c r="AN31" s="37" t="s">
        <v>1989</v>
      </c>
      <c r="AO31" s="37" t="s">
        <v>1989</v>
      </c>
      <c r="AP31" s="37" t="s">
        <v>1989</v>
      </c>
      <c r="AQ31" s="37"/>
      <c r="AR31" s="37"/>
      <c r="AS31" s="37" t="s">
        <v>1989</v>
      </c>
      <c r="AT31" s="37" t="s">
        <v>1989</v>
      </c>
      <c r="AU31" s="37" t="s">
        <v>1989</v>
      </c>
      <c r="AV31" s="37" t="s">
        <v>1989</v>
      </c>
      <c r="AW31" s="37" t="s">
        <v>1989</v>
      </c>
      <c r="AX31" s="37" t="s">
        <v>1989</v>
      </c>
      <c r="AY31" s="37"/>
      <c r="AZ31" s="37"/>
      <c r="BA31" s="37"/>
      <c r="BB31" s="37"/>
      <c r="BC31" s="37" t="s">
        <v>1989</v>
      </c>
      <c r="BD31" s="37" t="s">
        <v>1989</v>
      </c>
      <c r="BE31" s="37" t="s">
        <v>1989</v>
      </c>
      <c r="BF31" s="37" t="s">
        <v>1989</v>
      </c>
      <c r="BG31" s="37"/>
      <c r="BH31" s="37"/>
      <c r="BI31" s="37"/>
      <c r="BJ31" s="37"/>
      <c r="BK31" s="37"/>
      <c r="BL31" s="37"/>
      <c r="BM31" s="37"/>
      <c r="BN31" s="37"/>
      <c r="BO31" s="37" t="s">
        <v>1989</v>
      </c>
      <c r="BP31" s="37" t="s">
        <v>1989</v>
      </c>
      <c r="BQ31" s="37" t="s">
        <v>1989</v>
      </c>
      <c r="BR31" s="37" t="s">
        <v>1989</v>
      </c>
      <c r="BS31" s="37" t="s">
        <v>1989</v>
      </c>
      <c r="BT31" s="37" t="s">
        <v>1989</v>
      </c>
      <c r="BU31" s="37" t="s">
        <v>1989</v>
      </c>
      <c r="BV31" s="37" t="s">
        <v>1989</v>
      </c>
      <c r="BW31" s="37" t="s">
        <v>1989</v>
      </c>
    </row>
    <row r="32" spans="1:75" ht="15" customHeight="1">
      <c r="A32" s="37" t="s">
        <v>1990</v>
      </c>
      <c r="B32" s="37" t="s">
        <v>1990</v>
      </c>
      <c r="C32" s="37" t="s">
        <v>1990</v>
      </c>
      <c r="D32" s="37" t="s">
        <v>1989</v>
      </c>
      <c r="E32" s="37" t="s">
        <v>1989</v>
      </c>
      <c r="F32" s="37" t="s">
        <v>1989</v>
      </c>
      <c r="G32" s="37" t="s">
        <v>1989</v>
      </c>
      <c r="H32" s="37" t="s">
        <v>1989</v>
      </c>
      <c r="I32" s="37" t="s">
        <v>1989</v>
      </c>
      <c r="J32" s="37" t="s">
        <v>1989</v>
      </c>
      <c r="K32" s="37" t="s">
        <v>1989</v>
      </c>
      <c r="L32" s="37" t="s">
        <v>1989</v>
      </c>
      <c r="M32" s="37" t="s">
        <v>1989</v>
      </c>
      <c r="N32" s="37" t="s">
        <v>1989</v>
      </c>
      <c r="O32" s="37" t="s">
        <v>1989</v>
      </c>
      <c r="P32" s="37" t="s">
        <v>1989</v>
      </c>
      <c r="Q32" s="37" t="s">
        <v>1989</v>
      </c>
      <c r="R32" s="37" t="s">
        <v>1989</v>
      </c>
      <c r="S32" s="37" t="s">
        <v>1989</v>
      </c>
      <c r="T32" s="37" t="s">
        <v>1989</v>
      </c>
      <c r="U32" s="37" t="s">
        <v>1989</v>
      </c>
      <c r="V32" s="37" t="s">
        <v>1989</v>
      </c>
      <c r="W32" s="37" t="s">
        <v>1989</v>
      </c>
      <c r="X32" s="37" t="s">
        <v>1989</v>
      </c>
      <c r="Y32" s="37" t="s">
        <v>1989</v>
      </c>
      <c r="Z32" s="37" t="s">
        <v>1989</v>
      </c>
      <c r="AA32" s="37"/>
      <c r="AB32" s="37"/>
      <c r="AC32" s="37" t="s">
        <v>1989</v>
      </c>
      <c r="AD32" s="37" t="s">
        <v>1989</v>
      </c>
      <c r="AE32" s="37" t="s">
        <v>1989</v>
      </c>
      <c r="AF32" s="37" t="s">
        <v>1989</v>
      </c>
      <c r="AG32" s="37" t="s">
        <v>1989</v>
      </c>
      <c r="AH32" s="37" t="s">
        <v>1989</v>
      </c>
      <c r="AI32" s="37"/>
      <c r="AJ32" s="37"/>
      <c r="AK32" s="37"/>
      <c r="AL32" s="37"/>
      <c r="AM32" s="37" t="s">
        <v>1989</v>
      </c>
      <c r="AN32" s="37" t="s">
        <v>1989</v>
      </c>
      <c r="AO32" s="37"/>
      <c r="AP32" s="37"/>
      <c r="AQ32" s="37"/>
      <c r="AR32" s="37"/>
      <c r="AS32" s="37"/>
      <c r="AT32" s="37"/>
      <c r="AU32" s="37" t="s">
        <v>1989</v>
      </c>
      <c r="AV32" s="37" t="s">
        <v>1989</v>
      </c>
      <c r="AW32" s="37" t="s">
        <v>1989</v>
      </c>
      <c r="AX32" s="37" t="s">
        <v>1989</v>
      </c>
      <c r="AY32" s="37" t="s">
        <v>1989</v>
      </c>
      <c r="AZ32" s="37" t="s">
        <v>1989</v>
      </c>
      <c r="BA32" s="37" t="s">
        <v>1989</v>
      </c>
      <c r="BB32" s="37" t="s">
        <v>1989</v>
      </c>
      <c r="BC32" s="37" t="s">
        <v>1989</v>
      </c>
      <c r="BD32" s="37" t="s">
        <v>1989</v>
      </c>
      <c r="BE32" s="37" t="s">
        <v>1989</v>
      </c>
      <c r="BF32" s="37" t="s">
        <v>1989</v>
      </c>
      <c r="BG32" s="37"/>
      <c r="BH32" s="37"/>
      <c r="BI32" s="37" t="s">
        <v>1989</v>
      </c>
      <c r="BJ32" s="37" t="s">
        <v>1989</v>
      </c>
      <c r="BK32" s="37" t="s">
        <v>1989</v>
      </c>
      <c r="BL32" s="37" t="s">
        <v>1989</v>
      </c>
      <c r="BM32" s="37" t="s">
        <v>1989</v>
      </c>
      <c r="BN32" s="37" t="s">
        <v>1989</v>
      </c>
      <c r="BO32" s="37" t="s">
        <v>1989</v>
      </c>
      <c r="BP32" s="37" t="s">
        <v>1989</v>
      </c>
      <c r="BQ32" s="37" t="s">
        <v>1989</v>
      </c>
      <c r="BR32" s="37" t="s">
        <v>1989</v>
      </c>
      <c r="BS32" s="37" t="s">
        <v>1989</v>
      </c>
      <c r="BT32" s="37" t="s">
        <v>1989</v>
      </c>
      <c r="BU32" s="37" t="s">
        <v>1989</v>
      </c>
      <c r="BV32" s="37" t="s">
        <v>1989</v>
      </c>
      <c r="BW32" s="37" t="s">
        <v>1989</v>
      </c>
    </row>
    <row r="33" spans="1:75" ht="15" customHeight="1">
      <c r="A33" s="37" t="s">
        <v>1990</v>
      </c>
      <c r="B33" s="37" t="s">
        <v>1989</v>
      </c>
      <c r="C33" s="37" t="s">
        <v>1989</v>
      </c>
      <c r="D33" s="37" t="s">
        <v>1989</v>
      </c>
      <c r="E33" s="37" t="s">
        <v>1989</v>
      </c>
      <c r="F33" s="37" t="s">
        <v>1989</v>
      </c>
      <c r="G33" s="37" t="s">
        <v>1989</v>
      </c>
      <c r="H33" s="37" t="s">
        <v>1989</v>
      </c>
      <c r="I33" s="37" t="s">
        <v>1989</v>
      </c>
      <c r="J33" s="37" t="s">
        <v>1989</v>
      </c>
      <c r="K33" s="37" t="s">
        <v>1989</v>
      </c>
      <c r="L33" s="37" t="s">
        <v>1989</v>
      </c>
      <c r="M33" s="37" t="s">
        <v>1989</v>
      </c>
      <c r="N33" s="37" t="s">
        <v>1989</v>
      </c>
      <c r="O33" s="37" t="s">
        <v>1989</v>
      </c>
      <c r="P33" s="37" t="s">
        <v>1989</v>
      </c>
      <c r="Q33" s="37" t="s">
        <v>1989</v>
      </c>
      <c r="R33" s="37" t="s">
        <v>1989</v>
      </c>
      <c r="S33" s="37" t="s">
        <v>1989</v>
      </c>
      <c r="T33" s="37" t="s">
        <v>1989</v>
      </c>
      <c r="U33" s="37" t="s">
        <v>1989</v>
      </c>
      <c r="V33" s="37" t="s">
        <v>1989</v>
      </c>
      <c r="W33" s="37" t="s">
        <v>1989</v>
      </c>
      <c r="X33" s="37" t="s">
        <v>1989</v>
      </c>
      <c r="Y33" s="37" t="s">
        <v>1989</v>
      </c>
      <c r="Z33" s="37" t="s">
        <v>1989</v>
      </c>
      <c r="AA33" s="37"/>
      <c r="AB33" s="37"/>
      <c r="AC33" s="37" t="s">
        <v>1989</v>
      </c>
      <c r="AD33" s="37" t="s">
        <v>1989</v>
      </c>
      <c r="AE33" s="37" t="s">
        <v>1989</v>
      </c>
      <c r="AF33" s="37" t="s">
        <v>1989</v>
      </c>
      <c r="AG33" s="37" t="s">
        <v>1989</v>
      </c>
      <c r="AH33" s="37" t="s">
        <v>1989</v>
      </c>
      <c r="AI33" s="37"/>
      <c r="AJ33" s="37"/>
      <c r="AK33" s="37"/>
      <c r="AL33" s="37"/>
      <c r="AM33" s="37" t="s">
        <v>1989</v>
      </c>
      <c r="AN33" s="37" t="s">
        <v>1989</v>
      </c>
      <c r="AO33" s="37"/>
      <c r="AP33" s="37"/>
      <c r="AQ33" s="37"/>
      <c r="AR33" s="39">
        <v>9</v>
      </c>
      <c r="AS33" s="37"/>
      <c r="AT33" s="37"/>
      <c r="AU33" s="37" t="s">
        <v>1989</v>
      </c>
      <c r="AV33" s="37" t="s">
        <v>1989</v>
      </c>
      <c r="AW33" s="37" t="s">
        <v>1989</v>
      </c>
      <c r="AX33" s="37" t="s">
        <v>1989</v>
      </c>
      <c r="AY33" s="37" t="s">
        <v>1989</v>
      </c>
      <c r="AZ33" s="37" t="s">
        <v>1989</v>
      </c>
      <c r="BA33" s="37" t="s">
        <v>1989</v>
      </c>
      <c r="BB33" s="37" t="s">
        <v>1989</v>
      </c>
      <c r="BC33" s="37" t="s">
        <v>1989</v>
      </c>
      <c r="BD33" s="37" t="s">
        <v>1989</v>
      </c>
      <c r="BE33" s="37" t="s">
        <v>1989</v>
      </c>
      <c r="BF33" s="37" t="s">
        <v>1989</v>
      </c>
      <c r="BG33" s="37"/>
      <c r="BH33" s="37"/>
      <c r="BI33" s="37" t="s">
        <v>1989</v>
      </c>
      <c r="BJ33" s="37" t="s">
        <v>1989</v>
      </c>
      <c r="BK33" s="37" t="s">
        <v>1989</v>
      </c>
      <c r="BL33" s="37" t="s">
        <v>1989</v>
      </c>
      <c r="BM33" s="37" t="s">
        <v>1989</v>
      </c>
      <c r="BN33" s="37" t="s">
        <v>1989</v>
      </c>
      <c r="BO33" s="37" t="s">
        <v>1989</v>
      </c>
      <c r="BP33" s="37" t="s">
        <v>1989</v>
      </c>
      <c r="BQ33" s="37" t="s">
        <v>1989</v>
      </c>
      <c r="BR33" s="37" t="s">
        <v>1989</v>
      </c>
      <c r="BS33" s="37" t="s">
        <v>1989</v>
      </c>
      <c r="BT33" s="37" t="s">
        <v>1989</v>
      </c>
      <c r="BU33" s="37" t="s">
        <v>1989</v>
      </c>
      <c r="BV33" s="37" t="s">
        <v>1989</v>
      </c>
      <c r="BW33" s="37" t="s">
        <v>1989</v>
      </c>
    </row>
    <row r="34" spans="1:75" ht="15" customHeight="1">
      <c r="A34" s="37" t="s">
        <v>1989</v>
      </c>
      <c r="B34" s="37" t="s">
        <v>1989</v>
      </c>
      <c r="C34" s="37" t="s">
        <v>1989</v>
      </c>
      <c r="D34" s="37" t="s">
        <v>1989</v>
      </c>
      <c r="E34" s="37" t="s">
        <v>1989</v>
      </c>
      <c r="F34" s="37" t="s">
        <v>1989</v>
      </c>
      <c r="G34" s="37" t="s">
        <v>1989</v>
      </c>
      <c r="H34" s="37" t="s">
        <v>1989</v>
      </c>
      <c r="I34" s="37" t="s">
        <v>1989</v>
      </c>
      <c r="J34" s="37" t="s">
        <v>1989</v>
      </c>
      <c r="K34" s="37" t="s">
        <v>1989</v>
      </c>
      <c r="L34" s="37" t="s">
        <v>1989</v>
      </c>
      <c r="M34" s="37" t="s">
        <v>1989</v>
      </c>
      <c r="N34" s="37" t="s">
        <v>1989</v>
      </c>
      <c r="O34" s="37" t="s">
        <v>1989</v>
      </c>
      <c r="P34" s="37" t="s">
        <v>1989</v>
      </c>
      <c r="Q34" s="37" t="s">
        <v>1989</v>
      </c>
      <c r="R34" s="37" t="s">
        <v>1989</v>
      </c>
      <c r="S34" s="37" t="s">
        <v>1989</v>
      </c>
      <c r="T34" s="37" t="s">
        <v>1989</v>
      </c>
      <c r="U34" s="37" t="s">
        <v>1989</v>
      </c>
      <c r="V34" s="37" t="s">
        <v>1989</v>
      </c>
      <c r="W34" s="37"/>
      <c r="X34" s="37"/>
      <c r="Y34" s="37"/>
      <c r="Z34" s="37"/>
      <c r="AA34" s="37"/>
      <c r="AB34" s="37"/>
      <c r="AC34" s="37"/>
      <c r="AD34" s="37"/>
      <c r="AE34" s="37"/>
      <c r="AF34" s="37"/>
      <c r="AG34" s="37" t="s">
        <v>1989</v>
      </c>
      <c r="AH34" s="37" t="s">
        <v>1989</v>
      </c>
      <c r="AI34" s="37"/>
      <c r="AJ34" s="37"/>
      <c r="AK34" s="37"/>
      <c r="AL34" s="37"/>
      <c r="AM34" s="37" t="s">
        <v>1989</v>
      </c>
      <c r="AN34" s="37" t="s">
        <v>1989</v>
      </c>
      <c r="AO34" s="37"/>
      <c r="AP34" s="37"/>
      <c r="AQ34" s="37"/>
      <c r="AR34" s="37"/>
      <c r="AS34" s="37"/>
      <c r="AT34" s="37"/>
      <c r="AU34" s="37" t="s">
        <v>1989</v>
      </c>
      <c r="AV34" s="37" t="s">
        <v>1989</v>
      </c>
      <c r="AW34" s="37"/>
      <c r="AX34" s="37"/>
      <c r="AY34" s="37"/>
      <c r="AZ34" s="40"/>
      <c r="BA34" s="37"/>
      <c r="BB34" s="37"/>
      <c r="BC34" s="37"/>
      <c r="BD34" s="40"/>
      <c r="BE34" s="37"/>
      <c r="BF34" s="37"/>
      <c r="BG34" s="37"/>
      <c r="BH34" s="37"/>
      <c r="BI34" s="37"/>
      <c r="BJ34" s="37"/>
      <c r="BK34" s="37" t="s">
        <v>1989</v>
      </c>
      <c r="BL34" s="37" t="s">
        <v>1989</v>
      </c>
      <c r="BM34" s="37" t="s">
        <v>1989</v>
      </c>
      <c r="BN34" s="37" t="s">
        <v>1989</v>
      </c>
      <c r="BO34" s="37" t="s">
        <v>1989</v>
      </c>
      <c r="BP34" s="37" t="s">
        <v>1989</v>
      </c>
      <c r="BQ34" s="37" t="s">
        <v>1989</v>
      </c>
      <c r="BR34" s="37" t="s">
        <v>1989</v>
      </c>
      <c r="BS34" s="37" t="s">
        <v>1989</v>
      </c>
      <c r="BT34" s="37" t="s">
        <v>1989</v>
      </c>
      <c r="BU34" s="37" t="s">
        <v>1989</v>
      </c>
      <c r="BV34" s="37" t="s">
        <v>1989</v>
      </c>
      <c r="BW34" s="37" t="s">
        <v>1989</v>
      </c>
    </row>
    <row r="35" spans="1:75" ht="15" customHeight="1">
      <c r="A35" s="37" t="s">
        <v>1989</v>
      </c>
      <c r="B35" s="37" t="s">
        <v>1989</v>
      </c>
      <c r="C35" s="37" t="s">
        <v>1989</v>
      </c>
      <c r="D35" s="37" t="s">
        <v>1989</v>
      </c>
      <c r="E35" s="37" t="s">
        <v>1989</v>
      </c>
      <c r="F35" s="37" t="s">
        <v>1989</v>
      </c>
      <c r="G35" s="37" t="s">
        <v>1989</v>
      </c>
      <c r="H35" s="37" t="s">
        <v>1989</v>
      </c>
      <c r="I35" s="37" t="s">
        <v>1989</v>
      </c>
      <c r="J35" s="37" t="s">
        <v>1989</v>
      </c>
      <c r="K35" s="37" t="s">
        <v>1989</v>
      </c>
      <c r="L35" s="37" t="s">
        <v>1989</v>
      </c>
      <c r="M35" s="37" t="s">
        <v>1989</v>
      </c>
      <c r="N35" s="37" t="s">
        <v>1989</v>
      </c>
      <c r="O35" s="37" t="s">
        <v>1989</v>
      </c>
      <c r="P35" s="37" t="s">
        <v>1989</v>
      </c>
      <c r="Q35" s="37" t="s">
        <v>1989</v>
      </c>
      <c r="R35" s="37" t="s">
        <v>1989</v>
      </c>
      <c r="S35" s="37" t="s">
        <v>1989</v>
      </c>
      <c r="T35" s="37" t="s">
        <v>1989</v>
      </c>
      <c r="U35" s="37" t="s">
        <v>1989</v>
      </c>
      <c r="V35" s="37" t="s">
        <v>1989</v>
      </c>
      <c r="W35" s="37"/>
      <c r="X35" s="37"/>
      <c r="Y35" s="37"/>
      <c r="Z35" s="37"/>
      <c r="AA35" s="37"/>
      <c r="AB35" s="37"/>
      <c r="AC35" s="37"/>
      <c r="AD35" s="37"/>
      <c r="AE35" s="37"/>
      <c r="AF35" s="37"/>
      <c r="AG35" s="37" t="s">
        <v>1989</v>
      </c>
      <c r="AH35" s="37" t="s">
        <v>1989</v>
      </c>
      <c r="AI35" s="37"/>
      <c r="AJ35" s="37"/>
      <c r="AK35" s="37"/>
      <c r="AL35" s="37"/>
      <c r="AM35" s="37" t="s">
        <v>1989</v>
      </c>
      <c r="AN35" s="37" t="s">
        <v>1989</v>
      </c>
      <c r="AO35" s="37"/>
      <c r="AP35" s="37"/>
      <c r="AQ35" s="37"/>
      <c r="AR35" s="37"/>
      <c r="AS35" s="37"/>
      <c r="AT35" s="37"/>
      <c r="AU35" s="37" t="s">
        <v>1989</v>
      </c>
      <c r="AV35" s="37" t="s">
        <v>1989</v>
      </c>
      <c r="AW35" s="37"/>
      <c r="AX35" s="42">
        <v>20</v>
      </c>
      <c r="AY35" s="37"/>
      <c r="AZ35" s="40"/>
      <c r="BA35" s="37"/>
      <c r="BB35" s="37"/>
      <c r="BC35" s="39">
        <v>19</v>
      </c>
      <c r="BD35" s="40"/>
      <c r="BE35" s="37"/>
      <c r="BF35" s="37"/>
      <c r="BG35" s="37"/>
      <c r="BH35" s="37"/>
      <c r="BI35" s="37"/>
      <c r="BJ35" s="37"/>
      <c r="BK35" s="37" t="s">
        <v>1989</v>
      </c>
      <c r="BL35" s="37" t="s">
        <v>1989</v>
      </c>
      <c r="BM35" s="37" t="s">
        <v>1989</v>
      </c>
      <c r="BN35" s="37" t="s">
        <v>1989</v>
      </c>
      <c r="BO35" s="37" t="s">
        <v>1989</v>
      </c>
      <c r="BP35" s="37" t="s">
        <v>1989</v>
      </c>
      <c r="BQ35" s="37" t="s">
        <v>1989</v>
      </c>
      <c r="BR35" s="37" t="s">
        <v>1989</v>
      </c>
      <c r="BS35" s="37" t="s">
        <v>1989</v>
      </c>
      <c r="BT35" s="37" t="s">
        <v>1989</v>
      </c>
      <c r="BU35" s="37" t="s">
        <v>1989</v>
      </c>
      <c r="BV35" s="37" t="s">
        <v>1989</v>
      </c>
      <c r="BW35" s="37" t="s">
        <v>1989</v>
      </c>
    </row>
    <row r="36" spans="1:75" ht="15" customHeight="1">
      <c r="A36" s="37" t="s">
        <v>1989</v>
      </c>
      <c r="B36" s="37" t="s">
        <v>1989</v>
      </c>
      <c r="C36" s="37" t="s">
        <v>1989</v>
      </c>
      <c r="D36" s="37" t="s">
        <v>1989</v>
      </c>
      <c r="E36" s="37" t="s">
        <v>1989</v>
      </c>
      <c r="F36" s="37" t="s">
        <v>1989</v>
      </c>
      <c r="G36" s="37" t="s">
        <v>1989</v>
      </c>
      <c r="H36" s="37" t="s">
        <v>1989</v>
      </c>
      <c r="I36" s="37" t="s">
        <v>1989</v>
      </c>
      <c r="J36" s="37" t="s">
        <v>1989</v>
      </c>
      <c r="K36" s="37" t="s">
        <v>1989</v>
      </c>
      <c r="L36" s="37" t="s">
        <v>1989</v>
      </c>
      <c r="M36" s="37" t="s">
        <v>1989</v>
      </c>
      <c r="N36" s="37" t="s">
        <v>1989</v>
      </c>
      <c r="O36" s="37" t="s">
        <v>1989</v>
      </c>
      <c r="P36" s="37" t="s">
        <v>1989</v>
      </c>
      <c r="Q36" s="37" t="s">
        <v>1989</v>
      </c>
      <c r="R36" s="37" t="s">
        <v>1989</v>
      </c>
      <c r="S36" s="37" t="s">
        <v>1989</v>
      </c>
      <c r="T36" s="37" t="s">
        <v>1989</v>
      </c>
      <c r="U36" s="37" t="s">
        <v>1989</v>
      </c>
      <c r="V36" s="37" t="s">
        <v>1989</v>
      </c>
      <c r="W36" s="37"/>
      <c r="X36" s="37"/>
      <c r="Y36" s="37"/>
      <c r="Z36" s="37"/>
      <c r="AA36" s="37"/>
      <c r="AB36" s="37"/>
      <c r="AC36" s="37"/>
      <c r="AD36" s="37"/>
      <c r="AE36" s="37"/>
      <c r="AF36" s="37"/>
      <c r="AG36" s="37" t="s">
        <v>1989</v>
      </c>
      <c r="AH36" s="37" t="s">
        <v>1989</v>
      </c>
      <c r="AI36" s="37"/>
      <c r="AJ36" s="37"/>
      <c r="AK36" s="37"/>
      <c r="AL36" s="40"/>
      <c r="AM36" s="37"/>
      <c r="AN36" s="37"/>
      <c r="AO36" s="37"/>
      <c r="AP36" s="37"/>
      <c r="AQ36" s="37" t="s">
        <v>1989</v>
      </c>
      <c r="AR36" s="37" t="s">
        <v>1989</v>
      </c>
      <c r="AS36" s="37" t="s">
        <v>1989</v>
      </c>
      <c r="AT36" s="37" t="s">
        <v>1989</v>
      </c>
      <c r="AU36" s="37" t="s">
        <v>1989</v>
      </c>
      <c r="AV36" s="37" t="s">
        <v>1989</v>
      </c>
      <c r="AW36" s="37"/>
      <c r="AX36" s="37"/>
      <c r="AY36" s="37"/>
      <c r="AZ36" s="40"/>
      <c r="BA36" s="37"/>
      <c r="BB36" s="37"/>
      <c r="BC36" s="37"/>
      <c r="BD36" s="40"/>
      <c r="BE36" s="37"/>
      <c r="BF36" s="37"/>
      <c r="BG36" s="37"/>
      <c r="BH36" s="37"/>
      <c r="BI36" s="37"/>
      <c r="BJ36" s="37"/>
      <c r="BK36" s="37" t="s">
        <v>1989</v>
      </c>
      <c r="BL36" s="37" t="s">
        <v>1989</v>
      </c>
      <c r="BM36" s="37" t="s">
        <v>1989</v>
      </c>
      <c r="BN36" s="37" t="s">
        <v>1989</v>
      </c>
      <c r="BO36" s="37" t="s">
        <v>1989</v>
      </c>
      <c r="BP36" s="37" t="s">
        <v>1989</v>
      </c>
      <c r="BQ36" s="37" t="s">
        <v>1989</v>
      </c>
      <c r="BR36" s="37" t="s">
        <v>1989</v>
      </c>
      <c r="BS36" s="37" t="s">
        <v>1989</v>
      </c>
      <c r="BT36" s="37" t="s">
        <v>1989</v>
      </c>
      <c r="BU36" s="37" t="s">
        <v>1989</v>
      </c>
      <c r="BV36" s="37" t="s">
        <v>1989</v>
      </c>
      <c r="BW36" s="37" t="s">
        <v>1989</v>
      </c>
    </row>
    <row r="37" spans="1:75" ht="15" customHeight="1" thickBot="1">
      <c r="A37" s="37" t="s">
        <v>1989</v>
      </c>
      <c r="B37" s="37" t="s">
        <v>1989</v>
      </c>
      <c r="C37" s="37" t="s">
        <v>1989</v>
      </c>
      <c r="D37" s="37" t="s">
        <v>1989</v>
      </c>
      <c r="E37" s="37" t="s">
        <v>1989</v>
      </c>
      <c r="F37" s="37" t="s">
        <v>1989</v>
      </c>
      <c r="G37" s="37" t="s">
        <v>1989</v>
      </c>
      <c r="H37" s="37" t="s">
        <v>1989</v>
      </c>
      <c r="I37" s="37" t="s">
        <v>1989</v>
      </c>
      <c r="J37" s="37" t="s">
        <v>1989</v>
      </c>
      <c r="K37" s="37" t="s">
        <v>1989</v>
      </c>
      <c r="L37" s="37" t="s">
        <v>1989</v>
      </c>
      <c r="M37" s="37" t="s">
        <v>1989</v>
      </c>
      <c r="N37" s="37" t="s">
        <v>1989</v>
      </c>
      <c r="O37" s="37" t="s">
        <v>1989</v>
      </c>
      <c r="P37" s="37" t="s">
        <v>1989</v>
      </c>
      <c r="Q37" s="37" t="s">
        <v>1989</v>
      </c>
      <c r="R37" s="37" t="s">
        <v>1989</v>
      </c>
      <c r="S37" s="37" t="s">
        <v>1989</v>
      </c>
      <c r="T37" s="37" t="s">
        <v>1989</v>
      </c>
      <c r="U37" s="37" t="s">
        <v>1989</v>
      </c>
      <c r="V37" s="37" t="s">
        <v>1989</v>
      </c>
      <c r="W37" s="37"/>
      <c r="X37" s="37"/>
      <c r="Y37" s="37"/>
      <c r="Z37" s="37"/>
      <c r="AA37" s="37"/>
      <c r="AB37" s="37"/>
      <c r="AC37" s="37"/>
      <c r="AD37" s="37"/>
      <c r="AE37" s="37"/>
      <c r="AF37" s="37"/>
      <c r="AG37" s="37" t="s">
        <v>1989</v>
      </c>
      <c r="AH37" s="37" t="s">
        <v>1989</v>
      </c>
      <c r="AI37" s="37"/>
      <c r="AJ37" s="37"/>
      <c r="AK37" s="37"/>
      <c r="AL37" s="40"/>
      <c r="AM37" s="37"/>
      <c r="AN37" s="37"/>
      <c r="AO37" s="37"/>
      <c r="AP37" s="37"/>
      <c r="AQ37" s="37" t="s">
        <v>1989</v>
      </c>
      <c r="AR37" s="37" t="s">
        <v>1989</v>
      </c>
      <c r="AS37" s="37" t="s">
        <v>1989</v>
      </c>
      <c r="AT37" s="37" t="s">
        <v>1989</v>
      </c>
      <c r="AU37" s="37" t="s">
        <v>1989</v>
      </c>
      <c r="AV37" s="37" t="s">
        <v>1989</v>
      </c>
      <c r="AW37" s="37"/>
      <c r="AX37" s="37"/>
      <c r="AY37" s="37"/>
      <c r="AZ37" s="43"/>
      <c r="BA37" s="37"/>
      <c r="BB37" s="37"/>
      <c r="BC37" s="37"/>
      <c r="BD37" s="40"/>
      <c r="BE37" s="37"/>
      <c r="BF37" s="37"/>
      <c r="BG37" s="37"/>
      <c r="BH37" s="37"/>
      <c r="BI37" s="37"/>
      <c r="BJ37" s="37"/>
      <c r="BK37" s="37" t="s">
        <v>1989</v>
      </c>
      <c r="BL37" s="37" t="s">
        <v>1989</v>
      </c>
      <c r="BM37" s="37" t="s">
        <v>1989</v>
      </c>
      <c r="BN37" s="37" t="s">
        <v>1989</v>
      </c>
      <c r="BO37" s="37" t="s">
        <v>1989</v>
      </c>
      <c r="BP37" s="37" t="s">
        <v>1989</v>
      </c>
      <c r="BQ37" s="37" t="s">
        <v>1989</v>
      </c>
      <c r="BR37" s="37" t="s">
        <v>1989</v>
      </c>
      <c r="BS37" s="37" t="s">
        <v>1989</v>
      </c>
      <c r="BT37" s="37" t="s">
        <v>1989</v>
      </c>
      <c r="BU37" s="37" t="s">
        <v>1989</v>
      </c>
      <c r="BV37" s="37" t="s">
        <v>1989</v>
      </c>
      <c r="BW37" s="37" t="s">
        <v>1989</v>
      </c>
    </row>
    <row r="38" spans="1:75" ht="15" customHeight="1" thickTop="1">
      <c r="A38" s="37" t="s">
        <v>1989</v>
      </c>
      <c r="B38" s="37" t="s">
        <v>1989</v>
      </c>
      <c r="C38" s="37" t="s">
        <v>1989</v>
      </c>
      <c r="D38" s="37" t="s">
        <v>1989</v>
      </c>
      <c r="E38" s="37" t="s">
        <v>1989</v>
      </c>
      <c r="F38" s="37" t="s">
        <v>1989</v>
      </c>
      <c r="G38" s="37" t="s">
        <v>1989</v>
      </c>
      <c r="H38" s="37" t="s">
        <v>1989</v>
      </c>
      <c r="I38" s="37" t="s">
        <v>1989</v>
      </c>
      <c r="J38" s="37" t="s">
        <v>1989</v>
      </c>
      <c r="K38" s="37" t="s">
        <v>1989</v>
      </c>
      <c r="L38" s="37" t="s">
        <v>1989</v>
      </c>
      <c r="M38" s="37"/>
      <c r="N38" s="37"/>
      <c r="O38" s="37" t="s">
        <v>1989</v>
      </c>
      <c r="P38" s="37" t="s">
        <v>1989</v>
      </c>
      <c r="Q38" s="37" t="s">
        <v>1989</v>
      </c>
      <c r="R38" s="37" t="s">
        <v>1989</v>
      </c>
      <c r="S38" s="37" t="s">
        <v>1989</v>
      </c>
      <c r="T38" s="37" t="s">
        <v>1989</v>
      </c>
      <c r="U38" s="37" t="s">
        <v>1989</v>
      </c>
      <c r="V38" s="37" t="s">
        <v>1989</v>
      </c>
      <c r="W38" s="37"/>
      <c r="X38" s="37"/>
      <c r="Y38" s="37"/>
      <c r="Z38" s="37"/>
      <c r="AA38" s="39">
        <v>3</v>
      </c>
      <c r="AB38" s="37"/>
      <c r="AC38" s="37"/>
      <c r="AD38" s="37"/>
      <c r="AE38" s="37"/>
      <c r="AF38" s="37"/>
      <c r="AG38" s="37" t="s">
        <v>1989</v>
      </c>
      <c r="AH38" s="37" t="s">
        <v>1989</v>
      </c>
      <c r="AI38" s="37"/>
      <c r="AJ38" s="37"/>
      <c r="AK38" s="37"/>
      <c r="AL38" s="37"/>
      <c r="AM38" s="37"/>
      <c r="AN38" s="37"/>
      <c r="AO38" s="42">
        <v>23</v>
      </c>
      <c r="AP38" s="37"/>
      <c r="AQ38" s="37" t="s">
        <v>1989</v>
      </c>
      <c r="AR38" s="37" t="s">
        <v>1989</v>
      </c>
      <c r="AS38" s="37"/>
      <c r="AT38" s="37"/>
      <c r="AU38" s="37"/>
      <c r="AV38" s="37"/>
      <c r="AW38" s="44"/>
      <c r="AX38" s="45"/>
      <c r="AY38" s="46"/>
      <c r="AZ38" s="44"/>
      <c r="BA38" s="44"/>
      <c r="BB38" s="44"/>
      <c r="BC38" s="37" t="s">
        <v>1989</v>
      </c>
      <c r="BD38" s="37" t="s">
        <v>1989</v>
      </c>
      <c r="BE38" s="37"/>
      <c r="BF38" s="37"/>
      <c r="BG38" s="37"/>
      <c r="BH38" s="37"/>
      <c r="BI38" s="37"/>
      <c r="BJ38" s="37"/>
      <c r="BK38" s="37" t="s">
        <v>1989</v>
      </c>
      <c r="BL38" s="37" t="s">
        <v>1989</v>
      </c>
      <c r="BM38" s="37" t="s">
        <v>1989</v>
      </c>
      <c r="BN38" s="37" t="s">
        <v>1989</v>
      </c>
      <c r="BO38" s="37" t="s">
        <v>1989</v>
      </c>
      <c r="BP38" s="37" t="s">
        <v>1989</v>
      </c>
      <c r="BQ38" s="37" t="s">
        <v>1989</v>
      </c>
      <c r="BR38" s="37" t="s">
        <v>1989</v>
      </c>
      <c r="BS38" s="37" t="s">
        <v>1989</v>
      </c>
      <c r="BT38" s="37" t="s">
        <v>1989</v>
      </c>
      <c r="BU38" s="37" t="s">
        <v>1989</v>
      </c>
      <c r="BV38" s="37" t="s">
        <v>1989</v>
      </c>
      <c r="BW38" s="37" t="s">
        <v>1989</v>
      </c>
    </row>
    <row r="39" spans="1:75" ht="15" customHeight="1">
      <c r="A39" s="37" t="s">
        <v>1989</v>
      </c>
      <c r="B39" s="37" t="s">
        <v>1989</v>
      </c>
      <c r="C39" s="37" t="s">
        <v>1989</v>
      </c>
      <c r="D39" s="37" t="s">
        <v>1989</v>
      </c>
      <c r="E39" s="37" t="s">
        <v>1989</v>
      </c>
      <c r="F39" s="37" t="s">
        <v>1989</v>
      </c>
      <c r="G39" s="37" t="s">
        <v>1989</v>
      </c>
      <c r="H39" s="37" t="s">
        <v>1989</v>
      </c>
      <c r="I39" s="37" t="s">
        <v>1989</v>
      </c>
      <c r="J39" s="37" t="s">
        <v>1989</v>
      </c>
      <c r="K39" s="37" t="s">
        <v>1989</v>
      </c>
      <c r="L39" s="37" t="s">
        <v>1989</v>
      </c>
      <c r="M39" s="37"/>
      <c r="N39" s="37"/>
      <c r="O39" s="37" t="s">
        <v>1989</v>
      </c>
      <c r="P39" s="37" t="s">
        <v>1989</v>
      </c>
      <c r="Q39" s="37" t="s">
        <v>1989</v>
      </c>
      <c r="R39" s="37" t="s">
        <v>1989</v>
      </c>
      <c r="S39" s="37" t="s">
        <v>1989</v>
      </c>
      <c r="T39" s="37" t="s">
        <v>1989</v>
      </c>
      <c r="U39" s="37" t="s">
        <v>1989</v>
      </c>
      <c r="V39" s="37" t="s">
        <v>1989</v>
      </c>
      <c r="W39" s="37"/>
      <c r="X39" s="37"/>
      <c r="Y39" s="37"/>
      <c r="Z39" s="37"/>
      <c r="AA39" s="37"/>
      <c r="AB39" s="37"/>
      <c r="AC39" s="37"/>
      <c r="AD39" s="37"/>
      <c r="AE39" s="37"/>
      <c r="AF39" s="37"/>
      <c r="AG39" s="37" t="s">
        <v>1989</v>
      </c>
      <c r="AH39" s="37" t="s">
        <v>1989</v>
      </c>
      <c r="AI39" s="37"/>
      <c r="AJ39" s="37"/>
      <c r="AK39" s="37"/>
      <c r="AL39" s="37"/>
      <c r="AM39" s="37"/>
      <c r="AN39" s="37"/>
      <c r="AO39" s="37"/>
      <c r="AP39" s="37"/>
      <c r="AQ39" s="37" t="s">
        <v>1989</v>
      </c>
      <c r="AR39" s="37" t="s">
        <v>1989</v>
      </c>
      <c r="AS39" s="37"/>
      <c r="AT39" s="37"/>
      <c r="AU39" s="37"/>
      <c r="AV39" s="37"/>
      <c r="AW39" s="37"/>
      <c r="AX39" s="40"/>
      <c r="AY39" s="37"/>
      <c r="AZ39" s="37"/>
      <c r="BA39" s="37"/>
      <c r="BB39" s="37"/>
      <c r="BC39" s="37" t="s">
        <v>1989</v>
      </c>
      <c r="BD39" s="37" t="s">
        <v>1989</v>
      </c>
      <c r="BE39" s="37"/>
      <c r="BF39" s="37"/>
      <c r="BG39" s="37"/>
      <c r="BH39" s="37"/>
      <c r="BI39" s="37"/>
      <c r="BJ39" s="37"/>
      <c r="BK39" s="37" t="s">
        <v>1989</v>
      </c>
      <c r="BL39" s="37" t="s">
        <v>1989</v>
      </c>
      <c r="BM39" s="37" t="s">
        <v>1989</v>
      </c>
      <c r="BN39" s="37" t="s">
        <v>1989</v>
      </c>
      <c r="BO39" s="37" t="s">
        <v>1989</v>
      </c>
      <c r="BP39" s="37" t="s">
        <v>1989</v>
      </c>
      <c r="BQ39" s="37" t="s">
        <v>1989</v>
      </c>
      <c r="BR39" s="37" t="s">
        <v>1989</v>
      </c>
      <c r="BS39" s="37" t="s">
        <v>1989</v>
      </c>
      <c r="BT39" s="37" t="s">
        <v>1989</v>
      </c>
      <c r="BU39" s="37" t="s">
        <v>1989</v>
      </c>
      <c r="BV39" s="37" t="s">
        <v>1989</v>
      </c>
      <c r="BW39" s="37" t="s">
        <v>1989</v>
      </c>
    </row>
    <row r="40" spans="1:75" ht="15" customHeight="1">
      <c r="A40" s="37" t="s">
        <v>1989</v>
      </c>
      <c r="B40" s="37" t="s">
        <v>1989</v>
      </c>
      <c r="C40" s="37" t="s">
        <v>1989</v>
      </c>
      <c r="D40" s="37" t="s">
        <v>1989</v>
      </c>
      <c r="E40" s="37" t="s">
        <v>1989</v>
      </c>
      <c r="F40" s="37" t="s">
        <v>1989</v>
      </c>
      <c r="G40" s="37" t="s">
        <v>1989</v>
      </c>
      <c r="H40" s="37" t="s">
        <v>1989</v>
      </c>
      <c r="I40" s="37" t="s">
        <v>1989</v>
      </c>
      <c r="J40" s="37" t="s">
        <v>1989</v>
      </c>
      <c r="K40" s="37" t="s">
        <v>1989</v>
      </c>
      <c r="L40" s="37" t="s">
        <v>1989</v>
      </c>
      <c r="M40" s="42">
        <v>30</v>
      </c>
      <c r="N40" s="37"/>
      <c r="O40" s="37" t="s">
        <v>1989</v>
      </c>
      <c r="P40" s="37" t="s">
        <v>1989</v>
      </c>
      <c r="Q40" s="37" t="s">
        <v>1989</v>
      </c>
      <c r="R40" s="37" t="s">
        <v>1989</v>
      </c>
      <c r="S40" s="37" t="s">
        <v>1989</v>
      </c>
      <c r="T40" s="37" t="s">
        <v>1989</v>
      </c>
      <c r="U40" s="37" t="s">
        <v>1989</v>
      </c>
      <c r="V40" s="37" t="s">
        <v>1989</v>
      </c>
      <c r="W40" s="37"/>
      <c r="X40" s="37"/>
      <c r="Y40" s="37"/>
      <c r="Z40" s="37"/>
      <c r="AA40" s="37"/>
      <c r="AB40" s="37"/>
      <c r="AC40" s="37"/>
      <c r="AD40" s="37"/>
      <c r="AE40" s="37"/>
      <c r="AF40" s="37"/>
      <c r="AG40" s="37" t="s">
        <v>1989</v>
      </c>
      <c r="AH40" s="37" t="s">
        <v>1989</v>
      </c>
      <c r="AI40" s="37"/>
      <c r="AJ40" s="37"/>
      <c r="AK40" s="37"/>
      <c r="AL40" s="37"/>
      <c r="AM40" s="37" t="s">
        <v>1989</v>
      </c>
      <c r="AN40" s="37" t="s">
        <v>1989</v>
      </c>
      <c r="AO40" s="37" t="s">
        <v>1989</v>
      </c>
      <c r="AP40" s="37" t="s">
        <v>1989</v>
      </c>
      <c r="AQ40" s="37" t="s">
        <v>1989</v>
      </c>
      <c r="AR40" s="37" t="s">
        <v>1989</v>
      </c>
      <c r="AS40" s="37"/>
      <c r="AT40" s="37"/>
      <c r="AU40" s="37"/>
      <c r="AV40" s="37"/>
      <c r="AW40" s="39">
        <v>21</v>
      </c>
      <c r="AX40" s="37"/>
      <c r="AY40" s="37"/>
      <c r="AZ40" s="37"/>
      <c r="BA40" s="37"/>
      <c r="BB40" s="37"/>
      <c r="BC40" s="37" t="s">
        <v>1989</v>
      </c>
      <c r="BD40" s="37" t="s">
        <v>1989</v>
      </c>
      <c r="BE40" s="37"/>
      <c r="BF40" s="37"/>
      <c r="BG40" s="39">
        <v>14</v>
      </c>
      <c r="BH40" s="37"/>
      <c r="BI40" s="37"/>
      <c r="BJ40" s="37"/>
      <c r="BK40" s="37" t="s">
        <v>1989</v>
      </c>
      <c r="BL40" s="37" t="s">
        <v>1989</v>
      </c>
      <c r="BM40" s="37" t="s">
        <v>1989</v>
      </c>
      <c r="BN40" s="37" t="s">
        <v>1989</v>
      </c>
      <c r="BO40" s="37" t="s">
        <v>1989</v>
      </c>
      <c r="BP40" s="37" t="s">
        <v>1989</v>
      </c>
      <c r="BQ40" s="37" t="s">
        <v>1989</v>
      </c>
      <c r="BR40" s="37" t="s">
        <v>1989</v>
      </c>
      <c r="BS40" s="37" t="s">
        <v>1989</v>
      </c>
      <c r="BT40" s="37" t="s">
        <v>1989</v>
      </c>
      <c r="BU40" s="37" t="s">
        <v>1989</v>
      </c>
      <c r="BV40" s="37" t="s">
        <v>1989</v>
      </c>
      <c r="BW40" s="37" t="s">
        <v>1989</v>
      </c>
    </row>
    <row r="41" spans="1:75" ht="15" customHeight="1">
      <c r="A41" s="37" t="s">
        <v>1989</v>
      </c>
      <c r="B41" s="37" t="s">
        <v>1989</v>
      </c>
      <c r="C41" s="37" t="s">
        <v>1989</v>
      </c>
      <c r="D41" s="37" t="s">
        <v>1989</v>
      </c>
      <c r="E41" s="37" t="s">
        <v>1989</v>
      </c>
      <c r="F41" s="37" t="s">
        <v>1989</v>
      </c>
      <c r="G41" s="37" t="s">
        <v>1989</v>
      </c>
      <c r="H41" s="37" t="s">
        <v>1989</v>
      </c>
      <c r="I41" s="37" t="s">
        <v>1989</v>
      </c>
      <c r="J41" s="37" t="s">
        <v>1989</v>
      </c>
      <c r="K41" s="37" t="s">
        <v>1989</v>
      </c>
      <c r="L41" s="37" t="s">
        <v>1989</v>
      </c>
      <c r="M41" s="37"/>
      <c r="N41" s="37"/>
      <c r="O41" s="37" t="s">
        <v>1989</v>
      </c>
      <c r="P41" s="37" t="s">
        <v>1989</v>
      </c>
      <c r="Q41" s="37" t="s">
        <v>1989</v>
      </c>
      <c r="R41" s="37" t="s">
        <v>1989</v>
      </c>
      <c r="S41" s="37" t="s">
        <v>1989</v>
      </c>
      <c r="T41" s="37" t="s">
        <v>1989</v>
      </c>
      <c r="U41" s="37" t="s">
        <v>1989</v>
      </c>
      <c r="V41" s="37" t="s">
        <v>1989</v>
      </c>
      <c r="W41" s="37"/>
      <c r="X41" s="37"/>
      <c r="Y41" s="37"/>
      <c r="Z41" s="37"/>
      <c r="AA41" s="37"/>
      <c r="AB41" s="37"/>
      <c r="AC41" s="37"/>
      <c r="AD41" s="37"/>
      <c r="AE41" s="37"/>
      <c r="AF41" s="37"/>
      <c r="AG41" s="37" t="s">
        <v>1989</v>
      </c>
      <c r="AH41" s="37" t="s">
        <v>1989</v>
      </c>
      <c r="AI41" s="37"/>
      <c r="AJ41" s="37"/>
      <c r="AK41" s="37"/>
      <c r="AL41" s="37"/>
      <c r="AM41" s="37" t="s">
        <v>1989</v>
      </c>
      <c r="AN41" s="37" t="s">
        <v>1989</v>
      </c>
      <c r="AO41" s="37" t="s">
        <v>1989</v>
      </c>
      <c r="AP41" s="37" t="s">
        <v>1989</v>
      </c>
      <c r="AQ41" s="37" t="s">
        <v>1989</v>
      </c>
      <c r="AR41" s="37" t="s">
        <v>1989</v>
      </c>
      <c r="AS41" s="37"/>
      <c r="AT41" s="37"/>
      <c r="AU41" s="37"/>
      <c r="AV41" s="37"/>
      <c r="AW41" s="37"/>
      <c r="AX41" s="37"/>
      <c r="AY41" s="37"/>
      <c r="AZ41" s="37"/>
      <c r="BA41" s="37"/>
      <c r="BB41" s="37"/>
      <c r="BC41" s="37" t="s">
        <v>1989</v>
      </c>
      <c r="BD41" s="37" t="s">
        <v>1989</v>
      </c>
      <c r="BE41" s="37"/>
      <c r="BF41" s="37"/>
      <c r="BG41" s="37"/>
      <c r="BH41" s="37"/>
      <c r="BI41" s="37"/>
      <c r="BJ41" s="37"/>
      <c r="BK41" s="37" t="s">
        <v>1989</v>
      </c>
      <c r="BL41" s="37" t="s">
        <v>1989</v>
      </c>
      <c r="BM41" s="37" t="s">
        <v>1989</v>
      </c>
      <c r="BN41" s="37" t="s">
        <v>1989</v>
      </c>
      <c r="BO41" s="37" t="s">
        <v>1989</v>
      </c>
      <c r="BP41" s="37" t="s">
        <v>1989</v>
      </c>
      <c r="BQ41" s="37" t="s">
        <v>1989</v>
      </c>
      <c r="BR41" s="37" t="s">
        <v>1989</v>
      </c>
      <c r="BS41" s="37" t="s">
        <v>1989</v>
      </c>
      <c r="BT41" s="37" t="s">
        <v>1989</v>
      </c>
      <c r="BU41" s="37" t="s">
        <v>1989</v>
      </c>
      <c r="BV41" s="37" t="s">
        <v>1989</v>
      </c>
      <c r="BW41" s="37" t="s">
        <v>1989</v>
      </c>
    </row>
    <row r="42" spans="1:75" ht="15" customHeight="1">
      <c r="A42" s="37" t="s">
        <v>1989</v>
      </c>
      <c r="B42" s="37" t="s">
        <v>1989</v>
      </c>
      <c r="C42" s="37" t="s">
        <v>1989</v>
      </c>
      <c r="D42" s="37" t="s">
        <v>1989</v>
      </c>
      <c r="E42" s="37" t="s">
        <v>1989</v>
      </c>
      <c r="F42" s="37" t="s">
        <v>1989</v>
      </c>
      <c r="G42" s="37" t="s">
        <v>1989</v>
      </c>
      <c r="H42" s="37" t="s">
        <v>1989</v>
      </c>
      <c r="I42" s="37" t="s">
        <v>1989</v>
      </c>
      <c r="J42" s="37" t="s">
        <v>1989</v>
      </c>
      <c r="K42" s="37" t="s">
        <v>1989</v>
      </c>
      <c r="L42" s="37" t="s">
        <v>1989</v>
      </c>
      <c r="M42" s="37"/>
      <c r="N42" s="37"/>
      <c r="O42" s="37" t="s">
        <v>1989</v>
      </c>
      <c r="P42" s="37" t="s">
        <v>1989</v>
      </c>
      <c r="Q42" s="37" t="s">
        <v>1989</v>
      </c>
      <c r="R42" s="37" t="s">
        <v>1989</v>
      </c>
      <c r="S42" s="37" t="s">
        <v>1989</v>
      </c>
      <c r="T42" s="37" t="s">
        <v>1989</v>
      </c>
      <c r="U42" s="37" t="s">
        <v>1989</v>
      </c>
      <c r="V42" s="37" t="s">
        <v>1989</v>
      </c>
      <c r="W42" s="37"/>
      <c r="X42" s="37"/>
      <c r="Y42" s="37"/>
      <c r="Z42" s="37"/>
      <c r="AA42" s="37"/>
      <c r="AB42" s="37"/>
      <c r="AC42" s="37"/>
      <c r="AD42" s="37"/>
      <c r="AE42" s="37"/>
      <c r="AF42" s="37"/>
      <c r="AG42" s="37" t="s">
        <v>1989</v>
      </c>
      <c r="AH42" s="37" t="s">
        <v>1989</v>
      </c>
      <c r="AI42" s="37"/>
      <c r="AJ42" s="37"/>
      <c r="AK42" s="37"/>
      <c r="AL42" s="37"/>
      <c r="AM42" s="37"/>
      <c r="AN42" s="37"/>
      <c r="AO42" s="37"/>
      <c r="AP42" s="37"/>
      <c r="AQ42" s="37"/>
      <c r="AR42" s="37"/>
      <c r="AS42" s="37"/>
      <c r="AT42" s="37"/>
      <c r="AU42" s="37" t="s">
        <v>1989</v>
      </c>
      <c r="AV42" s="37" t="s">
        <v>1989</v>
      </c>
      <c r="AW42" s="37" t="s">
        <v>1989</v>
      </c>
      <c r="AX42" s="37" t="s">
        <v>1989</v>
      </c>
      <c r="AY42" s="37" t="s">
        <v>1989</v>
      </c>
      <c r="AZ42" s="37" t="s">
        <v>1989</v>
      </c>
      <c r="BA42" s="37" t="s">
        <v>1989</v>
      </c>
      <c r="BB42" s="37" t="s">
        <v>1989</v>
      </c>
      <c r="BC42" s="37" t="s">
        <v>1989</v>
      </c>
      <c r="BD42" s="37" t="s">
        <v>1989</v>
      </c>
      <c r="BE42" s="37"/>
      <c r="BF42" s="37"/>
      <c r="BG42" s="37"/>
      <c r="BH42" s="37"/>
      <c r="BI42" s="37"/>
      <c r="BJ42" s="37"/>
      <c r="BK42" s="37" t="s">
        <v>1989</v>
      </c>
      <c r="BL42" s="37" t="s">
        <v>1989</v>
      </c>
      <c r="BM42" s="37" t="s">
        <v>1989</v>
      </c>
      <c r="BN42" s="37" t="s">
        <v>1989</v>
      </c>
      <c r="BO42" s="37" t="s">
        <v>1989</v>
      </c>
      <c r="BP42" s="37" t="s">
        <v>1989</v>
      </c>
      <c r="BQ42" s="37" t="s">
        <v>1989</v>
      </c>
      <c r="BR42" s="37" t="s">
        <v>1989</v>
      </c>
      <c r="BS42" s="37" t="s">
        <v>1989</v>
      </c>
      <c r="BT42" s="37" t="s">
        <v>1989</v>
      </c>
      <c r="BU42" s="37" t="s">
        <v>1989</v>
      </c>
      <c r="BV42" s="37" t="s">
        <v>1989</v>
      </c>
      <c r="BW42" s="37" t="s">
        <v>1989</v>
      </c>
    </row>
    <row r="43" spans="1:75" ht="15" customHeight="1">
      <c r="A43" s="37" t="s">
        <v>1989</v>
      </c>
      <c r="B43" s="37" t="s">
        <v>1989</v>
      </c>
      <c r="C43" s="37" t="s">
        <v>1989</v>
      </c>
      <c r="D43" s="37" t="s">
        <v>1989</v>
      </c>
      <c r="E43" s="37" t="s">
        <v>1989</v>
      </c>
      <c r="F43" s="37" t="s">
        <v>1989</v>
      </c>
      <c r="G43" s="37" t="s">
        <v>1989</v>
      </c>
      <c r="H43" s="37" t="s">
        <v>1989</v>
      </c>
      <c r="I43" s="37" t="s">
        <v>1989</v>
      </c>
      <c r="J43" s="37" t="s">
        <v>1989</v>
      </c>
      <c r="K43" s="37" t="s">
        <v>1989</v>
      </c>
      <c r="L43" s="37" t="s">
        <v>1989</v>
      </c>
      <c r="M43" s="37"/>
      <c r="N43" s="37"/>
      <c r="O43" s="37" t="s">
        <v>1989</v>
      </c>
      <c r="P43" s="37" t="s">
        <v>1989</v>
      </c>
      <c r="Q43" s="37" t="s">
        <v>1989</v>
      </c>
      <c r="R43" s="37" t="s">
        <v>1989</v>
      </c>
      <c r="S43" s="37" t="s">
        <v>1989</v>
      </c>
      <c r="T43" s="37" t="s">
        <v>1989</v>
      </c>
      <c r="U43" s="37" t="s">
        <v>1989</v>
      </c>
      <c r="V43" s="37" t="s">
        <v>1989</v>
      </c>
      <c r="W43" s="37"/>
      <c r="X43" s="37"/>
      <c r="Y43" s="37"/>
      <c r="Z43" s="37"/>
      <c r="AA43" s="37"/>
      <c r="AB43" s="37"/>
      <c r="AC43" s="37"/>
      <c r="AD43" s="37"/>
      <c r="AE43" s="37"/>
      <c r="AF43" s="37"/>
      <c r="AG43" s="37" t="s">
        <v>1989</v>
      </c>
      <c r="AH43" s="37" t="s">
        <v>1989</v>
      </c>
      <c r="AI43" s="37"/>
      <c r="AJ43" s="37"/>
      <c r="AK43" s="37"/>
      <c r="AL43" s="37"/>
      <c r="AM43" s="37"/>
      <c r="AN43" s="37"/>
      <c r="AO43" s="37"/>
      <c r="AP43" s="37"/>
      <c r="AQ43" s="37"/>
      <c r="AR43" s="37"/>
      <c r="AS43" s="37"/>
      <c r="AT43" s="37"/>
      <c r="AU43" s="37" t="s">
        <v>1989</v>
      </c>
      <c r="AV43" s="37" t="s">
        <v>1989</v>
      </c>
      <c r="AW43" s="37" t="s">
        <v>1989</v>
      </c>
      <c r="AX43" s="37" t="s">
        <v>1989</v>
      </c>
      <c r="AY43" s="37" t="s">
        <v>1989</v>
      </c>
      <c r="AZ43" s="37" t="s">
        <v>1989</v>
      </c>
      <c r="BA43" s="37" t="s">
        <v>1989</v>
      </c>
      <c r="BB43" s="37" t="s">
        <v>1989</v>
      </c>
      <c r="BC43" s="37" t="s">
        <v>1989</v>
      </c>
      <c r="BD43" s="37" t="s">
        <v>1989</v>
      </c>
      <c r="BE43" s="37"/>
      <c r="BF43" s="37"/>
      <c r="BG43" s="37"/>
      <c r="BH43" s="37"/>
      <c r="BI43" s="37"/>
      <c r="BJ43" s="37"/>
      <c r="BK43" s="37" t="s">
        <v>1989</v>
      </c>
      <c r="BL43" s="37" t="s">
        <v>1989</v>
      </c>
      <c r="BM43" s="37" t="s">
        <v>1989</v>
      </c>
      <c r="BN43" s="37" t="s">
        <v>1989</v>
      </c>
      <c r="BO43" s="37" t="s">
        <v>1989</v>
      </c>
      <c r="BP43" s="37" t="s">
        <v>1989</v>
      </c>
      <c r="BQ43" s="37" t="s">
        <v>1989</v>
      </c>
      <c r="BR43" s="37" t="s">
        <v>1989</v>
      </c>
      <c r="BS43" s="37" t="s">
        <v>1989</v>
      </c>
      <c r="BT43" s="37" t="s">
        <v>1989</v>
      </c>
      <c r="BU43" s="37" t="s">
        <v>1989</v>
      </c>
      <c r="BV43" s="37" t="s">
        <v>1989</v>
      </c>
      <c r="BW43" s="37" t="s">
        <v>1989</v>
      </c>
    </row>
    <row r="44" spans="1:75" ht="15" customHeight="1">
      <c r="A44" s="37" t="s">
        <v>1989</v>
      </c>
      <c r="B44" s="37" t="s">
        <v>1989</v>
      </c>
      <c r="C44" s="37" t="s">
        <v>1989</v>
      </c>
      <c r="D44" s="37" t="s">
        <v>1989</v>
      </c>
      <c r="E44" s="37" t="s">
        <v>1989</v>
      </c>
      <c r="F44" s="37" t="s">
        <v>1989</v>
      </c>
      <c r="G44" s="37" t="s">
        <v>1989</v>
      </c>
      <c r="H44" s="37" t="s">
        <v>1989</v>
      </c>
      <c r="I44" s="37" t="s">
        <v>1989</v>
      </c>
      <c r="J44" s="37"/>
      <c r="K44" s="37"/>
      <c r="L44" s="37"/>
      <c r="M44" s="37"/>
      <c r="N44" s="37"/>
      <c r="O44" s="37"/>
      <c r="P44" s="37"/>
      <c r="Q44" s="37"/>
      <c r="R44" s="37"/>
      <c r="S44" s="37"/>
      <c r="T44" s="37"/>
      <c r="U44" s="37" t="s">
        <v>1989</v>
      </c>
      <c r="V44" s="37" t="s">
        <v>1989</v>
      </c>
      <c r="W44" s="37" t="s">
        <v>1989</v>
      </c>
      <c r="X44" s="37" t="s">
        <v>1989</v>
      </c>
      <c r="Y44" s="37" t="s">
        <v>1989</v>
      </c>
      <c r="Z44" s="37" t="s">
        <v>1989</v>
      </c>
      <c r="AA44" s="37"/>
      <c r="AB44" s="37"/>
      <c r="AC44" s="37" t="s">
        <v>1989</v>
      </c>
      <c r="AD44" s="37" t="s">
        <v>1989</v>
      </c>
      <c r="AE44" s="37" t="s">
        <v>1989</v>
      </c>
      <c r="AF44" s="37" t="s">
        <v>1989</v>
      </c>
      <c r="AG44" s="37" t="s">
        <v>1989</v>
      </c>
      <c r="AH44" s="37" t="s">
        <v>1989</v>
      </c>
      <c r="AI44" s="37"/>
      <c r="AJ44" s="37"/>
      <c r="AK44" s="37"/>
      <c r="AL44" s="37"/>
      <c r="AM44" s="37"/>
      <c r="AN44" s="37"/>
      <c r="AO44" s="42">
        <v>22</v>
      </c>
      <c r="AP44" s="37"/>
      <c r="AQ44" s="37"/>
      <c r="AR44" s="37"/>
      <c r="AS44" s="37"/>
      <c r="AT44" s="37"/>
      <c r="AU44" s="37"/>
      <c r="AV44" s="37"/>
      <c r="AW44" s="37"/>
      <c r="AX44" s="37"/>
      <c r="AY44" s="37"/>
      <c r="AZ44" s="37"/>
      <c r="BA44" s="37"/>
      <c r="BB44" s="37"/>
      <c r="BC44" s="37"/>
      <c r="BD44" s="37"/>
      <c r="BE44" s="37"/>
      <c r="BF44" s="37"/>
      <c r="BG44" s="37"/>
      <c r="BH44" s="37"/>
      <c r="BI44" s="37"/>
      <c r="BJ44" s="37"/>
      <c r="BK44" s="37" t="s">
        <v>1989</v>
      </c>
      <c r="BL44" s="37" t="s">
        <v>1989</v>
      </c>
      <c r="BM44" s="37"/>
      <c r="BN44" s="37"/>
      <c r="BO44" s="37"/>
      <c r="BP44" s="37"/>
      <c r="BQ44" s="37" t="s">
        <v>1989</v>
      </c>
      <c r="BR44" s="37" t="s">
        <v>1989</v>
      </c>
      <c r="BS44" s="37" t="s">
        <v>1989</v>
      </c>
      <c r="BT44" s="37" t="s">
        <v>1989</v>
      </c>
      <c r="BU44" s="37" t="s">
        <v>1989</v>
      </c>
      <c r="BV44" s="37" t="s">
        <v>1989</v>
      </c>
      <c r="BW44" s="37" t="s">
        <v>1989</v>
      </c>
    </row>
    <row r="45" spans="1:75" ht="15" customHeight="1">
      <c r="A45" s="37" t="s">
        <v>1989</v>
      </c>
      <c r="B45" s="37" t="s">
        <v>1989</v>
      </c>
      <c r="C45" s="37" t="s">
        <v>1989</v>
      </c>
      <c r="D45" s="37" t="s">
        <v>1989</v>
      </c>
      <c r="E45" s="37" t="s">
        <v>1989</v>
      </c>
      <c r="F45" s="37" t="s">
        <v>1989</v>
      </c>
      <c r="G45" s="37" t="s">
        <v>1989</v>
      </c>
      <c r="H45" s="37" t="s">
        <v>1989</v>
      </c>
      <c r="I45" s="37"/>
      <c r="J45" s="37"/>
      <c r="K45" s="37"/>
      <c r="L45" s="37"/>
      <c r="M45" s="37"/>
      <c r="N45" s="37"/>
      <c r="O45" s="37"/>
      <c r="P45" s="37"/>
      <c r="Q45" s="37"/>
      <c r="R45" s="37"/>
      <c r="S45" s="37"/>
      <c r="T45" s="37"/>
      <c r="U45" s="37" t="s">
        <v>1989</v>
      </c>
      <c r="V45" s="37" t="s">
        <v>1989</v>
      </c>
      <c r="W45" s="37" t="s">
        <v>1989</v>
      </c>
      <c r="X45" s="37" t="s">
        <v>1989</v>
      </c>
      <c r="Y45" s="37" t="s">
        <v>1989</v>
      </c>
      <c r="Z45" s="37" t="s">
        <v>1989</v>
      </c>
      <c r="AA45" s="37"/>
      <c r="AB45" s="37"/>
      <c r="AC45" s="37" t="s">
        <v>1989</v>
      </c>
      <c r="AD45" s="37" t="s">
        <v>1989</v>
      </c>
      <c r="AE45" s="37" t="s">
        <v>1989</v>
      </c>
      <c r="AF45" s="37" t="s">
        <v>1989</v>
      </c>
      <c r="AG45" s="37" t="s">
        <v>1989</v>
      </c>
      <c r="AH45" s="37" t="s">
        <v>1989</v>
      </c>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c r="BJ45" s="37"/>
      <c r="BK45" s="37" t="s">
        <v>1989</v>
      </c>
      <c r="BL45" s="37" t="s">
        <v>1989</v>
      </c>
      <c r="BM45" s="37"/>
      <c r="BN45" s="37"/>
      <c r="BO45" s="37"/>
      <c r="BP45" s="37"/>
      <c r="BQ45" s="37" t="s">
        <v>1989</v>
      </c>
      <c r="BR45" s="37" t="s">
        <v>1989</v>
      </c>
      <c r="BS45" s="37" t="s">
        <v>1989</v>
      </c>
      <c r="BT45" s="37" t="s">
        <v>1989</v>
      </c>
      <c r="BU45" s="37" t="s">
        <v>1989</v>
      </c>
      <c r="BV45" s="37" t="s">
        <v>1989</v>
      </c>
      <c r="BW45" s="37" t="s">
        <v>1989</v>
      </c>
    </row>
    <row r="46" spans="1:75" ht="15" customHeight="1">
      <c r="A46" s="37" t="s">
        <v>1989</v>
      </c>
      <c r="B46" s="37" t="s">
        <v>1989</v>
      </c>
      <c r="C46" s="37" t="s">
        <v>1989</v>
      </c>
      <c r="D46" s="37" t="s">
        <v>1989</v>
      </c>
      <c r="E46" s="37" t="s">
        <v>1989</v>
      </c>
      <c r="F46" s="37" t="s">
        <v>1989</v>
      </c>
      <c r="G46" s="37" t="s">
        <v>1989</v>
      </c>
      <c r="H46" s="37" t="s">
        <v>1989</v>
      </c>
      <c r="I46" s="37"/>
      <c r="J46" s="37"/>
      <c r="K46" s="42">
        <v>28</v>
      </c>
      <c r="L46" s="37"/>
      <c r="M46" s="37"/>
      <c r="N46" s="37"/>
      <c r="O46" s="37" t="s">
        <v>1989</v>
      </c>
      <c r="P46" s="37" t="s">
        <v>1989</v>
      </c>
      <c r="Q46" s="37" t="s">
        <v>1989</v>
      </c>
      <c r="R46" s="37" t="s">
        <v>1989</v>
      </c>
      <c r="S46" s="37"/>
      <c r="T46" s="37"/>
      <c r="U46" s="37"/>
      <c r="V46" s="37"/>
      <c r="W46" s="37" t="s">
        <v>1989</v>
      </c>
      <c r="X46" s="37" t="s">
        <v>1989</v>
      </c>
      <c r="Y46" s="37" t="s">
        <v>1989</v>
      </c>
      <c r="Z46" s="37" t="s">
        <v>1989</v>
      </c>
      <c r="AA46" s="37"/>
      <c r="AB46" s="37"/>
      <c r="AC46" s="37" t="s">
        <v>1989</v>
      </c>
      <c r="AD46" s="37" t="s">
        <v>1989</v>
      </c>
      <c r="AE46" s="37" t="s">
        <v>1989</v>
      </c>
      <c r="AF46" s="37" t="s">
        <v>1989</v>
      </c>
      <c r="AG46" s="37" t="s">
        <v>1989</v>
      </c>
      <c r="AH46" s="37" t="s">
        <v>1989</v>
      </c>
      <c r="AI46" s="37" t="s">
        <v>1989</v>
      </c>
      <c r="AJ46" s="37" t="s">
        <v>1989</v>
      </c>
      <c r="AK46" s="37" t="s">
        <v>1989</v>
      </c>
      <c r="AL46" s="37" t="s">
        <v>1989</v>
      </c>
      <c r="AM46" s="37" t="s">
        <v>1989</v>
      </c>
      <c r="AN46" s="37" t="s">
        <v>1989</v>
      </c>
      <c r="AO46" s="37" t="s">
        <v>1989</v>
      </c>
      <c r="AP46" s="37" t="s">
        <v>1989</v>
      </c>
      <c r="AQ46" s="37" t="s">
        <v>1989</v>
      </c>
      <c r="AR46" s="37" t="s">
        <v>1989</v>
      </c>
      <c r="AS46" s="37" t="s">
        <v>1989</v>
      </c>
      <c r="AT46" s="37" t="s">
        <v>1989</v>
      </c>
      <c r="AU46" s="37"/>
      <c r="AV46" s="37"/>
      <c r="AW46" s="37"/>
      <c r="AX46" s="37"/>
      <c r="AY46" s="37"/>
      <c r="AZ46" s="37"/>
      <c r="BA46" s="37"/>
      <c r="BB46" s="37"/>
      <c r="BC46" s="37"/>
      <c r="BD46" s="37"/>
      <c r="BE46" s="37"/>
      <c r="BF46" s="37"/>
      <c r="BG46" s="37"/>
      <c r="BH46" s="37"/>
      <c r="BI46" s="37"/>
      <c r="BJ46" s="37"/>
      <c r="BK46" s="37" t="s">
        <v>1989</v>
      </c>
      <c r="BL46" s="37" t="s">
        <v>1989</v>
      </c>
      <c r="BM46" s="37"/>
      <c r="BN46" s="37"/>
      <c r="BO46" s="37"/>
      <c r="BP46" s="37"/>
      <c r="BQ46" s="37" t="s">
        <v>1989</v>
      </c>
      <c r="BR46" s="37" t="s">
        <v>1989</v>
      </c>
      <c r="BS46" s="37" t="s">
        <v>1989</v>
      </c>
      <c r="BT46" s="37" t="s">
        <v>1989</v>
      </c>
      <c r="BU46" s="37" t="s">
        <v>1989</v>
      </c>
      <c r="BV46" s="37" t="s">
        <v>1989</v>
      </c>
      <c r="BW46" s="37" t="s">
        <v>1989</v>
      </c>
    </row>
    <row r="47" spans="1:75" ht="15" customHeight="1">
      <c r="A47" s="37" t="s">
        <v>1989</v>
      </c>
      <c r="B47" s="37" t="s">
        <v>1989</v>
      </c>
      <c r="C47" s="37" t="s">
        <v>1989</v>
      </c>
      <c r="D47" s="37" t="s">
        <v>1989</v>
      </c>
      <c r="E47" s="37" t="s">
        <v>1989</v>
      </c>
      <c r="F47" s="37" t="s">
        <v>1989</v>
      </c>
      <c r="G47" s="37" t="s">
        <v>1989</v>
      </c>
      <c r="H47" s="37" t="s">
        <v>1989</v>
      </c>
      <c r="I47" s="37"/>
      <c r="J47" s="37"/>
      <c r="K47" s="37"/>
      <c r="L47" s="37"/>
      <c r="M47" s="37"/>
      <c r="N47" s="37"/>
      <c r="O47" s="37" t="s">
        <v>1989</v>
      </c>
      <c r="P47" s="37" t="s">
        <v>1989</v>
      </c>
      <c r="Q47" s="37" t="s">
        <v>1989</v>
      </c>
      <c r="R47" s="37" t="s">
        <v>1989</v>
      </c>
      <c r="S47" s="37"/>
      <c r="T47" s="37"/>
      <c r="U47" s="37"/>
      <c r="V47" s="37"/>
      <c r="W47" s="37" t="s">
        <v>1989</v>
      </c>
      <c r="X47" s="37" t="s">
        <v>1989</v>
      </c>
      <c r="Y47" s="37" t="s">
        <v>1989</v>
      </c>
      <c r="Z47" s="37" t="s">
        <v>1989</v>
      </c>
      <c r="AA47" s="37"/>
      <c r="AB47" s="37"/>
      <c r="AC47" s="37" t="s">
        <v>1989</v>
      </c>
      <c r="AD47" s="37" t="s">
        <v>1989</v>
      </c>
      <c r="AE47" s="37" t="s">
        <v>1989</v>
      </c>
      <c r="AF47" s="37" t="s">
        <v>1989</v>
      </c>
      <c r="AG47" s="37" t="s">
        <v>1989</v>
      </c>
      <c r="AH47" s="37" t="s">
        <v>1989</v>
      </c>
      <c r="AI47" s="37" t="s">
        <v>1989</v>
      </c>
      <c r="AJ47" s="37" t="s">
        <v>1989</v>
      </c>
      <c r="AK47" s="37" t="s">
        <v>1989</v>
      </c>
      <c r="AL47" s="37" t="s">
        <v>1989</v>
      </c>
      <c r="AM47" s="37" t="s">
        <v>1989</v>
      </c>
      <c r="AN47" s="37" t="s">
        <v>1989</v>
      </c>
      <c r="AO47" s="37" t="s">
        <v>1989</v>
      </c>
      <c r="AP47" s="37" t="s">
        <v>1989</v>
      </c>
      <c r="AQ47" s="37" t="s">
        <v>1989</v>
      </c>
      <c r="AR47" s="37" t="s">
        <v>1989</v>
      </c>
      <c r="AS47" s="37" t="s">
        <v>1989</v>
      </c>
      <c r="AT47" s="37" t="s">
        <v>1989</v>
      </c>
      <c r="AU47" s="37"/>
      <c r="AV47" s="37"/>
      <c r="AW47" s="37"/>
      <c r="AX47" s="37"/>
      <c r="AY47" s="37"/>
      <c r="AZ47" s="37"/>
      <c r="BA47" s="37"/>
      <c r="BB47" s="39">
        <v>16</v>
      </c>
      <c r="BC47" s="37"/>
      <c r="BD47" s="37"/>
      <c r="BE47" s="37"/>
      <c r="BF47" s="37"/>
      <c r="BG47" s="37"/>
      <c r="BH47" s="37"/>
      <c r="BI47" s="37"/>
      <c r="BJ47" s="37"/>
      <c r="BK47" s="37" t="s">
        <v>1989</v>
      </c>
      <c r="BL47" s="37" t="s">
        <v>1989</v>
      </c>
      <c r="BM47" s="37"/>
      <c r="BN47" s="37"/>
      <c r="BO47" s="37"/>
      <c r="BP47" s="37"/>
      <c r="BQ47" s="37" t="s">
        <v>1989</v>
      </c>
      <c r="BR47" s="37" t="s">
        <v>1989</v>
      </c>
      <c r="BS47" s="37" t="s">
        <v>1989</v>
      </c>
      <c r="BT47" s="37" t="s">
        <v>1989</v>
      </c>
      <c r="BU47" s="37" t="s">
        <v>1989</v>
      </c>
      <c r="BV47" s="37" t="s">
        <v>1989</v>
      </c>
      <c r="BW47" s="37" t="s">
        <v>1989</v>
      </c>
    </row>
    <row r="48" spans="1:75" ht="15" customHeight="1">
      <c r="A48" s="37" t="s">
        <v>1989</v>
      </c>
      <c r="B48" s="37" t="s">
        <v>1989</v>
      </c>
      <c r="C48" s="37" t="s">
        <v>1989</v>
      </c>
      <c r="D48" s="37" t="s">
        <v>1989</v>
      </c>
      <c r="E48" s="37" t="s">
        <v>1989</v>
      </c>
      <c r="F48" s="37" t="s">
        <v>1989</v>
      </c>
      <c r="G48" s="37" t="s">
        <v>1989</v>
      </c>
      <c r="H48" s="37" t="s">
        <v>1989</v>
      </c>
      <c r="I48" s="37" t="s">
        <v>1989</v>
      </c>
      <c r="J48" s="37" t="s">
        <v>1989</v>
      </c>
      <c r="K48" s="37"/>
      <c r="L48" s="37"/>
      <c r="M48" s="37" t="s">
        <v>1989</v>
      </c>
      <c r="N48" s="37" t="s">
        <v>1989</v>
      </c>
      <c r="O48" s="37" t="s">
        <v>1989</v>
      </c>
      <c r="P48" s="37" t="s">
        <v>1989</v>
      </c>
      <c r="Q48" s="37" t="s">
        <v>1989</v>
      </c>
      <c r="R48" s="37" t="s">
        <v>1989</v>
      </c>
      <c r="S48" s="37"/>
      <c r="T48" s="37"/>
      <c r="U48" s="37"/>
      <c r="V48" s="37"/>
      <c r="W48" s="37" t="s">
        <v>1989</v>
      </c>
      <c r="X48" s="37" t="s">
        <v>1989</v>
      </c>
      <c r="Y48" s="37" t="s">
        <v>1989</v>
      </c>
      <c r="Z48" s="37" t="s">
        <v>1989</v>
      </c>
      <c r="AA48" s="37"/>
      <c r="AB48" s="37"/>
      <c r="AC48" s="37" t="s">
        <v>1989</v>
      </c>
      <c r="AD48" s="37" t="s">
        <v>1989</v>
      </c>
      <c r="AE48" s="37" t="s">
        <v>1989</v>
      </c>
      <c r="AF48" s="37" t="s">
        <v>1989</v>
      </c>
      <c r="AG48" s="37" t="s">
        <v>1989</v>
      </c>
      <c r="AH48" s="37" t="s">
        <v>1989</v>
      </c>
      <c r="AI48" s="37" t="s">
        <v>1989</v>
      </c>
      <c r="AJ48" s="37" t="s">
        <v>1989</v>
      </c>
      <c r="AK48" s="37" t="s">
        <v>1989</v>
      </c>
      <c r="AL48" s="37" t="s">
        <v>1989</v>
      </c>
      <c r="AM48" s="37" t="s">
        <v>1989</v>
      </c>
      <c r="AN48" s="37" t="s">
        <v>1989</v>
      </c>
      <c r="AO48" s="37" t="s">
        <v>1989</v>
      </c>
      <c r="AP48" s="37" t="s">
        <v>1989</v>
      </c>
      <c r="AQ48" s="37" t="s">
        <v>1989</v>
      </c>
      <c r="AR48" s="37" t="s">
        <v>1989</v>
      </c>
      <c r="AS48" s="37" t="s">
        <v>1989</v>
      </c>
      <c r="AT48" s="37" t="s">
        <v>1989</v>
      </c>
      <c r="AU48" s="37"/>
      <c r="AV48" s="37"/>
      <c r="AW48" s="37"/>
      <c r="AX48" s="37"/>
      <c r="AY48" s="37"/>
      <c r="AZ48" s="37"/>
      <c r="BA48" s="37"/>
      <c r="BB48" s="37"/>
      <c r="BC48" s="37"/>
      <c r="BD48" s="37"/>
      <c r="BE48" s="37"/>
      <c r="BF48" s="37"/>
      <c r="BG48" s="37"/>
      <c r="BH48" s="37"/>
      <c r="BI48" s="37"/>
      <c r="BJ48" s="37"/>
      <c r="BK48" s="37"/>
      <c r="BL48" s="37"/>
      <c r="BM48" s="37"/>
      <c r="BN48" s="37"/>
      <c r="BO48" s="37"/>
      <c r="BP48" s="37"/>
      <c r="BQ48" s="37" t="s">
        <v>1989</v>
      </c>
      <c r="BR48" s="37" t="s">
        <v>1989</v>
      </c>
      <c r="BS48" s="37" t="s">
        <v>1989</v>
      </c>
      <c r="BT48" s="37" t="s">
        <v>1989</v>
      </c>
      <c r="BU48" s="37" t="s">
        <v>1989</v>
      </c>
      <c r="BV48" s="37" t="s">
        <v>1989</v>
      </c>
      <c r="BW48" s="37" t="s">
        <v>1989</v>
      </c>
    </row>
    <row r="49" spans="1:75" ht="15" customHeight="1">
      <c r="A49" s="37" t="s">
        <v>1989</v>
      </c>
      <c r="B49" s="37" t="s">
        <v>1989</v>
      </c>
      <c r="C49" s="37" t="s">
        <v>1989</v>
      </c>
      <c r="D49" s="37" t="s">
        <v>1989</v>
      </c>
      <c r="E49" s="37" t="s">
        <v>1989</v>
      </c>
      <c r="F49" s="37" t="s">
        <v>1989</v>
      </c>
      <c r="G49" s="37" t="s">
        <v>1989</v>
      </c>
      <c r="H49" s="37" t="s">
        <v>1989</v>
      </c>
      <c r="I49" s="37" t="s">
        <v>1989</v>
      </c>
      <c r="J49" s="37" t="s">
        <v>1989</v>
      </c>
      <c r="K49" s="37"/>
      <c r="L49" s="37"/>
      <c r="M49" s="37" t="s">
        <v>1989</v>
      </c>
      <c r="N49" s="37" t="s">
        <v>1989</v>
      </c>
      <c r="O49" s="37" t="s">
        <v>1989</v>
      </c>
      <c r="P49" s="37" t="s">
        <v>1989</v>
      </c>
      <c r="Q49" s="37" t="s">
        <v>1989</v>
      </c>
      <c r="R49" s="37" t="s">
        <v>1989</v>
      </c>
      <c r="S49" s="37"/>
      <c r="T49" s="37"/>
      <c r="U49" s="37"/>
      <c r="V49" s="37"/>
      <c r="W49" s="37" t="s">
        <v>1989</v>
      </c>
      <c r="X49" s="37" t="s">
        <v>1989</v>
      </c>
      <c r="Y49" s="37" t="s">
        <v>1989</v>
      </c>
      <c r="Z49" s="37" t="s">
        <v>1989</v>
      </c>
      <c r="AA49" s="37"/>
      <c r="AB49" s="37"/>
      <c r="AC49" s="37" t="s">
        <v>1989</v>
      </c>
      <c r="AD49" s="37" t="s">
        <v>1989</v>
      </c>
      <c r="AE49" s="37" t="s">
        <v>1989</v>
      </c>
      <c r="AF49" s="37" t="s">
        <v>1989</v>
      </c>
      <c r="AG49" s="37" t="s">
        <v>1989</v>
      </c>
      <c r="AH49" s="37" t="s">
        <v>1989</v>
      </c>
      <c r="AI49" s="37" t="s">
        <v>1989</v>
      </c>
      <c r="AJ49" s="37" t="s">
        <v>1989</v>
      </c>
      <c r="AK49" s="37" t="s">
        <v>1989</v>
      </c>
      <c r="AL49" s="37" t="s">
        <v>1989</v>
      </c>
      <c r="AM49" s="37" t="s">
        <v>1989</v>
      </c>
      <c r="AN49" s="37" t="s">
        <v>1989</v>
      </c>
      <c r="AO49" s="37" t="s">
        <v>1989</v>
      </c>
      <c r="AP49" s="37" t="s">
        <v>1989</v>
      </c>
      <c r="AQ49" s="37" t="s">
        <v>1989</v>
      </c>
      <c r="AR49" s="37" t="s">
        <v>1989</v>
      </c>
      <c r="AS49" s="37" t="s">
        <v>1989</v>
      </c>
      <c r="AT49" s="37" t="s">
        <v>1989</v>
      </c>
      <c r="AU49" s="37"/>
      <c r="AV49" s="37"/>
      <c r="AW49" s="37"/>
      <c r="AX49" s="37"/>
      <c r="AY49" s="37"/>
      <c r="AZ49" s="37"/>
      <c r="BA49" s="37"/>
      <c r="BB49" s="37"/>
      <c r="BC49" s="37"/>
      <c r="BD49" s="37"/>
      <c r="BE49" s="37"/>
      <c r="BF49" s="37"/>
      <c r="BG49" s="37"/>
      <c r="BH49" s="37"/>
      <c r="BI49" s="37"/>
      <c r="BJ49" s="37"/>
      <c r="BK49" s="37"/>
      <c r="BL49" s="37"/>
      <c r="BM49" s="37"/>
      <c r="BN49" s="37"/>
      <c r="BO49" s="39">
        <v>15</v>
      </c>
      <c r="BP49" s="37"/>
      <c r="BQ49" s="37" t="s">
        <v>1989</v>
      </c>
      <c r="BR49" s="37" t="s">
        <v>1989</v>
      </c>
      <c r="BS49" s="37" t="s">
        <v>1989</v>
      </c>
      <c r="BT49" s="37" t="s">
        <v>1989</v>
      </c>
      <c r="BU49" s="37" t="s">
        <v>1989</v>
      </c>
      <c r="BV49" s="37" t="s">
        <v>1989</v>
      </c>
      <c r="BW49" s="37" t="s">
        <v>1989</v>
      </c>
    </row>
    <row r="50" spans="1:75" ht="15" customHeight="1">
      <c r="A50" s="37" t="s">
        <v>1989</v>
      </c>
      <c r="B50" s="37" t="s">
        <v>1989</v>
      </c>
      <c r="C50" s="37" t="s">
        <v>1989</v>
      </c>
      <c r="D50" s="37" t="s">
        <v>1989</v>
      </c>
      <c r="E50" s="37" t="s">
        <v>1989</v>
      </c>
      <c r="F50" s="37" t="s">
        <v>1989</v>
      </c>
      <c r="G50" s="37" t="s">
        <v>1989</v>
      </c>
      <c r="H50" s="37" t="s">
        <v>1989</v>
      </c>
      <c r="I50" s="37" t="s">
        <v>1989</v>
      </c>
      <c r="J50" s="37" t="s">
        <v>1989</v>
      </c>
      <c r="K50" s="37"/>
      <c r="L50" s="37"/>
      <c r="M50" s="37"/>
      <c r="N50" s="37"/>
      <c r="O50" s="37" t="s">
        <v>1989</v>
      </c>
      <c r="P50" s="37" t="s">
        <v>1989</v>
      </c>
      <c r="Q50" s="37" t="s">
        <v>1989</v>
      </c>
      <c r="R50" s="37" t="s">
        <v>1989</v>
      </c>
      <c r="S50" s="37" t="s">
        <v>1989</v>
      </c>
      <c r="T50" s="37" t="s">
        <v>1989</v>
      </c>
      <c r="U50" s="37"/>
      <c r="V50" s="37"/>
      <c r="W50" s="37"/>
      <c r="X50" s="37"/>
      <c r="Y50" s="37" t="s">
        <v>1989</v>
      </c>
      <c r="Z50" s="37" t="s">
        <v>1989</v>
      </c>
      <c r="AA50" s="37"/>
      <c r="AB50" s="37"/>
      <c r="AC50" s="37" t="s">
        <v>1989</v>
      </c>
      <c r="AD50" s="37" t="s">
        <v>1989</v>
      </c>
      <c r="AE50" s="37"/>
      <c r="AF50" s="37"/>
      <c r="AG50" s="37" t="s">
        <v>1989</v>
      </c>
      <c r="AH50" s="37" t="s">
        <v>1989</v>
      </c>
      <c r="AI50" s="37" t="s">
        <v>1989</v>
      </c>
      <c r="AJ50" s="37" t="s">
        <v>1989</v>
      </c>
      <c r="AK50" s="37"/>
      <c r="AL50" s="37"/>
      <c r="AM50" s="37"/>
      <c r="AN50" s="37"/>
      <c r="AO50" s="37" t="s">
        <v>1989</v>
      </c>
      <c r="AP50" s="37" t="s">
        <v>1989</v>
      </c>
      <c r="AQ50" s="37" t="s">
        <v>1989</v>
      </c>
      <c r="AR50" s="37" t="s">
        <v>1989</v>
      </c>
      <c r="AS50" s="37" t="s">
        <v>1989</v>
      </c>
      <c r="AT50" s="37" t="s">
        <v>1989</v>
      </c>
      <c r="AU50" s="37"/>
      <c r="AV50" s="37"/>
      <c r="AW50" s="37" t="s">
        <v>1989</v>
      </c>
      <c r="AX50" s="37" t="s">
        <v>1989</v>
      </c>
      <c r="AY50" s="37" t="s">
        <v>1989</v>
      </c>
      <c r="AZ50" s="37" t="s">
        <v>1989</v>
      </c>
      <c r="BA50" s="37"/>
      <c r="BB50" s="37"/>
      <c r="BC50" s="37" t="s">
        <v>1989</v>
      </c>
      <c r="BD50" s="37" t="s">
        <v>1989</v>
      </c>
      <c r="BE50" s="37" t="s">
        <v>1989</v>
      </c>
      <c r="BF50" s="37" t="s">
        <v>1989</v>
      </c>
      <c r="BG50" s="37" t="s">
        <v>1989</v>
      </c>
      <c r="BH50" s="37" t="s">
        <v>1989</v>
      </c>
      <c r="BI50" s="37" t="s">
        <v>1989</v>
      </c>
      <c r="BJ50" s="37" t="s">
        <v>1989</v>
      </c>
      <c r="BK50" s="37" t="s">
        <v>1989</v>
      </c>
      <c r="BL50" s="37" t="s">
        <v>1989</v>
      </c>
      <c r="BM50" s="37"/>
      <c r="BN50" s="37"/>
      <c r="BO50" s="37"/>
      <c r="BP50" s="37"/>
      <c r="BQ50" s="37" t="s">
        <v>1989</v>
      </c>
      <c r="BR50" s="37" t="s">
        <v>1989</v>
      </c>
      <c r="BS50" s="37" t="s">
        <v>1989</v>
      </c>
      <c r="BT50" s="37" t="s">
        <v>1989</v>
      </c>
      <c r="BU50" s="37" t="s">
        <v>1989</v>
      </c>
      <c r="BV50" s="37" t="s">
        <v>1989</v>
      </c>
      <c r="BW50" s="37" t="s">
        <v>1989</v>
      </c>
    </row>
    <row r="51" spans="1:75" ht="15" customHeight="1">
      <c r="A51" s="37" t="s">
        <v>1989</v>
      </c>
      <c r="B51" s="37" t="s">
        <v>1989</v>
      </c>
      <c r="C51" s="37" t="s">
        <v>1989</v>
      </c>
      <c r="D51" s="37" t="s">
        <v>1989</v>
      </c>
      <c r="E51" s="37" t="s">
        <v>1989</v>
      </c>
      <c r="F51" s="37" t="s">
        <v>1989</v>
      </c>
      <c r="G51" s="37" t="s">
        <v>1989</v>
      </c>
      <c r="H51" s="37" t="s">
        <v>1989</v>
      </c>
      <c r="I51" s="37" t="s">
        <v>1989</v>
      </c>
      <c r="J51" s="37" t="s">
        <v>1989</v>
      </c>
      <c r="K51" s="37"/>
      <c r="L51" s="37"/>
      <c r="M51" s="37"/>
      <c r="N51" s="37"/>
      <c r="O51" s="37" t="s">
        <v>1989</v>
      </c>
      <c r="P51" s="37" t="s">
        <v>1989</v>
      </c>
      <c r="Q51" s="37" t="s">
        <v>1989</v>
      </c>
      <c r="R51" s="37" t="s">
        <v>1989</v>
      </c>
      <c r="S51" s="37" t="s">
        <v>1989</v>
      </c>
      <c r="T51" s="37" t="s">
        <v>1989</v>
      </c>
      <c r="U51" s="37"/>
      <c r="V51" s="42">
        <v>29</v>
      </c>
      <c r="W51" s="37"/>
      <c r="X51" s="37"/>
      <c r="Y51" s="37" t="s">
        <v>1989</v>
      </c>
      <c r="Z51" s="37" t="s">
        <v>1989</v>
      </c>
      <c r="AA51" s="37"/>
      <c r="AB51" s="37"/>
      <c r="AC51" s="37" t="s">
        <v>1989</v>
      </c>
      <c r="AD51" s="37" t="s">
        <v>1989</v>
      </c>
      <c r="AE51" s="37"/>
      <c r="AF51" s="37"/>
      <c r="AG51" s="37" t="s">
        <v>1989</v>
      </c>
      <c r="AH51" s="37" t="s">
        <v>1989</v>
      </c>
      <c r="AI51" s="37" t="s">
        <v>1989</v>
      </c>
      <c r="AJ51" s="37" t="s">
        <v>1989</v>
      </c>
      <c r="AK51" s="37"/>
      <c r="AL51" s="37"/>
      <c r="AM51" s="37"/>
      <c r="AN51" s="37"/>
      <c r="AO51" s="37" t="s">
        <v>1989</v>
      </c>
      <c r="AP51" s="37" t="s">
        <v>1989</v>
      </c>
      <c r="AQ51" s="37" t="s">
        <v>1989</v>
      </c>
      <c r="AR51" s="37" t="s">
        <v>1989</v>
      </c>
      <c r="AS51" s="37" t="s">
        <v>1989</v>
      </c>
      <c r="AT51" s="37" t="s">
        <v>1989</v>
      </c>
      <c r="AU51" s="37"/>
      <c r="AV51" s="37"/>
      <c r="AW51" s="37" t="s">
        <v>1989</v>
      </c>
      <c r="AX51" s="37" t="s">
        <v>1989</v>
      </c>
      <c r="AY51" s="37" t="s">
        <v>1989</v>
      </c>
      <c r="AZ51" s="37" t="s">
        <v>1989</v>
      </c>
      <c r="BA51" s="37"/>
      <c r="BB51" s="37"/>
      <c r="BC51" s="37" t="s">
        <v>1989</v>
      </c>
      <c r="BD51" s="37" t="s">
        <v>1989</v>
      </c>
      <c r="BE51" s="37" t="s">
        <v>1989</v>
      </c>
      <c r="BF51" s="37" t="s">
        <v>1989</v>
      </c>
      <c r="BG51" s="37" t="s">
        <v>1989</v>
      </c>
      <c r="BH51" s="37" t="s">
        <v>1989</v>
      </c>
      <c r="BI51" s="37" t="s">
        <v>1989</v>
      </c>
      <c r="BJ51" s="37" t="s">
        <v>1989</v>
      </c>
      <c r="BK51" s="37" t="s">
        <v>1989</v>
      </c>
      <c r="BL51" s="37" t="s">
        <v>1989</v>
      </c>
      <c r="BM51" s="37"/>
      <c r="BN51" s="37"/>
      <c r="BO51" s="37"/>
      <c r="BP51" s="37"/>
      <c r="BQ51" s="37" t="s">
        <v>1989</v>
      </c>
      <c r="BR51" s="37" t="s">
        <v>1989</v>
      </c>
      <c r="BS51" s="37" t="s">
        <v>1989</v>
      </c>
      <c r="BT51" s="37" t="s">
        <v>1989</v>
      </c>
      <c r="BU51" s="37" t="s">
        <v>1989</v>
      </c>
      <c r="BV51" s="37" t="s">
        <v>1989</v>
      </c>
      <c r="BW51" s="37" t="s">
        <v>1989</v>
      </c>
    </row>
    <row r="52" spans="1:75" ht="15" customHeight="1">
      <c r="A52" s="37" t="s">
        <v>1989</v>
      </c>
      <c r="B52" s="37" t="s">
        <v>1989</v>
      </c>
      <c r="C52" s="37" t="s">
        <v>1989</v>
      </c>
      <c r="D52" s="37" t="s">
        <v>1989</v>
      </c>
      <c r="E52" s="37" t="s">
        <v>1989</v>
      </c>
      <c r="F52" s="37" t="s">
        <v>1989</v>
      </c>
      <c r="G52" s="37" t="s">
        <v>1989</v>
      </c>
      <c r="H52" s="37" t="s">
        <v>1989</v>
      </c>
      <c r="I52" s="37" t="s">
        <v>1989</v>
      </c>
      <c r="J52" s="37" t="s">
        <v>1989</v>
      </c>
      <c r="K52" s="37"/>
      <c r="L52" s="37"/>
      <c r="M52" s="37" t="s">
        <v>1989</v>
      </c>
      <c r="N52" s="37" t="s">
        <v>1989</v>
      </c>
      <c r="O52" s="37" t="s">
        <v>1989</v>
      </c>
      <c r="P52" s="37" t="s">
        <v>1989</v>
      </c>
      <c r="Q52" s="37" t="s">
        <v>1989</v>
      </c>
      <c r="R52" s="37" t="s">
        <v>1989</v>
      </c>
      <c r="S52" s="37" t="s">
        <v>1989</v>
      </c>
      <c r="T52" s="37" t="s">
        <v>1989</v>
      </c>
      <c r="U52" s="37"/>
      <c r="V52" s="37"/>
      <c r="W52" s="37"/>
      <c r="X52" s="37"/>
      <c r="Y52" s="37" t="s">
        <v>1989</v>
      </c>
      <c r="Z52" s="37" t="s">
        <v>1989</v>
      </c>
      <c r="AA52" s="37"/>
      <c r="AB52" s="37"/>
      <c r="AC52" s="37" t="s">
        <v>1989</v>
      </c>
      <c r="AD52" s="37" t="s">
        <v>1989</v>
      </c>
      <c r="AE52" s="37" t="s">
        <v>1989</v>
      </c>
      <c r="AF52" s="37"/>
      <c r="AG52" s="37" t="s">
        <v>1989</v>
      </c>
      <c r="AH52" s="37" t="s">
        <v>1989</v>
      </c>
      <c r="AI52" s="37" t="s">
        <v>1989</v>
      </c>
      <c r="AJ52" s="37" t="s">
        <v>1989</v>
      </c>
      <c r="AK52" s="37"/>
      <c r="AL52" s="37"/>
      <c r="AM52" s="37"/>
      <c r="AN52" s="37"/>
      <c r="AO52" s="37" t="s">
        <v>1989</v>
      </c>
      <c r="AP52" s="37" t="s">
        <v>1989</v>
      </c>
      <c r="AQ52" s="37" t="s">
        <v>1989</v>
      </c>
      <c r="AR52" s="37" t="s">
        <v>1989</v>
      </c>
      <c r="AS52" s="37" t="s">
        <v>1989</v>
      </c>
      <c r="AT52" s="37" t="s">
        <v>1989</v>
      </c>
      <c r="AU52" s="37"/>
      <c r="AV52" s="37"/>
      <c r="AW52" s="37"/>
      <c r="AX52" s="37"/>
      <c r="AY52" s="37"/>
      <c r="AZ52" s="37"/>
      <c r="BA52" s="37"/>
      <c r="BB52" s="37"/>
      <c r="BC52" s="37" t="s">
        <v>1989</v>
      </c>
      <c r="BD52" s="37" t="s">
        <v>1989</v>
      </c>
      <c r="BE52" s="37" t="s">
        <v>1989</v>
      </c>
      <c r="BF52" s="37" t="s">
        <v>1989</v>
      </c>
      <c r="BG52" s="37" t="s">
        <v>1989</v>
      </c>
      <c r="BH52" s="37" t="s">
        <v>1989</v>
      </c>
      <c r="BI52" s="37" t="s">
        <v>1989</v>
      </c>
      <c r="BJ52" s="37" t="s">
        <v>1989</v>
      </c>
      <c r="BK52" s="37" t="s">
        <v>1989</v>
      </c>
      <c r="BL52" s="37" t="s">
        <v>1989</v>
      </c>
      <c r="BM52" s="37"/>
      <c r="BN52" s="37"/>
      <c r="BO52" s="37"/>
      <c r="BP52" s="37"/>
      <c r="BQ52" s="37" t="s">
        <v>1989</v>
      </c>
      <c r="BR52" s="37" t="s">
        <v>1989</v>
      </c>
      <c r="BS52" s="37" t="s">
        <v>1989</v>
      </c>
      <c r="BT52" s="37" t="s">
        <v>1989</v>
      </c>
      <c r="BU52" s="37" t="s">
        <v>1989</v>
      </c>
      <c r="BV52" s="37" t="s">
        <v>1989</v>
      </c>
      <c r="BW52" s="37" t="s">
        <v>1989</v>
      </c>
    </row>
    <row r="53" spans="1:75" ht="15" customHeight="1">
      <c r="A53" s="37" t="s">
        <v>1989</v>
      </c>
      <c r="B53" s="37" t="s">
        <v>1989</v>
      </c>
      <c r="C53" s="37" t="s">
        <v>1989</v>
      </c>
      <c r="D53" s="37" t="s">
        <v>1989</v>
      </c>
      <c r="E53" s="37" t="s">
        <v>1989</v>
      </c>
      <c r="F53" s="37" t="s">
        <v>1989</v>
      </c>
      <c r="G53" s="37" t="s">
        <v>1989</v>
      </c>
      <c r="H53" s="37" t="s">
        <v>1989</v>
      </c>
      <c r="I53" s="37" t="s">
        <v>1989</v>
      </c>
      <c r="J53" s="37" t="s">
        <v>1989</v>
      </c>
      <c r="K53" s="37"/>
      <c r="L53" s="37"/>
      <c r="M53" s="37" t="s">
        <v>1989</v>
      </c>
      <c r="N53" s="37" t="s">
        <v>1989</v>
      </c>
      <c r="O53" s="37" t="s">
        <v>1989</v>
      </c>
      <c r="P53" s="37" t="s">
        <v>1989</v>
      </c>
      <c r="Q53" s="37" t="s">
        <v>1989</v>
      </c>
      <c r="R53" s="37" t="s">
        <v>1989</v>
      </c>
      <c r="S53" s="37" t="s">
        <v>1989</v>
      </c>
      <c r="T53" s="37" t="s">
        <v>1989</v>
      </c>
      <c r="U53" s="37"/>
      <c r="V53" s="37"/>
      <c r="W53" s="37"/>
      <c r="X53" s="37"/>
      <c r="Y53" s="37" t="s">
        <v>1989</v>
      </c>
      <c r="Z53" s="37" t="s">
        <v>1989</v>
      </c>
      <c r="AA53" s="37"/>
      <c r="AB53" s="37"/>
      <c r="AC53" s="37" t="s">
        <v>1989</v>
      </c>
      <c r="AD53" s="37" t="s">
        <v>1989</v>
      </c>
      <c r="AE53" s="37" t="s">
        <v>1989</v>
      </c>
      <c r="AF53" s="37"/>
      <c r="AG53" s="37" t="s">
        <v>1989</v>
      </c>
      <c r="AH53" s="37" t="s">
        <v>1989</v>
      </c>
      <c r="AI53" s="37" t="s">
        <v>1989</v>
      </c>
      <c r="AJ53" s="37" t="s">
        <v>1989</v>
      </c>
      <c r="AK53" s="37"/>
      <c r="AL53" s="37"/>
      <c r="AM53" s="37"/>
      <c r="AN53" s="37"/>
      <c r="AO53" s="37" t="s">
        <v>1989</v>
      </c>
      <c r="AP53" s="37" t="s">
        <v>1989</v>
      </c>
      <c r="AQ53" s="37" t="s">
        <v>1989</v>
      </c>
      <c r="AR53" s="37" t="s">
        <v>1989</v>
      </c>
      <c r="AS53" s="37" t="s">
        <v>1989</v>
      </c>
      <c r="AT53" s="37" t="s">
        <v>1989</v>
      </c>
      <c r="AU53" s="37"/>
      <c r="AV53" s="37"/>
      <c r="AW53" s="37"/>
      <c r="AX53" s="39">
        <v>17</v>
      </c>
      <c r="AY53" s="37"/>
      <c r="AZ53" s="37"/>
      <c r="BA53" s="37"/>
      <c r="BB53" s="37"/>
      <c r="BC53" s="37" t="s">
        <v>1989</v>
      </c>
      <c r="BD53" s="37" t="s">
        <v>1989</v>
      </c>
      <c r="BE53" s="37" t="s">
        <v>1989</v>
      </c>
      <c r="BF53" s="37" t="s">
        <v>1989</v>
      </c>
      <c r="BG53" s="37" t="s">
        <v>1989</v>
      </c>
      <c r="BH53" s="37" t="s">
        <v>1989</v>
      </c>
      <c r="BI53" s="37" t="s">
        <v>1989</v>
      </c>
      <c r="BJ53" s="37" t="s">
        <v>1989</v>
      </c>
      <c r="BK53" s="37" t="s">
        <v>1989</v>
      </c>
      <c r="BL53" s="37" t="s">
        <v>1989</v>
      </c>
      <c r="BM53" s="37"/>
      <c r="BN53" s="37"/>
      <c r="BO53" s="37"/>
      <c r="BP53" s="37"/>
      <c r="BQ53" s="37" t="s">
        <v>1989</v>
      </c>
      <c r="BR53" s="37" t="s">
        <v>1989</v>
      </c>
      <c r="BS53" s="37" t="s">
        <v>1989</v>
      </c>
      <c r="BT53" s="37" t="s">
        <v>1989</v>
      </c>
      <c r="BU53" s="37" t="s">
        <v>1989</v>
      </c>
      <c r="BV53" s="37" t="s">
        <v>1989</v>
      </c>
      <c r="BW53" s="37" t="s">
        <v>1989</v>
      </c>
    </row>
    <row r="54" spans="1:75" ht="15" customHeight="1">
      <c r="A54" s="37" t="s">
        <v>1989</v>
      </c>
      <c r="B54" s="37" t="s">
        <v>1989</v>
      </c>
      <c r="C54" s="37" t="s">
        <v>1989</v>
      </c>
      <c r="D54" s="37" t="s">
        <v>1989</v>
      </c>
      <c r="E54" s="37" t="s">
        <v>1989</v>
      </c>
      <c r="F54" s="37" t="s">
        <v>1989</v>
      </c>
      <c r="G54" s="37" t="s">
        <v>1989</v>
      </c>
      <c r="H54" s="37" t="s">
        <v>1989</v>
      </c>
      <c r="I54" s="37" t="s">
        <v>1989</v>
      </c>
      <c r="J54" s="37" t="s">
        <v>1989</v>
      </c>
      <c r="K54" s="37"/>
      <c r="L54" s="37"/>
      <c r="M54" s="37"/>
      <c r="N54" s="37"/>
      <c r="O54" s="37"/>
      <c r="P54" s="37"/>
      <c r="Q54" s="37" t="s">
        <v>1989</v>
      </c>
      <c r="R54" s="37" t="s">
        <v>1989</v>
      </c>
      <c r="S54" s="37" t="s">
        <v>1989</v>
      </c>
      <c r="T54" s="37" t="s">
        <v>1989</v>
      </c>
      <c r="U54" s="37" t="s">
        <v>1989</v>
      </c>
      <c r="V54" s="37" t="s">
        <v>1989</v>
      </c>
      <c r="W54" s="37" t="s">
        <v>1989</v>
      </c>
      <c r="X54" s="37" t="s">
        <v>1989</v>
      </c>
      <c r="Y54" s="37" t="s">
        <v>1989</v>
      </c>
      <c r="Z54" s="37" t="s">
        <v>1989</v>
      </c>
      <c r="AA54" s="37"/>
      <c r="AB54" s="37"/>
      <c r="AC54" s="37" t="s">
        <v>1989</v>
      </c>
      <c r="AD54" s="37" t="s">
        <v>1989</v>
      </c>
      <c r="AE54" s="37" t="s">
        <v>1989</v>
      </c>
      <c r="AF54" s="37"/>
      <c r="AG54" s="37" t="s">
        <v>1989</v>
      </c>
      <c r="AH54" s="37" t="s">
        <v>1989</v>
      </c>
      <c r="AI54" s="37" t="s">
        <v>1989</v>
      </c>
      <c r="AJ54" s="37" t="s">
        <v>1989</v>
      </c>
      <c r="AK54" s="37"/>
      <c r="AL54" s="37"/>
      <c r="AM54" s="37"/>
      <c r="AN54" s="37"/>
      <c r="AO54" s="37" t="s">
        <v>1989</v>
      </c>
      <c r="AP54" s="37" t="s">
        <v>1989</v>
      </c>
      <c r="AQ54" s="37" t="s">
        <v>1989</v>
      </c>
      <c r="AR54" s="37" t="s">
        <v>1989</v>
      </c>
      <c r="AS54" s="37" t="s">
        <v>1989</v>
      </c>
      <c r="AT54" s="37" t="s">
        <v>1989</v>
      </c>
      <c r="AU54" s="37"/>
      <c r="AV54" s="37"/>
      <c r="AW54" s="37"/>
      <c r="AX54" s="37"/>
      <c r="AY54" s="37"/>
      <c r="AZ54" s="37"/>
      <c r="BA54" s="37" t="s">
        <v>1989</v>
      </c>
      <c r="BB54" s="37" t="s">
        <v>1989</v>
      </c>
      <c r="BC54" s="37" t="s">
        <v>1989</v>
      </c>
      <c r="BD54" s="37" t="s">
        <v>1989</v>
      </c>
      <c r="BE54" s="37"/>
      <c r="BF54" s="37"/>
      <c r="BG54" s="37" t="s">
        <v>1989</v>
      </c>
      <c r="BH54" s="37" t="s">
        <v>1989</v>
      </c>
      <c r="BI54" s="37"/>
      <c r="BJ54" s="37"/>
      <c r="BK54" s="37" t="s">
        <v>1989</v>
      </c>
      <c r="BL54" s="37" t="s">
        <v>1989</v>
      </c>
      <c r="BM54" s="37" t="s">
        <v>1989</v>
      </c>
      <c r="BN54" s="37" t="s">
        <v>1989</v>
      </c>
      <c r="BO54" s="37" t="s">
        <v>1989</v>
      </c>
      <c r="BP54" s="37" t="s">
        <v>1989</v>
      </c>
      <c r="BQ54" s="37" t="s">
        <v>1989</v>
      </c>
      <c r="BR54" s="37" t="s">
        <v>1989</v>
      </c>
      <c r="BS54" s="37" t="s">
        <v>1989</v>
      </c>
      <c r="BT54" s="37" t="s">
        <v>1989</v>
      </c>
      <c r="BU54" s="37" t="s">
        <v>1989</v>
      </c>
      <c r="BV54" s="37" t="s">
        <v>1989</v>
      </c>
      <c r="BW54" s="37" t="s">
        <v>1989</v>
      </c>
    </row>
    <row r="55" spans="1:75" ht="15" customHeight="1">
      <c r="A55" s="37" t="s">
        <v>1989</v>
      </c>
      <c r="B55" s="37" t="s">
        <v>1989</v>
      </c>
      <c r="C55" s="37" t="s">
        <v>1989</v>
      </c>
      <c r="D55" s="37" t="s">
        <v>1989</v>
      </c>
      <c r="E55" s="37" t="s">
        <v>1989</v>
      </c>
      <c r="F55" s="37" t="s">
        <v>1989</v>
      </c>
      <c r="G55" s="37" t="s">
        <v>1989</v>
      </c>
      <c r="H55" s="37" t="s">
        <v>1989</v>
      </c>
      <c r="I55" s="37" t="s">
        <v>1989</v>
      </c>
      <c r="J55" s="37" t="s">
        <v>1989</v>
      </c>
      <c r="K55" s="37"/>
      <c r="L55" s="37"/>
      <c r="M55" s="37"/>
      <c r="N55" s="37"/>
      <c r="O55" s="37"/>
      <c r="P55" s="37"/>
      <c r="Q55" s="37" t="s">
        <v>1989</v>
      </c>
      <c r="R55" s="37" t="s">
        <v>1989</v>
      </c>
      <c r="S55" s="37" t="s">
        <v>1989</v>
      </c>
      <c r="T55" s="37" t="s">
        <v>1989</v>
      </c>
      <c r="U55" s="37" t="s">
        <v>1989</v>
      </c>
      <c r="V55" s="37" t="s">
        <v>1989</v>
      </c>
      <c r="W55" s="37" t="s">
        <v>1989</v>
      </c>
      <c r="X55" s="37" t="s">
        <v>1989</v>
      </c>
      <c r="Y55" s="37" t="s">
        <v>1989</v>
      </c>
      <c r="Z55" s="37" t="s">
        <v>1989</v>
      </c>
      <c r="AA55" s="37"/>
      <c r="AB55" s="37"/>
      <c r="AC55" s="37" t="s">
        <v>1989</v>
      </c>
      <c r="AD55" s="37" t="s">
        <v>1989</v>
      </c>
      <c r="AE55" s="37" t="s">
        <v>1989</v>
      </c>
      <c r="AF55" s="37"/>
      <c r="AG55" s="37"/>
      <c r="AH55" s="37"/>
      <c r="AI55" s="37"/>
      <c r="AJ55" s="37"/>
      <c r="AK55" s="37"/>
      <c r="AL55" s="42">
        <v>25</v>
      </c>
      <c r="AM55" s="37"/>
      <c r="AN55" s="37"/>
      <c r="AO55" s="37" t="s">
        <v>1989</v>
      </c>
      <c r="AP55" s="37" t="s">
        <v>1989</v>
      </c>
      <c r="AQ55" s="37" t="s">
        <v>1989</v>
      </c>
      <c r="AR55" s="37" t="s">
        <v>1989</v>
      </c>
      <c r="AS55" s="37" t="s">
        <v>1989</v>
      </c>
      <c r="AT55" s="37" t="s">
        <v>1989</v>
      </c>
      <c r="AU55" s="37"/>
      <c r="AV55" s="37"/>
      <c r="AW55" s="37"/>
      <c r="AX55" s="37"/>
      <c r="AY55" s="37"/>
      <c r="AZ55" s="37"/>
      <c r="BA55" s="37" t="s">
        <v>1989</v>
      </c>
      <c r="BB55" s="37" t="s">
        <v>1989</v>
      </c>
      <c r="BC55" s="37" t="s">
        <v>1989</v>
      </c>
      <c r="BD55" s="37" t="s">
        <v>1989</v>
      </c>
      <c r="BE55" s="37"/>
      <c r="BF55" s="37"/>
      <c r="BG55" s="37" t="s">
        <v>1989</v>
      </c>
      <c r="BH55" s="37" t="s">
        <v>1989</v>
      </c>
      <c r="BI55" s="37"/>
      <c r="BJ55" s="37"/>
      <c r="BK55" s="37" t="s">
        <v>1989</v>
      </c>
      <c r="BL55" s="37" t="s">
        <v>1989</v>
      </c>
      <c r="BM55" s="37" t="s">
        <v>1989</v>
      </c>
      <c r="BN55" s="37" t="s">
        <v>1989</v>
      </c>
      <c r="BO55" s="37" t="s">
        <v>1989</v>
      </c>
      <c r="BP55" s="37" t="s">
        <v>1989</v>
      </c>
      <c r="BQ55" s="37" t="s">
        <v>1989</v>
      </c>
      <c r="BR55" s="37" t="s">
        <v>1989</v>
      </c>
      <c r="BS55" s="37" t="s">
        <v>1989</v>
      </c>
      <c r="BT55" s="37" t="s">
        <v>1989</v>
      </c>
      <c r="BU55" s="37" t="s">
        <v>1989</v>
      </c>
      <c r="BV55" s="37" t="s">
        <v>1989</v>
      </c>
      <c r="BW55" s="37" t="s">
        <v>1989</v>
      </c>
    </row>
    <row r="56" spans="1:75" ht="15" customHeight="1">
      <c r="A56" s="37" t="s">
        <v>1989</v>
      </c>
      <c r="B56" s="37" t="s">
        <v>1989</v>
      </c>
      <c r="C56" s="37" t="s">
        <v>1989</v>
      </c>
      <c r="D56" s="37" t="s">
        <v>1989</v>
      </c>
      <c r="E56" s="37" t="s">
        <v>1989</v>
      </c>
      <c r="F56" s="37" t="s">
        <v>1989</v>
      </c>
      <c r="G56" s="37" t="s">
        <v>1989</v>
      </c>
      <c r="H56" s="37" t="s">
        <v>1989</v>
      </c>
      <c r="I56" s="37"/>
      <c r="J56" s="37"/>
      <c r="K56" s="37"/>
      <c r="L56" s="37"/>
      <c r="M56" s="37" t="s">
        <v>1989</v>
      </c>
      <c r="N56" s="37" t="s">
        <v>1989</v>
      </c>
      <c r="O56" s="37" t="s">
        <v>1989</v>
      </c>
      <c r="P56" s="37" t="s">
        <v>1989</v>
      </c>
      <c r="Q56" s="37" t="s">
        <v>1989</v>
      </c>
      <c r="R56" s="37" t="s">
        <v>1989</v>
      </c>
      <c r="S56" s="37" t="s">
        <v>1989</v>
      </c>
      <c r="T56" s="37" t="s">
        <v>1989</v>
      </c>
      <c r="U56" s="37" t="s">
        <v>1989</v>
      </c>
      <c r="V56" s="37" t="s">
        <v>1989</v>
      </c>
      <c r="W56" s="37" t="s">
        <v>1989</v>
      </c>
      <c r="X56" s="37" t="s">
        <v>1989</v>
      </c>
      <c r="Y56" s="37" t="s">
        <v>1989</v>
      </c>
      <c r="Z56" s="37" t="s">
        <v>1989</v>
      </c>
      <c r="AA56" s="37"/>
      <c r="AB56" s="37"/>
      <c r="AC56" s="37" t="s">
        <v>1989</v>
      </c>
      <c r="AD56" s="37" t="s">
        <v>1989</v>
      </c>
      <c r="AE56" s="37" t="s">
        <v>1989</v>
      </c>
      <c r="AF56" s="37" t="s">
        <v>1989</v>
      </c>
      <c r="AG56" s="37" t="s">
        <v>1989</v>
      </c>
      <c r="AH56" s="37" t="s">
        <v>1989</v>
      </c>
      <c r="AI56" s="37" t="s">
        <v>1989</v>
      </c>
      <c r="AJ56" s="37" t="s">
        <v>1989</v>
      </c>
      <c r="AK56" s="37"/>
      <c r="AL56" s="37"/>
      <c r="AM56" s="37"/>
      <c r="AN56" s="37"/>
      <c r="AO56" s="37" t="s">
        <v>1989</v>
      </c>
      <c r="AP56" s="37" t="s">
        <v>1989</v>
      </c>
      <c r="AQ56" s="37" t="s">
        <v>1989</v>
      </c>
      <c r="AR56" s="37" t="s">
        <v>1989</v>
      </c>
      <c r="AS56" s="37" t="s">
        <v>1989</v>
      </c>
      <c r="AT56" s="37" t="s">
        <v>1989</v>
      </c>
      <c r="AU56" s="37"/>
      <c r="AV56" s="37"/>
      <c r="AW56" s="37"/>
      <c r="AX56" s="37"/>
      <c r="AY56" s="37"/>
      <c r="AZ56" s="37"/>
      <c r="BA56" s="37" t="s">
        <v>1989</v>
      </c>
      <c r="BB56" s="37" t="s">
        <v>1989</v>
      </c>
      <c r="BC56" s="37" t="s">
        <v>1989</v>
      </c>
      <c r="BD56" s="37" t="s">
        <v>1989</v>
      </c>
      <c r="BE56" s="37"/>
      <c r="BF56" s="37" t="s">
        <v>1989</v>
      </c>
      <c r="BG56" s="37" t="s">
        <v>1989</v>
      </c>
      <c r="BH56" s="37" t="s">
        <v>1989</v>
      </c>
      <c r="BI56" s="37"/>
      <c r="BJ56" s="37" t="s">
        <v>1989</v>
      </c>
      <c r="BK56" s="37" t="s">
        <v>1989</v>
      </c>
      <c r="BL56" s="37" t="s">
        <v>1989</v>
      </c>
      <c r="BM56" s="37" t="s">
        <v>1989</v>
      </c>
      <c r="BN56" s="37" t="s">
        <v>1989</v>
      </c>
      <c r="BO56" s="37" t="s">
        <v>1989</v>
      </c>
      <c r="BP56" s="37" t="s">
        <v>1989</v>
      </c>
      <c r="BQ56" s="37" t="s">
        <v>1989</v>
      </c>
      <c r="BR56" s="37" t="s">
        <v>1989</v>
      </c>
      <c r="BS56" s="37"/>
      <c r="BT56" s="37"/>
      <c r="BU56" s="37" t="s">
        <v>1989</v>
      </c>
      <c r="BV56" s="37" t="s">
        <v>1989</v>
      </c>
      <c r="BW56" s="37" t="s">
        <v>1989</v>
      </c>
    </row>
    <row r="57" spans="1:75" ht="15" customHeight="1">
      <c r="A57" s="37" t="s">
        <v>1989</v>
      </c>
      <c r="B57" s="37" t="s">
        <v>1989</v>
      </c>
      <c r="C57" s="37" t="s">
        <v>1989</v>
      </c>
      <c r="D57" s="37" t="s">
        <v>1989</v>
      </c>
      <c r="E57" s="37" t="s">
        <v>1989</v>
      </c>
      <c r="F57" s="37" t="s">
        <v>1989</v>
      </c>
      <c r="G57" s="37" t="s">
        <v>1989</v>
      </c>
      <c r="H57" s="37" t="s">
        <v>1989</v>
      </c>
      <c r="I57" s="37"/>
      <c r="J57" s="37"/>
      <c r="K57" s="37"/>
      <c r="L57" s="37"/>
      <c r="M57" s="37" t="s">
        <v>1989</v>
      </c>
      <c r="N57" s="37" t="s">
        <v>1989</v>
      </c>
      <c r="O57" s="37" t="s">
        <v>1989</v>
      </c>
      <c r="P57" s="37" t="s">
        <v>1989</v>
      </c>
      <c r="Q57" s="37" t="s">
        <v>1989</v>
      </c>
      <c r="R57" s="37" t="s">
        <v>1989</v>
      </c>
      <c r="S57" s="37" t="s">
        <v>1989</v>
      </c>
      <c r="T57" s="37" t="s">
        <v>1989</v>
      </c>
      <c r="U57" s="37" t="s">
        <v>1989</v>
      </c>
      <c r="V57" s="37" t="s">
        <v>1989</v>
      </c>
      <c r="W57" s="37" t="s">
        <v>1989</v>
      </c>
      <c r="X57" s="37" t="s">
        <v>1989</v>
      </c>
      <c r="Y57" s="37" t="s">
        <v>1989</v>
      </c>
      <c r="Z57" s="37" t="s">
        <v>1989</v>
      </c>
      <c r="AA57" s="37"/>
      <c r="AB57" s="37"/>
      <c r="AC57" s="37" t="s">
        <v>1989</v>
      </c>
      <c r="AD57" s="37" t="s">
        <v>1989</v>
      </c>
      <c r="AE57" s="37" t="s">
        <v>1989</v>
      </c>
      <c r="AF57" s="37" t="s">
        <v>1989</v>
      </c>
      <c r="AG57" s="37" t="s">
        <v>1989</v>
      </c>
      <c r="AH57" s="37" t="s">
        <v>1989</v>
      </c>
      <c r="AI57" s="37" t="s">
        <v>1989</v>
      </c>
      <c r="AJ57" s="37" t="s">
        <v>1989</v>
      </c>
      <c r="AK57" s="37"/>
      <c r="AL57" s="37"/>
      <c r="AM57" s="37"/>
      <c r="AN57" s="37"/>
      <c r="AO57" s="37" t="s">
        <v>1989</v>
      </c>
      <c r="AP57" s="37" t="s">
        <v>1989</v>
      </c>
      <c r="AQ57" s="37" t="s">
        <v>1989</v>
      </c>
      <c r="AR57" s="37" t="s">
        <v>1989</v>
      </c>
      <c r="AS57" s="37" t="s">
        <v>1989</v>
      </c>
      <c r="AT57" s="37" t="s">
        <v>1989</v>
      </c>
      <c r="AU57" s="37"/>
      <c r="AV57" s="37"/>
      <c r="AW57" s="37"/>
      <c r="AX57" s="37"/>
      <c r="AY57" s="37"/>
      <c r="AZ57" s="37"/>
      <c r="BA57" s="37" t="s">
        <v>1989</v>
      </c>
      <c r="BB57" s="37" t="s">
        <v>1989</v>
      </c>
      <c r="BC57" s="37" t="s">
        <v>1989</v>
      </c>
      <c r="BD57" s="37" t="s">
        <v>1989</v>
      </c>
      <c r="BE57" s="37"/>
      <c r="BF57" s="37" t="s">
        <v>1989</v>
      </c>
      <c r="BG57" s="37" t="s">
        <v>1989</v>
      </c>
      <c r="BH57" s="37" t="s">
        <v>1989</v>
      </c>
      <c r="BI57" s="37"/>
      <c r="BJ57" s="37" t="s">
        <v>1989</v>
      </c>
      <c r="BK57" s="37" t="s">
        <v>1989</v>
      </c>
      <c r="BL57" s="37" t="s">
        <v>1989</v>
      </c>
      <c r="BM57" s="37" t="s">
        <v>1989</v>
      </c>
      <c r="BN57" s="37" t="s">
        <v>1989</v>
      </c>
      <c r="BO57" s="37" t="s">
        <v>1989</v>
      </c>
      <c r="BP57" s="37" t="s">
        <v>1989</v>
      </c>
      <c r="BQ57" s="37" t="s">
        <v>1989</v>
      </c>
      <c r="BR57" s="37" t="s">
        <v>1989</v>
      </c>
      <c r="BS57" s="37"/>
      <c r="BT57" s="37"/>
      <c r="BU57" s="37" t="s">
        <v>1989</v>
      </c>
      <c r="BV57" s="37" t="s">
        <v>1989</v>
      </c>
      <c r="BW57" s="37" t="s">
        <v>1989</v>
      </c>
    </row>
    <row r="58" spans="1:75" ht="15" customHeight="1">
      <c r="A58" s="37" t="s">
        <v>1989</v>
      </c>
      <c r="B58" s="37" t="s">
        <v>1989</v>
      </c>
      <c r="C58" s="37" t="s">
        <v>1989</v>
      </c>
      <c r="D58" s="37" t="s">
        <v>1989</v>
      </c>
      <c r="E58" s="37" t="s">
        <v>1989</v>
      </c>
      <c r="F58" s="37" t="s">
        <v>1989</v>
      </c>
      <c r="G58" s="37" t="s">
        <v>1989</v>
      </c>
      <c r="H58" s="37" t="s">
        <v>1989</v>
      </c>
      <c r="I58" s="37"/>
      <c r="J58" s="37"/>
      <c r="K58" s="37" t="s">
        <v>1989</v>
      </c>
      <c r="L58" s="37" t="s">
        <v>1989</v>
      </c>
      <c r="M58" s="37" t="s">
        <v>1989</v>
      </c>
      <c r="N58" s="37" t="s">
        <v>1989</v>
      </c>
      <c r="O58" s="37" t="s">
        <v>1989</v>
      </c>
      <c r="P58" s="37" t="s">
        <v>1989</v>
      </c>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t="s">
        <v>1989</v>
      </c>
      <c r="AP58" s="37" t="s">
        <v>1989</v>
      </c>
      <c r="AQ58" s="37" t="s">
        <v>1989</v>
      </c>
      <c r="AR58" s="37" t="s">
        <v>1989</v>
      </c>
      <c r="AS58" s="37" t="s">
        <v>1989</v>
      </c>
      <c r="AT58" s="37" t="s">
        <v>1989</v>
      </c>
      <c r="AU58" s="37"/>
      <c r="AV58" s="37"/>
      <c r="AW58" s="37"/>
      <c r="AX58" s="39">
        <v>18</v>
      </c>
      <c r="AY58" s="37"/>
      <c r="AZ58" s="37"/>
      <c r="BA58" s="37" t="s">
        <v>1989</v>
      </c>
      <c r="BB58" s="37" t="s">
        <v>1989</v>
      </c>
      <c r="BC58" s="37" t="s">
        <v>1989</v>
      </c>
      <c r="BD58" s="37" t="s">
        <v>1989</v>
      </c>
      <c r="BE58" s="37"/>
      <c r="BF58" s="37" t="s">
        <v>1989</v>
      </c>
      <c r="BG58" s="37" t="s">
        <v>1989</v>
      </c>
      <c r="BH58" s="37" t="s">
        <v>1989</v>
      </c>
      <c r="BI58" s="37"/>
      <c r="BJ58" s="37" t="s">
        <v>1989</v>
      </c>
      <c r="BK58" s="37" t="s">
        <v>1989</v>
      </c>
      <c r="BL58" s="37" t="s">
        <v>1989</v>
      </c>
      <c r="BM58" s="37" t="s">
        <v>1989</v>
      </c>
      <c r="BN58" s="37" t="s">
        <v>1989</v>
      </c>
      <c r="BO58" s="37" t="s">
        <v>1989</v>
      </c>
      <c r="BP58" s="37"/>
      <c r="BQ58" s="37"/>
      <c r="BR58" s="37"/>
      <c r="BS58" s="37"/>
      <c r="BT58" s="37"/>
      <c r="BU58" s="37" t="s">
        <v>1989</v>
      </c>
      <c r="BV58" s="37" t="s">
        <v>1989</v>
      </c>
      <c r="BW58" s="37" t="s">
        <v>1989</v>
      </c>
    </row>
    <row r="59" spans="1:75" ht="15" customHeight="1">
      <c r="A59" s="37" t="s">
        <v>1989</v>
      </c>
      <c r="B59" s="37" t="s">
        <v>1989</v>
      </c>
      <c r="C59" s="37" t="s">
        <v>1989</v>
      </c>
      <c r="D59" s="37" t="s">
        <v>1989</v>
      </c>
      <c r="E59" s="37" t="s">
        <v>1989</v>
      </c>
      <c r="F59" s="37" t="s">
        <v>1989</v>
      </c>
      <c r="G59" s="37" t="s">
        <v>1989</v>
      </c>
      <c r="H59" s="37" t="s">
        <v>1989</v>
      </c>
      <c r="I59" s="37"/>
      <c r="J59" s="37"/>
      <c r="K59" s="37" t="s">
        <v>1989</v>
      </c>
      <c r="L59" s="37" t="s">
        <v>1989</v>
      </c>
      <c r="M59" s="37" t="s">
        <v>1989</v>
      </c>
      <c r="N59" s="37" t="s">
        <v>1989</v>
      </c>
      <c r="O59" s="37" t="s">
        <v>1989</v>
      </c>
      <c r="P59" s="37" t="s">
        <v>1989</v>
      </c>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t="s">
        <v>1989</v>
      </c>
      <c r="AP59" s="37" t="s">
        <v>1989</v>
      </c>
      <c r="AQ59" s="37" t="s">
        <v>1989</v>
      </c>
      <c r="AR59" s="37" t="s">
        <v>1989</v>
      </c>
      <c r="AS59" s="37" t="s">
        <v>1989</v>
      </c>
      <c r="AT59" s="37" t="s">
        <v>1989</v>
      </c>
      <c r="AU59" s="37"/>
      <c r="AV59" s="37"/>
      <c r="AW59" s="37"/>
      <c r="AX59" s="37"/>
      <c r="AY59" s="37"/>
      <c r="AZ59" s="37"/>
      <c r="BA59" s="37" t="s">
        <v>1989</v>
      </c>
      <c r="BB59" s="37" t="s">
        <v>1989</v>
      </c>
      <c r="BC59" s="37" t="s">
        <v>1989</v>
      </c>
      <c r="BD59" s="37" t="s">
        <v>1989</v>
      </c>
      <c r="BE59" s="37"/>
      <c r="BF59" s="37" t="s">
        <v>1989</v>
      </c>
      <c r="BG59" s="37" t="s">
        <v>1989</v>
      </c>
      <c r="BH59" s="37" t="s">
        <v>1989</v>
      </c>
      <c r="BI59" s="37"/>
      <c r="BJ59" s="37" t="s">
        <v>1989</v>
      </c>
      <c r="BK59" s="37" t="s">
        <v>1989</v>
      </c>
      <c r="BL59" s="37" t="s">
        <v>1989</v>
      </c>
      <c r="BM59" s="37" t="s">
        <v>1989</v>
      </c>
      <c r="BN59" s="37" t="s">
        <v>1989</v>
      </c>
      <c r="BO59" s="37" t="s">
        <v>1989</v>
      </c>
      <c r="BP59" s="37"/>
      <c r="BQ59" s="37" t="s">
        <v>1989</v>
      </c>
      <c r="BR59" s="37" t="s">
        <v>1989</v>
      </c>
      <c r="BS59" s="37" t="s">
        <v>1989</v>
      </c>
      <c r="BT59" s="37" t="s">
        <v>1989</v>
      </c>
      <c r="BU59" s="37" t="s">
        <v>1989</v>
      </c>
      <c r="BV59" s="37" t="s">
        <v>1989</v>
      </c>
      <c r="BW59" s="37" t="s">
        <v>1989</v>
      </c>
    </row>
    <row r="60" spans="1:75" ht="15" customHeight="1">
      <c r="A60" s="37" t="s">
        <v>1989</v>
      </c>
      <c r="B60" s="37" t="s">
        <v>1989</v>
      </c>
      <c r="C60" s="37" t="s">
        <v>1989</v>
      </c>
      <c r="D60" s="37" t="s">
        <v>1989</v>
      </c>
      <c r="E60" s="37" t="s">
        <v>1989</v>
      </c>
      <c r="F60" s="37" t="s">
        <v>1989</v>
      </c>
      <c r="G60" s="37" t="s">
        <v>1989</v>
      </c>
      <c r="H60" s="37" t="s">
        <v>1989</v>
      </c>
      <c r="I60" s="37"/>
      <c r="J60" s="37"/>
      <c r="K60" s="37" t="s">
        <v>1989</v>
      </c>
      <c r="L60" s="37" t="s">
        <v>1989</v>
      </c>
      <c r="M60" s="37" t="s">
        <v>1989</v>
      </c>
      <c r="N60" s="37" t="s">
        <v>1989</v>
      </c>
      <c r="O60" s="37" t="s">
        <v>1989</v>
      </c>
      <c r="P60" s="37" t="s">
        <v>1989</v>
      </c>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t="s">
        <v>1989</v>
      </c>
      <c r="AR60" s="37" t="s">
        <v>1989</v>
      </c>
      <c r="AS60" s="37" t="s">
        <v>1989</v>
      </c>
      <c r="AT60" s="37" t="s">
        <v>1989</v>
      </c>
      <c r="AU60" s="37"/>
      <c r="AV60" s="37"/>
      <c r="AW60" s="37"/>
      <c r="AX60" s="37"/>
      <c r="AY60" s="37"/>
      <c r="AZ60" s="37"/>
      <c r="BA60" s="37" t="s">
        <v>1989</v>
      </c>
      <c r="BB60" s="37" t="s">
        <v>1989</v>
      </c>
      <c r="BC60" s="37" t="s">
        <v>1989</v>
      </c>
      <c r="BD60" s="37" t="s">
        <v>1989</v>
      </c>
      <c r="BE60" s="37"/>
      <c r="BF60" s="37"/>
      <c r="BG60" s="37"/>
      <c r="BH60" s="37"/>
      <c r="BI60" s="37"/>
      <c r="BJ60" s="37"/>
      <c r="BK60" s="37"/>
      <c r="BL60" s="37"/>
      <c r="BM60" s="37"/>
      <c r="BN60" s="37"/>
      <c r="BO60" s="37"/>
      <c r="BP60" s="37"/>
      <c r="BQ60" s="37" t="s">
        <v>1989</v>
      </c>
      <c r="BR60" s="37" t="s">
        <v>1989</v>
      </c>
      <c r="BS60" s="37" t="s">
        <v>1989</v>
      </c>
      <c r="BT60" s="37" t="s">
        <v>1989</v>
      </c>
      <c r="BU60" s="37" t="s">
        <v>1989</v>
      </c>
      <c r="BV60" s="37" t="s">
        <v>1989</v>
      </c>
      <c r="BW60" s="37" t="s">
        <v>1989</v>
      </c>
    </row>
    <row r="61" spans="1:75" ht="15" customHeight="1">
      <c r="A61" s="37" t="s">
        <v>1989</v>
      </c>
      <c r="B61" s="37" t="s">
        <v>1989</v>
      </c>
      <c r="C61" s="37" t="s">
        <v>1989</v>
      </c>
      <c r="D61" s="37" t="s">
        <v>1989</v>
      </c>
      <c r="E61" s="37" t="s">
        <v>1989</v>
      </c>
      <c r="F61" s="37" t="s">
        <v>1989</v>
      </c>
      <c r="G61" s="37" t="s">
        <v>1989</v>
      </c>
      <c r="H61" s="37" t="s">
        <v>1989</v>
      </c>
      <c r="I61" s="37"/>
      <c r="J61" s="37"/>
      <c r="K61" s="37" t="s">
        <v>1989</v>
      </c>
      <c r="L61" s="37" t="s">
        <v>1989</v>
      </c>
      <c r="M61" s="37" t="s">
        <v>1989</v>
      </c>
      <c r="N61" s="37" t="s">
        <v>1989</v>
      </c>
      <c r="O61" s="37" t="s">
        <v>1989</v>
      </c>
      <c r="P61" s="37" t="s">
        <v>1989</v>
      </c>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t="s">
        <v>1989</v>
      </c>
      <c r="AP61" s="37"/>
      <c r="AQ61" s="37" t="s">
        <v>1989</v>
      </c>
      <c r="AR61" s="37" t="s">
        <v>1989</v>
      </c>
      <c r="AS61" s="37" t="s">
        <v>1989</v>
      </c>
      <c r="AT61" s="37" t="s">
        <v>1989</v>
      </c>
      <c r="AU61" s="37"/>
      <c r="AV61" s="37"/>
      <c r="AW61" s="37"/>
      <c r="AX61" s="37"/>
      <c r="AY61" s="37"/>
      <c r="AZ61" s="37"/>
      <c r="BA61" s="37" t="s">
        <v>1989</v>
      </c>
      <c r="BB61" s="37" t="s">
        <v>1989</v>
      </c>
      <c r="BC61" s="37" t="s">
        <v>1989</v>
      </c>
      <c r="BD61" s="37" t="s">
        <v>1989</v>
      </c>
      <c r="BE61" s="37"/>
      <c r="BF61" s="37"/>
      <c r="BG61" s="37"/>
      <c r="BH61" s="37"/>
      <c r="BI61" s="37"/>
      <c r="BJ61" s="37"/>
      <c r="BK61" s="37"/>
      <c r="BL61" s="37"/>
      <c r="BM61" s="37"/>
      <c r="BN61" s="37"/>
      <c r="BO61" s="37"/>
      <c r="BP61" s="37"/>
      <c r="BQ61" s="37" t="s">
        <v>1989</v>
      </c>
      <c r="BR61" s="37" t="s">
        <v>1989</v>
      </c>
      <c r="BS61" s="37" t="s">
        <v>1989</v>
      </c>
      <c r="BT61" s="37" t="s">
        <v>1989</v>
      </c>
      <c r="BU61" s="37" t="s">
        <v>1989</v>
      </c>
      <c r="BV61" s="37" t="s">
        <v>1989</v>
      </c>
      <c r="BW61" s="37" t="s">
        <v>1989</v>
      </c>
    </row>
    <row r="62" spans="1:75" ht="15" customHeight="1">
      <c r="A62" s="37" t="s">
        <v>1989</v>
      </c>
      <c r="B62" s="37" t="s">
        <v>1989</v>
      </c>
      <c r="C62" s="37" t="s">
        <v>1989</v>
      </c>
      <c r="D62" s="37" t="s">
        <v>1989</v>
      </c>
      <c r="E62" s="37" t="s">
        <v>1989</v>
      </c>
      <c r="F62" s="37" t="s">
        <v>1989</v>
      </c>
      <c r="G62" s="37" t="s">
        <v>1989</v>
      </c>
      <c r="H62" s="37" t="s">
        <v>1989</v>
      </c>
      <c r="I62" s="37"/>
      <c r="J62" s="37"/>
      <c r="K62" s="37"/>
      <c r="L62" s="37" t="s">
        <v>1989</v>
      </c>
      <c r="M62" s="37" t="s">
        <v>1989</v>
      </c>
      <c r="N62" s="37" t="s">
        <v>1989</v>
      </c>
      <c r="O62" s="37" t="s">
        <v>1989</v>
      </c>
      <c r="P62" s="37" t="s">
        <v>1989</v>
      </c>
      <c r="Q62" s="37"/>
      <c r="R62" s="37"/>
      <c r="S62" s="37"/>
      <c r="T62" s="37"/>
      <c r="U62" s="37" t="s">
        <v>1989</v>
      </c>
      <c r="V62" s="37" t="s">
        <v>1989</v>
      </c>
      <c r="W62" s="37" t="s">
        <v>1989</v>
      </c>
      <c r="X62" s="37" t="s">
        <v>1989</v>
      </c>
      <c r="Y62" s="37" t="s">
        <v>1989</v>
      </c>
      <c r="Z62" s="37" t="s">
        <v>1989</v>
      </c>
      <c r="AA62" s="37" t="s">
        <v>1989</v>
      </c>
      <c r="AB62" s="37" t="s">
        <v>1989</v>
      </c>
      <c r="AC62" s="37"/>
      <c r="AD62" s="37"/>
      <c r="AE62" s="37"/>
      <c r="AF62" s="37"/>
      <c r="AG62" s="37" t="s">
        <v>1989</v>
      </c>
      <c r="AH62" s="37" t="s">
        <v>1989</v>
      </c>
      <c r="AI62" s="37" t="s">
        <v>1989</v>
      </c>
      <c r="AJ62" s="37" t="s">
        <v>1989</v>
      </c>
      <c r="AK62" s="37" t="s">
        <v>1989</v>
      </c>
      <c r="AL62" s="37" t="s">
        <v>1989</v>
      </c>
      <c r="AM62" s="37" t="s">
        <v>1989</v>
      </c>
      <c r="AN62" s="37" t="s">
        <v>1989</v>
      </c>
      <c r="AO62" s="37" t="s">
        <v>1989</v>
      </c>
      <c r="AP62" s="37"/>
      <c r="AQ62" s="37" t="s">
        <v>1989</v>
      </c>
      <c r="AR62" s="37" t="s">
        <v>1989</v>
      </c>
      <c r="AS62" s="37" t="s">
        <v>1989</v>
      </c>
      <c r="AT62" s="37" t="s">
        <v>1989</v>
      </c>
      <c r="AU62" s="37" t="s">
        <v>1989</v>
      </c>
      <c r="AV62" s="37" t="s">
        <v>1989</v>
      </c>
      <c r="AW62" s="37" t="s">
        <v>1989</v>
      </c>
      <c r="AX62" s="37" t="s">
        <v>1989</v>
      </c>
      <c r="AY62" s="37" t="s">
        <v>1989</v>
      </c>
      <c r="AZ62" s="37" t="s">
        <v>1989</v>
      </c>
      <c r="BA62" s="37" t="s">
        <v>1989</v>
      </c>
      <c r="BB62" s="37" t="s">
        <v>1989</v>
      </c>
      <c r="BC62" s="37" t="s">
        <v>1989</v>
      </c>
      <c r="BD62" s="37" t="s">
        <v>1989</v>
      </c>
      <c r="BE62" s="37"/>
      <c r="BF62" s="37"/>
      <c r="BG62" s="37" t="s">
        <v>1989</v>
      </c>
      <c r="BH62" s="37" t="s">
        <v>1989</v>
      </c>
      <c r="BI62" s="37" t="s">
        <v>1989</v>
      </c>
      <c r="BJ62" s="37" t="s">
        <v>1989</v>
      </c>
      <c r="BK62" s="37"/>
      <c r="BL62" s="37"/>
      <c r="BM62" s="37" t="s">
        <v>1989</v>
      </c>
      <c r="BN62" s="37" t="s">
        <v>1989</v>
      </c>
      <c r="BO62" s="37"/>
      <c r="BP62" s="37"/>
      <c r="BQ62" s="37"/>
      <c r="BR62" s="37"/>
      <c r="BS62" s="37"/>
      <c r="BT62" s="37"/>
      <c r="BU62" s="37" t="s">
        <v>1989</v>
      </c>
      <c r="BV62" s="37" t="s">
        <v>1989</v>
      </c>
      <c r="BW62" s="37" t="s">
        <v>1989</v>
      </c>
    </row>
    <row r="63" spans="1:75" ht="15" customHeight="1">
      <c r="A63" s="37" t="s">
        <v>1989</v>
      </c>
      <c r="B63" s="37" t="s">
        <v>1989</v>
      </c>
      <c r="C63" s="37" t="s">
        <v>1989</v>
      </c>
      <c r="D63" s="37" t="s">
        <v>1989</v>
      </c>
      <c r="E63" s="37" t="s">
        <v>1989</v>
      </c>
      <c r="F63" s="37" t="s">
        <v>1989</v>
      </c>
      <c r="G63" s="37" t="s">
        <v>1989</v>
      </c>
      <c r="H63" s="37" t="s">
        <v>1989</v>
      </c>
      <c r="I63" s="37"/>
      <c r="J63" s="37"/>
      <c r="K63" s="37"/>
      <c r="L63" s="37"/>
      <c r="M63" s="37" t="s">
        <v>1989</v>
      </c>
      <c r="N63" s="37" t="s">
        <v>1989</v>
      </c>
      <c r="O63" s="37" t="s">
        <v>1989</v>
      </c>
      <c r="P63" s="37" t="s">
        <v>1989</v>
      </c>
      <c r="Q63" s="37"/>
      <c r="R63" s="37"/>
      <c r="S63" s="37"/>
      <c r="T63" s="37"/>
      <c r="U63" s="37" t="s">
        <v>1989</v>
      </c>
      <c r="V63" s="37" t="s">
        <v>1989</v>
      </c>
      <c r="W63" s="37" t="s">
        <v>1989</v>
      </c>
      <c r="X63" s="37" t="s">
        <v>1989</v>
      </c>
      <c r="Y63" s="37" t="s">
        <v>1989</v>
      </c>
      <c r="Z63" s="37" t="s">
        <v>1989</v>
      </c>
      <c r="AA63" s="37" t="s">
        <v>1989</v>
      </c>
      <c r="AB63" s="37" t="s">
        <v>1989</v>
      </c>
      <c r="AC63" s="37"/>
      <c r="AD63" s="37"/>
      <c r="AE63" s="37"/>
      <c r="AF63" s="37"/>
      <c r="AG63" s="37" t="s">
        <v>1989</v>
      </c>
      <c r="AH63" s="37" t="s">
        <v>1989</v>
      </c>
      <c r="AI63" s="37" t="s">
        <v>1989</v>
      </c>
      <c r="AJ63" s="37" t="s">
        <v>1989</v>
      </c>
      <c r="AK63" s="37" t="s">
        <v>1989</v>
      </c>
      <c r="AL63" s="37" t="s">
        <v>1989</v>
      </c>
      <c r="AM63" s="37" t="s">
        <v>1989</v>
      </c>
      <c r="AN63" s="37" t="s">
        <v>1989</v>
      </c>
      <c r="AO63" s="37" t="s">
        <v>1989</v>
      </c>
      <c r="AP63" s="37"/>
      <c r="AQ63" s="37"/>
      <c r="AR63" s="37"/>
      <c r="AS63" s="37"/>
      <c r="AT63" s="37"/>
      <c r="AU63" s="37"/>
      <c r="AV63" s="37" t="s">
        <v>1989</v>
      </c>
      <c r="AW63" s="37" t="s">
        <v>1989</v>
      </c>
      <c r="AX63" s="37" t="s">
        <v>1989</v>
      </c>
      <c r="AY63" s="37" t="s">
        <v>1989</v>
      </c>
      <c r="AZ63" s="37" t="s">
        <v>1989</v>
      </c>
      <c r="BA63" s="37" t="s">
        <v>1989</v>
      </c>
      <c r="BB63" s="37" t="s">
        <v>1989</v>
      </c>
      <c r="BC63" s="37" t="s">
        <v>1989</v>
      </c>
      <c r="BD63" s="37" t="s">
        <v>1989</v>
      </c>
      <c r="BE63" s="37"/>
      <c r="BF63" s="37"/>
      <c r="BG63" s="37" t="s">
        <v>1989</v>
      </c>
      <c r="BH63" s="37" t="s">
        <v>1989</v>
      </c>
      <c r="BI63" s="37" t="s">
        <v>1989</v>
      </c>
      <c r="BJ63" s="37" t="s">
        <v>1989</v>
      </c>
      <c r="BK63" s="37"/>
      <c r="BL63" s="37"/>
      <c r="BM63" s="37" t="s">
        <v>1989</v>
      </c>
      <c r="BN63" s="37" t="s">
        <v>1989</v>
      </c>
      <c r="BO63" s="37"/>
      <c r="BP63" s="37"/>
      <c r="BQ63" s="37"/>
      <c r="BR63" s="37"/>
      <c r="BS63" s="37"/>
      <c r="BT63" s="37"/>
      <c r="BU63" s="37" t="s">
        <v>1989</v>
      </c>
      <c r="BV63" s="37" t="s">
        <v>1989</v>
      </c>
      <c r="BW63" s="37" t="s">
        <v>1989</v>
      </c>
    </row>
    <row r="64" spans="1:75" ht="15" customHeight="1">
      <c r="A64" s="37" t="s">
        <v>1989</v>
      </c>
      <c r="B64" s="37" t="s">
        <v>1989</v>
      </c>
      <c r="C64" s="37" t="s">
        <v>1989</v>
      </c>
      <c r="D64" s="37" t="s">
        <v>1989</v>
      </c>
      <c r="E64" s="37" t="s">
        <v>1989</v>
      </c>
      <c r="F64" s="37" t="s">
        <v>1989</v>
      </c>
      <c r="G64" s="37" t="s">
        <v>1989</v>
      </c>
      <c r="H64" s="37" t="s">
        <v>1989</v>
      </c>
      <c r="I64" s="37" t="s">
        <v>1989</v>
      </c>
      <c r="J64" s="37" t="s">
        <v>1989</v>
      </c>
      <c r="K64" s="37"/>
      <c r="L64" s="37"/>
      <c r="M64" s="37"/>
      <c r="N64" s="37" t="s">
        <v>1989</v>
      </c>
      <c r="O64" s="37" t="s">
        <v>1989</v>
      </c>
      <c r="P64" s="37" t="s">
        <v>1989</v>
      </c>
      <c r="Q64" s="37"/>
      <c r="R64" s="37"/>
      <c r="S64" s="37"/>
      <c r="T64" s="37"/>
      <c r="U64" s="37" t="s">
        <v>1989</v>
      </c>
      <c r="V64" s="37" t="s">
        <v>1989</v>
      </c>
      <c r="W64" s="37"/>
      <c r="X64" s="37"/>
      <c r="Y64" s="37" t="s">
        <v>1989</v>
      </c>
      <c r="Z64" s="37" t="s">
        <v>1989</v>
      </c>
      <c r="AA64" s="37" t="s">
        <v>1989</v>
      </c>
      <c r="AB64" s="37" t="s">
        <v>1989</v>
      </c>
      <c r="AC64" s="37"/>
      <c r="AD64" s="37"/>
      <c r="AE64" s="37"/>
      <c r="AF64" s="37"/>
      <c r="AG64" s="37" t="s">
        <v>1989</v>
      </c>
      <c r="AH64" s="37" t="s">
        <v>1989</v>
      </c>
      <c r="AI64" s="37" t="s">
        <v>1989</v>
      </c>
      <c r="AJ64" s="37" t="s">
        <v>1989</v>
      </c>
      <c r="AK64" s="37" t="s">
        <v>1989</v>
      </c>
      <c r="AL64" s="37" t="s">
        <v>1989</v>
      </c>
      <c r="AM64" s="37" t="s">
        <v>1989</v>
      </c>
      <c r="AN64" s="37" t="s">
        <v>1989</v>
      </c>
      <c r="AO64" s="37" t="s">
        <v>1989</v>
      </c>
      <c r="AP64" s="37" t="s">
        <v>1989</v>
      </c>
      <c r="AQ64" s="37" t="s">
        <v>1989</v>
      </c>
      <c r="AR64" s="37" t="s">
        <v>1989</v>
      </c>
      <c r="AS64" s="37" t="s">
        <v>1989</v>
      </c>
      <c r="AT64" s="37" t="s">
        <v>1989</v>
      </c>
      <c r="AU64" s="37"/>
      <c r="AV64" s="37" t="s">
        <v>1989</v>
      </c>
      <c r="AW64" s="37" t="s">
        <v>1989</v>
      </c>
      <c r="AX64" s="37" t="s">
        <v>1989</v>
      </c>
      <c r="AY64" s="37" t="s">
        <v>1989</v>
      </c>
      <c r="AZ64" s="37" t="s">
        <v>1989</v>
      </c>
      <c r="BA64" s="37" t="s">
        <v>1989</v>
      </c>
      <c r="BB64" s="37" t="s">
        <v>1989</v>
      </c>
      <c r="BC64" s="37" t="s">
        <v>1989</v>
      </c>
      <c r="BD64" s="37" t="s">
        <v>1989</v>
      </c>
      <c r="BE64" s="37"/>
      <c r="BF64" s="37"/>
      <c r="BG64" s="37" t="s">
        <v>1989</v>
      </c>
      <c r="BH64" s="37" t="s">
        <v>1989</v>
      </c>
      <c r="BI64" s="37"/>
      <c r="BJ64" s="37"/>
      <c r="BK64" s="37"/>
      <c r="BL64" s="37"/>
      <c r="BM64" s="37" t="s">
        <v>1989</v>
      </c>
      <c r="BN64" s="37" t="s">
        <v>1989</v>
      </c>
      <c r="BO64" s="37"/>
      <c r="BP64" s="37"/>
      <c r="BQ64" s="37" t="s">
        <v>1989</v>
      </c>
      <c r="BR64" s="37" t="s">
        <v>1989</v>
      </c>
      <c r="BS64" s="37"/>
      <c r="BT64" s="37"/>
      <c r="BU64" s="37" t="s">
        <v>1989</v>
      </c>
      <c r="BV64" s="37" t="s">
        <v>1989</v>
      </c>
      <c r="BW64" s="37" t="s">
        <v>1989</v>
      </c>
    </row>
    <row r="65" spans="1:75" ht="15" customHeight="1">
      <c r="A65" s="37" t="s">
        <v>1989</v>
      </c>
      <c r="B65" s="37" t="s">
        <v>1989</v>
      </c>
      <c r="C65" s="37" t="s">
        <v>1989</v>
      </c>
      <c r="D65" s="37" t="s">
        <v>1989</v>
      </c>
      <c r="E65" s="37" t="s">
        <v>1989</v>
      </c>
      <c r="F65" s="37" t="s">
        <v>1989</v>
      </c>
      <c r="G65" s="37" t="s">
        <v>1989</v>
      </c>
      <c r="H65" s="37" t="s">
        <v>1989</v>
      </c>
      <c r="I65" s="37" t="s">
        <v>1989</v>
      </c>
      <c r="J65" s="37" t="s">
        <v>1989</v>
      </c>
      <c r="K65" s="37" t="s">
        <v>1989</v>
      </c>
      <c r="L65" s="37"/>
      <c r="M65" s="37"/>
      <c r="N65" s="37"/>
      <c r="O65" s="37" t="s">
        <v>1989</v>
      </c>
      <c r="P65" s="37" t="s">
        <v>1989</v>
      </c>
      <c r="Q65" s="37"/>
      <c r="R65" s="37"/>
      <c r="S65" s="37"/>
      <c r="T65" s="37"/>
      <c r="U65" s="37" t="s">
        <v>1989</v>
      </c>
      <c r="V65" s="37" t="s">
        <v>1989</v>
      </c>
      <c r="W65" s="37"/>
      <c r="X65" s="37"/>
      <c r="Y65" s="37" t="s">
        <v>1989</v>
      </c>
      <c r="Z65" s="37" t="s">
        <v>1989</v>
      </c>
      <c r="AA65" s="37" t="s">
        <v>1989</v>
      </c>
      <c r="AB65" s="37" t="s">
        <v>1989</v>
      </c>
      <c r="AC65" s="37"/>
      <c r="AD65" s="37"/>
      <c r="AE65" s="37"/>
      <c r="AF65" s="37"/>
      <c r="AG65" s="37" t="s">
        <v>1989</v>
      </c>
      <c r="AH65" s="37" t="s">
        <v>1989</v>
      </c>
      <c r="AI65" s="37" t="s">
        <v>1989</v>
      </c>
      <c r="AJ65" s="37" t="s">
        <v>1989</v>
      </c>
      <c r="AK65" s="37" t="s">
        <v>1989</v>
      </c>
      <c r="AL65" s="37" t="s">
        <v>1989</v>
      </c>
      <c r="AM65" s="37" t="s">
        <v>1989</v>
      </c>
      <c r="AN65" s="37" t="s">
        <v>1989</v>
      </c>
      <c r="AO65" s="37" t="s">
        <v>1989</v>
      </c>
      <c r="AP65" s="37" t="s">
        <v>1989</v>
      </c>
      <c r="AQ65" s="37" t="s">
        <v>1989</v>
      </c>
      <c r="AR65" s="37" t="s">
        <v>1989</v>
      </c>
      <c r="AS65" s="37" t="s">
        <v>1989</v>
      </c>
      <c r="AT65" s="37" t="s">
        <v>1989</v>
      </c>
      <c r="AU65" s="37"/>
      <c r="AV65" s="37" t="s">
        <v>1989</v>
      </c>
      <c r="AW65" s="37" t="s">
        <v>1989</v>
      </c>
      <c r="AX65" s="37" t="s">
        <v>1989</v>
      </c>
      <c r="AY65" s="37" t="s">
        <v>1989</v>
      </c>
      <c r="AZ65" s="37" t="s">
        <v>1989</v>
      </c>
      <c r="BA65" s="37" t="s">
        <v>1989</v>
      </c>
      <c r="BB65" s="37" t="s">
        <v>1989</v>
      </c>
      <c r="BC65" s="37" t="s">
        <v>1989</v>
      </c>
      <c r="BD65" s="37" t="s">
        <v>1989</v>
      </c>
      <c r="BE65" s="37"/>
      <c r="BF65" s="37"/>
      <c r="BG65" s="37" t="s">
        <v>1989</v>
      </c>
      <c r="BH65" s="37" t="s">
        <v>1989</v>
      </c>
      <c r="BI65" s="37"/>
      <c r="BJ65" s="42">
        <v>35</v>
      </c>
      <c r="BK65" s="37"/>
      <c r="BL65" s="37"/>
      <c r="BM65" s="37" t="s">
        <v>1989</v>
      </c>
      <c r="BN65" s="37" t="s">
        <v>1989</v>
      </c>
      <c r="BO65" s="37"/>
      <c r="BP65" s="37"/>
      <c r="BQ65" s="37" t="s">
        <v>1989</v>
      </c>
      <c r="BR65" s="37" t="s">
        <v>1989</v>
      </c>
      <c r="BS65" s="37"/>
      <c r="BT65" s="37"/>
      <c r="BU65" s="37" t="s">
        <v>1989</v>
      </c>
      <c r="BV65" s="37" t="s">
        <v>1989</v>
      </c>
      <c r="BW65" s="37" t="s">
        <v>1989</v>
      </c>
    </row>
    <row r="66" spans="1:75" ht="15" customHeight="1">
      <c r="A66" s="37" t="s">
        <v>1989</v>
      </c>
      <c r="B66" s="37" t="s">
        <v>1989</v>
      </c>
      <c r="C66" s="37" t="s">
        <v>1989</v>
      </c>
      <c r="D66" s="37" t="s">
        <v>1989</v>
      </c>
      <c r="E66" s="37" t="s">
        <v>1989</v>
      </c>
      <c r="F66" s="37" t="s">
        <v>1989</v>
      </c>
      <c r="G66" s="37" t="s">
        <v>1989</v>
      </c>
      <c r="H66" s="37" t="s">
        <v>1989</v>
      </c>
      <c r="I66" s="37" t="s">
        <v>1989</v>
      </c>
      <c r="J66" s="37" t="s">
        <v>1989</v>
      </c>
      <c r="K66" s="37" t="s">
        <v>1989</v>
      </c>
      <c r="L66" s="37" t="s">
        <v>1989</v>
      </c>
      <c r="M66" s="37"/>
      <c r="N66" s="37"/>
      <c r="O66" s="37"/>
      <c r="P66" s="37"/>
      <c r="Q66" s="37"/>
      <c r="R66" s="37"/>
      <c r="S66" s="37"/>
      <c r="T66" s="37"/>
      <c r="U66" s="37" t="s">
        <v>1989</v>
      </c>
      <c r="V66" s="37" t="s">
        <v>1989</v>
      </c>
      <c r="W66" s="37"/>
      <c r="X66" s="37"/>
      <c r="Y66" s="37"/>
      <c r="Z66" s="37"/>
      <c r="AA66" s="37" t="s">
        <v>1989</v>
      </c>
      <c r="AB66" s="37" t="s">
        <v>1989</v>
      </c>
      <c r="AC66" s="37"/>
      <c r="AD66" s="37"/>
      <c r="AE66" s="37"/>
      <c r="AF66" s="37"/>
      <c r="AG66" s="37"/>
      <c r="AH66" s="37"/>
      <c r="AI66" s="37"/>
      <c r="AJ66" s="37"/>
      <c r="AK66" s="37"/>
      <c r="AL66" s="37"/>
      <c r="AM66" s="37"/>
      <c r="AN66" s="37"/>
      <c r="AO66" s="37"/>
      <c r="AP66" s="37"/>
      <c r="AQ66" s="37"/>
      <c r="AR66" s="37"/>
      <c r="AS66" s="37" t="s">
        <v>1989</v>
      </c>
      <c r="AT66" s="37" t="s">
        <v>1989</v>
      </c>
      <c r="AU66" s="37"/>
      <c r="AV66" s="37" t="s">
        <v>1989</v>
      </c>
      <c r="AW66" s="37" t="s">
        <v>1989</v>
      </c>
      <c r="AX66" s="37" t="s">
        <v>1989</v>
      </c>
      <c r="AY66" s="37" t="s">
        <v>1989</v>
      </c>
      <c r="AZ66" s="37" t="s">
        <v>1989</v>
      </c>
      <c r="BA66" s="37"/>
      <c r="BB66" s="37"/>
      <c r="BC66" s="37"/>
      <c r="BD66" s="37"/>
      <c r="BE66" s="37"/>
      <c r="BF66" s="37"/>
      <c r="BG66" s="37" t="s">
        <v>1989</v>
      </c>
      <c r="BH66" s="37" t="s">
        <v>1989</v>
      </c>
      <c r="BI66" s="37"/>
      <c r="BJ66" s="37"/>
      <c r="BK66" s="37"/>
      <c r="BL66" s="37"/>
      <c r="BM66" s="37" t="s">
        <v>1989</v>
      </c>
      <c r="BN66" s="37" t="s">
        <v>1989</v>
      </c>
      <c r="BO66" s="37"/>
      <c r="BP66" s="37"/>
      <c r="BQ66" s="37" t="s">
        <v>1989</v>
      </c>
      <c r="BR66" s="37" t="s">
        <v>1989</v>
      </c>
      <c r="BS66" s="37"/>
      <c r="BT66" s="37"/>
      <c r="BU66" s="37" t="s">
        <v>1989</v>
      </c>
      <c r="BV66" s="37" t="s">
        <v>1989</v>
      </c>
      <c r="BW66" s="37" t="s">
        <v>1989</v>
      </c>
    </row>
    <row r="67" spans="1:75" ht="15" customHeight="1">
      <c r="A67" s="37" t="s">
        <v>1989</v>
      </c>
      <c r="B67" s="37" t="s">
        <v>1989</v>
      </c>
      <c r="C67" s="37" t="s">
        <v>1989</v>
      </c>
      <c r="D67" s="37" t="s">
        <v>1989</v>
      </c>
      <c r="E67" s="37" t="s">
        <v>1989</v>
      </c>
      <c r="F67" s="37" t="s">
        <v>1989</v>
      </c>
      <c r="G67" s="37" t="s">
        <v>1989</v>
      </c>
      <c r="H67" s="37" t="s">
        <v>1989</v>
      </c>
      <c r="I67" s="37" t="s">
        <v>1989</v>
      </c>
      <c r="J67" s="37" t="s">
        <v>1989</v>
      </c>
      <c r="K67" s="37" t="s">
        <v>1989</v>
      </c>
      <c r="L67" s="37" t="s">
        <v>1989</v>
      </c>
      <c r="M67" s="37"/>
      <c r="N67" s="42">
        <v>27</v>
      </c>
      <c r="O67" s="37"/>
      <c r="P67" s="37"/>
      <c r="Q67" s="37"/>
      <c r="R67" s="37"/>
      <c r="S67" s="37"/>
      <c r="T67" s="37"/>
      <c r="U67" s="37" t="s">
        <v>1989</v>
      </c>
      <c r="V67" s="37" t="s">
        <v>1989</v>
      </c>
      <c r="W67" s="37"/>
      <c r="X67" s="37"/>
      <c r="Y67" s="37"/>
      <c r="Z67" s="37"/>
      <c r="AA67" s="37" t="s">
        <v>1989</v>
      </c>
      <c r="AB67" s="37" t="s">
        <v>1989</v>
      </c>
      <c r="AC67" s="37"/>
      <c r="AD67" s="37"/>
      <c r="AE67" s="37"/>
      <c r="AF67" s="37"/>
      <c r="AG67" s="37"/>
      <c r="AH67" s="37"/>
      <c r="AI67" s="42">
        <v>26</v>
      </c>
      <c r="AJ67" s="37"/>
      <c r="AK67" s="37"/>
      <c r="AL67" s="37"/>
      <c r="AM67" s="37"/>
      <c r="AN67" s="37"/>
      <c r="AO67" s="37"/>
      <c r="AP67" s="37"/>
      <c r="AQ67" s="37"/>
      <c r="AR67" s="37"/>
      <c r="AS67" s="37" t="s">
        <v>1989</v>
      </c>
      <c r="AT67" s="37" t="s">
        <v>1989</v>
      </c>
      <c r="AU67" s="37"/>
      <c r="AV67" s="37" t="s">
        <v>1989</v>
      </c>
      <c r="AW67" s="37" t="s">
        <v>1989</v>
      </c>
      <c r="AX67" s="37" t="s">
        <v>1989</v>
      </c>
      <c r="AY67" s="37" t="s">
        <v>1989</v>
      </c>
      <c r="AZ67" s="37" t="s">
        <v>1989</v>
      </c>
      <c r="BA67" s="37"/>
      <c r="BB67" s="37"/>
      <c r="BC67" s="37"/>
      <c r="BD67" s="37"/>
      <c r="BE67" s="37"/>
      <c r="BF67" s="37"/>
      <c r="BG67" s="37" t="s">
        <v>1989</v>
      </c>
      <c r="BH67" s="37" t="s">
        <v>1989</v>
      </c>
      <c r="BI67" s="37"/>
      <c r="BJ67" s="37"/>
      <c r="BK67" s="37"/>
      <c r="BL67" s="37"/>
      <c r="BM67" s="37" t="s">
        <v>1989</v>
      </c>
      <c r="BN67" s="37" t="s">
        <v>1989</v>
      </c>
      <c r="BO67" s="37"/>
      <c r="BP67" s="37"/>
      <c r="BQ67" s="37" t="s">
        <v>1989</v>
      </c>
      <c r="BR67" s="37" t="s">
        <v>1989</v>
      </c>
      <c r="BS67" s="37"/>
      <c r="BT67" s="37"/>
      <c r="BU67" s="37" t="s">
        <v>1989</v>
      </c>
      <c r="BV67" s="37" t="s">
        <v>1989</v>
      </c>
      <c r="BW67" s="37" t="s">
        <v>1989</v>
      </c>
    </row>
    <row r="68" spans="1:75" ht="15" customHeight="1">
      <c r="A68" s="37" t="s">
        <v>1989</v>
      </c>
      <c r="B68" s="37" t="s">
        <v>1989</v>
      </c>
      <c r="C68" s="37" t="s">
        <v>1989</v>
      </c>
      <c r="D68" s="37" t="s">
        <v>1989</v>
      </c>
      <c r="E68" s="37" t="s">
        <v>1989</v>
      </c>
      <c r="F68" s="37" t="s">
        <v>1989</v>
      </c>
      <c r="G68" s="37" t="s">
        <v>1989</v>
      </c>
      <c r="H68" s="37" t="s">
        <v>1989</v>
      </c>
      <c r="I68" s="37" t="s">
        <v>1989</v>
      </c>
      <c r="J68" s="37" t="s">
        <v>1989</v>
      </c>
      <c r="K68" s="37" t="s">
        <v>1989</v>
      </c>
      <c r="L68" s="37" t="s">
        <v>1989</v>
      </c>
      <c r="M68" s="37"/>
      <c r="N68" s="37"/>
      <c r="O68" s="37"/>
      <c r="P68" s="37"/>
      <c r="Q68" s="37"/>
      <c r="R68" s="37"/>
      <c r="S68" s="37"/>
      <c r="T68" s="37"/>
      <c r="U68" s="37"/>
      <c r="V68" s="37" t="s">
        <v>1989</v>
      </c>
      <c r="W68" s="37" t="s">
        <v>1989</v>
      </c>
      <c r="X68" s="37" t="s">
        <v>1989</v>
      </c>
      <c r="Y68" s="37"/>
      <c r="Z68" s="37"/>
      <c r="AA68" s="37" t="s">
        <v>1989</v>
      </c>
      <c r="AB68" s="37" t="s">
        <v>1989</v>
      </c>
      <c r="AC68" s="37"/>
      <c r="AD68" s="37"/>
      <c r="AE68" s="37"/>
      <c r="AF68" s="37"/>
      <c r="AG68" s="37"/>
      <c r="AH68" s="37"/>
      <c r="AI68" s="37"/>
      <c r="AJ68" s="37"/>
      <c r="AK68" s="37"/>
      <c r="AL68" s="37"/>
      <c r="AM68" s="37"/>
      <c r="AN68" s="37"/>
      <c r="AO68" s="37"/>
      <c r="AP68" s="37"/>
      <c r="AQ68" s="37"/>
      <c r="AR68" s="37"/>
      <c r="AS68" s="37" t="s">
        <v>1989</v>
      </c>
      <c r="AT68" s="37" t="s">
        <v>1989</v>
      </c>
      <c r="AU68" s="37"/>
      <c r="AV68" s="37"/>
      <c r="AW68" s="37"/>
      <c r="AX68" s="37"/>
      <c r="AY68" s="37" t="s">
        <v>1989</v>
      </c>
      <c r="AZ68" s="37" t="s">
        <v>1989</v>
      </c>
      <c r="BA68" s="37"/>
      <c r="BB68" s="37"/>
      <c r="BC68" s="37" t="s">
        <v>1989</v>
      </c>
      <c r="BD68" s="37" t="s">
        <v>1989</v>
      </c>
      <c r="BE68" s="37"/>
      <c r="BF68" s="37"/>
      <c r="BG68" s="37" t="s">
        <v>1989</v>
      </c>
      <c r="BH68" s="37" t="s">
        <v>1989</v>
      </c>
      <c r="BI68" s="37" t="s">
        <v>1989</v>
      </c>
      <c r="BJ68" s="37" t="s">
        <v>1989</v>
      </c>
      <c r="BK68" s="37" t="s">
        <v>1989</v>
      </c>
      <c r="BL68" s="37" t="s">
        <v>1989</v>
      </c>
      <c r="BM68" s="37" t="s">
        <v>1989</v>
      </c>
      <c r="BN68" s="37" t="s">
        <v>1989</v>
      </c>
      <c r="BO68" s="37"/>
      <c r="BP68" s="37"/>
      <c r="BQ68" s="37" t="s">
        <v>1989</v>
      </c>
      <c r="BR68" s="37" t="s">
        <v>1989</v>
      </c>
      <c r="BS68" s="37"/>
      <c r="BT68" s="37"/>
      <c r="BU68" s="37" t="s">
        <v>1989</v>
      </c>
      <c r="BV68" s="37" t="s">
        <v>1989</v>
      </c>
      <c r="BW68" s="37" t="s">
        <v>1989</v>
      </c>
    </row>
    <row r="69" spans="1:75" ht="15" customHeight="1">
      <c r="A69" s="37" t="s">
        <v>1989</v>
      </c>
      <c r="B69" s="37" t="s">
        <v>1989</v>
      </c>
      <c r="C69" s="37" t="s">
        <v>1989</v>
      </c>
      <c r="D69" s="37" t="s">
        <v>1989</v>
      </c>
      <c r="E69" s="37" t="s">
        <v>1989</v>
      </c>
      <c r="F69" s="37" t="s">
        <v>1989</v>
      </c>
      <c r="G69" s="37" t="s">
        <v>1989</v>
      </c>
      <c r="H69" s="37" t="s">
        <v>1989</v>
      </c>
      <c r="I69" s="37" t="s">
        <v>1989</v>
      </c>
      <c r="J69" s="37" t="s">
        <v>1989</v>
      </c>
      <c r="K69" s="37" t="s">
        <v>1989</v>
      </c>
      <c r="L69" s="37" t="s">
        <v>1989</v>
      </c>
      <c r="M69" s="37"/>
      <c r="N69" s="37"/>
      <c r="O69" s="37"/>
      <c r="P69" s="37"/>
      <c r="Q69" s="37"/>
      <c r="R69" s="37"/>
      <c r="S69" s="37"/>
      <c r="T69" s="37"/>
      <c r="U69" s="37"/>
      <c r="V69" s="37"/>
      <c r="W69" s="37" t="s">
        <v>1989</v>
      </c>
      <c r="X69" s="37" t="s">
        <v>1989</v>
      </c>
      <c r="Y69" s="37"/>
      <c r="Z69" s="37"/>
      <c r="AA69" s="37" t="s">
        <v>1989</v>
      </c>
      <c r="AB69" s="37" t="s">
        <v>1989</v>
      </c>
      <c r="AC69" s="37"/>
      <c r="AD69" s="37"/>
      <c r="AE69" s="37"/>
      <c r="AF69" s="37"/>
      <c r="AG69" s="37"/>
      <c r="AH69" s="37"/>
      <c r="AI69" s="37"/>
      <c r="AJ69" s="37"/>
      <c r="AK69" s="37"/>
      <c r="AL69" s="37"/>
      <c r="AM69" s="37"/>
      <c r="AN69" s="37"/>
      <c r="AO69" s="37"/>
      <c r="AP69" s="37"/>
      <c r="AQ69" s="37"/>
      <c r="AR69" s="37"/>
      <c r="AS69" s="37" t="s">
        <v>1989</v>
      </c>
      <c r="AT69" s="37" t="s">
        <v>1989</v>
      </c>
      <c r="AU69" s="37"/>
      <c r="AV69" s="37"/>
      <c r="AW69" s="37"/>
      <c r="AX69" s="37"/>
      <c r="AY69" s="37" t="s">
        <v>1989</v>
      </c>
      <c r="AZ69" s="37" t="s">
        <v>1989</v>
      </c>
      <c r="BA69" s="37"/>
      <c r="BB69" s="37"/>
      <c r="BC69" s="37" t="s">
        <v>1989</v>
      </c>
      <c r="BD69" s="37" t="s">
        <v>1989</v>
      </c>
      <c r="BE69" s="37"/>
      <c r="BF69" s="37"/>
      <c r="BG69" s="37" t="s">
        <v>1989</v>
      </c>
      <c r="BH69" s="37" t="s">
        <v>1989</v>
      </c>
      <c r="BI69" s="37" t="s">
        <v>1989</v>
      </c>
      <c r="BJ69" s="37" t="s">
        <v>1989</v>
      </c>
      <c r="BK69" s="37" t="s">
        <v>1989</v>
      </c>
      <c r="BL69" s="37" t="s">
        <v>1989</v>
      </c>
      <c r="BM69" s="37" t="s">
        <v>1989</v>
      </c>
      <c r="BN69" s="37" t="s">
        <v>1989</v>
      </c>
      <c r="BO69" s="37"/>
      <c r="BP69" s="37"/>
      <c r="BQ69" s="37" t="s">
        <v>1989</v>
      </c>
      <c r="BR69" s="37" t="s">
        <v>1989</v>
      </c>
      <c r="BS69" s="37"/>
      <c r="BT69" s="37"/>
      <c r="BU69" s="37" t="s">
        <v>1989</v>
      </c>
      <c r="BV69" s="37" t="s">
        <v>1989</v>
      </c>
      <c r="BW69" s="37" t="s">
        <v>1989</v>
      </c>
    </row>
    <row r="70" spans="1:75" ht="15" customHeight="1">
      <c r="A70" s="37" t="s">
        <v>1989</v>
      </c>
      <c r="B70" s="37" t="s">
        <v>1989</v>
      </c>
      <c r="C70" s="37" t="s">
        <v>1989</v>
      </c>
      <c r="D70" s="37" t="s">
        <v>1989</v>
      </c>
      <c r="E70" s="37" t="s">
        <v>1989</v>
      </c>
      <c r="F70" s="37" t="s">
        <v>1989</v>
      </c>
      <c r="G70" s="37" t="s">
        <v>1989</v>
      </c>
      <c r="H70" s="37" t="s">
        <v>1989</v>
      </c>
      <c r="I70" s="37" t="s">
        <v>1989</v>
      </c>
      <c r="J70" s="37" t="s">
        <v>1989</v>
      </c>
      <c r="K70" s="37" t="s">
        <v>1989</v>
      </c>
      <c r="L70" s="37" t="s">
        <v>1989</v>
      </c>
      <c r="M70" s="37" t="s">
        <v>1989</v>
      </c>
      <c r="N70" s="37" t="s">
        <v>1989</v>
      </c>
      <c r="O70" s="37" t="s">
        <v>1989</v>
      </c>
      <c r="P70" s="37" t="s">
        <v>1989</v>
      </c>
      <c r="Q70" s="37"/>
      <c r="R70" s="37"/>
      <c r="S70" s="37"/>
      <c r="T70" s="37"/>
      <c r="U70" s="37"/>
      <c r="V70" s="37"/>
      <c r="W70" s="37"/>
      <c r="X70" s="37" t="s">
        <v>1989</v>
      </c>
      <c r="Y70" s="37"/>
      <c r="Z70" s="37"/>
      <c r="AA70" s="37" t="s">
        <v>1989</v>
      </c>
      <c r="AB70" s="37" t="s">
        <v>1989</v>
      </c>
      <c r="AC70" s="37" t="s">
        <v>1989</v>
      </c>
      <c r="AD70" s="37" t="s">
        <v>1989</v>
      </c>
      <c r="AE70" s="37" t="s">
        <v>1989</v>
      </c>
      <c r="AF70" s="37" t="s">
        <v>1989</v>
      </c>
      <c r="AG70" s="37" t="s">
        <v>1989</v>
      </c>
      <c r="AH70" s="37" t="s">
        <v>1989</v>
      </c>
      <c r="AI70" s="37" t="s">
        <v>1989</v>
      </c>
      <c r="AJ70" s="37" t="s">
        <v>1989</v>
      </c>
      <c r="AK70" s="37" t="s">
        <v>1989</v>
      </c>
      <c r="AL70" s="37" t="s">
        <v>1989</v>
      </c>
      <c r="AM70" s="37" t="s">
        <v>1989</v>
      </c>
      <c r="AN70" s="37" t="s">
        <v>1989</v>
      </c>
      <c r="AO70" s="37" t="s">
        <v>1989</v>
      </c>
      <c r="AP70" s="37" t="s">
        <v>1989</v>
      </c>
      <c r="AQ70" s="37" t="s">
        <v>1989</v>
      </c>
      <c r="AR70" s="37" t="s">
        <v>1989</v>
      </c>
      <c r="AS70" s="37" t="s">
        <v>1989</v>
      </c>
      <c r="AT70" s="37" t="s">
        <v>1989</v>
      </c>
      <c r="AU70" s="37"/>
      <c r="AV70" s="42">
        <v>34</v>
      </c>
      <c r="AW70" s="37"/>
      <c r="AX70" s="37"/>
      <c r="AY70" s="37" t="s">
        <v>1989</v>
      </c>
      <c r="AZ70" s="37" t="s">
        <v>1989</v>
      </c>
      <c r="BA70" s="37"/>
      <c r="BB70" s="37"/>
      <c r="BC70" s="37" t="s">
        <v>1989</v>
      </c>
      <c r="BD70" s="37" t="s">
        <v>1989</v>
      </c>
      <c r="BE70" s="37"/>
      <c r="BF70" s="37"/>
      <c r="BG70" s="37"/>
      <c r="BH70" s="37"/>
      <c r="BI70" s="37"/>
      <c r="BJ70" s="37"/>
      <c r="BK70" s="37"/>
      <c r="BL70" s="37"/>
      <c r="BM70" s="37"/>
      <c r="BN70" s="37"/>
      <c r="BO70" s="37"/>
      <c r="BP70" s="37"/>
      <c r="BQ70" s="37" t="s">
        <v>1989</v>
      </c>
      <c r="BR70" s="37" t="s">
        <v>1989</v>
      </c>
      <c r="BS70" s="37"/>
      <c r="BT70" s="37"/>
      <c r="BU70" s="37" t="s">
        <v>1989</v>
      </c>
      <c r="BV70" s="37" t="s">
        <v>1989</v>
      </c>
      <c r="BW70" s="37" t="s">
        <v>1989</v>
      </c>
    </row>
    <row r="71" spans="1:75" ht="15" customHeight="1">
      <c r="A71" s="37" t="s">
        <v>1989</v>
      </c>
      <c r="B71" s="37" t="s">
        <v>1989</v>
      </c>
      <c r="C71" s="37" t="s">
        <v>1989</v>
      </c>
      <c r="D71" s="37" t="s">
        <v>1989</v>
      </c>
      <c r="E71" s="37" t="s">
        <v>1989</v>
      </c>
      <c r="F71" s="37" t="s">
        <v>1989</v>
      </c>
      <c r="G71" s="37" t="s">
        <v>1989</v>
      </c>
      <c r="H71" s="37" t="s">
        <v>1989</v>
      </c>
      <c r="I71" s="37" t="s">
        <v>1989</v>
      </c>
      <c r="J71" s="37" t="s">
        <v>1989</v>
      </c>
      <c r="K71" s="37" t="s">
        <v>1989</v>
      </c>
      <c r="L71" s="37" t="s">
        <v>1989</v>
      </c>
      <c r="M71" s="37" t="s">
        <v>1989</v>
      </c>
      <c r="N71" s="37" t="s">
        <v>1989</v>
      </c>
      <c r="O71" s="37" t="s">
        <v>1989</v>
      </c>
      <c r="P71" s="37" t="s">
        <v>1989</v>
      </c>
      <c r="Q71" s="37"/>
      <c r="R71" s="37"/>
      <c r="S71" s="37"/>
      <c r="T71" s="37"/>
      <c r="U71" s="37"/>
      <c r="V71" s="37"/>
      <c r="W71" s="37"/>
      <c r="X71" s="37"/>
      <c r="Y71" s="37"/>
      <c r="Z71" s="37"/>
      <c r="AA71" s="37" t="s">
        <v>1989</v>
      </c>
      <c r="AB71" s="37" t="s">
        <v>1989</v>
      </c>
      <c r="AC71" s="37" t="s">
        <v>1989</v>
      </c>
      <c r="AD71" s="37" t="s">
        <v>1989</v>
      </c>
      <c r="AE71" s="37" t="s">
        <v>1989</v>
      </c>
      <c r="AF71" s="37" t="s">
        <v>1989</v>
      </c>
      <c r="AG71" s="37" t="s">
        <v>1989</v>
      </c>
      <c r="AH71" s="37" t="s">
        <v>1989</v>
      </c>
      <c r="AI71" s="37" t="s">
        <v>1989</v>
      </c>
      <c r="AJ71" s="37" t="s">
        <v>1989</v>
      </c>
      <c r="AK71" s="37" t="s">
        <v>1989</v>
      </c>
      <c r="AL71" s="37" t="s">
        <v>1989</v>
      </c>
      <c r="AM71" s="37" t="s">
        <v>1989</v>
      </c>
      <c r="AN71" s="37" t="s">
        <v>1989</v>
      </c>
      <c r="AO71" s="37" t="s">
        <v>1989</v>
      </c>
      <c r="AP71" s="37" t="s">
        <v>1989</v>
      </c>
      <c r="AQ71" s="37" t="s">
        <v>1989</v>
      </c>
      <c r="AR71" s="37" t="s">
        <v>1989</v>
      </c>
      <c r="AS71" s="37" t="s">
        <v>1989</v>
      </c>
      <c r="AT71" s="37" t="s">
        <v>1989</v>
      </c>
      <c r="AU71" s="37"/>
      <c r="AV71" s="37"/>
      <c r="AW71" s="37"/>
      <c r="AX71" s="37"/>
      <c r="AY71" s="37" t="s">
        <v>1989</v>
      </c>
      <c r="AZ71" s="37" t="s">
        <v>1989</v>
      </c>
      <c r="BA71" s="37"/>
      <c r="BB71" s="37"/>
      <c r="BC71" s="37" t="s">
        <v>1989</v>
      </c>
      <c r="BD71" s="37" t="s">
        <v>1989</v>
      </c>
      <c r="BE71" s="37"/>
      <c r="BF71" s="37"/>
      <c r="BG71" s="37"/>
      <c r="BH71" s="37"/>
      <c r="BI71" s="37"/>
      <c r="BJ71" s="37"/>
      <c r="BK71" s="37"/>
      <c r="BL71" s="37"/>
      <c r="BM71" s="37"/>
      <c r="BN71" s="37"/>
      <c r="BO71" s="37"/>
      <c r="BP71" s="37"/>
      <c r="BQ71" s="37" t="s">
        <v>1989</v>
      </c>
      <c r="BR71" s="37" t="s">
        <v>1989</v>
      </c>
      <c r="BS71" s="37"/>
      <c r="BT71" s="37"/>
      <c r="BU71" s="37" t="s">
        <v>1989</v>
      </c>
      <c r="BV71" s="37" t="s">
        <v>1989</v>
      </c>
      <c r="BW71" s="37" t="s">
        <v>1989</v>
      </c>
    </row>
    <row r="72" spans="1:75" ht="15" customHeight="1">
      <c r="A72" s="37" t="s">
        <v>1989</v>
      </c>
      <c r="B72" s="37" t="s">
        <v>1989</v>
      </c>
      <c r="C72" s="37" t="s">
        <v>1989</v>
      </c>
      <c r="D72" s="37" t="s">
        <v>1989</v>
      </c>
      <c r="E72" s="37" t="s">
        <v>1989</v>
      </c>
      <c r="F72" s="37" t="s">
        <v>1989</v>
      </c>
      <c r="G72" s="37" t="s">
        <v>1989</v>
      </c>
      <c r="H72" s="37" t="s">
        <v>1989</v>
      </c>
      <c r="I72" s="37" t="s">
        <v>1989</v>
      </c>
      <c r="J72" s="37" t="s">
        <v>1989</v>
      </c>
      <c r="K72" s="37" t="s">
        <v>1989</v>
      </c>
      <c r="L72" s="37" t="s">
        <v>1989</v>
      </c>
      <c r="M72" s="37" t="s">
        <v>1989</v>
      </c>
      <c r="N72" s="37" t="s">
        <v>1989</v>
      </c>
      <c r="O72" s="37" t="s">
        <v>1989</v>
      </c>
      <c r="P72" s="37" t="s">
        <v>1989</v>
      </c>
      <c r="Q72" s="37"/>
      <c r="R72" s="37"/>
      <c r="S72" s="37"/>
      <c r="T72" s="37"/>
      <c r="U72" s="37"/>
      <c r="V72" s="37"/>
      <c r="W72" s="37"/>
      <c r="X72" s="37"/>
      <c r="Y72" s="37"/>
      <c r="Z72" s="37"/>
      <c r="AA72" s="37" t="s">
        <v>1989</v>
      </c>
      <c r="AB72" s="37" t="s">
        <v>1989</v>
      </c>
      <c r="AC72" s="37" t="s">
        <v>1989</v>
      </c>
      <c r="AD72" s="37" t="s">
        <v>1989</v>
      </c>
      <c r="AE72" s="37" t="s">
        <v>1989</v>
      </c>
      <c r="AF72" s="37" t="s">
        <v>1989</v>
      </c>
      <c r="AG72" s="37"/>
      <c r="AH72" s="37"/>
      <c r="AI72" s="37"/>
      <c r="AJ72" s="37"/>
      <c r="AK72" s="37"/>
      <c r="AL72" s="37"/>
      <c r="AM72" s="37"/>
      <c r="AN72" s="37"/>
      <c r="AO72" s="37"/>
      <c r="AP72" s="37"/>
      <c r="AQ72" s="37"/>
      <c r="AR72" s="37"/>
      <c r="AS72" s="37"/>
      <c r="AT72" s="37"/>
      <c r="AU72" s="37"/>
      <c r="AV72" s="37"/>
      <c r="AW72" s="37" t="s">
        <v>1989</v>
      </c>
      <c r="AX72" s="37" t="s">
        <v>1989</v>
      </c>
      <c r="AY72" s="37" t="s">
        <v>1989</v>
      </c>
      <c r="AZ72" s="37"/>
      <c r="BA72" s="37"/>
      <c r="BB72" s="37"/>
      <c r="BC72" s="37" t="s">
        <v>1989</v>
      </c>
      <c r="BD72" s="37" t="s">
        <v>1989</v>
      </c>
      <c r="BE72" s="37"/>
      <c r="BF72" s="37"/>
      <c r="BG72" s="37" t="s">
        <v>1989</v>
      </c>
      <c r="BH72" s="37" t="s">
        <v>1989</v>
      </c>
      <c r="BI72" s="37" t="s">
        <v>1989</v>
      </c>
      <c r="BJ72" s="37" t="s">
        <v>1989</v>
      </c>
      <c r="BK72" s="37" t="s">
        <v>1989</v>
      </c>
      <c r="BL72" s="37" t="s">
        <v>1989</v>
      </c>
      <c r="BM72" s="37" t="s">
        <v>1989</v>
      </c>
      <c r="BN72" s="37" t="s">
        <v>1989</v>
      </c>
      <c r="BO72" s="37" t="s">
        <v>1989</v>
      </c>
      <c r="BP72" s="37" t="s">
        <v>1989</v>
      </c>
      <c r="BQ72" s="37"/>
      <c r="BR72" s="37"/>
      <c r="BS72" s="37"/>
      <c r="BT72" s="37"/>
      <c r="BU72" s="37" t="s">
        <v>1989</v>
      </c>
      <c r="BV72" s="37" t="s">
        <v>1989</v>
      </c>
      <c r="BW72" s="37" t="s">
        <v>1989</v>
      </c>
    </row>
    <row r="73" spans="1:75" ht="15" customHeight="1">
      <c r="A73" s="37" t="s">
        <v>1989</v>
      </c>
      <c r="B73" s="37" t="s">
        <v>1989</v>
      </c>
      <c r="C73" s="37" t="s">
        <v>1989</v>
      </c>
      <c r="D73" s="37" t="s">
        <v>1989</v>
      </c>
      <c r="E73" s="37" t="s">
        <v>1989</v>
      </c>
      <c r="F73" s="37" t="s">
        <v>1989</v>
      </c>
      <c r="G73" s="37" t="s">
        <v>1989</v>
      </c>
      <c r="H73" s="37" t="s">
        <v>1989</v>
      </c>
      <c r="I73" s="37" t="s">
        <v>1989</v>
      </c>
      <c r="J73" s="37" t="s">
        <v>1989</v>
      </c>
      <c r="K73" s="37" t="s">
        <v>1989</v>
      </c>
      <c r="L73" s="37" t="s">
        <v>1989</v>
      </c>
      <c r="M73" s="37" t="s">
        <v>1989</v>
      </c>
      <c r="N73" s="37" t="s">
        <v>1989</v>
      </c>
      <c r="O73" s="37" t="s">
        <v>1989</v>
      </c>
      <c r="P73" s="37" t="s">
        <v>1989</v>
      </c>
      <c r="Q73" s="37"/>
      <c r="R73" s="37"/>
      <c r="S73" s="37"/>
      <c r="T73" s="37"/>
      <c r="U73" s="37" t="s">
        <v>1989</v>
      </c>
      <c r="V73" s="37"/>
      <c r="W73" s="37"/>
      <c r="X73" s="37"/>
      <c r="Y73" s="37"/>
      <c r="Z73" s="37"/>
      <c r="AA73" s="37" t="s">
        <v>1989</v>
      </c>
      <c r="AB73" s="37" t="s">
        <v>1989</v>
      </c>
      <c r="AC73" s="37" t="s">
        <v>1989</v>
      </c>
      <c r="AD73" s="37" t="s">
        <v>1989</v>
      </c>
      <c r="AE73" s="37" t="s">
        <v>1989</v>
      </c>
      <c r="AF73" s="37" t="s">
        <v>1989</v>
      </c>
      <c r="AG73" s="37"/>
      <c r="AH73" s="37"/>
      <c r="AI73" s="37"/>
      <c r="AJ73" s="37"/>
      <c r="AK73" s="37"/>
      <c r="AL73" s="37"/>
      <c r="AM73" s="37"/>
      <c r="AN73" s="37"/>
      <c r="AO73" s="37"/>
      <c r="AP73" s="37"/>
      <c r="AQ73" s="37"/>
      <c r="AR73" s="37"/>
      <c r="AS73" s="37"/>
      <c r="AT73" s="37"/>
      <c r="AU73" s="37"/>
      <c r="AV73" s="37"/>
      <c r="AW73" s="37" t="s">
        <v>1989</v>
      </c>
      <c r="AX73" s="37" t="s">
        <v>1989</v>
      </c>
      <c r="AY73" s="37"/>
      <c r="AZ73" s="37"/>
      <c r="BA73" s="37"/>
      <c r="BB73" s="37" t="s">
        <v>1989</v>
      </c>
      <c r="BC73" s="37" t="s">
        <v>1989</v>
      </c>
      <c r="BD73" s="37" t="s">
        <v>1989</v>
      </c>
      <c r="BE73" s="37"/>
      <c r="BF73" s="37"/>
      <c r="BG73" s="37" t="s">
        <v>1989</v>
      </c>
      <c r="BH73" s="37" t="s">
        <v>1989</v>
      </c>
      <c r="BI73" s="37" t="s">
        <v>1989</v>
      </c>
      <c r="BJ73" s="37" t="s">
        <v>1989</v>
      </c>
      <c r="BK73" s="37" t="s">
        <v>1989</v>
      </c>
      <c r="BL73" s="37" t="s">
        <v>1989</v>
      </c>
      <c r="BM73" s="37" t="s">
        <v>1989</v>
      </c>
      <c r="BN73" s="37" t="s">
        <v>1989</v>
      </c>
      <c r="BO73" s="37" t="s">
        <v>1989</v>
      </c>
      <c r="BP73" s="37" t="s">
        <v>1989</v>
      </c>
      <c r="BQ73" s="37"/>
      <c r="BR73" s="42">
        <v>36</v>
      </c>
      <c r="BS73" s="37"/>
      <c r="BT73" s="37"/>
      <c r="BU73" s="37" t="s">
        <v>1989</v>
      </c>
      <c r="BV73" s="37" t="s">
        <v>1989</v>
      </c>
      <c r="BW73" s="37" t="s">
        <v>1989</v>
      </c>
    </row>
    <row r="74" spans="1:75" ht="15" customHeight="1">
      <c r="A74" s="37" t="s">
        <v>1989</v>
      </c>
      <c r="B74" s="37" t="s">
        <v>1989</v>
      </c>
      <c r="C74" s="37" t="s">
        <v>1989</v>
      </c>
      <c r="D74" s="37" t="s">
        <v>1989</v>
      </c>
      <c r="E74" s="37" t="s">
        <v>1989</v>
      </c>
      <c r="F74" s="37" t="s">
        <v>1989</v>
      </c>
      <c r="G74" s="37"/>
      <c r="H74" s="37"/>
      <c r="I74" s="37"/>
      <c r="J74" s="37"/>
      <c r="K74" s="37"/>
      <c r="L74" s="37" t="s">
        <v>1989</v>
      </c>
      <c r="M74" s="37" t="s">
        <v>1989</v>
      </c>
      <c r="N74" s="37" t="s">
        <v>1989</v>
      </c>
      <c r="O74" s="37" t="s">
        <v>1989</v>
      </c>
      <c r="P74" s="37" t="s">
        <v>1989</v>
      </c>
      <c r="Q74" s="37"/>
      <c r="R74" s="37"/>
      <c r="S74" s="37"/>
      <c r="T74" s="37"/>
      <c r="U74" s="37" t="s">
        <v>1989</v>
      </c>
      <c r="V74" s="37" t="s">
        <v>1989</v>
      </c>
      <c r="W74" s="37"/>
      <c r="X74" s="37"/>
      <c r="Y74" s="37"/>
      <c r="Z74" s="37"/>
      <c r="AA74" s="37"/>
      <c r="AB74" s="37" t="s">
        <v>1989</v>
      </c>
      <c r="AC74" s="37" t="s">
        <v>1989</v>
      </c>
      <c r="AD74" s="37" t="s">
        <v>1989</v>
      </c>
      <c r="AE74" s="37" t="s">
        <v>1989</v>
      </c>
      <c r="AF74" s="37" t="s">
        <v>1989</v>
      </c>
      <c r="AG74" s="37"/>
      <c r="AH74" s="37" t="s">
        <v>1989</v>
      </c>
      <c r="AI74" s="37" t="s">
        <v>1989</v>
      </c>
      <c r="AJ74" s="37" t="s">
        <v>1989</v>
      </c>
      <c r="AK74" s="37" t="s">
        <v>1989</v>
      </c>
      <c r="AL74" s="37" t="s">
        <v>1989</v>
      </c>
      <c r="AM74" s="37"/>
      <c r="AN74" s="37"/>
      <c r="AO74" s="37"/>
      <c r="AP74" s="37" t="s">
        <v>1989</v>
      </c>
      <c r="AQ74" s="37" t="s">
        <v>1989</v>
      </c>
      <c r="AR74" s="37" t="s">
        <v>1989</v>
      </c>
      <c r="AS74" s="37" t="s">
        <v>1989</v>
      </c>
      <c r="AT74" s="37" t="s">
        <v>1989</v>
      </c>
      <c r="AU74" s="37" t="s">
        <v>1989</v>
      </c>
      <c r="AV74" s="37" t="s">
        <v>1989</v>
      </c>
      <c r="AW74" s="37" t="s">
        <v>1989</v>
      </c>
      <c r="AX74" s="37"/>
      <c r="AY74" s="37"/>
      <c r="AZ74" s="37"/>
      <c r="BA74" s="37" t="s">
        <v>1989</v>
      </c>
      <c r="BB74" s="37" t="s">
        <v>1989</v>
      </c>
      <c r="BC74" s="37" t="s">
        <v>1989</v>
      </c>
      <c r="BD74" s="37" t="s">
        <v>1989</v>
      </c>
      <c r="BE74" s="37"/>
      <c r="BF74" s="37"/>
      <c r="BG74" s="37" t="s">
        <v>1989</v>
      </c>
      <c r="BH74" s="37" t="s">
        <v>1989</v>
      </c>
      <c r="BI74" s="37" t="s">
        <v>1989</v>
      </c>
      <c r="BJ74" s="37" t="s">
        <v>1989</v>
      </c>
      <c r="BK74" s="37"/>
      <c r="BL74" s="37"/>
      <c r="BM74" s="37"/>
      <c r="BN74" s="37"/>
      <c r="BO74" s="37"/>
      <c r="BP74" s="37"/>
      <c r="BQ74" s="37"/>
      <c r="BR74" s="37"/>
      <c r="BS74" s="37"/>
      <c r="BT74" s="37"/>
      <c r="BU74" s="37" t="s">
        <v>1989</v>
      </c>
      <c r="BV74" s="37" t="s">
        <v>1989</v>
      </c>
      <c r="BW74" s="37" t="s">
        <v>1989</v>
      </c>
    </row>
    <row r="75" spans="1:75" ht="15" customHeight="1">
      <c r="A75" s="37" t="s">
        <v>1989</v>
      </c>
      <c r="B75" s="37" t="s">
        <v>1989</v>
      </c>
      <c r="C75" s="37" t="s">
        <v>1989</v>
      </c>
      <c r="D75" s="37" t="s">
        <v>1989</v>
      </c>
      <c r="E75" s="37" t="s">
        <v>1989</v>
      </c>
      <c r="F75" s="37" t="s">
        <v>1989</v>
      </c>
      <c r="G75" s="37"/>
      <c r="H75" s="39">
        <v>31</v>
      </c>
      <c r="I75" s="37"/>
      <c r="J75" s="37"/>
      <c r="K75" s="37"/>
      <c r="L75" s="37"/>
      <c r="M75" s="37" t="s">
        <v>1989</v>
      </c>
      <c r="N75" s="37" t="s">
        <v>1989</v>
      </c>
      <c r="O75" s="37" t="s">
        <v>1989</v>
      </c>
      <c r="P75" s="37" t="s">
        <v>1989</v>
      </c>
      <c r="Q75" s="37"/>
      <c r="R75" s="37"/>
      <c r="S75" s="37"/>
      <c r="T75" s="37"/>
      <c r="U75" s="37" t="s">
        <v>1989</v>
      </c>
      <c r="V75" s="37" t="s">
        <v>1989</v>
      </c>
      <c r="W75" s="37" t="s">
        <v>1989</v>
      </c>
      <c r="X75" s="37"/>
      <c r="Y75" s="37"/>
      <c r="Z75" s="37"/>
      <c r="AA75" s="37"/>
      <c r="AB75" s="37"/>
      <c r="AC75" s="37" t="s">
        <v>1989</v>
      </c>
      <c r="AD75" s="37" t="s">
        <v>1989</v>
      </c>
      <c r="AE75" s="37" t="s">
        <v>1989</v>
      </c>
      <c r="AF75" s="37" t="s">
        <v>1989</v>
      </c>
      <c r="AG75" s="37"/>
      <c r="AH75" s="37" t="s">
        <v>1989</v>
      </c>
      <c r="AI75" s="37" t="s">
        <v>1989</v>
      </c>
      <c r="AJ75" s="37" t="s">
        <v>1989</v>
      </c>
      <c r="AK75" s="37" t="s">
        <v>1989</v>
      </c>
      <c r="AL75" s="37"/>
      <c r="AM75" s="37"/>
      <c r="AN75" s="37"/>
      <c r="AO75" s="37"/>
      <c r="AP75" s="37" t="s">
        <v>1989</v>
      </c>
      <c r="AQ75" s="37" t="s">
        <v>1989</v>
      </c>
      <c r="AR75" s="37" t="s">
        <v>1989</v>
      </c>
      <c r="AS75" s="37" t="s">
        <v>1989</v>
      </c>
      <c r="AT75" s="37" t="s">
        <v>1989</v>
      </c>
      <c r="AU75" s="37" t="s">
        <v>1989</v>
      </c>
      <c r="AV75" s="37" t="s">
        <v>1989</v>
      </c>
      <c r="AW75" s="37"/>
      <c r="AX75" s="37"/>
      <c r="AY75" s="37"/>
      <c r="AZ75" s="37"/>
      <c r="BA75" s="37" t="s">
        <v>1989</v>
      </c>
      <c r="BB75" s="37" t="s">
        <v>1989</v>
      </c>
      <c r="BC75" s="37" t="s">
        <v>1989</v>
      </c>
      <c r="BD75" s="37" t="s">
        <v>1989</v>
      </c>
      <c r="BE75" s="37"/>
      <c r="BF75" s="37"/>
      <c r="BG75" s="37" t="s">
        <v>1989</v>
      </c>
      <c r="BH75" s="37" t="s">
        <v>1989</v>
      </c>
      <c r="BI75" s="37" t="s">
        <v>1989</v>
      </c>
      <c r="BJ75" s="37" t="s">
        <v>1989</v>
      </c>
      <c r="BK75" s="37"/>
      <c r="BL75" s="42">
        <v>37</v>
      </c>
      <c r="BM75" s="37"/>
      <c r="BN75" s="37"/>
      <c r="BO75" s="37"/>
      <c r="BP75" s="37"/>
      <c r="BQ75" s="37"/>
      <c r="BR75" s="37"/>
      <c r="BS75" s="37"/>
      <c r="BT75" s="37"/>
      <c r="BU75" s="37" t="s">
        <v>1989</v>
      </c>
      <c r="BV75" s="37" t="s">
        <v>1989</v>
      </c>
      <c r="BW75" s="37" t="s">
        <v>1989</v>
      </c>
    </row>
    <row r="76" spans="1:75" ht="15" customHeight="1">
      <c r="A76" s="37" t="s">
        <v>1989</v>
      </c>
      <c r="B76" s="37" t="s">
        <v>1989</v>
      </c>
      <c r="C76" s="37" t="s">
        <v>1989</v>
      </c>
      <c r="D76" s="37" t="s">
        <v>1989</v>
      </c>
      <c r="E76" s="37" t="s">
        <v>1989</v>
      </c>
      <c r="F76" s="37" t="s">
        <v>1989</v>
      </c>
      <c r="G76" s="37"/>
      <c r="H76" s="37"/>
      <c r="I76" s="37"/>
      <c r="J76" s="40"/>
      <c r="K76" s="37"/>
      <c r="L76" s="37"/>
      <c r="M76" s="37"/>
      <c r="N76" s="37" t="s">
        <v>1989</v>
      </c>
      <c r="O76" s="37" t="s">
        <v>1989</v>
      </c>
      <c r="P76" s="37" t="s">
        <v>1989</v>
      </c>
      <c r="Q76" s="37"/>
      <c r="R76" s="37"/>
      <c r="S76" s="37"/>
      <c r="T76" s="37"/>
      <c r="U76" s="37" t="s">
        <v>1989</v>
      </c>
      <c r="V76" s="37" t="s">
        <v>1989</v>
      </c>
      <c r="W76" s="37" t="s">
        <v>1989</v>
      </c>
      <c r="X76" s="37" t="s">
        <v>1989</v>
      </c>
      <c r="Y76" s="37"/>
      <c r="Z76" s="37"/>
      <c r="AA76" s="37"/>
      <c r="AB76" s="37"/>
      <c r="AC76" s="37"/>
      <c r="AD76" s="37" t="s">
        <v>1989</v>
      </c>
      <c r="AE76" s="37" t="s">
        <v>1989</v>
      </c>
      <c r="AF76" s="37" t="s">
        <v>1989</v>
      </c>
      <c r="AG76" s="37"/>
      <c r="AH76" s="37"/>
      <c r="AI76" s="37" t="s">
        <v>1989</v>
      </c>
      <c r="AJ76" s="37" t="s">
        <v>1989</v>
      </c>
      <c r="AK76" s="37"/>
      <c r="AL76" s="37"/>
      <c r="AM76" s="37"/>
      <c r="AN76" s="37"/>
      <c r="AO76" s="37" t="s">
        <v>1989</v>
      </c>
      <c r="AP76" s="37" t="s">
        <v>1989</v>
      </c>
      <c r="AQ76" s="37" t="s">
        <v>1989</v>
      </c>
      <c r="AR76" s="37" t="s">
        <v>1989</v>
      </c>
      <c r="AS76" s="37" t="s">
        <v>1989</v>
      </c>
      <c r="AT76" s="37" t="s">
        <v>1989</v>
      </c>
      <c r="AU76" s="37" t="s">
        <v>1989</v>
      </c>
      <c r="AV76" s="37"/>
      <c r="AW76" s="37"/>
      <c r="AX76" s="37"/>
      <c r="AY76" s="37"/>
      <c r="AZ76" s="37" t="s">
        <v>1989</v>
      </c>
      <c r="BA76" s="37"/>
      <c r="BB76" s="37"/>
      <c r="BC76" s="37"/>
      <c r="BD76" s="37"/>
      <c r="BE76" s="37"/>
      <c r="BF76" s="37"/>
      <c r="BG76" s="37"/>
      <c r="BH76" s="37"/>
      <c r="BI76" s="37"/>
      <c r="BJ76" s="37"/>
      <c r="BK76" s="37"/>
      <c r="BL76" s="37"/>
      <c r="BM76" s="37"/>
      <c r="BN76" s="37"/>
      <c r="BO76" s="37" t="s">
        <v>1989</v>
      </c>
      <c r="BP76" s="37" t="s">
        <v>1989</v>
      </c>
      <c r="BQ76" s="37" t="s">
        <v>1989</v>
      </c>
      <c r="BR76" s="37" t="s">
        <v>1989</v>
      </c>
      <c r="BS76" s="37" t="s">
        <v>1989</v>
      </c>
      <c r="BT76" s="37" t="s">
        <v>1989</v>
      </c>
      <c r="BU76" s="37" t="s">
        <v>1989</v>
      </c>
      <c r="BV76" s="37" t="s">
        <v>1989</v>
      </c>
      <c r="BW76" s="37" t="s">
        <v>1989</v>
      </c>
    </row>
    <row r="77" spans="1:75" ht="15" customHeight="1">
      <c r="A77" s="37" t="s">
        <v>1989</v>
      </c>
      <c r="B77" s="37" t="s">
        <v>1989</v>
      </c>
      <c r="C77" s="37" t="s">
        <v>1989</v>
      </c>
      <c r="D77" s="37" t="s">
        <v>1989</v>
      </c>
      <c r="E77" s="37" t="s">
        <v>1989</v>
      </c>
      <c r="F77" s="37" t="s">
        <v>1989</v>
      </c>
      <c r="G77" s="37"/>
      <c r="H77" s="37"/>
      <c r="I77" s="37"/>
      <c r="J77" s="37"/>
      <c r="K77" s="37" t="s">
        <v>1989</v>
      </c>
      <c r="L77" s="37"/>
      <c r="M77" s="37"/>
      <c r="N77" s="37"/>
      <c r="O77" s="37" t="s">
        <v>1989</v>
      </c>
      <c r="P77" s="37" t="s">
        <v>1989</v>
      </c>
      <c r="Q77" s="37"/>
      <c r="R77" s="37"/>
      <c r="S77" s="37"/>
      <c r="T77" s="37"/>
      <c r="U77" s="37" t="s">
        <v>1989</v>
      </c>
      <c r="V77" s="37" t="s">
        <v>1989</v>
      </c>
      <c r="W77" s="37" t="s">
        <v>1989</v>
      </c>
      <c r="X77" s="37" t="s">
        <v>1989</v>
      </c>
      <c r="Y77" s="37" t="s">
        <v>1989</v>
      </c>
      <c r="Z77" s="37"/>
      <c r="AA77" s="37"/>
      <c r="AB77" s="37"/>
      <c r="AC77" s="37"/>
      <c r="AD77" s="37"/>
      <c r="AE77" s="37" t="s">
        <v>1989</v>
      </c>
      <c r="AF77" s="37" t="s">
        <v>1989</v>
      </c>
      <c r="AG77" s="37"/>
      <c r="AH77" s="37"/>
      <c r="AI77" s="37" t="s">
        <v>1989</v>
      </c>
      <c r="AJ77" s="37"/>
      <c r="AK77" s="37"/>
      <c r="AL77" s="37"/>
      <c r="AM77" s="37"/>
      <c r="AN77" s="37" t="s">
        <v>1989</v>
      </c>
      <c r="AO77" s="37" t="s">
        <v>1989</v>
      </c>
      <c r="AP77" s="37" t="s">
        <v>1989</v>
      </c>
      <c r="AQ77" s="37" t="s">
        <v>1989</v>
      </c>
      <c r="AR77" s="37" t="s">
        <v>1989</v>
      </c>
      <c r="AS77" s="37" t="s">
        <v>1989</v>
      </c>
      <c r="AT77" s="37" t="s">
        <v>1989</v>
      </c>
      <c r="AU77" s="37"/>
      <c r="AV77" s="37"/>
      <c r="AW77" s="37"/>
      <c r="AX77" s="37"/>
      <c r="AY77" s="37" t="s">
        <v>1989</v>
      </c>
      <c r="AZ77" s="37" t="s">
        <v>1989</v>
      </c>
      <c r="BA77" s="37"/>
      <c r="BB77" s="37"/>
      <c r="BC77" s="37"/>
      <c r="BD77" s="37"/>
      <c r="BE77" s="37"/>
      <c r="BF77" s="37"/>
      <c r="BG77" s="37"/>
      <c r="BH77" s="37"/>
      <c r="BI77" s="37"/>
      <c r="BJ77" s="37"/>
      <c r="BK77" s="37"/>
      <c r="BL77" s="37"/>
      <c r="BM77" s="37"/>
      <c r="BN77" s="37"/>
      <c r="BO77" s="37" t="s">
        <v>1989</v>
      </c>
      <c r="BP77" s="37"/>
      <c r="BQ77" s="37"/>
      <c r="BR77" s="37"/>
      <c r="BS77" s="37"/>
      <c r="BT77" s="37"/>
      <c r="BU77" s="37" t="s">
        <v>1989</v>
      </c>
      <c r="BV77" s="37" t="s">
        <v>1989</v>
      </c>
      <c r="BW77" s="37" t="s">
        <v>1989</v>
      </c>
    </row>
    <row r="78" spans="1:75" ht="15" customHeight="1">
      <c r="A78" s="37" t="s">
        <v>1989</v>
      </c>
      <c r="B78" s="37" t="s">
        <v>1989</v>
      </c>
      <c r="C78" s="37" t="s">
        <v>1989</v>
      </c>
      <c r="D78" s="37" t="s">
        <v>1989</v>
      </c>
      <c r="E78" s="37" t="s">
        <v>1989</v>
      </c>
      <c r="F78" s="37" t="s">
        <v>1989</v>
      </c>
      <c r="G78" s="37" t="s">
        <v>1989</v>
      </c>
      <c r="H78" s="37" t="s">
        <v>1989</v>
      </c>
      <c r="I78" s="37" t="s">
        <v>1989</v>
      </c>
      <c r="J78" s="37" t="s">
        <v>1989</v>
      </c>
      <c r="K78" s="37" t="s">
        <v>1989</v>
      </c>
      <c r="L78" s="37" t="s">
        <v>1989</v>
      </c>
      <c r="M78" s="37"/>
      <c r="N78" s="37"/>
      <c r="O78" s="37"/>
      <c r="P78" s="37"/>
      <c r="Q78" s="37"/>
      <c r="R78" s="37"/>
      <c r="S78" s="37"/>
      <c r="T78" s="37"/>
      <c r="U78" s="37" t="s">
        <v>1989</v>
      </c>
      <c r="V78" s="37" t="s">
        <v>1989</v>
      </c>
      <c r="W78" s="37" t="s">
        <v>1989</v>
      </c>
      <c r="X78" s="37" t="s">
        <v>1989</v>
      </c>
      <c r="Y78" s="37" t="s">
        <v>1989</v>
      </c>
      <c r="Z78" s="37" t="s">
        <v>1989</v>
      </c>
      <c r="AA78" s="37"/>
      <c r="AB78" s="37"/>
      <c r="AC78" s="37"/>
      <c r="AD78" s="37"/>
      <c r="AE78" s="37"/>
      <c r="AF78" s="37" t="s">
        <v>1989</v>
      </c>
      <c r="AG78" s="37" t="s">
        <v>1989</v>
      </c>
      <c r="AH78" s="37" t="s">
        <v>1989</v>
      </c>
      <c r="AI78" s="37"/>
      <c r="AJ78" s="37"/>
      <c r="AK78" s="37"/>
      <c r="AL78" s="37"/>
      <c r="AM78" s="37" t="s">
        <v>1989</v>
      </c>
      <c r="AN78" s="37" t="s">
        <v>1989</v>
      </c>
      <c r="AO78" s="37" t="s">
        <v>1989</v>
      </c>
      <c r="AP78" s="37" t="s">
        <v>1989</v>
      </c>
      <c r="AQ78" s="37" t="s">
        <v>1989</v>
      </c>
      <c r="AR78" s="37" t="s">
        <v>1989</v>
      </c>
      <c r="AS78" s="37" t="s">
        <v>1989</v>
      </c>
      <c r="AT78" s="37" t="s">
        <v>1989</v>
      </c>
      <c r="AU78" s="37"/>
      <c r="AV78" s="37"/>
      <c r="AW78" s="37"/>
      <c r="AX78" s="37" t="s">
        <v>1989</v>
      </c>
      <c r="AY78" s="37" t="s">
        <v>1989</v>
      </c>
      <c r="AZ78" s="37" t="s">
        <v>1989</v>
      </c>
      <c r="BA78" s="37" t="s">
        <v>1989</v>
      </c>
      <c r="BB78" s="37" t="s">
        <v>1989</v>
      </c>
      <c r="BC78" s="37" t="s">
        <v>1989</v>
      </c>
      <c r="BD78" s="37" t="s">
        <v>1989</v>
      </c>
      <c r="BE78" s="37"/>
      <c r="BF78" s="37"/>
      <c r="BG78" s="37" t="s">
        <v>1989</v>
      </c>
      <c r="BH78" s="37" t="s">
        <v>1989</v>
      </c>
      <c r="BI78" s="37" t="s">
        <v>1989</v>
      </c>
      <c r="BJ78" s="37" t="s">
        <v>1989</v>
      </c>
      <c r="BK78" s="37" t="s">
        <v>1989</v>
      </c>
      <c r="BL78" s="37" t="s">
        <v>1989</v>
      </c>
      <c r="BM78" s="37" t="s">
        <v>1989</v>
      </c>
      <c r="BN78" s="37" t="s">
        <v>1989</v>
      </c>
      <c r="BO78" s="37"/>
      <c r="BP78" s="37"/>
      <c r="BQ78" s="37"/>
      <c r="BR78" s="37"/>
      <c r="BS78" s="37"/>
      <c r="BT78" s="37"/>
      <c r="BU78" s="37" t="s">
        <v>1989</v>
      </c>
      <c r="BV78" s="37" t="s">
        <v>1989</v>
      </c>
      <c r="BW78" s="37" t="s">
        <v>1989</v>
      </c>
    </row>
    <row r="79" spans="1:75" ht="15" customHeight="1">
      <c r="A79" s="37" t="s">
        <v>1989</v>
      </c>
      <c r="B79" s="37" t="s">
        <v>1989</v>
      </c>
      <c r="C79" s="37" t="s">
        <v>1989</v>
      </c>
      <c r="D79" s="37" t="s">
        <v>1989</v>
      </c>
      <c r="E79" s="37" t="s">
        <v>1989</v>
      </c>
      <c r="F79" s="37" t="s">
        <v>1989</v>
      </c>
      <c r="G79" s="37" t="s">
        <v>1989</v>
      </c>
      <c r="H79" s="37" t="s">
        <v>1989</v>
      </c>
      <c r="I79" s="37" t="s">
        <v>1989</v>
      </c>
      <c r="J79" s="37" t="s">
        <v>1989</v>
      </c>
      <c r="K79" s="37" t="s">
        <v>1989</v>
      </c>
      <c r="L79" s="37" t="s">
        <v>1989</v>
      </c>
      <c r="M79" s="37" t="s">
        <v>1989</v>
      </c>
      <c r="N79" s="37"/>
      <c r="O79" s="37"/>
      <c r="P79" s="37"/>
      <c r="Q79" s="37"/>
      <c r="R79" s="37"/>
      <c r="S79" s="37"/>
      <c r="T79" s="37"/>
      <c r="U79" s="37" t="s">
        <v>1989</v>
      </c>
      <c r="V79" s="37" t="s">
        <v>1989</v>
      </c>
      <c r="W79" s="37" t="s">
        <v>1989</v>
      </c>
      <c r="X79" s="37" t="s">
        <v>1989</v>
      </c>
      <c r="Y79" s="37" t="s">
        <v>1989</v>
      </c>
      <c r="Z79" s="37" t="s">
        <v>1989</v>
      </c>
      <c r="AA79" s="37" t="s">
        <v>1989</v>
      </c>
      <c r="AB79" s="37"/>
      <c r="AC79" s="37"/>
      <c r="AD79" s="37"/>
      <c r="AE79" s="37"/>
      <c r="AF79" s="37"/>
      <c r="AG79" s="37" t="s">
        <v>1989</v>
      </c>
      <c r="AH79" s="37" t="s">
        <v>1989</v>
      </c>
      <c r="AI79" s="37"/>
      <c r="AJ79" s="37"/>
      <c r="AK79" s="37"/>
      <c r="AL79" s="37" t="s">
        <v>1989</v>
      </c>
      <c r="AM79" s="37" t="s">
        <v>1989</v>
      </c>
      <c r="AN79" s="37" t="s">
        <v>1989</v>
      </c>
      <c r="AO79" s="37" t="s">
        <v>1989</v>
      </c>
      <c r="AP79" s="37" t="s">
        <v>1989</v>
      </c>
      <c r="AQ79" s="37" t="s">
        <v>1989</v>
      </c>
      <c r="AR79" s="37" t="s">
        <v>1989</v>
      </c>
      <c r="AS79" s="37" t="s">
        <v>1989</v>
      </c>
      <c r="AT79" s="37"/>
      <c r="AU79" s="37"/>
      <c r="AV79" s="37"/>
      <c r="AW79" s="37" t="s">
        <v>1989</v>
      </c>
      <c r="AX79" s="37" t="s">
        <v>1989</v>
      </c>
      <c r="AY79" s="37" t="s">
        <v>1989</v>
      </c>
      <c r="AZ79" s="37" t="s">
        <v>1989</v>
      </c>
      <c r="BA79" s="37" t="s">
        <v>1989</v>
      </c>
      <c r="BB79" s="37" t="s">
        <v>1989</v>
      </c>
      <c r="BC79" s="37" t="s">
        <v>1989</v>
      </c>
      <c r="BD79" s="37" t="s">
        <v>1989</v>
      </c>
      <c r="BE79" s="37"/>
      <c r="BF79" s="37"/>
      <c r="BG79" s="37" t="s">
        <v>1989</v>
      </c>
      <c r="BH79" s="37" t="s">
        <v>1989</v>
      </c>
      <c r="BI79" s="37" t="s">
        <v>1989</v>
      </c>
      <c r="BJ79" s="37" t="s">
        <v>1989</v>
      </c>
      <c r="BK79" s="37" t="s">
        <v>1989</v>
      </c>
      <c r="BL79" s="37" t="s">
        <v>1989</v>
      </c>
      <c r="BM79" s="37" t="s">
        <v>1989</v>
      </c>
      <c r="BN79" s="37" t="s">
        <v>1989</v>
      </c>
      <c r="BO79" s="37"/>
      <c r="BP79" s="37"/>
      <c r="BQ79" s="37"/>
      <c r="BR79" s="42">
        <v>38</v>
      </c>
      <c r="BS79" s="37"/>
      <c r="BT79" s="37"/>
      <c r="BU79" s="37" t="s">
        <v>1989</v>
      </c>
      <c r="BV79" s="37" t="s">
        <v>1989</v>
      </c>
      <c r="BW79" s="37" t="s">
        <v>1989</v>
      </c>
    </row>
    <row r="80" spans="1:75" ht="15" customHeight="1">
      <c r="A80" s="37" t="s">
        <v>1989</v>
      </c>
      <c r="B80" s="37" t="s">
        <v>1989</v>
      </c>
      <c r="C80" s="37" t="s">
        <v>1989</v>
      </c>
      <c r="D80" s="37" t="s">
        <v>1989</v>
      </c>
      <c r="E80" s="37" t="s">
        <v>1989</v>
      </c>
      <c r="F80" s="37" t="s">
        <v>1989</v>
      </c>
      <c r="G80" s="37" t="s">
        <v>1989</v>
      </c>
      <c r="H80" s="37" t="s">
        <v>1989</v>
      </c>
      <c r="I80" s="37" t="s">
        <v>1989</v>
      </c>
      <c r="J80" s="37" t="s">
        <v>1989</v>
      </c>
      <c r="K80" s="37" t="s">
        <v>1989</v>
      </c>
      <c r="L80" s="37" t="s">
        <v>1989</v>
      </c>
      <c r="M80" s="37" t="s">
        <v>1989</v>
      </c>
      <c r="N80" s="37" t="s">
        <v>1989</v>
      </c>
      <c r="O80" s="37" t="s">
        <v>1989</v>
      </c>
      <c r="P80" s="37" t="s">
        <v>1989</v>
      </c>
      <c r="Q80" s="37" t="s">
        <v>1989</v>
      </c>
      <c r="R80" s="37" t="s">
        <v>1989</v>
      </c>
      <c r="S80" s="37"/>
      <c r="T80" s="37"/>
      <c r="U80" s="37"/>
      <c r="V80" s="37"/>
      <c r="W80" s="37"/>
      <c r="X80" s="37"/>
      <c r="Y80" s="37" t="s">
        <v>1989</v>
      </c>
      <c r="Z80" s="37" t="s">
        <v>1989</v>
      </c>
      <c r="AA80" s="37" t="s">
        <v>1989</v>
      </c>
      <c r="AB80" s="37" t="s">
        <v>1989</v>
      </c>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t="s">
        <v>1989</v>
      </c>
      <c r="BB80" s="37" t="s">
        <v>1989</v>
      </c>
      <c r="BC80" s="37" t="s">
        <v>1989</v>
      </c>
      <c r="BD80" s="37" t="s">
        <v>1989</v>
      </c>
      <c r="BE80" s="37"/>
      <c r="BF80" s="37"/>
      <c r="BG80" s="37"/>
      <c r="BH80" s="37"/>
      <c r="BI80" s="37"/>
      <c r="BJ80" s="37"/>
      <c r="BK80" s="37"/>
      <c r="BL80" s="37"/>
      <c r="BM80" s="37"/>
      <c r="BN80" s="37"/>
      <c r="BO80" s="37"/>
      <c r="BP80" s="37"/>
      <c r="BQ80" s="37"/>
      <c r="BR80" s="37"/>
      <c r="BS80" s="37"/>
      <c r="BT80" s="37"/>
      <c r="BU80" s="37" t="s">
        <v>1989</v>
      </c>
      <c r="BV80" s="37" t="s">
        <v>1989</v>
      </c>
      <c r="BW80" s="37" t="s">
        <v>1989</v>
      </c>
    </row>
    <row r="81" spans="1:75" ht="15" customHeight="1">
      <c r="A81" s="37" t="s">
        <v>1989</v>
      </c>
      <c r="B81" s="37" t="s">
        <v>1989</v>
      </c>
      <c r="C81" s="37" t="s">
        <v>1989</v>
      </c>
      <c r="D81" s="37" t="s">
        <v>1989</v>
      </c>
      <c r="E81" s="37" t="s">
        <v>1989</v>
      </c>
      <c r="F81" s="37" t="s">
        <v>1989</v>
      </c>
      <c r="G81" s="37" t="s">
        <v>1989</v>
      </c>
      <c r="H81" s="37" t="s">
        <v>1989</v>
      </c>
      <c r="I81" s="37" t="s">
        <v>1989</v>
      </c>
      <c r="J81" s="37" t="s">
        <v>1989</v>
      </c>
      <c r="K81" s="37" t="s">
        <v>1989</v>
      </c>
      <c r="L81" s="37" t="s">
        <v>1989</v>
      </c>
      <c r="M81" s="37" t="s">
        <v>1989</v>
      </c>
      <c r="N81" s="37" t="s">
        <v>1989</v>
      </c>
      <c r="O81" s="37" t="s">
        <v>1989</v>
      </c>
      <c r="P81" s="37" t="s">
        <v>1989</v>
      </c>
      <c r="Q81" s="37" t="s">
        <v>1989</v>
      </c>
      <c r="R81" s="37" t="s">
        <v>1989</v>
      </c>
      <c r="S81" s="37"/>
      <c r="T81" s="37"/>
      <c r="U81" s="37"/>
      <c r="V81" s="37"/>
      <c r="W81" s="37"/>
      <c r="X81" s="37"/>
      <c r="Y81" s="37" t="s">
        <v>1989</v>
      </c>
      <c r="Z81" s="37" t="s">
        <v>1989</v>
      </c>
      <c r="AA81" s="37" t="s">
        <v>1989</v>
      </c>
      <c r="AB81" s="37" t="s">
        <v>1989</v>
      </c>
      <c r="AC81" s="37" t="s">
        <v>1989</v>
      </c>
      <c r="AD81" s="37"/>
      <c r="AE81" s="37"/>
      <c r="AF81" s="37"/>
      <c r="AG81" s="37"/>
      <c r="AH81" s="37"/>
      <c r="AI81" s="42">
        <v>24</v>
      </c>
      <c r="AJ81" s="37"/>
      <c r="AK81" s="37"/>
      <c r="AL81" s="37"/>
      <c r="AM81" s="37"/>
      <c r="AN81" s="37"/>
      <c r="AO81" s="37"/>
      <c r="AP81" s="37"/>
      <c r="AQ81" s="37"/>
      <c r="AR81" s="37"/>
      <c r="AS81" s="37"/>
      <c r="AT81" s="37"/>
      <c r="AU81" s="37"/>
      <c r="AV81" s="37"/>
      <c r="AW81" s="37"/>
      <c r="AX81" s="37"/>
      <c r="AY81" s="37"/>
      <c r="AZ81" s="37"/>
      <c r="BA81" s="37" t="s">
        <v>1989</v>
      </c>
      <c r="BB81" s="37" t="s">
        <v>1989</v>
      </c>
      <c r="BC81" s="37" t="s">
        <v>1989</v>
      </c>
      <c r="BD81" s="37" t="s">
        <v>1989</v>
      </c>
      <c r="BE81" s="37"/>
      <c r="BF81" s="37"/>
      <c r="BG81" s="37"/>
      <c r="BH81" s="37"/>
      <c r="BI81" s="37"/>
      <c r="BJ81" s="37"/>
      <c r="BK81" s="37"/>
      <c r="BL81" s="37"/>
      <c r="BM81" s="37"/>
      <c r="BN81" s="37"/>
      <c r="BO81" s="37" t="s">
        <v>1989</v>
      </c>
      <c r="BP81" s="37"/>
      <c r="BQ81" s="37"/>
      <c r="BR81" s="37"/>
      <c r="BS81" s="37"/>
      <c r="BT81" s="37"/>
      <c r="BU81" s="37" t="s">
        <v>1989</v>
      </c>
      <c r="BV81" s="37" t="s">
        <v>1989</v>
      </c>
      <c r="BW81" s="37" t="s">
        <v>1989</v>
      </c>
    </row>
    <row r="82" spans="1:75" ht="15" customHeight="1">
      <c r="A82" s="37" t="s">
        <v>1989</v>
      </c>
      <c r="B82" s="37" t="s">
        <v>1989</v>
      </c>
      <c r="C82" s="37" t="s">
        <v>1989</v>
      </c>
      <c r="D82" s="37" t="s">
        <v>1989</v>
      </c>
      <c r="E82" s="37" t="s">
        <v>1989</v>
      </c>
      <c r="F82" s="37" t="s">
        <v>1989</v>
      </c>
      <c r="G82" s="37" t="s">
        <v>1989</v>
      </c>
      <c r="H82" s="37" t="s">
        <v>1989</v>
      </c>
      <c r="I82" s="37" t="s">
        <v>1989</v>
      </c>
      <c r="J82" s="37" t="s">
        <v>1989</v>
      </c>
      <c r="K82" s="37"/>
      <c r="L82" s="37"/>
      <c r="M82" s="37"/>
      <c r="N82" s="37"/>
      <c r="O82" s="37" t="s">
        <v>1989</v>
      </c>
      <c r="P82" s="37" t="s">
        <v>1989</v>
      </c>
      <c r="Q82" s="37" t="s">
        <v>1989</v>
      </c>
      <c r="R82" s="37" t="s">
        <v>1989</v>
      </c>
      <c r="S82" s="37" t="s">
        <v>1989</v>
      </c>
      <c r="T82" s="37" t="s">
        <v>1989</v>
      </c>
      <c r="U82" s="37" t="s">
        <v>1989</v>
      </c>
      <c r="V82" s="37" t="s">
        <v>1989</v>
      </c>
      <c r="W82" s="37"/>
      <c r="X82" s="37"/>
      <c r="Y82" s="37" t="s">
        <v>1989</v>
      </c>
      <c r="Z82" s="37" t="s">
        <v>1989</v>
      </c>
      <c r="AA82" s="37" t="s">
        <v>1989</v>
      </c>
      <c r="AB82" s="37" t="s">
        <v>1989</v>
      </c>
      <c r="AC82" s="37" t="s">
        <v>1989</v>
      </c>
      <c r="AD82" s="37" t="s">
        <v>1989</v>
      </c>
      <c r="AE82" s="37"/>
      <c r="AF82" s="37"/>
      <c r="AG82" s="37"/>
      <c r="AH82" s="37"/>
      <c r="AI82" s="37"/>
      <c r="AJ82" s="37"/>
      <c r="AK82" s="37"/>
      <c r="AL82" s="37"/>
      <c r="AM82" s="37"/>
      <c r="AN82" s="37"/>
      <c r="AO82" s="37" t="s">
        <v>1989</v>
      </c>
      <c r="AP82" s="37" t="s">
        <v>1989</v>
      </c>
      <c r="AQ82" s="37" t="s">
        <v>1989</v>
      </c>
      <c r="AR82" s="37" t="s">
        <v>1989</v>
      </c>
      <c r="AS82" s="37" t="s">
        <v>1989</v>
      </c>
      <c r="AT82" s="37"/>
      <c r="AU82" s="37"/>
      <c r="AV82" s="37"/>
      <c r="AW82" s="37" t="s">
        <v>1989</v>
      </c>
      <c r="AX82" s="37" t="s">
        <v>1989</v>
      </c>
      <c r="AY82" s="37"/>
      <c r="AZ82" s="37"/>
      <c r="BA82" s="37" t="s">
        <v>1989</v>
      </c>
      <c r="BB82" s="37" t="s">
        <v>1989</v>
      </c>
      <c r="BC82" s="37" t="s">
        <v>1989</v>
      </c>
      <c r="BD82" s="37" t="s">
        <v>1989</v>
      </c>
      <c r="BE82" s="37"/>
      <c r="BF82" s="37"/>
      <c r="BG82" s="37" t="s">
        <v>1989</v>
      </c>
      <c r="BH82" s="37" t="s">
        <v>1989</v>
      </c>
      <c r="BI82" s="37" t="s">
        <v>1989</v>
      </c>
      <c r="BJ82" s="37" t="s">
        <v>1989</v>
      </c>
      <c r="BK82" s="37" t="s">
        <v>1989</v>
      </c>
      <c r="BL82" s="37" t="s">
        <v>1989</v>
      </c>
      <c r="BM82" s="37" t="s">
        <v>1989</v>
      </c>
      <c r="BN82" s="37" t="s">
        <v>1989</v>
      </c>
      <c r="BO82" s="37" t="s">
        <v>1989</v>
      </c>
      <c r="BP82" s="37" t="s">
        <v>1989</v>
      </c>
      <c r="BQ82" s="37"/>
      <c r="BR82" s="37"/>
      <c r="BS82" s="37"/>
      <c r="BT82" s="37" t="s">
        <v>1989</v>
      </c>
      <c r="BU82" s="37" t="s">
        <v>1989</v>
      </c>
      <c r="BV82" s="37" t="s">
        <v>1989</v>
      </c>
      <c r="BW82" s="37" t="s">
        <v>1989</v>
      </c>
    </row>
    <row r="83" spans="1:75" ht="15" customHeight="1">
      <c r="A83" s="37" t="s">
        <v>1989</v>
      </c>
      <c r="B83" s="37" t="s">
        <v>1989</v>
      </c>
      <c r="C83" s="37" t="s">
        <v>1989</v>
      </c>
      <c r="D83" s="37" t="s">
        <v>1989</v>
      </c>
      <c r="E83" s="37" t="s">
        <v>1989</v>
      </c>
      <c r="F83" s="37" t="s">
        <v>1989</v>
      </c>
      <c r="G83" s="37" t="s">
        <v>1989</v>
      </c>
      <c r="H83" s="37" t="s">
        <v>1989</v>
      </c>
      <c r="I83" s="37" t="s">
        <v>1989</v>
      </c>
      <c r="J83" s="37" t="s">
        <v>1989</v>
      </c>
      <c r="K83" s="37"/>
      <c r="L83" s="42">
        <v>32</v>
      </c>
      <c r="M83" s="37"/>
      <c r="N83" s="37"/>
      <c r="O83" s="37" t="s">
        <v>1989</v>
      </c>
      <c r="P83" s="37" t="s">
        <v>1989</v>
      </c>
      <c r="Q83" s="37" t="s">
        <v>1989</v>
      </c>
      <c r="R83" s="37" t="s">
        <v>1989</v>
      </c>
      <c r="S83" s="37" t="s">
        <v>1989</v>
      </c>
      <c r="T83" s="37" t="s">
        <v>1989</v>
      </c>
      <c r="U83" s="37" t="s">
        <v>1989</v>
      </c>
      <c r="V83" s="37" t="s">
        <v>1989</v>
      </c>
      <c r="W83" s="37"/>
      <c r="X83" s="37"/>
      <c r="Y83" s="37" t="s">
        <v>1989</v>
      </c>
      <c r="Z83" s="37" t="s">
        <v>1989</v>
      </c>
      <c r="AA83" s="37" t="s">
        <v>1989</v>
      </c>
      <c r="AB83" s="37" t="s">
        <v>1989</v>
      </c>
      <c r="AC83" s="37" t="s">
        <v>1989</v>
      </c>
      <c r="AD83" s="37" t="s">
        <v>1989</v>
      </c>
      <c r="AE83" s="37" t="s">
        <v>1989</v>
      </c>
      <c r="AF83" s="37"/>
      <c r="AG83" s="37"/>
      <c r="AH83" s="37"/>
      <c r="AI83" s="37"/>
      <c r="AJ83" s="37"/>
      <c r="AK83" s="37"/>
      <c r="AL83" s="37"/>
      <c r="AM83" s="37"/>
      <c r="AN83" s="37"/>
      <c r="AO83" s="37" t="s">
        <v>1989</v>
      </c>
      <c r="AP83" s="37" t="s">
        <v>1989</v>
      </c>
      <c r="AQ83" s="37" t="s">
        <v>1989</v>
      </c>
      <c r="AR83" s="37" t="s">
        <v>1989</v>
      </c>
      <c r="AS83" s="37"/>
      <c r="AT83" s="37"/>
      <c r="AU83" s="37"/>
      <c r="AV83" s="37" t="s">
        <v>1989</v>
      </c>
      <c r="AW83" s="37" t="s">
        <v>1989</v>
      </c>
      <c r="AX83" s="37" t="s">
        <v>1989</v>
      </c>
      <c r="AY83" s="37"/>
      <c r="AZ83" s="37"/>
      <c r="BA83" s="37" t="s">
        <v>1989</v>
      </c>
      <c r="BB83" s="37" t="s">
        <v>1989</v>
      </c>
      <c r="BC83" s="37" t="s">
        <v>1989</v>
      </c>
      <c r="BD83" s="37" t="s">
        <v>1989</v>
      </c>
      <c r="BE83" s="37"/>
      <c r="BF83" s="37"/>
      <c r="BG83" s="37" t="s">
        <v>1989</v>
      </c>
      <c r="BH83" s="37" t="s">
        <v>1989</v>
      </c>
      <c r="BI83" s="37" t="s">
        <v>1989</v>
      </c>
      <c r="BJ83" s="37" t="s">
        <v>1989</v>
      </c>
      <c r="BK83" s="37" t="s">
        <v>1989</v>
      </c>
      <c r="BL83" s="37" t="s">
        <v>1989</v>
      </c>
      <c r="BM83" s="37" t="s">
        <v>1989</v>
      </c>
      <c r="BN83" s="37" t="s">
        <v>1989</v>
      </c>
      <c r="BO83" s="37" t="s">
        <v>1989</v>
      </c>
      <c r="BP83" s="37" t="s">
        <v>1989</v>
      </c>
      <c r="BQ83" s="37"/>
      <c r="BR83" s="37"/>
      <c r="BS83" s="37" t="s">
        <v>1989</v>
      </c>
      <c r="BT83" s="37" t="s">
        <v>1989</v>
      </c>
      <c r="BU83" s="37" t="s">
        <v>1989</v>
      </c>
      <c r="BV83" s="37" t="s">
        <v>1989</v>
      </c>
      <c r="BW83" s="37" t="s">
        <v>1989</v>
      </c>
    </row>
    <row r="84" spans="1:75" ht="15" customHeight="1">
      <c r="A84" s="37" t="s">
        <v>1989</v>
      </c>
      <c r="B84" s="37" t="s">
        <v>1989</v>
      </c>
      <c r="C84" s="37" t="s">
        <v>1989</v>
      </c>
      <c r="D84" s="37" t="s">
        <v>1989</v>
      </c>
      <c r="E84" s="37" t="s">
        <v>1989</v>
      </c>
      <c r="F84" s="37" t="s">
        <v>1989</v>
      </c>
      <c r="G84" s="37"/>
      <c r="H84" s="37"/>
      <c r="I84" s="37"/>
      <c r="J84" s="37"/>
      <c r="K84" s="47"/>
      <c r="L84" s="37"/>
      <c r="M84" s="37"/>
      <c r="N84" s="37"/>
      <c r="O84" s="37"/>
      <c r="P84" s="37"/>
      <c r="Q84" s="37"/>
      <c r="R84" s="37"/>
      <c r="S84" s="37"/>
      <c r="T84" s="37"/>
      <c r="U84" s="37"/>
      <c r="V84" s="37"/>
      <c r="W84" s="37"/>
      <c r="X84" s="37"/>
      <c r="Y84" s="37"/>
      <c r="Z84" s="37"/>
      <c r="AA84" s="37"/>
      <c r="AB84" s="37"/>
      <c r="AC84" s="37" t="s">
        <v>1989</v>
      </c>
      <c r="AD84" s="37" t="s">
        <v>1989</v>
      </c>
      <c r="AE84" s="37" t="s">
        <v>1989</v>
      </c>
      <c r="AF84" s="37" t="s">
        <v>1989</v>
      </c>
      <c r="AG84" s="37" t="s">
        <v>1989</v>
      </c>
      <c r="AH84" s="37" t="s">
        <v>1989</v>
      </c>
      <c r="AI84" s="37" t="s">
        <v>1989</v>
      </c>
      <c r="AJ84" s="37" t="s">
        <v>1989</v>
      </c>
      <c r="AK84" s="37" t="s">
        <v>1989</v>
      </c>
      <c r="AL84" s="37" t="s">
        <v>1989</v>
      </c>
      <c r="AM84" s="37" t="s">
        <v>1989</v>
      </c>
      <c r="AN84" s="37" t="s">
        <v>1989</v>
      </c>
      <c r="AO84" s="37" t="s">
        <v>1989</v>
      </c>
      <c r="AP84" s="37" t="s">
        <v>1989</v>
      </c>
      <c r="AQ84" s="37" t="s">
        <v>1989</v>
      </c>
      <c r="AR84" s="37"/>
      <c r="AS84" s="37"/>
      <c r="AT84" s="37"/>
      <c r="AU84" s="37" t="s">
        <v>1989</v>
      </c>
      <c r="AV84" s="37" t="s">
        <v>1989</v>
      </c>
      <c r="AW84" s="37" t="s">
        <v>1989</v>
      </c>
      <c r="AX84" s="37" t="s">
        <v>1989</v>
      </c>
      <c r="AY84" s="37"/>
      <c r="AZ84" s="37"/>
      <c r="BA84" s="37" t="s">
        <v>1989</v>
      </c>
      <c r="BB84" s="37" t="s">
        <v>1989</v>
      </c>
      <c r="BC84" s="37" t="s">
        <v>1989</v>
      </c>
      <c r="BD84" s="37" t="s">
        <v>1989</v>
      </c>
      <c r="BE84" s="37"/>
      <c r="BF84" s="37"/>
      <c r="BG84" s="37"/>
      <c r="BH84" s="37"/>
      <c r="BI84" s="37"/>
      <c r="BJ84" s="37"/>
      <c r="BK84" s="37"/>
      <c r="BL84" s="37"/>
      <c r="BM84" s="37"/>
      <c r="BN84" s="37"/>
      <c r="BO84" s="37"/>
      <c r="BP84" s="37"/>
      <c r="BQ84" s="37"/>
      <c r="BR84" s="37"/>
      <c r="BS84" s="37" t="s">
        <v>1989</v>
      </c>
      <c r="BT84" s="37" t="s">
        <v>1989</v>
      </c>
      <c r="BU84" s="37" t="s">
        <v>1989</v>
      </c>
      <c r="BV84" s="37" t="s">
        <v>1989</v>
      </c>
      <c r="BW84" s="37" t="s">
        <v>1989</v>
      </c>
    </row>
    <row r="85" spans="1:75" ht="15" customHeight="1" thickBot="1">
      <c r="A85" s="37" t="s">
        <v>1989</v>
      </c>
      <c r="B85" s="37" t="s">
        <v>1989</v>
      </c>
      <c r="C85" s="37" t="s">
        <v>1989</v>
      </c>
      <c r="D85" s="37" t="s">
        <v>1989</v>
      </c>
      <c r="E85" s="37" t="s">
        <v>1989</v>
      </c>
      <c r="F85" s="37" t="s">
        <v>1989</v>
      </c>
      <c r="G85" s="37"/>
      <c r="H85" s="37"/>
      <c r="I85" s="37"/>
      <c r="J85" s="37"/>
      <c r="K85" s="48"/>
      <c r="L85" s="37"/>
      <c r="M85" s="37"/>
      <c r="N85" s="37"/>
      <c r="O85" s="37"/>
      <c r="P85" s="37"/>
      <c r="Q85" s="37"/>
      <c r="R85" s="37"/>
      <c r="S85" s="37"/>
      <c r="T85" s="37"/>
      <c r="U85" s="37"/>
      <c r="V85" s="37"/>
      <c r="W85" s="37"/>
      <c r="X85" s="37"/>
      <c r="Y85" s="37"/>
      <c r="Z85" s="37"/>
      <c r="AA85" s="37"/>
      <c r="AB85" s="37"/>
      <c r="AC85" s="37" t="s">
        <v>1989</v>
      </c>
      <c r="AD85" s="37" t="s">
        <v>1989</v>
      </c>
      <c r="AE85" s="37" t="s">
        <v>1989</v>
      </c>
      <c r="AF85" s="37" t="s">
        <v>1989</v>
      </c>
      <c r="AG85" s="37" t="s">
        <v>1989</v>
      </c>
      <c r="AH85" s="37" t="s">
        <v>1989</v>
      </c>
      <c r="AI85" s="37" t="s">
        <v>1989</v>
      </c>
      <c r="AJ85" s="37" t="s">
        <v>1989</v>
      </c>
      <c r="AK85" s="37" t="s">
        <v>1989</v>
      </c>
      <c r="AL85" s="37" t="s">
        <v>1989</v>
      </c>
      <c r="AM85" s="37" t="s">
        <v>1989</v>
      </c>
      <c r="AN85" s="37" t="s">
        <v>1989</v>
      </c>
      <c r="AO85" s="37" t="s">
        <v>1989</v>
      </c>
      <c r="AP85" s="37" t="s">
        <v>1989</v>
      </c>
      <c r="AQ85" s="37"/>
      <c r="AR85" s="37"/>
      <c r="AS85" s="37"/>
      <c r="AT85" s="37" t="s">
        <v>1989</v>
      </c>
      <c r="AU85" s="37" t="s">
        <v>1989</v>
      </c>
      <c r="AV85" s="37" t="s">
        <v>1989</v>
      </c>
      <c r="AW85" s="37" t="s">
        <v>1989</v>
      </c>
      <c r="AX85" s="37" t="s">
        <v>1989</v>
      </c>
      <c r="AY85" s="37"/>
      <c r="AZ85" s="37"/>
      <c r="BA85" s="37"/>
      <c r="BB85" s="37"/>
      <c r="BC85" s="37"/>
      <c r="BD85" s="37"/>
      <c r="BE85" s="37"/>
      <c r="BF85" s="37"/>
      <c r="BG85" s="37"/>
      <c r="BH85" s="37"/>
      <c r="BI85" s="37"/>
      <c r="BJ85" s="37"/>
      <c r="BK85" s="37"/>
      <c r="BL85" s="37"/>
      <c r="BM85" s="37"/>
      <c r="BN85" s="37"/>
      <c r="BO85" s="37"/>
      <c r="BP85" s="37"/>
      <c r="BQ85" s="37"/>
      <c r="BR85" s="37"/>
      <c r="BS85" s="37" t="s">
        <v>1989</v>
      </c>
      <c r="BT85" s="37" t="s">
        <v>1989</v>
      </c>
      <c r="BU85" s="37" t="s">
        <v>1989</v>
      </c>
      <c r="BV85" s="37" t="s">
        <v>1989</v>
      </c>
      <c r="BW85" s="37" t="s">
        <v>1989</v>
      </c>
    </row>
    <row r="86" spans="1:75" ht="15" customHeight="1" thickTop="1">
      <c r="A86" s="37" t="s">
        <v>1989</v>
      </c>
      <c r="B86" s="37" t="s">
        <v>1989</v>
      </c>
      <c r="C86" s="37" t="s">
        <v>1989</v>
      </c>
      <c r="D86" s="37" t="s">
        <v>1989</v>
      </c>
      <c r="E86" s="37" t="s">
        <v>1989</v>
      </c>
      <c r="F86" s="37" t="s">
        <v>1989</v>
      </c>
      <c r="G86" s="37"/>
      <c r="H86" s="42">
        <v>33</v>
      </c>
      <c r="I86" s="37"/>
      <c r="J86" s="44"/>
      <c r="K86" s="44"/>
      <c r="L86" s="44"/>
      <c r="M86" s="44"/>
      <c r="N86" s="44"/>
      <c r="O86" s="44"/>
      <c r="P86" s="44"/>
      <c r="Q86" s="37"/>
      <c r="R86" s="37"/>
      <c r="S86" s="37" t="s">
        <v>1989</v>
      </c>
      <c r="T86" s="37" t="s">
        <v>1989</v>
      </c>
      <c r="U86" s="37" t="s">
        <v>1989</v>
      </c>
      <c r="V86" s="37" t="s">
        <v>1989</v>
      </c>
      <c r="W86" s="37" t="s">
        <v>1989</v>
      </c>
      <c r="X86" s="37" t="s">
        <v>1989</v>
      </c>
      <c r="Y86" s="37" t="s">
        <v>1989</v>
      </c>
      <c r="Z86" s="37" t="s">
        <v>1989</v>
      </c>
      <c r="AA86" s="37"/>
      <c r="AB86" s="37"/>
      <c r="AC86" s="37"/>
      <c r="AD86" s="37"/>
      <c r="AE86" s="37"/>
      <c r="AF86" s="37"/>
      <c r="AG86" s="37" t="s">
        <v>1989</v>
      </c>
      <c r="AH86" s="37" t="s">
        <v>1989</v>
      </c>
      <c r="AI86" s="37" t="s">
        <v>1989</v>
      </c>
      <c r="AJ86" s="37" t="s">
        <v>1989</v>
      </c>
      <c r="AK86" s="37" t="s">
        <v>1989</v>
      </c>
      <c r="AL86" s="37" t="s">
        <v>1989</v>
      </c>
      <c r="AM86" s="37" t="s">
        <v>1989</v>
      </c>
      <c r="AN86" s="37" t="s">
        <v>1989</v>
      </c>
      <c r="AO86" s="37" t="s">
        <v>1989</v>
      </c>
      <c r="AP86" s="37"/>
      <c r="AQ86" s="37"/>
      <c r="AR86" s="37"/>
      <c r="AS86" s="37" t="s">
        <v>1989</v>
      </c>
      <c r="AT86" s="37" t="s">
        <v>1989</v>
      </c>
      <c r="AU86" s="37" t="s">
        <v>1989</v>
      </c>
      <c r="AV86" s="37" t="s">
        <v>1989</v>
      </c>
      <c r="AW86" s="37" t="s">
        <v>1989</v>
      </c>
      <c r="AX86" s="37" t="s">
        <v>1989</v>
      </c>
      <c r="AY86" s="37" t="s">
        <v>1989</v>
      </c>
      <c r="AZ86" s="37" t="s">
        <v>1989</v>
      </c>
      <c r="BA86" s="37" t="s">
        <v>1989</v>
      </c>
      <c r="BB86" s="37" t="s">
        <v>1989</v>
      </c>
      <c r="BC86" s="37" t="s">
        <v>1989</v>
      </c>
      <c r="BD86" s="37" t="s">
        <v>1989</v>
      </c>
      <c r="BE86" s="37"/>
      <c r="BF86" s="37"/>
      <c r="BG86" s="37" t="s">
        <v>1989</v>
      </c>
      <c r="BH86" s="37" t="s">
        <v>1989</v>
      </c>
      <c r="BI86" s="37" t="s">
        <v>1989</v>
      </c>
      <c r="BJ86" s="37" t="s">
        <v>1989</v>
      </c>
      <c r="BK86" s="37" t="s">
        <v>1989</v>
      </c>
      <c r="BL86" s="37" t="s">
        <v>1989</v>
      </c>
      <c r="BM86" s="37" t="s">
        <v>1989</v>
      </c>
      <c r="BN86" s="37" t="s">
        <v>1989</v>
      </c>
      <c r="BO86" s="37" t="s">
        <v>1989</v>
      </c>
      <c r="BP86" s="37" t="s">
        <v>1989</v>
      </c>
      <c r="BQ86" s="37" t="s">
        <v>1989</v>
      </c>
      <c r="BR86" s="37" t="s">
        <v>1989</v>
      </c>
      <c r="BS86" s="37" t="s">
        <v>1989</v>
      </c>
      <c r="BT86" s="37" t="s">
        <v>1989</v>
      </c>
      <c r="BU86" s="37" t="s">
        <v>1989</v>
      </c>
      <c r="BV86" s="37" t="s">
        <v>1989</v>
      </c>
      <c r="BW86" s="37" t="s">
        <v>1989</v>
      </c>
    </row>
    <row r="87" spans="1:75" ht="15" customHeight="1">
      <c r="A87" s="37" t="s">
        <v>1989</v>
      </c>
      <c r="B87" s="37" t="s">
        <v>1989</v>
      </c>
      <c r="C87" s="37" t="s">
        <v>1989</v>
      </c>
      <c r="D87" s="37" t="s">
        <v>1989</v>
      </c>
      <c r="E87" s="37" t="s">
        <v>1989</v>
      </c>
      <c r="F87" s="37" t="s">
        <v>1989</v>
      </c>
      <c r="G87" s="37"/>
      <c r="H87" s="37"/>
      <c r="I87" s="37"/>
      <c r="J87" s="37"/>
      <c r="K87" s="37"/>
      <c r="L87" s="37"/>
      <c r="M87" s="37"/>
      <c r="N87" s="37"/>
      <c r="O87" s="37"/>
      <c r="P87" s="37"/>
      <c r="Q87" s="37"/>
      <c r="R87" s="37"/>
      <c r="S87" s="37" t="s">
        <v>1989</v>
      </c>
      <c r="T87" s="37" t="s">
        <v>1989</v>
      </c>
      <c r="U87" s="37" t="s">
        <v>1989</v>
      </c>
      <c r="V87" s="37" t="s">
        <v>1989</v>
      </c>
      <c r="W87" s="37" t="s">
        <v>1989</v>
      </c>
      <c r="X87" s="37" t="s">
        <v>1989</v>
      </c>
      <c r="Y87" s="37" t="s">
        <v>1989</v>
      </c>
      <c r="Z87" s="37" t="s">
        <v>1989</v>
      </c>
      <c r="AA87" s="37"/>
      <c r="AB87" s="37"/>
      <c r="AC87" s="37"/>
      <c r="AD87" s="37"/>
      <c r="AE87" s="37"/>
      <c r="AF87" s="37"/>
      <c r="AG87" s="37" t="s">
        <v>1989</v>
      </c>
      <c r="AH87" s="37" t="s">
        <v>1989</v>
      </c>
      <c r="AI87" s="37"/>
      <c r="AJ87" s="37"/>
      <c r="AK87" s="37"/>
      <c r="AL87" s="37"/>
      <c r="AM87" s="37"/>
      <c r="AN87" s="37"/>
      <c r="AO87" s="37"/>
      <c r="AP87" s="37"/>
      <c r="AQ87" s="37"/>
      <c r="AR87" s="37" t="s">
        <v>1989</v>
      </c>
      <c r="AS87" s="37" t="s">
        <v>1989</v>
      </c>
      <c r="AT87" s="37" t="s">
        <v>1989</v>
      </c>
      <c r="AU87" s="37" t="s">
        <v>1989</v>
      </c>
      <c r="AV87" s="37" t="s">
        <v>1989</v>
      </c>
      <c r="AW87" s="37" t="s">
        <v>1989</v>
      </c>
      <c r="AX87" s="37" t="s">
        <v>1989</v>
      </c>
      <c r="AY87" s="37" t="s">
        <v>1989</v>
      </c>
      <c r="AZ87" s="37" t="s">
        <v>1989</v>
      </c>
      <c r="BA87" s="37" t="s">
        <v>1989</v>
      </c>
      <c r="BB87" s="37" t="s">
        <v>1989</v>
      </c>
      <c r="BC87" s="37" t="s">
        <v>1989</v>
      </c>
      <c r="BD87" s="37" t="s">
        <v>1989</v>
      </c>
      <c r="BE87" s="37"/>
      <c r="BF87" s="37"/>
      <c r="BG87" s="37" t="s">
        <v>1989</v>
      </c>
      <c r="BH87" s="37" t="s">
        <v>1989</v>
      </c>
      <c r="BI87" s="37" t="s">
        <v>1989</v>
      </c>
      <c r="BJ87" s="37" t="s">
        <v>1989</v>
      </c>
      <c r="BK87" s="37" t="s">
        <v>1989</v>
      </c>
      <c r="BL87" s="37" t="s">
        <v>1989</v>
      </c>
      <c r="BM87" s="37" t="s">
        <v>1989</v>
      </c>
      <c r="BN87" s="37" t="s">
        <v>1989</v>
      </c>
      <c r="BO87" s="37" t="s">
        <v>1989</v>
      </c>
      <c r="BP87" s="37" t="s">
        <v>1989</v>
      </c>
      <c r="BQ87" s="37" t="s">
        <v>1989</v>
      </c>
      <c r="BR87" s="37" t="s">
        <v>1989</v>
      </c>
      <c r="BS87" s="37" t="s">
        <v>1989</v>
      </c>
      <c r="BT87" s="37" t="s">
        <v>1989</v>
      </c>
      <c r="BU87" s="37" t="s">
        <v>1989</v>
      </c>
      <c r="BV87" s="37" t="s">
        <v>1989</v>
      </c>
      <c r="BW87" s="37" t="s">
        <v>1989</v>
      </c>
    </row>
    <row r="88" spans="1:75" ht="15" customHeight="1">
      <c r="A88" s="37" t="s">
        <v>1989</v>
      </c>
      <c r="B88" s="37" t="s">
        <v>1989</v>
      </c>
      <c r="C88" s="37" t="s">
        <v>1989</v>
      </c>
      <c r="D88" s="37" t="s">
        <v>1989</v>
      </c>
      <c r="E88" s="37" t="s">
        <v>1989</v>
      </c>
      <c r="F88" s="37" t="s">
        <v>1989</v>
      </c>
      <c r="G88" s="37" t="s">
        <v>1989</v>
      </c>
      <c r="H88" s="37" t="s">
        <v>1989</v>
      </c>
      <c r="I88" s="37" t="s">
        <v>1989</v>
      </c>
      <c r="J88" s="37" t="s">
        <v>1989</v>
      </c>
      <c r="K88" s="37" t="s">
        <v>1989</v>
      </c>
      <c r="L88" s="37" t="s">
        <v>1989</v>
      </c>
      <c r="M88" s="37" t="s">
        <v>1989</v>
      </c>
      <c r="N88" s="37" t="s">
        <v>1989</v>
      </c>
      <c r="O88" s="37" t="s">
        <v>1989</v>
      </c>
      <c r="P88" s="37" t="s">
        <v>1989</v>
      </c>
      <c r="Q88" s="37" t="s">
        <v>1989</v>
      </c>
      <c r="R88" s="37" t="s">
        <v>1989</v>
      </c>
      <c r="S88" s="37" t="s">
        <v>1989</v>
      </c>
      <c r="T88" s="37" t="s">
        <v>1989</v>
      </c>
      <c r="U88" s="37" t="s">
        <v>1989</v>
      </c>
      <c r="V88" s="37" t="s">
        <v>1989</v>
      </c>
      <c r="W88" s="37" t="s">
        <v>1989</v>
      </c>
      <c r="X88" s="37" t="s">
        <v>1989</v>
      </c>
      <c r="Y88" s="37" t="s">
        <v>1989</v>
      </c>
      <c r="Z88" s="37" t="s">
        <v>1989</v>
      </c>
      <c r="AA88" s="37" t="s">
        <v>1989</v>
      </c>
      <c r="AB88" s="37" t="s">
        <v>1989</v>
      </c>
      <c r="AC88" s="37" t="s">
        <v>1989</v>
      </c>
      <c r="AD88" s="37" t="s">
        <v>1989</v>
      </c>
      <c r="AE88" s="37" t="s">
        <v>1989</v>
      </c>
      <c r="AF88" s="37" t="s">
        <v>1989</v>
      </c>
      <c r="AG88" s="37" t="s">
        <v>1989</v>
      </c>
      <c r="AH88" s="37" t="s">
        <v>1989</v>
      </c>
      <c r="AI88" s="37" t="s">
        <v>1989</v>
      </c>
      <c r="AJ88" s="37"/>
      <c r="AK88" s="37" t="s">
        <v>1989</v>
      </c>
      <c r="AL88" s="37" t="s">
        <v>1989</v>
      </c>
      <c r="AM88" s="37" t="s">
        <v>1989</v>
      </c>
      <c r="AN88" s="37" t="s">
        <v>1989</v>
      </c>
      <c r="AO88" s="37" t="s">
        <v>1989</v>
      </c>
      <c r="AP88" s="37" t="s">
        <v>1989</v>
      </c>
      <c r="AQ88" s="37" t="s">
        <v>1989</v>
      </c>
      <c r="AR88" s="37" t="s">
        <v>1989</v>
      </c>
      <c r="AS88" s="37" t="s">
        <v>1989</v>
      </c>
      <c r="AT88" s="37" t="s">
        <v>1989</v>
      </c>
      <c r="AU88" s="37" t="s">
        <v>1989</v>
      </c>
      <c r="AV88" s="37" t="s">
        <v>1989</v>
      </c>
      <c r="AW88" s="37" t="s">
        <v>1989</v>
      </c>
      <c r="AX88" s="37" t="s">
        <v>1989</v>
      </c>
      <c r="AY88" s="37" t="s">
        <v>1989</v>
      </c>
      <c r="AZ88" s="37" t="s">
        <v>1989</v>
      </c>
      <c r="BA88" s="37" t="s">
        <v>1989</v>
      </c>
      <c r="BB88" s="37" t="s">
        <v>1989</v>
      </c>
      <c r="BC88" s="37" t="s">
        <v>1989</v>
      </c>
      <c r="BD88" s="37" t="s">
        <v>1989</v>
      </c>
      <c r="BE88" s="37" t="s">
        <v>1989</v>
      </c>
      <c r="BF88" s="37" t="s">
        <v>1989</v>
      </c>
      <c r="BG88" s="37" t="s">
        <v>1989</v>
      </c>
      <c r="BH88" s="37" t="s">
        <v>1989</v>
      </c>
      <c r="BI88" s="37" t="s">
        <v>1989</v>
      </c>
      <c r="BJ88" s="37" t="s">
        <v>1989</v>
      </c>
      <c r="BK88" s="37" t="s">
        <v>1989</v>
      </c>
      <c r="BL88" s="37" t="s">
        <v>1989</v>
      </c>
      <c r="BM88" s="37" t="s">
        <v>1989</v>
      </c>
      <c r="BN88" s="37" t="s">
        <v>1989</v>
      </c>
      <c r="BO88" s="37" t="s">
        <v>1989</v>
      </c>
      <c r="BP88" s="37" t="s">
        <v>1989</v>
      </c>
      <c r="BQ88" s="37" t="s">
        <v>1989</v>
      </c>
      <c r="BR88" s="37" t="s">
        <v>1989</v>
      </c>
      <c r="BS88" s="37" t="s">
        <v>1989</v>
      </c>
      <c r="BT88" s="37" t="s">
        <v>1989</v>
      </c>
      <c r="BU88" s="37" t="s">
        <v>1989</v>
      </c>
      <c r="BV88" s="37" t="s">
        <v>1989</v>
      </c>
      <c r="BW88" s="37" t="s">
        <v>1989</v>
      </c>
    </row>
    <row r="89" spans="1:75" ht="15" customHeight="1">
      <c r="A89" s="37" t="s">
        <v>1989</v>
      </c>
      <c r="B89" s="37" t="s">
        <v>1989</v>
      </c>
      <c r="C89" s="37" t="s">
        <v>1989</v>
      </c>
      <c r="D89" s="37" t="s">
        <v>1989</v>
      </c>
      <c r="E89" s="37" t="s">
        <v>1989</v>
      </c>
      <c r="F89" s="37" t="s">
        <v>1989</v>
      </c>
      <c r="G89" s="37" t="s">
        <v>1989</v>
      </c>
      <c r="H89" s="37" t="s">
        <v>1989</v>
      </c>
      <c r="I89" s="37" t="s">
        <v>1989</v>
      </c>
      <c r="J89" s="37" t="s">
        <v>1989</v>
      </c>
      <c r="K89" s="37" t="s">
        <v>1989</v>
      </c>
      <c r="L89" s="37" t="s">
        <v>1989</v>
      </c>
      <c r="M89" s="37" t="s">
        <v>1989</v>
      </c>
      <c r="N89" s="37" t="s">
        <v>1989</v>
      </c>
      <c r="O89" s="37" t="s">
        <v>1989</v>
      </c>
      <c r="P89" s="37" t="s">
        <v>1989</v>
      </c>
      <c r="Q89" s="37" t="s">
        <v>1989</v>
      </c>
      <c r="R89" s="37" t="s">
        <v>1989</v>
      </c>
      <c r="S89" s="37" t="s">
        <v>1989</v>
      </c>
      <c r="T89" s="37" t="s">
        <v>1989</v>
      </c>
      <c r="U89" s="37" t="s">
        <v>1989</v>
      </c>
      <c r="V89" s="37" t="s">
        <v>1989</v>
      </c>
      <c r="W89" s="37" t="s">
        <v>1989</v>
      </c>
      <c r="X89" s="37" t="s">
        <v>1989</v>
      </c>
      <c r="Y89" s="37" t="s">
        <v>1989</v>
      </c>
      <c r="Z89" s="37" t="s">
        <v>1989</v>
      </c>
      <c r="AA89" s="37" t="s">
        <v>1989</v>
      </c>
      <c r="AB89" s="37" t="s">
        <v>1989</v>
      </c>
      <c r="AC89" s="37" t="s">
        <v>1989</v>
      </c>
      <c r="AD89" s="37" t="s">
        <v>1989</v>
      </c>
      <c r="AE89" s="37" t="s">
        <v>1989</v>
      </c>
      <c r="AF89" s="37" t="s">
        <v>1989</v>
      </c>
      <c r="AG89" s="37" t="s">
        <v>1989</v>
      </c>
      <c r="AH89" s="37" t="s">
        <v>1989</v>
      </c>
      <c r="AI89" s="37" t="s">
        <v>1989</v>
      </c>
      <c r="AJ89" s="37"/>
      <c r="AK89" s="37" t="s">
        <v>1989</v>
      </c>
      <c r="AL89" s="37" t="s">
        <v>1989</v>
      </c>
      <c r="AM89" s="37" t="s">
        <v>1989</v>
      </c>
      <c r="AN89" s="37" t="s">
        <v>1989</v>
      </c>
      <c r="AO89" s="37" t="s">
        <v>1989</v>
      </c>
      <c r="AP89" s="37" t="s">
        <v>1989</v>
      </c>
      <c r="AQ89" s="37" t="s">
        <v>1989</v>
      </c>
      <c r="AR89" s="37" t="s">
        <v>1989</v>
      </c>
      <c r="AS89" s="37" t="s">
        <v>1989</v>
      </c>
      <c r="AT89" s="37" t="s">
        <v>1989</v>
      </c>
      <c r="AU89" s="37" t="s">
        <v>1989</v>
      </c>
      <c r="AV89" s="37" t="s">
        <v>1989</v>
      </c>
      <c r="AW89" s="37" t="s">
        <v>1989</v>
      </c>
      <c r="AX89" s="37" t="s">
        <v>1989</v>
      </c>
      <c r="AY89" s="37" t="s">
        <v>1989</v>
      </c>
      <c r="AZ89" s="37" t="s">
        <v>1989</v>
      </c>
      <c r="BA89" s="37" t="s">
        <v>1989</v>
      </c>
      <c r="BB89" s="37" t="s">
        <v>1989</v>
      </c>
      <c r="BC89" s="37" t="s">
        <v>1989</v>
      </c>
      <c r="BD89" s="37" t="s">
        <v>1989</v>
      </c>
      <c r="BE89" s="37" t="s">
        <v>1989</v>
      </c>
      <c r="BF89" s="37" t="s">
        <v>1989</v>
      </c>
      <c r="BG89" s="37" t="s">
        <v>1989</v>
      </c>
      <c r="BH89" s="37" t="s">
        <v>1989</v>
      </c>
      <c r="BI89" s="37" t="s">
        <v>1989</v>
      </c>
      <c r="BJ89" s="37" t="s">
        <v>1989</v>
      </c>
      <c r="BK89" s="37" t="s">
        <v>1989</v>
      </c>
      <c r="BL89" s="37" t="s">
        <v>1989</v>
      </c>
      <c r="BM89" s="37" t="s">
        <v>1989</v>
      </c>
      <c r="BN89" s="37" t="s">
        <v>1989</v>
      </c>
      <c r="BO89" s="37" t="s">
        <v>1989</v>
      </c>
      <c r="BP89" s="37" t="s">
        <v>1989</v>
      </c>
      <c r="BQ89" s="37" t="s">
        <v>1989</v>
      </c>
      <c r="BR89" s="37" t="s">
        <v>1989</v>
      </c>
      <c r="BS89" s="37" t="s">
        <v>1989</v>
      </c>
      <c r="BT89" s="37" t="s">
        <v>1989</v>
      </c>
      <c r="BU89" s="37" t="s">
        <v>1989</v>
      </c>
      <c r="BV89" s="37" t="s">
        <v>1989</v>
      </c>
      <c r="BW89" s="37" t="s">
        <v>1989</v>
      </c>
    </row>
    <row r="90" spans="1:75" ht="15" customHeight="1">
      <c r="A90" s="37" t="s">
        <v>1989</v>
      </c>
      <c r="B90" s="37" t="s">
        <v>1989</v>
      </c>
      <c r="C90" s="37" t="s">
        <v>1989</v>
      </c>
      <c r="D90" s="37" t="s">
        <v>1989</v>
      </c>
      <c r="E90" s="37" t="s">
        <v>1989</v>
      </c>
      <c r="F90" s="37" t="s">
        <v>1989</v>
      </c>
      <c r="G90" s="37" t="s">
        <v>1989</v>
      </c>
      <c r="H90" s="37" t="s">
        <v>1989</v>
      </c>
      <c r="I90" s="37" t="s">
        <v>1989</v>
      </c>
      <c r="J90" s="37" t="s">
        <v>1989</v>
      </c>
      <c r="K90" s="37" t="s">
        <v>1989</v>
      </c>
      <c r="L90" s="37" t="s">
        <v>1989</v>
      </c>
      <c r="M90" s="37" t="s">
        <v>1989</v>
      </c>
      <c r="N90" s="37" t="s">
        <v>1989</v>
      </c>
      <c r="O90" s="37" t="s">
        <v>1989</v>
      </c>
      <c r="P90" s="37" t="s">
        <v>1989</v>
      </c>
      <c r="Q90" s="37" t="s">
        <v>1989</v>
      </c>
      <c r="R90" s="37" t="s">
        <v>1989</v>
      </c>
      <c r="S90" s="37" t="s">
        <v>1989</v>
      </c>
      <c r="T90" s="37" t="s">
        <v>1989</v>
      </c>
      <c r="U90" s="37" t="s">
        <v>1989</v>
      </c>
      <c r="V90" s="37" t="s">
        <v>1989</v>
      </c>
      <c r="W90" s="37" t="s">
        <v>1989</v>
      </c>
      <c r="X90" s="37" t="s">
        <v>1989</v>
      </c>
      <c r="Y90" s="37" t="s">
        <v>1989</v>
      </c>
      <c r="Z90" s="37" t="s">
        <v>1989</v>
      </c>
      <c r="AA90" s="37" t="s">
        <v>1989</v>
      </c>
      <c r="AB90" s="37" t="s">
        <v>1989</v>
      </c>
      <c r="AC90" s="37" t="s">
        <v>1989</v>
      </c>
      <c r="AD90" s="37" t="s">
        <v>1989</v>
      </c>
      <c r="AE90" s="37" t="s">
        <v>1989</v>
      </c>
      <c r="AF90" s="37" t="s">
        <v>1989</v>
      </c>
      <c r="AG90" s="37" t="s">
        <v>1989</v>
      </c>
      <c r="AH90" s="37" t="s">
        <v>1989</v>
      </c>
      <c r="AI90" s="37" t="s">
        <v>1989</v>
      </c>
      <c r="AJ90" s="42">
        <v>39</v>
      </c>
      <c r="AK90" s="37" t="s">
        <v>1989</v>
      </c>
      <c r="AL90" s="37" t="s">
        <v>1989</v>
      </c>
      <c r="AM90" s="37" t="s">
        <v>1989</v>
      </c>
      <c r="AN90" s="37" t="s">
        <v>1989</v>
      </c>
      <c r="AO90" s="37" t="s">
        <v>1989</v>
      </c>
      <c r="AP90" s="37" t="s">
        <v>1989</v>
      </c>
      <c r="AQ90" s="37" t="s">
        <v>1989</v>
      </c>
      <c r="AR90" s="37" t="s">
        <v>1989</v>
      </c>
      <c r="AS90" s="37" t="s">
        <v>1989</v>
      </c>
      <c r="AT90" s="37" t="s">
        <v>1989</v>
      </c>
      <c r="AU90" s="37" t="s">
        <v>1989</v>
      </c>
      <c r="AV90" s="37" t="s">
        <v>1989</v>
      </c>
      <c r="AW90" s="37" t="s">
        <v>1989</v>
      </c>
      <c r="AX90" s="37" t="s">
        <v>1989</v>
      </c>
      <c r="AY90" s="37" t="s">
        <v>1989</v>
      </c>
      <c r="AZ90" s="37" t="s">
        <v>1989</v>
      </c>
      <c r="BA90" s="37" t="s">
        <v>1989</v>
      </c>
      <c r="BB90" s="37" t="s">
        <v>1989</v>
      </c>
      <c r="BC90" s="37" t="s">
        <v>1989</v>
      </c>
      <c r="BD90" s="37" t="s">
        <v>1989</v>
      </c>
      <c r="BE90" s="37" t="s">
        <v>1989</v>
      </c>
      <c r="BF90" s="37" t="s">
        <v>1989</v>
      </c>
      <c r="BG90" s="37" t="s">
        <v>1989</v>
      </c>
      <c r="BH90" s="37" t="s">
        <v>1989</v>
      </c>
      <c r="BI90" s="37" t="s">
        <v>1989</v>
      </c>
      <c r="BJ90" s="37" t="s">
        <v>1989</v>
      </c>
      <c r="BK90" s="37" t="s">
        <v>1989</v>
      </c>
      <c r="BL90" s="37" t="s">
        <v>1989</v>
      </c>
      <c r="BM90" s="37" t="s">
        <v>1989</v>
      </c>
      <c r="BN90" s="37" t="s">
        <v>1989</v>
      </c>
      <c r="BO90" s="37" t="s">
        <v>1989</v>
      </c>
      <c r="BP90" s="37" t="s">
        <v>1989</v>
      </c>
      <c r="BQ90" s="37" t="s">
        <v>1989</v>
      </c>
      <c r="BR90" s="37" t="s">
        <v>1989</v>
      </c>
      <c r="BS90" s="37" t="s">
        <v>1989</v>
      </c>
      <c r="BT90" s="37" t="s">
        <v>1989</v>
      </c>
      <c r="BU90" s="37" t="s">
        <v>1989</v>
      </c>
      <c r="BV90" s="37" t="s">
        <v>1989</v>
      </c>
      <c r="BW90" s="37" t="s">
        <v>1989</v>
      </c>
    </row>
    <row r="91" spans="1:75" ht="15" customHeight="1">
      <c r="A91" s="37" t="s">
        <v>1989</v>
      </c>
      <c r="B91" s="37" t="s">
        <v>1989</v>
      </c>
      <c r="C91" s="37" t="s">
        <v>1989</v>
      </c>
      <c r="D91" s="37" t="s">
        <v>1989</v>
      </c>
      <c r="E91" s="37" t="s">
        <v>1989</v>
      </c>
      <c r="F91" s="37" t="s">
        <v>1989</v>
      </c>
      <c r="G91" s="37" t="s">
        <v>1989</v>
      </c>
      <c r="H91" s="37" t="s">
        <v>1989</v>
      </c>
      <c r="I91" s="37" t="s">
        <v>1989</v>
      </c>
      <c r="J91" s="37" t="s">
        <v>1989</v>
      </c>
      <c r="K91" s="37" t="s">
        <v>1989</v>
      </c>
      <c r="L91" s="37" t="s">
        <v>1989</v>
      </c>
      <c r="M91" s="37" t="s">
        <v>1989</v>
      </c>
      <c r="N91" s="37" t="s">
        <v>1989</v>
      </c>
      <c r="O91" s="37" t="s">
        <v>1989</v>
      </c>
      <c r="P91" s="37" t="s">
        <v>1989</v>
      </c>
      <c r="Q91" s="37" t="s">
        <v>1989</v>
      </c>
      <c r="R91" s="37" t="s">
        <v>1989</v>
      </c>
      <c r="S91" s="37" t="s">
        <v>1989</v>
      </c>
      <c r="T91" s="37" t="s">
        <v>1989</v>
      </c>
      <c r="U91" s="37" t="s">
        <v>1989</v>
      </c>
      <c r="V91" s="37" t="s">
        <v>1989</v>
      </c>
      <c r="W91" s="37" t="s">
        <v>1989</v>
      </c>
      <c r="X91" s="37" t="s">
        <v>1989</v>
      </c>
      <c r="Y91" s="37" t="s">
        <v>1989</v>
      </c>
      <c r="Z91" s="37" t="s">
        <v>1989</v>
      </c>
      <c r="AA91" s="37" t="s">
        <v>1989</v>
      </c>
      <c r="AB91" s="37" t="s">
        <v>1989</v>
      </c>
      <c r="AC91" s="37" t="s">
        <v>1989</v>
      </c>
      <c r="AD91" s="37" t="s">
        <v>1989</v>
      </c>
      <c r="AE91" s="37" t="s">
        <v>1989</v>
      </c>
      <c r="AF91" s="37" t="s">
        <v>1989</v>
      </c>
      <c r="AG91" s="37" t="s">
        <v>1989</v>
      </c>
      <c r="AH91" s="37" t="s">
        <v>1989</v>
      </c>
      <c r="AI91" s="37" t="s">
        <v>1989</v>
      </c>
      <c r="AJ91" s="37" t="s">
        <v>1989</v>
      </c>
      <c r="AK91" s="37" t="s">
        <v>1989</v>
      </c>
      <c r="AL91" s="37" t="s">
        <v>1989</v>
      </c>
      <c r="AM91" s="37" t="s">
        <v>1989</v>
      </c>
      <c r="AN91" s="37" t="s">
        <v>1989</v>
      </c>
      <c r="AO91" s="37" t="s">
        <v>1989</v>
      </c>
      <c r="AP91" s="37" t="s">
        <v>1989</v>
      </c>
      <c r="AQ91" s="37" t="s">
        <v>1989</v>
      </c>
      <c r="AR91" s="37" t="s">
        <v>1989</v>
      </c>
      <c r="AS91" s="37" t="s">
        <v>1989</v>
      </c>
      <c r="AT91" s="37" t="s">
        <v>1989</v>
      </c>
      <c r="AU91" s="37" t="s">
        <v>1989</v>
      </c>
      <c r="AV91" s="37" t="s">
        <v>1989</v>
      </c>
      <c r="AW91" s="37" t="s">
        <v>1989</v>
      </c>
      <c r="AX91" s="37" t="s">
        <v>1989</v>
      </c>
      <c r="AY91" s="37" t="s">
        <v>1989</v>
      </c>
      <c r="AZ91" s="37" t="s">
        <v>1989</v>
      </c>
      <c r="BA91" s="37" t="s">
        <v>1989</v>
      </c>
      <c r="BB91" s="37" t="s">
        <v>1989</v>
      </c>
      <c r="BC91" s="37" t="s">
        <v>1989</v>
      </c>
      <c r="BD91" s="37" t="s">
        <v>1989</v>
      </c>
      <c r="BE91" s="37" t="s">
        <v>1989</v>
      </c>
      <c r="BF91" s="37" t="s">
        <v>1989</v>
      </c>
      <c r="BG91" s="37" t="s">
        <v>1989</v>
      </c>
      <c r="BH91" s="37" t="s">
        <v>1989</v>
      </c>
      <c r="BI91" s="37" t="s">
        <v>1989</v>
      </c>
      <c r="BJ91" s="37" t="s">
        <v>1989</v>
      </c>
      <c r="BK91" s="37" t="s">
        <v>1989</v>
      </c>
      <c r="BL91" s="37" t="s">
        <v>1989</v>
      </c>
      <c r="BM91" s="37" t="s">
        <v>1989</v>
      </c>
      <c r="BN91" s="37" t="s">
        <v>1989</v>
      </c>
      <c r="BO91" s="37" t="s">
        <v>1989</v>
      </c>
      <c r="BP91" s="37" t="s">
        <v>1989</v>
      </c>
      <c r="BQ91" s="37" t="s">
        <v>1989</v>
      </c>
      <c r="BR91" s="37" t="s">
        <v>1989</v>
      </c>
      <c r="BS91" s="37" t="s">
        <v>1989</v>
      </c>
      <c r="BT91" s="37" t="s">
        <v>1989</v>
      </c>
      <c r="BU91" s="37" t="s">
        <v>1989</v>
      </c>
      <c r="BV91" s="37" t="s">
        <v>1989</v>
      </c>
      <c r="BW91" s="37" t="s">
        <v>1989</v>
      </c>
    </row>
    <row r="92" spans="1:75" ht="15" customHeight="1">
      <c r="A92" s="37" t="s">
        <v>1989</v>
      </c>
      <c r="B92" s="37" t="s">
        <v>1989</v>
      </c>
      <c r="C92" s="37" t="s">
        <v>1989</v>
      </c>
      <c r="D92" s="37" t="s">
        <v>1989</v>
      </c>
      <c r="E92" s="37" t="s">
        <v>1989</v>
      </c>
      <c r="F92" s="37" t="s">
        <v>1989</v>
      </c>
      <c r="G92" s="37" t="s">
        <v>1989</v>
      </c>
      <c r="H92" s="37" t="s">
        <v>1989</v>
      </c>
      <c r="I92" s="37" t="s">
        <v>1989</v>
      </c>
      <c r="J92" s="37" t="s">
        <v>1989</v>
      </c>
      <c r="K92" s="37" t="s">
        <v>1989</v>
      </c>
      <c r="L92" s="37" t="s">
        <v>1989</v>
      </c>
      <c r="M92" s="37" t="s">
        <v>1989</v>
      </c>
      <c r="N92" s="37" t="s">
        <v>1989</v>
      </c>
      <c r="O92" s="37" t="s">
        <v>1989</v>
      </c>
      <c r="P92" s="37" t="s">
        <v>1989</v>
      </c>
      <c r="Q92" s="37" t="s">
        <v>1989</v>
      </c>
      <c r="R92" s="37" t="s">
        <v>1989</v>
      </c>
      <c r="S92" s="37" t="s">
        <v>1989</v>
      </c>
      <c r="T92" s="37" t="s">
        <v>1989</v>
      </c>
      <c r="U92" s="37" t="s">
        <v>1989</v>
      </c>
      <c r="V92" s="37" t="s">
        <v>1989</v>
      </c>
      <c r="W92" s="37" t="s">
        <v>1989</v>
      </c>
      <c r="X92" s="37" t="s">
        <v>1989</v>
      </c>
      <c r="Y92" s="37" t="s">
        <v>1989</v>
      </c>
      <c r="Z92" s="37" t="s">
        <v>1989</v>
      </c>
      <c r="AA92" s="37" t="s">
        <v>1989</v>
      </c>
      <c r="AB92" s="37" t="s">
        <v>1989</v>
      </c>
      <c r="AC92" s="37" t="s">
        <v>1989</v>
      </c>
      <c r="AD92" s="37" t="s">
        <v>1989</v>
      </c>
      <c r="AE92" s="37" t="s">
        <v>1989</v>
      </c>
      <c r="AF92" s="37" t="s">
        <v>1989</v>
      </c>
      <c r="AG92" s="37" t="s">
        <v>1989</v>
      </c>
      <c r="AH92" s="37" t="s">
        <v>1989</v>
      </c>
      <c r="AI92" s="37" t="s">
        <v>1989</v>
      </c>
      <c r="AJ92" s="37" t="s">
        <v>1989</v>
      </c>
      <c r="AK92" s="37" t="s">
        <v>1989</v>
      </c>
      <c r="AL92" s="37" t="s">
        <v>1989</v>
      </c>
      <c r="AM92" s="37" t="s">
        <v>1989</v>
      </c>
      <c r="AN92" s="37" t="s">
        <v>1989</v>
      </c>
      <c r="AO92" s="37" t="s">
        <v>1989</v>
      </c>
      <c r="AP92" s="37" t="s">
        <v>1989</v>
      </c>
      <c r="AQ92" s="37" t="s">
        <v>1989</v>
      </c>
      <c r="AR92" s="37" t="s">
        <v>1989</v>
      </c>
      <c r="AS92" s="37" t="s">
        <v>1989</v>
      </c>
      <c r="AT92" s="37" t="s">
        <v>1989</v>
      </c>
      <c r="AU92" s="37" t="s">
        <v>1989</v>
      </c>
      <c r="AV92" s="37" t="s">
        <v>1989</v>
      </c>
      <c r="AW92" s="37" t="s">
        <v>1989</v>
      </c>
      <c r="AX92" s="37" t="s">
        <v>1989</v>
      </c>
      <c r="AY92" s="37" t="s">
        <v>1989</v>
      </c>
      <c r="AZ92" s="37" t="s">
        <v>1989</v>
      </c>
      <c r="BA92" s="37" t="s">
        <v>1989</v>
      </c>
      <c r="BB92" s="37" t="s">
        <v>1989</v>
      </c>
      <c r="BC92" s="37" t="s">
        <v>1989</v>
      </c>
      <c r="BD92" s="37" t="s">
        <v>1989</v>
      </c>
      <c r="BE92" s="37" t="s">
        <v>1989</v>
      </c>
      <c r="BF92" s="37" t="s">
        <v>1989</v>
      </c>
      <c r="BG92" s="37" t="s">
        <v>1989</v>
      </c>
      <c r="BH92" s="37" t="s">
        <v>1989</v>
      </c>
      <c r="BI92" s="37" t="s">
        <v>1989</v>
      </c>
      <c r="BJ92" s="37" t="s">
        <v>1989</v>
      </c>
      <c r="BK92" s="37" t="s">
        <v>1989</v>
      </c>
      <c r="BL92" s="37" t="s">
        <v>1989</v>
      </c>
      <c r="BM92" s="37" t="s">
        <v>1989</v>
      </c>
      <c r="BN92" s="37" t="s">
        <v>1989</v>
      </c>
      <c r="BO92" s="37" t="s">
        <v>1989</v>
      </c>
      <c r="BP92" s="37" t="s">
        <v>1989</v>
      </c>
      <c r="BQ92" s="37" t="s">
        <v>1989</v>
      </c>
      <c r="BR92" s="37" t="s">
        <v>1989</v>
      </c>
      <c r="BS92" s="37" t="s">
        <v>1989</v>
      </c>
      <c r="BT92" s="37" t="s">
        <v>1989</v>
      </c>
      <c r="BU92" s="37" t="s">
        <v>1989</v>
      </c>
      <c r="BV92" s="37" t="s">
        <v>1989</v>
      </c>
      <c r="BW92" s="37" t="s">
        <v>1989</v>
      </c>
    </row>
    <row r="93" spans="1:75" ht="15" customHeight="1">
      <c r="A93" s="37" t="s">
        <v>1989</v>
      </c>
      <c r="B93" s="37" t="s">
        <v>1989</v>
      </c>
      <c r="C93" s="37" t="s">
        <v>1989</v>
      </c>
      <c r="D93" s="37" t="s">
        <v>1989</v>
      </c>
      <c r="E93" s="37" t="s">
        <v>1989</v>
      </c>
      <c r="F93" s="37" t="s">
        <v>1989</v>
      </c>
      <c r="G93" s="37" t="s">
        <v>1989</v>
      </c>
      <c r="H93" s="37" t="s">
        <v>1989</v>
      </c>
      <c r="I93" s="37" t="s">
        <v>1989</v>
      </c>
      <c r="J93" s="37" t="s">
        <v>1989</v>
      </c>
      <c r="K93" s="37" t="s">
        <v>1989</v>
      </c>
      <c r="L93" s="37" t="s">
        <v>1989</v>
      </c>
      <c r="M93" s="37" t="s">
        <v>1989</v>
      </c>
      <c r="N93" s="37" t="s">
        <v>1989</v>
      </c>
      <c r="O93" s="37" t="s">
        <v>1989</v>
      </c>
      <c r="P93" s="37" t="s">
        <v>1989</v>
      </c>
      <c r="Q93" s="37" t="s">
        <v>1989</v>
      </c>
      <c r="R93" s="37" t="s">
        <v>1989</v>
      </c>
      <c r="S93" s="37" t="s">
        <v>1989</v>
      </c>
      <c r="T93" s="37" t="s">
        <v>1989</v>
      </c>
      <c r="U93" s="37" t="s">
        <v>1989</v>
      </c>
      <c r="V93" s="37" t="s">
        <v>1989</v>
      </c>
      <c r="W93" s="37" t="s">
        <v>1989</v>
      </c>
      <c r="X93" s="37" t="s">
        <v>1989</v>
      </c>
      <c r="Y93" s="37" t="s">
        <v>1989</v>
      </c>
      <c r="Z93" s="37" t="s">
        <v>1989</v>
      </c>
      <c r="AA93" s="37" t="s">
        <v>1989</v>
      </c>
      <c r="AB93" s="37" t="s">
        <v>1989</v>
      </c>
      <c r="AC93" s="37" t="s">
        <v>1989</v>
      </c>
      <c r="AD93" s="37" t="s">
        <v>1989</v>
      </c>
      <c r="AE93" s="37" t="s">
        <v>1989</v>
      </c>
      <c r="AF93" s="37" t="s">
        <v>1989</v>
      </c>
      <c r="AG93" s="37" t="s">
        <v>1989</v>
      </c>
      <c r="AH93" s="37" t="s">
        <v>1989</v>
      </c>
      <c r="AI93" s="37" t="s">
        <v>1989</v>
      </c>
      <c r="AJ93" s="37" t="s">
        <v>1989</v>
      </c>
      <c r="AK93" s="37" t="s">
        <v>1989</v>
      </c>
      <c r="AL93" s="37" t="s">
        <v>1989</v>
      </c>
      <c r="AM93" s="37" t="s">
        <v>1989</v>
      </c>
      <c r="AN93" s="37" t="s">
        <v>1989</v>
      </c>
      <c r="AO93" s="37" t="s">
        <v>1989</v>
      </c>
      <c r="AP93" s="37" t="s">
        <v>1989</v>
      </c>
      <c r="AQ93" s="37" t="s">
        <v>1989</v>
      </c>
      <c r="AR93" s="37" t="s">
        <v>1989</v>
      </c>
      <c r="AS93" s="37" t="s">
        <v>1989</v>
      </c>
      <c r="AT93" s="37" t="s">
        <v>1989</v>
      </c>
      <c r="AU93" s="37" t="s">
        <v>1989</v>
      </c>
      <c r="AV93" s="37" t="s">
        <v>1989</v>
      </c>
      <c r="AW93" s="37" t="s">
        <v>1989</v>
      </c>
      <c r="AX93" s="37" t="s">
        <v>1989</v>
      </c>
      <c r="AY93" s="37" t="s">
        <v>1989</v>
      </c>
      <c r="AZ93" s="37" t="s">
        <v>1989</v>
      </c>
      <c r="BA93" s="37" t="s">
        <v>1989</v>
      </c>
      <c r="BB93" s="37" t="s">
        <v>1989</v>
      </c>
      <c r="BC93" s="37" t="s">
        <v>1989</v>
      </c>
      <c r="BD93" s="37" t="s">
        <v>1989</v>
      </c>
      <c r="BE93" s="37" t="s">
        <v>1989</v>
      </c>
      <c r="BF93" s="37" t="s">
        <v>1989</v>
      </c>
      <c r="BG93" s="37" t="s">
        <v>1989</v>
      </c>
      <c r="BH93" s="37" t="s">
        <v>1989</v>
      </c>
      <c r="BI93" s="37" t="s">
        <v>1989</v>
      </c>
      <c r="BJ93" s="37" t="s">
        <v>1989</v>
      </c>
      <c r="BK93" s="37" t="s">
        <v>1989</v>
      </c>
      <c r="BL93" s="37" t="s">
        <v>1989</v>
      </c>
      <c r="BM93" s="37" t="s">
        <v>1989</v>
      </c>
      <c r="BN93" s="37" t="s">
        <v>1989</v>
      </c>
      <c r="BO93" s="37" t="s">
        <v>1989</v>
      </c>
      <c r="BP93" s="37" t="s">
        <v>1989</v>
      </c>
      <c r="BQ93" s="37" t="s">
        <v>1989</v>
      </c>
      <c r="BR93" s="37" t="s">
        <v>1989</v>
      </c>
      <c r="BS93" s="37" t="s">
        <v>1989</v>
      </c>
      <c r="BT93" s="37" t="s">
        <v>1989</v>
      </c>
      <c r="BU93" s="37" t="s">
        <v>1989</v>
      </c>
      <c r="BV93" s="37" t="s">
        <v>1989</v>
      </c>
      <c r="BW93" s="37" t="s">
        <v>1989</v>
      </c>
    </row>
  </sheetData>
  <conditionalFormatting sqref="AC32:AF33 AC18:AD31 AK8:BW11 AT12:AT35 A34:F93 AG32:AH69 I31:I69 A94:BW1048576 J29:P35 G31:H89 J36:AF69 AT1:BW7 AU12:BF69 AI36:AT69 G90:BW93 I70:BF89 BG12:BW89 BX1:XFD1048576 R1:R35">
    <cfRule type="cellIs" dxfId="278" priority="396" operator="equal">
      <formula>"F"</formula>
    </cfRule>
  </conditionalFormatting>
  <conditionalFormatting sqref="AC32:AF33 AC18:AD31 AK8:BW11 AT12:AT35 A34:F93 AG32:AH69 I31:I69 A94:BW1048576 J29:P35 G31:H89 J36:AF69 AT1:BW7 AU12:BF69 AI36:AT69 G90:BW93 I70:BF89 BG12:BW89 BX1:XFD1048576 R1:R35">
    <cfRule type="cellIs" dxfId="277" priority="395" operator="equal">
      <formula>"T"</formula>
    </cfRule>
  </conditionalFormatting>
  <conditionalFormatting sqref="AC32:AF33 AC18:AD31 AK8:BW11 AT12:AT35 A34:F93 AG32:AH69 I31:I69 A94:BW1048576 J29:P35 G31:H89 J36:AF69 AT1:BW7 AU12:BF69 AI36:AT69 G90:BW93 I70:BF89 BG12:BW89 BX1:XFD1048576 R1:R35">
    <cfRule type="cellIs" dxfId="276" priority="394" operator="equal">
      <formula>"B"</formula>
    </cfRule>
  </conditionalFormatting>
  <conditionalFormatting sqref="AC32:AF33 AC18:AD31 AK8:BW11 AT12:AT35 A34:F93 AG32:AH69 I31:I69 A94:BW1048576 J29:P35 G31:H89 J36:AF69 AT1:BW7 AU12:BF69 AI36:AT69 G90:BW93 I70:BF89 BG12:BW89 BX1:XFD1048576 R1:R35">
    <cfRule type="cellIs" dxfId="275" priority="393" operator="equal">
      <formula>"L"</formula>
    </cfRule>
  </conditionalFormatting>
  <conditionalFormatting sqref="AC32:AF33 AC18:AD31 AK8:BW11 AT12:AT35 A34:F93 AG32:AH69 I31:I69 A94:BW1048576 J29:P35 G31:H89 J36:AF69 AT1:BW7 AU12:BF69 AI36:AT69 G90:BW93 I70:BF89 BG12:BW89 BX1:XFD1048576 R1:R35">
    <cfRule type="cellIs" dxfId="274" priority="392" operator="equal">
      <formula>"R"</formula>
    </cfRule>
  </conditionalFormatting>
  <conditionalFormatting sqref="AC32:AF33 AC18:AD31 AK8:BW11 AT12:AT35 A34:F93 AG32:AH69 I31:I69 A94:BW1048576 J29:P35 G31:H89 J36:AF69 AT1:BW7 AU12:BF69 AI36:AT69 G90:BW93 I70:BF89 BG12:BW89 BX1:XFD1048576 R1:R35">
    <cfRule type="cellIs" dxfId="273" priority="391" operator="equal">
      <formula>"C1"</formula>
    </cfRule>
  </conditionalFormatting>
  <conditionalFormatting sqref="AC32:AF33 AC18:AD31 AK8:BW11 AT12:AT35 A34:F93 AG32:AH69 I31:I69 A94:BW1048576 J29:P35 G31:H89 J36:AF69 AT1:BW7 AU12:BF69 AI36:AT69 G90:BW93 I70:BF89 BG12:BW89 BX1:XFD1048576 R1:R35">
    <cfRule type="cellIs" dxfId="272" priority="390" operator="equal">
      <formula>"C2"</formula>
    </cfRule>
  </conditionalFormatting>
  <conditionalFormatting sqref="AC32:AF33 AC18:AD31 AK8:BW11 AT12:AT35 A34:F93 AG32:AH69 I31:I69 A94:BW1048576 J29:P35 G31:H89 J36:AF69 AT1:BW7 AU12:BF69 AI36:AT69 G90:BW93 I70:BF89 BG12:BW89 BX1:XFD1048576 R1:R35">
    <cfRule type="cellIs" dxfId="271" priority="389" operator="equal">
      <formula>"C3"</formula>
    </cfRule>
  </conditionalFormatting>
  <conditionalFormatting sqref="AC32:AF33 AC18:AD31 AK8:BW11 AT12:AT35 A34:F93 AG32:AH69 I31:I69 A94:BW1048576 J29:P35 G31:H89 J36:AF69 AT1:BW7 AU12:BF69 AI36:AT69 G90:BW93 I70:BF89 BG12:BW89 BX1:XFD1048576 R1:R35">
    <cfRule type="cellIs" dxfId="270" priority="388" operator="equal">
      <formula>"C4"</formula>
    </cfRule>
  </conditionalFormatting>
  <conditionalFormatting sqref="AC32:AF33 AC18:AD31 AK8:BW11 AT12:AT35 A34:F93 AG32:AH69 I31:I69 A94:BW1048576 J29:P35 G31:H89 J36:AF69 AT1:BW7 AU12:BF69 AI36:AT69 G90:BW93 I70:BF89 BG12:BW89 BX1:XFD1048576 R1:R35">
    <cfRule type="cellIs" dxfId="269" priority="387" operator="equal">
      <formula>"V"</formula>
    </cfRule>
  </conditionalFormatting>
  <conditionalFormatting sqref="AC32:AF33 AC18:AD31 AK8:BW11 AT12:AT35 A34:F93 AG32:AH69 I31:I69 A94:BW1048576 J29:P35 G31:H89 J36:AF69 AT1:BW7 AU12:BF69 AI36:AT69 G90:BW93 I70:BF89 BG12:BW89 BX1:XFD1048576 R1:R35">
    <cfRule type="cellIs" dxfId="268" priority="386" operator="equal">
      <formula>"LR"</formula>
    </cfRule>
  </conditionalFormatting>
  <conditionalFormatting sqref="AC32:AF33 AC18:AD31 AK8:BW11 AT12:AT35 A34:F93 AG32:AH69 I31:I69 A94:BW1048576 J29:P35 G31:H89 J36:AF69 AT1:BW7 AU12:BF69 AI36:AT69 G90:BW93 I70:BF89 BG12:BW89 BX1:XFD1048576 R1:R35">
    <cfRule type="cellIs" dxfId="267" priority="385" operator="equal">
      <formula>"H"</formula>
    </cfRule>
  </conditionalFormatting>
  <conditionalFormatting sqref="AC32:AF33 AC18:AD31 AK8:BW11 AT12:AT35 A34:F93 AG32:AH69 I31:I69 A94:BW1048576 J29:P35 G31:H89 J36:AF69 AT1:BW7 AU12:BF69 AI36:AT69 G90:BW93 I70:BF89 BG12:BW89 BX1:XFD1048576 R1:R35">
    <cfRule type="cellIs" dxfId="266" priority="384" operator="equal">
      <formula>"TB"</formula>
    </cfRule>
  </conditionalFormatting>
  <conditionalFormatting sqref="AC32:AF33 AC18:AD31 AK8:BW11 AT12:AT35 A34:F93 AG32:AH69 I31:I69 A94:BW1048576 J29:P35 G31:H89 J36:AF69 AT1:BW7 AU12:BF69 AI36:AT69 G90:BW93 I70:BF89 BG12:BW89 BX1:XFD1048576 R1:R35">
    <cfRule type="cellIs" dxfId="265" priority="383" operator="equal">
      <formula>"N"</formula>
    </cfRule>
  </conditionalFormatting>
  <conditionalFormatting sqref="AC32:AF33 AC18:AD31 AK8:BW11 AT12:AT35 A34:F93 AG32:AH69 I31:I69 A94:BW1048576 J29:P35 G31:H89 J36:AF69 AT1:BW7 AU12:BF69 AI36:AT69 G90:BW93 I70:BF89 BG12:BW89 BX1:XFD1048576 R1:R35">
    <cfRule type="cellIs" dxfId="264" priority="382" operator="equal">
      <formula>"U"</formula>
    </cfRule>
  </conditionalFormatting>
  <conditionalFormatting sqref="AC32:AF33 AC18:AD31 AK8:BW11 AT12:AT35 A34:F93 AG32:AH69 I31:I69 A94:BW1048576 J29:P35 G31:H89 J36:AF69 AT1:BW7 AU12:BF69 AI36:AT69 G90:BW93 I70:BF89 BG12:BW89 BX1:XFD1048576 R1:R35">
    <cfRule type="cellIs" dxfId="263" priority="381" operator="equal">
      <formula>"C"</formula>
    </cfRule>
  </conditionalFormatting>
  <conditionalFormatting sqref="AC32:AF33 AC18:AD31 AK8:BW11 AT12:AT35 A34:F93 AG32:AH69 I31:I69 A94:BW1048576 J29:P35 G31:H89 J36:AF69 AT1:BW7 AU12:BF69 AI36:AT69 G90:BW93 I70:BF89 BG12:BW89 BX1:XFD1048576 R1:R35">
    <cfRule type="cellIs" dxfId="262" priority="380" operator="equal">
      <formula>"D"</formula>
    </cfRule>
  </conditionalFormatting>
  <conditionalFormatting sqref="AC32:AF33 AC18:AD31 AK8:BW11 AT12:AT35 A34:F93 AG32:AH69 I31:I69 A94:BW1048576 J29:P35 G31:H89 J36:AF69 AT1:BW7 AU12:BF69 AI36:AT69 G90:BW93 I70:BF89 BG12:BW89 BX1:XFD1048576 R1:R35">
    <cfRule type="cellIs" dxfId="261" priority="379" operator="equal">
      <formula>"S"</formula>
    </cfRule>
  </conditionalFormatting>
  <conditionalFormatting sqref="AC32:AF33 AC18:AD31 AK8:BW11 AT12:AT35 A34:F93 AG32:AH69 I31:I69 A94:BW1048576 J29:P35 G31:H89 J36:AF69 AT1:BW7 AU12:BF69 AI36:AT69 G90:BW93 I70:BF89 BG12:BW89 BX1:XFD1048576 R1:R35">
    <cfRule type="cellIs" dxfId="260" priority="378" operator="equal">
      <formula>"TL"</formula>
    </cfRule>
  </conditionalFormatting>
  <conditionalFormatting sqref="AC32:AF33 AC18:AD31 AK8:BW11 AT12:AT35 A34:F93 AG32:AH69 I31:I69 A94:BW1048576 J29:P35 G31:H89 J36:AF69 AT1:BW7 AU12:BF69 AI36:AT69 G90:BW93 I70:BF89 BG12:BW89 BX1:XFD1048576 R1:R35">
    <cfRule type="cellIs" dxfId="259" priority="377" operator="equal">
      <formula>"TR"</formula>
    </cfRule>
  </conditionalFormatting>
  <conditionalFormatting sqref="AC32:AF33 AC18:AD31 AK8:BW11 AT12:AT35 A34:F93 AG32:AH69 I31:I69 A94:BW1048576 J29:P35 G31:H89 J36:AF69 AT1:BW7 AU12:BF69 AI36:AT69 G90:BW93 I70:BF89 BG12:BW89 BX1:XFD1048576 R1:R35">
    <cfRule type="cellIs" dxfId="258" priority="376" operator="equal">
      <formula>"BR"</formula>
    </cfRule>
  </conditionalFormatting>
  <conditionalFormatting sqref="AC32:AF33 AC18:AD31 AK8:BW11 AT12:AT35 A34:F93 AG32:AH69 I31:I69 A94:BW1048576 J29:P35 G31:H89 J36:AF69 AT1:BW7 AU12:BF69 AI36:AT69 G90:BW93 I70:BF89 BG12:BW89 BX1:XFD1048576 R1:R35">
    <cfRule type="cellIs" dxfId="257" priority="375" operator="equal">
      <formula>"BL"</formula>
    </cfRule>
  </conditionalFormatting>
  <conditionalFormatting sqref="AC32:AF33 AC18:AD31 AK8:BW11 AT12:AT35 A34:F93 AG32:AH69 I31:I69 A94:BW1048576 J29:P35 G31:H89 J36:AF69 AT1:BW7 AU12:BF69 AI36:AT69 G90:BW93 I70:BF89 BG12:BW89 BX1:XFD1048576 R1:R35">
    <cfRule type="cellIs" dxfId="256" priority="374" operator="equal">
      <formula>"LT"</formula>
    </cfRule>
  </conditionalFormatting>
  <conditionalFormatting sqref="AC32:AF33 AC18:AD31 AK8:BW11 AT12:AT35 A34:F93 AG32:AH69 I31:I69 A94:BW1048576 J29:P35 G31:H89 J36:AF69 AT1:BW7 AU12:BF69 AI36:AT69 G90:BW93 I70:BF89 BG12:BW89 BX1:XFD1048576 R1:R35">
    <cfRule type="cellIs" dxfId="255" priority="373" operator="equal">
      <formula>"RT"</formula>
    </cfRule>
  </conditionalFormatting>
  <conditionalFormatting sqref="AC32:AF33 AC18:AD31 AK8:BW11 AT12:AT35 A34:F93 AG32:AH69 I31:I69 A94:BW1048576 J29:P35 G31:H89 J36:AF69 AT1:BW7 AU12:BF69 AI36:AT69 G90:BW93 I70:BF89 BG12:BW89 BX1:XFD1048576 R1:R35">
    <cfRule type="cellIs" dxfId="254" priority="372" operator="equal">
      <formula>"RB"</formula>
    </cfRule>
  </conditionalFormatting>
  <conditionalFormatting sqref="AC32:AF33 AC18:AD31 AK8:BW11 AT12:AT35 A34:F93 AG32:AH69 I31:I69 A94:BW1048576 J29:P35 G31:H89 J36:AF69 AT1:BW7 AU12:BF69 AI36:AT69 G90:BW93 I70:BF89 BG12:BW89 BX1:XFD1048576 R1:R35">
    <cfRule type="cellIs" dxfId="253" priority="371" operator="equal">
      <formula>"LB"</formula>
    </cfRule>
  </conditionalFormatting>
  <conditionalFormatting sqref="AC32:AF33 AC18:AD31 AK8:BW11 AT12:AT35 A34:F93 AG32:AH69 I31:I69 A94:BW1048576 J29:P35 G31:H89 J36:AF69 AT1:BW7 AU12:BF69 AI36:AT69 G90:BW93 I70:BF89 BG12:BW89 BX1:XFD1048576 R1:R35">
    <cfRule type="cellIs" dxfId="252" priority="370" operator="equal">
      <formula>"RL"</formula>
    </cfRule>
  </conditionalFormatting>
  <conditionalFormatting sqref="AC32:AF33 AC18:AD31 AK8:BW11 AT12:AT35 A34:F93 AG32:AH69 I31:I69 A94:BW1048576 J29:P35 G31:H89 J36:AF69 AT1:BW7 AU12:BF69 AI36:AT69 G90:BW93 I70:BF89 BG12:BW89 BX1:XFD1048576 R1:R35">
    <cfRule type="cellIs" dxfId="251" priority="369" operator="equal">
      <formula>"BT"</formula>
    </cfRule>
  </conditionalFormatting>
  <conditionalFormatting sqref="AC32:AF33 AC18:AD31 AK8:BW11 AT12:AT35 A34:F93 AG32:AH69 I31:I69 A94:BW1048576 J29:P35 G31:H89 J36:AF69 AT1:BW7 AU12:BF69 AI36:AT69 G90:BW93 I70:BF89 BG12:BW89 BX1:XFD1048576 R1:R35">
    <cfRule type="cellIs" dxfId="250" priority="368" operator="equal">
      <formula>"["</formula>
    </cfRule>
  </conditionalFormatting>
  <conditionalFormatting sqref="AC32:AF33 AC18:AD31 AK8:BW11 AT12:AT35 A34:F93 AG32:AH69 I31:I69 A94:BW1048576 J29:P35 G31:H89 J36:AF69 AT1:BW7 AU12:BF69 AI36:AT69 G90:BW93 I70:BF89 BG12:BW89 BX1:XFD1048576 R1:R35">
    <cfRule type="cellIs" dxfId="249" priority="367" operator="equal">
      <formula>"]"</formula>
    </cfRule>
  </conditionalFormatting>
  <conditionalFormatting sqref="AC32:AF33 AC18:AD31 AK8:BW11 AT12:AT35 A34:F93 AG32:AH69 I31:I69 A94:BW1048576 J29:P35 G31:H89 J36:AF69 AT1:BW7 AU12:BF69 AI36:AT69 G90:BW93 I70:BF89 BG12:BW89 BX1:XFD1048576 R1:R35">
    <cfRule type="cellIs" dxfId="248" priority="366" operator="equal">
      <formula>"M"</formula>
    </cfRule>
  </conditionalFormatting>
  <conditionalFormatting sqref="AC32:AF33 AC18:AD31 AK8:BW11 AT12:AT35 A34:F93 AG32:AH69 I31:I69 A94:BW1048576 J29:P35 G31:H89 J36:AF69 AT1:BW7 AU12:BF69 AI36:AT69 G90:BW93 I70:BF89 BG12:BW89 BX1:XFD1048576 R1:R35">
    <cfRule type="cellIs" dxfId="247" priority="365" operator="equal">
      <formula>"$"</formula>
    </cfRule>
  </conditionalFormatting>
  <conditionalFormatting sqref="AC32:AF33 AC18:AD31 AK8:BW11 AT12:AT35 A34:F93 AG32:AH69 I31:I69 A94:BW1048576 J29:P35 G31:H89 J36:AF69 AT1:BW7 AU12:BF69 AI36:AT69 G90:BW93 I70:BF89 BG12:BW89 BX1:XFD1048576 R1:R35">
    <cfRule type="cellIs" dxfId="246" priority="364" operator="equal">
      <formula>"^"</formula>
    </cfRule>
  </conditionalFormatting>
  <conditionalFormatting sqref="A1:XFD1048576">
    <cfRule type="cellIs" dxfId="245" priority="401" operator="equal">
      <formula>"W"</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44" priority="399" operator="equal">
      <formula>"$"</formula>
    </cfRule>
  </conditionalFormatting>
  <conditionalFormatting sqref="A1:XFD1048576">
    <cfRule type="cellIs" dxfId="243" priority="398" operator="equal">
      <formula>"G"</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42" priority="397" operator="equal">
      <formula>"^"</formula>
    </cfRule>
  </conditionalFormatting>
  <conditionalFormatting sqref="AA14">
    <cfRule type="cellIs" dxfId="241" priority="332" operator="equal">
      <formula>"$"</formula>
    </cfRule>
  </conditionalFormatting>
  <conditionalFormatting sqref="AA14">
    <cfRule type="cellIs" dxfId="240" priority="331" operator="equal">
      <formula>"^"</formula>
    </cfRule>
  </conditionalFormatting>
  <conditionalFormatting sqref="S16">
    <cfRule type="cellIs" dxfId="239" priority="299" operator="equal">
      <formula>"$"</formula>
    </cfRule>
  </conditionalFormatting>
  <conditionalFormatting sqref="S16">
    <cfRule type="cellIs" dxfId="238" priority="298" operator="equal">
      <formula>"^"</formula>
    </cfRule>
  </conditionalFormatting>
  <conditionalFormatting sqref="R23">
    <cfRule type="cellIs" dxfId="237" priority="266" operator="equal">
      <formula>"$"</formula>
    </cfRule>
  </conditionalFormatting>
  <conditionalFormatting sqref="R23">
    <cfRule type="cellIs" dxfId="236" priority="265" operator="equal">
      <formula>"^"</formula>
    </cfRule>
  </conditionalFormatting>
  <conditionalFormatting sqref="V14">
    <cfRule type="cellIs" dxfId="235" priority="233" operator="equal">
      <formula>"$"</formula>
    </cfRule>
  </conditionalFormatting>
  <conditionalFormatting sqref="V14">
    <cfRule type="cellIs" dxfId="234" priority="232" operator="equal">
      <formula>"^"</formula>
    </cfRule>
  </conditionalFormatting>
  <conditionalFormatting sqref="U6">
    <cfRule type="cellIs" dxfId="233" priority="200" operator="equal">
      <formula>"$"</formula>
    </cfRule>
  </conditionalFormatting>
  <conditionalFormatting sqref="U6">
    <cfRule type="cellIs" dxfId="232" priority="199" operator="equal">
      <formula>"^"</formula>
    </cfRule>
  </conditionalFormatting>
  <conditionalFormatting sqref="AD7">
    <cfRule type="cellIs" dxfId="231" priority="167" operator="equal">
      <formula>"$"</formula>
    </cfRule>
  </conditionalFormatting>
  <conditionalFormatting sqref="AD7">
    <cfRule type="cellIs" dxfId="230" priority="166" operator="equal">
      <formula>"^"</formula>
    </cfRule>
  </conditionalFormatting>
  <conditionalFormatting sqref="AM17">
    <cfRule type="cellIs" dxfId="229" priority="134" operator="equal">
      <formula>"$"</formula>
    </cfRule>
  </conditionalFormatting>
  <conditionalFormatting sqref="AM17">
    <cfRule type="cellIs" dxfId="228" priority="133" operator="equal">
      <formula>"^"</formula>
    </cfRule>
  </conditionalFormatting>
  <conditionalFormatting sqref="AL28">
    <cfRule type="cellIs" dxfId="227" priority="101" operator="equal">
      <formula>"$"</formula>
    </cfRule>
  </conditionalFormatting>
  <conditionalFormatting sqref="AL28">
    <cfRule type="cellIs" dxfId="226" priority="100" operator="equal">
      <formula>"^"</formula>
    </cfRule>
  </conditionalFormatting>
  <conditionalFormatting sqref="Q20">
    <cfRule type="cellIs" dxfId="225" priority="68" operator="equal">
      <formula>"$"</formula>
    </cfRule>
  </conditionalFormatting>
  <conditionalFormatting sqref="Q20">
    <cfRule type="cellIs" dxfId="224" priority="67" operator="equal">
      <formula>"^"</formula>
    </cfRule>
  </conditionalFormatting>
  <conditionalFormatting sqref="AR33">
    <cfRule type="cellIs" dxfId="223" priority="35" operator="equal">
      <formula>"$"</formula>
    </cfRule>
  </conditionalFormatting>
  <conditionalFormatting sqref="AR33">
    <cfRule type="cellIs" dxfId="222" priority="34" operator="equal">
      <formula>"^"</formula>
    </cfRule>
  </conditionalFormatting>
  <conditionalFormatting sqref="P20">
    <cfRule type="cellIs" dxfId="221" priority="2" operator="equal">
      <formula>"$"</formula>
    </cfRule>
  </conditionalFormatting>
  <conditionalFormatting sqref="P20">
    <cfRule type="cellIs" dxfId="220" priority="1" operator="equal">
      <formula>"^"</formula>
    </cfRule>
  </conditionalFormatting>
  <pageMargins left="0.7" right="0.7" top="0.75" bottom="0.75" header="0.3" footer="0.3"/>
  <pageSetup paperSize="9" orientation="portrait" horizontalDpi="300" verticalDpi="300"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1DAF4-2198-4156-948C-9E333FF0A273}">
  <sheetPr codeName="Аркуш32"/>
  <dimension ref="A1:BZ93"/>
  <sheetViews>
    <sheetView zoomScale="70" zoomScaleNormal="70" workbookViewId="0">
      <selection activeCell="AI37" sqref="AI37:AL45"/>
    </sheetView>
  </sheetViews>
  <sheetFormatPr defaultColWidth="2.88671875" defaultRowHeight="15" customHeight="1"/>
  <cols>
    <col min="1" max="7" width="2.88671875" style="38"/>
    <col min="8" max="8" width="2.88671875" style="38" customWidth="1"/>
    <col min="9" max="17" width="2.88671875" style="38"/>
    <col min="18" max="18" width="2.88671875" style="38" customWidth="1"/>
    <col min="19" max="25" width="2.88671875" style="38"/>
    <col min="26" max="26" width="2.88671875" style="38" customWidth="1"/>
    <col min="27" max="29" width="2.88671875" style="38"/>
    <col min="30" max="30" width="2.88671875" style="38" customWidth="1"/>
    <col min="31" max="31" width="2.88671875" style="38"/>
    <col min="32" max="32" width="2.88671875" style="38" customWidth="1"/>
    <col min="33" max="33" width="2.88671875" style="38"/>
    <col min="34" max="34" width="2.88671875" style="38" customWidth="1"/>
    <col min="35" max="37" width="2.88671875" style="38"/>
    <col min="38" max="38" width="2.88671875" style="38" customWidth="1"/>
    <col min="39" max="47" width="2.88671875" style="38"/>
    <col min="48" max="48" width="2.88671875" style="38" customWidth="1"/>
    <col min="49" max="49" width="2.88671875" style="38"/>
    <col min="50" max="50" width="2.88671875" style="38" customWidth="1"/>
    <col min="51" max="51" width="2.88671875" style="38"/>
    <col min="52" max="52" width="2.88671875" style="38" customWidth="1"/>
    <col min="53" max="57" width="2.88671875" style="38"/>
    <col min="58" max="58" width="2.88671875" style="38" customWidth="1"/>
    <col min="59" max="59" width="2.88671875" style="38"/>
    <col min="60" max="60" width="2.88671875" style="38" customWidth="1"/>
    <col min="61" max="61" width="2.88671875" style="38"/>
    <col min="62" max="62" width="2.88671875" style="38" customWidth="1"/>
    <col min="63" max="63" width="2.88671875" style="38"/>
    <col min="64" max="64" width="2.88671875" style="38" customWidth="1"/>
    <col min="65" max="65" width="2.88671875" style="38"/>
    <col min="66" max="66" width="2.88671875" style="38" customWidth="1"/>
    <col min="67" max="67" width="2.88671875" style="38"/>
    <col min="68" max="68" width="2.88671875" style="38" customWidth="1"/>
    <col min="69" max="69" width="2.88671875" style="38"/>
    <col min="70" max="70" width="2.88671875" style="38" customWidth="1"/>
    <col min="71" max="16384" width="2.88671875" style="38"/>
  </cols>
  <sheetData>
    <row r="1" spans="1:78" ht="15" customHeight="1">
      <c r="A1" s="37" t="s">
        <v>1989</v>
      </c>
      <c r="B1" s="37" t="s">
        <v>1989</v>
      </c>
      <c r="C1" s="37" t="s">
        <v>1989</v>
      </c>
      <c r="D1" s="37" t="s">
        <v>1989</v>
      </c>
      <c r="E1" s="37" t="s">
        <v>1989</v>
      </c>
      <c r="F1" s="37" t="s">
        <v>1989</v>
      </c>
      <c r="G1" s="37" t="s">
        <v>1989</v>
      </c>
      <c r="H1" s="37" t="s">
        <v>1989</v>
      </c>
      <c r="I1" s="37" t="s">
        <v>1989</v>
      </c>
      <c r="J1" s="37" t="s">
        <v>1989</v>
      </c>
      <c r="K1" s="37" t="s">
        <v>1989</v>
      </c>
      <c r="L1" s="37" t="s">
        <v>1989</v>
      </c>
      <c r="M1" s="37" t="s">
        <v>1989</v>
      </c>
      <c r="N1" s="37" t="s">
        <v>1989</v>
      </c>
      <c r="O1" s="37" t="s">
        <v>1989</v>
      </c>
      <c r="P1" s="37" t="s">
        <v>1989</v>
      </c>
      <c r="Q1" s="37" t="s">
        <v>1989</v>
      </c>
      <c r="R1" s="37" t="s">
        <v>1989</v>
      </c>
      <c r="S1" s="37" t="s">
        <v>1989</v>
      </c>
      <c r="T1" s="37" t="s">
        <v>1989</v>
      </c>
      <c r="U1" s="37" t="s">
        <v>1989</v>
      </c>
      <c r="V1" s="37" t="s">
        <v>1989</v>
      </c>
      <c r="W1" s="37" t="s">
        <v>1989</v>
      </c>
      <c r="X1" s="37" t="s">
        <v>1989</v>
      </c>
      <c r="Y1" s="37" t="s">
        <v>1989</v>
      </c>
      <c r="Z1" s="37" t="s">
        <v>1989</v>
      </c>
      <c r="AA1" s="37" t="s">
        <v>1989</v>
      </c>
      <c r="AB1" s="37" t="s">
        <v>1989</v>
      </c>
      <c r="AC1" s="37" t="s">
        <v>1989</v>
      </c>
      <c r="AD1" s="37" t="s">
        <v>1989</v>
      </c>
      <c r="AE1" s="37" t="s">
        <v>1989</v>
      </c>
      <c r="AF1" s="37" t="s">
        <v>1989</v>
      </c>
      <c r="AG1" s="37" t="s">
        <v>1989</v>
      </c>
      <c r="AH1" s="37" t="s">
        <v>1989</v>
      </c>
      <c r="AI1" s="37" t="s">
        <v>1989</v>
      </c>
      <c r="AJ1" s="37" t="s">
        <v>1989</v>
      </c>
      <c r="AK1" s="37" t="s">
        <v>1989</v>
      </c>
      <c r="AL1" s="37" t="s">
        <v>1989</v>
      </c>
      <c r="AM1" s="37" t="s">
        <v>1989</v>
      </c>
      <c r="AN1" s="37" t="s">
        <v>1989</v>
      </c>
      <c r="AO1" s="37" t="s">
        <v>1989</v>
      </c>
      <c r="AP1" s="37" t="s">
        <v>1989</v>
      </c>
      <c r="AQ1" s="37" t="s">
        <v>1989</v>
      </c>
      <c r="AR1" s="37" t="s">
        <v>1989</v>
      </c>
      <c r="AS1" s="37" t="s">
        <v>1989</v>
      </c>
      <c r="AT1" s="37" t="s">
        <v>1989</v>
      </c>
      <c r="AU1" s="37" t="s">
        <v>1989</v>
      </c>
      <c r="AV1" s="37" t="s">
        <v>1989</v>
      </c>
      <c r="AW1" s="37" t="s">
        <v>1989</v>
      </c>
      <c r="AX1" s="37" t="s">
        <v>1989</v>
      </c>
      <c r="AY1" s="37" t="s">
        <v>1989</v>
      </c>
      <c r="AZ1" s="37" t="s">
        <v>1989</v>
      </c>
      <c r="BA1" s="37" t="s">
        <v>1989</v>
      </c>
      <c r="BB1" s="37" t="s">
        <v>1989</v>
      </c>
      <c r="BC1" s="37" t="s">
        <v>1989</v>
      </c>
      <c r="BD1" s="37" t="s">
        <v>1989</v>
      </c>
      <c r="BE1" s="37" t="s">
        <v>1989</v>
      </c>
      <c r="BF1" s="37" t="s">
        <v>1989</v>
      </c>
      <c r="BG1" s="37" t="s">
        <v>1989</v>
      </c>
      <c r="BH1" s="37" t="s">
        <v>1989</v>
      </c>
      <c r="BI1" s="37" t="s">
        <v>1989</v>
      </c>
      <c r="BJ1" s="37" t="s">
        <v>1989</v>
      </c>
      <c r="BK1" s="37" t="s">
        <v>1989</v>
      </c>
      <c r="BL1" s="37" t="s">
        <v>1989</v>
      </c>
      <c r="BM1" s="37" t="s">
        <v>1989</v>
      </c>
      <c r="BN1" s="37" t="s">
        <v>1989</v>
      </c>
      <c r="BO1" s="37" t="s">
        <v>1989</v>
      </c>
      <c r="BP1" s="37" t="s">
        <v>1989</v>
      </c>
      <c r="BQ1" s="37" t="s">
        <v>1989</v>
      </c>
      <c r="BR1" s="37" t="s">
        <v>1989</v>
      </c>
      <c r="BS1" s="37" t="s">
        <v>1989</v>
      </c>
      <c r="BT1" s="37" t="s">
        <v>1989</v>
      </c>
      <c r="BU1" s="37" t="s">
        <v>1989</v>
      </c>
      <c r="BV1" s="37" t="s">
        <v>1989</v>
      </c>
      <c r="BW1" s="37" t="s">
        <v>1989</v>
      </c>
    </row>
    <row r="2" spans="1:78" ht="15" customHeight="1">
      <c r="A2" s="37" t="s">
        <v>1989</v>
      </c>
      <c r="B2" s="37" t="s">
        <v>1989</v>
      </c>
      <c r="C2" s="37" t="s">
        <v>1989</v>
      </c>
      <c r="D2" s="37" t="s">
        <v>1989</v>
      </c>
      <c r="E2" s="37" t="s">
        <v>1989</v>
      </c>
      <c r="F2" s="37" t="s">
        <v>1989</v>
      </c>
      <c r="G2" s="37" t="s">
        <v>1989</v>
      </c>
      <c r="H2" s="37" t="s">
        <v>1989</v>
      </c>
      <c r="I2" s="37" t="s">
        <v>1989</v>
      </c>
      <c r="J2" s="37" t="s">
        <v>1989</v>
      </c>
      <c r="K2" s="37" t="s">
        <v>1989</v>
      </c>
      <c r="L2" s="37" t="s">
        <v>1989</v>
      </c>
      <c r="M2" s="37" t="s">
        <v>1989</v>
      </c>
      <c r="N2" s="37" t="s">
        <v>1989</v>
      </c>
      <c r="O2" s="37" t="s">
        <v>1989</v>
      </c>
      <c r="P2" s="37" t="s">
        <v>1989</v>
      </c>
      <c r="Q2" s="37" t="s">
        <v>1989</v>
      </c>
      <c r="R2" s="37" t="s">
        <v>1989</v>
      </c>
      <c r="S2" s="37" t="s">
        <v>1989</v>
      </c>
      <c r="T2" s="37" t="s">
        <v>1989</v>
      </c>
      <c r="U2" s="37" t="s">
        <v>1989</v>
      </c>
      <c r="V2" s="37" t="s">
        <v>1989</v>
      </c>
      <c r="W2" s="37" t="s">
        <v>1989</v>
      </c>
      <c r="X2" s="37" t="s">
        <v>1989</v>
      </c>
      <c r="Y2" s="37" t="s">
        <v>1989</v>
      </c>
      <c r="Z2" s="37" t="s">
        <v>1989</v>
      </c>
      <c r="AA2" s="37" t="s">
        <v>1989</v>
      </c>
      <c r="AB2" s="37" t="s">
        <v>1989</v>
      </c>
      <c r="AC2" s="37" t="s">
        <v>1989</v>
      </c>
      <c r="AD2" s="37" t="s">
        <v>1989</v>
      </c>
      <c r="AE2" s="37" t="s">
        <v>1989</v>
      </c>
      <c r="AF2" s="37" t="s">
        <v>1989</v>
      </c>
      <c r="AG2" s="37" t="s">
        <v>1989</v>
      </c>
      <c r="AH2" s="37" t="s">
        <v>1989</v>
      </c>
      <c r="AI2" s="37" t="s">
        <v>1989</v>
      </c>
      <c r="AJ2" s="37" t="s">
        <v>1989</v>
      </c>
      <c r="AK2" s="37" t="s">
        <v>1989</v>
      </c>
      <c r="AL2" s="37" t="s">
        <v>1989</v>
      </c>
      <c r="AM2" s="37" t="s">
        <v>1989</v>
      </c>
      <c r="AN2" s="37" t="s">
        <v>1989</v>
      </c>
      <c r="AO2" s="37" t="s">
        <v>1989</v>
      </c>
      <c r="AP2" s="37" t="s">
        <v>1989</v>
      </c>
      <c r="AQ2" s="37" t="s">
        <v>1989</v>
      </c>
      <c r="AR2" s="37" t="s">
        <v>1989</v>
      </c>
      <c r="AS2" s="37" t="s">
        <v>1989</v>
      </c>
      <c r="AT2" s="37" t="s">
        <v>1989</v>
      </c>
      <c r="AU2" s="37" t="s">
        <v>1989</v>
      </c>
      <c r="AV2" s="37" t="s">
        <v>1989</v>
      </c>
      <c r="AW2" s="37" t="s">
        <v>1989</v>
      </c>
      <c r="AX2" s="37" t="s">
        <v>1989</v>
      </c>
      <c r="AY2" s="37" t="s">
        <v>1989</v>
      </c>
      <c r="AZ2" s="37" t="s">
        <v>1989</v>
      </c>
      <c r="BA2" s="37" t="s">
        <v>1989</v>
      </c>
      <c r="BB2" s="37" t="s">
        <v>1989</v>
      </c>
      <c r="BC2" s="37" t="s">
        <v>1989</v>
      </c>
      <c r="BD2" s="37" t="s">
        <v>1989</v>
      </c>
      <c r="BE2" s="37" t="s">
        <v>1989</v>
      </c>
      <c r="BF2" s="37" t="s">
        <v>1989</v>
      </c>
      <c r="BG2" s="37" t="s">
        <v>1989</v>
      </c>
      <c r="BH2" s="37" t="s">
        <v>1989</v>
      </c>
      <c r="BI2" s="37" t="s">
        <v>1989</v>
      </c>
      <c r="BJ2" s="37" t="s">
        <v>1989</v>
      </c>
      <c r="BK2" s="37" t="s">
        <v>1989</v>
      </c>
      <c r="BL2" s="37" t="s">
        <v>1989</v>
      </c>
      <c r="BM2" s="37" t="s">
        <v>1989</v>
      </c>
      <c r="BN2" s="37" t="s">
        <v>1989</v>
      </c>
      <c r="BO2" s="37" t="s">
        <v>1989</v>
      </c>
      <c r="BP2" s="37" t="s">
        <v>1989</v>
      </c>
      <c r="BQ2" s="37" t="s">
        <v>1989</v>
      </c>
      <c r="BR2" s="37" t="s">
        <v>1989</v>
      </c>
      <c r="BS2" s="37" t="s">
        <v>1989</v>
      </c>
      <c r="BT2" s="37" t="s">
        <v>1989</v>
      </c>
      <c r="BU2" s="37" t="s">
        <v>1989</v>
      </c>
      <c r="BV2" s="37" t="s">
        <v>1989</v>
      </c>
      <c r="BW2" s="37" t="s">
        <v>1989</v>
      </c>
    </row>
    <row r="3" spans="1:78" ht="15" customHeight="1">
      <c r="A3" s="37" t="s">
        <v>1990</v>
      </c>
      <c r="B3" s="37" t="s">
        <v>1990</v>
      </c>
      <c r="C3" s="37" t="s">
        <v>1989</v>
      </c>
      <c r="D3" s="37" t="s">
        <v>1989</v>
      </c>
      <c r="E3" s="37" t="s">
        <v>1989</v>
      </c>
      <c r="F3" s="37" t="s">
        <v>1989</v>
      </c>
      <c r="G3" s="37" t="s">
        <v>1989</v>
      </c>
      <c r="H3" s="37" t="s">
        <v>1989</v>
      </c>
      <c r="I3" s="37" t="s">
        <v>1989</v>
      </c>
      <c r="J3" s="37" t="s">
        <v>1989</v>
      </c>
      <c r="K3" s="37" t="s">
        <v>1989</v>
      </c>
      <c r="L3" s="37" t="s">
        <v>1989</v>
      </c>
      <c r="M3" s="37" t="s">
        <v>1989</v>
      </c>
      <c r="N3" s="37" t="s">
        <v>1989</v>
      </c>
      <c r="O3" s="37" t="s">
        <v>1989</v>
      </c>
      <c r="P3" s="37" t="s">
        <v>1989</v>
      </c>
      <c r="Q3" s="37" t="s">
        <v>1989</v>
      </c>
      <c r="R3" s="37" t="s">
        <v>1989</v>
      </c>
      <c r="S3" s="37" t="s">
        <v>1989</v>
      </c>
      <c r="T3" s="37" t="s">
        <v>1989</v>
      </c>
      <c r="U3" s="37" t="s">
        <v>1989</v>
      </c>
      <c r="V3" s="37" t="s">
        <v>1989</v>
      </c>
      <c r="W3" s="37" t="s">
        <v>1989</v>
      </c>
      <c r="X3" s="37" t="s">
        <v>1989</v>
      </c>
      <c r="Y3" s="37" t="s">
        <v>1989</v>
      </c>
      <c r="Z3" s="37" t="s">
        <v>1989</v>
      </c>
      <c r="AA3" s="37" t="s">
        <v>1989</v>
      </c>
      <c r="AB3" s="37" t="s">
        <v>1989</v>
      </c>
      <c r="AC3" s="37" t="s">
        <v>1989</v>
      </c>
      <c r="AD3" s="37" t="s">
        <v>1989</v>
      </c>
      <c r="AE3" s="37" t="s">
        <v>1989</v>
      </c>
      <c r="AF3" s="37" t="s">
        <v>1989</v>
      </c>
      <c r="AG3" s="37" t="s">
        <v>1989</v>
      </c>
      <c r="AH3" s="37" t="s">
        <v>1989</v>
      </c>
      <c r="AI3" s="37" t="s">
        <v>1989</v>
      </c>
      <c r="AJ3" s="37" t="s">
        <v>1989</v>
      </c>
      <c r="AK3" s="37" t="s">
        <v>1989</v>
      </c>
      <c r="AL3" s="37" t="s">
        <v>1989</v>
      </c>
      <c r="AM3" s="37" t="s">
        <v>1989</v>
      </c>
      <c r="AN3" s="37" t="s">
        <v>1989</v>
      </c>
      <c r="AO3" s="37" t="s">
        <v>1989</v>
      </c>
      <c r="AP3" s="37" t="s">
        <v>1989</v>
      </c>
      <c r="AQ3" s="37" t="s">
        <v>1989</v>
      </c>
      <c r="AR3" s="37" t="s">
        <v>1989</v>
      </c>
      <c r="AS3" s="37" t="s">
        <v>1989</v>
      </c>
      <c r="AT3" s="37" t="s">
        <v>1989</v>
      </c>
      <c r="AU3" s="37" t="s">
        <v>1989</v>
      </c>
      <c r="AV3" s="37" t="s">
        <v>1989</v>
      </c>
      <c r="AW3" s="37" t="s">
        <v>1989</v>
      </c>
      <c r="AX3" s="37" t="s">
        <v>1989</v>
      </c>
      <c r="AY3" s="37" t="s">
        <v>1989</v>
      </c>
      <c r="AZ3" s="37" t="s">
        <v>1989</v>
      </c>
      <c r="BA3" s="37" t="s">
        <v>1989</v>
      </c>
      <c r="BB3" s="37" t="s">
        <v>1989</v>
      </c>
      <c r="BC3" s="37" t="s">
        <v>1989</v>
      </c>
      <c r="BD3" s="37" t="s">
        <v>1989</v>
      </c>
      <c r="BE3" s="37" t="s">
        <v>1989</v>
      </c>
      <c r="BF3" s="37" t="s">
        <v>1989</v>
      </c>
      <c r="BG3" s="37" t="s">
        <v>1989</v>
      </c>
      <c r="BH3" s="37" t="s">
        <v>1989</v>
      </c>
      <c r="BI3" s="37" t="s">
        <v>1989</v>
      </c>
      <c r="BJ3" s="37" t="s">
        <v>1989</v>
      </c>
      <c r="BK3" s="37" t="s">
        <v>1989</v>
      </c>
      <c r="BL3" s="37" t="s">
        <v>1989</v>
      </c>
      <c r="BM3" s="37" t="s">
        <v>1989</v>
      </c>
      <c r="BN3" s="37" t="s">
        <v>1989</v>
      </c>
      <c r="BO3" s="37" t="s">
        <v>1989</v>
      </c>
      <c r="BP3" s="37" t="s">
        <v>1989</v>
      </c>
      <c r="BQ3" s="37" t="s">
        <v>1989</v>
      </c>
      <c r="BR3" s="37" t="s">
        <v>1989</v>
      </c>
      <c r="BS3" s="37" t="s">
        <v>1989</v>
      </c>
      <c r="BT3" s="37" t="s">
        <v>1989</v>
      </c>
      <c r="BU3" s="37" t="s">
        <v>1989</v>
      </c>
      <c r="BV3" s="37" t="s">
        <v>1989</v>
      </c>
      <c r="BW3" s="37" t="s">
        <v>1989</v>
      </c>
      <c r="BX3" s="37" t="s">
        <v>1989</v>
      </c>
      <c r="BY3" s="37" t="s">
        <v>1989</v>
      </c>
      <c r="BZ3" s="37" t="s">
        <v>1989</v>
      </c>
    </row>
    <row r="4" spans="1:78" ht="15" customHeight="1">
      <c r="A4" s="37" t="s">
        <v>1989</v>
      </c>
      <c r="B4" s="37" t="s">
        <v>1990</v>
      </c>
      <c r="C4" s="37" t="s">
        <v>1990</v>
      </c>
      <c r="D4" s="37" t="s">
        <v>1990</v>
      </c>
      <c r="E4" s="37" t="s">
        <v>1989</v>
      </c>
      <c r="F4" s="37" t="s">
        <v>1989</v>
      </c>
      <c r="G4" s="37" t="s">
        <v>1989</v>
      </c>
      <c r="H4" s="37" t="s">
        <v>1989</v>
      </c>
      <c r="I4" s="37" t="s">
        <v>1989</v>
      </c>
      <c r="J4" s="37" t="s">
        <v>1989</v>
      </c>
      <c r="K4" s="37" t="s">
        <v>1989</v>
      </c>
      <c r="L4" s="37" t="s">
        <v>1989</v>
      </c>
      <c r="M4" s="37" t="s">
        <v>1989</v>
      </c>
      <c r="N4" s="37" t="s">
        <v>1989</v>
      </c>
      <c r="O4" s="37" t="s">
        <v>1989</v>
      </c>
      <c r="P4" s="37" t="s">
        <v>1989</v>
      </c>
      <c r="Q4" s="37" t="s">
        <v>1989</v>
      </c>
      <c r="R4" s="37" t="s">
        <v>1989</v>
      </c>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t="s">
        <v>1989</v>
      </c>
      <c r="BF4" s="37" t="s">
        <v>1989</v>
      </c>
      <c r="BG4" s="37" t="s">
        <v>1989</v>
      </c>
      <c r="BH4" s="37" t="s">
        <v>1989</v>
      </c>
      <c r="BI4" s="37" t="s">
        <v>1989</v>
      </c>
      <c r="BJ4" s="37" t="s">
        <v>1989</v>
      </c>
      <c r="BK4" s="37" t="s">
        <v>1989</v>
      </c>
      <c r="BL4" s="37" t="s">
        <v>1989</v>
      </c>
      <c r="BM4" s="37" t="s">
        <v>1989</v>
      </c>
      <c r="BN4" s="37" t="s">
        <v>1989</v>
      </c>
      <c r="BO4" s="37" t="s">
        <v>1989</v>
      </c>
      <c r="BP4" s="37" t="s">
        <v>1989</v>
      </c>
      <c r="BQ4" s="37" t="s">
        <v>1989</v>
      </c>
      <c r="BR4" s="37" t="s">
        <v>1989</v>
      </c>
      <c r="BS4" s="37" t="s">
        <v>1989</v>
      </c>
      <c r="BT4" s="37" t="s">
        <v>1989</v>
      </c>
      <c r="BU4" s="37" t="s">
        <v>1989</v>
      </c>
      <c r="BV4" s="37" t="s">
        <v>1989</v>
      </c>
      <c r="BW4" s="37" t="s">
        <v>1989</v>
      </c>
    </row>
    <row r="5" spans="1:78" ht="15" customHeight="1">
      <c r="A5" s="37" t="s">
        <v>1989</v>
      </c>
      <c r="B5" s="37" t="s">
        <v>1989</v>
      </c>
      <c r="C5" s="37" t="s">
        <v>1989</v>
      </c>
      <c r="D5" s="37" t="s">
        <v>1990</v>
      </c>
      <c r="E5" s="37" t="s">
        <v>1990</v>
      </c>
      <c r="F5" s="37" t="s">
        <v>1990</v>
      </c>
      <c r="G5" s="37" t="s">
        <v>1989</v>
      </c>
      <c r="H5" s="37" t="s">
        <v>1989</v>
      </c>
      <c r="I5" s="37" t="s">
        <v>1989</v>
      </c>
      <c r="J5" s="37" t="s">
        <v>1989</v>
      </c>
      <c r="K5" s="37" t="s">
        <v>1989</v>
      </c>
      <c r="L5" s="37" t="s">
        <v>1989</v>
      </c>
      <c r="M5" s="37" t="s">
        <v>1989</v>
      </c>
      <c r="N5" s="37" t="s">
        <v>1989</v>
      </c>
      <c r="O5" s="37" t="s">
        <v>1989</v>
      </c>
      <c r="P5" s="37" t="s">
        <v>1989</v>
      </c>
      <c r="Q5" s="37" t="s">
        <v>1989</v>
      </c>
      <c r="R5" s="37" t="s">
        <v>1989</v>
      </c>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t="s">
        <v>1989</v>
      </c>
      <c r="BF5" s="37" t="s">
        <v>1989</v>
      </c>
      <c r="BG5" s="37" t="s">
        <v>1989</v>
      </c>
      <c r="BH5" s="37" t="s">
        <v>1989</v>
      </c>
      <c r="BI5" s="37" t="s">
        <v>1989</v>
      </c>
      <c r="BJ5" s="37" t="s">
        <v>1989</v>
      </c>
      <c r="BK5" s="37" t="s">
        <v>1989</v>
      </c>
      <c r="BL5" s="37" t="s">
        <v>1989</v>
      </c>
      <c r="BM5" s="37" t="s">
        <v>1989</v>
      </c>
      <c r="BN5" s="37" t="s">
        <v>1989</v>
      </c>
      <c r="BO5" s="37" t="s">
        <v>1989</v>
      </c>
      <c r="BP5" s="37" t="s">
        <v>1989</v>
      </c>
      <c r="BQ5" s="37" t="s">
        <v>1989</v>
      </c>
      <c r="BR5" s="37" t="s">
        <v>1989</v>
      </c>
      <c r="BS5" s="37" t="s">
        <v>1989</v>
      </c>
      <c r="BT5" s="37" t="s">
        <v>1989</v>
      </c>
      <c r="BU5" s="37" t="s">
        <v>1989</v>
      </c>
      <c r="BV5" s="37" t="s">
        <v>1989</v>
      </c>
      <c r="BW5" s="37" t="s">
        <v>1989</v>
      </c>
    </row>
    <row r="6" spans="1:78" ht="15" customHeight="1">
      <c r="A6" s="37" t="s">
        <v>1989</v>
      </c>
      <c r="B6" s="37" t="s">
        <v>1989</v>
      </c>
      <c r="C6" s="37" t="s">
        <v>1989</v>
      </c>
      <c r="D6" s="37" t="s">
        <v>1989</v>
      </c>
      <c r="E6" s="37" t="s">
        <v>1989</v>
      </c>
      <c r="F6" s="37" t="s">
        <v>1990</v>
      </c>
      <c r="G6" s="37" t="s">
        <v>1990</v>
      </c>
      <c r="H6" s="37" t="s">
        <v>1989</v>
      </c>
      <c r="I6" s="37" t="s">
        <v>1989</v>
      </c>
      <c r="J6" s="37" t="s">
        <v>1989</v>
      </c>
      <c r="K6" s="37" t="s">
        <v>1989</v>
      </c>
      <c r="L6" s="37" t="s">
        <v>1989</v>
      </c>
      <c r="M6" s="37" t="s">
        <v>1989</v>
      </c>
      <c r="N6" s="37" t="s">
        <v>1989</v>
      </c>
      <c r="O6" s="37" t="s">
        <v>1989</v>
      </c>
      <c r="P6" s="37" t="s">
        <v>1989</v>
      </c>
      <c r="Q6" s="37" t="s">
        <v>1989</v>
      </c>
      <c r="R6" s="37" t="s">
        <v>1989</v>
      </c>
      <c r="S6" s="37"/>
      <c r="T6" s="37"/>
      <c r="U6" s="37"/>
      <c r="V6" s="37"/>
      <c r="W6" s="37"/>
      <c r="X6" s="37"/>
      <c r="Y6" s="37" t="s">
        <v>1989</v>
      </c>
      <c r="Z6" s="37" t="s">
        <v>1989</v>
      </c>
      <c r="AA6" s="37" t="s">
        <v>1989</v>
      </c>
      <c r="AB6" s="37" t="s">
        <v>1989</v>
      </c>
      <c r="AC6" s="37"/>
      <c r="AD6" s="37"/>
      <c r="AE6" s="37"/>
      <c r="AF6" s="37"/>
      <c r="AG6" s="37" t="s">
        <v>1989</v>
      </c>
      <c r="AH6" s="37" t="s">
        <v>1989</v>
      </c>
      <c r="AI6" s="37"/>
      <c r="AJ6" s="37"/>
      <c r="AK6" s="37" t="s">
        <v>1989</v>
      </c>
      <c r="AL6" s="37" t="s">
        <v>1989</v>
      </c>
      <c r="AM6" s="37"/>
      <c r="AN6" s="37"/>
      <c r="AO6" s="37"/>
      <c r="AP6" s="37"/>
      <c r="AQ6" s="37"/>
      <c r="AR6" s="37"/>
      <c r="AS6" s="37"/>
      <c r="AT6" s="37"/>
      <c r="AU6" s="37"/>
      <c r="AV6" s="37"/>
      <c r="AW6" s="37"/>
      <c r="AX6" s="37"/>
      <c r="AY6" s="37"/>
      <c r="AZ6" s="37"/>
      <c r="BA6" s="37"/>
      <c r="BB6" s="37"/>
      <c r="BC6" s="37"/>
      <c r="BD6" s="37"/>
      <c r="BE6" s="37" t="s">
        <v>1989</v>
      </c>
      <c r="BF6" s="37" t="s">
        <v>1989</v>
      </c>
      <c r="BG6" s="37" t="s">
        <v>1989</v>
      </c>
      <c r="BH6" s="37" t="s">
        <v>1989</v>
      </c>
      <c r="BI6" s="37" t="s">
        <v>1989</v>
      </c>
      <c r="BJ6" s="37" t="s">
        <v>1989</v>
      </c>
      <c r="BK6" s="37" t="s">
        <v>1989</v>
      </c>
      <c r="BL6" s="37" t="s">
        <v>1989</v>
      </c>
      <c r="BM6" s="37" t="s">
        <v>1989</v>
      </c>
      <c r="BN6" s="37" t="s">
        <v>1989</v>
      </c>
      <c r="BO6" s="37" t="s">
        <v>1989</v>
      </c>
      <c r="BP6" s="37" t="s">
        <v>1989</v>
      </c>
      <c r="BQ6" s="37" t="s">
        <v>1989</v>
      </c>
      <c r="BR6" s="37" t="s">
        <v>1989</v>
      </c>
      <c r="BS6" s="37" t="s">
        <v>1989</v>
      </c>
      <c r="BT6" s="37" t="s">
        <v>1989</v>
      </c>
      <c r="BU6" s="37" t="s">
        <v>1989</v>
      </c>
      <c r="BV6" s="37" t="s">
        <v>1989</v>
      </c>
      <c r="BW6" s="37" t="s">
        <v>1989</v>
      </c>
    </row>
    <row r="7" spans="1:78" ht="15" customHeight="1">
      <c r="A7" s="37" t="s">
        <v>1989</v>
      </c>
      <c r="B7" s="37" t="s">
        <v>1989</v>
      </c>
      <c r="C7" s="37" t="s">
        <v>1989</v>
      </c>
      <c r="D7" s="37" t="s">
        <v>1989</v>
      </c>
      <c r="E7" s="37" t="s">
        <v>1989</v>
      </c>
      <c r="F7" s="37" t="s">
        <v>1989</v>
      </c>
      <c r="G7" s="37" t="s">
        <v>1990</v>
      </c>
      <c r="H7" s="37" t="s">
        <v>1990</v>
      </c>
      <c r="I7" s="37" t="s">
        <v>1990</v>
      </c>
      <c r="J7" s="37" t="s">
        <v>1990</v>
      </c>
      <c r="K7" s="37" t="s">
        <v>1989</v>
      </c>
      <c r="L7" s="37" t="s">
        <v>1989</v>
      </c>
      <c r="M7" s="37" t="s">
        <v>1989</v>
      </c>
      <c r="N7" s="37" t="s">
        <v>1989</v>
      </c>
      <c r="O7" s="37" t="s">
        <v>1989</v>
      </c>
      <c r="P7" s="37" t="s">
        <v>1989</v>
      </c>
      <c r="Q7" s="37" t="s">
        <v>1989</v>
      </c>
      <c r="R7" s="37" t="s">
        <v>1989</v>
      </c>
      <c r="S7" s="37"/>
      <c r="T7" s="37"/>
      <c r="U7" s="37"/>
      <c r="V7" s="37"/>
      <c r="W7" s="37"/>
      <c r="X7" s="40"/>
      <c r="Y7" s="37" t="s">
        <v>1989</v>
      </c>
      <c r="Z7" s="37" t="s">
        <v>1989</v>
      </c>
      <c r="AA7" s="37" t="s">
        <v>1989</v>
      </c>
      <c r="AB7" s="37" t="s">
        <v>1989</v>
      </c>
      <c r="AC7" s="37"/>
      <c r="AD7" s="37"/>
      <c r="AE7" s="37"/>
      <c r="AF7" s="37"/>
      <c r="AG7" s="37" t="s">
        <v>1989</v>
      </c>
      <c r="AH7" s="37" t="s">
        <v>1989</v>
      </c>
      <c r="AI7" s="37"/>
      <c r="AJ7" s="37"/>
      <c r="AK7" s="37" t="s">
        <v>1989</v>
      </c>
      <c r="AL7" s="37" t="s">
        <v>1989</v>
      </c>
      <c r="AM7" s="37"/>
      <c r="AN7" s="37"/>
      <c r="AO7" s="37"/>
      <c r="AP7" s="37"/>
      <c r="AQ7" s="37"/>
      <c r="AR7" s="37"/>
      <c r="AS7" s="37"/>
      <c r="AT7" s="37"/>
      <c r="AU7" s="37"/>
      <c r="AV7" s="37"/>
      <c r="AW7" s="37"/>
      <c r="AX7" s="37"/>
      <c r="AY7" s="37"/>
      <c r="AZ7" s="37"/>
      <c r="BA7" s="37"/>
      <c r="BB7" s="37"/>
      <c r="BC7" s="37"/>
      <c r="BD7" s="37"/>
      <c r="BE7" s="37" t="s">
        <v>1989</v>
      </c>
      <c r="BF7" s="37" t="s">
        <v>1989</v>
      </c>
      <c r="BG7" s="37" t="s">
        <v>1989</v>
      </c>
      <c r="BH7" s="37" t="s">
        <v>1989</v>
      </c>
      <c r="BI7" s="37" t="s">
        <v>1989</v>
      </c>
      <c r="BJ7" s="37" t="s">
        <v>1989</v>
      </c>
      <c r="BK7" s="37" t="s">
        <v>1989</v>
      </c>
      <c r="BL7" s="37" t="s">
        <v>1989</v>
      </c>
      <c r="BM7" s="37" t="s">
        <v>1989</v>
      </c>
      <c r="BN7" s="37" t="s">
        <v>1989</v>
      </c>
      <c r="BO7" s="37" t="s">
        <v>1989</v>
      </c>
      <c r="BP7" s="37" t="s">
        <v>1989</v>
      </c>
      <c r="BQ7" s="37" t="s">
        <v>1989</v>
      </c>
      <c r="BR7" s="37" t="s">
        <v>1989</v>
      </c>
      <c r="BS7" s="37" t="s">
        <v>1989</v>
      </c>
      <c r="BT7" s="37" t="s">
        <v>1989</v>
      </c>
      <c r="BU7" s="37" t="s">
        <v>1989</v>
      </c>
      <c r="BV7" s="37" t="s">
        <v>1989</v>
      </c>
      <c r="BW7" s="37" t="s">
        <v>1989</v>
      </c>
    </row>
    <row r="8" spans="1:78" ht="15" customHeight="1">
      <c r="A8" s="37" t="s">
        <v>1989</v>
      </c>
      <c r="B8" s="37" t="s">
        <v>1989</v>
      </c>
      <c r="C8" s="37" t="s">
        <v>1989</v>
      </c>
      <c r="D8" s="37" t="s">
        <v>1989</v>
      </c>
      <c r="E8" s="37" t="s">
        <v>1989</v>
      </c>
      <c r="F8" s="37" t="s">
        <v>1989</v>
      </c>
      <c r="G8" s="37" t="s">
        <v>1989</v>
      </c>
      <c r="H8" s="37" t="s">
        <v>1989</v>
      </c>
      <c r="I8" s="37" t="s">
        <v>1989</v>
      </c>
      <c r="J8" s="37" t="s">
        <v>1990</v>
      </c>
      <c r="K8" s="37" t="s">
        <v>1990</v>
      </c>
      <c r="L8" s="37" t="s">
        <v>1990</v>
      </c>
      <c r="M8" s="37" t="s">
        <v>1989</v>
      </c>
      <c r="N8" s="37" t="s">
        <v>1989</v>
      </c>
      <c r="O8" s="37" t="s">
        <v>1989</v>
      </c>
      <c r="P8" s="37" t="s">
        <v>1989</v>
      </c>
      <c r="Q8" s="37" t="s">
        <v>1989</v>
      </c>
      <c r="R8" s="37" t="s">
        <v>1989</v>
      </c>
      <c r="S8" s="37"/>
      <c r="T8" s="37"/>
      <c r="U8" s="37"/>
      <c r="V8" s="37"/>
      <c r="W8" s="37"/>
      <c r="X8" s="40"/>
      <c r="Y8" s="37" t="s">
        <v>1989</v>
      </c>
      <c r="Z8" s="37" t="s">
        <v>1989</v>
      </c>
      <c r="AA8" s="37" t="s">
        <v>1989</v>
      </c>
      <c r="AB8" s="37" t="s">
        <v>1989</v>
      </c>
      <c r="AC8" s="37"/>
      <c r="AD8" s="37"/>
      <c r="AE8" s="37"/>
      <c r="AF8" s="37"/>
      <c r="AG8" s="37" t="s">
        <v>1989</v>
      </c>
      <c r="AH8" s="37" t="s">
        <v>1989</v>
      </c>
      <c r="AI8" s="37"/>
      <c r="AJ8" s="37"/>
      <c r="AK8" s="37" t="s">
        <v>1989</v>
      </c>
      <c r="AL8" s="37" t="s">
        <v>1989</v>
      </c>
      <c r="AM8" s="37" t="s">
        <v>1989</v>
      </c>
      <c r="AN8" s="37" t="s">
        <v>1989</v>
      </c>
      <c r="AO8" s="37" t="s">
        <v>1989</v>
      </c>
      <c r="AP8" s="37" t="s">
        <v>1989</v>
      </c>
      <c r="AQ8" s="37" t="s">
        <v>1989</v>
      </c>
      <c r="AR8" s="37" t="s">
        <v>1989</v>
      </c>
      <c r="AS8" s="37" t="s">
        <v>1989</v>
      </c>
      <c r="AT8" s="37" t="s">
        <v>1989</v>
      </c>
      <c r="AU8" s="37" t="s">
        <v>1989</v>
      </c>
      <c r="AV8" s="37" t="s">
        <v>1989</v>
      </c>
      <c r="AW8" s="37" t="s">
        <v>1989</v>
      </c>
      <c r="AX8" s="37" t="s">
        <v>1989</v>
      </c>
      <c r="AY8" s="37" t="s">
        <v>1989</v>
      </c>
      <c r="AZ8" s="37" t="s">
        <v>1989</v>
      </c>
      <c r="BA8" s="37" t="s">
        <v>1989</v>
      </c>
      <c r="BB8" s="37" t="s">
        <v>1989</v>
      </c>
      <c r="BC8" s="37" t="s">
        <v>1989</v>
      </c>
      <c r="BD8" s="37" t="s">
        <v>1989</v>
      </c>
      <c r="BE8" s="37" t="s">
        <v>1989</v>
      </c>
      <c r="BF8" s="37" t="s">
        <v>1989</v>
      </c>
      <c r="BG8" s="37" t="s">
        <v>1989</v>
      </c>
      <c r="BH8" s="37" t="s">
        <v>1989</v>
      </c>
      <c r="BI8" s="37" t="s">
        <v>1989</v>
      </c>
      <c r="BJ8" s="37" t="s">
        <v>1989</v>
      </c>
      <c r="BK8" s="37" t="s">
        <v>1989</v>
      </c>
      <c r="BL8" s="37" t="s">
        <v>1989</v>
      </c>
      <c r="BM8" s="37" t="s">
        <v>1989</v>
      </c>
      <c r="BN8" s="37" t="s">
        <v>1989</v>
      </c>
      <c r="BO8" s="37" t="s">
        <v>1989</v>
      </c>
      <c r="BP8" s="37" t="s">
        <v>1989</v>
      </c>
      <c r="BQ8" s="37" t="s">
        <v>1989</v>
      </c>
      <c r="BR8" s="37" t="s">
        <v>1989</v>
      </c>
      <c r="BS8" s="37" t="s">
        <v>1989</v>
      </c>
      <c r="BT8" s="37" t="s">
        <v>1989</v>
      </c>
      <c r="BU8" s="37" t="s">
        <v>1989</v>
      </c>
      <c r="BV8" s="37" t="s">
        <v>1989</v>
      </c>
      <c r="BW8" s="37" t="s">
        <v>1989</v>
      </c>
    </row>
    <row r="9" spans="1:78" ht="15" customHeight="1">
      <c r="A9" s="37" t="s">
        <v>1989</v>
      </c>
      <c r="B9" s="37" t="s">
        <v>1989</v>
      </c>
      <c r="C9" s="37" t="s">
        <v>1989</v>
      </c>
      <c r="D9" s="37" t="s">
        <v>1989</v>
      </c>
      <c r="E9" s="37" t="s">
        <v>1989</v>
      </c>
      <c r="F9" s="37" t="s">
        <v>1989</v>
      </c>
      <c r="G9" s="37" t="s">
        <v>1989</v>
      </c>
      <c r="H9" s="37" t="s">
        <v>1989</v>
      </c>
      <c r="I9" s="37" t="s">
        <v>1989</v>
      </c>
      <c r="J9" s="37" t="s">
        <v>1989</v>
      </c>
      <c r="K9" s="37" t="s">
        <v>1989</v>
      </c>
      <c r="L9" s="37" t="s">
        <v>1990</v>
      </c>
      <c r="M9" s="37" t="s">
        <v>1990</v>
      </c>
      <c r="N9" s="37" t="s">
        <v>1989</v>
      </c>
      <c r="O9" s="37" t="s">
        <v>1989</v>
      </c>
      <c r="P9" s="37" t="s">
        <v>1989</v>
      </c>
      <c r="Q9" s="37" t="s">
        <v>1989</v>
      </c>
      <c r="R9" s="37" t="s">
        <v>1989</v>
      </c>
      <c r="S9" s="37"/>
      <c r="T9" s="37"/>
      <c r="U9" s="37"/>
      <c r="V9" s="37"/>
      <c r="W9" s="37"/>
      <c r="X9" s="40"/>
      <c r="Y9" s="37" t="s">
        <v>1989</v>
      </c>
      <c r="Z9" s="37" t="s">
        <v>1989</v>
      </c>
      <c r="AA9" s="37" t="s">
        <v>1989</v>
      </c>
      <c r="AB9" s="37" t="s">
        <v>1989</v>
      </c>
      <c r="AC9" s="37"/>
      <c r="AD9" s="37"/>
      <c r="AE9" s="37"/>
      <c r="AF9" s="37"/>
      <c r="AG9" s="37" t="s">
        <v>1989</v>
      </c>
      <c r="AH9" s="37" t="s">
        <v>1989</v>
      </c>
      <c r="AI9" s="37"/>
      <c r="AJ9" s="37"/>
      <c r="AK9" s="37" t="s">
        <v>1989</v>
      </c>
      <c r="AL9" s="37" t="s">
        <v>1989</v>
      </c>
      <c r="AM9" s="37" t="s">
        <v>1989</v>
      </c>
      <c r="AN9" s="37" t="s">
        <v>1989</v>
      </c>
      <c r="AO9" s="37" t="s">
        <v>1989</v>
      </c>
      <c r="AP9" s="37" t="s">
        <v>1989</v>
      </c>
      <c r="AQ9" s="37" t="s">
        <v>1989</v>
      </c>
      <c r="AR9" s="37" t="s">
        <v>1989</v>
      </c>
      <c r="AS9" s="37" t="s">
        <v>1989</v>
      </c>
      <c r="AT9" s="37" t="s">
        <v>1989</v>
      </c>
      <c r="AU9" s="37" t="s">
        <v>1989</v>
      </c>
      <c r="AV9" s="37" t="s">
        <v>1989</v>
      </c>
      <c r="AW9" s="37" t="s">
        <v>1989</v>
      </c>
      <c r="AX9" s="37" t="s">
        <v>1989</v>
      </c>
      <c r="AY9" s="37" t="s">
        <v>1989</v>
      </c>
      <c r="AZ9" s="37" t="s">
        <v>1989</v>
      </c>
      <c r="BA9" s="37" t="s">
        <v>1989</v>
      </c>
      <c r="BB9" s="37" t="s">
        <v>1989</v>
      </c>
      <c r="BC9" s="37" t="s">
        <v>1989</v>
      </c>
      <c r="BD9" s="37" t="s">
        <v>1989</v>
      </c>
      <c r="BE9" s="37" t="s">
        <v>1989</v>
      </c>
      <c r="BF9" s="37" t="s">
        <v>1989</v>
      </c>
      <c r="BG9" s="37" t="s">
        <v>1989</v>
      </c>
      <c r="BH9" s="37" t="s">
        <v>1989</v>
      </c>
      <c r="BI9" s="37" t="s">
        <v>1989</v>
      </c>
      <c r="BJ9" s="37" t="s">
        <v>1989</v>
      </c>
      <c r="BK9" s="37" t="s">
        <v>1989</v>
      </c>
      <c r="BL9" s="37" t="s">
        <v>1989</v>
      </c>
      <c r="BM9" s="37" t="s">
        <v>1989</v>
      </c>
      <c r="BN9" s="37" t="s">
        <v>1989</v>
      </c>
      <c r="BO9" s="37" t="s">
        <v>1989</v>
      </c>
      <c r="BP9" s="37" t="s">
        <v>1989</v>
      </c>
      <c r="BQ9" s="37" t="s">
        <v>1989</v>
      </c>
      <c r="BR9" s="37" t="s">
        <v>1989</v>
      </c>
      <c r="BS9" s="37" t="s">
        <v>1989</v>
      </c>
      <c r="BT9" s="37" t="s">
        <v>1989</v>
      </c>
      <c r="BU9" s="37" t="s">
        <v>1989</v>
      </c>
      <c r="BV9" s="37" t="s">
        <v>1989</v>
      </c>
      <c r="BW9" s="37" t="s">
        <v>1989</v>
      </c>
    </row>
    <row r="10" spans="1:78" ht="15" customHeight="1">
      <c r="A10" s="37" t="s">
        <v>1989</v>
      </c>
      <c r="B10" s="37" t="s">
        <v>1989</v>
      </c>
      <c r="C10" s="37" t="s">
        <v>1989</v>
      </c>
      <c r="D10" s="37" t="s">
        <v>1989</v>
      </c>
      <c r="E10" s="37" t="s">
        <v>1989</v>
      </c>
      <c r="F10" s="37" t="s">
        <v>1989</v>
      </c>
      <c r="G10" s="37" t="s">
        <v>1989</v>
      </c>
      <c r="H10" s="37" t="s">
        <v>1989</v>
      </c>
      <c r="I10" s="37" t="s">
        <v>1989</v>
      </c>
      <c r="J10" s="37" t="s">
        <v>1989</v>
      </c>
      <c r="K10" s="37" t="s">
        <v>1989</v>
      </c>
      <c r="L10" s="37" t="s">
        <v>1989</v>
      </c>
      <c r="M10" s="37" t="s">
        <v>1990</v>
      </c>
      <c r="N10" s="37" t="s">
        <v>1990</v>
      </c>
      <c r="O10" s="37" t="s">
        <v>1989</v>
      </c>
      <c r="P10" s="37" t="s">
        <v>1989</v>
      </c>
      <c r="Q10" s="37" t="s">
        <v>1989</v>
      </c>
      <c r="R10" s="37" t="s">
        <v>1989</v>
      </c>
      <c r="S10" s="37" t="s">
        <v>1989</v>
      </c>
      <c r="T10" s="37" t="s">
        <v>1989</v>
      </c>
      <c r="U10" s="37" t="s">
        <v>1989</v>
      </c>
      <c r="V10" s="37" t="s">
        <v>1989</v>
      </c>
      <c r="W10" s="37" t="s">
        <v>1989</v>
      </c>
      <c r="X10" s="37" t="s">
        <v>1989</v>
      </c>
      <c r="Y10" s="37" t="s">
        <v>1989</v>
      </c>
      <c r="Z10" s="37" t="s">
        <v>1989</v>
      </c>
      <c r="AA10" s="37" t="s">
        <v>1989</v>
      </c>
      <c r="AB10" s="37" t="s">
        <v>1989</v>
      </c>
      <c r="AC10" s="37" t="s">
        <v>1989</v>
      </c>
      <c r="AD10" s="37" t="s">
        <v>1989</v>
      </c>
      <c r="AE10" s="37" t="s">
        <v>1989</v>
      </c>
      <c r="AF10" s="37" t="s">
        <v>1989</v>
      </c>
      <c r="AG10" s="37" t="s">
        <v>1989</v>
      </c>
      <c r="AH10" s="37" t="s">
        <v>1989</v>
      </c>
      <c r="AI10" s="37"/>
      <c r="AJ10" s="37"/>
      <c r="AK10" s="37" t="s">
        <v>1989</v>
      </c>
      <c r="AL10" s="37" t="s">
        <v>1989</v>
      </c>
      <c r="AM10" s="37" t="s">
        <v>1989</v>
      </c>
      <c r="AN10" s="37" t="s">
        <v>1989</v>
      </c>
      <c r="AO10" s="37" t="s">
        <v>1989</v>
      </c>
      <c r="AP10" s="37" t="s">
        <v>1989</v>
      </c>
      <c r="AQ10" s="37" t="s">
        <v>1989</v>
      </c>
      <c r="AR10" s="37" t="s">
        <v>1989</v>
      </c>
      <c r="AS10" s="37" t="s">
        <v>1989</v>
      </c>
      <c r="AT10" s="37" t="s">
        <v>1989</v>
      </c>
      <c r="AU10" s="37" t="s">
        <v>1989</v>
      </c>
      <c r="AV10" s="37" t="s">
        <v>1989</v>
      </c>
      <c r="AW10" s="37" t="s">
        <v>1989</v>
      </c>
      <c r="AX10" s="37" t="s">
        <v>1989</v>
      </c>
      <c r="AY10" s="37" t="s">
        <v>1989</v>
      </c>
      <c r="AZ10" s="37" t="s">
        <v>1989</v>
      </c>
      <c r="BA10" s="37" t="s">
        <v>1989</v>
      </c>
      <c r="BB10" s="37" t="s">
        <v>1989</v>
      </c>
      <c r="BC10" s="37" t="s">
        <v>1989</v>
      </c>
      <c r="BD10" s="37" t="s">
        <v>1989</v>
      </c>
      <c r="BE10" s="37" t="s">
        <v>1989</v>
      </c>
      <c r="BF10" s="37" t="s">
        <v>1989</v>
      </c>
      <c r="BG10" s="37" t="s">
        <v>1989</v>
      </c>
      <c r="BH10" s="37" t="s">
        <v>1989</v>
      </c>
      <c r="BI10" s="37" t="s">
        <v>1989</v>
      </c>
      <c r="BJ10" s="37" t="s">
        <v>1989</v>
      </c>
      <c r="BK10" s="37" t="s">
        <v>1989</v>
      </c>
      <c r="BL10" s="37" t="s">
        <v>1989</v>
      </c>
      <c r="BM10" s="37" t="s">
        <v>1989</v>
      </c>
      <c r="BN10" s="37" t="s">
        <v>1989</v>
      </c>
      <c r="BO10" s="37" t="s">
        <v>1989</v>
      </c>
      <c r="BP10" s="37" t="s">
        <v>1989</v>
      </c>
      <c r="BQ10" s="37" t="s">
        <v>1989</v>
      </c>
      <c r="BR10" s="37" t="s">
        <v>1989</v>
      </c>
      <c r="BS10" s="37" t="s">
        <v>1989</v>
      </c>
      <c r="BT10" s="37" t="s">
        <v>1989</v>
      </c>
      <c r="BU10" s="37" t="s">
        <v>1989</v>
      </c>
      <c r="BV10" s="37" t="s">
        <v>1989</v>
      </c>
      <c r="BW10" s="37" t="s">
        <v>1989</v>
      </c>
    </row>
    <row r="11" spans="1:78" ht="15" customHeight="1">
      <c r="A11" s="37" t="s">
        <v>1989</v>
      </c>
      <c r="B11" s="37" t="s">
        <v>1989</v>
      </c>
      <c r="C11" s="37" t="s">
        <v>1989</v>
      </c>
      <c r="D11" s="37" t="s">
        <v>1989</v>
      </c>
      <c r="E11" s="37" t="s">
        <v>1989</v>
      </c>
      <c r="F11" s="37" t="s">
        <v>1989</v>
      </c>
      <c r="G11" s="37" t="s">
        <v>1989</v>
      </c>
      <c r="H11" s="37" t="s">
        <v>1989</v>
      </c>
      <c r="I11" s="37" t="s">
        <v>1989</v>
      </c>
      <c r="J11" s="37" t="s">
        <v>1989</v>
      </c>
      <c r="K11" s="37" t="s">
        <v>1989</v>
      </c>
      <c r="L11" s="37" t="s">
        <v>1989</v>
      </c>
      <c r="M11" s="37" t="s">
        <v>1989</v>
      </c>
      <c r="N11" s="37" t="s">
        <v>1990</v>
      </c>
      <c r="O11" s="37" t="s">
        <v>1989</v>
      </c>
      <c r="P11" s="37" t="s">
        <v>1989</v>
      </c>
      <c r="Q11" s="37" t="s">
        <v>1989</v>
      </c>
      <c r="R11" s="37" t="s">
        <v>1989</v>
      </c>
      <c r="S11" s="37" t="s">
        <v>1989</v>
      </c>
      <c r="T11" s="37" t="s">
        <v>1989</v>
      </c>
      <c r="U11" s="37" t="s">
        <v>1989</v>
      </c>
      <c r="V11" s="37" t="s">
        <v>1989</v>
      </c>
      <c r="W11" s="37" t="s">
        <v>1989</v>
      </c>
      <c r="X11" s="37" t="s">
        <v>1989</v>
      </c>
      <c r="Y11" s="37" t="s">
        <v>1989</v>
      </c>
      <c r="Z11" s="37" t="s">
        <v>1989</v>
      </c>
      <c r="AA11" s="37" t="s">
        <v>1989</v>
      </c>
      <c r="AB11" s="37" t="s">
        <v>1989</v>
      </c>
      <c r="AC11" s="37" t="s">
        <v>1989</v>
      </c>
      <c r="AD11" s="37" t="s">
        <v>1989</v>
      </c>
      <c r="AE11" s="37" t="s">
        <v>1989</v>
      </c>
      <c r="AF11" s="37" t="s">
        <v>1989</v>
      </c>
      <c r="AG11" s="37" t="s">
        <v>1989</v>
      </c>
      <c r="AH11" s="37" t="s">
        <v>1989</v>
      </c>
      <c r="AI11" s="37"/>
      <c r="AJ11" s="37"/>
      <c r="AK11" s="37" t="s">
        <v>1989</v>
      </c>
      <c r="AL11" s="37" t="s">
        <v>1989</v>
      </c>
      <c r="AM11" s="37" t="s">
        <v>1989</v>
      </c>
      <c r="AN11" s="37" t="s">
        <v>1989</v>
      </c>
      <c r="AO11" s="37" t="s">
        <v>1989</v>
      </c>
      <c r="AP11" s="37" t="s">
        <v>1989</v>
      </c>
      <c r="AQ11" s="37" t="s">
        <v>1989</v>
      </c>
      <c r="AR11" s="37" t="s">
        <v>1989</v>
      </c>
      <c r="AS11" s="37" t="s">
        <v>1989</v>
      </c>
      <c r="AT11" s="37" t="s">
        <v>1989</v>
      </c>
      <c r="AU11" s="37" t="s">
        <v>1989</v>
      </c>
      <c r="AV11" s="37" t="s">
        <v>1989</v>
      </c>
      <c r="AW11" s="37" t="s">
        <v>1989</v>
      </c>
      <c r="AX11" s="37" t="s">
        <v>1989</v>
      </c>
      <c r="AY11" s="37" t="s">
        <v>1989</v>
      </c>
      <c r="AZ11" s="37" t="s">
        <v>1989</v>
      </c>
      <c r="BA11" s="37" t="s">
        <v>1989</v>
      </c>
      <c r="BB11" s="37" t="s">
        <v>1989</v>
      </c>
      <c r="BC11" s="37" t="s">
        <v>1989</v>
      </c>
      <c r="BD11" s="37" t="s">
        <v>1989</v>
      </c>
      <c r="BE11" s="37" t="s">
        <v>1989</v>
      </c>
      <c r="BF11" s="37" t="s">
        <v>1989</v>
      </c>
      <c r="BG11" s="37" t="s">
        <v>1989</v>
      </c>
      <c r="BH11" s="37" t="s">
        <v>1989</v>
      </c>
      <c r="BI11" s="37" t="s">
        <v>1989</v>
      </c>
      <c r="BJ11" s="37" t="s">
        <v>1989</v>
      </c>
      <c r="BK11" s="37" t="s">
        <v>1989</v>
      </c>
      <c r="BL11" s="37" t="s">
        <v>1989</v>
      </c>
      <c r="BM11" s="37" t="s">
        <v>1989</v>
      </c>
      <c r="BN11" s="37" t="s">
        <v>1989</v>
      </c>
      <c r="BO11" s="37" t="s">
        <v>1989</v>
      </c>
      <c r="BP11" s="37" t="s">
        <v>1989</v>
      </c>
      <c r="BQ11" s="37" t="s">
        <v>1989</v>
      </c>
      <c r="BR11" s="37" t="s">
        <v>1989</v>
      </c>
      <c r="BS11" s="37" t="s">
        <v>1989</v>
      </c>
      <c r="BT11" s="37" t="s">
        <v>1989</v>
      </c>
      <c r="BU11" s="37" t="s">
        <v>1989</v>
      </c>
      <c r="BV11" s="37" t="s">
        <v>1989</v>
      </c>
      <c r="BW11" s="37" t="s">
        <v>1989</v>
      </c>
    </row>
    <row r="12" spans="1:78" ht="15" customHeight="1">
      <c r="A12" s="37" t="s">
        <v>1989</v>
      </c>
      <c r="B12" s="37" t="s">
        <v>1989</v>
      </c>
      <c r="C12" s="37" t="s">
        <v>1989</v>
      </c>
      <c r="D12" s="37" t="s">
        <v>1989</v>
      </c>
      <c r="E12" s="37" t="s">
        <v>1989</v>
      </c>
      <c r="F12" s="37" t="s">
        <v>1989</v>
      </c>
      <c r="G12" s="37" t="s">
        <v>1989</v>
      </c>
      <c r="H12" s="37" t="s">
        <v>1989</v>
      </c>
      <c r="I12" s="37" t="s">
        <v>1989</v>
      </c>
      <c r="J12" s="37" t="s">
        <v>1989</v>
      </c>
      <c r="K12" s="37" t="s">
        <v>1989</v>
      </c>
      <c r="L12" s="37" t="s">
        <v>1989</v>
      </c>
      <c r="M12" s="37" t="s">
        <v>1989</v>
      </c>
      <c r="N12" s="37" t="s">
        <v>1990</v>
      </c>
      <c r="O12" s="37" t="s">
        <v>1990</v>
      </c>
      <c r="P12" s="37" t="s">
        <v>1990</v>
      </c>
      <c r="Q12" s="37"/>
      <c r="R12" s="37"/>
      <c r="S12" s="37" t="s">
        <v>1989</v>
      </c>
      <c r="T12" s="37" t="s">
        <v>1989</v>
      </c>
      <c r="U12" s="37" t="s">
        <v>1989</v>
      </c>
      <c r="V12" s="37" t="s">
        <v>1989</v>
      </c>
      <c r="W12" s="37" t="s">
        <v>1989</v>
      </c>
      <c r="X12" s="37" t="s">
        <v>1989</v>
      </c>
      <c r="Y12" s="37"/>
      <c r="Z12" s="37"/>
      <c r="AA12" s="37"/>
      <c r="AB12" s="37"/>
      <c r="AC12" s="37"/>
      <c r="AD12" s="37"/>
      <c r="AE12" s="37" t="s">
        <v>1989</v>
      </c>
      <c r="AF12" s="37" t="s">
        <v>1989</v>
      </c>
      <c r="AG12" s="37" t="s">
        <v>1989</v>
      </c>
      <c r="AH12" s="37" t="s">
        <v>1989</v>
      </c>
      <c r="AI12" s="37"/>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t="s">
        <v>1989</v>
      </c>
      <c r="BJ12" s="37" t="s">
        <v>1989</v>
      </c>
      <c r="BK12" s="37" t="s">
        <v>1989</v>
      </c>
      <c r="BL12" s="37" t="s">
        <v>1989</v>
      </c>
      <c r="BM12" s="37" t="s">
        <v>1989</v>
      </c>
      <c r="BN12" s="37" t="s">
        <v>1989</v>
      </c>
      <c r="BO12" s="37" t="s">
        <v>1989</v>
      </c>
      <c r="BP12" s="37" t="s">
        <v>1989</v>
      </c>
      <c r="BQ12" s="37" t="s">
        <v>1989</v>
      </c>
      <c r="BR12" s="37" t="s">
        <v>1989</v>
      </c>
      <c r="BS12" s="37" t="s">
        <v>1989</v>
      </c>
      <c r="BT12" s="37" t="s">
        <v>1989</v>
      </c>
      <c r="BU12" s="37" t="s">
        <v>1989</v>
      </c>
      <c r="BV12" s="37" t="s">
        <v>1989</v>
      </c>
      <c r="BW12" s="37" t="s">
        <v>1989</v>
      </c>
    </row>
    <row r="13" spans="1:78" ht="15" customHeight="1">
      <c r="A13" s="37" t="s">
        <v>1989</v>
      </c>
      <c r="B13" s="37" t="s">
        <v>1989</v>
      </c>
      <c r="C13" s="37" t="s">
        <v>1989</v>
      </c>
      <c r="D13" s="37" t="s">
        <v>1989</v>
      </c>
      <c r="E13" s="37" t="s">
        <v>1989</v>
      </c>
      <c r="F13" s="37" t="s">
        <v>1989</v>
      </c>
      <c r="G13" s="37" t="s">
        <v>1989</v>
      </c>
      <c r="H13" s="37" t="s">
        <v>1989</v>
      </c>
      <c r="I13" s="37" t="s">
        <v>1989</v>
      </c>
      <c r="J13" s="37" t="s">
        <v>1989</v>
      </c>
      <c r="K13" s="37" t="s">
        <v>1989</v>
      </c>
      <c r="L13" s="37" t="s">
        <v>1989</v>
      </c>
      <c r="M13" s="37" t="s">
        <v>1989</v>
      </c>
      <c r="N13" s="37" t="s">
        <v>1989</v>
      </c>
      <c r="O13" s="37" t="s">
        <v>1989</v>
      </c>
      <c r="P13" s="37" t="s">
        <v>1990</v>
      </c>
      <c r="Q13" s="37" t="s">
        <v>1990</v>
      </c>
      <c r="R13" s="37"/>
      <c r="S13" s="37"/>
      <c r="T13" s="37" t="s">
        <v>1989</v>
      </c>
      <c r="U13" s="37" t="s">
        <v>1989</v>
      </c>
      <c r="V13" s="37" t="s">
        <v>1989</v>
      </c>
      <c r="W13" s="37" t="s">
        <v>1989</v>
      </c>
      <c r="X13" s="37" t="s">
        <v>1989</v>
      </c>
      <c r="Y13" s="37"/>
      <c r="Z13" s="37"/>
      <c r="AA13" s="37"/>
      <c r="AB13" s="37"/>
      <c r="AC13" s="37"/>
      <c r="AD13" s="37"/>
      <c r="AE13" s="37" t="s">
        <v>1989</v>
      </c>
      <c r="AF13" s="37" t="s">
        <v>1989</v>
      </c>
      <c r="AG13" s="37" t="s">
        <v>1989</v>
      </c>
      <c r="AH13" s="37" t="s">
        <v>1989</v>
      </c>
      <c r="AI13" s="37"/>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7" t="s">
        <v>1989</v>
      </c>
      <c r="BJ13" s="37" t="s">
        <v>1989</v>
      </c>
      <c r="BK13" s="37" t="s">
        <v>1989</v>
      </c>
      <c r="BL13" s="37" t="s">
        <v>1989</v>
      </c>
      <c r="BM13" s="37" t="s">
        <v>1989</v>
      </c>
      <c r="BN13" s="37" t="s">
        <v>1989</v>
      </c>
      <c r="BO13" s="37" t="s">
        <v>1989</v>
      </c>
      <c r="BP13" s="37" t="s">
        <v>1989</v>
      </c>
      <c r="BQ13" s="37" t="s">
        <v>1989</v>
      </c>
      <c r="BR13" s="37" t="s">
        <v>1989</v>
      </c>
      <c r="BS13" s="37" t="s">
        <v>1989</v>
      </c>
      <c r="BT13" s="37" t="s">
        <v>1989</v>
      </c>
      <c r="BU13" s="37" t="s">
        <v>1989</v>
      </c>
      <c r="BV13" s="37" t="s">
        <v>1989</v>
      </c>
      <c r="BW13" s="37" t="s">
        <v>1989</v>
      </c>
    </row>
    <row r="14" spans="1:78" ht="15" customHeight="1">
      <c r="A14" s="37" t="s">
        <v>1989</v>
      </c>
      <c r="B14" s="37" t="s">
        <v>1989</v>
      </c>
      <c r="C14" s="37" t="s">
        <v>1989</v>
      </c>
      <c r="D14" s="37" t="s">
        <v>1989</v>
      </c>
      <c r="E14" s="37" t="s">
        <v>1989</v>
      </c>
      <c r="F14" s="37" t="s">
        <v>1989</v>
      </c>
      <c r="G14" s="37" t="s">
        <v>1989</v>
      </c>
      <c r="H14" s="37" t="s">
        <v>1989</v>
      </c>
      <c r="I14" s="37" t="s">
        <v>1989</v>
      </c>
      <c r="J14" s="37" t="s">
        <v>1989</v>
      </c>
      <c r="K14" s="37" t="s">
        <v>1989</v>
      </c>
      <c r="L14" s="37" t="s">
        <v>1989</v>
      </c>
      <c r="M14" s="37" t="s">
        <v>1989</v>
      </c>
      <c r="N14" s="37" t="s">
        <v>1989</v>
      </c>
      <c r="O14" s="37" t="s">
        <v>1989</v>
      </c>
      <c r="P14" s="37"/>
      <c r="Q14" s="37" t="s">
        <v>1990</v>
      </c>
      <c r="R14" s="37"/>
      <c r="S14" s="37"/>
      <c r="T14" s="37"/>
      <c r="U14" s="37"/>
      <c r="V14" s="37"/>
      <c r="W14" s="37"/>
      <c r="X14" s="37"/>
      <c r="Y14" s="37"/>
      <c r="Z14" s="37"/>
      <c r="AA14" s="37"/>
      <c r="AB14" s="37"/>
      <c r="AC14" s="37"/>
      <c r="AD14" s="37"/>
      <c r="AE14" s="37"/>
      <c r="AF14" s="37"/>
      <c r="AG14" s="37"/>
      <c r="AH14" s="37"/>
      <c r="AI14" s="37"/>
      <c r="AJ14" s="37"/>
      <c r="AK14" s="37" t="s">
        <v>1989</v>
      </c>
      <c r="AL14" s="37" t="s">
        <v>1989</v>
      </c>
      <c r="AM14" s="37" t="s">
        <v>1989</v>
      </c>
      <c r="AN14" s="37" t="s">
        <v>1989</v>
      </c>
      <c r="AO14" s="37" t="s">
        <v>1989</v>
      </c>
      <c r="AP14" s="37" t="s">
        <v>1989</v>
      </c>
      <c r="AQ14" s="37"/>
      <c r="AR14" s="37"/>
      <c r="AS14" s="37" t="s">
        <v>1989</v>
      </c>
      <c r="AT14" s="37" t="s">
        <v>1989</v>
      </c>
      <c r="AU14" s="37" t="s">
        <v>1989</v>
      </c>
      <c r="AV14" s="37" t="s">
        <v>1989</v>
      </c>
      <c r="AW14" s="37" t="s">
        <v>1989</v>
      </c>
      <c r="AX14" s="37" t="s">
        <v>1989</v>
      </c>
      <c r="AY14" s="37"/>
      <c r="AZ14" s="37"/>
      <c r="BA14" s="37" t="s">
        <v>1989</v>
      </c>
      <c r="BB14" s="37" t="s">
        <v>1989</v>
      </c>
      <c r="BC14" s="37" t="s">
        <v>1989</v>
      </c>
      <c r="BD14" s="37" t="s">
        <v>1989</v>
      </c>
      <c r="BE14" s="37" t="s">
        <v>1989</v>
      </c>
      <c r="BF14" s="37" t="s">
        <v>1989</v>
      </c>
      <c r="BG14" s="37"/>
      <c r="BH14" s="37"/>
      <c r="BI14" s="37" t="s">
        <v>1989</v>
      </c>
      <c r="BJ14" s="37" t="s">
        <v>1989</v>
      </c>
      <c r="BK14" s="37" t="s">
        <v>1989</v>
      </c>
      <c r="BL14" s="37" t="s">
        <v>1989</v>
      </c>
      <c r="BM14" s="37" t="s">
        <v>1989</v>
      </c>
      <c r="BN14" s="37" t="s">
        <v>1989</v>
      </c>
      <c r="BO14" s="37" t="s">
        <v>1989</v>
      </c>
      <c r="BP14" s="37" t="s">
        <v>1989</v>
      </c>
      <c r="BQ14" s="37" t="s">
        <v>1989</v>
      </c>
      <c r="BR14" s="37" t="s">
        <v>1989</v>
      </c>
      <c r="BS14" s="37" t="s">
        <v>1989</v>
      </c>
      <c r="BT14" s="37" t="s">
        <v>1989</v>
      </c>
      <c r="BU14" s="37" t="s">
        <v>1989</v>
      </c>
      <c r="BV14" s="37" t="s">
        <v>1989</v>
      </c>
      <c r="BW14" s="37" t="s">
        <v>1989</v>
      </c>
    </row>
    <row r="15" spans="1:78" ht="15" customHeight="1">
      <c r="A15" s="37" t="s">
        <v>1989</v>
      </c>
      <c r="B15" s="37" t="s">
        <v>1989</v>
      </c>
      <c r="C15" s="37" t="s">
        <v>1989</v>
      </c>
      <c r="D15" s="37" t="s">
        <v>1989</v>
      </c>
      <c r="E15" s="37" t="s">
        <v>1989</v>
      </c>
      <c r="F15" s="37" t="s">
        <v>1989</v>
      </c>
      <c r="G15" s="37" t="s">
        <v>1989</v>
      </c>
      <c r="H15" s="37" t="s">
        <v>1989</v>
      </c>
      <c r="I15" s="37" t="s">
        <v>1989</v>
      </c>
      <c r="J15" s="37" t="s">
        <v>1989</v>
      </c>
      <c r="K15" s="37" t="s">
        <v>1989</v>
      </c>
      <c r="L15" s="37" t="s">
        <v>1989</v>
      </c>
      <c r="M15" s="37" t="s">
        <v>1989</v>
      </c>
      <c r="N15" s="37" t="s">
        <v>1989</v>
      </c>
      <c r="O15" s="37" t="s">
        <v>1989</v>
      </c>
      <c r="P15" s="37"/>
      <c r="Q15" s="37" t="s">
        <v>1990</v>
      </c>
      <c r="R15" s="37"/>
      <c r="S15" s="37"/>
      <c r="T15" s="37"/>
      <c r="U15" s="37"/>
      <c r="V15" s="37"/>
      <c r="W15" s="37"/>
      <c r="X15" s="37"/>
      <c r="Y15" s="37"/>
      <c r="Z15" s="37"/>
      <c r="AA15" s="37"/>
      <c r="AB15" s="37"/>
      <c r="AC15" s="37"/>
      <c r="AD15" s="37"/>
      <c r="AE15" s="37"/>
      <c r="AF15" s="37"/>
      <c r="AG15" s="37"/>
      <c r="AH15" s="37"/>
      <c r="AI15" s="37"/>
      <c r="AJ15" s="37"/>
      <c r="AK15" s="37" t="s">
        <v>1989</v>
      </c>
      <c r="AL15" s="37" t="s">
        <v>1989</v>
      </c>
      <c r="AM15" s="37" t="s">
        <v>1989</v>
      </c>
      <c r="AN15" s="37" t="s">
        <v>1989</v>
      </c>
      <c r="AO15" s="37" t="s">
        <v>1989</v>
      </c>
      <c r="AP15" s="37" t="s">
        <v>1989</v>
      </c>
      <c r="AQ15" s="37"/>
      <c r="AR15" s="37"/>
      <c r="AS15" s="37" t="s">
        <v>1989</v>
      </c>
      <c r="AT15" s="37" t="s">
        <v>1989</v>
      </c>
      <c r="AU15" s="37" t="s">
        <v>1989</v>
      </c>
      <c r="AV15" s="37" t="s">
        <v>1989</v>
      </c>
      <c r="AW15" s="37" t="s">
        <v>1989</v>
      </c>
      <c r="AX15" s="37" t="s">
        <v>1989</v>
      </c>
      <c r="AY15" s="37"/>
      <c r="AZ15" s="37"/>
      <c r="BA15" s="37" t="s">
        <v>1989</v>
      </c>
      <c r="BB15" s="37" t="s">
        <v>1989</v>
      </c>
      <c r="BC15" s="37" t="s">
        <v>1989</v>
      </c>
      <c r="BD15" s="37" t="s">
        <v>1989</v>
      </c>
      <c r="BE15" s="37" t="s">
        <v>1989</v>
      </c>
      <c r="BF15" s="37" t="s">
        <v>1989</v>
      </c>
      <c r="BG15" s="37"/>
      <c r="BH15" s="37"/>
      <c r="BI15" s="37" t="s">
        <v>1989</v>
      </c>
      <c r="BJ15" s="37" t="s">
        <v>1989</v>
      </c>
      <c r="BK15" s="37" t="s">
        <v>1989</v>
      </c>
      <c r="BL15" s="37" t="s">
        <v>1989</v>
      </c>
      <c r="BM15" s="37" t="s">
        <v>1989</v>
      </c>
      <c r="BN15" s="37" t="s">
        <v>1989</v>
      </c>
      <c r="BO15" s="37" t="s">
        <v>1989</v>
      </c>
      <c r="BP15" s="37" t="s">
        <v>1989</v>
      </c>
      <c r="BQ15" s="37" t="s">
        <v>1989</v>
      </c>
      <c r="BR15" s="37" t="s">
        <v>1989</v>
      </c>
      <c r="BS15" s="37" t="s">
        <v>1989</v>
      </c>
      <c r="BT15" s="37" t="s">
        <v>1989</v>
      </c>
      <c r="BU15" s="37" t="s">
        <v>1989</v>
      </c>
      <c r="BV15" s="37" t="s">
        <v>1989</v>
      </c>
      <c r="BW15" s="37" t="s">
        <v>1989</v>
      </c>
    </row>
    <row r="16" spans="1:78" ht="15" customHeight="1">
      <c r="A16" s="37" t="s">
        <v>1989</v>
      </c>
      <c r="B16" s="37" t="s">
        <v>1989</v>
      </c>
      <c r="C16" s="37" t="s">
        <v>1989</v>
      </c>
      <c r="D16" s="37" t="s">
        <v>1989</v>
      </c>
      <c r="E16" s="37" t="s">
        <v>1989</v>
      </c>
      <c r="F16" s="37" t="s">
        <v>1989</v>
      </c>
      <c r="G16" s="37" t="s">
        <v>1989</v>
      </c>
      <c r="H16" s="37" t="s">
        <v>1989</v>
      </c>
      <c r="I16" s="37" t="s">
        <v>1989</v>
      </c>
      <c r="J16" s="37" t="s">
        <v>1989</v>
      </c>
      <c r="K16" s="37" t="s">
        <v>1989</v>
      </c>
      <c r="L16" s="37" t="s">
        <v>1989</v>
      </c>
      <c r="M16" s="37" t="s">
        <v>1989</v>
      </c>
      <c r="N16" s="37" t="s">
        <v>1989</v>
      </c>
      <c r="O16" s="37" t="s">
        <v>1989</v>
      </c>
      <c r="P16" s="37"/>
      <c r="Q16" s="37" t="s">
        <v>1990</v>
      </c>
      <c r="R16" s="37"/>
      <c r="S16" s="37"/>
      <c r="T16" s="37"/>
      <c r="U16" s="37" t="s">
        <v>1989</v>
      </c>
      <c r="V16" s="37" t="s">
        <v>1989</v>
      </c>
      <c r="W16" s="37" t="s">
        <v>1989</v>
      </c>
      <c r="X16" s="37" t="s">
        <v>1989</v>
      </c>
      <c r="Y16" s="37"/>
      <c r="Z16" s="37"/>
      <c r="AA16" s="37"/>
      <c r="AB16" s="37"/>
      <c r="AC16" s="37"/>
      <c r="AD16" s="37"/>
      <c r="AE16" s="37" t="s">
        <v>1989</v>
      </c>
      <c r="AF16" s="37" t="s">
        <v>1989</v>
      </c>
      <c r="AG16" s="37"/>
      <c r="AH16" s="37"/>
      <c r="AI16" s="37" t="s">
        <v>1989</v>
      </c>
      <c r="AJ16" s="37" t="s">
        <v>1989</v>
      </c>
      <c r="AK16" s="37"/>
      <c r="AL16" s="37"/>
      <c r="AM16" s="37"/>
      <c r="AN16" s="37"/>
      <c r="AO16" s="37"/>
      <c r="AP16" s="40"/>
      <c r="AQ16" s="37"/>
      <c r="AR16" s="37"/>
      <c r="AS16" s="37" t="s">
        <v>1989</v>
      </c>
      <c r="AT16" s="37" t="s">
        <v>1989</v>
      </c>
      <c r="AU16" s="37" t="s">
        <v>1989</v>
      </c>
      <c r="AV16" s="37" t="s">
        <v>1989</v>
      </c>
      <c r="AW16" s="37" t="s">
        <v>1989</v>
      </c>
      <c r="AX16" s="37" t="s">
        <v>1989</v>
      </c>
      <c r="AY16" s="37"/>
      <c r="AZ16" s="37"/>
      <c r="BA16" s="37"/>
      <c r="BB16" s="37"/>
      <c r="BC16" s="37" t="s">
        <v>1989</v>
      </c>
      <c r="BD16" s="37" t="s">
        <v>1989</v>
      </c>
      <c r="BE16" s="37" t="s">
        <v>1989</v>
      </c>
      <c r="BF16" s="37" t="s">
        <v>1989</v>
      </c>
      <c r="BG16" s="37"/>
      <c r="BH16" s="37"/>
      <c r="BI16" s="37"/>
      <c r="BJ16" s="37"/>
      <c r="BK16" s="37"/>
      <c r="BL16" s="37"/>
      <c r="BM16" s="37"/>
      <c r="BN16" s="37"/>
      <c r="BO16" s="37" t="s">
        <v>1989</v>
      </c>
      <c r="BP16" s="37" t="s">
        <v>1989</v>
      </c>
      <c r="BQ16" s="37" t="s">
        <v>1989</v>
      </c>
      <c r="BR16" s="37" t="s">
        <v>1989</v>
      </c>
      <c r="BS16" s="37" t="s">
        <v>1989</v>
      </c>
      <c r="BT16" s="37" t="s">
        <v>1989</v>
      </c>
      <c r="BU16" s="37" t="s">
        <v>1989</v>
      </c>
      <c r="BV16" s="37" t="s">
        <v>1989</v>
      </c>
      <c r="BW16" s="37" t="s">
        <v>1989</v>
      </c>
    </row>
    <row r="17" spans="1:75" ht="15" customHeight="1">
      <c r="A17" s="37" t="s">
        <v>1989</v>
      </c>
      <c r="B17" s="37" t="s">
        <v>1989</v>
      </c>
      <c r="C17" s="37" t="s">
        <v>1989</v>
      </c>
      <c r="D17" s="37" t="s">
        <v>1989</v>
      </c>
      <c r="E17" s="37" t="s">
        <v>1989</v>
      </c>
      <c r="F17" s="37" t="s">
        <v>1989</v>
      </c>
      <c r="G17" s="37" t="s">
        <v>1989</v>
      </c>
      <c r="H17" s="37" t="s">
        <v>1989</v>
      </c>
      <c r="I17" s="37" t="s">
        <v>1989</v>
      </c>
      <c r="J17" s="37" t="s">
        <v>1989</v>
      </c>
      <c r="K17" s="37" t="s">
        <v>1989</v>
      </c>
      <c r="L17" s="37" t="s">
        <v>1989</v>
      </c>
      <c r="M17" s="37" t="s">
        <v>1989</v>
      </c>
      <c r="N17" s="37" t="s">
        <v>1989</v>
      </c>
      <c r="O17" s="37" t="s">
        <v>1989</v>
      </c>
      <c r="P17" s="37" t="s">
        <v>1990</v>
      </c>
      <c r="Q17" s="37" t="s">
        <v>1990</v>
      </c>
      <c r="R17" s="37"/>
      <c r="S17" s="37"/>
      <c r="T17" s="37"/>
      <c r="U17" s="37" t="s">
        <v>1989</v>
      </c>
      <c r="V17" s="37" t="s">
        <v>1989</v>
      </c>
      <c r="W17" s="37" t="s">
        <v>1989</v>
      </c>
      <c r="X17" s="37" t="s">
        <v>1989</v>
      </c>
      <c r="Y17" s="37"/>
      <c r="Z17" s="37"/>
      <c r="AA17" s="37"/>
      <c r="AB17" s="37"/>
      <c r="AC17" s="37"/>
      <c r="AD17" s="37"/>
      <c r="AE17" s="37" t="s">
        <v>1989</v>
      </c>
      <c r="AF17" s="37" t="s">
        <v>1989</v>
      </c>
      <c r="AG17" s="37"/>
      <c r="AH17" s="37"/>
      <c r="AI17" s="37" t="s">
        <v>1989</v>
      </c>
      <c r="AJ17" s="37" t="s">
        <v>1989</v>
      </c>
      <c r="AK17" s="37"/>
      <c r="AL17" s="37"/>
      <c r="AM17" s="37"/>
      <c r="AN17" s="37"/>
      <c r="AO17" s="37"/>
      <c r="AP17" s="40"/>
      <c r="AQ17" s="37"/>
      <c r="AR17" s="37"/>
      <c r="AS17" s="37" t="s">
        <v>1989</v>
      </c>
      <c r="AT17" s="37" t="s">
        <v>1989</v>
      </c>
      <c r="AU17" s="37" t="s">
        <v>1989</v>
      </c>
      <c r="AV17" s="37" t="s">
        <v>1989</v>
      </c>
      <c r="AW17" s="37" t="s">
        <v>1989</v>
      </c>
      <c r="AX17" s="37" t="s">
        <v>1989</v>
      </c>
      <c r="AY17" s="37"/>
      <c r="AZ17" s="37"/>
      <c r="BA17" s="37"/>
      <c r="BB17" s="37"/>
      <c r="BC17" s="37" t="s">
        <v>1989</v>
      </c>
      <c r="BD17" s="37" t="s">
        <v>1989</v>
      </c>
      <c r="BE17" s="37" t="s">
        <v>1989</v>
      </c>
      <c r="BF17" s="37" t="s">
        <v>1989</v>
      </c>
      <c r="BG17" s="37"/>
      <c r="BH17" s="37"/>
      <c r="BI17" s="37"/>
      <c r="BJ17" s="37"/>
      <c r="BK17" s="37"/>
      <c r="BL17" s="37"/>
      <c r="BM17" s="37"/>
      <c r="BN17" s="37"/>
      <c r="BO17" s="37" t="s">
        <v>1989</v>
      </c>
      <c r="BP17" s="37" t="s">
        <v>1989</v>
      </c>
      <c r="BQ17" s="37" t="s">
        <v>1989</v>
      </c>
      <c r="BR17" s="37" t="s">
        <v>1989</v>
      </c>
      <c r="BS17" s="37" t="s">
        <v>1989</v>
      </c>
      <c r="BT17" s="37" t="s">
        <v>1989</v>
      </c>
      <c r="BU17" s="37" t="s">
        <v>1989</v>
      </c>
      <c r="BV17" s="37" t="s">
        <v>1989</v>
      </c>
      <c r="BW17" s="37" t="s">
        <v>1989</v>
      </c>
    </row>
    <row r="18" spans="1:75" ht="15" customHeight="1">
      <c r="A18" s="37" t="s">
        <v>1989</v>
      </c>
      <c r="B18" s="37" t="s">
        <v>1989</v>
      </c>
      <c r="C18" s="37" t="s">
        <v>1989</v>
      </c>
      <c r="D18" s="37" t="s">
        <v>1989</v>
      </c>
      <c r="E18" s="37" t="s">
        <v>1989</v>
      </c>
      <c r="F18" s="37" t="s">
        <v>1989</v>
      </c>
      <c r="G18" s="37" t="s">
        <v>1989</v>
      </c>
      <c r="H18" s="37" t="s">
        <v>1989</v>
      </c>
      <c r="I18" s="37" t="s">
        <v>1989</v>
      </c>
      <c r="J18" s="37" t="s">
        <v>1989</v>
      </c>
      <c r="K18" s="37" t="s">
        <v>1989</v>
      </c>
      <c r="L18" s="37" t="s">
        <v>1989</v>
      </c>
      <c r="M18" s="37" t="s">
        <v>1989</v>
      </c>
      <c r="N18" s="37" t="s">
        <v>1989</v>
      </c>
      <c r="O18" s="37" t="s">
        <v>1989</v>
      </c>
      <c r="P18" s="37" t="s">
        <v>1990</v>
      </c>
      <c r="Q18" s="37"/>
      <c r="R18" s="37"/>
      <c r="S18" s="37"/>
      <c r="T18" s="37"/>
      <c r="U18" s="37" t="s">
        <v>1989</v>
      </c>
      <c r="V18" s="37" t="s">
        <v>1989</v>
      </c>
      <c r="W18" s="37" t="s">
        <v>1989</v>
      </c>
      <c r="X18" s="37" t="s">
        <v>1989</v>
      </c>
      <c r="Y18" s="37" t="s">
        <v>1989</v>
      </c>
      <c r="Z18" s="37" t="s">
        <v>1989</v>
      </c>
      <c r="AA18" s="37"/>
      <c r="AB18" s="37"/>
      <c r="AC18" s="37" t="s">
        <v>1989</v>
      </c>
      <c r="AD18" s="37" t="s">
        <v>1989</v>
      </c>
      <c r="AE18" s="37"/>
      <c r="AF18" s="37"/>
      <c r="AG18" s="37"/>
      <c r="AH18" s="37"/>
      <c r="AI18" s="37" t="s">
        <v>1989</v>
      </c>
      <c r="AJ18" s="37" t="s">
        <v>1989</v>
      </c>
      <c r="AK18" s="37"/>
      <c r="AL18" s="37"/>
      <c r="AM18" s="37"/>
      <c r="AN18" s="37"/>
      <c r="AO18" s="37"/>
      <c r="AP18" s="37"/>
      <c r="AQ18" s="37"/>
      <c r="AR18" s="37"/>
      <c r="AS18" s="37" t="s">
        <v>1989</v>
      </c>
      <c r="AT18" s="37" t="s">
        <v>1989</v>
      </c>
      <c r="AU18" s="37" t="s">
        <v>1989</v>
      </c>
      <c r="AV18" s="37" t="s">
        <v>1989</v>
      </c>
      <c r="AW18" s="37"/>
      <c r="AX18" s="37"/>
      <c r="AY18" s="37"/>
      <c r="AZ18" s="37"/>
      <c r="BA18" s="37" t="s">
        <v>1989</v>
      </c>
      <c r="BB18" s="37" t="s">
        <v>1989</v>
      </c>
      <c r="BC18" s="37" t="s">
        <v>1989</v>
      </c>
      <c r="BD18" s="37" t="s">
        <v>1989</v>
      </c>
      <c r="BE18" s="37" t="s">
        <v>1989</v>
      </c>
      <c r="BF18" s="37" t="s">
        <v>1989</v>
      </c>
      <c r="BG18" s="37"/>
      <c r="BH18" s="37"/>
      <c r="BI18" s="37" t="s">
        <v>1989</v>
      </c>
      <c r="BJ18" s="37" t="s">
        <v>1989</v>
      </c>
      <c r="BK18" s="37"/>
      <c r="BL18" s="37"/>
      <c r="BM18" s="37"/>
      <c r="BN18" s="37"/>
      <c r="BO18" s="37" t="s">
        <v>1989</v>
      </c>
      <c r="BP18" s="37" t="s">
        <v>1989</v>
      </c>
      <c r="BQ18" s="37" t="s">
        <v>1989</v>
      </c>
      <c r="BR18" s="37" t="s">
        <v>1989</v>
      </c>
      <c r="BS18" s="37" t="s">
        <v>1989</v>
      </c>
      <c r="BT18" s="37" t="s">
        <v>1989</v>
      </c>
      <c r="BU18" s="37" t="s">
        <v>1989</v>
      </c>
      <c r="BV18" s="37" t="s">
        <v>1989</v>
      </c>
      <c r="BW18" s="37" t="s">
        <v>1989</v>
      </c>
    </row>
    <row r="19" spans="1:75" ht="15" customHeight="1">
      <c r="A19" s="37" t="s">
        <v>1989</v>
      </c>
      <c r="B19" s="37" t="s">
        <v>1989</v>
      </c>
      <c r="C19" s="37" t="s">
        <v>1989</v>
      </c>
      <c r="D19" s="37" t="s">
        <v>1989</v>
      </c>
      <c r="E19" s="37" t="s">
        <v>1989</v>
      </c>
      <c r="F19" s="37" t="s">
        <v>1989</v>
      </c>
      <c r="G19" s="37" t="s">
        <v>1989</v>
      </c>
      <c r="H19" s="37" t="s">
        <v>1989</v>
      </c>
      <c r="I19" s="37" t="s">
        <v>1989</v>
      </c>
      <c r="J19" s="37" t="s">
        <v>1989</v>
      </c>
      <c r="K19" s="37" t="s">
        <v>1989</v>
      </c>
      <c r="L19" s="37" t="s">
        <v>1989</v>
      </c>
      <c r="M19" s="37" t="s">
        <v>1989</v>
      </c>
      <c r="N19" s="37" t="s">
        <v>1989</v>
      </c>
      <c r="O19" s="37" t="s">
        <v>1990</v>
      </c>
      <c r="P19" s="37" t="s">
        <v>1990</v>
      </c>
      <c r="Q19" s="37" t="s">
        <v>1990</v>
      </c>
      <c r="R19" s="37"/>
      <c r="S19" s="37"/>
      <c r="T19" s="37"/>
      <c r="U19" s="37" t="s">
        <v>1989</v>
      </c>
      <c r="V19" s="37" t="s">
        <v>1989</v>
      </c>
      <c r="W19" s="37" t="s">
        <v>1989</v>
      </c>
      <c r="X19" s="37" t="s">
        <v>1989</v>
      </c>
      <c r="Y19" s="37" t="s">
        <v>1989</v>
      </c>
      <c r="Z19" s="37" t="s">
        <v>1989</v>
      </c>
      <c r="AA19" s="37"/>
      <c r="AB19" s="37"/>
      <c r="AC19" s="37" t="s">
        <v>1989</v>
      </c>
      <c r="AD19" s="37" t="s">
        <v>1989</v>
      </c>
      <c r="AE19" s="41"/>
      <c r="AF19" s="37"/>
      <c r="AG19" s="37"/>
      <c r="AH19" s="37"/>
      <c r="AI19" s="37" t="s">
        <v>1989</v>
      </c>
      <c r="AJ19" s="37" t="s">
        <v>1989</v>
      </c>
      <c r="AK19" s="37"/>
      <c r="AL19" s="37"/>
      <c r="AM19" s="37"/>
      <c r="AN19" s="37"/>
      <c r="AO19" s="37"/>
      <c r="AP19" s="37"/>
      <c r="AQ19" s="37"/>
      <c r="AR19" s="37"/>
      <c r="AS19" s="37" t="s">
        <v>1989</v>
      </c>
      <c r="AT19" s="37" t="s">
        <v>1989</v>
      </c>
      <c r="AU19" s="37" t="s">
        <v>1989</v>
      </c>
      <c r="AV19" s="37" t="s">
        <v>1989</v>
      </c>
      <c r="AW19" s="37"/>
      <c r="AX19" s="37"/>
      <c r="AY19" s="37"/>
      <c r="AZ19" s="37"/>
      <c r="BA19" s="37" t="s">
        <v>1989</v>
      </c>
      <c r="BB19" s="37" t="s">
        <v>1989</v>
      </c>
      <c r="BC19" s="37" t="s">
        <v>1989</v>
      </c>
      <c r="BD19" s="37" t="s">
        <v>1989</v>
      </c>
      <c r="BE19" s="37" t="s">
        <v>1989</v>
      </c>
      <c r="BF19" s="37" t="s">
        <v>1989</v>
      </c>
      <c r="BG19" s="37"/>
      <c r="BH19" s="37"/>
      <c r="BI19" s="37" t="s">
        <v>1989</v>
      </c>
      <c r="BJ19" s="37" t="s">
        <v>1989</v>
      </c>
      <c r="BK19" s="37"/>
      <c r="BL19" s="37"/>
      <c r="BM19" s="37"/>
      <c r="BN19" s="37"/>
      <c r="BO19" s="37" t="s">
        <v>1989</v>
      </c>
      <c r="BP19" s="37" t="s">
        <v>1989</v>
      </c>
      <c r="BQ19" s="37" t="s">
        <v>1989</v>
      </c>
      <c r="BR19" s="37" t="s">
        <v>1989</v>
      </c>
      <c r="BS19" s="37" t="s">
        <v>1989</v>
      </c>
      <c r="BT19" s="37" t="s">
        <v>1989</v>
      </c>
      <c r="BU19" s="37" t="s">
        <v>1989</v>
      </c>
      <c r="BV19" s="37" t="s">
        <v>1989</v>
      </c>
      <c r="BW19" s="37" t="s">
        <v>1989</v>
      </c>
    </row>
    <row r="20" spans="1:75" ht="15" customHeight="1">
      <c r="A20" s="37" t="s">
        <v>1989</v>
      </c>
      <c r="B20" s="37" t="s">
        <v>1989</v>
      </c>
      <c r="C20" s="37" t="s">
        <v>1989</v>
      </c>
      <c r="D20" s="37" t="s">
        <v>1989</v>
      </c>
      <c r="E20" s="37" t="s">
        <v>1989</v>
      </c>
      <c r="F20" s="37" t="s">
        <v>1989</v>
      </c>
      <c r="G20" s="37" t="s">
        <v>1989</v>
      </c>
      <c r="H20" s="37" t="s">
        <v>1989</v>
      </c>
      <c r="I20" s="37" t="s">
        <v>1989</v>
      </c>
      <c r="J20" s="37" t="s">
        <v>1989</v>
      </c>
      <c r="K20" s="37" t="s">
        <v>1989</v>
      </c>
      <c r="L20" s="37" t="s">
        <v>1989</v>
      </c>
      <c r="M20" s="37" t="s">
        <v>1989</v>
      </c>
      <c r="N20" s="37" t="s">
        <v>1989</v>
      </c>
      <c r="O20" s="37" t="s">
        <v>1990</v>
      </c>
      <c r="P20" s="39" t="s">
        <v>1990</v>
      </c>
      <c r="Q20" s="39" t="s">
        <v>1990</v>
      </c>
      <c r="R20" s="37" t="s">
        <v>1990</v>
      </c>
      <c r="S20" s="37"/>
      <c r="T20" s="37"/>
      <c r="U20" s="37" t="s">
        <v>1989</v>
      </c>
      <c r="V20" s="37" t="s">
        <v>1989</v>
      </c>
      <c r="W20" s="37" t="s">
        <v>1989</v>
      </c>
      <c r="X20" s="37" t="s">
        <v>1989</v>
      </c>
      <c r="Y20" s="37" t="s">
        <v>1989</v>
      </c>
      <c r="Z20" s="37" t="s">
        <v>1989</v>
      </c>
      <c r="AA20" s="37"/>
      <c r="AB20" s="37"/>
      <c r="AC20" s="37" t="s">
        <v>1989</v>
      </c>
      <c r="AD20" s="37" t="s">
        <v>1989</v>
      </c>
      <c r="AE20" s="37"/>
      <c r="AF20" s="37"/>
      <c r="AG20" s="37" t="s">
        <v>1989</v>
      </c>
      <c r="AH20" s="37" t="s">
        <v>1989</v>
      </c>
      <c r="AI20" s="37" t="s">
        <v>1989</v>
      </c>
      <c r="AJ20" s="37" t="s">
        <v>1989</v>
      </c>
      <c r="AK20" s="37" t="s">
        <v>1989</v>
      </c>
      <c r="AL20" s="37" t="s">
        <v>1989</v>
      </c>
      <c r="AM20" s="37" t="s">
        <v>1989</v>
      </c>
      <c r="AN20" s="37" t="s">
        <v>1989</v>
      </c>
      <c r="AO20" s="37" t="s">
        <v>1989</v>
      </c>
      <c r="AP20" s="37" t="s">
        <v>1989</v>
      </c>
      <c r="AQ20" s="37"/>
      <c r="AR20" s="37"/>
      <c r="AS20" s="37" t="s">
        <v>1989</v>
      </c>
      <c r="AT20" s="37" t="s">
        <v>1989</v>
      </c>
      <c r="AU20" s="37" t="s">
        <v>1989</v>
      </c>
      <c r="AV20" s="37" t="s">
        <v>1989</v>
      </c>
      <c r="AW20" s="37" t="s">
        <v>1989</v>
      </c>
      <c r="AX20" s="37" t="s">
        <v>1989</v>
      </c>
      <c r="AY20" s="37"/>
      <c r="AZ20" s="37"/>
      <c r="BA20" s="37"/>
      <c r="BB20" s="37"/>
      <c r="BC20" s="37" t="s">
        <v>1989</v>
      </c>
      <c r="BD20" s="37" t="s">
        <v>1989</v>
      </c>
      <c r="BE20" s="37" t="s">
        <v>1989</v>
      </c>
      <c r="BF20" s="37" t="s">
        <v>1989</v>
      </c>
      <c r="BG20" s="37"/>
      <c r="BH20" s="37"/>
      <c r="BI20" s="37"/>
      <c r="BJ20" s="37"/>
      <c r="BK20" s="37"/>
      <c r="BL20" s="37"/>
      <c r="BM20" s="37"/>
      <c r="BN20" s="37"/>
      <c r="BO20" s="37" t="s">
        <v>1989</v>
      </c>
      <c r="BP20" s="37" t="s">
        <v>1989</v>
      </c>
      <c r="BQ20" s="37" t="s">
        <v>1989</v>
      </c>
      <c r="BR20" s="37" t="s">
        <v>1989</v>
      </c>
      <c r="BS20" s="37" t="s">
        <v>1989</v>
      </c>
      <c r="BT20" s="37" t="s">
        <v>1989</v>
      </c>
      <c r="BU20" s="37" t="s">
        <v>1989</v>
      </c>
      <c r="BV20" s="37" t="s">
        <v>1989</v>
      </c>
      <c r="BW20" s="37" t="s">
        <v>1989</v>
      </c>
    </row>
    <row r="21" spans="1:75" ht="15" customHeight="1">
      <c r="A21" s="37" t="s">
        <v>1989</v>
      </c>
      <c r="B21" s="37" t="s">
        <v>1989</v>
      </c>
      <c r="C21" s="37" t="s">
        <v>1989</v>
      </c>
      <c r="D21" s="37" t="s">
        <v>1989</v>
      </c>
      <c r="E21" s="37" t="s">
        <v>1989</v>
      </c>
      <c r="F21" s="37" t="s">
        <v>1989</v>
      </c>
      <c r="G21" s="37" t="s">
        <v>1989</v>
      </c>
      <c r="H21" s="37" t="s">
        <v>1989</v>
      </c>
      <c r="I21" s="37" t="s">
        <v>1989</v>
      </c>
      <c r="J21" s="37" t="s">
        <v>1989</v>
      </c>
      <c r="K21" s="37" t="s">
        <v>1989</v>
      </c>
      <c r="L21" s="37" t="s">
        <v>1989</v>
      </c>
      <c r="M21" s="37" t="s">
        <v>1989</v>
      </c>
      <c r="N21" s="37" t="s">
        <v>1989</v>
      </c>
      <c r="O21" s="37" t="s">
        <v>1990</v>
      </c>
      <c r="P21" s="37" t="s">
        <v>1990</v>
      </c>
      <c r="Q21" s="37" t="s">
        <v>1990</v>
      </c>
      <c r="R21" s="37" t="s">
        <v>1990</v>
      </c>
      <c r="S21" s="37"/>
      <c r="T21" s="37"/>
      <c r="U21" s="37" t="s">
        <v>1989</v>
      </c>
      <c r="V21" s="37" t="s">
        <v>1989</v>
      </c>
      <c r="W21" s="37" t="s">
        <v>1989</v>
      </c>
      <c r="X21" s="37" t="s">
        <v>1989</v>
      </c>
      <c r="Y21" s="37" t="s">
        <v>1989</v>
      </c>
      <c r="Z21" s="37" t="s">
        <v>1989</v>
      </c>
      <c r="AA21" s="37"/>
      <c r="AB21" s="37"/>
      <c r="AC21" s="37" t="s">
        <v>1989</v>
      </c>
      <c r="AD21" s="37" t="s">
        <v>1989</v>
      </c>
      <c r="AE21" s="37"/>
      <c r="AF21" s="37"/>
      <c r="AG21" s="37" t="s">
        <v>1989</v>
      </c>
      <c r="AH21" s="37" t="s">
        <v>1989</v>
      </c>
      <c r="AI21" s="37" t="s">
        <v>1989</v>
      </c>
      <c r="AJ21" s="37" t="s">
        <v>1989</v>
      </c>
      <c r="AK21" s="37" t="s">
        <v>1989</v>
      </c>
      <c r="AL21" s="37" t="s">
        <v>1989</v>
      </c>
      <c r="AM21" s="37" t="s">
        <v>1989</v>
      </c>
      <c r="AN21" s="37" t="s">
        <v>1989</v>
      </c>
      <c r="AO21" s="37" t="s">
        <v>1989</v>
      </c>
      <c r="AP21" s="37" t="s">
        <v>1989</v>
      </c>
      <c r="AQ21" s="37"/>
      <c r="AR21" s="37"/>
      <c r="AS21" s="37" t="s">
        <v>1989</v>
      </c>
      <c r="AT21" s="37" t="s">
        <v>1989</v>
      </c>
      <c r="AU21" s="37" t="s">
        <v>1989</v>
      </c>
      <c r="AV21" s="37" t="s">
        <v>1989</v>
      </c>
      <c r="AW21" s="37" t="s">
        <v>1989</v>
      </c>
      <c r="AX21" s="37" t="s">
        <v>1989</v>
      </c>
      <c r="AY21" s="37"/>
      <c r="AZ21" s="37"/>
      <c r="BA21" s="37"/>
      <c r="BB21" s="37"/>
      <c r="BC21" s="37" t="s">
        <v>1989</v>
      </c>
      <c r="BD21" s="37" t="s">
        <v>1989</v>
      </c>
      <c r="BE21" s="37" t="s">
        <v>1989</v>
      </c>
      <c r="BF21" s="37" t="s">
        <v>1989</v>
      </c>
      <c r="BG21" s="37"/>
      <c r="BH21" s="37"/>
      <c r="BI21" s="37"/>
      <c r="BJ21" s="37"/>
      <c r="BK21" s="37"/>
      <c r="BL21" s="37"/>
      <c r="BM21" s="37"/>
      <c r="BN21" s="37"/>
      <c r="BO21" s="37" t="s">
        <v>1989</v>
      </c>
      <c r="BP21" s="37" t="s">
        <v>1989</v>
      </c>
      <c r="BQ21" s="37" t="s">
        <v>1989</v>
      </c>
      <c r="BR21" s="37" t="s">
        <v>1989</v>
      </c>
      <c r="BS21" s="37" t="s">
        <v>1989</v>
      </c>
      <c r="BT21" s="37" t="s">
        <v>1989</v>
      </c>
      <c r="BU21" s="37" t="s">
        <v>1989</v>
      </c>
      <c r="BV21" s="37" t="s">
        <v>1989</v>
      </c>
      <c r="BW21" s="37" t="s">
        <v>1989</v>
      </c>
    </row>
    <row r="22" spans="1:75" ht="15" customHeight="1">
      <c r="A22" s="37" t="s">
        <v>1989</v>
      </c>
      <c r="B22" s="37" t="s">
        <v>1989</v>
      </c>
      <c r="C22" s="37" t="s">
        <v>1989</v>
      </c>
      <c r="D22" s="37" t="s">
        <v>1989</v>
      </c>
      <c r="E22" s="37" t="s">
        <v>1989</v>
      </c>
      <c r="F22" s="37" t="s">
        <v>1989</v>
      </c>
      <c r="G22" s="37" t="s">
        <v>1989</v>
      </c>
      <c r="H22" s="37" t="s">
        <v>1989</v>
      </c>
      <c r="I22" s="37" t="s">
        <v>1989</v>
      </c>
      <c r="J22" s="37" t="s">
        <v>1989</v>
      </c>
      <c r="K22" s="37" t="s">
        <v>1989</v>
      </c>
      <c r="L22" s="37" t="s">
        <v>1989</v>
      </c>
      <c r="M22" s="37" t="s">
        <v>1989</v>
      </c>
      <c r="N22" s="37" t="s">
        <v>1989</v>
      </c>
      <c r="O22" s="37" t="s">
        <v>1989</v>
      </c>
      <c r="P22" s="37" t="s">
        <v>1989</v>
      </c>
      <c r="Q22" s="37" t="s">
        <v>1990</v>
      </c>
      <c r="R22" s="37"/>
      <c r="S22" s="37"/>
      <c r="T22" s="37"/>
      <c r="U22" s="37" t="s">
        <v>1989</v>
      </c>
      <c r="V22" s="37" t="s">
        <v>1989</v>
      </c>
      <c r="W22" s="37" t="s">
        <v>1989</v>
      </c>
      <c r="X22" s="37" t="s">
        <v>1989</v>
      </c>
      <c r="Y22" s="37" t="s">
        <v>1989</v>
      </c>
      <c r="Z22" s="37" t="s">
        <v>1989</v>
      </c>
      <c r="AA22" s="37"/>
      <c r="AB22" s="37"/>
      <c r="AC22" s="37" t="s">
        <v>1989</v>
      </c>
      <c r="AD22" s="37" t="s">
        <v>1989</v>
      </c>
      <c r="AE22" s="37"/>
      <c r="AF22" s="37"/>
      <c r="AG22" s="37" t="s">
        <v>1989</v>
      </c>
      <c r="AH22" s="37" t="s">
        <v>1989</v>
      </c>
      <c r="AI22" s="37" t="s">
        <v>1989</v>
      </c>
      <c r="AJ22" s="37" t="s">
        <v>1989</v>
      </c>
      <c r="AK22" s="37"/>
      <c r="AL22" s="37"/>
      <c r="AM22" s="37"/>
      <c r="AN22" s="37"/>
      <c r="AO22" s="37"/>
      <c r="AP22" s="37"/>
      <c r="AQ22" s="37"/>
      <c r="AR22" s="37"/>
      <c r="AS22" s="37" t="s">
        <v>1989</v>
      </c>
      <c r="AT22" s="37" t="s">
        <v>1989</v>
      </c>
      <c r="AU22" s="37" t="s">
        <v>1989</v>
      </c>
      <c r="AV22" s="37" t="s">
        <v>1989</v>
      </c>
      <c r="AW22" s="37"/>
      <c r="AX22" s="37"/>
      <c r="AY22" s="37"/>
      <c r="AZ22" s="37"/>
      <c r="BA22" s="37" t="s">
        <v>1989</v>
      </c>
      <c r="BB22" s="37" t="s">
        <v>1989</v>
      </c>
      <c r="BC22" s="37" t="s">
        <v>1989</v>
      </c>
      <c r="BD22" s="37" t="s">
        <v>1989</v>
      </c>
      <c r="BE22" s="37" t="s">
        <v>1989</v>
      </c>
      <c r="BF22" s="37" t="s">
        <v>1989</v>
      </c>
      <c r="BG22" s="37"/>
      <c r="BH22" s="37"/>
      <c r="BI22" s="37" t="s">
        <v>1989</v>
      </c>
      <c r="BJ22" s="37" t="s">
        <v>1989</v>
      </c>
      <c r="BK22" s="37" t="s">
        <v>1989</v>
      </c>
      <c r="BL22" s="37" t="s">
        <v>1989</v>
      </c>
      <c r="BM22" s="37" t="s">
        <v>1989</v>
      </c>
      <c r="BN22" s="37" t="s">
        <v>1989</v>
      </c>
      <c r="BO22" s="37" t="s">
        <v>1989</v>
      </c>
      <c r="BP22" s="37" t="s">
        <v>1989</v>
      </c>
      <c r="BQ22" s="37" t="s">
        <v>1989</v>
      </c>
      <c r="BR22" s="37" t="s">
        <v>1989</v>
      </c>
      <c r="BS22" s="37" t="s">
        <v>1989</v>
      </c>
      <c r="BT22" s="37" t="s">
        <v>1989</v>
      </c>
      <c r="BU22" s="37" t="s">
        <v>1989</v>
      </c>
      <c r="BV22" s="37" t="s">
        <v>1989</v>
      </c>
      <c r="BW22" s="37" t="s">
        <v>1989</v>
      </c>
    </row>
    <row r="23" spans="1:75" ht="15" customHeight="1">
      <c r="A23" s="37" t="s">
        <v>1989</v>
      </c>
      <c r="B23" s="37" t="s">
        <v>1989</v>
      </c>
      <c r="C23" s="37" t="s">
        <v>1989</v>
      </c>
      <c r="D23" s="37" t="s">
        <v>1989</v>
      </c>
      <c r="E23" s="37" t="s">
        <v>1989</v>
      </c>
      <c r="F23" s="37" t="s">
        <v>1989</v>
      </c>
      <c r="G23" s="37" t="s">
        <v>1989</v>
      </c>
      <c r="H23" s="37" t="s">
        <v>1989</v>
      </c>
      <c r="I23" s="37" t="s">
        <v>1989</v>
      </c>
      <c r="J23" s="37" t="s">
        <v>1989</v>
      </c>
      <c r="K23" s="37" t="s">
        <v>1989</v>
      </c>
      <c r="L23" s="37" t="s">
        <v>1989</v>
      </c>
      <c r="M23" s="37" t="s">
        <v>1989</v>
      </c>
      <c r="N23" s="37" t="s">
        <v>1989</v>
      </c>
      <c r="O23" s="37" t="s">
        <v>1989</v>
      </c>
      <c r="P23" s="37" t="s">
        <v>1989</v>
      </c>
      <c r="Q23" s="37" t="s">
        <v>1990</v>
      </c>
      <c r="R23" s="37"/>
      <c r="S23" s="37"/>
      <c r="T23" s="37" t="s">
        <v>1989</v>
      </c>
      <c r="U23" s="37" t="s">
        <v>1989</v>
      </c>
      <c r="V23" s="37" t="s">
        <v>1989</v>
      </c>
      <c r="W23" s="37" t="s">
        <v>1989</v>
      </c>
      <c r="X23" s="37" t="s">
        <v>1989</v>
      </c>
      <c r="Y23" s="37" t="s">
        <v>1989</v>
      </c>
      <c r="Z23" s="37" t="s">
        <v>1989</v>
      </c>
      <c r="AA23" s="37"/>
      <c r="AB23" s="37"/>
      <c r="AC23" s="37" t="s">
        <v>1989</v>
      </c>
      <c r="AD23" s="37" t="s">
        <v>1989</v>
      </c>
      <c r="AE23" s="37"/>
      <c r="AF23" s="37"/>
      <c r="AG23" s="37" t="s">
        <v>1989</v>
      </c>
      <c r="AH23" s="37" t="s">
        <v>1989</v>
      </c>
      <c r="AI23" s="37" t="s">
        <v>1989</v>
      </c>
      <c r="AJ23" s="37" t="s">
        <v>1989</v>
      </c>
      <c r="AK23" s="37"/>
      <c r="AL23" s="37"/>
      <c r="AM23" s="37"/>
      <c r="AN23" s="37"/>
      <c r="AO23" s="37"/>
      <c r="AP23" s="37"/>
      <c r="AQ23" s="37"/>
      <c r="AR23" s="37"/>
      <c r="AS23" s="37" t="s">
        <v>1989</v>
      </c>
      <c r="AT23" s="37" t="s">
        <v>1989</v>
      </c>
      <c r="AU23" s="37" t="s">
        <v>1989</v>
      </c>
      <c r="AV23" s="37" t="s">
        <v>1989</v>
      </c>
      <c r="AW23" s="37"/>
      <c r="AX23" s="37"/>
      <c r="AY23" s="37"/>
      <c r="AZ23" s="37"/>
      <c r="BA23" s="37" t="s">
        <v>1989</v>
      </c>
      <c r="BB23" s="37" t="s">
        <v>1989</v>
      </c>
      <c r="BC23" s="37" t="s">
        <v>1989</v>
      </c>
      <c r="BD23" s="37" t="s">
        <v>1989</v>
      </c>
      <c r="BE23" s="37" t="s">
        <v>1989</v>
      </c>
      <c r="BF23" s="37" t="s">
        <v>1989</v>
      </c>
      <c r="BG23" s="37"/>
      <c r="BH23" s="37"/>
      <c r="BI23" s="37" t="s">
        <v>1989</v>
      </c>
      <c r="BJ23" s="37" t="s">
        <v>1989</v>
      </c>
      <c r="BK23" s="37" t="s">
        <v>1989</v>
      </c>
      <c r="BL23" s="37" t="s">
        <v>1989</v>
      </c>
      <c r="BM23" s="37" t="s">
        <v>1989</v>
      </c>
      <c r="BN23" s="37" t="s">
        <v>1989</v>
      </c>
      <c r="BO23" s="37" t="s">
        <v>1989</v>
      </c>
      <c r="BP23" s="37" t="s">
        <v>1989</v>
      </c>
      <c r="BQ23" s="37" t="s">
        <v>1989</v>
      </c>
      <c r="BR23" s="37" t="s">
        <v>1989</v>
      </c>
      <c r="BS23" s="37" t="s">
        <v>1989</v>
      </c>
      <c r="BT23" s="37" t="s">
        <v>1989</v>
      </c>
      <c r="BU23" s="37" t="s">
        <v>1989</v>
      </c>
      <c r="BV23" s="37" t="s">
        <v>1989</v>
      </c>
      <c r="BW23" s="37" t="s">
        <v>1989</v>
      </c>
    </row>
    <row r="24" spans="1:75" ht="15" customHeight="1">
      <c r="A24" s="37" t="s">
        <v>1989</v>
      </c>
      <c r="B24" s="37" t="s">
        <v>1989</v>
      </c>
      <c r="C24" s="37" t="s">
        <v>1989</v>
      </c>
      <c r="D24" s="37" t="s">
        <v>1989</v>
      </c>
      <c r="E24" s="37" t="s">
        <v>1989</v>
      </c>
      <c r="F24" s="37" t="s">
        <v>1989</v>
      </c>
      <c r="G24" s="37" t="s">
        <v>1989</v>
      </c>
      <c r="H24" s="37" t="s">
        <v>1989</v>
      </c>
      <c r="I24" s="37" t="s">
        <v>1989</v>
      </c>
      <c r="J24" s="37" t="s">
        <v>1989</v>
      </c>
      <c r="K24" s="37" t="s">
        <v>1989</v>
      </c>
      <c r="L24" s="37" t="s">
        <v>1989</v>
      </c>
      <c r="M24" s="37" t="s">
        <v>1989</v>
      </c>
      <c r="N24" s="37" t="s">
        <v>1989</v>
      </c>
      <c r="O24" s="37" t="s">
        <v>1990</v>
      </c>
      <c r="P24" s="37" t="s">
        <v>1990</v>
      </c>
      <c r="Q24" s="37" t="s">
        <v>1990</v>
      </c>
      <c r="R24" s="37" t="s">
        <v>1989</v>
      </c>
      <c r="S24" s="37" t="s">
        <v>1989</v>
      </c>
      <c r="T24" s="37" t="s">
        <v>1989</v>
      </c>
      <c r="U24" s="37" t="s">
        <v>1989</v>
      </c>
      <c r="V24" s="37" t="s">
        <v>1989</v>
      </c>
      <c r="W24" s="37" t="s">
        <v>1989</v>
      </c>
      <c r="X24" s="37" t="s">
        <v>1989</v>
      </c>
      <c r="Y24" s="37" t="s">
        <v>1989</v>
      </c>
      <c r="Z24" s="37" t="s">
        <v>1989</v>
      </c>
      <c r="AA24" s="37"/>
      <c r="AB24" s="37"/>
      <c r="AC24" s="37" t="s">
        <v>1989</v>
      </c>
      <c r="AD24" s="37" t="s">
        <v>1989</v>
      </c>
      <c r="AE24" s="37"/>
      <c r="AF24" s="37"/>
      <c r="AG24" s="37" t="s">
        <v>1989</v>
      </c>
      <c r="AH24" s="37" t="s">
        <v>1989</v>
      </c>
      <c r="AI24" s="37" t="s">
        <v>1989</v>
      </c>
      <c r="AJ24" s="37" t="s">
        <v>1989</v>
      </c>
      <c r="AK24" s="37"/>
      <c r="AL24" s="37"/>
      <c r="AM24" s="37" t="s">
        <v>1989</v>
      </c>
      <c r="AN24" s="37" t="s">
        <v>1989</v>
      </c>
      <c r="AO24" s="37" t="s">
        <v>1989</v>
      </c>
      <c r="AP24" s="37" t="s">
        <v>1989</v>
      </c>
      <c r="AQ24" s="37"/>
      <c r="AR24" s="37"/>
      <c r="AS24" s="37" t="s">
        <v>1989</v>
      </c>
      <c r="AT24" s="37" t="s">
        <v>1989</v>
      </c>
      <c r="AU24" s="37" t="s">
        <v>1989</v>
      </c>
      <c r="AV24" s="37" t="s">
        <v>1989</v>
      </c>
      <c r="AW24" s="37" t="s">
        <v>1989</v>
      </c>
      <c r="AX24" s="37" t="s">
        <v>1989</v>
      </c>
      <c r="AY24" s="37"/>
      <c r="AZ24" s="37"/>
      <c r="BA24" s="37"/>
      <c r="BB24" s="37"/>
      <c r="BC24" s="37" t="s">
        <v>1989</v>
      </c>
      <c r="BD24" s="37" t="s">
        <v>1989</v>
      </c>
      <c r="BE24" s="37" t="s">
        <v>1989</v>
      </c>
      <c r="BF24" s="37" t="s">
        <v>1989</v>
      </c>
      <c r="BG24" s="37"/>
      <c r="BH24" s="37"/>
      <c r="BI24" s="37" t="s">
        <v>1989</v>
      </c>
      <c r="BJ24" s="37" t="s">
        <v>1989</v>
      </c>
      <c r="BK24" s="37" t="s">
        <v>1989</v>
      </c>
      <c r="BL24" s="37" t="s">
        <v>1989</v>
      </c>
      <c r="BM24" s="37" t="s">
        <v>1989</v>
      </c>
      <c r="BN24" s="37" t="s">
        <v>1989</v>
      </c>
      <c r="BO24" s="37" t="s">
        <v>1989</v>
      </c>
      <c r="BP24" s="37" t="s">
        <v>1989</v>
      </c>
      <c r="BQ24" s="37" t="s">
        <v>1989</v>
      </c>
      <c r="BR24" s="37" t="s">
        <v>1989</v>
      </c>
      <c r="BS24" s="37" t="s">
        <v>1989</v>
      </c>
      <c r="BT24" s="37" t="s">
        <v>1989</v>
      </c>
      <c r="BU24" s="37" t="s">
        <v>1989</v>
      </c>
      <c r="BV24" s="37" t="s">
        <v>1989</v>
      </c>
      <c r="BW24" s="37" t="s">
        <v>1989</v>
      </c>
    </row>
    <row r="25" spans="1:75" ht="15" customHeight="1">
      <c r="A25" s="37" t="s">
        <v>1989</v>
      </c>
      <c r="B25" s="37" t="s">
        <v>1989</v>
      </c>
      <c r="C25" s="37" t="s">
        <v>1989</v>
      </c>
      <c r="D25" s="37" t="s">
        <v>1989</v>
      </c>
      <c r="E25" s="37" t="s">
        <v>1989</v>
      </c>
      <c r="F25" s="37" t="s">
        <v>1989</v>
      </c>
      <c r="G25" s="37" t="s">
        <v>1989</v>
      </c>
      <c r="H25" s="37" t="s">
        <v>1989</v>
      </c>
      <c r="I25" s="37" t="s">
        <v>1989</v>
      </c>
      <c r="J25" s="37" t="s">
        <v>1989</v>
      </c>
      <c r="K25" s="37" t="s">
        <v>1989</v>
      </c>
      <c r="L25" s="37" t="s">
        <v>1989</v>
      </c>
      <c r="M25" s="37" t="s">
        <v>1989</v>
      </c>
      <c r="N25" s="37" t="s">
        <v>1990</v>
      </c>
      <c r="O25" s="37" t="s">
        <v>1990</v>
      </c>
      <c r="P25" s="37" t="s">
        <v>1989</v>
      </c>
      <c r="Q25" s="37" t="s">
        <v>1989</v>
      </c>
      <c r="R25" s="37" t="s">
        <v>1989</v>
      </c>
      <c r="S25" s="37" t="s">
        <v>1989</v>
      </c>
      <c r="T25" s="37" t="s">
        <v>1989</v>
      </c>
      <c r="U25" s="37" t="s">
        <v>1989</v>
      </c>
      <c r="V25" s="37" t="s">
        <v>1989</v>
      </c>
      <c r="W25" s="37" t="s">
        <v>1989</v>
      </c>
      <c r="X25" s="37" t="s">
        <v>1989</v>
      </c>
      <c r="Y25" s="37" t="s">
        <v>1989</v>
      </c>
      <c r="Z25" s="37" t="s">
        <v>1989</v>
      </c>
      <c r="AA25" s="37"/>
      <c r="AB25" s="37"/>
      <c r="AC25" s="37" t="s">
        <v>1989</v>
      </c>
      <c r="AD25" s="37" t="s">
        <v>1989</v>
      </c>
      <c r="AE25" s="37"/>
      <c r="AF25" s="37"/>
      <c r="AG25" s="37" t="s">
        <v>1989</v>
      </c>
      <c r="AH25" s="37" t="s">
        <v>1989</v>
      </c>
      <c r="AI25" s="37" t="s">
        <v>1989</v>
      </c>
      <c r="AJ25" s="37" t="s">
        <v>1989</v>
      </c>
      <c r="AK25" s="37"/>
      <c r="AL25" s="37"/>
      <c r="AM25" s="37" t="s">
        <v>1989</v>
      </c>
      <c r="AN25" s="37" t="s">
        <v>1989</v>
      </c>
      <c r="AO25" s="37" t="s">
        <v>1989</v>
      </c>
      <c r="AP25" s="37" t="s">
        <v>1989</v>
      </c>
      <c r="AQ25" s="37"/>
      <c r="AR25" s="37"/>
      <c r="AS25" s="37" t="s">
        <v>1989</v>
      </c>
      <c r="AT25" s="37" t="s">
        <v>1989</v>
      </c>
      <c r="AU25" s="37" t="s">
        <v>1989</v>
      </c>
      <c r="AV25" s="37" t="s">
        <v>1989</v>
      </c>
      <c r="AW25" s="37" t="s">
        <v>1989</v>
      </c>
      <c r="AX25" s="37" t="s">
        <v>1989</v>
      </c>
      <c r="AY25" s="37"/>
      <c r="AZ25" s="37"/>
      <c r="BA25" s="37"/>
      <c r="BB25" s="37"/>
      <c r="BC25" s="37" t="s">
        <v>1989</v>
      </c>
      <c r="BD25" s="37" t="s">
        <v>1989</v>
      </c>
      <c r="BE25" s="37" t="s">
        <v>1989</v>
      </c>
      <c r="BF25" s="37" t="s">
        <v>1989</v>
      </c>
      <c r="BG25" s="37"/>
      <c r="BH25" s="37"/>
      <c r="BI25" s="37" t="s">
        <v>1989</v>
      </c>
      <c r="BJ25" s="37" t="s">
        <v>1989</v>
      </c>
      <c r="BK25" s="37" t="s">
        <v>1989</v>
      </c>
      <c r="BL25" s="37" t="s">
        <v>1989</v>
      </c>
      <c r="BM25" s="37" t="s">
        <v>1989</v>
      </c>
      <c r="BN25" s="37" t="s">
        <v>1989</v>
      </c>
      <c r="BO25" s="37" t="s">
        <v>1989</v>
      </c>
      <c r="BP25" s="37" t="s">
        <v>1989</v>
      </c>
      <c r="BQ25" s="37" t="s">
        <v>1989</v>
      </c>
      <c r="BR25" s="37" t="s">
        <v>1989</v>
      </c>
      <c r="BS25" s="37" t="s">
        <v>1989</v>
      </c>
      <c r="BT25" s="37" t="s">
        <v>1989</v>
      </c>
      <c r="BU25" s="37" t="s">
        <v>1989</v>
      </c>
      <c r="BV25" s="37" t="s">
        <v>1989</v>
      </c>
      <c r="BW25" s="37" t="s">
        <v>1989</v>
      </c>
    </row>
    <row r="26" spans="1:75" ht="15" customHeight="1">
      <c r="A26" s="37" t="s">
        <v>1989</v>
      </c>
      <c r="B26" s="37" t="s">
        <v>1989</v>
      </c>
      <c r="C26" s="37" t="s">
        <v>1989</v>
      </c>
      <c r="D26" s="37" t="s">
        <v>1989</v>
      </c>
      <c r="E26" s="37" t="s">
        <v>1989</v>
      </c>
      <c r="F26" s="37" t="s">
        <v>1989</v>
      </c>
      <c r="G26" s="37" t="s">
        <v>1989</v>
      </c>
      <c r="H26" s="37" t="s">
        <v>1989</v>
      </c>
      <c r="I26" s="37" t="s">
        <v>1989</v>
      </c>
      <c r="J26" s="37" t="s">
        <v>1989</v>
      </c>
      <c r="K26" s="37" t="s">
        <v>1990</v>
      </c>
      <c r="L26" s="37" t="s">
        <v>1990</v>
      </c>
      <c r="M26" s="37" t="s">
        <v>1990</v>
      </c>
      <c r="N26" s="37" t="s">
        <v>1990</v>
      </c>
      <c r="O26" s="37" t="s">
        <v>1989</v>
      </c>
      <c r="P26" s="37" t="s">
        <v>1989</v>
      </c>
      <c r="Q26" s="37" t="s">
        <v>1989</v>
      </c>
      <c r="R26" s="37" t="s">
        <v>1989</v>
      </c>
      <c r="S26" s="37" t="s">
        <v>1989</v>
      </c>
      <c r="T26" s="37" t="s">
        <v>1989</v>
      </c>
      <c r="U26" s="37" t="s">
        <v>1989</v>
      </c>
      <c r="V26" s="37" t="s">
        <v>1989</v>
      </c>
      <c r="W26" s="37" t="s">
        <v>1989</v>
      </c>
      <c r="X26" s="37" t="s">
        <v>1989</v>
      </c>
      <c r="Y26" s="37" t="s">
        <v>1989</v>
      </c>
      <c r="Z26" s="37" t="s">
        <v>1989</v>
      </c>
      <c r="AA26" s="37"/>
      <c r="AB26" s="37"/>
      <c r="AC26" s="37" t="s">
        <v>1989</v>
      </c>
      <c r="AD26" s="37" t="s">
        <v>1989</v>
      </c>
      <c r="AE26" s="37"/>
      <c r="AF26" s="37"/>
      <c r="AG26" s="37" t="s">
        <v>1989</v>
      </c>
      <c r="AH26" s="37" t="s">
        <v>1989</v>
      </c>
      <c r="AI26" s="37"/>
      <c r="AJ26" s="37"/>
      <c r="AK26" s="37"/>
      <c r="AL26" s="37"/>
      <c r="AM26" s="37"/>
      <c r="AN26" s="37"/>
      <c r="AO26" s="37" t="s">
        <v>1989</v>
      </c>
      <c r="AP26" s="37" t="s">
        <v>1989</v>
      </c>
      <c r="AQ26" s="37"/>
      <c r="AR26" s="37"/>
      <c r="AS26" s="37" t="s">
        <v>1989</v>
      </c>
      <c r="AT26" s="37" t="s">
        <v>1989</v>
      </c>
      <c r="AU26" s="37" t="s">
        <v>1989</v>
      </c>
      <c r="AV26" s="37" t="s">
        <v>1989</v>
      </c>
      <c r="AW26" s="37"/>
      <c r="AX26" s="37"/>
      <c r="AY26" s="37"/>
      <c r="AZ26" s="37"/>
      <c r="BA26" s="37" t="s">
        <v>1989</v>
      </c>
      <c r="BB26" s="37" t="s">
        <v>1989</v>
      </c>
      <c r="BC26" s="37" t="s">
        <v>1989</v>
      </c>
      <c r="BD26" s="37" t="s">
        <v>1989</v>
      </c>
      <c r="BE26" s="37" t="s">
        <v>1989</v>
      </c>
      <c r="BF26" s="37" t="s">
        <v>1989</v>
      </c>
      <c r="BG26" s="37"/>
      <c r="BH26" s="37"/>
      <c r="BI26" s="37"/>
      <c r="BJ26" s="37"/>
      <c r="BK26" s="37"/>
      <c r="BL26" s="37"/>
      <c r="BM26" s="37"/>
      <c r="BN26" s="37"/>
      <c r="BO26" s="37" t="s">
        <v>1989</v>
      </c>
      <c r="BP26" s="37" t="s">
        <v>1989</v>
      </c>
      <c r="BQ26" s="37" t="s">
        <v>1989</v>
      </c>
      <c r="BR26" s="37" t="s">
        <v>1989</v>
      </c>
      <c r="BS26" s="37" t="s">
        <v>1989</v>
      </c>
      <c r="BT26" s="37" t="s">
        <v>1989</v>
      </c>
      <c r="BU26" s="37" t="s">
        <v>1989</v>
      </c>
      <c r="BV26" s="37" t="s">
        <v>1989</v>
      </c>
      <c r="BW26" s="37" t="s">
        <v>1989</v>
      </c>
    </row>
    <row r="27" spans="1:75" ht="15" customHeight="1">
      <c r="A27" s="37" t="s">
        <v>1989</v>
      </c>
      <c r="B27" s="37" t="s">
        <v>1989</v>
      </c>
      <c r="C27" s="37" t="s">
        <v>1989</v>
      </c>
      <c r="D27" s="37" t="s">
        <v>1989</v>
      </c>
      <c r="E27" s="37" t="s">
        <v>1989</v>
      </c>
      <c r="F27" s="37" t="s">
        <v>1989</v>
      </c>
      <c r="G27" s="37" t="s">
        <v>1989</v>
      </c>
      <c r="H27" s="37" t="s">
        <v>1989</v>
      </c>
      <c r="I27" s="37" t="s">
        <v>1989</v>
      </c>
      <c r="J27" s="37" t="s">
        <v>1990</v>
      </c>
      <c r="K27" s="37" t="s">
        <v>1990</v>
      </c>
      <c r="L27" s="37" t="s">
        <v>1989</v>
      </c>
      <c r="M27" s="37" t="s">
        <v>1989</v>
      </c>
      <c r="N27" s="37" t="s">
        <v>1989</v>
      </c>
      <c r="O27" s="37" t="s">
        <v>1989</v>
      </c>
      <c r="P27" s="37" t="s">
        <v>1989</v>
      </c>
      <c r="Q27" s="37" t="s">
        <v>1989</v>
      </c>
      <c r="R27" s="37" t="s">
        <v>1989</v>
      </c>
      <c r="S27" s="37" t="s">
        <v>1989</v>
      </c>
      <c r="T27" s="37" t="s">
        <v>1989</v>
      </c>
      <c r="U27" s="37" t="s">
        <v>1989</v>
      </c>
      <c r="V27" s="37" t="s">
        <v>1989</v>
      </c>
      <c r="W27" s="37" t="s">
        <v>1989</v>
      </c>
      <c r="X27" s="37" t="s">
        <v>1989</v>
      </c>
      <c r="Y27" s="37" t="s">
        <v>1989</v>
      </c>
      <c r="Z27" s="37" t="s">
        <v>1989</v>
      </c>
      <c r="AA27" s="37"/>
      <c r="AB27" s="37"/>
      <c r="AC27" s="37" t="s">
        <v>1989</v>
      </c>
      <c r="AD27" s="37" t="s">
        <v>1989</v>
      </c>
      <c r="AE27" s="37"/>
      <c r="AF27" s="37"/>
      <c r="AG27" s="37" t="s">
        <v>1989</v>
      </c>
      <c r="AH27" s="37" t="s">
        <v>1989</v>
      </c>
      <c r="AI27" s="37"/>
      <c r="AJ27" s="37"/>
      <c r="AK27" s="37"/>
      <c r="AL27" s="37"/>
      <c r="AM27" s="37"/>
      <c r="AN27" s="37"/>
      <c r="AO27" s="37" t="s">
        <v>1989</v>
      </c>
      <c r="AP27" s="37" t="s">
        <v>1989</v>
      </c>
      <c r="AQ27" s="37"/>
      <c r="AR27" s="37"/>
      <c r="AS27" s="37" t="s">
        <v>1989</v>
      </c>
      <c r="AT27" s="37" t="s">
        <v>1989</v>
      </c>
      <c r="AU27" s="37" t="s">
        <v>1989</v>
      </c>
      <c r="AV27" s="37" t="s">
        <v>1989</v>
      </c>
      <c r="AW27" s="37"/>
      <c r="AX27" s="37"/>
      <c r="AY27" s="37"/>
      <c r="AZ27" s="37"/>
      <c r="BA27" s="37" t="s">
        <v>1989</v>
      </c>
      <c r="BB27" s="37" t="s">
        <v>1989</v>
      </c>
      <c r="BC27" s="37" t="s">
        <v>1989</v>
      </c>
      <c r="BD27" s="37" t="s">
        <v>1989</v>
      </c>
      <c r="BE27" s="37" t="s">
        <v>1989</v>
      </c>
      <c r="BF27" s="37" t="s">
        <v>1989</v>
      </c>
      <c r="BG27" s="37"/>
      <c r="BH27" s="37"/>
      <c r="BI27" s="37"/>
      <c r="BJ27" s="37"/>
      <c r="BK27" s="37"/>
      <c r="BL27" s="37"/>
      <c r="BM27" s="37"/>
      <c r="BN27" s="37"/>
      <c r="BO27" s="37" t="s">
        <v>1989</v>
      </c>
      <c r="BP27" s="37" t="s">
        <v>1989</v>
      </c>
      <c r="BQ27" s="37" t="s">
        <v>1989</v>
      </c>
      <c r="BR27" s="37" t="s">
        <v>1989</v>
      </c>
      <c r="BS27" s="37" t="s">
        <v>1989</v>
      </c>
      <c r="BT27" s="37" t="s">
        <v>1989</v>
      </c>
      <c r="BU27" s="37" t="s">
        <v>1989</v>
      </c>
      <c r="BV27" s="37" t="s">
        <v>1989</v>
      </c>
      <c r="BW27" s="37" t="s">
        <v>1989</v>
      </c>
    </row>
    <row r="28" spans="1:75" ht="15" customHeight="1">
      <c r="A28" s="37" t="s">
        <v>1989</v>
      </c>
      <c r="B28" s="37" t="s">
        <v>1989</v>
      </c>
      <c r="C28" s="37" t="s">
        <v>1989</v>
      </c>
      <c r="D28" s="37" t="s">
        <v>1989</v>
      </c>
      <c r="E28" s="37" t="s">
        <v>1989</v>
      </c>
      <c r="F28" s="37" t="s">
        <v>1989</v>
      </c>
      <c r="G28" s="37" t="s">
        <v>1989</v>
      </c>
      <c r="H28" s="37" t="s">
        <v>1990</v>
      </c>
      <c r="I28" s="37" t="s">
        <v>1990</v>
      </c>
      <c r="J28" s="37" t="s">
        <v>1990</v>
      </c>
      <c r="K28" s="37" t="s">
        <v>1989</v>
      </c>
      <c r="L28" s="37" t="s">
        <v>1989</v>
      </c>
      <c r="M28" s="37" t="s">
        <v>1989</v>
      </c>
      <c r="N28" s="37" t="s">
        <v>1989</v>
      </c>
      <c r="O28" s="37" t="s">
        <v>1989</v>
      </c>
      <c r="P28" s="37" t="s">
        <v>1989</v>
      </c>
      <c r="Q28" s="37" t="s">
        <v>1989</v>
      </c>
      <c r="R28" s="37" t="s">
        <v>1989</v>
      </c>
      <c r="S28" s="37" t="s">
        <v>1989</v>
      </c>
      <c r="T28" s="37" t="s">
        <v>1989</v>
      </c>
      <c r="U28" s="37" t="s">
        <v>1989</v>
      </c>
      <c r="V28" s="37" t="s">
        <v>1989</v>
      </c>
      <c r="W28" s="37" t="s">
        <v>1989</v>
      </c>
      <c r="X28" s="37" t="s">
        <v>1989</v>
      </c>
      <c r="Y28" s="37" t="s">
        <v>1989</v>
      </c>
      <c r="Z28" s="37" t="s">
        <v>1989</v>
      </c>
      <c r="AA28" s="37"/>
      <c r="AB28" s="37"/>
      <c r="AC28" s="37" t="s">
        <v>1989</v>
      </c>
      <c r="AD28" s="37" t="s">
        <v>1989</v>
      </c>
      <c r="AE28" s="37"/>
      <c r="AF28" s="37"/>
      <c r="AG28" s="37" t="s">
        <v>1989</v>
      </c>
      <c r="AH28" s="37" t="s">
        <v>1989</v>
      </c>
      <c r="AI28" s="37"/>
      <c r="AJ28" s="37"/>
      <c r="AK28" s="37"/>
      <c r="AL28" s="37"/>
      <c r="AM28" s="37"/>
      <c r="AN28" s="37"/>
      <c r="AO28" s="37" t="s">
        <v>1989</v>
      </c>
      <c r="AP28" s="37" t="s">
        <v>1989</v>
      </c>
      <c r="AQ28" s="37"/>
      <c r="AR28" s="37"/>
      <c r="AS28" s="37" t="s">
        <v>1989</v>
      </c>
      <c r="AT28" s="37" t="s">
        <v>1989</v>
      </c>
      <c r="AU28" s="37" t="s">
        <v>1989</v>
      </c>
      <c r="AV28" s="37" t="s">
        <v>1989</v>
      </c>
      <c r="AW28" s="37" t="s">
        <v>1989</v>
      </c>
      <c r="AX28" s="37" t="s">
        <v>1989</v>
      </c>
      <c r="AY28" s="37"/>
      <c r="AZ28" s="37"/>
      <c r="BA28" s="37"/>
      <c r="BB28" s="37"/>
      <c r="BC28" s="37" t="s">
        <v>1989</v>
      </c>
      <c r="BD28" s="37" t="s">
        <v>1989</v>
      </c>
      <c r="BE28" s="37" t="s">
        <v>1989</v>
      </c>
      <c r="BF28" s="37" t="s">
        <v>1989</v>
      </c>
      <c r="BG28" s="37"/>
      <c r="BH28" s="37"/>
      <c r="BI28" s="37" t="s">
        <v>1989</v>
      </c>
      <c r="BJ28" s="37" t="s">
        <v>1989</v>
      </c>
      <c r="BK28" s="37"/>
      <c r="BL28" s="37"/>
      <c r="BM28" s="37"/>
      <c r="BN28" s="37"/>
      <c r="BO28" s="37" t="s">
        <v>1989</v>
      </c>
      <c r="BP28" s="37" t="s">
        <v>1989</v>
      </c>
      <c r="BQ28" s="37" t="s">
        <v>1989</v>
      </c>
      <c r="BR28" s="37" t="s">
        <v>1989</v>
      </c>
      <c r="BS28" s="37" t="s">
        <v>1989</v>
      </c>
      <c r="BT28" s="37" t="s">
        <v>1989</v>
      </c>
      <c r="BU28" s="37" t="s">
        <v>1989</v>
      </c>
      <c r="BV28" s="37" t="s">
        <v>1989</v>
      </c>
      <c r="BW28" s="37" t="s">
        <v>1989</v>
      </c>
    </row>
    <row r="29" spans="1:75" ht="15" customHeight="1">
      <c r="A29" s="37" t="s">
        <v>1989</v>
      </c>
      <c r="B29" s="37" t="s">
        <v>1989</v>
      </c>
      <c r="C29" s="37" t="s">
        <v>1989</v>
      </c>
      <c r="D29" s="37" t="s">
        <v>1989</v>
      </c>
      <c r="E29" s="37" t="s">
        <v>1989</v>
      </c>
      <c r="F29" s="37" t="s">
        <v>1990</v>
      </c>
      <c r="G29" s="37" t="s">
        <v>1990</v>
      </c>
      <c r="H29" s="37" t="s">
        <v>1990</v>
      </c>
      <c r="I29" s="37" t="s">
        <v>1989</v>
      </c>
      <c r="J29" s="37" t="s">
        <v>1989</v>
      </c>
      <c r="K29" s="37" t="s">
        <v>1989</v>
      </c>
      <c r="L29" s="37" t="s">
        <v>1989</v>
      </c>
      <c r="M29" s="37" t="s">
        <v>1989</v>
      </c>
      <c r="N29" s="37" t="s">
        <v>1989</v>
      </c>
      <c r="O29" s="37" t="s">
        <v>1989</v>
      </c>
      <c r="P29" s="37" t="s">
        <v>1989</v>
      </c>
      <c r="Q29" s="37" t="s">
        <v>1989</v>
      </c>
      <c r="R29" s="37" t="s">
        <v>1989</v>
      </c>
      <c r="S29" s="37" t="s">
        <v>1989</v>
      </c>
      <c r="T29" s="37" t="s">
        <v>1989</v>
      </c>
      <c r="U29" s="37" t="s">
        <v>1989</v>
      </c>
      <c r="V29" s="37" t="s">
        <v>1989</v>
      </c>
      <c r="W29" s="37" t="s">
        <v>1989</v>
      </c>
      <c r="X29" s="37" t="s">
        <v>1989</v>
      </c>
      <c r="Y29" s="37" t="s">
        <v>1989</v>
      </c>
      <c r="Z29" s="37" t="s">
        <v>1989</v>
      </c>
      <c r="AA29" s="37"/>
      <c r="AB29" s="37"/>
      <c r="AC29" s="37" t="s">
        <v>1989</v>
      </c>
      <c r="AD29" s="37" t="s">
        <v>1989</v>
      </c>
      <c r="AE29" s="37"/>
      <c r="AF29" s="37"/>
      <c r="AG29" s="37" t="s">
        <v>1989</v>
      </c>
      <c r="AH29" s="37" t="s">
        <v>1989</v>
      </c>
      <c r="AI29" s="37"/>
      <c r="AJ29" s="37"/>
      <c r="AK29" s="37"/>
      <c r="AL29" s="37"/>
      <c r="AM29" s="37"/>
      <c r="AN29" s="37"/>
      <c r="AO29" s="37" t="s">
        <v>1989</v>
      </c>
      <c r="AP29" s="37" t="s">
        <v>1989</v>
      </c>
      <c r="AQ29" s="37"/>
      <c r="AR29" s="37"/>
      <c r="AS29" s="37" t="s">
        <v>1989</v>
      </c>
      <c r="AT29" s="37" t="s">
        <v>1989</v>
      </c>
      <c r="AU29" s="37" t="s">
        <v>1989</v>
      </c>
      <c r="AV29" s="37" t="s">
        <v>1989</v>
      </c>
      <c r="AW29" s="37" t="s">
        <v>1989</v>
      </c>
      <c r="AX29" s="37" t="s">
        <v>1989</v>
      </c>
      <c r="AY29" s="37"/>
      <c r="AZ29" s="37"/>
      <c r="BA29" s="37"/>
      <c r="BB29" s="37"/>
      <c r="BC29" s="37" t="s">
        <v>1989</v>
      </c>
      <c r="BD29" s="37" t="s">
        <v>1989</v>
      </c>
      <c r="BE29" s="37" t="s">
        <v>1989</v>
      </c>
      <c r="BF29" s="37" t="s">
        <v>1989</v>
      </c>
      <c r="BG29" s="37"/>
      <c r="BH29" s="37"/>
      <c r="BI29" s="37" t="s">
        <v>1989</v>
      </c>
      <c r="BJ29" s="37" t="s">
        <v>1989</v>
      </c>
      <c r="BK29" s="37"/>
      <c r="BL29" s="37"/>
      <c r="BM29" s="37"/>
      <c r="BN29" s="37"/>
      <c r="BO29" s="37" t="s">
        <v>1989</v>
      </c>
      <c r="BP29" s="37" t="s">
        <v>1989</v>
      </c>
      <c r="BQ29" s="37" t="s">
        <v>1989</v>
      </c>
      <c r="BR29" s="37" t="s">
        <v>1989</v>
      </c>
      <c r="BS29" s="37" t="s">
        <v>1989</v>
      </c>
      <c r="BT29" s="37" t="s">
        <v>1989</v>
      </c>
      <c r="BU29" s="37" t="s">
        <v>1989</v>
      </c>
      <c r="BV29" s="37" t="s">
        <v>1989</v>
      </c>
      <c r="BW29" s="37" t="s">
        <v>1989</v>
      </c>
    </row>
    <row r="30" spans="1:75" ht="15" customHeight="1">
      <c r="A30" s="37" t="s">
        <v>1989</v>
      </c>
      <c r="B30" s="37" t="s">
        <v>1989</v>
      </c>
      <c r="C30" s="37" t="s">
        <v>1989</v>
      </c>
      <c r="D30" s="37" t="s">
        <v>1989</v>
      </c>
      <c r="E30" s="37" t="s">
        <v>1990</v>
      </c>
      <c r="F30" s="37" t="s">
        <v>1990</v>
      </c>
      <c r="G30" s="37" t="s">
        <v>1989</v>
      </c>
      <c r="H30" s="37" t="s">
        <v>1989</v>
      </c>
      <c r="I30" s="37" t="s">
        <v>1989</v>
      </c>
      <c r="J30" s="37" t="s">
        <v>1989</v>
      </c>
      <c r="K30" s="37" t="s">
        <v>1989</v>
      </c>
      <c r="L30" s="37" t="s">
        <v>1989</v>
      </c>
      <c r="M30" s="37" t="s">
        <v>1989</v>
      </c>
      <c r="N30" s="37" t="s">
        <v>1989</v>
      </c>
      <c r="O30" s="37" t="s">
        <v>1989</v>
      </c>
      <c r="P30" s="37" t="s">
        <v>1989</v>
      </c>
      <c r="Q30" s="37" t="s">
        <v>1989</v>
      </c>
      <c r="R30" s="37" t="s">
        <v>1989</v>
      </c>
      <c r="S30" s="37" t="s">
        <v>1989</v>
      </c>
      <c r="T30" s="37" t="s">
        <v>1989</v>
      </c>
      <c r="U30" s="37" t="s">
        <v>1989</v>
      </c>
      <c r="V30" s="37" t="s">
        <v>1989</v>
      </c>
      <c r="W30" s="37" t="s">
        <v>1989</v>
      </c>
      <c r="X30" s="37" t="s">
        <v>1989</v>
      </c>
      <c r="Y30" s="37" t="s">
        <v>1989</v>
      </c>
      <c r="Z30" s="37" t="s">
        <v>1989</v>
      </c>
      <c r="AA30" s="37"/>
      <c r="AB30" s="37"/>
      <c r="AC30" s="37" t="s">
        <v>1989</v>
      </c>
      <c r="AD30" s="37" t="s">
        <v>1989</v>
      </c>
      <c r="AE30" s="37"/>
      <c r="AF30" s="37"/>
      <c r="AG30" s="37"/>
      <c r="AH30" s="37"/>
      <c r="AI30" s="37"/>
      <c r="AJ30" s="37"/>
      <c r="AK30" s="37" t="s">
        <v>1989</v>
      </c>
      <c r="AL30" s="37" t="s">
        <v>1989</v>
      </c>
      <c r="AM30" s="37" t="s">
        <v>1989</v>
      </c>
      <c r="AN30" s="37" t="s">
        <v>1989</v>
      </c>
      <c r="AO30" s="37" t="s">
        <v>1989</v>
      </c>
      <c r="AP30" s="37" t="s">
        <v>1989</v>
      </c>
      <c r="AQ30" s="37"/>
      <c r="AR30" s="37"/>
      <c r="AS30" s="37" t="s">
        <v>1989</v>
      </c>
      <c r="AT30" s="37" t="s">
        <v>1989</v>
      </c>
      <c r="AU30" s="37" t="s">
        <v>1989</v>
      </c>
      <c r="AV30" s="37" t="s">
        <v>1989</v>
      </c>
      <c r="AW30" s="37" t="s">
        <v>1989</v>
      </c>
      <c r="AX30" s="37" t="s">
        <v>1989</v>
      </c>
      <c r="AY30" s="37"/>
      <c r="AZ30" s="37"/>
      <c r="BA30" s="37"/>
      <c r="BB30" s="37"/>
      <c r="BC30" s="37" t="s">
        <v>1989</v>
      </c>
      <c r="BD30" s="37" t="s">
        <v>1989</v>
      </c>
      <c r="BE30" s="37" t="s">
        <v>1989</v>
      </c>
      <c r="BF30" s="37" t="s">
        <v>1989</v>
      </c>
      <c r="BG30" s="37"/>
      <c r="BH30" s="37"/>
      <c r="BI30" s="37"/>
      <c r="BJ30" s="37"/>
      <c r="BK30" s="37"/>
      <c r="BL30" s="37"/>
      <c r="BM30" s="37"/>
      <c r="BN30" s="37"/>
      <c r="BO30" s="37" t="s">
        <v>1989</v>
      </c>
      <c r="BP30" s="37" t="s">
        <v>1989</v>
      </c>
      <c r="BQ30" s="37" t="s">
        <v>1989</v>
      </c>
      <c r="BR30" s="37" t="s">
        <v>1989</v>
      </c>
      <c r="BS30" s="37" t="s">
        <v>1989</v>
      </c>
      <c r="BT30" s="37" t="s">
        <v>1989</v>
      </c>
      <c r="BU30" s="37" t="s">
        <v>1989</v>
      </c>
      <c r="BV30" s="37" t="s">
        <v>1989</v>
      </c>
      <c r="BW30" s="37" t="s">
        <v>1989</v>
      </c>
    </row>
    <row r="31" spans="1:75" ht="15" customHeight="1">
      <c r="A31" s="37" t="s">
        <v>1989</v>
      </c>
      <c r="B31" s="37" t="s">
        <v>1989</v>
      </c>
      <c r="C31" s="37" t="s">
        <v>1990</v>
      </c>
      <c r="D31" s="37" t="s">
        <v>1990</v>
      </c>
      <c r="E31" s="37" t="s">
        <v>1990</v>
      </c>
      <c r="F31" s="37" t="s">
        <v>1989</v>
      </c>
      <c r="G31" s="37" t="s">
        <v>1989</v>
      </c>
      <c r="H31" s="37" t="s">
        <v>1989</v>
      </c>
      <c r="I31" s="37" t="s">
        <v>1989</v>
      </c>
      <c r="J31" s="37" t="s">
        <v>1989</v>
      </c>
      <c r="K31" s="37" t="s">
        <v>1989</v>
      </c>
      <c r="L31" s="37" t="s">
        <v>1989</v>
      </c>
      <c r="M31" s="37" t="s">
        <v>1989</v>
      </c>
      <c r="N31" s="37" t="s">
        <v>1989</v>
      </c>
      <c r="O31" s="37" t="s">
        <v>1989</v>
      </c>
      <c r="P31" s="37" t="s">
        <v>1989</v>
      </c>
      <c r="Q31" s="37" t="s">
        <v>1989</v>
      </c>
      <c r="R31" s="37" t="s">
        <v>1989</v>
      </c>
      <c r="S31" s="37" t="s">
        <v>1989</v>
      </c>
      <c r="T31" s="37" t="s">
        <v>1989</v>
      </c>
      <c r="U31" s="37" t="s">
        <v>1989</v>
      </c>
      <c r="V31" s="37" t="s">
        <v>1989</v>
      </c>
      <c r="W31" s="37" t="s">
        <v>1989</v>
      </c>
      <c r="X31" s="37" t="s">
        <v>1989</v>
      </c>
      <c r="Y31" s="37" t="s">
        <v>1989</v>
      </c>
      <c r="Z31" s="37" t="s">
        <v>1989</v>
      </c>
      <c r="AA31" s="37"/>
      <c r="AB31" s="37"/>
      <c r="AC31" s="37" t="s">
        <v>1989</v>
      </c>
      <c r="AD31" s="37" t="s">
        <v>1989</v>
      </c>
      <c r="AE31" s="37"/>
      <c r="AF31" s="37"/>
      <c r="AG31" s="37"/>
      <c r="AH31" s="37"/>
      <c r="AI31" s="37"/>
      <c r="AJ31" s="37"/>
      <c r="AK31" s="37" t="s">
        <v>1989</v>
      </c>
      <c r="AL31" s="37" t="s">
        <v>1989</v>
      </c>
      <c r="AM31" s="37" t="s">
        <v>1989</v>
      </c>
      <c r="AN31" s="37" t="s">
        <v>1989</v>
      </c>
      <c r="AO31" s="37" t="s">
        <v>1989</v>
      </c>
      <c r="AP31" s="37" t="s">
        <v>1989</v>
      </c>
      <c r="AQ31" s="37"/>
      <c r="AR31" s="37"/>
      <c r="AS31" s="37" t="s">
        <v>1989</v>
      </c>
      <c r="AT31" s="37" t="s">
        <v>1989</v>
      </c>
      <c r="AU31" s="37" t="s">
        <v>1989</v>
      </c>
      <c r="AV31" s="37" t="s">
        <v>1989</v>
      </c>
      <c r="AW31" s="37" t="s">
        <v>1989</v>
      </c>
      <c r="AX31" s="37" t="s">
        <v>1989</v>
      </c>
      <c r="AY31" s="37"/>
      <c r="AZ31" s="37"/>
      <c r="BA31" s="37"/>
      <c r="BB31" s="37"/>
      <c r="BC31" s="37" t="s">
        <v>1989</v>
      </c>
      <c r="BD31" s="37" t="s">
        <v>1989</v>
      </c>
      <c r="BE31" s="37" t="s">
        <v>1989</v>
      </c>
      <c r="BF31" s="37" t="s">
        <v>1989</v>
      </c>
      <c r="BG31" s="37"/>
      <c r="BH31" s="37"/>
      <c r="BI31" s="37"/>
      <c r="BJ31" s="37"/>
      <c r="BK31" s="37"/>
      <c r="BL31" s="37"/>
      <c r="BM31" s="37"/>
      <c r="BN31" s="37"/>
      <c r="BO31" s="37" t="s">
        <v>1989</v>
      </c>
      <c r="BP31" s="37" t="s">
        <v>1989</v>
      </c>
      <c r="BQ31" s="37" t="s">
        <v>1989</v>
      </c>
      <c r="BR31" s="37" t="s">
        <v>1989</v>
      </c>
      <c r="BS31" s="37" t="s">
        <v>1989</v>
      </c>
      <c r="BT31" s="37" t="s">
        <v>1989</v>
      </c>
      <c r="BU31" s="37" t="s">
        <v>1989</v>
      </c>
      <c r="BV31" s="37" t="s">
        <v>1989</v>
      </c>
      <c r="BW31" s="37" t="s">
        <v>1989</v>
      </c>
    </row>
    <row r="32" spans="1:75" ht="15" customHeight="1">
      <c r="A32" s="37" t="s">
        <v>1990</v>
      </c>
      <c r="B32" s="37" t="s">
        <v>1990</v>
      </c>
      <c r="C32" s="37" t="s">
        <v>1990</v>
      </c>
      <c r="D32" s="37" t="s">
        <v>1989</v>
      </c>
      <c r="E32" s="37" t="s">
        <v>1989</v>
      </c>
      <c r="F32" s="37" t="s">
        <v>1989</v>
      </c>
      <c r="G32" s="37" t="s">
        <v>1989</v>
      </c>
      <c r="H32" s="37" t="s">
        <v>1989</v>
      </c>
      <c r="I32" s="37" t="s">
        <v>1989</v>
      </c>
      <c r="J32" s="37" t="s">
        <v>1989</v>
      </c>
      <c r="K32" s="37" t="s">
        <v>1989</v>
      </c>
      <c r="L32" s="37" t="s">
        <v>1989</v>
      </c>
      <c r="M32" s="37" t="s">
        <v>1989</v>
      </c>
      <c r="N32" s="37" t="s">
        <v>1989</v>
      </c>
      <c r="O32" s="37" t="s">
        <v>1989</v>
      </c>
      <c r="P32" s="37" t="s">
        <v>1989</v>
      </c>
      <c r="Q32" s="37" t="s">
        <v>1989</v>
      </c>
      <c r="R32" s="37" t="s">
        <v>1989</v>
      </c>
      <c r="S32" s="37" t="s">
        <v>1989</v>
      </c>
      <c r="T32" s="37" t="s">
        <v>1989</v>
      </c>
      <c r="U32" s="37" t="s">
        <v>1989</v>
      </c>
      <c r="V32" s="37" t="s">
        <v>1989</v>
      </c>
      <c r="W32" s="37" t="s">
        <v>1989</v>
      </c>
      <c r="X32" s="37" t="s">
        <v>1989</v>
      </c>
      <c r="Y32" s="37" t="s">
        <v>1989</v>
      </c>
      <c r="Z32" s="37" t="s">
        <v>1989</v>
      </c>
      <c r="AA32" s="37"/>
      <c r="AB32" s="37"/>
      <c r="AC32" s="37" t="s">
        <v>1989</v>
      </c>
      <c r="AD32" s="37" t="s">
        <v>1989</v>
      </c>
      <c r="AE32" s="37" t="s">
        <v>1989</v>
      </c>
      <c r="AF32" s="37" t="s">
        <v>1989</v>
      </c>
      <c r="AG32" s="37" t="s">
        <v>1989</v>
      </c>
      <c r="AH32" s="37" t="s">
        <v>1989</v>
      </c>
      <c r="AI32" s="37"/>
      <c r="AJ32" s="37"/>
      <c r="AK32" s="37"/>
      <c r="AL32" s="37"/>
      <c r="AM32" s="37" t="s">
        <v>1989</v>
      </c>
      <c r="AN32" s="37" t="s">
        <v>1989</v>
      </c>
      <c r="AO32" s="37"/>
      <c r="AP32" s="37"/>
      <c r="AQ32" s="37"/>
      <c r="AR32" s="37"/>
      <c r="AS32" s="37"/>
      <c r="AT32" s="37"/>
      <c r="AU32" s="37" t="s">
        <v>1989</v>
      </c>
      <c r="AV32" s="37" t="s">
        <v>1989</v>
      </c>
      <c r="AW32" s="37" t="s">
        <v>1989</v>
      </c>
      <c r="AX32" s="37" t="s">
        <v>1989</v>
      </c>
      <c r="AY32" s="37" t="s">
        <v>1989</v>
      </c>
      <c r="AZ32" s="37" t="s">
        <v>1989</v>
      </c>
      <c r="BA32" s="37" t="s">
        <v>1989</v>
      </c>
      <c r="BB32" s="37" t="s">
        <v>1989</v>
      </c>
      <c r="BC32" s="37" t="s">
        <v>1989</v>
      </c>
      <c r="BD32" s="37" t="s">
        <v>1989</v>
      </c>
      <c r="BE32" s="37" t="s">
        <v>1989</v>
      </c>
      <c r="BF32" s="37" t="s">
        <v>1989</v>
      </c>
      <c r="BG32" s="37"/>
      <c r="BH32" s="37"/>
      <c r="BI32" s="37" t="s">
        <v>1989</v>
      </c>
      <c r="BJ32" s="37" t="s">
        <v>1989</v>
      </c>
      <c r="BK32" s="37" t="s">
        <v>1989</v>
      </c>
      <c r="BL32" s="37" t="s">
        <v>1989</v>
      </c>
      <c r="BM32" s="37" t="s">
        <v>1989</v>
      </c>
      <c r="BN32" s="37" t="s">
        <v>1989</v>
      </c>
      <c r="BO32" s="37" t="s">
        <v>1989</v>
      </c>
      <c r="BP32" s="37" t="s">
        <v>1989</v>
      </c>
      <c r="BQ32" s="37" t="s">
        <v>1989</v>
      </c>
      <c r="BR32" s="37" t="s">
        <v>1989</v>
      </c>
      <c r="BS32" s="37" t="s">
        <v>1989</v>
      </c>
      <c r="BT32" s="37" t="s">
        <v>1989</v>
      </c>
      <c r="BU32" s="37" t="s">
        <v>1989</v>
      </c>
      <c r="BV32" s="37" t="s">
        <v>1989</v>
      </c>
      <c r="BW32" s="37" t="s">
        <v>1989</v>
      </c>
    </row>
    <row r="33" spans="1:75" ht="15" customHeight="1">
      <c r="A33" s="37" t="s">
        <v>1990</v>
      </c>
      <c r="B33" s="37" t="s">
        <v>1989</v>
      </c>
      <c r="C33" s="37" t="s">
        <v>1989</v>
      </c>
      <c r="D33" s="37" t="s">
        <v>1989</v>
      </c>
      <c r="E33" s="37" t="s">
        <v>1989</v>
      </c>
      <c r="F33" s="37" t="s">
        <v>1989</v>
      </c>
      <c r="G33" s="37" t="s">
        <v>1989</v>
      </c>
      <c r="H33" s="37" t="s">
        <v>1989</v>
      </c>
      <c r="I33" s="37" t="s">
        <v>1989</v>
      </c>
      <c r="J33" s="37" t="s">
        <v>1989</v>
      </c>
      <c r="K33" s="37" t="s">
        <v>1989</v>
      </c>
      <c r="L33" s="37" t="s">
        <v>1989</v>
      </c>
      <c r="M33" s="37" t="s">
        <v>1989</v>
      </c>
      <c r="N33" s="37" t="s">
        <v>1989</v>
      </c>
      <c r="O33" s="37" t="s">
        <v>1989</v>
      </c>
      <c r="P33" s="37" t="s">
        <v>1989</v>
      </c>
      <c r="Q33" s="37" t="s">
        <v>1989</v>
      </c>
      <c r="R33" s="37" t="s">
        <v>1989</v>
      </c>
      <c r="S33" s="37" t="s">
        <v>1989</v>
      </c>
      <c r="T33" s="37" t="s">
        <v>1989</v>
      </c>
      <c r="U33" s="37" t="s">
        <v>1989</v>
      </c>
      <c r="V33" s="37" t="s">
        <v>1989</v>
      </c>
      <c r="W33" s="37" t="s">
        <v>1989</v>
      </c>
      <c r="X33" s="37" t="s">
        <v>1989</v>
      </c>
      <c r="Y33" s="37" t="s">
        <v>1989</v>
      </c>
      <c r="Z33" s="37" t="s">
        <v>1989</v>
      </c>
      <c r="AA33" s="37"/>
      <c r="AB33" s="37"/>
      <c r="AC33" s="37" t="s">
        <v>1989</v>
      </c>
      <c r="AD33" s="37" t="s">
        <v>1989</v>
      </c>
      <c r="AE33" s="37" t="s">
        <v>1989</v>
      </c>
      <c r="AF33" s="37" t="s">
        <v>1989</v>
      </c>
      <c r="AG33" s="37" t="s">
        <v>1989</v>
      </c>
      <c r="AH33" s="37" t="s">
        <v>1989</v>
      </c>
      <c r="AI33" s="37"/>
      <c r="AJ33" s="37"/>
      <c r="AK33" s="37"/>
      <c r="AL33" s="37"/>
      <c r="AM33" s="37" t="s">
        <v>1989</v>
      </c>
      <c r="AN33" s="37" t="s">
        <v>1989</v>
      </c>
      <c r="AO33" s="37"/>
      <c r="AP33" s="37"/>
      <c r="AQ33" s="37"/>
      <c r="AR33" s="37"/>
      <c r="AS33" s="37"/>
      <c r="AT33" s="37"/>
      <c r="AU33" s="37" t="s">
        <v>1989</v>
      </c>
      <c r="AV33" s="37" t="s">
        <v>1989</v>
      </c>
      <c r="AW33" s="37" t="s">
        <v>1989</v>
      </c>
      <c r="AX33" s="37" t="s">
        <v>1989</v>
      </c>
      <c r="AY33" s="37" t="s">
        <v>1989</v>
      </c>
      <c r="AZ33" s="37" t="s">
        <v>1989</v>
      </c>
      <c r="BA33" s="37" t="s">
        <v>1989</v>
      </c>
      <c r="BB33" s="37" t="s">
        <v>1989</v>
      </c>
      <c r="BC33" s="37" t="s">
        <v>1989</v>
      </c>
      <c r="BD33" s="37" t="s">
        <v>1989</v>
      </c>
      <c r="BE33" s="37" t="s">
        <v>1989</v>
      </c>
      <c r="BF33" s="37" t="s">
        <v>1989</v>
      </c>
      <c r="BG33" s="37"/>
      <c r="BH33" s="37"/>
      <c r="BI33" s="37" t="s">
        <v>1989</v>
      </c>
      <c r="BJ33" s="37" t="s">
        <v>1989</v>
      </c>
      <c r="BK33" s="37" t="s">
        <v>1989</v>
      </c>
      <c r="BL33" s="37" t="s">
        <v>1989</v>
      </c>
      <c r="BM33" s="37" t="s">
        <v>1989</v>
      </c>
      <c r="BN33" s="37" t="s">
        <v>1989</v>
      </c>
      <c r="BO33" s="37" t="s">
        <v>1989</v>
      </c>
      <c r="BP33" s="37" t="s">
        <v>1989</v>
      </c>
      <c r="BQ33" s="37" t="s">
        <v>1989</v>
      </c>
      <c r="BR33" s="37" t="s">
        <v>1989</v>
      </c>
      <c r="BS33" s="37" t="s">
        <v>1989</v>
      </c>
      <c r="BT33" s="37" t="s">
        <v>1989</v>
      </c>
      <c r="BU33" s="37" t="s">
        <v>1989</v>
      </c>
      <c r="BV33" s="37" t="s">
        <v>1989</v>
      </c>
      <c r="BW33" s="37" t="s">
        <v>1989</v>
      </c>
    </row>
    <row r="34" spans="1:75" ht="15" customHeight="1">
      <c r="A34" s="37" t="s">
        <v>1989</v>
      </c>
      <c r="B34" s="37" t="s">
        <v>1989</v>
      </c>
      <c r="C34" s="37" t="s">
        <v>1989</v>
      </c>
      <c r="D34" s="37" t="s">
        <v>1989</v>
      </c>
      <c r="E34" s="37" t="s">
        <v>1989</v>
      </c>
      <c r="F34" s="37" t="s">
        <v>1989</v>
      </c>
      <c r="G34" s="37" t="s">
        <v>1989</v>
      </c>
      <c r="H34" s="37" t="s">
        <v>1989</v>
      </c>
      <c r="I34" s="37" t="s">
        <v>1989</v>
      </c>
      <c r="J34" s="37" t="s">
        <v>1989</v>
      </c>
      <c r="K34" s="37" t="s">
        <v>1989</v>
      </c>
      <c r="L34" s="37" t="s">
        <v>1989</v>
      </c>
      <c r="M34" s="37" t="s">
        <v>1989</v>
      </c>
      <c r="N34" s="37" t="s">
        <v>1989</v>
      </c>
      <c r="O34" s="37" t="s">
        <v>1989</v>
      </c>
      <c r="P34" s="37" t="s">
        <v>1989</v>
      </c>
      <c r="Q34" s="37" t="s">
        <v>1989</v>
      </c>
      <c r="R34" s="37" t="s">
        <v>1989</v>
      </c>
      <c r="S34" s="37" t="s">
        <v>1989</v>
      </c>
      <c r="T34" s="37" t="s">
        <v>1989</v>
      </c>
      <c r="U34" s="37" t="s">
        <v>1989</v>
      </c>
      <c r="V34" s="37" t="s">
        <v>1989</v>
      </c>
      <c r="W34" s="37"/>
      <c r="X34" s="37"/>
      <c r="Y34" s="37"/>
      <c r="Z34" s="37"/>
      <c r="AA34" s="37"/>
      <c r="AB34" s="37"/>
      <c r="AC34" s="37"/>
      <c r="AD34" s="37"/>
      <c r="AE34" s="37"/>
      <c r="AF34" s="37"/>
      <c r="AG34" s="37" t="s">
        <v>1989</v>
      </c>
      <c r="AH34" s="37" t="s">
        <v>1989</v>
      </c>
      <c r="AI34" s="37"/>
      <c r="AJ34" s="37"/>
      <c r="AK34" s="37"/>
      <c r="AL34" s="37"/>
      <c r="AM34" s="37" t="s">
        <v>1989</v>
      </c>
      <c r="AN34" s="37" t="s">
        <v>1989</v>
      </c>
      <c r="AO34" s="37"/>
      <c r="AP34" s="37"/>
      <c r="AQ34" s="37"/>
      <c r="AR34" s="37"/>
      <c r="AS34" s="37"/>
      <c r="AT34" s="37"/>
      <c r="AU34" s="37" t="s">
        <v>1989</v>
      </c>
      <c r="AV34" s="37" t="s">
        <v>1989</v>
      </c>
      <c r="AW34" s="37"/>
      <c r="AX34" s="37"/>
      <c r="AY34" s="37"/>
      <c r="AZ34" s="40"/>
      <c r="BA34" s="37"/>
      <c r="BB34" s="37"/>
      <c r="BC34" s="37"/>
      <c r="BD34" s="40"/>
      <c r="BE34" s="37"/>
      <c r="BF34" s="37"/>
      <c r="BG34" s="37"/>
      <c r="BH34" s="37"/>
      <c r="BI34" s="37"/>
      <c r="BJ34" s="37"/>
      <c r="BK34" s="37" t="s">
        <v>1989</v>
      </c>
      <c r="BL34" s="37" t="s">
        <v>1989</v>
      </c>
      <c r="BM34" s="37" t="s">
        <v>1989</v>
      </c>
      <c r="BN34" s="37" t="s">
        <v>1989</v>
      </c>
      <c r="BO34" s="37" t="s">
        <v>1989</v>
      </c>
      <c r="BP34" s="37" t="s">
        <v>1989</v>
      </c>
      <c r="BQ34" s="37" t="s">
        <v>1989</v>
      </c>
      <c r="BR34" s="37" t="s">
        <v>1989</v>
      </c>
      <c r="BS34" s="37" t="s">
        <v>1989</v>
      </c>
      <c r="BT34" s="37" t="s">
        <v>1989</v>
      </c>
      <c r="BU34" s="37" t="s">
        <v>1989</v>
      </c>
      <c r="BV34" s="37" t="s">
        <v>1989</v>
      </c>
      <c r="BW34" s="37" t="s">
        <v>1989</v>
      </c>
    </row>
    <row r="35" spans="1:75" ht="15" customHeight="1">
      <c r="A35" s="37" t="s">
        <v>1989</v>
      </c>
      <c r="B35" s="37" t="s">
        <v>1989</v>
      </c>
      <c r="C35" s="37" t="s">
        <v>1989</v>
      </c>
      <c r="D35" s="37" t="s">
        <v>1989</v>
      </c>
      <c r="E35" s="37" t="s">
        <v>1989</v>
      </c>
      <c r="F35" s="37" t="s">
        <v>1989</v>
      </c>
      <c r="G35" s="37" t="s">
        <v>1989</v>
      </c>
      <c r="H35" s="37" t="s">
        <v>1989</v>
      </c>
      <c r="I35" s="37" t="s">
        <v>1989</v>
      </c>
      <c r="J35" s="37" t="s">
        <v>1989</v>
      </c>
      <c r="K35" s="37" t="s">
        <v>1989</v>
      </c>
      <c r="L35" s="37" t="s">
        <v>1989</v>
      </c>
      <c r="M35" s="37" t="s">
        <v>1989</v>
      </c>
      <c r="N35" s="37" t="s">
        <v>1989</v>
      </c>
      <c r="O35" s="37" t="s">
        <v>1989</v>
      </c>
      <c r="P35" s="37" t="s">
        <v>1989</v>
      </c>
      <c r="Q35" s="37" t="s">
        <v>1989</v>
      </c>
      <c r="R35" s="37" t="s">
        <v>1989</v>
      </c>
      <c r="S35" s="37" t="s">
        <v>1989</v>
      </c>
      <c r="T35" s="37" t="s">
        <v>1989</v>
      </c>
      <c r="U35" s="37" t="s">
        <v>1989</v>
      </c>
      <c r="V35" s="37" t="s">
        <v>1989</v>
      </c>
      <c r="W35" s="37"/>
      <c r="X35" s="37"/>
      <c r="Y35" s="37"/>
      <c r="Z35" s="37"/>
      <c r="AA35" s="37"/>
      <c r="AB35" s="37"/>
      <c r="AC35" s="37"/>
      <c r="AD35" s="37"/>
      <c r="AE35" s="37"/>
      <c r="AF35" s="37"/>
      <c r="AG35" s="37" t="s">
        <v>1989</v>
      </c>
      <c r="AH35" s="37" t="s">
        <v>1989</v>
      </c>
      <c r="AI35" s="37"/>
      <c r="AJ35" s="37"/>
      <c r="AK35" s="37"/>
      <c r="AL35" s="37"/>
      <c r="AM35" s="37" t="s">
        <v>1989</v>
      </c>
      <c r="AN35" s="37" t="s">
        <v>1989</v>
      </c>
      <c r="AO35" s="37"/>
      <c r="AP35" s="37"/>
      <c r="AQ35" s="37"/>
      <c r="AR35" s="37"/>
      <c r="AS35" s="37"/>
      <c r="AT35" s="37"/>
      <c r="AU35" s="37" t="s">
        <v>1989</v>
      </c>
      <c r="AV35" s="37" t="s">
        <v>1989</v>
      </c>
      <c r="AW35" s="37"/>
      <c r="AX35" s="37"/>
      <c r="AY35" s="37"/>
      <c r="AZ35" s="40"/>
      <c r="BA35" s="37"/>
      <c r="BB35" s="37"/>
      <c r="BC35" s="37"/>
      <c r="BD35" s="40"/>
      <c r="BE35" s="37"/>
      <c r="BF35" s="37"/>
      <c r="BG35" s="37"/>
      <c r="BH35" s="37"/>
      <c r="BI35" s="37"/>
      <c r="BJ35" s="37"/>
      <c r="BK35" s="37" t="s">
        <v>1989</v>
      </c>
      <c r="BL35" s="37" t="s">
        <v>1989</v>
      </c>
      <c r="BM35" s="37" t="s">
        <v>1989</v>
      </c>
      <c r="BN35" s="37" t="s">
        <v>1989</v>
      </c>
      <c r="BO35" s="37" t="s">
        <v>1989</v>
      </c>
      <c r="BP35" s="37" t="s">
        <v>1989</v>
      </c>
      <c r="BQ35" s="37" t="s">
        <v>1989</v>
      </c>
      <c r="BR35" s="37" t="s">
        <v>1989</v>
      </c>
      <c r="BS35" s="37" t="s">
        <v>1989</v>
      </c>
      <c r="BT35" s="37" t="s">
        <v>1989</v>
      </c>
      <c r="BU35" s="37" t="s">
        <v>1989</v>
      </c>
      <c r="BV35" s="37" t="s">
        <v>1989</v>
      </c>
      <c r="BW35" s="37" t="s">
        <v>1989</v>
      </c>
    </row>
    <row r="36" spans="1:75" ht="15" customHeight="1">
      <c r="A36" s="37" t="s">
        <v>1989</v>
      </c>
      <c r="B36" s="37" t="s">
        <v>1989</v>
      </c>
      <c r="C36" s="37" t="s">
        <v>1989</v>
      </c>
      <c r="D36" s="37" t="s">
        <v>1989</v>
      </c>
      <c r="E36" s="37" t="s">
        <v>1989</v>
      </c>
      <c r="F36" s="37" t="s">
        <v>1989</v>
      </c>
      <c r="G36" s="37" t="s">
        <v>1989</v>
      </c>
      <c r="H36" s="37" t="s">
        <v>1989</v>
      </c>
      <c r="I36" s="37" t="s">
        <v>1989</v>
      </c>
      <c r="J36" s="37" t="s">
        <v>1989</v>
      </c>
      <c r="K36" s="37" t="s">
        <v>1989</v>
      </c>
      <c r="L36" s="37" t="s">
        <v>1989</v>
      </c>
      <c r="M36" s="37" t="s">
        <v>1989</v>
      </c>
      <c r="N36" s="37" t="s">
        <v>1989</v>
      </c>
      <c r="O36" s="37" t="s">
        <v>1989</v>
      </c>
      <c r="P36" s="37" t="s">
        <v>1989</v>
      </c>
      <c r="Q36" s="37" t="s">
        <v>1989</v>
      </c>
      <c r="R36" s="37" t="s">
        <v>1989</v>
      </c>
      <c r="S36" s="37" t="s">
        <v>1989</v>
      </c>
      <c r="T36" s="37" t="s">
        <v>1989</v>
      </c>
      <c r="U36" s="37" t="s">
        <v>1989</v>
      </c>
      <c r="V36" s="37" t="s">
        <v>1989</v>
      </c>
      <c r="W36" s="37"/>
      <c r="X36" s="37"/>
      <c r="Y36" s="37"/>
      <c r="Z36" s="37"/>
      <c r="AA36" s="37"/>
      <c r="AB36" s="37"/>
      <c r="AC36" s="37"/>
      <c r="AD36" s="37"/>
      <c r="AE36" s="37"/>
      <c r="AF36" s="37"/>
      <c r="AG36" s="37" t="s">
        <v>1989</v>
      </c>
      <c r="AH36" s="37" t="s">
        <v>1989</v>
      </c>
      <c r="AI36" s="37"/>
      <c r="AJ36" s="37"/>
      <c r="AK36" s="37"/>
      <c r="AL36" s="40"/>
      <c r="AM36" s="37"/>
      <c r="AN36" s="37"/>
      <c r="AO36" s="37"/>
      <c r="AP36" s="37"/>
      <c r="AQ36" s="37" t="s">
        <v>1989</v>
      </c>
      <c r="AR36" s="37" t="s">
        <v>1989</v>
      </c>
      <c r="AS36" s="37" t="s">
        <v>1989</v>
      </c>
      <c r="AT36" s="37" t="s">
        <v>1989</v>
      </c>
      <c r="AU36" s="37" t="s">
        <v>1989</v>
      </c>
      <c r="AV36" s="37" t="s">
        <v>1989</v>
      </c>
      <c r="AW36" s="37"/>
      <c r="AX36" s="37"/>
      <c r="AY36" s="37"/>
      <c r="AZ36" s="40"/>
      <c r="BA36" s="37"/>
      <c r="BB36" s="37"/>
      <c r="BC36" s="37"/>
      <c r="BD36" s="40"/>
      <c r="BE36" s="37"/>
      <c r="BF36" s="37"/>
      <c r="BG36" s="37"/>
      <c r="BH36" s="37"/>
      <c r="BI36" s="37"/>
      <c r="BJ36" s="37"/>
      <c r="BK36" s="37" t="s">
        <v>1989</v>
      </c>
      <c r="BL36" s="37" t="s">
        <v>1989</v>
      </c>
      <c r="BM36" s="37" t="s">
        <v>1989</v>
      </c>
      <c r="BN36" s="37" t="s">
        <v>1989</v>
      </c>
      <c r="BO36" s="37" t="s">
        <v>1989</v>
      </c>
      <c r="BP36" s="37" t="s">
        <v>1989</v>
      </c>
      <c r="BQ36" s="37" t="s">
        <v>1989</v>
      </c>
      <c r="BR36" s="37" t="s">
        <v>1989</v>
      </c>
      <c r="BS36" s="37" t="s">
        <v>1989</v>
      </c>
      <c r="BT36" s="37" t="s">
        <v>1989</v>
      </c>
      <c r="BU36" s="37" t="s">
        <v>1989</v>
      </c>
      <c r="BV36" s="37" t="s">
        <v>1989</v>
      </c>
      <c r="BW36" s="37" t="s">
        <v>1989</v>
      </c>
    </row>
    <row r="37" spans="1:75" ht="15" customHeight="1" thickBot="1">
      <c r="A37" s="37" t="s">
        <v>1989</v>
      </c>
      <c r="B37" s="37" t="s">
        <v>1989</v>
      </c>
      <c r="C37" s="37" t="s">
        <v>1989</v>
      </c>
      <c r="D37" s="37" t="s">
        <v>1989</v>
      </c>
      <c r="E37" s="37" t="s">
        <v>1989</v>
      </c>
      <c r="F37" s="37" t="s">
        <v>1989</v>
      </c>
      <c r="G37" s="37" t="s">
        <v>1989</v>
      </c>
      <c r="H37" s="37" t="s">
        <v>1989</v>
      </c>
      <c r="I37" s="37" t="s">
        <v>1989</v>
      </c>
      <c r="J37" s="37" t="s">
        <v>1989</v>
      </c>
      <c r="K37" s="37" t="s">
        <v>1989</v>
      </c>
      <c r="L37" s="37" t="s">
        <v>1989</v>
      </c>
      <c r="M37" s="37" t="s">
        <v>1989</v>
      </c>
      <c r="N37" s="37" t="s">
        <v>1989</v>
      </c>
      <c r="O37" s="37" t="s">
        <v>1989</v>
      </c>
      <c r="P37" s="37" t="s">
        <v>1989</v>
      </c>
      <c r="Q37" s="37" t="s">
        <v>1989</v>
      </c>
      <c r="R37" s="37" t="s">
        <v>1989</v>
      </c>
      <c r="S37" s="37" t="s">
        <v>1989</v>
      </c>
      <c r="T37" s="37" t="s">
        <v>1989</v>
      </c>
      <c r="U37" s="37" t="s">
        <v>1989</v>
      </c>
      <c r="V37" s="37" t="s">
        <v>1989</v>
      </c>
      <c r="W37" s="37"/>
      <c r="X37" s="37"/>
      <c r="Y37" s="37"/>
      <c r="Z37" s="37"/>
      <c r="AA37" s="37"/>
      <c r="AB37" s="37"/>
      <c r="AC37" s="37"/>
      <c r="AD37" s="37"/>
      <c r="AE37" s="37"/>
      <c r="AF37" s="37"/>
      <c r="AG37" s="37" t="s">
        <v>1989</v>
      </c>
      <c r="AH37" s="37" t="s">
        <v>1989</v>
      </c>
      <c r="AI37" s="37"/>
      <c r="AJ37" s="37"/>
      <c r="AK37" s="37"/>
      <c r="AL37" s="40"/>
      <c r="AM37" s="37"/>
      <c r="AN37" s="37"/>
      <c r="AO37" s="37"/>
      <c r="AP37" s="37"/>
      <c r="AQ37" s="37" t="s">
        <v>1989</v>
      </c>
      <c r="AR37" s="37" t="s">
        <v>1989</v>
      </c>
      <c r="AS37" s="37" t="s">
        <v>1989</v>
      </c>
      <c r="AT37" s="37" t="s">
        <v>1989</v>
      </c>
      <c r="AU37" s="37" t="s">
        <v>1989</v>
      </c>
      <c r="AV37" s="37" t="s">
        <v>1989</v>
      </c>
      <c r="AW37" s="37"/>
      <c r="AX37" s="37"/>
      <c r="AY37" s="37"/>
      <c r="AZ37" s="43"/>
      <c r="BA37" s="37"/>
      <c r="BB37" s="37"/>
      <c r="BC37" s="37"/>
      <c r="BD37" s="40"/>
      <c r="BE37" s="37"/>
      <c r="BF37" s="37"/>
      <c r="BG37" s="37"/>
      <c r="BH37" s="37"/>
      <c r="BI37" s="37"/>
      <c r="BJ37" s="37"/>
      <c r="BK37" s="37" t="s">
        <v>1989</v>
      </c>
      <c r="BL37" s="37" t="s">
        <v>1989</v>
      </c>
      <c r="BM37" s="37" t="s">
        <v>1989</v>
      </c>
      <c r="BN37" s="37" t="s">
        <v>1989</v>
      </c>
      <c r="BO37" s="37" t="s">
        <v>1989</v>
      </c>
      <c r="BP37" s="37" t="s">
        <v>1989</v>
      </c>
      <c r="BQ37" s="37" t="s">
        <v>1989</v>
      </c>
      <c r="BR37" s="37" t="s">
        <v>1989</v>
      </c>
      <c r="BS37" s="37" t="s">
        <v>1989</v>
      </c>
      <c r="BT37" s="37" t="s">
        <v>1989</v>
      </c>
      <c r="BU37" s="37" t="s">
        <v>1989</v>
      </c>
      <c r="BV37" s="37" t="s">
        <v>1989</v>
      </c>
      <c r="BW37" s="37" t="s">
        <v>1989</v>
      </c>
    </row>
    <row r="38" spans="1:75" ht="15" customHeight="1" thickTop="1">
      <c r="A38" s="37" t="s">
        <v>1989</v>
      </c>
      <c r="B38" s="37" t="s">
        <v>1989</v>
      </c>
      <c r="C38" s="37" t="s">
        <v>1989</v>
      </c>
      <c r="D38" s="37" t="s">
        <v>1989</v>
      </c>
      <c r="E38" s="37" t="s">
        <v>1989</v>
      </c>
      <c r="F38" s="37" t="s">
        <v>1989</v>
      </c>
      <c r="G38" s="37" t="s">
        <v>1989</v>
      </c>
      <c r="H38" s="37" t="s">
        <v>1989</v>
      </c>
      <c r="I38" s="37" t="s">
        <v>1989</v>
      </c>
      <c r="J38" s="37" t="s">
        <v>1989</v>
      </c>
      <c r="K38" s="37" t="s">
        <v>1989</v>
      </c>
      <c r="L38" s="37" t="s">
        <v>1989</v>
      </c>
      <c r="M38" s="37"/>
      <c r="N38" s="37"/>
      <c r="O38" s="37" t="s">
        <v>1989</v>
      </c>
      <c r="P38" s="37" t="s">
        <v>1989</v>
      </c>
      <c r="Q38" s="37" t="s">
        <v>1989</v>
      </c>
      <c r="R38" s="37" t="s">
        <v>1989</v>
      </c>
      <c r="S38" s="37" t="s">
        <v>1989</v>
      </c>
      <c r="T38" s="37" t="s">
        <v>1989</v>
      </c>
      <c r="U38" s="37" t="s">
        <v>1989</v>
      </c>
      <c r="V38" s="37" t="s">
        <v>1989</v>
      </c>
      <c r="W38" s="37"/>
      <c r="X38" s="37"/>
      <c r="Y38" s="37"/>
      <c r="Z38" s="37"/>
      <c r="AA38" s="37"/>
      <c r="AB38" s="37"/>
      <c r="AC38" s="37"/>
      <c r="AD38" s="37"/>
      <c r="AE38" s="37"/>
      <c r="AF38" s="37"/>
      <c r="AG38" s="37" t="s">
        <v>1989</v>
      </c>
      <c r="AH38" s="37" t="s">
        <v>1989</v>
      </c>
      <c r="AI38" s="37"/>
      <c r="AJ38" s="37"/>
      <c r="AK38" s="37"/>
      <c r="AL38" s="37"/>
      <c r="AM38" s="37"/>
      <c r="AN38" s="37"/>
      <c r="AO38" s="37"/>
      <c r="AP38" s="37"/>
      <c r="AQ38" s="37" t="s">
        <v>1989</v>
      </c>
      <c r="AR38" s="37" t="s">
        <v>1989</v>
      </c>
      <c r="AS38" s="37"/>
      <c r="AT38" s="37"/>
      <c r="AU38" s="37"/>
      <c r="AV38" s="37"/>
      <c r="AW38" s="44"/>
      <c r="AX38" s="45"/>
      <c r="AY38" s="46"/>
      <c r="AZ38" s="44"/>
      <c r="BA38" s="44"/>
      <c r="BB38" s="44"/>
      <c r="BC38" s="37" t="s">
        <v>1989</v>
      </c>
      <c r="BD38" s="37" t="s">
        <v>1989</v>
      </c>
      <c r="BE38" s="37"/>
      <c r="BF38" s="37"/>
      <c r="BG38" s="37"/>
      <c r="BH38" s="37"/>
      <c r="BI38" s="37"/>
      <c r="BJ38" s="37"/>
      <c r="BK38" s="37" t="s">
        <v>1989</v>
      </c>
      <c r="BL38" s="37" t="s">
        <v>1989</v>
      </c>
      <c r="BM38" s="37" t="s">
        <v>1989</v>
      </c>
      <c r="BN38" s="37" t="s">
        <v>1989</v>
      </c>
      <c r="BO38" s="37" t="s">
        <v>1989</v>
      </c>
      <c r="BP38" s="37" t="s">
        <v>1989</v>
      </c>
      <c r="BQ38" s="37" t="s">
        <v>1989</v>
      </c>
      <c r="BR38" s="37" t="s">
        <v>1989</v>
      </c>
      <c r="BS38" s="37" t="s">
        <v>1989</v>
      </c>
      <c r="BT38" s="37" t="s">
        <v>1989</v>
      </c>
      <c r="BU38" s="37" t="s">
        <v>1989</v>
      </c>
      <c r="BV38" s="37" t="s">
        <v>1989</v>
      </c>
      <c r="BW38" s="37" t="s">
        <v>1989</v>
      </c>
    </row>
    <row r="39" spans="1:75" ht="15" customHeight="1">
      <c r="A39" s="37" t="s">
        <v>1989</v>
      </c>
      <c r="B39" s="37" t="s">
        <v>1989</v>
      </c>
      <c r="C39" s="37" t="s">
        <v>1989</v>
      </c>
      <c r="D39" s="37" t="s">
        <v>1989</v>
      </c>
      <c r="E39" s="37" t="s">
        <v>1989</v>
      </c>
      <c r="F39" s="37" t="s">
        <v>1989</v>
      </c>
      <c r="G39" s="37" t="s">
        <v>1989</v>
      </c>
      <c r="H39" s="37" t="s">
        <v>1989</v>
      </c>
      <c r="I39" s="37" t="s">
        <v>1989</v>
      </c>
      <c r="J39" s="37" t="s">
        <v>1989</v>
      </c>
      <c r="K39" s="37" t="s">
        <v>1989</v>
      </c>
      <c r="L39" s="37" t="s">
        <v>1989</v>
      </c>
      <c r="M39" s="37"/>
      <c r="N39" s="37"/>
      <c r="O39" s="37" t="s">
        <v>1989</v>
      </c>
      <c r="P39" s="37" t="s">
        <v>1989</v>
      </c>
      <c r="Q39" s="37" t="s">
        <v>1989</v>
      </c>
      <c r="R39" s="37" t="s">
        <v>1989</v>
      </c>
      <c r="S39" s="37" t="s">
        <v>1989</v>
      </c>
      <c r="T39" s="37" t="s">
        <v>1989</v>
      </c>
      <c r="U39" s="37" t="s">
        <v>1989</v>
      </c>
      <c r="V39" s="37" t="s">
        <v>1989</v>
      </c>
      <c r="W39" s="37"/>
      <c r="X39" s="37"/>
      <c r="Y39" s="37"/>
      <c r="Z39" s="37"/>
      <c r="AA39" s="37"/>
      <c r="AB39" s="37"/>
      <c r="AC39" s="37"/>
      <c r="AD39" s="37"/>
      <c r="AE39" s="37"/>
      <c r="AF39" s="37"/>
      <c r="AG39" s="37" t="s">
        <v>1989</v>
      </c>
      <c r="AH39" s="37" t="s">
        <v>1989</v>
      </c>
      <c r="AI39" s="37"/>
      <c r="AJ39" s="37"/>
      <c r="AK39" s="37"/>
      <c r="AL39" s="37"/>
      <c r="AM39" s="37"/>
      <c r="AN39" s="37"/>
      <c r="AO39" s="37"/>
      <c r="AP39" s="37"/>
      <c r="AQ39" s="37" t="s">
        <v>1989</v>
      </c>
      <c r="AR39" s="37" t="s">
        <v>1989</v>
      </c>
      <c r="AS39" s="37"/>
      <c r="AT39" s="37"/>
      <c r="AU39" s="37"/>
      <c r="AV39" s="37"/>
      <c r="AW39" s="37"/>
      <c r="AX39" s="40"/>
      <c r="AY39" s="37"/>
      <c r="AZ39" s="37"/>
      <c r="BA39" s="37"/>
      <c r="BB39" s="37"/>
      <c r="BC39" s="37" t="s">
        <v>1989</v>
      </c>
      <c r="BD39" s="37" t="s">
        <v>1989</v>
      </c>
      <c r="BE39" s="37"/>
      <c r="BF39" s="37"/>
      <c r="BG39" s="37"/>
      <c r="BH39" s="37"/>
      <c r="BI39" s="37"/>
      <c r="BJ39" s="37"/>
      <c r="BK39" s="37" t="s">
        <v>1989</v>
      </c>
      <c r="BL39" s="37" t="s">
        <v>1989</v>
      </c>
      <c r="BM39" s="37" t="s">
        <v>1989</v>
      </c>
      <c r="BN39" s="37" t="s">
        <v>1989</v>
      </c>
      <c r="BO39" s="37" t="s">
        <v>1989</v>
      </c>
      <c r="BP39" s="37" t="s">
        <v>1989</v>
      </c>
      <c r="BQ39" s="37" t="s">
        <v>1989</v>
      </c>
      <c r="BR39" s="37" t="s">
        <v>1989</v>
      </c>
      <c r="BS39" s="37" t="s">
        <v>1989</v>
      </c>
      <c r="BT39" s="37" t="s">
        <v>1989</v>
      </c>
      <c r="BU39" s="37" t="s">
        <v>1989</v>
      </c>
      <c r="BV39" s="37" t="s">
        <v>1989</v>
      </c>
      <c r="BW39" s="37" t="s">
        <v>1989</v>
      </c>
    </row>
    <row r="40" spans="1:75" ht="15" customHeight="1">
      <c r="A40" s="37" t="s">
        <v>1989</v>
      </c>
      <c r="B40" s="37" t="s">
        <v>1989</v>
      </c>
      <c r="C40" s="37" t="s">
        <v>1989</v>
      </c>
      <c r="D40" s="37" t="s">
        <v>1989</v>
      </c>
      <c r="E40" s="37" t="s">
        <v>1989</v>
      </c>
      <c r="F40" s="37" t="s">
        <v>1989</v>
      </c>
      <c r="G40" s="37" t="s">
        <v>1989</v>
      </c>
      <c r="H40" s="37" t="s">
        <v>1989</v>
      </c>
      <c r="I40" s="37" t="s">
        <v>1989</v>
      </c>
      <c r="J40" s="37" t="s">
        <v>1989</v>
      </c>
      <c r="K40" s="37" t="s">
        <v>1989</v>
      </c>
      <c r="L40" s="37" t="s">
        <v>1989</v>
      </c>
      <c r="M40" s="37"/>
      <c r="N40" s="37"/>
      <c r="O40" s="37" t="s">
        <v>1989</v>
      </c>
      <c r="P40" s="37" t="s">
        <v>1989</v>
      </c>
      <c r="Q40" s="37" t="s">
        <v>1989</v>
      </c>
      <c r="R40" s="37" t="s">
        <v>1989</v>
      </c>
      <c r="S40" s="37" t="s">
        <v>1989</v>
      </c>
      <c r="T40" s="37" t="s">
        <v>1989</v>
      </c>
      <c r="U40" s="37" t="s">
        <v>1989</v>
      </c>
      <c r="V40" s="37" t="s">
        <v>1989</v>
      </c>
      <c r="W40" s="37"/>
      <c r="X40" s="37"/>
      <c r="Y40" s="37"/>
      <c r="Z40" s="37"/>
      <c r="AA40" s="37"/>
      <c r="AB40" s="37"/>
      <c r="AC40" s="37"/>
      <c r="AD40" s="37"/>
      <c r="AE40" s="37"/>
      <c r="AF40" s="37"/>
      <c r="AG40" s="37" t="s">
        <v>1989</v>
      </c>
      <c r="AH40" s="37" t="s">
        <v>1989</v>
      </c>
      <c r="AI40" s="37"/>
      <c r="AJ40" s="37"/>
      <c r="AK40" s="37"/>
      <c r="AL40" s="37"/>
      <c r="AM40" s="37" t="s">
        <v>1989</v>
      </c>
      <c r="AN40" s="37" t="s">
        <v>1989</v>
      </c>
      <c r="AO40" s="37" t="s">
        <v>1989</v>
      </c>
      <c r="AP40" s="37" t="s">
        <v>1989</v>
      </c>
      <c r="AQ40" s="37" t="s">
        <v>1989</v>
      </c>
      <c r="AR40" s="37" t="s">
        <v>1989</v>
      </c>
      <c r="AS40" s="37"/>
      <c r="AT40" s="37"/>
      <c r="AU40" s="37"/>
      <c r="AV40" s="37"/>
      <c r="AW40" s="37"/>
      <c r="AX40" s="37"/>
      <c r="AY40" s="37"/>
      <c r="AZ40" s="37"/>
      <c r="BA40" s="37"/>
      <c r="BB40" s="37"/>
      <c r="BC40" s="37" t="s">
        <v>1989</v>
      </c>
      <c r="BD40" s="37" t="s">
        <v>1989</v>
      </c>
      <c r="BE40" s="37"/>
      <c r="BF40" s="37"/>
      <c r="BG40" s="37"/>
      <c r="BH40" s="37"/>
      <c r="BI40" s="37"/>
      <c r="BJ40" s="37"/>
      <c r="BK40" s="37" t="s">
        <v>1989</v>
      </c>
      <c r="BL40" s="37" t="s">
        <v>1989</v>
      </c>
      <c r="BM40" s="37" t="s">
        <v>1989</v>
      </c>
      <c r="BN40" s="37" t="s">
        <v>1989</v>
      </c>
      <c r="BO40" s="37" t="s">
        <v>1989</v>
      </c>
      <c r="BP40" s="37" t="s">
        <v>1989</v>
      </c>
      <c r="BQ40" s="37" t="s">
        <v>1989</v>
      </c>
      <c r="BR40" s="37" t="s">
        <v>1989</v>
      </c>
      <c r="BS40" s="37" t="s">
        <v>1989</v>
      </c>
      <c r="BT40" s="37" t="s">
        <v>1989</v>
      </c>
      <c r="BU40" s="37" t="s">
        <v>1989</v>
      </c>
      <c r="BV40" s="37" t="s">
        <v>1989</v>
      </c>
      <c r="BW40" s="37" t="s">
        <v>1989</v>
      </c>
    </row>
    <row r="41" spans="1:75" ht="15" customHeight="1">
      <c r="A41" s="37" t="s">
        <v>1989</v>
      </c>
      <c r="B41" s="37" t="s">
        <v>1989</v>
      </c>
      <c r="C41" s="37" t="s">
        <v>1989</v>
      </c>
      <c r="D41" s="37" t="s">
        <v>1989</v>
      </c>
      <c r="E41" s="37" t="s">
        <v>1989</v>
      </c>
      <c r="F41" s="37" t="s">
        <v>1989</v>
      </c>
      <c r="G41" s="37" t="s">
        <v>1989</v>
      </c>
      <c r="H41" s="37" t="s">
        <v>1989</v>
      </c>
      <c r="I41" s="37" t="s">
        <v>1989</v>
      </c>
      <c r="J41" s="37" t="s">
        <v>1989</v>
      </c>
      <c r="K41" s="37" t="s">
        <v>1989</v>
      </c>
      <c r="L41" s="37" t="s">
        <v>1989</v>
      </c>
      <c r="M41" s="37"/>
      <c r="N41" s="37"/>
      <c r="O41" s="37" t="s">
        <v>1989</v>
      </c>
      <c r="P41" s="37" t="s">
        <v>1989</v>
      </c>
      <c r="Q41" s="37" t="s">
        <v>1989</v>
      </c>
      <c r="R41" s="37" t="s">
        <v>1989</v>
      </c>
      <c r="S41" s="37" t="s">
        <v>1989</v>
      </c>
      <c r="T41" s="37" t="s">
        <v>1989</v>
      </c>
      <c r="U41" s="37" t="s">
        <v>1989</v>
      </c>
      <c r="V41" s="37" t="s">
        <v>1989</v>
      </c>
      <c r="W41" s="37"/>
      <c r="X41" s="37"/>
      <c r="Y41" s="37"/>
      <c r="Z41" s="37"/>
      <c r="AA41" s="37"/>
      <c r="AB41" s="37"/>
      <c r="AC41" s="37"/>
      <c r="AD41" s="37"/>
      <c r="AE41" s="37"/>
      <c r="AF41" s="37"/>
      <c r="AG41" s="37" t="s">
        <v>1989</v>
      </c>
      <c r="AH41" s="37" t="s">
        <v>1989</v>
      </c>
      <c r="AI41" s="37"/>
      <c r="AJ41" s="37"/>
      <c r="AK41" s="37"/>
      <c r="AL41" s="37"/>
      <c r="AM41" s="37" t="s">
        <v>1989</v>
      </c>
      <c r="AN41" s="37" t="s">
        <v>1989</v>
      </c>
      <c r="AO41" s="37" t="s">
        <v>1989</v>
      </c>
      <c r="AP41" s="37" t="s">
        <v>1989</v>
      </c>
      <c r="AQ41" s="37" t="s">
        <v>1989</v>
      </c>
      <c r="AR41" s="37" t="s">
        <v>1989</v>
      </c>
      <c r="AS41" s="37"/>
      <c r="AT41" s="37"/>
      <c r="AU41" s="37"/>
      <c r="AV41" s="37"/>
      <c r="AW41" s="37"/>
      <c r="AX41" s="37"/>
      <c r="AY41" s="37"/>
      <c r="AZ41" s="37"/>
      <c r="BA41" s="37"/>
      <c r="BB41" s="37"/>
      <c r="BC41" s="37" t="s">
        <v>1989</v>
      </c>
      <c r="BD41" s="37" t="s">
        <v>1989</v>
      </c>
      <c r="BE41" s="37"/>
      <c r="BF41" s="37"/>
      <c r="BG41" s="37"/>
      <c r="BH41" s="37"/>
      <c r="BI41" s="37"/>
      <c r="BJ41" s="37"/>
      <c r="BK41" s="37" t="s">
        <v>1989</v>
      </c>
      <c r="BL41" s="37" t="s">
        <v>1989</v>
      </c>
      <c r="BM41" s="37" t="s">
        <v>1989</v>
      </c>
      <c r="BN41" s="37" t="s">
        <v>1989</v>
      </c>
      <c r="BO41" s="37" t="s">
        <v>1989</v>
      </c>
      <c r="BP41" s="37" t="s">
        <v>1989</v>
      </c>
      <c r="BQ41" s="37" t="s">
        <v>1989</v>
      </c>
      <c r="BR41" s="37" t="s">
        <v>1989</v>
      </c>
      <c r="BS41" s="37" t="s">
        <v>1989</v>
      </c>
      <c r="BT41" s="37" t="s">
        <v>1989</v>
      </c>
      <c r="BU41" s="37" t="s">
        <v>1989</v>
      </c>
      <c r="BV41" s="37" t="s">
        <v>1989</v>
      </c>
      <c r="BW41" s="37" t="s">
        <v>1989</v>
      </c>
    </row>
    <row r="42" spans="1:75" ht="15" customHeight="1">
      <c r="A42" s="37" t="s">
        <v>1989</v>
      </c>
      <c r="B42" s="37" t="s">
        <v>1989</v>
      </c>
      <c r="C42" s="37" t="s">
        <v>1989</v>
      </c>
      <c r="D42" s="37" t="s">
        <v>1989</v>
      </c>
      <c r="E42" s="37" t="s">
        <v>1989</v>
      </c>
      <c r="F42" s="37" t="s">
        <v>1989</v>
      </c>
      <c r="G42" s="37" t="s">
        <v>1989</v>
      </c>
      <c r="H42" s="37" t="s">
        <v>1989</v>
      </c>
      <c r="I42" s="37" t="s">
        <v>1989</v>
      </c>
      <c r="J42" s="37" t="s">
        <v>1989</v>
      </c>
      <c r="K42" s="37" t="s">
        <v>1989</v>
      </c>
      <c r="L42" s="37" t="s">
        <v>1989</v>
      </c>
      <c r="M42" s="37"/>
      <c r="N42" s="37"/>
      <c r="O42" s="37" t="s">
        <v>1989</v>
      </c>
      <c r="P42" s="37" t="s">
        <v>1989</v>
      </c>
      <c r="Q42" s="37" t="s">
        <v>1989</v>
      </c>
      <c r="R42" s="37" t="s">
        <v>1989</v>
      </c>
      <c r="S42" s="37" t="s">
        <v>1989</v>
      </c>
      <c r="T42" s="37" t="s">
        <v>1989</v>
      </c>
      <c r="U42" s="37" t="s">
        <v>1989</v>
      </c>
      <c r="V42" s="37" t="s">
        <v>1989</v>
      </c>
      <c r="W42" s="37"/>
      <c r="X42" s="37"/>
      <c r="Y42" s="37"/>
      <c r="Z42" s="37"/>
      <c r="AA42" s="37"/>
      <c r="AB42" s="37"/>
      <c r="AC42" s="37"/>
      <c r="AD42" s="37"/>
      <c r="AE42" s="37"/>
      <c r="AF42" s="37"/>
      <c r="AG42" s="37" t="s">
        <v>1989</v>
      </c>
      <c r="AH42" s="37" t="s">
        <v>1989</v>
      </c>
      <c r="AI42" s="37"/>
      <c r="AJ42" s="37"/>
      <c r="AK42" s="37"/>
      <c r="AL42" s="37"/>
      <c r="AM42" s="37"/>
      <c r="AN42" s="37"/>
      <c r="AO42" s="37"/>
      <c r="AP42" s="37"/>
      <c r="AQ42" s="37"/>
      <c r="AR42" s="37"/>
      <c r="AS42" s="37"/>
      <c r="AT42" s="37"/>
      <c r="AU42" s="37" t="s">
        <v>1989</v>
      </c>
      <c r="AV42" s="37" t="s">
        <v>1989</v>
      </c>
      <c r="AW42" s="37" t="s">
        <v>1989</v>
      </c>
      <c r="AX42" s="37" t="s">
        <v>1989</v>
      </c>
      <c r="AY42" s="37" t="s">
        <v>1989</v>
      </c>
      <c r="AZ42" s="37" t="s">
        <v>1989</v>
      </c>
      <c r="BA42" s="37" t="s">
        <v>1989</v>
      </c>
      <c r="BB42" s="37" t="s">
        <v>1989</v>
      </c>
      <c r="BC42" s="37" t="s">
        <v>1989</v>
      </c>
      <c r="BD42" s="37" t="s">
        <v>1989</v>
      </c>
      <c r="BE42" s="37"/>
      <c r="BF42" s="37"/>
      <c r="BG42" s="37"/>
      <c r="BH42" s="37"/>
      <c r="BI42" s="37"/>
      <c r="BJ42" s="37"/>
      <c r="BK42" s="37" t="s">
        <v>1989</v>
      </c>
      <c r="BL42" s="37" t="s">
        <v>1989</v>
      </c>
      <c r="BM42" s="37" t="s">
        <v>1989</v>
      </c>
      <c r="BN42" s="37" t="s">
        <v>1989</v>
      </c>
      <c r="BO42" s="37" t="s">
        <v>1989</v>
      </c>
      <c r="BP42" s="37" t="s">
        <v>1989</v>
      </c>
      <c r="BQ42" s="37" t="s">
        <v>1989</v>
      </c>
      <c r="BR42" s="37" t="s">
        <v>1989</v>
      </c>
      <c r="BS42" s="37" t="s">
        <v>1989</v>
      </c>
      <c r="BT42" s="37" t="s">
        <v>1989</v>
      </c>
      <c r="BU42" s="37" t="s">
        <v>1989</v>
      </c>
      <c r="BV42" s="37" t="s">
        <v>1989</v>
      </c>
      <c r="BW42" s="37" t="s">
        <v>1989</v>
      </c>
    </row>
    <row r="43" spans="1:75" ht="15" customHeight="1">
      <c r="A43" s="37" t="s">
        <v>1989</v>
      </c>
      <c r="B43" s="37" t="s">
        <v>1989</v>
      </c>
      <c r="C43" s="37" t="s">
        <v>1989</v>
      </c>
      <c r="D43" s="37" t="s">
        <v>1989</v>
      </c>
      <c r="E43" s="37" t="s">
        <v>1989</v>
      </c>
      <c r="F43" s="37" t="s">
        <v>1989</v>
      </c>
      <c r="G43" s="37" t="s">
        <v>1989</v>
      </c>
      <c r="H43" s="37" t="s">
        <v>1989</v>
      </c>
      <c r="I43" s="37" t="s">
        <v>1989</v>
      </c>
      <c r="J43" s="37" t="s">
        <v>1989</v>
      </c>
      <c r="K43" s="37" t="s">
        <v>1989</v>
      </c>
      <c r="L43" s="37" t="s">
        <v>1989</v>
      </c>
      <c r="M43" s="37"/>
      <c r="N43" s="37"/>
      <c r="O43" s="37" t="s">
        <v>1989</v>
      </c>
      <c r="P43" s="37" t="s">
        <v>1989</v>
      </c>
      <c r="Q43" s="37" t="s">
        <v>1989</v>
      </c>
      <c r="R43" s="37" t="s">
        <v>1989</v>
      </c>
      <c r="S43" s="37" t="s">
        <v>1989</v>
      </c>
      <c r="T43" s="37" t="s">
        <v>1989</v>
      </c>
      <c r="U43" s="37" t="s">
        <v>1989</v>
      </c>
      <c r="V43" s="37" t="s">
        <v>1989</v>
      </c>
      <c r="W43" s="37"/>
      <c r="X43" s="37"/>
      <c r="Y43" s="37"/>
      <c r="Z43" s="37"/>
      <c r="AA43" s="37"/>
      <c r="AB43" s="37"/>
      <c r="AC43" s="37"/>
      <c r="AD43" s="37"/>
      <c r="AE43" s="37"/>
      <c r="AF43" s="37"/>
      <c r="AG43" s="37" t="s">
        <v>1989</v>
      </c>
      <c r="AH43" s="37" t="s">
        <v>1989</v>
      </c>
      <c r="AI43" s="37"/>
      <c r="AJ43" s="37"/>
      <c r="AK43" s="37"/>
      <c r="AL43" s="37"/>
      <c r="AM43" s="37"/>
      <c r="AN43" s="37"/>
      <c r="AO43" s="37"/>
      <c r="AP43" s="37"/>
      <c r="AQ43" s="37"/>
      <c r="AR43" s="37"/>
      <c r="AS43" s="37"/>
      <c r="AT43" s="37"/>
      <c r="AU43" s="37" t="s">
        <v>1989</v>
      </c>
      <c r="AV43" s="37" t="s">
        <v>1989</v>
      </c>
      <c r="AW43" s="37" t="s">
        <v>1989</v>
      </c>
      <c r="AX43" s="37" t="s">
        <v>1989</v>
      </c>
      <c r="AY43" s="37" t="s">
        <v>1989</v>
      </c>
      <c r="AZ43" s="37" t="s">
        <v>1989</v>
      </c>
      <c r="BA43" s="37" t="s">
        <v>1989</v>
      </c>
      <c r="BB43" s="37" t="s">
        <v>1989</v>
      </c>
      <c r="BC43" s="37" t="s">
        <v>1989</v>
      </c>
      <c r="BD43" s="37" t="s">
        <v>1989</v>
      </c>
      <c r="BE43" s="37"/>
      <c r="BF43" s="37"/>
      <c r="BG43" s="37"/>
      <c r="BH43" s="37"/>
      <c r="BI43" s="37"/>
      <c r="BJ43" s="37"/>
      <c r="BK43" s="37" t="s">
        <v>1989</v>
      </c>
      <c r="BL43" s="37" t="s">
        <v>1989</v>
      </c>
      <c r="BM43" s="37" t="s">
        <v>1989</v>
      </c>
      <c r="BN43" s="37" t="s">
        <v>1989</v>
      </c>
      <c r="BO43" s="37" t="s">
        <v>1989</v>
      </c>
      <c r="BP43" s="37" t="s">
        <v>1989</v>
      </c>
      <c r="BQ43" s="37" t="s">
        <v>1989</v>
      </c>
      <c r="BR43" s="37" t="s">
        <v>1989</v>
      </c>
      <c r="BS43" s="37" t="s">
        <v>1989</v>
      </c>
      <c r="BT43" s="37" t="s">
        <v>1989</v>
      </c>
      <c r="BU43" s="37" t="s">
        <v>1989</v>
      </c>
      <c r="BV43" s="37" t="s">
        <v>1989</v>
      </c>
      <c r="BW43" s="37" t="s">
        <v>1989</v>
      </c>
    </row>
    <row r="44" spans="1:75" ht="15" customHeight="1">
      <c r="A44" s="37" t="s">
        <v>1989</v>
      </c>
      <c r="B44" s="37" t="s">
        <v>1989</v>
      </c>
      <c r="C44" s="37" t="s">
        <v>1989</v>
      </c>
      <c r="D44" s="37" t="s">
        <v>1989</v>
      </c>
      <c r="E44" s="37" t="s">
        <v>1989</v>
      </c>
      <c r="F44" s="37" t="s">
        <v>1989</v>
      </c>
      <c r="G44" s="37" t="s">
        <v>1989</v>
      </c>
      <c r="H44" s="37" t="s">
        <v>1989</v>
      </c>
      <c r="I44" s="37" t="s">
        <v>1989</v>
      </c>
      <c r="J44" s="37"/>
      <c r="K44" s="37"/>
      <c r="L44" s="37"/>
      <c r="M44" s="37"/>
      <c r="N44" s="37"/>
      <c r="O44" s="37"/>
      <c r="P44" s="37"/>
      <c r="Q44" s="37"/>
      <c r="R44" s="37"/>
      <c r="S44" s="37"/>
      <c r="T44" s="37"/>
      <c r="U44" s="37" t="s">
        <v>1989</v>
      </c>
      <c r="V44" s="37" t="s">
        <v>1989</v>
      </c>
      <c r="W44" s="37" t="s">
        <v>1989</v>
      </c>
      <c r="X44" s="37" t="s">
        <v>1989</v>
      </c>
      <c r="Y44" s="37" t="s">
        <v>1989</v>
      </c>
      <c r="Z44" s="37" t="s">
        <v>1989</v>
      </c>
      <c r="AA44" s="37"/>
      <c r="AB44" s="37"/>
      <c r="AC44" s="37" t="s">
        <v>1989</v>
      </c>
      <c r="AD44" s="37" t="s">
        <v>1989</v>
      </c>
      <c r="AE44" s="37" t="s">
        <v>1989</v>
      </c>
      <c r="AF44" s="37" t="s">
        <v>1989</v>
      </c>
      <c r="AG44" s="37" t="s">
        <v>1989</v>
      </c>
      <c r="AH44" s="37" t="s">
        <v>1989</v>
      </c>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c r="BJ44" s="37"/>
      <c r="BK44" s="37" t="s">
        <v>1989</v>
      </c>
      <c r="BL44" s="37" t="s">
        <v>1989</v>
      </c>
      <c r="BM44" s="37"/>
      <c r="BN44" s="37"/>
      <c r="BO44" s="37"/>
      <c r="BP44" s="37"/>
      <c r="BQ44" s="37" t="s">
        <v>1989</v>
      </c>
      <c r="BR44" s="37" t="s">
        <v>1989</v>
      </c>
      <c r="BS44" s="37" t="s">
        <v>1989</v>
      </c>
      <c r="BT44" s="37" t="s">
        <v>1989</v>
      </c>
      <c r="BU44" s="37" t="s">
        <v>1989</v>
      </c>
      <c r="BV44" s="37" t="s">
        <v>1989</v>
      </c>
      <c r="BW44" s="37" t="s">
        <v>1989</v>
      </c>
    </row>
    <row r="45" spans="1:75" ht="15" customHeight="1">
      <c r="A45" s="37" t="s">
        <v>1989</v>
      </c>
      <c r="B45" s="37" t="s">
        <v>1989</v>
      </c>
      <c r="C45" s="37" t="s">
        <v>1989</v>
      </c>
      <c r="D45" s="37" t="s">
        <v>1989</v>
      </c>
      <c r="E45" s="37" t="s">
        <v>1989</v>
      </c>
      <c r="F45" s="37" t="s">
        <v>1989</v>
      </c>
      <c r="G45" s="37" t="s">
        <v>1989</v>
      </c>
      <c r="H45" s="37" t="s">
        <v>1989</v>
      </c>
      <c r="I45" s="37"/>
      <c r="J45" s="37"/>
      <c r="K45" s="37"/>
      <c r="L45" s="37"/>
      <c r="M45" s="37"/>
      <c r="N45" s="37"/>
      <c r="O45" s="37"/>
      <c r="P45" s="37"/>
      <c r="Q45" s="37"/>
      <c r="R45" s="37"/>
      <c r="S45" s="37"/>
      <c r="T45" s="37"/>
      <c r="U45" s="37" t="s">
        <v>1989</v>
      </c>
      <c r="V45" s="37" t="s">
        <v>1989</v>
      </c>
      <c r="W45" s="37" t="s">
        <v>1989</v>
      </c>
      <c r="X45" s="37" t="s">
        <v>1989</v>
      </c>
      <c r="Y45" s="37" t="s">
        <v>1989</v>
      </c>
      <c r="Z45" s="37" t="s">
        <v>1989</v>
      </c>
      <c r="AA45" s="37"/>
      <c r="AB45" s="37"/>
      <c r="AC45" s="37" t="s">
        <v>1989</v>
      </c>
      <c r="AD45" s="37" t="s">
        <v>1989</v>
      </c>
      <c r="AE45" s="37" t="s">
        <v>1989</v>
      </c>
      <c r="AF45" s="37" t="s">
        <v>1989</v>
      </c>
      <c r="AG45" s="37" t="s">
        <v>1989</v>
      </c>
      <c r="AH45" s="37" t="s">
        <v>1989</v>
      </c>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c r="BJ45" s="37"/>
      <c r="BK45" s="37" t="s">
        <v>1989</v>
      </c>
      <c r="BL45" s="37" t="s">
        <v>1989</v>
      </c>
      <c r="BM45" s="37"/>
      <c r="BN45" s="37"/>
      <c r="BO45" s="37"/>
      <c r="BP45" s="37"/>
      <c r="BQ45" s="37" t="s">
        <v>1989</v>
      </c>
      <c r="BR45" s="37" t="s">
        <v>1989</v>
      </c>
      <c r="BS45" s="37" t="s">
        <v>1989</v>
      </c>
      <c r="BT45" s="37" t="s">
        <v>1989</v>
      </c>
      <c r="BU45" s="37" t="s">
        <v>1989</v>
      </c>
      <c r="BV45" s="37" t="s">
        <v>1989</v>
      </c>
      <c r="BW45" s="37" t="s">
        <v>1989</v>
      </c>
    </row>
    <row r="46" spans="1:75" ht="15" customHeight="1">
      <c r="A46" s="37" t="s">
        <v>1989</v>
      </c>
      <c r="B46" s="37" t="s">
        <v>1989</v>
      </c>
      <c r="C46" s="37" t="s">
        <v>1989</v>
      </c>
      <c r="D46" s="37" t="s">
        <v>1989</v>
      </c>
      <c r="E46" s="37" t="s">
        <v>1989</v>
      </c>
      <c r="F46" s="37" t="s">
        <v>1989</v>
      </c>
      <c r="G46" s="37" t="s">
        <v>1989</v>
      </c>
      <c r="H46" s="37" t="s">
        <v>1989</v>
      </c>
      <c r="I46" s="37"/>
      <c r="J46" s="37"/>
      <c r="K46" s="37"/>
      <c r="L46" s="37"/>
      <c r="M46" s="37"/>
      <c r="N46" s="37"/>
      <c r="O46" s="37" t="s">
        <v>1989</v>
      </c>
      <c r="P46" s="37" t="s">
        <v>1989</v>
      </c>
      <c r="Q46" s="37" t="s">
        <v>1989</v>
      </c>
      <c r="R46" s="37" t="s">
        <v>1989</v>
      </c>
      <c r="S46" s="37"/>
      <c r="T46" s="37"/>
      <c r="U46" s="37"/>
      <c r="V46" s="37"/>
      <c r="W46" s="37" t="s">
        <v>1989</v>
      </c>
      <c r="X46" s="37" t="s">
        <v>1989</v>
      </c>
      <c r="Y46" s="37" t="s">
        <v>1989</v>
      </c>
      <c r="Z46" s="37" t="s">
        <v>1989</v>
      </c>
      <c r="AA46" s="37"/>
      <c r="AB46" s="37"/>
      <c r="AC46" s="37" t="s">
        <v>1989</v>
      </c>
      <c r="AD46" s="37" t="s">
        <v>1989</v>
      </c>
      <c r="AE46" s="37" t="s">
        <v>1989</v>
      </c>
      <c r="AF46" s="37" t="s">
        <v>1989</v>
      </c>
      <c r="AG46" s="37" t="s">
        <v>1989</v>
      </c>
      <c r="AH46" s="37" t="s">
        <v>1989</v>
      </c>
      <c r="AI46" s="37" t="s">
        <v>1989</v>
      </c>
      <c r="AJ46" s="37" t="s">
        <v>1989</v>
      </c>
      <c r="AK46" s="37" t="s">
        <v>1989</v>
      </c>
      <c r="AL46" s="37" t="s">
        <v>1989</v>
      </c>
      <c r="AM46" s="37" t="s">
        <v>1989</v>
      </c>
      <c r="AN46" s="37" t="s">
        <v>1989</v>
      </c>
      <c r="AO46" s="37" t="s">
        <v>1989</v>
      </c>
      <c r="AP46" s="37" t="s">
        <v>1989</v>
      </c>
      <c r="AQ46" s="37" t="s">
        <v>1989</v>
      </c>
      <c r="AR46" s="37" t="s">
        <v>1989</v>
      </c>
      <c r="AS46" s="37" t="s">
        <v>1989</v>
      </c>
      <c r="AT46" s="37" t="s">
        <v>1989</v>
      </c>
      <c r="AU46" s="37"/>
      <c r="AV46" s="37"/>
      <c r="AW46" s="37"/>
      <c r="AX46" s="37"/>
      <c r="AY46" s="37"/>
      <c r="AZ46" s="37"/>
      <c r="BA46" s="37"/>
      <c r="BB46" s="37"/>
      <c r="BC46" s="37"/>
      <c r="BD46" s="37"/>
      <c r="BE46" s="37"/>
      <c r="BF46" s="37"/>
      <c r="BG46" s="37"/>
      <c r="BH46" s="37"/>
      <c r="BI46" s="37"/>
      <c r="BJ46" s="37"/>
      <c r="BK46" s="37" t="s">
        <v>1989</v>
      </c>
      <c r="BL46" s="37" t="s">
        <v>1989</v>
      </c>
      <c r="BM46" s="37"/>
      <c r="BN46" s="37"/>
      <c r="BO46" s="37"/>
      <c r="BP46" s="37"/>
      <c r="BQ46" s="37" t="s">
        <v>1989</v>
      </c>
      <c r="BR46" s="37" t="s">
        <v>1989</v>
      </c>
      <c r="BS46" s="37" t="s">
        <v>1989</v>
      </c>
      <c r="BT46" s="37" t="s">
        <v>1989</v>
      </c>
      <c r="BU46" s="37" t="s">
        <v>1989</v>
      </c>
      <c r="BV46" s="37" t="s">
        <v>1989</v>
      </c>
      <c r="BW46" s="37" t="s">
        <v>1989</v>
      </c>
    </row>
    <row r="47" spans="1:75" ht="15" customHeight="1">
      <c r="A47" s="37" t="s">
        <v>1989</v>
      </c>
      <c r="B47" s="37" t="s">
        <v>1989</v>
      </c>
      <c r="C47" s="37" t="s">
        <v>1989</v>
      </c>
      <c r="D47" s="37" t="s">
        <v>1989</v>
      </c>
      <c r="E47" s="37" t="s">
        <v>1989</v>
      </c>
      <c r="F47" s="37" t="s">
        <v>1989</v>
      </c>
      <c r="G47" s="37" t="s">
        <v>1989</v>
      </c>
      <c r="H47" s="37" t="s">
        <v>1989</v>
      </c>
      <c r="I47" s="37"/>
      <c r="J47" s="37"/>
      <c r="K47" s="37"/>
      <c r="L47" s="37"/>
      <c r="M47" s="37"/>
      <c r="N47" s="37"/>
      <c r="O47" s="37" t="s">
        <v>1989</v>
      </c>
      <c r="P47" s="37" t="s">
        <v>1989</v>
      </c>
      <c r="Q47" s="37" t="s">
        <v>1989</v>
      </c>
      <c r="R47" s="37" t="s">
        <v>1989</v>
      </c>
      <c r="S47" s="37"/>
      <c r="T47" s="37"/>
      <c r="U47" s="37"/>
      <c r="V47" s="37"/>
      <c r="W47" s="37" t="s">
        <v>1989</v>
      </c>
      <c r="X47" s="37" t="s">
        <v>1989</v>
      </c>
      <c r="Y47" s="37" t="s">
        <v>1989</v>
      </c>
      <c r="Z47" s="37" t="s">
        <v>1989</v>
      </c>
      <c r="AA47" s="37"/>
      <c r="AB47" s="37"/>
      <c r="AC47" s="37" t="s">
        <v>1989</v>
      </c>
      <c r="AD47" s="37" t="s">
        <v>1989</v>
      </c>
      <c r="AE47" s="37" t="s">
        <v>1989</v>
      </c>
      <c r="AF47" s="37" t="s">
        <v>1989</v>
      </c>
      <c r="AG47" s="37" t="s">
        <v>1989</v>
      </c>
      <c r="AH47" s="37" t="s">
        <v>1989</v>
      </c>
      <c r="AI47" s="37" t="s">
        <v>1989</v>
      </c>
      <c r="AJ47" s="37" t="s">
        <v>1989</v>
      </c>
      <c r="AK47" s="37" t="s">
        <v>1989</v>
      </c>
      <c r="AL47" s="37" t="s">
        <v>1989</v>
      </c>
      <c r="AM47" s="37" t="s">
        <v>1989</v>
      </c>
      <c r="AN47" s="37" t="s">
        <v>1989</v>
      </c>
      <c r="AO47" s="37" t="s">
        <v>1989</v>
      </c>
      <c r="AP47" s="37" t="s">
        <v>1989</v>
      </c>
      <c r="AQ47" s="37" t="s">
        <v>1989</v>
      </c>
      <c r="AR47" s="37" t="s">
        <v>1989</v>
      </c>
      <c r="AS47" s="37" t="s">
        <v>1989</v>
      </c>
      <c r="AT47" s="37" t="s">
        <v>1989</v>
      </c>
      <c r="AU47" s="37"/>
      <c r="AV47" s="37"/>
      <c r="AW47" s="37"/>
      <c r="AX47" s="37"/>
      <c r="AY47" s="37"/>
      <c r="AZ47" s="37"/>
      <c r="BA47" s="37"/>
      <c r="BB47" s="37"/>
      <c r="BC47" s="37"/>
      <c r="BD47" s="37"/>
      <c r="BE47" s="37"/>
      <c r="BF47" s="37"/>
      <c r="BG47" s="37"/>
      <c r="BH47" s="37"/>
      <c r="BI47" s="37"/>
      <c r="BJ47" s="37"/>
      <c r="BK47" s="37" t="s">
        <v>1989</v>
      </c>
      <c r="BL47" s="37" t="s">
        <v>1989</v>
      </c>
      <c r="BM47" s="37"/>
      <c r="BN47" s="37"/>
      <c r="BO47" s="37"/>
      <c r="BP47" s="37"/>
      <c r="BQ47" s="37" t="s">
        <v>1989</v>
      </c>
      <c r="BR47" s="37" t="s">
        <v>1989</v>
      </c>
      <c r="BS47" s="37" t="s">
        <v>1989</v>
      </c>
      <c r="BT47" s="37" t="s">
        <v>1989</v>
      </c>
      <c r="BU47" s="37" t="s">
        <v>1989</v>
      </c>
      <c r="BV47" s="37" t="s">
        <v>1989</v>
      </c>
      <c r="BW47" s="37" t="s">
        <v>1989</v>
      </c>
    </row>
    <row r="48" spans="1:75" ht="15" customHeight="1">
      <c r="A48" s="37" t="s">
        <v>1989</v>
      </c>
      <c r="B48" s="37" t="s">
        <v>1989</v>
      </c>
      <c r="C48" s="37" t="s">
        <v>1989</v>
      </c>
      <c r="D48" s="37" t="s">
        <v>1989</v>
      </c>
      <c r="E48" s="37" t="s">
        <v>1989</v>
      </c>
      <c r="F48" s="37" t="s">
        <v>1989</v>
      </c>
      <c r="G48" s="37" t="s">
        <v>1989</v>
      </c>
      <c r="H48" s="37" t="s">
        <v>1989</v>
      </c>
      <c r="I48" s="37" t="s">
        <v>1989</v>
      </c>
      <c r="J48" s="37" t="s">
        <v>1989</v>
      </c>
      <c r="K48" s="37"/>
      <c r="L48" s="37"/>
      <c r="M48" s="37" t="s">
        <v>1989</v>
      </c>
      <c r="N48" s="37" t="s">
        <v>1989</v>
      </c>
      <c r="O48" s="37" t="s">
        <v>1989</v>
      </c>
      <c r="P48" s="37" t="s">
        <v>1989</v>
      </c>
      <c r="Q48" s="37" t="s">
        <v>1989</v>
      </c>
      <c r="R48" s="37" t="s">
        <v>1989</v>
      </c>
      <c r="S48" s="37"/>
      <c r="T48" s="37"/>
      <c r="U48" s="37"/>
      <c r="V48" s="37"/>
      <c r="W48" s="37" t="s">
        <v>1989</v>
      </c>
      <c r="X48" s="37" t="s">
        <v>1989</v>
      </c>
      <c r="Y48" s="37" t="s">
        <v>1989</v>
      </c>
      <c r="Z48" s="37" t="s">
        <v>1989</v>
      </c>
      <c r="AA48" s="37"/>
      <c r="AB48" s="37"/>
      <c r="AC48" s="37" t="s">
        <v>1989</v>
      </c>
      <c r="AD48" s="37" t="s">
        <v>1989</v>
      </c>
      <c r="AE48" s="37" t="s">
        <v>1989</v>
      </c>
      <c r="AF48" s="37" t="s">
        <v>1989</v>
      </c>
      <c r="AG48" s="37" t="s">
        <v>1989</v>
      </c>
      <c r="AH48" s="37" t="s">
        <v>1989</v>
      </c>
      <c r="AI48" s="37" t="s">
        <v>1989</v>
      </c>
      <c r="AJ48" s="37" t="s">
        <v>1989</v>
      </c>
      <c r="AK48" s="37" t="s">
        <v>1989</v>
      </c>
      <c r="AL48" s="37" t="s">
        <v>1989</v>
      </c>
      <c r="AM48" s="37" t="s">
        <v>1989</v>
      </c>
      <c r="AN48" s="37" t="s">
        <v>1989</v>
      </c>
      <c r="AO48" s="37" t="s">
        <v>1989</v>
      </c>
      <c r="AP48" s="37" t="s">
        <v>1989</v>
      </c>
      <c r="AQ48" s="37" t="s">
        <v>1989</v>
      </c>
      <c r="AR48" s="37" t="s">
        <v>1989</v>
      </c>
      <c r="AS48" s="37" t="s">
        <v>1989</v>
      </c>
      <c r="AT48" s="37" t="s">
        <v>1989</v>
      </c>
      <c r="AU48" s="37"/>
      <c r="AV48" s="37"/>
      <c r="AW48" s="37"/>
      <c r="AX48" s="37"/>
      <c r="AY48" s="37"/>
      <c r="AZ48" s="37"/>
      <c r="BA48" s="37"/>
      <c r="BB48" s="37"/>
      <c r="BC48" s="37"/>
      <c r="BD48" s="37"/>
      <c r="BE48" s="37"/>
      <c r="BF48" s="37"/>
      <c r="BG48" s="37"/>
      <c r="BH48" s="37"/>
      <c r="BI48" s="37"/>
      <c r="BJ48" s="37"/>
      <c r="BK48" s="37"/>
      <c r="BL48" s="37"/>
      <c r="BM48" s="37"/>
      <c r="BN48" s="37"/>
      <c r="BO48" s="37"/>
      <c r="BP48" s="37"/>
      <c r="BQ48" s="37" t="s">
        <v>1989</v>
      </c>
      <c r="BR48" s="37" t="s">
        <v>1989</v>
      </c>
      <c r="BS48" s="37" t="s">
        <v>1989</v>
      </c>
      <c r="BT48" s="37" t="s">
        <v>1989</v>
      </c>
      <c r="BU48" s="37" t="s">
        <v>1989</v>
      </c>
      <c r="BV48" s="37" t="s">
        <v>1989</v>
      </c>
      <c r="BW48" s="37" t="s">
        <v>1989</v>
      </c>
    </row>
    <row r="49" spans="1:75" ht="15" customHeight="1">
      <c r="A49" s="37" t="s">
        <v>1989</v>
      </c>
      <c r="B49" s="37" t="s">
        <v>1989</v>
      </c>
      <c r="C49" s="37" t="s">
        <v>1989</v>
      </c>
      <c r="D49" s="37" t="s">
        <v>1989</v>
      </c>
      <c r="E49" s="37" t="s">
        <v>1989</v>
      </c>
      <c r="F49" s="37" t="s">
        <v>1989</v>
      </c>
      <c r="G49" s="37" t="s">
        <v>1989</v>
      </c>
      <c r="H49" s="37" t="s">
        <v>1989</v>
      </c>
      <c r="I49" s="37" t="s">
        <v>1989</v>
      </c>
      <c r="J49" s="37" t="s">
        <v>1989</v>
      </c>
      <c r="K49" s="37"/>
      <c r="L49" s="37"/>
      <c r="M49" s="37" t="s">
        <v>1989</v>
      </c>
      <c r="N49" s="37" t="s">
        <v>1989</v>
      </c>
      <c r="O49" s="37" t="s">
        <v>1989</v>
      </c>
      <c r="P49" s="37" t="s">
        <v>1989</v>
      </c>
      <c r="Q49" s="37" t="s">
        <v>1989</v>
      </c>
      <c r="R49" s="37" t="s">
        <v>1989</v>
      </c>
      <c r="S49" s="37"/>
      <c r="T49" s="37"/>
      <c r="U49" s="37"/>
      <c r="V49" s="37"/>
      <c r="W49" s="37" t="s">
        <v>1989</v>
      </c>
      <c r="X49" s="37" t="s">
        <v>1989</v>
      </c>
      <c r="Y49" s="37" t="s">
        <v>1989</v>
      </c>
      <c r="Z49" s="37" t="s">
        <v>1989</v>
      </c>
      <c r="AA49" s="37"/>
      <c r="AB49" s="37"/>
      <c r="AC49" s="37" t="s">
        <v>1989</v>
      </c>
      <c r="AD49" s="37" t="s">
        <v>1989</v>
      </c>
      <c r="AE49" s="37" t="s">
        <v>1989</v>
      </c>
      <c r="AF49" s="37" t="s">
        <v>1989</v>
      </c>
      <c r="AG49" s="37" t="s">
        <v>1989</v>
      </c>
      <c r="AH49" s="37" t="s">
        <v>1989</v>
      </c>
      <c r="AI49" s="37" t="s">
        <v>1989</v>
      </c>
      <c r="AJ49" s="37" t="s">
        <v>1989</v>
      </c>
      <c r="AK49" s="37" t="s">
        <v>1989</v>
      </c>
      <c r="AL49" s="37" t="s">
        <v>1989</v>
      </c>
      <c r="AM49" s="37" t="s">
        <v>1989</v>
      </c>
      <c r="AN49" s="37" t="s">
        <v>1989</v>
      </c>
      <c r="AO49" s="37" t="s">
        <v>1989</v>
      </c>
      <c r="AP49" s="37" t="s">
        <v>1989</v>
      </c>
      <c r="AQ49" s="37" t="s">
        <v>1989</v>
      </c>
      <c r="AR49" s="37" t="s">
        <v>1989</v>
      </c>
      <c r="AS49" s="37" t="s">
        <v>1989</v>
      </c>
      <c r="AT49" s="37" t="s">
        <v>1989</v>
      </c>
      <c r="AU49" s="37"/>
      <c r="AV49" s="37"/>
      <c r="AW49" s="37"/>
      <c r="AX49" s="37"/>
      <c r="AY49" s="37"/>
      <c r="AZ49" s="37"/>
      <c r="BA49" s="37"/>
      <c r="BB49" s="37"/>
      <c r="BC49" s="37"/>
      <c r="BD49" s="37"/>
      <c r="BE49" s="37"/>
      <c r="BF49" s="37"/>
      <c r="BG49" s="37"/>
      <c r="BH49" s="37"/>
      <c r="BI49" s="37"/>
      <c r="BJ49" s="37"/>
      <c r="BK49" s="37"/>
      <c r="BL49" s="37"/>
      <c r="BM49" s="37"/>
      <c r="BN49" s="37"/>
      <c r="BO49" s="37"/>
      <c r="BP49" s="37"/>
      <c r="BQ49" s="37" t="s">
        <v>1989</v>
      </c>
      <c r="BR49" s="37" t="s">
        <v>1989</v>
      </c>
      <c r="BS49" s="37" t="s">
        <v>1989</v>
      </c>
      <c r="BT49" s="37" t="s">
        <v>1989</v>
      </c>
      <c r="BU49" s="37" t="s">
        <v>1989</v>
      </c>
      <c r="BV49" s="37" t="s">
        <v>1989</v>
      </c>
      <c r="BW49" s="37" t="s">
        <v>1989</v>
      </c>
    </row>
    <row r="50" spans="1:75" ht="15" customHeight="1">
      <c r="A50" s="37" t="s">
        <v>1989</v>
      </c>
      <c r="B50" s="37" t="s">
        <v>1989</v>
      </c>
      <c r="C50" s="37" t="s">
        <v>1989</v>
      </c>
      <c r="D50" s="37" t="s">
        <v>1989</v>
      </c>
      <c r="E50" s="37" t="s">
        <v>1989</v>
      </c>
      <c r="F50" s="37" t="s">
        <v>1989</v>
      </c>
      <c r="G50" s="37" t="s">
        <v>1989</v>
      </c>
      <c r="H50" s="37" t="s">
        <v>1989</v>
      </c>
      <c r="I50" s="37" t="s">
        <v>1989</v>
      </c>
      <c r="J50" s="37" t="s">
        <v>1989</v>
      </c>
      <c r="K50" s="37"/>
      <c r="L50" s="37"/>
      <c r="M50" s="37"/>
      <c r="N50" s="37"/>
      <c r="O50" s="37" t="s">
        <v>1989</v>
      </c>
      <c r="P50" s="37" t="s">
        <v>1989</v>
      </c>
      <c r="Q50" s="37" t="s">
        <v>1989</v>
      </c>
      <c r="R50" s="37" t="s">
        <v>1989</v>
      </c>
      <c r="S50" s="37" t="s">
        <v>1989</v>
      </c>
      <c r="T50" s="37" t="s">
        <v>1989</v>
      </c>
      <c r="U50" s="37"/>
      <c r="V50" s="37"/>
      <c r="W50" s="37"/>
      <c r="X50" s="37"/>
      <c r="Y50" s="37" t="s">
        <v>1989</v>
      </c>
      <c r="Z50" s="37" t="s">
        <v>1989</v>
      </c>
      <c r="AA50" s="37"/>
      <c r="AB50" s="37"/>
      <c r="AC50" s="37" t="s">
        <v>1989</v>
      </c>
      <c r="AD50" s="37" t="s">
        <v>1989</v>
      </c>
      <c r="AE50" s="37"/>
      <c r="AF50" s="37"/>
      <c r="AG50" s="37" t="s">
        <v>1989</v>
      </c>
      <c r="AH50" s="37" t="s">
        <v>1989</v>
      </c>
      <c r="AI50" s="37" t="s">
        <v>1989</v>
      </c>
      <c r="AJ50" s="37" t="s">
        <v>1989</v>
      </c>
      <c r="AK50" s="37"/>
      <c r="AL50" s="37"/>
      <c r="AM50" s="37"/>
      <c r="AN50" s="37"/>
      <c r="AO50" s="37" t="s">
        <v>1989</v>
      </c>
      <c r="AP50" s="37" t="s">
        <v>1989</v>
      </c>
      <c r="AQ50" s="37" t="s">
        <v>1989</v>
      </c>
      <c r="AR50" s="37" t="s">
        <v>1989</v>
      </c>
      <c r="AS50" s="37" t="s">
        <v>1989</v>
      </c>
      <c r="AT50" s="37" t="s">
        <v>1989</v>
      </c>
      <c r="AU50" s="37"/>
      <c r="AV50" s="37"/>
      <c r="AW50" s="37" t="s">
        <v>1989</v>
      </c>
      <c r="AX50" s="37" t="s">
        <v>1989</v>
      </c>
      <c r="AY50" s="37" t="s">
        <v>1989</v>
      </c>
      <c r="AZ50" s="37" t="s">
        <v>1989</v>
      </c>
      <c r="BA50" s="37"/>
      <c r="BB50" s="37"/>
      <c r="BC50" s="37" t="s">
        <v>1989</v>
      </c>
      <c r="BD50" s="37" t="s">
        <v>1989</v>
      </c>
      <c r="BE50" s="37" t="s">
        <v>1989</v>
      </c>
      <c r="BF50" s="37" t="s">
        <v>1989</v>
      </c>
      <c r="BG50" s="37" t="s">
        <v>1989</v>
      </c>
      <c r="BH50" s="37" t="s">
        <v>1989</v>
      </c>
      <c r="BI50" s="37" t="s">
        <v>1989</v>
      </c>
      <c r="BJ50" s="37" t="s">
        <v>1989</v>
      </c>
      <c r="BK50" s="37" t="s">
        <v>1989</v>
      </c>
      <c r="BL50" s="37" t="s">
        <v>1989</v>
      </c>
      <c r="BM50" s="37"/>
      <c r="BN50" s="37"/>
      <c r="BO50" s="37"/>
      <c r="BP50" s="37"/>
      <c r="BQ50" s="37" t="s">
        <v>1989</v>
      </c>
      <c r="BR50" s="37" t="s">
        <v>1989</v>
      </c>
      <c r="BS50" s="37" t="s">
        <v>1989</v>
      </c>
      <c r="BT50" s="37" t="s">
        <v>1989</v>
      </c>
      <c r="BU50" s="37" t="s">
        <v>1989</v>
      </c>
      <c r="BV50" s="37" t="s">
        <v>1989</v>
      </c>
      <c r="BW50" s="37" t="s">
        <v>1989</v>
      </c>
    </row>
    <row r="51" spans="1:75" ht="15" customHeight="1">
      <c r="A51" s="37" t="s">
        <v>1989</v>
      </c>
      <c r="B51" s="37" t="s">
        <v>1989</v>
      </c>
      <c r="C51" s="37" t="s">
        <v>1989</v>
      </c>
      <c r="D51" s="37" t="s">
        <v>1989</v>
      </c>
      <c r="E51" s="37" t="s">
        <v>1989</v>
      </c>
      <c r="F51" s="37" t="s">
        <v>1989</v>
      </c>
      <c r="G51" s="37" t="s">
        <v>1989</v>
      </c>
      <c r="H51" s="37" t="s">
        <v>1989</v>
      </c>
      <c r="I51" s="37" t="s">
        <v>1989</v>
      </c>
      <c r="J51" s="37" t="s">
        <v>1989</v>
      </c>
      <c r="K51" s="37"/>
      <c r="L51" s="37"/>
      <c r="M51" s="37"/>
      <c r="N51" s="37"/>
      <c r="O51" s="37" t="s">
        <v>1989</v>
      </c>
      <c r="P51" s="37" t="s">
        <v>1989</v>
      </c>
      <c r="Q51" s="37" t="s">
        <v>1989</v>
      </c>
      <c r="R51" s="37" t="s">
        <v>1989</v>
      </c>
      <c r="S51" s="37" t="s">
        <v>1989</v>
      </c>
      <c r="T51" s="37" t="s">
        <v>1989</v>
      </c>
      <c r="U51" s="37"/>
      <c r="V51" s="37"/>
      <c r="W51" s="37"/>
      <c r="X51" s="37"/>
      <c r="Y51" s="37" t="s">
        <v>1989</v>
      </c>
      <c r="Z51" s="37" t="s">
        <v>1989</v>
      </c>
      <c r="AA51" s="37"/>
      <c r="AB51" s="37"/>
      <c r="AC51" s="37" t="s">
        <v>1989</v>
      </c>
      <c r="AD51" s="37" t="s">
        <v>1989</v>
      </c>
      <c r="AE51" s="37"/>
      <c r="AF51" s="37"/>
      <c r="AG51" s="37" t="s">
        <v>1989</v>
      </c>
      <c r="AH51" s="37" t="s">
        <v>1989</v>
      </c>
      <c r="AI51" s="37" t="s">
        <v>1989</v>
      </c>
      <c r="AJ51" s="37" t="s">
        <v>1989</v>
      </c>
      <c r="AK51" s="37"/>
      <c r="AL51" s="37"/>
      <c r="AM51" s="37"/>
      <c r="AN51" s="37"/>
      <c r="AO51" s="37" t="s">
        <v>1989</v>
      </c>
      <c r="AP51" s="37" t="s">
        <v>1989</v>
      </c>
      <c r="AQ51" s="37" t="s">
        <v>1989</v>
      </c>
      <c r="AR51" s="37" t="s">
        <v>1989</v>
      </c>
      <c r="AS51" s="37" t="s">
        <v>1989</v>
      </c>
      <c r="AT51" s="37" t="s">
        <v>1989</v>
      </c>
      <c r="AU51" s="37"/>
      <c r="AV51" s="37"/>
      <c r="AW51" s="37" t="s">
        <v>1989</v>
      </c>
      <c r="AX51" s="37" t="s">
        <v>1989</v>
      </c>
      <c r="AY51" s="37" t="s">
        <v>1989</v>
      </c>
      <c r="AZ51" s="37" t="s">
        <v>1989</v>
      </c>
      <c r="BA51" s="37"/>
      <c r="BB51" s="37"/>
      <c r="BC51" s="37" t="s">
        <v>1989</v>
      </c>
      <c r="BD51" s="37" t="s">
        <v>1989</v>
      </c>
      <c r="BE51" s="37" t="s">
        <v>1989</v>
      </c>
      <c r="BF51" s="37" t="s">
        <v>1989</v>
      </c>
      <c r="BG51" s="37" t="s">
        <v>1989</v>
      </c>
      <c r="BH51" s="37" t="s">
        <v>1989</v>
      </c>
      <c r="BI51" s="37" t="s">
        <v>1989</v>
      </c>
      <c r="BJ51" s="37" t="s">
        <v>1989</v>
      </c>
      <c r="BK51" s="37" t="s">
        <v>1989</v>
      </c>
      <c r="BL51" s="37" t="s">
        <v>1989</v>
      </c>
      <c r="BM51" s="37"/>
      <c r="BN51" s="37"/>
      <c r="BO51" s="37"/>
      <c r="BP51" s="37"/>
      <c r="BQ51" s="37" t="s">
        <v>1989</v>
      </c>
      <c r="BR51" s="37" t="s">
        <v>1989</v>
      </c>
      <c r="BS51" s="37" t="s">
        <v>1989</v>
      </c>
      <c r="BT51" s="37" t="s">
        <v>1989</v>
      </c>
      <c r="BU51" s="37" t="s">
        <v>1989</v>
      </c>
      <c r="BV51" s="37" t="s">
        <v>1989</v>
      </c>
      <c r="BW51" s="37" t="s">
        <v>1989</v>
      </c>
    </row>
    <row r="52" spans="1:75" ht="15" customHeight="1">
      <c r="A52" s="37" t="s">
        <v>1989</v>
      </c>
      <c r="B52" s="37" t="s">
        <v>1989</v>
      </c>
      <c r="C52" s="37" t="s">
        <v>1989</v>
      </c>
      <c r="D52" s="37" t="s">
        <v>1989</v>
      </c>
      <c r="E52" s="37" t="s">
        <v>1989</v>
      </c>
      <c r="F52" s="37" t="s">
        <v>1989</v>
      </c>
      <c r="G52" s="37" t="s">
        <v>1989</v>
      </c>
      <c r="H52" s="37" t="s">
        <v>1989</v>
      </c>
      <c r="I52" s="37" t="s">
        <v>1989</v>
      </c>
      <c r="J52" s="37" t="s">
        <v>1989</v>
      </c>
      <c r="K52" s="37"/>
      <c r="L52" s="37"/>
      <c r="M52" s="37" t="s">
        <v>1989</v>
      </c>
      <c r="N52" s="37" t="s">
        <v>1989</v>
      </c>
      <c r="O52" s="37" t="s">
        <v>1989</v>
      </c>
      <c r="P52" s="37" t="s">
        <v>1989</v>
      </c>
      <c r="Q52" s="37" t="s">
        <v>1989</v>
      </c>
      <c r="R52" s="37" t="s">
        <v>1989</v>
      </c>
      <c r="S52" s="37" t="s">
        <v>1989</v>
      </c>
      <c r="T52" s="37" t="s">
        <v>1989</v>
      </c>
      <c r="U52" s="37"/>
      <c r="V52" s="37"/>
      <c r="W52" s="37"/>
      <c r="X52" s="37"/>
      <c r="Y52" s="37" t="s">
        <v>1989</v>
      </c>
      <c r="Z52" s="37" t="s">
        <v>1989</v>
      </c>
      <c r="AA52" s="37"/>
      <c r="AB52" s="37"/>
      <c r="AC52" s="37" t="s">
        <v>1989</v>
      </c>
      <c r="AD52" s="37" t="s">
        <v>1989</v>
      </c>
      <c r="AE52" s="37" t="s">
        <v>1989</v>
      </c>
      <c r="AF52" s="37"/>
      <c r="AG52" s="37" t="s">
        <v>1989</v>
      </c>
      <c r="AH52" s="37" t="s">
        <v>1989</v>
      </c>
      <c r="AI52" s="37" t="s">
        <v>1989</v>
      </c>
      <c r="AJ52" s="37" t="s">
        <v>1989</v>
      </c>
      <c r="AK52" s="37"/>
      <c r="AL52" s="37"/>
      <c r="AM52" s="37"/>
      <c r="AN52" s="37"/>
      <c r="AO52" s="37" t="s">
        <v>1989</v>
      </c>
      <c r="AP52" s="37" t="s">
        <v>1989</v>
      </c>
      <c r="AQ52" s="37" t="s">
        <v>1989</v>
      </c>
      <c r="AR52" s="37" t="s">
        <v>1989</v>
      </c>
      <c r="AS52" s="37" t="s">
        <v>1989</v>
      </c>
      <c r="AT52" s="37" t="s">
        <v>1989</v>
      </c>
      <c r="AU52" s="37"/>
      <c r="AV52" s="37"/>
      <c r="AW52" s="37"/>
      <c r="AX52" s="37"/>
      <c r="AY52" s="37"/>
      <c r="AZ52" s="37"/>
      <c r="BA52" s="37"/>
      <c r="BB52" s="37"/>
      <c r="BC52" s="37" t="s">
        <v>1989</v>
      </c>
      <c r="BD52" s="37" t="s">
        <v>1989</v>
      </c>
      <c r="BE52" s="37" t="s">
        <v>1989</v>
      </c>
      <c r="BF52" s="37" t="s">
        <v>1989</v>
      </c>
      <c r="BG52" s="37" t="s">
        <v>1989</v>
      </c>
      <c r="BH52" s="37" t="s">
        <v>1989</v>
      </c>
      <c r="BI52" s="37" t="s">
        <v>1989</v>
      </c>
      <c r="BJ52" s="37" t="s">
        <v>1989</v>
      </c>
      <c r="BK52" s="37" t="s">
        <v>1989</v>
      </c>
      <c r="BL52" s="37" t="s">
        <v>1989</v>
      </c>
      <c r="BM52" s="37"/>
      <c r="BN52" s="37"/>
      <c r="BO52" s="37"/>
      <c r="BP52" s="37"/>
      <c r="BQ52" s="37" t="s">
        <v>1989</v>
      </c>
      <c r="BR52" s="37" t="s">
        <v>1989</v>
      </c>
      <c r="BS52" s="37" t="s">
        <v>1989</v>
      </c>
      <c r="BT52" s="37" t="s">
        <v>1989</v>
      </c>
      <c r="BU52" s="37" t="s">
        <v>1989</v>
      </c>
      <c r="BV52" s="37" t="s">
        <v>1989</v>
      </c>
      <c r="BW52" s="37" t="s">
        <v>1989</v>
      </c>
    </row>
    <row r="53" spans="1:75" ht="15" customHeight="1">
      <c r="A53" s="37" t="s">
        <v>1989</v>
      </c>
      <c r="B53" s="37" t="s">
        <v>1989</v>
      </c>
      <c r="C53" s="37" t="s">
        <v>1989</v>
      </c>
      <c r="D53" s="37" t="s">
        <v>1989</v>
      </c>
      <c r="E53" s="37" t="s">
        <v>1989</v>
      </c>
      <c r="F53" s="37" t="s">
        <v>1989</v>
      </c>
      <c r="G53" s="37" t="s">
        <v>1989</v>
      </c>
      <c r="H53" s="37" t="s">
        <v>1989</v>
      </c>
      <c r="I53" s="37" t="s">
        <v>1989</v>
      </c>
      <c r="J53" s="37" t="s">
        <v>1989</v>
      </c>
      <c r="K53" s="37"/>
      <c r="L53" s="37"/>
      <c r="M53" s="37" t="s">
        <v>1989</v>
      </c>
      <c r="N53" s="37" t="s">
        <v>1989</v>
      </c>
      <c r="O53" s="37" t="s">
        <v>1989</v>
      </c>
      <c r="P53" s="37" t="s">
        <v>1989</v>
      </c>
      <c r="Q53" s="37" t="s">
        <v>1989</v>
      </c>
      <c r="R53" s="37" t="s">
        <v>1989</v>
      </c>
      <c r="S53" s="37" t="s">
        <v>1989</v>
      </c>
      <c r="T53" s="37" t="s">
        <v>1989</v>
      </c>
      <c r="U53" s="37"/>
      <c r="V53" s="37"/>
      <c r="W53" s="37"/>
      <c r="X53" s="37"/>
      <c r="Y53" s="37" t="s">
        <v>1989</v>
      </c>
      <c r="Z53" s="37" t="s">
        <v>1989</v>
      </c>
      <c r="AA53" s="37"/>
      <c r="AB53" s="37"/>
      <c r="AC53" s="37" t="s">
        <v>1989</v>
      </c>
      <c r="AD53" s="37" t="s">
        <v>1989</v>
      </c>
      <c r="AE53" s="37" t="s">
        <v>1989</v>
      </c>
      <c r="AF53" s="37"/>
      <c r="AG53" s="37" t="s">
        <v>1989</v>
      </c>
      <c r="AH53" s="37" t="s">
        <v>1989</v>
      </c>
      <c r="AI53" s="37" t="s">
        <v>1989</v>
      </c>
      <c r="AJ53" s="37" t="s">
        <v>1989</v>
      </c>
      <c r="AK53" s="37"/>
      <c r="AL53" s="37"/>
      <c r="AM53" s="37"/>
      <c r="AN53" s="37"/>
      <c r="AO53" s="37" t="s">
        <v>1989</v>
      </c>
      <c r="AP53" s="37" t="s">
        <v>1989</v>
      </c>
      <c r="AQ53" s="37" t="s">
        <v>1989</v>
      </c>
      <c r="AR53" s="37" t="s">
        <v>1989</v>
      </c>
      <c r="AS53" s="37" t="s">
        <v>1989</v>
      </c>
      <c r="AT53" s="37" t="s">
        <v>1989</v>
      </c>
      <c r="AU53" s="37"/>
      <c r="AV53" s="37"/>
      <c r="AW53" s="37"/>
      <c r="AX53" s="37"/>
      <c r="AY53" s="37"/>
      <c r="AZ53" s="37"/>
      <c r="BA53" s="37"/>
      <c r="BB53" s="37"/>
      <c r="BC53" s="37" t="s">
        <v>1989</v>
      </c>
      <c r="BD53" s="37" t="s">
        <v>1989</v>
      </c>
      <c r="BE53" s="37" t="s">
        <v>1989</v>
      </c>
      <c r="BF53" s="37" t="s">
        <v>1989</v>
      </c>
      <c r="BG53" s="37" t="s">
        <v>1989</v>
      </c>
      <c r="BH53" s="37" t="s">
        <v>1989</v>
      </c>
      <c r="BI53" s="37" t="s">
        <v>1989</v>
      </c>
      <c r="BJ53" s="37" t="s">
        <v>1989</v>
      </c>
      <c r="BK53" s="37" t="s">
        <v>1989</v>
      </c>
      <c r="BL53" s="37" t="s">
        <v>1989</v>
      </c>
      <c r="BM53" s="37"/>
      <c r="BN53" s="37"/>
      <c r="BO53" s="37"/>
      <c r="BP53" s="37"/>
      <c r="BQ53" s="37" t="s">
        <v>1989</v>
      </c>
      <c r="BR53" s="37" t="s">
        <v>1989</v>
      </c>
      <c r="BS53" s="37" t="s">
        <v>1989</v>
      </c>
      <c r="BT53" s="37" t="s">
        <v>1989</v>
      </c>
      <c r="BU53" s="37" t="s">
        <v>1989</v>
      </c>
      <c r="BV53" s="37" t="s">
        <v>1989</v>
      </c>
      <c r="BW53" s="37" t="s">
        <v>1989</v>
      </c>
    </row>
    <row r="54" spans="1:75" ht="15" customHeight="1">
      <c r="A54" s="37" t="s">
        <v>1989</v>
      </c>
      <c r="B54" s="37" t="s">
        <v>1989</v>
      </c>
      <c r="C54" s="37" t="s">
        <v>1989</v>
      </c>
      <c r="D54" s="37" t="s">
        <v>1989</v>
      </c>
      <c r="E54" s="37" t="s">
        <v>1989</v>
      </c>
      <c r="F54" s="37" t="s">
        <v>1989</v>
      </c>
      <c r="G54" s="37" t="s">
        <v>1989</v>
      </c>
      <c r="H54" s="37" t="s">
        <v>1989</v>
      </c>
      <c r="I54" s="37" t="s">
        <v>1989</v>
      </c>
      <c r="J54" s="37" t="s">
        <v>1989</v>
      </c>
      <c r="K54" s="37"/>
      <c r="L54" s="37"/>
      <c r="M54" s="37"/>
      <c r="N54" s="37"/>
      <c r="O54" s="37"/>
      <c r="P54" s="37"/>
      <c r="Q54" s="37" t="s">
        <v>1989</v>
      </c>
      <c r="R54" s="37" t="s">
        <v>1989</v>
      </c>
      <c r="S54" s="37" t="s">
        <v>1989</v>
      </c>
      <c r="T54" s="37" t="s">
        <v>1989</v>
      </c>
      <c r="U54" s="37" t="s">
        <v>1989</v>
      </c>
      <c r="V54" s="37" t="s">
        <v>1989</v>
      </c>
      <c r="W54" s="37" t="s">
        <v>1989</v>
      </c>
      <c r="X54" s="37" t="s">
        <v>1989</v>
      </c>
      <c r="Y54" s="37" t="s">
        <v>1989</v>
      </c>
      <c r="Z54" s="37" t="s">
        <v>1989</v>
      </c>
      <c r="AA54" s="37"/>
      <c r="AB54" s="37"/>
      <c r="AC54" s="37" t="s">
        <v>1989</v>
      </c>
      <c r="AD54" s="37" t="s">
        <v>1989</v>
      </c>
      <c r="AE54" s="37" t="s">
        <v>1989</v>
      </c>
      <c r="AF54" s="37"/>
      <c r="AG54" s="37" t="s">
        <v>1989</v>
      </c>
      <c r="AH54" s="37" t="s">
        <v>1989</v>
      </c>
      <c r="AI54" s="37" t="s">
        <v>1989</v>
      </c>
      <c r="AJ54" s="37" t="s">
        <v>1989</v>
      </c>
      <c r="AK54" s="37"/>
      <c r="AL54" s="37"/>
      <c r="AM54" s="37"/>
      <c r="AN54" s="37"/>
      <c r="AO54" s="37" t="s">
        <v>1989</v>
      </c>
      <c r="AP54" s="37" t="s">
        <v>1989</v>
      </c>
      <c r="AQ54" s="37" t="s">
        <v>1989</v>
      </c>
      <c r="AR54" s="37" t="s">
        <v>1989</v>
      </c>
      <c r="AS54" s="37" t="s">
        <v>1989</v>
      </c>
      <c r="AT54" s="37" t="s">
        <v>1989</v>
      </c>
      <c r="AU54" s="37"/>
      <c r="AV54" s="37"/>
      <c r="AW54" s="37"/>
      <c r="AX54" s="37"/>
      <c r="AY54" s="37"/>
      <c r="AZ54" s="37"/>
      <c r="BA54" s="37" t="s">
        <v>1989</v>
      </c>
      <c r="BB54" s="37" t="s">
        <v>1989</v>
      </c>
      <c r="BC54" s="37" t="s">
        <v>1989</v>
      </c>
      <c r="BD54" s="37" t="s">
        <v>1989</v>
      </c>
      <c r="BE54" s="37"/>
      <c r="BF54" s="37"/>
      <c r="BG54" s="37" t="s">
        <v>1989</v>
      </c>
      <c r="BH54" s="37" t="s">
        <v>1989</v>
      </c>
      <c r="BI54" s="37"/>
      <c r="BJ54" s="37"/>
      <c r="BK54" s="37" t="s">
        <v>1989</v>
      </c>
      <c r="BL54" s="37" t="s">
        <v>1989</v>
      </c>
      <c r="BM54" s="37" t="s">
        <v>1989</v>
      </c>
      <c r="BN54" s="37" t="s">
        <v>1989</v>
      </c>
      <c r="BO54" s="37" t="s">
        <v>1989</v>
      </c>
      <c r="BP54" s="37" t="s">
        <v>1989</v>
      </c>
      <c r="BQ54" s="37" t="s">
        <v>1989</v>
      </c>
      <c r="BR54" s="37" t="s">
        <v>1989</v>
      </c>
      <c r="BS54" s="37" t="s">
        <v>1989</v>
      </c>
      <c r="BT54" s="37" t="s">
        <v>1989</v>
      </c>
      <c r="BU54" s="37" t="s">
        <v>1989</v>
      </c>
      <c r="BV54" s="37" t="s">
        <v>1989</v>
      </c>
      <c r="BW54" s="37" t="s">
        <v>1989</v>
      </c>
    </row>
    <row r="55" spans="1:75" ht="15" customHeight="1">
      <c r="A55" s="37" t="s">
        <v>1989</v>
      </c>
      <c r="B55" s="37" t="s">
        <v>1989</v>
      </c>
      <c r="C55" s="37" t="s">
        <v>1989</v>
      </c>
      <c r="D55" s="37" t="s">
        <v>1989</v>
      </c>
      <c r="E55" s="37" t="s">
        <v>1989</v>
      </c>
      <c r="F55" s="37" t="s">
        <v>1989</v>
      </c>
      <c r="G55" s="37" t="s">
        <v>1989</v>
      </c>
      <c r="H55" s="37" t="s">
        <v>1989</v>
      </c>
      <c r="I55" s="37" t="s">
        <v>1989</v>
      </c>
      <c r="J55" s="37" t="s">
        <v>1989</v>
      </c>
      <c r="K55" s="37"/>
      <c r="L55" s="37"/>
      <c r="M55" s="37"/>
      <c r="N55" s="37"/>
      <c r="O55" s="37"/>
      <c r="P55" s="37"/>
      <c r="Q55" s="37" t="s">
        <v>1989</v>
      </c>
      <c r="R55" s="37" t="s">
        <v>1989</v>
      </c>
      <c r="S55" s="37" t="s">
        <v>1989</v>
      </c>
      <c r="T55" s="37" t="s">
        <v>1989</v>
      </c>
      <c r="U55" s="37" t="s">
        <v>1989</v>
      </c>
      <c r="V55" s="37" t="s">
        <v>1989</v>
      </c>
      <c r="W55" s="37" t="s">
        <v>1989</v>
      </c>
      <c r="X55" s="37" t="s">
        <v>1989</v>
      </c>
      <c r="Y55" s="37" t="s">
        <v>1989</v>
      </c>
      <c r="Z55" s="37" t="s">
        <v>1989</v>
      </c>
      <c r="AA55" s="37"/>
      <c r="AB55" s="37"/>
      <c r="AC55" s="37" t="s">
        <v>1989</v>
      </c>
      <c r="AD55" s="37" t="s">
        <v>1989</v>
      </c>
      <c r="AE55" s="37" t="s">
        <v>1989</v>
      </c>
      <c r="AF55" s="37"/>
      <c r="AG55" s="37"/>
      <c r="AH55" s="37"/>
      <c r="AI55" s="37"/>
      <c r="AJ55" s="37"/>
      <c r="AK55" s="37"/>
      <c r="AL55" s="37"/>
      <c r="AM55" s="37"/>
      <c r="AN55" s="37"/>
      <c r="AO55" s="37" t="s">
        <v>1989</v>
      </c>
      <c r="AP55" s="37" t="s">
        <v>1989</v>
      </c>
      <c r="AQ55" s="37" t="s">
        <v>1989</v>
      </c>
      <c r="AR55" s="37" t="s">
        <v>1989</v>
      </c>
      <c r="AS55" s="37" t="s">
        <v>1989</v>
      </c>
      <c r="AT55" s="37" t="s">
        <v>1989</v>
      </c>
      <c r="AU55" s="37"/>
      <c r="AV55" s="37"/>
      <c r="AW55" s="37"/>
      <c r="AX55" s="37"/>
      <c r="AY55" s="37"/>
      <c r="AZ55" s="37"/>
      <c r="BA55" s="37" t="s">
        <v>1989</v>
      </c>
      <c r="BB55" s="37" t="s">
        <v>1989</v>
      </c>
      <c r="BC55" s="37" t="s">
        <v>1989</v>
      </c>
      <c r="BD55" s="37" t="s">
        <v>1989</v>
      </c>
      <c r="BE55" s="37"/>
      <c r="BF55" s="37"/>
      <c r="BG55" s="37" t="s">
        <v>1989</v>
      </c>
      <c r="BH55" s="37" t="s">
        <v>1989</v>
      </c>
      <c r="BI55" s="37"/>
      <c r="BJ55" s="37"/>
      <c r="BK55" s="37" t="s">
        <v>1989</v>
      </c>
      <c r="BL55" s="37" t="s">
        <v>1989</v>
      </c>
      <c r="BM55" s="37" t="s">
        <v>1989</v>
      </c>
      <c r="BN55" s="37" t="s">
        <v>1989</v>
      </c>
      <c r="BO55" s="37" t="s">
        <v>1989</v>
      </c>
      <c r="BP55" s="37" t="s">
        <v>1989</v>
      </c>
      <c r="BQ55" s="37" t="s">
        <v>1989</v>
      </c>
      <c r="BR55" s="37" t="s">
        <v>1989</v>
      </c>
      <c r="BS55" s="37" t="s">
        <v>1989</v>
      </c>
      <c r="BT55" s="37" t="s">
        <v>1989</v>
      </c>
      <c r="BU55" s="37" t="s">
        <v>1989</v>
      </c>
      <c r="BV55" s="37" t="s">
        <v>1989</v>
      </c>
      <c r="BW55" s="37" t="s">
        <v>1989</v>
      </c>
    </row>
    <row r="56" spans="1:75" ht="15" customHeight="1">
      <c r="A56" s="37" t="s">
        <v>1989</v>
      </c>
      <c r="B56" s="37" t="s">
        <v>1989</v>
      </c>
      <c r="C56" s="37" t="s">
        <v>1989</v>
      </c>
      <c r="D56" s="37" t="s">
        <v>1989</v>
      </c>
      <c r="E56" s="37" t="s">
        <v>1989</v>
      </c>
      <c r="F56" s="37" t="s">
        <v>1989</v>
      </c>
      <c r="G56" s="37" t="s">
        <v>1989</v>
      </c>
      <c r="H56" s="37" t="s">
        <v>1989</v>
      </c>
      <c r="I56" s="37"/>
      <c r="J56" s="37"/>
      <c r="K56" s="37"/>
      <c r="L56" s="37"/>
      <c r="M56" s="37" t="s">
        <v>1989</v>
      </c>
      <c r="N56" s="37" t="s">
        <v>1989</v>
      </c>
      <c r="O56" s="37" t="s">
        <v>1989</v>
      </c>
      <c r="P56" s="37" t="s">
        <v>1989</v>
      </c>
      <c r="Q56" s="37" t="s">
        <v>1989</v>
      </c>
      <c r="R56" s="37" t="s">
        <v>1989</v>
      </c>
      <c r="S56" s="37" t="s">
        <v>1989</v>
      </c>
      <c r="T56" s="37" t="s">
        <v>1989</v>
      </c>
      <c r="U56" s="37" t="s">
        <v>1989</v>
      </c>
      <c r="V56" s="37" t="s">
        <v>1989</v>
      </c>
      <c r="W56" s="37" t="s">
        <v>1989</v>
      </c>
      <c r="X56" s="37" t="s">
        <v>1989</v>
      </c>
      <c r="Y56" s="37" t="s">
        <v>1989</v>
      </c>
      <c r="Z56" s="37" t="s">
        <v>1989</v>
      </c>
      <c r="AA56" s="37"/>
      <c r="AB56" s="37"/>
      <c r="AC56" s="37" t="s">
        <v>1989</v>
      </c>
      <c r="AD56" s="37" t="s">
        <v>1989</v>
      </c>
      <c r="AE56" s="37" t="s">
        <v>1989</v>
      </c>
      <c r="AF56" s="37" t="s">
        <v>1989</v>
      </c>
      <c r="AG56" s="37" t="s">
        <v>1989</v>
      </c>
      <c r="AH56" s="37" t="s">
        <v>1989</v>
      </c>
      <c r="AI56" s="37" t="s">
        <v>1989</v>
      </c>
      <c r="AJ56" s="37" t="s">
        <v>1989</v>
      </c>
      <c r="AK56" s="37"/>
      <c r="AL56" s="37"/>
      <c r="AM56" s="37"/>
      <c r="AN56" s="37"/>
      <c r="AO56" s="37" t="s">
        <v>1989</v>
      </c>
      <c r="AP56" s="37" t="s">
        <v>1989</v>
      </c>
      <c r="AQ56" s="37" t="s">
        <v>1989</v>
      </c>
      <c r="AR56" s="37" t="s">
        <v>1989</v>
      </c>
      <c r="AS56" s="37" t="s">
        <v>1989</v>
      </c>
      <c r="AT56" s="37" t="s">
        <v>1989</v>
      </c>
      <c r="AU56" s="37"/>
      <c r="AV56" s="37"/>
      <c r="AW56" s="37"/>
      <c r="AX56" s="37"/>
      <c r="AY56" s="37"/>
      <c r="AZ56" s="37"/>
      <c r="BA56" s="37" t="s">
        <v>1989</v>
      </c>
      <c r="BB56" s="37" t="s">
        <v>1989</v>
      </c>
      <c r="BC56" s="37" t="s">
        <v>1989</v>
      </c>
      <c r="BD56" s="37" t="s">
        <v>1989</v>
      </c>
      <c r="BE56" s="37"/>
      <c r="BF56" s="37" t="s">
        <v>1989</v>
      </c>
      <c r="BG56" s="37" t="s">
        <v>1989</v>
      </c>
      <c r="BH56" s="37" t="s">
        <v>1989</v>
      </c>
      <c r="BI56" s="37"/>
      <c r="BJ56" s="37" t="s">
        <v>1989</v>
      </c>
      <c r="BK56" s="37" t="s">
        <v>1989</v>
      </c>
      <c r="BL56" s="37" t="s">
        <v>1989</v>
      </c>
      <c r="BM56" s="37" t="s">
        <v>1989</v>
      </c>
      <c r="BN56" s="37" t="s">
        <v>1989</v>
      </c>
      <c r="BO56" s="37" t="s">
        <v>1989</v>
      </c>
      <c r="BP56" s="37" t="s">
        <v>1989</v>
      </c>
      <c r="BQ56" s="37" t="s">
        <v>1989</v>
      </c>
      <c r="BR56" s="37" t="s">
        <v>1989</v>
      </c>
      <c r="BS56" s="37"/>
      <c r="BT56" s="37"/>
      <c r="BU56" s="37" t="s">
        <v>1989</v>
      </c>
      <c r="BV56" s="37" t="s">
        <v>1989</v>
      </c>
      <c r="BW56" s="37" t="s">
        <v>1989</v>
      </c>
    </row>
    <row r="57" spans="1:75" ht="15" customHeight="1">
      <c r="A57" s="37" t="s">
        <v>1989</v>
      </c>
      <c r="B57" s="37" t="s">
        <v>1989</v>
      </c>
      <c r="C57" s="37" t="s">
        <v>1989</v>
      </c>
      <c r="D57" s="37" t="s">
        <v>1989</v>
      </c>
      <c r="E57" s="37" t="s">
        <v>1989</v>
      </c>
      <c r="F57" s="37" t="s">
        <v>1989</v>
      </c>
      <c r="G57" s="37" t="s">
        <v>1989</v>
      </c>
      <c r="H57" s="37" t="s">
        <v>1989</v>
      </c>
      <c r="I57" s="37"/>
      <c r="J57" s="37"/>
      <c r="K57" s="37"/>
      <c r="L57" s="37"/>
      <c r="M57" s="37" t="s">
        <v>1989</v>
      </c>
      <c r="N57" s="37" t="s">
        <v>1989</v>
      </c>
      <c r="O57" s="37" t="s">
        <v>1989</v>
      </c>
      <c r="P57" s="37" t="s">
        <v>1989</v>
      </c>
      <c r="Q57" s="37" t="s">
        <v>1989</v>
      </c>
      <c r="R57" s="37" t="s">
        <v>1989</v>
      </c>
      <c r="S57" s="37" t="s">
        <v>1989</v>
      </c>
      <c r="T57" s="37" t="s">
        <v>1989</v>
      </c>
      <c r="U57" s="37" t="s">
        <v>1989</v>
      </c>
      <c r="V57" s="37" t="s">
        <v>1989</v>
      </c>
      <c r="W57" s="37" t="s">
        <v>1989</v>
      </c>
      <c r="X57" s="37" t="s">
        <v>1989</v>
      </c>
      <c r="Y57" s="37" t="s">
        <v>1989</v>
      </c>
      <c r="Z57" s="37" t="s">
        <v>1989</v>
      </c>
      <c r="AA57" s="37"/>
      <c r="AB57" s="37"/>
      <c r="AC57" s="37" t="s">
        <v>1989</v>
      </c>
      <c r="AD57" s="37" t="s">
        <v>1989</v>
      </c>
      <c r="AE57" s="37" t="s">
        <v>1989</v>
      </c>
      <c r="AF57" s="37" t="s">
        <v>1989</v>
      </c>
      <c r="AG57" s="37" t="s">
        <v>1989</v>
      </c>
      <c r="AH57" s="37" t="s">
        <v>1989</v>
      </c>
      <c r="AI57" s="37" t="s">
        <v>1989</v>
      </c>
      <c r="AJ57" s="37" t="s">
        <v>1989</v>
      </c>
      <c r="AK57" s="37"/>
      <c r="AL57" s="37"/>
      <c r="AM57" s="37"/>
      <c r="AN57" s="37"/>
      <c r="AO57" s="37" t="s">
        <v>1989</v>
      </c>
      <c r="AP57" s="37" t="s">
        <v>1989</v>
      </c>
      <c r="AQ57" s="37" t="s">
        <v>1989</v>
      </c>
      <c r="AR57" s="37" t="s">
        <v>1989</v>
      </c>
      <c r="AS57" s="37" t="s">
        <v>1989</v>
      </c>
      <c r="AT57" s="37" t="s">
        <v>1989</v>
      </c>
      <c r="AU57" s="37"/>
      <c r="AV57" s="37"/>
      <c r="AW57" s="37"/>
      <c r="AX57" s="37"/>
      <c r="AY57" s="37"/>
      <c r="AZ57" s="37"/>
      <c r="BA57" s="37" t="s">
        <v>1989</v>
      </c>
      <c r="BB57" s="37" t="s">
        <v>1989</v>
      </c>
      <c r="BC57" s="37" t="s">
        <v>1989</v>
      </c>
      <c r="BD57" s="37" t="s">
        <v>1989</v>
      </c>
      <c r="BE57" s="37"/>
      <c r="BF57" s="37" t="s">
        <v>1989</v>
      </c>
      <c r="BG57" s="37" t="s">
        <v>1989</v>
      </c>
      <c r="BH57" s="37" t="s">
        <v>1989</v>
      </c>
      <c r="BI57" s="37"/>
      <c r="BJ57" s="37" t="s">
        <v>1989</v>
      </c>
      <c r="BK57" s="37" t="s">
        <v>1989</v>
      </c>
      <c r="BL57" s="37" t="s">
        <v>1989</v>
      </c>
      <c r="BM57" s="37" t="s">
        <v>1989</v>
      </c>
      <c r="BN57" s="37" t="s">
        <v>1989</v>
      </c>
      <c r="BO57" s="37" t="s">
        <v>1989</v>
      </c>
      <c r="BP57" s="37" t="s">
        <v>1989</v>
      </c>
      <c r="BQ57" s="37" t="s">
        <v>1989</v>
      </c>
      <c r="BR57" s="37" t="s">
        <v>1989</v>
      </c>
      <c r="BS57" s="37"/>
      <c r="BT57" s="37"/>
      <c r="BU57" s="37" t="s">
        <v>1989</v>
      </c>
      <c r="BV57" s="37" t="s">
        <v>1989</v>
      </c>
      <c r="BW57" s="37" t="s">
        <v>1989</v>
      </c>
    </row>
    <row r="58" spans="1:75" ht="15" customHeight="1">
      <c r="A58" s="37" t="s">
        <v>1989</v>
      </c>
      <c r="B58" s="37" t="s">
        <v>1989</v>
      </c>
      <c r="C58" s="37" t="s">
        <v>1989</v>
      </c>
      <c r="D58" s="37" t="s">
        <v>1989</v>
      </c>
      <c r="E58" s="37" t="s">
        <v>1989</v>
      </c>
      <c r="F58" s="37" t="s">
        <v>1989</v>
      </c>
      <c r="G58" s="37" t="s">
        <v>1989</v>
      </c>
      <c r="H58" s="37" t="s">
        <v>1989</v>
      </c>
      <c r="I58" s="37"/>
      <c r="J58" s="37"/>
      <c r="K58" s="37" t="s">
        <v>1989</v>
      </c>
      <c r="L58" s="37" t="s">
        <v>1989</v>
      </c>
      <c r="M58" s="37" t="s">
        <v>1989</v>
      </c>
      <c r="N58" s="37" t="s">
        <v>1989</v>
      </c>
      <c r="O58" s="37" t="s">
        <v>1989</v>
      </c>
      <c r="P58" s="37" t="s">
        <v>1989</v>
      </c>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t="s">
        <v>1989</v>
      </c>
      <c r="AP58" s="37" t="s">
        <v>1989</v>
      </c>
      <c r="AQ58" s="37" t="s">
        <v>1989</v>
      </c>
      <c r="AR58" s="37" t="s">
        <v>1989</v>
      </c>
      <c r="AS58" s="37" t="s">
        <v>1989</v>
      </c>
      <c r="AT58" s="37" t="s">
        <v>1989</v>
      </c>
      <c r="AU58" s="37"/>
      <c r="AV58" s="37"/>
      <c r="AW58" s="37"/>
      <c r="AX58" s="37"/>
      <c r="AY58" s="37"/>
      <c r="AZ58" s="37"/>
      <c r="BA58" s="37" t="s">
        <v>1989</v>
      </c>
      <c r="BB58" s="37" t="s">
        <v>1989</v>
      </c>
      <c r="BC58" s="37" t="s">
        <v>1989</v>
      </c>
      <c r="BD58" s="37" t="s">
        <v>1989</v>
      </c>
      <c r="BE58" s="37"/>
      <c r="BF58" s="37" t="s">
        <v>1989</v>
      </c>
      <c r="BG58" s="37" t="s">
        <v>1989</v>
      </c>
      <c r="BH58" s="37" t="s">
        <v>1989</v>
      </c>
      <c r="BI58" s="37"/>
      <c r="BJ58" s="37" t="s">
        <v>1989</v>
      </c>
      <c r="BK58" s="37" t="s">
        <v>1989</v>
      </c>
      <c r="BL58" s="37" t="s">
        <v>1989</v>
      </c>
      <c r="BM58" s="37" t="s">
        <v>1989</v>
      </c>
      <c r="BN58" s="37" t="s">
        <v>1989</v>
      </c>
      <c r="BO58" s="37" t="s">
        <v>1989</v>
      </c>
      <c r="BP58" s="37"/>
      <c r="BQ58" s="37"/>
      <c r="BR58" s="37"/>
      <c r="BS58" s="37"/>
      <c r="BT58" s="37"/>
      <c r="BU58" s="37" t="s">
        <v>1989</v>
      </c>
      <c r="BV58" s="37" t="s">
        <v>1989</v>
      </c>
      <c r="BW58" s="37" t="s">
        <v>1989</v>
      </c>
    </row>
    <row r="59" spans="1:75" ht="15" customHeight="1">
      <c r="A59" s="37" t="s">
        <v>1989</v>
      </c>
      <c r="B59" s="37" t="s">
        <v>1989</v>
      </c>
      <c r="C59" s="37" t="s">
        <v>1989</v>
      </c>
      <c r="D59" s="37" t="s">
        <v>1989</v>
      </c>
      <c r="E59" s="37" t="s">
        <v>1989</v>
      </c>
      <c r="F59" s="37" t="s">
        <v>1989</v>
      </c>
      <c r="G59" s="37" t="s">
        <v>1989</v>
      </c>
      <c r="H59" s="37" t="s">
        <v>1989</v>
      </c>
      <c r="I59" s="37"/>
      <c r="J59" s="37"/>
      <c r="K59" s="37" t="s">
        <v>1989</v>
      </c>
      <c r="L59" s="37" t="s">
        <v>1989</v>
      </c>
      <c r="M59" s="37" t="s">
        <v>1989</v>
      </c>
      <c r="N59" s="37" t="s">
        <v>1989</v>
      </c>
      <c r="O59" s="37" t="s">
        <v>1989</v>
      </c>
      <c r="P59" s="37" t="s">
        <v>1989</v>
      </c>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t="s">
        <v>1989</v>
      </c>
      <c r="AP59" s="37" t="s">
        <v>1989</v>
      </c>
      <c r="AQ59" s="37" t="s">
        <v>1989</v>
      </c>
      <c r="AR59" s="37" t="s">
        <v>1989</v>
      </c>
      <c r="AS59" s="37" t="s">
        <v>1989</v>
      </c>
      <c r="AT59" s="37" t="s">
        <v>1989</v>
      </c>
      <c r="AU59" s="37"/>
      <c r="AV59" s="37"/>
      <c r="AW59" s="37"/>
      <c r="AX59" s="37"/>
      <c r="AY59" s="37"/>
      <c r="AZ59" s="37"/>
      <c r="BA59" s="37" t="s">
        <v>1989</v>
      </c>
      <c r="BB59" s="37" t="s">
        <v>1989</v>
      </c>
      <c r="BC59" s="37" t="s">
        <v>1989</v>
      </c>
      <c r="BD59" s="37" t="s">
        <v>1989</v>
      </c>
      <c r="BE59" s="37"/>
      <c r="BF59" s="37" t="s">
        <v>1989</v>
      </c>
      <c r="BG59" s="37" t="s">
        <v>1989</v>
      </c>
      <c r="BH59" s="37" t="s">
        <v>1989</v>
      </c>
      <c r="BI59" s="37"/>
      <c r="BJ59" s="37" t="s">
        <v>1989</v>
      </c>
      <c r="BK59" s="37" t="s">
        <v>1989</v>
      </c>
      <c r="BL59" s="37" t="s">
        <v>1989</v>
      </c>
      <c r="BM59" s="37" t="s">
        <v>1989</v>
      </c>
      <c r="BN59" s="37" t="s">
        <v>1989</v>
      </c>
      <c r="BO59" s="37" t="s">
        <v>1989</v>
      </c>
      <c r="BP59" s="37"/>
      <c r="BQ59" s="37" t="s">
        <v>1989</v>
      </c>
      <c r="BR59" s="37" t="s">
        <v>1989</v>
      </c>
      <c r="BS59" s="37" t="s">
        <v>1989</v>
      </c>
      <c r="BT59" s="37" t="s">
        <v>1989</v>
      </c>
      <c r="BU59" s="37" t="s">
        <v>1989</v>
      </c>
      <c r="BV59" s="37" t="s">
        <v>1989</v>
      </c>
      <c r="BW59" s="37" t="s">
        <v>1989</v>
      </c>
    </row>
    <row r="60" spans="1:75" ht="15" customHeight="1">
      <c r="A60" s="37" t="s">
        <v>1989</v>
      </c>
      <c r="B60" s="37" t="s">
        <v>1989</v>
      </c>
      <c r="C60" s="37" t="s">
        <v>1989</v>
      </c>
      <c r="D60" s="37" t="s">
        <v>1989</v>
      </c>
      <c r="E60" s="37" t="s">
        <v>1989</v>
      </c>
      <c r="F60" s="37" t="s">
        <v>1989</v>
      </c>
      <c r="G60" s="37" t="s">
        <v>1989</v>
      </c>
      <c r="H60" s="37" t="s">
        <v>1989</v>
      </c>
      <c r="I60" s="37"/>
      <c r="J60" s="37"/>
      <c r="K60" s="37" t="s">
        <v>1989</v>
      </c>
      <c r="L60" s="37" t="s">
        <v>1989</v>
      </c>
      <c r="M60" s="37" t="s">
        <v>1989</v>
      </c>
      <c r="N60" s="37" t="s">
        <v>1989</v>
      </c>
      <c r="O60" s="37" t="s">
        <v>1989</v>
      </c>
      <c r="P60" s="37" t="s">
        <v>1989</v>
      </c>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t="s">
        <v>1989</v>
      </c>
      <c r="AR60" s="37" t="s">
        <v>1989</v>
      </c>
      <c r="AS60" s="37" t="s">
        <v>1989</v>
      </c>
      <c r="AT60" s="37" t="s">
        <v>1989</v>
      </c>
      <c r="AU60" s="37"/>
      <c r="AV60" s="37"/>
      <c r="AW60" s="37"/>
      <c r="AX60" s="37"/>
      <c r="AY60" s="37"/>
      <c r="AZ60" s="37"/>
      <c r="BA60" s="37" t="s">
        <v>1989</v>
      </c>
      <c r="BB60" s="37" t="s">
        <v>1989</v>
      </c>
      <c r="BC60" s="37" t="s">
        <v>1989</v>
      </c>
      <c r="BD60" s="37" t="s">
        <v>1989</v>
      </c>
      <c r="BE60" s="37"/>
      <c r="BF60" s="37"/>
      <c r="BG60" s="37"/>
      <c r="BH60" s="37"/>
      <c r="BI60" s="37"/>
      <c r="BJ60" s="37"/>
      <c r="BK60" s="37"/>
      <c r="BL60" s="37"/>
      <c r="BM60" s="37"/>
      <c r="BN60" s="37"/>
      <c r="BO60" s="37"/>
      <c r="BP60" s="37"/>
      <c r="BQ60" s="37" t="s">
        <v>1989</v>
      </c>
      <c r="BR60" s="37" t="s">
        <v>1989</v>
      </c>
      <c r="BS60" s="37" t="s">
        <v>1989</v>
      </c>
      <c r="BT60" s="37" t="s">
        <v>1989</v>
      </c>
      <c r="BU60" s="37" t="s">
        <v>1989</v>
      </c>
      <c r="BV60" s="37" t="s">
        <v>1989</v>
      </c>
      <c r="BW60" s="37" t="s">
        <v>1989</v>
      </c>
    </row>
    <row r="61" spans="1:75" ht="15" customHeight="1">
      <c r="A61" s="37" t="s">
        <v>1989</v>
      </c>
      <c r="B61" s="37" t="s">
        <v>1989</v>
      </c>
      <c r="C61" s="37" t="s">
        <v>1989</v>
      </c>
      <c r="D61" s="37" t="s">
        <v>1989</v>
      </c>
      <c r="E61" s="37" t="s">
        <v>1989</v>
      </c>
      <c r="F61" s="37" t="s">
        <v>1989</v>
      </c>
      <c r="G61" s="37" t="s">
        <v>1989</v>
      </c>
      <c r="H61" s="37" t="s">
        <v>1989</v>
      </c>
      <c r="I61" s="37"/>
      <c r="J61" s="37"/>
      <c r="K61" s="37" t="s">
        <v>1989</v>
      </c>
      <c r="L61" s="37" t="s">
        <v>1989</v>
      </c>
      <c r="M61" s="37" t="s">
        <v>1989</v>
      </c>
      <c r="N61" s="37" t="s">
        <v>1989</v>
      </c>
      <c r="O61" s="37" t="s">
        <v>1989</v>
      </c>
      <c r="P61" s="37" t="s">
        <v>1989</v>
      </c>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t="s">
        <v>1989</v>
      </c>
      <c r="AP61" s="37"/>
      <c r="AQ61" s="37" t="s">
        <v>1989</v>
      </c>
      <c r="AR61" s="37" t="s">
        <v>1989</v>
      </c>
      <c r="AS61" s="37" t="s">
        <v>1989</v>
      </c>
      <c r="AT61" s="37" t="s">
        <v>1989</v>
      </c>
      <c r="AU61" s="37"/>
      <c r="AV61" s="37"/>
      <c r="AW61" s="37"/>
      <c r="AX61" s="37"/>
      <c r="AY61" s="37"/>
      <c r="AZ61" s="37"/>
      <c r="BA61" s="37" t="s">
        <v>1989</v>
      </c>
      <c r="BB61" s="37" t="s">
        <v>1989</v>
      </c>
      <c r="BC61" s="37" t="s">
        <v>1989</v>
      </c>
      <c r="BD61" s="37" t="s">
        <v>1989</v>
      </c>
      <c r="BE61" s="37"/>
      <c r="BF61" s="37"/>
      <c r="BG61" s="37"/>
      <c r="BH61" s="37"/>
      <c r="BI61" s="37"/>
      <c r="BJ61" s="37"/>
      <c r="BK61" s="37"/>
      <c r="BL61" s="37"/>
      <c r="BM61" s="37"/>
      <c r="BN61" s="37"/>
      <c r="BO61" s="37"/>
      <c r="BP61" s="37"/>
      <c r="BQ61" s="37" t="s">
        <v>1989</v>
      </c>
      <c r="BR61" s="37" t="s">
        <v>1989</v>
      </c>
      <c r="BS61" s="37" t="s">
        <v>1989</v>
      </c>
      <c r="BT61" s="37" t="s">
        <v>1989</v>
      </c>
      <c r="BU61" s="37" t="s">
        <v>1989</v>
      </c>
      <c r="BV61" s="37" t="s">
        <v>1989</v>
      </c>
      <c r="BW61" s="37" t="s">
        <v>1989</v>
      </c>
    </row>
    <row r="62" spans="1:75" ht="15" customHeight="1">
      <c r="A62" s="37" t="s">
        <v>1989</v>
      </c>
      <c r="B62" s="37" t="s">
        <v>1989</v>
      </c>
      <c r="C62" s="37" t="s">
        <v>1989</v>
      </c>
      <c r="D62" s="37" t="s">
        <v>1989</v>
      </c>
      <c r="E62" s="37" t="s">
        <v>1989</v>
      </c>
      <c r="F62" s="37" t="s">
        <v>1989</v>
      </c>
      <c r="G62" s="37" t="s">
        <v>1989</v>
      </c>
      <c r="H62" s="37" t="s">
        <v>1989</v>
      </c>
      <c r="I62" s="37"/>
      <c r="J62" s="37"/>
      <c r="K62" s="37"/>
      <c r="L62" s="37" t="s">
        <v>1989</v>
      </c>
      <c r="M62" s="37" t="s">
        <v>1989</v>
      </c>
      <c r="N62" s="37" t="s">
        <v>1989</v>
      </c>
      <c r="O62" s="37" t="s">
        <v>1989</v>
      </c>
      <c r="P62" s="37" t="s">
        <v>1989</v>
      </c>
      <c r="Q62" s="37"/>
      <c r="R62" s="37"/>
      <c r="S62" s="37"/>
      <c r="T62" s="37"/>
      <c r="U62" s="37" t="s">
        <v>1989</v>
      </c>
      <c r="V62" s="37" t="s">
        <v>1989</v>
      </c>
      <c r="W62" s="37" t="s">
        <v>1989</v>
      </c>
      <c r="X62" s="37" t="s">
        <v>1989</v>
      </c>
      <c r="Y62" s="37" t="s">
        <v>1989</v>
      </c>
      <c r="Z62" s="37" t="s">
        <v>1989</v>
      </c>
      <c r="AA62" s="37" t="s">
        <v>1989</v>
      </c>
      <c r="AB62" s="37" t="s">
        <v>1989</v>
      </c>
      <c r="AC62" s="37"/>
      <c r="AD62" s="37"/>
      <c r="AE62" s="37"/>
      <c r="AF62" s="37"/>
      <c r="AG62" s="37" t="s">
        <v>1989</v>
      </c>
      <c r="AH62" s="37" t="s">
        <v>1989</v>
      </c>
      <c r="AI62" s="37" t="s">
        <v>1989</v>
      </c>
      <c r="AJ62" s="37" t="s">
        <v>1989</v>
      </c>
      <c r="AK62" s="37" t="s">
        <v>1989</v>
      </c>
      <c r="AL62" s="37" t="s">
        <v>1989</v>
      </c>
      <c r="AM62" s="37" t="s">
        <v>1989</v>
      </c>
      <c r="AN62" s="37" t="s">
        <v>1989</v>
      </c>
      <c r="AO62" s="37" t="s">
        <v>1989</v>
      </c>
      <c r="AP62" s="37"/>
      <c r="AQ62" s="37" t="s">
        <v>1989</v>
      </c>
      <c r="AR62" s="37" t="s">
        <v>1989</v>
      </c>
      <c r="AS62" s="37" t="s">
        <v>1989</v>
      </c>
      <c r="AT62" s="37" t="s">
        <v>1989</v>
      </c>
      <c r="AU62" s="37" t="s">
        <v>1989</v>
      </c>
      <c r="AV62" s="37" t="s">
        <v>1989</v>
      </c>
      <c r="AW62" s="37" t="s">
        <v>1989</v>
      </c>
      <c r="AX62" s="37" t="s">
        <v>1989</v>
      </c>
      <c r="AY62" s="37" t="s">
        <v>1989</v>
      </c>
      <c r="AZ62" s="37" t="s">
        <v>1989</v>
      </c>
      <c r="BA62" s="37" t="s">
        <v>1989</v>
      </c>
      <c r="BB62" s="37" t="s">
        <v>1989</v>
      </c>
      <c r="BC62" s="37" t="s">
        <v>1989</v>
      </c>
      <c r="BD62" s="37" t="s">
        <v>1989</v>
      </c>
      <c r="BE62" s="37"/>
      <c r="BF62" s="37"/>
      <c r="BG62" s="37" t="s">
        <v>1989</v>
      </c>
      <c r="BH62" s="37" t="s">
        <v>1989</v>
      </c>
      <c r="BI62" s="37" t="s">
        <v>1989</v>
      </c>
      <c r="BJ62" s="37" t="s">
        <v>1989</v>
      </c>
      <c r="BK62" s="37"/>
      <c r="BL62" s="37"/>
      <c r="BM62" s="37" t="s">
        <v>1989</v>
      </c>
      <c r="BN62" s="37" t="s">
        <v>1989</v>
      </c>
      <c r="BO62" s="37"/>
      <c r="BP62" s="37"/>
      <c r="BQ62" s="37"/>
      <c r="BR62" s="37"/>
      <c r="BS62" s="37"/>
      <c r="BT62" s="37"/>
      <c r="BU62" s="37" t="s">
        <v>1989</v>
      </c>
      <c r="BV62" s="37" t="s">
        <v>1989</v>
      </c>
      <c r="BW62" s="37" t="s">
        <v>1989</v>
      </c>
    </row>
    <row r="63" spans="1:75" ht="15" customHeight="1">
      <c r="A63" s="37" t="s">
        <v>1989</v>
      </c>
      <c r="B63" s="37" t="s">
        <v>1989</v>
      </c>
      <c r="C63" s="37" t="s">
        <v>1989</v>
      </c>
      <c r="D63" s="37" t="s">
        <v>1989</v>
      </c>
      <c r="E63" s="37" t="s">
        <v>1989</v>
      </c>
      <c r="F63" s="37" t="s">
        <v>1989</v>
      </c>
      <c r="G63" s="37" t="s">
        <v>1989</v>
      </c>
      <c r="H63" s="37" t="s">
        <v>1989</v>
      </c>
      <c r="I63" s="37"/>
      <c r="J63" s="37"/>
      <c r="K63" s="37"/>
      <c r="L63" s="37"/>
      <c r="M63" s="37" t="s">
        <v>1989</v>
      </c>
      <c r="N63" s="37" t="s">
        <v>1989</v>
      </c>
      <c r="O63" s="37" t="s">
        <v>1989</v>
      </c>
      <c r="P63" s="37" t="s">
        <v>1989</v>
      </c>
      <c r="Q63" s="37"/>
      <c r="R63" s="37"/>
      <c r="S63" s="37"/>
      <c r="T63" s="37"/>
      <c r="U63" s="37" t="s">
        <v>1989</v>
      </c>
      <c r="V63" s="37" t="s">
        <v>1989</v>
      </c>
      <c r="W63" s="37" t="s">
        <v>1989</v>
      </c>
      <c r="X63" s="37" t="s">
        <v>1989</v>
      </c>
      <c r="Y63" s="37" t="s">
        <v>1989</v>
      </c>
      <c r="Z63" s="37" t="s">
        <v>1989</v>
      </c>
      <c r="AA63" s="37" t="s">
        <v>1989</v>
      </c>
      <c r="AB63" s="37" t="s">
        <v>1989</v>
      </c>
      <c r="AC63" s="37"/>
      <c r="AD63" s="37"/>
      <c r="AE63" s="37"/>
      <c r="AF63" s="37"/>
      <c r="AG63" s="37" t="s">
        <v>1989</v>
      </c>
      <c r="AH63" s="37" t="s">
        <v>1989</v>
      </c>
      <c r="AI63" s="37" t="s">
        <v>1989</v>
      </c>
      <c r="AJ63" s="37" t="s">
        <v>1989</v>
      </c>
      <c r="AK63" s="37" t="s">
        <v>1989</v>
      </c>
      <c r="AL63" s="37" t="s">
        <v>1989</v>
      </c>
      <c r="AM63" s="37" t="s">
        <v>1989</v>
      </c>
      <c r="AN63" s="37" t="s">
        <v>1989</v>
      </c>
      <c r="AO63" s="37" t="s">
        <v>1989</v>
      </c>
      <c r="AP63" s="37"/>
      <c r="AQ63" s="37"/>
      <c r="AR63" s="37"/>
      <c r="AS63" s="37"/>
      <c r="AT63" s="37"/>
      <c r="AU63" s="37"/>
      <c r="AV63" s="37" t="s">
        <v>1989</v>
      </c>
      <c r="AW63" s="37" t="s">
        <v>1989</v>
      </c>
      <c r="AX63" s="37" t="s">
        <v>1989</v>
      </c>
      <c r="AY63" s="37" t="s">
        <v>1989</v>
      </c>
      <c r="AZ63" s="37" t="s">
        <v>1989</v>
      </c>
      <c r="BA63" s="37" t="s">
        <v>1989</v>
      </c>
      <c r="BB63" s="37" t="s">
        <v>1989</v>
      </c>
      <c r="BC63" s="37" t="s">
        <v>1989</v>
      </c>
      <c r="BD63" s="37" t="s">
        <v>1989</v>
      </c>
      <c r="BE63" s="37"/>
      <c r="BF63" s="37"/>
      <c r="BG63" s="37" t="s">
        <v>1989</v>
      </c>
      <c r="BH63" s="37" t="s">
        <v>1989</v>
      </c>
      <c r="BI63" s="37" t="s">
        <v>1989</v>
      </c>
      <c r="BJ63" s="37" t="s">
        <v>1989</v>
      </c>
      <c r="BK63" s="37"/>
      <c r="BL63" s="37"/>
      <c r="BM63" s="37" t="s">
        <v>1989</v>
      </c>
      <c r="BN63" s="37" t="s">
        <v>1989</v>
      </c>
      <c r="BO63" s="37"/>
      <c r="BP63" s="37"/>
      <c r="BQ63" s="37"/>
      <c r="BR63" s="37"/>
      <c r="BS63" s="37"/>
      <c r="BT63" s="37"/>
      <c r="BU63" s="37" t="s">
        <v>1989</v>
      </c>
      <c r="BV63" s="37" t="s">
        <v>1989</v>
      </c>
      <c r="BW63" s="37" t="s">
        <v>1989</v>
      </c>
    </row>
    <row r="64" spans="1:75" ht="15" customHeight="1">
      <c r="A64" s="37" t="s">
        <v>1989</v>
      </c>
      <c r="B64" s="37" t="s">
        <v>1989</v>
      </c>
      <c r="C64" s="37" t="s">
        <v>1989</v>
      </c>
      <c r="D64" s="37" t="s">
        <v>1989</v>
      </c>
      <c r="E64" s="37" t="s">
        <v>1989</v>
      </c>
      <c r="F64" s="37" t="s">
        <v>1989</v>
      </c>
      <c r="G64" s="37" t="s">
        <v>1989</v>
      </c>
      <c r="H64" s="37" t="s">
        <v>1989</v>
      </c>
      <c r="I64" s="37" t="s">
        <v>1989</v>
      </c>
      <c r="J64" s="37" t="s">
        <v>1989</v>
      </c>
      <c r="K64" s="37"/>
      <c r="L64" s="37"/>
      <c r="M64" s="37"/>
      <c r="N64" s="37" t="s">
        <v>1989</v>
      </c>
      <c r="O64" s="37" t="s">
        <v>1989</v>
      </c>
      <c r="P64" s="37" t="s">
        <v>1989</v>
      </c>
      <c r="Q64" s="37"/>
      <c r="R64" s="37"/>
      <c r="S64" s="37"/>
      <c r="T64" s="37"/>
      <c r="U64" s="37" t="s">
        <v>1989</v>
      </c>
      <c r="V64" s="37" t="s">
        <v>1989</v>
      </c>
      <c r="W64" s="37"/>
      <c r="X64" s="37"/>
      <c r="Y64" s="37" t="s">
        <v>1989</v>
      </c>
      <c r="Z64" s="37" t="s">
        <v>1989</v>
      </c>
      <c r="AA64" s="37" t="s">
        <v>1989</v>
      </c>
      <c r="AB64" s="37" t="s">
        <v>1989</v>
      </c>
      <c r="AC64" s="37"/>
      <c r="AD64" s="37"/>
      <c r="AE64" s="37"/>
      <c r="AF64" s="37"/>
      <c r="AG64" s="37" t="s">
        <v>1989</v>
      </c>
      <c r="AH64" s="37" t="s">
        <v>1989</v>
      </c>
      <c r="AI64" s="37" t="s">
        <v>1989</v>
      </c>
      <c r="AJ64" s="37" t="s">
        <v>1989</v>
      </c>
      <c r="AK64" s="37" t="s">
        <v>1989</v>
      </c>
      <c r="AL64" s="37" t="s">
        <v>1989</v>
      </c>
      <c r="AM64" s="37" t="s">
        <v>1989</v>
      </c>
      <c r="AN64" s="37" t="s">
        <v>1989</v>
      </c>
      <c r="AO64" s="37" t="s">
        <v>1989</v>
      </c>
      <c r="AP64" s="37" t="s">
        <v>1989</v>
      </c>
      <c r="AQ64" s="37" t="s">
        <v>1989</v>
      </c>
      <c r="AR64" s="37" t="s">
        <v>1989</v>
      </c>
      <c r="AS64" s="37" t="s">
        <v>1989</v>
      </c>
      <c r="AT64" s="37" t="s">
        <v>1989</v>
      </c>
      <c r="AU64" s="37"/>
      <c r="AV64" s="37" t="s">
        <v>1989</v>
      </c>
      <c r="AW64" s="37" t="s">
        <v>1989</v>
      </c>
      <c r="AX64" s="37" t="s">
        <v>1989</v>
      </c>
      <c r="AY64" s="37" t="s">
        <v>1989</v>
      </c>
      <c r="AZ64" s="37" t="s">
        <v>1989</v>
      </c>
      <c r="BA64" s="37" t="s">
        <v>1989</v>
      </c>
      <c r="BB64" s="37" t="s">
        <v>1989</v>
      </c>
      <c r="BC64" s="37" t="s">
        <v>1989</v>
      </c>
      <c r="BD64" s="37" t="s">
        <v>1989</v>
      </c>
      <c r="BE64" s="37"/>
      <c r="BF64" s="37"/>
      <c r="BG64" s="37" t="s">
        <v>1989</v>
      </c>
      <c r="BH64" s="37" t="s">
        <v>1989</v>
      </c>
      <c r="BI64" s="37"/>
      <c r="BJ64" s="37"/>
      <c r="BK64" s="37"/>
      <c r="BL64" s="37"/>
      <c r="BM64" s="37" t="s">
        <v>1989</v>
      </c>
      <c r="BN64" s="37" t="s">
        <v>1989</v>
      </c>
      <c r="BO64" s="37"/>
      <c r="BP64" s="37"/>
      <c r="BQ64" s="37" t="s">
        <v>1989</v>
      </c>
      <c r="BR64" s="37" t="s">
        <v>1989</v>
      </c>
      <c r="BS64" s="37"/>
      <c r="BT64" s="37"/>
      <c r="BU64" s="37" t="s">
        <v>1989</v>
      </c>
      <c r="BV64" s="37" t="s">
        <v>1989</v>
      </c>
      <c r="BW64" s="37" t="s">
        <v>1989</v>
      </c>
    </row>
    <row r="65" spans="1:75" ht="15" customHeight="1">
      <c r="A65" s="37" t="s">
        <v>1989</v>
      </c>
      <c r="B65" s="37" t="s">
        <v>1989</v>
      </c>
      <c r="C65" s="37" t="s">
        <v>1989</v>
      </c>
      <c r="D65" s="37" t="s">
        <v>1989</v>
      </c>
      <c r="E65" s="37" t="s">
        <v>1989</v>
      </c>
      <c r="F65" s="37" t="s">
        <v>1989</v>
      </c>
      <c r="G65" s="37" t="s">
        <v>1989</v>
      </c>
      <c r="H65" s="37" t="s">
        <v>1989</v>
      </c>
      <c r="I65" s="37" t="s">
        <v>1989</v>
      </c>
      <c r="J65" s="37" t="s">
        <v>1989</v>
      </c>
      <c r="K65" s="37" t="s">
        <v>1989</v>
      </c>
      <c r="L65" s="37"/>
      <c r="M65" s="37"/>
      <c r="N65" s="37"/>
      <c r="O65" s="37" t="s">
        <v>1989</v>
      </c>
      <c r="P65" s="37" t="s">
        <v>1989</v>
      </c>
      <c r="Q65" s="37"/>
      <c r="R65" s="37"/>
      <c r="S65" s="37"/>
      <c r="T65" s="37"/>
      <c r="U65" s="37" t="s">
        <v>1989</v>
      </c>
      <c r="V65" s="37" t="s">
        <v>1989</v>
      </c>
      <c r="W65" s="37"/>
      <c r="X65" s="37"/>
      <c r="Y65" s="37" t="s">
        <v>1989</v>
      </c>
      <c r="Z65" s="37" t="s">
        <v>1989</v>
      </c>
      <c r="AA65" s="37" t="s">
        <v>1989</v>
      </c>
      <c r="AB65" s="37" t="s">
        <v>1989</v>
      </c>
      <c r="AC65" s="37"/>
      <c r="AD65" s="37"/>
      <c r="AE65" s="37"/>
      <c r="AF65" s="37"/>
      <c r="AG65" s="37" t="s">
        <v>1989</v>
      </c>
      <c r="AH65" s="37" t="s">
        <v>1989</v>
      </c>
      <c r="AI65" s="37" t="s">
        <v>1989</v>
      </c>
      <c r="AJ65" s="37" t="s">
        <v>1989</v>
      </c>
      <c r="AK65" s="37" t="s">
        <v>1989</v>
      </c>
      <c r="AL65" s="37" t="s">
        <v>1989</v>
      </c>
      <c r="AM65" s="37" t="s">
        <v>1989</v>
      </c>
      <c r="AN65" s="37" t="s">
        <v>1989</v>
      </c>
      <c r="AO65" s="37" t="s">
        <v>1989</v>
      </c>
      <c r="AP65" s="37" t="s">
        <v>1989</v>
      </c>
      <c r="AQ65" s="37" t="s">
        <v>1989</v>
      </c>
      <c r="AR65" s="37" t="s">
        <v>1989</v>
      </c>
      <c r="AS65" s="37" t="s">
        <v>1989</v>
      </c>
      <c r="AT65" s="37" t="s">
        <v>1989</v>
      </c>
      <c r="AU65" s="37"/>
      <c r="AV65" s="37" t="s">
        <v>1989</v>
      </c>
      <c r="AW65" s="37" t="s">
        <v>1989</v>
      </c>
      <c r="AX65" s="37" t="s">
        <v>1989</v>
      </c>
      <c r="AY65" s="37" t="s">
        <v>1989</v>
      </c>
      <c r="AZ65" s="37" t="s">
        <v>1989</v>
      </c>
      <c r="BA65" s="37" t="s">
        <v>1989</v>
      </c>
      <c r="BB65" s="37" t="s">
        <v>1989</v>
      </c>
      <c r="BC65" s="37" t="s">
        <v>1989</v>
      </c>
      <c r="BD65" s="37" t="s">
        <v>1989</v>
      </c>
      <c r="BE65" s="37"/>
      <c r="BF65" s="37"/>
      <c r="BG65" s="37" t="s">
        <v>1989</v>
      </c>
      <c r="BH65" s="37" t="s">
        <v>1989</v>
      </c>
      <c r="BI65" s="37"/>
      <c r="BJ65" s="37"/>
      <c r="BK65" s="37"/>
      <c r="BL65" s="37"/>
      <c r="BM65" s="37" t="s">
        <v>1989</v>
      </c>
      <c r="BN65" s="37" t="s">
        <v>1989</v>
      </c>
      <c r="BO65" s="37"/>
      <c r="BP65" s="37"/>
      <c r="BQ65" s="37" t="s">
        <v>1989</v>
      </c>
      <c r="BR65" s="37" t="s">
        <v>1989</v>
      </c>
      <c r="BS65" s="37"/>
      <c r="BT65" s="37"/>
      <c r="BU65" s="37" t="s">
        <v>1989</v>
      </c>
      <c r="BV65" s="37" t="s">
        <v>1989</v>
      </c>
      <c r="BW65" s="37" t="s">
        <v>1989</v>
      </c>
    </row>
    <row r="66" spans="1:75" ht="15" customHeight="1">
      <c r="A66" s="37" t="s">
        <v>1989</v>
      </c>
      <c r="B66" s="37" t="s">
        <v>1989</v>
      </c>
      <c r="C66" s="37" t="s">
        <v>1989</v>
      </c>
      <c r="D66" s="37" t="s">
        <v>1989</v>
      </c>
      <c r="E66" s="37" t="s">
        <v>1989</v>
      </c>
      <c r="F66" s="37" t="s">
        <v>1989</v>
      </c>
      <c r="G66" s="37" t="s">
        <v>1989</v>
      </c>
      <c r="H66" s="37" t="s">
        <v>1989</v>
      </c>
      <c r="I66" s="37" t="s">
        <v>1989</v>
      </c>
      <c r="J66" s="37" t="s">
        <v>1989</v>
      </c>
      <c r="K66" s="37" t="s">
        <v>1989</v>
      </c>
      <c r="L66" s="37" t="s">
        <v>1989</v>
      </c>
      <c r="M66" s="37"/>
      <c r="N66" s="37"/>
      <c r="O66" s="37"/>
      <c r="P66" s="37"/>
      <c r="Q66" s="37"/>
      <c r="R66" s="37"/>
      <c r="S66" s="37"/>
      <c r="T66" s="37"/>
      <c r="U66" s="37" t="s">
        <v>1989</v>
      </c>
      <c r="V66" s="37" t="s">
        <v>1989</v>
      </c>
      <c r="W66" s="37"/>
      <c r="X66" s="37"/>
      <c r="Y66" s="37"/>
      <c r="Z66" s="37"/>
      <c r="AA66" s="37" t="s">
        <v>1989</v>
      </c>
      <c r="AB66" s="37" t="s">
        <v>1989</v>
      </c>
      <c r="AC66" s="37"/>
      <c r="AD66" s="37"/>
      <c r="AE66" s="37"/>
      <c r="AF66" s="37"/>
      <c r="AG66" s="37"/>
      <c r="AH66" s="37"/>
      <c r="AI66" s="37"/>
      <c r="AJ66" s="37"/>
      <c r="AK66" s="37"/>
      <c r="AL66" s="37"/>
      <c r="AM66" s="37"/>
      <c r="AN66" s="37"/>
      <c r="AO66" s="37"/>
      <c r="AP66" s="37"/>
      <c r="AQ66" s="37"/>
      <c r="AR66" s="37"/>
      <c r="AS66" s="37" t="s">
        <v>1989</v>
      </c>
      <c r="AT66" s="37" t="s">
        <v>1989</v>
      </c>
      <c r="AU66" s="37"/>
      <c r="AV66" s="37" t="s">
        <v>1989</v>
      </c>
      <c r="AW66" s="37" t="s">
        <v>1989</v>
      </c>
      <c r="AX66" s="37" t="s">
        <v>1989</v>
      </c>
      <c r="AY66" s="37" t="s">
        <v>1989</v>
      </c>
      <c r="AZ66" s="37" t="s">
        <v>1989</v>
      </c>
      <c r="BA66" s="37"/>
      <c r="BB66" s="37"/>
      <c r="BC66" s="37"/>
      <c r="BD66" s="37"/>
      <c r="BE66" s="37"/>
      <c r="BF66" s="37"/>
      <c r="BG66" s="37" t="s">
        <v>1989</v>
      </c>
      <c r="BH66" s="37" t="s">
        <v>1989</v>
      </c>
      <c r="BI66" s="37"/>
      <c r="BJ66" s="37"/>
      <c r="BK66" s="37"/>
      <c r="BL66" s="37"/>
      <c r="BM66" s="37" t="s">
        <v>1989</v>
      </c>
      <c r="BN66" s="37" t="s">
        <v>1989</v>
      </c>
      <c r="BO66" s="37"/>
      <c r="BP66" s="37"/>
      <c r="BQ66" s="37" t="s">
        <v>1989</v>
      </c>
      <c r="BR66" s="37" t="s">
        <v>1989</v>
      </c>
      <c r="BS66" s="37"/>
      <c r="BT66" s="37"/>
      <c r="BU66" s="37" t="s">
        <v>1989</v>
      </c>
      <c r="BV66" s="37" t="s">
        <v>1989</v>
      </c>
      <c r="BW66" s="37" t="s">
        <v>1989</v>
      </c>
    </row>
    <row r="67" spans="1:75" ht="15" customHeight="1">
      <c r="A67" s="37" t="s">
        <v>1989</v>
      </c>
      <c r="B67" s="37" t="s">
        <v>1989</v>
      </c>
      <c r="C67" s="37" t="s">
        <v>1989</v>
      </c>
      <c r="D67" s="37" t="s">
        <v>1989</v>
      </c>
      <c r="E67" s="37" t="s">
        <v>1989</v>
      </c>
      <c r="F67" s="37" t="s">
        <v>1989</v>
      </c>
      <c r="G67" s="37" t="s">
        <v>1989</v>
      </c>
      <c r="H67" s="37" t="s">
        <v>1989</v>
      </c>
      <c r="I67" s="37" t="s">
        <v>1989</v>
      </c>
      <c r="J67" s="37" t="s">
        <v>1989</v>
      </c>
      <c r="K67" s="37" t="s">
        <v>1989</v>
      </c>
      <c r="L67" s="37" t="s">
        <v>1989</v>
      </c>
      <c r="M67" s="37"/>
      <c r="N67" s="37"/>
      <c r="O67" s="37"/>
      <c r="P67" s="37"/>
      <c r="Q67" s="37"/>
      <c r="R67" s="37"/>
      <c r="S67" s="37"/>
      <c r="T67" s="37"/>
      <c r="U67" s="37" t="s">
        <v>1989</v>
      </c>
      <c r="V67" s="37" t="s">
        <v>1989</v>
      </c>
      <c r="W67" s="37"/>
      <c r="X67" s="37"/>
      <c r="Y67" s="37"/>
      <c r="Z67" s="37"/>
      <c r="AA67" s="37" t="s">
        <v>1989</v>
      </c>
      <c r="AB67" s="37" t="s">
        <v>1989</v>
      </c>
      <c r="AC67" s="37"/>
      <c r="AD67" s="37"/>
      <c r="AE67" s="37"/>
      <c r="AF67" s="37"/>
      <c r="AG67" s="37"/>
      <c r="AH67" s="37"/>
      <c r="AI67" s="37"/>
      <c r="AJ67" s="37"/>
      <c r="AK67" s="37"/>
      <c r="AL67" s="37"/>
      <c r="AM67" s="37"/>
      <c r="AN67" s="37"/>
      <c r="AO67" s="37"/>
      <c r="AP67" s="37"/>
      <c r="AQ67" s="37"/>
      <c r="AR67" s="37"/>
      <c r="AS67" s="37" t="s">
        <v>1989</v>
      </c>
      <c r="AT67" s="37" t="s">
        <v>1989</v>
      </c>
      <c r="AU67" s="37"/>
      <c r="AV67" s="37" t="s">
        <v>1989</v>
      </c>
      <c r="AW67" s="37" t="s">
        <v>1989</v>
      </c>
      <c r="AX67" s="37" t="s">
        <v>1989</v>
      </c>
      <c r="AY67" s="37" t="s">
        <v>1989</v>
      </c>
      <c r="AZ67" s="37" t="s">
        <v>1989</v>
      </c>
      <c r="BA67" s="37"/>
      <c r="BB67" s="37"/>
      <c r="BC67" s="37"/>
      <c r="BD67" s="37"/>
      <c r="BE67" s="37"/>
      <c r="BF67" s="37"/>
      <c r="BG67" s="37" t="s">
        <v>1989</v>
      </c>
      <c r="BH67" s="37" t="s">
        <v>1989</v>
      </c>
      <c r="BI67" s="37"/>
      <c r="BJ67" s="37"/>
      <c r="BK67" s="37"/>
      <c r="BL67" s="37"/>
      <c r="BM67" s="37" t="s">
        <v>1989</v>
      </c>
      <c r="BN67" s="37" t="s">
        <v>1989</v>
      </c>
      <c r="BO67" s="37"/>
      <c r="BP67" s="37"/>
      <c r="BQ67" s="37" t="s">
        <v>1989</v>
      </c>
      <c r="BR67" s="37" t="s">
        <v>1989</v>
      </c>
      <c r="BS67" s="37"/>
      <c r="BT67" s="37"/>
      <c r="BU67" s="37" t="s">
        <v>1989</v>
      </c>
      <c r="BV67" s="37" t="s">
        <v>1989</v>
      </c>
      <c r="BW67" s="37" t="s">
        <v>1989</v>
      </c>
    </row>
    <row r="68" spans="1:75" ht="15" customHeight="1">
      <c r="A68" s="37" t="s">
        <v>1989</v>
      </c>
      <c r="B68" s="37" t="s">
        <v>1989</v>
      </c>
      <c r="C68" s="37" t="s">
        <v>1989</v>
      </c>
      <c r="D68" s="37" t="s">
        <v>1989</v>
      </c>
      <c r="E68" s="37" t="s">
        <v>1989</v>
      </c>
      <c r="F68" s="37" t="s">
        <v>1989</v>
      </c>
      <c r="G68" s="37" t="s">
        <v>1989</v>
      </c>
      <c r="H68" s="37" t="s">
        <v>1989</v>
      </c>
      <c r="I68" s="37" t="s">
        <v>1989</v>
      </c>
      <c r="J68" s="37" t="s">
        <v>1989</v>
      </c>
      <c r="K68" s="37" t="s">
        <v>1989</v>
      </c>
      <c r="L68" s="37" t="s">
        <v>1989</v>
      </c>
      <c r="M68" s="37"/>
      <c r="N68" s="37"/>
      <c r="O68" s="37"/>
      <c r="P68" s="37"/>
      <c r="Q68" s="37"/>
      <c r="R68" s="37"/>
      <c r="S68" s="37"/>
      <c r="T68" s="37"/>
      <c r="U68" s="37"/>
      <c r="V68" s="37" t="s">
        <v>1989</v>
      </c>
      <c r="W68" s="37" t="s">
        <v>1989</v>
      </c>
      <c r="X68" s="37" t="s">
        <v>1989</v>
      </c>
      <c r="Y68" s="37"/>
      <c r="Z68" s="37"/>
      <c r="AA68" s="37" t="s">
        <v>1989</v>
      </c>
      <c r="AB68" s="37" t="s">
        <v>1989</v>
      </c>
      <c r="AC68" s="37"/>
      <c r="AD68" s="37"/>
      <c r="AE68" s="37"/>
      <c r="AF68" s="37"/>
      <c r="AG68" s="37"/>
      <c r="AH68" s="37"/>
      <c r="AI68" s="37"/>
      <c r="AJ68" s="37"/>
      <c r="AK68" s="37"/>
      <c r="AL68" s="37"/>
      <c r="AM68" s="37"/>
      <c r="AN68" s="37"/>
      <c r="AO68" s="37"/>
      <c r="AP68" s="37"/>
      <c r="AQ68" s="37"/>
      <c r="AR68" s="37"/>
      <c r="AS68" s="37" t="s">
        <v>1989</v>
      </c>
      <c r="AT68" s="37" t="s">
        <v>1989</v>
      </c>
      <c r="AU68" s="37"/>
      <c r="AV68" s="37"/>
      <c r="AW68" s="37"/>
      <c r="AX68" s="37"/>
      <c r="AY68" s="37" t="s">
        <v>1989</v>
      </c>
      <c r="AZ68" s="37" t="s">
        <v>1989</v>
      </c>
      <c r="BA68" s="37"/>
      <c r="BB68" s="37"/>
      <c r="BC68" s="37" t="s">
        <v>1989</v>
      </c>
      <c r="BD68" s="37" t="s">
        <v>1989</v>
      </c>
      <c r="BE68" s="37"/>
      <c r="BF68" s="37"/>
      <c r="BG68" s="37" t="s">
        <v>1989</v>
      </c>
      <c r="BH68" s="37" t="s">
        <v>1989</v>
      </c>
      <c r="BI68" s="37" t="s">
        <v>1989</v>
      </c>
      <c r="BJ68" s="37" t="s">
        <v>1989</v>
      </c>
      <c r="BK68" s="37" t="s">
        <v>1989</v>
      </c>
      <c r="BL68" s="37" t="s">
        <v>1989</v>
      </c>
      <c r="BM68" s="37" t="s">
        <v>1989</v>
      </c>
      <c r="BN68" s="37" t="s">
        <v>1989</v>
      </c>
      <c r="BO68" s="37"/>
      <c r="BP68" s="37"/>
      <c r="BQ68" s="37" t="s">
        <v>1989</v>
      </c>
      <c r="BR68" s="37" t="s">
        <v>1989</v>
      </c>
      <c r="BS68" s="37"/>
      <c r="BT68" s="37"/>
      <c r="BU68" s="37" t="s">
        <v>1989</v>
      </c>
      <c r="BV68" s="37" t="s">
        <v>1989</v>
      </c>
      <c r="BW68" s="37" t="s">
        <v>1989</v>
      </c>
    </row>
    <row r="69" spans="1:75" ht="15" customHeight="1">
      <c r="A69" s="37" t="s">
        <v>1989</v>
      </c>
      <c r="B69" s="37" t="s">
        <v>1989</v>
      </c>
      <c r="C69" s="37" t="s">
        <v>1989</v>
      </c>
      <c r="D69" s="37" t="s">
        <v>1989</v>
      </c>
      <c r="E69" s="37" t="s">
        <v>1989</v>
      </c>
      <c r="F69" s="37" t="s">
        <v>1989</v>
      </c>
      <c r="G69" s="37" t="s">
        <v>1989</v>
      </c>
      <c r="H69" s="37" t="s">
        <v>1989</v>
      </c>
      <c r="I69" s="37" t="s">
        <v>1989</v>
      </c>
      <c r="J69" s="37" t="s">
        <v>1989</v>
      </c>
      <c r="K69" s="37" t="s">
        <v>1989</v>
      </c>
      <c r="L69" s="37" t="s">
        <v>1989</v>
      </c>
      <c r="M69" s="37"/>
      <c r="N69" s="37"/>
      <c r="O69" s="37"/>
      <c r="P69" s="37"/>
      <c r="Q69" s="37"/>
      <c r="R69" s="37"/>
      <c r="S69" s="37"/>
      <c r="T69" s="37"/>
      <c r="U69" s="37"/>
      <c r="V69" s="37"/>
      <c r="W69" s="37" t="s">
        <v>1989</v>
      </c>
      <c r="X69" s="37" t="s">
        <v>1989</v>
      </c>
      <c r="Y69" s="37"/>
      <c r="Z69" s="37"/>
      <c r="AA69" s="37" t="s">
        <v>1989</v>
      </c>
      <c r="AB69" s="37" t="s">
        <v>1989</v>
      </c>
      <c r="AC69" s="37"/>
      <c r="AD69" s="37"/>
      <c r="AE69" s="37"/>
      <c r="AF69" s="37"/>
      <c r="AG69" s="37"/>
      <c r="AH69" s="37"/>
      <c r="AI69" s="37"/>
      <c r="AJ69" s="37"/>
      <c r="AK69" s="37"/>
      <c r="AL69" s="37"/>
      <c r="AM69" s="37"/>
      <c r="AN69" s="37"/>
      <c r="AO69" s="37"/>
      <c r="AP69" s="37"/>
      <c r="AQ69" s="37"/>
      <c r="AR69" s="37"/>
      <c r="AS69" s="37" t="s">
        <v>1989</v>
      </c>
      <c r="AT69" s="37" t="s">
        <v>1989</v>
      </c>
      <c r="AU69" s="37"/>
      <c r="AV69" s="37"/>
      <c r="AW69" s="37"/>
      <c r="AX69" s="37"/>
      <c r="AY69" s="37" t="s">
        <v>1989</v>
      </c>
      <c r="AZ69" s="37" t="s">
        <v>1989</v>
      </c>
      <c r="BA69" s="37"/>
      <c r="BB69" s="37"/>
      <c r="BC69" s="37" t="s">
        <v>1989</v>
      </c>
      <c r="BD69" s="37" t="s">
        <v>1989</v>
      </c>
      <c r="BE69" s="37"/>
      <c r="BF69" s="37"/>
      <c r="BG69" s="37" t="s">
        <v>1989</v>
      </c>
      <c r="BH69" s="37" t="s">
        <v>1989</v>
      </c>
      <c r="BI69" s="37" t="s">
        <v>1989</v>
      </c>
      <c r="BJ69" s="37" t="s">
        <v>1989</v>
      </c>
      <c r="BK69" s="37" t="s">
        <v>1989</v>
      </c>
      <c r="BL69" s="37" t="s">
        <v>1989</v>
      </c>
      <c r="BM69" s="37" t="s">
        <v>1989</v>
      </c>
      <c r="BN69" s="37" t="s">
        <v>1989</v>
      </c>
      <c r="BO69" s="37"/>
      <c r="BP69" s="37"/>
      <c r="BQ69" s="37" t="s">
        <v>1989</v>
      </c>
      <c r="BR69" s="37" t="s">
        <v>1989</v>
      </c>
      <c r="BS69" s="37"/>
      <c r="BT69" s="37"/>
      <c r="BU69" s="37" t="s">
        <v>1989</v>
      </c>
      <c r="BV69" s="37" t="s">
        <v>1989</v>
      </c>
      <c r="BW69" s="37" t="s">
        <v>1989</v>
      </c>
    </row>
    <row r="70" spans="1:75" ht="15" customHeight="1">
      <c r="A70" s="37" t="s">
        <v>1989</v>
      </c>
      <c r="B70" s="37" t="s">
        <v>1989</v>
      </c>
      <c r="C70" s="37" t="s">
        <v>1989</v>
      </c>
      <c r="D70" s="37" t="s">
        <v>1989</v>
      </c>
      <c r="E70" s="37" t="s">
        <v>1989</v>
      </c>
      <c r="F70" s="37" t="s">
        <v>1989</v>
      </c>
      <c r="G70" s="37" t="s">
        <v>1989</v>
      </c>
      <c r="H70" s="37" t="s">
        <v>1989</v>
      </c>
      <c r="I70" s="37" t="s">
        <v>1989</v>
      </c>
      <c r="J70" s="37" t="s">
        <v>1989</v>
      </c>
      <c r="K70" s="37" t="s">
        <v>1989</v>
      </c>
      <c r="L70" s="37" t="s">
        <v>1989</v>
      </c>
      <c r="M70" s="37" t="s">
        <v>1989</v>
      </c>
      <c r="N70" s="37" t="s">
        <v>1989</v>
      </c>
      <c r="O70" s="37" t="s">
        <v>1989</v>
      </c>
      <c r="P70" s="37" t="s">
        <v>1989</v>
      </c>
      <c r="Q70" s="37"/>
      <c r="R70" s="37"/>
      <c r="S70" s="37"/>
      <c r="T70" s="37"/>
      <c r="U70" s="37"/>
      <c r="V70" s="37"/>
      <c r="W70" s="37"/>
      <c r="X70" s="37" t="s">
        <v>1989</v>
      </c>
      <c r="Y70" s="37"/>
      <c r="Z70" s="37"/>
      <c r="AA70" s="37" t="s">
        <v>1989</v>
      </c>
      <c r="AB70" s="37" t="s">
        <v>1989</v>
      </c>
      <c r="AC70" s="37" t="s">
        <v>1989</v>
      </c>
      <c r="AD70" s="37" t="s">
        <v>1989</v>
      </c>
      <c r="AE70" s="37" t="s">
        <v>1989</v>
      </c>
      <c r="AF70" s="37" t="s">
        <v>1989</v>
      </c>
      <c r="AG70" s="37" t="s">
        <v>1989</v>
      </c>
      <c r="AH70" s="37" t="s">
        <v>1989</v>
      </c>
      <c r="AI70" s="37" t="s">
        <v>1989</v>
      </c>
      <c r="AJ70" s="37" t="s">
        <v>1989</v>
      </c>
      <c r="AK70" s="37" t="s">
        <v>1989</v>
      </c>
      <c r="AL70" s="37" t="s">
        <v>1989</v>
      </c>
      <c r="AM70" s="37" t="s">
        <v>1989</v>
      </c>
      <c r="AN70" s="37" t="s">
        <v>1989</v>
      </c>
      <c r="AO70" s="37" t="s">
        <v>1989</v>
      </c>
      <c r="AP70" s="37" t="s">
        <v>1989</v>
      </c>
      <c r="AQ70" s="37" t="s">
        <v>1989</v>
      </c>
      <c r="AR70" s="37" t="s">
        <v>1989</v>
      </c>
      <c r="AS70" s="37" t="s">
        <v>1989</v>
      </c>
      <c r="AT70" s="37" t="s">
        <v>1989</v>
      </c>
      <c r="AU70" s="37"/>
      <c r="AV70" s="37"/>
      <c r="AW70" s="37"/>
      <c r="AX70" s="37"/>
      <c r="AY70" s="37" t="s">
        <v>1989</v>
      </c>
      <c r="AZ70" s="37" t="s">
        <v>1989</v>
      </c>
      <c r="BA70" s="37"/>
      <c r="BB70" s="37"/>
      <c r="BC70" s="37" t="s">
        <v>1989</v>
      </c>
      <c r="BD70" s="37" t="s">
        <v>1989</v>
      </c>
      <c r="BE70" s="37"/>
      <c r="BF70" s="37"/>
      <c r="BG70" s="37"/>
      <c r="BH70" s="37"/>
      <c r="BI70" s="37"/>
      <c r="BJ70" s="37"/>
      <c r="BK70" s="37"/>
      <c r="BL70" s="37"/>
      <c r="BM70" s="37"/>
      <c r="BN70" s="37"/>
      <c r="BO70" s="37"/>
      <c r="BP70" s="37"/>
      <c r="BQ70" s="37" t="s">
        <v>1989</v>
      </c>
      <c r="BR70" s="37" t="s">
        <v>1989</v>
      </c>
      <c r="BS70" s="37"/>
      <c r="BT70" s="37"/>
      <c r="BU70" s="37" t="s">
        <v>1989</v>
      </c>
      <c r="BV70" s="37" t="s">
        <v>1989</v>
      </c>
      <c r="BW70" s="37" t="s">
        <v>1989</v>
      </c>
    </row>
    <row r="71" spans="1:75" ht="15" customHeight="1">
      <c r="A71" s="37" t="s">
        <v>1989</v>
      </c>
      <c r="B71" s="37" t="s">
        <v>1989</v>
      </c>
      <c r="C71" s="37" t="s">
        <v>1989</v>
      </c>
      <c r="D71" s="37" t="s">
        <v>1989</v>
      </c>
      <c r="E71" s="37" t="s">
        <v>1989</v>
      </c>
      <c r="F71" s="37" t="s">
        <v>1989</v>
      </c>
      <c r="G71" s="37" t="s">
        <v>1989</v>
      </c>
      <c r="H71" s="37" t="s">
        <v>1989</v>
      </c>
      <c r="I71" s="37" t="s">
        <v>1989</v>
      </c>
      <c r="J71" s="37" t="s">
        <v>1989</v>
      </c>
      <c r="K71" s="37" t="s">
        <v>1989</v>
      </c>
      <c r="L71" s="37" t="s">
        <v>1989</v>
      </c>
      <c r="M71" s="37" t="s">
        <v>1989</v>
      </c>
      <c r="N71" s="37" t="s">
        <v>1989</v>
      </c>
      <c r="O71" s="37" t="s">
        <v>1989</v>
      </c>
      <c r="P71" s="37" t="s">
        <v>1989</v>
      </c>
      <c r="Q71" s="37"/>
      <c r="R71" s="37"/>
      <c r="S71" s="37"/>
      <c r="T71" s="37"/>
      <c r="U71" s="37"/>
      <c r="V71" s="37"/>
      <c r="W71" s="37"/>
      <c r="X71" s="37"/>
      <c r="Y71" s="37"/>
      <c r="Z71" s="37"/>
      <c r="AA71" s="37" t="s">
        <v>1989</v>
      </c>
      <c r="AB71" s="37" t="s">
        <v>1989</v>
      </c>
      <c r="AC71" s="37" t="s">
        <v>1989</v>
      </c>
      <c r="AD71" s="37" t="s">
        <v>1989</v>
      </c>
      <c r="AE71" s="37" t="s">
        <v>1989</v>
      </c>
      <c r="AF71" s="37" t="s">
        <v>1989</v>
      </c>
      <c r="AG71" s="37" t="s">
        <v>1989</v>
      </c>
      <c r="AH71" s="37" t="s">
        <v>1989</v>
      </c>
      <c r="AI71" s="37" t="s">
        <v>1989</v>
      </c>
      <c r="AJ71" s="37" t="s">
        <v>1989</v>
      </c>
      <c r="AK71" s="37" t="s">
        <v>1989</v>
      </c>
      <c r="AL71" s="37" t="s">
        <v>1989</v>
      </c>
      <c r="AM71" s="37" t="s">
        <v>1989</v>
      </c>
      <c r="AN71" s="37" t="s">
        <v>1989</v>
      </c>
      <c r="AO71" s="37" t="s">
        <v>1989</v>
      </c>
      <c r="AP71" s="37" t="s">
        <v>1989</v>
      </c>
      <c r="AQ71" s="37" t="s">
        <v>1989</v>
      </c>
      <c r="AR71" s="37" t="s">
        <v>1989</v>
      </c>
      <c r="AS71" s="37" t="s">
        <v>1989</v>
      </c>
      <c r="AT71" s="37" t="s">
        <v>1989</v>
      </c>
      <c r="AU71" s="37"/>
      <c r="AV71" s="37"/>
      <c r="AW71" s="37"/>
      <c r="AX71" s="37"/>
      <c r="AY71" s="37" t="s">
        <v>1989</v>
      </c>
      <c r="AZ71" s="37" t="s">
        <v>1989</v>
      </c>
      <c r="BA71" s="37"/>
      <c r="BB71" s="37"/>
      <c r="BC71" s="37" t="s">
        <v>1989</v>
      </c>
      <c r="BD71" s="37" t="s">
        <v>1989</v>
      </c>
      <c r="BE71" s="37"/>
      <c r="BF71" s="37"/>
      <c r="BG71" s="37"/>
      <c r="BH71" s="37"/>
      <c r="BI71" s="37"/>
      <c r="BJ71" s="37"/>
      <c r="BK71" s="37"/>
      <c r="BL71" s="37"/>
      <c r="BM71" s="37"/>
      <c r="BN71" s="37"/>
      <c r="BO71" s="37"/>
      <c r="BP71" s="37"/>
      <c r="BQ71" s="37" t="s">
        <v>1989</v>
      </c>
      <c r="BR71" s="37" t="s">
        <v>1989</v>
      </c>
      <c r="BS71" s="37"/>
      <c r="BT71" s="37"/>
      <c r="BU71" s="37" t="s">
        <v>1989</v>
      </c>
      <c r="BV71" s="37" t="s">
        <v>1989</v>
      </c>
      <c r="BW71" s="37" t="s">
        <v>1989</v>
      </c>
    </row>
    <row r="72" spans="1:75" ht="15" customHeight="1">
      <c r="A72" s="37" t="s">
        <v>1989</v>
      </c>
      <c r="B72" s="37" t="s">
        <v>1989</v>
      </c>
      <c r="C72" s="37" t="s">
        <v>1989</v>
      </c>
      <c r="D72" s="37" t="s">
        <v>1989</v>
      </c>
      <c r="E72" s="37" t="s">
        <v>1989</v>
      </c>
      <c r="F72" s="37" t="s">
        <v>1989</v>
      </c>
      <c r="G72" s="37" t="s">
        <v>1989</v>
      </c>
      <c r="H72" s="37" t="s">
        <v>1989</v>
      </c>
      <c r="I72" s="37" t="s">
        <v>1989</v>
      </c>
      <c r="J72" s="37" t="s">
        <v>1989</v>
      </c>
      <c r="K72" s="37" t="s">
        <v>1989</v>
      </c>
      <c r="L72" s="37" t="s">
        <v>1989</v>
      </c>
      <c r="M72" s="37" t="s">
        <v>1989</v>
      </c>
      <c r="N72" s="37" t="s">
        <v>1989</v>
      </c>
      <c r="O72" s="37" t="s">
        <v>1989</v>
      </c>
      <c r="P72" s="37" t="s">
        <v>1989</v>
      </c>
      <c r="Q72" s="37"/>
      <c r="R72" s="37"/>
      <c r="S72" s="37"/>
      <c r="T72" s="37"/>
      <c r="U72" s="37"/>
      <c r="V72" s="37"/>
      <c r="W72" s="37"/>
      <c r="X72" s="37"/>
      <c r="Y72" s="37"/>
      <c r="Z72" s="37"/>
      <c r="AA72" s="37" t="s">
        <v>1989</v>
      </c>
      <c r="AB72" s="37" t="s">
        <v>1989</v>
      </c>
      <c r="AC72" s="37" t="s">
        <v>1989</v>
      </c>
      <c r="AD72" s="37" t="s">
        <v>1989</v>
      </c>
      <c r="AE72" s="37" t="s">
        <v>1989</v>
      </c>
      <c r="AF72" s="37" t="s">
        <v>1989</v>
      </c>
      <c r="AG72" s="37"/>
      <c r="AH72" s="37"/>
      <c r="AI72" s="37"/>
      <c r="AJ72" s="37"/>
      <c r="AK72" s="37"/>
      <c r="AL72" s="37"/>
      <c r="AM72" s="37"/>
      <c r="AN72" s="37"/>
      <c r="AO72" s="37"/>
      <c r="AP72" s="37"/>
      <c r="AQ72" s="37"/>
      <c r="AR72" s="37"/>
      <c r="AS72" s="37"/>
      <c r="AT72" s="37"/>
      <c r="AU72" s="37"/>
      <c r="AV72" s="37"/>
      <c r="AW72" s="37" t="s">
        <v>1989</v>
      </c>
      <c r="AX72" s="37" t="s">
        <v>1989</v>
      </c>
      <c r="AY72" s="37" t="s">
        <v>1989</v>
      </c>
      <c r="AZ72" s="37"/>
      <c r="BA72" s="37"/>
      <c r="BB72" s="37"/>
      <c r="BC72" s="37" t="s">
        <v>1989</v>
      </c>
      <c r="BD72" s="37" t="s">
        <v>1989</v>
      </c>
      <c r="BE72" s="37"/>
      <c r="BF72" s="37"/>
      <c r="BG72" s="37" t="s">
        <v>1989</v>
      </c>
      <c r="BH72" s="37" t="s">
        <v>1989</v>
      </c>
      <c r="BI72" s="37" t="s">
        <v>1989</v>
      </c>
      <c r="BJ72" s="37" t="s">
        <v>1989</v>
      </c>
      <c r="BK72" s="37" t="s">
        <v>1989</v>
      </c>
      <c r="BL72" s="37" t="s">
        <v>1989</v>
      </c>
      <c r="BM72" s="37" t="s">
        <v>1989</v>
      </c>
      <c r="BN72" s="37" t="s">
        <v>1989</v>
      </c>
      <c r="BO72" s="37" t="s">
        <v>1989</v>
      </c>
      <c r="BP72" s="37" t="s">
        <v>1989</v>
      </c>
      <c r="BQ72" s="37"/>
      <c r="BR72" s="37"/>
      <c r="BS72" s="37"/>
      <c r="BT72" s="37"/>
      <c r="BU72" s="37" t="s">
        <v>1989</v>
      </c>
      <c r="BV72" s="37" t="s">
        <v>1989</v>
      </c>
      <c r="BW72" s="37" t="s">
        <v>1989</v>
      </c>
    </row>
    <row r="73" spans="1:75" ht="15" customHeight="1">
      <c r="A73" s="37" t="s">
        <v>1989</v>
      </c>
      <c r="B73" s="37" t="s">
        <v>1989</v>
      </c>
      <c r="C73" s="37" t="s">
        <v>1989</v>
      </c>
      <c r="D73" s="37" t="s">
        <v>1989</v>
      </c>
      <c r="E73" s="37" t="s">
        <v>1989</v>
      </c>
      <c r="F73" s="37" t="s">
        <v>1989</v>
      </c>
      <c r="G73" s="37" t="s">
        <v>1989</v>
      </c>
      <c r="H73" s="37" t="s">
        <v>1989</v>
      </c>
      <c r="I73" s="37" t="s">
        <v>1989</v>
      </c>
      <c r="J73" s="37" t="s">
        <v>1989</v>
      </c>
      <c r="K73" s="37" t="s">
        <v>1989</v>
      </c>
      <c r="L73" s="37" t="s">
        <v>1989</v>
      </c>
      <c r="M73" s="37" t="s">
        <v>1989</v>
      </c>
      <c r="N73" s="37" t="s">
        <v>1989</v>
      </c>
      <c r="O73" s="37" t="s">
        <v>1989</v>
      </c>
      <c r="P73" s="37" t="s">
        <v>1989</v>
      </c>
      <c r="Q73" s="37"/>
      <c r="R73" s="37"/>
      <c r="S73" s="37"/>
      <c r="T73" s="37"/>
      <c r="U73" s="37" t="s">
        <v>1989</v>
      </c>
      <c r="V73" s="37"/>
      <c r="W73" s="37"/>
      <c r="X73" s="37"/>
      <c r="Y73" s="37"/>
      <c r="Z73" s="37"/>
      <c r="AA73" s="37" t="s">
        <v>1989</v>
      </c>
      <c r="AB73" s="37" t="s">
        <v>1989</v>
      </c>
      <c r="AC73" s="37" t="s">
        <v>1989</v>
      </c>
      <c r="AD73" s="37" t="s">
        <v>1989</v>
      </c>
      <c r="AE73" s="37" t="s">
        <v>1989</v>
      </c>
      <c r="AF73" s="37" t="s">
        <v>1989</v>
      </c>
      <c r="AG73" s="37"/>
      <c r="AH73" s="37"/>
      <c r="AI73" s="37"/>
      <c r="AJ73" s="37"/>
      <c r="AK73" s="37"/>
      <c r="AL73" s="37"/>
      <c r="AM73" s="37"/>
      <c r="AN73" s="37"/>
      <c r="AO73" s="37"/>
      <c r="AP73" s="37"/>
      <c r="AQ73" s="37"/>
      <c r="AR73" s="37"/>
      <c r="AS73" s="37"/>
      <c r="AT73" s="37"/>
      <c r="AU73" s="37"/>
      <c r="AV73" s="37"/>
      <c r="AW73" s="37" t="s">
        <v>1989</v>
      </c>
      <c r="AX73" s="37" t="s">
        <v>1989</v>
      </c>
      <c r="AY73" s="37"/>
      <c r="AZ73" s="37"/>
      <c r="BA73" s="37"/>
      <c r="BB73" s="37" t="s">
        <v>1989</v>
      </c>
      <c r="BC73" s="37" t="s">
        <v>1989</v>
      </c>
      <c r="BD73" s="37" t="s">
        <v>1989</v>
      </c>
      <c r="BE73" s="37"/>
      <c r="BF73" s="37"/>
      <c r="BG73" s="37" t="s">
        <v>1989</v>
      </c>
      <c r="BH73" s="37" t="s">
        <v>1989</v>
      </c>
      <c r="BI73" s="37" t="s">
        <v>1989</v>
      </c>
      <c r="BJ73" s="37" t="s">
        <v>1989</v>
      </c>
      <c r="BK73" s="37" t="s">
        <v>1989</v>
      </c>
      <c r="BL73" s="37" t="s">
        <v>1989</v>
      </c>
      <c r="BM73" s="37" t="s">
        <v>1989</v>
      </c>
      <c r="BN73" s="37" t="s">
        <v>1989</v>
      </c>
      <c r="BO73" s="37" t="s">
        <v>1989</v>
      </c>
      <c r="BP73" s="37" t="s">
        <v>1989</v>
      </c>
      <c r="BQ73" s="37"/>
      <c r="BR73" s="37"/>
      <c r="BS73" s="37"/>
      <c r="BT73" s="37"/>
      <c r="BU73" s="37" t="s">
        <v>1989</v>
      </c>
      <c r="BV73" s="37" t="s">
        <v>1989</v>
      </c>
      <c r="BW73" s="37" t="s">
        <v>1989</v>
      </c>
    </row>
    <row r="74" spans="1:75" ht="15" customHeight="1">
      <c r="A74" s="37" t="s">
        <v>1989</v>
      </c>
      <c r="B74" s="37" t="s">
        <v>1989</v>
      </c>
      <c r="C74" s="37" t="s">
        <v>1989</v>
      </c>
      <c r="D74" s="37" t="s">
        <v>1989</v>
      </c>
      <c r="E74" s="37" t="s">
        <v>1989</v>
      </c>
      <c r="F74" s="37" t="s">
        <v>1989</v>
      </c>
      <c r="G74" s="37"/>
      <c r="H74" s="37"/>
      <c r="I74" s="37"/>
      <c r="J74" s="37"/>
      <c r="K74" s="37"/>
      <c r="L74" s="37" t="s">
        <v>1989</v>
      </c>
      <c r="M74" s="37" t="s">
        <v>1989</v>
      </c>
      <c r="N74" s="37" t="s">
        <v>1989</v>
      </c>
      <c r="O74" s="37" t="s">
        <v>1989</v>
      </c>
      <c r="P74" s="37" t="s">
        <v>1989</v>
      </c>
      <c r="Q74" s="37"/>
      <c r="R74" s="37"/>
      <c r="S74" s="37"/>
      <c r="T74" s="37"/>
      <c r="U74" s="37" t="s">
        <v>1989</v>
      </c>
      <c r="V74" s="37" t="s">
        <v>1989</v>
      </c>
      <c r="W74" s="37"/>
      <c r="X74" s="37"/>
      <c r="Y74" s="37"/>
      <c r="Z74" s="37"/>
      <c r="AA74" s="37"/>
      <c r="AB74" s="37" t="s">
        <v>1989</v>
      </c>
      <c r="AC74" s="37" t="s">
        <v>1989</v>
      </c>
      <c r="AD74" s="37" t="s">
        <v>1989</v>
      </c>
      <c r="AE74" s="37" t="s">
        <v>1989</v>
      </c>
      <c r="AF74" s="37" t="s">
        <v>1989</v>
      </c>
      <c r="AG74" s="37"/>
      <c r="AH74" s="37" t="s">
        <v>1989</v>
      </c>
      <c r="AI74" s="37" t="s">
        <v>1989</v>
      </c>
      <c r="AJ74" s="37" t="s">
        <v>1989</v>
      </c>
      <c r="AK74" s="37" t="s">
        <v>1989</v>
      </c>
      <c r="AL74" s="37" t="s">
        <v>1989</v>
      </c>
      <c r="AM74" s="37"/>
      <c r="AN74" s="37"/>
      <c r="AO74" s="37"/>
      <c r="AP74" s="37" t="s">
        <v>1989</v>
      </c>
      <c r="AQ74" s="37" t="s">
        <v>1989</v>
      </c>
      <c r="AR74" s="37" t="s">
        <v>1989</v>
      </c>
      <c r="AS74" s="37" t="s">
        <v>1989</v>
      </c>
      <c r="AT74" s="37" t="s">
        <v>1989</v>
      </c>
      <c r="AU74" s="37" t="s">
        <v>1989</v>
      </c>
      <c r="AV74" s="37" t="s">
        <v>1989</v>
      </c>
      <c r="AW74" s="37" t="s">
        <v>1989</v>
      </c>
      <c r="AX74" s="37"/>
      <c r="AY74" s="37"/>
      <c r="AZ74" s="37"/>
      <c r="BA74" s="37" t="s">
        <v>1989</v>
      </c>
      <c r="BB74" s="37" t="s">
        <v>1989</v>
      </c>
      <c r="BC74" s="37" t="s">
        <v>1989</v>
      </c>
      <c r="BD74" s="37" t="s">
        <v>1989</v>
      </c>
      <c r="BE74" s="37"/>
      <c r="BF74" s="37"/>
      <c r="BG74" s="37" t="s">
        <v>1989</v>
      </c>
      <c r="BH74" s="37" t="s">
        <v>1989</v>
      </c>
      <c r="BI74" s="37" t="s">
        <v>1989</v>
      </c>
      <c r="BJ74" s="37" t="s">
        <v>1989</v>
      </c>
      <c r="BK74" s="37"/>
      <c r="BL74" s="37"/>
      <c r="BM74" s="37"/>
      <c r="BN74" s="37"/>
      <c r="BO74" s="37"/>
      <c r="BP74" s="37"/>
      <c r="BQ74" s="37"/>
      <c r="BR74" s="37"/>
      <c r="BS74" s="37"/>
      <c r="BT74" s="37"/>
      <c r="BU74" s="37" t="s">
        <v>1989</v>
      </c>
      <c r="BV74" s="37" t="s">
        <v>1989</v>
      </c>
      <c r="BW74" s="37" t="s">
        <v>1989</v>
      </c>
    </row>
    <row r="75" spans="1:75" ht="15" customHeight="1">
      <c r="A75" s="37" t="s">
        <v>1989</v>
      </c>
      <c r="B75" s="37" t="s">
        <v>1989</v>
      </c>
      <c r="C75" s="37" t="s">
        <v>1989</v>
      </c>
      <c r="D75" s="37" t="s">
        <v>1989</v>
      </c>
      <c r="E75" s="37" t="s">
        <v>1989</v>
      </c>
      <c r="F75" s="37" t="s">
        <v>1989</v>
      </c>
      <c r="G75" s="37"/>
      <c r="H75" s="37"/>
      <c r="I75" s="37"/>
      <c r="J75" s="37"/>
      <c r="K75" s="37"/>
      <c r="L75" s="37"/>
      <c r="M75" s="37" t="s">
        <v>1989</v>
      </c>
      <c r="N75" s="37" t="s">
        <v>1989</v>
      </c>
      <c r="O75" s="37" t="s">
        <v>1989</v>
      </c>
      <c r="P75" s="37" t="s">
        <v>1989</v>
      </c>
      <c r="Q75" s="37"/>
      <c r="R75" s="37"/>
      <c r="S75" s="37"/>
      <c r="T75" s="37"/>
      <c r="U75" s="37" t="s">
        <v>1989</v>
      </c>
      <c r="V75" s="37" t="s">
        <v>1989</v>
      </c>
      <c r="W75" s="37" t="s">
        <v>1989</v>
      </c>
      <c r="X75" s="37"/>
      <c r="Y75" s="37"/>
      <c r="Z75" s="37"/>
      <c r="AA75" s="37"/>
      <c r="AB75" s="37"/>
      <c r="AC75" s="37" t="s">
        <v>1989</v>
      </c>
      <c r="AD75" s="37" t="s">
        <v>1989</v>
      </c>
      <c r="AE75" s="37" t="s">
        <v>1989</v>
      </c>
      <c r="AF75" s="37" t="s">
        <v>1989</v>
      </c>
      <c r="AG75" s="37"/>
      <c r="AH75" s="37" t="s">
        <v>1989</v>
      </c>
      <c r="AI75" s="37" t="s">
        <v>1989</v>
      </c>
      <c r="AJ75" s="37" t="s">
        <v>1989</v>
      </c>
      <c r="AK75" s="37" t="s">
        <v>1989</v>
      </c>
      <c r="AL75" s="37"/>
      <c r="AM75" s="37"/>
      <c r="AN75" s="37"/>
      <c r="AO75" s="37"/>
      <c r="AP75" s="37" t="s">
        <v>1989</v>
      </c>
      <c r="AQ75" s="37" t="s">
        <v>1989</v>
      </c>
      <c r="AR75" s="37" t="s">
        <v>1989</v>
      </c>
      <c r="AS75" s="37" t="s">
        <v>1989</v>
      </c>
      <c r="AT75" s="37" t="s">
        <v>1989</v>
      </c>
      <c r="AU75" s="37" t="s">
        <v>1989</v>
      </c>
      <c r="AV75" s="37" t="s">
        <v>1989</v>
      </c>
      <c r="AW75" s="37"/>
      <c r="AX75" s="37"/>
      <c r="AY75" s="37"/>
      <c r="AZ75" s="37"/>
      <c r="BA75" s="37" t="s">
        <v>1989</v>
      </c>
      <c r="BB75" s="37" t="s">
        <v>1989</v>
      </c>
      <c r="BC75" s="37" t="s">
        <v>1989</v>
      </c>
      <c r="BD75" s="37" t="s">
        <v>1989</v>
      </c>
      <c r="BE75" s="37"/>
      <c r="BF75" s="37"/>
      <c r="BG75" s="37" t="s">
        <v>1989</v>
      </c>
      <c r="BH75" s="37" t="s">
        <v>1989</v>
      </c>
      <c r="BI75" s="37" t="s">
        <v>1989</v>
      </c>
      <c r="BJ75" s="37" t="s">
        <v>1989</v>
      </c>
      <c r="BK75" s="37"/>
      <c r="BL75" s="37"/>
      <c r="BM75" s="37"/>
      <c r="BN75" s="37"/>
      <c r="BO75" s="37"/>
      <c r="BP75" s="37"/>
      <c r="BQ75" s="37"/>
      <c r="BR75" s="37"/>
      <c r="BS75" s="37"/>
      <c r="BT75" s="37"/>
      <c r="BU75" s="37" t="s">
        <v>1989</v>
      </c>
      <c r="BV75" s="37" t="s">
        <v>1989</v>
      </c>
      <c r="BW75" s="37" t="s">
        <v>1989</v>
      </c>
    </row>
    <row r="76" spans="1:75" ht="15" customHeight="1">
      <c r="A76" s="37" t="s">
        <v>1989</v>
      </c>
      <c r="B76" s="37" t="s">
        <v>1989</v>
      </c>
      <c r="C76" s="37" t="s">
        <v>1989</v>
      </c>
      <c r="D76" s="37" t="s">
        <v>1989</v>
      </c>
      <c r="E76" s="37" t="s">
        <v>1989</v>
      </c>
      <c r="F76" s="37" t="s">
        <v>1989</v>
      </c>
      <c r="G76" s="37"/>
      <c r="H76" s="37"/>
      <c r="I76" s="37"/>
      <c r="J76" s="40"/>
      <c r="K76" s="37"/>
      <c r="L76" s="37"/>
      <c r="M76" s="37"/>
      <c r="N76" s="37" t="s">
        <v>1989</v>
      </c>
      <c r="O76" s="37" t="s">
        <v>1989</v>
      </c>
      <c r="P76" s="37" t="s">
        <v>1989</v>
      </c>
      <c r="Q76" s="37"/>
      <c r="R76" s="37"/>
      <c r="S76" s="37"/>
      <c r="T76" s="37"/>
      <c r="U76" s="37" t="s">
        <v>1989</v>
      </c>
      <c r="V76" s="37" t="s">
        <v>1989</v>
      </c>
      <c r="W76" s="37" t="s">
        <v>1989</v>
      </c>
      <c r="X76" s="37" t="s">
        <v>1989</v>
      </c>
      <c r="Y76" s="37"/>
      <c r="Z76" s="37"/>
      <c r="AA76" s="37"/>
      <c r="AB76" s="37"/>
      <c r="AC76" s="37"/>
      <c r="AD76" s="37" t="s">
        <v>1989</v>
      </c>
      <c r="AE76" s="37" t="s">
        <v>1989</v>
      </c>
      <c r="AF76" s="37" t="s">
        <v>1989</v>
      </c>
      <c r="AG76" s="37"/>
      <c r="AH76" s="37"/>
      <c r="AI76" s="37" t="s">
        <v>1989</v>
      </c>
      <c r="AJ76" s="37" t="s">
        <v>1989</v>
      </c>
      <c r="AK76" s="37"/>
      <c r="AL76" s="37"/>
      <c r="AM76" s="37"/>
      <c r="AN76" s="37"/>
      <c r="AO76" s="37" t="s">
        <v>1989</v>
      </c>
      <c r="AP76" s="37" t="s">
        <v>1989</v>
      </c>
      <c r="AQ76" s="37" t="s">
        <v>1989</v>
      </c>
      <c r="AR76" s="37" t="s">
        <v>1989</v>
      </c>
      <c r="AS76" s="37" t="s">
        <v>1989</v>
      </c>
      <c r="AT76" s="37" t="s">
        <v>1989</v>
      </c>
      <c r="AU76" s="37" t="s">
        <v>1989</v>
      </c>
      <c r="AV76" s="37"/>
      <c r="AW76" s="37"/>
      <c r="AX76" s="37"/>
      <c r="AY76" s="37"/>
      <c r="AZ76" s="37" t="s">
        <v>1989</v>
      </c>
      <c r="BA76" s="37"/>
      <c r="BB76" s="37"/>
      <c r="BC76" s="37"/>
      <c r="BD76" s="37"/>
      <c r="BE76" s="37"/>
      <c r="BF76" s="37"/>
      <c r="BG76" s="37"/>
      <c r="BH76" s="37"/>
      <c r="BI76" s="37"/>
      <c r="BJ76" s="37"/>
      <c r="BK76" s="37"/>
      <c r="BL76" s="37"/>
      <c r="BM76" s="37"/>
      <c r="BN76" s="37"/>
      <c r="BO76" s="37" t="s">
        <v>1989</v>
      </c>
      <c r="BP76" s="37" t="s">
        <v>1989</v>
      </c>
      <c r="BQ76" s="37" t="s">
        <v>1989</v>
      </c>
      <c r="BR76" s="37" t="s">
        <v>1989</v>
      </c>
      <c r="BS76" s="37" t="s">
        <v>1989</v>
      </c>
      <c r="BT76" s="37" t="s">
        <v>1989</v>
      </c>
      <c r="BU76" s="37" t="s">
        <v>1989</v>
      </c>
      <c r="BV76" s="37" t="s">
        <v>1989</v>
      </c>
      <c r="BW76" s="37" t="s">
        <v>1989</v>
      </c>
    </row>
    <row r="77" spans="1:75" ht="15" customHeight="1">
      <c r="A77" s="37" t="s">
        <v>1989</v>
      </c>
      <c r="B77" s="37" t="s">
        <v>1989</v>
      </c>
      <c r="C77" s="37" t="s">
        <v>1989</v>
      </c>
      <c r="D77" s="37" t="s">
        <v>1989</v>
      </c>
      <c r="E77" s="37" t="s">
        <v>1989</v>
      </c>
      <c r="F77" s="37" t="s">
        <v>1989</v>
      </c>
      <c r="G77" s="37"/>
      <c r="H77" s="37"/>
      <c r="I77" s="37"/>
      <c r="J77" s="37"/>
      <c r="K77" s="37" t="s">
        <v>1989</v>
      </c>
      <c r="L77" s="37"/>
      <c r="M77" s="37"/>
      <c r="N77" s="37"/>
      <c r="O77" s="37" t="s">
        <v>1989</v>
      </c>
      <c r="P77" s="37" t="s">
        <v>1989</v>
      </c>
      <c r="Q77" s="37"/>
      <c r="R77" s="37"/>
      <c r="S77" s="37"/>
      <c r="T77" s="37"/>
      <c r="U77" s="37" t="s">
        <v>1989</v>
      </c>
      <c r="V77" s="37" t="s">
        <v>1989</v>
      </c>
      <c r="W77" s="37" t="s">
        <v>1989</v>
      </c>
      <c r="X77" s="37" t="s">
        <v>1989</v>
      </c>
      <c r="Y77" s="37" t="s">
        <v>1989</v>
      </c>
      <c r="Z77" s="37"/>
      <c r="AA77" s="37"/>
      <c r="AB77" s="37"/>
      <c r="AC77" s="37"/>
      <c r="AD77" s="37"/>
      <c r="AE77" s="37" t="s">
        <v>1989</v>
      </c>
      <c r="AF77" s="37" t="s">
        <v>1989</v>
      </c>
      <c r="AG77" s="37"/>
      <c r="AH77" s="37"/>
      <c r="AI77" s="37" t="s">
        <v>1989</v>
      </c>
      <c r="AJ77" s="37"/>
      <c r="AK77" s="37"/>
      <c r="AL77" s="37"/>
      <c r="AM77" s="37"/>
      <c r="AN77" s="37" t="s">
        <v>1989</v>
      </c>
      <c r="AO77" s="37" t="s">
        <v>1989</v>
      </c>
      <c r="AP77" s="37" t="s">
        <v>1989</v>
      </c>
      <c r="AQ77" s="37" t="s">
        <v>1989</v>
      </c>
      <c r="AR77" s="37" t="s">
        <v>1989</v>
      </c>
      <c r="AS77" s="37" t="s">
        <v>1989</v>
      </c>
      <c r="AT77" s="37" t="s">
        <v>1989</v>
      </c>
      <c r="AU77" s="37"/>
      <c r="AV77" s="37"/>
      <c r="AW77" s="37"/>
      <c r="AX77" s="37"/>
      <c r="AY77" s="37" t="s">
        <v>1989</v>
      </c>
      <c r="AZ77" s="37" t="s">
        <v>1989</v>
      </c>
      <c r="BA77" s="37"/>
      <c r="BB77" s="37"/>
      <c r="BC77" s="37"/>
      <c r="BD77" s="37"/>
      <c r="BE77" s="37"/>
      <c r="BF77" s="37"/>
      <c r="BG77" s="37"/>
      <c r="BH77" s="37"/>
      <c r="BI77" s="37"/>
      <c r="BJ77" s="37"/>
      <c r="BK77" s="37"/>
      <c r="BL77" s="37"/>
      <c r="BM77" s="37"/>
      <c r="BN77" s="37"/>
      <c r="BO77" s="37" t="s">
        <v>1989</v>
      </c>
      <c r="BP77" s="37"/>
      <c r="BQ77" s="37"/>
      <c r="BR77" s="37"/>
      <c r="BS77" s="37"/>
      <c r="BT77" s="37"/>
      <c r="BU77" s="37" t="s">
        <v>1989</v>
      </c>
      <c r="BV77" s="37" t="s">
        <v>1989</v>
      </c>
      <c r="BW77" s="37" t="s">
        <v>1989</v>
      </c>
    </row>
    <row r="78" spans="1:75" ht="15" customHeight="1">
      <c r="A78" s="37" t="s">
        <v>1989</v>
      </c>
      <c r="B78" s="37" t="s">
        <v>1989</v>
      </c>
      <c r="C78" s="37" t="s">
        <v>1989</v>
      </c>
      <c r="D78" s="37" t="s">
        <v>1989</v>
      </c>
      <c r="E78" s="37" t="s">
        <v>1989</v>
      </c>
      <c r="F78" s="37" t="s">
        <v>1989</v>
      </c>
      <c r="G78" s="37" t="s">
        <v>1989</v>
      </c>
      <c r="H78" s="37" t="s">
        <v>1989</v>
      </c>
      <c r="I78" s="37" t="s">
        <v>1989</v>
      </c>
      <c r="J78" s="37" t="s">
        <v>1989</v>
      </c>
      <c r="K78" s="37" t="s">
        <v>1989</v>
      </c>
      <c r="L78" s="37" t="s">
        <v>1989</v>
      </c>
      <c r="M78" s="37"/>
      <c r="N78" s="37"/>
      <c r="O78" s="37"/>
      <c r="P78" s="37"/>
      <c r="Q78" s="37"/>
      <c r="R78" s="37"/>
      <c r="S78" s="37"/>
      <c r="T78" s="37"/>
      <c r="U78" s="37" t="s">
        <v>1989</v>
      </c>
      <c r="V78" s="37" t="s">
        <v>1989</v>
      </c>
      <c r="W78" s="37" t="s">
        <v>1989</v>
      </c>
      <c r="X78" s="37" t="s">
        <v>1989</v>
      </c>
      <c r="Y78" s="37" t="s">
        <v>1989</v>
      </c>
      <c r="Z78" s="37" t="s">
        <v>1989</v>
      </c>
      <c r="AA78" s="37"/>
      <c r="AB78" s="37"/>
      <c r="AC78" s="37"/>
      <c r="AD78" s="37"/>
      <c r="AE78" s="37"/>
      <c r="AF78" s="37" t="s">
        <v>1989</v>
      </c>
      <c r="AG78" s="37" t="s">
        <v>1989</v>
      </c>
      <c r="AH78" s="37" t="s">
        <v>1989</v>
      </c>
      <c r="AI78" s="37"/>
      <c r="AJ78" s="37"/>
      <c r="AK78" s="37"/>
      <c r="AL78" s="37"/>
      <c r="AM78" s="37" t="s">
        <v>1989</v>
      </c>
      <c r="AN78" s="37" t="s">
        <v>1989</v>
      </c>
      <c r="AO78" s="37" t="s">
        <v>1989</v>
      </c>
      <c r="AP78" s="37" t="s">
        <v>1989</v>
      </c>
      <c r="AQ78" s="37" t="s">
        <v>1989</v>
      </c>
      <c r="AR78" s="37" t="s">
        <v>1989</v>
      </c>
      <c r="AS78" s="37" t="s">
        <v>1989</v>
      </c>
      <c r="AT78" s="37" t="s">
        <v>1989</v>
      </c>
      <c r="AU78" s="37"/>
      <c r="AV78" s="37"/>
      <c r="AW78" s="37"/>
      <c r="AX78" s="37" t="s">
        <v>1989</v>
      </c>
      <c r="AY78" s="37" t="s">
        <v>1989</v>
      </c>
      <c r="AZ78" s="37" t="s">
        <v>1989</v>
      </c>
      <c r="BA78" s="37" t="s">
        <v>1989</v>
      </c>
      <c r="BB78" s="37" t="s">
        <v>1989</v>
      </c>
      <c r="BC78" s="37" t="s">
        <v>1989</v>
      </c>
      <c r="BD78" s="37" t="s">
        <v>1989</v>
      </c>
      <c r="BE78" s="37"/>
      <c r="BF78" s="37"/>
      <c r="BG78" s="37" t="s">
        <v>1989</v>
      </c>
      <c r="BH78" s="37" t="s">
        <v>1989</v>
      </c>
      <c r="BI78" s="37" t="s">
        <v>1989</v>
      </c>
      <c r="BJ78" s="37" t="s">
        <v>1989</v>
      </c>
      <c r="BK78" s="37" t="s">
        <v>1989</v>
      </c>
      <c r="BL78" s="37" t="s">
        <v>1989</v>
      </c>
      <c r="BM78" s="37" t="s">
        <v>1989</v>
      </c>
      <c r="BN78" s="37" t="s">
        <v>1989</v>
      </c>
      <c r="BO78" s="37"/>
      <c r="BP78" s="37"/>
      <c r="BQ78" s="37"/>
      <c r="BR78" s="37"/>
      <c r="BS78" s="37"/>
      <c r="BT78" s="37"/>
      <c r="BU78" s="37" t="s">
        <v>1989</v>
      </c>
      <c r="BV78" s="37" t="s">
        <v>1989</v>
      </c>
      <c r="BW78" s="37" t="s">
        <v>1989</v>
      </c>
    </row>
    <row r="79" spans="1:75" ht="15" customHeight="1">
      <c r="A79" s="37" t="s">
        <v>1989</v>
      </c>
      <c r="B79" s="37" t="s">
        <v>1989</v>
      </c>
      <c r="C79" s="37" t="s">
        <v>1989</v>
      </c>
      <c r="D79" s="37" t="s">
        <v>1989</v>
      </c>
      <c r="E79" s="37" t="s">
        <v>1989</v>
      </c>
      <c r="F79" s="37" t="s">
        <v>1989</v>
      </c>
      <c r="G79" s="37" t="s">
        <v>1989</v>
      </c>
      <c r="H79" s="37" t="s">
        <v>1989</v>
      </c>
      <c r="I79" s="37" t="s">
        <v>1989</v>
      </c>
      <c r="J79" s="37" t="s">
        <v>1989</v>
      </c>
      <c r="K79" s="37" t="s">
        <v>1989</v>
      </c>
      <c r="L79" s="37" t="s">
        <v>1989</v>
      </c>
      <c r="M79" s="37" t="s">
        <v>1989</v>
      </c>
      <c r="N79" s="37"/>
      <c r="O79" s="37"/>
      <c r="P79" s="37"/>
      <c r="Q79" s="37"/>
      <c r="R79" s="37"/>
      <c r="S79" s="37"/>
      <c r="T79" s="37"/>
      <c r="U79" s="37" t="s">
        <v>1989</v>
      </c>
      <c r="V79" s="37" t="s">
        <v>1989</v>
      </c>
      <c r="W79" s="37" t="s">
        <v>1989</v>
      </c>
      <c r="X79" s="37" t="s">
        <v>1989</v>
      </c>
      <c r="Y79" s="37" t="s">
        <v>1989</v>
      </c>
      <c r="Z79" s="37" t="s">
        <v>1989</v>
      </c>
      <c r="AA79" s="37" t="s">
        <v>1989</v>
      </c>
      <c r="AB79" s="37"/>
      <c r="AC79" s="37"/>
      <c r="AD79" s="37"/>
      <c r="AE79" s="37"/>
      <c r="AF79" s="37"/>
      <c r="AG79" s="37" t="s">
        <v>1989</v>
      </c>
      <c r="AH79" s="37" t="s">
        <v>1989</v>
      </c>
      <c r="AI79" s="37"/>
      <c r="AJ79" s="37"/>
      <c r="AK79" s="37"/>
      <c r="AL79" s="37" t="s">
        <v>1989</v>
      </c>
      <c r="AM79" s="37" t="s">
        <v>1989</v>
      </c>
      <c r="AN79" s="37" t="s">
        <v>1989</v>
      </c>
      <c r="AO79" s="37" t="s">
        <v>1989</v>
      </c>
      <c r="AP79" s="37" t="s">
        <v>1989</v>
      </c>
      <c r="AQ79" s="37" t="s">
        <v>1989</v>
      </c>
      <c r="AR79" s="37" t="s">
        <v>1989</v>
      </c>
      <c r="AS79" s="37" t="s">
        <v>1989</v>
      </c>
      <c r="AT79" s="37"/>
      <c r="AU79" s="37"/>
      <c r="AV79" s="37"/>
      <c r="AW79" s="37" t="s">
        <v>1989</v>
      </c>
      <c r="AX79" s="37" t="s">
        <v>1989</v>
      </c>
      <c r="AY79" s="37" t="s">
        <v>1989</v>
      </c>
      <c r="AZ79" s="37" t="s">
        <v>1989</v>
      </c>
      <c r="BA79" s="37" t="s">
        <v>1989</v>
      </c>
      <c r="BB79" s="37" t="s">
        <v>1989</v>
      </c>
      <c r="BC79" s="37" t="s">
        <v>1989</v>
      </c>
      <c r="BD79" s="37" t="s">
        <v>1989</v>
      </c>
      <c r="BE79" s="37"/>
      <c r="BF79" s="37"/>
      <c r="BG79" s="37" t="s">
        <v>1989</v>
      </c>
      <c r="BH79" s="37" t="s">
        <v>1989</v>
      </c>
      <c r="BI79" s="37" t="s">
        <v>1989</v>
      </c>
      <c r="BJ79" s="37" t="s">
        <v>1989</v>
      </c>
      <c r="BK79" s="37" t="s">
        <v>1989</v>
      </c>
      <c r="BL79" s="37" t="s">
        <v>1989</v>
      </c>
      <c r="BM79" s="37" t="s">
        <v>1989</v>
      </c>
      <c r="BN79" s="37" t="s">
        <v>1989</v>
      </c>
      <c r="BO79" s="37"/>
      <c r="BP79" s="37"/>
      <c r="BQ79" s="37"/>
      <c r="BR79" s="37"/>
      <c r="BS79" s="37"/>
      <c r="BT79" s="37"/>
      <c r="BU79" s="37" t="s">
        <v>1989</v>
      </c>
      <c r="BV79" s="37" t="s">
        <v>1989</v>
      </c>
      <c r="BW79" s="37" t="s">
        <v>1989</v>
      </c>
    </row>
    <row r="80" spans="1:75" ht="15" customHeight="1">
      <c r="A80" s="37" t="s">
        <v>1989</v>
      </c>
      <c r="B80" s="37" t="s">
        <v>1989</v>
      </c>
      <c r="C80" s="37" t="s">
        <v>1989</v>
      </c>
      <c r="D80" s="37" t="s">
        <v>1989</v>
      </c>
      <c r="E80" s="37" t="s">
        <v>1989</v>
      </c>
      <c r="F80" s="37" t="s">
        <v>1989</v>
      </c>
      <c r="G80" s="37" t="s">
        <v>1989</v>
      </c>
      <c r="H80" s="37" t="s">
        <v>1989</v>
      </c>
      <c r="I80" s="37" t="s">
        <v>1989</v>
      </c>
      <c r="J80" s="37" t="s">
        <v>1989</v>
      </c>
      <c r="K80" s="37" t="s">
        <v>1989</v>
      </c>
      <c r="L80" s="37" t="s">
        <v>1989</v>
      </c>
      <c r="M80" s="37" t="s">
        <v>1989</v>
      </c>
      <c r="N80" s="37" t="s">
        <v>1989</v>
      </c>
      <c r="O80" s="37" t="s">
        <v>1989</v>
      </c>
      <c r="P80" s="37" t="s">
        <v>1989</v>
      </c>
      <c r="Q80" s="37" t="s">
        <v>1989</v>
      </c>
      <c r="R80" s="37" t="s">
        <v>1989</v>
      </c>
      <c r="S80" s="37"/>
      <c r="T80" s="37"/>
      <c r="U80" s="37"/>
      <c r="V80" s="37"/>
      <c r="W80" s="37"/>
      <c r="X80" s="37"/>
      <c r="Y80" s="37" t="s">
        <v>1989</v>
      </c>
      <c r="Z80" s="37" t="s">
        <v>1989</v>
      </c>
      <c r="AA80" s="37" t="s">
        <v>1989</v>
      </c>
      <c r="AB80" s="37" t="s">
        <v>1989</v>
      </c>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t="s">
        <v>1989</v>
      </c>
      <c r="BB80" s="37" t="s">
        <v>1989</v>
      </c>
      <c r="BC80" s="37" t="s">
        <v>1989</v>
      </c>
      <c r="BD80" s="37" t="s">
        <v>1989</v>
      </c>
      <c r="BE80" s="37"/>
      <c r="BF80" s="37"/>
      <c r="BG80" s="37"/>
      <c r="BH80" s="37"/>
      <c r="BI80" s="37"/>
      <c r="BJ80" s="37"/>
      <c r="BK80" s="37"/>
      <c r="BL80" s="37"/>
      <c r="BM80" s="37"/>
      <c r="BN80" s="37"/>
      <c r="BO80" s="37"/>
      <c r="BP80" s="37"/>
      <c r="BQ80" s="37"/>
      <c r="BR80" s="37"/>
      <c r="BS80" s="37"/>
      <c r="BT80" s="37"/>
      <c r="BU80" s="37" t="s">
        <v>1989</v>
      </c>
      <c r="BV80" s="37" t="s">
        <v>1989</v>
      </c>
      <c r="BW80" s="37" t="s">
        <v>1989</v>
      </c>
    </row>
    <row r="81" spans="1:75" ht="15" customHeight="1">
      <c r="A81" s="37" t="s">
        <v>1989</v>
      </c>
      <c r="B81" s="37" t="s">
        <v>1989</v>
      </c>
      <c r="C81" s="37" t="s">
        <v>1989</v>
      </c>
      <c r="D81" s="37" t="s">
        <v>1989</v>
      </c>
      <c r="E81" s="37" t="s">
        <v>1989</v>
      </c>
      <c r="F81" s="37" t="s">
        <v>1989</v>
      </c>
      <c r="G81" s="37" t="s">
        <v>1989</v>
      </c>
      <c r="H81" s="37" t="s">
        <v>1989</v>
      </c>
      <c r="I81" s="37" t="s">
        <v>1989</v>
      </c>
      <c r="J81" s="37" t="s">
        <v>1989</v>
      </c>
      <c r="K81" s="37" t="s">
        <v>1989</v>
      </c>
      <c r="L81" s="37" t="s">
        <v>1989</v>
      </c>
      <c r="M81" s="37" t="s">
        <v>1989</v>
      </c>
      <c r="N81" s="37" t="s">
        <v>1989</v>
      </c>
      <c r="O81" s="37" t="s">
        <v>1989</v>
      </c>
      <c r="P81" s="37" t="s">
        <v>1989</v>
      </c>
      <c r="Q81" s="37" t="s">
        <v>1989</v>
      </c>
      <c r="R81" s="37" t="s">
        <v>1989</v>
      </c>
      <c r="S81" s="37"/>
      <c r="T81" s="37"/>
      <c r="U81" s="37"/>
      <c r="V81" s="37"/>
      <c r="W81" s="37"/>
      <c r="X81" s="37"/>
      <c r="Y81" s="37" t="s">
        <v>1989</v>
      </c>
      <c r="Z81" s="37" t="s">
        <v>1989</v>
      </c>
      <c r="AA81" s="37" t="s">
        <v>1989</v>
      </c>
      <c r="AB81" s="37" t="s">
        <v>1989</v>
      </c>
      <c r="AC81" s="37" t="s">
        <v>1989</v>
      </c>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t="s">
        <v>1989</v>
      </c>
      <c r="BB81" s="37" t="s">
        <v>1989</v>
      </c>
      <c r="BC81" s="37" t="s">
        <v>1989</v>
      </c>
      <c r="BD81" s="37" t="s">
        <v>1989</v>
      </c>
      <c r="BE81" s="37"/>
      <c r="BF81" s="37"/>
      <c r="BG81" s="37"/>
      <c r="BH81" s="37"/>
      <c r="BI81" s="37"/>
      <c r="BJ81" s="37"/>
      <c r="BK81" s="37"/>
      <c r="BL81" s="37"/>
      <c r="BM81" s="37"/>
      <c r="BN81" s="37"/>
      <c r="BO81" s="37" t="s">
        <v>1989</v>
      </c>
      <c r="BP81" s="37"/>
      <c r="BQ81" s="37"/>
      <c r="BR81" s="37"/>
      <c r="BS81" s="37"/>
      <c r="BT81" s="37"/>
      <c r="BU81" s="37" t="s">
        <v>1989</v>
      </c>
      <c r="BV81" s="37" t="s">
        <v>1989</v>
      </c>
      <c r="BW81" s="37" t="s">
        <v>1989</v>
      </c>
    </row>
    <row r="82" spans="1:75" ht="15" customHeight="1">
      <c r="A82" s="37" t="s">
        <v>1989</v>
      </c>
      <c r="B82" s="37" t="s">
        <v>1989</v>
      </c>
      <c r="C82" s="37" t="s">
        <v>1989</v>
      </c>
      <c r="D82" s="37" t="s">
        <v>1989</v>
      </c>
      <c r="E82" s="37" t="s">
        <v>1989</v>
      </c>
      <c r="F82" s="37" t="s">
        <v>1989</v>
      </c>
      <c r="G82" s="37" t="s">
        <v>1989</v>
      </c>
      <c r="H82" s="37" t="s">
        <v>1989</v>
      </c>
      <c r="I82" s="37" t="s">
        <v>1989</v>
      </c>
      <c r="J82" s="37" t="s">
        <v>1989</v>
      </c>
      <c r="K82" s="37"/>
      <c r="L82" s="37"/>
      <c r="M82" s="37"/>
      <c r="N82" s="37"/>
      <c r="O82" s="37" t="s">
        <v>1989</v>
      </c>
      <c r="P82" s="37" t="s">
        <v>1989</v>
      </c>
      <c r="Q82" s="37" t="s">
        <v>1989</v>
      </c>
      <c r="R82" s="37" t="s">
        <v>1989</v>
      </c>
      <c r="S82" s="37" t="s">
        <v>1989</v>
      </c>
      <c r="T82" s="37" t="s">
        <v>1989</v>
      </c>
      <c r="U82" s="37" t="s">
        <v>1989</v>
      </c>
      <c r="V82" s="37" t="s">
        <v>1989</v>
      </c>
      <c r="W82" s="37"/>
      <c r="X82" s="37"/>
      <c r="Y82" s="37" t="s">
        <v>1989</v>
      </c>
      <c r="Z82" s="37" t="s">
        <v>1989</v>
      </c>
      <c r="AA82" s="37" t="s">
        <v>1989</v>
      </c>
      <c r="AB82" s="37" t="s">
        <v>1989</v>
      </c>
      <c r="AC82" s="37" t="s">
        <v>1989</v>
      </c>
      <c r="AD82" s="37" t="s">
        <v>1989</v>
      </c>
      <c r="AE82" s="37"/>
      <c r="AF82" s="37"/>
      <c r="AG82" s="37"/>
      <c r="AH82" s="37"/>
      <c r="AI82" s="37"/>
      <c r="AJ82" s="37"/>
      <c r="AK82" s="37"/>
      <c r="AL82" s="37"/>
      <c r="AM82" s="37"/>
      <c r="AN82" s="37"/>
      <c r="AO82" s="37" t="s">
        <v>1989</v>
      </c>
      <c r="AP82" s="37" t="s">
        <v>1989</v>
      </c>
      <c r="AQ82" s="37" t="s">
        <v>1989</v>
      </c>
      <c r="AR82" s="37" t="s">
        <v>1989</v>
      </c>
      <c r="AS82" s="37" t="s">
        <v>1989</v>
      </c>
      <c r="AT82" s="37"/>
      <c r="AU82" s="37"/>
      <c r="AV82" s="37"/>
      <c r="AW82" s="37" t="s">
        <v>1989</v>
      </c>
      <c r="AX82" s="37" t="s">
        <v>1989</v>
      </c>
      <c r="AY82" s="37"/>
      <c r="AZ82" s="37"/>
      <c r="BA82" s="37" t="s">
        <v>1989</v>
      </c>
      <c r="BB82" s="37" t="s">
        <v>1989</v>
      </c>
      <c r="BC82" s="37" t="s">
        <v>1989</v>
      </c>
      <c r="BD82" s="37" t="s">
        <v>1989</v>
      </c>
      <c r="BE82" s="37"/>
      <c r="BF82" s="37"/>
      <c r="BG82" s="37" t="s">
        <v>1989</v>
      </c>
      <c r="BH82" s="37" t="s">
        <v>1989</v>
      </c>
      <c r="BI82" s="37" t="s">
        <v>1989</v>
      </c>
      <c r="BJ82" s="37" t="s">
        <v>1989</v>
      </c>
      <c r="BK82" s="37" t="s">
        <v>1989</v>
      </c>
      <c r="BL82" s="37" t="s">
        <v>1989</v>
      </c>
      <c r="BM82" s="37" t="s">
        <v>1989</v>
      </c>
      <c r="BN82" s="37" t="s">
        <v>1989</v>
      </c>
      <c r="BO82" s="37" t="s">
        <v>1989</v>
      </c>
      <c r="BP82" s="37" t="s">
        <v>1989</v>
      </c>
      <c r="BQ82" s="37"/>
      <c r="BR82" s="37"/>
      <c r="BS82" s="37"/>
      <c r="BT82" s="37" t="s">
        <v>1989</v>
      </c>
      <c r="BU82" s="37" t="s">
        <v>1989</v>
      </c>
      <c r="BV82" s="37" t="s">
        <v>1989</v>
      </c>
      <c r="BW82" s="37" t="s">
        <v>1989</v>
      </c>
    </row>
    <row r="83" spans="1:75" ht="15" customHeight="1">
      <c r="A83" s="37" t="s">
        <v>1989</v>
      </c>
      <c r="B83" s="37" t="s">
        <v>1989</v>
      </c>
      <c r="C83" s="37" t="s">
        <v>1989</v>
      </c>
      <c r="D83" s="37" t="s">
        <v>1989</v>
      </c>
      <c r="E83" s="37" t="s">
        <v>1989</v>
      </c>
      <c r="F83" s="37" t="s">
        <v>1989</v>
      </c>
      <c r="G83" s="37" t="s">
        <v>1989</v>
      </c>
      <c r="H83" s="37" t="s">
        <v>1989</v>
      </c>
      <c r="I83" s="37" t="s">
        <v>1989</v>
      </c>
      <c r="J83" s="37" t="s">
        <v>1989</v>
      </c>
      <c r="K83" s="37"/>
      <c r="L83" s="37"/>
      <c r="M83" s="37"/>
      <c r="N83" s="37"/>
      <c r="O83" s="37" t="s">
        <v>1989</v>
      </c>
      <c r="P83" s="37" t="s">
        <v>1989</v>
      </c>
      <c r="Q83" s="37" t="s">
        <v>1989</v>
      </c>
      <c r="R83" s="37" t="s">
        <v>1989</v>
      </c>
      <c r="S83" s="37" t="s">
        <v>1989</v>
      </c>
      <c r="T83" s="37" t="s">
        <v>1989</v>
      </c>
      <c r="U83" s="37" t="s">
        <v>1989</v>
      </c>
      <c r="V83" s="37" t="s">
        <v>1989</v>
      </c>
      <c r="W83" s="37"/>
      <c r="X83" s="37"/>
      <c r="Y83" s="37" t="s">
        <v>1989</v>
      </c>
      <c r="Z83" s="37" t="s">
        <v>1989</v>
      </c>
      <c r="AA83" s="37" t="s">
        <v>1989</v>
      </c>
      <c r="AB83" s="37" t="s">
        <v>1989</v>
      </c>
      <c r="AC83" s="37" t="s">
        <v>1989</v>
      </c>
      <c r="AD83" s="37" t="s">
        <v>1989</v>
      </c>
      <c r="AE83" s="37" t="s">
        <v>1989</v>
      </c>
      <c r="AF83" s="37"/>
      <c r="AG83" s="37"/>
      <c r="AH83" s="37"/>
      <c r="AI83" s="37"/>
      <c r="AJ83" s="37"/>
      <c r="AK83" s="37"/>
      <c r="AL83" s="37"/>
      <c r="AM83" s="37"/>
      <c r="AN83" s="37"/>
      <c r="AO83" s="37" t="s">
        <v>1989</v>
      </c>
      <c r="AP83" s="37" t="s">
        <v>1989</v>
      </c>
      <c r="AQ83" s="37" t="s">
        <v>1989</v>
      </c>
      <c r="AR83" s="37" t="s">
        <v>1989</v>
      </c>
      <c r="AS83" s="37"/>
      <c r="AT83" s="37"/>
      <c r="AU83" s="37"/>
      <c r="AV83" s="37" t="s">
        <v>1989</v>
      </c>
      <c r="AW83" s="37" t="s">
        <v>1989</v>
      </c>
      <c r="AX83" s="37" t="s">
        <v>1989</v>
      </c>
      <c r="AY83" s="37"/>
      <c r="AZ83" s="37"/>
      <c r="BA83" s="37" t="s">
        <v>1989</v>
      </c>
      <c r="BB83" s="37" t="s">
        <v>1989</v>
      </c>
      <c r="BC83" s="37" t="s">
        <v>1989</v>
      </c>
      <c r="BD83" s="37" t="s">
        <v>1989</v>
      </c>
      <c r="BE83" s="37"/>
      <c r="BF83" s="37"/>
      <c r="BG83" s="37" t="s">
        <v>1989</v>
      </c>
      <c r="BH83" s="37" t="s">
        <v>1989</v>
      </c>
      <c r="BI83" s="37" t="s">
        <v>1989</v>
      </c>
      <c r="BJ83" s="37" t="s">
        <v>1989</v>
      </c>
      <c r="BK83" s="37" t="s">
        <v>1989</v>
      </c>
      <c r="BL83" s="37" t="s">
        <v>1989</v>
      </c>
      <c r="BM83" s="37" t="s">
        <v>1989</v>
      </c>
      <c r="BN83" s="37" t="s">
        <v>1989</v>
      </c>
      <c r="BO83" s="37" t="s">
        <v>1989</v>
      </c>
      <c r="BP83" s="37" t="s">
        <v>1989</v>
      </c>
      <c r="BQ83" s="37"/>
      <c r="BR83" s="37"/>
      <c r="BS83" s="37" t="s">
        <v>1989</v>
      </c>
      <c r="BT83" s="37" t="s">
        <v>1989</v>
      </c>
      <c r="BU83" s="37" t="s">
        <v>1989</v>
      </c>
      <c r="BV83" s="37" t="s">
        <v>1989</v>
      </c>
      <c r="BW83" s="37" t="s">
        <v>1989</v>
      </c>
    </row>
    <row r="84" spans="1:75" ht="15" customHeight="1">
      <c r="A84" s="37" t="s">
        <v>1989</v>
      </c>
      <c r="B84" s="37" t="s">
        <v>1989</v>
      </c>
      <c r="C84" s="37" t="s">
        <v>1989</v>
      </c>
      <c r="D84" s="37" t="s">
        <v>1989</v>
      </c>
      <c r="E84" s="37" t="s">
        <v>1989</v>
      </c>
      <c r="F84" s="37" t="s">
        <v>1989</v>
      </c>
      <c r="G84" s="37"/>
      <c r="H84" s="37"/>
      <c r="I84" s="37"/>
      <c r="J84" s="37"/>
      <c r="K84" s="47"/>
      <c r="L84" s="37"/>
      <c r="M84" s="37"/>
      <c r="N84" s="37"/>
      <c r="O84" s="37"/>
      <c r="P84" s="37"/>
      <c r="Q84" s="37"/>
      <c r="R84" s="37"/>
      <c r="S84" s="37"/>
      <c r="T84" s="37"/>
      <c r="U84" s="37"/>
      <c r="V84" s="37"/>
      <c r="W84" s="37"/>
      <c r="X84" s="37"/>
      <c r="Y84" s="37"/>
      <c r="Z84" s="37"/>
      <c r="AA84" s="37"/>
      <c r="AB84" s="37"/>
      <c r="AC84" s="37" t="s">
        <v>1989</v>
      </c>
      <c r="AD84" s="37" t="s">
        <v>1989</v>
      </c>
      <c r="AE84" s="37" t="s">
        <v>1989</v>
      </c>
      <c r="AF84" s="37" t="s">
        <v>1989</v>
      </c>
      <c r="AG84" s="37" t="s">
        <v>1989</v>
      </c>
      <c r="AH84" s="37" t="s">
        <v>1989</v>
      </c>
      <c r="AI84" s="37" t="s">
        <v>1989</v>
      </c>
      <c r="AJ84" s="37" t="s">
        <v>1989</v>
      </c>
      <c r="AK84" s="37" t="s">
        <v>1989</v>
      </c>
      <c r="AL84" s="37" t="s">
        <v>1989</v>
      </c>
      <c r="AM84" s="37" t="s">
        <v>1989</v>
      </c>
      <c r="AN84" s="37" t="s">
        <v>1989</v>
      </c>
      <c r="AO84" s="37" t="s">
        <v>1989</v>
      </c>
      <c r="AP84" s="37" t="s">
        <v>1989</v>
      </c>
      <c r="AQ84" s="37" t="s">
        <v>1989</v>
      </c>
      <c r="AR84" s="37"/>
      <c r="AS84" s="37"/>
      <c r="AT84" s="37"/>
      <c r="AU84" s="37" t="s">
        <v>1989</v>
      </c>
      <c r="AV84" s="37" t="s">
        <v>1989</v>
      </c>
      <c r="AW84" s="37" t="s">
        <v>1989</v>
      </c>
      <c r="AX84" s="37" t="s">
        <v>1989</v>
      </c>
      <c r="AY84" s="37"/>
      <c r="AZ84" s="37"/>
      <c r="BA84" s="37" t="s">
        <v>1989</v>
      </c>
      <c r="BB84" s="37" t="s">
        <v>1989</v>
      </c>
      <c r="BC84" s="37" t="s">
        <v>1989</v>
      </c>
      <c r="BD84" s="37" t="s">
        <v>1989</v>
      </c>
      <c r="BE84" s="37"/>
      <c r="BF84" s="37"/>
      <c r="BG84" s="37"/>
      <c r="BH84" s="37"/>
      <c r="BI84" s="37"/>
      <c r="BJ84" s="37"/>
      <c r="BK84" s="37"/>
      <c r="BL84" s="37"/>
      <c r="BM84" s="37"/>
      <c r="BN84" s="37"/>
      <c r="BO84" s="37"/>
      <c r="BP84" s="37"/>
      <c r="BQ84" s="37"/>
      <c r="BR84" s="37"/>
      <c r="BS84" s="37" t="s">
        <v>1989</v>
      </c>
      <c r="BT84" s="37" t="s">
        <v>1989</v>
      </c>
      <c r="BU84" s="37" t="s">
        <v>1989</v>
      </c>
      <c r="BV84" s="37" t="s">
        <v>1989</v>
      </c>
      <c r="BW84" s="37" t="s">
        <v>1989</v>
      </c>
    </row>
    <row r="85" spans="1:75" ht="15" customHeight="1" thickBot="1">
      <c r="A85" s="37" t="s">
        <v>1989</v>
      </c>
      <c r="B85" s="37" t="s">
        <v>1989</v>
      </c>
      <c r="C85" s="37" t="s">
        <v>1989</v>
      </c>
      <c r="D85" s="37" t="s">
        <v>1989</v>
      </c>
      <c r="E85" s="37" t="s">
        <v>1989</v>
      </c>
      <c r="F85" s="37" t="s">
        <v>1989</v>
      </c>
      <c r="G85" s="37"/>
      <c r="H85" s="37"/>
      <c r="I85" s="37"/>
      <c r="J85" s="37"/>
      <c r="K85" s="48"/>
      <c r="L85" s="37"/>
      <c r="M85" s="37"/>
      <c r="N85" s="37"/>
      <c r="O85" s="37"/>
      <c r="P85" s="37"/>
      <c r="Q85" s="37"/>
      <c r="R85" s="37"/>
      <c r="S85" s="37"/>
      <c r="T85" s="37"/>
      <c r="U85" s="37"/>
      <c r="V85" s="37"/>
      <c r="W85" s="37"/>
      <c r="X85" s="37"/>
      <c r="Y85" s="37"/>
      <c r="Z85" s="37"/>
      <c r="AA85" s="37"/>
      <c r="AB85" s="37"/>
      <c r="AC85" s="37" t="s">
        <v>1989</v>
      </c>
      <c r="AD85" s="37" t="s">
        <v>1989</v>
      </c>
      <c r="AE85" s="37" t="s">
        <v>1989</v>
      </c>
      <c r="AF85" s="37" t="s">
        <v>1989</v>
      </c>
      <c r="AG85" s="37" t="s">
        <v>1989</v>
      </c>
      <c r="AH85" s="37" t="s">
        <v>1989</v>
      </c>
      <c r="AI85" s="37" t="s">
        <v>1989</v>
      </c>
      <c r="AJ85" s="37" t="s">
        <v>1989</v>
      </c>
      <c r="AK85" s="37" t="s">
        <v>1989</v>
      </c>
      <c r="AL85" s="37" t="s">
        <v>1989</v>
      </c>
      <c r="AM85" s="37" t="s">
        <v>1989</v>
      </c>
      <c r="AN85" s="37" t="s">
        <v>1989</v>
      </c>
      <c r="AO85" s="37" t="s">
        <v>1989</v>
      </c>
      <c r="AP85" s="37" t="s">
        <v>1989</v>
      </c>
      <c r="AQ85" s="37"/>
      <c r="AR85" s="37"/>
      <c r="AS85" s="37"/>
      <c r="AT85" s="37" t="s">
        <v>1989</v>
      </c>
      <c r="AU85" s="37" t="s">
        <v>1989</v>
      </c>
      <c r="AV85" s="37" t="s">
        <v>1989</v>
      </c>
      <c r="AW85" s="37" t="s">
        <v>1989</v>
      </c>
      <c r="AX85" s="37" t="s">
        <v>1989</v>
      </c>
      <c r="AY85" s="37"/>
      <c r="AZ85" s="37"/>
      <c r="BA85" s="37"/>
      <c r="BB85" s="37"/>
      <c r="BC85" s="37"/>
      <c r="BD85" s="37"/>
      <c r="BE85" s="37"/>
      <c r="BF85" s="37"/>
      <c r="BG85" s="37"/>
      <c r="BH85" s="37"/>
      <c r="BI85" s="37"/>
      <c r="BJ85" s="37"/>
      <c r="BK85" s="37"/>
      <c r="BL85" s="37"/>
      <c r="BM85" s="37"/>
      <c r="BN85" s="37"/>
      <c r="BO85" s="37"/>
      <c r="BP85" s="37"/>
      <c r="BQ85" s="37"/>
      <c r="BR85" s="37"/>
      <c r="BS85" s="37" t="s">
        <v>1989</v>
      </c>
      <c r="BT85" s="37" t="s">
        <v>1989</v>
      </c>
      <c r="BU85" s="37" t="s">
        <v>1989</v>
      </c>
      <c r="BV85" s="37" t="s">
        <v>1989</v>
      </c>
      <c r="BW85" s="37" t="s">
        <v>1989</v>
      </c>
    </row>
    <row r="86" spans="1:75" ht="15" customHeight="1" thickTop="1">
      <c r="A86" s="37" t="s">
        <v>1989</v>
      </c>
      <c r="B86" s="37" t="s">
        <v>1989</v>
      </c>
      <c r="C86" s="37" t="s">
        <v>1989</v>
      </c>
      <c r="D86" s="37" t="s">
        <v>1989</v>
      </c>
      <c r="E86" s="37" t="s">
        <v>1989</v>
      </c>
      <c r="F86" s="37" t="s">
        <v>1989</v>
      </c>
      <c r="G86" s="37"/>
      <c r="H86" s="37"/>
      <c r="I86" s="37"/>
      <c r="J86" s="44"/>
      <c r="K86" s="44"/>
      <c r="L86" s="44"/>
      <c r="M86" s="44"/>
      <c r="N86" s="44"/>
      <c r="O86" s="44"/>
      <c r="P86" s="44"/>
      <c r="Q86" s="37"/>
      <c r="R86" s="37"/>
      <c r="S86" s="37" t="s">
        <v>1989</v>
      </c>
      <c r="T86" s="37" t="s">
        <v>1989</v>
      </c>
      <c r="U86" s="37" t="s">
        <v>1989</v>
      </c>
      <c r="V86" s="37" t="s">
        <v>1989</v>
      </c>
      <c r="W86" s="37" t="s">
        <v>1989</v>
      </c>
      <c r="X86" s="37" t="s">
        <v>1989</v>
      </c>
      <c r="Y86" s="37" t="s">
        <v>1989</v>
      </c>
      <c r="Z86" s="37" t="s">
        <v>1989</v>
      </c>
      <c r="AA86" s="37"/>
      <c r="AB86" s="37"/>
      <c r="AC86" s="37"/>
      <c r="AD86" s="37"/>
      <c r="AE86" s="37"/>
      <c r="AF86" s="37"/>
      <c r="AG86" s="37" t="s">
        <v>1989</v>
      </c>
      <c r="AH86" s="37" t="s">
        <v>1989</v>
      </c>
      <c r="AI86" s="37" t="s">
        <v>1989</v>
      </c>
      <c r="AJ86" s="37" t="s">
        <v>1989</v>
      </c>
      <c r="AK86" s="37" t="s">
        <v>1989</v>
      </c>
      <c r="AL86" s="37" t="s">
        <v>1989</v>
      </c>
      <c r="AM86" s="37" t="s">
        <v>1989</v>
      </c>
      <c r="AN86" s="37" t="s">
        <v>1989</v>
      </c>
      <c r="AO86" s="37" t="s">
        <v>1989</v>
      </c>
      <c r="AP86" s="37"/>
      <c r="AQ86" s="37"/>
      <c r="AR86" s="37"/>
      <c r="AS86" s="37" t="s">
        <v>1989</v>
      </c>
      <c r="AT86" s="37" t="s">
        <v>1989</v>
      </c>
      <c r="AU86" s="37" t="s">
        <v>1989</v>
      </c>
      <c r="AV86" s="37" t="s">
        <v>1989</v>
      </c>
      <c r="AW86" s="37" t="s">
        <v>1989</v>
      </c>
      <c r="AX86" s="37" t="s">
        <v>1989</v>
      </c>
      <c r="AY86" s="37" t="s">
        <v>1989</v>
      </c>
      <c r="AZ86" s="37" t="s">
        <v>1989</v>
      </c>
      <c r="BA86" s="37" t="s">
        <v>1989</v>
      </c>
      <c r="BB86" s="37" t="s">
        <v>1989</v>
      </c>
      <c r="BC86" s="37" t="s">
        <v>1989</v>
      </c>
      <c r="BD86" s="37" t="s">
        <v>1989</v>
      </c>
      <c r="BE86" s="37"/>
      <c r="BF86" s="37"/>
      <c r="BG86" s="37" t="s">
        <v>1989</v>
      </c>
      <c r="BH86" s="37" t="s">
        <v>1989</v>
      </c>
      <c r="BI86" s="37" t="s">
        <v>1989</v>
      </c>
      <c r="BJ86" s="37" t="s">
        <v>1989</v>
      </c>
      <c r="BK86" s="37" t="s">
        <v>1989</v>
      </c>
      <c r="BL86" s="37" t="s">
        <v>1989</v>
      </c>
      <c r="BM86" s="37" t="s">
        <v>1989</v>
      </c>
      <c r="BN86" s="37" t="s">
        <v>1989</v>
      </c>
      <c r="BO86" s="37" t="s">
        <v>1989</v>
      </c>
      <c r="BP86" s="37" t="s">
        <v>1989</v>
      </c>
      <c r="BQ86" s="37" t="s">
        <v>1989</v>
      </c>
      <c r="BR86" s="37" t="s">
        <v>1989</v>
      </c>
      <c r="BS86" s="37" t="s">
        <v>1989</v>
      </c>
      <c r="BT86" s="37" t="s">
        <v>1989</v>
      </c>
      <c r="BU86" s="37" t="s">
        <v>1989</v>
      </c>
      <c r="BV86" s="37" t="s">
        <v>1989</v>
      </c>
      <c r="BW86" s="37" t="s">
        <v>1989</v>
      </c>
    </row>
    <row r="87" spans="1:75" ht="15" customHeight="1">
      <c r="A87" s="37" t="s">
        <v>1989</v>
      </c>
      <c r="B87" s="37" t="s">
        <v>1989</v>
      </c>
      <c r="C87" s="37" t="s">
        <v>1989</v>
      </c>
      <c r="D87" s="37" t="s">
        <v>1989</v>
      </c>
      <c r="E87" s="37" t="s">
        <v>1989</v>
      </c>
      <c r="F87" s="37" t="s">
        <v>1989</v>
      </c>
      <c r="G87" s="37"/>
      <c r="H87" s="37"/>
      <c r="I87" s="37"/>
      <c r="J87" s="37"/>
      <c r="K87" s="37"/>
      <c r="L87" s="37"/>
      <c r="M87" s="37"/>
      <c r="N87" s="37"/>
      <c r="O87" s="37"/>
      <c r="P87" s="37"/>
      <c r="Q87" s="37"/>
      <c r="R87" s="37"/>
      <c r="S87" s="37" t="s">
        <v>1989</v>
      </c>
      <c r="T87" s="37" t="s">
        <v>1989</v>
      </c>
      <c r="U87" s="37" t="s">
        <v>1989</v>
      </c>
      <c r="V87" s="37" t="s">
        <v>1989</v>
      </c>
      <c r="W87" s="37" t="s">
        <v>1989</v>
      </c>
      <c r="X87" s="37" t="s">
        <v>1989</v>
      </c>
      <c r="Y87" s="37" t="s">
        <v>1989</v>
      </c>
      <c r="Z87" s="37" t="s">
        <v>1989</v>
      </c>
      <c r="AA87" s="37"/>
      <c r="AB87" s="37"/>
      <c r="AC87" s="37"/>
      <c r="AD87" s="37"/>
      <c r="AE87" s="37"/>
      <c r="AF87" s="37"/>
      <c r="AG87" s="37" t="s">
        <v>1989</v>
      </c>
      <c r="AH87" s="37" t="s">
        <v>1989</v>
      </c>
      <c r="AI87" s="37"/>
      <c r="AJ87" s="37"/>
      <c r="AK87" s="37"/>
      <c r="AL87" s="37"/>
      <c r="AM87" s="37"/>
      <c r="AN87" s="37"/>
      <c r="AO87" s="37"/>
      <c r="AP87" s="37"/>
      <c r="AQ87" s="37"/>
      <c r="AR87" s="37" t="s">
        <v>1989</v>
      </c>
      <c r="AS87" s="37" t="s">
        <v>1989</v>
      </c>
      <c r="AT87" s="37" t="s">
        <v>1989</v>
      </c>
      <c r="AU87" s="37" t="s">
        <v>1989</v>
      </c>
      <c r="AV87" s="37" t="s">
        <v>1989</v>
      </c>
      <c r="AW87" s="37" t="s">
        <v>1989</v>
      </c>
      <c r="AX87" s="37" t="s">
        <v>1989</v>
      </c>
      <c r="AY87" s="37" t="s">
        <v>1989</v>
      </c>
      <c r="AZ87" s="37" t="s">
        <v>1989</v>
      </c>
      <c r="BA87" s="37" t="s">
        <v>1989</v>
      </c>
      <c r="BB87" s="37" t="s">
        <v>1989</v>
      </c>
      <c r="BC87" s="37" t="s">
        <v>1989</v>
      </c>
      <c r="BD87" s="37" t="s">
        <v>1989</v>
      </c>
      <c r="BE87" s="37"/>
      <c r="BF87" s="37"/>
      <c r="BG87" s="37" t="s">
        <v>1989</v>
      </c>
      <c r="BH87" s="37" t="s">
        <v>1989</v>
      </c>
      <c r="BI87" s="37" t="s">
        <v>1989</v>
      </c>
      <c r="BJ87" s="37" t="s">
        <v>1989</v>
      </c>
      <c r="BK87" s="37" t="s">
        <v>1989</v>
      </c>
      <c r="BL87" s="37" t="s">
        <v>1989</v>
      </c>
      <c r="BM87" s="37" t="s">
        <v>1989</v>
      </c>
      <c r="BN87" s="37" t="s">
        <v>1989</v>
      </c>
      <c r="BO87" s="37" t="s">
        <v>1989</v>
      </c>
      <c r="BP87" s="37" t="s">
        <v>1989</v>
      </c>
      <c r="BQ87" s="37" t="s">
        <v>1989</v>
      </c>
      <c r="BR87" s="37" t="s">
        <v>1989</v>
      </c>
      <c r="BS87" s="37" t="s">
        <v>1989</v>
      </c>
      <c r="BT87" s="37" t="s">
        <v>1989</v>
      </c>
      <c r="BU87" s="37" t="s">
        <v>1989</v>
      </c>
      <c r="BV87" s="37" t="s">
        <v>1989</v>
      </c>
      <c r="BW87" s="37" t="s">
        <v>1989</v>
      </c>
    </row>
    <row r="88" spans="1:75" ht="15" customHeight="1">
      <c r="A88" s="37" t="s">
        <v>1989</v>
      </c>
      <c r="B88" s="37" t="s">
        <v>1989</v>
      </c>
      <c r="C88" s="37" t="s">
        <v>1989</v>
      </c>
      <c r="D88" s="37" t="s">
        <v>1989</v>
      </c>
      <c r="E88" s="37" t="s">
        <v>1989</v>
      </c>
      <c r="F88" s="37" t="s">
        <v>1989</v>
      </c>
      <c r="G88" s="37" t="s">
        <v>1989</v>
      </c>
      <c r="H88" s="37" t="s">
        <v>1989</v>
      </c>
      <c r="I88" s="37" t="s">
        <v>1989</v>
      </c>
      <c r="J88" s="37" t="s">
        <v>1989</v>
      </c>
      <c r="K88" s="37" t="s">
        <v>1989</v>
      </c>
      <c r="L88" s="37" t="s">
        <v>1989</v>
      </c>
      <c r="M88" s="37" t="s">
        <v>1989</v>
      </c>
      <c r="N88" s="37" t="s">
        <v>1989</v>
      </c>
      <c r="O88" s="37" t="s">
        <v>1989</v>
      </c>
      <c r="P88" s="37" t="s">
        <v>1989</v>
      </c>
      <c r="Q88" s="37" t="s">
        <v>1989</v>
      </c>
      <c r="R88" s="37" t="s">
        <v>1989</v>
      </c>
      <c r="S88" s="37" t="s">
        <v>1989</v>
      </c>
      <c r="T88" s="37" t="s">
        <v>1989</v>
      </c>
      <c r="U88" s="37" t="s">
        <v>1989</v>
      </c>
      <c r="V88" s="37" t="s">
        <v>1989</v>
      </c>
      <c r="W88" s="37" t="s">
        <v>1989</v>
      </c>
      <c r="X88" s="37" t="s">
        <v>1989</v>
      </c>
      <c r="Y88" s="37" t="s">
        <v>1989</v>
      </c>
      <c r="Z88" s="37" t="s">
        <v>1989</v>
      </c>
      <c r="AA88" s="37" t="s">
        <v>1989</v>
      </c>
      <c r="AB88" s="37" t="s">
        <v>1989</v>
      </c>
      <c r="AC88" s="37" t="s">
        <v>1989</v>
      </c>
      <c r="AD88" s="37" t="s">
        <v>1989</v>
      </c>
      <c r="AE88" s="37" t="s">
        <v>1989</v>
      </c>
      <c r="AF88" s="37" t="s">
        <v>1989</v>
      </c>
      <c r="AG88" s="37" t="s">
        <v>1989</v>
      </c>
      <c r="AH88" s="37" t="s">
        <v>1989</v>
      </c>
      <c r="AI88" s="37" t="s">
        <v>1989</v>
      </c>
      <c r="AJ88" s="37"/>
      <c r="AK88" s="37" t="s">
        <v>1989</v>
      </c>
      <c r="AL88" s="37" t="s">
        <v>1989</v>
      </c>
      <c r="AM88" s="37" t="s">
        <v>1989</v>
      </c>
      <c r="AN88" s="37" t="s">
        <v>1989</v>
      </c>
      <c r="AO88" s="37" t="s">
        <v>1989</v>
      </c>
      <c r="AP88" s="37" t="s">
        <v>1989</v>
      </c>
      <c r="AQ88" s="37" t="s">
        <v>1989</v>
      </c>
      <c r="AR88" s="37" t="s">
        <v>1989</v>
      </c>
      <c r="AS88" s="37" t="s">
        <v>1989</v>
      </c>
      <c r="AT88" s="37" t="s">
        <v>1989</v>
      </c>
      <c r="AU88" s="37" t="s">
        <v>1989</v>
      </c>
      <c r="AV88" s="37" t="s">
        <v>1989</v>
      </c>
      <c r="AW88" s="37" t="s">
        <v>1989</v>
      </c>
      <c r="AX88" s="37" t="s">
        <v>1989</v>
      </c>
      <c r="AY88" s="37" t="s">
        <v>1989</v>
      </c>
      <c r="AZ88" s="37" t="s">
        <v>1989</v>
      </c>
      <c r="BA88" s="37" t="s">
        <v>1989</v>
      </c>
      <c r="BB88" s="37" t="s">
        <v>1989</v>
      </c>
      <c r="BC88" s="37" t="s">
        <v>1989</v>
      </c>
      <c r="BD88" s="37" t="s">
        <v>1989</v>
      </c>
      <c r="BE88" s="37" t="s">
        <v>1989</v>
      </c>
      <c r="BF88" s="37" t="s">
        <v>1989</v>
      </c>
      <c r="BG88" s="37" t="s">
        <v>1989</v>
      </c>
      <c r="BH88" s="37" t="s">
        <v>1989</v>
      </c>
      <c r="BI88" s="37" t="s">
        <v>1989</v>
      </c>
      <c r="BJ88" s="37" t="s">
        <v>1989</v>
      </c>
      <c r="BK88" s="37" t="s">
        <v>1989</v>
      </c>
      <c r="BL88" s="37" t="s">
        <v>1989</v>
      </c>
      <c r="BM88" s="37" t="s">
        <v>1989</v>
      </c>
      <c r="BN88" s="37" t="s">
        <v>1989</v>
      </c>
      <c r="BO88" s="37" t="s">
        <v>1989</v>
      </c>
      <c r="BP88" s="37" t="s">
        <v>1989</v>
      </c>
      <c r="BQ88" s="37" t="s">
        <v>1989</v>
      </c>
      <c r="BR88" s="37" t="s">
        <v>1989</v>
      </c>
      <c r="BS88" s="37" t="s">
        <v>1989</v>
      </c>
      <c r="BT88" s="37" t="s">
        <v>1989</v>
      </c>
      <c r="BU88" s="37" t="s">
        <v>1989</v>
      </c>
      <c r="BV88" s="37" t="s">
        <v>1989</v>
      </c>
      <c r="BW88" s="37" t="s">
        <v>1989</v>
      </c>
    </row>
    <row r="89" spans="1:75" ht="15" customHeight="1">
      <c r="A89" s="37" t="s">
        <v>1989</v>
      </c>
      <c r="B89" s="37" t="s">
        <v>1989</v>
      </c>
      <c r="C89" s="37" t="s">
        <v>1989</v>
      </c>
      <c r="D89" s="37" t="s">
        <v>1989</v>
      </c>
      <c r="E89" s="37" t="s">
        <v>1989</v>
      </c>
      <c r="F89" s="37" t="s">
        <v>1989</v>
      </c>
      <c r="G89" s="37" t="s">
        <v>1989</v>
      </c>
      <c r="H89" s="37" t="s">
        <v>1989</v>
      </c>
      <c r="I89" s="37" t="s">
        <v>1989</v>
      </c>
      <c r="J89" s="37" t="s">
        <v>1989</v>
      </c>
      <c r="K89" s="37" t="s">
        <v>1989</v>
      </c>
      <c r="L89" s="37" t="s">
        <v>1989</v>
      </c>
      <c r="M89" s="37" t="s">
        <v>1989</v>
      </c>
      <c r="N89" s="37" t="s">
        <v>1989</v>
      </c>
      <c r="O89" s="37" t="s">
        <v>1989</v>
      </c>
      <c r="P89" s="37" t="s">
        <v>1989</v>
      </c>
      <c r="Q89" s="37" t="s">
        <v>1989</v>
      </c>
      <c r="R89" s="37" t="s">
        <v>1989</v>
      </c>
      <c r="S89" s="37" t="s">
        <v>1989</v>
      </c>
      <c r="T89" s="37" t="s">
        <v>1989</v>
      </c>
      <c r="U89" s="37" t="s">
        <v>1989</v>
      </c>
      <c r="V89" s="37" t="s">
        <v>1989</v>
      </c>
      <c r="W89" s="37" t="s">
        <v>1989</v>
      </c>
      <c r="X89" s="37" t="s">
        <v>1989</v>
      </c>
      <c r="Y89" s="37" t="s">
        <v>1989</v>
      </c>
      <c r="Z89" s="37" t="s">
        <v>1989</v>
      </c>
      <c r="AA89" s="37" t="s">
        <v>1989</v>
      </c>
      <c r="AB89" s="37" t="s">
        <v>1989</v>
      </c>
      <c r="AC89" s="37" t="s">
        <v>1989</v>
      </c>
      <c r="AD89" s="37" t="s">
        <v>1989</v>
      </c>
      <c r="AE89" s="37" t="s">
        <v>1989</v>
      </c>
      <c r="AF89" s="37" t="s">
        <v>1989</v>
      </c>
      <c r="AG89" s="37" t="s">
        <v>1989</v>
      </c>
      <c r="AH89" s="37" t="s">
        <v>1989</v>
      </c>
      <c r="AI89" s="37" t="s">
        <v>1989</v>
      </c>
      <c r="AJ89" s="37"/>
      <c r="AK89" s="37" t="s">
        <v>1989</v>
      </c>
      <c r="AL89" s="37" t="s">
        <v>1989</v>
      </c>
      <c r="AM89" s="37" t="s">
        <v>1989</v>
      </c>
      <c r="AN89" s="37" t="s">
        <v>1989</v>
      </c>
      <c r="AO89" s="37" t="s">
        <v>1989</v>
      </c>
      <c r="AP89" s="37" t="s">
        <v>1989</v>
      </c>
      <c r="AQ89" s="37" t="s">
        <v>1989</v>
      </c>
      <c r="AR89" s="37" t="s">
        <v>1989</v>
      </c>
      <c r="AS89" s="37" t="s">
        <v>1989</v>
      </c>
      <c r="AT89" s="37" t="s">
        <v>1989</v>
      </c>
      <c r="AU89" s="37" t="s">
        <v>1989</v>
      </c>
      <c r="AV89" s="37" t="s">
        <v>1989</v>
      </c>
      <c r="AW89" s="37" t="s">
        <v>1989</v>
      </c>
      <c r="AX89" s="37" t="s">
        <v>1989</v>
      </c>
      <c r="AY89" s="37" t="s">
        <v>1989</v>
      </c>
      <c r="AZ89" s="37" t="s">
        <v>1989</v>
      </c>
      <c r="BA89" s="37" t="s">
        <v>1989</v>
      </c>
      <c r="BB89" s="37" t="s">
        <v>1989</v>
      </c>
      <c r="BC89" s="37" t="s">
        <v>1989</v>
      </c>
      <c r="BD89" s="37" t="s">
        <v>1989</v>
      </c>
      <c r="BE89" s="37" t="s">
        <v>1989</v>
      </c>
      <c r="BF89" s="37" t="s">
        <v>1989</v>
      </c>
      <c r="BG89" s="37" t="s">
        <v>1989</v>
      </c>
      <c r="BH89" s="37" t="s">
        <v>1989</v>
      </c>
      <c r="BI89" s="37" t="s">
        <v>1989</v>
      </c>
      <c r="BJ89" s="37" t="s">
        <v>1989</v>
      </c>
      <c r="BK89" s="37" t="s">
        <v>1989</v>
      </c>
      <c r="BL89" s="37" t="s">
        <v>1989</v>
      </c>
      <c r="BM89" s="37" t="s">
        <v>1989</v>
      </c>
      <c r="BN89" s="37" t="s">
        <v>1989</v>
      </c>
      <c r="BO89" s="37" t="s">
        <v>1989</v>
      </c>
      <c r="BP89" s="37" t="s">
        <v>1989</v>
      </c>
      <c r="BQ89" s="37" t="s">
        <v>1989</v>
      </c>
      <c r="BR89" s="37" t="s">
        <v>1989</v>
      </c>
      <c r="BS89" s="37" t="s">
        <v>1989</v>
      </c>
      <c r="BT89" s="37" t="s">
        <v>1989</v>
      </c>
      <c r="BU89" s="37" t="s">
        <v>1989</v>
      </c>
      <c r="BV89" s="37" t="s">
        <v>1989</v>
      </c>
      <c r="BW89" s="37" t="s">
        <v>1989</v>
      </c>
    </row>
    <row r="90" spans="1:75" ht="15" customHeight="1">
      <c r="A90" s="37" t="s">
        <v>1989</v>
      </c>
      <c r="B90" s="37" t="s">
        <v>1989</v>
      </c>
      <c r="C90" s="37" t="s">
        <v>1989</v>
      </c>
      <c r="D90" s="37" t="s">
        <v>1989</v>
      </c>
      <c r="E90" s="37" t="s">
        <v>1989</v>
      </c>
      <c r="F90" s="37" t="s">
        <v>1989</v>
      </c>
      <c r="G90" s="37" t="s">
        <v>1989</v>
      </c>
      <c r="H90" s="37" t="s">
        <v>1989</v>
      </c>
      <c r="I90" s="37" t="s">
        <v>1989</v>
      </c>
      <c r="J90" s="37" t="s">
        <v>1989</v>
      </c>
      <c r="K90" s="37" t="s">
        <v>1989</v>
      </c>
      <c r="L90" s="37" t="s">
        <v>1989</v>
      </c>
      <c r="M90" s="37" t="s">
        <v>1989</v>
      </c>
      <c r="N90" s="37" t="s">
        <v>1989</v>
      </c>
      <c r="O90" s="37" t="s">
        <v>1989</v>
      </c>
      <c r="P90" s="37" t="s">
        <v>1989</v>
      </c>
      <c r="Q90" s="37" t="s">
        <v>1989</v>
      </c>
      <c r="R90" s="37" t="s">
        <v>1989</v>
      </c>
      <c r="S90" s="37" t="s">
        <v>1989</v>
      </c>
      <c r="T90" s="37" t="s">
        <v>1989</v>
      </c>
      <c r="U90" s="37" t="s">
        <v>1989</v>
      </c>
      <c r="V90" s="37" t="s">
        <v>1989</v>
      </c>
      <c r="W90" s="37" t="s">
        <v>1989</v>
      </c>
      <c r="X90" s="37" t="s">
        <v>1989</v>
      </c>
      <c r="Y90" s="37" t="s">
        <v>1989</v>
      </c>
      <c r="Z90" s="37" t="s">
        <v>1989</v>
      </c>
      <c r="AA90" s="37" t="s">
        <v>1989</v>
      </c>
      <c r="AB90" s="37" t="s">
        <v>1989</v>
      </c>
      <c r="AC90" s="37" t="s">
        <v>1989</v>
      </c>
      <c r="AD90" s="37" t="s">
        <v>1989</v>
      </c>
      <c r="AE90" s="37" t="s">
        <v>1989</v>
      </c>
      <c r="AF90" s="37" t="s">
        <v>1989</v>
      </c>
      <c r="AG90" s="37" t="s">
        <v>1989</v>
      </c>
      <c r="AH90" s="37" t="s">
        <v>1989</v>
      </c>
      <c r="AI90" s="37" t="s">
        <v>1989</v>
      </c>
      <c r="AJ90" s="37"/>
      <c r="AK90" s="37" t="s">
        <v>1989</v>
      </c>
      <c r="AL90" s="37" t="s">
        <v>1989</v>
      </c>
      <c r="AM90" s="37" t="s">
        <v>1989</v>
      </c>
      <c r="AN90" s="37" t="s">
        <v>1989</v>
      </c>
      <c r="AO90" s="37" t="s">
        <v>1989</v>
      </c>
      <c r="AP90" s="37" t="s">
        <v>1989</v>
      </c>
      <c r="AQ90" s="37" t="s">
        <v>1989</v>
      </c>
      <c r="AR90" s="37" t="s">
        <v>1989</v>
      </c>
      <c r="AS90" s="37" t="s">
        <v>1989</v>
      </c>
      <c r="AT90" s="37" t="s">
        <v>1989</v>
      </c>
      <c r="AU90" s="37" t="s">
        <v>1989</v>
      </c>
      <c r="AV90" s="37" t="s">
        <v>1989</v>
      </c>
      <c r="AW90" s="37" t="s">
        <v>1989</v>
      </c>
      <c r="AX90" s="37" t="s">
        <v>1989</v>
      </c>
      <c r="AY90" s="37" t="s">
        <v>1989</v>
      </c>
      <c r="AZ90" s="37" t="s">
        <v>1989</v>
      </c>
      <c r="BA90" s="37" t="s">
        <v>1989</v>
      </c>
      <c r="BB90" s="37" t="s">
        <v>1989</v>
      </c>
      <c r="BC90" s="37" t="s">
        <v>1989</v>
      </c>
      <c r="BD90" s="37" t="s">
        <v>1989</v>
      </c>
      <c r="BE90" s="37" t="s">
        <v>1989</v>
      </c>
      <c r="BF90" s="37" t="s">
        <v>1989</v>
      </c>
      <c r="BG90" s="37" t="s">
        <v>1989</v>
      </c>
      <c r="BH90" s="37" t="s">
        <v>1989</v>
      </c>
      <c r="BI90" s="37" t="s">
        <v>1989</v>
      </c>
      <c r="BJ90" s="37" t="s">
        <v>1989</v>
      </c>
      <c r="BK90" s="37" t="s">
        <v>1989</v>
      </c>
      <c r="BL90" s="37" t="s">
        <v>1989</v>
      </c>
      <c r="BM90" s="37" t="s">
        <v>1989</v>
      </c>
      <c r="BN90" s="37" t="s">
        <v>1989</v>
      </c>
      <c r="BO90" s="37" t="s">
        <v>1989</v>
      </c>
      <c r="BP90" s="37" t="s">
        <v>1989</v>
      </c>
      <c r="BQ90" s="37" t="s">
        <v>1989</v>
      </c>
      <c r="BR90" s="37" t="s">
        <v>1989</v>
      </c>
      <c r="BS90" s="37" t="s">
        <v>1989</v>
      </c>
      <c r="BT90" s="37" t="s">
        <v>1989</v>
      </c>
      <c r="BU90" s="37" t="s">
        <v>1989</v>
      </c>
      <c r="BV90" s="37" t="s">
        <v>1989</v>
      </c>
      <c r="BW90" s="37" t="s">
        <v>1989</v>
      </c>
    </row>
    <row r="91" spans="1:75" ht="15" customHeight="1">
      <c r="A91" s="37" t="s">
        <v>1989</v>
      </c>
      <c r="B91" s="37" t="s">
        <v>1989</v>
      </c>
      <c r="C91" s="37" t="s">
        <v>1989</v>
      </c>
      <c r="D91" s="37" t="s">
        <v>1989</v>
      </c>
      <c r="E91" s="37" t="s">
        <v>1989</v>
      </c>
      <c r="F91" s="37" t="s">
        <v>1989</v>
      </c>
      <c r="G91" s="37" t="s">
        <v>1989</v>
      </c>
      <c r="H91" s="37" t="s">
        <v>1989</v>
      </c>
      <c r="I91" s="37" t="s">
        <v>1989</v>
      </c>
      <c r="J91" s="37" t="s">
        <v>1989</v>
      </c>
      <c r="K91" s="37" t="s">
        <v>1989</v>
      </c>
      <c r="L91" s="37" t="s">
        <v>1989</v>
      </c>
      <c r="M91" s="37" t="s">
        <v>1989</v>
      </c>
      <c r="N91" s="37" t="s">
        <v>1989</v>
      </c>
      <c r="O91" s="37" t="s">
        <v>1989</v>
      </c>
      <c r="P91" s="37" t="s">
        <v>1989</v>
      </c>
      <c r="Q91" s="37" t="s">
        <v>1989</v>
      </c>
      <c r="R91" s="37" t="s">
        <v>1989</v>
      </c>
      <c r="S91" s="37" t="s">
        <v>1989</v>
      </c>
      <c r="T91" s="37" t="s">
        <v>1989</v>
      </c>
      <c r="U91" s="37" t="s">
        <v>1989</v>
      </c>
      <c r="V91" s="37" t="s">
        <v>1989</v>
      </c>
      <c r="W91" s="37" t="s">
        <v>1989</v>
      </c>
      <c r="X91" s="37" t="s">
        <v>1989</v>
      </c>
      <c r="Y91" s="37" t="s">
        <v>1989</v>
      </c>
      <c r="Z91" s="37" t="s">
        <v>1989</v>
      </c>
      <c r="AA91" s="37" t="s">
        <v>1989</v>
      </c>
      <c r="AB91" s="37" t="s">
        <v>1989</v>
      </c>
      <c r="AC91" s="37" t="s">
        <v>1989</v>
      </c>
      <c r="AD91" s="37" t="s">
        <v>1989</v>
      </c>
      <c r="AE91" s="37" t="s">
        <v>1989</v>
      </c>
      <c r="AF91" s="37" t="s">
        <v>1989</v>
      </c>
      <c r="AG91" s="37" t="s">
        <v>1989</v>
      </c>
      <c r="AH91" s="37" t="s">
        <v>1989</v>
      </c>
      <c r="AI91" s="37" t="s">
        <v>1989</v>
      </c>
      <c r="AJ91" s="37" t="s">
        <v>1989</v>
      </c>
      <c r="AK91" s="37" t="s">
        <v>1989</v>
      </c>
      <c r="AL91" s="37" t="s">
        <v>1989</v>
      </c>
      <c r="AM91" s="37" t="s">
        <v>1989</v>
      </c>
      <c r="AN91" s="37" t="s">
        <v>1989</v>
      </c>
      <c r="AO91" s="37" t="s">
        <v>1989</v>
      </c>
      <c r="AP91" s="37" t="s">
        <v>1989</v>
      </c>
      <c r="AQ91" s="37" t="s">
        <v>1989</v>
      </c>
      <c r="AR91" s="37" t="s">
        <v>1989</v>
      </c>
      <c r="AS91" s="37" t="s">
        <v>1989</v>
      </c>
      <c r="AT91" s="37" t="s">
        <v>1989</v>
      </c>
      <c r="AU91" s="37" t="s">
        <v>1989</v>
      </c>
      <c r="AV91" s="37" t="s">
        <v>1989</v>
      </c>
      <c r="AW91" s="37" t="s">
        <v>1989</v>
      </c>
      <c r="AX91" s="37" t="s">
        <v>1989</v>
      </c>
      <c r="AY91" s="37" t="s">
        <v>1989</v>
      </c>
      <c r="AZ91" s="37" t="s">
        <v>1989</v>
      </c>
      <c r="BA91" s="37" t="s">
        <v>1989</v>
      </c>
      <c r="BB91" s="37" t="s">
        <v>1989</v>
      </c>
      <c r="BC91" s="37" t="s">
        <v>1989</v>
      </c>
      <c r="BD91" s="37" t="s">
        <v>1989</v>
      </c>
      <c r="BE91" s="37" t="s">
        <v>1989</v>
      </c>
      <c r="BF91" s="37" t="s">
        <v>1989</v>
      </c>
      <c r="BG91" s="37" t="s">
        <v>1989</v>
      </c>
      <c r="BH91" s="37" t="s">
        <v>1989</v>
      </c>
      <c r="BI91" s="37" t="s">
        <v>1989</v>
      </c>
      <c r="BJ91" s="37" t="s">
        <v>1989</v>
      </c>
      <c r="BK91" s="37" t="s">
        <v>1989</v>
      </c>
      <c r="BL91" s="37" t="s">
        <v>1989</v>
      </c>
      <c r="BM91" s="37" t="s">
        <v>1989</v>
      </c>
      <c r="BN91" s="37" t="s">
        <v>1989</v>
      </c>
      <c r="BO91" s="37" t="s">
        <v>1989</v>
      </c>
      <c r="BP91" s="37" t="s">
        <v>1989</v>
      </c>
      <c r="BQ91" s="37" t="s">
        <v>1989</v>
      </c>
      <c r="BR91" s="37" t="s">
        <v>1989</v>
      </c>
      <c r="BS91" s="37" t="s">
        <v>1989</v>
      </c>
      <c r="BT91" s="37" t="s">
        <v>1989</v>
      </c>
      <c r="BU91" s="37" t="s">
        <v>1989</v>
      </c>
      <c r="BV91" s="37" t="s">
        <v>1989</v>
      </c>
      <c r="BW91" s="37" t="s">
        <v>1989</v>
      </c>
    </row>
    <row r="92" spans="1:75" ht="15" customHeight="1">
      <c r="A92" s="37" t="s">
        <v>1989</v>
      </c>
      <c r="B92" s="37" t="s">
        <v>1989</v>
      </c>
      <c r="C92" s="37" t="s">
        <v>1989</v>
      </c>
      <c r="D92" s="37" t="s">
        <v>1989</v>
      </c>
      <c r="E92" s="37" t="s">
        <v>1989</v>
      </c>
      <c r="F92" s="37" t="s">
        <v>1989</v>
      </c>
      <c r="G92" s="37" t="s">
        <v>1989</v>
      </c>
      <c r="H92" s="37" t="s">
        <v>1989</v>
      </c>
      <c r="I92" s="37" t="s">
        <v>1989</v>
      </c>
      <c r="J92" s="37" t="s">
        <v>1989</v>
      </c>
      <c r="K92" s="37" t="s">
        <v>1989</v>
      </c>
      <c r="L92" s="37" t="s">
        <v>1989</v>
      </c>
      <c r="M92" s="37" t="s">
        <v>1989</v>
      </c>
      <c r="N92" s="37" t="s">
        <v>1989</v>
      </c>
      <c r="O92" s="37" t="s">
        <v>1989</v>
      </c>
      <c r="P92" s="37" t="s">
        <v>1989</v>
      </c>
      <c r="Q92" s="37" t="s">
        <v>1989</v>
      </c>
      <c r="R92" s="37" t="s">
        <v>1989</v>
      </c>
      <c r="S92" s="37" t="s">
        <v>1989</v>
      </c>
      <c r="T92" s="37" t="s">
        <v>1989</v>
      </c>
      <c r="U92" s="37" t="s">
        <v>1989</v>
      </c>
      <c r="V92" s="37" t="s">
        <v>1989</v>
      </c>
      <c r="W92" s="37" t="s">
        <v>1989</v>
      </c>
      <c r="X92" s="37" t="s">
        <v>1989</v>
      </c>
      <c r="Y92" s="37" t="s">
        <v>1989</v>
      </c>
      <c r="Z92" s="37" t="s">
        <v>1989</v>
      </c>
      <c r="AA92" s="37" t="s">
        <v>1989</v>
      </c>
      <c r="AB92" s="37" t="s">
        <v>1989</v>
      </c>
      <c r="AC92" s="37" t="s">
        <v>1989</v>
      </c>
      <c r="AD92" s="37" t="s">
        <v>1989</v>
      </c>
      <c r="AE92" s="37" t="s">
        <v>1989</v>
      </c>
      <c r="AF92" s="37" t="s">
        <v>1989</v>
      </c>
      <c r="AG92" s="37" t="s">
        <v>1989</v>
      </c>
      <c r="AH92" s="37" t="s">
        <v>1989</v>
      </c>
      <c r="AI92" s="37" t="s">
        <v>1989</v>
      </c>
      <c r="AJ92" s="37" t="s">
        <v>1989</v>
      </c>
      <c r="AK92" s="37" t="s">
        <v>1989</v>
      </c>
      <c r="AL92" s="37" t="s">
        <v>1989</v>
      </c>
      <c r="AM92" s="37" t="s">
        <v>1989</v>
      </c>
      <c r="AN92" s="37" t="s">
        <v>1989</v>
      </c>
      <c r="AO92" s="37" t="s">
        <v>1989</v>
      </c>
      <c r="AP92" s="37" t="s">
        <v>1989</v>
      </c>
      <c r="AQ92" s="37" t="s">
        <v>1989</v>
      </c>
      <c r="AR92" s="37" t="s">
        <v>1989</v>
      </c>
      <c r="AS92" s="37" t="s">
        <v>1989</v>
      </c>
      <c r="AT92" s="37" t="s">
        <v>1989</v>
      </c>
      <c r="AU92" s="37" t="s">
        <v>1989</v>
      </c>
      <c r="AV92" s="37" t="s">
        <v>1989</v>
      </c>
      <c r="AW92" s="37" t="s">
        <v>1989</v>
      </c>
      <c r="AX92" s="37" t="s">
        <v>1989</v>
      </c>
      <c r="AY92" s="37" t="s">
        <v>1989</v>
      </c>
      <c r="AZ92" s="37" t="s">
        <v>1989</v>
      </c>
      <c r="BA92" s="37" t="s">
        <v>1989</v>
      </c>
      <c r="BB92" s="37" t="s">
        <v>1989</v>
      </c>
      <c r="BC92" s="37" t="s">
        <v>1989</v>
      </c>
      <c r="BD92" s="37" t="s">
        <v>1989</v>
      </c>
      <c r="BE92" s="37" t="s">
        <v>1989</v>
      </c>
      <c r="BF92" s="37" t="s">
        <v>1989</v>
      </c>
      <c r="BG92" s="37" t="s">
        <v>1989</v>
      </c>
      <c r="BH92" s="37" t="s">
        <v>1989</v>
      </c>
      <c r="BI92" s="37" t="s">
        <v>1989</v>
      </c>
      <c r="BJ92" s="37" t="s">
        <v>1989</v>
      </c>
      <c r="BK92" s="37" t="s">
        <v>1989</v>
      </c>
      <c r="BL92" s="37" t="s">
        <v>1989</v>
      </c>
      <c r="BM92" s="37" t="s">
        <v>1989</v>
      </c>
      <c r="BN92" s="37" t="s">
        <v>1989</v>
      </c>
      <c r="BO92" s="37" t="s">
        <v>1989</v>
      </c>
      <c r="BP92" s="37" t="s">
        <v>1989</v>
      </c>
      <c r="BQ92" s="37" t="s">
        <v>1989</v>
      </c>
      <c r="BR92" s="37" t="s">
        <v>1989</v>
      </c>
      <c r="BS92" s="37" t="s">
        <v>1989</v>
      </c>
      <c r="BT92" s="37" t="s">
        <v>1989</v>
      </c>
      <c r="BU92" s="37" t="s">
        <v>1989</v>
      </c>
      <c r="BV92" s="37" t="s">
        <v>1989</v>
      </c>
      <c r="BW92" s="37" t="s">
        <v>1989</v>
      </c>
    </row>
    <row r="93" spans="1:75" ht="15" customHeight="1">
      <c r="A93" s="37" t="s">
        <v>1989</v>
      </c>
      <c r="B93" s="37" t="s">
        <v>1989</v>
      </c>
      <c r="C93" s="37" t="s">
        <v>1989</v>
      </c>
      <c r="D93" s="37" t="s">
        <v>1989</v>
      </c>
      <c r="E93" s="37" t="s">
        <v>1989</v>
      </c>
      <c r="F93" s="37" t="s">
        <v>1989</v>
      </c>
      <c r="G93" s="37" t="s">
        <v>1989</v>
      </c>
      <c r="H93" s="37" t="s">
        <v>1989</v>
      </c>
      <c r="I93" s="37" t="s">
        <v>1989</v>
      </c>
      <c r="J93" s="37" t="s">
        <v>1989</v>
      </c>
      <c r="K93" s="37" t="s">
        <v>1989</v>
      </c>
      <c r="L93" s="37" t="s">
        <v>1989</v>
      </c>
      <c r="M93" s="37" t="s">
        <v>1989</v>
      </c>
      <c r="N93" s="37" t="s">
        <v>1989</v>
      </c>
      <c r="O93" s="37" t="s">
        <v>1989</v>
      </c>
      <c r="P93" s="37" t="s">
        <v>1989</v>
      </c>
      <c r="Q93" s="37" t="s">
        <v>1989</v>
      </c>
      <c r="R93" s="37" t="s">
        <v>1989</v>
      </c>
      <c r="S93" s="37" t="s">
        <v>1989</v>
      </c>
      <c r="T93" s="37" t="s">
        <v>1989</v>
      </c>
      <c r="U93" s="37" t="s">
        <v>1989</v>
      </c>
      <c r="V93" s="37" t="s">
        <v>1989</v>
      </c>
      <c r="W93" s="37" t="s">
        <v>1989</v>
      </c>
      <c r="X93" s="37" t="s">
        <v>1989</v>
      </c>
      <c r="Y93" s="37" t="s">
        <v>1989</v>
      </c>
      <c r="Z93" s="37" t="s">
        <v>1989</v>
      </c>
      <c r="AA93" s="37" t="s">
        <v>1989</v>
      </c>
      <c r="AB93" s="37" t="s">
        <v>1989</v>
      </c>
      <c r="AC93" s="37" t="s">
        <v>1989</v>
      </c>
      <c r="AD93" s="37" t="s">
        <v>1989</v>
      </c>
      <c r="AE93" s="37" t="s">
        <v>1989</v>
      </c>
      <c r="AF93" s="37" t="s">
        <v>1989</v>
      </c>
      <c r="AG93" s="37" t="s">
        <v>1989</v>
      </c>
      <c r="AH93" s="37" t="s">
        <v>1989</v>
      </c>
      <c r="AI93" s="37" t="s">
        <v>1989</v>
      </c>
      <c r="AJ93" s="37" t="s">
        <v>1989</v>
      </c>
      <c r="AK93" s="37" t="s">
        <v>1989</v>
      </c>
      <c r="AL93" s="37" t="s">
        <v>1989</v>
      </c>
      <c r="AM93" s="37" t="s">
        <v>1989</v>
      </c>
      <c r="AN93" s="37" t="s">
        <v>1989</v>
      </c>
      <c r="AO93" s="37" t="s">
        <v>1989</v>
      </c>
      <c r="AP93" s="37" t="s">
        <v>1989</v>
      </c>
      <c r="AQ93" s="37" t="s">
        <v>1989</v>
      </c>
      <c r="AR93" s="37" t="s">
        <v>1989</v>
      </c>
      <c r="AS93" s="37" t="s">
        <v>1989</v>
      </c>
      <c r="AT93" s="37" t="s">
        <v>1989</v>
      </c>
      <c r="AU93" s="37" t="s">
        <v>1989</v>
      </c>
      <c r="AV93" s="37" t="s">
        <v>1989</v>
      </c>
      <c r="AW93" s="37" t="s">
        <v>1989</v>
      </c>
      <c r="AX93" s="37" t="s">
        <v>1989</v>
      </c>
      <c r="AY93" s="37" t="s">
        <v>1989</v>
      </c>
      <c r="AZ93" s="37" t="s">
        <v>1989</v>
      </c>
      <c r="BA93" s="37" t="s">
        <v>1989</v>
      </c>
      <c r="BB93" s="37" t="s">
        <v>1989</v>
      </c>
      <c r="BC93" s="37" t="s">
        <v>1989</v>
      </c>
      <c r="BD93" s="37" t="s">
        <v>1989</v>
      </c>
      <c r="BE93" s="37" t="s">
        <v>1989</v>
      </c>
      <c r="BF93" s="37" t="s">
        <v>1989</v>
      </c>
      <c r="BG93" s="37" t="s">
        <v>1989</v>
      </c>
      <c r="BH93" s="37" t="s">
        <v>1989</v>
      </c>
      <c r="BI93" s="37" t="s">
        <v>1989</v>
      </c>
      <c r="BJ93" s="37" t="s">
        <v>1989</v>
      </c>
      <c r="BK93" s="37" t="s">
        <v>1989</v>
      </c>
      <c r="BL93" s="37" t="s">
        <v>1989</v>
      </c>
      <c r="BM93" s="37" t="s">
        <v>1989</v>
      </c>
      <c r="BN93" s="37" t="s">
        <v>1989</v>
      </c>
      <c r="BO93" s="37" t="s">
        <v>1989</v>
      </c>
      <c r="BP93" s="37" t="s">
        <v>1989</v>
      </c>
      <c r="BQ93" s="37" t="s">
        <v>1989</v>
      </c>
      <c r="BR93" s="37" t="s">
        <v>1989</v>
      </c>
      <c r="BS93" s="37" t="s">
        <v>1989</v>
      </c>
      <c r="BT93" s="37" t="s">
        <v>1989</v>
      </c>
      <c r="BU93" s="37" t="s">
        <v>1989</v>
      </c>
      <c r="BV93" s="37" t="s">
        <v>1989</v>
      </c>
      <c r="BW93" s="37" t="s">
        <v>1989</v>
      </c>
    </row>
  </sheetData>
  <conditionalFormatting sqref="AC32:AF33 AC18:AD31 AK8:BW11 AT12:AT35 A34:F93 AG32:AH69 I31:I69 A94:BW1048576 J29:P35 G31:H89 J36:AF69 AT1:BW7 AU12:BF69 AI36:AT69 G90:BW93 I70:BF89 BG12:BW89 BX1:XFD1048576 R1:R35">
    <cfRule type="cellIs" dxfId="219" priority="1518" operator="equal">
      <formula>"F"</formula>
    </cfRule>
  </conditionalFormatting>
  <conditionalFormatting sqref="AC32:AF33 AC18:AD31 AK8:BW11 AT12:AT35 A34:F93 AG32:AH69 I31:I69 A94:BW1048576 J29:P35 G31:H89 J36:AF69 AT1:BW7 AU12:BF69 AI36:AT69 G90:BW93 I70:BF89 BG12:BW89 BX1:XFD1048576 R1:R35">
    <cfRule type="cellIs" dxfId="218" priority="1517" operator="equal">
      <formula>"T"</formula>
    </cfRule>
  </conditionalFormatting>
  <conditionalFormatting sqref="AC32:AF33 AC18:AD31 AK8:BW11 AT12:AT35 A34:F93 AG32:AH69 I31:I69 A94:BW1048576 J29:P35 G31:H89 J36:AF69 AT1:BW7 AU12:BF69 AI36:AT69 G90:BW93 I70:BF89 BG12:BW89 BX1:XFD1048576 R1:R35">
    <cfRule type="cellIs" dxfId="217" priority="1516" operator="equal">
      <formula>"B"</formula>
    </cfRule>
  </conditionalFormatting>
  <conditionalFormatting sqref="AC32:AF33 AC18:AD31 AK8:BW11 AT12:AT35 A34:F93 AG32:AH69 I31:I69 A94:BW1048576 J29:P35 G31:H89 J36:AF69 AT1:BW7 AU12:BF69 AI36:AT69 G90:BW93 I70:BF89 BG12:BW89 BX1:XFD1048576 R1:R35">
    <cfRule type="cellIs" dxfId="216" priority="1515" operator="equal">
      <formula>"L"</formula>
    </cfRule>
  </conditionalFormatting>
  <conditionalFormatting sqref="AC32:AF33 AC18:AD31 AK8:BW11 AT12:AT35 A34:F93 AG32:AH69 I31:I69 A94:BW1048576 J29:P35 G31:H89 J36:AF69 AT1:BW7 AU12:BF69 AI36:AT69 G90:BW93 I70:BF89 BG12:BW89 BX1:XFD1048576 R1:R35">
    <cfRule type="cellIs" dxfId="215" priority="1514" operator="equal">
      <formula>"R"</formula>
    </cfRule>
  </conditionalFormatting>
  <conditionalFormatting sqref="AC32:AF33 AC18:AD31 AK8:BW11 AT12:AT35 A34:F93 AG32:AH69 I31:I69 A94:BW1048576 J29:P35 G31:H89 J36:AF69 AT1:BW7 AU12:BF69 AI36:AT69 G90:BW93 I70:BF89 BG12:BW89 BX1:XFD1048576 R1:R35">
    <cfRule type="cellIs" dxfId="214" priority="1513" operator="equal">
      <formula>"C1"</formula>
    </cfRule>
  </conditionalFormatting>
  <conditionalFormatting sqref="AC32:AF33 AC18:AD31 AK8:BW11 AT12:AT35 A34:F93 AG32:AH69 I31:I69 A94:BW1048576 J29:P35 G31:H89 J36:AF69 AT1:BW7 AU12:BF69 AI36:AT69 G90:BW93 I70:BF89 BG12:BW89 BX1:XFD1048576 R1:R35">
    <cfRule type="cellIs" dxfId="213" priority="1512" operator="equal">
      <formula>"C2"</formula>
    </cfRule>
  </conditionalFormatting>
  <conditionalFormatting sqref="AC32:AF33 AC18:AD31 AK8:BW11 AT12:AT35 A34:F93 AG32:AH69 I31:I69 A94:BW1048576 J29:P35 G31:H89 J36:AF69 AT1:BW7 AU12:BF69 AI36:AT69 G90:BW93 I70:BF89 BG12:BW89 BX1:XFD1048576 R1:R35">
    <cfRule type="cellIs" dxfId="212" priority="1511" operator="equal">
      <formula>"C3"</formula>
    </cfRule>
  </conditionalFormatting>
  <conditionalFormatting sqref="AC32:AF33 AC18:AD31 AK8:BW11 AT12:AT35 A34:F93 AG32:AH69 I31:I69 A94:BW1048576 J29:P35 G31:H89 J36:AF69 AT1:BW7 AU12:BF69 AI36:AT69 G90:BW93 I70:BF89 BG12:BW89 BX1:XFD1048576 R1:R35">
    <cfRule type="cellIs" dxfId="211" priority="1510" operator="equal">
      <formula>"C4"</formula>
    </cfRule>
  </conditionalFormatting>
  <conditionalFormatting sqref="AC32:AF33 AC18:AD31 AK8:BW11 AT12:AT35 A34:F93 AG32:AH69 I31:I69 A94:BW1048576 J29:P35 G31:H89 J36:AF69 AT1:BW7 AU12:BF69 AI36:AT69 G90:BW93 I70:BF89 BG12:BW89 BX1:XFD1048576 R1:R35">
    <cfRule type="cellIs" dxfId="210" priority="1509" operator="equal">
      <formula>"V"</formula>
    </cfRule>
  </conditionalFormatting>
  <conditionalFormatting sqref="AC32:AF33 AC18:AD31 AK8:BW11 AT12:AT35 A34:F93 AG32:AH69 I31:I69 A94:BW1048576 J29:P35 G31:H89 J36:AF69 AT1:BW7 AU12:BF69 AI36:AT69 G90:BW93 I70:BF89 BG12:BW89 BX1:XFD1048576 R1:R35">
    <cfRule type="cellIs" dxfId="209" priority="1508" operator="equal">
      <formula>"LR"</formula>
    </cfRule>
  </conditionalFormatting>
  <conditionalFormatting sqref="AC32:AF33 AC18:AD31 AK8:BW11 AT12:AT35 A34:F93 AG32:AH69 I31:I69 A94:BW1048576 J29:P35 G31:H89 J36:AF69 AT1:BW7 AU12:BF69 AI36:AT69 G90:BW93 I70:BF89 BG12:BW89 BX1:XFD1048576 R1:R35">
    <cfRule type="cellIs" dxfId="208" priority="1507" operator="equal">
      <formula>"H"</formula>
    </cfRule>
  </conditionalFormatting>
  <conditionalFormatting sqref="AC32:AF33 AC18:AD31 AK8:BW11 AT12:AT35 A34:F93 AG32:AH69 I31:I69 A94:BW1048576 J29:P35 G31:H89 J36:AF69 AT1:BW7 AU12:BF69 AI36:AT69 G90:BW93 I70:BF89 BG12:BW89 BX1:XFD1048576 R1:R35">
    <cfRule type="cellIs" dxfId="207" priority="1506" operator="equal">
      <formula>"TB"</formula>
    </cfRule>
  </conditionalFormatting>
  <conditionalFormatting sqref="AC32:AF33 AC18:AD31 AK8:BW11 AT12:AT35 A34:F93 AG32:AH69 I31:I69 A94:BW1048576 J29:P35 G31:H89 J36:AF69 AT1:BW7 AU12:BF69 AI36:AT69 G90:BW93 I70:BF89 BG12:BW89 BX1:XFD1048576 R1:R35">
    <cfRule type="cellIs" dxfId="206" priority="1505" operator="equal">
      <formula>"N"</formula>
    </cfRule>
  </conditionalFormatting>
  <conditionalFormatting sqref="AC32:AF33 AC18:AD31 AK8:BW11 AT12:AT35 A34:F93 AG32:AH69 I31:I69 A94:BW1048576 J29:P35 G31:H89 J36:AF69 AT1:BW7 AU12:BF69 AI36:AT69 G90:BW93 I70:BF89 BG12:BW89 BX1:XFD1048576 R1:R35">
    <cfRule type="cellIs" dxfId="205" priority="1504" operator="equal">
      <formula>"U"</formula>
    </cfRule>
  </conditionalFormatting>
  <conditionalFormatting sqref="AC32:AF33 AC18:AD31 AK8:BW11 AT12:AT35 A34:F93 AG32:AH69 I31:I69 A94:BW1048576 J29:P35 G31:H89 J36:AF69 AT1:BW7 AU12:BF69 AI36:AT69 G90:BW93 I70:BF89 BG12:BW89 BX1:XFD1048576 R1:R35">
    <cfRule type="cellIs" dxfId="204" priority="1503" operator="equal">
      <formula>"C"</formula>
    </cfRule>
  </conditionalFormatting>
  <conditionalFormatting sqref="AC32:AF33 AC18:AD31 AK8:BW11 AT12:AT35 A34:F93 AG32:AH69 I31:I69 A94:BW1048576 J29:P35 G31:H89 J36:AF69 AT1:BW7 AU12:BF69 AI36:AT69 G90:BW93 I70:BF89 BG12:BW89 BX1:XFD1048576 R1:R35">
    <cfRule type="cellIs" dxfId="203" priority="1502" operator="equal">
      <formula>"D"</formula>
    </cfRule>
  </conditionalFormatting>
  <conditionalFormatting sqref="AC32:AF33 AC18:AD31 AK8:BW11 AT12:AT35 A34:F93 AG32:AH69 I31:I69 A94:BW1048576 J29:P35 G31:H89 J36:AF69 AT1:BW7 AU12:BF69 AI36:AT69 G90:BW93 I70:BF89 BG12:BW89 BX1:XFD1048576 R1:R35">
    <cfRule type="cellIs" dxfId="202" priority="1501" operator="equal">
      <formula>"S"</formula>
    </cfRule>
  </conditionalFormatting>
  <conditionalFormatting sqref="AC32:AF33 AC18:AD31 AK8:BW11 AT12:AT35 A34:F93 AG32:AH69 I31:I69 A94:BW1048576 J29:P35 G31:H89 J36:AF69 AT1:BW7 AU12:BF69 AI36:AT69 G90:BW93 I70:BF89 BG12:BW89 BX1:XFD1048576 R1:R35">
    <cfRule type="cellIs" dxfId="201" priority="1500" operator="equal">
      <formula>"TL"</formula>
    </cfRule>
  </conditionalFormatting>
  <conditionalFormatting sqref="AC32:AF33 AC18:AD31 AK8:BW11 AT12:AT35 A34:F93 AG32:AH69 I31:I69 A94:BW1048576 J29:P35 G31:H89 J36:AF69 AT1:BW7 AU12:BF69 AI36:AT69 G90:BW93 I70:BF89 BG12:BW89 BX1:XFD1048576 R1:R35">
    <cfRule type="cellIs" dxfId="200" priority="1499" operator="equal">
      <formula>"TR"</formula>
    </cfRule>
  </conditionalFormatting>
  <conditionalFormatting sqref="AC32:AF33 AC18:AD31 AK8:BW11 AT12:AT35 A34:F93 AG32:AH69 I31:I69 A94:BW1048576 J29:P35 G31:H89 J36:AF69 AT1:BW7 AU12:BF69 AI36:AT69 G90:BW93 I70:BF89 BG12:BW89 BX1:XFD1048576 R1:R35">
    <cfRule type="cellIs" dxfId="199" priority="1498" operator="equal">
      <formula>"BR"</formula>
    </cfRule>
  </conditionalFormatting>
  <conditionalFormatting sqref="AC32:AF33 AC18:AD31 AK8:BW11 AT12:AT35 A34:F93 AG32:AH69 I31:I69 A94:BW1048576 J29:P35 G31:H89 J36:AF69 AT1:BW7 AU12:BF69 AI36:AT69 G90:BW93 I70:BF89 BG12:BW89 BX1:XFD1048576 R1:R35">
    <cfRule type="cellIs" dxfId="198" priority="1497" operator="equal">
      <formula>"BL"</formula>
    </cfRule>
  </conditionalFormatting>
  <conditionalFormatting sqref="AC32:AF33 AC18:AD31 AK8:BW11 AT12:AT35 A34:F93 AG32:AH69 I31:I69 A94:BW1048576 J29:P35 G31:H89 J36:AF69 AT1:BW7 AU12:BF69 AI36:AT69 G90:BW93 I70:BF89 BG12:BW89 BX1:XFD1048576 R1:R35">
    <cfRule type="cellIs" dxfId="197" priority="1496" operator="equal">
      <formula>"LT"</formula>
    </cfRule>
  </conditionalFormatting>
  <conditionalFormatting sqref="AC32:AF33 AC18:AD31 AK8:BW11 AT12:AT35 A34:F93 AG32:AH69 I31:I69 A94:BW1048576 J29:P35 G31:H89 J36:AF69 AT1:BW7 AU12:BF69 AI36:AT69 G90:BW93 I70:BF89 BG12:BW89 BX1:XFD1048576 R1:R35">
    <cfRule type="cellIs" dxfId="196" priority="1495" operator="equal">
      <formula>"RT"</formula>
    </cfRule>
  </conditionalFormatting>
  <conditionalFormatting sqref="AC32:AF33 AC18:AD31 AK8:BW11 AT12:AT35 A34:F93 AG32:AH69 I31:I69 A94:BW1048576 J29:P35 G31:H89 J36:AF69 AT1:BW7 AU12:BF69 AI36:AT69 G90:BW93 I70:BF89 BG12:BW89 BX1:XFD1048576 R1:R35">
    <cfRule type="cellIs" dxfId="195" priority="1494" operator="equal">
      <formula>"RB"</formula>
    </cfRule>
  </conditionalFormatting>
  <conditionalFormatting sqref="AC32:AF33 AC18:AD31 AK8:BW11 AT12:AT35 A34:F93 AG32:AH69 I31:I69 A94:BW1048576 J29:P35 G31:H89 J36:AF69 AT1:BW7 AU12:BF69 AI36:AT69 G90:BW93 I70:BF89 BG12:BW89 BX1:XFD1048576 R1:R35">
    <cfRule type="cellIs" dxfId="194" priority="1493" operator="equal">
      <formula>"LB"</formula>
    </cfRule>
  </conditionalFormatting>
  <conditionalFormatting sqref="AC32:AF33 AC18:AD31 AK8:BW11 AT12:AT35 A34:F93 AG32:AH69 I31:I69 A94:BW1048576 J29:P35 G31:H89 J36:AF69 AT1:BW7 AU12:BF69 AI36:AT69 G90:BW93 I70:BF89 BG12:BW89 BX1:XFD1048576 R1:R35">
    <cfRule type="cellIs" dxfId="193" priority="1492" operator="equal">
      <formula>"RL"</formula>
    </cfRule>
  </conditionalFormatting>
  <conditionalFormatting sqref="AC32:AF33 AC18:AD31 AK8:BW11 AT12:AT35 A34:F93 AG32:AH69 I31:I69 A94:BW1048576 J29:P35 G31:H89 J36:AF69 AT1:BW7 AU12:BF69 AI36:AT69 G90:BW93 I70:BF89 BG12:BW89 BX1:XFD1048576 R1:R35">
    <cfRule type="cellIs" dxfId="192" priority="1491" operator="equal">
      <formula>"BT"</formula>
    </cfRule>
  </conditionalFormatting>
  <conditionalFormatting sqref="AC32:AF33 AC18:AD31 AK8:BW11 AT12:AT35 A34:F93 AG32:AH69 I31:I69 A94:BW1048576 J29:P35 G31:H89 J36:AF69 AT1:BW7 AU12:BF69 AI36:AT69 G90:BW93 I70:BF89 BG12:BW89 BX1:XFD1048576 R1:R35">
    <cfRule type="cellIs" dxfId="191" priority="1490" operator="equal">
      <formula>"["</formula>
    </cfRule>
  </conditionalFormatting>
  <conditionalFormatting sqref="AC32:AF33 AC18:AD31 AK8:BW11 AT12:AT35 A34:F93 AG32:AH69 I31:I69 A94:BW1048576 J29:P35 G31:H89 J36:AF69 AT1:BW7 AU12:BF69 AI36:AT69 G90:BW93 I70:BF89 BG12:BW89 BX1:XFD1048576 R1:R35">
    <cfRule type="cellIs" dxfId="190" priority="1489" operator="equal">
      <formula>"]"</formula>
    </cfRule>
  </conditionalFormatting>
  <conditionalFormatting sqref="AC32:AF33 AC18:AD31 AK8:BW11 AT12:AT35 A34:F93 AG32:AH69 I31:I69 A94:BW1048576 J29:P35 G31:H89 J36:AF69 AT1:BW7 AU12:BF69 AI36:AT69 G90:BW93 I70:BF89 BG12:BW89 BX1:XFD1048576 R1:R35">
    <cfRule type="cellIs" dxfId="189" priority="1488" operator="equal">
      <formula>"M"</formula>
    </cfRule>
  </conditionalFormatting>
  <conditionalFormatting sqref="AC32:AF33 AC18:AD31 AK8:BW11 AT12:AT35 A34:F93 AG32:AH69 I31:I69 A94:BW1048576 J29:P35 G31:H89 J36:AF69 AT1:BW7 AU12:BF69 AI36:AT69 G90:BW93 I70:BF89 BG12:BW89 BX1:XFD1048576 R1:R35">
    <cfRule type="cellIs" dxfId="188" priority="1487" operator="equal">
      <formula>"$"</formula>
    </cfRule>
  </conditionalFormatting>
  <conditionalFormatting sqref="AC32:AF33 AC18:AD31 AK8:BW11 AT12:AT35 A34:F93 AG32:AH69 I31:I69 A94:BW1048576 J29:P35 G31:H89 J36:AF69 AT1:BW7 AU12:BF69 AI36:AT69 G90:BW93 I70:BF89 BG12:BW89 BX1:XFD1048576 R1:R35">
    <cfRule type="cellIs" dxfId="187" priority="1486" operator="equal">
      <formula>"^"</formula>
    </cfRule>
  </conditionalFormatting>
  <conditionalFormatting sqref="A1:XFD1048576">
    <cfRule type="cellIs" dxfId="186" priority="1523" operator="equal">
      <formula>"W"</formula>
    </cfRule>
  </conditionalFormatting>
  <conditionalFormatting sqref="S1:BW2 U3:BZ3 AT14:AV31 AW14:AX17 AW20:AX21 AW24:AX25 AW28:AX31 AU32:AV37 AW32:BF33 BC14:BF31 BA14:BB15 BA18:BB19 BA22:BB23 BA26:BB27 AQ36:AT37 AQ38:AR41 AM40:AP41 U44:U45 O1:Q40 A1:N35 U4:V43 S3:T43 W4:AS35">
    <cfRule type="cellIs" dxfId="185" priority="1521" operator="equal">
      <formula>"$"</formula>
    </cfRule>
  </conditionalFormatting>
  <conditionalFormatting sqref="A1:XFD1048576">
    <cfRule type="cellIs" dxfId="184" priority="1520" operator="equal">
      <formula>"G"</formula>
    </cfRule>
  </conditionalFormatting>
  <conditionalFormatting sqref="S1:BW2 U3:BZ3 AT14:AV31 AW14:AX17 AW20:AX21 AW24:AX25 AW28:AX31 AU32:AV37 AW32:BF33 BC14:BF31 BA14:BB15 BA18:BB19 BA22:BB23 BA26:BB27 AQ36:AT37 AQ38:AR41 AM40:AP41 U44:U45 O1:Q40 A1:N35 U4:V43 S3:T43 W4:AS35">
    <cfRule type="cellIs" dxfId="183" priority="1519" operator="equal">
      <formula>"^"</formula>
    </cfRule>
  </conditionalFormatting>
  <conditionalFormatting sqref="AA14">
    <cfRule type="cellIs" dxfId="182" priority="1454" operator="equal">
      <formula>"$"</formula>
    </cfRule>
  </conditionalFormatting>
  <conditionalFormatting sqref="AA14">
    <cfRule type="cellIs" dxfId="181" priority="1453" operator="equal">
      <formula>"^"</formula>
    </cfRule>
  </conditionalFormatting>
  <conditionalFormatting sqref="S16">
    <cfRule type="cellIs" dxfId="180" priority="1421" operator="equal">
      <formula>"$"</formula>
    </cfRule>
  </conditionalFormatting>
  <conditionalFormatting sqref="S16">
    <cfRule type="cellIs" dxfId="179" priority="1420" operator="equal">
      <formula>"^"</formula>
    </cfRule>
  </conditionalFormatting>
  <conditionalFormatting sqref="R23">
    <cfRule type="cellIs" dxfId="178" priority="1388" operator="equal">
      <formula>"$"</formula>
    </cfRule>
  </conditionalFormatting>
  <conditionalFormatting sqref="R23">
    <cfRule type="cellIs" dxfId="177" priority="1387" operator="equal">
      <formula>"^"</formula>
    </cfRule>
  </conditionalFormatting>
  <conditionalFormatting sqref="V14">
    <cfRule type="cellIs" dxfId="176" priority="1355" operator="equal">
      <formula>"$"</formula>
    </cfRule>
  </conditionalFormatting>
  <conditionalFormatting sqref="V14">
    <cfRule type="cellIs" dxfId="175" priority="1354" operator="equal">
      <formula>"^"</formula>
    </cfRule>
  </conditionalFormatting>
  <conditionalFormatting sqref="U6">
    <cfRule type="cellIs" dxfId="174" priority="1322" operator="equal">
      <formula>"$"</formula>
    </cfRule>
  </conditionalFormatting>
  <conditionalFormatting sqref="U6">
    <cfRule type="cellIs" dxfId="173" priority="1321" operator="equal">
      <formula>"^"</formula>
    </cfRule>
  </conditionalFormatting>
  <conditionalFormatting sqref="AD7">
    <cfRule type="cellIs" dxfId="172" priority="1289" operator="equal">
      <formula>"$"</formula>
    </cfRule>
  </conditionalFormatting>
  <conditionalFormatting sqref="AD7">
    <cfRule type="cellIs" dxfId="171" priority="1288" operator="equal">
      <formula>"^"</formula>
    </cfRule>
  </conditionalFormatting>
  <conditionalFormatting sqref="AM17">
    <cfRule type="cellIs" dxfId="170" priority="1256" operator="equal">
      <formula>"$"</formula>
    </cfRule>
  </conditionalFormatting>
  <conditionalFormatting sqref="AM17">
    <cfRule type="cellIs" dxfId="169" priority="1255" operator="equal">
      <formula>"^"</formula>
    </cfRule>
  </conditionalFormatting>
  <conditionalFormatting sqref="AL28">
    <cfRule type="cellIs" dxfId="168" priority="1223" operator="equal">
      <formula>"$"</formula>
    </cfRule>
  </conditionalFormatting>
  <conditionalFormatting sqref="AL28">
    <cfRule type="cellIs" dxfId="167" priority="1222" operator="equal">
      <formula>"^"</formula>
    </cfRule>
  </conditionalFormatting>
  <conditionalFormatting sqref="Q20">
    <cfRule type="cellIs" dxfId="166" priority="1190" operator="equal">
      <formula>"$"</formula>
    </cfRule>
  </conditionalFormatting>
  <conditionalFormatting sqref="Q20">
    <cfRule type="cellIs" dxfId="165" priority="1189" operator="equal">
      <formula>"^"</formula>
    </cfRule>
  </conditionalFormatting>
  <conditionalFormatting sqref="AR33">
    <cfRule type="cellIs" dxfId="164" priority="1157" operator="equal">
      <formula>"$"</formula>
    </cfRule>
  </conditionalFormatting>
  <conditionalFormatting sqref="AR33">
    <cfRule type="cellIs" dxfId="163" priority="1156" operator="equal">
      <formula>"^"</formula>
    </cfRule>
  </conditionalFormatting>
  <conditionalFormatting sqref="P20">
    <cfRule type="cellIs" dxfId="162" priority="1124" operator="equal">
      <formula>"$"</formula>
    </cfRule>
  </conditionalFormatting>
  <conditionalFormatting sqref="P20">
    <cfRule type="cellIs" dxfId="161" priority="1123" operator="equal">
      <formula>"^"</formula>
    </cfRule>
  </conditionalFormatting>
  <conditionalFormatting sqref="AT5">
    <cfRule type="cellIs" dxfId="160" priority="1091" operator="equal">
      <formula>"$"</formula>
    </cfRule>
  </conditionalFormatting>
  <conditionalFormatting sqref="AT5">
    <cfRule type="cellIs" dxfId="159" priority="1090" operator="equal">
      <formula>"^"</formula>
    </cfRule>
  </conditionalFormatting>
  <conditionalFormatting sqref="R23">
    <cfRule type="cellIs" dxfId="158" priority="1058" operator="equal">
      <formula>"$"</formula>
    </cfRule>
  </conditionalFormatting>
  <conditionalFormatting sqref="R23">
    <cfRule type="cellIs" dxfId="157" priority="1057" operator="equal">
      <formula>"^"</formula>
    </cfRule>
  </conditionalFormatting>
  <conditionalFormatting sqref="AY15">
    <cfRule type="cellIs" dxfId="156" priority="1025" operator="equal">
      <formula>"$"</formula>
    </cfRule>
  </conditionalFormatting>
  <conditionalFormatting sqref="AY15">
    <cfRule type="cellIs" dxfId="155" priority="1024" operator="equal">
      <formula>"^"</formula>
    </cfRule>
  </conditionalFormatting>
  <conditionalFormatting sqref="BL18">
    <cfRule type="cellIs" dxfId="154" priority="992" operator="equal">
      <formula>"$"</formula>
    </cfRule>
  </conditionalFormatting>
  <conditionalFormatting sqref="BL18">
    <cfRule type="cellIs" dxfId="153" priority="991" operator="equal">
      <formula>"^"</formula>
    </cfRule>
  </conditionalFormatting>
  <conditionalFormatting sqref="BL29">
    <cfRule type="cellIs" dxfId="152" priority="959" operator="equal">
      <formula>"$"</formula>
    </cfRule>
  </conditionalFormatting>
  <conditionalFormatting sqref="BL29">
    <cfRule type="cellIs" dxfId="151" priority="958" operator="equal">
      <formula>"^"</formula>
    </cfRule>
  </conditionalFormatting>
  <conditionalFormatting sqref="AZ29">
    <cfRule type="cellIs" dxfId="150" priority="926" operator="equal">
      <formula>"$"</formula>
    </cfRule>
  </conditionalFormatting>
  <conditionalFormatting sqref="AZ29">
    <cfRule type="cellIs" dxfId="149" priority="925" operator="equal">
      <formula>"^"</formula>
    </cfRule>
  </conditionalFormatting>
  <conditionalFormatting sqref="AO38">
    <cfRule type="cellIs" dxfId="148" priority="893" operator="equal">
      <formula>"$"</formula>
    </cfRule>
  </conditionalFormatting>
  <conditionalFormatting sqref="AO38">
    <cfRule type="cellIs" dxfId="147" priority="892" operator="equal">
      <formula>"^"</formula>
    </cfRule>
  </conditionalFormatting>
  <conditionalFormatting sqref="AX35">
    <cfRule type="cellIs" dxfId="146" priority="860" operator="equal">
      <formula>"$"</formula>
    </cfRule>
  </conditionalFormatting>
  <conditionalFormatting sqref="AX35">
    <cfRule type="cellIs" dxfId="145" priority="859" operator="equal">
      <formula>"^"</formula>
    </cfRule>
  </conditionalFormatting>
  <conditionalFormatting sqref="AW40">
    <cfRule type="cellIs" dxfId="144" priority="827" operator="equal">
      <formula>"$"</formula>
    </cfRule>
  </conditionalFormatting>
  <conditionalFormatting sqref="AW40">
    <cfRule type="cellIs" dxfId="143" priority="826" operator="equal">
      <formula>"^"</formula>
    </cfRule>
  </conditionalFormatting>
  <conditionalFormatting sqref="BC35">
    <cfRule type="cellIs" dxfId="142" priority="794" operator="equal">
      <formula>"$"</formula>
    </cfRule>
  </conditionalFormatting>
  <conditionalFormatting sqref="BC35">
    <cfRule type="cellIs" dxfId="141" priority="793" operator="equal">
      <formula>"^"</formula>
    </cfRule>
  </conditionalFormatting>
  <conditionalFormatting sqref="AO44">
    <cfRule type="cellIs" dxfId="140" priority="761" operator="equal">
      <formula>"$"</formula>
    </cfRule>
  </conditionalFormatting>
  <conditionalFormatting sqref="AO44">
    <cfRule type="cellIs" dxfId="139" priority="760" operator="equal">
      <formula>"^"</formula>
    </cfRule>
  </conditionalFormatting>
  <conditionalFormatting sqref="AA38">
    <cfRule type="cellIs" dxfId="138" priority="728" operator="equal">
      <formula>"$"</formula>
    </cfRule>
  </conditionalFormatting>
  <conditionalFormatting sqref="AA38">
    <cfRule type="cellIs" dxfId="137" priority="727" operator="equal">
      <formula>"^"</formula>
    </cfRule>
  </conditionalFormatting>
  <conditionalFormatting sqref="M40">
    <cfRule type="cellIs" dxfId="136" priority="695" operator="equal">
      <formula>"$"</formula>
    </cfRule>
  </conditionalFormatting>
  <conditionalFormatting sqref="M40">
    <cfRule type="cellIs" dxfId="135" priority="694" operator="equal">
      <formula>"^"</formula>
    </cfRule>
  </conditionalFormatting>
  <conditionalFormatting sqref="K46">
    <cfRule type="cellIs" dxfId="134" priority="662" operator="equal">
      <formula>"$"</formula>
    </cfRule>
  </conditionalFormatting>
  <conditionalFormatting sqref="K46">
    <cfRule type="cellIs" dxfId="133" priority="661" operator="equal">
      <formula>"^"</formula>
    </cfRule>
  </conditionalFormatting>
  <conditionalFormatting sqref="AL55">
    <cfRule type="cellIs" dxfId="132" priority="629" operator="equal">
      <formula>"$"</formula>
    </cfRule>
  </conditionalFormatting>
  <conditionalFormatting sqref="AL55">
    <cfRule type="cellIs" dxfId="131" priority="628" operator="equal">
      <formula>"^"</formula>
    </cfRule>
  </conditionalFormatting>
  <conditionalFormatting sqref="V51">
    <cfRule type="cellIs" dxfId="130" priority="596" operator="equal">
      <formula>"$"</formula>
    </cfRule>
  </conditionalFormatting>
  <conditionalFormatting sqref="V51">
    <cfRule type="cellIs" dxfId="129" priority="595" operator="equal">
      <formula>"^"</formula>
    </cfRule>
  </conditionalFormatting>
  <conditionalFormatting sqref="BG40">
    <cfRule type="cellIs" dxfId="128" priority="563" operator="equal">
      <formula>"$"</formula>
    </cfRule>
  </conditionalFormatting>
  <conditionalFormatting sqref="BG40">
    <cfRule type="cellIs" dxfId="127" priority="562" operator="equal">
      <formula>"^"</formula>
    </cfRule>
  </conditionalFormatting>
  <conditionalFormatting sqref="BB47">
    <cfRule type="cellIs" dxfId="126" priority="530" operator="equal">
      <formula>"$"</formula>
    </cfRule>
  </conditionalFormatting>
  <conditionalFormatting sqref="BB47">
    <cfRule type="cellIs" dxfId="125" priority="529" operator="equal">
      <formula>"^"</formula>
    </cfRule>
  </conditionalFormatting>
  <conditionalFormatting sqref="AX53">
    <cfRule type="cellIs" dxfId="124" priority="497" operator="equal">
      <formula>"$"</formula>
    </cfRule>
  </conditionalFormatting>
  <conditionalFormatting sqref="AX53">
    <cfRule type="cellIs" dxfId="123" priority="496" operator="equal">
      <formula>"^"</formula>
    </cfRule>
  </conditionalFormatting>
  <conditionalFormatting sqref="BO49">
    <cfRule type="cellIs" dxfId="122" priority="464" operator="equal">
      <formula>"$"</formula>
    </cfRule>
  </conditionalFormatting>
  <conditionalFormatting sqref="BO49">
    <cfRule type="cellIs" dxfId="121" priority="463" operator="equal">
      <formula>"^"</formula>
    </cfRule>
  </conditionalFormatting>
  <conditionalFormatting sqref="AX58">
    <cfRule type="cellIs" dxfId="120" priority="431" operator="equal">
      <formula>"$"</formula>
    </cfRule>
  </conditionalFormatting>
  <conditionalFormatting sqref="AX58">
    <cfRule type="cellIs" dxfId="119" priority="430" operator="equal">
      <formula>"^"</formula>
    </cfRule>
  </conditionalFormatting>
  <conditionalFormatting sqref="BJ65">
    <cfRule type="cellIs" dxfId="118" priority="398" operator="equal">
      <formula>"$"</formula>
    </cfRule>
  </conditionalFormatting>
  <conditionalFormatting sqref="BJ65">
    <cfRule type="cellIs" dxfId="117" priority="397" operator="equal">
      <formula>"^"</formula>
    </cfRule>
  </conditionalFormatting>
  <conditionalFormatting sqref="AI67">
    <cfRule type="cellIs" dxfId="116" priority="365" operator="equal">
      <formula>"$"</formula>
    </cfRule>
  </conditionalFormatting>
  <conditionalFormatting sqref="AI67">
    <cfRule type="cellIs" dxfId="115" priority="364" operator="equal">
      <formula>"^"</formula>
    </cfRule>
  </conditionalFormatting>
  <conditionalFormatting sqref="N67">
    <cfRule type="cellIs" dxfId="114" priority="332" operator="equal">
      <formula>"$"</formula>
    </cfRule>
  </conditionalFormatting>
  <conditionalFormatting sqref="N67">
    <cfRule type="cellIs" dxfId="113" priority="331" operator="equal">
      <formula>"^"</formula>
    </cfRule>
  </conditionalFormatting>
  <conditionalFormatting sqref="H74">
    <cfRule type="cellIs" dxfId="112" priority="299" operator="equal">
      <formula>"$"</formula>
    </cfRule>
  </conditionalFormatting>
  <conditionalFormatting sqref="H74">
    <cfRule type="cellIs" dxfId="111" priority="298" operator="equal">
      <formula>"^"</formula>
    </cfRule>
  </conditionalFormatting>
  <conditionalFormatting sqref="L83">
    <cfRule type="cellIs" dxfId="110" priority="266" operator="equal">
      <formula>"$"</formula>
    </cfRule>
  </conditionalFormatting>
  <conditionalFormatting sqref="L83">
    <cfRule type="cellIs" dxfId="109" priority="265" operator="equal">
      <formula>"^"</formula>
    </cfRule>
  </conditionalFormatting>
  <conditionalFormatting sqref="H86">
    <cfRule type="cellIs" dxfId="108" priority="233" operator="equal">
      <formula>"$"</formula>
    </cfRule>
  </conditionalFormatting>
  <conditionalFormatting sqref="H86">
    <cfRule type="cellIs" dxfId="107" priority="232" operator="equal">
      <formula>"^"</formula>
    </cfRule>
  </conditionalFormatting>
  <conditionalFormatting sqref="H75">
    <cfRule type="cellIs" dxfId="106" priority="200" operator="equal">
      <formula>"$"</formula>
    </cfRule>
  </conditionalFormatting>
  <conditionalFormatting sqref="H75">
    <cfRule type="cellIs" dxfId="105" priority="199" operator="equal">
      <formula>"^"</formula>
    </cfRule>
  </conditionalFormatting>
  <conditionalFormatting sqref="AI81">
    <cfRule type="cellIs" dxfId="104" priority="167" operator="equal">
      <formula>"$"</formula>
    </cfRule>
  </conditionalFormatting>
  <conditionalFormatting sqref="AI81">
    <cfRule type="cellIs" dxfId="103" priority="166" operator="equal">
      <formula>"^"</formula>
    </cfRule>
  </conditionalFormatting>
  <conditionalFormatting sqref="AJ90">
    <cfRule type="cellIs" dxfId="102" priority="134" operator="equal">
      <formula>"$"</formula>
    </cfRule>
  </conditionalFormatting>
  <conditionalFormatting sqref="AJ90">
    <cfRule type="cellIs" dxfId="101" priority="133" operator="equal">
      <formula>"^"</formula>
    </cfRule>
  </conditionalFormatting>
  <conditionalFormatting sqref="BL75">
    <cfRule type="cellIs" dxfId="100" priority="101" operator="equal">
      <formula>"$"</formula>
    </cfRule>
  </conditionalFormatting>
  <conditionalFormatting sqref="BL75">
    <cfRule type="cellIs" dxfId="99" priority="100" operator="equal">
      <formula>"^"</formula>
    </cfRule>
  </conditionalFormatting>
  <conditionalFormatting sqref="AV70">
    <cfRule type="cellIs" dxfId="98" priority="68" operator="equal">
      <formula>"$"</formula>
    </cfRule>
  </conditionalFormatting>
  <conditionalFormatting sqref="AV70">
    <cfRule type="cellIs" dxfId="97" priority="67" operator="equal">
      <formula>"^"</formula>
    </cfRule>
  </conditionalFormatting>
  <conditionalFormatting sqref="BR79">
    <cfRule type="cellIs" dxfId="96" priority="35" operator="equal">
      <formula>"$"</formula>
    </cfRule>
  </conditionalFormatting>
  <conditionalFormatting sqref="BR79">
    <cfRule type="cellIs" dxfId="95" priority="34" operator="equal">
      <formula>"^"</formula>
    </cfRule>
  </conditionalFormatting>
  <conditionalFormatting sqref="BR73">
    <cfRule type="cellIs" dxfId="94" priority="2" operator="equal">
      <formula>"$"</formula>
    </cfRule>
  </conditionalFormatting>
  <conditionalFormatting sqref="BR73">
    <cfRule type="cellIs" dxfId="93" priority="1" operator="equal">
      <formula>"^"</formula>
    </cfRule>
  </conditionalFormatting>
  <pageMargins left="0.7" right="0.7" top="0.75" bottom="0.75" header="0.3" footer="0.3"/>
  <pageSetup paperSize="9"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25CDA-2225-45CA-A1A3-9918E4778F39}">
  <sheetPr codeName="Аркуш33">
    <pageSetUpPr fitToPage="1"/>
  </sheetPr>
  <dimension ref="A1:BS49"/>
  <sheetViews>
    <sheetView showGridLines="0" topLeftCell="B1" zoomScaleNormal="100" workbookViewId="0">
      <selection activeCell="AG47" sqref="AG47"/>
    </sheetView>
  </sheetViews>
  <sheetFormatPr defaultColWidth="2.88671875" defaultRowHeight="16.5" customHeight="1"/>
  <cols>
    <col min="1" max="57" width="2.88671875" style="37"/>
    <col min="58" max="58" width="2.88671875" style="49"/>
    <col min="59" max="16384" width="2.88671875" style="37"/>
  </cols>
  <sheetData>
    <row r="1" spans="1:71" ht="16.5" customHeight="1">
      <c r="K1" s="37" t="s">
        <v>1995</v>
      </c>
    </row>
    <row r="2" spans="1:71" ht="16.5" customHeight="1">
      <c r="A2" s="37" t="s">
        <v>1996</v>
      </c>
      <c r="B2" s="37" t="s">
        <v>1989</v>
      </c>
      <c r="C2" s="37" t="s">
        <v>1989</v>
      </c>
      <c r="D2" s="37" t="s">
        <v>1989</v>
      </c>
      <c r="E2" s="37" t="s">
        <v>1989</v>
      </c>
      <c r="F2" s="37" t="s">
        <v>1989</v>
      </c>
      <c r="G2" s="37" t="s">
        <v>1989</v>
      </c>
      <c r="H2" s="37" t="s">
        <v>1989</v>
      </c>
      <c r="I2" s="37" t="s">
        <v>1989</v>
      </c>
      <c r="J2" s="37" t="s">
        <v>1989</v>
      </c>
      <c r="K2" s="37" t="s">
        <v>1990</v>
      </c>
      <c r="L2" s="37" t="s">
        <v>1989</v>
      </c>
      <c r="M2" s="37" t="s">
        <v>1989</v>
      </c>
      <c r="N2" s="37" t="s">
        <v>1989</v>
      </c>
      <c r="O2" s="37" t="s">
        <v>1989</v>
      </c>
      <c r="P2" s="37" t="s">
        <v>1989</v>
      </c>
      <c r="Q2" s="37" t="s">
        <v>1989</v>
      </c>
      <c r="R2" s="37" t="s">
        <v>1989</v>
      </c>
      <c r="S2" s="37" t="s">
        <v>1989</v>
      </c>
      <c r="T2" s="37" t="s">
        <v>1989</v>
      </c>
      <c r="U2" s="37" t="s">
        <v>1989</v>
      </c>
      <c r="V2" s="37" t="s">
        <v>1989</v>
      </c>
      <c r="W2" s="37" t="s">
        <v>1989</v>
      </c>
      <c r="X2" s="37" t="s">
        <v>1989</v>
      </c>
      <c r="Y2" s="37" t="s">
        <v>1989</v>
      </c>
      <c r="Z2" s="37" t="s">
        <v>1989</v>
      </c>
      <c r="AA2" s="37" t="s">
        <v>1989</v>
      </c>
      <c r="AB2" s="37" t="s">
        <v>1989</v>
      </c>
      <c r="AC2" s="37" t="s">
        <v>1989</v>
      </c>
      <c r="AD2" s="37" t="s">
        <v>1989</v>
      </c>
      <c r="AE2" s="37" t="s">
        <v>1989</v>
      </c>
      <c r="AF2" s="37" t="s">
        <v>1989</v>
      </c>
      <c r="AG2" s="37" t="s">
        <v>1989</v>
      </c>
      <c r="AH2" s="37" t="s">
        <v>1989</v>
      </c>
      <c r="AI2" s="37" t="s">
        <v>1989</v>
      </c>
      <c r="AJ2" s="37" t="s">
        <v>1989</v>
      </c>
      <c r="AK2" s="37" t="s">
        <v>1989</v>
      </c>
      <c r="AL2" s="37" t="s">
        <v>1989</v>
      </c>
      <c r="AM2" s="37" t="s">
        <v>1989</v>
      </c>
      <c r="AN2" s="37" t="s">
        <v>1989</v>
      </c>
      <c r="AO2" s="37" t="s">
        <v>1989</v>
      </c>
      <c r="AP2" s="37" t="s">
        <v>1989</v>
      </c>
      <c r="AQ2" s="37" t="s">
        <v>1989</v>
      </c>
      <c r="AR2" s="37" t="s">
        <v>1989</v>
      </c>
      <c r="AS2" s="37" t="s">
        <v>1989</v>
      </c>
      <c r="AT2" s="37" t="s">
        <v>1989</v>
      </c>
      <c r="BE2" s="37" t="s">
        <v>1997</v>
      </c>
      <c r="BG2" s="37" t="s">
        <v>1997</v>
      </c>
      <c r="BI2" s="37" t="s">
        <v>1997</v>
      </c>
      <c r="BK2" s="37" t="s">
        <v>1997</v>
      </c>
      <c r="BM2" s="37" t="s">
        <v>1997</v>
      </c>
      <c r="BO2" s="37" t="s">
        <v>1997</v>
      </c>
      <c r="BQ2" s="37" t="s">
        <v>1997</v>
      </c>
    </row>
    <row r="3" spans="1:71" ht="16.5" customHeight="1">
      <c r="A3" s="37" t="s">
        <v>1996</v>
      </c>
      <c r="B3" s="37" t="s">
        <v>1989</v>
      </c>
      <c r="C3" s="37" t="s">
        <v>1989</v>
      </c>
      <c r="D3" s="37" t="s">
        <v>1989</v>
      </c>
      <c r="E3" s="37" t="s">
        <v>1989</v>
      </c>
      <c r="F3" s="37" t="s">
        <v>1989</v>
      </c>
      <c r="G3" s="37" t="s">
        <v>1989</v>
      </c>
      <c r="H3" s="37" t="s">
        <v>1989</v>
      </c>
      <c r="I3" s="37" t="s">
        <v>1989</v>
      </c>
      <c r="J3" s="37" t="s">
        <v>1997</v>
      </c>
      <c r="K3" s="37" t="s">
        <v>1990</v>
      </c>
      <c r="L3" s="37" t="s">
        <v>1997</v>
      </c>
      <c r="M3" s="37" t="s">
        <v>1989</v>
      </c>
      <c r="N3" s="37" t="s">
        <v>1989</v>
      </c>
      <c r="O3" s="37" t="s">
        <v>1989</v>
      </c>
      <c r="P3" s="37" t="s">
        <v>1989</v>
      </c>
      <c r="Q3" s="37" t="s">
        <v>1989</v>
      </c>
      <c r="R3" s="37" t="s">
        <v>1989</v>
      </c>
      <c r="S3" s="37" t="s">
        <v>1989</v>
      </c>
      <c r="T3" s="37" t="s">
        <v>1989</v>
      </c>
      <c r="U3" s="37" t="s">
        <v>1989</v>
      </c>
      <c r="V3" s="37" t="s">
        <v>1989</v>
      </c>
      <c r="W3" s="37" t="s">
        <v>1989</v>
      </c>
      <c r="X3" s="37" t="s">
        <v>1989</v>
      </c>
      <c r="Y3" s="37" t="s">
        <v>1989</v>
      </c>
      <c r="Z3" s="37" t="s">
        <v>1989</v>
      </c>
      <c r="AA3" s="37" t="s">
        <v>1989</v>
      </c>
      <c r="AB3" s="37" t="s">
        <v>1989</v>
      </c>
      <c r="AC3" s="37" t="s">
        <v>1989</v>
      </c>
      <c r="AD3" s="37" t="s">
        <v>1989</v>
      </c>
      <c r="AE3" s="37" t="s">
        <v>1989</v>
      </c>
      <c r="AF3" s="37" t="s">
        <v>1989</v>
      </c>
      <c r="AG3" s="37" t="s">
        <v>1989</v>
      </c>
      <c r="AH3" s="37" t="s">
        <v>1989</v>
      </c>
      <c r="AI3" s="37" t="s">
        <v>1989</v>
      </c>
      <c r="AJ3" s="37" t="s">
        <v>1989</v>
      </c>
      <c r="AK3" s="37" t="s">
        <v>1989</v>
      </c>
      <c r="AL3" s="37" t="s">
        <v>1989</v>
      </c>
      <c r="AM3" s="37" t="s">
        <v>1989</v>
      </c>
      <c r="AN3" s="37" t="s">
        <v>1989</v>
      </c>
      <c r="AO3" s="37" t="s">
        <v>1989</v>
      </c>
      <c r="AP3" s="37" t="s">
        <v>1989</v>
      </c>
      <c r="AQ3" s="37" t="s">
        <v>1989</v>
      </c>
      <c r="AR3" s="37" t="s">
        <v>1989</v>
      </c>
      <c r="AS3" s="37" t="s">
        <v>1989</v>
      </c>
      <c r="AT3" s="37" t="s">
        <v>1989</v>
      </c>
      <c r="BD3" s="37" t="s">
        <v>1998</v>
      </c>
      <c r="BE3" s="37" t="s">
        <v>1999</v>
      </c>
      <c r="BF3" s="49" t="s">
        <v>2000</v>
      </c>
      <c r="BG3" s="37" t="s">
        <v>1999</v>
      </c>
      <c r="BH3" s="37" t="s">
        <v>2000</v>
      </c>
      <c r="BI3" s="37" t="s">
        <v>1999</v>
      </c>
      <c r="BJ3" s="37" t="s">
        <v>2000</v>
      </c>
      <c r="BK3" s="37" t="s">
        <v>1999</v>
      </c>
      <c r="BL3" s="37" t="s">
        <v>2000</v>
      </c>
      <c r="BM3" s="37" t="s">
        <v>1999</v>
      </c>
      <c r="BN3" s="37" t="s">
        <v>2000</v>
      </c>
      <c r="BO3" s="37" t="s">
        <v>1999</v>
      </c>
      <c r="BP3" s="37" t="s">
        <v>2000</v>
      </c>
      <c r="BQ3" s="37" t="s">
        <v>1999</v>
      </c>
      <c r="BR3" s="37" t="s">
        <v>2001</v>
      </c>
    </row>
    <row r="4" spans="1:71" ht="16.5" customHeight="1">
      <c r="A4" s="37" t="s">
        <v>1996</v>
      </c>
      <c r="B4" s="37" t="s">
        <v>1989</v>
      </c>
      <c r="C4" s="37" t="s">
        <v>1989</v>
      </c>
      <c r="D4" s="37" t="s">
        <v>1989</v>
      </c>
      <c r="E4" s="37" t="s">
        <v>1989</v>
      </c>
      <c r="F4" s="37" t="s">
        <v>1989</v>
      </c>
      <c r="G4" s="37" t="s">
        <v>1989</v>
      </c>
      <c r="H4" s="37" t="s">
        <v>2002</v>
      </c>
      <c r="I4" s="37" t="s">
        <v>1999</v>
      </c>
      <c r="J4" s="37" t="s">
        <v>2003</v>
      </c>
      <c r="K4" s="37" t="s">
        <v>1990</v>
      </c>
      <c r="L4" s="37" t="s">
        <v>2004</v>
      </c>
      <c r="M4" s="37" t="s">
        <v>2002</v>
      </c>
      <c r="N4" s="37" t="s">
        <v>1989</v>
      </c>
      <c r="O4" s="37" t="s">
        <v>1989</v>
      </c>
      <c r="P4" s="37" t="s">
        <v>1989</v>
      </c>
      <c r="Q4" s="37" t="s">
        <v>1989</v>
      </c>
      <c r="R4" s="37" t="s">
        <v>1989</v>
      </c>
      <c r="S4" s="37" t="s">
        <v>1989</v>
      </c>
      <c r="T4" s="37" t="s">
        <v>1989</v>
      </c>
      <c r="U4" s="37" t="s">
        <v>1989</v>
      </c>
      <c r="V4" s="37" t="s">
        <v>2002</v>
      </c>
      <c r="W4" s="37" t="s">
        <v>1999</v>
      </c>
      <c r="X4" s="37" t="s">
        <v>1999</v>
      </c>
      <c r="Y4" s="37" t="s">
        <v>1999</v>
      </c>
      <c r="Z4" s="37" t="s">
        <v>1999</v>
      </c>
      <c r="AA4" s="37" t="s">
        <v>2002</v>
      </c>
      <c r="AB4" s="37" t="s">
        <v>1989</v>
      </c>
      <c r="AC4" s="37" t="s">
        <v>1989</v>
      </c>
      <c r="AD4" s="37" t="s">
        <v>1989</v>
      </c>
      <c r="AE4" s="37" t="s">
        <v>1989</v>
      </c>
      <c r="AF4" s="37" t="s">
        <v>1989</v>
      </c>
      <c r="AG4" s="37" t="s">
        <v>1989</v>
      </c>
      <c r="AH4" s="37" t="s">
        <v>1989</v>
      </c>
      <c r="AI4" s="37" t="s">
        <v>1989</v>
      </c>
      <c r="AJ4" s="37" t="s">
        <v>1989</v>
      </c>
      <c r="AK4" s="37" t="s">
        <v>1989</v>
      </c>
      <c r="AL4" s="37" t="s">
        <v>1989</v>
      </c>
      <c r="AM4" s="37" t="s">
        <v>1989</v>
      </c>
      <c r="AN4" s="37" t="s">
        <v>1989</v>
      </c>
      <c r="AO4" s="37" t="s">
        <v>1989</v>
      </c>
      <c r="AP4" s="37" t="s">
        <v>1989</v>
      </c>
      <c r="AQ4" s="37" t="s">
        <v>1989</v>
      </c>
      <c r="AR4" s="37" t="s">
        <v>1989</v>
      </c>
      <c r="AS4" s="37" t="s">
        <v>1989</v>
      </c>
      <c r="AT4" s="37" t="s">
        <v>1989</v>
      </c>
      <c r="BC4" s="37" t="s">
        <v>2005</v>
      </c>
      <c r="BD4" s="37" t="s">
        <v>2006</v>
      </c>
      <c r="BR4" s="37" t="s">
        <v>2004</v>
      </c>
      <c r="BS4" s="37" t="s">
        <v>2007</v>
      </c>
    </row>
    <row r="5" spans="1:71" ht="16.5" customHeight="1">
      <c r="A5" s="37" t="s">
        <v>1996</v>
      </c>
      <c r="B5" s="37" t="s">
        <v>1989</v>
      </c>
      <c r="C5" s="37" t="s">
        <v>1989</v>
      </c>
      <c r="D5" s="37" t="s">
        <v>1989</v>
      </c>
      <c r="E5" s="37" t="s">
        <v>1989</v>
      </c>
      <c r="F5" s="37" t="s">
        <v>1989</v>
      </c>
      <c r="G5" s="37" t="s">
        <v>1989</v>
      </c>
      <c r="H5" s="37" t="s">
        <v>2006</v>
      </c>
      <c r="K5" s="37" t="s">
        <v>1990</v>
      </c>
      <c r="M5" s="37" t="s">
        <v>2008</v>
      </c>
      <c r="N5" s="37" t="s">
        <v>1989</v>
      </c>
      <c r="O5" s="37" t="s">
        <v>1989</v>
      </c>
      <c r="P5" s="37" t="s">
        <v>1989</v>
      </c>
      <c r="Q5" s="37" t="s">
        <v>1989</v>
      </c>
      <c r="R5" s="37" t="s">
        <v>1989</v>
      </c>
      <c r="S5" s="37" t="s">
        <v>1989</v>
      </c>
      <c r="T5" s="37" t="s">
        <v>1989</v>
      </c>
      <c r="U5" s="37" t="s">
        <v>1989</v>
      </c>
      <c r="V5" s="37" t="s">
        <v>2006</v>
      </c>
      <c r="AA5" s="37" t="s">
        <v>2008</v>
      </c>
      <c r="AB5" s="37" t="s">
        <v>1989</v>
      </c>
      <c r="AC5" s="37" t="s">
        <v>1989</v>
      </c>
      <c r="AD5" s="37" t="s">
        <v>1989</v>
      </c>
      <c r="AE5" s="37" t="s">
        <v>1989</v>
      </c>
      <c r="AF5" s="37" t="s">
        <v>1989</v>
      </c>
      <c r="AG5" s="37" t="s">
        <v>1989</v>
      </c>
      <c r="AH5" s="37" t="s">
        <v>1989</v>
      </c>
      <c r="AI5" s="37" t="s">
        <v>1989</v>
      </c>
      <c r="AJ5" s="37" t="s">
        <v>1989</v>
      </c>
      <c r="AK5" s="37" t="s">
        <v>1989</v>
      </c>
      <c r="AL5" s="37" t="s">
        <v>1989</v>
      </c>
      <c r="AM5" s="37" t="s">
        <v>1989</v>
      </c>
      <c r="AN5" s="37" t="s">
        <v>1989</v>
      </c>
      <c r="AO5" s="37" t="s">
        <v>1989</v>
      </c>
      <c r="AP5" s="37" t="s">
        <v>1989</v>
      </c>
      <c r="AQ5" s="37" t="s">
        <v>1989</v>
      </c>
      <c r="AR5" s="37" t="s">
        <v>1989</v>
      </c>
      <c r="AS5" s="37" t="s">
        <v>1989</v>
      </c>
      <c r="AT5" s="37" t="s">
        <v>1989</v>
      </c>
      <c r="AU5" s="37" t="s">
        <v>1997</v>
      </c>
      <c r="BD5" s="37" t="s">
        <v>2009</v>
      </c>
      <c r="BF5" s="50" t="s">
        <v>2010</v>
      </c>
    </row>
    <row r="6" spans="1:71" ht="16.5" customHeight="1">
      <c r="A6" s="37" t="s">
        <v>1996</v>
      </c>
      <c r="B6" s="37" t="s">
        <v>1989</v>
      </c>
      <c r="C6" s="37" t="s">
        <v>1989</v>
      </c>
      <c r="D6" s="37" t="s">
        <v>1989</v>
      </c>
      <c r="E6" s="37" t="s">
        <v>1989</v>
      </c>
      <c r="F6" s="37" t="s">
        <v>1989</v>
      </c>
      <c r="G6" s="37" t="s">
        <v>1989</v>
      </c>
      <c r="H6" s="37" t="s">
        <v>2006</v>
      </c>
      <c r="K6" s="37" t="s">
        <v>1990</v>
      </c>
      <c r="M6" s="37" t="s">
        <v>2008</v>
      </c>
      <c r="N6" s="37" t="s">
        <v>1989</v>
      </c>
      <c r="O6" s="37" t="s">
        <v>1989</v>
      </c>
      <c r="P6" s="37" t="s">
        <v>1989</v>
      </c>
      <c r="Q6" s="37" t="s">
        <v>1989</v>
      </c>
      <c r="R6" s="37" t="s">
        <v>1989</v>
      </c>
      <c r="S6" s="37" t="s">
        <v>1989</v>
      </c>
      <c r="T6" s="37" t="s">
        <v>1989</v>
      </c>
      <c r="U6" s="37" t="s">
        <v>1989</v>
      </c>
      <c r="V6" s="37" t="s">
        <v>2006</v>
      </c>
      <c r="AA6" s="37" t="s">
        <v>2008</v>
      </c>
      <c r="AB6" s="37" t="s">
        <v>1989</v>
      </c>
      <c r="AC6" s="37" t="s">
        <v>1989</v>
      </c>
      <c r="AD6" s="37" t="s">
        <v>1989</v>
      </c>
      <c r="AE6" s="37" t="s">
        <v>1989</v>
      </c>
      <c r="AF6" s="37" t="s">
        <v>1989</v>
      </c>
      <c r="AG6" s="37" t="s">
        <v>1989</v>
      </c>
      <c r="AH6" s="37" t="s">
        <v>2002</v>
      </c>
      <c r="AI6" s="37" t="s">
        <v>1999</v>
      </c>
      <c r="AJ6" s="37" t="s">
        <v>1999</v>
      </c>
      <c r="AK6" s="37" t="s">
        <v>1999</v>
      </c>
      <c r="AL6" s="37" t="s">
        <v>1999</v>
      </c>
      <c r="AM6" s="37" t="s">
        <v>1999</v>
      </c>
      <c r="AN6" s="37" t="s">
        <v>1999</v>
      </c>
      <c r="AO6" s="37" t="s">
        <v>1999</v>
      </c>
      <c r="AP6" s="37" t="s">
        <v>1999</v>
      </c>
      <c r="AQ6" s="37" t="s">
        <v>1999</v>
      </c>
      <c r="AR6" s="37" t="s">
        <v>1999</v>
      </c>
      <c r="AS6" s="37" t="s">
        <v>1999</v>
      </c>
      <c r="AT6" s="37" t="s">
        <v>1999</v>
      </c>
      <c r="AU6" s="37" t="s">
        <v>2003</v>
      </c>
      <c r="BC6" s="37" t="s">
        <v>2005</v>
      </c>
      <c r="BD6" s="37" t="s">
        <v>2006</v>
      </c>
      <c r="BR6" s="37" t="s">
        <v>1998</v>
      </c>
      <c r="BS6" s="37" t="s">
        <v>2007</v>
      </c>
    </row>
    <row r="7" spans="1:71" ht="16.5" customHeight="1">
      <c r="A7" s="37" t="s">
        <v>1996</v>
      </c>
      <c r="B7" s="37" t="s">
        <v>1989</v>
      </c>
      <c r="C7" s="37" t="s">
        <v>1989</v>
      </c>
      <c r="D7" s="37" t="s">
        <v>2002</v>
      </c>
      <c r="E7" s="37" t="s">
        <v>1999</v>
      </c>
      <c r="F7" s="37" t="s">
        <v>1999</v>
      </c>
      <c r="G7" s="37" t="s">
        <v>1999</v>
      </c>
      <c r="H7" s="37" t="s">
        <v>2003</v>
      </c>
      <c r="K7" s="37" t="s">
        <v>1990</v>
      </c>
      <c r="M7" s="37" t="s">
        <v>2004</v>
      </c>
      <c r="N7" s="37" t="s">
        <v>1999</v>
      </c>
      <c r="O7" s="37" t="s">
        <v>2002</v>
      </c>
      <c r="P7" s="37" t="s">
        <v>1989</v>
      </c>
      <c r="Q7" s="37" t="s">
        <v>1989</v>
      </c>
      <c r="R7" s="37" t="s">
        <v>1989</v>
      </c>
      <c r="S7" s="37" t="s">
        <v>1989</v>
      </c>
      <c r="T7" s="37" t="s">
        <v>2002</v>
      </c>
      <c r="U7" s="37" t="s">
        <v>1999</v>
      </c>
      <c r="V7" s="37" t="s">
        <v>2003</v>
      </c>
      <c r="X7" s="37" t="s">
        <v>1998</v>
      </c>
      <c r="Y7" s="37" t="s">
        <v>2001</v>
      </c>
      <c r="AA7" s="37" t="s">
        <v>2004</v>
      </c>
      <c r="AB7" s="37" t="s">
        <v>1999</v>
      </c>
      <c r="AC7" s="37" t="s">
        <v>2002</v>
      </c>
      <c r="AD7" s="37" t="s">
        <v>1989</v>
      </c>
      <c r="AE7" s="37" t="s">
        <v>1989</v>
      </c>
      <c r="AF7" s="37" t="s">
        <v>1989</v>
      </c>
      <c r="AG7" s="37" t="s">
        <v>1989</v>
      </c>
      <c r="AH7" s="37" t="s">
        <v>2006</v>
      </c>
      <c r="BD7" s="37" t="s">
        <v>2009</v>
      </c>
      <c r="BF7" s="49" t="s">
        <v>2011</v>
      </c>
      <c r="BK7" s="37" t="s">
        <v>2002</v>
      </c>
      <c r="BM7" s="51" t="s">
        <v>1996</v>
      </c>
      <c r="BR7" s="37" t="s">
        <v>2009</v>
      </c>
    </row>
    <row r="8" spans="1:71" ht="16.5" customHeight="1">
      <c r="A8" s="37" t="s">
        <v>1996</v>
      </c>
      <c r="B8" s="37" t="s">
        <v>1989</v>
      </c>
      <c r="C8" s="37" t="s">
        <v>1989</v>
      </c>
      <c r="D8" s="37" t="s">
        <v>2006</v>
      </c>
      <c r="J8" s="37" t="s">
        <v>1990</v>
      </c>
      <c r="K8" s="37" t="s">
        <v>1990</v>
      </c>
      <c r="O8" s="37" t="s">
        <v>2004</v>
      </c>
      <c r="P8" s="37" t="s">
        <v>1999</v>
      </c>
      <c r="Q8" s="37" t="s">
        <v>1999</v>
      </c>
      <c r="R8" s="37" t="s">
        <v>1999</v>
      </c>
      <c r="S8" s="37" t="s">
        <v>1999</v>
      </c>
      <c r="T8" s="37" t="s">
        <v>2003</v>
      </c>
      <c r="X8" s="37" t="s">
        <v>2004</v>
      </c>
      <c r="Y8" s="37" t="s">
        <v>2003</v>
      </c>
      <c r="AC8" s="37" t="s">
        <v>2004</v>
      </c>
      <c r="AD8" s="37" t="s">
        <v>1999</v>
      </c>
      <c r="AE8" s="37" t="s">
        <v>1999</v>
      </c>
      <c r="AF8" s="37" t="s">
        <v>1999</v>
      </c>
      <c r="AG8" s="37" t="s">
        <v>1999</v>
      </c>
      <c r="AH8" s="37" t="s">
        <v>2003</v>
      </c>
      <c r="AJ8" s="37" t="s">
        <v>1998</v>
      </c>
      <c r="AK8" s="37" t="s">
        <v>2012</v>
      </c>
      <c r="AL8" s="37" t="s">
        <v>2012</v>
      </c>
      <c r="AM8" s="37" t="s">
        <v>2012</v>
      </c>
      <c r="AN8" s="37" t="s">
        <v>2012</v>
      </c>
      <c r="AO8" s="37" t="s">
        <v>2012</v>
      </c>
      <c r="AP8" s="37" t="s">
        <v>2012</v>
      </c>
      <c r="AQ8" s="37" t="s">
        <v>2012</v>
      </c>
      <c r="AR8" s="37" t="s">
        <v>2012</v>
      </c>
      <c r="AS8" s="37" t="s">
        <v>2012</v>
      </c>
      <c r="AT8" s="37" t="s">
        <v>2012</v>
      </c>
      <c r="AU8" s="37" t="s">
        <v>2001</v>
      </c>
      <c r="BC8" s="37" t="s">
        <v>2005</v>
      </c>
      <c r="BD8" s="37" t="s">
        <v>2006</v>
      </c>
      <c r="BR8" s="37" t="s">
        <v>2008</v>
      </c>
      <c r="BS8" s="37" t="s">
        <v>2007</v>
      </c>
    </row>
    <row r="9" spans="1:71" ht="16.5" customHeight="1">
      <c r="A9" s="37" t="s">
        <v>1996</v>
      </c>
      <c r="B9" s="37" t="s">
        <v>1989</v>
      </c>
      <c r="C9" s="37" t="s">
        <v>1989</v>
      </c>
      <c r="D9" s="37" t="s">
        <v>2006</v>
      </c>
      <c r="F9" s="37" t="s">
        <v>1990</v>
      </c>
      <c r="G9" s="37" t="s">
        <v>1990</v>
      </c>
      <c r="H9" s="37" t="s">
        <v>1990</v>
      </c>
      <c r="I9" s="37" t="s">
        <v>1990</v>
      </c>
      <c r="J9" s="37" t="s">
        <v>1990</v>
      </c>
      <c r="K9" s="37" t="s">
        <v>1990</v>
      </c>
      <c r="L9" s="37" t="s">
        <v>1990</v>
      </c>
      <c r="V9" s="52">
        <v>2</v>
      </c>
      <c r="AC9" s="53"/>
      <c r="AJ9" s="37" t="s">
        <v>2008</v>
      </c>
      <c r="AK9" s="37" t="s">
        <v>1989</v>
      </c>
      <c r="AL9" s="37" t="s">
        <v>1989</v>
      </c>
      <c r="AM9" s="37" t="s">
        <v>1989</v>
      </c>
      <c r="AN9" s="37" t="s">
        <v>1989</v>
      </c>
      <c r="AO9" s="37" t="s">
        <v>1989</v>
      </c>
      <c r="AP9" s="37" t="s">
        <v>1989</v>
      </c>
      <c r="AQ9" s="37" t="s">
        <v>1989</v>
      </c>
      <c r="AR9" s="37" t="s">
        <v>1989</v>
      </c>
      <c r="AS9" s="37" t="s">
        <v>1989</v>
      </c>
      <c r="AT9" s="37" t="s">
        <v>1989</v>
      </c>
      <c r="AU9" s="37" t="s">
        <v>2013</v>
      </c>
      <c r="BD9" s="37" t="s">
        <v>2009</v>
      </c>
      <c r="BF9" s="49" t="s">
        <v>2014</v>
      </c>
      <c r="BK9" s="37" t="s">
        <v>2012</v>
      </c>
      <c r="BR9" s="37" t="s">
        <v>2009</v>
      </c>
    </row>
    <row r="10" spans="1:71" ht="16.5" customHeight="1">
      <c r="A10" s="37" t="s">
        <v>1996</v>
      </c>
      <c r="B10" s="37" t="s">
        <v>1989</v>
      </c>
      <c r="C10" s="37" t="s">
        <v>1989</v>
      </c>
      <c r="D10" s="37" t="s">
        <v>2006</v>
      </c>
      <c r="F10" s="37" t="s">
        <v>1990</v>
      </c>
      <c r="I10" s="37" t="s">
        <v>1990</v>
      </c>
      <c r="J10" s="37" t="s">
        <v>1990</v>
      </c>
      <c r="K10" s="37" t="s">
        <v>1990</v>
      </c>
      <c r="L10" s="37" t="s">
        <v>1990</v>
      </c>
      <c r="AC10" s="37" t="s">
        <v>1998</v>
      </c>
      <c r="AD10" s="37" t="s">
        <v>2012</v>
      </c>
      <c r="AE10" s="37" t="s">
        <v>2012</v>
      </c>
      <c r="AF10" s="37" t="s">
        <v>2012</v>
      </c>
      <c r="AG10" s="37" t="s">
        <v>2012</v>
      </c>
      <c r="AH10" s="37" t="s">
        <v>2001</v>
      </c>
      <c r="AJ10" s="37" t="s">
        <v>2008</v>
      </c>
      <c r="AK10" s="37" t="s">
        <v>1989</v>
      </c>
      <c r="AL10" s="37" t="s">
        <v>1989</v>
      </c>
      <c r="AM10" s="37" t="s">
        <v>1989</v>
      </c>
      <c r="AN10" s="37" t="s">
        <v>1989</v>
      </c>
      <c r="AO10" s="37" t="s">
        <v>1989</v>
      </c>
      <c r="AP10" s="37" t="s">
        <v>1989</v>
      </c>
      <c r="AQ10" s="37" t="s">
        <v>1989</v>
      </c>
      <c r="AR10" s="37" t="s">
        <v>1989</v>
      </c>
      <c r="AS10" s="37" t="s">
        <v>1989</v>
      </c>
      <c r="AT10" s="37" t="s">
        <v>1989</v>
      </c>
      <c r="BC10" s="37" t="s">
        <v>2005</v>
      </c>
      <c r="BD10" s="37" t="s">
        <v>2006</v>
      </c>
      <c r="BR10" s="37" t="s">
        <v>2008</v>
      </c>
      <c r="BS10" s="37" t="s">
        <v>2007</v>
      </c>
    </row>
    <row r="11" spans="1:71" ht="16.5" customHeight="1" thickBot="1">
      <c r="A11" s="37" t="s">
        <v>1996</v>
      </c>
      <c r="B11" s="37" t="s">
        <v>1989</v>
      </c>
      <c r="C11" s="37" t="s">
        <v>1989</v>
      </c>
      <c r="D11" s="37" t="s">
        <v>2006</v>
      </c>
      <c r="F11" s="37" t="s">
        <v>1990</v>
      </c>
      <c r="J11" s="37" t="s">
        <v>1990</v>
      </c>
      <c r="K11" s="37" t="s">
        <v>1990</v>
      </c>
      <c r="O11" s="37" t="s">
        <v>1998</v>
      </c>
      <c r="P11" s="37" t="s">
        <v>2012</v>
      </c>
      <c r="Q11" s="37" t="s">
        <v>2012</v>
      </c>
      <c r="R11" s="37" t="s">
        <v>2012</v>
      </c>
      <c r="S11" s="37" t="s">
        <v>2012</v>
      </c>
      <c r="T11" s="37" t="s">
        <v>2001</v>
      </c>
      <c r="X11" s="37" t="s">
        <v>1998</v>
      </c>
      <c r="Y11" s="37" t="s">
        <v>2001</v>
      </c>
      <c r="AC11" s="37" t="s">
        <v>2008</v>
      </c>
      <c r="AD11" s="37" t="s">
        <v>1989</v>
      </c>
      <c r="AE11" s="37" t="s">
        <v>1989</v>
      </c>
      <c r="AF11" s="37" t="s">
        <v>2002</v>
      </c>
      <c r="AG11" s="37" t="s">
        <v>1999</v>
      </c>
      <c r="AH11" s="37" t="s">
        <v>2003</v>
      </c>
      <c r="AJ11" s="37" t="s">
        <v>2004</v>
      </c>
      <c r="AK11" s="37" t="s">
        <v>1999</v>
      </c>
      <c r="AL11" s="37" t="s">
        <v>2002</v>
      </c>
      <c r="AM11" s="37" t="s">
        <v>1989</v>
      </c>
      <c r="AN11" s="37" t="s">
        <v>1989</v>
      </c>
      <c r="AO11" s="37" t="s">
        <v>1989</v>
      </c>
      <c r="AP11" s="37" t="s">
        <v>1989</v>
      </c>
      <c r="AQ11" s="37" t="s">
        <v>1989</v>
      </c>
      <c r="AR11" s="37" t="s">
        <v>1989</v>
      </c>
      <c r="AS11" s="37" t="s">
        <v>1989</v>
      </c>
      <c r="AT11" s="37" t="s">
        <v>1989</v>
      </c>
      <c r="BD11" s="37" t="s">
        <v>2009</v>
      </c>
      <c r="BF11" s="49" t="s">
        <v>2015</v>
      </c>
      <c r="BK11" s="37" t="s">
        <v>1999</v>
      </c>
      <c r="BR11" s="37" t="s">
        <v>2009</v>
      </c>
    </row>
    <row r="12" spans="1:71" ht="16.5" customHeight="1" thickTop="1">
      <c r="A12" s="37" t="s">
        <v>1996</v>
      </c>
      <c r="B12" s="37" t="s">
        <v>1989</v>
      </c>
      <c r="C12" s="37" t="s">
        <v>1989</v>
      </c>
      <c r="D12" s="37" t="s">
        <v>2002</v>
      </c>
      <c r="E12" s="37" t="s">
        <v>2001</v>
      </c>
      <c r="F12" s="37" t="s">
        <v>1990</v>
      </c>
      <c r="G12" s="37" t="s">
        <v>1998</v>
      </c>
      <c r="H12" s="37" t="s">
        <v>2016</v>
      </c>
      <c r="M12" s="37" t="s">
        <v>1998</v>
      </c>
      <c r="N12" s="37" t="s">
        <v>2012</v>
      </c>
      <c r="O12" s="37" t="s">
        <v>2002</v>
      </c>
      <c r="P12" s="37" t="s">
        <v>1989</v>
      </c>
      <c r="Q12" s="37" t="s">
        <v>1989</v>
      </c>
      <c r="R12" s="37" t="s">
        <v>1989</v>
      </c>
      <c r="S12" s="37" t="s">
        <v>1989</v>
      </c>
      <c r="T12" s="37" t="s">
        <v>2002</v>
      </c>
      <c r="U12" s="37" t="s">
        <v>2012</v>
      </c>
      <c r="V12" s="37" t="s">
        <v>2001</v>
      </c>
      <c r="X12" s="37" t="s">
        <v>2004</v>
      </c>
      <c r="Y12" s="37" t="s">
        <v>2003</v>
      </c>
      <c r="AA12" s="37" t="s">
        <v>1998</v>
      </c>
      <c r="AB12" s="37" t="s">
        <v>2012</v>
      </c>
      <c r="AC12" s="37" t="s">
        <v>2002</v>
      </c>
      <c r="AD12" s="37" t="s">
        <v>1989</v>
      </c>
      <c r="AE12" s="37" t="s">
        <v>1989</v>
      </c>
      <c r="AF12" s="37" t="s">
        <v>2006</v>
      </c>
      <c r="AI12" s="54"/>
      <c r="AL12" s="37" t="s">
        <v>2008</v>
      </c>
      <c r="AM12" s="37" t="s">
        <v>1989</v>
      </c>
      <c r="AN12" s="37" t="s">
        <v>1989</v>
      </c>
      <c r="AO12" s="37" t="s">
        <v>1989</v>
      </c>
      <c r="AP12" s="37" t="s">
        <v>1989</v>
      </c>
      <c r="AQ12" s="37" t="s">
        <v>1989</v>
      </c>
      <c r="AR12" s="37" t="s">
        <v>1989</v>
      </c>
      <c r="AS12" s="37" t="s">
        <v>1989</v>
      </c>
      <c r="AT12" s="37" t="s">
        <v>1989</v>
      </c>
      <c r="BC12" s="37" t="s">
        <v>2005</v>
      </c>
      <c r="BD12" s="37" t="s">
        <v>2006</v>
      </c>
      <c r="BR12" s="37" t="s">
        <v>2008</v>
      </c>
      <c r="BS12" s="37" t="s">
        <v>2007</v>
      </c>
    </row>
    <row r="13" spans="1:71" ht="16.5" customHeight="1">
      <c r="A13" s="37" t="s">
        <v>1996</v>
      </c>
      <c r="B13" s="37" t="s">
        <v>2002</v>
      </c>
      <c r="C13" s="37" t="s">
        <v>1999</v>
      </c>
      <c r="D13" s="37" t="s">
        <v>1999</v>
      </c>
      <c r="E13" s="37" t="s">
        <v>2017</v>
      </c>
      <c r="F13" s="37" t="s">
        <v>1990</v>
      </c>
      <c r="G13" s="37" t="s">
        <v>2008</v>
      </c>
      <c r="H13" s="37" t="s">
        <v>2006</v>
      </c>
      <c r="K13" s="52">
        <v>3</v>
      </c>
      <c r="M13" s="37" t="s">
        <v>2008</v>
      </c>
      <c r="N13" s="37" t="s">
        <v>1989</v>
      </c>
      <c r="O13" s="37" t="s">
        <v>1989</v>
      </c>
      <c r="P13" s="37" t="s">
        <v>1989</v>
      </c>
      <c r="Q13" s="37" t="s">
        <v>1989</v>
      </c>
      <c r="R13" s="37" t="s">
        <v>1989</v>
      </c>
      <c r="S13" s="37" t="s">
        <v>1989</v>
      </c>
      <c r="T13" s="37" t="s">
        <v>1989</v>
      </c>
      <c r="U13" s="37" t="s">
        <v>1989</v>
      </c>
      <c r="V13" s="37" t="s">
        <v>2006</v>
      </c>
      <c r="AA13" s="37" t="s">
        <v>2008</v>
      </c>
      <c r="AB13" s="37" t="s">
        <v>1989</v>
      </c>
      <c r="AC13" s="37" t="s">
        <v>1989</v>
      </c>
      <c r="AD13" s="37" t="s">
        <v>1989</v>
      </c>
      <c r="AE13" s="37" t="s">
        <v>1989</v>
      </c>
      <c r="AF13" s="37" t="s">
        <v>2006</v>
      </c>
      <c r="AH13" s="37" t="s">
        <v>2018</v>
      </c>
      <c r="AJ13" s="37" t="s">
        <v>2018</v>
      </c>
      <c r="AL13" s="37" t="s">
        <v>2008</v>
      </c>
      <c r="AM13" s="37" t="s">
        <v>1989</v>
      </c>
      <c r="AN13" s="37" t="s">
        <v>1989</v>
      </c>
      <c r="AO13" s="37" t="s">
        <v>1989</v>
      </c>
      <c r="AP13" s="37" t="s">
        <v>1989</v>
      </c>
      <c r="AQ13" s="37" t="s">
        <v>1989</v>
      </c>
      <c r="AR13" s="37" t="s">
        <v>1989</v>
      </c>
      <c r="AS13" s="37" t="s">
        <v>1989</v>
      </c>
      <c r="AT13" s="37" t="s">
        <v>1989</v>
      </c>
      <c r="BD13" s="37" t="s">
        <v>2009</v>
      </c>
      <c r="BF13" s="49" t="s">
        <v>2019</v>
      </c>
      <c r="BK13" s="37" t="s">
        <v>2008</v>
      </c>
      <c r="BR13" s="37" t="s">
        <v>2009</v>
      </c>
    </row>
    <row r="14" spans="1:71" ht="16.5" customHeight="1">
      <c r="A14" s="37" t="s">
        <v>1996</v>
      </c>
      <c r="B14" s="37" t="s">
        <v>2006</v>
      </c>
      <c r="C14" s="37" t="s">
        <v>1990</v>
      </c>
      <c r="D14" s="37" t="s">
        <v>1990</v>
      </c>
      <c r="E14" s="37" t="s">
        <v>1990</v>
      </c>
      <c r="F14" s="37" t="s">
        <v>1990</v>
      </c>
      <c r="G14" s="37" t="s">
        <v>2008</v>
      </c>
      <c r="H14" s="37" t="s">
        <v>2006</v>
      </c>
      <c r="M14" s="37" t="s">
        <v>2008</v>
      </c>
      <c r="N14" s="37" t="s">
        <v>1989</v>
      </c>
      <c r="O14" s="37" t="s">
        <v>1989</v>
      </c>
      <c r="P14" s="37" t="s">
        <v>1989</v>
      </c>
      <c r="Q14" s="37" t="s">
        <v>1989</v>
      </c>
      <c r="R14" s="37" t="s">
        <v>1989</v>
      </c>
      <c r="S14" s="37" t="s">
        <v>1989</v>
      </c>
      <c r="T14" s="37" t="s">
        <v>1989</v>
      </c>
      <c r="U14" s="37" t="s">
        <v>1989</v>
      </c>
      <c r="V14" s="37" t="s">
        <v>2006</v>
      </c>
      <c r="AA14" s="37" t="s">
        <v>2008</v>
      </c>
      <c r="AB14" s="37" t="s">
        <v>1989</v>
      </c>
      <c r="AC14" s="37" t="s">
        <v>1989</v>
      </c>
      <c r="AD14" s="37" t="s">
        <v>1989</v>
      </c>
      <c r="AE14" s="37" t="s">
        <v>1989</v>
      </c>
      <c r="AF14" s="37" t="s">
        <v>2006</v>
      </c>
      <c r="AI14" s="52">
        <v>1</v>
      </c>
      <c r="AL14" s="37" t="s">
        <v>2008</v>
      </c>
      <c r="AM14" s="37" t="s">
        <v>1989</v>
      </c>
      <c r="AN14" s="37" t="s">
        <v>1989</v>
      </c>
      <c r="AO14" s="37" t="s">
        <v>1989</v>
      </c>
      <c r="AP14" s="37" t="s">
        <v>1989</v>
      </c>
      <c r="AQ14" s="37" t="s">
        <v>1989</v>
      </c>
      <c r="AR14" s="37" t="s">
        <v>1989</v>
      </c>
      <c r="AS14" s="37" t="s">
        <v>1989</v>
      </c>
      <c r="AT14" s="37" t="s">
        <v>1989</v>
      </c>
      <c r="BC14" s="37" t="s">
        <v>2005</v>
      </c>
      <c r="BD14" s="37" t="s">
        <v>2006</v>
      </c>
      <c r="BR14" s="37" t="s">
        <v>2008</v>
      </c>
      <c r="BS14" s="37" t="s">
        <v>2007</v>
      </c>
    </row>
    <row r="15" spans="1:71" ht="16.5" customHeight="1" thickBot="1">
      <c r="A15" s="37" t="s">
        <v>1996</v>
      </c>
      <c r="B15" s="37" t="s">
        <v>2006</v>
      </c>
      <c r="C15" s="37" t="s">
        <v>1990</v>
      </c>
      <c r="D15" s="37" t="s">
        <v>2005</v>
      </c>
      <c r="E15" s="37" t="s">
        <v>2000</v>
      </c>
      <c r="F15" s="37" t="s">
        <v>2000</v>
      </c>
      <c r="G15" s="37" t="s">
        <v>1999</v>
      </c>
      <c r="H15" s="37" t="s">
        <v>2006</v>
      </c>
      <c r="M15" s="37" t="s">
        <v>2008</v>
      </c>
      <c r="N15" s="37" t="s">
        <v>1989</v>
      </c>
      <c r="O15" s="37" t="s">
        <v>1989</v>
      </c>
      <c r="P15" s="37" t="s">
        <v>1989</v>
      </c>
      <c r="Q15" s="37" t="s">
        <v>1989</v>
      </c>
      <c r="R15" s="37" t="s">
        <v>1989</v>
      </c>
      <c r="S15" s="37" t="s">
        <v>1989</v>
      </c>
      <c r="T15" s="37" t="s">
        <v>1989</v>
      </c>
      <c r="U15" s="37" t="s">
        <v>1989</v>
      </c>
      <c r="V15" s="37" t="s">
        <v>2002</v>
      </c>
      <c r="W15" s="37" t="s">
        <v>2012</v>
      </c>
      <c r="X15" s="37" t="s">
        <v>2020</v>
      </c>
      <c r="Y15" s="37" t="s">
        <v>2012</v>
      </c>
      <c r="Z15" s="37" t="s">
        <v>2012</v>
      </c>
      <c r="AA15" s="37" t="s">
        <v>2002</v>
      </c>
      <c r="AB15" s="37" t="s">
        <v>1989</v>
      </c>
      <c r="AC15" s="37" t="s">
        <v>1989</v>
      </c>
      <c r="AD15" s="37" t="s">
        <v>1989</v>
      </c>
      <c r="AE15" s="37" t="s">
        <v>1989</v>
      </c>
      <c r="AF15" s="37" t="s">
        <v>2006</v>
      </c>
      <c r="AH15" s="37" t="s">
        <v>2018</v>
      </c>
      <c r="AJ15" s="37" t="s">
        <v>2018</v>
      </c>
      <c r="AL15" s="37" t="s">
        <v>2008</v>
      </c>
      <c r="AM15" s="37" t="s">
        <v>1989</v>
      </c>
      <c r="AN15" s="37" t="s">
        <v>1989</v>
      </c>
      <c r="AO15" s="37" t="s">
        <v>1989</v>
      </c>
      <c r="AP15" s="37" t="s">
        <v>1989</v>
      </c>
      <c r="AQ15" s="37" t="s">
        <v>1989</v>
      </c>
      <c r="AR15" s="37" t="s">
        <v>1989</v>
      </c>
      <c r="AS15" s="37" t="s">
        <v>1989</v>
      </c>
      <c r="AT15" s="37" t="s">
        <v>1989</v>
      </c>
      <c r="BD15" s="37" t="s">
        <v>2009</v>
      </c>
      <c r="BF15" s="49" t="s">
        <v>2021</v>
      </c>
      <c r="BK15" s="37" t="s">
        <v>2006</v>
      </c>
      <c r="BR15" s="37" t="s">
        <v>2009</v>
      </c>
    </row>
    <row r="16" spans="1:71" ht="16.5" customHeight="1" thickTop="1">
      <c r="A16" s="37" t="s">
        <v>1996</v>
      </c>
      <c r="B16" s="37" t="s">
        <v>2006</v>
      </c>
      <c r="C16" s="37" t="s">
        <v>1990</v>
      </c>
      <c r="H16" s="37" t="s">
        <v>2004</v>
      </c>
      <c r="I16" s="37" t="s">
        <v>2016</v>
      </c>
      <c r="J16" s="54"/>
      <c r="K16" s="37" t="s">
        <v>1998</v>
      </c>
      <c r="L16" s="37" t="s">
        <v>2012</v>
      </c>
      <c r="M16" s="37" t="s">
        <v>2002</v>
      </c>
      <c r="N16" s="37" t="s">
        <v>1989</v>
      </c>
      <c r="O16" s="37" t="s">
        <v>1989</v>
      </c>
      <c r="P16" s="37" t="s">
        <v>1989</v>
      </c>
      <c r="Q16" s="37" t="s">
        <v>1989</v>
      </c>
      <c r="R16" s="37" t="s">
        <v>1989</v>
      </c>
      <c r="S16" s="37" t="s">
        <v>1989</v>
      </c>
      <c r="T16" s="37" t="s">
        <v>1989</v>
      </c>
      <c r="U16" s="37" t="s">
        <v>1989</v>
      </c>
      <c r="V16" s="37" t="s">
        <v>1989</v>
      </c>
      <c r="W16" s="37" t="s">
        <v>2009</v>
      </c>
      <c r="Y16" s="37" t="s">
        <v>2009</v>
      </c>
      <c r="Z16" s="37" t="s">
        <v>1989</v>
      </c>
      <c r="AA16" s="37" t="s">
        <v>1989</v>
      </c>
      <c r="AB16" s="37" t="s">
        <v>1989</v>
      </c>
      <c r="AC16" s="37" t="s">
        <v>1989</v>
      </c>
      <c r="AD16" s="37" t="s">
        <v>1989</v>
      </c>
      <c r="AE16" s="37" t="s">
        <v>1989</v>
      </c>
      <c r="AF16" s="37" t="s">
        <v>2006</v>
      </c>
      <c r="AL16" s="37" t="s">
        <v>2008</v>
      </c>
      <c r="AM16" s="37" t="s">
        <v>1989</v>
      </c>
      <c r="AN16" s="37" t="s">
        <v>1989</v>
      </c>
      <c r="AO16" s="37" t="s">
        <v>1989</v>
      </c>
      <c r="AP16" s="37" t="s">
        <v>1989</v>
      </c>
      <c r="AQ16" s="37" t="s">
        <v>1989</v>
      </c>
      <c r="AR16" s="37" t="s">
        <v>1989</v>
      </c>
      <c r="AS16" s="37" t="s">
        <v>1989</v>
      </c>
      <c r="AT16" s="37" t="s">
        <v>1989</v>
      </c>
      <c r="BC16" s="37" t="s">
        <v>2005</v>
      </c>
      <c r="BD16" s="37" t="s">
        <v>2006</v>
      </c>
      <c r="BR16" s="37" t="s">
        <v>2008</v>
      </c>
      <c r="BS16" s="37" t="s">
        <v>2007</v>
      </c>
    </row>
    <row r="17" spans="1:71" ht="16.5" customHeight="1">
      <c r="A17" s="37" t="s">
        <v>1996</v>
      </c>
      <c r="B17" s="37" t="s">
        <v>2006</v>
      </c>
      <c r="C17" s="37" t="s">
        <v>1990</v>
      </c>
      <c r="F17" s="37" t="s">
        <v>2022</v>
      </c>
      <c r="I17" s="37" t="s">
        <v>2009</v>
      </c>
      <c r="K17" s="37" t="s">
        <v>2008</v>
      </c>
      <c r="L17" s="37" t="s">
        <v>1989</v>
      </c>
      <c r="M17" s="37" t="s">
        <v>1989</v>
      </c>
      <c r="N17" s="37" t="s">
        <v>1989</v>
      </c>
      <c r="O17" s="37" t="s">
        <v>1989</v>
      </c>
      <c r="P17" s="37" t="s">
        <v>1989</v>
      </c>
      <c r="Q17" s="37" t="s">
        <v>1989</v>
      </c>
      <c r="R17" s="37" t="s">
        <v>1989</v>
      </c>
      <c r="S17" s="37" t="s">
        <v>1989</v>
      </c>
      <c r="T17" s="37" t="s">
        <v>1989</v>
      </c>
      <c r="U17" s="37" t="s">
        <v>1989</v>
      </c>
      <c r="V17" s="37" t="s">
        <v>1989</v>
      </c>
      <c r="W17" s="37" t="s">
        <v>2009</v>
      </c>
      <c r="Y17" s="37" t="s">
        <v>2009</v>
      </c>
      <c r="Z17" s="37" t="s">
        <v>1989</v>
      </c>
      <c r="AA17" s="37" t="s">
        <v>1989</v>
      </c>
      <c r="AB17" s="37" t="s">
        <v>1989</v>
      </c>
      <c r="AC17" s="37" t="s">
        <v>1989</v>
      </c>
      <c r="AD17" s="37" t="s">
        <v>1989</v>
      </c>
      <c r="AE17" s="37" t="s">
        <v>1989</v>
      </c>
      <c r="AF17" s="37" t="s">
        <v>2006</v>
      </c>
      <c r="AH17" s="37" t="s">
        <v>2018</v>
      </c>
      <c r="AJ17" s="37" t="s">
        <v>2018</v>
      </c>
      <c r="AL17" s="37" t="s">
        <v>2008</v>
      </c>
      <c r="AM17" s="37" t="s">
        <v>1989</v>
      </c>
      <c r="AN17" s="37" t="s">
        <v>1989</v>
      </c>
      <c r="AO17" s="37" t="s">
        <v>1989</v>
      </c>
      <c r="AP17" s="37" t="s">
        <v>1989</v>
      </c>
      <c r="AQ17" s="37" t="s">
        <v>1989</v>
      </c>
      <c r="AR17" s="37" t="s">
        <v>1989</v>
      </c>
      <c r="AS17" s="37" t="s">
        <v>1989</v>
      </c>
      <c r="AT17" s="37" t="s">
        <v>1989</v>
      </c>
      <c r="BD17" s="37" t="s">
        <v>2009</v>
      </c>
      <c r="BF17" s="49" t="s">
        <v>2023</v>
      </c>
      <c r="BK17" s="37" t="s">
        <v>1998</v>
      </c>
      <c r="BM17" s="37" t="s">
        <v>2024</v>
      </c>
      <c r="BR17" s="37" t="s">
        <v>2009</v>
      </c>
    </row>
    <row r="18" spans="1:71" ht="16.5" customHeight="1">
      <c r="A18" s="37" t="s">
        <v>1996</v>
      </c>
      <c r="B18" s="37" t="s">
        <v>2006</v>
      </c>
      <c r="C18" s="37" t="s">
        <v>1990</v>
      </c>
      <c r="E18" s="37" t="s">
        <v>2022</v>
      </c>
      <c r="I18" s="37" t="s">
        <v>2013</v>
      </c>
      <c r="K18" s="37" t="s">
        <v>2004</v>
      </c>
      <c r="L18" s="37" t="s">
        <v>1999</v>
      </c>
      <c r="M18" s="37" t="s">
        <v>1999</v>
      </c>
      <c r="N18" s="37" t="s">
        <v>1999</v>
      </c>
      <c r="O18" s="37" t="s">
        <v>1999</v>
      </c>
      <c r="P18" s="37" t="s">
        <v>1999</v>
      </c>
      <c r="Q18" s="37" t="s">
        <v>1999</v>
      </c>
      <c r="R18" s="37" t="s">
        <v>1999</v>
      </c>
      <c r="S18" s="37" t="s">
        <v>1999</v>
      </c>
      <c r="T18" s="37" t="s">
        <v>1999</v>
      </c>
      <c r="U18" s="37" t="s">
        <v>1999</v>
      </c>
      <c r="V18" s="37" t="s">
        <v>1999</v>
      </c>
      <c r="W18" s="37" t="s">
        <v>1999</v>
      </c>
      <c r="X18" s="37" t="s">
        <v>2020</v>
      </c>
      <c r="Y18" s="37" t="s">
        <v>1999</v>
      </c>
      <c r="Z18" s="37" t="s">
        <v>1999</v>
      </c>
      <c r="AA18" s="37" t="s">
        <v>1999</v>
      </c>
      <c r="AB18" s="37" t="s">
        <v>1999</v>
      </c>
      <c r="AC18" s="37" t="s">
        <v>1999</v>
      </c>
      <c r="AD18" s="37" t="s">
        <v>1999</v>
      </c>
      <c r="AE18" s="37" t="s">
        <v>1999</v>
      </c>
      <c r="AF18" s="37" t="s">
        <v>2003</v>
      </c>
      <c r="AL18" s="37" t="s">
        <v>2008</v>
      </c>
      <c r="AM18" s="37" t="s">
        <v>1989</v>
      </c>
      <c r="AN18" s="37" t="s">
        <v>1989</v>
      </c>
      <c r="AO18" s="37" t="s">
        <v>1989</v>
      </c>
      <c r="AP18" s="37" t="s">
        <v>1989</v>
      </c>
      <c r="AQ18" s="37" t="s">
        <v>1989</v>
      </c>
      <c r="AR18" s="37" t="s">
        <v>1989</v>
      </c>
      <c r="AS18" s="37" t="s">
        <v>1989</v>
      </c>
      <c r="AT18" s="37" t="s">
        <v>1989</v>
      </c>
      <c r="BC18" s="37" t="s">
        <v>2005</v>
      </c>
      <c r="BD18" s="37" t="s">
        <v>2006</v>
      </c>
      <c r="BR18" s="37" t="s">
        <v>2008</v>
      </c>
      <c r="BS18" s="37" t="s">
        <v>2007</v>
      </c>
    </row>
    <row r="19" spans="1:71" ht="16.5" customHeight="1">
      <c r="A19" s="37" t="s">
        <v>1996</v>
      </c>
      <c r="B19" s="37" t="s">
        <v>2006</v>
      </c>
      <c r="C19" s="37" t="s">
        <v>1990</v>
      </c>
      <c r="F19" s="52">
        <v>4</v>
      </c>
      <c r="I19" s="53"/>
      <c r="AI19" s="37" t="s">
        <v>1997</v>
      </c>
      <c r="AL19" s="37" t="s">
        <v>2008</v>
      </c>
      <c r="AM19" s="37" t="s">
        <v>1989</v>
      </c>
      <c r="AN19" s="37" t="s">
        <v>1989</v>
      </c>
      <c r="AO19" s="37" t="s">
        <v>1989</v>
      </c>
      <c r="AP19" s="37" t="s">
        <v>1989</v>
      </c>
      <c r="AQ19" s="37" t="s">
        <v>1989</v>
      </c>
      <c r="AR19" s="37" t="s">
        <v>1989</v>
      </c>
      <c r="AS19" s="37" t="s">
        <v>1989</v>
      </c>
      <c r="AT19" s="37" t="s">
        <v>1989</v>
      </c>
      <c r="BD19" s="37" t="s">
        <v>2009</v>
      </c>
      <c r="BF19" s="49" t="s">
        <v>2025</v>
      </c>
      <c r="BK19" s="37" t="s">
        <v>2001</v>
      </c>
      <c r="BM19" s="37" t="s">
        <v>2016</v>
      </c>
      <c r="BR19" s="37" t="s">
        <v>2009</v>
      </c>
    </row>
    <row r="20" spans="1:71" ht="16.5" customHeight="1" thickBot="1">
      <c r="A20" s="37" t="s">
        <v>1996</v>
      </c>
      <c r="B20" s="37" t="s">
        <v>2006</v>
      </c>
      <c r="C20" s="37" t="s">
        <v>1990</v>
      </c>
      <c r="E20" s="37" t="s">
        <v>2022</v>
      </c>
      <c r="F20" s="37" t="s">
        <v>2022</v>
      </c>
      <c r="I20" s="37" t="s">
        <v>1997</v>
      </c>
      <c r="K20" s="37" t="s">
        <v>1998</v>
      </c>
      <c r="L20" s="37" t="s">
        <v>2012</v>
      </c>
      <c r="M20" s="37" t="s">
        <v>2012</v>
      </c>
      <c r="N20" s="37" t="s">
        <v>2012</v>
      </c>
      <c r="O20" s="37" t="s">
        <v>2012</v>
      </c>
      <c r="P20" s="37" t="s">
        <v>2012</v>
      </c>
      <c r="Q20" s="37" t="s">
        <v>2012</v>
      </c>
      <c r="R20" s="37" t="s">
        <v>2012</v>
      </c>
      <c r="S20" s="37" t="s">
        <v>2012</v>
      </c>
      <c r="T20" s="37" t="s">
        <v>2012</v>
      </c>
      <c r="U20" s="37" t="s">
        <v>2012</v>
      </c>
      <c r="V20" s="37" t="s">
        <v>2012</v>
      </c>
      <c r="W20" s="37" t="s">
        <v>2001</v>
      </c>
      <c r="Y20" s="37" t="s">
        <v>1998</v>
      </c>
      <c r="Z20" s="37" t="s">
        <v>2012</v>
      </c>
      <c r="AA20" s="37" t="s">
        <v>2012</v>
      </c>
      <c r="AB20" s="37" t="s">
        <v>2012</v>
      </c>
      <c r="AC20" s="37" t="s">
        <v>2012</v>
      </c>
      <c r="AD20" s="37" t="s">
        <v>2012</v>
      </c>
      <c r="AE20" s="37" t="s">
        <v>2012</v>
      </c>
      <c r="AF20" s="37" t="s">
        <v>2012</v>
      </c>
      <c r="AG20" s="37" t="s">
        <v>2012</v>
      </c>
      <c r="AH20" s="37" t="s">
        <v>2012</v>
      </c>
      <c r="AI20" s="37" t="s">
        <v>2002</v>
      </c>
      <c r="AJ20" s="37" t="s">
        <v>2012</v>
      </c>
      <c r="AK20" s="37" t="s">
        <v>2012</v>
      </c>
      <c r="AL20" s="37" t="s">
        <v>2002</v>
      </c>
      <c r="AM20" s="37" t="s">
        <v>1989</v>
      </c>
      <c r="AN20" s="37" t="s">
        <v>1989</v>
      </c>
      <c r="AO20" s="37" t="s">
        <v>1989</v>
      </c>
      <c r="AP20" s="37" t="s">
        <v>1989</v>
      </c>
      <c r="AQ20" s="37" t="s">
        <v>1989</v>
      </c>
      <c r="AR20" s="37" t="s">
        <v>1989</v>
      </c>
      <c r="AS20" s="37" t="s">
        <v>1989</v>
      </c>
      <c r="AT20" s="37" t="s">
        <v>1989</v>
      </c>
      <c r="BC20" s="37" t="s">
        <v>2005</v>
      </c>
      <c r="BD20" s="37" t="s">
        <v>2006</v>
      </c>
      <c r="BR20" s="37" t="s">
        <v>2008</v>
      </c>
      <c r="BS20" s="37" t="s">
        <v>2007</v>
      </c>
    </row>
    <row r="21" spans="1:71" ht="16.5" customHeight="1" thickTop="1">
      <c r="A21" s="37" t="s">
        <v>1996</v>
      </c>
      <c r="B21" s="37" t="s">
        <v>2006</v>
      </c>
      <c r="C21" s="37" t="s">
        <v>1990</v>
      </c>
      <c r="F21" s="37" t="s">
        <v>2022</v>
      </c>
      <c r="G21" s="37" t="s">
        <v>2022</v>
      </c>
      <c r="I21" s="37" t="s">
        <v>2009</v>
      </c>
      <c r="K21" s="37" t="s">
        <v>2008</v>
      </c>
      <c r="L21" s="37" t="s">
        <v>1989</v>
      </c>
      <c r="M21" s="37" t="s">
        <v>1989</v>
      </c>
      <c r="N21" s="37" t="s">
        <v>1989</v>
      </c>
      <c r="O21" s="37" t="s">
        <v>1989</v>
      </c>
      <c r="P21" s="37" t="s">
        <v>1989</v>
      </c>
      <c r="Q21" s="37" t="s">
        <v>1989</v>
      </c>
      <c r="R21" s="37" t="s">
        <v>1989</v>
      </c>
      <c r="S21" s="37" t="s">
        <v>1989</v>
      </c>
      <c r="T21" s="37" t="s">
        <v>1989</v>
      </c>
      <c r="U21" s="37" t="s">
        <v>2002</v>
      </c>
      <c r="V21" s="37" t="s">
        <v>1999</v>
      </c>
      <c r="W21" s="37" t="s">
        <v>2003</v>
      </c>
      <c r="X21" s="54"/>
      <c r="Y21" s="37" t="s">
        <v>2004</v>
      </c>
      <c r="Z21" s="37" t="s">
        <v>1999</v>
      </c>
      <c r="AA21" s="37" t="s">
        <v>2002</v>
      </c>
      <c r="AB21" s="37" t="s">
        <v>1989</v>
      </c>
      <c r="AC21" s="37" t="s">
        <v>1989</v>
      </c>
      <c r="AD21" s="37" t="s">
        <v>1989</v>
      </c>
      <c r="AE21" s="37" t="s">
        <v>1989</v>
      </c>
      <c r="AF21" s="37" t="s">
        <v>1989</v>
      </c>
      <c r="AG21" s="37" t="s">
        <v>1989</v>
      </c>
      <c r="AH21" s="37" t="s">
        <v>1989</v>
      </c>
      <c r="AI21" s="37" t="s">
        <v>1989</v>
      </c>
      <c r="AJ21" s="37" t="s">
        <v>1989</v>
      </c>
      <c r="AK21" s="37" t="s">
        <v>1989</v>
      </c>
      <c r="AL21" s="37" t="s">
        <v>1989</v>
      </c>
      <c r="AM21" s="37" t="s">
        <v>1989</v>
      </c>
      <c r="AN21" s="37" t="s">
        <v>1989</v>
      </c>
      <c r="AO21" s="37" t="s">
        <v>1989</v>
      </c>
      <c r="AP21" s="37" t="s">
        <v>1989</v>
      </c>
      <c r="AQ21" s="37" t="s">
        <v>1989</v>
      </c>
      <c r="AR21" s="37" t="s">
        <v>1989</v>
      </c>
      <c r="AS21" s="37" t="s">
        <v>1989</v>
      </c>
      <c r="AT21" s="37" t="s">
        <v>1989</v>
      </c>
      <c r="BD21" s="37" t="s">
        <v>2009</v>
      </c>
      <c r="BF21" s="49" t="s">
        <v>2026</v>
      </c>
      <c r="BK21" s="37" t="s">
        <v>2003</v>
      </c>
      <c r="BM21" s="37" t="s">
        <v>2027</v>
      </c>
      <c r="BR21" s="37" t="s">
        <v>2009</v>
      </c>
    </row>
    <row r="22" spans="1:71" ht="16.5" customHeight="1">
      <c r="A22" s="37" t="s">
        <v>1996</v>
      </c>
      <c r="B22" s="37" t="s">
        <v>2006</v>
      </c>
      <c r="C22" s="37" t="s">
        <v>1990</v>
      </c>
      <c r="I22" s="37" t="s">
        <v>2009</v>
      </c>
      <c r="K22" s="37" t="s">
        <v>2008</v>
      </c>
      <c r="L22" s="37" t="s">
        <v>1989</v>
      </c>
      <c r="M22" s="37" t="s">
        <v>1989</v>
      </c>
      <c r="N22" s="37" t="s">
        <v>1989</v>
      </c>
      <c r="O22" s="37" t="s">
        <v>1989</v>
      </c>
      <c r="P22" s="37" t="s">
        <v>1989</v>
      </c>
      <c r="Q22" s="37" t="s">
        <v>1989</v>
      </c>
      <c r="R22" s="37" t="s">
        <v>1989</v>
      </c>
      <c r="S22" s="37" t="s">
        <v>1989</v>
      </c>
      <c r="T22" s="37" t="s">
        <v>1989</v>
      </c>
      <c r="U22" s="37" t="s">
        <v>2006</v>
      </c>
      <c r="AA22" s="37" t="s">
        <v>2008</v>
      </c>
      <c r="AB22" s="37" t="s">
        <v>1989</v>
      </c>
      <c r="AC22" s="37" t="s">
        <v>1989</v>
      </c>
      <c r="AD22" s="37" t="s">
        <v>1989</v>
      </c>
      <c r="AE22" s="37" t="s">
        <v>1989</v>
      </c>
      <c r="AF22" s="37" t="s">
        <v>1989</v>
      </c>
      <c r="AG22" s="37" t="s">
        <v>1989</v>
      </c>
      <c r="AH22" s="37" t="s">
        <v>1989</v>
      </c>
      <c r="AI22" s="37" t="s">
        <v>1989</v>
      </c>
      <c r="AJ22" s="37" t="s">
        <v>1989</v>
      </c>
      <c r="AK22" s="37" t="s">
        <v>1989</v>
      </c>
      <c r="AL22" s="37" t="s">
        <v>1989</v>
      </c>
      <c r="AM22" s="37" t="s">
        <v>1989</v>
      </c>
      <c r="AN22" s="37" t="s">
        <v>1989</v>
      </c>
      <c r="AO22" s="37" t="s">
        <v>1989</v>
      </c>
      <c r="AP22" s="37" t="s">
        <v>1989</v>
      </c>
      <c r="AQ22" s="37" t="s">
        <v>1989</v>
      </c>
      <c r="AR22" s="37" t="s">
        <v>1989</v>
      </c>
      <c r="AS22" s="37" t="s">
        <v>1989</v>
      </c>
      <c r="AT22" s="37" t="s">
        <v>1989</v>
      </c>
      <c r="BC22" s="37" t="s">
        <v>2005</v>
      </c>
      <c r="BD22" s="37" t="s">
        <v>2006</v>
      </c>
      <c r="BR22" s="37" t="s">
        <v>2008</v>
      </c>
      <c r="BS22" s="37" t="s">
        <v>2007</v>
      </c>
    </row>
    <row r="23" spans="1:71" ht="16.5" customHeight="1">
      <c r="A23" s="37" t="s">
        <v>1996</v>
      </c>
      <c r="B23" s="37" t="s">
        <v>2006</v>
      </c>
      <c r="C23" s="37" t="s">
        <v>1990</v>
      </c>
      <c r="I23" s="37" t="s">
        <v>2009</v>
      </c>
      <c r="K23" s="37" t="s">
        <v>2008</v>
      </c>
      <c r="L23" s="37" t="s">
        <v>1989</v>
      </c>
      <c r="M23" s="37" t="s">
        <v>1989</v>
      </c>
      <c r="N23" s="37" t="s">
        <v>1989</v>
      </c>
      <c r="O23" s="37" t="s">
        <v>1989</v>
      </c>
      <c r="P23" s="37" t="s">
        <v>1989</v>
      </c>
      <c r="Q23" s="37" t="s">
        <v>1989</v>
      </c>
      <c r="R23" s="37" t="s">
        <v>1989</v>
      </c>
      <c r="S23" s="37" t="s">
        <v>1989</v>
      </c>
      <c r="T23" s="37" t="s">
        <v>1989</v>
      </c>
      <c r="U23" s="37" t="s">
        <v>2006</v>
      </c>
      <c r="AA23" s="37" t="s">
        <v>2008</v>
      </c>
      <c r="AB23" s="37" t="s">
        <v>1989</v>
      </c>
      <c r="AC23" s="37" t="s">
        <v>1989</v>
      </c>
      <c r="AD23" s="37" t="s">
        <v>1989</v>
      </c>
      <c r="AE23" s="37" t="s">
        <v>1989</v>
      </c>
      <c r="AF23" s="37" t="s">
        <v>1989</v>
      </c>
      <c r="AG23" s="37" t="s">
        <v>1989</v>
      </c>
      <c r="AH23" s="37" t="s">
        <v>1989</v>
      </c>
      <c r="AI23" s="37" t="s">
        <v>2002</v>
      </c>
      <c r="AJ23" s="37" t="s">
        <v>1999</v>
      </c>
      <c r="AK23" s="37" t="s">
        <v>1999</v>
      </c>
      <c r="AL23" s="37" t="s">
        <v>1999</v>
      </c>
      <c r="AM23" s="37" t="s">
        <v>1999</v>
      </c>
      <c r="AN23" s="37" t="s">
        <v>1999</v>
      </c>
      <c r="AO23" s="37" t="s">
        <v>1999</v>
      </c>
      <c r="AP23" s="37" t="s">
        <v>2002</v>
      </c>
      <c r="AQ23" s="37" t="s">
        <v>1989</v>
      </c>
      <c r="AR23" s="37" t="s">
        <v>1989</v>
      </c>
      <c r="AS23" s="37" t="s">
        <v>1989</v>
      </c>
      <c r="AT23" s="37" t="s">
        <v>1989</v>
      </c>
      <c r="BD23" s="37" t="s">
        <v>2009</v>
      </c>
      <c r="BF23" s="49" t="s">
        <v>2028</v>
      </c>
      <c r="BK23" s="37" t="s">
        <v>2004</v>
      </c>
      <c r="BM23" s="37" t="s">
        <v>2029</v>
      </c>
      <c r="BR23" s="37" t="s">
        <v>2009</v>
      </c>
    </row>
    <row r="24" spans="1:71" ht="16.5" customHeight="1" thickBot="1">
      <c r="A24" s="37" t="s">
        <v>1996</v>
      </c>
      <c r="B24" s="37" t="s">
        <v>2006</v>
      </c>
      <c r="C24" s="37" t="s">
        <v>1990</v>
      </c>
      <c r="D24" s="37" t="s">
        <v>2005</v>
      </c>
      <c r="E24" s="37" t="s">
        <v>2000</v>
      </c>
      <c r="F24" s="37" t="s">
        <v>2000</v>
      </c>
      <c r="G24" s="37" t="s">
        <v>2000</v>
      </c>
      <c r="H24" s="37" t="s">
        <v>2000</v>
      </c>
      <c r="I24" s="37" t="s">
        <v>2003</v>
      </c>
      <c r="K24" s="37" t="s">
        <v>2004</v>
      </c>
      <c r="L24" s="37" t="s">
        <v>1999</v>
      </c>
      <c r="M24" s="37" t="s">
        <v>2002</v>
      </c>
      <c r="N24" s="37" t="s">
        <v>1989</v>
      </c>
      <c r="O24" s="37" t="s">
        <v>1989</v>
      </c>
      <c r="P24" s="37" t="s">
        <v>1989</v>
      </c>
      <c r="Q24" s="37" t="s">
        <v>1989</v>
      </c>
      <c r="R24" s="37" t="s">
        <v>1989</v>
      </c>
      <c r="S24" s="37" t="s">
        <v>1989</v>
      </c>
      <c r="T24" s="37" t="s">
        <v>1989</v>
      </c>
      <c r="U24" s="37" t="s">
        <v>2006</v>
      </c>
      <c r="X24" s="52">
        <v>6</v>
      </c>
      <c r="AA24" s="37" t="s">
        <v>2008</v>
      </c>
      <c r="AB24" s="37" t="s">
        <v>1989</v>
      </c>
      <c r="AC24" s="37" t="s">
        <v>1989</v>
      </c>
      <c r="AD24" s="37" t="s">
        <v>1989</v>
      </c>
      <c r="AE24" s="37" t="s">
        <v>1989</v>
      </c>
      <c r="AF24" s="37" t="s">
        <v>1989</v>
      </c>
      <c r="AG24" s="37" t="s">
        <v>1989</v>
      </c>
      <c r="AH24" s="37" t="s">
        <v>1989</v>
      </c>
      <c r="AI24" s="37" t="s">
        <v>2006</v>
      </c>
      <c r="AP24" s="37" t="s">
        <v>2008</v>
      </c>
      <c r="AQ24" s="37" t="s">
        <v>1989</v>
      </c>
      <c r="AR24" s="37" t="s">
        <v>1989</v>
      </c>
      <c r="AS24" s="37" t="s">
        <v>1989</v>
      </c>
      <c r="AT24" s="37" t="s">
        <v>1989</v>
      </c>
      <c r="BC24" s="37" t="s">
        <v>2005</v>
      </c>
      <c r="BD24" s="37" t="s">
        <v>2006</v>
      </c>
      <c r="BR24" s="37" t="s">
        <v>2008</v>
      </c>
      <c r="BS24" s="37" t="s">
        <v>2007</v>
      </c>
    </row>
    <row r="25" spans="1:71" ht="16.5" customHeight="1" thickTop="1">
      <c r="A25" s="37" t="s">
        <v>1996</v>
      </c>
      <c r="B25" s="37" t="s">
        <v>2006</v>
      </c>
      <c r="C25" s="37" t="s">
        <v>1990</v>
      </c>
      <c r="D25" s="37" t="s">
        <v>1990</v>
      </c>
      <c r="E25" s="37" t="s">
        <v>1990</v>
      </c>
      <c r="F25" s="37" t="s">
        <v>1990</v>
      </c>
      <c r="G25" s="37" t="s">
        <v>1990</v>
      </c>
      <c r="J25" s="54"/>
      <c r="M25" s="37" t="s">
        <v>2008</v>
      </c>
      <c r="N25" s="37" t="s">
        <v>1989</v>
      </c>
      <c r="O25" s="37" t="s">
        <v>1989</v>
      </c>
      <c r="P25" s="37" t="s">
        <v>1989</v>
      </c>
      <c r="Q25" s="37" t="s">
        <v>1989</v>
      </c>
      <c r="R25" s="37" t="s">
        <v>1989</v>
      </c>
      <c r="S25" s="37" t="s">
        <v>1989</v>
      </c>
      <c r="T25" s="37" t="s">
        <v>1989</v>
      </c>
      <c r="U25" s="37" t="s">
        <v>2006</v>
      </c>
      <c r="AA25" s="37" t="s">
        <v>2004</v>
      </c>
      <c r="AB25" s="37" t="s">
        <v>1999</v>
      </c>
      <c r="AC25" s="37" t="s">
        <v>1999</v>
      </c>
      <c r="AD25" s="37" t="s">
        <v>1999</v>
      </c>
      <c r="AE25" s="37" t="s">
        <v>1999</v>
      </c>
      <c r="AF25" s="37" t="s">
        <v>1999</v>
      </c>
      <c r="AG25" s="37" t="s">
        <v>1999</v>
      </c>
      <c r="AH25" s="37" t="s">
        <v>1999</v>
      </c>
      <c r="AI25" s="37" t="s">
        <v>2003</v>
      </c>
      <c r="AP25" s="37" t="s">
        <v>2008</v>
      </c>
      <c r="AQ25" s="37" t="s">
        <v>1989</v>
      </c>
      <c r="AR25" s="37" t="s">
        <v>1989</v>
      </c>
      <c r="AS25" s="37" t="s">
        <v>1989</v>
      </c>
      <c r="AT25" s="37" t="s">
        <v>1989</v>
      </c>
      <c r="BD25" s="37" t="s">
        <v>2009</v>
      </c>
      <c r="BF25" s="49" t="s">
        <v>2030</v>
      </c>
      <c r="BK25" s="37" t="s">
        <v>2009</v>
      </c>
      <c r="BM25" s="37" t="s">
        <v>2031</v>
      </c>
      <c r="BO25" s="37" t="s">
        <v>2032</v>
      </c>
      <c r="BR25" s="37" t="s">
        <v>2009</v>
      </c>
    </row>
    <row r="26" spans="1:71" ht="16.5" customHeight="1">
      <c r="A26" s="37" t="s">
        <v>1996</v>
      </c>
      <c r="B26" s="37" t="s">
        <v>2002</v>
      </c>
      <c r="C26" s="37" t="s">
        <v>2012</v>
      </c>
      <c r="D26" s="37" t="s">
        <v>2012</v>
      </c>
      <c r="E26" s="37" t="s">
        <v>2000</v>
      </c>
      <c r="F26" s="37" t="s">
        <v>2007</v>
      </c>
      <c r="G26" s="37" t="s">
        <v>1990</v>
      </c>
      <c r="H26" s="37" t="s">
        <v>1990</v>
      </c>
      <c r="M26" s="37" t="s">
        <v>2004</v>
      </c>
      <c r="N26" s="37" t="s">
        <v>1999</v>
      </c>
      <c r="O26" s="37" t="s">
        <v>2002</v>
      </c>
      <c r="P26" s="37" t="s">
        <v>1989</v>
      </c>
      <c r="Q26" s="37" t="s">
        <v>1989</v>
      </c>
      <c r="R26" s="37" t="s">
        <v>1989</v>
      </c>
      <c r="S26" s="37" t="s">
        <v>1989</v>
      </c>
      <c r="T26" s="37" t="s">
        <v>1989</v>
      </c>
      <c r="U26" s="37" t="s">
        <v>2006</v>
      </c>
      <c r="AA26" s="53"/>
      <c r="AJ26" s="53"/>
      <c r="AL26" s="55"/>
      <c r="AP26" s="37" t="s">
        <v>2008</v>
      </c>
      <c r="AQ26" s="37" t="s">
        <v>1999</v>
      </c>
      <c r="AR26" s="37" t="s">
        <v>1999</v>
      </c>
      <c r="AS26" s="37" t="s">
        <v>2002</v>
      </c>
      <c r="AT26" s="37" t="s">
        <v>1989</v>
      </c>
      <c r="BC26" s="37" t="s">
        <v>2005</v>
      </c>
      <c r="BD26" s="37" t="s">
        <v>2006</v>
      </c>
      <c r="BR26" s="37" t="s">
        <v>2008</v>
      </c>
      <c r="BS26" s="37" t="s">
        <v>2007</v>
      </c>
    </row>
    <row r="27" spans="1:71" ht="16.5" customHeight="1" thickBot="1">
      <c r="A27" s="37" t="s">
        <v>1996</v>
      </c>
      <c r="B27" s="37" t="s">
        <v>1989</v>
      </c>
      <c r="C27" s="37" t="s">
        <v>1989</v>
      </c>
      <c r="D27" s="37" t="s">
        <v>2006</v>
      </c>
      <c r="H27" s="37" t="s">
        <v>1990</v>
      </c>
      <c r="O27" s="37" t="s">
        <v>2008</v>
      </c>
      <c r="P27" s="37" t="s">
        <v>1989</v>
      </c>
      <c r="Q27" s="37" t="s">
        <v>1989</v>
      </c>
      <c r="R27" s="37" t="s">
        <v>1989</v>
      </c>
      <c r="S27" s="37" t="s">
        <v>1989</v>
      </c>
      <c r="T27" s="37" t="s">
        <v>1989</v>
      </c>
      <c r="U27" s="37" t="s">
        <v>2006</v>
      </c>
      <c r="AA27" s="37" t="s">
        <v>1998</v>
      </c>
      <c r="AB27" s="37" t="s">
        <v>2012</v>
      </c>
      <c r="AC27" s="37" t="s">
        <v>2012</v>
      </c>
      <c r="AD27" s="37" t="s">
        <v>2012</v>
      </c>
      <c r="AE27" s="37" t="s">
        <v>2012</v>
      </c>
      <c r="AF27" s="37" t="s">
        <v>2012</v>
      </c>
      <c r="AG27" s="37" t="s">
        <v>2012</v>
      </c>
      <c r="AH27" s="37" t="s">
        <v>2012</v>
      </c>
      <c r="AI27" s="37" t="s">
        <v>2001</v>
      </c>
      <c r="AM27" s="52">
        <v>7</v>
      </c>
      <c r="AP27" s="37" t="s">
        <v>2013</v>
      </c>
      <c r="AS27" s="37" t="s">
        <v>2008</v>
      </c>
      <c r="AT27" s="37" t="s">
        <v>1989</v>
      </c>
      <c r="BD27" s="37" t="s">
        <v>2009</v>
      </c>
      <c r="BF27" s="49" t="s">
        <v>2033</v>
      </c>
      <c r="BK27" s="37" t="s">
        <v>2000</v>
      </c>
      <c r="BM27" s="37" t="s">
        <v>2027</v>
      </c>
      <c r="BO27" s="37" t="s">
        <v>2034</v>
      </c>
      <c r="BR27" s="37" t="s">
        <v>2009</v>
      </c>
    </row>
    <row r="28" spans="1:71" ht="16.5" customHeight="1" thickTop="1">
      <c r="A28" s="37" t="s">
        <v>1996</v>
      </c>
      <c r="B28" s="37" t="s">
        <v>1989</v>
      </c>
      <c r="C28" s="37" t="s">
        <v>1989</v>
      </c>
      <c r="D28" s="37" t="s">
        <v>2006</v>
      </c>
      <c r="H28" s="37" t="s">
        <v>1990</v>
      </c>
      <c r="J28" s="56"/>
      <c r="O28" s="37" t="s">
        <v>2004</v>
      </c>
      <c r="P28" s="37" t="s">
        <v>1999</v>
      </c>
      <c r="Q28" s="37" t="s">
        <v>2002</v>
      </c>
      <c r="R28" s="37" t="s">
        <v>1989</v>
      </c>
      <c r="S28" s="37" t="s">
        <v>1989</v>
      </c>
      <c r="T28" s="37" t="s">
        <v>1989</v>
      </c>
      <c r="U28" s="37" t="s">
        <v>2002</v>
      </c>
      <c r="V28" s="37" t="s">
        <v>2012</v>
      </c>
      <c r="W28" s="37" t="s">
        <v>2001</v>
      </c>
      <c r="X28" s="54"/>
      <c r="Y28" s="37" t="s">
        <v>1998</v>
      </c>
      <c r="Z28" s="37" t="s">
        <v>2012</v>
      </c>
      <c r="AA28" s="37" t="s">
        <v>2002</v>
      </c>
      <c r="AB28" s="37" t="s">
        <v>1989</v>
      </c>
      <c r="AC28" s="37" t="s">
        <v>1989</v>
      </c>
      <c r="AD28" s="37" t="s">
        <v>1989</v>
      </c>
      <c r="AE28" s="37" t="s">
        <v>1989</v>
      </c>
      <c r="AF28" s="37" t="s">
        <v>1989</v>
      </c>
      <c r="AG28" s="37" t="s">
        <v>1989</v>
      </c>
      <c r="AH28" s="37" t="s">
        <v>1989</v>
      </c>
      <c r="AI28" s="37" t="s">
        <v>2006</v>
      </c>
      <c r="AP28" s="53"/>
      <c r="AR28" s="52">
        <v>8</v>
      </c>
      <c r="AS28" s="37" t="s">
        <v>2008</v>
      </c>
      <c r="AT28" s="37" t="s">
        <v>1989</v>
      </c>
      <c r="BC28" s="37" t="s">
        <v>2005</v>
      </c>
      <c r="BD28" s="37" t="s">
        <v>2006</v>
      </c>
      <c r="BR28" s="37" t="s">
        <v>2008</v>
      </c>
      <c r="BS28" s="37" t="s">
        <v>2007</v>
      </c>
    </row>
    <row r="29" spans="1:71" ht="16.5" customHeight="1">
      <c r="A29" s="37" t="s">
        <v>1996</v>
      </c>
      <c r="B29" s="37" t="s">
        <v>1989</v>
      </c>
      <c r="C29" s="37" t="s">
        <v>1989</v>
      </c>
      <c r="D29" s="37" t="s">
        <v>2006</v>
      </c>
      <c r="F29" s="52">
        <v>5</v>
      </c>
      <c r="H29" s="37" t="s">
        <v>1990</v>
      </c>
      <c r="I29" s="37" t="s">
        <v>1990</v>
      </c>
      <c r="J29" s="56"/>
      <c r="K29" s="37" t="s">
        <v>1990</v>
      </c>
      <c r="L29" s="37" t="s">
        <v>1990</v>
      </c>
      <c r="M29" s="37" t="s">
        <v>1990</v>
      </c>
      <c r="N29" s="37" t="s">
        <v>1990</v>
      </c>
      <c r="O29" s="37" t="s">
        <v>1990</v>
      </c>
      <c r="P29" s="37" t="s">
        <v>1990</v>
      </c>
      <c r="Q29" s="37" t="s">
        <v>2008</v>
      </c>
      <c r="R29" s="37" t="s">
        <v>1989</v>
      </c>
      <c r="S29" s="37" t="s">
        <v>1989</v>
      </c>
      <c r="T29" s="37" t="s">
        <v>1989</v>
      </c>
      <c r="U29" s="37" t="s">
        <v>1989</v>
      </c>
      <c r="V29" s="37" t="s">
        <v>1989</v>
      </c>
      <c r="W29" s="37" t="s">
        <v>2006</v>
      </c>
      <c r="Y29" s="37" t="s">
        <v>2008</v>
      </c>
      <c r="Z29" s="37" t="s">
        <v>1989</v>
      </c>
      <c r="AA29" s="37" t="s">
        <v>1989</v>
      </c>
      <c r="AB29" s="37" t="s">
        <v>1989</v>
      </c>
      <c r="AC29" s="37" t="s">
        <v>1989</v>
      </c>
      <c r="AD29" s="37" t="s">
        <v>1989</v>
      </c>
      <c r="AE29" s="37" t="s">
        <v>1989</v>
      </c>
      <c r="AF29" s="37" t="s">
        <v>1989</v>
      </c>
      <c r="AG29" s="37" t="s">
        <v>1989</v>
      </c>
      <c r="AH29" s="37" t="s">
        <v>1989</v>
      </c>
      <c r="AI29" s="37" t="s">
        <v>2006</v>
      </c>
      <c r="AP29" s="37" t="s">
        <v>1997</v>
      </c>
      <c r="AS29" s="37" t="s">
        <v>2008</v>
      </c>
      <c r="AT29" s="37" t="s">
        <v>1989</v>
      </c>
      <c r="BD29" s="37" t="s">
        <v>2009</v>
      </c>
      <c r="BF29" s="49" t="s">
        <v>2035</v>
      </c>
      <c r="BK29" s="37" t="s">
        <v>1997</v>
      </c>
      <c r="BR29" s="37" t="s">
        <v>2009</v>
      </c>
    </row>
    <row r="30" spans="1:71" ht="16.5" customHeight="1">
      <c r="A30" s="37" t="s">
        <v>1996</v>
      </c>
      <c r="B30" s="37" t="s">
        <v>1989</v>
      </c>
      <c r="C30" s="37" t="s">
        <v>1989</v>
      </c>
      <c r="D30" s="37" t="s">
        <v>2006</v>
      </c>
      <c r="J30" s="56"/>
      <c r="O30" s="37" t="s">
        <v>1997</v>
      </c>
      <c r="P30" s="37" t="s">
        <v>1990</v>
      </c>
      <c r="Q30" s="37" t="s">
        <v>2004</v>
      </c>
      <c r="R30" s="37" t="s">
        <v>1999</v>
      </c>
      <c r="S30" s="37" t="s">
        <v>2002</v>
      </c>
      <c r="T30" s="37" t="s">
        <v>1989</v>
      </c>
      <c r="U30" s="37" t="s">
        <v>1989</v>
      </c>
      <c r="V30" s="37" t="s">
        <v>1989</v>
      </c>
      <c r="W30" s="37" t="s">
        <v>2006</v>
      </c>
      <c r="Y30" s="37" t="s">
        <v>2008</v>
      </c>
      <c r="Z30" s="37" t="s">
        <v>1989</v>
      </c>
      <c r="AA30" s="37" t="s">
        <v>1989</v>
      </c>
      <c r="AB30" s="37" t="s">
        <v>1989</v>
      </c>
      <c r="AC30" s="37" t="s">
        <v>1989</v>
      </c>
      <c r="AD30" s="37" t="s">
        <v>1989</v>
      </c>
      <c r="AE30" s="37" t="s">
        <v>1989</v>
      </c>
      <c r="AF30" s="37" t="s">
        <v>1989</v>
      </c>
      <c r="AG30" s="37" t="s">
        <v>1989</v>
      </c>
      <c r="AH30" s="37" t="s">
        <v>1989</v>
      </c>
      <c r="AI30" s="37" t="s">
        <v>2006</v>
      </c>
      <c r="AP30" s="37" t="s">
        <v>2008</v>
      </c>
      <c r="AQ30" s="37" t="s">
        <v>2012</v>
      </c>
      <c r="AR30" s="37" t="s">
        <v>2012</v>
      </c>
      <c r="AS30" s="37" t="s">
        <v>2002</v>
      </c>
      <c r="AT30" s="37" t="s">
        <v>1989</v>
      </c>
      <c r="BC30" s="37" t="s">
        <v>2005</v>
      </c>
      <c r="BD30" s="37" t="s">
        <v>2006</v>
      </c>
      <c r="BR30" s="37" t="s">
        <v>2008</v>
      </c>
      <c r="BS30" s="37" t="s">
        <v>2007</v>
      </c>
    </row>
    <row r="31" spans="1:71" ht="16.5" customHeight="1" thickBot="1">
      <c r="A31" s="37" t="s">
        <v>1996</v>
      </c>
      <c r="B31" s="37" t="s">
        <v>1989</v>
      </c>
      <c r="C31" s="37" t="s">
        <v>1989</v>
      </c>
      <c r="D31" s="37" t="s">
        <v>2006</v>
      </c>
      <c r="O31" s="37" t="s">
        <v>2009</v>
      </c>
      <c r="P31" s="37" t="s">
        <v>1990</v>
      </c>
      <c r="Q31" s="37" t="s">
        <v>1990</v>
      </c>
      <c r="R31" s="37" t="s">
        <v>1990</v>
      </c>
      <c r="S31" s="37" t="s">
        <v>2008</v>
      </c>
      <c r="T31" s="37" t="s">
        <v>1989</v>
      </c>
      <c r="U31" s="37" t="s">
        <v>1989</v>
      </c>
      <c r="V31" s="37" t="s">
        <v>1989</v>
      </c>
      <c r="W31" s="37" t="s">
        <v>2006</v>
      </c>
      <c r="Y31" s="37" t="s">
        <v>2008</v>
      </c>
      <c r="Z31" s="37" t="s">
        <v>1989</v>
      </c>
      <c r="AA31" s="37" t="s">
        <v>1989</v>
      </c>
      <c r="AB31" s="37" t="s">
        <v>1989</v>
      </c>
      <c r="AC31" s="37" t="s">
        <v>1989</v>
      </c>
      <c r="AD31" s="37" t="s">
        <v>1989</v>
      </c>
      <c r="AE31" s="37" t="s">
        <v>1989</v>
      </c>
      <c r="AF31" s="37" t="s">
        <v>1989</v>
      </c>
      <c r="AG31" s="37" t="s">
        <v>1989</v>
      </c>
      <c r="AH31" s="37" t="s">
        <v>1989</v>
      </c>
      <c r="AI31" s="37" t="s">
        <v>2006</v>
      </c>
      <c r="AP31" s="37" t="s">
        <v>2008</v>
      </c>
      <c r="AQ31" s="37" t="s">
        <v>1989</v>
      </c>
      <c r="AR31" s="37" t="s">
        <v>1989</v>
      </c>
      <c r="AS31" s="37" t="s">
        <v>1989</v>
      </c>
      <c r="AT31" s="37" t="s">
        <v>1989</v>
      </c>
      <c r="BD31" s="37" t="s">
        <v>2009</v>
      </c>
      <c r="BF31" s="49" t="s">
        <v>2036</v>
      </c>
      <c r="BK31" s="37" t="s">
        <v>2005</v>
      </c>
      <c r="BM31" s="37" t="s">
        <v>2037</v>
      </c>
      <c r="BP31" s="37" t="s">
        <v>1995</v>
      </c>
      <c r="BR31" s="37" t="s">
        <v>2009</v>
      </c>
    </row>
    <row r="32" spans="1:71" ht="16.5" customHeight="1" thickTop="1">
      <c r="A32" s="37" t="s">
        <v>1996</v>
      </c>
      <c r="B32" s="37" t="s">
        <v>1989</v>
      </c>
      <c r="C32" s="37" t="s">
        <v>1989</v>
      </c>
      <c r="D32" s="37" t="s">
        <v>2002</v>
      </c>
      <c r="E32" s="37" t="s">
        <v>2012</v>
      </c>
      <c r="F32" s="37" t="s">
        <v>2001</v>
      </c>
      <c r="M32" s="37" t="s">
        <v>1998</v>
      </c>
      <c r="N32" s="37" t="s">
        <v>2012</v>
      </c>
      <c r="O32" s="37" t="s">
        <v>2002</v>
      </c>
      <c r="P32" s="37" t="s">
        <v>2012</v>
      </c>
      <c r="Q32" s="37" t="s">
        <v>2001</v>
      </c>
      <c r="R32" s="37" t="s">
        <v>1990</v>
      </c>
      <c r="S32" s="37" t="s">
        <v>2004</v>
      </c>
      <c r="T32" s="37" t="s">
        <v>1999</v>
      </c>
      <c r="U32" s="37" t="s">
        <v>2002</v>
      </c>
      <c r="V32" s="37" t="s">
        <v>1989</v>
      </c>
      <c r="W32" s="37" t="s">
        <v>2006</v>
      </c>
      <c r="Y32" s="37" t="s">
        <v>2008</v>
      </c>
      <c r="Z32" s="37" t="s">
        <v>1989</v>
      </c>
      <c r="AA32" s="37" t="s">
        <v>1989</v>
      </c>
      <c r="AB32" s="37" t="s">
        <v>1989</v>
      </c>
      <c r="AC32" s="37" t="s">
        <v>1989</v>
      </c>
      <c r="AD32" s="37" t="s">
        <v>1989</v>
      </c>
      <c r="AE32" s="37" t="s">
        <v>1989</v>
      </c>
      <c r="AF32" s="37" t="s">
        <v>1989</v>
      </c>
      <c r="AG32" s="37" t="s">
        <v>1989</v>
      </c>
      <c r="AH32" s="37" t="s">
        <v>1989</v>
      </c>
      <c r="AI32" s="37" t="s">
        <v>2002</v>
      </c>
      <c r="AJ32" s="37" t="s">
        <v>2012</v>
      </c>
      <c r="AK32" s="37" t="s">
        <v>2012</v>
      </c>
      <c r="AL32" s="37" t="s">
        <v>2001</v>
      </c>
      <c r="AM32" s="54"/>
      <c r="AN32" s="37" t="s">
        <v>1998</v>
      </c>
      <c r="AO32" s="37" t="s">
        <v>2012</v>
      </c>
      <c r="AP32" s="37" t="s">
        <v>2002</v>
      </c>
      <c r="AQ32" s="37" t="s">
        <v>1989</v>
      </c>
      <c r="AR32" s="37" t="s">
        <v>1989</v>
      </c>
      <c r="AS32" s="37" t="s">
        <v>1989</v>
      </c>
      <c r="AT32" s="37" t="s">
        <v>1989</v>
      </c>
      <c r="BC32" s="37" t="s">
        <v>2005</v>
      </c>
      <c r="BD32" s="37" t="s">
        <v>2006</v>
      </c>
      <c r="BR32" s="37" t="s">
        <v>2008</v>
      </c>
      <c r="BS32" s="37" t="s">
        <v>2007</v>
      </c>
    </row>
    <row r="33" spans="1:71" ht="16.5" customHeight="1" thickBot="1">
      <c r="A33" s="37" t="s">
        <v>1996</v>
      </c>
      <c r="B33" s="37" t="s">
        <v>1989</v>
      </c>
      <c r="C33" s="37" t="s">
        <v>1989</v>
      </c>
      <c r="D33" s="37" t="s">
        <v>1989</v>
      </c>
      <c r="E33" s="37" t="s">
        <v>1989</v>
      </c>
      <c r="F33" s="37" t="s">
        <v>2006</v>
      </c>
      <c r="M33" s="37" t="s">
        <v>2008</v>
      </c>
      <c r="N33" s="37" t="s">
        <v>1989</v>
      </c>
      <c r="O33" s="37" t="s">
        <v>1989</v>
      </c>
      <c r="P33" s="37" t="s">
        <v>2002</v>
      </c>
      <c r="Q33" s="37" t="s">
        <v>2006</v>
      </c>
      <c r="R33" s="37" t="s">
        <v>1990</v>
      </c>
      <c r="S33" s="37" t="s">
        <v>1990</v>
      </c>
      <c r="T33" s="37" t="s">
        <v>1990</v>
      </c>
      <c r="U33" s="37" t="s">
        <v>2008</v>
      </c>
      <c r="V33" s="37" t="s">
        <v>1989</v>
      </c>
      <c r="W33" s="37" t="s">
        <v>2006</v>
      </c>
      <c r="Y33" s="37" t="s">
        <v>2008</v>
      </c>
      <c r="Z33" s="37" t="s">
        <v>1989</v>
      </c>
      <c r="AA33" s="37" t="s">
        <v>1989</v>
      </c>
      <c r="AB33" s="37" t="s">
        <v>1989</v>
      </c>
      <c r="AC33" s="37" t="s">
        <v>1989</v>
      </c>
      <c r="AD33" s="37" t="s">
        <v>1989</v>
      </c>
      <c r="AE33" s="37" t="s">
        <v>1989</v>
      </c>
      <c r="AF33" s="37" t="s">
        <v>1989</v>
      </c>
      <c r="AG33" s="37" t="s">
        <v>1989</v>
      </c>
      <c r="AH33" s="37" t="s">
        <v>1989</v>
      </c>
      <c r="AI33" s="37" t="s">
        <v>1989</v>
      </c>
      <c r="AJ33" s="37" t="s">
        <v>1989</v>
      </c>
      <c r="AK33" s="37" t="s">
        <v>1989</v>
      </c>
      <c r="AL33" s="37" t="s">
        <v>2006</v>
      </c>
      <c r="AN33" s="37" t="s">
        <v>2008</v>
      </c>
      <c r="AO33" s="37" t="s">
        <v>1989</v>
      </c>
      <c r="AP33" s="37" t="s">
        <v>1989</v>
      </c>
      <c r="AQ33" s="37" t="s">
        <v>1989</v>
      </c>
      <c r="AR33" s="37" t="s">
        <v>1989</v>
      </c>
      <c r="AS33" s="37" t="s">
        <v>1989</v>
      </c>
      <c r="AT33" s="37" t="s">
        <v>1989</v>
      </c>
      <c r="BD33" s="37" t="s">
        <v>2009</v>
      </c>
      <c r="BF33" s="49" t="s">
        <v>2038</v>
      </c>
      <c r="BK33" s="37" t="s">
        <v>2013</v>
      </c>
      <c r="BP33" s="37" t="s">
        <v>2020</v>
      </c>
      <c r="BR33" s="37" t="s">
        <v>2009</v>
      </c>
    </row>
    <row r="34" spans="1:71" ht="16.5" customHeight="1" thickTop="1">
      <c r="A34" s="37" t="s">
        <v>1996</v>
      </c>
      <c r="B34" s="37" t="s">
        <v>1989</v>
      </c>
      <c r="C34" s="37" t="s">
        <v>1989</v>
      </c>
      <c r="D34" s="37" t="s">
        <v>1989</v>
      </c>
      <c r="E34" s="37" t="s">
        <v>1989</v>
      </c>
      <c r="F34" s="37" t="s">
        <v>2002</v>
      </c>
      <c r="G34" s="37" t="s">
        <v>2012</v>
      </c>
      <c r="H34" s="37" t="s">
        <v>2012</v>
      </c>
      <c r="I34" s="37" t="s">
        <v>2001</v>
      </c>
      <c r="J34" s="54"/>
      <c r="K34" s="37" t="s">
        <v>1998</v>
      </c>
      <c r="L34" s="37" t="s">
        <v>2012</v>
      </c>
      <c r="M34" s="37" t="s">
        <v>2002</v>
      </c>
      <c r="N34" s="37" t="s">
        <v>1989</v>
      </c>
      <c r="O34" s="37" t="s">
        <v>1989</v>
      </c>
      <c r="P34" s="37" t="s">
        <v>2002</v>
      </c>
      <c r="Q34" s="37" t="s">
        <v>2002</v>
      </c>
      <c r="R34" s="37" t="s">
        <v>2012</v>
      </c>
      <c r="S34" s="37" t="s">
        <v>2001</v>
      </c>
      <c r="T34" s="37" t="s">
        <v>1990</v>
      </c>
      <c r="U34" s="37" t="s">
        <v>2008</v>
      </c>
      <c r="V34" s="37" t="s">
        <v>1989</v>
      </c>
      <c r="W34" s="37" t="s">
        <v>2006</v>
      </c>
      <c r="Y34" s="37" t="s">
        <v>2008</v>
      </c>
      <c r="Z34" s="37" t="s">
        <v>1989</v>
      </c>
      <c r="AA34" s="37" t="s">
        <v>1989</v>
      </c>
      <c r="AB34" s="37" t="s">
        <v>1989</v>
      </c>
      <c r="AC34" s="37" t="s">
        <v>1989</v>
      </c>
      <c r="AD34" s="37" t="s">
        <v>1989</v>
      </c>
      <c r="AE34" s="37" t="s">
        <v>1989</v>
      </c>
      <c r="AF34" s="37" t="s">
        <v>1989</v>
      </c>
      <c r="AG34" s="37" t="s">
        <v>1989</v>
      </c>
      <c r="AH34" s="37" t="s">
        <v>1989</v>
      </c>
      <c r="AI34" s="37" t="s">
        <v>1989</v>
      </c>
      <c r="AJ34" s="37" t="s">
        <v>1989</v>
      </c>
      <c r="AK34" s="37" t="s">
        <v>1989</v>
      </c>
      <c r="AL34" s="37" t="s">
        <v>2006</v>
      </c>
      <c r="AN34" s="37" t="s">
        <v>2008</v>
      </c>
      <c r="AO34" s="37" t="s">
        <v>1989</v>
      </c>
      <c r="AP34" s="37" t="s">
        <v>1989</v>
      </c>
      <c r="AQ34" s="37" t="s">
        <v>1989</v>
      </c>
      <c r="AR34" s="37" t="s">
        <v>1989</v>
      </c>
      <c r="AS34" s="37" t="s">
        <v>1989</v>
      </c>
      <c r="AT34" s="37" t="s">
        <v>1989</v>
      </c>
      <c r="BC34" s="37" t="s">
        <v>2005</v>
      </c>
      <c r="BD34" s="37" t="s">
        <v>2006</v>
      </c>
      <c r="BR34" s="37" t="s">
        <v>2008</v>
      </c>
      <c r="BS34" s="37" t="s">
        <v>2007</v>
      </c>
    </row>
    <row r="35" spans="1:71" ht="16.5" customHeight="1">
      <c r="A35" s="37" t="s">
        <v>1996</v>
      </c>
      <c r="B35" s="37" t="s">
        <v>1989</v>
      </c>
      <c r="C35" s="37" t="s">
        <v>1989</v>
      </c>
      <c r="D35" s="37" t="s">
        <v>1989</v>
      </c>
      <c r="E35" s="37" t="s">
        <v>1989</v>
      </c>
      <c r="F35" s="37" t="s">
        <v>1989</v>
      </c>
      <c r="G35" s="37" t="s">
        <v>1989</v>
      </c>
      <c r="H35" s="37" t="s">
        <v>1989</v>
      </c>
      <c r="I35" s="37" t="s">
        <v>2006</v>
      </c>
      <c r="K35" s="37" t="s">
        <v>2008</v>
      </c>
      <c r="L35" s="37" t="s">
        <v>1989</v>
      </c>
      <c r="M35" s="37" t="s">
        <v>1989</v>
      </c>
      <c r="N35" s="37" t="s">
        <v>1989</v>
      </c>
      <c r="O35" s="37" t="s">
        <v>1989</v>
      </c>
      <c r="P35" s="37" t="s">
        <v>2002</v>
      </c>
      <c r="Q35" s="37" t="s">
        <v>1999</v>
      </c>
      <c r="R35" s="37" t="s">
        <v>1999</v>
      </c>
      <c r="S35" s="37" t="s">
        <v>2003</v>
      </c>
      <c r="T35" s="37" t="s">
        <v>1990</v>
      </c>
      <c r="U35" s="37" t="s">
        <v>2004</v>
      </c>
      <c r="V35" s="37" t="s">
        <v>2002</v>
      </c>
      <c r="W35" s="37" t="s">
        <v>2006</v>
      </c>
      <c r="Y35" s="37" t="s">
        <v>2008</v>
      </c>
      <c r="Z35" s="37" t="s">
        <v>1989</v>
      </c>
      <c r="AA35" s="37" t="s">
        <v>1989</v>
      </c>
      <c r="AB35" s="37" t="s">
        <v>1989</v>
      </c>
      <c r="AC35" s="37" t="s">
        <v>2002</v>
      </c>
      <c r="AD35" s="37" t="s">
        <v>1999</v>
      </c>
      <c r="AE35" s="37" t="s">
        <v>1999</v>
      </c>
      <c r="AF35" s="37" t="s">
        <v>1999</v>
      </c>
      <c r="AG35" s="37" t="s">
        <v>1999</v>
      </c>
      <c r="AH35" s="37" t="s">
        <v>1999</v>
      </c>
      <c r="AI35" s="37" t="s">
        <v>2002</v>
      </c>
      <c r="AJ35" s="37" t="s">
        <v>1989</v>
      </c>
      <c r="AK35" s="37" t="s">
        <v>1989</v>
      </c>
      <c r="AL35" s="37" t="s">
        <v>2006</v>
      </c>
      <c r="AN35" s="37" t="s">
        <v>2008</v>
      </c>
      <c r="AO35" s="37" t="s">
        <v>1989</v>
      </c>
      <c r="AP35" s="37" t="s">
        <v>1989</v>
      </c>
      <c r="AQ35" s="37" t="s">
        <v>1989</v>
      </c>
      <c r="AR35" s="37" t="s">
        <v>1989</v>
      </c>
      <c r="AS35" s="37" t="s">
        <v>1989</v>
      </c>
      <c r="AT35" s="37" t="s">
        <v>1989</v>
      </c>
      <c r="BD35" s="37" t="s">
        <v>2009</v>
      </c>
      <c r="BF35" s="49" t="s">
        <v>2039</v>
      </c>
      <c r="BK35" s="37" t="s">
        <v>2007</v>
      </c>
      <c r="BM35" s="37" t="s">
        <v>2040</v>
      </c>
      <c r="BP35" s="37" t="s">
        <v>2041</v>
      </c>
      <c r="BR35" s="37" t="s">
        <v>2009</v>
      </c>
    </row>
    <row r="36" spans="1:71" ht="16.5" customHeight="1">
      <c r="A36" s="37" t="s">
        <v>1996</v>
      </c>
      <c r="B36" s="37" t="s">
        <v>1989</v>
      </c>
      <c r="C36" s="37" t="s">
        <v>1989</v>
      </c>
      <c r="D36" s="37" t="s">
        <v>1989</v>
      </c>
      <c r="E36" s="37" t="s">
        <v>1989</v>
      </c>
      <c r="F36" s="37" t="s">
        <v>1989</v>
      </c>
      <c r="G36" s="37" t="s">
        <v>1989</v>
      </c>
      <c r="H36" s="37" t="s">
        <v>1989</v>
      </c>
      <c r="I36" s="37" t="s">
        <v>2006</v>
      </c>
      <c r="K36" s="37" t="s">
        <v>2008</v>
      </c>
      <c r="L36" s="37" t="s">
        <v>1989</v>
      </c>
      <c r="M36" s="37" t="s">
        <v>1989</v>
      </c>
      <c r="N36" s="37" t="s">
        <v>1989</v>
      </c>
      <c r="O36" s="37" t="s">
        <v>1989</v>
      </c>
      <c r="P36" s="37" t="s">
        <v>2006</v>
      </c>
      <c r="T36" s="37" t="s">
        <v>1990</v>
      </c>
      <c r="V36" s="37" t="s">
        <v>2008</v>
      </c>
      <c r="W36" s="37" t="s">
        <v>2006</v>
      </c>
      <c r="Y36" s="37" t="s">
        <v>2008</v>
      </c>
      <c r="Z36" s="37" t="s">
        <v>1989</v>
      </c>
      <c r="AA36" s="37" t="s">
        <v>1989</v>
      </c>
      <c r="AB36" s="37" t="s">
        <v>1989</v>
      </c>
      <c r="AC36" s="37" t="s">
        <v>2006</v>
      </c>
      <c r="AI36" s="37" t="s">
        <v>2004</v>
      </c>
      <c r="AJ36" s="37" t="s">
        <v>1999</v>
      </c>
      <c r="AK36" s="37" t="s">
        <v>1999</v>
      </c>
      <c r="AL36" s="37" t="s">
        <v>2003</v>
      </c>
      <c r="AN36" s="37" t="s">
        <v>2008</v>
      </c>
      <c r="AO36" s="37" t="s">
        <v>1989</v>
      </c>
      <c r="AP36" s="37" t="s">
        <v>1989</v>
      </c>
      <c r="AQ36" s="37" t="s">
        <v>1989</v>
      </c>
      <c r="AR36" s="37" t="s">
        <v>1989</v>
      </c>
      <c r="AS36" s="37" t="s">
        <v>1989</v>
      </c>
      <c r="AT36" s="37" t="s">
        <v>1989</v>
      </c>
      <c r="BC36" s="37" t="s">
        <v>2005</v>
      </c>
      <c r="BD36" s="37" t="s">
        <v>2006</v>
      </c>
      <c r="BR36" s="37" t="s">
        <v>2008</v>
      </c>
      <c r="BS36" s="37" t="s">
        <v>2007</v>
      </c>
    </row>
    <row r="37" spans="1:71" ht="16.5" customHeight="1">
      <c r="A37" s="37" t="s">
        <v>1996</v>
      </c>
      <c r="B37" s="37" t="s">
        <v>1989</v>
      </c>
      <c r="C37" s="37" t="s">
        <v>1989</v>
      </c>
      <c r="D37" s="37" t="s">
        <v>1989</v>
      </c>
      <c r="E37" s="37" t="s">
        <v>1989</v>
      </c>
      <c r="F37" s="37" t="s">
        <v>1989</v>
      </c>
      <c r="G37" s="37" t="s">
        <v>1989</v>
      </c>
      <c r="H37" s="37" t="s">
        <v>1989</v>
      </c>
      <c r="I37" s="37" t="s">
        <v>2006</v>
      </c>
      <c r="K37" s="37" t="s">
        <v>2008</v>
      </c>
      <c r="L37" s="37" t="s">
        <v>1989</v>
      </c>
      <c r="M37" s="37" t="s">
        <v>1989</v>
      </c>
      <c r="N37" s="37" t="s">
        <v>1989</v>
      </c>
      <c r="O37" s="37" t="s">
        <v>1989</v>
      </c>
      <c r="P37" s="37" t="s">
        <v>2006</v>
      </c>
      <c r="S37" s="37" t="s">
        <v>1990</v>
      </c>
      <c r="T37" s="37" t="s">
        <v>1990</v>
      </c>
      <c r="V37" s="37" t="s">
        <v>2008</v>
      </c>
      <c r="W37" s="37" t="s">
        <v>2006</v>
      </c>
      <c r="Y37" s="37" t="s">
        <v>2008</v>
      </c>
      <c r="Z37" s="37" t="s">
        <v>1989</v>
      </c>
      <c r="AA37" s="37" t="s">
        <v>1989</v>
      </c>
      <c r="AB37" s="37" t="s">
        <v>1989</v>
      </c>
      <c r="AC37" s="37" t="s">
        <v>2006</v>
      </c>
      <c r="AN37" s="37" t="s">
        <v>2008</v>
      </c>
      <c r="AO37" s="37" t="s">
        <v>1989</v>
      </c>
      <c r="AP37" s="37" t="s">
        <v>1989</v>
      </c>
      <c r="AQ37" s="37" t="s">
        <v>1989</v>
      </c>
      <c r="AR37" s="37" t="s">
        <v>1989</v>
      </c>
      <c r="AS37" s="37" t="s">
        <v>1989</v>
      </c>
      <c r="AT37" s="37" t="s">
        <v>1989</v>
      </c>
      <c r="BD37" s="37" t="s">
        <v>2009</v>
      </c>
      <c r="BF37" s="49" t="s">
        <v>2042</v>
      </c>
      <c r="BK37" s="37" t="s">
        <v>2018</v>
      </c>
      <c r="BP37" s="37" t="s">
        <v>2022</v>
      </c>
      <c r="BR37" s="37" t="s">
        <v>2009</v>
      </c>
    </row>
    <row r="38" spans="1:71" ht="16.5" customHeight="1" thickBot="1">
      <c r="A38" s="37" t="s">
        <v>1996</v>
      </c>
      <c r="B38" s="37" t="s">
        <v>1989</v>
      </c>
      <c r="C38" s="37" t="s">
        <v>1989</v>
      </c>
      <c r="D38" s="37" t="s">
        <v>1989</v>
      </c>
      <c r="E38" s="37" t="s">
        <v>1989</v>
      </c>
      <c r="F38" s="37" t="s">
        <v>1989</v>
      </c>
      <c r="G38" s="37" t="s">
        <v>1989</v>
      </c>
      <c r="H38" s="37" t="s">
        <v>2002</v>
      </c>
      <c r="I38" s="37" t="s">
        <v>2003</v>
      </c>
      <c r="K38" s="37" t="s">
        <v>2008</v>
      </c>
      <c r="L38" s="37" t="s">
        <v>2002</v>
      </c>
      <c r="M38" s="37" t="s">
        <v>1989</v>
      </c>
      <c r="N38" s="37" t="s">
        <v>1989</v>
      </c>
      <c r="O38" s="37" t="s">
        <v>1989</v>
      </c>
      <c r="P38" s="37" t="s">
        <v>2006</v>
      </c>
      <c r="S38" s="37" t="s">
        <v>1990</v>
      </c>
      <c r="V38" s="37" t="s">
        <v>2004</v>
      </c>
      <c r="W38" s="37" t="s">
        <v>2003</v>
      </c>
      <c r="Y38" s="37" t="s">
        <v>2004</v>
      </c>
      <c r="Z38" s="37" t="s">
        <v>1999</v>
      </c>
      <c r="AA38" s="37" t="s">
        <v>1999</v>
      </c>
      <c r="AB38" s="37" t="s">
        <v>1999</v>
      </c>
      <c r="AC38" s="37" t="s">
        <v>2003</v>
      </c>
      <c r="AF38" s="52">
        <v>10</v>
      </c>
      <c r="AI38" s="37" t="s">
        <v>1998</v>
      </c>
      <c r="AJ38" s="37" t="s">
        <v>2012</v>
      </c>
      <c r="AK38" s="37" t="s">
        <v>2012</v>
      </c>
      <c r="AL38" s="37" t="s">
        <v>2001</v>
      </c>
      <c r="AN38" s="37" t="s">
        <v>2008</v>
      </c>
      <c r="AO38" s="37" t="s">
        <v>1989</v>
      </c>
      <c r="AP38" s="37" t="s">
        <v>1989</v>
      </c>
      <c r="AQ38" s="37" t="s">
        <v>1989</v>
      </c>
      <c r="AR38" s="37" t="s">
        <v>1989</v>
      </c>
      <c r="AS38" s="37" t="s">
        <v>1989</v>
      </c>
      <c r="AT38" s="37" t="s">
        <v>1989</v>
      </c>
      <c r="BC38" s="37" t="s">
        <v>2005</v>
      </c>
      <c r="BD38" s="37" t="s">
        <v>2006</v>
      </c>
      <c r="BR38" s="37" t="s">
        <v>2008</v>
      </c>
      <c r="BS38" s="37" t="s">
        <v>2007</v>
      </c>
    </row>
    <row r="39" spans="1:71" ht="16.5" customHeight="1" thickTop="1">
      <c r="A39" s="37" t="s">
        <v>1996</v>
      </c>
      <c r="B39" s="37" t="s">
        <v>1989</v>
      </c>
      <c r="C39" s="37" t="s">
        <v>1989</v>
      </c>
      <c r="D39" s="37" t="s">
        <v>1989</v>
      </c>
      <c r="E39" s="37" t="s">
        <v>1989</v>
      </c>
      <c r="F39" s="37" t="s">
        <v>1989</v>
      </c>
      <c r="G39" s="37" t="s">
        <v>2002</v>
      </c>
      <c r="H39" s="37" t="s">
        <v>2003</v>
      </c>
      <c r="J39" s="54"/>
      <c r="L39" s="37" t="s">
        <v>2004</v>
      </c>
      <c r="M39" s="37" t="s">
        <v>2002</v>
      </c>
      <c r="N39" s="37" t="s">
        <v>1989</v>
      </c>
      <c r="O39" s="37" t="s">
        <v>1989</v>
      </c>
      <c r="P39" s="37" t="s">
        <v>2006</v>
      </c>
      <c r="S39" s="37" t="s">
        <v>1990</v>
      </c>
      <c r="V39" s="53"/>
      <c r="AI39" s="37" t="s">
        <v>2008</v>
      </c>
      <c r="AJ39" s="37" t="s">
        <v>1989</v>
      </c>
      <c r="AK39" s="37" t="s">
        <v>2002</v>
      </c>
      <c r="AL39" s="37" t="s">
        <v>2006</v>
      </c>
      <c r="AN39" s="37" t="s">
        <v>2008</v>
      </c>
      <c r="AO39" s="37" t="s">
        <v>1989</v>
      </c>
      <c r="AP39" s="37" t="s">
        <v>1989</v>
      </c>
      <c r="AQ39" s="37" t="s">
        <v>1989</v>
      </c>
      <c r="AR39" s="37" t="s">
        <v>1989</v>
      </c>
      <c r="AS39" s="37" t="s">
        <v>1989</v>
      </c>
      <c r="AT39" s="37" t="s">
        <v>1989</v>
      </c>
      <c r="BD39" s="37" t="s">
        <v>2029</v>
      </c>
      <c r="BE39" s="37" t="s">
        <v>2012</v>
      </c>
      <c r="BF39" s="49" t="s">
        <v>2000</v>
      </c>
      <c r="BG39" s="37" t="s">
        <v>2012</v>
      </c>
      <c r="BH39" s="37" t="s">
        <v>2000</v>
      </c>
      <c r="BI39" s="37" t="s">
        <v>2012</v>
      </c>
      <c r="BJ39" s="37" t="s">
        <v>2000</v>
      </c>
      <c r="BK39" s="37" t="s">
        <v>2012</v>
      </c>
      <c r="BL39" s="37" t="s">
        <v>2000</v>
      </c>
      <c r="BM39" s="37" t="s">
        <v>2012</v>
      </c>
      <c r="BN39" s="37" t="s">
        <v>2000</v>
      </c>
      <c r="BO39" s="37" t="s">
        <v>2012</v>
      </c>
      <c r="BP39" s="37" t="s">
        <v>2000</v>
      </c>
      <c r="BQ39" s="37" t="s">
        <v>2012</v>
      </c>
      <c r="BR39" s="37" t="s">
        <v>2017</v>
      </c>
    </row>
    <row r="40" spans="1:71" ht="16.5" customHeight="1">
      <c r="A40" s="37" t="s">
        <v>1996</v>
      </c>
      <c r="B40" s="37" t="s">
        <v>1989</v>
      </c>
      <c r="C40" s="37" t="s">
        <v>1989</v>
      </c>
      <c r="D40" s="37" t="s">
        <v>1989</v>
      </c>
      <c r="E40" s="37" t="s">
        <v>1989</v>
      </c>
      <c r="F40" s="37" t="s">
        <v>1989</v>
      </c>
      <c r="G40" s="37" t="s">
        <v>2006</v>
      </c>
      <c r="M40" s="37" t="s">
        <v>2008</v>
      </c>
      <c r="N40" s="37" t="s">
        <v>1989</v>
      </c>
      <c r="O40" s="37" t="s">
        <v>1989</v>
      </c>
      <c r="P40" s="37" t="s">
        <v>2006</v>
      </c>
      <c r="S40" s="37" t="s">
        <v>1990</v>
      </c>
      <c r="T40" s="37" t="s">
        <v>1990</v>
      </c>
      <c r="V40" s="37" t="s">
        <v>2005</v>
      </c>
      <c r="W40" s="37" t="s">
        <v>2012</v>
      </c>
      <c r="X40" s="37" t="s">
        <v>2012</v>
      </c>
      <c r="Y40" s="37" t="s">
        <v>2012</v>
      </c>
      <c r="Z40" s="37" t="s">
        <v>2000</v>
      </c>
      <c r="AA40" s="37" t="s">
        <v>2000</v>
      </c>
      <c r="AB40" s="37" t="s">
        <v>2012</v>
      </c>
      <c r="AC40" s="37" t="s">
        <v>2001</v>
      </c>
      <c r="AI40" s="37" t="s">
        <v>2008</v>
      </c>
      <c r="AJ40" s="37" t="s">
        <v>1989</v>
      </c>
      <c r="AK40" s="37" t="s">
        <v>2002</v>
      </c>
      <c r="AL40" s="37" t="s">
        <v>2006</v>
      </c>
      <c r="AN40" s="37" t="s">
        <v>2008</v>
      </c>
      <c r="AO40" s="37" t="s">
        <v>1989</v>
      </c>
      <c r="AP40" s="37" t="s">
        <v>1989</v>
      </c>
      <c r="AQ40" s="37" t="s">
        <v>1989</v>
      </c>
      <c r="AR40" s="37" t="s">
        <v>1989</v>
      </c>
      <c r="AS40" s="37" t="s">
        <v>1989</v>
      </c>
      <c r="AT40" s="37" t="s">
        <v>1989</v>
      </c>
      <c r="BE40" s="37" t="s">
        <v>2013</v>
      </c>
      <c r="BG40" s="37" t="s">
        <v>2013</v>
      </c>
      <c r="BI40" s="37" t="s">
        <v>2013</v>
      </c>
      <c r="BK40" s="37" t="s">
        <v>2013</v>
      </c>
      <c r="BM40" s="37" t="s">
        <v>2013</v>
      </c>
      <c r="BO40" s="37" t="s">
        <v>2013</v>
      </c>
      <c r="BQ40" s="37" t="s">
        <v>2013</v>
      </c>
    </row>
    <row r="41" spans="1:71" ht="16.5" customHeight="1" thickBot="1">
      <c r="A41" s="37" t="s">
        <v>1996</v>
      </c>
      <c r="B41" s="37" t="s">
        <v>1989</v>
      </c>
      <c r="C41" s="37" t="s">
        <v>1989</v>
      </c>
      <c r="D41" s="37" t="s">
        <v>1989</v>
      </c>
      <c r="E41" s="37" t="s">
        <v>1989</v>
      </c>
      <c r="F41" s="37" t="s">
        <v>1989</v>
      </c>
      <c r="G41" s="37" t="s">
        <v>2006</v>
      </c>
      <c r="J41" s="52">
        <v>13</v>
      </c>
      <c r="M41" s="37" t="s">
        <v>2008</v>
      </c>
      <c r="N41" s="37" t="s">
        <v>1989</v>
      </c>
      <c r="O41" s="37" t="s">
        <v>1989</v>
      </c>
      <c r="P41" s="37" t="s">
        <v>2006</v>
      </c>
      <c r="T41" s="37" t="s">
        <v>1990</v>
      </c>
      <c r="U41" s="37" t="s">
        <v>1990</v>
      </c>
      <c r="V41" s="37" t="s">
        <v>1990</v>
      </c>
      <c r="W41" s="37" t="s">
        <v>2004</v>
      </c>
      <c r="X41" s="37" t="s">
        <v>1999</v>
      </c>
      <c r="Y41" s="37" t="s">
        <v>2003</v>
      </c>
      <c r="Z41" s="37" t="s">
        <v>1990</v>
      </c>
      <c r="AA41" s="37" t="s">
        <v>1990</v>
      </c>
      <c r="AB41" s="37" t="s">
        <v>2004</v>
      </c>
      <c r="AC41" s="37" t="s">
        <v>2006</v>
      </c>
      <c r="AI41" s="37" t="s">
        <v>2008</v>
      </c>
      <c r="AJ41" s="37" t="s">
        <v>1989</v>
      </c>
      <c r="AK41" s="37" t="s">
        <v>2002</v>
      </c>
      <c r="AL41" s="37" t="s">
        <v>2003</v>
      </c>
      <c r="AN41" s="37" t="s">
        <v>2004</v>
      </c>
      <c r="AO41" s="37" t="s">
        <v>2002</v>
      </c>
      <c r="AP41" s="37" t="s">
        <v>1989</v>
      </c>
      <c r="AQ41" s="37" t="s">
        <v>1989</v>
      </c>
      <c r="AR41" s="37" t="s">
        <v>1989</v>
      </c>
      <c r="AS41" s="37" t="s">
        <v>1989</v>
      </c>
      <c r="AT41" s="37" t="s">
        <v>1989</v>
      </c>
    </row>
    <row r="42" spans="1:71" ht="16.5" customHeight="1" thickTop="1">
      <c r="A42" s="37" t="s">
        <v>1996</v>
      </c>
      <c r="B42" s="37" t="s">
        <v>1989</v>
      </c>
      <c r="C42" s="37" t="s">
        <v>1989</v>
      </c>
      <c r="D42" s="37" t="s">
        <v>1989</v>
      </c>
      <c r="E42" s="37" t="s">
        <v>1989</v>
      </c>
      <c r="F42" s="37" t="s">
        <v>1989</v>
      </c>
      <c r="G42" s="37" t="s">
        <v>2006</v>
      </c>
      <c r="M42" s="37" t="s">
        <v>2008</v>
      </c>
      <c r="N42" s="37" t="s">
        <v>1989</v>
      </c>
      <c r="O42" s="37" t="s">
        <v>1989</v>
      </c>
      <c r="P42" s="37" t="s">
        <v>2006</v>
      </c>
      <c r="R42" s="52">
        <v>11</v>
      </c>
      <c r="V42" s="37" t="s">
        <v>1990</v>
      </c>
      <c r="W42" s="37" t="s">
        <v>1990</v>
      </c>
      <c r="X42" s="37" t="s">
        <v>1990</v>
      </c>
      <c r="Y42" s="37" t="s">
        <v>1990</v>
      </c>
      <c r="Z42" s="37" t="s">
        <v>1990</v>
      </c>
      <c r="AA42" s="37" t="s">
        <v>1990</v>
      </c>
      <c r="AB42" s="37" t="s">
        <v>1990</v>
      </c>
      <c r="AC42" s="37" t="s">
        <v>2004</v>
      </c>
      <c r="AD42" s="37" t="s">
        <v>2012</v>
      </c>
      <c r="AE42" s="37" t="s">
        <v>2012</v>
      </c>
      <c r="AF42" s="37" t="s">
        <v>2012</v>
      </c>
      <c r="AG42" s="37" t="s">
        <v>2012</v>
      </c>
      <c r="AH42" s="37" t="s">
        <v>2012</v>
      </c>
      <c r="AI42" s="37" t="s">
        <v>2002</v>
      </c>
      <c r="AJ42" s="37" t="s">
        <v>1989</v>
      </c>
      <c r="AK42" s="37" t="s">
        <v>2006</v>
      </c>
      <c r="AM42" s="54"/>
      <c r="AN42" s="52">
        <v>9</v>
      </c>
      <c r="AO42" s="37" t="s">
        <v>2008</v>
      </c>
      <c r="AP42" s="37" t="s">
        <v>1989</v>
      </c>
      <c r="AQ42" s="37" t="s">
        <v>1989</v>
      </c>
      <c r="AR42" s="37" t="s">
        <v>1989</v>
      </c>
      <c r="AS42" s="37" t="s">
        <v>1989</v>
      </c>
      <c r="AT42" s="37" t="s">
        <v>1989</v>
      </c>
      <c r="AU42" s="57"/>
      <c r="AV42" s="57"/>
      <c r="AW42" s="57"/>
      <c r="AX42" s="57"/>
      <c r="AY42" s="57"/>
      <c r="AZ42" s="57"/>
      <c r="BA42" s="57"/>
      <c r="BB42" s="57"/>
      <c r="BC42" s="57"/>
      <c r="BD42" s="57" t="s">
        <v>2043</v>
      </c>
      <c r="BE42" s="57"/>
      <c r="BF42" s="57"/>
      <c r="BG42" s="57"/>
      <c r="BH42" s="57"/>
      <c r="BI42" s="57"/>
      <c r="BJ42" s="57"/>
      <c r="BK42" s="57"/>
      <c r="BL42" s="57"/>
      <c r="BM42" s="57"/>
      <c r="BN42" s="57"/>
      <c r="BO42" s="57"/>
      <c r="BP42" s="57"/>
      <c r="BQ42" s="57"/>
      <c r="BR42" s="57"/>
    </row>
    <row r="43" spans="1:71" ht="16.5" customHeight="1">
      <c r="A43" s="37" t="s">
        <v>1996</v>
      </c>
      <c r="B43" s="37" t="s">
        <v>1989</v>
      </c>
      <c r="C43" s="37" t="s">
        <v>1989</v>
      </c>
      <c r="D43" s="37" t="s">
        <v>1989</v>
      </c>
      <c r="E43" s="37" t="s">
        <v>1989</v>
      </c>
      <c r="F43" s="37" t="s">
        <v>1989</v>
      </c>
      <c r="G43" s="37" t="s">
        <v>2006</v>
      </c>
      <c r="M43" s="37" t="s">
        <v>2008</v>
      </c>
      <c r="N43" s="37" t="s">
        <v>1989</v>
      </c>
      <c r="O43" s="37" t="s">
        <v>1989</v>
      </c>
      <c r="P43" s="37" t="s">
        <v>2006</v>
      </c>
      <c r="V43" s="37" t="s">
        <v>1998</v>
      </c>
      <c r="W43" s="37" t="s">
        <v>2012</v>
      </c>
      <c r="X43" s="37" t="s">
        <v>2001</v>
      </c>
      <c r="Y43" s="37" t="s">
        <v>1990</v>
      </c>
      <c r="Z43" s="37" t="s">
        <v>1990</v>
      </c>
      <c r="AA43" s="37" t="s">
        <v>1990</v>
      </c>
      <c r="AB43" s="37" t="s">
        <v>1990</v>
      </c>
      <c r="AC43" s="37" t="s">
        <v>1990</v>
      </c>
      <c r="AD43" s="37" t="s">
        <v>2008</v>
      </c>
      <c r="AE43" s="37" t="s">
        <v>1989</v>
      </c>
      <c r="AF43" s="37" t="s">
        <v>1989</v>
      </c>
      <c r="AG43" s="37" t="s">
        <v>1989</v>
      </c>
      <c r="AH43" s="37" t="s">
        <v>1989</v>
      </c>
      <c r="AI43" s="37" t="s">
        <v>1989</v>
      </c>
      <c r="AJ43" s="37" t="s">
        <v>1989</v>
      </c>
      <c r="AK43" s="37" t="s">
        <v>2006</v>
      </c>
      <c r="AM43" s="37" t="s">
        <v>2041</v>
      </c>
      <c r="AO43" s="37" t="s">
        <v>2008</v>
      </c>
      <c r="AP43" s="37" t="s">
        <v>1989</v>
      </c>
      <c r="AQ43" s="37" t="s">
        <v>1989</v>
      </c>
      <c r="AR43" s="37" t="s">
        <v>1989</v>
      </c>
      <c r="AS43" s="37" t="s">
        <v>1989</v>
      </c>
      <c r="AT43" s="37" t="s">
        <v>1989</v>
      </c>
      <c r="BD43" s="58" t="s">
        <v>2044</v>
      </c>
    </row>
    <row r="44" spans="1:71" ht="16.5" customHeight="1">
      <c r="A44" s="37" t="s">
        <v>1996</v>
      </c>
      <c r="B44" s="37" t="s">
        <v>1989</v>
      </c>
      <c r="C44" s="37" t="s">
        <v>1989</v>
      </c>
      <c r="D44" s="37" t="s">
        <v>1989</v>
      </c>
      <c r="E44" s="37" t="s">
        <v>1989</v>
      </c>
      <c r="F44" s="37" t="s">
        <v>1989</v>
      </c>
      <c r="G44" s="37" t="s">
        <v>2002</v>
      </c>
      <c r="H44" s="37" t="s">
        <v>2001</v>
      </c>
      <c r="L44" s="37" t="s">
        <v>1998</v>
      </c>
      <c r="M44" s="37" t="s">
        <v>2002</v>
      </c>
      <c r="N44" s="37" t="s">
        <v>1989</v>
      </c>
      <c r="O44" s="37" t="s">
        <v>1989</v>
      </c>
      <c r="P44" s="37" t="s">
        <v>2006</v>
      </c>
      <c r="V44" s="37" t="s">
        <v>2008</v>
      </c>
      <c r="W44" s="37" t="s">
        <v>1996</v>
      </c>
      <c r="X44" s="37" t="s">
        <v>2006</v>
      </c>
      <c r="Y44" s="37" t="s">
        <v>1990</v>
      </c>
      <c r="Z44" s="37" t="s">
        <v>1990</v>
      </c>
      <c r="AA44" s="59">
        <v>12</v>
      </c>
      <c r="AB44" s="37" t="s">
        <v>1990</v>
      </c>
      <c r="AC44" s="37" t="s">
        <v>1990</v>
      </c>
      <c r="AD44" s="37" t="s">
        <v>2008</v>
      </c>
      <c r="AE44" s="37" t="s">
        <v>1989</v>
      </c>
      <c r="AF44" s="37" t="s">
        <v>1989</v>
      </c>
      <c r="AG44" s="37" t="s">
        <v>1989</v>
      </c>
      <c r="AH44" s="37" t="s">
        <v>1989</v>
      </c>
      <c r="AI44" s="37" t="s">
        <v>1989</v>
      </c>
      <c r="AJ44" s="37" t="s">
        <v>1989</v>
      </c>
      <c r="AK44" s="37" t="s">
        <v>2006</v>
      </c>
      <c r="AO44" s="37" t="s">
        <v>2008</v>
      </c>
      <c r="AP44" s="37" t="s">
        <v>1989</v>
      </c>
      <c r="AQ44" s="37" t="s">
        <v>1989</v>
      </c>
      <c r="AR44" s="37" t="s">
        <v>1989</v>
      </c>
      <c r="AS44" s="37" t="s">
        <v>1989</v>
      </c>
      <c r="AT44" s="37" t="s">
        <v>1989</v>
      </c>
    </row>
    <row r="45" spans="1:71" ht="16.5" customHeight="1">
      <c r="A45" s="37" t="s">
        <v>1996</v>
      </c>
      <c r="B45" s="37" t="s">
        <v>1989</v>
      </c>
      <c r="C45" s="37" t="s">
        <v>1989</v>
      </c>
      <c r="D45" s="37" t="s">
        <v>1989</v>
      </c>
      <c r="E45" s="37" t="s">
        <v>1989</v>
      </c>
      <c r="F45" s="37" t="s">
        <v>1989</v>
      </c>
      <c r="G45" s="37" t="s">
        <v>1989</v>
      </c>
      <c r="H45" s="37" t="s">
        <v>2002</v>
      </c>
      <c r="I45" s="37" t="s">
        <v>2012</v>
      </c>
      <c r="J45" s="37" t="s">
        <v>2012</v>
      </c>
      <c r="K45" s="37" t="s">
        <v>2012</v>
      </c>
      <c r="L45" s="37" t="s">
        <v>2002</v>
      </c>
      <c r="M45" s="37" t="s">
        <v>2002</v>
      </c>
      <c r="N45" s="37" t="s">
        <v>1989</v>
      </c>
      <c r="O45" s="37" t="s">
        <v>1989</v>
      </c>
      <c r="P45" s="37" t="s">
        <v>2002</v>
      </c>
      <c r="Q45" s="37" t="s">
        <v>2012</v>
      </c>
      <c r="R45" s="37" t="s">
        <v>2012</v>
      </c>
      <c r="S45" s="37" t="s">
        <v>2012</v>
      </c>
      <c r="T45" s="37" t="s">
        <v>2012</v>
      </c>
      <c r="U45" s="37" t="s">
        <v>2012</v>
      </c>
      <c r="V45" s="37" t="s">
        <v>2002</v>
      </c>
      <c r="W45" s="37" t="s">
        <v>1996</v>
      </c>
      <c r="X45" s="37" t="s">
        <v>2006</v>
      </c>
      <c r="Y45" s="37" t="s">
        <v>1990</v>
      </c>
      <c r="Z45" s="37" t="s">
        <v>1990</v>
      </c>
      <c r="AA45" s="37" t="s">
        <v>1990</v>
      </c>
      <c r="AB45" s="37" t="s">
        <v>1990</v>
      </c>
      <c r="AC45" s="37" t="s">
        <v>1998</v>
      </c>
      <c r="AD45" s="37" t="s">
        <v>2002</v>
      </c>
      <c r="AE45" s="37" t="s">
        <v>1989</v>
      </c>
      <c r="AF45" s="37" t="s">
        <v>1989</v>
      </c>
      <c r="AG45" s="37" t="s">
        <v>1989</v>
      </c>
      <c r="AH45" s="37" t="s">
        <v>1989</v>
      </c>
      <c r="AI45" s="37" t="s">
        <v>1989</v>
      </c>
      <c r="AJ45" s="37" t="s">
        <v>1989</v>
      </c>
      <c r="AK45" s="37" t="s">
        <v>2002</v>
      </c>
      <c r="AL45" s="37" t="s">
        <v>2012</v>
      </c>
      <c r="AM45" s="37" t="s">
        <v>2012</v>
      </c>
      <c r="AN45" s="37" t="s">
        <v>2012</v>
      </c>
      <c r="AO45" s="37" t="s">
        <v>2002</v>
      </c>
      <c r="AP45" s="37" t="s">
        <v>1989</v>
      </c>
      <c r="AQ45" s="37" t="s">
        <v>1989</v>
      </c>
      <c r="AR45" s="37" t="s">
        <v>1989</v>
      </c>
      <c r="AS45" s="37" t="s">
        <v>1989</v>
      </c>
      <c r="AT45" s="37" t="s">
        <v>1989</v>
      </c>
      <c r="BD45" s="57" t="s">
        <v>2045</v>
      </c>
    </row>
    <row r="46" spans="1:71" ht="16.5" customHeight="1">
      <c r="A46" s="37" t="s">
        <v>1996</v>
      </c>
      <c r="B46" s="37" t="s">
        <v>1989</v>
      </c>
      <c r="C46" s="37" t="s">
        <v>1989</v>
      </c>
      <c r="D46" s="37" t="s">
        <v>1989</v>
      </c>
      <c r="E46" s="37" t="s">
        <v>1989</v>
      </c>
      <c r="F46" s="37" t="s">
        <v>1989</v>
      </c>
      <c r="G46" s="37" t="s">
        <v>1989</v>
      </c>
      <c r="H46" s="37" t="s">
        <v>1989</v>
      </c>
      <c r="I46" s="37" t="s">
        <v>1989</v>
      </c>
      <c r="J46" s="37" t="s">
        <v>1989</v>
      </c>
      <c r="K46" s="37" t="s">
        <v>1989</v>
      </c>
      <c r="L46" s="37" t="s">
        <v>1989</v>
      </c>
      <c r="M46" s="37" t="s">
        <v>1989</v>
      </c>
      <c r="N46" s="37" t="s">
        <v>1989</v>
      </c>
      <c r="O46" s="37" t="s">
        <v>1989</v>
      </c>
      <c r="P46" s="37" t="s">
        <v>1989</v>
      </c>
      <c r="Q46" s="37" t="s">
        <v>1989</v>
      </c>
      <c r="R46" s="37" t="s">
        <v>1989</v>
      </c>
      <c r="S46" s="37" t="s">
        <v>1989</v>
      </c>
      <c r="T46" s="37" t="s">
        <v>1989</v>
      </c>
      <c r="U46" s="37" t="s">
        <v>1989</v>
      </c>
      <c r="V46" s="37" t="s">
        <v>1989</v>
      </c>
      <c r="W46" s="37" t="s">
        <v>1996</v>
      </c>
      <c r="X46" s="37" t="s">
        <v>2002</v>
      </c>
      <c r="Y46" s="37" t="s">
        <v>2001</v>
      </c>
      <c r="Z46" s="37" t="s">
        <v>1990</v>
      </c>
      <c r="AA46" s="37" t="s">
        <v>1990</v>
      </c>
      <c r="AB46" s="37" t="s">
        <v>1998</v>
      </c>
      <c r="AC46" s="37" t="s">
        <v>2002</v>
      </c>
      <c r="AD46" s="37" t="s">
        <v>1989</v>
      </c>
      <c r="AE46" s="37" t="s">
        <v>1989</v>
      </c>
      <c r="AF46" s="37" t="s">
        <v>1989</v>
      </c>
      <c r="AG46" s="37" t="s">
        <v>1989</v>
      </c>
      <c r="AH46" s="37" t="s">
        <v>1989</v>
      </c>
      <c r="AI46" s="37" t="s">
        <v>1989</v>
      </c>
      <c r="AJ46" s="37" t="s">
        <v>1989</v>
      </c>
      <c r="AK46" s="37" t="s">
        <v>1989</v>
      </c>
      <c r="AL46" s="37" t="s">
        <v>1989</v>
      </c>
      <c r="AM46" s="37" t="s">
        <v>1989</v>
      </c>
      <c r="AN46" s="37" t="s">
        <v>1989</v>
      </c>
      <c r="AO46" s="37" t="s">
        <v>1989</v>
      </c>
      <c r="AP46" s="37" t="s">
        <v>1989</v>
      </c>
      <c r="AQ46" s="37" t="s">
        <v>1989</v>
      </c>
      <c r="AR46" s="37" t="s">
        <v>1989</v>
      </c>
      <c r="AS46" s="37" t="s">
        <v>1989</v>
      </c>
      <c r="AT46" s="37" t="s">
        <v>1989</v>
      </c>
      <c r="BD46" s="58" t="s">
        <v>2046</v>
      </c>
    </row>
    <row r="47" spans="1:71" ht="16.5" customHeight="1">
      <c r="A47" s="37" t="s">
        <v>1996</v>
      </c>
      <c r="B47" s="37" t="s">
        <v>1989</v>
      </c>
      <c r="C47" s="37" t="s">
        <v>1989</v>
      </c>
      <c r="D47" s="37" t="s">
        <v>1989</v>
      </c>
      <c r="E47" s="37" t="s">
        <v>1989</v>
      </c>
      <c r="F47" s="37" t="s">
        <v>1989</v>
      </c>
      <c r="G47" s="37" t="s">
        <v>1989</v>
      </c>
      <c r="H47" s="37" t="s">
        <v>1989</v>
      </c>
      <c r="I47" s="37" t="s">
        <v>1989</v>
      </c>
      <c r="J47" s="37" t="s">
        <v>1989</v>
      </c>
      <c r="K47" s="37" t="s">
        <v>1989</v>
      </c>
      <c r="L47" s="37" t="s">
        <v>1989</v>
      </c>
      <c r="M47" s="37" t="s">
        <v>1989</v>
      </c>
      <c r="N47" s="37" t="s">
        <v>1989</v>
      </c>
      <c r="O47" s="37" t="s">
        <v>1989</v>
      </c>
      <c r="P47" s="37" t="s">
        <v>1989</v>
      </c>
      <c r="Q47" s="37" t="s">
        <v>1989</v>
      </c>
      <c r="R47" s="37" t="s">
        <v>1989</v>
      </c>
      <c r="S47" s="37" t="s">
        <v>1989</v>
      </c>
      <c r="T47" s="37" t="s">
        <v>1989</v>
      </c>
      <c r="U47" s="37" t="s">
        <v>1989</v>
      </c>
      <c r="V47" s="37" t="s">
        <v>1989</v>
      </c>
      <c r="W47" s="37" t="s">
        <v>1989</v>
      </c>
      <c r="X47" s="37" t="s">
        <v>1989</v>
      </c>
      <c r="Y47" s="37" t="s">
        <v>2004</v>
      </c>
      <c r="Z47" s="37" t="s">
        <v>2007</v>
      </c>
      <c r="AA47" s="37" t="s">
        <v>1990</v>
      </c>
      <c r="AB47" s="37" t="s">
        <v>2013</v>
      </c>
      <c r="AC47" s="37" t="s">
        <v>1989</v>
      </c>
      <c r="AD47" s="37" t="s">
        <v>1989</v>
      </c>
      <c r="AE47" s="37" t="s">
        <v>1989</v>
      </c>
      <c r="AF47" s="37" t="s">
        <v>1989</v>
      </c>
      <c r="AG47" s="37" t="s">
        <v>1989</v>
      </c>
      <c r="AH47" s="37" t="s">
        <v>1989</v>
      </c>
      <c r="AI47" s="37" t="s">
        <v>1989</v>
      </c>
      <c r="AJ47" s="37" t="s">
        <v>1989</v>
      </c>
      <c r="AK47" s="37" t="s">
        <v>1989</v>
      </c>
      <c r="AL47" s="37" t="s">
        <v>1989</v>
      </c>
      <c r="AM47" s="37" t="s">
        <v>1989</v>
      </c>
      <c r="AN47" s="37" t="s">
        <v>1989</v>
      </c>
      <c r="AO47" s="37" t="s">
        <v>1989</v>
      </c>
      <c r="AP47" s="37" t="s">
        <v>1989</v>
      </c>
      <c r="AQ47" s="37" t="s">
        <v>1989</v>
      </c>
      <c r="AR47" s="37" t="s">
        <v>1989</v>
      </c>
      <c r="AS47" s="37" t="s">
        <v>1989</v>
      </c>
      <c r="AT47" s="37" t="s">
        <v>1989</v>
      </c>
    </row>
    <row r="48" spans="1:71" ht="16.5" customHeight="1">
      <c r="A48" s="37" t="s">
        <v>1996</v>
      </c>
      <c r="B48" s="37" t="s">
        <v>1989</v>
      </c>
      <c r="C48" s="37" t="s">
        <v>1989</v>
      </c>
      <c r="D48" s="37" t="s">
        <v>1989</v>
      </c>
      <c r="E48" s="37" t="s">
        <v>1989</v>
      </c>
      <c r="F48" s="37" t="s">
        <v>1989</v>
      </c>
      <c r="G48" s="37" t="s">
        <v>1989</v>
      </c>
      <c r="H48" s="37" t="s">
        <v>1989</v>
      </c>
      <c r="I48" s="37" t="s">
        <v>1989</v>
      </c>
      <c r="J48" s="37" t="s">
        <v>1989</v>
      </c>
      <c r="K48" s="37" t="s">
        <v>1989</v>
      </c>
      <c r="L48" s="37" t="s">
        <v>1989</v>
      </c>
      <c r="M48" s="37" t="s">
        <v>1989</v>
      </c>
      <c r="N48" s="37" t="s">
        <v>1989</v>
      </c>
      <c r="O48" s="37" t="s">
        <v>1989</v>
      </c>
      <c r="P48" s="37" t="s">
        <v>1989</v>
      </c>
      <c r="Q48" s="37" t="s">
        <v>1989</v>
      </c>
      <c r="R48" s="37" t="s">
        <v>1989</v>
      </c>
      <c r="S48" s="37" t="s">
        <v>1989</v>
      </c>
      <c r="T48" s="37" t="s">
        <v>1989</v>
      </c>
      <c r="U48" s="37" t="s">
        <v>1989</v>
      </c>
      <c r="V48" s="37" t="s">
        <v>1989</v>
      </c>
      <c r="W48" s="37" t="s">
        <v>1989</v>
      </c>
      <c r="X48" s="37" t="s">
        <v>1989</v>
      </c>
      <c r="Y48" s="37" t="s">
        <v>1989</v>
      </c>
      <c r="Z48" s="37" t="s">
        <v>1989</v>
      </c>
      <c r="AA48" s="37" t="s">
        <v>1990</v>
      </c>
      <c r="AB48" s="37" t="s">
        <v>1989</v>
      </c>
      <c r="AC48" s="37" t="s">
        <v>1989</v>
      </c>
      <c r="AD48" s="37" t="s">
        <v>1989</v>
      </c>
      <c r="AE48" s="37" t="s">
        <v>1989</v>
      </c>
      <c r="AF48" s="37" t="s">
        <v>1989</v>
      </c>
      <c r="AG48" s="37" t="s">
        <v>1989</v>
      </c>
      <c r="AH48" s="37" t="s">
        <v>1989</v>
      </c>
      <c r="AI48" s="37" t="s">
        <v>1989</v>
      </c>
      <c r="AJ48" s="37" t="s">
        <v>1989</v>
      </c>
      <c r="AK48" s="37" t="s">
        <v>1989</v>
      </c>
      <c r="AL48" s="37" t="s">
        <v>1989</v>
      </c>
      <c r="AM48" s="37" t="s">
        <v>1989</v>
      </c>
      <c r="AN48" s="37" t="s">
        <v>1989</v>
      </c>
      <c r="AO48" s="37" t="s">
        <v>1989</v>
      </c>
      <c r="AP48" s="37" t="s">
        <v>1989</v>
      </c>
      <c r="AQ48" s="37" t="s">
        <v>1989</v>
      </c>
      <c r="AR48" s="37" t="s">
        <v>1989</v>
      </c>
      <c r="AS48" s="37" t="s">
        <v>1989</v>
      </c>
      <c r="AT48" s="37" t="s">
        <v>1989</v>
      </c>
    </row>
    <row r="49" spans="27:27" ht="16.5" customHeight="1">
      <c r="AA49" s="37" t="s">
        <v>1990</v>
      </c>
    </row>
  </sheetData>
  <conditionalFormatting sqref="W31:W37 P21:W30 T31:V31 V32:V34">
    <cfRule type="cellIs" dxfId="92" priority="82" operator="between">
      <formula>1</formula>
      <formula>100</formula>
    </cfRule>
  </conditionalFormatting>
  <conditionalFormatting sqref="W31:W37 P21:W30 T31:V31 V32:V34">
    <cfRule type="cellIs" dxfId="91" priority="78" operator="equal">
      <formula>4</formula>
    </cfRule>
  </conditionalFormatting>
  <conditionalFormatting sqref="W31:W37 P21:W30 T31:V31 V32:V34">
    <cfRule type="cellIs" dxfId="90" priority="81" operator="equal">
      <formula>1</formula>
    </cfRule>
  </conditionalFormatting>
  <conditionalFormatting sqref="W31:W37 P21:W30 T31:V31 V32:V34">
    <cfRule type="cellIs" dxfId="89" priority="80" operator="equal">
      <formula>2</formula>
    </cfRule>
  </conditionalFormatting>
  <conditionalFormatting sqref="W31:W37 P21:W30 T31:V31 V32:V34">
    <cfRule type="cellIs" dxfId="88" priority="76" operator="equal">
      <formula>7</formula>
    </cfRule>
  </conditionalFormatting>
  <conditionalFormatting sqref="W31:W37 P21:W30 T31:V31 V32:V34">
    <cfRule type="cellIs" dxfId="87" priority="75" operator="equal">
      <formula>8</formula>
    </cfRule>
  </conditionalFormatting>
  <conditionalFormatting sqref="W31:W37 P21:W30 T31:V31 V32:V34">
    <cfRule type="cellIs" dxfId="86" priority="77" operator="equal">
      <formula>6</formula>
    </cfRule>
  </conditionalFormatting>
  <conditionalFormatting sqref="W31:W37 P21:W30 T31:V31 V32:V34">
    <cfRule type="cellIs" dxfId="85" priority="79" operator="equal">
      <formula>3</formula>
    </cfRule>
  </conditionalFormatting>
  <conditionalFormatting sqref="W31:W37 P21:W30 T31:V31 V32:V34">
    <cfRule type="cellIs" dxfId="84" priority="74" operator="equal">
      <formula>9</formula>
    </cfRule>
  </conditionalFormatting>
  <conditionalFormatting sqref="W31:W37 P21:W30 T31:V31 V32:V34">
    <cfRule type="cellIs" dxfId="83" priority="73" operator="equal">
      <formula>11</formula>
    </cfRule>
  </conditionalFormatting>
  <conditionalFormatting sqref="W31:W37 P21:W30 T31:V31 V32:V34">
    <cfRule type="cellIs" dxfId="82" priority="72" operator="equal">
      <formula>12</formula>
    </cfRule>
  </conditionalFormatting>
  <conditionalFormatting sqref="W31:W37 P21:W30 T31:V31 V32:V34">
    <cfRule type="cellIs" dxfId="81" priority="71" operator="equal">
      <formula>13</formula>
    </cfRule>
  </conditionalFormatting>
  <conditionalFormatting sqref="W31:W37 P21:W30 T31:V31 V32:V34">
    <cfRule type="cellIs" dxfId="80" priority="70" operator="equal">
      <formula>14</formula>
    </cfRule>
  </conditionalFormatting>
  <conditionalFormatting sqref="W31:W37 P21:W30 T31:V31 V32:V34">
    <cfRule type="cellIs" dxfId="79" priority="69" operator="equal">
      <formula>15</formula>
    </cfRule>
  </conditionalFormatting>
  <conditionalFormatting sqref="W31:W37 P21:W30 T31:V31 V32:V34">
    <cfRule type="cellIs" dxfId="78" priority="68" operator="equal">
      <formula>16</formula>
    </cfRule>
  </conditionalFormatting>
  <conditionalFormatting sqref="W31:W37 P21:W30 T31:V31 V32:V34">
    <cfRule type="cellIs" dxfId="77" priority="67" operator="equal">
      <formula>17</formula>
    </cfRule>
  </conditionalFormatting>
  <conditionalFormatting sqref="BP37:XFD37 BP35:XFD35 BN37 BP7:XFD7 A36:XFD36 A35:BN35 A1:XFD6 A8:XFD34 A7:BN7 A37:BL37 A38:XFD1048576">
    <cfRule type="cellIs" dxfId="76" priority="66" operator="equal">
      <formula>"F"</formula>
    </cfRule>
  </conditionalFormatting>
  <conditionalFormatting sqref="BP37:XFD37 BP35:XFD35 BN37 BP7:XFD7 A36:XFD36 A35:BN35 A1:XFD6 A8:XFD34 A7:BN7 A37:BL37 A38:XFD1048576">
    <cfRule type="cellIs" dxfId="75" priority="65" operator="equal">
      <formula>"T"</formula>
    </cfRule>
  </conditionalFormatting>
  <conditionalFormatting sqref="BP37:XFD37 BP35:XFD35 BN37 BP7:XFD7 A36:XFD36 A35:BN35 A1:XFD6 A8:XFD34 A7:BN7 A37:BL37 A38:XFD1048576">
    <cfRule type="cellIs" dxfId="74" priority="64" operator="equal">
      <formula>"B"</formula>
    </cfRule>
  </conditionalFormatting>
  <conditionalFormatting sqref="BP37:XFD37 BP35:XFD35 BN37 BP7:XFD7 A36:XFD36 A35:BN35 A1:XFD6 A8:XFD34 A7:BN7 A37:BL37 A38:XFD1048576">
    <cfRule type="cellIs" dxfId="73" priority="63" operator="equal">
      <formula>"L"</formula>
    </cfRule>
  </conditionalFormatting>
  <conditionalFormatting sqref="BP37:XFD37 BP35:XFD35 BN37 BP7:XFD7 A36:XFD36 A35:BN35 A1:XFD6 A8:XFD34 A7:BN7 A37:BL37 A38:XFD1048576">
    <cfRule type="cellIs" dxfId="72" priority="62" operator="equal">
      <formula>"R"</formula>
    </cfRule>
  </conditionalFormatting>
  <conditionalFormatting sqref="BP37:XFD37 BP35:XFD35 BN37 BP7:XFD7 A36:XFD36 A35:BN35 A1:XFD6 A8:XFD34 A7:BN7 A37:BL37 A38:XFD1048576">
    <cfRule type="cellIs" dxfId="71" priority="61" operator="equal">
      <formula>"C1"</formula>
    </cfRule>
  </conditionalFormatting>
  <conditionalFormatting sqref="BP37:XFD37 BP35:XFD35 BN37 BP7:XFD7 A36:XFD36 A35:BN35 A1:XFD6 A8:XFD34 A7:BN7 A37:BL37 A38:XFD1048576">
    <cfRule type="cellIs" dxfId="70" priority="60" operator="equal">
      <formula>"C2"</formula>
    </cfRule>
  </conditionalFormatting>
  <conditionalFormatting sqref="BP37:XFD37 BP35:XFD35 BN37 BP7:XFD7 A36:XFD36 A35:BN35 A1:XFD6 A8:XFD34 A7:BN7 A37:BL37 A38:XFD1048576">
    <cfRule type="cellIs" dxfId="69" priority="59" operator="equal">
      <formula>"C3"</formula>
    </cfRule>
  </conditionalFormatting>
  <conditionalFormatting sqref="BP37:XFD37 BP35:XFD35 BN37 BP7:XFD7 A36:XFD36 A35:BN35 A1:XFD6 A8:XFD34 A7:BN7 A37:BL37 A38:XFD1048576">
    <cfRule type="cellIs" dxfId="68" priority="58" operator="equal">
      <formula>"C4"</formula>
    </cfRule>
  </conditionalFormatting>
  <conditionalFormatting sqref="BP37:XFD37 BP35:XFD35 BN37 BP7:XFD7 A36:XFD36 A35:BN35 A1:XFD6 A8:XFD34 A7:BN7 A37:BL37 A38:XFD1048576">
    <cfRule type="cellIs" dxfId="67" priority="57" operator="equal">
      <formula>"V"</formula>
    </cfRule>
  </conditionalFormatting>
  <conditionalFormatting sqref="BP37:XFD37 BP35:XFD35 BN37 BP7:XFD7 A36:XFD36 A35:BN35 A1:XFD6 A8:XFD34 A7:BN7 A37:BL37 A38:XFD1048576">
    <cfRule type="cellIs" dxfId="66" priority="56" operator="equal">
      <formula>"LR"</formula>
    </cfRule>
  </conditionalFormatting>
  <conditionalFormatting sqref="BP37:XFD37 BP35:XFD35 BN37 BP7:XFD7 A36:XFD36 A35:BN35 A1:XFD6 A8:XFD34 A7:BN7 A37:BL37 A38:XFD1048576">
    <cfRule type="cellIs" dxfId="65" priority="55" operator="equal">
      <formula>"H"</formula>
    </cfRule>
  </conditionalFormatting>
  <conditionalFormatting sqref="BP37:XFD37 BP35:XFD35 BN37 BP7:XFD7 A36:XFD36 A35:BN35 A1:XFD6 A8:XFD34 A7:BN7 A37:BL37 A38:XFD1048576">
    <cfRule type="cellIs" dxfId="64" priority="54" operator="equal">
      <formula>"TB"</formula>
    </cfRule>
  </conditionalFormatting>
  <conditionalFormatting sqref="BP37:XFD37 BP35:XFD35 BN37 BP7:XFD7 A36:XFD36 A35:BN35 A1:XFD6 A8:XFD34 A7:BN7 A37:BL37 A38:XFD1048576">
    <cfRule type="cellIs" dxfId="63" priority="53" operator="equal">
      <formula>"N"</formula>
    </cfRule>
  </conditionalFormatting>
  <conditionalFormatting sqref="BP37:XFD37 BP35:XFD35 BN37 BP7:XFD7 A36:XFD36 A35:BN35 A1:XFD6 A8:XFD34 A7:BN7 A37:BL37 A38:XFD1048576">
    <cfRule type="cellIs" dxfId="62" priority="52" operator="equal">
      <formula>"U"</formula>
    </cfRule>
  </conditionalFormatting>
  <conditionalFormatting sqref="BP37:XFD37 BP35:XFD35 BN37 BP7:XFD7 A36:XFD36 A35:BN35 A1:XFD6 A8:XFD34 A7:BN7 A37:BL37 A38:XFD1048576">
    <cfRule type="cellIs" dxfId="61" priority="51" operator="equal">
      <formula>"C"</formula>
    </cfRule>
  </conditionalFormatting>
  <conditionalFormatting sqref="BP37:XFD37 BP35:XFD35 BN37 BP7:XFD7 A36:XFD36 A35:BN35 A1:XFD6 A8:XFD34 A7:BN7 A37:BL37 A38:XFD1048576">
    <cfRule type="cellIs" dxfId="60" priority="50" operator="equal">
      <formula>"D"</formula>
    </cfRule>
  </conditionalFormatting>
  <conditionalFormatting sqref="BP37:XFD37 BP35:XFD35 BN37 BP7:XFD7 A36:XFD36 A35:BN35 A1:XFD6 A8:XFD34 A7:BN7 A37:BL37 A38:XFD1048576">
    <cfRule type="cellIs" dxfId="59" priority="49" operator="equal">
      <formula>"S"</formula>
    </cfRule>
  </conditionalFormatting>
  <conditionalFormatting sqref="BP37:XFD37 BP35:XFD35 BN37 BP7:XFD7 A36:XFD36 A35:BN35 A1:XFD6 A8:XFD34 A7:BN7 A37:BL37 A38:XFD1048576">
    <cfRule type="cellIs" dxfId="58" priority="48" operator="equal">
      <formula>"TL"</formula>
    </cfRule>
  </conditionalFormatting>
  <conditionalFormatting sqref="BP37:XFD37 BP35:XFD35 BN37 BP7:XFD7 A36:XFD36 A35:BN35 A1:XFD6 A8:XFD34 A7:BN7 A37:BL37 A38:XFD1048576">
    <cfRule type="cellIs" dxfId="57" priority="47" operator="equal">
      <formula>"TR"</formula>
    </cfRule>
  </conditionalFormatting>
  <conditionalFormatting sqref="BP37:XFD37 BP35:XFD35 BN37 BP7:XFD7 A36:XFD36 A35:BN35 A1:XFD6 A8:XFD34 A7:BN7 A37:BL37 A38:XFD1048576">
    <cfRule type="cellIs" dxfId="56" priority="46" operator="equal">
      <formula>"BR"</formula>
    </cfRule>
  </conditionalFormatting>
  <conditionalFormatting sqref="BP37:XFD37 BP35:XFD35 BN37 BP7:XFD7 A36:XFD36 A35:BN35 A1:XFD6 A8:XFD34 A7:BN7 A37:BL37 A38:XFD1048576">
    <cfRule type="cellIs" dxfId="55" priority="45" operator="equal">
      <formula>"BL"</formula>
    </cfRule>
  </conditionalFormatting>
  <conditionalFormatting sqref="BP37:XFD37 BP35:XFD35 BN37 BP7:XFD7 A36:XFD36 A35:BN35 A1:XFD6 A8:XFD34 A7:BN7 A37:BL37 A38:XFD1048576">
    <cfRule type="cellIs" dxfId="54" priority="44" operator="equal">
      <formula>"LT"</formula>
    </cfRule>
  </conditionalFormatting>
  <conditionalFormatting sqref="BP37:XFD37 BP35:XFD35 BN37 BP7:XFD7 A36:XFD36 A35:BN35 A1:XFD6 A8:XFD34 A7:BN7 A37:BL37 A38:XFD1048576">
    <cfRule type="cellIs" dxfId="53" priority="43" operator="equal">
      <formula>"RT"</formula>
    </cfRule>
  </conditionalFormatting>
  <conditionalFormatting sqref="BP37:XFD37 BP35:XFD35 BN37 BP7:XFD7 A36:XFD36 A35:BN35 A1:XFD6 A8:XFD34 A7:BN7 A37:BL37 A38:XFD1048576">
    <cfRule type="cellIs" dxfId="52" priority="42" operator="equal">
      <formula>"RB"</formula>
    </cfRule>
  </conditionalFormatting>
  <conditionalFormatting sqref="BP37:XFD37 BP35:XFD35 BN37 BP7:XFD7 A36:XFD36 A35:BN35 A1:XFD6 A8:XFD34 A7:BN7 A37:BL37 A38:XFD1048576">
    <cfRule type="cellIs" dxfId="51" priority="41" operator="equal">
      <formula>"LB"</formula>
    </cfRule>
  </conditionalFormatting>
  <conditionalFormatting sqref="BP37:XFD37 BP35:XFD35 BN37 BP7:XFD7 A36:XFD36 A35:BN35 A1:XFD6 A8:XFD34 A7:BN7 A37:BL37 A38:XFD1048576">
    <cfRule type="cellIs" dxfId="50" priority="40" operator="equal">
      <formula>"RL"</formula>
    </cfRule>
  </conditionalFormatting>
  <conditionalFormatting sqref="BP37:XFD37 BP35:XFD35 BN37 BP7:XFD7 A36:XFD36 A35:BN35 A1:XFD6 A8:XFD34 A7:BN7 A37:BL37 A38:XFD1048576">
    <cfRule type="cellIs" dxfId="49" priority="39" operator="equal">
      <formula>"BT"</formula>
    </cfRule>
  </conditionalFormatting>
  <conditionalFormatting sqref="BP37:XFD37 BP35:XFD35 BN37 BP7:XFD7 A36:XFD36 A35:BN35 A1:XFD6 A8:XFD34 A7:BN7 A37:BL37 A38:XFD1048576">
    <cfRule type="cellIs" dxfId="48" priority="38" operator="equal">
      <formula>"["</formula>
    </cfRule>
  </conditionalFormatting>
  <conditionalFormatting sqref="BP37:XFD37 BP35:XFD35 BN37 BP7:XFD7 A36:XFD36 A35:BN35 A1:XFD6 A8:XFD34 A7:BN7 A37:BL37 A38:XFD1048576">
    <cfRule type="cellIs" dxfId="47" priority="37" operator="equal">
      <formula>"]"</formula>
    </cfRule>
  </conditionalFormatting>
  <conditionalFormatting sqref="BP37:XFD37 BP35:XFD35 BN37 BP7:XFD7 A36:XFD36 A35:BN35 A1:XFD6 A8:XFD34 A7:BN7 A37:BL37 A38:XFD1048576">
    <cfRule type="cellIs" dxfId="46" priority="36" operator="equal">
      <formula>"W"</formula>
    </cfRule>
  </conditionalFormatting>
  <conditionalFormatting sqref="BP37:XFD37 BP35:XFD35 BN37 BP7:XFD7 A36:XFD36 A35:BN35 A1:XFD6 A8:XFD34 A7:BN7 A37:BL37 A38:XFD1048576">
    <cfRule type="cellIs" dxfId="45" priority="3" operator="equal">
      <formula>"$"</formula>
    </cfRule>
  </conditionalFormatting>
  <conditionalFormatting sqref="BP37:XFD37 BP35:XFD35 BN37 BP7:XFD7 A36:XFD36 A35:BN35 A1:XFD6 A8:XFD34 A7:BN7 A37:BL37 A38:XFD1048576">
    <cfRule type="cellIs" dxfId="44" priority="2" operator="equal">
      <formula>"G"</formula>
    </cfRule>
  </conditionalFormatting>
  <conditionalFormatting sqref="BP37:XFD37 BP35:XFD35 BN37 BP7:XFD7 A36:XFD36 A35:BN35 A1:XFD6 A8:XFD34 A7:BN7 A37:BL37 A38:XFD1048576">
    <cfRule type="cellIs" dxfId="43" priority="1" operator="equal">
      <formula>"^"</formula>
    </cfRule>
  </conditionalFormatting>
  <hyperlinks>
    <hyperlink ref="BD43" r:id="rId1" xr:uid="{4BB8793C-9EFE-4CFA-BEA1-067347CCAAAE}"/>
    <hyperlink ref="BD46" r:id="rId2" xr:uid="{E35E8ED5-FEA6-4A03-A316-7A0CA2DD3FA2}"/>
  </hyperlinks>
  <pageMargins left="0.7" right="0.7" top="0.75" bottom="0.75" header="0.3" footer="0.3"/>
  <pageSetup paperSize="9" scale="38" orientation="portrait" horizontalDpi="300" verticalDpi="300" r:id="rId3"/>
  <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4E7BF-7367-43D7-9212-340AC90E51DC}">
  <sheetPr codeName="Аркуш34"/>
  <dimension ref="S1:AC23"/>
  <sheetViews>
    <sheetView zoomScale="140" zoomScaleNormal="140" workbookViewId="0">
      <selection activeCell="Q20" sqref="Q20"/>
    </sheetView>
  </sheetViews>
  <sheetFormatPr defaultColWidth="2.88671875" defaultRowHeight="15" customHeight="1"/>
  <cols>
    <col min="1" max="16384" width="2.88671875" style="37"/>
  </cols>
  <sheetData>
    <row r="1" spans="19:29" ht="15" customHeight="1">
      <c r="S1" s="3949" t="s">
        <v>2078</v>
      </c>
      <c r="T1" s="3949"/>
      <c r="U1" s="3949"/>
      <c r="V1" s="3949"/>
      <c r="W1" s="3949"/>
      <c r="X1" s="3949"/>
      <c r="Y1" s="3949"/>
      <c r="Z1" s="3949"/>
      <c r="AA1" s="3949"/>
      <c r="AB1" s="3949"/>
      <c r="AC1" s="3949"/>
    </row>
    <row r="2" spans="19:29" ht="15" customHeight="1">
      <c r="S2" s="3949"/>
      <c r="T2" s="3949"/>
      <c r="U2" s="3949"/>
      <c r="V2" s="3949"/>
      <c r="W2" s="3949"/>
      <c r="X2" s="3949"/>
      <c r="Y2" s="3949"/>
      <c r="Z2" s="3949"/>
      <c r="AA2" s="3949"/>
      <c r="AB2" s="3949"/>
      <c r="AC2" s="3949"/>
    </row>
    <row r="21" spans="19:19" ht="15" customHeight="1">
      <c r="S21" s="49"/>
    </row>
    <row r="23" spans="19:19" ht="15" customHeight="1">
      <c r="S23" s="49" t="s">
        <v>2047</v>
      </c>
    </row>
  </sheetData>
  <mergeCells count="1">
    <mergeCell ref="S1:AC2"/>
  </mergeCells>
  <conditionalFormatting sqref="S21 A24:XFD1048576 A16:R23 T16:XFD23 S23 A3:XFD15 A2:R2 A1:S1 AD1:XFD2">
    <cfRule type="cellIs" dxfId="42" priority="33" operator="equal">
      <formula>"F"</formula>
    </cfRule>
  </conditionalFormatting>
  <conditionalFormatting sqref="S21 A24:XFD1048576 A16:R23 T16:XFD23 S23 A3:XFD15 A2:R2 A1:S1 AD1:XFD2">
    <cfRule type="cellIs" dxfId="41" priority="32" operator="equal">
      <formula>"T"</formula>
    </cfRule>
  </conditionalFormatting>
  <conditionalFormatting sqref="S21 A24:XFD1048576 A16:R23 T16:XFD23 S23 A3:XFD15 A2:R2 A1:S1 AD1:XFD2">
    <cfRule type="cellIs" dxfId="40" priority="31" operator="equal">
      <formula>"B"</formula>
    </cfRule>
  </conditionalFormatting>
  <conditionalFormatting sqref="S21 A24:XFD1048576 A16:R23 T16:XFD23 S23 A3:XFD15 A2:R2 A1:S1 AD1:XFD2">
    <cfRule type="cellIs" dxfId="39" priority="30" operator="equal">
      <formula>"L"</formula>
    </cfRule>
  </conditionalFormatting>
  <conditionalFormatting sqref="S21 A24:XFD1048576 A16:R23 T16:XFD23 S23 A3:XFD15 A2:R2 A1:S1 AD1:XFD2">
    <cfRule type="cellIs" dxfId="38" priority="29" operator="equal">
      <formula>"R"</formula>
    </cfRule>
  </conditionalFormatting>
  <conditionalFormatting sqref="S21 A24:XFD1048576 A16:R23 T16:XFD23 S23 A3:XFD15 A2:R2 A1:S1 AD1:XFD2">
    <cfRule type="cellIs" dxfId="37" priority="28" operator="equal">
      <formula>"C1"</formula>
    </cfRule>
  </conditionalFormatting>
  <conditionalFormatting sqref="S21 A24:XFD1048576 A16:R23 T16:XFD23 S23 A3:XFD15 A2:R2 A1:S1 AD1:XFD2">
    <cfRule type="cellIs" dxfId="36" priority="27" operator="equal">
      <formula>"C2"</formula>
    </cfRule>
  </conditionalFormatting>
  <conditionalFormatting sqref="S21 A24:XFD1048576 A16:R23 T16:XFD23 S23 A3:XFD15 A2:R2 A1:S1 AD1:XFD2">
    <cfRule type="cellIs" dxfId="35" priority="26" operator="equal">
      <formula>"C3"</formula>
    </cfRule>
  </conditionalFormatting>
  <conditionalFormatting sqref="S21 A24:XFD1048576 A16:R23 T16:XFD23 S23 A3:XFD15 A2:R2 A1:S1 AD1:XFD2">
    <cfRule type="cellIs" dxfId="34" priority="25" operator="equal">
      <formula>"C4"</formula>
    </cfRule>
  </conditionalFormatting>
  <conditionalFormatting sqref="S21 A24:XFD1048576 A16:R23 T16:XFD23 S23 A3:XFD15 A2:R2 A1:S1 AD1:XFD2">
    <cfRule type="cellIs" dxfId="33" priority="24" operator="equal">
      <formula>"V"</formula>
    </cfRule>
  </conditionalFormatting>
  <conditionalFormatting sqref="S21 A24:XFD1048576 A16:R23 T16:XFD23 S23 A3:XFD15 A2:R2 A1:S1 AD1:XFD2">
    <cfRule type="cellIs" dxfId="32" priority="23" operator="equal">
      <formula>"LR"</formula>
    </cfRule>
  </conditionalFormatting>
  <conditionalFormatting sqref="S21 A24:XFD1048576 A16:R23 T16:XFD23 S23 A3:XFD15 A2:R2 A1:S1 AD1:XFD2">
    <cfRule type="cellIs" dxfId="31" priority="22" operator="equal">
      <formula>"H"</formula>
    </cfRule>
  </conditionalFormatting>
  <conditionalFormatting sqref="S21 A24:XFD1048576 A16:R23 T16:XFD23 S23 A3:XFD15 A2:R2 A1:S1 AD1:XFD2">
    <cfRule type="cellIs" dxfId="30" priority="21" operator="equal">
      <formula>"TB"</formula>
    </cfRule>
  </conditionalFormatting>
  <conditionalFormatting sqref="S21 A24:XFD1048576 A16:R23 T16:XFD23 S23 A3:XFD15 A2:R2 A1:S1 AD1:XFD2">
    <cfRule type="cellIs" dxfId="29" priority="20" operator="equal">
      <formula>"N"</formula>
    </cfRule>
  </conditionalFormatting>
  <conditionalFormatting sqref="S21 A24:XFD1048576 A16:R23 T16:XFD23 S23 A3:XFD15 A2:R2 A1:S1 AD1:XFD2">
    <cfRule type="cellIs" dxfId="28" priority="19" operator="equal">
      <formula>"U"</formula>
    </cfRule>
  </conditionalFormatting>
  <conditionalFormatting sqref="S21 A24:XFD1048576 A16:R23 T16:XFD23 S23 A3:XFD15 A2:R2 A1:S1 AD1:XFD2">
    <cfRule type="cellIs" dxfId="27" priority="18" operator="equal">
      <formula>"C"</formula>
    </cfRule>
  </conditionalFormatting>
  <conditionalFormatting sqref="S21 A24:XFD1048576 A16:R23 T16:XFD23 S23 A3:XFD15 A2:R2 A1:S1 AD1:XFD2">
    <cfRule type="cellIs" dxfId="26" priority="17" operator="equal">
      <formula>"D"</formula>
    </cfRule>
  </conditionalFormatting>
  <conditionalFormatting sqref="S21 A24:XFD1048576 A16:R23 T16:XFD23 S23 A3:XFD15 A2:R2 A1:S1 AD1:XFD2">
    <cfRule type="cellIs" dxfId="25" priority="16" operator="equal">
      <formula>"S"</formula>
    </cfRule>
  </conditionalFormatting>
  <conditionalFormatting sqref="S21 A24:XFD1048576 A16:R23 T16:XFD23 S23 A3:XFD15 A2:R2 A1:S1 AD1:XFD2">
    <cfRule type="cellIs" dxfId="24" priority="15" operator="equal">
      <formula>"TL"</formula>
    </cfRule>
  </conditionalFormatting>
  <conditionalFormatting sqref="S21 A24:XFD1048576 A16:R23 T16:XFD23 S23 A3:XFD15 A2:R2 A1:S1 AD1:XFD2">
    <cfRule type="cellIs" dxfId="23" priority="14" operator="equal">
      <formula>"TR"</formula>
    </cfRule>
  </conditionalFormatting>
  <conditionalFormatting sqref="S21 A24:XFD1048576 A16:R23 T16:XFD23 S23 A3:XFD15 A2:R2 A1:S1 AD1:XFD2">
    <cfRule type="cellIs" dxfId="22" priority="13" operator="equal">
      <formula>"BR"</formula>
    </cfRule>
  </conditionalFormatting>
  <conditionalFormatting sqref="S21 A24:XFD1048576 A16:R23 T16:XFD23 S23 A3:XFD15 A2:R2 A1:S1 AD1:XFD2">
    <cfRule type="cellIs" dxfId="21" priority="12" operator="equal">
      <formula>"BL"</formula>
    </cfRule>
  </conditionalFormatting>
  <conditionalFormatting sqref="S21 A24:XFD1048576 A16:R23 T16:XFD23 S23 A3:XFD15 A2:R2 A1:S1 AD1:XFD2">
    <cfRule type="cellIs" dxfId="20" priority="11" operator="equal">
      <formula>"LT"</formula>
    </cfRule>
  </conditionalFormatting>
  <conditionalFormatting sqref="S21 A24:XFD1048576 A16:R23 T16:XFD23 S23 A3:XFD15 A2:R2 A1:S1 AD1:XFD2">
    <cfRule type="cellIs" dxfId="19" priority="10" operator="equal">
      <formula>"RT"</formula>
    </cfRule>
  </conditionalFormatting>
  <conditionalFormatting sqref="S21 A24:XFD1048576 A16:R23 T16:XFD23 S23 A3:XFD15 A2:R2 A1:S1 AD1:XFD2">
    <cfRule type="cellIs" dxfId="18" priority="9" operator="equal">
      <formula>"RB"</formula>
    </cfRule>
  </conditionalFormatting>
  <conditionalFormatting sqref="S21 A24:XFD1048576 A16:R23 T16:XFD23 S23 A3:XFD15 A2:R2 A1:S1 AD1:XFD2">
    <cfRule type="cellIs" dxfId="17" priority="8" operator="equal">
      <formula>"LB"</formula>
    </cfRule>
  </conditionalFormatting>
  <conditionalFormatting sqref="S21 A24:XFD1048576 A16:R23 T16:XFD23 S23 A3:XFD15 A2:R2 A1:S1 AD1:XFD2">
    <cfRule type="cellIs" dxfId="16" priority="7" operator="equal">
      <formula>"RL"</formula>
    </cfRule>
  </conditionalFormatting>
  <conditionalFormatting sqref="S21 A24:XFD1048576 A16:R23 T16:XFD23 S23 A3:XFD15 A2:R2 A1:S1 AD1:XFD2">
    <cfRule type="cellIs" dxfId="15" priority="6" operator="equal">
      <formula>"BT"</formula>
    </cfRule>
  </conditionalFormatting>
  <conditionalFormatting sqref="S21 A24:XFD1048576 A16:R23 T16:XFD23 S23 A3:XFD15 A2:R2 A1:S1 AD1:XFD2">
    <cfRule type="cellIs" dxfId="14" priority="5" operator="equal">
      <formula>"["</formula>
    </cfRule>
  </conditionalFormatting>
  <conditionalFormatting sqref="S21 A24:XFD1048576 A16:R23 T16:XFD23 S23 A3:XFD15 A2:R2 A1:S1 AD1:XFD2">
    <cfRule type="cellIs" dxfId="13" priority="4" operator="equal">
      <formula>"]"</formula>
    </cfRule>
  </conditionalFormatting>
  <conditionalFormatting sqref="S21 A24:XFD1048576 A16:R23 T16:XFD23 S23 A3:XFD15 A2:R2 A1:S1 AD1:XFD2">
    <cfRule type="cellIs" dxfId="12" priority="3" operator="equal">
      <formula>"M"</formula>
    </cfRule>
  </conditionalFormatting>
  <conditionalFormatting sqref="S21 A24:XFD1048576 A16:R23 T16:XFD23 S23 A3:XFD15 A2:R2 A1:S1 AD1:XFD2">
    <cfRule type="cellIs" dxfId="11" priority="2" operator="equal">
      <formula>"$"</formula>
    </cfRule>
  </conditionalFormatting>
  <conditionalFormatting sqref="S21 A24:XFD1048576 A16:R23 T16:XFD23 S23 A3:XFD15 A2:R2 A1:S1 AD1:XFD2">
    <cfRule type="cellIs" dxfId="10" priority="1" operator="equal">
      <formula>"^"</formula>
    </cfRule>
  </conditionalFormatting>
  <conditionalFormatting sqref="S21 A24:XFD1048576 A16:R23 T16:XFD23 S23 A3:XFD15 A2:R2 A1:S1 AD1:XFD2">
    <cfRule type="cellIs" dxfId="9" priority="35" operator="equal">
      <formula>"W"</formula>
    </cfRule>
  </conditionalFormatting>
  <conditionalFormatting sqref="S21 A24:XFD1048576 A16:R23 T16:XFD23 S23 A3:XFD15 A2:R2 A1:S1 AD1:XFD2">
    <cfRule type="cellIs" dxfId="8" priority="34" operator="equal">
      <formula>"G"</formula>
    </cfRule>
  </conditionalFormatting>
  <hyperlinks>
    <hyperlink ref="S1:AC2" r:id="rId1" display="Icons" xr:uid="{D426C4AA-81AC-44B0-9563-C962B66A58A0}"/>
  </hyperlinks>
  <pageMargins left="0.7" right="0.7" top="0.75" bottom="0.75" header="0.3" footer="0.3"/>
  <pageSetup paperSize="9" orientation="portrait" horizontalDpi="300" verticalDpi="300"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38DDC-EB4C-477F-B3D2-A32FEE8C8583}">
  <sheetPr codeName="Аркуш35">
    <tabColor rgb="FF7030A0"/>
  </sheetPr>
  <dimension ref="A1:AT102"/>
  <sheetViews>
    <sheetView zoomScale="145" zoomScaleNormal="145" workbookViewId="0">
      <selection activeCell="A4" sqref="A4:F8"/>
    </sheetView>
  </sheetViews>
  <sheetFormatPr defaultRowHeight="14.25"/>
  <cols>
    <col min="1" max="6" width="13.77734375" style="32" customWidth="1"/>
    <col min="7" max="7" width="26.88671875" style="32" customWidth="1"/>
    <col min="8" max="8" width="8.88671875" style="32"/>
    <col min="9" max="9" width="11" style="32" customWidth="1"/>
    <col min="10" max="10" width="27" style="32" customWidth="1"/>
    <col min="11" max="12" width="8.88671875" style="32"/>
    <col min="13" max="13" width="11.44140625" style="32" customWidth="1"/>
    <col min="14" max="14" width="9.21875" style="32" customWidth="1"/>
    <col min="15" max="15" width="15.44140625" style="32" customWidth="1"/>
    <col min="16" max="16" width="14.77734375" style="32" customWidth="1"/>
    <col min="17" max="17" width="9" style="32" customWidth="1"/>
    <col min="18" max="19" width="8.88671875" style="32"/>
    <col min="20" max="20" width="9" style="32" customWidth="1"/>
    <col min="21" max="21" width="11.6640625" style="32" customWidth="1"/>
    <col min="22" max="22" width="8.88671875" style="32"/>
    <col min="23" max="23" width="12.44140625" style="32" customWidth="1"/>
    <col min="24" max="24" width="9.77734375" style="32" customWidth="1"/>
    <col min="25" max="25" width="9.5546875" style="32" customWidth="1"/>
    <col min="26" max="26" width="12.109375" style="32" customWidth="1"/>
    <col min="27" max="27" width="9.6640625" style="32" customWidth="1"/>
    <col min="28" max="16384" width="8.88671875" style="32"/>
  </cols>
  <sheetData>
    <row r="1" spans="1:46" ht="16.5" customHeight="1">
      <c r="A1" s="2647" t="s">
        <v>1733</v>
      </c>
      <c r="B1" s="2647"/>
      <c r="C1" s="2647"/>
      <c r="D1" s="2647"/>
      <c r="E1" s="2647"/>
      <c r="F1" s="2647"/>
      <c r="G1" s="2647"/>
      <c r="H1" s="2647"/>
      <c r="M1" s="68" t="s">
        <v>1734</v>
      </c>
      <c r="N1" s="68" t="s">
        <v>1735</v>
      </c>
      <c r="O1" s="68" t="s">
        <v>1736</v>
      </c>
      <c r="P1" s="68" t="s">
        <v>1737</v>
      </c>
      <c r="Q1" s="68" t="s">
        <v>1738</v>
      </c>
      <c r="R1" s="68" t="s">
        <v>1739</v>
      </c>
      <c r="S1" s="68" t="s">
        <v>1740</v>
      </c>
      <c r="T1" s="68" t="s">
        <v>1741</v>
      </c>
      <c r="U1" s="68" t="s">
        <v>1742</v>
      </c>
      <c r="V1" s="68" t="s">
        <v>1743</v>
      </c>
      <c r="W1" s="68" t="s">
        <v>1744</v>
      </c>
      <c r="X1" s="68" t="s">
        <v>1745</v>
      </c>
      <c r="Y1" s="68" t="s">
        <v>1746</v>
      </c>
      <c r="Z1" s="68" t="s">
        <v>2054</v>
      </c>
      <c r="AA1" s="68" t="s">
        <v>2055</v>
      </c>
      <c r="AB1" s="68" t="s">
        <v>2056</v>
      </c>
      <c r="AC1" s="68" t="s">
        <v>1750</v>
      </c>
      <c r="AD1" s="68" t="s">
        <v>1751</v>
      </c>
      <c r="AE1" s="68" t="s">
        <v>1752</v>
      </c>
      <c r="AS1" t="s">
        <v>1725</v>
      </c>
      <c r="AT1" t="s">
        <v>11350</v>
      </c>
    </row>
    <row r="2" spans="1:46" ht="14.25" customHeight="1">
      <c r="A2" s="2647"/>
      <c r="B2" s="2647"/>
      <c r="C2" s="2647"/>
      <c r="D2" s="2647"/>
      <c r="E2" s="2647"/>
      <c r="F2" s="2647"/>
      <c r="G2" s="2647"/>
      <c r="H2" s="2647"/>
      <c r="M2" t="str">
        <f ca="1">INDEX($Q2:$Q24,RANDBETWEEN(1,COUNTA($Q2:$Q24)),1)</f>
        <v>rock</v>
      </c>
      <c r="N2" t="str">
        <f ca="1">INDEX($R2:$R59,RANDBETWEEN(1,COUNTA($R2:$R59)),1)</f>
        <v>halberd</v>
      </c>
      <c r="O2" t="str">
        <f ca="1">INDEX($T2:$T21,RANDBETWEEN(1,COUNTA($T2:$T21)),1)</f>
        <v>battle axe</v>
      </c>
      <c r="P2" t="str">
        <f ca="1">INDEX($S2:$S21,RANDBETWEEN(1,COUNTA($S2:$S21)),1)</f>
        <v>halfplate +5 (2)</v>
      </c>
      <c r="Q2" t="s">
        <v>1753</v>
      </c>
      <c r="R2" t="s">
        <v>1753</v>
      </c>
      <c r="S2" t="s">
        <v>1754</v>
      </c>
      <c r="T2" t="s">
        <v>1755</v>
      </c>
      <c r="U2" t="s">
        <v>1756</v>
      </c>
      <c r="V2" t="s">
        <v>1756</v>
      </c>
      <c r="W2" t="s">
        <v>1757</v>
      </c>
      <c r="X2" t="s">
        <v>1758</v>
      </c>
      <c r="Y2" t="s">
        <v>1759</v>
      </c>
      <c r="Z2" t="s">
        <v>1759</v>
      </c>
      <c r="AA2" t="s">
        <v>1760</v>
      </c>
      <c r="AB2" t="s">
        <v>2048</v>
      </c>
      <c r="AC2" t="s">
        <v>1762</v>
      </c>
      <c r="AD2" t="s">
        <v>1763</v>
      </c>
      <c r="AE2" t="s">
        <v>1764</v>
      </c>
      <c r="AF2"/>
      <c r="AS2" t="s">
        <v>11351</v>
      </c>
      <c r="AT2" t="s">
        <v>11330</v>
      </c>
    </row>
    <row r="3" spans="1:46">
      <c r="M3" t="str">
        <f ca="1">INDEX($U2:$U26,RANDBETWEEN(1,COUNTA($U2:$U26)),1)</f>
        <v>sentience</v>
      </c>
      <c r="N3" t="str">
        <f ca="1">INDEX($V2:$V50,RANDBETWEEN(1,COUNTA($V2:$V50)),1)</f>
        <v>rubber</v>
      </c>
      <c r="O3" t="str">
        <f ca="1">INDEX($W2:$W21,RANDBETWEEN(1,COUNTA($W2:$W21)),1)</f>
        <v>size class</v>
      </c>
      <c r="P3" t="str">
        <f ca="1">INDEX($W2:$W21,RANDBETWEEN(1,COUNTA($W2:$W21)),1)</f>
        <v>wings</v>
      </c>
      <c r="Q3" t="s">
        <v>1765</v>
      </c>
      <c r="R3" t="s">
        <v>1765</v>
      </c>
      <c r="S3" t="s">
        <v>1766</v>
      </c>
      <c r="T3" t="s">
        <v>1767</v>
      </c>
      <c r="U3" t="s">
        <v>1768</v>
      </c>
      <c r="V3" t="s">
        <v>1768</v>
      </c>
      <c r="W3" t="s">
        <v>1769</v>
      </c>
      <c r="X3" t="s">
        <v>1770</v>
      </c>
      <c r="Y3" t="s">
        <v>1771</v>
      </c>
      <c r="Z3" t="s">
        <v>1772</v>
      </c>
      <c r="AA3" t="s">
        <v>1760</v>
      </c>
      <c r="AB3" t="s">
        <v>2049</v>
      </c>
      <c r="AC3" t="s">
        <v>1762</v>
      </c>
      <c r="AD3" t="s">
        <v>1763</v>
      </c>
      <c r="AE3" t="s">
        <v>1774</v>
      </c>
      <c r="AF3"/>
      <c r="AS3" s="1" t="s">
        <v>11461</v>
      </c>
      <c r="AT3" t="s">
        <v>11331</v>
      </c>
    </row>
    <row r="4" spans="1:46" ht="17.25" thickBot="1">
      <c r="A4" s="3954" t="s">
        <v>1775</v>
      </c>
      <c r="B4" s="3954"/>
      <c r="C4" s="3950" t="s">
        <v>1776</v>
      </c>
      <c r="D4" s="3950"/>
      <c r="E4" s="3950" t="s">
        <v>1777</v>
      </c>
      <c r="F4" s="3950"/>
      <c r="M4"/>
      <c r="N4"/>
      <c r="O4"/>
      <c r="P4"/>
      <c r="Q4" t="s">
        <v>1778</v>
      </c>
      <c r="R4" t="s">
        <v>1778</v>
      </c>
      <c r="S4" t="s">
        <v>1779</v>
      </c>
      <c r="T4" t="s">
        <v>1780</v>
      </c>
      <c r="U4" t="s">
        <v>1781</v>
      </c>
      <c r="V4" t="s">
        <v>1781</v>
      </c>
      <c r="W4" t="s">
        <v>1782</v>
      </c>
      <c r="X4" t="s">
        <v>1783</v>
      </c>
      <c r="Y4" t="s">
        <v>1784</v>
      </c>
      <c r="Z4" t="s">
        <v>1771</v>
      </c>
      <c r="AA4" t="s">
        <v>1760</v>
      </c>
      <c r="AB4" t="s">
        <v>1779</v>
      </c>
      <c r="AC4" t="s">
        <v>1762</v>
      </c>
      <c r="AD4" t="s">
        <v>1763</v>
      </c>
      <c r="AE4" t="s">
        <v>1785</v>
      </c>
      <c r="AF4"/>
      <c r="AS4" s="1" t="s">
        <v>11462</v>
      </c>
      <c r="AT4" t="s">
        <v>11332</v>
      </c>
    </row>
    <row r="5" spans="1:46" ht="15" thickTop="1">
      <c r="A5" s="65" t="s">
        <v>758</v>
      </c>
      <c r="B5" s="133" t="str">
        <f ca="1">RANDBETWEEN(2,24)&amp;" gp"</f>
        <v>19 gp</v>
      </c>
      <c r="C5" s="65" t="s">
        <v>758</v>
      </c>
      <c r="D5" s="67" t="str">
        <f ca="1">RANDBETWEEN(3,36)&amp;" gp"</f>
        <v>36 gp</v>
      </c>
      <c r="E5" s="65" t="s">
        <v>758</v>
      </c>
      <c r="F5" s="67" t="str">
        <f ca="1">RANDBETWEEN(10,50)&amp;" gp"</f>
        <v>11 gp</v>
      </c>
      <c r="M5"/>
      <c r="N5"/>
      <c r="O5"/>
      <c r="P5"/>
      <c r="Q5" t="s">
        <v>1787</v>
      </c>
      <c r="R5" t="s">
        <v>1787</v>
      </c>
      <c r="S5" t="s">
        <v>1788</v>
      </c>
      <c r="T5" t="s">
        <v>1789</v>
      </c>
      <c r="U5" t="s">
        <v>1790</v>
      </c>
      <c r="V5" t="s">
        <v>1790</v>
      </c>
      <c r="W5" t="s">
        <v>1791</v>
      </c>
      <c r="X5" t="s">
        <v>1792</v>
      </c>
      <c r="Y5" t="s">
        <v>1793</v>
      </c>
      <c r="Z5" t="s">
        <v>1784</v>
      </c>
      <c r="AA5" t="s">
        <v>1760</v>
      </c>
      <c r="AB5" t="s">
        <v>2050</v>
      </c>
      <c r="AC5" t="s">
        <v>1762</v>
      </c>
      <c r="AD5" t="s">
        <v>1763</v>
      </c>
      <c r="AE5" t="s">
        <v>1795</v>
      </c>
      <c r="AF5"/>
      <c r="AS5" s="1" t="s">
        <v>11463</v>
      </c>
      <c r="AT5" t="s">
        <v>11333</v>
      </c>
    </row>
    <row r="6" spans="1:46" ht="28.5">
      <c r="A6" s="65" t="s">
        <v>1796</v>
      </c>
      <c r="B6" s="134" t="str">
        <f ca="1">LootGen!M2&amp;" of " &amp;LootGen!M3</f>
        <v>rock of sentience</v>
      </c>
      <c r="C6" s="65" t="s">
        <v>1796</v>
      </c>
      <c r="D6" s="2474" t="str">
        <f ca="1">LootGen!N2&amp;" of "&amp;LootGen!N3</f>
        <v>halberd of rubber</v>
      </c>
      <c r="E6" s="65" t="s">
        <v>1796</v>
      </c>
      <c r="F6" s="2474" t="str">
        <f ca="1">LootGen!N2&amp;" of "&amp;LootGen!N3</f>
        <v>halberd of rubber</v>
      </c>
      <c r="M6"/>
      <c r="N6"/>
      <c r="O6"/>
      <c r="P6"/>
      <c r="Q6" t="s">
        <v>1797</v>
      </c>
      <c r="R6" t="s">
        <v>1797</v>
      </c>
      <c r="S6" t="s">
        <v>1798</v>
      </c>
      <c r="T6" t="s">
        <v>1799</v>
      </c>
      <c r="U6" t="s">
        <v>1800</v>
      </c>
      <c r="V6" t="s">
        <v>1800</v>
      </c>
      <c r="W6" t="s">
        <v>1801</v>
      </c>
      <c r="X6" t="s">
        <v>1802</v>
      </c>
      <c r="Y6" t="s">
        <v>1803</v>
      </c>
      <c r="Z6" t="s">
        <v>1793</v>
      </c>
      <c r="AA6" t="s">
        <v>1760</v>
      </c>
      <c r="AB6" t="s">
        <v>2051</v>
      </c>
      <c r="AC6" t="s">
        <v>1805</v>
      </c>
      <c r="AD6" t="s">
        <v>1763</v>
      </c>
      <c r="AE6" t="s">
        <v>1806</v>
      </c>
      <c r="AF6"/>
      <c r="AS6" s="1" t="s">
        <v>11464</v>
      </c>
      <c r="AT6" t="s">
        <v>11334</v>
      </c>
    </row>
    <row r="7" spans="1:46">
      <c r="A7" s="65" t="s">
        <v>1829</v>
      </c>
      <c r="B7" s="134" t="str">
        <f ca="1">INDEX(Таблиця14[quality],MATCH(RANDBETWEEN(20,80),Таблиця14[low range],1),1)</f>
        <v>reversed</v>
      </c>
      <c r="C7" s="65" t="s">
        <v>1829</v>
      </c>
      <c r="D7" s="82" t="str">
        <f ca="1">INDEX(Таблиця14[quality],MATCH(RANDBETWEEN(1,100),Таблиця14[low range],1),1)</f>
        <v>reversed</v>
      </c>
      <c r="E7" s="65" t="s">
        <v>1829</v>
      </c>
      <c r="F7" s="82" t="str">
        <f ca="1">INDEX(Таблиця14[quality],MATCH(RANDBETWEEN(1,100),Таблиця14[low range],1),1)</f>
        <v>reversed</v>
      </c>
      <c r="M7"/>
      <c r="N7"/>
      <c r="O7"/>
      <c r="P7"/>
      <c r="Q7" t="s">
        <v>1807</v>
      </c>
      <c r="R7" t="s">
        <v>1807</v>
      </c>
      <c r="S7" t="s">
        <v>1808</v>
      </c>
      <c r="T7" t="s">
        <v>1809</v>
      </c>
      <c r="U7" t="s">
        <v>1810</v>
      </c>
      <c r="V7" t="s">
        <v>1810</v>
      </c>
      <c r="W7" t="s">
        <v>1811</v>
      </c>
      <c r="X7" t="s">
        <v>1812</v>
      </c>
      <c r="Y7" t="s">
        <v>1813</v>
      </c>
      <c r="Z7" t="s">
        <v>1814</v>
      </c>
      <c r="AA7" t="s">
        <v>1760</v>
      </c>
      <c r="AB7" t="s">
        <v>2052</v>
      </c>
      <c r="AC7" t="s">
        <v>1805</v>
      </c>
      <c r="AD7" t="s">
        <v>1816</v>
      </c>
      <c r="AE7" t="s">
        <v>1817</v>
      </c>
      <c r="AF7"/>
      <c r="AS7" s="1" t="s">
        <v>11465</v>
      </c>
      <c r="AT7" t="s">
        <v>11335</v>
      </c>
    </row>
    <row r="8" spans="1:46" ht="16.5">
      <c r="A8" s="65" t="s">
        <v>1841</v>
      </c>
      <c r="B8" s="2475">
        <f ca="1">RANDBETWEEN(1,2)</f>
        <v>1</v>
      </c>
      <c r="C8" s="65" t="s">
        <v>1841</v>
      </c>
      <c r="D8" s="2475">
        <f ca="1">RANDBETWEEN(1,6)</f>
        <v>4</v>
      </c>
      <c r="E8" s="65" t="s">
        <v>1841</v>
      </c>
      <c r="F8" s="2475">
        <f ca="1">RANDBETWEEN(1,6)</f>
        <v>6</v>
      </c>
      <c r="M8"/>
      <c r="N8"/>
      <c r="O8"/>
      <c r="P8"/>
      <c r="Q8" t="s">
        <v>1819</v>
      </c>
      <c r="R8" t="s">
        <v>1819</v>
      </c>
      <c r="S8" t="s">
        <v>1820</v>
      </c>
      <c r="T8" t="s">
        <v>1821</v>
      </c>
      <c r="U8" t="s">
        <v>1822</v>
      </c>
      <c r="V8" t="s">
        <v>1822</v>
      </c>
      <c r="W8" t="s">
        <v>1823</v>
      </c>
      <c r="X8" t="s">
        <v>1824</v>
      </c>
      <c r="Y8" t="s">
        <v>1825</v>
      </c>
      <c r="Z8" t="s">
        <v>1813</v>
      </c>
      <c r="AA8" t="s">
        <v>1760</v>
      </c>
      <c r="AB8" t="s">
        <v>1826</v>
      </c>
      <c r="AC8" t="s">
        <v>1805</v>
      </c>
      <c r="AD8" t="s">
        <v>1827</v>
      </c>
      <c r="AE8" t="s">
        <v>1828</v>
      </c>
      <c r="AF8"/>
      <c r="AS8" s="1" t="s">
        <v>11466</v>
      </c>
      <c r="AT8" t="s">
        <v>11336</v>
      </c>
    </row>
    <row r="9" spans="1:46">
      <c r="M9"/>
      <c r="N9"/>
      <c r="O9"/>
      <c r="P9"/>
      <c r="Q9" t="s">
        <v>1830</v>
      </c>
      <c r="R9" t="s">
        <v>1830</v>
      </c>
      <c r="S9" t="s">
        <v>1831</v>
      </c>
      <c r="T9" t="s">
        <v>1832</v>
      </c>
      <c r="U9" t="s">
        <v>1833</v>
      </c>
      <c r="V9" t="s">
        <v>1833</v>
      </c>
      <c r="W9" t="s">
        <v>1834</v>
      </c>
      <c r="X9" t="s">
        <v>1835</v>
      </c>
      <c r="Y9" t="s">
        <v>1836</v>
      </c>
      <c r="Z9" t="s">
        <v>1837</v>
      </c>
      <c r="AA9" t="s">
        <v>1760</v>
      </c>
      <c r="AB9" t="s">
        <v>2053</v>
      </c>
      <c r="AC9" t="s">
        <v>1805</v>
      </c>
      <c r="AD9" t="s">
        <v>1839</v>
      </c>
      <c r="AE9" t="s">
        <v>1840</v>
      </c>
      <c r="AF9"/>
      <c r="AS9" s="1" t="s">
        <v>11467</v>
      </c>
      <c r="AT9" t="s">
        <v>11337</v>
      </c>
    </row>
    <row r="10" spans="1:46">
      <c r="M10"/>
      <c r="N10"/>
      <c r="O10"/>
      <c r="P10"/>
      <c r="Q10" t="s">
        <v>1845</v>
      </c>
      <c r="R10" t="s">
        <v>1845</v>
      </c>
      <c r="S10" t="s">
        <v>1846</v>
      </c>
      <c r="T10" t="s">
        <v>1847</v>
      </c>
      <c r="U10" t="s">
        <v>1848</v>
      </c>
      <c r="V10" t="s">
        <v>1848</v>
      </c>
      <c r="W10" t="s">
        <v>1849</v>
      </c>
      <c r="X10" t="s">
        <v>1850</v>
      </c>
      <c r="Y10" t="s">
        <v>1851</v>
      </c>
      <c r="Z10" t="s">
        <v>1825</v>
      </c>
      <c r="AA10" t="s">
        <v>1760</v>
      </c>
      <c r="AB10" t="s">
        <v>1852</v>
      </c>
      <c r="AC10" t="s">
        <v>1853</v>
      </c>
      <c r="AD10" t="s">
        <v>1854</v>
      </c>
      <c r="AE10" t="s">
        <v>1855</v>
      </c>
      <c r="AF10"/>
      <c r="AS10" s="1" t="s">
        <v>11468</v>
      </c>
      <c r="AT10" t="s">
        <v>11338</v>
      </c>
    </row>
    <row r="11" spans="1:46">
      <c r="M11"/>
      <c r="N11"/>
      <c r="O11"/>
      <c r="P11"/>
      <c r="Q11" t="s">
        <v>1856</v>
      </c>
      <c r="R11" t="s">
        <v>1856</v>
      </c>
      <c r="S11" t="s">
        <v>1857</v>
      </c>
      <c r="T11" t="s">
        <v>1858</v>
      </c>
      <c r="U11" t="s">
        <v>1859</v>
      </c>
      <c r="V11" t="s">
        <v>1859</v>
      </c>
      <c r="W11" t="s">
        <v>1860</v>
      </c>
      <c r="X11" t="s">
        <v>1861</v>
      </c>
      <c r="Y11" t="s">
        <v>1862</v>
      </c>
      <c r="Z11" t="s">
        <v>1862</v>
      </c>
      <c r="AA11" t="s">
        <v>1760</v>
      </c>
      <c r="AB11" t="s">
        <v>1863</v>
      </c>
      <c r="AC11" t="s">
        <v>1853</v>
      </c>
      <c r="AD11" t="s">
        <v>1864</v>
      </c>
      <c r="AE11" t="s">
        <v>1865</v>
      </c>
      <c r="AF11"/>
      <c r="AS11" s="1" t="s">
        <v>11469</v>
      </c>
      <c r="AT11" t="s">
        <v>11339</v>
      </c>
    </row>
    <row r="12" spans="1:46" ht="17.25" thickBot="1">
      <c r="A12" s="3950" t="s">
        <v>1866</v>
      </c>
      <c r="B12" s="3950"/>
      <c r="C12" s="3950" t="s">
        <v>1867</v>
      </c>
      <c r="D12" s="3950"/>
      <c r="M12"/>
      <c r="N12"/>
      <c r="O12"/>
      <c r="P12"/>
      <c r="Q12" t="s">
        <v>1868</v>
      </c>
      <c r="R12" t="s">
        <v>1868</v>
      </c>
      <c r="S12" t="s">
        <v>1869</v>
      </c>
      <c r="T12" t="s">
        <v>1870</v>
      </c>
      <c r="U12" t="s">
        <v>1871</v>
      </c>
      <c r="V12" t="s">
        <v>1871</v>
      </c>
      <c r="W12" t="s">
        <v>1872</v>
      </c>
      <c r="X12"/>
      <c r="Y12"/>
      <c r="Z12" t="s">
        <v>1836</v>
      </c>
      <c r="AA12" t="s">
        <v>1760</v>
      </c>
      <c r="AB12" t="s">
        <v>1873</v>
      </c>
      <c r="AC12" t="s">
        <v>1853</v>
      </c>
      <c r="AD12" t="s">
        <v>1874</v>
      </c>
      <c r="AE12"/>
      <c r="AF12"/>
      <c r="AS12" s="1" t="s">
        <v>11470</v>
      </c>
      <c r="AT12" t="s">
        <v>11340</v>
      </c>
    </row>
    <row r="13" spans="1:46" ht="15" thickTop="1">
      <c r="A13" s="65" t="s">
        <v>758</v>
      </c>
      <c r="B13" s="67" t="str">
        <f ca="1">RANDBETWEEN(100,200)&amp;" gp"</f>
        <v>156 gp</v>
      </c>
      <c r="C13" s="65" t="s">
        <v>1875</v>
      </c>
      <c r="D13" s="69" t="str">
        <f ca="1">LootGen!C48</f>
        <v>small goods</v>
      </c>
      <c r="M13"/>
      <c r="N13"/>
      <c r="O13"/>
      <c r="P13"/>
      <c r="Q13" t="s">
        <v>1877</v>
      </c>
      <c r="R13" t="s">
        <v>1877</v>
      </c>
      <c r="S13" t="s">
        <v>1878</v>
      </c>
      <c r="T13" t="s">
        <v>1879</v>
      </c>
      <c r="U13" t="s">
        <v>1745</v>
      </c>
      <c r="V13" t="s">
        <v>1745</v>
      </c>
      <c r="W13" t="s">
        <v>1880</v>
      </c>
      <c r="X13"/>
      <c r="Y13"/>
      <c r="Z13" t="s">
        <v>1881</v>
      </c>
      <c r="AA13" t="s">
        <v>1760</v>
      </c>
      <c r="AB13" t="s">
        <v>1882</v>
      </c>
      <c r="AC13" t="s">
        <v>1853</v>
      </c>
      <c r="AD13" t="s">
        <v>1883</v>
      </c>
      <c r="AE13"/>
      <c r="AF13"/>
      <c r="AS13" s="1" t="s">
        <v>11471</v>
      </c>
      <c r="AT13" t="s">
        <v>11341</v>
      </c>
    </row>
    <row r="14" spans="1:46">
      <c r="A14" s="65" t="s">
        <v>1796</v>
      </c>
      <c r="B14" s="66" t="str">
        <f ca="1">LootGen!A48&amp;" of "&amp;LootGen!N3</f>
        <v>warhammer of rubber</v>
      </c>
      <c r="C14" s="65" t="s">
        <v>1884</v>
      </c>
      <c r="D14" s="70" t="str">
        <f ca="1">RANDBETWEEN(1,6)&amp;" Lbs/items"</f>
        <v>2 Lbs/items</v>
      </c>
      <c r="M14"/>
      <c r="N14"/>
      <c r="O14"/>
      <c r="P14"/>
      <c r="Q14" t="s">
        <v>1885</v>
      </c>
      <c r="R14" t="s">
        <v>1885</v>
      </c>
      <c r="S14" t="s">
        <v>1886</v>
      </c>
      <c r="T14" t="s">
        <v>1887</v>
      </c>
      <c r="U14" t="s">
        <v>1888</v>
      </c>
      <c r="V14" t="s">
        <v>1888</v>
      </c>
      <c r="W14" t="s">
        <v>1889</v>
      </c>
      <c r="X14"/>
      <c r="Y14"/>
      <c r="Z14" t="s">
        <v>1851</v>
      </c>
      <c r="AA14" t="s">
        <v>1760</v>
      </c>
      <c r="AB14" t="s">
        <v>1886</v>
      </c>
      <c r="AC14" t="s">
        <v>1890</v>
      </c>
      <c r="AD14" t="s">
        <v>1891</v>
      </c>
      <c r="AE14"/>
      <c r="AF14"/>
      <c r="AS14" s="1" t="s">
        <v>11472</v>
      </c>
      <c r="AT14" t="s">
        <v>11342</v>
      </c>
    </row>
    <row r="15" spans="1:46">
      <c r="A15" s="65" t="s">
        <v>1829</v>
      </c>
      <c r="B15" s="82" t="str">
        <f ca="1">INDEX(Таблиця14[quality],MATCH(RANDBETWEEN(30,100),Таблиця14[low range],1),1)</f>
        <v>superior</v>
      </c>
      <c r="C15" s="65" t="s">
        <v>1892</v>
      </c>
      <c r="D15" s="82" t="str">
        <f ca="1">INDEX(Таблиця14[quality],MATCH(RANDBETWEEN(50,100),Таблиця14[low range],1),1)</f>
        <v>superior</v>
      </c>
      <c r="M15"/>
      <c r="N15"/>
      <c r="O15"/>
      <c r="P15"/>
      <c r="Q15" t="s">
        <v>1894</v>
      </c>
      <c r="R15" t="s">
        <v>1894</v>
      </c>
      <c r="S15" t="s">
        <v>1895</v>
      </c>
      <c r="T15" t="s">
        <v>1896</v>
      </c>
      <c r="U15" t="s">
        <v>1897</v>
      </c>
      <c r="V15" t="s">
        <v>1897</v>
      </c>
      <c r="W15" t="s">
        <v>1898</v>
      </c>
      <c r="X15"/>
      <c r="Y15"/>
      <c r="Z15" t="s">
        <v>1899</v>
      </c>
      <c r="AA15" t="s">
        <v>1760</v>
      </c>
      <c r="AB15" t="s">
        <v>1895</v>
      </c>
      <c r="AC15" t="s">
        <v>1890</v>
      </c>
      <c r="AD15" t="s">
        <v>1900</v>
      </c>
      <c r="AE15"/>
      <c r="AF15"/>
      <c r="AS15" s="1" t="s">
        <v>11473</v>
      </c>
      <c r="AT15" t="s">
        <v>11343</v>
      </c>
    </row>
    <row r="16" spans="1:46" ht="16.5">
      <c r="A16" s="65" t="s">
        <v>1841</v>
      </c>
      <c r="B16" s="83">
        <v>6</v>
      </c>
      <c r="C16" s="65" t="s">
        <v>1901</v>
      </c>
      <c r="D16" s="70" t="str">
        <f ca="1">RANDBETWEEN(1,1000)*10&amp;" gp"</f>
        <v>5880 gp</v>
      </c>
      <c r="M16"/>
      <c r="N16"/>
      <c r="O16"/>
      <c r="P16"/>
      <c r="Q16" t="s">
        <v>1903</v>
      </c>
      <c r="R16" t="s">
        <v>1903</v>
      </c>
      <c r="S16" t="s">
        <v>1904</v>
      </c>
      <c r="T16" t="s">
        <v>1905</v>
      </c>
      <c r="U16" t="s">
        <v>1906</v>
      </c>
      <c r="V16" t="s">
        <v>1906</v>
      </c>
      <c r="W16" t="s">
        <v>1907</v>
      </c>
      <c r="X16"/>
      <c r="Y16"/>
      <c r="Z16" t="s">
        <v>1908</v>
      </c>
      <c r="AA16" t="s">
        <v>1760</v>
      </c>
      <c r="AB16" t="s">
        <v>1904</v>
      </c>
      <c r="AC16" t="s">
        <v>1890</v>
      </c>
      <c r="AD16" t="s">
        <v>1909</v>
      </c>
      <c r="AE16"/>
      <c r="AF16"/>
      <c r="AS16" s="1" t="s">
        <v>11474</v>
      </c>
      <c r="AT16" t="s">
        <v>11344</v>
      </c>
    </row>
    <row r="17" spans="1:46">
      <c r="M17"/>
      <c r="N17"/>
      <c r="O17"/>
      <c r="P17"/>
      <c r="Q17" t="s">
        <v>1910</v>
      </c>
      <c r="R17" t="s">
        <v>1910</v>
      </c>
      <c r="S17" t="s">
        <v>1911</v>
      </c>
      <c r="T17" t="s">
        <v>1912</v>
      </c>
      <c r="U17" t="s">
        <v>1913</v>
      </c>
      <c r="V17" t="s">
        <v>1913</v>
      </c>
      <c r="W17" t="s">
        <v>1914</v>
      </c>
      <c r="X17"/>
      <c r="Y17"/>
      <c r="Z17" t="s">
        <v>1915</v>
      </c>
      <c r="AA17" t="s">
        <v>1760</v>
      </c>
      <c r="AB17" t="s">
        <v>1911</v>
      </c>
      <c r="AC17" t="s">
        <v>1890</v>
      </c>
      <c r="AD17" t="s">
        <v>1916</v>
      </c>
      <c r="AE17"/>
      <c r="AF17"/>
      <c r="AS17" s="1" t="s">
        <v>11475</v>
      </c>
      <c r="AT17" t="s">
        <v>11345</v>
      </c>
    </row>
    <row r="18" spans="1:46" ht="17.25" thickBot="1">
      <c r="A18" s="3950" t="s">
        <v>1893</v>
      </c>
      <c r="B18" s="3950"/>
      <c r="C18" s="73" t="s">
        <v>1933</v>
      </c>
      <c r="D18" s="73"/>
      <c r="M18"/>
      <c r="N18"/>
      <c r="O18"/>
      <c r="P18"/>
      <c r="Q18" t="s">
        <v>1917</v>
      </c>
      <c r="R18" t="s">
        <v>1917</v>
      </c>
      <c r="S18" t="s">
        <v>1918</v>
      </c>
      <c r="T18" t="s">
        <v>1919</v>
      </c>
      <c r="U18" t="s">
        <v>1920</v>
      </c>
      <c r="V18" t="s">
        <v>1920</v>
      </c>
      <c r="W18" t="s">
        <v>1921</v>
      </c>
      <c r="X18"/>
      <c r="Y18"/>
      <c r="Z18" t="s">
        <v>1922</v>
      </c>
      <c r="AA18" t="s">
        <v>1760</v>
      </c>
      <c r="AB18" t="s">
        <v>1918</v>
      </c>
      <c r="AC18" t="s">
        <v>1890</v>
      </c>
      <c r="AD18" t="s">
        <v>1923</v>
      </c>
      <c r="AE18"/>
      <c r="AF18"/>
      <c r="AS18" s="1" t="s">
        <v>11476</v>
      </c>
      <c r="AT18" t="s">
        <v>11346</v>
      </c>
    </row>
    <row r="19" spans="1:46" ht="15" thickTop="1">
      <c r="A19" s="65" t="s">
        <v>1902</v>
      </c>
      <c r="B19" s="34" t="str">
        <f ca="1">LootGen!A51</f>
        <v>paranoid</v>
      </c>
      <c r="C19" s="65" t="s">
        <v>1942</v>
      </c>
      <c r="D19" s="36" t="str">
        <f ca="1">LootGen!B48</f>
        <v>none</v>
      </c>
      <c r="M19"/>
      <c r="N19"/>
      <c r="O19"/>
      <c r="P19"/>
      <c r="Q19" t="s">
        <v>1925</v>
      </c>
      <c r="R19" t="s">
        <v>1925</v>
      </c>
      <c r="S19" t="s">
        <v>1926</v>
      </c>
      <c r="T19" t="s">
        <v>1927</v>
      </c>
      <c r="U19" t="s">
        <v>1928</v>
      </c>
      <c r="V19" t="s">
        <v>1928</v>
      </c>
      <c r="W19" t="s">
        <v>1929</v>
      </c>
      <c r="X19"/>
      <c r="Y19"/>
      <c r="Z19" t="s">
        <v>1930</v>
      </c>
      <c r="AA19" t="s">
        <v>1760</v>
      </c>
      <c r="AB19" t="s">
        <v>1926</v>
      </c>
      <c r="AC19" t="s">
        <v>1901</v>
      </c>
      <c r="AD19" t="s">
        <v>1931</v>
      </c>
      <c r="AE19"/>
      <c r="AF19"/>
      <c r="AS19" s="1" t="s">
        <v>11477</v>
      </c>
      <c r="AT19" t="s">
        <v>11347</v>
      </c>
    </row>
    <row r="20" spans="1:46">
      <c r="A20" s="65" t="s">
        <v>1844</v>
      </c>
      <c r="B20" s="35" t="str">
        <f ca="1">LootGen!C51</f>
        <v>slashing</v>
      </c>
      <c r="C20" s="65" t="s">
        <v>1950</v>
      </c>
      <c r="D20" s="33">
        <f ca="1">RANDBETWEEN(2,29)</f>
        <v>28</v>
      </c>
      <c r="M20"/>
      <c r="N20"/>
      <c r="O20"/>
      <c r="P20"/>
      <c r="Q20" t="s">
        <v>1934</v>
      </c>
      <c r="R20" t="s">
        <v>1934</v>
      </c>
      <c r="S20"/>
      <c r="T20" t="s">
        <v>1935</v>
      </c>
      <c r="U20" t="s">
        <v>1936</v>
      </c>
      <c r="V20" t="s">
        <v>1936</v>
      </c>
      <c r="W20" t="s">
        <v>1937</v>
      </c>
      <c r="X20"/>
      <c r="Y20"/>
      <c r="Z20" t="s">
        <v>1938</v>
      </c>
      <c r="AA20" t="s">
        <v>1760</v>
      </c>
      <c r="AB20" t="s">
        <v>1755</v>
      </c>
      <c r="AC20" t="s">
        <v>1939</v>
      </c>
      <c r="AD20" t="s">
        <v>1940</v>
      </c>
      <c r="AE20"/>
      <c r="AF20"/>
      <c r="AS20" s="1" t="s">
        <v>11478</v>
      </c>
      <c r="AT20" t="s">
        <v>11348</v>
      </c>
    </row>
    <row r="21" spans="1:46">
      <c r="A21" s="65" t="s">
        <v>1843</v>
      </c>
      <c r="B21" s="34" t="str">
        <f ca="1">LootGen!B51</f>
        <v>psychic</v>
      </c>
      <c r="M21"/>
      <c r="N21"/>
      <c r="O21"/>
      <c r="P21"/>
      <c r="Q21" t="s">
        <v>1943</v>
      </c>
      <c r="R21" t="s">
        <v>1943</v>
      </c>
      <c r="S21"/>
      <c r="T21" t="s">
        <v>1944</v>
      </c>
      <c r="U21" t="s">
        <v>1945</v>
      </c>
      <c r="V21" t="s">
        <v>1945</v>
      </c>
      <c r="W21" t="s">
        <v>1747</v>
      </c>
      <c r="X21"/>
      <c r="Y21"/>
      <c r="Z21" t="s">
        <v>1946</v>
      </c>
      <c r="AA21" t="s">
        <v>1760</v>
      </c>
      <c r="AB21" t="s">
        <v>1767</v>
      </c>
      <c r="AC21" t="s">
        <v>1947</v>
      </c>
      <c r="AD21" t="s">
        <v>1948</v>
      </c>
      <c r="AE21"/>
      <c r="AF21"/>
      <c r="AS21" s="1" t="s">
        <v>11479</v>
      </c>
      <c r="AT21" t="s">
        <v>11349</v>
      </c>
    </row>
    <row r="22" spans="1:46">
      <c r="M22"/>
      <c r="N22"/>
      <c r="O22"/>
      <c r="P22"/>
      <c r="Q22" t="s">
        <v>1926</v>
      </c>
      <c r="R22" t="s">
        <v>1755</v>
      </c>
      <c r="S22"/>
      <c r="T22"/>
      <c r="U22" t="s">
        <v>1951</v>
      </c>
      <c r="V22" t="s">
        <v>1757</v>
      </c>
      <c r="W22"/>
      <c r="X22"/>
      <c r="Y22"/>
      <c r="Z22" t="s">
        <v>1952</v>
      </c>
      <c r="AA22" t="s">
        <v>1760</v>
      </c>
      <c r="AB22" t="s">
        <v>1780</v>
      </c>
      <c r="AC22"/>
      <c r="AD22"/>
      <c r="AE22"/>
      <c r="AF22"/>
    </row>
    <row r="23" spans="1:46">
      <c r="M23"/>
      <c r="N23"/>
      <c r="O23"/>
      <c r="P23"/>
      <c r="Q23" t="s">
        <v>1918</v>
      </c>
      <c r="R23" t="s">
        <v>1767</v>
      </c>
      <c r="S23"/>
      <c r="T23"/>
      <c r="U23" t="s">
        <v>1953</v>
      </c>
      <c r="V23" t="s">
        <v>1769</v>
      </c>
      <c r="W23"/>
      <c r="X23"/>
      <c r="Y23"/>
      <c r="Z23" t="s">
        <v>1954</v>
      </c>
      <c r="AA23" t="s">
        <v>1760</v>
      </c>
      <c r="AB23" t="s">
        <v>1789</v>
      </c>
      <c r="AC23"/>
      <c r="AD23"/>
      <c r="AE23"/>
      <c r="AF23"/>
    </row>
    <row r="24" spans="1:46" ht="15" customHeight="1">
      <c r="A24" s="3951" t="s">
        <v>1955</v>
      </c>
      <c r="B24" s="3951"/>
      <c r="C24" s="3951"/>
      <c r="D24" s="3951"/>
      <c r="E24" s="3951"/>
      <c r="F24" s="3951"/>
      <c r="G24" s="3951"/>
      <c r="H24" s="3951"/>
      <c r="M24"/>
      <c r="N24"/>
      <c r="O24"/>
      <c r="P24"/>
      <c r="Q24" t="s">
        <v>1755</v>
      </c>
      <c r="R24" t="s">
        <v>1780</v>
      </c>
      <c r="S24"/>
      <c r="T24"/>
      <c r="U24" t="s">
        <v>1956</v>
      </c>
      <c r="V24" t="s">
        <v>1782</v>
      </c>
      <c r="W24"/>
      <c r="X24"/>
      <c r="Y24"/>
      <c r="Z24" t="s">
        <v>1957</v>
      </c>
      <c r="AA24" t="s">
        <v>1760</v>
      </c>
      <c r="AB24" t="s">
        <v>1799</v>
      </c>
      <c r="AC24"/>
      <c r="AD24"/>
      <c r="AE24"/>
      <c r="AF24"/>
    </row>
    <row r="25" spans="1:46" ht="15" thickBot="1">
      <c r="A25" s="3951"/>
      <c r="B25" s="3951"/>
      <c r="C25" s="3951"/>
      <c r="D25" s="3951"/>
      <c r="E25" s="3951"/>
      <c r="F25" s="3951"/>
      <c r="G25" s="3951"/>
      <c r="H25" s="3951"/>
      <c r="M25"/>
      <c r="N25"/>
      <c r="O25"/>
      <c r="P25"/>
      <c r="Q25"/>
      <c r="R25" t="s">
        <v>1789</v>
      </c>
      <c r="S25"/>
      <c r="T25"/>
      <c r="U25" t="s">
        <v>1958</v>
      </c>
      <c r="V25" t="s">
        <v>1791</v>
      </c>
      <c r="W25"/>
      <c r="X25"/>
      <c r="Y25"/>
      <c r="Z25" t="s">
        <v>1959</v>
      </c>
      <c r="AA25" t="s">
        <v>1760</v>
      </c>
      <c r="AB25" t="s">
        <v>1809</v>
      </c>
      <c r="AC25"/>
      <c r="AD25"/>
      <c r="AE25"/>
      <c r="AF25"/>
    </row>
    <row r="26" spans="1:46" ht="16.5" thickTop="1" thickBot="1">
      <c r="A26" s="60" t="s">
        <v>1960</v>
      </c>
      <c r="B26" s="71" t="str">
        <f ca="1">LootGen!A54</f>
        <v>gnome</v>
      </c>
      <c r="C26" s="60" t="s">
        <v>1961</v>
      </c>
      <c r="D26" s="35" t="str">
        <f ca="1">LootGen!A51</f>
        <v>paranoid</v>
      </c>
      <c r="M26"/>
      <c r="N26"/>
      <c r="O26"/>
      <c r="P26"/>
      <c r="Q26"/>
      <c r="R26" t="s">
        <v>1962</v>
      </c>
      <c r="S26"/>
      <c r="T26"/>
      <c r="U26" t="s">
        <v>1963</v>
      </c>
      <c r="V26" t="s">
        <v>1801</v>
      </c>
      <c r="W26"/>
      <c r="X26"/>
      <c r="Y26"/>
      <c r="Z26" t="s">
        <v>1964</v>
      </c>
      <c r="AA26" t="s">
        <v>1760</v>
      </c>
      <c r="AB26" t="s">
        <v>1821</v>
      </c>
      <c r="AC26"/>
      <c r="AD26"/>
      <c r="AE26"/>
      <c r="AF26"/>
    </row>
    <row r="27" spans="1:46" ht="16.5" thickTop="1" thickBot="1">
      <c r="A27" s="60" t="s">
        <v>1965</v>
      </c>
      <c r="B27" s="35">
        <f ca="1">SUM(10)+B32</f>
        <v>12</v>
      </c>
      <c r="C27" s="60" t="s">
        <v>1752</v>
      </c>
      <c r="D27" s="71" t="str">
        <f ca="1">INDEX($AE2:$AE16,RANDBETWEEN(1,COUNTA($AE2:$AE16)),1)</f>
        <v>mage</v>
      </c>
      <c r="M27"/>
      <c r="N27"/>
      <c r="O27"/>
      <c r="P27"/>
      <c r="Q27"/>
      <c r="R27" t="s">
        <v>1809</v>
      </c>
      <c r="S27"/>
      <c r="T27"/>
      <c r="U27"/>
      <c r="V27" t="s">
        <v>1811</v>
      </c>
      <c r="W27"/>
      <c r="X27"/>
      <c r="Y27"/>
      <c r="Z27" t="s">
        <v>1966</v>
      </c>
      <c r="AA27" t="s">
        <v>1760</v>
      </c>
      <c r="AB27" t="s">
        <v>1832</v>
      </c>
      <c r="AC27"/>
      <c r="AD27"/>
      <c r="AE27"/>
      <c r="AF27"/>
    </row>
    <row r="28" spans="1:46" ht="15" thickTop="1">
      <c r="A28" s="60" t="s">
        <v>1967</v>
      </c>
      <c r="B28" s="35">
        <f ca="1">RANDBETWEEN(15,60)</f>
        <v>52</v>
      </c>
      <c r="M28"/>
      <c r="N28"/>
      <c r="O28"/>
      <c r="P28"/>
      <c r="Q28"/>
      <c r="R28" t="s">
        <v>1821</v>
      </c>
      <c r="S28"/>
      <c r="T28"/>
      <c r="U28"/>
      <c r="V28" t="s">
        <v>1823</v>
      </c>
      <c r="W28"/>
      <c r="X28"/>
      <c r="Y28"/>
      <c r="Z28" t="s">
        <v>1968</v>
      </c>
      <c r="AA28" t="s">
        <v>1760</v>
      </c>
      <c r="AB28" t="s">
        <v>1847</v>
      </c>
      <c r="AC28"/>
      <c r="AD28"/>
      <c r="AE28"/>
      <c r="AF28"/>
    </row>
    <row r="29" spans="1:46">
      <c r="A29" s="60" t="s">
        <v>1969</v>
      </c>
      <c r="B29" s="35">
        <v>30</v>
      </c>
      <c r="M29"/>
      <c r="N29"/>
      <c r="O29"/>
      <c r="P29"/>
      <c r="Q29"/>
      <c r="R29" t="s">
        <v>1970</v>
      </c>
      <c r="S29"/>
      <c r="T29"/>
      <c r="U29"/>
      <c r="V29" t="s">
        <v>1834</v>
      </c>
      <c r="W29"/>
      <c r="X29"/>
      <c r="Y29"/>
      <c r="Z29" t="s">
        <v>1971</v>
      </c>
      <c r="AA29" t="s">
        <v>1760</v>
      </c>
      <c r="AB29" t="s">
        <v>1858</v>
      </c>
      <c r="AC29"/>
      <c r="AD29"/>
      <c r="AE29"/>
      <c r="AF29"/>
    </row>
    <row r="30" spans="1:46">
      <c r="A30" s="61" t="s">
        <v>1972</v>
      </c>
      <c r="B30" s="61" t="s">
        <v>1973</v>
      </c>
      <c r="C30" s="61" t="s">
        <v>1974</v>
      </c>
      <c r="D30" s="61" t="s">
        <v>1975</v>
      </c>
      <c r="E30" s="61" t="s">
        <v>1976</v>
      </c>
      <c r="F30" s="61" t="s">
        <v>1977</v>
      </c>
      <c r="M30"/>
      <c r="N30"/>
      <c r="O30"/>
      <c r="P30"/>
      <c r="Q30"/>
      <c r="R30" t="s">
        <v>1847</v>
      </c>
      <c r="S30"/>
      <c r="T30"/>
      <c r="U30"/>
      <c r="V30" t="s">
        <v>1849</v>
      </c>
      <c r="W30"/>
      <c r="X30"/>
      <c r="Y30"/>
      <c r="Z30"/>
      <c r="AA30" t="s">
        <v>1760</v>
      </c>
      <c r="AB30" t="s">
        <v>1870</v>
      </c>
      <c r="AC30"/>
      <c r="AD30"/>
      <c r="AE30"/>
      <c r="AF30"/>
    </row>
    <row r="31" spans="1:46">
      <c r="A31" s="62">
        <f t="shared" ref="A31:F31" ca="1" si="0">RANDBETWEEN(10,18)</f>
        <v>18</v>
      </c>
      <c r="B31" s="62">
        <f t="shared" ca="1" si="0"/>
        <v>14</v>
      </c>
      <c r="C31" s="62">
        <f t="shared" ca="1" si="0"/>
        <v>11</v>
      </c>
      <c r="D31" s="62">
        <f t="shared" ca="1" si="0"/>
        <v>18</v>
      </c>
      <c r="E31" s="62">
        <f t="shared" ca="1" si="0"/>
        <v>16</v>
      </c>
      <c r="F31" s="62">
        <f t="shared" ca="1" si="0"/>
        <v>12</v>
      </c>
      <c r="M31"/>
      <c r="N31"/>
      <c r="O31"/>
      <c r="P31"/>
      <c r="Q31"/>
      <c r="R31" t="s">
        <v>1978</v>
      </c>
      <c r="S31"/>
      <c r="T31"/>
      <c r="U31"/>
      <c r="V31" t="s">
        <v>1860</v>
      </c>
      <c r="W31"/>
      <c r="X31"/>
      <c r="Y31"/>
      <c r="Z31"/>
      <c r="AA31" t="s">
        <v>1760</v>
      </c>
      <c r="AB31" t="s">
        <v>1879</v>
      </c>
      <c r="AC31"/>
      <c r="AD31"/>
      <c r="AE31"/>
      <c r="AF31"/>
    </row>
    <row r="32" spans="1:46">
      <c r="A32" s="63">
        <f t="shared" ref="A32:F32" ca="1" si="1">ROUNDDOWN((A31-10)/2,0)</f>
        <v>4</v>
      </c>
      <c r="B32" s="63">
        <f t="shared" ca="1" si="1"/>
        <v>2</v>
      </c>
      <c r="C32" s="63">
        <f t="shared" ca="1" si="1"/>
        <v>0</v>
      </c>
      <c r="D32" s="63">
        <f t="shared" ca="1" si="1"/>
        <v>4</v>
      </c>
      <c r="E32" s="64">
        <f t="shared" ca="1" si="1"/>
        <v>3</v>
      </c>
      <c r="F32" s="63">
        <f t="shared" ca="1" si="1"/>
        <v>1</v>
      </c>
      <c r="M32"/>
      <c r="N32"/>
      <c r="O32"/>
      <c r="P32"/>
      <c r="Q32"/>
      <c r="R32" t="s">
        <v>1870</v>
      </c>
      <c r="S32"/>
      <c r="T32"/>
      <c r="U32"/>
      <c r="V32" t="s">
        <v>1872</v>
      </c>
      <c r="W32"/>
      <c r="X32"/>
      <c r="Y32"/>
      <c r="Z32"/>
      <c r="AA32" t="s">
        <v>1760</v>
      </c>
      <c r="AB32" t="s">
        <v>1887</v>
      </c>
      <c r="AC32"/>
      <c r="AD32"/>
      <c r="AE32"/>
      <c r="AF32"/>
    </row>
    <row r="33" spans="1:32">
      <c r="M33"/>
      <c r="N33"/>
      <c r="O33"/>
      <c r="P33"/>
      <c r="Q33"/>
      <c r="R33" t="s">
        <v>1879</v>
      </c>
      <c r="S33"/>
      <c r="T33"/>
      <c r="U33"/>
      <c r="V33" t="s">
        <v>1880</v>
      </c>
      <c r="W33"/>
      <c r="X33"/>
      <c r="Y33"/>
      <c r="Z33"/>
      <c r="AA33" t="s">
        <v>1760</v>
      </c>
      <c r="AB33" t="s">
        <v>1896</v>
      </c>
      <c r="AC33"/>
      <c r="AD33"/>
      <c r="AE33"/>
      <c r="AF33"/>
    </row>
    <row r="34" spans="1:32">
      <c r="A34" s="3953" t="s">
        <v>1749</v>
      </c>
      <c r="B34" s="3953"/>
      <c r="C34" s="3953"/>
      <c r="D34" s="3953"/>
      <c r="E34" s="3953"/>
      <c r="F34" s="3953"/>
      <c r="M34"/>
      <c r="N34"/>
      <c r="O34"/>
      <c r="P34"/>
      <c r="Q34"/>
      <c r="R34" t="s">
        <v>1887</v>
      </c>
      <c r="S34"/>
      <c r="T34"/>
      <c r="U34"/>
      <c r="V34" t="s">
        <v>1981</v>
      </c>
      <c r="W34"/>
      <c r="X34"/>
      <c r="Y34"/>
      <c r="Z34"/>
      <c r="AA34" t="s">
        <v>1760</v>
      </c>
      <c r="AB34" t="s">
        <v>1905</v>
      </c>
      <c r="AC34"/>
      <c r="AD34"/>
      <c r="AE34"/>
      <c r="AF34"/>
    </row>
    <row r="35" spans="1:32">
      <c r="A35" s="60" t="s">
        <v>1979</v>
      </c>
      <c r="C35" s="72" t="str">
        <f ca="1">LootGen!P2</f>
        <v>halfplate +5 (2)</v>
      </c>
      <c r="D35" s="3952" t="str">
        <f ca="1">LootGen!N3</f>
        <v>rubber</v>
      </c>
      <c r="E35" s="3952"/>
      <c r="F35" s="3952"/>
      <c r="M35"/>
      <c r="N35"/>
      <c r="O35"/>
      <c r="P35"/>
      <c r="Q35"/>
      <c r="R35" t="s">
        <v>1984</v>
      </c>
      <c r="S35"/>
      <c r="T35"/>
      <c r="U35"/>
      <c r="V35" t="s">
        <v>1898</v>
      </c>
      <c r="W35"/>
      <c r="X35"/>
      <c r="Y35"/>
      <c r="Z35"/>
      <c r="AA35" t="s">
        <v>1760</v>
      </c>
      <c r="AB35" t="s">
        <v>1912</v>
      </c>
      <c r="AC35"/>
      <c r="AD35"/>
      <c r="AE35"/>
      <c r="AF35"/>
    </row>
    <row r="36" spans="1:32">
      <c r="A36" s="60" t="s">
        <v>1980</v>
      </c>
      <c r="C36" s="72" t="str">
        <f ca="1">LootGen!O2</f>
        <v>battle axe</v>
      </c>
      <c r="D36" s="72" t="str">
        <f ca="1">LootGen!O3</f>
        <v>size class</v>
      </c>
      <c r="M36"/>
      <c r="N36"/>
      <c r="O36"/>
      <c r="P36"/>
      <c r="Q36"/>
      <c r="R36" t="s">
        <v>1905</v>
      </c>
      <c r="S36"/>
      <c r="T36"/>
      <c r="U36"/>
      <c r="V36" t="s">
        <v>1907</v>
      </c>
      <c r="W36"/>
      <c r="X36"/>
      <c r="Y36"/>
      <c r="Z36"/>
      <c r="AA36" t="s">
        <v>1760</v>
      </c>
      <c r="AB36" t="s">
        <v>1919</v>
      </c>
      <c r="AC36"/>
      <c r="AD36"/>
      <c r="AE36"/>
      <c r="AF36"/>
    </row>
    <row r="37" spans="1:32">
      <c r="A37" s="60" t="s">
        <v>1982</v>
      </c>
      <c r="B37" s="72" t="str">
        <f ca="1">LootGen!N2</f>
        <v>halberd</v>
      </c>
      <c r="C37" s="72" t="str">
        <f ca="1">LootGen!C54</f>
        <v>clamour</v>
      </c>
      <c r="D37" s="65" t="s">
        <v>1983</v>
      </c>
      <c r="E37" s="82" t="str">
        <f ca="1">INDEX(Таблиця14[quality],MATCH(RANDBETWEEN(1,100),Таблиця14[low range],1),1)</f>
        <v>superior</v>
      </c>
      <c r="M37"/>
      <c r="N37"/>
      <c r="O37"/>
      <c r="P37"/>
      <c r="Q37"/>
      <c r="R37" t="s">
        <v>1912</v>
      </c>
      <c r="S37"/>
      <c r="T37"/>
      <c r="U37"/>
      <c r="V37" t="s">
        <v>1914</v>
      </c>
      <c r="W37"/>
      <c r="X37"/>
      <c r="Y37"/>
      <c r="Z37"/>
      <c r="AA37" t="s">
        <v>1760</v>
      </c>
      <c r="AB37" t="s">
        <v>1927</v>
      </c>
      <c r="AC37"/>
      <c r="AD37"/>
      <c r="AE37"/>
      <c r="AF37"/>
    </row>
    <row r="38" spans="1:32">
      <c r="M38"/>
      <c r="N38"/>
      <c r="O38"/>
      <c r="P38"/>
      <c r="Q38"/>
      <c r="R38" t="s">
        <v>1919</v>
      </c>
      <c r="S38"/>
      <c r="T38"/>
      <c r="U38"/>
      <c r="V38" t="s">
        <v>1921</v>
      </c>
      <c r="W38"/>
      <c r="X38"/>
      <c r="Y38"/>
      <c r="Z38"/>
      <c r="AA38" t="s">
        <v>1760</v>
      </c>
      <c r="AB38" t="s">
        <v>1935</v>
      </c>
      <c r="AC38"/>
      <c r="AD38"/>
      <c r="AE38"/>
      <c r="AF38"/>
    </row>
    <row r="39" spans="1:32">
      <c r="M39"/>
      <c r="N39"/>
      <c r="O39"/>
      <c r="P39"/>
      <c r="Q39"/>
      <c r="R39" t="s">
        <v>1927</v>
      </c>
      <c r="S39"/>
      <c r="T39"/>
      <c r="U39"/>
      <c r="V39" t="s">
        <v>1929</v>
      </c>
      <c r="W39"/>
      <c r="X39"/>
      <c r="Y39"/>
      <c r="Z39"/>
      <c r="AA39" t="s">
        <v>1760</v>
      </c>
      <c r="AB39" t="s">
        <v>1944</v>
      </c>
      <c r="AC39"/>
      <c r="AD39"/>
      <c r="AE39"/>
      <c r="AF39"/>
    </row>
    <row r="40" spans="1:32">
      <c r="M40"/>
      <c r="N40"/>
      <c r="O40"/>
      <c r="P40"/>
      <c r="Q40"/>
      <c r="R40" t="s">
        <v>1935</v>
      </c>
      <c r="S40"/>
      <c r="T40"/>
      <c r="U40"/>
      <c r="V40" t="s">
        <v>1937</v>
      </c>
      <c r="W40"/>
      <c r="X40"/>
      <c r="Y40"/>
      <c r="Z40"/>
      <c r="AA40" t="s">
        <v>1760</v>
      </c>
      <c r="AB40"/>
      <c r="AC40"/>
      <c r="AD40"/>
      <c r="AE40"/>
      <c r="AF40"/>
    </row>
    <row r="41" spans="1:32">
      <c r="M41"/>
      <c r="N41"/>
      <c r="O41"/>
      <c r="P41"/>
      <c r="Q41"/>
      <c r="R41" t="s">
        <v>1944</v>
      </c>
      <c r="S41"/>
      <c r="T41"/>
      <c r="U41"/>
      <c r="V41" t="s">
        <v>1747</v>
      </c>
      <c r="W41"/>
      <c r="X41"/>
      <c r="Y41"/>
      <c r="Z41"/>
      <c r="AA41" t="s">
        <v>1760</v>
      </c>
      <c r="AB41"/>
      <c r="AC41"/>
      <c r="AD41"/>
      <c r="AE41"/>
      <c r="AF41"/>
    </row>
    <row r="42" spans="1:32">
      <c r="M42"/>
      <c r="N42"/>
      <c r="O42"/>
      <c r="P42"/>
      <c r="Q42"/>
      <c r="R42" t="s">
        <v>1761</v>
      </c>
      <c r="S42"/>
      <c r="T42"/>
      <c r="U42"/>
      <c r="V42" t="s">
        <v>1985</v>
      </c>
      <c r="W42"/>
      <c r="X42"/>
      <c r="Y42"/>
      <c r="Z42"/>
      <c r="AA42" t="s">
        <v>1760</v>
      </c>
      <c r="AB42"/>
      <c r="AC42"/>
      <c r="AD42"/>
      <c r="AE42"/>
      <c r="AF42"/>
    </row>
    <row r="43" spans="1:32">
      <c r="M43"/>
      <c r="N43"/>
      <c r="O43"/>
      <c r="P43"/>
      <c r="Q43"/>
      <c r="R43" t="s">
        <v>1773</v>
      </c>
      <c r="S43"/>
      <c r="T43"/>
      <c r="U43"/>
      <c r="V43" t="s">
        <v>1986</v>
      </c>
      <c r="W43"/>
      <c r="X43"/>
      <c r="Y43"/>
      <c r="Z43"/>
      <c r="AA43" t="s">
        <v>1760</v>
      </c>
      <c r="AB43"/>
      <c r="AC43"/>
      <c r="AD43"/>
      <c r="AE43"/>
      <c r="AF43"/>
    </row>
    <row r="44" spans="1:32">
      <c r="M44"/>
      <c r="N44"/>
      <c r="O44"/>
      <c r="P44"/>
      <c r="Q44"/>
      <c r="R44" t="s">
        <v>1779</v>
      </c>
      <c r="S44"/>
      <c r="T44"/>
      <c r="U44"/>
      <c r="V44" t="s">
        <v>1987</v>
      </c>
      <c r="W44"/>
      <c r="X44"/>
      <c r="Y44"/>
      <c r="Z44"/>
      <c r="AA44" t="s">
        <v>1760</v>
      </c>
      <c r="AB44"/>
      <c r="AC44"/>
      <c r="AD44"/>
      <c r="AE44"/>
      <c r="AF44"/>
    </row>
    <row r="45" spans="1:32">
      <c r="M45"/>
      <c r="N45"/>
      <c r="O45"/>
      <c r="P45"/>
      <c r="Q45"/>
      <c r="R45" t="s">
        <v>1794</v>
      </c>
      <c r="S45"/>
      <c r="T45"/>
      <c r="U45"/>
      <c r="V45" t="s">
        <v>1988</v>
      </c>
      <c r="W45"/>
      <c r="X45"/>
      <c r="Y45"/>
      <c r="Z45"/>
      <c r="AA45" t="s">
        <v>1760</v>
      </c>
      <c r="AB45"/>
      <c r="AC45"/>
      <c r="AD45"/>
      <c r="AE45"/>
      <c r="AF45"/>
    </row>
    <row r="46" spans="1:32">
      <c r="M46"/>
      <c r="N46"/>
      <c r="O46"/>
      <c r="P46"/>
      <c r="Q46"/>
      <c r="R46" t="s">
        <v>1804</v>
      </c>
      <c r="S46"/>
      <c r="T46"/>
      <c r="U46"/>
      <c r="V46" t="s">
        <v>1951</v>
      </c>
      <c r="W46"/>
      <c r="X46"/>
      <c r="Y46"/>
      <c r="Z46"/>
      <c r="AA46" t="s">
        <v>1760</v>
      </c>
      <c r="AB46"/>
      <c r="AC46"/>
      <c r="AD46"/>
      <c r="AE46"/>
      <c r="AF46"/>
    </row>
    <row r="47" spans="1:32">
      <c r="A47" s="60" t="s">
        <v>1786</v>
      </c>
      <c r="B47" s="60" t="s">
        <v>1748</v>
      </c>
      <c r="C47" s="60" t="s">
        <v>1818</v>
      </c>
      <c r="M47"/>
      <c r="N47"/>
      <c r="O47"/>
      <c r="P47"/>
      <c r="Q47"/>
      <c r="R47" t="s">
        <v>1815</v>
      </c>
      <c r="S47"/>
      <c r="T47"/>
      <c r="U47"/>
      <c r="V47" t="s">
        <v>1953</v>
      </c>
      <c r="W47"/>
      <c r="X47"/>
      <c r="Y47"/>
      <c r="Z47"/>
      <c r="AA47" t="s">
        <v>1760</v>
      </c>
      <c r="AB47"/>
      <c r="AC47"/>
      <c r="AD47"/>
      <c r="AE47"/>
      <c r="AF47"/>
    </row>
    <row r="48" spans="1:32">
      <c r="A48" s="72" t="str">
        <f ca="1">INDEX($AB2:$AB39,RANDBETWEEN(1,COUNTA($AB2:$AB39)),1)</f>
        <v>warhammer</v>
      </c>
      <c r="B48" s="72" t="str">
        <f ca="1">INDEX($AA2:$AA50,RANDBETWEEN(1,COUNTA($AA2:$AA50)),1)</f>
        <v>none</v>
      </c>
      <c r="C48" s="72" t="str">
        <f ca="1">INDEX($AC2:$AC21,RANDBETWEEN(1,COUNTA($AC2:$AC21)),1)</f>
        <v>small goods</v>
      </c>
      <c r="F48" t="s">
        <v>2069</v>
      </c>
      <c r="G48" t="s">
        <v>2070</v>
      </c>
      <c r="H48" t="s">
        <v>2071</v>
      </c>
      <c r="I48" s="32" t="s">
        <v>597</v>
      </c>
      <c r="M48"/>
      <c r="N48"/>
      <c r="O48"/>
      <c r="P48"/>
      <c r="Q48"/>
      <c r="R48" t="s">
        <v>1826</v>
      </c>
      <c r="S48"/>
      <c r="T48"/>
      <c r="U48"/>
      <c r="V48" t="s">
        <v>1956</v>
      </c>
      <c r="W48"/>
      <c r="X48"/>
      <c r="Y48"/>
      <c r="Z48"/>
      <c r="AA48" t="s">
        <v>1760</v>
      </c>
      <c r="AB48"/>
      <c r="AC48"/>
      <c r="AD48"/>
      <c r="AE48"/>
      <c r="AF48"/>
    </row>
    <row r="49" spans="1:32">
      <c r="F49" t="s">
        <v>2072</v>
      </c>
      <c r="G49">
        <v>0</v>
      </c>
      <c r="H49" t="s">
        <v>2073</v>
      </c>
      <c r="M49"/>
      <c r="N49"/>
      <c r="O49"/>
      <c r="P49"/>
      <c r="Q49"/>
      <c r="R49" t="s">
        <v>1838</v>
      </c>
      <c r="S49"/>
      <c r="T49"/>
      <c r="U49"/>
      <c r="V49" t="s">
        <v>1958</v>
      </c>
      <c r="W49"/>
      <c r="X49"/>
      <c r="Y49"/>
      <c r="Z49"/>
      <c r="AA49" t="s">
        <v>1760</v>
      </c>
      <c r="AB49"/>
      <c r="AC49"/>
      <c r="AD49"/>
      <c r="AE49"/>
      <c r="AF49"/>
    </row>
    <row r="50" spans="1:32">
      <c r="A50" s="60" t="s">
        <v>1842</v>
      </c>
      <c r="B50" s="60" t="s">
        <v>1843</v>
      </c>
      <c r="C50" s="60" t="s">
        <v>1844</v>
      </c>
      <c r="F50" t="s">
        <v>2074</v>
      </c>
      <c r="G50">
        <v>30</v>
      </c>
      <c r="H50" t="s">
        <v>1770</v>
      </c>
      <c r="M50"/>
      <c r="N50"/>
      <c r="O50"/>
      <c r="P50"/>
      <c r="Q50"/>
      <c r="R50" t="s">
        <v>1852</v>
      </c>
      <c r="S50"/>
      <c r="T50"/>
      <c r="U50"/>
      <c r="V50" t="s">
        <v>1963</v>
      </c>
      <c r="W50"/>
      <c r="X50"/>
      <c r="Y50"/>
      <c r="Z50"/>
      <c r="AA50" t="s">
        <v>1942</v>
      </c>
      <c r="AB50"/>
      <c r="AC50"/>
      <c r="AD50"/>
      <c r="AE50"/>
      <c r="AF50"/>
    </row>
    <row r="51" spans="1:32">
      <c r="A51" s="72" t="str">
        <f ca="1">INDEX($X2:$X11,RANDBETWEEN(1,COUNTA($X2:$X11)),1)</f>
        <v>paranoid</v>
      </c>
      <c r="B51" s="72" t="str">
        <f ca="1">INDEX($Y2:$Y11,RANDBETWEEN(1,COUNTA($Y2:$Y11)),1)</f>
        <v>psychic</v>
      </c>
      <c r="C51" s="72" t="str">
        <f ca="1">INDEX($Z2:$Z19,RANDBETWEEN(1,COUNTA($Z2:$Z19)),1)</f>
        <v>slashing</v>
      </c>
      <c r="F51" t="s">
        <v>2075</v>
      </c>
      <c r="G51">
        <v>70</v>
      </c>
      <c r="H51" t="s">
        <v>2076</v>
      </c>
      <c r="I51" s="32">
        <v>1</v>
      </c>
      <c r="M51"/>
      <c r="N51"/>
      <c r="O51"/>
      <c r="P51"/>
      <c r="Q51"/>
      <c r="R51" t="s">
        <v>1863</v>
      </c>
      <c r="S51"/>
      <c r="T51"/>
      <c r="U51"/>
      <c r="V51"/>
      <c r="W51"/>
      <c r="X51"/>
      <c r="Y51"/>
      <c r="Z51"/>
      <c r="AA51"/>
      <c r="AB51"/>
      <c r="AC51"/>
      <c r="AD51"/>
      <c r="AE51"/>
      <c r="AF51"/>
    </row>
    <row r="52" spans="1:32">
      <c r="F52">
        <v>100</v>
      </c>
      <c r="G52">
        <v>99</v>
      </c>
      <c r="H52" t="s">
        <v>2077</v>
      </c>
      <c r="I52" s="32">
        <v>2</v>
      </c>
      <c r="M52"/>
      <c r="N52"/>
      <c r="O52"/>
      <c r="P52"/>
      <c r="Q52"/>
      <c r="R52" t="s">
        <v>1873</v>
      </c>
      <c r="S52"/>
      <c r="T52"/>
      <c r="U52"/>
      <c r="V52"/>
      <c r="W52"/>
      <c r="X52"/>
      <c r="Y52"/>
      <c r="Z52"/>
      <c r="AA52"/>
      <c r="AB52"/>
      <c r="AC52"/>
      <c r="AD52"/>
      <c r="AE52"/>
      <c r="AF52"/>
    </row>
    <row r="53" spans="1:32">
      <c r="A53" s="60" t="s">
        <v>1751</v>
      </c>
      <c r="B53" s="60"/>
      <c r="C53" s="60" t="s">
        <v>1876</v>
      </c>
      <c r="M53"/>
      <c r="N53"/>
      <c r="O53"/>
      <c r="P53"/>
      <c r="Q53"/>
      <c r="R53" t="s">
        <v>1882</v>
      </c>
      <c r="S53"/>
      <c r="T53"/>
      <c r="U53"/>
      <c r="V53"/>
      <c r="W53"/>
      <c r="X53"/>
      <c r="Y53"/>
      <c r="Z53"/>
      <c r="AA53"/>
      <c r="AB53"/>
      <c r="AC53"/>
      <c r="AD53"/>
      <c r="AE53"/>
      <c r="AF53"/>
    </row>
    <row r="54" spans="1:32">
      <c r="A54" s="72" t="str">
        <f ca="1">INDEX($AD2:$AD21,RANDBETWEEN(1,COUNTA($AD2:$AD21)),1)</f>
        <v>gnome</v>
      </c>
      <c r="B54" s="72"/>
      <c r="C54" s="72" t="str">
        <f ca="1">INDEX($V2:$V50,RANDBETWEEN(1,COUNTA($V2:$V50)),1)</f>
        <v>clamour</v>
      </c>
      <c r="M54"/>
      <c r="N54"/>
      <c r="O54"/>
      <c r="P54"/>
      <c r="Q54"/>
      <c r="R54" t="s">
        <v>1886</v>
      </c>
      <c r="S54"/>
      <c r="T54"/>
      <c r="U54"/>
      <c r="V54"/>
      <c r="W54"/>
      <c r="X54"/>
      <c r="Y54"/>
      <c r="Z54"/>
      <c r="AA54"/>
      <c r="AB54"/>
      <c r="AC54"/>
      <c r="AD54"/>
      <c r="AE54"/>
      <c r="AF54"/>
    </row>
    <row r="55" spans="1:32">
      <c r="G55" s="34" t="s">
        <v>1924</v>
      </c>
      <c r="M55"/>
      <c r="N55"/>
      <c r="O55"/>
      <c r="P55"/>
      <c r="Q55"/>
      <c r="R55" t="s">
        <v>1895</v>
      </c>
      <c r="S55"/>
      <c r="T55"/>
      <c r="U55"/>
      <c r="V55"/>
      <c r="W55"/>
      <c r="X55"/>
      <c r="Y55"/>
      <c r="Z55"/>
      <c r="AA55"/>
      <c r="AB55"/>
      <c r="AC55"/>
      <c r="AD55"/>
      <c r="AE55"/>
      <c r="AF55"/>
    </row>
    <row r="56" spans="1:32">
      <c r="G56" s="33" t="s">
        <v>1932</v>
      </c>
      <c r="M56"/>
      <c r="N56"/>
      <c r="O56"/>
      <c r="P56"/>
      <c r="Q56"/>
      <c r="R56" t="s">
        <v>1904</v>
      </c>
      <c r="S56"/>
      <c r="T56"/>
      <c r="U56"/>
      <c r="V56"/>
      <c r="W56"/>
      <c r="X56"/>
      <c r="Y56"/>
      <c r="Z56"/>
      <c r="AA56"/>
      <c r="AB56"/>
      <c r="AC56"/>
      <c r="AD56"/>
      <c r="AE56"/>
      <c r="AF56"/>
    </row>
    <row r="57" spans="1:32">
      <c r="G57" s="34" t="s">
        <v>1941</v>
      </c>
      <c r="M57"/>
      <c r="N57"/>
      <c r="O57"/>
      <c r="P57"/>
      <c r="Q57"/>
      <c r="R57" t="s">
        <v>1911</v>
      </c>
      <c r="S57"/>
      <c r="T57"/>
      <c r="U57"/>
      <c r="V57"/>
      <c r="W57"/>
      <c r="X57"/>
      <c r="Y57"/>
      <c r="Z57"/>
      <c r="AA57"/>
      <c r="AB57"/>
      <c r="AC57"/>
      <c r="AD57"/>
      <c r="AE57"/>
      <c r="AF57"/>
    </row>
    <row r="58" spans="1:32">
      <c r="G58" s="33" t="s">
        <v>1949</v>
      </c>
      <c r="M58"/>
      <c r="N58"/>
      <c r="O58"/>
      <c r="P58"/>
      <c r="Q58"/>
      <c r="R58" t="s">
        <v>1918</v>
      </c>
      <c r="S58"/>
      <c r="T58"/>
      <c r="U58"/>
      <c r="V58"/>
      <c r="W58"/>
      <c r="X58"/>
      <c r="Y58"/>
      <c r="Z58"/>
      <c r="AA58"/>
      <c r="AB58"/>
      <c r="AC58"/>
      <c r="AD58"/>
      <c r="AE58"/>
      <c r="AF58"/>
    </row>
    <row r="59" spans="1:32">
      <c r="M59"/>
      <c r="N59"/>
      <c r="O59"/>
      <c r="P59"/>
      <c r="Q59"/>
      <c r="R59" t="s">
        <v>1926</v>
      </c>
      <c r="S59"/>
      <c r="T59"/>
      <c r="U59"/>
      <c r="V59"/>
      <c r="W59"/>
      <c r="X59"/>
      <c r="Y59"/>
      <c r="Z59"/>
      <c r="AA59"/>
      <c r="AB59"/>
      <c r="AC59"/>
      <c r="AD59"/>
      <c r="AE59"/>
      <c r="AF59"/>
    </row>
    <row r="60" spans="1:32">
      <c r="M60"/>
      <c r="N60"/>
      <c r="O60"/>
      <c r="P60"/>
      <c r="Q60"/>
      <c r="R60"/>
      <c r="S60"/>
      <c r="T60"/>
      <c r="U60"/>
      <c r="V60"/>
      <c r="W60"/>
      <c r="X60"/>
      <c r="Y60"/>
      <c r="Z60"/>
      <c r="AA60"/>
      <c r="AB60"/>
      <c r="AC60"/>
      <c r="AD60"/>
      <c r="AE60"/>
      <c r="AF60"/>
    </row>
    <row r="61" spans="1:32">
      <c r="M61"/>
      <c r="N61"/>
      <c r="O61"/>
      <c r="P61"/>
      <c r="Q61"/>
      <c r="R61"/>
      <c r="S61"/>
      <c r="T61"/>
      <c r="U61"/>
      <c r="V61"/>
      <c r="W61"/>
      <c r="X61"/>
      <c r="Y61"/>
      <c r="Z61"/>
      <c r="AA61"/>
      <c r="AB61"/>
      <c r="AC61"/>
      <c r="AD61"/>
      <c r="AE61"/>
      <c r="AF61"/>
    </row>
    <row r="62" spans="1:32">
      <c r="M62"/>
      <c r="N62"/>
      <c r="O62"/>
      <c r="P62"/>
      <c r="Q62"/>
      <c r="R62"/>
      <c r="S62"/>
      <c r="T62"/>
      <c r="U62"/>
      <c r="V62"/>
      <c r="W62"/>
      <c r="X62"/>
      <c r="Y62"/>
      <c r="Z62"/>
      <c r="AA62"/>
      <c r="AB62"/>
      <c r="AC62"/>
      <c r="AD62"/>
      <c r="AE62"/>
      <c r="AF62"/>
    </row>
    <row r="63" spans="1:32">
      <c r="M63"/>
      <c r="N63"/>
      <c r="O63"/>
      <c r="P63"/>
      <c r="Q63"/>
      <c r="R63"/>
      <c r="S63"/>
      <c r="T63"/>
      <c r="U63"/>
      <c r="V63"/>
      <c r="W63"/>
      <c r="X63"/>
      <c r="Y63"/>
      <c r="Z63"/>
      <c r="AA63"/>
      <c r="AB63"/>
      <c r="AC63"/>
      <c r="AD63"/>
      <c r="AE63"/>
      <c r="AF63"/>
    </row>
    <row r="64" spans="1:32">
      <c r="M64"/>
      <c r="N64"/>
      <c r="O64"/>
      <c r="P64"/>
      <c r="Q64"/>
      <c r="R64"/>
      <c r="S64"/>
      <c r="T64"/>
      <c r="U64"/>
      <c r="V64"/>
      <c r="W64"/>
      <c r="X64"/>
      <c r="Y64"/>
      <c r="Z64"/>
      <c r="AA64"/>
      <c r="AB64"/>
      <c r="AC64"/>
      <c r="AD64"/>
      <c r="AE64"/>
      <c r="AF64"/>
    </row>
    <row r="65" spans="13:32">
      <c r="M65"/>
      <c r="N65"/>
      <c r="O65"/>
      <c r="P65"/>
      <c r="Q65"/>
      <c r="R65"/>
      <c r="S65"/>
      <c r="T65"/>
      <c r="U65"/>
      <c r="V65"/>
      <c r="W65"/>
      <c r="X65"/>
      <c r="Y65"/>
      <c r="Z65"/>
      <c r="AA65"/>
      <c r="AB65"/>
      <c r="AC65"/>
      <c r="AD65"/>
      <c r="AE65"/>
      <c r="AF65"/>
    </row>
    <row r="66" spans="13:32">
      <c r="M66"/>
      <c r="N66"/>
      <c r="O66"/>
      <c r="P66"/>
      <c r="Q66"/>
      <c r="R66"/>
      <c r="S66"/>
      <c r="T66"/>
      <c r="U66"/>
      <c r="V66"/>
      <c r="W66"/>
      <c r="X66"/>
      <c r="Y66"/>
      <c r="Z66"/>
      <c r="AA66"/>
      <c r="AB66"/>
      <c r="AC66"/>
      <c r="AD66"/>
      <c r="AE66"/>
      <c r="AF66"/>
    </row>
    <row r="67" spans="13:32">
      <c r="M67"/>
      <c r="N67"/>
      <c r="O67"/>
      <c r="P67"/>
      <c r="Q67"/>
      <c r="R67"/>
      <c r="S67"/>
      <c r="T67"/>
      <c r="U67"/>
      <c r="V67"/>
      <c r="W67"/>
      <c r="X67"/>
      <c r="Y67"/>
      <c r="Z67"/>
      <c r="AA67"/>
      <c r="AB67"/>
      <c r="AC67"/>
      <c r="AD67"/>
      <c r="AE67"/>
      <c r="AF67"/>
    </row>
    <row r="68" spans="13:32">
      <c r="M68"/>
      <c r="N68"/>
      <c r="O68"/>
      <c r="P68"/>
      <c r="Q68"/>
      <c r="R68"/>
      <c r="S68"/>
      <c r="T68"/>
      <c r="U68"/>
      <c r="V68"/>
      <c r="W68"/>
      <c r="X68"/>
      <c r="Y68"/>
      <c r="Z68"/>
      <c r="AA68"/>
      <c r="AB68"/>
      <c r="AC68"/>
      <c r="AD68"/>
      <c r="AE68"/>
      <c r="AF68"/>
    </row>
    <row r="69" spans="13:32">
      <c r="M69"/>
      <c r="N69"/>
      <c r="O69"/>
      <c r="P69"/>
      <c r="Q69"/>
      <c r="R69"/>
      <c r="S69"/>
      <c r="T69"/>
      <c r="U69"/>
      <c r="V69"/>
      <c r="W69"/>
      <c r="X69"/>
      <c r="Y69"/>
      <c r="Z69"/>
      <c r="AA69"/>
      <c r="AB69"/>
      <c r="AC69"/>
      <c r="AD69"/>
      <c r="AE69"/>
      <c r="AF69"/>
    </row>
    <row r="70" spans="13:32">
      <c r="M70"/>
      <c r="N70"/>
      <c r="O70"/>
      <c r="P70"/>
      <c r="Q70"/>
      <c r="R70"/>
      <c r="S70"/>
      <c r="T70"/>
      <c r="U70"/>
      <c r="V70"/>
      <c r="W70"/>
      <c r="X70"/>
      <c r="Y70"/>
      <c r="Z70"/>
      <c r="AA70"/>
      <c r="AB70"/>
      <c r="AC70"/>
      <c r="AD70"/>
      <c r="AE70"/>
      <c r="AF70"/>
    </row>
    <row r="71" spans="13:32">
      <c r="M71"/>
      <c r="N71"/>
      <c r="O71"/>
      <c r="P71"/>
      <c r="Q71"/>
      <c r="R71"/>
      <c r="S71"/>
      <c r="T71"/>
      <c r="U71"/>
      <c r="V71"/>
      <c r="W71"/>
      <c r="X71"/>
      <c r="Y71"/>
      <c r="Z71"/>
      <c r="AA71"/>
      <c r="AB71"/>
      <c r="AC71"/>
      <c r="AD71"/>
      <c r="AE71"/>
      <c r="AF71"/>
    </row>
    <row r="72" spans="13:32">
      <c r="M72"/>
      <c r="N72"/>
      <c r="O72"/>
      <c r="P72"/>
      <c r="Q72"/>
      <c r="R72"/>
      <c r="S72"/>
      <c r="T72"/>
      <c r="U72"/>
      <c r="V72"/>
      <c r="W72"/>
      <c r="X72"/>
      <c r="Y72"/>
      <c r="Z72"/>
      <c r="AA72"/>
      <c r="AB72"/>
      <c r="AC72"/>
      <c r="AD72"/>
      <c r="AE72"/>
      <c r="AF72"/>
    </row>
    <row r="73" spans="13:32">
      <c r="M73"/>
      <c r="N73"/>
      <c r="O73"/>
      <c r="P73"/>
      <c r="Q73"/>
      <c r="R73"/>
      <c r="S73"/>
      <c r="T73"/>
      <c r="U73"/>
      <c r="V73"/>
      <c r="W73"/>
      <c r="X73"/>
      <c r="Y73"/>
      <c r="Z73"/>
      <c r="AA73"/>
      <c r="AB73"/>
      <c r="AC73"/>
      <c r="AD73"/>
      <c r="AE73"/>
      <c r="AF73"/>
    </row>
    <row r="74" spans="13:32">
      <c r="M74"/>
      <c r="N74"/>
      <c r="O74"/>
      <c r="P74"/>
      <c r="Q74"/>
      <c r="R74"/>
      <c r="S74"/>
      <c r="T74"/>
      <c r="U74"/>
      <c r="V74"/>
      <c r="W74"/>
      <c r="X74"/>
      <c r="Y74"/>
      <c r="Z74"/>
      <c r="AA74"/>
      <c r="AB74"/>
      <c r="AC74"/>
      <c r="AD74"/>
      <c r="AE74"/>
      <c r="AF74"/>
    </row>
    <row r="75" spans="13:32">
      <c r="M75"/>
      <c r="N75"/>
      <c r="O75"/>
      <c r="P75"/>
      <c r="Q75"/>
      <c r="R75"/>
      <c r="S75"/>
      <c r="T75"/>
      <c r="U75"/>
      <c r="V75"/>
      <c r="W75"/>
      <c r="X75"/>
      <c r="Y75"/>
      <c r="Z75"/>
      <c r="AA75"/>
      <c r="AB75"/>
      <c r="AC75"/>
      <c r="AD75"/>
      <c r="AE75"/>
      <c r="AF75"/>
    </row>
    <row r="76" spans="13:32">
      <c r="M76"/>
      <c r="N76"/>
      <c r="O76"/>
      <c r="P76"/>
      <c r="Q76"/>
      <c r="R76"/>
      <c r="S76"/>
      <c r="T76"/>
      <c r="U76"/>
      <c r="V76"/>
      <c r="W76"/>
      <c r="X76"/>
      <c r="Y76"/>
      <c r="Z76"/>
      <c r="AA76"/>
      <c r="AB76"/>
      <c r="AC76"/>
      <c r="AD76"/>
      <c r="AE76"/>
      <c r="AF76"/>
    </row>
    <row r="77" spans="13:32">
      <c r="M77"/>
      <c r="N77"/>
      <c r="O77"/>
      <c r="P77"/>
      <c r="Q77"/>
      <c r="R77"/>
      <c r="S77"/>
      <c r="T77"/>
      <c r="U77"/>
      <c r="V77"/>
      <c r="W77"/>
      <c r="X77"/>
      <c r="Y77"/>
      <c r="Z77"/>
      <c r="AA77"/>
      <c r="AB77"/>
      <c r="AC77"/>
      <c r="AD77"/>
      <c r="AE77"/>
      <c r="AF77"/>
    </row>
    <row r="78" spans="13:32">
      <c r="M78"/>
      <c r="N78"/>
      <c r="O78"/>
      <c r="P78"/>
      <c r="Q78"/>
      <c r="R78"/>
      <c r="S78"/>
      <c r="T78"/>
      <c r="U78"/>
      <c r="V78"/>
      <c r="W78"/>
      <c r="X78"/>
      <c r="Y78"/>
      <c r="Z78"/>
      <c r="AA78"/>
      <c r="AB78"/>
      <c r="AC78"/>
      <c r="AD78"/>
      <c r="AE78"/>
      <c r="AF78"/>
    </row>
    <row r="79" spans="13:32">
      <c r="M79"/>
      <c r="N79"/>
      <c r="O79"/>
      <c r="P79"/>
      <c r="Q79"/>
      <c r="R79"/>
      <c r="S79"/>
      <c r="T79"/>
      <c r="U79"/>
      <c r="V79"/>
      <c r="W79"/>
      <c r="X79"/>
      <c r="Y79"/>
      <c r="Z79"/>
      <c r="AA79"/>
      <c r="AB79"/>
      <c r="AC79"/>
      <c r="AD79"/>
      <c r="AE79"/>
      <c r="AF79"/>
    </row>
    <row r="80" spans="13:32">
      <c r="M80"/>
      <c r="N80"/>
      <c r="O80"/>
      <c r="P80"/>
      <c r="Q80"/>
      <c r="R80"/>
      <c r="S80"/>
      <c r="T80"/>
      <c r="U80"/>
      <c r="V80"/>
      <c r="W80"/>
      <c r="X80"/>
      <c r="Y80"/>
      <c r="Z80"/>
      <c r="AA80"/>
      <c r="AB80"/>
      <c r="AC80"/>
      <c r="AD80"/>
      <c r="AE80"/>
      <c r="AF80"/>
    </row>
    <row r="81" spans="13:32">
      <c r="M81"/>
      <c r="N81"/>
      <c r="O81"/>
      <c r="P81"/>
      <c r="Q81"/>
      <c r="R81"/>
      <c r="S81"/>
      <c r="T81"/>
      <c r="U81"/>
      <c r="V81"/>
      <c r="W81"/>
      <c r="X81"/>
      <c r="Y81"/>
      <c r="Z81"/>
      <c r="AA81"/>
      <c r="AB81"/>
      <c r="AC81"/>
      <c r="AD81"/>
      <c r="AE81"/>
      <c r="AF81"/>
    </row>
    <row r="82" spans="13:32">
      <c r="M82"/>
      <c r="N82"/>
      <c r="O82"/>
      <c r="P82"/>
      <c r="Q82"/>
      <c r="R82"/>
      <c r="S82"/>
      <c r="T82"/>
      <c r="U82"/>
      <c r="V82"/>
      <c r="W82"/>
      <c r="X82"/>
      <c r="Y82"/>
      <c r="Z82"/>
      <c r="AA82"/>
      <c r="AB82"/>
      <c r="AC82"/>
      <c r="AD82"/>
      <c r="AE82"/>
      <c r="AF82"/>
    </row>
    <row r="83" spans="13:32">
      <c r="M83"/>
      <c r="N83"/>
      <c r="O83"/>
      <c r="P83"/>
      <c r="Q83"/>
      <c r="R83"/>
      <c r="S83"/>
      <c r="T83"/>
      <c r="U83"/>
      <c r="V83"/>
      <c r="W83"/>
      <c r="X83"/>
      <c r="Y83"/>
      <c r="Z83"/>
      <c r="AA83"/>
      <c r="AB83"/>
      <c r="AC83"/>
      <c r="AD83"/>
      <c r="AE83"/>
      <c r="AF83"/>
    </row>
    <row r="84" spans="13:32">
      <c r="M84"/>
      <c r="N84"/>
      <c r="O84"/>
      <c r="P84"/>
      <c r="Q84"/>
      <c r="R84"/>
      <c r="S84"/>
      <c r="T84"/>
      <c r="U84"/>
      <c r="V84"/>
      <c r="W84"/>
      <c r="X84"/>
      <c r="Y84"/>
      <c r="Z84"/>
      <c r="AA84"/>
      <c r="AB84"/>
      <c r="AC84"/>
      <c r="AD84"/>
      <c r="AE84"/>
      <c r="AF84"/>
    </row>
    <row r="85" spans="13:32">
      <c r="M85"/>
      <c r="N85"/>
      <c r="O85"/>
      <c r="P85"/>
      <c r="Q85"/>
      <c r="R85"/>
      <c r="S85"/>
      <c r="T85"/>
      <c r="U85"/>
      <c r="V85"/>
      <c r="W85"/>
      <c r="X85"/>
      <c r="Y85"/>
      <c r="Z85"/>
      <c r="AA85"/>
      <c r="AB85"/>
      <c r="AC85"/>
      <c r="AD85"/>
      <c r="AE85"/>
      <c r="AF85"/>
    </row>
    <row r="86" spans="13:32">
      <c r="M86"/>
      <c r="N86"/>
      <c r="O86"/>
      <c r="P86"/>
      <c r="Q86"/>
      <c r="R86"/>
      <c r="S86"/>
      <c r="T86"/>
      <c r="U86"/>
      <c r="V86"/>
      <c r="W86"/>
      <c r="X86"/>
      <c r="Y86"/>
      <c r="Z86"/>
      <c r="AA86"/>
      <c r="AB86"/>
      <c r="AC86"/>
      <c r="AD86"/>
      <c r="AE86"/>
      <c r="AF86"/>
    </row>
    <row r="87" spans="13:32">
      <c r="M87"/>
      <c r="N87"/>
      <c r="O87"/>
      <c r="P87"/>
      <c r="Q87"/>
      <c r="R87"/>
      <c r="S87"/>
      <c r="T87"/>
      <c r="U87"/>
      <c r="V87"/>
      <c r="W87"/>
      <c r="X87"/>
      <c r="Y87"/>
      <c r="Z87"/>
      <c r="AA87"/>
      <c r="AB87"/>
      <c r="AC87"/>
      <c r="AD87"/>
      <c r="AE87"/>
      <c r="AF87"/>
    </row>
    <row r="88" spans="13:32">
      <c r="M88"/>
      <c r="N88"/>
      <c r="O88"/>
      <c r="P88"/>
      <c r="Q88"/>
      <c r="R88"/>
      <c r="S88"/>
      <c r="T88"/>
      <c r="U88"/>
      <c r="V88"/>
      <c r="W88"/>
      <c r="X88"/>
      <c r="Y88"/>
      <c r="Z88"/>
      <c r="AA88"/>
      <c r="AB88"/>
      <c r="AC88"/>
      <c r="AD88"/>
      <c r="AE88"/>
      <c r="AF88"/>
    </row>
    <row r="89" spans="13:32">
      <c r="M89"/>
      <c r="N89"/>
      <c r="O89"/>
      <c r="P89"/>
      <c r="Q89"/>
      <c r="R89"/>
      <c r="S89"/>
      <c r="T89"/>
      <c r="U89"/>
      <c r="V89"/>
      <c r="W89"/>
      <c r="X89"/>
      <c r="Y89"/>
      <c r="Z89"/>
      <c r="AA89"/>
      <c r="AB89"/>
      <c r="AC89"/>
      <c r="AD89"/>
      <c r="AE89"/>
      <c r="AF89"/>
    </row>
    <row r="90" spans="13:32">
      <c r="M90"/>
      <c r="N90"/>
      <c r="O90"/>
      <c r="P90"/>
      <c r="Q90"/>
      <c r="R90"/>
      <c r="S90"/>
      <c r="T90"/>
      <c r="U90"/>
      <c r="V90"/>
      <c r="W90"/>
      <c r="X90"/>
      <c r="Y90"/>
      <c r="Z90"/>
      <c r="AA90"/>
      <c r="AB90"/>
      <c r="AC90"/>
      <c r="AD90"/>
      <c r="AE90"/>
      <c r="AF90"/>
    </row>
    <row r="91" spans="13:32">
      <c r="M91"/>
      <c r="N91"/>
      <c r="O91"/>
      <c r="P91"/>
      <c r="Q91"/>
      <c r="R91"/>
      <c r="S91"/>
      <c r="T91"/>
      <c r="U91"/>
      <c r="V91"/>
      <c r="W91"/>
      <c r="X91"/>
      <c r="Y91"/>
      <c r="Z91"/>
      <c r="AA91"/>
      <c r="AB91"/>
      <c r="AC91"/>
      <c r="AD91"/>
      <c r="AE91"/>
      <c r="AF91"/>
    </row>
    <row r="92" spans="13:32">
      <c r="M92"/>
      <c r="N92"/>
      <c r="O92"/>
      <c r="P92"/>
      <c r="Q92"/>
      <c r="R92"/>
      <c r="S92"/>
      <c r="T92"/>
      <c r="U92"/>
      <c r="V92"/>
      <c r="W92"/>
      <c r="X92"/>
      <c r="Y92"/>
      <c r="Z92"/>
      <c r="AA92"/>
      <c r="AB92"/>
      <c r="AC92"/>
      <c r="AD92"/>
      <c r="AE92"/>
      <c r="AF92"/>
    </row>
    <row r="93" spans="13:32">
      <c r="M93"/>
      <c r="N93"/>
      <c r="O93"/>
      <c r="P93"/>
      <c r="Q93"/>
      <c r="R93"/>
      <c r="S93"/>
      <c r="T93"/>
      <c r="U93"/>
      <c r="V93"/>
      <c r="W93"/>
      <c r="X93"/>
      <c r="Y93"/>
      <c r="Z93"/>
      <c r="AA93"/>
      <c r="AB93"/>
      <c r="AC93"/>
      <c r="AD93"/>
      <c r="AE93"/>
      <c r="AF93"/>
    </row>
    <row r="94" spans="13:32">
      <c r="M94"/>
      <c r="N94"/>
      <c r="O94"/>
      <c r="P94"/>
      <c r="Q94"/>
      <c r="R94"/>
      <c r="S94"/>
      <c r="T94"/>
      <c r="U94"/>
      <c r="V94"/>
      <c r="W94"/>
      <c r="X94"/>
      <c r="Y94"/>
      <c r="Z94"/>
      <c r="AA94"/>
      <c r="AB94"/>
      <c r="AC94"/>
      <c r="AD94"/>
      <c r="AE94"/>
      <c r="AF94"/>
    </row>
    <row r="95" spans="13:32">
      <c r="M95"/>
      <c r="N95"/>
      <c r="O95"/>
      <c r="P95"/>
      <c r="Q95"/>
      <c r="R95"/>
      <c r="S95"/>
      <c r="T95"/>
      <c r="U95"/>
      <c r="V95"/>
      <c r="W95"/>
      <c r="X95"/>
      <c r="Y95"/>
      <c r="Z95"/>
      <c r="AA95"/>
      <c r="AB95"/>
      <c r="AC95"/>
      <c r="AD95"/>
      <c r="AE95"/>
      <c r="AF95"/>
    </row>
    <row r="96" spans="13:32">
      <c r="M96"/>
      <c r="N96"/>
      <c r="O96"/>
      <c r="P96"/>
      <c r="Q96"/>
      <c r="R96"/>
      <c r="S96"/>
      <c r="T96"/>
      <c r="U96"/>
      <c r="V96"/>
      <c r="W96"/>
      <c r="X96"/>
      <c r="Y96"/>
      <c r="Z96"/>
      <c r="AA96"/>
      <c r="AB96"/>
      <c r="AC96"/>
      <c r="AD96"/>
      <c r="AE96"/>
      <c r="AF96"/>
    </row>
    <row r="97" spans="13:32">
      <c r="M97"/>
      <c r="N97"/>
      <c r="O97"/>
      <c r="P97"/>
      <c r="Q97"/>
      <c r="R97"/>
      <c r="S97"/>
      <c r="T97"/>
      <c r="U97"/>
      <c r="V97"/>
      <c r="W97"/>
      <c r="X97"/>
      <c r="Y97"/>
      <c r="Z97"/>
      <c r="AA97"/>
      <c r="AB97"/>
      <c r="AC97"/>
      <c r="AD97"/>
      <c r="AE97"/>
      <c r="AF97"/>
    </row>
    <row r="98" spans="13:32">
      <c r="M98"/>
      <c r="N98"/>
      <c r="O98"/>
      <c r="P98"/>
      <c r="Q98"/>
      <c r="R98"/>
      <c r="S98"/>
      <c r="T98"/>
      <c r="U98"/>
      <c r="V98"/>
      <c r="W98"/>
      <c r="X98"/>
      <c r="Y98"/>
      <c r="Z98"/>
      <c r="AA98"/>
      <c r="AB98"/>
      <c r="AC98"/>
      <c r="AD98"/>
      <c r="AE98"/>
      <c r="AF98"/>
    </row>
    <row r="99" spans="13:32">
      <c r="M99"/>
      <c r="N99"/>
      <c r="O99"/>
      <c r="P99"/>
      <c r="Q99"/>
      <c r="R99"/>
      <c r="S99"/>
      <c r="T99"/>
      <c r="U99"/>
      <c r="V99"/>
      <c r="W99"/>
      <c r="X99"/>
      <c r="Y99"/>
      <c r="Z99"/>
      <c r="AA99"/>
      <c r="AB99"/>
      <c r="AC99"/>
      <c r="AD99"/>
      <c r="AE99"/>
      <c r="AF99"/>
    </row>
    <row r="100" spans="13:32">
      <c r="M100"/>
      <c r="N100"/>
      <c r="O100"/>
      <c r="P100"/>
      <c r="Q100"/>
      <c r="R100"/>
      <c r="S100"/>
      <c r="T100"/>
      <c r="U100"/>
      <c r="V100"/>
      <c r="W100"/>
      <c r="X100"/>
      <c r="Y100"/>
      <c r="Z100"/>
      <c r="AA100"/>
      <c r="AB100"/>
      <c r="AC100"/>
      <c r="AD100"/>
      <c r="AE100"/>
      <c r="AF100"/>
    </row>
    <row r="101" spans="13:32">
      <c r="M101"/>
      <c r="N101"/>
      <c r="O101"/>
      <c r="P101"/>
      <c r="Q101"/>
      <c r="R101"/>
      <c r="S101"/>
      <c r="T101"/>
      <c r="U101"/>
      <c r="V101"/>
      <c r="W101"/>
      <c r="X101"/>
      <c r="Y101"/>
      <c r="Z101"/>
      <c r="AA101"/>
      <c r="AB101"/>
      <c r="AC101"/>
      <c r="AD101"/>
      <c r="AE101"/>
      <c r="AF101"/>
    </row>
    <row r="102" spans="13:32">
      <c r="M102"/>
      <c r="N102"/>
      <c r="O102"/>
      <c r="P102"/>
      <c r="Q102"/>
      <c r="R102"/>
      <c r="S102"/>
      <c r="T102"/>
      <c r="U102"/>
      <c r="V102"/>
      <c r="W102"/>
      <c r="X102"/>
      <c r="Y102"/>
      <c r="Z102"/>
      <c r="AA102"/>
      <c r="AB102"/>
      <c r="AC102"/>
      <c r="AD102"/>
      <c r="AE102"/>
      <c r="AF102"/>
    </row>
  </sheetData>
  <mergeCells count="9">
    <mergeCell ref="E4:F4"/>
    <mergeCell ref="A18:B18"/>
    <mergeCell ref="A24:H25"/>
    <mergeCell ref="D35:F35"/>
    <mergeCell ref="A34:F34"/>
    <mergeCell ref="C4:D4"/>
    <mergeCell ref="C12:D12"/>
    <mergeCell ref="A12:B12"/>
    <mergeCell ref="A4:B4"/>
  </mergeCells>
  <phoneticPr fontId="233" type="noConversion"/>
  <pageMargins left="0.7" right="0.7" top="0.75" bottom="0.75" header="0.3" footer="0.3"/>
  <pageSetup paperSize="9" orientation="portrait" horizontalDpi="4294967293" r:id="rId1"/>
  <drawing r:id="rId2"/>
  <tableParts count="3">
    <tablePart r:id="rId3"/>
    <tablePart r:id="rId4"/>
    <tablePart r:id="rId5"/>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4AC77-03DC-4496-9190-E8C361D8E747}">
  <sheetPr codeName="Аркуш23">
    <tabColor rgb="FFC00000"/>
    <outlinePr summaryBelow="0" summaryRight="0"/>
  </sheetPr>
  <dimension ref="A1:E1003"/>
  <sheetViews>
    <sheetView workbookViewId="0">
      <pane xSplit="1" ySplit="1" topLeftCell="B2" activePane="bottomRight" state="frozen"/>
      <selection sqref="A1:U1"/>
      <selection pane="topRight" sqref="A1:U1"/>
      <selection pane="bottomLeft" sqref="A1:U1"/>
      <selection pane="bottomRight" activeCell="A55" sqref="A55"/>
    </sheetView>
  </sheetViews>
  <sheetFormatPr defaultColWidth="11.21875" defaultRowHeight="15.75" customHeight="1"/>
  <cols>
    <col min="1" max="1" width="27.5546875" style="147" customWidth="1"/>
    <col min="2" max="3" width="27.5546875" style="265" customWidth="1"/>
    <col min="4" max="4" width="18.44140625" bestFit="1" customWidth="1"/>
    <col min="5" max="5" width="32.21875" customWidth="1"/>
    <col min="6" max="7" width="8.6640625" customWidth="1"/>
    <col min="8" max="8" width="8.88671875" customWidth="1"/>
    <col min="9" max="9" width="10" customWidth="1"/>
    <col min="10" max="10" width="4.21875" customWidth="1"/>
    <col min="11" max="11" width="5.5546875" customWidth="1"/>
    <col min="12" max="12" width="4.109375" customWidth="1"/>
    <col min="13" max="13" width="4.21875" customWidth="1"/>
    <col min="14" max="15" width="4.44140625" customWidth="1"/>
    <col min="16" max="16" width="3.33203125" customWidth="1"/>
    <col min="17" max="17" width="3.44140625" customWidth="1"/>
    <col min="18" max="18" width="3.33203125" customWidth="1"/>
    <col min="19" max="19" width="5.77734375" customWidth="1"/>
    <col min="20" max="20" width="9.44140625" customWidth="1"/>
    <col min="21" max="21" width="10.21875" customWidth="1"/>
    <col min="22" max="22" width="8.33203125" customWidth="1"/>
    <col min="23" max="23" width="6.21875" customWidth="1"/>
    <col min="24" max="24" width="8" customWidth="1"/>
    <col min="25" max="25" width="6.6640625" customWidth="1"/>
    <col min="26" max="26" width="4.77734375" customWidth="1"/>
    <col min="27" max="27" width="6.5546875" customWidth="1"/>
    <col min="28" max="28" width="4.44140625" customWidth="1"/>
    <col min="29" max="30" width="5.21875" customWidth="1"/>
    <col min="31" max="31" width="4.44140625" customWidth="1"/>
    <col min="32" max="32" width="5.21875" customWidth="1"/>
    <col min="33" max="33" width="5" customWidth="1"/>
    <col min="34" max="34" width="5.44140625" customWidth="1"/>
    <col min="35" max="35" width="5.33203125" customWidth="1"/>
    <col min="36" max="36" width="6.109375" customWidth="1"/>
    <col min="37" max="37" width="5.5546875" customWidth="1"/>
    <col min="38" max="38" width="5.6640625" customWidth="1"/>
    <col min="39" max="39" width="5.33203125" customWidth="1"/>
    <col min="40" max="40" width="5.5546875" customWidth="1"/>
    <col min="41" max="41" width="6" customWidth="1"/>
    <col min="42" max="42" width="5.21875" customWidth="1"/>
    <col min="43" max="43" width="5.6640625" customWidth="1"/>
    <col min="44" max="44" width="5.33203125" customWidth="1"/>
    <col min="45" max="45" width="7.21875" customWidth="1"/>
    <col min="46" max="46" width="13.77734375" customWidth="1"/>
    <col min="47" max="47" width="5.5546875" customWidth="1"/>
    <col min="48" max="48" width="7.21875" customWidth="1"/>
    <col min="49" max="49" width="13.77734375" customWidth="1"/>
    <col min="50" max="50" width="7.21875" customWidth="1"/>
    <col min="51" max="105" width="13.77734375" customWidth="1"/>
  </cols>
  <sheetData>
    <row r="1" spans="1:5" ht="15.75" customHeight="1" thickBot="1">
      <c r="A1" s="2488" t="s">
        <v>772</v>
      </c>
      <c r="B1" s="2488" t="s">
        <v>11547</v>
      </c>
      <c r="C1" s="2488" t="s">
        <v>777</v>
      </c>
      <c r="D1" s="2488" t="s">
        <v>11920</v>
      </c>
      <c r="E1" s="2488" t="s">
        <v>11921</v>
      </c>
    </row>
    <row r="2" spans="1:5" ht="15.75" customHeight="1" thickTop="1">
      <c r="A2" s="264" t="s">
        <v>11519</v>
      </c>
      <c r="B2" s="264" t="s">
        <v>11520</v>
      </c>
      <c r="C2" s="264"/>
    </row>
    <row r="3" spans="1:5" ht="15.75" customHeight="1">
      <c r="A3" s="264" t="s">
        <v>11522</v>
      </c>
      <c r="B3" s="264"/>
      <c r="C3" s="264"/>
    </row>
    <row r="4" spans="1:5" ht="15.75" customHeight="1">
      <c r="A4" s="264" t="s">
        <v>11523</v>
      </c>
      <c r="B4" s="264"/>
      <c r="C4" s="264"/>
    </row>
    <row r="5" spans="1:5" ht="15.75" customHeight="1">
      <c r="A5" s="264" t="s">
        <v>11524</v>
      </c>
      <c r="B5" s="264"/>
      <c r="C5" s="264"/>
    </row>
    <row r="6" spans="1:5" ht="15.75" customHeight="1">
      <c r="A6" s="264" t="s">
        <v>11525</v>
      </c>
      <c r="B6" s="264"/>
      <c r="C6" s="264"/>
    </row>
    <row r="7" spans="1:5" ht="15.75" customHeight="1">
      <c r="A7" s="264" t="s">
        <v>11526</v>
      </c>
      <c r="B7" s="264"/>
      <c r="C7" s="264"/>
    </row>
    <row r="8" spans="1:5" ht="15.75" customHeight="1">
      <c r="A8" s="264" t="s">
        <v>11527</v>
      </c>
      <c r="B8" s="264"/>
      <c r="C8" s="264"/>
    </row>
    <row r="9" spans="1:5" ht="15.75" customHeight="1">
      <c r="A9" s="264" t="s">
        <v>11528</v>
      </c>
      <c r="B9" s="264"/>
      <c r="C9" s="264"/>
    </row>
    <row r="10" spans="1:5" ht="15.75" customHeight="1">
      <c r="A10" s="264" t="s">
        <v>11529</v>
      </c>
      <c r="B10" s="264"/>
      <c r="C10" s="264"/>
    </row>
    <row r="11" spans="1:5" ht="15.75" customHeight="1">
      <c r="A11" s="264" t="s">
        <v>11530</v>
      </c>
      <c r="B11" s="264"/>
      <c r="C11" s="264"/>
    </row>
    <row r="12" spans="1:5" ht="15.75" customHeight="1">
      <c r="A12" s="150"/>
      <c r="B12" s="264"/>
      <c r="C12" s="264"/>
    </row>
    <row r="13" spans="1:5" ht="15.75" customHeight="1">
      <c r="A13" s="2666" t="s">
        <v>11546</v>
      </c>
      <c r="B13" s="2657" t="s">
        <v>14826</v>
      </c>
      <c r="C13" s="2666" t="s">
        <v>415</v>
      </c>
      <c r="D13" s="2" t="s">
        <v>14825</v>
      </c>
    </row>
    <row r="14" spans="1:5" ht="15.75" customHeight="1">
      <c r="A14" s="2666" t="s">
        <v>11548</v>
      </c>
      <c r="B14" s="2657" t="s">
        <v>14831</v>
      </c>
      <c r="C14" s="2666" t="s">
        <v>415</v>
      </c>
      <c r="D14" s="2" t="s">
        <v>14828</v>
      </c>
    </row>
    <row r="15" spans="1:5" ht="15.75" customHeight="1">
      <c r="A15" s="2666" t="s">
        <v>11549</v>
      </c>
      <c r="B15" s="2666" t="s">
        <v>14829</v>
      </c>
      <c r="C15" s="2666" t="s">
        <v>415</v>
      </c>
      <c r="D15" s="2" t="s">
        <v>14827</v>
      </c>
    </row>
    <row r="16" spans="1:5" ht="15.75" customHeight="1">
      <c r="A16" s="2666" t="s">
        <v>11550</v>
      </c>
      <c r="B16" s="2657" t="s">
        <v>14830</v>
      </c>
      <c r="C16" s="2666" t="s">
        <v>415</v>
      </c>
      <c r="D16" s="2" t="s">
        <v>14832</v>
      </c>
    </row>
    <row r="17" spans="1:5" ht="15.75" customHeight="1">
      <c r="A17" s="2666" t="s">
        <v>11551</v>
      </c>
      <c r="B17" s="2666" t="s">
        <v>14834</v>
      </c>
      <c r="C17" s="2666" t="s">
        <v>415</v>
      </c>
      <c r="D17" s="2" t="s">
        <v>14833</v>
      </c>
    </row>
    <row r="18" spans="1:5" ht="15.75" customHeight="1">
      <c r="A18" s="2666" t="s">
        <v>11552</v>
      </c>
      <c r="B18" s="2666" t="s">
        <v>14836</v>
      </c>
      <c r="C18" s="2666" t="s">
        <v>415</v>
      </c>
      <c r="D18" s="2" t="s">
        <v>14835</v>
      </c>
    </row>
    <row r="19" spans="1:5" ht="15.75" customHeight="1">
      <c r="A19" s="150"/>
      <c r="B19" s="264"/>
      <c r="C19" s="264"/>
    </row>
    <row r="20" spans="1:5" ht="15.75" customHeight="1">
      <c r="A20" s="264" t="s">
        <v>11559</v>
      </c>
      <c r="B20" s="264"/>
      <c r="C20" s="264" t="s">
        <v>89</v>
      </c>
    </row>
    <row r="21" spans="1:5" ht="15.75" customHeight="1">
      <c r="A21" s="264" t="s">
        <v>11562</v>
      </c>
      <c r="B21" s="264"/>
      <c r="C21" s="264" t="s">
        <v>11563</v>
      </c>
    </row>
    <row r="22" spans="1:5" ht="15.75" customHeight="1">
      <c r="A22" s="150"/>
      <c r="B22" s="264"/>
      <c r="C22" s="264"/>
    </row>
    <row r="23" spans="1:5" ht="15.75" customHeight="1">
      <c r="A23" s="264" t="s">
        <v>11564</v>
      </c>
      <c r="B23" s="2657" t="s">
        <v>14528</v>
      </c>
      <c r="C23" s="264" t="s">
        <v>14525</v>
      </c>
      <c r="D23" t="s">
        <v>14526</v>
      </c>
      <c r="E23" s="2656" t="s">
        <v>14527</v>
      </c>
    </row>
    <row r="24" spans="1:5" ht="15.75" customHeight="1">
      <c r="A24" s="264" t="s">
        <v>11565</v>
      </c>
      <c r="B24" s="264" t="s">
        <v>14531</v>
      </c>
      <c r="C24" s="264" t="s">
        <v>14525</v>
      </c>
      <c r="D24" t="s">
        <v>14529</v>
      </c>
      <c r="E24" s="2656" t="s">
        <v>14530</v>
      </c>
    </row>
    <row r="25" spans="1:5" ht="15.75" customHeight="1">
      <c r="A25" s="264" t="s">
        <v>11566</v>
      </c>
      <c r="B25" s="2657" t="s">
        <v>14534</v>
      </c>
      <c r="C25" s="264" t="s">
        <v>14525</v>
      </c>
      <c r="D25" t="s">
        <v>14532</v>
      </c>
      <c r="E25" t="s">
        <v>14533</v>
      </c>
    </row>
    <row r="26" spans="1:5" ht="15.75" customHeight="1">
      <c r="A26" s="150"/>
      <c r="B26" s="264"/>
      <c r="C26" s="264"/>
    </row>
    <row r="27" spans="1:5" ht="15.75" customHeight="1">
      <c r="A27" s="264" t="s">
        <v>14847</v>
      </c>
      <c r="B27" s="264" t="s">
        <v>14849</v>
      </c>
      <c r="C27" s="264"/>
      <c r="D27" t="s">
        <v>14848</v>
      </c>
    </row>
    <row r="28" spans="1:5" ht="15.75" customHeight="1">
      <c r="A28" s="264" t="s">
        <v>11742</v>
      </c>
      <c r="B28" s="264"/>
      <c r="C28" s="264"/>
      <c r="D28" t="s">
        <v>14854</v>
      </c>
    </row>
    <row r="29" spans="1:5" ht="15.75" customHeight="1">
      <c r="A29" s="264"/>
      <c r="B29" s="264"/>
      <c r="C29" s="264"/>
    </row>
    <row r="30" spans="1:5" ht="15.75" customHeight="1">
      <c r="A30" s="150"/>
      <c r="B30" s="264"/>
      <c r="C30" s="264"/>
    </row>
    <row r="31" spans="1:5" ht="15.75" customHeight="1">
      <c r="A31" s="264"/>
      <c r="B31" s="264"/>
      <c r="C31" s="264"/>
    </row>
    <row r="32" spans="1:5" ht="15.75" customHeight="1">
      <c r="A32" s="264" t="s">
        <v>11741</v>
      </c>
      <c r="B32" s="2657" t="s">
        <v>14857</v>
      </c>
      <c r="C32" s="2668" t="s">
        <v>14853</v>
      </c>
      <c r="D32" t="s">
        <v>14858</v>
      </c>
    </row>
    <row r="33" spans="1:5" ht="15.75" customHeight="1">
      <c r="A33" s="264" t="s">
        <v>11742</v>
      </c>
      <c r="B33" s="264"/>
      <c r="C33" s="264" t="s">
        <v>14853</v>
      </c>
      <c r="D33" s="1" t="s">
        <v>14854</v>
      </c>
    </row>
    <row r="34" spans="1:5" ht="15.75" customHeight="1">
      <c r="A34" s="150" t="s">
        <v>11740</v>
      </c>
      <c r="B34" s="2657" t="s">
        <v>14856</v>
      </c>
      <c r="C34" s="264" t="s">
        <v>14853</v>
      </c>
      <c r="D34" t="s">
        <v>14855</v>
      </c>
    </row>
    <row r="35" spans="1:5" ht="15.75" customHeight="1">
      <c r="A35" s="264" t="s">
        <v>11744</v>
      </c>
      <c r="B35" s="264" t="s">
        <v>14865</v>
      </c>
      <c r="C35" s="264"/>
      <c r="D35" t="s">
        <v>14863</v>
      </c>
      <c r="E35" t="s">
        <v>14864</v>
      </c>
    </row>
    <row r="36" spans="1:5" ht="15.75" customHeight="1">
      <c r="A36" s="150" t="s">
        <v>14859</v>
      </c>
      <c r="B36" s="264" t="s">
        <v>14862</v>
      </c>
      <c r="C36" s="264"/>
      <c r="D36" t="s">
        <v>14860</v>
      </c>
      <c r="E36" t="s">
        <v>14861</v>
      </c>
    </row>
    <row r="37" spans="1:5" ht="14.25">
      <c r="A37" s="264" t="s">
        <v>11747</v>
      </c>
      <c r="B37" s="264"/>
      <c r="C37" s="264"/>
    </row>
    <row r="38" spans="1:5" ht="14.25">
      <c r="A38" s="150"/>
      <c r="B38" s="264"/>
      <c r="C38" s="264"/>
    </row>
    <row r="39" spans="1:5" ht="14.25">
      <c r="A39" s="150" t="s">
        <v>11919</v>
      </c>
      <c r="B39" s="264" t="s">
        <v>11922</v>
      </c>
      <c r="C39" s="264" t="s">
        <v>150</v>
      </c>
      <c r="D39" t="s">
        <v>11923</v>
      </c>
      <c r="E39" t="s">
        <v>11924</v>
      </c>
    </row>
    <row r="40" spans="1:5" ht="14.25">
      <c r="A40" s="150"/>
      <c r="B40" s="264"/>
      <c r="C40" s="264"/>
    </row>
    <row r="41" spans="1:5" ht="14.25">
      <c r="A41" s="150" t="s">
        <v>11925</v>
      </c>
      <c r="B41" s="264"/>
      <c r="C41" s="264" t="s">
        <v>481</v>
      </c>
    </row>
    <row r="42" spans="1:5" ht="14.25">
      <c r="A42" s="150"/>
      <c r="B42" s="264"/>
      <c r="C42" s="264"/>
    </row>
    <row r="43" spans="1:5" ht="14.25">
      <c r="A43" s="150" t="s">
        <v>11562</v>
      </c>
      <c r="B43" s="264"/>
      <c r="C43" s="264" t="s">
        <v>89</v>
      </c>
    </row>
    <row r="44" spans="1:5" ht="14.25">
      <c r="A44" s="150"/>
      <c r="B44" s="264"/>
      <c r="C44" s="264"/>
    </row>
    <row r="45" spans="1:5" ht="15">
      <c r="A45" s="2598" t="s">
        <v>14706</v>
      </c>
      <c r="B45" s="2666" t="s">
        <v>14707</v>
      </c>
      <c r="C45" s="264"/>
    </row>
    <row r="46" spans="1:5" ht="15">
      <c r="A46" s="2598" t="s">
        <v>14708</v>
      </c>
      <c r="B46" s="2666" t="s">
        <v>14709</v>
      </c>
      <c r="C46" s="264"/>
    </row>
    <row r="47" spans="1:5" ht="15">
      <c r="A47" s="2598" t="s">
        <v>14710</v>
      </c>
      <c r="B47" s="2666" t="s">
        <v>14711</v>
      </c>
      <c r="C47" s="264"/>
    </row>
    <row r="48" spans="1:5" ht="15">
      <c r="A48" s="2598" t="s">
        <v>14712</v>
      </c>
      <c r="B48" s="2666" t="s">
        <v>14713</v>
      </c>
      <c r="C48" s="264"/>
    </row>
    <row r="49" spans="1:5" ht="14.25">
      <c r="A49" s="150" t="s">
        <v>14841</v>
      </c>
      <c r="B49" s="2666" t="s">
        <v>14844</v>
      </c>
      <c r="C49" s="264" t="s">
        <v>1</v>
      </c>
      <c r="D49" t="s">
        <v>14842</v>
      </c>
      <c r="E49" t="s">
        <v>14843</v>
      </c>
    </row>
    <row r="50" spans="1:5" ht="14.25">
      <c r="A50" s="150" t="s">
        <v>14845</v>
      </c>
      <c r="B50" s="264" t="s">
        <v>14846</v>
      </c>
      <c r="C50" s="264"/>
    </row>
    <row r="51" spans="1:5" ht="14.25">
      <c r="A51" s="150" t="s">
        <v>11726</v>
      </c>
      <c r="B51" s="264"/>
      <c r="C51" s="264"/>
    </row>
    <row r="52" spans="1:5" ht="14.25">
      <c r="A52" s="150"/>
      <c r="B52" s="264"/>
      <c r="C52" s="264"/>
    </row>
    <row r="53" spans="1:5" ht="14.25">
      <c r="A53" s="150" t="s">
        <v>11746</v>
      </c>
      <c r="B53" s="2666" t="s">
        <v>14867</v>
      </c>
      <c r="C53" s="264"/>
      <c r="D53" t="s">
        <v>14866</v>
      </c>
    </row>
    <row r="54" spans="1:5" ht="14.25">
      <c r="A54" s="150"/>
      <c r="B54" s="264"/>
      <c r="C54" s="264"/>
    </row>
    <row r="55" spans="1:5" ht="14.25">
      <c r="A55" s="150"/>
      <c r="B55" s="264"/>
      <c r="C55" s="264"/>
    </row>
    <row r="56" spans="1:5" ht="14.25">
      <c r="A56" s="150"/>
      <c r="B56" s="264"/>
      <c r="C56" s="264"/>
    </row>
    <row r="57" spans="1:5" ht="14.25">
      <c r="A57" s="150"/>
      <c r="B57" s="264"/>
      <c r="C57" s="264"/>
    </row>
    <row r="58" spans="1:5" ht="14.25">
      <c r="A58" s="150"/>
      <c r="B58" s="264"/>
      <c r="C58" s="264"/>
    </row>
    <row r="59" spans="1:5" ht="14.25">
      <c r="A59" s="150"/>
      <c r="B59" s="264"/>
      <c r="C59" s="264"/>
    </row>
    <row r="60" spans="1:5" ht="14.25">
      <c r="A60" s="150"/>
      <c r="B60" s="264"/>
      <c r="C60" s="264"/>
    </row>
    <row r="61" spans="1:5" ht="14.25">
      <c r="A61" s="150"/>
      <c r="B61" s="264"/>
      <c r="C61" s="264"/>
    </row>
    <row r="62" spans="1:5" ht="14.25">
      <c r="A62" s="150"/>
      <c r="B62" s="264"/>
      <c r="C62" s="264"/>
    </row>
    <row r="63" spans="1:5" ht="14.25">
      <c r="A63" s="150"/>
      <c r="B63" s="264"/>
      <c r="C63" s="264"/>
    </row>
    <row r="64" spans="1:5" ht="14.25">
      <c r="A64" s="150"/>
      <c r="B64" s="264"/>
      <c r="C64" s="264"/>
    </row>
    <row r="65" spans="1:3" ht="14.25">
      <c r="A65" s="150"/>
      <c r="B65" s="264"/>
      <c r="C65" s="264"/>
    </row>
    <row r="66" spans="1:3" ht="14.25">
      <c r="A66" s="150"/>
      <c r="B66" s="264"/>
      <c r="C66" s="264"/>
    </row>
    <row r="67" spans="1:3" ht="14.25">
      <c r="A67" s="150"/>
      <c r="B67" s="264"/>
      <c r="C67" s="264"/>
    </row>
    <row r="68" spans="1:3" ht="14.25">
      <c r="A68" s="150"/>
      <c r="B68" s="264"/>
      <c r="C68" s="264"/>
    </row>
    <row r="69" spans="1:3" ht="14.25">
      <c r="A69" s="150"/>
      <c r="B69" s="264"/>
      <c r="C69" s="264"/>
    </row>
    <row r="70" spans="1:3" ht="14.25">
      <c r="A70" s="150"/>
      <c r="B70" s="264"/>
      <c r="C70" s="264"/>
    </row>
    <row r="71" spans="1:3" ht="14.25">
      <c r="A71" s="150"/>
      <c r="B71" s="264"/>
      <c r="C71" s="264"/>
    </row>
    <row r="72" spans="1:3" ht="14.25">
      <c r="A72" s="150"/>
      <c r="B72" s="264"/>
      <c r="C72" s="264"/>
    </row>
    <row r="73" spans="1:3" ht="14.25">
      <c r="A73" s="150"/>
      <c r="B73" s="264"/>
      <c r="C73" s="264"/>
    </row>
    <row r="74" spans="1:3" ht="14.25">
      <c r="A74" s="150"/>
      <c r="B74" s="264"/>
      <c r="C74" s="264"/>
    </row>
    <row r="75" spans="1:3" ht="14.25">
      <c r="A75" s="150"/>
      <c r="B75" s="264"/>
      <c r="C75" s="264"/>
    </row>
    <row r="76" spans="1:3" ht="14.25">
      <c r="A76" s="150"/>
      <c r="B76" s="264"/>
      <c r="C76" s="264"/>
    </row>
    <row r="77" spans="1:3" ht="14.25">
      <c r="A77" s="150"/>
      <c r="B77" s="264"/>
      <c r="C77" s="264"/>
    </row>
    <row r="78" spans="1:3" ht="14.25">
      <c r="A78" s="150"/>
      <c r="B78" s="264"/>
      <c r="C78" s="264"/>
    </row>
    <row r="79" spans="1:3" ht="14.25">
      <c r="A79" s="150"/>
      <c r="B79" s="264"/>
      <c r="C79" s="264"/>
    </row>
    <row r="80" spans="1:3" ht="14.25">
      <c r="A80" s="150"/>
      <c r="B80" s="264"/>
      <c r="C80" s="264"/>
    </row>
    <row r="81" spans="1:3" ht="14.25">
      <c r="A81" s="150"/>
      <c r="B81" s="264"/>
      <c r="C81" s="264"/>
    </row>
    <row r="82" spans="1:3" ht="14.25">
      <c r="A82" s="150"/>
      <c r="B82" s="264"/>
      <c r="C82" s="264"/>
    </row>
    <row r="83" spans="1:3" ht="14.25">
      <c r="A83" s="150"/>
      <c r="B83" s="264"/>
      <c r="C83" s="264"/>
    </row>
    <row r="84" spans="1:3" ht="14.25">
      <c r="A84" s="150"/>
      <c r="B84" s="264"/>
      <c r="C84" s="264"/>
    </row>
    <row r="85" spans="1:3" ht="14.25">
      <c r="A85" s="150"/>
      <c r="B85" s="264"/>
      <c r="C85" s="264"/>
    </row>
    <row r="86" spans="1:3" ht="14.25">
      <c r="A86" s="150"/>
      <c r="B86" s="264"/>
      <c r="C86" s="264"/>
    </row>
    <row r="87" spans="1:3" ht="14.25">
      <c r="A87" s="150"/>
      <c r="B87" s="264"/>
      <c r="C87" s="264"/>
    </row>
    <row r="88" spans="1:3" ht="14.25">
      <c r="A88" s="150"/>
      <c r="B88" s="264"/>
      <c r="C88" s="264"/>
    </row>
    <row r="89" spans="1:3" ht="14.25">
      <c r="A89" s="150"/>
      <c r="B89" s="264"/>
      <c r="C89" s="264"/>
    </row>
    <row r="90" spans="1:3" ht="14.25">
      <c r="A90" s="150"/>
      <c r="B90" s="264"/>
      <c r="C90" s="264"/>
    </row>
    <row r="91" spans="1:3" ht="14.25">
      <c r="A91" s="150"/>
      <c r="B91" s="264"/>
      <c r="C91" s="264"/>
    </row>
    <row r="92" spans="1:3" ht="14.25">
      <c r="A92" s="150"/>
      <c r="B92" s="264"/>
      <c r="C92" s="264"/>
    </row>
    <row r="93" spans="1:3" ht="14.25">
      <c r="A93" s="150"/>
      <c r="B93" s="264"/>
      <c r="C93" s="264"/>
    </row>
    <row r="94" spans="1:3" ht="14.25">
      <c r="A94" s="150"/>
      <c r="B94" s="264"/>
      <c r="C94" s="264"/>
    </row>
    <row r="95" spans="1:3" ht="14.25">
      <c r="A95" s="150"/>
      <c r="B95" s="264"/>
      <c r="C95" s="264"/>
    </row>
    <row r="96" spans="1:3" ht="14.25">
      <c r="A96" s="150"/>
      <c r="B96" s="264"/>
      <c r="C96" s="264"/>
    </row>
    <row r="97" spans="1:3" ht="14.25">
      <c r="A97" s="150"/>
      <c r="B97" s="264"/>
      <c r="C97" s="264"/>
    </row>
    <row r="98" spans="1:3" ht="14.25">
      <c r="A98" s="150"/>
      <c r="B98" s="264"/>
      <c r="C98" s="264"/>
    </row>
    <row r="99" spans="1:3" ht="14.25">
      <c r="A99" s="150"/>
      <c r="B99" s="264"/>
      <c r="C99" s="264"/>
    </row>
    <row r="100" spans="1:3" ht="14.25">
      <c r="A100" s="150"/>
      <c r="B100" s="264"/>
      <c r="C100" s="264"/>
    </row>
    <row r="101" spans="1:3" ht="14.25">
      <c r="A101" s="150"/>
      <c r="B101" s="264"/>
      <c r="C101" s="264"/>
    </row>
    <row r="102" spans="1:3" ht="14.25">
      <c r="A102" s="150"/>
      <c r="B102" s="264"/>
      <c r="C102" s="264"/>
    </row>
    <row r="103" spans="1:3" ht="14.25">
      <c r="A103" s="150"/>
      <c r="B103" s="264"/>
      <c r="C103" s="264"/>
    </row>
    <row r="104" spans="1:3" ht="14.25">
      <c r="A104" s="150"/>
      <c r="B104" s="264"/>
      <c r="C104" s="264"/>
    </row>
    <row r="105" spans="1:3" ht="14.25">
      <c r="A105" s="150"/>
      <c r="B105" s="264"/>
      <c r="C105" s="264"/>
    </row>
    <row r="106" spans="1:3" ht="14.25">
      <c r="A106" s="150"/>
      <c r="B106" s="264"/>
      <c r="C106" s="264"/>
    </row>
    <row r="107" spans="1:3" ht="14.25">
      <c r="A107" s="150"/>
      <c r="B107" s="264"/>
      <c r="C107" s="264"/>
    </row>
    <row r="108" spans="1:3" ht="14.25">
      <c r="A108" s="150"/>
      <c r="B108" s="264"/>
      <c r="C108" s="264"/>
    </row>
    <row r="109" spans="1:3" ht="14.25">
      <c r="A109" s="150"/>
      <c r="B109" s="264"/>
      <c r="C109" s="264"/>
    </row>
    <row r="110" spans="1:3" ht="14.25">
      <c r="A110" s="150"/>
      <c r="B110" s="264"/>
      <c r="C110" s="264"/>
    </row>
    <row r="111" spans="1:3" ht="14.25">
      <c r="A111" s="150"/>
      <c r="B111" s="264"/>
      <c r="C111" s="264"/>
    </row>
    <row r="112" spans="1:3" ht="14.25">
      <c r="A112" s="150"/>
      <c r="B112" s="264"/>
      <c r="C112" s="264"/>
    </row>
    <row r="113" spans="1:3" ht="14.25">
      <c r="A113" s="150"/>
      <c r="B113" s="264"/>
      <c r="C113" s="264"/>
    </row>
    <row r="114" spans="1:3" ht="14.25">
      <c r="A114" s="150"/>
      <c r="B114" s="264"/>
      <c r="C114" s="264"/>
    </row>
    <row r="115" spans="1:3" ht="14.25">
      <c r="A115" s="150"/>
      <c r="B115" s="264"/>
      <c r="C115" s="264"/>
    </row>
    <row r="116" spans="1:3" ht="14.25">
      <c r="A116" s="150"/>
      <c r="B116" s="264"/>
      <c r="C116" s="264"/>
    </row>
    <row r="117" spans="1:3" ht="14.25">
      <c r="A117" s="150"/>
      <c r="B117" s="264"/>
      <c r="C117" s="264"/>
    </row>
    <row r="118" spans="1:3" ht="14.25">
      <c r="A118" s="150"/>
      <c r="B118" s="264"/>
      <c r="C118" s="264"/>
    </row>
    <row r="119" spans="1:3" ht="14.25">
      <c r="A119" s="150"/>
      <c r="B119" s="264"/>
      <c r="C119" s="264"/>
    </row>
    <row r="120" spans="1:3" ht="14.25">
      <c r="A120" s="150"/>
      <c r="B120" s="264"/>
      <c r="C120" s="264"/>
    </row>
    <row r="121" spans="1:3" ht="14.25">
      <c r="A121" s="150"/>
      <c r="B121" s="264"/>
      <c r="C121" s="264"/>
    </row>
    <row r="122" spans="1:3" ht="14.25">
      <c r="A122" s="150"/>
      <c r="B122" s="264"/>
      <c r="C122" s="264"/>
    </row>
    <row r="123" spans="1:3" ht="14.25">
      <c r="A123" s="150"/>
      <c r="B123" s="264"/>
      <c r="C123" s="264"/>
    </row>
    <row r="124" spans="1:3" ht="14.25">
      <c r="A124" s="150"/>
      <c r="B124" s="264"/>
      <c r="C124" s="264"/>
    </row>
    <row r="125" spans="1:3" ht="14.25">
      <c r="A125" s="150"/>
      <c r="B125" s="264"/>
      <c r="C125" s="264"/>
    </row>
    <row r="126" spans="1:3" ht="14.25">
      <c r="A126" s="150"/>
      <c r="B126" s="264"/>
      <c r="C126" s="264"/>
    </row>
    <row r="127" spans="1:3" ht="14.25">
      <c r="A127" s="150"/>
      <c r="B127" s="264"/>
      <c r="C127" s="264"/>
    </row>
    <row r="128" spans="1:3" ht="14.25">
      <c r="A128" s="150"/>
      <c r="B128" s="264"/>
      <c r="C128" s="264"/>
    </row>
    <row r="129" spans="1:3" ht="14.25">
      <c r="A129" s="150"/>
      <c r="B129" s="264"/>
      <c r="C129" s="264"/>
    </row>
    <row r="130" spans="1:3" ht="14.25">
      <c r="A130" s="150"/>
      <c r="B130" s="264"/>
      <c r="C130" s="264"/>
    </row>
    <row r="131" spans="1:3" ht="14.25">
      <c r="A131" s="150"/>
      <c r="B131" s="264"/>
      <c r="C131" s="264"/>
    </row>
    <row r="132" spans="1:3" ht="14.25">
      <c r="A132" s="150"/>
      <c r="B132" s="264"/>
      <c r="C132" s="264"/>
    </row>
    <row r="133" spans="1:3" ht="14.25">
      <c r="A133" s="150"/>
      <c r="B133" s="264"/>
      <c r="C133" s="264"/>
    </row>
    <row r="134" spans="1:3" ht="14.25">
      <c r="A134" s="150"/>
      <c r="B134" s="264"/>
      <c r="C134" s="264"/>
    </row>
    <row r="135" spans="1:3" ht="14.25">
      <c r="A135" s="150"/>
      <c r="B135" s="264"/>
      <c r="C135" s="264"/>
    </row>
    <row r="136" spans="1:3" ht="14.25">
      <c r="A136" s="150"/>
      <c r="B136" s="264"/>
      <c r="C136" s="264"/>
    </row>
    <row r="137" spans="1:3" ht="14.25">
      <c r="A137" s="150"/>
      <c r="B137" s="264"/>
      <c r="C137" s="264"/>
    </row>
    <row r="138" spans="1:3" ht="14.25">
      <c r="A138" s="150"/>
      <c r="B138" s="264"/>
      <c r="C138" s="264"/>
    </row>
    <row r="139" spans="1:3" ht="14.25">
      <c r="A139" s="150"/>
      <c r="B139" s="264"/>
      <c r="C139" s="264"/>
    </row>
    <row r="140" spans="1:3" ht="14.25">
      <c r="A140" s="150"/>
      <c r="B140" s="264"/>
      <c r="C140" s="264"/>
    </row>
    <row r="141" spans="1:3" ht="14.25">
      <c r="A141" s="150"/>
      <c r="B141" s="264"/>
      <c r="C141" s="264"/>
    </row>
    <row r="142" spans="1:3" ht="14.25">
      <c r="A142" s="150"/>
      <c r="B142" s="264"/>
      <c r="C142" s="264"/>
    </row>
    <row r="143" spans="1:3" ht="14.25">
      <c r="A143" s="150"/>
      <c r="B143" s="264"/>
      <c r="C143" s="264"/>
    </row>
    <row r="144" spans="1:3" ht="14.25">
      <c r="A144" s="150"/>
      <c r="B144" s="264"/>
      <c r="C144" s="264"/>
    </row>
    <row r="145" spans="1:3" ht="14.25">
      <c r="A145" s="150"/>
      <c r="B145" s="264"/>
      <c r="C145" s="264"/>
    </row>
    <row r="146" spans="1:3" ht="14.25">
      <c r="A146" s="150"/>
      <c r="B146" s="264"/>
      <c r="C146" s="264"/>
    </row>
    <row r="147" spans="1:3" ht="14.25">
      <c r="A147" s="150"/>
      <c r="B147" s="264"/>
      <c r="C147" s="264"/>
    </row>
    <row r="148" spans="1:3" ht="14.25">
      <c r="A148" s="150"/>
      <c r="B148" s="264"/>
      <c r="C148" s="264"/>
    </row>
    <row r="149" spans="1:3" ht="14.25">
      <c r="A149" s="150"/>
      <c r="B149" s="264"/>
      <c r="C149" s="264"/>
    </row>
    <row r="150" spans="1:3" ht="14.25">
      <c r="A150" s="150"/>
      <c r="B150" s="264"/>
      <c r="C150" s="264"/>
    </row>
    <row r="151" spans="1:3" ht="14.25">
      <c r="A151" s="150"/>
      <c r="B151" s="264"/>
      <c r="C151" s="264"/>
    </row>
    <row r="152" spans="1:3" ht="14.25">
      <c r="A152" s="150"/>
      <c r="B152" s="264"/>
      <c r="C152" s="264"/>
    </row>
    <row r="153" spans="1:3" ht="14.25">
      <c r="A153" s="150"/>
      <c r="B153" s="264"/>
      <c r="C153" s="264"/>
    </row>
    <row r="154" spans="1:3" ht="14.25">
      <c r="A154" s="150"/>
      <c r="B154" s="264"/>
      <c r="C154" s="264"/>
    </row>
    <row r="155" spans="1:3" ht="14.25">
      <c r="A155" s="150"/>
      <c r="B155" s="264"/>
      <c r="C155" s="264"/>
    </row>
    <row r="156" spans="1:3" ht="14.25">
      <c r="A156" s="150"/>
      <c r="B156" s="264"/>
      <c r="C156" s="264"/>
    </row>
    <row r="157" spans="1:3" ht="14.25">
      <c r="A157" s="150"/>
      <c r="B157" s="264"/>
      <c r="C157" s="264"/>
    </row>
    <row r="158" spans="1:3" ht="14.25">
      <c r="A158" s="150"/>
      <c r="B158" s="264"/>
      <c r="C158" s="264"/>
    </row>
    <row r="159" spans="1:3" ht="14.25">
      <c r="A159" s="150"/>
      <c r="B159" s="264"/>
      <c r="C159" s="264"/>
    </row>
    <row r="160" spans="1:3" ht="14.25">
      <c r="A160" s="150"/>
      <c r="B160" s="264"/>
      <c r="C160" s="264"/>
    </row>
    <row r="161" spans="1:3" ht="14.25">
      <c r="A161" s="150"/>
      <c r="B161" s="264"/>
      <c r="C161" s="264"/>
    </row>
    <row r="162" spans="1:3" ht="14.25">
      <c r="A162" s="150"/>
      <c r="B162" s="264"/>
      <c r="C162" s="264"/>
    </row>
    <row r="163" spans="1:3" ht="14.25">
      <c r="A163" s="150"/>
      <c r="B163" s="264"/>
      <c r="C163" s="264"/>
    </row>
    <row r="164" spans="1:3" ht="14.25">
      <c r="A164" s="150"/>
      <c r="B164" s="264"/>
      <c r="C164" s="264"/>
    </row>
    <row r="165" spans="1:3" ht="14.25">
      <c r="A165" s="150"/>
      <c r="B165" s="264"/>
      <c r="C165" s="264"/>
    </row>
    <row r="166" spans="1:3" ht="14.25">
      <c r="A166" s="150"/>
      <c r="B166" s="264"/>
      <c r="C166" s="264"/>
    </row>
    <row r="167" spans="1:3" ht="14.25">
      <c r="A167" s="150"/>
      <c r="B167" s="264"/>
      <c r="C167" s="264"/>
    </row>
    <row r="168" spans="1:3" ht="14.25">
      <c r="A168" s="150"/>
      <c r="B168" s="264"/>
      <c r="C168" s="264"/>
    </row>
    <row r="169" spans="1:3" ht="14.25">
      <c r="A169" s="150"/>
      <c r="B169" s="264"/>
      <c r="C169" s="264"/>
    </row>
    <row r="170" spans="1:3" ht="14.25">
      <c r="A170" s="150"/>
      <c r="B170" s="264"/>
      <c r="C170" s="264"/>
    </row>
    <row r="171" spans="1:3" ht="14.25">
      <c r="A171" s="150"/>
      <c r="B171" s="264"/>
      <c r="C171" s="264"/>
    </row>
    <row r="172" spans="1:3" ht="14.25">
      <c r="A172" s="150"/>
      <c r="B172" s="264"/>
      <c r="C172" s="264"/>
    </row>
    <row r="173" spans="1:3" ht="14.25">
      <c r="A173" s="150"/>
      <c r="B173" s="264"/>
      <c r="C173" s="264"/>
    </row>
    <row r="174" spans="1:3" ht="14.25">
      <c r="A174" s="150"/>
      <c r="B174" s="264"/>
      <c r="C174" s="264"/>
    </row>
    <row r="175" spans="1:3" ht="14.25">
      <c r="A175" s="150"/>
      <c r="B175" s="264"/>
      <c r="C175" s="264"/>
    </row>
    <row r="176" spans="1:3" ht="14.25">
      <c r="A176" s="150"/>
      <c r="B176" s="264"/>
      <c r="C176" s="264"/>
    </row>
    <row r="177" spans="1:3" ht="14.25">
      <c r="A177" s="150"/>
      <c r="B177" s="264"/>
      <c r="C177" s="264"/>
    </row>
    <row r="178" spans="1:3" ht="14.25">
      <c r="A178" s="150"/>
      <c r="B178" s="264"/>
      <c r="C178" s="264"/>
    </row>
    <row r="179" spans="1:3" ht="14.25">
      <c r="A179" s="150"/>
      <c r="B179" s="264"/>
      <c r="C179" s="264"/>
    </row>
    <row r="180" spans="1:3" ht="14.25">
      <c r="A180" s="150"/>
      <c r="B180" s="264"/>
      <c r="C180" s="264"/>
    </row>
    <row r="181" spans="1:3" ht="14.25">
      <c r="A181" s="150"/>
      <c r="B181" s="264"/>
      <c r="C181" s="264"/>
    </row>
    <row r="182" spans="1:3" ht="14.25">
      <c r="A182" s="150"/>
      <c r="B182" s="264"/>
      <c r="C182" s="264"/>
    </row>
    <row r="183" spans="1:3" ht="14.25">
      <c r="A183" s="150"/>
      <c r="B183" s="264"/>
      <c r="C183" s="264"/>
    </row>
    <row r="184" spans="1:3" ht="14.25">
      <c r="A184" s="150"/>
      <c r="B184" s="264"/>
      <c r="C184" s="264"/>
    </row>
    <row r="185" spans="1:3" ht="14.25">
      <c r="A185" s="150"/>
      <c r="B185" s="264"/>
      <c r="C185" s="264"/>
    </row>
    <row r="186" spans="1:3" ht="14.25">
      <c r="A186" s="150"/>
      <c r="B186" s="264"/>
      <c r="C186" s="264"/>
    </row>
    <row r="187" spans="1:3" ht="14.25">
      <c r="A187" s="150"/>
      <c r="B187" s="264"/>
      <c r="C187" s="264"/>
    </row>
    <row r="188" spans="1:3" ht="14.25">
      <c r="A188" s="150"/>
      <c r="B188" s="264"/>
      <c r="C188" s="264"/>
    </row>
    <row r="189" spans="1:3" ht="14.25">
      <c r="A189" s="150"/>
      <c r="B189" s="264"/>
      <c r="C189" s="264"/>
    </row>
    <row r="190" spans="1:3" ht="14.25">
      <c r="A190" s="150"/>
      <c r="B190" s="264"/>
      <c r="C190" s="264"/>
    </row>
    <row r="191" spans="1:3" ht="14.25">
      <c r="A191" s="150"/>
      <c r="B191" s="264"/>
      <c r="C191" s="264"/>
    </row>
    <row r="192" spans="1:3" ht="14.25">
      <c r="A192" s="150"/>
      <c r="B192" s="264"/>
      <c r="C192" s="264"/>
    </row>
    <row r="193" spans="1:3" ht="14.25">
      <c r="A193" s="150"/>
      <c r="B193" s="264"/>
      <c r="C193" s="264"/>
    </row>
    <row r="194" spans="1:3" ht="14.25">
      <c r="A194" s="150"/>
      <c r="B194" s="264"/>
      <c r="C194" s="264"/>
    </row>
    <row r="195" spans="1:3" ht="14.25">
      <c r="A195" s="150"/>
      <c r="B195" s="264"/>
      <c r="C195" s="264"/>
    </row>
    <row r="196" spans="1:3" ht="14.25">
      <c r="A196" s="150"/>
      <c r="B196" s="264"/>
      <c r="C196" s="264"/>
    </row>
    <row r="197" spans="1:3" ht="14.25">
      <c r="A197" s="150"/>
      <c r="B197" s="264"/>
      <c r="C197" s="264"/>
    </row>
    <row r="198" spans="1:3" ht="14.25">
      <c r="A198" s="150"/>
      <c r="B198" s="264"/>
      <c r="C198" s="264"/>
    </row>
    <row r="199" spans="1:3" ht="14.25">
      <c r="A199" s="150"/>
      <c r="B199" s="264"/>
      <c r="C199" s="264"/>
    </row>
    <row r="200" spans="1:3" ht="14.25">
      <c r="A200" s="150"/>
      <c r="B200" s="264"/>
      <c r="C200" s="264"/>
    </row>
    <row r="201" spans="1:3" ht="14.25">
      <c r="A201" s="150"/>
      <c r="B201" s="264"/>
      <c r="C201" s="264"/>
    </row>
    <row r="202" spans="1:3" ht="14.25">
      <c r="A202" s="150"/>
      <c r="B202" s="264"/>
      <c r="C202" s="264"/>
    </row>
    <row r="203" spans="1:3" ht="14.25">
      <c r="A203" s="150"/>
      <c r="B203" s="264"/>
      <c r="C203" s="264"/>
    </row>
    <row r="204" spans="1:3" ht="14.25">
      <c r="A204" s="150"/>
      <c r="B204" s="264"/>
      <c r="C204" s="264"/>
    </row>
    <row r="205" spans="1:3" ht="14.25">
      <c r="A205" s="150"/>
      <c r="B205" s="264"/>
      <c r="C205" s="264"/>
    </row>
    <row r="206" spans="1:3" ht="14.25">
      <c r="A206" s="150"/>
      <c r="B206" s="264"/>
      <c r="C206" s="264"/>
    </row>
    <row r="207" spans="1:3" ht="14.25">
      <c r="A207" s="150"/>
      <c r="B207" s="264"/>
      <c r="C207" s="264"/>
    </row>
    <row r="208" spans="1:3" ht="14.25">
      <c r="A208" s="150"/>
      <c r="B208" s="264"/>
      <c r="C208" s="264"/>
    </row>
    <row r="209" spans="1:3" ht="14.25">
      <c r="A209" s="150"/>
      <c r="B209" s="264"/>
      <c r="C209" s="264"/>
    </row>
    <row r="210" spans="1:3" ht="14.25">
      <c r="A210" s="150"/>
      <c r="B210" s="264"/>
      <c r="C210" s="264"/>
    </row>
    <row r="211" spans="1:3" ht="14.25">
      <c r="A211" s="150"/>
      <c r="B211" s="264"/>
      <c r="C211" s="264"/>
    </row>
    <row r="212" spans="1:3" ht="14.25">
      <c r="A212" s="150"/>
      <c r="B212" s="264"/>
      <c r="C212" s="264"/>
    </row>
    <row r="213" spans="1:3" ht="14.25">
      <c r="A213" s="150"/>
      <c r="B213" s="264"/>
      <c r="C213" s="264"/>
    </row>
    <row r="214" spans="1:3" ht="14.25">
      <c r="A214" s="150"/>
      <c r="B214" s="264"/>
      <c r="C214" s="264"/>
    </row>
    <row r="215" spans="1:3" ht="14.25">
      <c r="A215" s="150"/>
      <c r="B215" s="264"/>
      <c r="C215" s="264"/>
    </row>
    <row r="216" spans="1:3" ht="14.25">
      <c r="A216" s="150"/>
      <c r="B216" s="264"/>
      <c r="C216" s="264"/>
    </row>
    <row r="217" spans="1:3" ht="14.25">
      <c r="A217" s="150"/>
      <c r="B217" s="264"/>
      <c r="C217" s="264"/>
    </row>
    <row r="218" spans="1:3" ht="14.25">
      <c r="A218" s="150"/>
      <c r="B218" s="264"/>
      <c r="C218" s="264"/>
    </row>
    <row r="219" spans="1:3" ht="14.25">
      <c r="A219" s="150"/>
      <c r="B219" s="264"/>
      <c r="C219" s="264"/>
    </row>
    <row r="220" spans="1:3" ht="14.25">
      <c r="A220" s="150"/>
      <c r="B220" s="264"/>
      <c r="C220" s="264"/>
    </row>
    <row r="221" spans="1:3" ht="14.25">
      <c r="A221" s="150"/>
      <c r="B221" s="264"/>
      <c r="C221" s="264"/>
    </row>
    <row r="222" spans="1:3" ht="14.25">
      <c r="A222" s="150"/>
      <c r="B222" s="264"/>
      <c r="C222" s="264"/>
    </row>
    <row r="223" spans="1:3" ht="14.25">
      <c r="A223" s="150"/>
      <c r="B223" s="264"/>
      <c r="C223" s="264"/>
    </row>
    <row r="224" spans="1:3" ht="14.25">
      <c r="A224" s="150"/>
      <c r="B224" s="264"/>
      <c r="C224" s="264"/>
    </row>
    <row r="225" spans="1:3" ht="14.25">
      <c r="A225" s="150"/>
      <c r="B225" s="264"/>
      <c r="C225" s="264"/>
    </row>
    <row r="226" spans="1:3" ht="14.25">
      <c r="A226" s="150"/>
      <c r="B226" s="264"/>
      <c r="C226" s="264"/>
    </row>
    <row r="227" spans="1:3" ht="14.25">
      <c r="A227" s="150"/>
      <c r="B227" s="264"/>
      <c r="C227" s="264"/>
    </row>
    <row r="228" spans="1:3" ht="14.25">
      <c r="A228" s="150"/>
      <c r="B228" s="264"/>
      <c r="C228" s="264"/>
    </row>
    <row r="229" spans="1:3" ht="14.25">
      <c r="A229" s="150"/>
      <c r="B229" s="264"/>
      <c r="C229" s="264"/>
    </row>
    <row r="230" spans="1:3" ht="14.25">
      <c r="A230" s="150"/>
      <c r="B230" s="264"/>
      <c r="C230" s="264"/>
    </row>
    <row r="231" spans="1:3" ht="14.25">
      <c r="A231" s="150"/>
      <c r="B231" s="264"/>
      <c r="C231" s="264"/>
    </row>
    <row r="232" spans="1:3" ht="14.25">
      <c r="A232" s="150"/>
      <c r="B232" s="264"/>
      <c r="C232" s="264"/>
    </row>
    <row r="233" spans="1:3" ht="14.25">
      <c r="A233" s="150"/>
      <c r="B233" s="264"/>
      <c r="C233" s="264"/>
    </row>
    <row r="234" spans="1:3" ht="14.25">
      <c r="A234" s="150"/>
      <c r="B234" s="264"/>
      <c r="C234" s="264"/>
    </row>
    <row r="235" spans="1:3" ht="14.25">
      <c r="A235" s="150"/>
      <c r="B235" s="264"/>
      <c r="C235" s="264"/>
    </row>
    <row r="236" spans="1:3" ht="14.25">
      <c r="A236" s="150"/>
      <c r="B236" s="264"/>
      <c r="C236" s="264"/>
    </row>
    <row r="237" spans="1:3" ht="14.25">
      <c r="A237" s="150"/>
      <c r="B237" s="264"/>
      <c r="C237" s="264"/>
    </row>
    <row r="238" spans="1:3" ht="14.25">
      <c r="A238" s="150"/>
      <c r="B238" s="264"/>
      <c r="C238" s="264"/>
    </row>
    <row r="239" spans="1:3" ht="14.25">
      <c r="A239" s="150"/>
      <c r="B239" s="264"/>
      <c r="C239" s="264"/>
    </row>
    <row r="240" spans="1:3" ht="14.25">
      <c r="A240" s="150"/>
      <c r="B240" s="264"/>
      <c r="C240" s="264"/>
    </row>
    <row r="241" spans="1:3" ht="14.25">
      <c r="A241" s="150"/>
      <c r="B241" s="264"/>
      <c r="C241" s="264"/>
    </row>
    <row r="242" spans="1:3" ht="14.25">
      <c r="A242" s="150"/>
      <c r="B242" s="264"/>
      <c r="C242" s="264"/>
    </row>
    <row r="243" spans="1:3" ht="14.25">
      <c r="A243" s="150"/>
      <c r="B243" s="264"/>
      <c r="C243" s="264"/>
    </row>
    <row r="244" spans="1:3" ht="14.25">
      <c r="A244" s="150"/>
      <c r="B244" s="264"/>
      <c r="C244" s="264"/>
    </row>
    <row r="245" spans="1:3" ht="14.25">
      <c r="A245" s="150"/>
      <c r="B245" s="264"/>
      <c r="C245" s="264"/>
    </row>
    <row r="246" spans="1:3" ht="14.25">
      <c r="A246" s="150"/>
      <c r="B246" s="264"/>
      <c r="C246" s="264"/>
    </row>
    <row r="247" spans="1:3" ht="14.25">
      <c r="A247" s="150"/>
      <c r="B247" s="264"/>
      <c r="C247" s="264"/>
    </row>
    <row r="248" spans="1:3" ht="14.25">
      <c r="A248" s="150"/>
      <c r="B248" s="264"/>
      <c r="C248" s="264"/>
    </row>
    <row r="249" spans="1:3" ht="14.25">
      <c r="A249" s="150"/>
      <c r="B249" s="264"/>
      <c r="C249" s="264"/>
    </row>
    <row r="250" spans="1:3" ht="14.25">
      <c r="A250" s="150"/>
      <c r="B250" s="264"/>
      <c r="C250" s="264"/>
    </row>
    <row r="251" spans="1:3" ht="14.25">
      <c r="A251" s="150"/>
      <c r="B251" s="264"/>
      <c r="C251" s="264"/>
    </row>
    <row r="252" spans="1:3" ht="14.25">
      <c r="A252" s="150"/>
      <c r="B252" s="264"/>
      <c r="C252" s="264"/>
    </row>
    <row r="253" spans="1:3" ht="14.25">
      <c r="A253" s="150"/>
      <c r="B253" s="264"/>
      <c r="C253" s="264"/>
    </row>
    <row r="254" spans="1:3" ht="14.25">
      <c r="A254" s="150"/>
      <c r="B254" s="264"/>
      <c r="C254" s="264"/>
    </row>
    <row r="255" spans="1:3" ht="14.25">
      <c r="A255" s="150"/>
      <c r="B255" s="264"/>
      <c r="C255" s="264"/>
    </row>
    <row r="256" spans="1:3" ht="14.25">
      <c r="A256" s="150"/>
      <c r="B256" s="264"/>
      <c r="C256" s="264"/>
    </row>
    <row r="257" spans="1:3" ht="14.25">
      <c r="A257" s="150"/>
      <c r="B257" s="264"/>
      <c r="C257" s="264"/>
    </row>
    <row r="258" spans="1:3" ht="14.25">
      <c r="A258" s="150"/>
      <c r="B258" s="264"/>
      <c r="C258" s="264"/>
    </row>
    <row r="259" spans="1:3" ht="14.25">
      <c r="A259" s="150"/>
      <c r="B259" s="264"/>
      <c r="C259" s="264"/>
    </row>
    <row r="260" spans="1:3" ht="14.25">
      <c r="A260" s="150"/>
      <c r="B260" s="264"/>
      <c r="C260" s="264"/>
    </row>
    <row r="261" spans="1:3" ht="14.25">
      <c r="A261" s="150"/>
      <c r="B261" s="264"/>
      <c r="C261" s="264"/>
    </row>
    <row r="262" spans="1:3" ht="14.25">
      <c r="A262" s="150"/>
      <c r="B262" s="264"/>
      <c r="C262" s="264"/>
    </row>
    <row r="263" spans="1:3" ht="14.25">
      <c r="A263" s="150"/>
      <c r="B263" s="264"/>
      <c r="C263" s="264"/>
    </row>
    <row r="264" spans="1:3" ht="14.25">
      <c r="A264" s="150"/>
      <c r="B264" s="264"/>
      <c r="C264" s="264"/>
    </row>
    <row r="265" spans="1:3" ht="14.25">
      <c r="A265" s="150"/>
      <c r="B265" s="264"/>
      <c r="C265" s="264"/>
    </row>
    <row r="266" spans="1:3" ht="14.25">
      <c r="A266" s="150"/>
      <c r="B266" s="264"/>
      <c r="C266" s="264"/>
    </row>
    <row r="267" spans="1:3" ht="14.25">
      <c r="A267" s="150"/>
      <c r="B267" s="264"/>
      <c r="C267" s="264"/>
    </row>
    <row r="268" spans="1:3" ht="14.25">
      <c r="A268" s="150"/>
      <c r="B268" s="264"/>
      <c r="C268" s="264"/>
    </row>
    <row r="269" spans="1:3" ht="14.25">
      <c r="A269" s="150"/>
      <c r="B269" s="264"/>
      <c r="C269" s="264"/>
    </row>
    <row r="270" spans="1:3" ht="14.25">
      <c r="A270" s="150"/>
      <c r="B270" s="264"/>
      <c r="C270" s="264"/>
    </row>
    <row r="271" spans="1:3" ht="14.25">
      <c r="A271" s="150"/>
      <c r="B271" s="264"/>
      <c r="C271" s="264"/>
    </row>
    <row r="272" spans="1:3" ht="14.25">
      <c r="A272" s="150"/>
      <c r="B272" s="264"/>
      <c r="C272" s="264"/>
    </row>
    <row r="273" spans="1:3" ht="14.25">
      <c r="A273" s="150"/>
      <c r="B273" s="264"/>
      <c r="C273" s="264"/>
    </row>
    <row r="274" spans="1:3" ht="14.25">
      <c r="A274" s="150"/>
      <c r="B274" s="264"/>
      <c r="C274" s="264"/>
    </row>
    <row r="275" spans="1:3" ht="14.25">
      <c r="A275" s="150"/>
      <c r="B275" s="264"/>
      <c r="C275" s="264"/>
    </row>
    <row r="276" spans="1:3" ht="14.25">
      <c r="A276" s="150"/>
      <c r="B276" s="264"/>
      <c r="C276" s="264"/>
    </row>
    <row r="277" spans="1:3" ht="14.25">
      <c r="A277" s="150"/>
      <c r="B277" s="264"/>
      <c r="C277" s="264"/>
    </row>
    <row r="278" spans="1:3" ht="14.25">
      <c r="A278" s="150"/>
      <c r="B278" s="264"/>
      <c r="C278" s="264"/>
    </row>
    <row r="279" spans="1:3" ht="14.25">
      <c r="A279" s="150"/>
      <c r="B279" s="264"/>
      <c r="C279" s="264"/>
    </row>
    <row r="280" spans="1:3" ht="14.25">
      <c r="A280" s="150"/>
      <c r="B280" s="264"/>
      <c r="C280" s="264"/>
    </row>
    <row r="281" spans="1:3" ht="14.25">
      <c r="A281" s="150"/>
      <c r="B281" s="264"/>
      <c r="C281" s="264"/>
    </row>
    <row r="282" spans="1:3" ht="14.25">
      <c r="A282" s="150"/>
      <c r="B282" s="264"/>
      <c r="C282" s="264"/>
    </row>
    <row r="283" spans="1:3" ht="14.25">
      <c r="A283" s="150"/>
      <c r="B283" s="264"/>
      <c r="C283" s="264"/>
    </row>
    <row r="284" spans="1:3" ht="14.25">
      <c r="A284" s="150"/>
      <c r="B284" s="264"/>
      <c r="C284" s="264"/>
    </row>
    <row r="285" spans="1:3" ht="14.25">
      <c r="A285" s="150"/>
      <c r="B285" s="264"/>
      <c r="C285" s="264"/>
    </row>
    <row r="286" spans="1:3" ht="14.25">
      <c r="A286" s="150"/>
      <c r="B286" s="264"/>
      <c r="C286" s="264"/>
    </row>
    <row r="287" spans="1:3" ht="14.25">
      <c r="A287" s="150"/>
      <c r="B287" s="264"/>
      <c r="C287" s="264"/>
    </row>
    <row r="288" spans="1:3" ht="14.25">
      <c r="A288" s="150"/>
      <c r="B288" s="264"/>
      <c r="C288" s="264"/>
    </row>
    <row r="289" spans="1:3" ht="14.25">
      <c r="A289" s="150"/>
      <c r="B289" s="264"/>
      <c r="C289" s="264"/>
    </row>
    <row r="290" spans="1:3" ht="14.25">
      <c r="A290" s="150"/>
      <c r="B290" s="264"/>
      <c r="C290" s="264"/>
    </row>
    <row r="291" spans="1:3" ht="14.25">
      <c r="A291" s="150"/>
      <c r="B291" s="264"/>
      <c r="C291" s="264"/>
    </row>
    <row r="292" spans="1:3" ht="14.25">
      <c r="A292" s="150"/>
      <c r="B292" s="264"/>
      <c r="C292" s="264"/>
    </row>
    <row r="293" spans="1:3" ht="14.25">
      <c r="A293" s="150"/>
      <c r="B293" s="264"/>
      <c r="C293" s="264"/>
    </row>
    <row r="294" spans="1:3" ht="14.25">
      <c r="A294" s="150"/>
      <c r="B294" s="264"/>
      <c r="C294" s="264"/>
    </row>
    <row r="295" spans="1:3" ht="14.25">
      <c r="A295" s="150"/>
      <c r="B295" s="264"/>
      <c r="C295" s="264"/>
    </row>
    <row r="296" spans="1:3" ht="14.25">
      <c r="A296" s="150"/>
      <c r="B296" s="264"/>
      <c r="C296" s="264"/>
    </row>
    <row r="297" spans="1:3" ht="14.25">
      <c r="A297" s="150"/>
      <c r="B297" s="264"/>
      <c r="C297" s="264"/>
    </row>
    <row r="298" spans="1:3" ht="14.25">
      <c r="A298" s="150"/>
      <c r="B298" s="264"/>
      <c r="C298" s="264"/>
    </row>
    <row r="299" spans="1:3" ht="14.25">
      <c r="A299" s="150"/>
      <c r="B299" s="264"/>
      <c r="C299" s="264"/>
    </row>
    <row r="300" spans="1:3" ht="14.25">
      <c r="A300" s="150"/>
      <c r="B300" s="264"/>
      <c r="C300" s="264"/>
    </row>
    <row r="301" spans="1:3" ht="14.25">
      <c r="A301" s="150"/>
      <c r="B301" s="264"/>
      <c r="C301" s="264"/>
    </row>
    <row r="302" spans="1:3" ht="14.25">
      <c r="A302" s="150"/>
      <c r="B302" s="264"/>
      <c r="C302" s="264"/>
    </row>
    <row r="303" spans="1:3" ht="14.25">
      <c r="A303" s="150"/>
      <c r="B303" s="264"/>
      <c r="C303" s="264"/>
    </row>
    <row r="304" spans="1:3" ht="14.25">
      <c r="A304" s="150"/>
      <c r="B304" s="264"/>
      <c r="C304" s="264"/>
    </row>
    <row r="305" spans="1:3" ht="14.25">
      <c r="A305" s="150"/>
      <c r="B305" s="264"/>
      <c r="C305" s="264"/>
    </row>
    <row r="306" spans="1:3" ht="14.25">
      <c r="A306" s="150"/>
      <c r="B306" s="264"/>
      <c r="C306" s="264"/>
    </row>
    <row r="307" spans="1:3" ht="14.25">
      <c r="A307" s="150"/>
      <c r="B307" s="264"/>
      <c r="C307" s="264"/>
    </row>
    <row r="308" spans="1:3" ht="14.25">
      <c r="A308" s="150"/>
      <c r="B308" s="264"/>
      <c r="C308" s="264"/>
    </row>
    <row r="309" spans="1:3" ht="14.25">
      <c r="A309" s="150"/>
      <c r="B309" s="264"/>
      <c r="C309" s="264"/>
    </row>
    <row r="310" spans="1:3" ht="14.25">
      <c r="A310" s="150"/>
      <c r="B310" s="264"/>
      <c r="C310" s="264"/>
    </row>
    <row r="311" spans="1:3" ht="14.25">
      <c r="A311" s="150"/>
      <c r="B311" s="264"/>
      <c r="C311" s="264"/>
    </row>
    <row r="312" spans="1:3" ht="14.25">
      <c r="A312" s="150"/>
      <c r="B312" s="264"/>
      <c r="C312" s="264"/>
    </row>
    <row r="313" spans="1:3" ht="14.25">
      <c r="A313" s="150"/>
      <c r="B313" s="264"/>
      <c r="C313" s="264"/>
    </row>
    <row r="314" spans="1:3" ht="14.25">
      <c r="A314" s="150"/>
      <c r="B314" s="264"/>
      <c r="C314" s="264"/>
    </row>
    <row r="315" spans="1:3" ht="14.25">
      <c r="A315" s="150"/>
      <c r="B315" s="264"/>
      <c r="C315" s="264"/>
    </row>
    <row r="316" spans="1:3" ht="14.25">
      <c r="A316" s="150"/>
      <c r="B316" s="264"/>
      <c r="C316" s="264"/>
    </row>
    <row r="317" spans="1:3" ht="14.25">
      <c r="A317" s="150"/>
      <c r="B317" s="264"/>
      <c r="C317" s="264"/>
    </row>
    <row r="318" spans="1:3" ht="14.25">
      <c r="A318" s="150"/>
      <c r="B318" s="264"/>
      <c r="C318" s="264"/>
    </row>
    <row r="319" spans="1:3" ht="14.25">
      <c r="A319" s="150"/>
      <c r="B319" s="264"/>
      <c r="C319" s="264"/>
    </row>
    <row r="320" spans="1:3" ht="14.25">
      <c r="A320" s="150"/>
      <c r="B320" s="264"/>
      <c r="C320" s="264"/>
    </row>
    <row r="321" spans="1:3" ht="14.25">
      <c r="A321" s="150"/>
      <c r="B321" s="264"/>
      <c r="C321" s="264"/>
    </row>
    <row r="322" spans="1:3" ht="14.25">
      <c r="A322" s="150"/>
      <c r="B322" s="264"/>
      <c r="C322" s="264"/>
    </row>
    <row r="323" spans="1:3" ht="14.25">
      <c r="A323" s="150"/>
      <c r="B323" s="264"/>
      <c r="C323" s="264"/>
    </row>
    <row r="324" spans="1:3" ht="14.25">
      <c r="A324" s="150"/>
      <c r="B324" s="264"/>
      <c r="C324" s="264"/>
    </row>
    <row r="325" spans="1:3" ht="14.25">
      <c r="A325" s="150"/>
      <c r="B325" s="264"/>
      <c r="C325" s="264"/>
    </row>
    <row r="326" spans="1:3" ht="14.25">
      <c r="A326" s="150"/>
      <c r="B326" s="264"/>
      <c r="C326" s="264"/>
    </row>
    <row r="327" spans="1:3" ht="14.25">
      <c r="A327" s="150"/>
      <c r="B327" s="264"/>
      <c r="C327" s="264"/>
    </row>
    <row r="328" spans="1:3" ht="14.25">
      <c r="A328" s="150"/>
      <c r="B328" s="264"/>
      <c r="C328" s="264"/>
    </row>
    <row r="329" spans="1:3" ht="14.25">
      <c r="A329" s="150"/>
      <c r="B329" s="264"/>
      <c r="C329" s="264"/>
    </row>
    <row r="330" spans="1:3" ht="14.25">
      <c r="A330" s="150"/>
      <c r="B330" s="264"/>
      <c r="C330" s="264"/>
    </row>
    <row r="331" spans="1:3" ht="14.25">
      <c r="A331" s="150"/>
      <c r="B331" s="264"/>
      <c r="C331" s="264"/>
    </row>
    <row r="332" spans="1:3" ht="14.25">
      <c r="A332" s="150"/>
      <c r="B332" s="264"/>
      <c r="C332" s="264"/>
    </row>
    <row r="333" spans="1:3" ht="14.25">
      <c r="A333" s="150"/>
      <c r="B333" s="264"/>
      <c r="C333" s="264"/>
    </row>
    <row r="334" spans="1:3" ht="14.25">
      <c r="A334" s="150"/>
      <c r="B334" s="264"/>
      <c r="C334" s="264"/>
    </row>
    <row r="335" spans="1:3" ht="14.25">
      <c r="A335" s="150"/>
      <c r="B335" s="264"/>
      <c r="C335" s="264"/>
    </row>
    <row r="336" spans="1:3" ht="14.25">
      <c r="A336" s="150"/>
      <c r="B336" s="264"/>
      <c r="C336" s="264"/>
    </row>
    <row r="337" spans="1:3" ht="14.25">
      <c r="A337" s="150"/>
      <c r="B337" s="264"/>
      <c r="C337" s="264"/>
    </row>
    <row r="338" spans="1:3" ht="14.25">
      <c r="A338" s="150"/>
      <c r="B338" s="264"/>
      <c r="C338" s="264"/>
    </row>
    <row r="339" spans="1:3" ht="14.25">
      <c r="A339" s="150"/>
      <c r="B339" s="264"/>
      <c r="C339" s="264"/>
    </row>
    <row r="340" spans="1:3" ht="14.25">
      <c r="A340" s="150"/>
      <c r="B340" s="264"/>
      <c r="C340" s="264"/>
    </row>
    <row r="341" spans="1:3" ht="14.25">
      <c r="A341" s="150"/>
      <c r="B341" s="264"/>
      <c r="C341" s="264"/>
    </row>
    <row r="342" spans="1:3" ht="14.25">
      <c r="A342" s="150"/>
      <c r="B342" s="264"/>
      <c r="C342" s="264"/>
    </row>
    <row r="343" spans="1:3" ht="14.25">
      <c r="A343" s="150"/>
      <c r="B343" s="264"/>
      <c r="C343" s="264"/>
    </row>
    <row r="344" spans="1:3" ht="14.25">
      <c r="A344" s="150"/>
      <c r="B344" s="264"/>
      <c r="C344" s="264"/>
    </row>
    <row r="345" spans="1:3" ht="14.25">
      <c r="A345" s="150"/>
      <c r="B345" s="264"/>
      <c r="C345" s="264"/>
    </row>
    <row r="346" spans="1:3" ht="14.25">
      <c r="A346" s="150"/>
      <c r="B346" s="264"/>
      <c r="C346" s="264"/>
    </row>
    <row r="347" spans="1:3" ht="14.25">
      <c r="A347" s="150"/>
      <c r="B347" s="264"/>
      <c r="C347" s="264"/>
    </row>
    <row r="348" spans="1:3" ht="14.25">
      <c r="A348" s="150"/>
      <c r="B348" s="264"/>
      <c r="C348" s="264"/>
    </row>
    <row r="349" spans="1:3" ht="14.25">
      <c r="A349" s="150"/>
      <c r="B349" s="264"/>
      <c r="C349" s="264"/>
    </row>
    <row r="350" spans="1:3" ht="14.25">
      <c r="A350" s="150"/>
      <c r="B350" s="264"/>
      <c r="C350" s="264"/>
    </row>
    <row r="351" spans="1:3" ht="14.25">
      <c r="A351" s="150"/>
      <c r="B351" s="264"/>
      <c r="C351" s="264"/>
    </row>
    <row r="352" spans="1:3" ht="14.25">
      <c r="A352" s="150"/>
      <c r="B352" s="264"/>
      <c r="C352" s="264"/>
    </row>
    <row r="353" spans="1:3" ht="14.25">
      <c r="A353" s="150"/>
      <c r="B353" s="264"/>
      <c r="C353" s="264"/>
    </row>
    <row r="354" spans="1:3" ht="14.25">
      <c r="A354" s="150"/>
      <c r="B354" s="264"/>
      <c r="C354" s="264"/>
    </row>
    <row r="355" spans="1:3" ht="14.25">
      <c r="A355" s="150"/>
      <c r="B355" s="264"/>
      <c r="C355" s="264"/>
    </row>
    <row r="356" spans="1:3" ht="14.25">
      <c r="A356" s="150"/>
      <c r="B356" s="264"/>
      <c r="C356" s="264"/>
    </row>
    <row r="357" spans="1:3" ht="14.25">
      <c r="A357" s="150"/>
      <c r="B357" s="264"/>
      <c r="C357" s="264"/>
    </row>
    <row r="358" spans="1:3" ht="14.25">
      <c r="A358" s="150"/>
      <c r="B358" s="264"/>
      <c r="C358" s="264"/>
    </row>
    <row r="359" spans="1:3" ht="14.25">
      <c r="A359" s="150"/>
      <c r="B359" s="264"/>
      <c r="C359" s="264"/>
    </row>
    <row r="360" spans="1:3" ht="14.25">
      <c r="A360" s="150"/>
      <c r="B360" s="264"/>
      <c r="C360" s="264"/>
    </row>
    <row r="361" spans="1:3" ht="14.25">
      <c r="A361" s="150"/>
      <c r="B361" s="264"/>
      <c r="C361" s="264"/>
    </row>
    <row r="362" spans="1:3" ht="14.25">
      <c r="A362" s="150"/>
      <c r="B362" s="264"/>
      <c r="C362" s="264"/>
    </row>
    <row r="363" spans="1:3" ht="14.25">
      <c r="A363" s="150"/>
      <c r="B363" s="264"/>
      <c r="C363" s="264"/>
    </row>
    <row r="364" spans="1:3" ht="14.25">
      <c r="A364" s="150"/>
      <c r="B364" s="264"/>
      <c r="C364" s="264"/>
    </row>
    <row r="365" spans="1:3" ht="14.25">
      <c r="A365" s="150"/>
      <c r="B365" s="264"/>
      <c r="C365" s="264"/>
    </row>
    <row r="366" spans="1:3" ht="14.25">
      <c r="A366" s="150"/>
      <c r="B366" s="264"/>
      <c r="C366" s="264"/>
    </row>
    <row r="367" spans="1:3" ht="14.25">
      <c r="A367" s="150"/>
      <c r="B367" s="264"/>
      <c r="C367" s="264"/>
    </row>
    <row r="368" spans="1:3" ht="14.25">
      <c r="A368" s="150"/>
      <c r="B368" s="264"/>
      <c r="C368" s="264"/>
    </row>
    <row r="369" spans="1:3" ht="14.25">
      <c r="A369" s="150"/>
      <c r="B369" s="264"/>
      <c r="C369" s="264"/>
    </row>
    <row r="370" spans="1:3" ht="14.25">
      <c r="A370" s="150"/>
      <c r="B370" s="264"/>
      <c r="C370" s="264"/>
    </row>
    <row r="371" spans="1:3" ht="14.25">
      <c r="A371" s="150"/>
      <c r="B371" s="264"/>
      <c r="C371" s="264"/>
    </row>
    <row r="372" spans="1:3" ht="14.25">
      <c r="A372" s="150"/>
      <c r="B372" s="264"/>
      <c r="C372" s="264"/>
    </row>
    <row r="373" spans="1:3" ht="14.25">
      <c r="A373" s="150"/>
      <c r="B373" s="264"/>
      <c r="C373" s="264"/>
    </row>
    <row r="374" spans="1:3" ht="14.25">
      <c r="A374" s="150"/>
      <c r="B374" s="264"/>
      <c r="C374" s="264"/>
    </row>
    <row r="375" spans="1:3" ht="14.25">
      <c r="A375" s="150"/>
      <c r="B375" s="264"/>
      <c r="C375" s="264"/>
    </row>
    <row r="376" spans="1:3" ht="14.25">
      <c r="A376" s="150"/>
      <c r="B376" s="264"/>
      <c r="C376" s="264"/>
    </row>
    <row r="377" spans="1:3" ht="14.25">
      <c r="A377" s="150"/>
      <c r="B377" s="264"/>
      <c r="C377" s="264"/>
    </row>
    <row r="378" spans="1:3" ht="14.25">
      <c r="A378" s="150"/>
      <c r="B378" s="264"/>
      <c r="C378" s="264"/>
    </row>
    <row r="379" spans="1:3" ht="14.25">
      <c r="A379" s="150"/>
      <c r="B379" s="264"/>
      <c r="C379" s="264"/>
    </row>
    <row r="380" spans="1:3" ht="14.25">
      <c r="A380" s="150"/>
      <c r="B380" s="264"/>
      <c r="C380" s="264"/>
    </row>
    <row r="381" spans="1:3" ht="14.25">
      <c r="A381" s="150"/>
      <c r="B381" s="264"/>
      <c r="C381" s="264"/>
    </row>
    <row r="382" spans="1:3" ht="14.25">
      <c r="A382" s="150"/>
      <c r="B382" s="264"/>
      <c r="C382" s="264"/>
    </row>
    <row r="383" spans="1:3" ht="14.25">
      <c r="A383" s="150"/>
      <c r="B383" s="264"/>
      <c r="C383" s="264"/>
    </row>
    <row r="384" spans="1:3" ht="14.25">
      <c r="A384" s="150"/>
      <c r="B384" s="264"/>
      <c r="C384" s="264"/>
    </row>
    <row r="385" spans="1:3" ht="14.25">
      <c r="A385" s="150"/>
      <c r="B385" s="264"/>
      <c r="C385" s="264"/>
    </row>
    <row r="386" spans="1:3" ht="14.25">
      <c r="A386" s="150"/>
      <c r="B386" s="264"/>
      <c r="C386" s="264"/>
    </row>
    <row r="387" spans="1:3" ht="14.25">
      <c r="A387" s="150"/>
      <c r="B387" s="264"/>
      <c r="C387" s="264"/>
    </row>
    <row r="388" spans="1:3" ht="14.25">
      <c r="A388" s="150"/>
      <c r="B388" s="264"/>
      <c r="C388" s="264"/>
    </row>
    <row r="389" spans="1:3" ht="14.25">
      <c r="A389" s="150"/>
      <c r="B389" s="264"/>
      <c r="C389" s="264"/>
    </row>
    <row r="390" spans="1:3" ht="14.25">
      <c r="A390" s="150"/>
      <c r="B390" s="264"/>
      <c r="C390" s="264"/>
    </row>
    <row r="391" spans="1:3" ht="14.25">
      <c r="A391" s="150"/>
      <c r="B391" s="264"/>
      <c r="C391" s="264"/>
    </row>
    <row r="392" spans="1:3" ht="14.25">
      <c r="A392" s="150"/>
      <c r="B392" s="264"/>
      <c r="C392" s="264"/>
    </row>
    <row r="393" spans="1:3" ht="14.25">
      <c r="A393" s="150"/>
      <c r="B393" s="264"/>
      <c r="C393" s="264"/>
    </row>
    <row r="394" spans="1:3" ht="14.25">
      <c r="A394" s="150"/>
      <c r="B394" s="264"/>
      <c r="C394" s="264"/>
    </row>
    <row r="395" spans="1:3" ht="14.25">
      <c r="A395" s="150"/>
      <c r="B395" s="264"/>
      <c r="C395" s="264"/>
    </row>
    <row r="396" spans="1:3" ht="14.25">
      <c r="A396" s="150"/>
      <c r="B396" s="264"/>
      <c r="C396" s="264"/>
    </row>
    <row r="397" spans="1:3" ht="14.25">
      <c r="A397" s="150"/>
      <c r="B397" s="264"/>
      <c r="C397" s="264"/>
    </row>
    <row r="398" spans="1:3" ht="14.25">
      <c r="A398" s="150"/>
      <c r="B398" s="264"/>
      <c r="C398" s="264"/>
    </row>
    <row r="399" spans="1:3" ht="14.25">
      <c r="A399" s="150"/>
      <c r="B399" s="264"/>
      <c r="C399" s="264"/>
    </row>
    <row r="400" spans="1:3" ht="14.25">
      <c r="A400" s="150"/>
      <c r="B400" s="264"/>
      <c r="C400" s="264"/>
    </row>
    <row r="401" spans="1:3" ht="14.25">
      <c r="A401" s="150"/>
      <c r="B401" s="264"/>
      <c r="C401" s="264"/>
    </row>
    <row r="402" spans="1:3" ht="14.25">
      <c r="A402" s="150"/>
      <c r="B402" s="264"/>
      <c r="C402" s="264"/>
    </row>
    <row r="403" spans="1:3" ht="14.25">
      <c r="A403" s="150"/>
      <c r="B403" s="264"/>
      <c r="C403" s="264"/>
    </row>
    <row r="404" spans="1:3" ht="14.25">
      <c r="A404" s="150"/>
      <c r="B404" s="264"/>
      <c r="C404" s="264"/>
    </row>
    <row r="405" spans="1:3" ht="14.25">
      <c r="A405" s="150"/>
      <c r="B405" s="264"/>
      <c r="C405" s="264"/>
    </row>
    <row r="406" spans="1:3" ht="14.25">
      <c r="A406" s="150"/>
      <c r="B406" s="264"/>
      <c r="C406" s="264"/>
    </row>
    <row r="407" spans="1:3" ht="14.25">
      <c r="A407" s="150"/>
      <c r="B407" s="264"/>
      <c r="C407" s="264"/>
    </row>
    <row r="408" spans="1:3" ht="14.25">
      <c r="A408" s="150"/>
      <c r="B408" s="264"/>
      <c r="C408" s="264"/>
    </row>
    <row r="409" spans="1:3" ht="14.25">
      <c r="A409" s="150"/>
      <c r="B409" s="264"/>
      <c r="C409" s="264"/>
    </row>
    <row r="410" spans="1:3" ht="14.25">
      <c r="A410" s="150"/>
      <c r="B410" s="264"/>
      <c r="C410" s="264"/>
    </row>
    <row r="411" spans="1:3" ht="14.25">
      <c r="A411" s="150"/>
      <c r="B411" s="264"/>
      <c r="C411" s="264"/>
    </row>
    <row r="412" spans="1:3" ht="14.25">
      <c r="A412" s="150"/>
      <c r="B412" s="264"/>
      <c r="C412" s="264"/>
    </row>
    <row r="413" spans="1:3" ht="14.25">
      <c r="A413" s="150"/>
      <c r="B413" s="264"/>
      <c r="C413" s="264"/>
    </row>
    <row r="414" spans="1:3" ht="14.25">
      <c r="A414" s="150"/>
      <c r="B414" s="264"/>
      <c r="C414" s="264"/>
    </row>
    <row r="415" spans="1:3" ht="14.25">
      <c r="A415" s="150"/>
      <c r="B415" s="264"/>
      <c r="C415" s="264"/>
    </row>
    <row r="416" spans="1:3" ht="14.25">
      <c r="A416" s="150"/>
      <c r="B416" s="264"/>
      <c r="C416" s="264"/>
    </row>
    <row r="417" spans="1:3" ht="14.25">
      <c r="A417" s="150"/>
      <c r="B417" s="264"/>
      <c r="C417" s="264"/>
    </row>
    <row r="418" spans="1:3" ht="14.25">
      <c r="A418" s="150"/>
      <c r="B418" s="264"/>
      <c r="C418" s="264"/>
    </row>
    <row r="419" spans="1:3" ht="14.25">
      <c r="A419" s="150"/>
      <c r="B419" s="264"/>
      <c r="C419" s="264"/>
    </row>
    <row r="420" spans="1:3" ht="14.25">
      <c r="A420" s="150"/>
      <c r="B420" s="264"/>
      <c r="C420" s="264"/>
    </row>
    <row r="421" spans="1:3" ht="14.25">
      <c r="A421" s="150"/>
      <c r="B421" s="264"/>
      <c r="C421" s="264"/>
    </row>
    <row r="422" spans="1:3" ht="14.25">
      <c r="A422" s="150"/>
      <c r="B422" s="264"/>
      <c r="C422" s="264"/>
    </row>
    <row r="423" spans="1:3" ht="14.25">
      <c r="A423" s="150"/>
      <c r="B423" s="264"/>
      <c r="C423" s="264"/>
    </row>
    <row r="424" spans="1:3" ht="14.25">
      <c r="A424" s="150"/>
      <c r="B424" s="264"/>
      <c r="C424" s="264"/>
    </row>
    <row r="425" spans="1:3" ht="14.25">
      <c r="A425" s="150"/>
      <c r="B425" s="264"/>
      <c r="C425" s="264"/>
    </row>
    <row r="426" spans="1:3" ht="14.25">
      <c r="A426" s="150"/>
      <c r="B426" s="264"/>
      <c r="C426" s="264"/>
    </row>
    <row r="427" spans="1:3" ht="14.25">
      <c r="A427" s="150"/>
      <c r="B427" s="264"/>
      <c r="C427" s="264"/>
    </row>
    <row r="428" spans="1:3" ht="14.25">
      <c r="A428" s="150"/>
      <c r="B428" s="264"/>
      <c r="C428" s="264"/>
    </row>
    <row r="429" spans="1:3" ht="14.25">
      <c r="A429" s="150"/>
      <c r="B429" s="264"/>
      <c r="C429" s="264"/>
    </row>
    <row r="430" spans="1:3" ht="14.25">
      <c r="A430" s="150"/>
      <c r="B430" s="264"/>
      <c r="C430" s="264"/>
    </row>
    <row r="431" spans="1:3" ht="14.25">
      <c r="A431" s="150"/>
      <c r="B431" s="264"/>
      <c r="C431" s="264"/>
    </row>
    <row r="432" spans="1:3" ht="14.25">
      <c r="A432" s="150"/>
      <c r="B432" s="264"/>
      <c r="C432" s="264"/>
    </row>
    <row r="433" spans="1:3" ht="14.25">
      <c r="A433" s="150"/>
      <c r="B433" s="264"/>
      <c r="C433" s="264"/>
    </row>
    <row r="434" spans="1:3" ht="14.25">
      <c r="A434" s="150"/>
      <c r="B434" s="264"/>
      <c r="C434" s="264"/>
    </row>
    <row r="435" spans="1:3" ht="14.25">
      <c r="A435" s="150"/>
      <c r="B435" s="264"/>
      <c r="C435" s="264"/>
    </row>
    <row r="436" spans="1:3" ht="14.25">
      <c r="A436" s="150"/>
      <c r="B436" s="264"/>
      <c r="C436" s="264"/>
    </row>
    <row r="437" spans="1:3" ht="14.25">
      <c r="A437" s="150"/>
      <c r="B437" s="264"/>
      <c r="C437" s="264"/>
    </row>
    <row r="438" spans="1:3" ht="14.25">
      <c r="A438" s="150"/>
      <c r="B438" s="264"/>
      <c r="C438" s="264"/>
    </row>
    <row r="439" spans="1:3" ht="14.25">
      <c r="A439" s="150"/>
      <c r="B439" s="264"/>
      <c r="C439" s="264"/>
    </row>
    <row r="440" spans="1:3" ht="14.25">
      <c r="A440" s="150"/>
      <c r="B440" s="264"/>
      <c r="C440" s="264"/>
    </row>
    <row r="441" spans="1:3" ht="14.25">
      <c r="A441" s="150"/>
      <c r="B441" s="264"/>
      <c r="C441" s="264"/>
    </row>
    <row r="442" spans="1:3" ht="14.25">
      <c r="A442" s="150"/>
      <c r="B442" s="264"/>
      <c r="C442" s="264"/>
    </row>
    <row r="443" spans="1:3" ht="14.25">
      <c r="A443" s="150"/>
      <c r="B443" s="264"/>
      <c r="C443" s="264"/>
    </row>
    <row r="444" spans="1:3" ht="14.25">
      <c r="A444" s="150"/>
      <c r="B444" s="264"/>
      <c r="C444" s="264"/>
    </row>
    <row r="445" spans="1:3" ht="14.25">
      <c r="A445" s="150"/>
      <c r="B445" s="264"/>
      <c r="C445" s="264"/>
    </row>
    <row r="446" spans="1:3" ht="14.25">
      <c r="A446" s="150"/>
      <c r="B446" s="264"/>
      <c r="C446" s="264"/>
    </row>
    <row r="447" spans="1:3" ht="14.25">
      <c r="A447" s="150"/>
      <c r="B447" s="264"/>
      <c r="C447" s="264"/>
    </row>
    <row r="448" spans="1:3" ht="14.25">
      <c r="A448" s="150"/>
      <c r="B448" s="264"/>
      <c r="C448" s="264"/>
    </row>
    <row r="449" spans="1:3" ht="14.25">
      <c r="A449" s="150"/>
      <c r="B449" s="264"/>
      <c r="C449" s="264"/>
    </row>
    <row r="450" spans="1:3" ht="14.25">
      <c r="A450" s="150"/>
      <c r="B450" s="264"/>
      <c r="C450" s="264"/>
    </row>
    <row r="451" spans="1:3" ht="14.25">
      <c r="A451" s="150"/>
      <c r="B451" s="264"/>
      <c r="C451" s="264"/>
    </row>
    <row r="452" spans="1:3" ht="14.25">
      <c r="A452" s="150"/>
      <c r="B452" s="264"/>
      <c r="C452" s="264"/>
    </row>
    <row r="453" spans="1:3" ht="14.25">
      <c r="A453" s="150"/>
      <c r="B453" s="264"/>
      <c r="C453" s="264"/>
    </row>
    <row r="454" spans="1:3" ht="14.25">
      <c r="A454" s="150"/>
      <c r="B454" s="264"/>
      <c r="C454" s="264"/>
    </row>
    <row r="455" spans="1:3" ht="14.25">
      <c r="A455" s="150"/>
      <c r="B455" s="264"/>
      <c r="C455" s="264"/>
    </row>
    <row r="456" spans="1:3" ht="14.25">
      <c r="A456" s="150"/>
      <c r="B456" s="264"/>
      <c r="C456" s="264"/>
    </row>
    <row r="457" spans="1:3" ht="14.25">
      <c r="A457" s="150"/>
      <c r="B457" s="264"/>
      <c r="C457" s="264"/>
    </row>
    <row r="458" spans="1:3" ht="14.25">
      <c r="A458" s="150"/>
      <c r="B458" s="264"/>
      <c r="C458" s="264"/>
    </row>
    <row r="459" spans="1:3" ht="14.25">
      <c r="A459" s="150"/>
      <c r="B459" s="264"/>
      <c r="C459" s="264"/>
    </row>
    <row r="460" spans="1:3" ht="14.25">
      <c r="A460" s="150"/>
      <c r="B460" s="264"/>
      <c r="C460" s="264"/>
    </row>
    <row r="461" spans="1:3" ht="14.25">
      <c r="A461" s="150"/>
      <c r="B461" s="264"/>
      <c r="C461" s="264"/>
    </row>
    <row r="462" spans="1:3" ht="14.25">
      <c r="A462" s="150"/>
      <c r="B462" s="264"/>
      <c r="C462" s="264"/>
    </row>
    <row r="463" spans="1:3" ht="14.25">
      <c r="A463" s="150"/>
      <c r="B463" s="264"/>
      <c r="C463" s="264"/>
    </row>
    <row r="464" spans="1:3" ht="14.25">
      <c r="A464" s="150"/>
      <c r="B464" s="264"/>
      <c r="C464" s="264"/>
    </row>
    <row r="465" spans="1:3" ht="14.25">
      <c r="A465" s="150"/>
      <c r="B465" s="264"/>
      <c r="C465" s="264"/>
    </row>
    <row r="466" spans="1:3" ht="14.25">
      <c r="A466" s="150"/>
      <c r="B466" s="264"/>
      <c r="C466" s="264"/>
    </row>
    <row r="467" spans="1:3" ht="14.25">
      <c r="A467" s="150"/>
      <c r="B467" s="264"/>
      <c r="C467" s="264"/>
    </row>
    <row r="468" spans="1:3" ht="14.25">
      <c r="A468" s="150"/>
      <c r="B468" s="264"/>
      <c r="C468" s="264"/>
    </row>
    <row r="469" spans="1:3" ht="14.25">
      <c r="A469" s="150"/>
      <c r="B469" s="264"/>
      <c r="C469" s="264"/>
    </row>
    <row r="470" spans="1:3" ht="14.25">
      <c r="A470" s="150"/>
      <c r="B470" s="264"/>
      <c r="C470" s="264"/>
    </row>
    <row r="471" spans="1:3" ht="14.25">
      <c r="A471" s="150"/>
      <c r="B471" s="264"/>
      <c r="C471" s="264"/>
    </row>
    <row r="472" spans="1:3" ht="14.25">
      <c r="A472" s="150"/>
      <c r="B472" s="264"/>
      <c r="C472" s="264"/>
    </row>
    <row r="473" spans="1:3" ht="14.25">
      <c r="A473" s="150"/>
      <c r="B473" s="264"/>
      <c r="C473" s="264"/>
    </row>
    <row r="474" spans="1:3" ht="14.25">
      <c r="A474" s="150"/>
      <c r="B474" s="264"/>
      <c r="C474" s="264"/>
    </row>
    <row r="475" spans="1:3" ht="14.25">
      <c r="A475" s="150"/>
      <c r="B475" s="264"/>
      <c r="C475" s="264"/>
    </row>
    <row r="476" spans="1:3" ht="14.25">
      <c r="A476" s="150"/>
      <c r="B476" s="264"/>
      <c r="C476" s="264"/>
    </row>
    <row r="477" spans="1:3" ht="14.25">
      <c r="A477" s="150"/>
      <c r="B477" s="264"/>
      <c r="C477" s="264"/>
    </row>
    <row r="478" spans="1:3" ht="14.25">
      <c r="A478" s="150"/>
      <c r="B478" s="264"/>
      <c r="C478" s="264"/>
    </row>
    <row r="479" spans="1:3" ht="14.25">
      <c r="A479" s="150"/>
      <c r="B479" s="264"/>
      <c r="C479" s="264"/>
    </row>
    <row r="480" spans="1:3" ht="14.25">
      <c r="A480" s="150"/>
      <c r="B480" s="264"/>
      <c r="C480" s="264"/>
    </row>
    <row r="481" spans="1:3" ht="14.25">
      <c r="A481" s="150"/>
      <c r="B481" s="264"/>
      <c r="C481" s="264"/>
    </row>
    <row r="482" spans="1:3" ht="14.25">
      <c r="A482" s="150"/>
      <c r="B482" s="264"/>
      <c r="C482" s="264"/>
    </row>
    <row r="483" spans="1:3" ht="14.25">
      <c r="A483" s="150"/>
      <c r="B483" s="264"/>
      <c r="C483" s="264"/>
    </row>
    <row r="484" spans="1:3" ht="14.25">
      <c r="A484" s="150"/>
      <c r="B484" s="264"/>
      <c r="C484" s="264"/>
    </row>
    <row r="485" spans="1:3" ht="14.25">
      <c r="A485" s="150"/>
      <c r="B485" s="264"/>
      <c r="C485" s="264"/>
    </row>
    <row r="486" spans="1:3" ht="14.25">
      <c r="A486" s="150"/>
      <c r="B486" s="264"/>
      <c r="C486" s="264"/>
    </row>
    <row r="487" spans="1:3" ht="14.25">
      <c r="A487" s="150"/>
      <c r="B487" s="264"/>
      <c r="C487" s="264"/>
    </row>
    <row r="488" spans="1:3" ht="14.25">
      <c r="A488" s="150"/>
      <c r="B488" s="264"/>
      <c r="C488" s="264"/>
    </row>
    <row r="489" spans="1:3" ht="14.25">
      <c r="A489" s="150"/>
      <c r="B489" s="264"/>
      <c r="C489" s="264"/>
    </row>
    <row r="490" spans="1:3" ht="14.25">
      <c r="A490" s="150"/>
      <c r="B490" s="264"/>
      <c r="C490" s="264"/>
    </row>
    <row r="491" spans="1:3" ht="14.25">
      <c r="A491" s="150"/>
      <c r="B491" s="264"/>
      <c r="C491" s="264"/>
    </row>
    <row r="492" spans="1:3" ht="14.25">
      <c r="A492" s="150"/>
      <c r="B492" s="264"/>
      <c r="C492" s="264"/>
    </row>
    <row r="493" spans="1:3" ht="14.25">
      <c r="A493" s="150"/>
      <c r="B493" s="264"/>
      <c r="C493" s="264"/>
    </row>
    <row r="494" spans="1:3" ht="14.25">
      <c r="A494" s="150"/>
      <c r="B494" s="264"/>
      <c r="C494" s="264"/>
    </row>
    <row r="495" spans="1:3" ht="14.25">
      <c r="A495" s="150"/>
      <c r="B495" s="264"/>
      <c r="C495" s="264"/>
    </row>
    <row r="496" spans="1:3" ht="14.25">
      <c r="A496" s="150"/>
      <c r="B496" s="264"/>
      <c r="C496" s="264"/>
    </row>
    <row r="497" spans="1:3" ht="14.25">
      <c r="A497" s="150"/>
      <c r="B497" s="264"/>
      <c r="C497" s="264"/>
    </row>
    <row r="498" spans="1:3" ht="14.25">
      <c r="A498" s="150"/>
      <c r="B498" s="264"/>
      <c r="C498" s="264"/>
    </row>
    <row r="499" spans="1:3" ht="14.25">
      <c r="A499" s="150"/>
      <c r="B499" s="264"/>
      <c r="C499" s="264"/>
    </row>
    <row r="500" spans="1:3" ht="14.25">
      <c r="A500" s="150"/>
      <c r="B500" s="264"/>
      <c r="C500" s="264"/>
    </row>
    <row r="501" spans="1:3" ht="14.25">
      <c r="A501" s="150"/>
      <c r="B501" s="264"/>
      <c r="C501" s="264"/>
    </row>
    <row r="502" spans="1:3" ht="14.25">
      <c r="A502" s="150"/>
      <c r="B502" s="264"/>
      <c r="C502" s="264"/>
    </row>
    <row r="503" spans="1:3" ht="14.25">
      <c r="A503" s="150"/>
      <c r="B503" s="264"/>
      <c r="C503" s="264"/>
    </row>
    <row r="504" spans="1:3" ht="14.25">
      <c r="A504" s="150"/>
      <c r="B504" s="264"/>
      <c r="C504" s="264"/>
    </row>
    <row r="505" spans="1:3" ht="14.25">
      <c r="A505" s="150"/>
      <c r="B505" s="264"/>
      <c r="C505" s="264"/>
    </row>
    <row r="506" spans="1:3" ht="14.25">
      <c r="A506" s="150"/>
      <c r="B506" s="264"/>
      <c r="C506" s="264"/>
    </row>
    <row r="507" spans="1:3" ht="14.25">
      <c r="A507" s="150"/>
      <c r="B507" s="264"/>
      <c r="C507" s="264"/>
    </row>
    <row r="508" spans="1:3" ht="14.25">
      <c r="A508" s="150"/>
      <c r="B508" s="264"/>
      <c r="C508" s="264"/>
    </row>
    <row r="509" spans="1:3" ht="14.25">
      <c r="A509" s="150"/>
      <c r="B509" s="264"/>
      <c r="C509" s="264"/>
    </row>
    <row r="510" spans="1:3" ht="14.25">
      <c r="A510" s="150"/>
      <c r="B510" s="264"/>
      <c r="C510" s="264"/>
    </row>
    <row r="511" spans="1:3" ht="14.25">
      <c r="A511" s="150"/>
      <c r="B511" s="264"/>
      <c r="C511" s="264"/>
    </row>
    <row r="512" spans="1:3" ht="14.25">
      <c r="A512" s="150"/>
      <c r="B512" s="264"/>
      <c r="C512" s="264"/>
    </row>
    <row r="513" spans="1:3" ht="14.25">
      <c r="A513" s="150"/>
      <c r="B513" s="264"/>
      <c r="C513" s="264"/>
    </row>
    <row r="514" spans="1:3" ht="14.25">
      <c r="A514" s="150"/>
      <c r="B514" s="264"/>
      <c r="C514" s="264"/>
    </row>
    <row r="515" spans="1:3" ht="14.25">
      <c r="A515" s="150"/>
      <c r="B515" s="264"/>
      <c r="C515" s="264"/>
    </row>
    <row r="516" spans="1:3" ht="14.25">
      <c r="A516" s="150"/>
      <c r="B516" s="264"/>
      <c r="C516" s="264"/>
    </row>
    <row r="517" spans="1:3" ht="14.25">
      <c r="A517" s="150"/>
      <c r="B517" s="264"/>
      <c r="C517" s="264"/>
    </row>
    <row r="518" spans="1:3" ht="14.25">
      <c r="A518" s="150"/>
      <c r="B518" s="264"/>
      <c r="C518" s="264"/>
    </row>
    <row r="519" spans="1:3" ht="14.25">
      <c r="A519" s="150"/>
      <c r="B519" s="264"/>
      <c r="C519" s="264"/>
    </row>
    <row r="520" spans="1:3" ht="14.25">
      <c r="A520" s="150"/>
      <c r="B520" s="264"/>
      <c r="C520" s="264"/>
    </row>
    <row r="521" spans="1:3" ht="14.25">
      <c r="A521" s="150"/>
      <c r="B521" s="264"/>
      <c r="C521" s="264"/>
    </row>
    <row r="522" spans="1:3" ht="14.25">
      <c r="A522" s="150"/>
      <c r="B522" s="264"/>
      <c r="C522" s="264"/>
    </row>
    <row r="523" spans="1:3" ht="14.25">
      <c r="A523" s="150"/>
      <c r="B523" s="264"/>
      <c r="C523" s="264"/>
    </row>
    <row r="524" spans="1:3" ht="14.25">
      <c r="A524" s="150"/>
      <c r="B524" s="264"/>
      <c r="C524" s="264"/>
    </row>
    <row r="525" spans="1:3" ht="14.25">
      <c r="A525" s="150"/>
      <c r="B525" s="264"/>
      <c r="C525" s="264"/>
    </row>
    <row r="526" spans="1:3" ht="14.25">
      <c r="A526" s="150"/>
      <c r="B526" s="264"/>
      <c r="C526" s="264"/>
    </row>
    <row r="527" spans="1:3" ht="14.25">
      <c r="A527" s="150"/>
      <c r="B527" s="264"/>
      <c r="C527" s="264"/>
    </row>
    <row r="528" spans="1:3" ht="14.25">
      <c r="A528" s="150"/>
      <c r="B528" s="264"/>
      <c r="C528" s="264"/>
    </row>
    <row r="529" spans="1:3" ht="14.25">
      <c r="A529" s="150"/>
      <c r="B529" s="264"/>
      <c r="C529" s="264"/>
    </row>
    <row r="530" spans="1:3" ht="14.25">
      <c r="A530" s="150"/>
      <c r="B530" s="264"/>
      <c r="C530" s="264"/>
    </row>
    <row r="531" spans="1:3" ht="14.25">
      <c r="A531" s="150"/>
      <c r="B531" s="264"/>
      <c r="C531" s="264"/>
    </row>
    <row r="532" spans="1:3" ht="14.25">
      <c r="A532" s="150"/>
      <c r="B532" s="264"/>
      <c r="C532" s="264"/>
    </row>
    <row r="533" spans="1:3" ht="14.25">
      <c r="A533" s="150"/>
      <c r="B533" s="264"/>
      <c r="C533" s="264"/>
    </row>
    <row r="534" spans="1:3" ht="14.25">
      <c r="A534" s="150"/>
      <c r="B534" s="264"/>
      <c r="C534" s="264"/>
    </row>
    <row r="535" spans="1:3" ht="14.25">
      <c r="A535" s="150"/>
      <c r="B535" s="264"/>
      <c r="C535" s="264"/>
    </row>
    <row r="536" spans="1:3" ht="14.25">
      <c r="A536" s="150"/>
      <c r="B536" s="264"/>
      <c r="C536" s="264"/>
    </row>
    <row r="537" spans="1:3" ht="14.25">
      <c r="A537" s="150"/>
      <c r="B537" s="264"/>
      <c r="C537" s="264"/>
    </row>
    <row r="538" spans="1:3" ht="14.25">
      <c r="A538" s="150"/>
      <c r="B538" s="264"/>
      <c r="C538" s="264"/>
    </row>
    <row r="539" spans="1:3" ht="14.25">
      <c r="A539" s="150"/>
      <c r="B539" s="264"/>
      <c r="C539" s="264"/>
    </row>
    <row r="540" spans="1:3" ht="14.25">
      <c r="A540" s="150"/>
      <c r="B540" s="264"/>
      <c r="C540" s="264"/>
    </row>
    <row r="541" spans="1:3" ht="14.25">
      <c r="A541" s="150"/>
      <c r="B541" s="264"/>
      <c r="C541" s="264"/>
    </row>
    <row r="542" spans="1:3" ht="14.25">
      <c r="A542" s="150"/>
      <c r="B542" s="264"/>
      <c r="C542" s="264"/>
    </row>
    <row r="543" spans="1:3" ht="14.25">
      <c r="A543" s="150"/>
      <c r="B543" s="264"/>
      <c r="C543" s="264"/>
    </row>
    <row r="544" spans="1:3" ht="14.25">
      <c r="A544" s="150"/>
      <c r="B544" s="264"/>
      <c r="C544" s="264"/>
    </row>
    <row r="545" spans="1:3" ht="14.25">
      <c r="A545" s="150"/>
      <c r="B545" s="264"/>
      <c r="C545" s="264"/>
    </row>
    <row r="546" spans="1:3" ht="14.25">
      <c r="A546" s="150"/>
      <c r="B546" s="264"/>
      <c r="C546" s="264"/>
    </row>
    <row r="547" spans="1:3" ht="14.25">
      <c r="A547" s="150"/>
      <c r="B547" s="264"/>
      <c r="C547" s="264"/>
    </row>
    <row r="548" spans="1:3" ht="14.25">
      <c r="A548" s="150"/>
      <c r="B548" s="264"/>
      <c r="C548" s="264"/>
    </row>
    <row r="549" spans="1:3" ht="14.25">
      <c r="A549" s="150"/>
      <c r="B549" s="264"/>
      <c r="C549" s="264"/>
    </row>
    <row r="550" spans="1:3" ht="14.25">
      <c r="A550" s="150"/>
      <c r="B550" s="264"/>
      <c r="C550" s="264"/>
    </row>
    <row r="551" spans="1:3" ht="14.25">
      <c r="A551" s="150"/>
      <c r="B551" s="264"/>
      <c r="C551" s="264"/>
    </row>
    <row r="552" spans="1:3" ht="14.25">
      <c r="A552" s="150"/>
      <c r="B552" s="264"/>
      <c r="C552" s="264"/>
    </row>
    <row r="553" spans="1:3" ht="14.25">
      <c r="A553" s="150"/>
      <c r="B553" s="264"/>
      <c r="C553" s="264"/>
    </row>
    <row r="554" spans="1:3" ht="14.25">
      <c r="A554" s="150"/>
      <c r="B554" s="264"/>
      <c r="C554" s="264"/>
    </row>
    <row r="555" spans="1:3" ht="14.25">
      <c r="A555" s="150"/>
      <c r="B555" s="264"/>
      <c r="C555" s="264"/>
    </row>
    <row r="556" spans="1:3" ht="14.25">
      <c r="A556" s="150"/>
      <c r="B556" s="264"/>
      <c r="C556" s="264"/>
    </row>
    <row r="557" spans="1:3" ht="14.25">
      <c r="A557" s="150"/>
      <c r="B557" s="264"/>
      <c r="C557" s="264"/>
    </row>
    <row r="558" spans="1:3" ht="14.25">
      <c r="A558" s="150"/>
      <c r="B558" s="264"/>
      <c r="C558" s="264"/>
    </row>
    <row r="559" spans="1:3" ht="14.25">
      <c r="A559" s="150"/>
      <c r="B559" s="264"/>
      <c r="C559" s="264"/>
    </row>
    <row r="560" spans="1:3" ht="14.25">
      <c r="A560" s="150"/>
      <c r="B560" s="264"/>
      <c r="C560" s="264"/>
    </row>
    <row r="561" spans="1:3" ht="14.25">
      <c r="A561" s="150"/>
      <c r="B561" s="264"/>
      <c r="C561" s="264"/>
    </row>
    <row r="562" spans="1:3" ht="14.25">
      <c r="A562" s="150"/>
      <c r="B562" s="264"/>
      <c r="C562" s="264"/>
    </row>
    <row r="563" spans="1:3" ht="14.25">
      <c r="A563" s="150"/>
      <c r="B563" s="264"/>
      <c r="C563" s="264"/>
    </row>
    <row r="564" spans="1:3" ht="14.25">
      <c r="A564" s="150"/>
      <c r="B564" s="264"/>
      <c r="C564" s="264"/>
    </row>
    <row r="565" spans="1:3" ht="14.25">
      <c r="A565" s="150"/>
      <c r="B565" s="264"/>
      <c r="C565" s="264"/>
    </row>
    <row r="566" spans="1:3" ht="14.25">
      <c r="A566" s="150"/>
      <c r="B566" s="264"/>
      <c r="C566" s="264"/>
    </row>
    <row r="567" spans="1:3" ht="14.25">
      <c r="A567" s="150"/>
      <c r="B567" s="264"/>
      <c r="C567" s="264"/>
    </row>
    <row r="568" spans="1:3" ht="14.25">
      <c r="A568" s="150"/>
      <c r="B568" s="264"/>
      <c r="C568" s="264"/>
    </row>
    <row r="569" spans="1:3" ht="14.25">
      <c r="A569" s="150"/>
      <c r="B569" s="264"/>
      <c r="C569" s="264"/>
    </row>
    <row r="570" spans="1:3" ht="14.25">
      <c r="A570" s="150"/>
      <c r="B570" s="264"/>
      <c r="C570" s="264"/>
    </row>
    <row r="571" spans="1:3" ht="14.25">
      <c r="A571" s="150"/>
      <c r="B571" s="264"/>
      <c r="C571" s="264"/>
    </row>
    <row r="572" spans="1:3" ht="14.25">
      <c r="A572" s="150"/>
      <c r="B572" s="264"/>
      <c r="C572" s="264"/>
    </row>
    <row r="573" spans="1:3" ht="14.25">
      <c r="A573" s="150"/>
      <c r="B573" s="264"/>
      <c r="C573" s="264"/>
    </row>
    <row r="574" spans="1:3" ht="14.25">
      <c r="A574" s="150"/>
      <c r="B574" s="264"/>
      <c r="C574" s="264"/>
    </row>
    <row r="575" spans="1:3" ht="14.25">
      <c r="A575" s="150"/>
      <c r="B575" s="264"/>
      <c r="C575" s="264"/>
    </row>
    <row r="576" spans="1:3" ht="14.25">
      <c r="A576" s="150"/>
      <c r="B576" s="264"/>
      <c r="C576" s="264"/>
    </row>
    <row r="577" spans="1:3" ht="14.25">
      <c r="A577" s="150"/>
      <c r="B577" s="264"/>
      <c r="C577" s="264"/>
    </row>
    <row r="578" spans="1:3" ht="14.25">
      <c r="A578" s="150"/>
      <c r="B578" s="264"/>
      <c r="C578" s="264"/>
    </row>
    <row r="579" spans="1:3" ht="14.25">
      <c r="A579" s="150"/>
      <c r="B579" s="264"/>
      <c r="C579" s="264"/>
    </row>
    <row r="580" spans="1:3" ht="14.25">
      <c r="A580" s="150"/>
      <c r="B580" s="264"/>
      <c r="C580" s="264"/>
    </row>
    <row r="581" spans="1:3" ht="14.25">
      <c r="A581" s="150"/>
      <c r="B581" s="264"/>
      <c r="C581" s="264"/>
    </row>
    <row r="582" spans="1:3" ht="14.25">
      <c r="A582" s="150"/>
      <c r="B582" s="264"/>
      <c r="C582" s="264"/>
    </row>
    <row r="583" spans="1:3" ht="14.25">
      <c r="A583" s="150"/>
      <c r="B583" s="264"/>
      <c r="C583" s="264"/>
    </row>
    <row r="584" spans="1:3" ht="14.25">
      <c r="A584" s="150"/>
      <c r="B584" s="264"/>
      <c r="C584" s="264"/>
    </row>
    <row r="585" spans="1:3" ht="14.25">
      <c r="A585" s="150"/>
      <c r="B585" s="264"/>
      <c r="C585" s="264"/>
    </row>
    <row r="586" spans="1:3" ht="14.25">
      <c r="A586" s="150"/>
      <c r="B586" s="264"/>
      <c r="C586" s="264"/>
    </row>
    <row r="587" spans="1:3" ht="14.25">
      <c r="A587" s="150"/>
      <c r="B587" s="264"/>
      <c r="C587" s="264"/>
    </row>
    <row r="588" spans="1:3" ht="14.25">
      <c r="A588" s="150"/>
      <c r="B588" s="264"/>
      <c r="C588" s="264"/>
    </row>
    <row r="589" spans="1:3" ht="14.25">
      <c r="A589" s="150"/>
      <c r="B589" s="264"/>
      <c r="C589" s="264"/>
    </row>
    <row r="590" spans="1:3" ht="14.25">
      <c r="A590" s="150"/>
      <c r="B590" s="264"/>
      <c r="C590" s="264"/>
    </row>
    <row r="591" spans="1:3" ht="14.25">
      <c r="A591" s="150"/>
      <c r="B591" s="264"/>
      <c r="C591" s="264"/>
    </row>
    <row r="592" spans="1:3" ht="14.25">
      <c r="A592" s="150"/>
      <c r="B592" s="264"/>
      <c r="C592" s="264"/>
    </row>
    <row r="593" spans="1:3" ht="14.25">
      <c r="A593" s="150"/>
      <c r="B593" s="264"/>
      <c r="C593" s="264"/>
    </row>
    <row r="594" spans="1:3" ht="14.25">
      <c r="A594" s="150"/>
      <c r="B594" s="264"/>
      <c r="C594" s="264"/>
    </row>
    <row r="595" spans="1:3" ht="14.25">
      <c r="A595" s="150"/>
      <c r="B595" s="264"/>
      <c r="C595" s="264"/>
    </row>
    <row r="596" spans="1:3" ht="14.25">
      <c r="A596" s="150"/>
      <c r="B596" s="264"/>
      <c r="C596" s="264"/>
    </row>
    <row r="597" spans="1:3" ht="14.25">
      <c r="A597" s="150"/>
      <c r="B597" s="264"/>
      <c r="C597" s="264"/>
    </row>
    <row r="598" spans="1:3" ht="14.25">
      <c r="A598" s="150"/>
      <c r="B598" s="264"/>
      <c r="C598" s="264"/>
    </row>
    <row r="599" spans="1:3" ht="14.25">
      <c r="A599" s="150"/>
      <c r="B599" s="264"/>
      <c r="C599" s="264"/>
    </row>
    <row r="600" spans="1:3" ht="14.25">
      <c r="A600" s="150"/>
      <c r="B600" s="264"/>
      <c r="C600" s="264"/>
    </row>
    <row r="601" spans="1:3" ht="14.25">
      <c r="A601" s="150"/>
      <c r="B601" s="264"/>
      <c r="C601" s="264"/>
    </row>
    <row r="602" spans="1:3" ht="14.25">
      <c r="A602" s="150"/>
      <c r="B602" s="264"/>
      <c r="C602" s="264"/>
    </row>
    <row r="603" spans="1:3" ht="14.25">
      <c r="A603" s="150"/>
      <c r="B603" s="264"/>
      <c r="C603" s="264"/>
    </row>
    <row r="604" spans="1:3" ht="14.25">
      <c r="A604" s="150"/>
      <c r="B604" s="264"/>
      <c r="C604" s="264"/>
    </row>
    <row r="605" spans="1:3" ht="14.25">
      <c r="A605" s="150"/>
      <c r="B605" s="264"/>
      <c r="C605" s="264"/>
    </row>
    <row r="606" spans="1:3" ht="14.25">
      <c r="A606" s="150"/>
      <c r="B606" s="264"/>
      <c r="C606" s="264"/>
    </row>
    <row r="607" spans="1:3" ht="14.25">
      <c r="A607" s="150"/>
      <c r="B607" s="264"/>
      <c r="C607" s="264"/>
    </row>
    <row r="608" spans="1:3" ht="14.25">
      <c r="A608" s="150"/>
      <c r="B608" s="264"/>
      <c r="C608" s="264"/>
    </row>
    <row r="609" spans="1:3" ht="14.25">
      <c r="A609" s="150"/>
      <c r="B609" s="264"/>
      <c r="C609" s="264"/>
    </row>
    <row r="610" spans="1:3" ht="14.25">
      <c r="A610" s="150"/>
      <c r="B610" s="264"/>
      <c r="C610" s="264"/>
    </row>
    <row r="611" spans="1:3" ht="14.25">
      <c r="A611" s="150"/>
      <c r="B611" s="264"/>
      <c r="C611" s="264"/>
    </row>
    <row r="612" spans="1:3" ht="14.25">
      <c r="A612" s="150"/>
      <c r="B612" s="264"/>
      <c r="C612" s="264"/>
    </row>
    <row r="613" spans="1:3" ht="14.25">
      <c r="A613" s="150"/>
      <c r="B613" s="264"/>
      <c r="C613" s="264"/>
    </row>
    <row r="614" spans="1:3" ht="14.25">
      <c r="A614" s="150"/>
      <c r="B614" s="264"/>
      <c r="C614" s="264"/>
    </row>
    <row r="615" spans="1:3" ht="14.25">
      <c r="A615" s="150"/>
      <c r="B615" s="264"/>
      <c r="C615" s="264"/>
    </row>
    <row r="616" spans="1:3" ht="14.25">
      <c r="A616" s="150"/>
      <c r="B616" s="264"/>
      <c r="C616" s="264"/>
    </row>
    <row r="617" spans="1:3" ht="14.25">
      <c r="A617" s="150"/>
      <c r="B617" s="264"/>
      <c r="C617" s="264"/>
    </row>
    <row r="618" spans="1:3" ht="14.25">
      <c r="A618" s="150"/>
      <c r="B618" s="264"/>
      <c r="C618" s="264"/>
    </row>
    <row r="619" spans="1:3" ht="14.25">
      <c r="A619" s="150"/>
      <c r="B619" s="264"/>
      <c r="C619" s="264"/>
    </row>
    <row r="620" spans="1:3" ht="14.25">
      <c r="A620" s="150"/>
      <c r="B620" s="264"/>
      <c r="C620" s="264"/>
    </row>
    <row r="621" spans="1:3" ht="14.25">
      <c r="A621" s="150"/>
      <c r="B621" s="264"/>
      <c r="C621" s="264"/>
    </row>
    <row r="622" spans="1:3" ht="14.25">
      <c r="A622" s="150"/>
      <c r="B622" s="264"/>
      <c r="C622" s="264"/>
    </row>
    <row r="623" spans="1:3" ht="14.25">
      <c r="A623" s="150"/>
      <c r="B623" s="264"/>
      <c r="C623" s="264"/>
    </row>
    <row r="624" spans="1:3" ht="14.25">
      <c r="A624" s="150"/>
      <c r="B624" s="264"/>
      <c r="C624" s="264"/>
    </row>
    <row r="625" spans="1:3" ht="14.25">
      <c r="A625" s="150"/>
      <c r="B625" s="264"/>
      <c r="C625" s="264"/>
    </row>
    <row r="626" spans="1:3" ht="14.25">
      <c r="A626" s="150"/>
      <c r="B626" s="264"/>
      <c r="C626" s="264"/>
    </row>
    <row r="627" spans="1:3" ht="14.25">
      <c r="A627" s="150"/>
      <c r="B627" s="264"/>
      <c r="C627" s="264"/>
    </row>
    <row r="628" spans="1:3" ht="14.25">
      <c r="A628" s="150"/>
      <c r="B628" s="264"/>
      <c r="C628" s="264"/>
    </row>
    <row r="629" spans="1:3" ht="14.25">
      <c r="A629" s="150"/>
      <c r="B629" s="264"/>
      <c r="C629" s="264"/>
    </row>
    <row r="630" spans="1:3" ht="14.25">
      <c r="A630" s="150"/>
      <c r="B630" s="264"/>
      <c r="C630" s="264"/>
    </row>
    <row r="631" spans="1:3" ht="14.25">
      <c r="A631" s="150"/>
      <c r="B631" s="264"/>
      <c r="C631" s="264"/>
    </row>
    <row r="632" spans="1:3" ht="14.25">
      <c r="A632" s="150"/>
      <c r="B632" s="264"/>
      <c r="C632" s="264"/>
    </row>
    <row r="633" spans="1:3" ht="14.25">
      <c r="A633" s="150"/>
      <c r="B633" s="264"/>
      <c r="C633" s="264"/>
    </row>
    <row r="634" spans="1:3" ht="14.25">
      <c r="A634" s="150"/>
      <c r="B634" s="264"/>
      <c r="C634" s="264"/>
    </row>
    <row r="635" spans="1:3" ht="14.25">
      <c r="A635" s="150"/>
      <c r="B635" s="264"/>
      <c r="C635" s="264"/>
    </row>
    <row r="636" spans="1:3" ht="14.25">
      <c r="A636" s="150"/>
      <c r="B636" s="264"/>
      <c r="C636" s="264"/>
    </row>
    <row r="637" spans="1:3" ht="14.25">
      <c r="A637" s="150"/>
      <c r="B637" s="264"/>
      <c r="C637" s="264"/>
    </row>
    <row r="638" spans="1:3" ht="14.25">
      <c r="A638" s="150"/>
      <c r="B638" s="264"/>
      <c r="C638" s="264"/>
    </row>
    <row r="639" spans="1:3" ht="14.25">
      <c r="A639" s="150"/>
      <c r="B639" s="264"/>
      <c r="C639" s="264"/>
    </row>
    <row r="640" spans="1:3" ht="14.25">
      <c r="A640" s="150"/>
      <c r="B640" s="264"/>
      <c r="C640" s="264"/>
    </row>
    <row r="641" spans="1:3" ht="14.25">
      <c r="A641" s="150"/>
      <c r="B641" s="264"/>
      <c r="C641" s="264"/>
    </row>
    <row r="642" spans="1:3" ht="14.25">
      <c r="A642" s="150"/>
      <c r="B642" s="264"/>
      <c r="C642" s="264"/>
    </row>
    <row r="643" spans="1:3" ht="14.25">
      <c r="A643" s="150"/>
      <c r="B643" s="264"/>
      <c r="C643" s="264"/>
    </row>
    <row r="644" spans="1:3" ht="14.25">
      <c r="A644" s="150"/>
      <c r="B644" s="264"/>
      <c r="C644" s="264"/>
    </row>
    <row r="645" spans="1:3" ht="14.25">
      <c r="A645" s="150"/>
      <c r="B645" s="264"/>
      <c r="C645" s="264"/>
    </row>
    <row r="646" spans="1:3" ht="14.25">
      <c r="A646" s="150"/>
      <c r="B646" s="264"/>
      <c r="C646" s="264"/>
    </row>
    <row r="647" spans="1:3" ht="14.25">
      <c r="A647" s="150"/>
      <c r="B647" s="264"/>
      <c r="C647" s="264"/>
    </row>
    <row r="648" spans="1:3" ht="14.25">
      <c r="A648" s="150"/>
      <c r="B648" s="264"/>
      <c r="C648" s="264"/>
    </row>
    <row r="649" spans="1:3" ht="14.25">
      <c r="A649" s="150"/>
      <c r="B649" s="264"/>
      <c r="C649" s="264"/>
    </row>
    <row r="650" spans="1:3" ht="14.25">
      <c r="A650" s="150"/>
      <c r="B650" s="264"/>
      <c r="C650" s="264"/>
    </row>
    <row r="651" spans="1:3" ht="14.25">
      <c r="A651" s="150"/>
      <c r="B651" s="264"/>
      <c r="C651" s="264"/>
    </row>
    <row r="652" spans="1:3" ht="14.25">
      <c r="A652" s="150"/>
      <c r="B652" s="264"/>
      <c r="C652" s="264"/>
    </row>
    <row r="653" spans="1:3" ht="14.25">
      <c r="A653" s="150"/>
      <c r="B653" s="264"/>
      <c r="C653" s="264"/>
    </row>
    <row r="654" spans="1:3" ht="14.25">
      <c r="A654" s="150"/>
      <c r="B654" s="264"/>
      <c r="C654" s="264"/>
    </row>
    <row r="655" spans="1:3" ht="14.25">
      <c r="A655" s="150"/>
      <c r="B655" s="264"/>
      <c r="C655" s="264"/>
    </row>
    <row r="656" spans="1:3" ht="14.25">
      <c r="A656" s="150"/>
      <c r="B656" s="264"/>
      <c r="C656" s="264"/>
    </row>
    <row r="657" spans="1:3" ht="14.25">
      <c r="A657" s="150"/>
      <c r="B657" s="264"/>
      <c r="C657" s="264"/>
    </row>
    <row r="658" spans="1:3" ht="14.25">
      <c r="A658" s="150"/>
      <c r="B658" s="264"/>
      <c r="C658" s="264"/>
    </row>
    <row r="659" spans="1:3" ht="14.25">
      <c r="A659" s="150"/>
      <c r="B659" s="264"/>
      <c r="C659" s="264"/>
    </row>
    <row r="660" spans="1:3" ht="14.25">
      <c r="A660" s="150"/>
      <c r="B660" s="264"/>
      <c r="C660" s="264"/>
    </row>
    <row r="661" spans="1:3" ht="14.25">
      <c r="A661" s="150"/>
      <c r="B661" s="264"/>
      <c r="C661" s="264"/>
    </row>
    <row r="662" spans="1:3" ht="14.25">
      <c r="A662" s="150"/>
      <c r="B662" s="264"/>
      <c r="C662" s="264"/>
    </row>
    <row r="663" spans="1:3" ht="14.25">
      <c r="A663" s="150"/>
      <c r="B663" s="264"/>
      <c r="C663" s="264"/>
    </row>
    <row r="664" spans="1:3" ht="14.25">
      <c r="A664" s="150"/>
      <c r="B664" s="264"/>
      <c r="C664" s="264"/>
    </row>
    <row r="665" spans="1:3" ht="14.25">
      <c r="A665" s="150"/>
      <c r="B665" s="264"/>
      <c r="C665" s="264"/>
    </row>
    <row r="666" spans="1:3" ht="14.25">
      <c r="A666" s="150"/>
      <c r="B666" s="264"/>
      <c r="C666" s="264"/>
    </row>
    <row r="667" spans="1:3" ht="14.25">
      <c r="A667" s="150"/>
      <c r="B667" s="264"/>
      <c r="C667" s="264"/>
    </row>
    <row r="668" spans="1:3" ht="14.25">
      <c r="A668" s="150"/>
      <c r="B668" s="264"/>
      <c r="C668" s="264"/>
    </row>
    <row r="669" spans="1:3" ht="14.25">
      <c r="A669" s="150"/>
      <c r="B669" s="264"/>
      <c r="C669" s="264"/>
    </row>
    <row r="670" spans="1:3" ht="14.25">
      <c r="A670" s="150"/>
      <c r="B670" s="264"/>
      <c r="C670" s="264"/>
    </row>
    <row r="671" spans="1:3" ht="14.25">
      <c r="A671" s="150"/>
      <c r="B671" s="264"/>
      <c r="C671" s="264"/>
    </row>
    <row r="672" spans="1:3" ht="14.25">
      <c r="A672" s="150"/>
      <c r="B672" s="264"/>
      <c r="C672" s="264"/>
    </row>
    <row r="673" spans="1:3" ht="14.25">
      <c r="A673" s="150"/>
      <c r="B673" s="264"/>
      <c r="C673" s="264"/>
    </row>
    <row r="674" spans="1:3" ht="14.25">
      <c r="A674" s="150"/>
      <c r="B674" s="264"/>
      <c r="C674" s="264"/>
    </row>
    <row r="675" spans="1:3" ht="14.25">
      <c r="A675" s="150"/>
      <c r="B675" s="264"/>
      <c r="C675" s="264"/>
    </row>
    <row r="676" spans="1:3" ht="14.25">
      <c r="A676" s="150"/>
      <c r="B676" s="264"/>
      <c r="C676" s="264"/>
    </row>
    <row r="677" spans="1:3" ht="14.25">
      <c r="A677" s="150"/>
      <c r="B677" s="264"/>
      <c r="C677" s="264"/>
    </row>
    <row r="678" spans="1:3" ht="14.25">
      <c r="A678" s="150"/>
      <c r="B678" s="264"/>
      <c r="C678" s="264"/>
    </row>
    <row r="679" spans="1:3" ht="14.25">
      <c r="A679" s="150"/>
      <c r="B679" s="264"/>
      <c r="C679" s="264"/>
    </row>
    <row r="680" spans="1:3" ht="14.25">
      <c r="A680" s="150"/>
      <c r="B680" s="264"/>
      <c r="C680" s="264"/>
    </row>
    <row r="681" spans="1:3" ht="14.25">
      <c r="A681" s="150"/>
      <c r="B681" s="264"/>
      <c r="C681" s="264"/>
    </row>
    <row r="682" spans="1:3" ht="14.25">
      <c r="A682" s="150"/>
      <c r="B682" s="264"/>
      <c r="C682" s="264"/>
    </row>
    <row r="683" spans="1:3" ht="14.25">
      <c r="A683" s="150"/>
      <c r="B683" s="264"/>
      <c r="C683" s="264"/>
    </row>
    <row r="684" spans="1:3" ht="14.25">
      <c r="A684" s="150"/>
      <c r="B684" s="264"/>
      <c r="C684" s="264"/>
    </row>
    <row r="685" spans="1:3" ht="14.25">
      <c r="A685" s="150"/>
      <c r="B685" s="264"/>
      <c r="C685" s="264"/>
    </row>
    <row r="686" spans="1:3" ht="14.25">
      <c r="A686" s="150"/>
      <c r="B686" s="264"/>
      <c r="C686" s="264"/>
    </row>
    <row r="687" spans="1:3" ht="14.25">
      <c r="A687" s="150"/>
      <c r="B687" s="264"/>
      <c r="C687" s="264"/>
    </row>
    <row r="688" spans="1:3" ht="14.25">
      <c r="A688" s="150"/>
      <c r="B688" s="264"/>
      <c r="C688" s="264"/>
    </row>
    <row r="689" spans="1:3" ht="14.25">
      <c r="A689" s="150"/>
      <c r="B689" s="264"/>
      <c r="C689" s="264"/>
    </row>
    <row r="690" spans="1:3" ht="14.25">
      <c r="A690" s="150"/>
      <c r="B690" s="264"/>
      <c r="C690" s="264"/>
    </row>
    <row r="691" spans="1:3" ht="14.25">
      <c r="A691" s="150"/>
      <c r="B691" s="264"/>
      <c r="C691" s="264"/>
    </row>
    <row r="692" spans="1:3" ht="14.25">
      <c r="A692" s="150"/>
      <c r="B692" s="264"/>
      <c r="C692" s="264"/>
    </row>
    <row r="693" spans="1:3" ht="14.25">
      <c r="A693" s="150"/>
      <c r="B693" s="264"/>
      <c r="C693" s="264"/>
    </row>
    <row r="694" spans="1:3" ht="14.25">
      <c r="A694" s="150"/>
      <c r="B694" s="264"/>
      <c r="C694" s="264"/>
    </row>
    <row r="695" spans="1:3" ht="14.25">
      <c r="A695" s="150"/>
      <c r="B695" s="264"/>
      <c r="C695" s="264"/>
    </row>
    <row r="696" spans="1:3" ht="14.25">
      <c r="A696" s="150"/>
      <c r="B696" s="264"/>
      <c r="C696" s="264"/>
    </row>
    <row r="697" spans="1:3" ht="14.25">
      <c r="A697" s="150"/>
      <c r="B697" s="264"/>
      <c r="C697" s="264"/>
    </row>
    <row r="698" spans="1:3" ht="14.25">
      <c r="A698" s="150"/>
      <c r="B698" s="264"/>
      <c r="C698" s="264"/>
    </row>
    <row r="699" spans="1:3" ht="14.25">
      <c r="A699" s="150"/>
      <c r="B699" s="264"/>
      <c r="C699" s="264"/>
    </row>
    <row r="700" spans="1:3" ht="14.25">
      <c r="A700" s="150"/>
      <c r="B700" s="264"/>
      <c r="C700" s="264"/>
    </row>
    <row r="701" spans="1:3" ht="14.25">
      <c r="A701" s="150"/>
      <c r="B701" s="264"/>
      <c r="C701" s="264"/>
    </row>
    <row r="702" spans="1:3" ht="14.25">
      <c r="A702" s="150"/>
      <c r="B702" s="264"/>
      <c r="C702" s="264"/>
    </row>
    <row r="703" spans="1:3" ht="14.25">
      <c r="A703" s="150"/>
      <c r="B703" s="264"/>
      <c r="C703" s="264"/>
    </row>
    <row r="704" spans="1:3" ht="14.25">
      <c r="A704" s="150"/>
      <c r="B704" s="264"/>
      <c r="C704" s="264"/>
    </row>
    <row r="705" spans="1:3" ht="14.25">
      <c r="A705" s="150"/>
      <c r="B705" s="264"/>
      <c r="C705" s="264"/>
    </row>
    <row r="706" spans="1:3" ht="14.25">
      <c r="A706" s="150"/>
      <c r="B706" s="264"/>
      <c r="C706" s="264"/>
    </row>
    <row r="707" spans="1:3" ht="14.25">
      <c r="A707" s="150"/>
      <c r="B707" s="264"/>
      <c r="C707" s="264"/>
    </row>
    <row r="708" spans="1:3" ht="14.25">
      <c r="A708" s="150"/>
      <c r="B708" s="264"/>
      <c r="C708" s="264"/>
    </row>
    <row r="709" spans="1:3" ht="14.25">
      <c r="A709" s="150"/>
      <c r="B709" s="264"/>
      <c r="C709" s="264"/>
    </row>
    <row r="710" spans="1:3" ht="14.25">
      <c r="A710" s="150"/>
      <c r="B710" s="264"/>
      <c r="C710" s="264"/>
    </row>
    <row r="711" spans="1:3" ht="14.25">
      <c r="A711" s="150"/>
      <c r="B711" s="264"/>
      <c r="C711" s="264"/>
    </row>
    <row r="712" spans="1:3" ht="14.25">
      <c r="A712" s="150"/>
      <c r="B712" s="264"/>
      <c r="C712" s="264"/>
    </row>
    <row r="713" spans="1:3" ht="14.25">
      <c r="A713" s="150"/>
      <c r="B713" s="264"/>
      <c r="C713" s="264"/>
    </row>
    <row r="714" spans="1:3" ht="14.25">
      <c r="A714" s="150"/>
      <c r="B714" s="264"/>
      <c r="C714" s="264"/>
    </row>
    <row r="715" spans="1:3" ht="14.25">
      <c r="A715" s="150"/>
      <c r="B715" s="264"/>
      <c r="C715" s="264"/>
    </row>
    <row r="716" spans="1:3" ht="14.25">
      <c r="A716" s="150"/>
      <c r="B716" s="264"/>
      <c r="C716" s="264"/>
    </row>
    <row r="717" spans="1:3" ht="14.25">
      <c r="A717" s="150"/>
      <c r="B717" s="264"/>
      <c r="C717" s="264"/>
    </row>
    <row r="718" spans="1:3" ht="14.25">
      <c r="A718" s="150"/>
      <c r="B718" s="264"/>
      <c r="C718" s="264"/>
    </row>
    <row r="719" spans="1:3" ht="14.25">
      <c r="A719" s="150"/>
      <c r="B719" s="264"/>
      <c r="C719" s="264"/>
    </row>
    <row r="720" spans="1:3" ht="14.25">
      <c r="A720" s="150"/>
      <c r="B720" s="264"/>
      <c r="C720" s="264"/>
    </row>
    <row r="721" spans="1:3" ht="14.25">
      <c r="A721" s="150"/>
      <c r="B721" s="264"/>
      <c r="C721" s="264"/>
    </row>
    <row r="722" spans="1:3" ht="14.25">
      <c r="A722" s="150"/>
      <c r="B722" s="264"/>
      <c r="C722" s="264"/>
    </row>
    <row r="723" spans="1:3" ht="14.25">
      <c r="A723" s="150"/>
      <c r="B723" s="264"/>
      <c r="C723" s="264"/>
    </row>
    <row r="724" spans="1:3" ht="14.25">
      <c r="A724" s="150"/>
      <c r="B724" s="264"/>
      <c r="C724" s="264"/>
    </row>
    <row r="725" spans="1:3" ht="14.25">
      <c r="A725" s="150"/>
      <c r="B725" s="264"/>
      <c r="C725" s="264"/>
    </row>
    <row r="726" spans="1:3" ht="14.25">
      <c r="A726" s="150"/>
      <c r="B726" s="264"/>
      <c r="C726" s="264"/>
    </row>
    <row r="727" spans="1:3" ht="14.25">
      <c r="A727" s="150"/>
      <c r="B727" s="264"/>
      <c r="C727" s="264"/>
    </row>
    <row r="728" spans="1:3" ht="14.25">
      <c r="A728" s="150"/>
      <c r="B728" s="264"/>
      <c r="C728" s="264"/>
    </row>
    <row r="729" spans="1:3" ht="14.25">
      <c r="A729" s="150"/>
      <c r="B729" s="264"/>
      <c r="C729" s="264"/>
    </row>
    <row r="730" spans="1:3" ht="14.25">
      <c r="A730" s="150"/>
      <c r="B730" s="264"/>
      <c r="C730" s="264"/>
    </row>
    <row r="731" spans="1:3" ht="14.25">
      <c r="A731" s="150"/>
      <c r="B731" s="264"/>
      <c r="C731" s="264"/>
    </row>
    <row r="732" spans="1:3" ht="14.25">
      <c r="A732" s="150"/>
      <c r="B732" s="264"/>
      <c r="C732" s="264"/>
    </row>
    <row r="733" spans="1:3" ht="14.25">
      <c r="A733" s="150"/>
      <c r="B733" s="264"/>
      <c r="C733" s="264"/>
    </row>
    <row r="734" spans="1:3" ht="14.25">
      <c r="A734" s="150"/>
      <c r="B734" s="264"/>
      <c r="C734" s="264"/>
    </row>
    <row r="735" spans="1:3" ht="14.25">
      <c r="A735" s="150"/>
      <c r="B735" s="264"/>
      <c r="C735" s="264"/>
    </row>
    <row r="736" spans="1:3" ht="14.25">
      <c r="A736" s="150"/>
      <c r="B736" s="264"/>
      <c r="C736" s="264"/>
    </row>
    <row r="737" spans="1:3" ht="14.25">
      <c r="A737" s="150"/>
      <c r="B737" s="264"/>
      <c r="C737" s="264"/>
    </row>
    <row r="738" spans="1:3" ht="14.25">
      <c r="A738" s="150"/>
      <c r="B738" s="264"/>
      <c r="C738" s="264"/>
    </row>
    <row r="739" spans="1:3" ht="14.25">
      <c r="A739" s="150"/>
      <c r="B739" s="264"/>
      <c r="C739" s="264"/>
    </row>
    <row r="740" spans="1:3" ht="14.25">
      <c r="A740" s="150"/>
      <c r="B740" s="264"/>
      <c r="C740" s="264"/>
    </row>
    <row r="741" spans="1:3" ht="14.25">
      <c r="A741" s="150"/>
      <c r="B741" s="264"/>
      <c r="C741" s="264"/>
    </row>
    <row r="742" spans="1:3" ht="14.25">
      <c r="A742" s="150"/>
      <c r="B742" s="264"/>
      <c r="C742" s="264"/>
    </row>
    <row r="743" spans="1:3" ht="14.25">
      <c r="A743" s="150"/>
      <c r="B743" s="264"/>
      <c r="C743" s="264"/>
    </row>
    <row r="744" spans="1:3" ht="14.25">
      <c r="A744" s="150"/>
      <c r="B744" s="264"/>
      <c r="C744" s="264"/>
    </row>
    <row r="745" spans="1:3" ht="14.25">
      <c r="A745" s="150"/>
      <c r="B745" s="264"/>
      <c r="C745" s="264"/>
    </row>
    <row r="746" spans="1:3" ht="14.25">
      <c r="A746" s="150"/>
      <c r="B746" s="264"/>
      <c r="C746" s="264"/>
    </row>
    <row r="747" spans="1:3" ht="14.25">
      <c r="A747" s="150"/>
      <c r="B747" s="264"/>
      <c r="C747" s="264"/>
    </row>
    <row r="748" spans="1:3" ht="14.25">
      <c r="A748" s="150"/>
      <c r="B748" s="264"/>
      <c r="C748" s="264"/>
    </row>
    <row r="749" spans="1:3" ht="14.25">
      <c r="A749" s="150"/>
      <c r="B749" s="264"/>
      <c r="C749" s="264"/>
    </row>
    <row r="750" spans="1:3" ht="14.25">
      <c r="A750" s="150"/>
      <c r="B750" s="264"/>
      <c r="C750" s="264"/>
    </row>
    <row r="751" spans="1:3" ht="14.25">
      <c r="A751" s="150"/>
      <c r="B751" s="264"/>
      <c r="C751" s="264"/>
    </row>
    <row r="752" spans="1:3" ht="14.25">
      <c r="A752" s="150"/>
      <c r="B752" s="264"/>
      <c r="C752" s="264"/>
    </row>
    <row r="753" spans="1:3" ht="14.25">
      <c r="A753" s="150"/>
      <c r="B753" s="264"/>
      <c r="C753" s="264"/>
    </row>
    <row r="754" spans="1:3" ht="14.25">
      <c r="A754" s="150"/>
      <c r="B754" s="264"/>
      <c r="C754" s="264"/>
    </row>
    <row r="755" spans="1:3" ht="14.25">
      <c r="A755" s="150"/>
      <c r="B755" s="264"/>
      <c r="C755" s="264"/>
    </row>
    <row r="756" spans="1:3" ht="14.25">
      <c r="A756" s="150"/>
      <c r="B756" s="264"/>
      <c r="C756" s="264"/>
    </row>
    <row r="757" spans="1:3" ht="14.25">
      <c r="A757" s="150"/>
      <c r="B757" s="264"/>
      <c r="C757" s="264"/>
    </row>
    <row r="758" spans="1:3" ht="14.25">
      <c r="A758" s="150"/>
      <c r="B758" s="264"/>
      <c r="C758" s="264"/>
    </row>
    <row r="759" spans="1:3" ht="14.25">
      <c r="A759" s="150"/>
      <c r="B759" s="264"/>
      <c r="C759" s="264"/>
    </row>
    <row r="760" spans="1:3" ht="14.25">
      <c r="A760" s="150"/>
      <c r="B760" s="264"/>
      <c r="C760" s="264"/>
    </row>
    <row r="761" spans="1:3" ht="14.25">
      <c r="A761" s="150"/>
      <c r="B761" s="264"/>
      <c r="C761" s="264"/>
    </row>
    <row r="762" spans="1:3" ht="14.25">
      <c r="A762" s="150"/>
      <c r="B762" s="264"/>
      <c r="C762" s="264"/>
    </row>
    <row r="763" spans="1:3" ht="14.25">
      <c r="A763" s="150"/>
      <c r="B763" s="264"/>
      <c r="C763" s="264"/>
    </row>
    <row r="764" spans="1:3" ht="14.25">
      <c r="A764" s="150"/>
      <c r="B764" s="264"/>
      <c r="C764" s="264"/>
    </row>
    <row r="765" spans="1:3" ht="14.25">
      <c r="A765" s="150"/>
      <c r="B765" s="264"/>
      <c r="C765" s="264"/>
    </row>
    <row r="766" spans="1:3" ht="14.25">
      <c r="A766" s="150"/>
      <c r="B766" s="264"/>
      <c r="C766" s="264"/>
    </row>
    <row r="767" spans="1:3" ht="14.25">
      <c r="A767" s="150"/>
      <c r="B767" s="264"/>
      <c r="C767" s="264"/>
    </row>
    <row r="768" spans="1:3" ht="14.25">
      <c r="A768" s="150"/>
      <c r="B768" s="264"/>
      <c r="C768" s="264"/>
    </row>
    <row r="769" spans="1:3" ht="14.25">
      <c r="A769" s="150"/>
      <c r="B769" s="264"/>
      <c r="C769" s="264"/>
    </row>
    <row r="770" spans="1:3" ht="14.25">
      <c r="A770" s="150"/>
      <c r="B770" s="264"/>
      <c r="C770" s="264"/>
    </row>
    <row r="771" spans="1:3" ht="14.25">
      <c r="A771" s="150"/>
      <c r="B771" s="264"/>
      <c r="C771" s="264"/>
    </row>
    <row r="772" spans="1:3" ht="14.25">
      <c r="A772" s="150"/>
      <c r="B772" s="264"/>
      <c r="C772" s="264"/>
    </row>
    <row r="773" spans="1:3" ht="14.25">
      <c r="A773" s="150"/>
      <c r="B773" s="264"/>
      <c r="C773" s="264"/>
    </row>
    <row r="774" spans="1:3" ht="14.25">
      <c r="A774" s="150"/>
      <c r="B774" s="264"/>
      <c r="C774" s="264"/>
    </row>
    <row r="775" spans="1:3" ht="14.25">
      <c r="A775" s="150"/>
      <c r="B775" s="264"/>
      <c r="C775" s="264"/>
    </row>
    <row r="776" spans="1:3" ht="14.25">
      <c r="A776" s="150"/>
      <c r="B776" s="264"/>
      <c r="C776" s="264"/>
    </row>
    <row r="777" spans="1:3" ht="14.25">
      <c r="A777" s="150"/>
      <c r="B777" s="264"/>
      <c r="C777" s="264"/>
    </row>
    <row r="778" spans="1:3" ht="14.25">
      <c r="A778" s="150"/>
      <c r="B778" s="264"/>
      <c r="C778" s="264"/>
    </row>
    <row r="779" spans="1:3" ht="14.25">
      <c r="A779" s="150"/>
      <c r="B779" s="264"/>
      <c r="C779" s="264"/>
    </row>
    <row r="780" spans="1:3" ht="14.25">
      <c r="A780" s="150"/>
      <c r="B780" s="264"/>
      <c r="C780" s="264"/>
    </row>
    <row r="781" spans="1:3" ht="14.25">
      <c r="A781" s="150"/>
      <c r="B781" s="264"/>
      <c r="C781" s="264"/>
    </row>
    <row r="782" spans="1:3" ht="14.25">
      <c r="A782" s="150"/>
      <c r="B782" s="264"/>
      <c r="C782" s="264"/>
    </row>
    <row r="783" spans="1:3" ht="14.25">
      <c r="A783" s="150"/>
      <c r="B783" s="264"/>
      <c r="C783" s="264"/>
    </row>
    <row r="784" spans="1:3" ht="14.25">
      <c r="A784" s="150"/>
      <c r="B784" s="264"/>
      <c r="C784" s="264"/>
    </row>
    <row r="785" spans="1:3" ht="14.25">
      <c r="A785" s="150"/>
      <c r="B785" s="264"/>
      <c r="C785" s="264"/>
    </row>
    <row r="786" spans="1:3" ht="14.25">
      <c r="A786" s="150"/>
      <c r="B786" s="264"/>
      <c r="C786" s="264"/>
    </row>
    <row r="787" spans="1:3" ht="14.25">
      <c r="A787" s="150"/>
      <c r="B787" s="264"/>
      <c r="C787" s="264"/>
    </row>
    <row r="788" spans="1:3" ht="14.25">
      <c r="A788" s="150"/>
      <c r="B788" s="264"/>
      <c r="C788" s="264"/>
    </row>
    <row r="789" spans="1:3" ht="14.25">
      <c r="A789" s="150"/>
      <c r="B789" s="264"/>
      <c r="C789" s="264"/>
    </row>
    <row r="790" spans="1:3" ht="14.25">
      <c r="A790" s="150"/>
      <c r="B790" s="264"/>
      <c r="C790" s="264"/>
    </row>
    <row r="791" spans="1:3" ht="14.25">
      <c r="A791" s="150"/>
      <c r="B791" s="264"/>
      <c r="C791" s="264"/>
    </row>
    <row r="792" spans="1:3" ht="14.25">
      <c r="A792" s="150"/>
      <c r="B792" s="264"/>
      <c r="C792" s="264"/>
    </row>
    <row r="793" spans="1:3" ht="14.25">
      <c r="A793" s="150"/>
      <c r="B793" s="264"/>
      <c r="C793" s="264"/>
    </row>
    <row r="794" spans="1:3" ht="14.25">
      <c r="A794" s="150"/>
      <c r="B794" s="264"/>
      <c r="C794" s="264"/>
    </row>
    <row r="795" spans="1:3" ht="14.25">
      <c r="A795" s="150"/>
      <c r="B795" s="264"/>
      <c r="C795" s="264"/>
    </row>
    <row r="796" spans="1:3" ht="14.25">
      <c r="A796" s="150"/>
      <c r="B796" s="264"/>
      <c r="C796" s="264"/>
    </row>
    <row r="797" spans="1:3" ht="14.25">
      <c r="A797" s="150"/>
      <c r="B797" s="264"/>
      <c r="C797" s="264"/>
    </row>
    <row r="798" spans="1:3" ht="14.25">
      <c r="A798" s="150"/>
      <c r="B798" s="264"/>
      <c r="C798" s="264"/>
    </row>
    <row r="799" spans="1:3" ht="14.25">
      <c r="A799" s="150"/>
      <c r="B799" s="264"/>
      <c r="C799" s="264"/>
    </row>
    <row r="800" spans="1:3" ht="14.25">
      <c r="A800" s="150"/>
      <c r="B800" s="264"/>
      <c r="C800" s="264"/>
    </row>
    <row r="801" spans="1:3" ht="14.25">
      <c r="A801" s="150"/>
      <c r="B801" s="264"/>
      <c r="C801" s="264"/>
    </row>
    <row r="802" spans="1:3" ht="14.25">
      <c r="A802" s="150"/>
      <c r="B802" s="264"/>
      <c r="C802" s="264"/>
    </row>
    <row r="803" spans="1:3" ht="14.25">
      <c r="A803" s="150"/>
      <c r="B803" s="264"/>
      <c r="C803" s="264"/>
    </row>
    <row r="804" spans="1:3" ht="14.25">
      <c r="A804" s="150"/>
      <c r="B804" s="264"/>
      <c r="C804" s="264"/>
    </row>
    <row r="805" spans="1:3" ht="14.25">
      <c r="A805" s="150"/>
      <c r="B805" s="264"/>
      <c r="C805" s="264"/>
    </row>
    <row r="806" spans="1:3" ht="14.25">
      <c r="A806" s="150"/>
      <c r="B806" s="264"/>
      <c r="C806" s="264"/>
    </row>
    <row r="807" spans="1:3" ht="14.25">
      <c r="A807" s="150"/>
      <c r="B807" s="264"/>
      <c r="C807" s="264"/>
    </row>
    <row r="808" spans="1:3" ht="14.25">
      <c r="A808" s="150"/>
      <c r="B808" s="264"/>
      <c r="C808" s="264"/>
    </row>
    <row r="809" spans="1:3" ht="14.25">
      <c r="A809" s="150"/>
      <c r="B809" s="264"/>
      <c r="C809" s="264"/>
    </row>
    <row r="810" spans="1:3" ht="14.25">
      <c r="A810" s="150"/>
      <c r="B810" s="264"/>
      <c r="C810" s="264"/>
    </row>
    <row r="811" spans="1:3" ht="14.25">
      <c r="A811" s="150"/>
      <c r="B811" s="264"/>
      <c r="C811" s="264"/>
    </row>
    <row r="812" spans="1:3" ht="14.25">
      <c r="A812" s="150"/>
      <c r="B812" s="264"/>
      <c r="C812" s="264"/>
    </row>
    <row r="813" spans="1:3" ht="14.25">
      <c r="A813" s="150"/>
      <c r="B813" s="264"/>
      <c r="C813" s="264"/>
    </row>
    <row r="814" spans="1:3" ht="14.25">
      <c r="A814" s="150"/>
      <c r="B814" s="264"/>
      <c r="C814" s="264"/>
    </row>
    <row r="815" spans="1:3" ht="14.25">
      <c r="A815" s="150"/>
      <c r="B815" s="264"/>
      <c r="C815" s="264"/>
    </row>
    <row r="816" spans="1:3" ht="14.25">
      <c r="A816" s="150"/>
      <c r="B816" s="264"/>
      <c r="C816" s="264"/>
    </row>
    <row r="817" spans="1:3" ht="14.25">
      <c r="A817" s="150"/>
      <c r="B817" s="264"/>
      <c r="C817" s="264"/>
    </row>
    <row r="818" spans="1:3" ht="14.25">
      <c r="A818" s="150"/>
      <c r="B818" s="264"/>
      <c r="C818" s="264"/>
    </row>
    <row r="819" spans="1:3" ht="14.25">
      <c r="A819" s="150"/>
      <c r="B819" s="264"/>
      <c r="C819" s="264"/>
    </row>
    <row r="820" spans="1:3" ht="14.25">
      <c r="A820" s="150"/>
      <c r="B820" s="264"/>
      <c r="C820" s="264"/>
    </row>
    <row r="821" spans="1:3" ht="14.25">
      <c r="A821" s="150"/>
      <c r="B821" s="264"/>
      <c r="C821" s="264"/>
    </row>
    <row r="822" spans="1:3" ht="14.25">
      <c r="A822" s="150"/>
      <c r="B822" s="264"/>
      <c r="C822" s="264"/>
    </row>
    <row r="823" spans="1:3" ht="14.25">
      <c r="A823" s="150"/>
      <c r="B823" s="264"/>
      <c r="C823" s="264"/>
    </row>
    <row r="824" spans="1:3" ht="14.25">
      <c r="A824" s="150"/>
      <c r="B824" s="264"/>
      <c r="C824" s="264"/>
    </row>
    <row r="825" spans="1:3" ht="14.25">
      <c r="A825" s="150"/>
      <c r="B825" s="264"/>
      <c r="C825" s="264"/>
    </row>
    <row r="826" spans="1:3" ht="14.25">
      <c r="A826" s="150"/>
      <c r="B826" s="264"/>
      <c r="C826" s="264"/>
    </row>
    <row r="827" spans="1:3" ht="14.25">
      <c r="A827" s="150"/>
      <c r="B827" s="264"/>
      <c r="C827" s="264"/>
    </row>
    <row r="828" spans="1:3" ht="14.25">
      <c r="A828" s="150"/>
      <c r="B828" s="264"/>
      <c r="C828" s="264"/>
    </row>
    <row r="829" spans="1:3" ht="14.25">
      <c r="A829" s="150"/>
      <c r="B829" s="264"/>
      <c r="C829" s="264"/>
    </row>
    <row r="830" spans="1:3" ht="14.25">
      <c r="A830" s="150"/>
      <c r="B830" s="264"/>
      <c r="C830" s="264"/>
    </row>
    <row r="831" spans="1:3" ht="14.25">
      <c r="A831" s="150"/>
      <c r="B831" s="264"/>
      <c r="C831" s="264"/>
    </row>
    <row r="832" spans="1:3" ht="14.25">
      <c r="A832" s="150"/>
      <c r="B832" s="264"/>
      <c r="C832" s="264"/>
    </row>
    <row r="833" spans="1:3" ht="14.25">
      <c r="A833" s="150"/>
      <c r="B833" s="264"/>
      <c r="C833" s="264"/>
    </row>
    <row r="834" spans="1:3" ht="14.25">
      <c r="A834" s="150"/>
      <c r="B834" s="264"/>
      <c r="C834" s="264"/>
    </row>
    <row r="835" spans="1:3" ht="14.25">
      <c r="A835" s="150"/>
      <c r="B835" s="264"/>
      <c r="C835" s="264"/>
    </row>
    <row r="836" spans="1:3" ht="14.25">
      <c r="A836" s="150"/>
      <c r="B836" s="264"/>
      <c r="C836" s="264"/>
    </row>
    <row r="837" spans="1:3" ht="14.25">
      <c r="A837" s="150"/>
      <c r="B837" s="264"/>
      <c r="C837" s="264"/>
    </row>
    <row r="838" spans="1:3" ht="14.25">
      <c r="A838" s="150"/>
      <c r="B838" s="264"/>
      <c r="C838" s="264"/>
    </row>
    <row r="839" spans="1:3" ht="14.25">
      <c r="A839" s="150"/>
      <c r="B839" s="264"/>
      <c r="C839" s="264"/>
    </row>
    <row r="840" spans="1:3" ht="14.25">
      <c r="A840" s="150"/>
      <c r="B840" s="264"/>
      <c r="C840" s="264"/>
    </row>
    <row r="841" spans="1:3" ht="14.25">
      <c r="A841" s="150"/>
      <c r="B841" s="264"/>
      <c r="C841" s="264"/>
    </row>
    <row r="842" spans="1:3" ht="14.25">
      <c r="A842" s="150"/>
      <c r="B842" s="264"/>
      <c r="C842" s="264"/>
    </row>
    <row r="843" spans="1:3" ht="14.25">
      <c r="A843" s="150"/>
      <c r="B843" s="264"/>
      <c r="C843" s="264"/>
    </row>
    <row r="844" spans="1:3" ht="14.25">
      <c r="A844" s="150"/>
      <c r="B844" s="264"/>
      <c r="C844" s="264"/>
    </row>
    <row r="845" spans="1:3" ht="14.25">
      <c r="A845" s="150"/>
      <c r="B845" s="264"/>
      <c r="C845" s="264"/>
    </row>
    <row r="846" spans="1:3" ht="14.25">
      <c r="A846" s="150"/>
      <c r="B846" s="264"/>
      <c r="C846" s="264"/>
    </row>
    <row r="847" spans="1:3" ht="14.25">
      <c r="A847" s="150"/>
      <c r="B847" s="264"/>
      <c r="C847" s="264"/>
    </row>
    <row r="848" spans="1:3" ht="14.25">
      <c r="A848" s="150"/>
      <c r="B848" s="264"/>
      <c r="C848" s="264"/>
    </row>
    <row r="849" spans="1:3" ht="14.25">
      <c r="A849" s="150"/>
      <c r="B849" s="264"/>
      <c r="C849" s="264"/>
    </row>
    <row r="850" spans="1:3" ht="14.25">
      <c r="A850" s="150"/>
      <c r="B850" s="264"/>
      <c r="C850" s="264"/>
    </row>
    <row r="851" spans="1:3" ht="14.25">
      <c r="A851" s="150"/>
      <c r="B851" s="264"/>
      <c r="C851" s="264"/>
    </row>
    <row r="852" spans="1:3" ht="14.25">
      <c r="A852" s="150"/>
      <c r="B852" s="264"/>
      <c r="C852" s="264"/>
    </row>
    <row r="853" spans="1:3" ht="14.25">
      <c r="A853" s="150"/>
      <c r="B853" s="264"/>
      <c r="C853" s="264"/>
    </row>
    <row r="854" spans="1:3" ht="14.25">
      <c r="A854" s="150"/>
      <c r="B854" s="264"/>
      <c r="C854" s="264"/>
    </row>
    <row r="855" spans="1:3" ht="14.25">
      <c r="A855" s="150"/>
      <c r="B855" s="264"/>
      <c r="C855" s="264"/>
    </row>
    <row r="856" spans="1:3" ht="14.25">
      <c r="A856" s="150"/>
      <c r="B856" s="264"/>
      <c r="C856" s="264"/>
    </row>
    <row r="857" spans="1:3" ht="14.25">
      <c r="A857" s="150"/>
      <c r="B857" s="264"/>
      <c r="C857" s="264"/>
    </row>
    <row r="858" spans="1:3" ht="14.25">
      <c r="A858" s="150"/>
      <c r="B858" s="264"/>
      <c r="C858" s="264"/>
    </row>
    <row r="859" spans="1:3" ht="14.25">
      <c r="A859" s="150"/>
      <c r="B859" s="264"/>
      <c r="C859" s="264"/>
    </row>
    <row r="860" spans="1:3" ht="14.25">
      <c r="A860" s="150"/>
      <c r="B860" s="264"/>
      <c r="C860" s="264"/>
    </row>
    <row r="861" spans="1:3" ht="14.25">
      <c r="A861" s="150"/>
      <c r="B861" s="264"/>
      <c r="C861" s="264"/>
    </row>
    <row r="862" spans="1:3" ht="14.25">
      <c r="A862" s="150"/>
      <c r="B862" s="264"/>
      <c r="C862" s="264"/>
    </row>
    <row r="863" spans="1:3" ht="14.25">
      <c r="A863" s="150"/>
      <c r="B863" s="264"/>
      <c r="C863" s="264"/>
    </row>
    <row r="864" spans="1:3" ht="14.25">
      <c r="A864" s="150"/>
      <c r="B864" s="264"/>
      <c r="C864" s="264"/>
    </row>
    <row r="865" spans="1:3" ht="14.25">
      <c r="A865" s="150"/>
      <c r="B865" s="264"/>
      <c r="C865" s="264"/>
    </row>
    <row r="866" spans="1:3" ht="14.25">
      <c r="A866" s="150"/>
      <c r="B866" s="264"/>
      <c r="C866" s="264"/>
    </row>
    <row r="867" spans="1:3" ht="14.25">
      <c r="A867" s="150"/>
      <c r="B867" s="264"/>
      <c r="C867" s="264"/>
    </row>
    <row r="868" spans="1:3" ht="14.25">
      <c r="A868" s="150"/>
      <c r="B868" s="264"/>
      <c r="C868" s="264"/>
    </row>
    <row r="869" spans="1:3" ht="14.25">
      <c r="A869" s="150"/>
      <c r="B869" s="264"/>
      <c r="C869" s="264"/>
    </row>
    <row r="870" spans="1:3" ht="14.25">
      <c r="A870" s="150"/>
      <c r="B870" s="264"/>
      <c r="C870" s="264"/>
    </row>
    <row r="871" spans="1:3" ht="14.25">
      <c r="A871" s="150"/>
      <c r="B871" s="264"/>
      <c r="C871" s="264"/>
    </row>
    <row r="872" spans="1:3" ht="14.25">
      <c r="A872" s="150"/>
      <c r="B872" s="264"/>
      <c r="C872" s="264"/>
    </row>
    <row r="873" spans="1:3" ht="14.25">
      <c r="A873" s="150"/>
      <c r="B873" s="264"/>
      <c r="C873" s="264"/>
    </row>
    <row r="874" spans="1:3" ht="14.25">
      <c r="A874" s="150"/>
      <c r="B874" s="264"/>
      <c r="C874" s="264"/>
    </row>
    <row r="875" spans="1:3" ht="14.25">
      <c r="A875" s="150"/>
      <c r="B875" s="264"/>
      <c r="C875" s="264"/>
    </row>
    <row r="876" spans="1:3" ht="14.25">
      <c r="A876" s="150"/>
      <c r="B876" s="264"/>
      <c r="C876" s="264"/>
    </row>
    <row r="877" spans="1:3" ht="14.25">
      <c r="A877" s="150"/>
      <c r="B877" s="264"/>
      <c r="C877" s="264"/>
    </row>
    <row r="878" spans="1:3" ht="14.25">
      <c r="A878" s="150"/>
      <c r="B878" s="264"/>
      <c r="C878" s="264"/>
    </row>
    <row r="879" spans="1:3" ht="14.25">
      <c r="A879" s="150"/>
      <c r="B879" s="264"/>
      <c r="C879" s="264"/>
    </row>
    <row r="880" spans="1:3" ht="14.25">
      <c r="A880" s="150"/>
      <c r="B880" s="264"/>
      <c r="C880" s="264"/>
    </row>
    <row r="881" spans="1:3" ht="14.25">
      <c r="A881" s="150"/>
      <c r="B881" s="264"/>
      <c r="C881" s="264"/>
    </row>
    <row r="882" spans="1:3" ht="14.25">
      <c r="A882" s="150"/>
      <c r="B882" s="264"/>
      <c r="C882" s="264"/>
    </row>
    <row r="883" spans="1:3" ht="14.25">
      <c r="A883" s="150"/>
      <c r="B883" s="264"/>
      <c r="C883" s="264"/>
    </row>
    <row r="884" spans="1:3" ht="14.25">
      <c r="A884" s="150"/>
      <c r="B884" s="264"/>
      <c r="C884" s="264"/>
    </row>
    <row r="885" spans="1:3" ht="14.25">
      <c r="A885" s="150"/>
      <c r="B885" s="264"/>
      <c r="C885" s="264"/>
    </row>
    <row r="886" spans="1:3" ht="14.25">
      <c r="A886" s="150"/>
      <c r="B886" s="264"/>
      <c r="C886" s="264"/>
    </row>
    <row r="887" spans="1:3" ht="14.25">
      <c r="A887" s="150"/>
      <c r="B887" s="264"/>
      <c r="C887" s="264"/>
    </row>
    <row r="888" spans="1:3" ht="14.25">
      <c r="A888" s="150"/>
      <c r="B888" s="264"/>
      <c r="C888" s="264"/>
    </row>
    <row r="889" spans="1:3" ht="14.25">
      <c r="A889" s="150"/>
      <c r="B889" s="264"/>
      <c r="C889" s="264"/>
    </row>
    <row r="890" spans="1:3" ht="14.25">
      <c r="A890" s="150"/>
      <c r="B890" s="264"/>
      <c r="C890" s="264"/>
    </row>
    <row r="891" spans="1:3" ht="14.25">
      <c r="A891" s="150"/>
      <c r="B891" s="264"/>
      <c r="C891" s="264"/>
    </row>
    <row r="892" spans="1:3" ht="14.25">
      <c r="A892" s="150"/>
      <c r="B892" s="264"/>
      <c r="C892" s="264"/>
    </row>
    <row r="893" spans="1:3" ht="14.25">
      <c r="A893" s="150"/>
      <c r="B893" s="264"/>
      <c r="C893" s="264"/>
    </row>
    <row r="894" spans="1:3" ht="14.25">
      <c r="A894" s="150"/>
      <c r="B894" s="264"/>
      <c r="C894" s="264"/>
    </row>
    <row r="895" spans="1:3" ht="14.25">
      <c r="A895" s="150"/>
      <c r="B895" s="264"/>
      <c r="C895" s="264"/>
    </row>
    <row r="896" spans="1:3" ht="14.25">
      <c r="A896" s="150"/>
      <c r="B896" s="264"/>
      <c r="C896" s="264"/>
    </row>
    <row r="897" spans="1:3" ht="14.25">
      <c r="A897" s="150"/>
      <c r="B897" s="264"/>
      <c r="C897" s="264"/>
    </row>
    <row r="898" spans="1:3" ht="14.25">
      <c r="A898" s="150"/>
      <c r="B898" s="264"/>
      <c r="C898" s="264"/>
    </row>
    <row r="899" spans="1:3" ht="14.25">
      <c r="A899" s="150"/>
      <c r="B899" s="264"/>
      <c r="C899" s="264"/>
    </row>
    <row r="900" spans="1:3" ht="14.25">
      <c r="A900" s="150"/>
      <c r="B900" s="264"/>
      <c r="C900" s="264"/>
    </row>
    <row r="901" spans="1:3" ht="14.25">
      <c r="A901" s="150"/>
      <c r="B901" s="264"/>
      <c r="C901" s="264"/>
    </row>
    <row r="902" spans="1:3" ht="14.25">
      <c r="A902" s="150"/>
      <c r="B902" s="264"/>
      <c r="C902" s="264"/>
    </row>
    <row r="903" spans="1:3" ht="14.25">
      <c r="A903" s="150"/>
      <c r="B903" s="264"/>
      <c r="C903" s="264"/>
    </row>
    <row r="904" spans="1:3" ht="14.25">
      <c r="A904" s="150"/>
      <c r="B904" s="264"/>
      <c r="C904" s="264"/>
    </row>
    <row r="905" spans="1:3" ht="14.25">
      <c r="A905" s="150"/>
      <c r="B905" s="264"/>
      <c r="C905" s="264"/>
    </row>
    <row r="906" spans="1:3" ht="14.25">
      <c r="A906" s="150"/>
      <c r="B906" s="264"/>
      <c r="C906" s="264"/>
    </row>
    <row r="907" spans="1:3" ht="14.25">
      <c r="A907" s="150"/>
      <c r="B907" s="264"/>
      <c r="C907" s="264"/>
    </row>
    <row r="908" spans="1:3" ht="14.25">
      <c r="A908" s="150"/>
      <c r="B908" s="264"/>
      <c r="C908" s="264"/>
    </row>
    <row r="909" spans="1:3" ht="14.25">
      <c r="A909" s="150"/>
      <c r="B909" s="264"/>
      <c r="C909" s="264"/>
    </row>
    <row r="910" spans="1:3" ht="14.25">
      <c r="A910" s="150"/>
      <c r="B910" s="264"/>
      <c r="C910" s="264"/>
    </row>
    <row r="911" spans="1:3" ht="14.25">
      <c r="A911" s="150"/>
      <c r="B911" s="264"/>
      <c r="C911" s="264"/>
    </row>
    <row r="912" spans="1:3" ht="14.25">
      <c r="A912" s="150"/>
      <c r="B912" s="264"/>
      <c r="C912" s="264"/>
    </row>
    <row r="913" spans="1:3" ht="14.25">
      <c r="A913" s="150"/>
      <c r="B913" s="264"/>
      <c r="C913" s="264"/>
    </row>
    <row r="914" spans="1:3" ht="14.25">
      <c r="A914" s="150"/>
      <c r="B914" s="264"/>
      <c r="C914" s="264"/>
    </row>
    <row r="915" spans="1:3" ht="14.25">
      <c r="A915" s="150"/>
      <c r="B915" s="264"/>
      <c r="C915" s="264"/>
    </row>
    <row r="916" spans="1:3" ht="14.25">
      <c r="A916" s="150"/>
      <c r="B916" s="264"/>
      <c r="C916" s="264"/>
    </row>
    <row r="917" spans="1:3" ht="14.25">
      <c r="A917" s="150"/>
      <c r="B917" s="264"/>
      <c r="C917" s="264"/>
    </row>
    <row r="918" spans="1:3" ht="14.25">
      <c r="A918" s="150"/>
      <c r="B918" s="264"/>
      <c r="C918" s="264"/>
    </row>
    <row r="919" spans="1:3" ht="14.25">
      <c r="A919" s="150"/>
      <c r="B919" s="264"/>
      <c r="C919" s="264"/>
    </row>
    <row r="920" spans="1:3" ht="14.25">
      <c r="A920" s="150"/>
      <c r="B920" s="264"/>
      <c r="C920" s="264"/>
    </row>
    <row r="921" spans="1:3" ht="14.25">
      <c r="A921" s="150"/>
      <c r="B921" s="264"/>
      <c r="C921" s="264"/>
    </row>
    <row r="922" spans="1:3" ht="14.25">
      <c r="A922" s="150"/>
      <c r="B922" s="264"/>
      <c r="C922" s="264"/>
    </row>
    <row r="923" spans="1:3" ht="14.25">
      <c r="A923" s="150"/>
      <c r="B923" s="264"/>
      <c r="C923" s="264"/>
    </row>
    <row r="924" spans="1:3" ht="14.25">
      <c r="A924" s="150"/>
      <c r="B924" s="264"/>
      <c r="C924" s="264"/>
    </row>
    <row r="925" spans="1:3" ht="14.25">
      <c r="A925" s="150"/>
      <c r="B925" s="264"/>
      <c r="C925" s="264"/>
    </row>
    <row r="926" spans="1:3" ht="14.25">
      <c r="A926" s="150"/>
      <c r="B926" s="264"/>
      <c r="C926" s="264"/>
    </row>
    <row r="927" spans="1:3" ht="14.25">
      <c r="A927" s="150"/>
      <c r="B927" s="264"/>
      <c r="C927" s="264"/>
    </row>
    <row r="928" spans="1:3" ht="14.25">
      <c r="A928" s="150"/>
      <c r="B928" s="264"/>
      <c r="C928" s="264"/>
    </row>
    <row r="929" spans="1:3" ht="14.25">
      <c r="A929" s="150"/>
      <c r="B929" s="264"/>
      <c r="C929" s="264"/>
    </row>
    <row r="930" spans="1:3" ht="14.25">
      <c r="A930" s="150"/>
      <c r="B930" s="264"/>
      <c r="C930" s="264"/>
    </row>
    <row r="931" spans="1:3" ht="14.25">
      <c r="A931" s="150"/>
      <c r="B931" s="264"/>
      <c r="C931" s="264"/>
    </row>
    <row r="932" spans="1:3" ht="14.25">
      <c r="A932" s="150"/>
      <c r="B932" s="264"/>
      <c r="C932" s="264"/>
    </row>
    <row r="933" spans="1:3" ht="14.25">
      <c r="A933" s="150"/>
      <c r="B933" s="264"/>
      <c r="C933" s="264"/>
    </row>
    <row r="934" spans="1:3" ht="14.25">
      <c r="A934" s="150"/>
      <c r="B934" s="264"/>
      <c r="C934" s="264"/>
    </row>
    <row r="935" spans="1:3" ht="14.25">
      <c r="A935" s="150"/>
      <c r="B935" s="264"/>
      <c r="C935" s="264"/>
    </row>
    <row r="936" spans="1:3" ht="14.25">
      <c r="A936" s="150"/>
      <c r="B936" s="264"/>
      <c r="C936" s="264"/>
    </row>
    <row r="937" spans="1:3" ht="14.25">
      <c r="A937" s="150"/>
      <c r="B937" s="264"/>
      <c r="C937" s="264"/>
    </row>
    <row r="938" spans="1:3" ht="14.25">
      <c r="A938" s="150"/>
      <c r="B938" s="264"/>
      <c r="C938" s="264"/>
    </row>
    <row r="939" spans="1:3" ht="14.25">
      <c r="A939" s="150"/>
      <c r="B939" s="264"/>
      <c r="C939" s="264"/>
    </row>
    <row r="940" spans="1:3" ht="14.25">
      <c r="A940" s="150"/>
      <c r="B940" s="264"/>
      <c r="C940" s="264"/>
    </row>
    <row r="941" spans="1:3" ht="14.25">
      <c r="A941" s="150"/>
      <c r="B941" s="264"/>
      <c r="C941" s="264"/>
    </row>
    <row r="942" spans="1:3" ht="14.25">
      <c r="A942" s="150"/>
      <c r="B942" s="264"/>
      <c r="C942" s="264"/>
    </row>
    <row r="943" spans="1:3" ht="14.25">
      <c r="A943" s="150"/>
      <c r="B943" s="264"/>
      <c r="C943" s="264"/>
    </row>
    <row r="944" spans="1:3" ht="14.25">
      <c r="A944" s="150"/>
      <c r="B944" s="264"/>
      <c r="C944" s="264"/>
    </row>
    <row r="945" spans="1:3" ht="14.25">
      <c r="A945" s="150"/>
      <c r="B945" s="264"/>
      <c r="C945" s="264"/>
    </row>
    <row r="946" spans="1:3" ht="14.25">
      <c r="A946" s="150"/>
      <c r="B946" s="264"/>
      <c r="C946" s="264"/>
    </row>
    <row r="947" spans="1:3" ht="14.25">
      <c r="A947" s="150"/>
      <c r="B947" s="264"/>
      <c r="C947" s="264"/>
    </row>
    <row r="948" spans="1:3" ht="14.25">
      <c r="A948" s="150"/>
      <c r="B948" s="264"/>
      <c r="C948" s="264"/>
    </row>
    <row r="949" spans="1:3" ht="14.25">
      <c r="A949" s="150"/>
      <c r="B949" s="264"/>
      <c r="C949" s="264"/>
    </row>
    <row r="950" spans="1:3" ht="14.25">
      <c r="A950" s="150"/>
      <c r="B950" s="264"/>
      <c r="C950" s="264"/>
    </row>
    <row r="951" spans="1:3" ht="14.25">
      <c r="A951" s="150"/>
      <c r="B951" s="264"/>
      <c r="C951" s="264"/>
    </row>
    <row r="952" spans="1:3" ht="14.25">
      <c r="A952" s="150"/>
      <c r="B952" s="264"/>
      <c r="C952" s="264"/>
    </row>
    <row r="953" spans="1:3" ht="14.25">
      <c r="A953" s="150"/>
      <c r="B953" s="264"/>
      <c r="C953" s="264"/>
    </row>
    <row r="954" spans="1:3" ht="14.25">
      <c r="A954" s="150"/>
      <c r="B954" s="264"/>
      <c r="C954" s="264"/>
    </row>
    <row r="955" spans="1:3" ht="14.25">
      <c r="A955" s="150"/>
      <c r="B955" s="264"/>
      <c r="C955" s="264"/>
    </row>
    <row r="956" spans="1:3" ht="14.25">
      <c r="A956" s="150"/>
      <c r="B956" s="264"/>
      <c r="C956" s="264"/>
    </row>
    <row r="957" spans="1:3" ht="14.25">
      <c r="A957" s="150"/>
      <c r="B957" s="264"/>
      <c r="C957" s="264"/>
    </row>
    <row r="958" spans="1:3" ht="14.25">
      <c r="A958" s="150"/>
      <c r="B958" s="264"/>
      <c r="C958" s="264"/>
    </row>
    <row r="959" spans="1:3" ht="14.25">
      <c r="A959" s="150"/>
      <c r="B959" s="264"/>
      <c r="C959" s="264"/>
    </row>
    <row r="960" spans="1:3" ht="14.25">
      <c r="A960" s="150"/>
      <c r="B960" s="264"/>
      <c r="C960" s="264"/>
    </row>
    <row r="961" spans="1:3" ht="14.25">
      <c r="A961" s="150"/>
      <c r="B961" s="264"/>
      <c r="C961" s="264"/>
    </row>
    <row r="962" spans="1:3" ht="14.25">
      <c r="A962" s="150"/>
      <c r="B962" s="264"/>
      <c r="C962" s="264"/>
    </row>
    <row r="963" spans="1:3" ht="14.25">
      <c r="A963" s="150"/>
      <c r="B963" s="264"/>
      <c r="C963" s="264"/>
    </row>
    <row r="964" spans="1:3" ht="14.25">
      <c r="A964" s="150"/>
      <c r="B964" s="264"/>
      <c r="C964" s="264"/>
    </row>
    <row r="965" spans="1:3" ht="14.25">
      <c r="A965" s="150"/>
      <c r="B965" s="264"/>
      <c r="C965" s="264"/>
    </row>
    <row r="966" spans="1:3" ht="14.25">
      <c r="A966" s="150"/>
      <c r="B966" s="264"/>
      <c r="C966" s="264"/>
    </row>
    <row r="967" spans="1:3" ht="14.25">
      <c r="A967" s="150"/>
      <c r="B967" s="264"/>
      <c r="C967" s="264"/>
    </row>
    <row r="968" spans="1:3" ht="14.25">
      <c r="A968" s="150"/>
      <c r="B968" s="264"/>
      <c r="C968" s="264"/>
    </row>
    <row r="969" spans="1:3" ht="14.25">
      <c r="A969" s="150"/>
      <c r="B969" s="264"/>
      <c r="C969" s="264"/>
    </row>
    <row r="970" spans="1:3" ht="14.25">
      <c r="A970" s="150"/>
      <c r="B970" s="264"/>
      <c r="C970" s="264"/>
    </row>
    <row r="971" spans="1:3" ht="14.25">
      <c r="A971" s="150"/>
      <c r="B971" s="264"/>
      <c r="C971" s="264"/>
    </row>
    <row r="972" spans="1:3" ht="14.25">
      <c r="A972" s="150"/>
      <c r="B972" s="264"/>
      <c r="C972" s="264"/>
    </row>
    <row r="973" spans="1:3" ht="14.25">
      <c r="A973" s="150"/>
      <c r="B973" s="264"/>
      <c r="C973" s="264"/>
    </row>
    <row r="974" spans="1:3" ht="14.25">
      <c r="A974" s="150"/>
      <c r="B974" s="264"/>
      <c r="C974" s="264"/>
    </row>
    <row r="975" spans="1:3" ht="14.25">
      <c r="A975" s="150"/>
      <c r="B975" s="264"/>
      <c r="C975" s="264"/>
    </row>
    <row r="976" spans="1:3" ht="14.25">
      <c r="A976" s="150"/>
      <c r="B976" s="264"/>
      <c r="C976" s="264"/>
    </row>
    <row r="977" spans="1:3" ht="14.25">
      <c r="A977" s="150"/>
      <c r="B977" s="264"/>
      <c r="C977" s="264"/>
    </row>
    <row r="978" spans="1:3" ht="14.25">
      <c r="A978" s="150"/>
      <c r="B978" s="264"/>
      <c r="C978" s="264"/>
    </row>
    <row r="979" spans="1:3" ht="14.25">
      <c r="A979" s="150"/>
      <c r="B979" s="264"/>
      <c r="C979" s="264"/>
    </row>
    <row r="980" spans="1:3" ht="14.25">
      <c r="A980" s="150"/>
      <c r="B980" s="264"/>
      <c r="C980" s="264"/>
    </row>
    <row r="981" spans="1:3" ht="14.25">
      <c r="A981" s="150"/>
      <c r="B981" s="264"/>
      <c r="C981" s="264"/>
    </row>
    <row r="982" spans="1:3" ht="14.25">
      <c r="A982" s="150"/>
      <c r="B982" s="264"/>
      <c r="C982" s="264"/>
    </row>
    <row r="983" spans="1:3" ht="14.25">
      <c r="A983" s="150"/>
      <c r="B983" s="264"/>
      <c r="C983" s="264"/>
    </row>
    <row r="984" spans="1:3" ht="14.25">
      <c r="A984" s="150"/>
      <c r="B984" s="264"/>
      <c r="C984" s="264"/>
    </row>
    <row r="985" spans="1:3" ht="14.25">
      <c r="A985" s="150"/>
      <c r="B985" s="264"/>
      <c r="C985" s="264"/>
    </row>
    <row r="986" spans="1:3" ht="14.25">
      <c r="A986" s="150"/>
      <c r="B986" s="264"/>
      <c r="C986" s="264"/>
    </row>
    <row r="987" spans="1:3" ht="14.25">
      <c r="A987" s="150"/>
      <c r="B987" s="264"/>
      <c r="C987" s="264"/>
    </row>
    <row r="988" spans="1:3" ht="14.25">
      <c r="A988" s="150"/>
      <c r="B988" s="264"/>
      <c r="C988" s="264"/>
    </row>
    <row r="989" spans="1:3" ht="14.25">
      <c r="A989" s="150"/>
      <c r="B989" s="264"/>
      <c r="C989" s="264"/>
    </row>
    <row r="990" spans="1:3" ht="14.25">
      <c r="A990" s="150"/>
      <c r="B990" s="264"/>
      <c r="C990" s="264"/>
    </row>
    <row r="991" spans="1:3" ht="14.25">
      <c r="A991" s="150"/>
      <c r="B991" s="264"/>
      <c r="C991" s="264"/>
    </row>
    <row r="992" spans="1:3" ht="14.25">
      <c r="A992" s="150"/>
      <c r="B992" s="264"/>
      <c r="C992" s="264"/>
    </row>
    <row r="993" spans="1:3" ht="14.25">
      <c r="A993" s="150"/>
      <c r="B993" s="264"/>
      <c r="C993" s="264"/>
    </row>
    <row r="994" spans="1:3" ht="14.25">
      <c r="A994" s="150"/>
      <c r="B994" s="264"/>
      <c r="C994" s="264"/>
    </row>
    <row r="995" spans="1:3" ht="14.25">
      <c r="A995" s="150"/>
      <c r="B995" s="264"/>
      <c r="C995" s="264"/>
    </row>
    <row r="996" spans="1:3" ht="14.25">
      <c r="A996" s="150"/>
      <c r="B996" s="264"/>
      <c r="C996" s="264"/>
    </row>
    <row r="997" spans="1:3" ht="14.25">
      <c r="A997" s="150"/>
      <c r="B997" s="264"/>
      <c r="C997" s="264"/>
    </row>
    <row r="998" spans="1:3" ht="14.25">
      <c r="A998" s="150"/>
      <c r="B998" s="264"/>
      <c r="C998" s="264"/>
    </row>
    <row r="999" spans="1:3" ht="14.25">
      <c r="A999" s="150"/>
      <c r="B999" s="264"/>
      <c r="C999" s="264"/>
    </row>
    <row r="1000" spans="1:3" ht="14.25">
      <c r="A1000" s="150"/>
      <c r="B1000" s="264"/>
      <c r="C1000" s="264"/>
    </row>
    <row r="1001" spans="1:3" ht="14.25">
      <c r="A1001" s="150"/>
      <c r="B1001" s="264"/>
      <c r="C1001" s="264"/>
    </row>
    <row r="1002" spans="1:3" ht="14.25">
      <c r="A1002" s="150"/>
      <c r="B1002" s="264"/>
      <c r="C1002" s="264"/>
    </row>
    <row r="1003" spans="1:3" ht="14.25">
      <c r="A1003" s="150"/>
      <c r="B1003" s="264"/>
      <c r="C1003" s="264"/>
    </row>
  </sheetData>
  <pageMargins left="0.7" right="0.7" top="0.75" bottom="0.75" header="0" footer="0"/>
  <pageSetup paperSize="9" orientation="portrai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D6D63-966C-4349-AA1C-8D5245BC3ED0}">
  <sheetPr codeName="Аркуш36">
    <tabColor rgb="FF7030A0"/>
  </sheetPr>
  <dimension ref="A2:T77"/>
  <sheetViews>
    <sheetView topLeftCell="A41" zoomScale="115" zoomScaleNormal="115" workbookViewId="0">
      <selection activeCell="F49" sqref="F49"/>
    </sheetView>
  </sheetViews>
  <sheetFormatPr defaultRowHeight="14.25"/>
  <cols>
    <col min="1" max="4" width="18.6640625" style="2" customWidth="1"/>
    <col min="5" max="9" width="14.77734375" style="2" customWidth="1"/>
    <col min="10" max="10" width="22.109375" style="2" customWidth="1"/>
    <col min="11" max="11" width="10.88671875" style="2" customWidth="1"/>
    <col min="12" max="12" width="10" style="2" customWidth="1"/>
    <col min="13" max="13" width="11.5546875" style="2" customWidth="1"/>
    <col min="14" max="15" width="8.88671875" style="2"/>
    <col min="16" max="16" width="24" style="2" customWidth="1"/>
    <col min="17" max="17" width="18" style="2" customWidth="1"/>
    <col min="18" max="18" width="16.5546875" style="2" customWidth="1"/>
    <col min="19" max="19" width="8.88671875" style="2"/>
    <col min="20" max="20" width="10.77734375" style="2" customWidth="1"/>
    <col min="21" max="21" width="10.109375" style="2" customWidth="1"/>
    <col min="22" max="22" width="14.5546875" style="2" customWidth="1"/>
    <col min="23" max="23" width="18.109375" style="2" customWidth="1"/>
    <col min="24" max="24" width="15.6640625" style="2" customWidth="1"/>
    <col min="25" max="32" width="8.88671875" style="2"/>
    <col min="33" max="33" width="58" style="2" customWidth="1"/>
    <col min="34" max="16384" width="8.88671875" style="2"/>
  </cols>
  <sheetData>
    <row r="2" spans="1:20" ht="22.5">
      <c r="E2" s="2486">
        <f>SUM(Таблиця3[POPULATION])</f>
        <v>292498</v>
      </c>
    </row>
    <row r="3" spans="1:20" ht="17.25">
      <c r="A3" s="2481" t="s">
        <v>1281</v>
      </c>
      <c r="B3" s="2481" t="s">
        <v>14542</v>
      </c>
      <c r="C3" s="2481" t="s">
        <v>1406</v>
      </c>
      <c r="D3" s="2481" t="s">
        <v>1407</v>
      </c>
      <c r="E3" s="2481" t="s">
        <v>1282</v>
      </c>
      <c r="F3" s="2481" t="s">
        <v>11904</v>
      </c>
      <c r="G3" s="2481" t="s">
        <v>11931</v>
      </c>
      <c r="H3" s="2481" t="s">
        <v>11483</v>
      </c>
      <c r="I3" s="2481" t="s">
        <v>2068</v>
      </c>
      <c r="J3" s="2481" t="s">
        <v>1283</v>
      </c>
      <c r="K3" s="2481" t="s">
        <v>1284</v>
      </c>
      <c r="L3" s="2481" t="s">
        <v>1285</v>
      </c>
      <c r="M3" s="2481" t="s">
        <v>10</v>
      </c>
      <c r="N3" s="2481" t="s">
        <v>11</v>
      </c>
      <c r="O3" s="2481" t="s">
        <v>12</v>
      </c>
      <c r="P3" s="2481" t="s">
        <v>7</v>
      </c>
      <c r="Q3" s="2481" t="s">
        <v>8</v>
      </c>
      <c r="R3" s="2481" t="s">
        <v>5</v>
      </c>
      <c r="T3" s="2" t="s">
        <v>14542</v>
      </c>
    </row>
    <row r="4" spans="1:20">
      <c r="A4" s="2681" t="s">
        <v>1</v>
      </c>
      <c r="B4" s="2" t="s">
        <v>14868</v>
      </c>
      <c r="C4" s="2" t="s">
        <v>3</v>
      </c>
      <c r="E4" s="2596">
        <v>30000</v>
      </c>
      <c r="F4" s="2483" t="s">
        <v>14541</v>
      </c>
      <c r="G4" s="2483"/>
      <c r="H4" s="2483" t="s">
        <v>11482</v>
      </c>
      <c r="I4" s="2483" t="s">
        <v>14540</v>
      </c>
      <c r="K4" s="2">
        <v>0.1</v>
      </c>
      <c r="L4" s="2">
        <f t="shared" ref="L4:L35" si="0">0.25</f>
        <v>0.25</v>
      </c>
      <c r="M4" s="11">
        <v>0.9</v>
      </c>
      <c r="N4" s="11">
        <v>1.1000000000000001</v>
      </c>
      <c r="O4" s="11">
        <v>2.2000000000000002</v>
      </c>
      <c r="T4" s="2" t="s">
        <v>14868</v>
      </c>
    </row>
    <row r="5" spans="1:20">
      <c r="A5" s="2" t="s">
        <v>42</v>
      </c>
      <c r="E5" s="2596">
        <v>700</v>
      </c>
      <c r="F5" s="2483"/>
      <c r="G5" s="2483"/>
      <c r="H5" s="2483"/>
      <c r="I5" s="2483"/>
      <c r="J5" s="2" t="s">
        <v>43</v>
      </c>
      <c r="L5" s="2">
        <f t="shared" si="0"/>
        <v>0.25</v>
      </c>
      <c r="M5" s="2">
        <v>2.4</v>
      </c>
      <c r="N5" s="2">
        <v>1.85</v>
      </c>
      <c r="O5" s="2">
        <v>3.5</v>
      </c>
      <c r="T5" s="2" t="s">
        <v>14869</v>
      </c>
    </row>
    <row r="6" spans="1:20">
      <c r="A6" s="2" t="s">
        <v>52</v>
      </c>
      <c r="E6" s="2596"/>
      <c r="F6" s="2483"/>
      <c r="G6" s="2483"/>
      <c r="H6" s="2483"/>
      <c r="I6" s="2483"/>
      <c r="L6" s="2">
        <f t="shared" si="0"/>
        <v>0.25</v>
      </c>
      <c r="T6" s="2" t="s">
        <v>14870</v>
      </c>
    </row>
    <row r="7" spans="1:20">
      <c r="A7" s="2" t="s">
        <v>59</v>
      </c>
      <c r="C7" s="2" t="s">
        <v>11553</v>
      </c>
      <c r="E7" s="2596">
        <v>356</v>
      </c>
      <c r="F7" s="2483"/>
      <c r="G7" s="2483"/>
      <c r="H7" s="2483"/>
      <c r="I7" s="2483"/>
      <c r="L7" s="2">
        <f t="shared" si="0"/>
        <v>0.25</v>
      </c>
      <c r="T7" s="2" t="s">
        <v>14871</v>
      </c>
    </row>
    <row r="8" spans="1:20">
      <c r="A8" s="2" t="s">
        <v>11554</v>
      </c>
      <c r="C8" s="2" t="s">
        <v>11555</v>
      </c>
      <c r="E8" s="2596">
        <v>875</v>
      </c>
      <c r="F8" s="2483"/>
      <c r="G8" s="2483"/>
      <c r="H8" s="2483"/>
      <c r="I8" s="2483"/>
      <c r="J8" s="2" t="s">
        <v>66</v>
      </c>
      <c r="L8" s="2">
        <f t="shared" si="0"/>
        <v>0.25</v>
      </c>
      <c r="M8" s="2">
        <v>2.1</v>
      </c>
      <c r="N8" s="2">
        <v>2.1</v>
      </c>
      <c r="O8" s="2">
        <v>2.9</v>
      </c>
      <c r="T8" s="2" t="s">
        <v>14872</v>
      </c>
    </row>
    <row r="9" spans="1:20">
      <c r="A9" s="2" t="s">
        <v>76</v>
      </c>
      <c r="C9" s="2" t="s">
        <v>77</v>
      </c>
      <c r="E9" s="2596">
        <v>436</v>
      </c>
      <c r="F9" s="2483"/>
      <c r="G9" s="2483"/>
      <c r="H9" s="2483"/>
      <c r="I9" s="2483"/>
      <c r="L9" s="2">
        <f t="shared" si="0"/>
        <v>0.25</v>
      </c>
      <c r="T9" s="2" t="s">
        <v>14873</v>
      </c>
    </row>
    <row r="10" spans="1:20">
      <c r="A10" s="2" t="s">
        <v>14817</v>
      </c>
      <c r="C10" s="2" t="s">
        <v>14819</v>
      </c>
      <c r="E10" s="2596">
        <v>50</v>
      </c>
      <c r="F10" s="2483" t="s">
        <v>13621</v>
      </c>
      <c r="G10" s="2483"/>
      <c r="H10" s="2483"/>
      <c r="I10" s="2483"/>
      <c r="L10" s="2680">
        <f t="shared" si="0"/>
        <v>0.25</v>
      </c>
      <c r="T10" s="2" t="s">
        <v>14874</v>
      </c>
    </row>
    <row r="11" spans="1:20">
      <c r="A11" s="2" t="s">
        <v>83</v>
      </c>
      <c r="C11" s="2" t="s">
        <v>84</v>
      </c>
      <c r="E11" s="2596">
        <v>1177</v>
      </c>
      <c r="F11" s="2483" t="s">
        <v>11900</v>
      </c>
      <c r="G11" s="2483"/>
      <c r="H11" s="2483" t="s">
        <v>1287</v>
      </c>
      <c r="I11" s="2483"/>
      <c r="J11" s="2" t="s">
        <v>85</v>
      </c>
      <c r="L11" s="2">
        <f t="shared" si="0"/>
        <v>0.25</v>
      </c>
      <c r="M11" s="2">
        <v>1.2</v>
      </c>
      <c r="N11" s="2">
        <v>1.5</v>
      </c>
      <c r="O11" s="2">
        <v>2.9</v>
      </c>
      <c r="T11" s="2" t="s">
        <v>14875</v>
      </c>
    </row>
    <row r="12" spans="1:20">
      <c r="A12" s="2" t="s">
        <v>11934</v>
      </c>
      <c r="E12" s="2596">
        <v>500</v>
      </c>
      <c r="F12" s="2483"/>
      <c r="G12" s="2483"/>
      <c r="H12" s="2483"/>
      <c r="I12" s="2483"/>
      <c r="L12" s="2">
        <f t="shared" si="0"/>
        <v>0.25</v>
      </c>
      <c r="T12" s="2" t="s">
        <v>14876</v>
      </c>
    </row>
    <row r="13" spans="1:20">
      <c r="A13" s="2" t="s">
        <v>11748</v>
      </c>
      <c r="E13" s="2596">
        <v>150</v>
      </c>
      <c r="F13" s="2483"/>
      <c r="G13" s="2483"/>
      <c r="H13" s="2483"/>
      <c r="I13" s="2483"/>
      <c r="L13" s="2">
        <f t="shared" si="0"/>
        <v>0.25</v>
      </c>
      <c r="T13" s="2" t="s">
        <v>14877</v>
      </c>
    </row>
    <row r="14" spans="1:20">
      <c r="A14" s="2" t="s">
        <v>89</v>
      </c>
      <c r="C14" s="2678" t="s">
        <v>11556</v>
      </c>
      <c r="E14" s="2596">
        <f>1915+469</f>
        <v>2384</v>
      </c>
      <c r="F14" s="2484"/>
      <c r="G14" s="2484"/>
      <c r="H14" s="2483" t="s">
        <v>11930</v>
      </c>
      <c r="I14" s="2483"/>
      <c r="J14" s="2" t="s">
        <v>11562</v>
      </c>
      <c r="L14" s="2">
        <f t="shared" si="0"/>
        <v>0.25</v>
      </c>
      <c r="T14" s="2" t="s">
        <v>14599</v>
      </c>
    </row>
    <row r="15" spans="1:20">
      <c r="A15" s="2" t="s">
        <v>99</v>
      </c>
      <c r="E15" s="2596">
        <v>1000</v>
      </c>
      <c r="F15" s="2483"/>
      <c r="G15" s="2483"/>
      <c r="H15" s="2483"/>
      <c r="I15" s="2483"/>
      <c r="L15" s="2">
        <f t="shared" si="0"/>
        <v>0.25</v>
      </c>
    </row>
    <row r="16" spans="1:20">
      <c r="A16" s="2" t="s">
        <v>11558</v>
      </c>
      <c r="C16" s="2678"/>
      <c r="E16" s="2596"/>
      <c r="F16" s="2484"/>
      <c r="G16" s="2484"/>
      <c r="H16" s="2483"/>
      <c r="I16" s="2483" t="s">
        <v>14837</v>
      </c>
      <c r="L16" s="2">
        <f t="shared" si="0"/>
        <v>0.25</v>
      </c>
    </row>
    <row r="17" spans="1:15">
      <c r="A17" s="2" t="s">
        <v>107</v>
      </c>
      <c r="C17" s="2" t="s">
        <v>14838</v>
      </c>
      <c r="E17" s="2596">
        <f>489+151</f>
        <v>640</v>
      </c>
      <c r="F17" s="2483"/>
      <c r="G17" s="2483"/>
      <c r="H17" s="2483" t="s">
        <v>11932</v>
      </c>
      <c r="I17" s="2483"/>
      <c r="L17" s="2">
        <f t="shared" si="0"/>
        <v>0.25</v>
      </c>
    </row>
    <row r="18" spans="1:15">
      <c r="A18" s="2" t="s">
        <v>1280</v>
      </c>
      <c r="C18" s="2" t="s">
        <v>119</v>
      </c>
      <c r="E18" s="2596" t="s">
        <v>11745</v>
      </c>
      <c r="F18" s="2483" t="s">
        <v>14743</v>
      </c>
      <c r="G18" s="2483"/>
      <c r="H18" s="2483" t="s">
        <v>11484</v>
      </c>
      <c r="I18" s="2483"/>
      <c r="L18" s="2">
        <f t="shared" si="0"/>
        <v>0.25</v>
      </c>
      <c r="M18" s="2">
        <v>1.8</v>
      </c>
      <c r="N18" s="2">
        <v>0.9</v>
      </c>
      <c r="O18" s="2">
        <v>2.7</v>
      </c>
    </row>
    <row r="19" spans="1:15">
      <c r="A19" s="2" t="s">
        <v>134</v>
      </c>
      <c r="E19" s="2596">
        <v>600</v>
      </c>
      <c r="F19" s="2483"/>
      <c r="G19" s="2483"/>
      <c r="H19" s="2483"/>
      <c r="I19" s="2483"/>
      <c r="L19" s="2">
        <f t="shared" si="0"/>
        <v>0.25</v>
      </c>
    </row>
    <row r="20" spans="1:15">
      <c r="A20" s="2" t="s">
        <v>150</v>
      </c>
      <c r="E20" s="2596">
        <v>1000</v>
      </c>
      <c r="F20" s="2483" t="s">
        <v>14742</v>
      </c>
      <c r="G20" s="2483"/>
      <c r="H20" s="2483"/>
      <c r="I20" s="2483"/>
      <c r="J20" s="2605" t="s">
        <v>11919</v>
      </c>
      <c r="L20" s="2">
        <f t="shared" si="0"/>
        <v>0.25</v>
      </c>
    </row>
    <row r="21" spans="1:15">
      <c r="A21" s="2" t="s">
        <v>159</v>
      </c>
      <c r="E21" s="2596" t="s">
        <v>14840</v>
      </c>
      <c r="F21" s="2483"/>
      <c r="G21" s="2483"/>
      <c r="H21" s="2483" t="s">
        <v>11935</v>
      </c>
      <c r="I21" s="2483"/>
      <c r="L21" s="2">
        <f t="shared" si="0"/>
        <v>0.25</v>
      </c>
    </row>
    <row r="22" spans="1:15">
      <c r="A22" s="2" t="s">
        <v>167</v>
      </c>
      <c r="E22" s="2596">
        <v>1100</v>
      </c>
      <c r="F22" s="2483"/>
      <c r="G22" s="2483"/>
      <c r="H22" s="2483"/>
      <c r="I22" s="2483"/>
      <c r="L22" s="2">
        <f t="shared" si="0"/>
        <v>0.25</v>
      </c>
    </row>
    <row r="23" spans="1:15">
      <c r="A23" s="2" t="s">
        <v>11903</v>
      </c>
      <c r="E23" s="2596"/>
      <c r="F23" s="2483" t="s">
        <v>14741</v>
      </c>
      <c r="G23" s="2483"/>
      <c r="H23" s="2483"/>
      <c r="I23" s="2483" t="s">
        <v>14736</v>
      </c>
      <c r="L23" s="2">
        <f t="shared" si="0"/>
        <v>0.25</v>
      </c>
    </row>
    <row r="24" spans="1:15">
      <c r="A24" s="2" t="s">
        <v>176</v>
      </c>
      <c r="E24" s="2596"/>
      <c r="F24" s="2483"/>
      <c r="G24" s="2483"/>
      <c r="H24" s="2483" t="s">
        <v>11936</v>
      </c>
      <c r="I24" s="10"/>
      <c r="L24" s="2">
        <f t="shared" si="0"/>
        <v>0.25</v>
      </c>
      <c r="M24" s="2">
        <v>3.1</v>
      </c>
      <c r="N24" s="2">
        <v>2.1</v>
      </c>
      <c r="O24" s="2">
        <v>5.0999999999999996</v>
      </c>
    </row>
    <row r="25" spans="1:15">
      <c r="A25" s="2" t="s">
        <v>184</v>
      </c>
      <c r="E25" s="2596">
        <v>800</v>
      </c>
      <c r="F25" s="2483"/>
      <c r="G25" s="2483"/>
      <c r="H25" s="2483"/>
      <c r="I25" s="2483"/>
      <c r="L25" s="2">
        <f t="shared" si="0"/>
        <v>0.25</v>
      </c>
    </row>
    <row r="26" spans="1:15">
      <c r="A26" s="2" t="s">
        <v>193</v>
      </c>
      <c r="E26" s="2596">
        <v>4000</v>
      </c>
      <c r="F26" s="2483" t="s">
        <v>14740</v>
      </c>
      <c r="G26" s="2483"/>
      <c r="H26" s="2483"/>
      <c r="I26" s="2483" t="s">
        <v>14739</v>
      </c>
      <c r="L26" s="2">
        <f t="shared" si="0"/>
        <v>0.25</v>
      </c>
    </row>
    <row r="27" spans="1:15">
      <c r="A27" s="2" t="s">
        <v>205</v>
      </c>
      <c r="E27" s="2596">
        <v>3000</v>
      </c>
      <c r="F27" s="2483"/>
      <c r="G27" s="2483"/>
      <c r="H27" s="2483"/>
      <c r="I27" s="2483"/>
      <c r="L27" s="2">
        <f t="shared" si="0"/>
        <v>0.25</v>
      </c>
    </row>
    <row r="28" spans="1:15">
      <c r="A28" s="2" t="s">
        <v>11560</v>
      </c>
      <c r="C28" s="2" t="s">
        <v>14839</v>
      </c>
      <c r="E28" s="2596">
        <v>50</v>
      </c>
      <c r="F28" s="2483"/>
      <c r="G28" s="2483"/>
      <c r="H28" s="2483"/>
      <c r="I28" s="2483"/>
      <c r="L28" s="2">
        <f t="shared" si="0"/>
        <v>0.25</v>
      </c>
    </row>
    <row r="29" spans="1:15">
      <c r="A29" s="2" t="s">
        <v>212</v>
      </c>
      <c r="C29" s="2" t="s">
        <v>14737</v>
      </c>
      <c r="E29" s="2596">
        <v>100</v>
      </c>
      <c r="F29" s="2661" t="s">
        <v>11901</v>
      </c>
      <c r="G29" s="2483"/>
      <c r="H29" s="2483"/>
      <c r="I29" s="2483"/>
      <c r="L29" s="2">
        <f t="shared" si="0"/>
        <v>0.25</v>
      </c>
    </row>
    <row r="30" spans="1:15">
      <c r="A30" s="2" t="s">
        <v>219</v>
      </c>
      <c r="E30" s="2596">
        <v>200</v>
      </c>
      <c r="F30" s="2679" t="s">
        <v>14666</v>
      </c>
      <c r="G30" s="2485"/>
      <c r="H30" s="2483"/>
      <c r="I30" s="2483" t="s">
        <v>14738</v>
      </c>
      <c r="J30" s="2" t="s">
        <v>11746</v>
      </c>
      <c r="L30" s="2">
        <f t="shared" si="0"/>
        <v>0.25</v>
      </c>
    </row>
    <row r="31" spans="1:15">
      <c r="A31" s="2" t="s">
        <v>224</v>
      </c>
      <c r="E31" s="2596">
        <v>400</v>
      </c>
      <c r="F31" s="2661"/>
      <c r="G31" s="2483"/>
      <c r="H31" s="2483"/>
      <c r="I31" s="2483"/>
      <c r="L31" s="2">
        <f t="shared" si="0"/>
        <v>0.25</v>
      </c>
    </row>
    <row r="32" spans="1:15">
      <c r="A32" s="2" t="s">
        <v>231</v>
      </c>
      <c r="E32" s="2596"/>
      <c r="F32" s="2661"/>
      <c r="G32" s="2483"/>
      <c r="H32" s="2483"/>
      <c r="I32" s="2483"/>
      <c r="L32" s="2">
        <f t="shared" si="0"/>
        <v>0.25</v>
      </c>
    </row>
    <row r="33" spans="1:12">
      <c r="A33" s="2" t="s">
        <v>14850</v>
      </c>
      <c r="E33" s="2596">
        <v>900</v>
      </c>
      <c r="F33" s="2661"/>
      <c r="G33" s="2483"/>
      <c r="H33" s="2483"/>
      <c r="I33" s="2483"/>
      <c r="L33" s="2">
        <f t="shared" si="0"/>
        <v>0.25</v>
      </c>
    </row>
    <row r="34" spans="1:12">
      <c r="A34" s="2" t="s">
        <v>242</v>
      </c>
      <c r="E34" s="2596">
        <v>600</v>
      </c>
      <c r="F34" s="2661"/>
      <c r="G34" s="2483"/>
      <c r="H34" s="2483"/>
      <c r="I34" s="2483"/>
      <c r="L34" s="2">
        <f t="shared" si="0"/>
        <v>0.25</v>
      </c>
    </row>
    <row r="35" spans="1:12">
      <c r="A35" s="2" t="s">
        <v>250</v>
      </c>
      <c r="E35" s="2596">
        <v>200</v>
      </c>
      <c r="F35" s="2661"/>
      <c r="G35" s="2483"/>
      <c r="H35" s="2483"/>
      <c r="I35" s="2483"/>
      <c r="L35" s="2">
        <f t="shared" si="0"/>
        <v>0.25</v>
      </c>
    </row>
    <row r="36" spans="1:12">
      <c r="A36" s="2" t="s">
        <v>255</v>
      </c>
      <c r="E36" s="2596">
        <v>1300</v>
      </c>
      <c r="F36" s="2661" t="s">
        <v>11905</v>
      </c>
      <c r="G36" s="2483"/>
      <c r="H36" s="2483"/>
      <c r="I36" s="2483"/>
      <c r="L36" s="2">
        <f t="shared" ref="L36:L67" si="1">0.25</f>
        <v>0.25</v>
      </c>
    </row>
    <row r="37" spans="1:12">
      <c r="A37" s="2" t="s">
        <v>11561</v>
      </c>
      <c r="C37" s="2" t="s">
        <v>11555</v>
      </c>
      <c r="E37" s="2596">
        <v>600</v>
      </c>
      <c r="F37" s="2661" t="s">
        <v>11906</v>
      </c>
      <c r="G37" s="2483"/>
      <c r="H37" s="2483"/>
      <c r="I37" s="2483"/>
      <c r="L37" s="2">
        <f t="shared" si="1"/>
        <v>0.25</v>
      </c>
    </row>
    <row r="38" spans="1:12">
      <c r="A38" s="2" t="s">
        <v>268</v>
      </c>
      <c r="E38" s="2596">
        <v>700</v>
      </c>
      <c r="F38" s="2483"/>
      <c r="G38" s="2483"/>
      <c r="H38" s="2483"/>
      <c r="I38" s="2483"/>
      <c r="L38" s="2">
        <f t="shared" si="1"/>
        <v>0.25</v>
      </c>
    </row>
    <row r="39" spans="1:12">
      <c r="A39" s="2" t="s">
        <v>277</v>
      </c>
      <c r="E39" s="2596">
        <v>400</v>
      </c>
      <c r="F39" s="2483"/>
      <c r="G39" s="2483"/>
      <c r="H39" s="2483"/>
      <c r="I39" s="2483"/>
      <c r="L39" s="2">
        <f t="shared" si="1"/>
        <v>0.25</v>
      </c>
    </row>
    <row r="40" spans="1:12">
      <c r="A40" s="2" t="s">
        <v>286</v>
      </c>
      <c r="E40" s="2596">
        <v>1400</v>
      </c>
      <c r="F40" s="2483"/>
      <c r="G40" s="2483"/>
      <c r="H40" s="2483"/>
      <c r="I40" s="2483"/>
      <c r="L40" s="2">
        <f t="shared" si="1"/>
        <v>0.25</v>
      </c>
    </row>
    <row r="41" spans="1:12">
      <c r="A41" s="2" t="s">
        <v>300</v>
      </c>
      <c r="C41" s="2" t="s">
        <v>11553</v>
      </c>
      <c r="E41" s="2596"/>
      <c r="F41" s="2483"/>
      <c r="G41" s="2483"/>
      <c r="H41" s="2483"/>
      <c r="I41" s="2483"/>
      <c r="L41" s="2">
        <f t="shared" si="1"/>
        <v>0.25</v>
      </c>
    </row>
    <row r="42" spans="1:12">
      <c r="E42" s="2596"/>
      <c r="F42" s="2483"/>
      <c r="G42" s="2483"/>
      <c r="H42" s="2483"/>
      <c r="I42" s="2483"/>
      <c r="L42" s="2">
        <f t="shared" si="1"/>
        <v>0.25</v>
      </c>
    </row>
    <row r="43" spans="1:12">
      <c r="A43" s="2" t="s">
        <v>11926</v>
      </c>
      <c r="E43" s="2596">
        <v>80</v>
      </c>
      <c r="F43" s="2483"/>
      <c r="G43" s="2483"/>
      <c r="H43" s="2483"/>
      <c r="I43" s="2483"/>
      <c r="L43" s="2">
        <f t="shared" si="1"/>
        <v>0.25</v>
      </c>
    </row>
    <row r="44" spans="1:12">
      <c r="A44" s="2" t="s">
        <v>307</v>
      </c>
      <c r="E44" s="2596">
        <v>38000</v>
      </c>
      <c r="F44" s="2483" t="s">
        <v>13649</v>
      </c>
      <c r="G44" s="2483"/>
      <c r="H44" s="2483"/>
      <c r="I44" s="2483"/>
      <c r="L44" s="2">
        <f t="shared" si="1"/>
        <v>0.25</v>
      </c>
    </row>
    <row r="45" spans="1:12">
      <c r="A45" s="2" t="s">
        <v>322</v>
      </c>
      <c r="E45" s="2596">
        <v>0</v>
      </c>
      <c r="F45" s="2483"/>
      <c r="G45" s="2483"/>
      <c r="H45" s="2483"/>
      <c r="I45" s="2483"/>
      <c r="L45" s="2">
        <f t="shared" si="1"/>
        <v>0.25</v>
      </c>
    </row>
    <row r="46" spans="1:12">
      <c r="A46" s="2" t="s">
        <v>336</v>
      </c>
      <c r="E46" s="2596">
        <v>300</v>
      </c>
      <c r="F46" s="2483"/>
      <c r="G46" s="2483"/>
      <c r="H46" s="2483"/>
      <c r="I46" s="2483"/>
      <c r="L46" s="2">
        <f t="shared" si="1"/>
        <v>0.25</v>
      </c>
    </row>
    <row r="47" spans="1:12">
      <c r="A47" s="2" t="s">
        <v>328</v>
      </c>
      <c r="E47" s="2596">
        <v>1200</v>
      </c>
      <c r="F47" s="2483"/>
      <c r="G47" s="2483"/>
      <c r="H47" s="2483"/>
      <c r="I47" s="2483"/>
      <c r="L47" s="2">
        <f t="shared" si="1"/>
        <v>0.25</v>
      </c>
    </row>
    <row r="48" spans="1:12">
      <c r="A48" s="2" t="s">
        <v>11902</v>
      </c>
      <c r="C48" s="2" t="s">
        <v>14821</v>
      </c>
      <c r="E48" s="2596"/>
      <c r="F48" s="2483" t="s">
        <v>14682</v>
      </c>
      <c r="G48" s="2483"/>
      <c r="H48" s="2483"/>
      <c r="I48" s="2483" t="s">
        <v>14820</v>
      </c>
      <c r="L48" s="2">
        <f t="shared" si="1"/>
        <v>0.25</v>
      </c>
    </row>
    <row r="49" spans="1:12">
      <c r="A49" s="2" t="s">
        <v>339</v>
      </c>
      <c r="E49" s="2596">
        <v>800</v>
      </c>
      <c r="F49" s="2483"/>
      <c r="G49" s="2483"/>
      <c r="H49" s="2483"/>
      <c r="I49" s="2483"/>
      <c r="L49" s="2">
        <f t="shared" si="1"/>
        <v>0.25</v>
      </c>
    </row>
    <row r="50" spans="1:12">
      <c r="A50" s="2" t="s">
        <v>351</v>
      </c>
      <c r="E50" s="2596">
        <v>600</v>
      </c>
      <c r="F50" s="2483"/>
      <c r="G50" s="2483"/>
      <c r="H50" s="2483"/>
      <c r="I50" s="2483"/>
      <c r="L50" s="2">
        <f t="shared" si="1"/>
        <v>0.25</v>
      </c>
    </row>
    <row r="51" spans="1:12">
      <c r="A51" s="2" t="s">
        <v>14822</v>
      </c>
      <c r="C51" s="2" t="s">
        <v>11555</v>
      </c>
      <c r="E51" s="2596">
        <v>400</v>
      </c>
      <c r="F51" s="2483"/>
      <c r="G51" s="2483"/>
      <c r="H51" s="2483"/>
      <c r="I51" s="2483"/>
      <c r="L51" s="2">
        <f t="shared" si="1"/>
        <v>0.25</v>
      </c>
    </row>
    <row r="52" spans="1:12">
      <c r="A52" s="2" t="s">
        <v>358</v>
      </c>
      <c r="E52" s="2596">
        <v>100</v>
      </c>
      <c r="F52" s="2483"/>
      <c r="G52" s="2483"/>
      <c r="H52" s="2483"/>
      <c r="I52" s="2483"/>
      <c r="L52" s="2">
        <f t="shared" si="1"/>
        <v>0.25</v>
      </c>
    </row>
    <row r="53" spans="1:12">
      <c r="A53" s="2" t="s">
        <v>367</v>
      </c>
      <c r="C53" s="2" t="s">
        <v>11555</v>
      </c>
      <c r="E53" s="2596">
        <v>600</v>
      </c>
      <c r="F53" s="2483"/>
      <c r="G53" s="2483"/>
      <c r="H53" s="2483"/>
      <c r="I53" s="2483"/>
      <c r="L53" s="2">
        <f t="shared" si="1"/>
        <v>0.25</v>
      </c>
    </row>
    <row r="54" spans="1:12">
      <c r="A54" s="2" t="s">
        <v>14598</v>
      </c>
      <c r="B54" s="2" t="s">
        <v>14599</v>
      </c>
      <c r="C54" s="2" t="s">
        <v>14600</v>
      </c>
      <c r="E54" s="2596"/>
      <c r="F54" s="2483" t="s">
        <v>14602</v>
      </c>
      <c r="G54" s="2483"/>
      <c r="H54" s="2483"/>
      <c r="I54" s="2661" t="s">
        <v>14601</v>
      </c>
      <c r="L54" s="2">
        <f t="shared" si="1"/>
        <v>0.25</v>
      </c>
    </row>
    <row r="55" spans="1:12">
      <c r="A55" s="2" t="s">
        <v>11928</v>
      </c>
      <c r="E55" s="2596"/>
      <c r="F55" s="2483"/>
      <c r="G55" s="2483"/>
      <c r="H55" s="2483"/>
      <c r="I55" s="2483"/>
      <c r="L55" s="2">
        <f t="shared" si="1"/>
        <v>0.25</v>
      </c>
    </row>
    <row r="56" spans="1:12">
      <c r="A56" s="2" t="s">
        <v>374</v>
      </c>
      <c r="E56" s="2596">
        <v>14000</v>
      </c>
      <c r="F56" s="2483"/>
      <c r="G56" s="2483"/>
      <c r="H56" s="2483"/>
      <c r="I56" s="2483"/>
      <c r="L56" s="2">
        <f t="shared" si="1"/>
        <v>0.25</v>
      </c>
    </row>
    <row r="57" spans="1:12">
      <c r="A57" s="2" t="s">
        <v>380</v>
      </c>
      <c r="E57" s="2596"/>
      <c r="F57" s="2483" t="s">
        <v>14898</v>
      </c>
      <c r="G57" s="2483"/>
      <c r="H57" s="2483"/>
      <c r="I57" s="2483" t="s">
        <v>14897</v>
      </c>
      <c r="L57" s="2">
        <f t="shared" si="1"/>
        <v>0.25</v>
      </c>
    </row>
    <row r="58" spans="1:12">
      <c r="A58" s="2" t="s">
        <v>11743</v>
      </c>
      <c r="E58" s="2596">
        <v>3000</v>
      </c>
      <c r="F58" s="2483"/>
      <c r="G58" s="2483"/>
      <c r="H58" s="2483"/>
      <c r="I58" s="2483"/>
      <c r="L58" s="2">
        <f t="shared" si="1"/>
        <v>0.25</v>
      </c>
    </row>
    <row r="59" spans="1:12">
      <c r="A59" s="2" t="s">
        <v>385</v>
      </c>
      <c r="E59" s="2596">
        <v>1100</v>
      </c>
      <c r="F59" s="2483" t="s">
        <v>14899</v>
      </c>
      <c r="G59" s="2483"/>
      <c r="H59" s="2483"/>
      <c r="I59" s="2483" t="s">
        <v>14900</v>
      </c>
      <c r="L59" s="2">
        <f t="shared" si="1"/>
        <v>0.25</v>
      </c>
    </row>
    <row r="60" spans="1:12">
      <c r="A60" s="2" t="s">
        <v>391</v>
      </c>
      <c r="E60" s="2596"/>
      <c r="F60" s="2483" t="s">
        <v>14741</v>
      </c>
      <c r="G60" s="2483"/>
      <c r="H60" s="2483"/>
      <c r="I60" s="2483" t="s">
        <v>14901</v>
      </c>
      <c r="L60" s="2">
        <f t="shared" si="1"/>
        <v>0.25</v>
      </c>
    </row>
    <row r="61" spans="1:12">
      <c r="A61" s="2" t="s">
        <v>398</v>
      </c>
      <c r="E61" s="2596"/>
      <c r="F61" s="2483"/>
      <c r="G61" s="2483"/>
      <c r="H61" s="2483"/>
      <c r="I61" s="2483"/>
      <c r="L61" s="2">
        <f t="shared" si="1"/>
        <v>0.25</v>
      </c>
    </row>
    <row r="62" spans="1:12">
      <c r="A62" s="2" t="s">
        <v>407</v>
      </c>
      <c r="E62" s="2596"/>
      <c r="F62" s="2483"/>
      <c r="G62" s="2483"/>
      <c r="H62" s="2483"/>
      <c r="I62" s="2483"/>
      <c r="L62" s="2">
        <f t="shared" si="1"/>
        <v>0.25</v>
      </c>
    </row>
    <row r="63" spans="1:12">
      <c r="A63" s="2" t="s">
        <v>11739</v>
      </c>
      <c r="E63" s="2596">
        <v>800</v>
      </c>
      <c r="F63" s="2483"/>
      <c r="G63" s="2483"/>
      <c r="H63" s="2483"/>
      <c r="I63" s="2483"/>
      <c r="L63" s="2">
        <f t="shared" si="1"/>
        <v>0.25</v>
      </c>
    </row>
    <row r="64" spans="1:12">
      <c r="A64" s="2" t="s">
        <v>415</v>
      </c>
      <c r="E64" s="2596">
        <v>125000</v>
      </c>
      <c r="F64" s="2483" t="s">
        <v>14744</v>
      </c>
      <c r="G64" s="2483"/>
      <c r="H64" s="2483"/>
      <c r="I64" s="2483"/>
      <c r="L64" s="2">
        <f t="shared" si="1"/>
        <v>0.25</v>
      </c>
    </row>
    <row r="65" spans="1:13">
      <c r="A65" s="2" t="s">
        <v>11927</v>
      </c>
      <c r="E65" s="2596">
        <v>1400</v>
      </c>
      <c r="F65" s="2483"/>
      <c r="G65" s="2483"/>
      <c r="H65" s="2483"/>
      <c r="I65" s="2483"/>
      <c r="L65" s="2">
        <f t="shared" si="1"/>
        <v>0.25</v>
      </c>
    </row>
    <row r="66" spans="1:13">
      <c r="A66" s="2" t="s">
        <v>11929</v>
      </c>
      <c r="E66" s="2596">
        <v>40000</v>
      </c>
      <c r="F66" s="2483"/>
      <c r="G66" s="2483"/>
      <c r="H66" s="2483"/>
      <c r="I66" s="2483"/>
      <c r="L66" s="2">
        <f t="shared" si="1"/>
        <v>0.25</v>
      </c>
    </row>
    <row r="67" spans="1:13">
      <c r="A67" s="2" t="s">
        <v>11836</v>
      </c>
      <c r="E67" s="2596"/>
      <c r="F67" s="2483"/>
      <c r="G67" s="2483"/>
      <c r="H67" s="2483"/>
      <c r="I67" s="2483"/>
      <c r="L67" s="2680">
        <f t="shared" si="1"/>
        <v>0.25</v>
      </c>
    </row>
    <row r="68" spans="1:13">
      <c r="A68" s="2" t="s">
        <v>461</v>
      </c>
      <c r="E68" s="2596">
        <v>2000</v>
      </c>
      <c r="F68" s="2483" t="s">
        <v>14597</v>
      </c>
      <c r="G68" s="2483"/>
      <c r="H68" s="2483"/>
      <c r="I68" s="2483"/>
      <c r="L68" s="2">
        <f t="shared" ref="L68:L77" si="2">0.25</f>
        <v>0.25</v>
      </c>
    </row>
    <row r="69" spans="1:13">
      <c r="A69" s="2" t="s">
        <v>467</v>
      </c>
      <c r="E69" s="2596">
        <v>0</v>
      </c>
      <c r="F69" s="2483"/>
      <c r="G69" s="2483"/>
      <c r="H69" s="2483"/>
      <c r="I69" s="2483"/>
      <c r="L69" s="2">
        <f t="shared" si="2"/>
        <v>0.25</v>
      </c>
    </row>
    <row r="70" spans="1:13">
      <c r="A70" s="2" t="s">
        <v>473</v>
      </c>
      <c r="E70" s="2596"/>
      <c r="F70" s="2483" t="s">
        <v>14675</v>
      </c>
      <c r="G70" s="2483"/>
      <c r="H70" s="2483"/>
      <c r="I70" s="2483" t="s">
        <v>14535</v>
      </c>
      <c r="L70" s="2">
        <f t="shared" si="2"/>
        <v>0.25</v>
      </c>
    </row>
    <row r="71" spans="1:13" ht="42.75">
      <c r="A71" s="2" t="s">
        <v>481</v>
      </c>
      <c r="E71" s="2596">
        <v>2000</v>
      </c>
      <c r="F71" s="2683" t="s">
        <v>14536</v>
      </c>
      <c r="G71" s="2483"/>
      <c r="H71" s="2483" t="s">
        <v>11925</v>
      </c>
      <c r="I71" s="2483" t="s">
        <v>14537</v>
      </c>
      <c r="L71" s="2">
        <f t="shared" si="2"/>
        <v>0.25</v>
      </c>
    </row>
    <row r="72" spans="1:13">
      <c r="A72" s="2" t="s">
        <v>489</v>
      </c>
      <c r="E72" s="2596">
        <v>4000</v>
      </c>
      <c r="F72" s="2483" t="s">
        <v>14539</v>
      </c>
      <c r="G72" s="2483"/>
      <c r="H72" s="2483"/>
      <c r="I72" s="2483" t="s">
        <v>14538</v>
      </c>
      <c r="L72" s="2">
        <f t="shared" si="2"/>
        <v>0.25</v>
      </c>
    </row>
    <row r="73" spans="1:13">
      <c r="A73" s="2" t="s">
        <v>500</v>
      </c>
      <c r="E73" s="2596">
        <v>500</v>
      </c>
      <c r="F73" s="2483"/>
      <c r="G73" s="2483"/>
      <c r="H73" s="2483"/>
      <c r="I73" s="2483"/>
      <c r="L73" s="2">
        <f t="shared" si="2"/>
        <v>0.25</v>
      </c>
    </row>
    <row r="74" spans="1:13">
      <c r="A74" s="2" t="s">
        <v>504</v>
      </c>
      <c r="E74" s="2596"/>
      <c r="F74" s="2483"/>
      <c r="G74" s="2483"/>
      <c r="H74" s="2483"/>
      <c r="I74" s="2483"/>
      <c r="L74" s="2">
        <f t="shared" si="2"/>
        <v>0.25</v>
      </c>
    </row>
    <row r="75" spans="1:13">
      <c r="A75" s="2" t="s">
        <v>507</v>
      </c>
      <c r="E75" s="2596">
        <v>1000</v>
      </c>
      <c r="F75" s="2483"/>
      <c r="G75" s="2483" t="s">
        <v>14816</v>
      </c>
      <c r="H75" s="2483"/>
      <c r="I75" s="2483"/>
      <c r="L75" s="2">
        <f t="shared" si="2"/>
        <v>0.25</v>
      </c>
      <c r="M75" s="2">
        <v>400</v>
      </c>
    </row>
    <row r="76" spans="1:13">
      <c r="A76" s="2" t="s">
        <v>14853</v>
      </c>
      <c r="E76" s="2596"/>
      <c r="F76" s="2483"/>
      <c r="G76" s="2483"/>
      <c r="H76" s="2483"/>
      <c r="I76" s="2483"/>
      <c r="L76" s="2">
        <f t="shared" si="2"/>
        <v>0.25</v>
      </c>
    </row>
    <row r="77" spans="1:13">
      <c r="E77" s="2482"/>
      <c r="F77" s="2483"/>
      <c r="G77" s="2483"/>
      <c r="H77" s="2483"/>
      <c r="I77" s="2483"/>
      <c r="L77" s="2680">
        <f t="shared" si="2"/>
        <v>0.25</v>
      </c>
    </row>
  </sheetData>
  <sortState xmlns:xlrd2="http://schemas.microsoft.com/office/spreadsheetml/2017/richdata2" ref="A4:A122">
    <sortCondition ref="A4"/>
  </sortState>
  <dataValidations count="2">
    <dataValidation type="list" allowBlank="1" showDropDown="1" showInputMessage="1" showErrorMessage="1" sqref="B77" xr:uid="{98525E15-9613-4DD3-A92B-3784B9C6AE8C}">
      <formula1>$T$4:$T$14</formula1>
    </dataValidation>
    <dataValidation type="list" allowBlank="1" showInputMessage="1" sqref="B4:B76 T14" xr:uid="{C561438E-65A5-4878-BC42-1B5060701043}">
      <formula1>$T$4:$T$14</formula1>
    </dataValidation>
  </dataValidations>
  <pageMargins left="0.7" right="0.7" top="0.75" bottom="0.75" header="0.3" footer="0.3"/>
  <legacyDrawing r:id="rId1"/>
  <tableParts count="2">
    <tablePart r:id="rId2"/>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B8588-E5BA-4673-886A-B6AD31741F5F}">
  <dimension ref="A1:M520"/>
  <sheetViews>
    <sheetView workbookViewId="0">
      <selection activeCell="C22" sqref="C22:C24"/>
    </sheetView>
  </sheetViews>
  <sheetFormatPr defaultRowHeight="14.25"/>
  <cols>
    <col min="1" max="3" width="8.88671875" style="1"/>
  </cols>
  <sheetData>
    <row r="1" spans="1:13">
      <c r="A1" s="1" t="s">
        <v>14542</v>
      </c>
      <c r="D1" s="4" t="s">
        <v>8</v>
      </c>
      <c r="F1" t="s">
        <v>1410</v>
      </c>
    </row>
    <row r="2" spans="1:13">
      <c r="D2" s="4" t="s">
        <v>464</v>
      </c>
      <c r="F2" t="s">
        <v>1411</v>
      </c>
    </row>
    <row r="3" spans="1:13">
      <c r="D3" s="4" t="s">
        <v>201</v>
      </c>
      <c r="F3" t="s">
        <v>1412</v>
      </c>
    </row>
    <row r="4" spans="1:13">
      <c r="D4" s="4" t="s">
        <v>32</v>
      </c>
    </row>
    <row r="5" spans="1:13">
      <c r="D5" s="4" t="s">
        <v>228</v>
      </c>
      <c r="F5" t="s">
        <v>1</v>
      </c>
      <c r="G5" t="s">
        <v>2</v>
      </c>
      <c r="H5" t="s">
        <v>3</v>
      </c>
      <c r="J5" t="s">
        <v>4</v>
      </c>
    </row>
    <row r="6" spans="1:13">
      <c r="D6" s="4" t="s">
        <v>147</v>
      </c>
      <c r="F6" t="s">
        <v>5</v>
      </c>
      <c r="G6" t="s">
        <v>6</v>
      </c>
      <c r="H6" t="s">
        <v>7</v>
      </c>
      <c r="I6" t="s">
        <v>8</v>
      </c>
      <c r="J6" t="s">
        <v>9</v>
      </c>
      <c r="K6" t="s">
        <v>10</v>
      </c>
      <c r="L6" t="s">
        <v>11</v>
      </c>
      <c r="M6" t="s">
        <v>12</v>
      </c>
    </row>
    <row r="7" spans="1:13">
      <c r="D7" s="4" t="s">
        <v>470</v>
      </c>
      <c r="F7" t="s">
        <v>13</v>
      </c>
      <c r="H7" t="s">
        <v>14</v>
      </c>
      <c r="I7" t="s">
        <v>15</v>
      </c>
      <c r="J7" t="s">
        <v>16</v>
      </c>
      <c r="K7" t="s">
        <v>1413</v>
      </c>
      <c r="L7" s="24">
        <v>43831</v>
      </c>
      <c r="M7" s="24">
        <v>43863</v>
      </c>
    </row>
    <row r="8" spans="1:13">
      <c r="D8" s="4" t="s">
        <v>349</v>
      </c>
      <c r="F8" t="s">
        <v>17</v>
      </c>
      <c r="H8" t="s">
        <v>18</v>
      </c>
      <c r="I8" t="s">
        <v>19</v>
      </c>
      <c r="J8" t="s">
        <v>20</v>
      </c>
    </row>
    <row r="9" spans="1:13">
      <c r="D9" s="4" t="s">
        <v>264</v>
      </c>
      <c r="K9" t="s">
        <v>1414</v>
      </c>
    </row>
    <row r="10" spans="1:13">
      <c r="D10" s="4" t="s">
        <v>383</v>
      </c>
      <c r="F10" s="1"/>
      <c r="G10" s="1"/>
      <c r="H10" s="1"/>
      <c r="I10" s="1"/>
      <c r="J10" s="1"/>
      <c r="K10" s="1"/>
      <c r="L10" s="1"/>
      <c r="M10" s="1"/>
    </row>
    <row r="11" spans="1:13">
      <c r="D11" s="4" t="s">
        <v>503</v>
      </c>
      <c r="K11" t="s">
        <v>1415</v>
      </c>
    </row>
    <row r="12" spans="1:13">
      <c r="D12" s="4" t="s">
        <v>155</v>
      </c>
      <c r="K12" t="s">
        <v>1416</v>
      </c>
    </row>
    <row r="13" spans="1:13">
      <c r="D13" s="4" t="s">
        <v>261</v>
      </c>
      <c r="K13" t="s">
        <v>1417</v>
      </c>
    </row>
    <row r="14" spans="1:13">
      <c r="D14" s="4" t="s">
        <v>203</v>
      </c>
      <c r="F14" t="s">
        <v>21</v>
      </c>
      <c r="H14" t="s">
        <v>22</v>
      </c>
      <c r="I14" t="s">
        <v>23</v>
      </c>
      <c r="J14" t="s">
        <v>24</v>
      </c>
    </row>
    <row r="15" spans="1:13">
      <c r="D15" s="4" t="s">
        <v>485</v>
      </c>
      <c r="F15" t="s">
        <v>25</v>
      </c>
      <c r="H15" t="s">
        <v>26</v>
      </c>
      <c r="I15" t="s">
        <v>27</v>
      </c>
      <c r="J15" t="s">
        <v>28</v>
      </c>
    </row>
    <row r="16" spans="1:13">
      <c r="D16" s="4" t="s">
        <v>479</v>
      </c>
      <c r="H16" t="s">
        <v>29</v>
      </c>
      <c r="I16" t="s">
        <v>30</v>
      </c>
    </row>
    <row r="17" spans="4:13">
      <c r="D17" s="4" t="s">
        <v>273</v>
      </c>
      <c r="F17" s="1"/>
      <c r="G17" s="1"/>
      <c r="H17" s="1"/>
      <c r="I17" s="1"/>
      <c r="J17" s="1"/>
      <c r="K17" s="1"/>
      <c r="L17" s="1"/>
      <c r="M17" s="1"/>
    </row>
    <row r="18" spans="4:13">
      <c r="D18" s="4" t="s">
        <v>397</v>
      </c>
      <c r="H18" t="s">
        <v>31</v>
      </c>
      <c r="I18" t="s">
        <v>32</v>
      </c>
    </row>
    <row r="19" spans="4:13">
      <c r="D19" s="4" t="s">
        <v>81</v>
      </c>
      <c r="H19" t="s">
        <v>33</v>
      </c>
      <c r="I19" t="s">
        <v>34</v>
      </c>
    </row>
    <row r="20" spans="4:13">
      <c r="D20" s="4" t="s">
        <v>141</v>
      </c>
      <c r="F20" s="1"/>
      <c r="G20" s="1"/>
      <c r="H20" s="1"/>
      <c r="I20" s="1"/>
      <c r="J20" s="1"/>
      <c r="K20" s="1"/>
      <c r="L20" s="1"/>
      <c r="M20" s="1"/>
    </row>
    <row r="21" spans="4:13">
      <c r="D21" s="4" t="s">
        <v>298</v>
      </c>
      <c r="F21" s="1"/>
      <c r="G21" s="1"/>
      <c r="H21" s="1"/>
      <c r="I21" s="1"/>
      <c r="J21" s="1"/>
      <c r="K21" s="1"/>
      <c r="L21" s="1"/>
      <c r="M21" s="1"/>
    </row>
    <row r="22" spans="4:13">
      <c r="D22" s="4" t="s">
        <v>295</v>
      </c>
      <c r="H22" t="s">
        <v>35</v>
      </c>
      <c r="K22" t="s">
        <v>36</v>
      </c>
    </row>
    <row r="23" spans="4:13">
      <c r="D23" s="4" t="s">
        <v>175</v>
      </c>
      <c r="H23" t="s">
        <v>37</v>
      </c>
    </row>
    <row r="24" spans="4:13">
      <c r="D24" s="4" t="s">
        <v>70</v>
      </c>
      <c r="H24" t="s">
        <v>38</v>
      </c>
    </row>
    <row r="25" spans="4:13">
      <c r="D25" s="4" t="s">
        <v>115</v>
      </c>
      <c r="F25" s="1"/>
      <c r="G25" s="1"/>
      <c r="H25" s="1"/>
      <c r="I25" s="1"/>
      <c r="J25" s="1"/>
      <c r="K25" s="1"/>
      <c r="L25" s="1"/>
      <c r="M25" s="1"/>
    </row>
    <row r="26" spans="4:13">
      <c r="D26" s="4" t="s">
        <v>209</v>
      </c>
      <c r="H26" t="s">
        <v>39</v>
      </c>
    </row>
    <row r="27" spans="4:13">
      <c r="D27" s="4" t="s">
        <v>117</v>
      </c>
      <c r="H27" t="s">
        <v>40</v>
      </c>
    </row>
    <row r="28" spans="4:13">
      <c r="D28" s="4" t="s">
        <v>182</v>
      </c>
      <c r="H28" t="s">
        <v>41</v>
      </c>
    </row>
    <row r="29" spans="4:13">
      <c r="D29" s="4" t="s">
        <v>128</v>
      </c>
    </row>
    <row r="30" spans="4:13">
      <c r="D30" s="4" t="s">
        <v>204</v>
      </c>
      <c r="F30" t="s">
        <v>42</v>
      </c>
      <c r="G30" t="s">
        <v>2</v>
      </c>
      <c r="J30" t="s">
        <v>4</v>
      </c>
    </row>
    <row r="31" spans="4:13">
      <c r="D31" s="4" t="s">
        <v>355</v>
      </c>
      <c r="F31" t="s">
        <v>5</v>
      </c>
      <c r="G31" t="s">
        <v>43</v>
      </c>
      <c r="H31" t="s">
        <v>7</v>
      </c>
      <c r="I31" t="s">
        <v>8</v>
      </c>
      <c r="J31" t="s">
        <v>44</v>
      </c>
      <c r="K31" t="s">
        <v>10</v>
      </c>
      <c r="L31" t="s">
        <v>11</v>
      </c>
      <c r="M31" t="s">
        <v>12</v>
      </c>
    </row>
    <row r="32" spans="4:13">
      <c r="D32" s="4" t="s">
        <v>350</v>
      </c>
      <c r="F32" t="s">
        <v>45</v>
      </c>
      <c r="H32" t="s">
        <v>46</v>
      </c>
      <c r="I32" t="s">
        <v>47</v>
      </c>
      <c r="J32" t="s">
        <v>48</v>
      </c>
      <c r="K32" s="24">
        <v>43923</v>
      </c>
      <c r="L32" s="25">
        <v>31048</v>
      </c>
      <c r="M32" s="24">
        <v>43954</v>
      </c>
    </row>
    <row r="33" spans="4:13">
      <c r="D33" s="4" t="s">
        <v>520</v>
      </c>
      <c r="F33" s="1"/>
      <c r="G33" s="1"/>
      <c r="H33" s="1"/>
      <c r="I33" s="1"/>
      <c r="J33" s="1"/>
      <c r="K33" s="24"/>
      <c r="L33" s="25"/>
      <c r="M33" s="24"/>
    </row>
    <row r="34" spans="4:13">
      <c r="D34" s="4" t="s">
        <v>493</v>
      </c>
      <c r="F34" s="1"/>
      <c r="G34" s="1"/>
      <c r="H34" s="1"/>
      <c r="I34" s="1"/>
      <c r="J34" s="1"/>
      <c r="K34" s="24"/>
      <c r="L34" s="25"/>
      <c r="M34" s="24"/>
    </row>
    <row r="35" spans="4:13">
      <c r="D35" s="4" t="s">
        <v>419</v>
      </c>
      <c r="F35" t="s">
        <v>49</v>
      </c>
      <c r="G35" t="s">
        <v>50</v>
      </c>
      <c r="J35" t="s">
        <v>51</v>
      </c>
    </row>
    <row r="36" spans="4:13">
      <c r="D36" s="4" t="s">
        <v>106</v>
      </c>
    </row>
    <row r="37" spans="4:13">
      <c r="D37" s="4" t="s">
        <v>395</v>
      </c>
    </row>
    <row r="38" spans="4:13">
      <c r="D38" s="4" t="s">
        <v>23</v>
      </c>
    </row>
    <row r="39" spans="4:13">
      <c r="D39" s="4" t="s">
        <v>327</v>
      </c>
      <c r="F39" s="1"/>
      <c r="G39" s="1"/>
      <c r="H39" s="1"/>
      <c r="I39" s="1"/>
      <c r="J39" s="1"/>
      <c r="K39" s="1"/>
      <c r="L39" s="1"/>
      <c r="M39" s="1"/>
    </row>
    <row r="40" spans="4:13">
      <c r="D40" s="4" t="s">
        <v>254</v>
      </c>
      <c r="F40" t="s">
        <v>52</v>
      </c>
      <c r="G40" t="s">
        <v>2</v>
      </c>
      <c r="H40" t="s">
        <v>53</v>
      </c>
      <c r="J40" t="s">
        <v>4</v>
      </c>
    </row>
    <row r="41" spans="4:13">
      <c r="D41" s="4" t="s">
        <v>165</v>
      </c>
      <c r="F41" t="s">
        <v>5</v>
      </c>
      <c r="G41" t="s">
        <v>54</v>
      </c>
      <c r="H41" t="s">
        <v>7</v>
      </c>
      <c r="I41" t="s">
        <v>8</v>
      </c>
      <c r="J41">
        <v>345</v>
      </c>
      <c r="K41" t="s">
        <v>10</v>
      </c>
      <c r="L41" t="s">
        <v>11</v>
      </c>
      <c r="M41" t="s">
        <v>12</v>
      </c>
    </row>
    <row r="42" spans="4:13">
      <c r="D42" s="4" t="s">
        <v>477</v>
      </c>
      <c r="F42" t="s">
        <v>55</v>
      </c>
      <c r="I42" t="s">
        <v>56</v>
      </c>
      <c r="K42" s="24">
        <v>43832</v>
      </c>
      <c r="L42" t="s">
        <v>1418</v>
      </c>
      <c r="M42" s="24">
        <v>43837</v>
      </c>
    </row>
    <row r="43" spans="4:13">
      <c r="D43" s="4" t="s">
        <v>47</v>
      </c>
      <c r="F43" t="s">
        <v>57</v>
      </c>
      <c r="I43" t="s">
        <v>58</v>
      </c>
    </row>
    <row r="44" spans="4:13">
      <c r="D44" s="4" t="s">
        <v>131</v>
      </c>
      <c r="F44" s="1"/>
      <c r="G44" s="1"/>
      <c r="H44" s="1"/>
      <c r="I44" s="1"/>
      <c r="J44" s="1"/>
      <c r="K44" s="1"/>
      <c r="L44" s="1"/>
      <c r="M44" s="1"/>
    </row>
    <row r="45" spans="4:13">
      <c r="D45" s="4" t="s">
        <v>56</v>
      </c>
    </row>
    <row r="46" spans="4:13">
      <c r="D46" s="4" t="s">
        <v>95</v>
      </c>
    </row>
    <row r="47" spans="4:13">
      <c r="D47" s="4" t="s">
        <v>299</v>
      </c>
      <c r="F47" t="s">
        <v>59</v>
      </c>
      <c r="G47" t="s">
        <v>2</v>
      </c>
      <c r="J47" t="s">
        <v>4</v>
      </c>
    </row>
    <row r="48" spans="4:13">
      <c r="D48" s="4" t="s">
        <v>63</v>
      </c>
      <c r="F48" t="s">
        <v>5</v>
      </c>
      <c r="G48" t="s">
        <v>60</v>
      </c>
      <c r="H48" t="s">
        <v>7</v>
      </c>
      <c r="I48" t="s">
        <v>8</v>
      </c>
      <c r="J48">
        <v>356</v>
      </c>
      <c r="K48" t="s">
        <v>10</v>
      </c>
      <c r="L48" t="s">
        <v>11</v>
      </c>
      <c r="M48" t="s">
        <v>12</v>
      </c>
    </row>
    <row r="49" spans="4:13">
      <c r="D49" s="4" t="s">
        <v>516</v>
      </c>
      <c r="F49" s="1"/>
      <c r="G49" s="1"/>
      <c r="H49" s="1"/>
      <c r="I49" s="1"/>
      <c r="J49" s="1"/>
      <c r="K49" s="1"/>
      <c r="L49" s="1"/>
      <c r="M49" s="1"/>
    </row>
    <row r="50" spans="4:13">
      <c r="D50" s="4" t="s">
        <v>275</v>
      </c>
      <c r="F50" t="s">
        <v>61</v>
      </c>
      <c r="H50" t="s">
        <v>62</v>
      </c>
      <c r="I50" t="s">
        <v>63</v>
      </c>
      <c r="K50" s="24">
        <v>43892</v>
      </c>
      <c r="L50" s="24">
        <v>44075</v>
      </c>
      <c r="M50" s="24">
        <v>43954</v>
      </c>
    </row>
    <row r="51" spans="4:13">
      <c r="D51" s="4" t="s">
        <v>267</v>
      </c>
    </row>
    <row r="52" spans="4:13">
      <c r="D52" s="4" t="s">
        <v>369</v>
      </c>
      <c r="F52" s="1"/>
      <c r="G52" s="1"/>
      <c r="H52" s="1"/>
      <c r="I52" s="1"/>
      <c r="J52" s="1"/>
      <c r="K52" s="1"/>
      <c r="L52" s="1"/>
      <c r="M52" s="1"/>
    </row>
    <row r="53" spans="4:13">
      <c r="D53" s="4" t="s">
        <v>372</v>
      </c>
    </row>
    <row r="54" spans="4:13">
      <c r="D54" s="4" t="s">
        <v>282</v>
      </c>
    </row>
    <row r="55" spans="4:13">
      <c r="D55" s="4" t="s">
        <v>74</v>
      </c>
      <c r="F55" t="s">
        <v>64</v>
      </c>
      <c r="G55" t="s">
        <v>2</v>
      </c>
      <c r="H55" t="s">
        <v>65</v>
      </c>
      <c r="J55" t="s">
        <v>4</v>
      </c>
    </row>
    <row r="56" spans="4:13">
      <c r="D56" s="4" t="s">
        <v>27</v>
      </c>
      <c r="F56" s="1"/>
      <c r="G56" s="1"/>
      <c r="H56" s="1"/>
      <c r="I56" s="1"/>
      <c r="J56" s="1"/>
      <c r="K56" s="1"/>
      <c r="L56" s="1"/>
      <c r="M56" s="1"/>
    </row>
    <row r="57" spans="4:13">
      <c r="D57" s="4" t="s">
        <v>345</v>
      </c>
      <c r="F57" t="s">
        <v>5</v>
      </c>
      <c r="G57" t="s">
        <v>66</v>
      </c>
      <c r="H57" t="s">
        <v>7</v>
      </c>
      <c r="I57" t="s">
        <v>8</v>
      </c>
      <c r="J57">
        <v>875</v>
      </c>
      <c r="K57" t="s">
        <v>10</v>
      </c>
      <c r="L57" t="s">
        <v>11</v>
      </c>
      <c r="M57" t="s">
        <v>12</v>
      </c>
    </row>
    <row r="58" spans="4:13">
      <c r="D58" s="4" t="s">
        <v>230</v>
      </c>
      <c r="F58" t="s">
        <v>67</v>
      </c>
      <c r="H58" t="s">
        <v>1419</v>
      </c>
      <c r="I58" t="s">
        <v>68</v>
      </c>
      <c r="K58" s="24">
        <v>43832</v>
      </c>
      <c r="L58" s="24">
        <v>43832</v>
      </c>
      <c r="M58" s="24">
        <v>44076</v>
      </c>
    </row>
    <row r="59" spans="4:13">
      <c r="D59" s="4" t="s">
        <v>326</v>
      </c>
      <c r="F59" s="1"/>
      <c r="G59" s="1"/>
      <c r="H59" s="1"/>
      <c r="I59" s="1"/>
      <c r="J59" s="1"/>
      <c r="K59" s="24"/>
      <c r="L59" s="24"/>
      <c r="M59" s="24"/>
    </row>
    <row r="60" spans="4:13">
      <c r="D60" s="4" t="s">
        <v>471</v>
      </c>
      <c r="F60" s="1"/>
      <c r="G60" s="1"/>
      <c r="H60" s="1"/>
      <c r="I60" s="1"/>
      <c r="J60" s="1"/>
      <c r="K60" s="24"/>
      <c r="L60" s="24"/>
      <c r="M60" s="24"/>
    </row>
    <row r="61" spans="4:13">
      <c r="D61" s="4" t="s">
        <v>144</v>
      </c>
      <c r="H61" t="s">
        <v>69</v>
      </c>
      <c r="I61" t="s">
        <v>70</v>
      </c>
    </row>
    <row r="62" spans="4:13">
      <c r="D62" s="4" t="s">
        <v>130</v>
      </c>
      <c r="H62" t="s">
        <v>71</v>
      </c>
      <c r="I62" t="s">
        <v>72</v>
      </c>
    </row>
    <row r="63" spans="4:13">
      <c r="D63" s="4" t="s">
        <v>306</v>
      </c>
      <c r="H63" t="s">
        <v>73</v>
      </c>
      <c r="I63" t="s">
        <v>74</v>
      </c>
    </row>
    <row r="64" spans="4:13">
      <c r="D64" s="4" t="s">
        <v>518</v>
      </c>
      <c r="H64" t="s">
        <v>75</v>
      </c>
    </row>
    <row r="65" spans="4:13">
      <c r="D65" s="4" t="s">
        <v>154</v>
      </c>
    </row>
    <row r="66" spans="4:13">
      <c r="D66" s="4" t="s">
        <v>488</v>
      </c>
      <c r="F66" t="s">
        <v>76</v>
      </c>
      <c r="G66" t="s">
        <v>2</v>
      </c>
      <c r="H66" t="s">
        <v>77</v>
      </c>
      <c r="J66" t="s">
        <v>4</v>
      </c>
    </row>
    <row r="67" spans="4:13">
      <c r="D67" s="4" t="s">
        <v>15</v>
      </c>
      <c r="G67" t="s">
        <v>78</v>
      </c>
      <c r="H67" t="s">
        <v>7</v>
      </c>
      <c r="I67" t="s">
        <v>8</v>
      </c>
      <c r="J67">
        <v>436</v>
      </c>
      <c r="K67" t="s">
        <v>10</v>
      </c>
      <c r="L67" t="s">
        <v>11</v>
      </c>
      <c r="M67" t="s">
        <v>12</v>
      </c>
    </row>
    <row r="68" spans="4:13">
      <c r="D68" s="4" t="s">
        <v>356</v>
      </c>
      <c r="F68" t="s">
        <v>79</v>
      </c>
      <c r="H68" t="s">
        <v>80</v>
      </c>
      <c r="I68" t="s">
        <v>81</v>
      </c>
      <c r="K68" s="24">
        <v>44014</v>
      </c>
      <c r="L68" s="24">
        <v>44044</v>
      </c>
      <c r="M68" s="24">
        <v>43985</v>
      </c>
    </row>
    <row r="69" spans="4:13">
      <c r="D69" s="4" t="s">
        <v>469</v>
      </c>
      <c r="I69" t="s">
        <v>82</v>
      </c>
    </row>
    <row r="70" spans="4:13">
      <c r="D70" s="4" t="s">
        <v>513</v>
      </c>
    </row>
    <row r="71" spans="4:13">
      <c r="D71" s="4" t="s">
        <v>30</v>
      </c>
    </row>
    <row r="72" spans="4:13">
      <c r="D72" s="4" t="s">
        <v>218</v>
      </c>
      <c r="F72" t="s">
        <v>83</v>
      </c>
      <c r="G72" t="s">
        <v>2</v>
      </c>
      <c r="H72" t="s">
        <v>84</v>
      </c>
      <c r="J72" t="s">
        <v>4</v>
      </c>
    </row>
    <row r="73" spans="4:13">
      <c r="D73" s="4" t="s">
        <v>396</v>
      </c>
      <c r="G73" t="s">
        <v>85</v>
      </c>
      <c r="H73" t="s">
        <v>7</v>
      </c>
      <c r="I73" t="s">
        <v>8</v>
      </c>
      <c r="J73">
        <v>1177</v>
      </c>
      <c r="K73" t="s">
        <v>10</v>
      </c>
      <c r="L73" t="s">
        <v>11</v>
      </c>
      <c r="M73" t="s">
        <v>12</v>
      </c>
    </row>
    <row r="74" spans="4:13">
      <c r="D74" s="4" t="s">
        <v>189</v>
      </c>
      <c r="F74" t="s">
        <v>86</v>
      </c>
      <c r="K74" s="24">
        <v>43862</v>
      </c>
      <c r="L74" s="24">
        <v>43952</v>
      </c>
      <c r="M74" s="24">
        <v>44076</v>
      </c>
    </row>
    <row r="75" spans="4:13">
      <c r="D75" s="4" t="s">
        <v>249</v>
      </c>
      <c r="F75" t="s">
        <v>87</v>
      </c>
    </row>
    <row r="76" spans="4:13">
      <c r="D76" s="4" t="s">
        <v>149</v>
      </c>
      <c r="F76" t="s">
        <v>88</v>
      </c>
    </row>
    <row r="77" spans="4:13">
      <c r="D77" s="4" t="s">
        <v>239</v>
      </c>
    </row>
    <row r="78" spans="4:13">
      <c r="D78" s="4" t="s">
        <v>378</v>
      </c>
    </row>
    <row r="79" spans="4:13">
      <c r="D79" s="4" t="s">
        <v>172</v>
      </c>
      <c r="F79" t="s">
        <v>89</v>
      </c>
      <c r="G79" t="s">
        <v>2</v>
      </c>
      <c r="H79" t="s">
        <v>90</v>
      </c>
      <c r="J79" t="s">
        <v>4</v>
      </c>
    </row>
    <row r="80" spans="4:13">
      <c r="D80" s="4" t="s">
        <v>384</v>
      </c>
      <c r="G80" t="s">
        <v>91</v>
      </c>
      <c r="H80" t="s">
        <v>7</v>
      </c>
      <c r="I80" t="s">
        <v>8</v>
      </c>
      <c r="J80" t="s">
        <v>92</v>
      </c>
      <c r="K80" t="s">
        <v>10</v>
      </c>
      <c r="L80" t="s">
        <v>11</v>
      </c>
      <c r="M80" t="s">
        <v>12</v>
      </c>
    </row>
    <row r="81" spans="4:13">
      <c r="D81" s="1"/>
      <c r="F81" t="s">
        <v>93</v>
      </c>
      <c r="H81" t="s">
        <v>94</v>
      </c>
      <c r="I81" t="s">
        <v>95</v>
      </c>
      <c r="J81" t="s">
        <v>96</v>
      </c>
      <c r="K81" s="24">
        <v>43832</v>
      </c>
      <c r="L81" s="24">
        <v>44075</v>
      </c>
      <c r="M81" s="24">
        <v>43834</v>
      </c>
    </row>
    <row r="82" spans="4:13">
      <c r="D82" s="4" t="s">
        <v>365</v>
      </c>
      <c r="H82" t="s">
        <v>97</v>
      </c>
      <c r="I82" t="s">
        <v>98</v>
      </c>
    </row>
    <row r="83" spans="4:13">
      <c r="D83" s="4" t="s">
        <v>373</v>
      </c>
    </row>
    <row r="84" spans="4:13">
      <c r="D84" s="4" t="s">
        <v>223</v>
      </c>
    </row>
    <row r="85" spans="4:13">
      <c r="D85" s="4" t="s">
        <v>389</v>
      </c>
      <c r="F85" t="s">
        <v>99</v>
      </c>
      <c r="G85" t="s">
        <v>2</v>
      </c>
      <c r="H85" t="s">
        <v>100</v>
      </c>
      <c r="J85" t="s">
        <v>4</v>
      </c>
    </row>
    <row r="86" spans="4:13">
      <c r="D86" s="4" t="s">
        <v>198</v>
      </c>
      <c r="G86" t="s">
        <v>101</v>
      </c>
      <c r="H86" t="s">
        <v>7</v>
      </c>
      <c r="I86" t="s">
        <v>8</v>
      </c>
      <c r="J86" t="s">
        <v>102</v>
      </c>
      <c r="K86" t="s">
        <v>10</v>
      </c>
      <c r="L86" t="s">
        <v>11</v>
      </c>
      <c r="M86" t="s">
        <v>12</v>
      </c>
    </row>
    <row r="87" spans="4:13">
      <c r="D87" s="4" t="s">
        <v>125</v>
      </c>
      <c r="F87" t="s">
        <v>103</v>
      </c>
      <c r="I87" t="s">
        <v>104</v>
      </c>
      <c r="J87" t="s">
        <v>105</v>
      </c>
      <c r="K87" s="24">
        <v>43831</v>
      </c>
      <c r="L87" t="s">
        <v>1413</v>
      </c>
      <c r="M87" s="24">
        <v>43985</v>
      </c>
    </row>
    <row r="88" spans="4:13">
      <c r="D88" s="4" t="s">
        <v>216</v>
      </c>
      <c r="I88" t="s">
        <v>106</v>
      </c>
    </row>
    <row r="89" spans="4:13">
      <c r="D89" s="4" t="s">
        <v>236</v>
      </c>
    </row>
    <row r="90" spans="4:13">
      <c r="D90" s="4" t="s">
        <v>480</v>
      </c>
    </row>
    <row r="91" spans="4:13">
      <c r="D91" s="4" t="s">
        <v>293</v>
      </c>
      <c r="F91" t="s">
        <v>107</v>
      </c>
      <c r="G91" t="s">
        <v>2</v>
      </c>
      <c r="H91" t="s">
        <v>108</v>
      </c>
      <c r="J91" t="s">
        <v>4</v>
      </c>
    </row>
    <row r="92" spans="4:13">
      <c r="D92" s="4" t="s">
        <v>334</v>
      </c>
      <c r="G92" t="s">
        <v>109</v>
      </c>
      <c r="H92" t="s">
        <v>7</v>
      </c>
      <c r="I92" t="s">
        <v>8</v>
      </c>
      <c r="J92" t="s">
        <v>110</v>
      </c>
      <c r="K92" t="s">
        <v>10</v>
      </c>
      <c r="L92" t="s">
        <v>11</v>
      </c>
      <c r="M92" t="s">
        <v>12</v>
      </c>
    </row>
    <row r="93" spans="4:13">
      <c r="D93" s="4" t="s">
        <v>246</v>
      </c>
      <c r="F93" t="s">
        <v>111</v>
      </c>
      <c r="H93" t="s">
        <v>112</v>
      </c>
      <c r="I93" t="s">
        <v>113</v>
      </c>
      <c r="J93" t="s">
        <v>114</v>
      </c>
      <c r="K93" s="24">
        <v>44044</v>
      </c>
      <c r="L93" t="s">
        <v>1413</v>
      </c>
      <c r="M93" s="24">
        <v>44014</v>
      </c>
    </row>
    <row r="94" spans="4:13">
      <c r="D94" s="4" t="s">
        <v>98</v>
      </c>
      <c r="F94" t="s">
        <v>61</v>
      </c>
      <c r="H94" t="s">
        <v>62</v>
      </c>
      <c r="I94" t="s">
        <v>115</v>
      </c>
    </row>
    <row r="95" spans="4:13">
      <c r="D95" s="4" t="s">
        <v>320</v>
      </c>
      <c r="H95" t="s">
        <v>14</v>
      </c>
      <c r="I95" t="s">
        <v>116</v>
      </c>
    </row>
    <row r="96" spans="4:13">
      <c r="D96" s="4" t="s">
        <v>325</v>
      </c>
      <c r="H96" t="s">
        <v>18</v>
      </c>
      <c r="I96" t="s">
        <v>117</v>
      </c>
    </row>
    <row r="97" spans="4:13">
      <c r="D97" s="4" t="s">
        <v>1295</v>
      </c>
      <c r="H97" t="s">
        <v>22</v>
      </c>
    </row>
    <row r="98" spans="4:13">
      <c r="D98" s="4" t="s">
        <v>357</v>
      </c>
      <c r="H98" t="s">
        <v>26</v>
      </c>
    </row>
    <row r="99" spans="4:13">
      <c r="D99" s="4" t="s">
        <v>296</v>
      </c>
      <c r="H99" t="s">
        <v>29</v>
      </c>
    </row>
    <row r="100" spans="4:13">
      <c r="D100" s="4" t="s">
        <v>472</v>
      </c>
      <c r="H100" t="s">
        <v>31</v>
      </c>
    </row>
    <row r="101" spans="4:13">
      <c r="D101" s="4" t="s">
        <v>371</v>
      </c>
      <c r="H101" t="s">
        <v>33</v>
      </c>
    </row>
    <row r="102" spans="4:13">
      <c r="D102" s="4" t="s">
        <v>390</v>
      </c>
      <c r="H102" t="s">
        <v>35</v>
      </c>
    </row>
    <row r="103" spans="4:13">
      <c r="D103" s="4" t="s">
        <v>297</v>
      </c>
      <c r="H103" t="s">
        <v>37</v>
      </c>
    </row>
    <row r="104" spans="4:13">
      <c r="D104" s="4" t="s">
        <v>284</v>
      </c>
      <c r="H104" t="s">
        <v>38</v>
      </c>
    </row>
    <row r="105" spans="4:13">
      <c r="D105" s="4" t="s">
        <v>333</v>
      </c>
      <c r="H105" t="s">
        <v>39</v>
      </c>
    </row>
    <row r="106" spans="4:13">
      <c r="D106" s="4" t="s">
        <v>146</v>
      </c>
      <c r="H106" t="s">
        <v>40</v>
      </c>
    </row>
    <row r="107" spans="4:13">
      <c r="D107" s="4" t="s">
        <v>404</v>
      </c>
      <c r="H107" t="s">
        <v>41</v>
      </c>
    </row>
    <row r="108" spans="4:13">
      <c r="D108" s="4" t="s">
        <v>180</v>
      </c>
    </row>
    <row r="109" spans="4:13">
      <c r="D109" s="4" t="s">
        <v>113</v>
      </c>
      <c r="F109" t="s">
        <v>118</v>
      </c>
      <c r="G109" t="s">
        <v>2</v>
      </c>
      <c r="H109" t="s">
        <v>119</v>
      </c>
      <c r="J109" t="s">
        <v>4</v>
      </c>
    </row>
    <row r="110" spans="4:13">
      <c r="D110" s="4" t="s">
        <v>82</v>
      </c>
      <c r="G110" t="s">
        <v>120</v>
      </c>
      <c r="H110" t="s">
        <v>7</v>
      </c>
      <c r="I110" t="s">
        <v>8</v>
      </c>
      <c r="J110" t="s">
        <v>121</v>
      </c>
      <c r="K110" t="s">
        <v>10</v>
      </c>
      <c r="L110" t="s">
        <v>11</v>
      </c>
      <c r="M110" t="s">
        <v>12</v>
      </c>
    </row>
    <row r="111" spans="4:13">
      <c r="D111" s="4" t="s">
        <v>276</v>
      </c>
      <c r="F111" t="s">
        <v>122</v>
      </c>
      <c r="G111" t="s">
        <v>123</v>
      </c>
      <c r="H111" t="s">
        <v>124</v>
      </c>
      <c r="I111" t="s">
        <v>125</v>
      </c>
      <c r="J111" t="s">
        <v>126</v>
      </c>
      <c r="K111" s="24">
        <v>43983</v>
      </c>
      <c r="L111" s="24">
        <v>43862</v>
      </c>
      <c r="M111" s="24">
        <v>44078</v>
      </c>
    </row>
    <row r="112" spans="4:13">
      <c r="D112" s="4" t="s">
        <v>116</v>
      </c>
      <c r="F112" t="s">
        <v>127</v>
      </c>
      <c r="H112" t="s">
        <v>62</v>
      </c>
      <c r="I112" t="s">
        <v>128</v>
      </c>
      <c r="K112" t="s">
        <v>1414</v>
      </c>
    </row>
    <row r="113" spans="4:13">
      <c r="D113" s="4" t="s">
        <v>335</v>
      </c>
      <c r="K113" t="s">
        <v>1415</v>
      </c>
    </row>
    <row r="114" spans="4:13">
      <c r="D114" s="4" t="s">
        <v>315</v>
      </c>
      <c r="K114" t="s">
        <v>1420</v>
      </c>
    </row>
    <row r="115" spans="4:13">
      <c r="D115" s="4" t="s">
        <v>259</v>
      </c>
      <c r="F115" t="s">
        <v>93</v>
      </c>
      <c r="H115" t="s">
        <v>129</v>
      </c>
      <c r="I115" t="s">
        <v>130</v>
      </c>
    </row>
    <row r="116" spans="4:13">
      <c r="D116" s="4" t="s">
        <v>248</v>
      </c>
      <c r="F116" t="s">
        <v>111</v>
      </c>
      <c r="I116" t="s">
        <v>131</v>
      </c>
    </row>
    <row r="117" spans="4:13">
      <c r="D117" s="4" t="s">
        <v>291</v>
      </c>
      <c r="F117" t="s">
        <v>132</v>
      </c>
    </row>
    <row r="118" spans="4:13">
      <c r="D118" s="4" t="s">
        <v>285</v>
      </c>
      <c r="F118" t="s">
        <v>133</v>
      </c>
    </row>
    <row r="119" spans="4:13">
      <c r="D119" s="4" t="s">
        <v>312</v>
      </c>
      <c r="F119" t="s">
        <v>61</v>
      </c>
    </row>
    <row r="120" spans="4:13">
      <c r="D120" s="4" t="s">
        <v>317</v>
      </c>
    </row>
    <row r="121" spans="4:13">
      <c r="D121" s="4" t="s">
        <v>229</v>
      </c>
    </row>
    <row r="122" spans="4:13">
      <c r="D122" s="4" t="s">
        <v>139</v>
      </c>
    </row>
    <row r="123" spans="4:13">
      <c r="D123" s="4" t="s">
        <v>191</v>
      </c>
      <c r="F123" t="s">
        <v>134</v>
      </c>
      <c r="G123" t="s">
        <v>2</v>
      </c>
      <c r="H123" t="s">
        <v>135</v>
      </c>
      <c r="J123" t="s">
        <v>4</v>
      </c>
    </row>
    <row r="124" spans="4:13">
      <c r="D124" s="4" t="s">
        <v>34</v>
      </c>
      <c r="G124" t="s">
        <v>136</v>
      </c>
      <c r="H124" t="s">
        <v>7</v>
      </c>
      <c r="I124" t="s">
        <v>8</v>
      </c>
      <c r="J124" t="s">
        <v>137</v>
      </c>
      <c r="K124" t="s">
        <v>10</v>
      </c>
      <c r="L124" t="s">
        <v>11</v>
      </c>
      <c r="M124" t="s">
        <v>12</v>
      </c>
    </row>
    <row r="125" spans="4:13">
      <c r="D125" s="4" t="s">
        <v>363</v>
      </c>
      <c r="F125" t="s">
        <v>13</v>
      </c>
      <c r="H125" t="s">
        <v>138</v>
      </c>
      <c r="I125" t="s">
        <v>139</v>
      </c>
      <c r="J125" t="s">
        <v>105</v>
      </c>
      <c r="K125" s="24">
        <v>43891</v>
      </c>
      <c r="L125" s="24">
        <v>43983</v>
      </c>
      <c r="M125" s="24">
        <v>43864</v>
      </c>
    </row>
    <row r="126" spans="4:13">
      <c r="D126" s="4" t="s">
        <v>157</v>
      </c>
      <c r="H126" t="s">
        <v>140</v>
      </c>
      <c r="I126" t="s">
        <v>141</v>
      </c>
      <c r="J126" t="s">
        <v>142</v>
      </c>
      <c r="K126" t="s">
        <v>143</v>
      </c>
    </row>
    <row r="127" spans="4:13">
      <c r="D127" s="4" t="s">
        <v>68</v>
      </c>
      <c r="I127" t="s">
        <v>144</v>
      </c>
      <c r="J127" t="s">
        <v>145</v>
      </c>
      <c r="K127" t="s">
        <v>1414</v>
      </c>
    </row>
    <row r="128" spans="4:13">
      <c r="D128" s="4" t="s">
        <v>158</v>
      </c>
      <c r="K128" t="s">
        <v>1415</v>
      </c>
    </row>
    <row r="129" spans="4:13">
      <c r="D129" s="4" t="s">
        <v>104</v>
      </c>
      <c r="K129" t="s">
        <v>1420</v>
      </c>
    </row>
    <row r="130" spans="4:13">
      <c r="D130" s="4" t="s">
        <v>502</v>
      </c>
      <c r="I130" t="s">
        <v>146</v>
      </c>
    </row>
    <row r="131" spans="4:13">
      <c r="D131" s="4" t="s">
        <v>72</v>
      </c>
      <c r="I131" t="s">
        <v>147</v>
      </c>
    </row>
    <row r="132" spans="4:13">
      <c r="D132" s="4" t="s">
        <v>58</v>
      </c>
      <c r="I132" t="s">
        <v>148</v>
      </c>
    </row>
    <row r="133" spans="4:13">
      <c r="D133" s="4" t="s">
        <v>192</v>
      </c>
      <c r="I133" t="s">
        <v>149</v>
      </c>
    </row>
    <row r="134" spans="4:13">
      <c r="D134" s="4" t="s">
        <v>348</v>
      </c>
    </row>
    <row r="135" spans="4:13">
      <c r="D135" s="4" t="s">
        <v>19</v>
      </c>
      <c r="F135" t="s">
        <v>150</v>
      </c>
      <c r="G135" t="s">
        <v>2</v>
      </c>
      <c r="H135" t="s">
        <v>151</v>
      </c>
      <c r="J135" t="s">
        <v>4</v>
      </c>
    </row>
    <row r="136" spans="4:13">
      <c r="D136" s="4" t="s">
        <v>222</v>
      </c>
      <c r="G136" t="s">
        <v>152</v>
      </c>
      <c r="H136" t="s">
        <v>7</v>
      </c>
      <c r="I136" t="s">
        <v>8</v>
      </c>
      <c r="J136">
        <v>1425</v>
      </c>
      <c r="K136" t="s">
        <v>10</v>
      </c>
      <c r="L136" t="s">
        <v>11</v>
      </c>
      <c r="M136" t="s">
        <v>12</v>
      </c>
    </row>
    <row r="137" spans="4:13">
      <c r="F137" t="s">
        <v>111</v>
      </c>
      <c r="H137" t="s">
        <v>153</v>
      </c>
      <c r="I137" t="s">
        <v>154</v>
      </c>
      <c r="K137" t="s">
        <v>1413</v>
      </c>
      <c r="L137" s="24">
        <v>43831</v>
      </c>
      <c r="M137" s="24">
        <v>43863</v>
      </c>
    </row>
    <row r="138" spans="4:13">
      <c r="F138" t="s">
        <v>25</v>
      </c>
      <c r="I138" t="s">
        <v>155</v>
      </c>
    </row>
    <row r="139" spans="4:13">
      <c r="K139" t="s">
        <v>1414</v>
      </c>
    </row>
    <row r="140" spans="4:13">
      <c r="K140" t="s">
        <v>1415</v>
      </c>
    </row>
    <row r="141" spans="4:13">
      <c r="K141" t="s">
        <v>1420</v>
      </c>
    </row>
    <row r="142" spans="4:13">
      <c r="F142" t="s">
        <v>156</v>
      </c>
      <c r="I142" t="s">
        <v>157</v>
      </c>
    </row>
    <row r="143" spans="4:13">
      <c r="I143" t="s">
        <v>158</v>
      </c>
    </row>
    <row r="147" spans="6:13">
      <c r="F147" t="s">
        <v>159</v>
      </c>
      <c r="G147" t="s">
        <v>2</v>
      </c>
      <c r="H147" t="s">
        <v>160</v>
      </c>
      <c r="J147" t="s">
        <v>4</v>
      </c>
    </row>
    <row r="148" spans="6:13">
      <c r="G148" t="s">
        <v>161</v>
      </c>
      <c r="H148" t="s">
        <v>7</v>
      </c>
      <c r="I148" t="s">
        <v>8</v>
      </c>
      <c r="J148" t="s">
        <v>162</v>
      </c>
      <c r="K148" t="s">
        <v>10</v>
      </c>
      <c r="L148" t="s">
        <v>11</v>
      </c>
      <c r="M148" t="s">
        <v>12</v>
      </c>
    </row>
    <row r="149" spans="6:13">
      <c r="F149" t="s">
        <v>163</v>
      </c>
      <c r="H149" t="s">
        <v>164</v>
      </c>
      <c r="I149" t="s">
        <v>165</v>
      </c>
      <c r="J149" t="s">
        <v>166</v>
      </c>
      <c r="K149" s="24">
        <v>43833</v>
      </c>
      <c r="L149" s="24">
        <v>43832</v>
      </c>
      <c r="M149" s="24">
        <v>43835</v>
      </c>
    </row>
    <row r="153" spans="6:13">
      <c r="F153" t="s">
        <v>167</v>
      </c>
      <c r="G153" t="s">
        <v>2</v>
      </c>
      <c r="H153" t="s">
        <v>168</v>
      </c>
      <c r="J153" t="s">
        <v>4</v>
      </c>
    </row>
    <row r="154" spans="6:13">
      <c r="G154" t="s">
        <v>169</v>
      </c>
      <c r="H154" t="s">
        <v>7</v>
      </c>
      <c r="I154" t="s">
        <v>8</v>
      </c>
      <c r="J154" t="s">
        <v>170</v>
      </c>
      <c r="K154" t="s">
        <v>10</v>
      </c>
      <c r="L154" t="s">
        <v>11</v>
      </c>
      <c r="M154" t="s">
        <v>12</v>
      </c>
    </row>
    <row r="155" spans="6:13">
      <c r="H155" t="s">
        <v>171</v>
      </c>
      <c r="I155" t="s">
        <v>172</v>
      </c>
      <c r="J155" t="s">
        <v>173</v>
      </c>
      <c r="K155" t="s">
        <v>1413</v>
      </c>
      <c r="L155" t="s">
        <v>1421</v>
      </c>
      <c r="M155" s="24">
        <v>43892</v>
      </c>
    </row>
    <row r="156" spans="6:13">
      <c r="H156" t="s">
        <v>174</v>
      </c>
      <c r="I156" t="s">
        <v>175</v>
      </c>
      <c r="K156" t="s">
        <v>1422</v>
      </c>
    </row>
    <row r="157" spans="6:13">
      <c r="K157" t="s">
        <v>1423</v>
      </c>
    </row>
    <row r="158" spans="6:13">
      <c r="K158" t="s">
        <v>1420</v>
      </c>
    </row>
    <row r="165" spans="6:13">
      <c r="F165" t="s">
        <v>176</v>
      </c>
      <c r="G165" t="s">
        <v>2</v>
      </c>
      <c r="H165" t="s">
        <v>177</v>
      </c>
      <c r="J165" t="s">
        <v>4</v>
      </c>
    </row>
    <row r="166" spans="6:13">
      <c r="G166" t="s">
        <v>178</v>
      </c>
      <c r="H166" t="s">
        <v>7</v>
      </c>
      <c r="I166" t="s">
        <v>8</v>
      </c>
      <c r="J166" t="s">
        <v>179</v>
      </c>
      <c r="K166" t="s">
        <v>10</v>
      </c>
      <c r="L166" t="s">
        <v>11</v>
      </c>
      <c r="M166" t="s">
        <v>12</v>
      </c>
    </row>
    <row r="167" spans="6:13">
      <c r="I167" t="s">
        <v>180</v>
      </c>
      <c r="J167" t="s">
        <v>181</v>
      </c>
      <c r="K167" s="24">
        <v>43833</v>
      </c>
      <c r="L167" s="24">
        <v>43832</v>
      </c>
      <c r="M167" s="24">
        <v>43835</v>
      </c>
    </row>
    <row r="168" spans="6:13">
      <c r="I168" t="s">
        <v>182</v>
      </c>
      <c r="J168" t="s">
        <v>183</v>
      </c>
      <c r="K168" t="s">
        <v>1424</v>
      </c>
    </row>
    <row r="172" spans="6:13">
      <c r="F172" t="s">
        <v>184</v>
      </c>
      <c r="G172" t="s">
        <v>2</v>
      </c>
      <c r="H172" t="s">
        <v>185</v>
      </c>
      <c r="J172" t="s">
        <v>4</v>
      </c>
    </row>
    <row r="173" spans="6:13">
      <c r="G173" t="s">
        <v>186</v>
      </c>
      <c r="H173" t="s">
        <v>7</v>
      </c>
      <c r="I173" t="s">
        <v>8</v>
      </c>
      <c r="J173" t="s">
        <v>187</v>
      </c>
      <c r="K173" t="s">
        <v>10</v>
      </c>
      <c r="L173" t="s">
        <v>11</v>
      </c>
      <c r="M173" t="s">
        <v>12</v>
      </c>
    </row>
    <row r="174" spans="6:13">
      <c r="F174" t="s">
        <v>188</v>
      </c>
      <c r="I174" t="s">
        <v>189</v>
      </c>
      <c r="J174" t="s">
        <v>190</v>
      </c>
      <c r="K174" s="24">
        <v>44014</v>
      </c>
      <c r="L174" s="24">
        <v>44075</v>
      </c>
      <c r="M174" s="24">
        <v>43896</v>
      </c>
    </row>
    <row r="175" spans="6:13">
      <c r="I175" t="s">
        <v>191</v>
      </c>
    </row>
    <row r="176" spans="6:13">
      <c r="I176" t="s">
        <v>192</v>
      </c>
    </row>
    <row r="179" spans="6:13">
      <c r="F179" t="s">
        <v>193</v>
      </c>
      <c r="G179" t="s">
        <v>2</v>
      </c>
      <c r="H179" t="s">
        <v>194</v>
      </c>
      <c r="J179" t="s">
        <v>4</v>
      </c>
    </row>
    <row r="180" spans="6:13">
      <c r="G180" t="s">
        <v>195</v>
      </c>
      <c r="H180" t="s">
        <v>7</v>
      </c>
      <c r="I180" t="s">
        <v>8</v>
      </c>
      <c r="J180" t="s">
        <v>196</v>
      </c>
      <c r="K180" t="s">
        <v>10</v>
      </c>
      <c r="L180" t="s">
        <v>11</v>
      </c>
      <c r="M180" t="s">
        <v>12</v>
      </c>
    </row>
    <row r="181" spans="6:13">
      <c r="F181" t="s">
        <v>197</v>
      </c>
      <c r="I181" t="s">
        <v>198</v>
      </c>
      <c r="J181" t="s">
        <v>199</v>
      </c>
      <c r="K181" s="24">
        <v>44076</v>
      </c>
      <c r="L181" s="24">
        <v>43832</v>
      </c>
      <c r="M181" s="24">
        <v>43865</v>
      </c>
    </row>
    <row r="182" spans="6:13">
      <c r="F182" t="s">
        <v>200</v>
      </c>
      <c r="I182" t="s">
        <v>201</v>
      </c>
      <c r="J182" t="s">
        <v>202</v>
      </c>
      <c r="K182" t="s">
        <v>1425</v>
      </c>
    </row>
    <row r="183" spans="6:13">
      <c r="K183" t="s">
        <v>1426</v>
      </c>
    </row>
    <row r="184" spans="6:13">
      <c r="K184" t="s">
        <v>1420</v>
      </c>
    </row>
    <row r="185" spans="6:13">
      <c r="I185" t="s">
        <v>203</v>
      </c>
    </row>
    <row r="186" spans="6:13">
      <c r="I186" t="s">
        <v>204</v>
      </c>
    </row>
    <row r="191" spans="6:13">
      <c r="F191" t="s">
        <v>205</v>
      </c>
      <c r="G191" t="s">
        <v>2</v>
      </c>
      <c r="H191" t="s">
        <v>206</v>
      </c>
      <c r="J191" t="s">
        <v>4</v>
      </c>
    </row>
    <row r="192" spans="6:13">
      <c r="G192" t="s">
        <v>207</v>
      </c>
      <c r="H192" t="s">
        <v>7</v>
      </c>
      <c r="I192" t="s">
        <v>8</v>
      </c>
      <c r="J192">
        <v>4286</v>
      </c>
      <c r="K192" t="s">
        <v>10</v>
      </c>
      <c r="L192" t="s">
        <v>11</v>
      </c>
      <c r="M192" t="s">
        <v>12</v>
      </c>
    </row>
    <row r="193" spans="6:13">
      <c r="F193" t="s">
        <v>208</v>
      </c>
      <c r="I193" t="s">
        <v>209</v>
      </c>
      <c r="K193" s="24">
        <v>44076</v>
      </c>
      <c r="L193" s="24">
        <v>43832</v>
      </c>
      <c r="M193" s="24">
        <v>43865</v>
      </c>
    </row>
    <row r="194" spans="6:13">
      <c r="F194" t="s">
        <v>210</v>
      </c>
    </row>
    <row r="195" spans="6:13">
      <c r="F195" t="s">
        <v>211</v>
      </c>
    </row>
    <row r="199" spans="6:13">
      <c r="F199" t="s">
        <v>212</v>
      </c>
      <c r="G199" t="s">
        <v>2</v>
      </c>
      <c r="H199" t="s">
        <v>213</v>
      </c>
      <c r="J199" t="s">
        <v>4</v>
      </c>
    </row>
    <row r="200" spans="6:13">
      <c r="G200" t="s">
        <v>1427</v>
      </c>
      <c r="H200" t="s">
        <v>7</v>
      </c>
      <c r="I200" t="s">
        <v>8</v>
      </c>
      <c r="J200">
        <v>7500</v>
      </c>
      <c r="K200" t="s">
        <v>10</v>
      </c>
      <c r="L200" t="s">
        <v>11</v>
      </c>
      <c r="M200" t="s">
        <v>12</v>
      </c>
    </row>
    <row r="201" spans="6:13">
      <c r="F201" t="s">
        <v>214</v>
      </c>
      <c r="G201" t="s">
        <v>215</v>
      </c>
      <c r="I201" t="s">
        <v>216</v>
      </c>
      <c r="K201" s="24">
        <v>44076</v>
      </c>
      <c r="L201" s="24">
        <v>43832</v>
      </c>
      <c r="M201" s="24">
        <v>43865</v>
      </c>
    </row>
    <row r="202" spans="6:13">
      <c r="F202" t="s">
        <v>217</v>
      </c>
      <c r="I202" t="s">
        <v>218</v>
      </c>
    </row>
    <row r="206" spans="6:13">
      <c r="F206" t="s">
        <v>219</v>
      </c>
      <c r="G206" t="s">
        <v>2</v>
      </c>
      <c r="H206" t="s">
        <v>220</v>
      </c>
      <c r="J206" t="s">
        <v>4</v>
      </c>
    </row>
    <row r="207" spans="6:13">
      <c r="G207" t="s">
        <v>221</v>
      </c>
      <c r="H207" t="s">
        <v>7</v>
      </c>
      <c r="I207" t="s">
        <v>8</v>
      </c>
      <c r="J207">
        <v>747</v>
      </c>
      <c r="K207" t="s">
        <v>10</v>
      </c>
      <c r="L207" t="s">
        <v>11</v>
      </c>
      <c r="M207" t="s">
        <v>12</v>
      </c>
    </row>
    <row r="208" spans="6:13">
      <c r="I208" t="s">
        <v>222</v>
      </c>
      <c r="K208" s="24">
        <v>44076</v>
      </c>
      <c r="L208" s="24">
        <v>43832</v>
      </c>
      <c r="M208" s="24">
        <v>43865</v>
      </c>
    </row>
    <row r="209" spans="6:13">
      <c r="I209" t="s">
        <v>223</v>
      </c>
    </row>
    <row r="212" spans="6:13">
      <c r="F212" t="s">
        <v>224</v>
      </c>
      <c r="G212" t="s">
        <v>2</v>
      </c>
      <c r="H212" t="s">
        <v>225</v>
      </c>
      <c r="J212" t="s">
        <v>4</v>
      </c>
    </row>
    <row r="213" spans="6:13">
      <c r="G213" t="s">
        <v>226</v>
      </c>
      <c r="H213" t="s">
        <v>7</v>
      </c>
      <c r="I213" t="s">
        <v>8</v>
      </c>
      <c r="J213">
        <v>924</v>
      </c>
      <c r="K213" t="s">
        <v>10</v>
      </c>
      <c r="L213" t="s">
        <v>11</v>
      </c>
      <c r="M213" t="s">
        <v>12</v>
      </c>
    </row>
    <row r="214" spans="6:13">
      <c r="F214" t="s">
        <v>227</v>
      </c>
      <c r="I214" t="s">
        <v>228</v>
      </c>
      <c r="K214" t="s">
        <v>1413</v>
      </c>
      <c r="L214" t="s">
        <v>1421</v>
      </c>
      <c r="M214" s="24">
        <v>43892</v>
      </c>
    </row>
    <row r="215" spans="6:13">
      <c r="I215" t="s">
        <v>229</v>
      </c>
      <c r="K215" t="s">
        <v>1425</v>
      </c>
    </row>
    <row r="216" spans="6:13">
      <c r="K216" t="s">
        <v>1426</v>
      </c>
    </row>
    <row r="217" spans="6:13">
      <c r="K217" t="s">
        <v>1420</v>
      </c>
    </row>
    <row r="218" spans="6:13">
      <c r="I218" t="s">
        <v>230</v>
      </c>
    </row>
    <row r="223" spans="6:13">
      <c r="F223" t="s">
        <v>231</v>
      </c>
      <c r="G223" t="s">
        <v>2</v>
      </c>
      <c r="H223" t="s">
        <v>232</v>
      </c>
      <c r="J223" t="s">
        <v>4</v>
      </c>
    </row>
    <row r="224" spans="6:13">
      <c r="G224" t="s">
        <v>233</v>
      </c>
      <c r="H224" t="s">
        <v>7</v>
      </c>
      <c r="I224" t="s">
        <v>8</v>
      </c>
      <c r="J224" t="s">
        <v>234</v>
      </c>
      <c r="K224" t="s">
        <v>10</v>
      </c>
      <c r="L224" t="s">
        <v>11</v>
      </c>
      <c r="M224" t="s">
        <v>12</v>
      </c>
    </row>
    <row r="225" spans="6:13">
      <c r="F225" t="s">
        <v>235</v>
      </c>
      <c r="I225" t="s">
        <v>236</v>
      </c>
      <c r="J225" t="s">
        <v>237</v>
      </c>
      <c r="K225" s="24">
        <v>43832</v>
      </c>
      <c r="L225" s="25">
        <v>31048</v>
      </c>
      <c r="M225" s="24">
        <v>44076</v>
      </c>
    </row>
    <row r="226" spans="6:13">
      <c r="F226" t="s">
        <v>238</v>
      </c>
      <c r="I226" t="s">
        <v>239</v>
      </c>
    </row>
    <row r="227" spans="6:13">
      <c r="F227" t="s">
        <v>240</v>
      </c>
    </row>
    <row r="228" spans="6:13">
      <c r="F228" t="s">
        <v>241</v>
      </c>
    </row>
    <row r="231" spans="6:13">
      <c r="F231" t="s">
        <v>242</v>
      </c>
      <c r="G231" t="s">
        <v>2</v>
      </c>
      <c r="J231" t="s">
        <v>4</v>
      </c>
    </row>
    <row r="232" spans="6:13">
      <c r="G232" t="s">
        <v>243</v>
      </c>
      <c r="H232" t="s">
        <v>7</v>
      </c>
      <c r="I232" t="s">
        <v>8</v>
      </c>
      <c r="J232">
        <v>689</v>
      </c>
      <c r="K232" t="s">
        <v>10</v>
      </c>
      <c r="L232" t="s">
        <v>11</v>
      </c>
      <c r="M232" t="s">
        <v>12</v>
      </c>
    </row>
    <row r="233" spans="6:13">
      <c r="F233" t="s">
        <v>244</v>
      </c>
      <c r="H233" t="s">
        <v>245</v>
      </c>
      <c r="I233" t="s">
        <v>246</v>
      </c>
      <c r="K233" s="24">
        <v>43833</v>
      </c>
      <c r="L233" s="24">
        <v>43922</v>
      </c>
      <c r="M233" s="24">
        <v>43954</v>
      </c>
    </row>
    <row r="234" spans="6:13">
      <c r="F234" t="s">
        <v>247</v>
      </c>
      <c r="I234" t="s">
        <v>248</v>
      </c>
    </row>
    <row r="235" spans="6:13">
      <c r="I235" t="s">
        <v>249</v>
      </c>
    </row>
    <row r="237" spans="6:13">
      <c r="F237" t="s">
        <v>250</v>
      </c>
      <c r="G237" t="s">
        <v>2</v>
      </c>
      <c r="H237" t="s">
        <v>251</v>
      </c>
      <c r="J237" t="s">
        <v>4</v>
      </c>
    </row>
    <row r="238" spans="6:13">
      <c r="G238" t="s">
        <v>252</v>
      </c>
      <c r="H238" t="s">
        <v>7</v>
      </c>
      <c r="I238" t="s">
        <v>8</v>
      </c>
      <c r="J238">
        <v>378</v>
      </c>
      <c r="K238" t="s">
        <v>10</v>
      </c>
      <c r="L238" t="s">
        <v>11</v>
      </c>
      <c r="M238" t="s">
        <v>12</v>
      </c>
    </row>
    <row r="239" spans="6:13">
      <c r="F239" t="s">
        <v>253</v>
      </c>
      <c r="I239" t="s">
        <v>254</v>
      </c>
      <c r="K239" s="24">
        <v>44014</v>
      </c>
      <c r="L239" s="24">
        <v>44075</v>
      </c>
      <c r="M239" s="24">
        <v>43896</v>
      </c>
    </row>
    <row r="242" spans="6:13">
      <c r="F242" t="s">
        <v>255</v>
      </c>
      <c r="G242" t="s">
        <v>2</v>
      </c>
      <c r="H242" t="s">
        <v>256</v>
      </c>
      <c r="J242" t="s">
        <v>4</v>
      </c>
    </row>
    <row r="243" spans="6:13">
      <c r="G243" t="s">
        <v>257</v>
      </c>
      <c r="H243" t="s">
        <v>7</v>
      </c>
      <c r="I243" t="s">
        <v>8</v>
      </c>
      <c r="J243">
        <v>8794</v>
      </c>
      <c r="K243" t="s">
        <v>10</v>
      </c>
      <c r="L243" t="s">
        <v>11</v>
      </c>
      <c r="M243" t="s">
        <v>12</v>
      </c>
    </row>
    <row r="244" spans="6:13">
      <c r="F244" t="s">
        <v>258</v>
      </c>
      <c r="H244" t="s">
        <v>62</v>
      </c>
      <c r="I244" t="s">
        <v>259</v>
      </c>
      <c r="K244" t="s">
        <v>1428</v>
      </c>
      <c r="L244" t="s">
        <v>1421</v>
      </c>
      <c r="M244" s="24">
        <v>44075</v>
      </c>
    </row>
    <row r="245" spans="6:13">
      <c r="F245" t="s">
        <v>111</v>
      </c>
      <c r="H245" t="s">
        <v>260</v>
      </c>
      <c r="I245" t="s">
        <v>261</v>
      </c>
      <c r="K245" t="s">
        <v>1425</v>
      </c>
    </row>
    <row r="246" spans="6:13">
      <c r="K246" t="s">
        <v>1426</v>
      </c>
    </row>
    <row r="247" spans="6:13">
      <c r="K247" t="s">
        <v>1420</v>
      </c>
    </row>
    <row r="248" spans="6:13">
      <c r="F248" t="s">
        <v>262</v>
      </c>
      <c r="H248" t="s">
        <v>263</v>
      </c>
      <c r="I248" t="s">
        <v>264</v>
      </c>
    </row>
    <row r="249" spans="6:13">
      <c r="F249" t="s">
        <v>265</v>
      </c>
      <c r="H249" t="s">
        <v>266</v>
      </c>
      <c r="I249" t="s">
        <v>267</v>
      </c>
    </row>
    <row r="254" spans="6:13">
      <c r="F254" t="s">
        <v>268</v>
      </c>
      <c r="G254" t="s">
        <v>2</v>
      </c>
      <c r="H254" t="s">
        <v>269</v>
      </c>
      <c r="J254" t="s">
        <v>4</v>
      </c>
    </row>
    <row r="255" spans="6:13">
      <c r="G255" t="s">
        <v>270</v>
      </c>
      <c r="H255" t="s">
        <v>7</v>
      </c>
      <c r="I255" t="s">
        <v>8</v>
      </c>
      <c r="J255" t="s">
        <v>271</v>
      </c>
      <c r="K255" t="s">
        <v>10</v>
      </c>
      <c r="L255" t="s">
        <v>11</v>
      </c>
      <c r="M255" t="s">
        <v>12</v>
      </c>
    </row>
    <row r="256" spans="6:13">
      <c r="F256" t="s">
        <v>272</v>
      </c>
      <c r="I256" t="s">
        <v>273</v>
      </c>
      <c r="J256" t="s">
        <v>274</v>
      </c>
      <c r="K256" s="24">
        <v>43984</v>
      </c>
      <c r="L256" s="24">
        <v>43922</v>
      </c>
      <c r="M256" s="24">
        <v>43833</v>
      </c>
    </row>
    <row r="257" spans="6:13">
      <c r="I257" t="s">
        <v>275</v>
      </c>
    </row>
    <row r="258" spans="6:13">
      <c r="I258" t="s">
        <v>276</v>
      </c>
    </row>
    <row r="261" spans="6:13">
      <c r="F261" t="s">
        <v>277</v>
      </c>
      <c r="G261" t="s">
        <v>2</v>
      </c>
      <c r="H261" t="s">
        <v>278</v>
      </c>
      <c r="J261" t="s">
        <v>4</v>
      </c>
    </row>
    <row r="262" spans="6:13">
      <c r="G262" t="s">
        <v>279</v>
      </c>
      <c r="H262" t="s">
        <v>7</v>
      </c>
      <c r="I262" t="s">
        <v>8</v>
      </c>
      <c r="J262" t="s">
        <v>280</v>
      </c>
      <c r="K262" t="s">
        <v>10</v>
      </c>
      <c r="L262" t="s">
        <v>11</v>
      </c>
      <c r="M262" t="s">
        <v>12</v>
      </c>
    </row>
    <row r="263" spans="6:13">
      <c r="F263" t="s">
        <v>281</v>
      </c>
      <c r="I263" t="s">
        <v>282</v>
      </c>
      <c r="J263" t="s">
        <v>283</v>
      </c>
      <c r="K263" s="24">
        <v>44013</v>
      </c>
      <c r="L263" s="24">
        <v>43831</v>
      </c>
      <c r="M263" s="24">
        <v>43892</v>
      </c>
    </row>
    <row r="264" spans="6:13">
      <c r="I264" t="s">
        <v>284</v>
      </c>
    </row>
    <row r="265" spans="6:13">
      <c r="I265" t="s">
        <v>285</v>
      </c>
    </row>
    <row r="269" spans="6:13">
      <c r="F269" t="s">
        <v>286</v>
      </c>
      <c r="G269" t="s">
        <v>2</v>
      </c>
      <c r="H269" t="s">
        <v>287</v>
      </c>
      <c r="J269" t="s">
        <v>4</v>
      </c>
    </row>
    <row r="270" spans="6:13">
      <c r="G270" t="s">
        <v>288</v>
      </c>
      <c r="H270" t="s">
        <v>7</v>
      </c>
      <c r="I270" t="s">
        <v>8</v>
      </c>
      <c r="J270">
        <v>1354</v>
      </c>
      <c r="K270" t="s">
        <v>10</v>
      </c>
      <c r="L270" t="s">
        <v>11</v>
      </c>
      <c r="M270" t="s">
        <v>12</v>
      </c>
    </row>
    <row r="271" spans="6:13">
      <c r="F271" t="s">
        <v>289</v>
      </c>
      <c r="H271" t="s">
        <v>290</v>
      </c>
      <c r="I271" t="s">
        <v>291</v>
      </c>
      <c r="K271" s="24">
        <v>44014</v>
      </c>
      <c r="L271" s="24">
        <v>44075</v>
      </c>
      <c r="M271" s="24">
        <v>43834</v>
      </c>
    </row>
    <row r="272" spans="6:13">
      <c r="H272" t="s">
        <v>292</v>
      </c>
      <c r="I272" t="s">
        <v>293</v>
      </c>
    </row>
    <row r="273" spans="6:13">
      <c r="H273" t="s">
        <v>294</v>
      </c>
      <c r="I273" t="s">
        <v>295</v>
      </c>
    </row>
    <row r="274" spans="6:13">
      <c r="I274" t="s">
        <v>296</v>
      </c>
    </row>
    <row r="275" spans="6:13">
      <c r="I275" t="s">
        <v>297</v>
      </c>
    </row>
    <row r="276" spans="6:13">
      <c r="I276" t="s">
        <v>298</v>
      </c>
    </row>
    <row r="277" spans="6:13">
      <c r="I277" t="s">
        <v>299</v>
      </c>
    </row>
    <row r="281" spans="6:13">
      <c r="F281" t="s">
        <v>300</v>
      </c>
      <c r="G281" t="s">
        <v>2</v>
      </c>
      <c r="H281" t="s">
        <v>301</v>
      </c>
      <c r="J281" t="s">
        <v>4</v>
      </c>
    </row>
    <row r="282" spans="6:13">
      <c r="G282" t="s">
        <v>302</v>
      </c>
      <c r="H282" t="s">
        <v>7</v>
      </c>
      <c r="I282" t="s">
        <v>8</v>
      </c>
      <c r="J282">
        <v>245</v>
      </c>
      <c r="K282" t="s">
        <v>10</v>
      </c>
      <c r="L282" t="s">
        <v>11</v>
      </c>
      <c r="M282" t="s">
        <v>12</v>
      </c>
    </row>
    <row r="283" spans="6:13">
      <c r="H283" t="s">
        <v>303</v>
      </c>
      <c r="I283" t="s">
        <v>304</v>
      </c>
      <c r="K283" s="24">
        <v>43864</v>
      </c>
      <c r="L283" s="24">
        <v>43953</v>
      </c>
      <c r="M283" t="s">
        <v>305</v>
      </c>
    </row>
    <row r="284" spans="6:13">
      <c r="I284" t="s">
        <v>306</v>
      </c>
    </row>
    <row r="287" spans="6:13">
      <c r="F287" t="s">
        <v>307</v>
      </c>
      <c r="G287" t="s">
        <v>2</v>
      </c>
      <c r="H287" t="s">
        <v>308</v>
      </c>
      <c r="J287" t="s">
        <v>4</v>
      </c>
    </row>
    <row r="288" spans="6:13">
      <c r="G288" t="s">
        <v>309</v>
      </c>
      <c r="H288" t="s">
        <v>7</v>
      </c>
      <c r="I288" t="s">
        <v>8</v>
      </c>
      <c r="J288">
        <v>52</v>
      </c>
      <c r="K288" t="s">
        <v>10</v>
      </c>
      <c r="L288" t="s">
        <v>11</v>
      </c>
      <c r="M288" t="s">
        <v>12</v>
      </c>
    </row>
    <row r="289" spans="6:13">
      <c r="F289" t="s">
        <v>310</v>
      </c>
      <c r="H289" t="s">
        <v>311</v>
      </c>
      <c r="I289" t="s">
        <v>312</v>
      </c>
      <c r="K289" s="24">
        <v>44013</v>
      </c>
      <c r="L289" s="24">
        <v>43891</v>
      </c>
      <c r="M289" s="24">
        <v>43892</v>
      </c>
    </row>
    <row r="290" spans="6:13">
      <c r="F290" t="s">
        <v>313</v>
      </c>
      <c r="H290" t="s">
        <v>314</v>
      </c>
      <c r="I290" t="s">
        <v>315</v>
      </c>
    </row>
    <row r="291" spans="6:13">
      <c r="F291" t="s">
        <v>316</v>
      </c>
      <c r="I291" t="s">
        <v>317</v>
      </c>
    </row>
    <row r="292" spans="6:13">
      <c r="F292" t="s">
        <v>318</v>
      </c>
      <c r="G292" t="s">
        <v>319</v>
      </c>
      <c r="I292" t="s">
        <v>320</v>
      </c>
    </row>
    <row r="293" spans="6:13">
      <c r="F293" t="s">
        <v>321</v>
      </c>
    </row>
    <row r="294" spans="6:13">
      <c r="F294" t="s">
        <v>262</v>
      </c>
    </row>
    <row r="300" spans="6:13">
      <c r="F300" t="s">
        <v>322</v>
      </c>
      <c r="G300" t="s">
        <v>2</v>
      </c>
      <c r="J300" t="s">
        <v>4</v>
      </c>
    </row>
    <row r="301" spans="6:13">
      <c r="G301" t="s">
        <v>136</v>
      </c>
      <c r="H301" t="s">
        <v>7</v>
      </c>
      <c r="I301" t="s">
        <v>8</v>
      </c>
      <c r="J301">
        <v>102</v>
      </c>
      <c r="K301" t="s">
        <v>10</v>
      </c>
      <c r="L301" t="s">
        <v>11</v>
      </c>
      <c r="M301" t="s">
        <v>12</v>
      </c>
    </row>
    <row r="302" spans="6:13">
      <c r="F302" t="s">
        <v>323</v>
      </c>
      <c r="H302" t="s">
        <v>324</v>
      </c>
      <c r="I302" t="s">
        <v>325</v>
      </c>
      <c r="K302" s="24">
        <v>44045</v>
      </c>
      <c r="L302" t="s">
        <v>1413</v>
      </c>
      <c r="M302" s="24">
        <v>44077</v>
      </c>
    </row>
    <row r="303" spans="6:13">
      <c r="I303" t="s">
        <v>326</v>
      </c>
    </row>
    <row r="304" spans="6:13">
      <c r="I304" t="s">
        <v>327</v>
      </c>
    </row>
    <row r="307" spans="6:13">
      <c r="F307" t="s">
        <v>328</v>
      </c>
      <c r="G307" t="s">
        <v>2</v>
      </c>
      <c r="H307" t="s">
        <v>329</v>
      </c>
      <c r="J307" t="s">
        <v>4</v>
      </c>
    </row>
    <row r="308" spans="6:13">
      <c r="G308" t="s">
        <v>330</v>
      </c>
      <c r="H308" t="s">
        <v>7</v>
      </c>
      <c r="I308" t="s">
        <v>8</v>
      </c>
      <c r="J308">
        <v>834</v>
      </c>
      <c r="K308" t="s">
        <v>10</v>
      </c>
      <c r="L308" t="s">
        <v>11</v>
      </c>
      <c r="M308" t="s">
        <v>12</v>
      </c>
    </row>
    <row r="309" spans="6:13">
      <c r="F309" t="s">
        <v>331</v>
      </c>
      <c r="H309" t="s">
        <v>332</v>
      </c>
      <c r="I309" t="s">
        <v>333</v>
      </c>
      <c r="K309" s="24">
        <v>43831</v>
      </c>
      <c r="L309" t="s">
        <v>1421</v>
      </c>
      <c r="M309" s="24">
        <v>43833</v>
      </c>
    </row>
    <row r="310" spans="6:13">
      <c r="I310" t="s">
        <v>334</v>
      </c>
    </row>
    <row r="311" spans="6:13">
      <c r="I311" t="s">
        <v>335</v>
      </c>
    </row>
    <row r="315" spans="6:13">
      <c r="F315" t="s">
        <v>336</v>
      </c>
      <c r="G315" t="s">
        <v>2</v>
      </c>
      <c r="H315" t="s">
        <v>337</v>
      </c>
      <c r="J315" t="s">
        <v>4</v>
      </c>
    </row>
    <row r="316" spans="6:13">
      <c r="G316" t="s">
        <v>338</v>
      </c>
      <c r="H316" t="s">
        <v>7</v>
      </c>
      <c r="I316" t="s">
        <v>8</v>
      </c>
      <c r="J316">
        <v>900</v>
      </c>
      <c r="K316" t="s">
        <v>10</v>
      </c>
      <c r="L316" t="s">
        <v>11</v>
      </c>
      <c r="M316" t="s">
        <v>12</v>
      </c>
    </row>
    <row r="317" spans="6:13">
      <c r="F317" t="s">
        <v>1429</v>
      </c>
      <c r="K317" s="24">
        <v>43832</v>
      </c>
      <c r="L317" s="24">
        <v>43952</v>
      </c>
      <c r="M317" t="s">
        <v>305</v>
      </c>
    </row>
    <row r="318" spans="6:13">
      <c r="K318" t="s">
        <v>1430</v>
      </c>
    </row>
    <row r="322" spans="6:13">
      <c r="F322" t="s">
        <v>339</v>
      </c>
      <c r="G322" t="s">
        <v>2</v>
      </c>
      <c r="H322" t="s">
        <v>340</v>
      </c>
      <c r="J322" t="s">
        <v>4</v>
      </c>
    </row>
    <row r="323" spans="6:13">
      <c r="G323" t="s">
        <v>341</v>
      </c>
      <c r="H323" t="s">
        <v>7</v>
      </c>
      <c r="I323" t="s">
        <v>8</v>
      </c>
      <c r="J323" t="s">
        <v>342</v>
      </c>
      <c r="K323" t="s">
        <v>10</v>
      </c>
      <c r="L323" t="s">
        <v>11</v>
      </c>
      <c r="M323" t="s">
        <v>12</v>
      </c>
    </row>
    <row r="324" spans="6:13">
      <c r="F324" t="s">
        <v>343</v>
      </c>
      <c r="H324" t="s">
        <v>344</v>
      </c>
      <c r="I324" t="s">
        <v>345</v>
      </c>
      <c r="J324" t="s">
        <v>346</v>
      </c>
      <c r="K324" s="24">
        <v>43831</v>
      </c>
      <c r="L324" t="s">
        <v>1413</v>
      </c>
      <c r="M324" s="24">
        <v>43985</v>
      </c>
    </row>
    <row r="325" spans="6:13">
      <c r="H325" t="s">
        <v>347</v>
      </c>
      <c r="I325" t="s">
        <v>348</v>
      </c>
      <c r="K325" t="s">
        <v>1431</v>
      </c>
    </row>
    <row r="326" spans="6:13">
      <c r="I326" t="s">
        <v>349</v>
      </c>
    </row>
    <row r="327" spans="6:13">
      <c r="I327" t="s">
        <v>350</v>
      </c>
    </row>
    <row r="329" spans="6:13">
      <c r="F329" t="s">
        <v>351</v>
      </c>
      <c r="G329" t="s">
        <v>2</v>
      </c>
      <c r="H329" t="s">
        <v>352</v>
      </c>
      <c r="J329" t="s">
        <v>4</v>
      </c>
    </row>
    <row r="330" spans="6:13">
      <c r="G330" t="s">
        <v>353</v>
      </c>
      <c r="H330" t="s">
        <v>7</v>
      </c>
      <c r="I330" t="s">
        <v>8</v>
      </c>
      <c r="J330">
        <v>450</v>
      </c>
      <c r="K330" t="s">
        <v>10</v>
      </c>
      <c r="L330" t="s">
        <v>11</v>
      </c>
      <c r="M330" t="s">
        <v>12</v>
      </c>
    </row>
    <row r="331" spans="6:13">
      <c r="F331" t="s">
        <v>354</v>
      </c>
      <c r="I331" t="s">
        <v>355</v>
      </c>
      <c r="K331">
        <v>2</v>
      </c>
      <c r="L331" s="24">
        <v>43983</v>
      </c>
      <c r="M331" s="24">
        <v>43834</v>
      </c>
    </row>
    <row r="332" spans="6:13">
      <c r="I332" t="s">
        <v>356</v>
      </c>
    </row>
    <row r="333" spans="6:13">
      <c r="I333" t="s">
        <v>357</v>
      </c>
    </row>
    <row r="335" spans="6:13">
      <c r="F335" t="s">
        <v>358</v>
      </c>
      <c r="G335" t="s">
        <v>2</v>
      </c>
      <c r="H335" t="s">
        <v>359</v>
      </c>
      <c r="J335" t="s">
        <v>4</v>
      </c>
    </row>
    <row r="336" spans="6:13">
      <c r="G336" t="s">
        <v>360</v>
      </c>
      <c r="H336" t="s">
        <v>7</v>
      </c>
      <c r="I336" t="s">
        <v>8</v>
      </c>
      <c r="J336" t="s">
        <v>361</v>
      </c>
      <c r="K336" t="s">
        <v>10</v>
      </c>
      <c r="L336" t="s">
        <v>11</v>
      </c>
      <c r="M336" t="s">
        <v>12</v>
      </c>
    </row>
    <row r="337" spans="6:13">
      <c r="F337" t="s">
        <v>362</v>
      </c>
      <c r="I337" t="s">
        <v>363</v>
      </c>
      <c r="J337" t="s">
        <v>364</v>
      </c>
      <c r="K337" s="24">
        <v>44045</v>
      </c>
      <c r="L337" s="25">
        <v>31413</v>
      </c>
      <c r="M337" s="24">
        <v>44016</v>
      </c>
    </row>
    <row r="338" spans="6:13">
      <c r="I338" t="s">
        <v>365</v>
      </c>
      <c r="J338" t="s">
        <v>366</v>
      </c>
    </row>
    <row r="339" spans="6:13">
      <c r="I339" t="s">
        <v>32</v>
      </c>
    </row>
    <row r="343" spans="6:13">
      <c r="F343" t="s">
        <v>367</v>
      </c>
      <c r="G343" t="s">
        <v>2</v>
      </c>
      <c r="H343" t="s">
        <v>368</v>
      </c>
      <c r="I343" t="s">
        <v>369</v>
      </c>
      <c r="J343" t="s">
        <v>4</v>
      </c>
    </row>
    <row r="344" spans="6:13">
      <c r="G344" t="s">
        <v>370</v>
      </c>
      <c r="H344" t="s">
        <v>7</v>
      </c>
      <c r="I344" t="s">
        <v>8</v>
      </c>
      <c r="J344">
        <v>221</v>
      </c>
      <c r="K344" t="s">
        <v>10</v>
      </c>
      <c r="L344" t="s">
        <v>11</v>
      </c>
      <c r="M344" t="s">
        <v>12</v>
      </c>
    </row>
    <row r="345" spans="6:13">
      <c r="F345" t="s">
        <v>1432</v>
      </c>
      <c r="I345" t="s">
        <v>371</v>
      </c>
      <c r="K345">
        <v>2</v>
      </c>
      <c r="L345" s="24">
        <v>43983</v>
      </c>
      <c r="M345" s="24">
        <v>43834</v>
      </c>
    </row>
    <row r="346" spans="6:13">
      <c r="I346" t="s">
        <v>372</v>
      </c>
    </row>
    <row r="347" spans="6:13">
      <c r="I347" t="s">
        <v>373</v>
      </c>
    </row>
    <row r="348" spans="6:13">
      <c r="I348" t="s">
        <v>23</v>
      </c>
    </row>
    <row r="353" spans="6:13">
      <c r="F353" t="s">
        <v>374</v>
      </c>
      <c r="G353" t="s">
        <v>2</v>
      </c>
      <c r="H353" t="s">
        <v>375</v>
      </c>
      <c r="J353" t="s">
        <v>4</v>
      </c>
    </row>
    <row r="354" spans="6:13">
      <c r="G354" t="s">
        <v>376</v>
      </c>
      <c r="H354" t="s">
        <v>7</v>
      </c>
      <c r="I354" t="s">
        <v>8</v>
      </c>
      <c r="J354">
        <v>12.5</v>
      </c>
      <c r="K354" t="s">
        <v>10</v>
      </c>
      <c r="L354" t="s">
        <v>11</v>
      </c>
      <c r="M354" t="s">
        <v>12</v>
      </c>
    </row>
    <row r="355" spans="6:13">
      <c r="F355" t="s">
        <v>210</v>
      </c>
      <c r="H355" t="s">
        <v>377</v>
      </c>
      <c r="I355" t="s">
        <v>378</v>
      </c>
      <c r="K355" s="24">
        <v>44076</v>
      </c>
      <c r="L355" s="24">
        <v>43832</v>
      </c>
      <c r="M355" s="24">
        <v>44016</v>
      </c>
    </row>
    <row r="356" spans="6:13">
      <c r="F356" t="s">
        <v>379</v>
      </c>
      <c r="H356" t="s">
        <v>62</v>
      </c>
    </row>
    <row r="357" spans="6:13">
      <c r="F357" t="s">
        <v>358</v>
      </c>
    </row>
    <row r="359" spans="6:13">
      <c r="F359" t="s">
        <v>380</v>
      </c>
      <c r="G359" t="s">
        <v>2</v>
      </c>
      <c r="H359" t="s">
        <v>381</v>
      </c>
      <c r="J359" t="s">
        <v>4</v>
      </c>
    </row>
    <row r="360" spans="6:13">
      <c r="G360" t="s">
        <v>382</v>
      </c>
      <c r="H360" t="s">
        <v>7</v>
      </c>
      <c r="I360" t="s">
        <v>8</v>
      </c>
      <c r="J360">
        <v>1396</v>
      </c>
      <c r="K360" t="s">
        <v>10</v>
      </c>
      <c r="L360" t="s">
        <v>11</v>
      </c>
      <c r="M360" t="s">
        <v>12</v>
      </c>
    </row>
    <row r="361" spans="6:13">
      <c r="I361" t="s">
        <v>383</v>
      </c>
      <c r="K361" s="24">
        <v>44045</v>
      </c>
      <c r="L361" s="24">
        <v>43832</v>
      </c>
      <c r="M361" s="24">
        <v>44018</v>
      </c>
    </row>
    <row r="362" spans="6:13">
      <c r="I362" t="s">
        <v>384</v>
      </c>
    </row>
    <row r="365" spans="6:13">
      <c r="F365" t="s">
        <v>385</v>
      </c>
      <c r="G365" t="s">
        <v>2</v>
      </c>
      <c r="H365" t="s">
        <v>386</v>
      </c>
      <c r="J365" t="s">
        <v>4</v>
      </c>
    </row>
    <row r="366" spans="6:13">
      <c r="G366" t="s">
        <v>387</v>
      </c>
      <c r="H366" t="s">
        <v>7</v>
      </c>
      <c r="I366" t="s">
        <v>8</v>
      </c>
      <c r="J366" t="s">
        <v>388</v>
      </c>
      <c r="K366" t="s">
        <v>10</v>
      </c>
      <c r="L366" t="s">
        <v>11</v>
      </c>
      <c r="M366" t="s">
        <v>12</v>
      </c>
    </row>
    <row r="367" spans="6:13">
      <c r="F367" t="s">
        <v>238</v>
      </c>
      <c r="I367" t="s">
        <v>389</v>
      </c>
      <c r="J367" t="s">
        <v>142</v>
      </c>
      <c r="K367" s="24">
        <v>44014</v>
      </c>
      <c r="L367" s="24">
        <v>43863</v>
      </c>
      <c r="M367" s="24">
        <v>43987</v>
      </c>
    </row>
    <row r="368" spans="6:13">
      <c r="I368" t="s">
        <v>390</v>
      </c>
    </row>
    <row r="369" spans="6:13">
      <c r="I369" t="s">
        <v>148</v>
      </c>
    </row>
    <row r="372" spans="6:13">
      <c r="F372" t="s">
        <v>391</v>
      </c>
      <c r="G372" t="s">
        <v>2</v>
      </c>
      <c r="H372" t="s">
        <v>392</v>
      </c>
      <c r="J372" t="s">
        <v>4</v>
      </c>
    </row>
    <row r="373" spans="6:13">
      <c r="G373" t="s">
        <v>393</v>
      </c>
      <c r="H373" t="s">
        <v>7</v>
      </c>
      <c r="I373" t="s">
        <v>8</v>
      </c>
      <c r="J373">
        <v>1211</v>
      </c>
      <c r="K373" t="s">
        <v>10</v>
      </c>
      <c r="L373" t="s">
        <v>11</v>
      </c>
      <c r="M373" t="s">
        <v>12</v>
      </c>
    </row>
    <row r="374" spans="6:13">
      <c r="F374" t="s">
        <v>394</v>
      </c>
      <c r="I374" t="s">
        <v>395</v>
      </c>
      <c r="K374" s="24">
        <v>43831</v>
      </c>
      <c r="L374" t="s">
        <v>1433</v>
      </c>
      <c r="M374" s="24">
        <v>43833</v>
      </c>
    </row>
    <row r="375" spans="6:13">
      <c r="I375" t="s">
        <v>396</v>
      </c>
    </row>
    <row r="376" spans="6:13">
      <c r="I376" t="s">
        <v>397</v>
      </c>
    </row>
    <row r="378" spans="6:13">
      <c r="F378" t="s">
        <v>398</v>
      </c>
      <c r="G378" t="s">
        <v>2</v>
      </c>
      <c r="H378" t="s">
        <v>399</v>
      </c>
      <c r="J378" t="s">
        <v>4</v>
      </c>
    </row>
    <row r="379" spans="6:13">
      <c r="G379" t="s">
        <v>400</v>
      </c>
      <c r="H379" t="s">
        <v>7</v>
      </c>
      <c r="I379" t="s">
        <v>8</v>
      </c>
      <c r="J379" t="s">
        <v>401</v>
      </c>
      <c r="K379" t="s">
        <v>10</v>
      </c>
      <c r="L379" t="s">
        <v>11</v>
      </c>
      <c r="M379" t="s">
        <v>12</v>
      </c>
    </row>
    <row r="380" spans="6:13">
      <c r="F380" t="s">
        <v>402</v>
      </c>
      <c r="H380" t="s">
        <v>403</v>
      </c>
      <c r="I380" t="s">
        <v>404</v>
      </c>
      <c r="J380" t="s">
        <v>405</v>
      </c>
      <c r="K380" t="s">
        <v>1433</v>
      </c>
      <c r="L380" t="s">
        <v>1434</v>
      </c>
      <c r="M380" s="24">
        <v>43832</v>
      </c>
    </row>
    <row r="381" spans="6:13">
      <c r="H381" t="s">
        <v>62</v>
      </c>
    </row>
    <row r="382" spans="6:13">
      <c r="H382" t="s">
        <v>406</v>
      </c>
    </row>
    <row r="385" spans="6:13">
      <c r="F385" t="s">
        <v>407</v>
      </c>
      <c r="G385" t="s">
        <v>2</v>
      </c>
      <c r="H385" t="s">
        <v>408</v>
      </c>
      <c r="J385" t="s">
        <v>4</v>
      </c>
    </row>
    <row r="386" spans="6:13">
      <c r="G386" t="s">
        <v>409</v>
      </c>
      <c r="H386" t="s">
        <v>7</v>
      </c>
      <c r="I386" t="s">
        <v>8</v>
      </c>
      <c r="J386">
        <v>219</v>
      </c>
      <c r="K386" t="s">
        <v>10</v>
      </c>
      <c r="L386" t="s">
        <v>11</v>
      </c>
      <c r="M386" t="s">
        <v>12</v>
      </c>
    </row>
    <row r="387" spans="6:13">
      <c r="F387" t="s">
        <v>410</v>
      </c>
      <c r="K387" s="24">
        <v>43864</v>
      </c>
      <c r="L387" s="24">
        <v>44076</v>
      </c>
      <c r="M387" s="24">
        <v>43987</v>
      </c>
    </row>
    <row r="388" spans="6:13">
      <c r="F388" t="s">
        <v>411</v>
      </c>
      <c r="K388" t="s">
        <v>412</v>
      </c>
    </row>
    <row r="389" spans="6:13">
      <c r="F389" t="s">
        <v>413</v>
      </c>
      <c r="K389" t="s">
        <v>414</v>
      </c>
    </row>
    <row r="390" spans="6:13">
      <c r="F390" t="s">
        <v>313</v>
      </c>
    </row>
    <row r="398" spans="6:13">
      <c r="F398" t="s">
        <v>415</v>
      </c>
      <c r="G398" t="s">
        <v>2</v>
      </c>
      <c r="H398" t="s">
        <v>416</v>
      </c>
      <c r="J398" t="s">
        <v>4</v>
      </c>
      <c r="K398" t="s">
        <v>36</v>
      </c>
    </row>
    <row r="399" spans="6:13">
      <c r="G399" t="s">
        <v>417</v>
      </c>
      <c r="H399" t="s">
        <v>7</v>
      </c>
      <c r="I399" t="s">
        <v>8</v>
      </c>
      <c r="J399" t="s">
        <v>418</v>
      </c>
      <c r="K399" t="s">
        <v>10</v>
      </c>
      <c r="L399" t="s">
        <v>11</v>
      </c>
      <c r="M399" t="s">
        <v>12</v>
      </c>
    </row>
    <row r="400" spans="6:13">
      <c r="F400" t="s">
        <v>217</v>
      </c>
      <c r="H400" t="s">
        <v>1435</v>
      </c>
      <c r="I400" t="s">
        <v>419</v>
      </c>
      <c r="J400" t="s">
        <v>420</v>
      </c>
      <c r="K400" s="24">
        <v>43923</v>
      </c>
      <c r="L400" s="25">
        <v>31048</v>
      </c>
      <c r="M400" s="24">
        <v>43954</v>
      </c>
    </row>
    <row r="401" spans="6:10">
      <c r="F401" t="s">
        <v>421</v>
      </c>
      <c r="H401" t="s">
        <v>422</v>
      </c>
      <c r="J401" t="s">
        <v>423</v>
      </c>
    </row>
    <row r="402" spans="6:10">
      <c r="F402" t="s">
        <v>410</v>
      </c>
      <c r="H402" t="s">
        <v>424</v>
      </c>
      <c r="J402" t="s">
        <v>425</v>
      </c>
    </row>
    <row r="403" spans="6:10">
      <c r="F403" t="s">
        <v>103</v>
      </c>
      <c r="H403" t="s">
        <v>426</v>
      </c>
      <c r="J403" t="s">
        <v>427</v>
      </c>
    </row>
    <row r="404" spans="6:10">
      <c r="F404" t="s">
        <v>428</v>
      </c>
      <c r="H404" t="s">
        <v>62</v>
      </c>
    </row>
    <row r="405" spans="6:10">
      <c r="F405" t="s">
        <v>429</v>
      </c>
      <c r="H405" t="s">
        <v>430</v>
      </c>
    </row>
    <row r="406" spans="6:10">
      <c r="F406" t="s">
        <v>111</v>
      </c>
      <c r="H406" t="s">
        <v>18</v>
      </c>
    </row>
    <row r="407" spans="6:10">
      <c r="F407" t="s">
        <v>197</v>
      </c>
      <c r="H407" t="s">
        <v>431</v>
      </c>
    </row>
    <row r="408" spans="6:10">
      <c r="F408" t="s">
        <v>432</v>
      </c>
      <c r="H408" t="s">
        <v>26</v>
      </c>
    </row>
    <row r="409" spans="6:10">
      <c r="F409" t="s">
        <v>13</v>
      </c>
      <c r="H409" t="s">
        <v>29</v>
      </c>
    </row>
    <row r="410" spans="6:10">
      <c r="F410" t="s">
        <v>93</v>
      </c>
      <c r="H410" t="s">
        <v>433</v>
      </c>
    </row>
    <row r="411" spans="6:10">
      <c r="F411" t="s">
        <v>45</v>
      </c>
      <c r="H411" t="s">
        <v>33</v>
      </c>
    </row>
    <row r="412" spans="6:10">
      <c r="F412" t="s">
        <v>434</v>
      </c>
      <c r="H412" t="s">
        <v>35</v>
      </c>
    </row>
    <row r="413" spans="6:10">
      <c r="F413" t="s">
        <v>127</v>
      </c>
      <c r="H413" t="s">
        <v>37</v>
      </c>
    </row>
    <row r="414" spans="6:10">
      <c r="F414" t="s">
        <v>49</v>
      </c>
      <c r="H414" t="s">
        <v>39</v>
      </c>
    </row>
    <row r="415" spans="6:10">
      <c r="F415" t="s">
        <v>435</v>
      </c>
      <c r="G415" t="s">
        <v>436</v>
      </c>
      <c r="H415" t="s">
        <v>40</v>
      </c>
    </row>
    <row r="416" spans="6:10">
      <c r="F416" t="s">
        <v>437</v>
      </c>
      <c r="G416" t="s">
        <v>86</v>
      </c>
      <c r="H416" t="s">
        <v>377</v>
      </c>
    </row>
    <row r="417" spans="6:8">
      <c r="F417" t="s">
        <v>438</v>
      </c>
      <c r="G417" t="s">
        <v>362</v>
      </c>
      <c r="H417" t="s">
        <v>344</v>
      </c>
    </row>
    <row r="418" spans="6:8">
      <c r="F418" t="s">
        <v>439</v>
      </c>
      <c r="G418" t="s">
        <v>440</v>
      </c>
      <c r="H418" t="s">
        <v>324</v>
      </c>
    </row>
    <row r="419" spans="6:8">
      <c r="F419" t="s">
        <v>441</v>
      </c>
      <c r="G419" t="s">
        <v>163</v>
      </c>
      <c r="H419" t="s">
        <v>260</v>
      </c>
    </row>
    <row r="420" spans="6:8">
      <c r="F420" t="s">
        <v>88</v>
      </c>
      <c r="G420" t="s">
        <v>442</v>
      </c>
      <c r="H420" t="s">
        <v>263</v>
      </c>
    </row>
    <row r="421" spans="6:8">
      <c r="F421" t="s">
        <v>235</v>
      </c>
      <c r="G421" t="s">
        <v>411</v>
      </c>
      <c r="H421" t="s">
        <v>266</v>
      </c>
    </row>
    <row r="422" spans="6:8">
      <c r="F422" t="s">
        <v>443</v>
      </c>
      <c r="G422" t="s">
        <v>188</v>
      </c>
      <c r="H422" t="s">
        <v>290</v>
      </c>
    </row>
    <row r="423" spans="6:8">
      <c r="F423" t="s">
        <v>444</v>
      </c>
      <c r="G423" t="s">
        <v>316</v>
      </c>
      <c r="H423" t="s">
        <v>292</v>
      </c>
    </row>
    <row r="424" spans="6:8">
      <c r="F424" t="s">
        <v>445</v>
      </c>
      <c r="G424" t="s">
        <v>446</v>
      </c>
      <c r="H424" t="s">
        <v>294</v>
      </c>
    </row>
    <row r="425" spans="6:8">
      <c r="F425" t="s">
        <v>447</v>
      </c>
      <c r="G425" t="s">
        <v>67</v>
      </c>
      <c r="H425" t="s">
        <v>314</v>
      </c>
    </row>
    <row r="426" spans="6:8">
      <c r="F426" t="s">
        <v>448</v>
      </c>
      <c r="G426" t="s">
        <v>17</v>
      </c>
      <c r="H426" t="s">
        <v>164</v>
      </c>
    </row>
    <row r="427" spans="6:8">
      <c r="F427" t="s">
        <v>21</v>
      </c>
      <c r="G427" t="s">
        <v>122</v>
      </c>
      <c r="H427" t="s">
        <v>449</v>
      </c>
    </row>
    <row r="428" spans="6:8">
      <c r="F428" t="s">
        <v>238</v>
      </c>
      <c r="G428" t="s">
        <v>25</v>
      </c>
      <c r="H428" t="s">
        <v>450</v>
      </c>
    </row>
    <row r="429" spans="6:8">
      <c r="F429" t="s">
        <v>200</v>
      </c>
      <c r="G429" t="s">
        <v>379</v>
      </c>
      <c r="H429" t="s">
        <v>451</v>
      </c>
    </row>
    <row r="430" spans="6:8">
      <c r="F430" t="s">
        <v>452</v>
      </c>
      <c r="G430" t="s">
        <v>453</v>
      </c>
      <c r="H430" t="s">
        <v>129</v>
      </c>
    </row>
    <row r="431" spans="6:8">
      <c r="F431" t="s">
        <v>454</v>
      </c>
      <c r="G431" t="s">
        <v>455</v>
      </c>
      <c r="H431" t="s">
        <v>138</v>
      </c>
    </row>
    <row r="432" spans="6:8">
      <c r="F432" t="s">
        <v>394</v>
      </c>
      <c r="G432" t="s">
        <v>456</v>
      </c>
      <c r="H432" t="s">
        <v>140</v>
      </c>
    </row>
    <row r="433" spans="6:13">
      <c r="F433" t="s">
        <v>457</v>
      </c>
      <c r="G433" t="s">
        <v>258</v>
      </c>
      <c r="H433" t="s">
        <v>75</v>
      </c>
    </row>
    <row r="434" spans="6:13">
      <c r="F434" t="s">
        <v>458</v>
      </c>
      <c r="G434" t="s">
        <v>156</v>
      </c>
      <c r="H434" t="s">
        <v>46</v>
      </c>
    </row>
    <row r="435" spans="6:13">
      <c r="F435" t="s">
        <v>459</v>
      </c>
      <c r="G435" t="s">
        <v>460</v>
      </c>
    </row>
    <row r="436" spans="6:13">
      <c r="F436" t="s">
        <v>262</v>
      </c>
    </row>
    <row r="437" spans="6:13">
      <c r="F437" t="s">
        <v>241</v>
      </c>
    </row>
    <row r="438" spans="6:13">
      <c r="F438" t="s">
        <v>265</v>
      </c>
    </row>
    <row r="439" spans="6:13">
      <c r="F439" t="s">
        <v>61</v>
      </c>
    </row>
    <row r="441" spans="6:13">
      <c r="F441" t="s">
        <v>461</v>
      </c>
      <c r="G441" t="s">
        <v>2</v>
      </c>
      <c r="H441" t="s">
        <v>340</v>
      </c>
      <c r="J441" t="s">
        <v>4</v>
      </c>
    </row>
    <row r="442" spans="6:13">
      <c r="G442" t="s">
        <v>462</v>
      </c>
      <c r="H442" t="s">
        <v>7</v>
      </c>
      <c r="I442" t="s">
        <v>8</v>
      </c>
      <c r="J442" t="s">
        <v>463</v>
      </c>
      <c r="K442" t="s">
        <v>10</v>
      </c>
      <c r="L442" t="s">
        <v>11</v>
      </c>
      <c r="M442" t="s">
        <v>12</v>
      </c>
    </row>
    <row r="443" spans="6:13">
      <c r="F443" t="s">
        <v>453</v>
      </c>
      <c r="G443" t="s">
        <v>1436</v>
      </c>
      <c r="H443" t="s">
        <v>62</v>
      </c>
      <c r="I443" t="s">
        <v>464</v>
      </c>
      <c r="J443" t="s">
        <v>465</v>
      </c>
      <c r="K443" s="24">
        <v>43953</v>
      </c>
      <c r="L443" s="24">
        <v>44044</v>
      </c>
      <c r="M443" s="24">
        <v>43894</v>
      </c>
    </row>
    <row r="444" spans="6:13">
      <c r="F444" t="s">
        <v>88</v>
      </c>
      <c r="I444" t="s">
        <v>165</v>
      </c>
      <c r="J444" t="s">
        <v>466</v>
      </c>
      <c r="K444" t="s">
        <v>1437</v>
      </c>
    </row>
    <row r="445" spans="6:13">
      <c r="K445" t="s">
        <v>1438</v>
      </c>
    </row>
    <row r="446" spans="6:13">
      <c r="K446" t="s">
        <v>1420</v>
      </c>
    </row>
    <row r="447" spans="6:13">
      <c r="F447" t="s">
        <v>103</v>
      </c>
    </row>
    <row r="452" spans="6:13">
      <c r="F452" t="s">
        <v>467</v>
      </c>
      <c r="G452" t="s">
        <v>2</v>
      </c>
      <c r="J452" t="s">
        <v>4</v>
      </c>
    </row>
    <row r="453" spans="6:13">
      <c r="G453" t="s">
        <v>468</v>
      </c>
      <c r="H453" t="s">
        <v>7</v>
      </c>
      <c r="I453" t="s">
        <v>8</v>
      </c>
      <c r="J453">
        <v>13500</v>
      </c>
      <c r="K453" t="s">
        <v>10</v>
      </c>
      <c r="L453" t="s">
        <v>11</v>
      </c>
      <c r="M453" t="s">
        <v>12</v>
      </c>
    </row>
    <row r="454" spans="6:13">
      <c r="F454" t="s">
        <v>13</v>
      </c>
      <c r="H454" t="s">
        <v>451</v>
      </c>
      <c r="I454" t="s">
        <v>469</v>
      </c>
      <c r="K454" s="24">
        <v>43891</v>
      </c>
      <c r="L454" s="24">
        <v>43983</v>
      </c>
      <c r="M454" s="24">
        <v>43864</v>
      </c>
    </row>
    <row r="455" spans="6:13">
      <c r="F455" t="s">
        <v>452</v>
      </c>
      <c r="H455" t="s">
        <v>450</v>
      </c>
      <c r="I455" t="s">
        <v>470</v>
      </c>
      <c r="K455" t="s">
        <v>143</v>
      </c>
    </row>
    <row r="456" spans="6:13">
      <c r="H456" t="s">
        <v>62</v>
      </c>
      <c r="I456" t="s">
        <v>471</v>
      </c>
      <c r="K456" t="s">
        <v>1439</v>
      </c>
    </row>
    <row r="457" spans="6:13">
      <c r="K457" t="s">
        <v>1440</v>
      </c>
    </row>
    <row r="458" spans="6:13">
      <c r="K458" t="s">
        <v>1420</v>
      </c>
    </row>
    <row r="459" spans="6:13">
      <c r="H459" t="s">
        <v>449</v>
      </c>
      <c r="I459" t="s">
        <v>472</v>
      </c>
    </row>
    <row r="464" spans="6:13">
      <c r="F464" t="s">
        <v>473</v>
      </c>
      <c r="G464" t="s">
        <v>2</v>
      </c>
      <c r="H464" t="s">
        <v>474</v>
      </c>
      <c r="J464" t="s">
        <v>4</v>
      </c>
    </row>
    <row r="465" spans="6:13">
      <c r="G465" t="s">
        <v>475</v>
      </c>
      <c r="H465" t="s">
        <v>7</v>
      </c>
      <c r="I465" t="s">
        <v>8</v>
      </c>
      <c r="J465">
        <v>254</v>
      </c>
      <c r="K465" t="s">
        <v>10</v>
      </c>
      <c r="L465" t="s">
        <v>11</v>
      </c>
      <c r="M465" t="s">
        <v>12</v>
      </c>
    </row>
    <row r="466" spans="6:13">
      <c r="F466" t="s">
        <v>446</v>
      </c>
      <c r="H466" t="s">
        <v>476</v>
      </c>
      <c r="I466" t="s">
        <v>477</v>
      </c>
      <c r="K466" s="24">
        <v>43923</v>
      </c>
      <c r="L466" s="24">
        <v>44044</v>
      </c>
      <c r="M466" s="24">
        <v>43985</v>
      </c>
    </row>
    <row r="467" spans="6:13">
      <c r="F467" t="s">
        <v>238</v>
      </c>
      <c r="H467" t="s">
        <v>478</v>
      </c>
      <c r="I467" t="s">
        <v>479</v>
      </c>
    </row>
    <row r="468" spans="6:13">
      <c r="I468" t="s">
        <v>480</v>
      </c>
    </row>
    <row r="472" spans="6:13">
      <c r="F472" t="s">
        <v>481</v>
      </c>
      <c r="G472" t="s">
        <v>2</v>
      </c>
      <c r="J472" t="s">
        <v>4</v>
      </c>
    </row>
    <row r="473" spans="6:13">
      <c r="G473" t="s">
        <v>482</v>
      </c>
      <c r="H473" t="s">
        <v>7</v>
      </c>
      <c r="I473" t="s">
        <v>8</v>
      </c>
      <c r="J473">
        <v>1211</v>
      </c>
      <c r="K473" t="s">
        <v>10</v>
      </c>
      <c r="L473" t="s">
        <v>11</v>
      </c>
      <c r="M473" t="s">
        <v>12</v>
      </c>
    </row>
    <row r="474" spans="6:13">
      <c r="F474" t="s">
        <v>483</v>
      </c>
      <c r="H474" t="s">
        <v>484</v>
      </c>
      <c r="I474" t="s">
        <v>485</v>
      </c>
      <c r="K474" s="24">
        <v>43891</v>
      </c>
      <c r="L474" s="24">
        <v>43983</v>
      </c>
      <c r="M474" s="24">
        <v>43864</v>
      </c>
    </row>
    <row r="475" spans="6:13">
      <c r="F475" t="s">
        <v>486</v>
      </c>
      <c r="H475" t="s">
        <v>487</v>
      </c>
      <c r="I475" t="s">
        <v>488</v>
      </c>
      <c r="K475" t="s">
        <v>1437</v>
      </c>
    </row>
    <row r="476" spans="6:13">
      <c r="K476" t="s">
        <v>1438</v>
      </c>
    </row>
    <row r="477" spans="6:13">
      <c r="K477" t="s">
        <v>1420</v>
      </c>
    </row>
    <row r="478" spans="6:13">
      <c r="F478" t="s">
        <v>442</v>
      </c>
    </row>
    <row r="479" spans="6:13">
      <c r="F479" t="s">
        <v>411</v>
      </c>
    </row>
    <row r="485" spans="6:13">
      <c r="F485" t="s">
        <v>489</v>
      </c>
      <c r="G485" t="s">
        <v>2</v>
      </c>
      <c r="H485" t="s">
        <v>490</v>
      </c>
      <c r="J485" t="s">
        <v>4</v>
      </c>
    </row>
    <row r="486" spans="6:13">
      <c r="G486" t="s">
        <v>491</v>
      </c>
      <c r="H486" t="s">
        <v>7</v>
      </c>
      <c r="I486" t="s">
        <v>8</v>
      </c>
      <c r="J486">
        <v>4218</v>
      </c>
      <c r="K486" t="s">
        <v>10</v>
      </c>
      <c r="L486" t="s">
        <v>11</v>
      </c>
      <c r="M486" t="s">
        <v>12</v>
      </c>
    </row>
    <row r="487" spans="6:13">
      <c r="F487" t="s">
        <v>492</v>
      </c>
      <c r="I487" t="s">
        <v>493</v>
      </c>
      <c r="K487" t="s">
        <v>1441</v>
      </c>
      <c r="L487" s="24">
        <v>43831</v>
      </c>
      <c r="M487" s="24">
        <v>43892</v>
      </c>
    </row>
    <row r="488" spans="6:13">
      <c r="F488" t="s">
        <v>61</v>
      </c>
      <c r="H488" t="s">
        <v>494</v>
      </c>
      <c r="K488" t="s">
        <v>1425</v>
      </c>
    </row>
    <row r="489" spans="6:13">
      <c r="K489" t="s">
        <v>1426</v>
      </c>
    </row>
    <row r="490" spans="6:13">
      <c r="K490" t="s">
        <v>1420</v>
      </c>
    </row>
    <row r="491" spans="6:13">
      <c r="H491" t="s">
        <v>495</v>
      </c>
    </row>
    <row r="492" spans="6:13">
      <c r="H492" t="s">
        <v>496</v>
      </c>
    </row>
    <row r="493" spans="6:13">
      <c r="H493" t="s">
        <v>497</v>
      </c>
    </row>
    <row r="494" spans="6:13">
      <c r="H494" t="s">
        <v>498</v>
      </c>
    </row>
    <row r="495" spans="6:13">
      <c r="H495" t="s">
        <v>499</v>
      </c>
    </row>
    <row r="496" spans="6:13">
      <c r="H496" t="s">
        <v>62</v>
      </c>
    </row>
    <row r="499" spans="6:13">
      <c r="F499" t="s">
        <v>500</v>
      </c>
      <c r="G499" t="s">
        <v>2</v>
      </c>
      <c r="J499" t="s">
        <v>4</v>
      </c>
    </row>
    <row r="500" spans="6:13">
      <c r="G500" t="s">
        <v>501</v>
      </c>
      <c r="H500" t="s">
        <v>7</v>
      </c>
      <c r="I500" t="s">
        <v>8</v>
      </c>
      <c r="J500">
        <v>532</v>
      </c>
      <c r="K500" t="s">
        <v>10</v>
      </c>
      <c r="L500" t="s">
        <v>11</v>
      </c>
      <c r="M500" t="s">
        <v>12</v>
      </c>
    </row>
    <row r="501" spans="6:13">
      <c r="F501" t="s">
        <v>241</v>
      </c>
      <c r="I501" t="s">
        <v>1442</v>
      </c>
      <c r="K501" s="24">
        <v>43984</v>
      </c>
      <c r="L501" s="24">
        <v>43863</v>
      </c>
      <c r="M501" s="24">
        <v>43894</v>
      </c>
    </row>
    <row r="502" spans="6:13">
      <c r="I502" t="s">
        <v>502</v>
      </c>
    </row>
    <row r="503" spans="6:13">
      <c r="I503" t="s">
        <v>503</v>
      </c>
    </row>
    <row r="506" spans="6:13">
      <c r="F506" t="s">
        <v>504</v>
      </c>
      <c r="G506" t="s">
        <v>2</v>
      </c>
      <c r="H506" t="s">
        <v>505</v>
      </c>
      <c r="J506" t="s">
        <v>4</v>
      </c>
    </row>
    <row r="507" spans="6:13">
      <c r="G507" t="s">
        <v>506</v>
      </c>
      <c r="H507" t="s">
        <v>7</v>
      </c>
      <c r="I507" t="s">
        <v>8</v>
      </c>
      <c r="J507">
        <v>96</v>
      </c>
      <c r="K507" t="s">
        <v>10</v>
      </c>
      <c r="L507" t="s">
        <v>11</v>
      </c>
      <c r="M507" t="s">
        <v>12</v>
      </c>
    </row>
    <row r="508" spans="6:13">
      <c r="K508" t="s">
        <v>305</v>
      </c>
      <c r="L508" t="s">
        <v>305</v>
      </c>
      <c r="M508" t="s">
        <v>305</v>
      </c>
    </row>
    <row r="513" spans="6:13">
      <c r="F513" t="s">
        <v>507</v>
      </c>
      <c r="G513" t="s">
        <v>2</v>
      </c>
      <c r="H513" t="s">
        <v>508</v>
      </c>
      <c r="J513" t="s">
        <v>4</v>
      </c>
    </row>
    <row r="514" spans="6:13">
      <c r="G514" t="s">
        <v>509</v>
      </c>
      <c r="H514" t="s">
        <v>7</v>
      </c>
      <c r="I514" t="s">
        <v>8</v>
      </c>
      <c r="J514" t="s">
        <v>510</v>
      </c>
      <c r="K514" t="s">
        <v>10</v>
      </c>
      <c r="L514" t="s">
        <v>11</v>
      </c>
      <c r="M514" t="s">
        <v>12</v>
      </c>
    </row>
    <row r="515" spans="6:13">
      <c r="F515" t="s">
        <v>511</v>
      </c>
      <c r="H515" t="s">
        <v>512</v>
      </c>
      <c r="I515" t="s">
        <v>513</v>
      </c>
      <c r="J515" t="s">
        <v>514</v>
      </c>
      <c r="K515" s="24">
        <v>43923</v>
      </c>
      <c r="L515" s="24">
        <v>43952</v>
      </c>
      <c r="M515" s="25">
        <v>31107</v>
      </c>
    </row>
    <row r="516" spans="6:13">
      <c r="H516" t="s">
        <v>515</v>
      </c>
      <c r="I516" t="s">
        <v>516</v>
      </c>
    </row>
    <row r="517" spans="6:13">
      <c r="H517" t="s">
        <v>517</v>
      </c>
      <c r="I517" t="s">
        <v>518</v>
      </c>
    </row>
    <row r="518" spans="6:13">
      <c r="H518" t="s">
        <v>519</v>
      </c>
      <c r="I518" t="s">
        <v>520</v>
      </c>
    </row>
    <row r="519" spans="6:13">
      <c r="H519" t="s">
        <v>521</v>
      </c>
    </row>
    <row r="520" spans="6:13">
      <c r="H520" t="s">
        <v>62</v>
      </c>
    </row>
  </sheetData>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402E-69CF-4B8A-9275-AEA06E10A571}">
  <sheetPr codeName="Аркуш38"/>
  <dimension ref="A1:N481"/>
  <sheetViews>
    <sheetView topLeftCell="A21" zoomScale="115" zoomScaleNormal="115" workbookViewId="0">
      <selection activeCell="E24" sqref="E24"/>
    </sheetView>
  </sheetViews>
  <sheetFormatPr defaultRowHeight="12.75"/>
  <cols>
    <col min="1" max="1" width="17.5546875" style="4" customWidth="1"/>
    <col min="2" max="2" width="18.77734375" style="4" customWidth="1"/>
    <col min="3" max="3" width="37.77734375" style="4" customWidth="1"/>
    <col min="4" max="4" width="20" style="4" customWidth="1"/>
    <col min="5" max="6" width="8.88671875" style="4"/>
    <col min="7" max="7" width="7.6640625" style="4" customWidth="1"/>
    <col min="8" max="8" width="7.44140625" style="4" customWidth="1"/>
    <col min="9" max="10" width="8.88671875" style="4"/>
    <col min="11" max="256" width="7.109375" style="4"/>
    <col min="257" max="257" width="13.5546875" style="4" customWidth="1"/>
    <col min="258" max="258" width="14.5546875" style="4" customWidth="1"/>
    <col min="259" max="259" width="29.33203125" style="4" customWidth="1"/>
    <col min="260" max="260" width="15.5546875" style="4" customWidth="1"/>
    <col min="261" max="262" width="7.109375" style="4"/>
    <col min="263" max="263" width="5.88671875" style="4" customWidth="1"/>
    <col min="264" max="264" width="5.6640625" style="4" customWidth="1"/>
    <col min="265" max="512" width="7.109375" style="4"/>
    <col min="513" max="513" width="13.5546875" style="4" customWidth="1"/>
    <col min="514" max="514" width="14.5546875" style="4" customWidth="1"/>
    <col min="515" max="515" width="29.33203125" style="4" customWidth="1"/>
    <col min="516" max="516" width="15.5546875" style="4" customWidth="1"/>
    <col min="517" max="518" width="7.109375" style="4"/>
    <col min="519" max="519" width="5.88671875" style="4" customWidth="1"/>
    <col min="520" max="520" width="5.6640625" style="4" customWidth="1"/>
    <col min="521" max="768" width="7.109375" style="4"/>
    <col min="769" max="769" width="13.5546875" style="4" customWidth="1"/>
    <col min="770" max="770" width="14.5546875" style="4" customWidth="1"/>
    <col min="771" max="771" width="29.33203125" style="4" customWidth="1"/>
    <col min="772" max="772" width="15.5546875" style="4" customWidth="1"/>
    <col min="773" max="774" width="7.109375" style="4"/>
    <col min="775" max="775" width="5.88671875" style="4" customWidth="1"/>
    <col min="776" max="776" width="5.6640625" style="4" customWidth="1"/>
    <col min="777" max="1024" width="8.88671875" style="4"/>
    <col min="1025" max="1025" width="13.5546875" style="4" customWidth="1"/>
    <col min="1026" max="1026" width="14.5546875" style="4" customWidth="1"/>
    <col min="1027" max="1027" width="29.33203125" style="4" customWidth="1"/>
    <col min="1028" max="1028" width="15.5546875" style="4" customWidth="1"/>
    <col min="1029" max="1030" width="7.109375" style="4"/>
    <col min="1031" max="1031" width="5.88671875" style="4" customWidth="1"/>
    <col min="1032" max="1032" width="5.6640625" style="4" customWidth="1"/>
    <col min="1033" max="1280" width="7.109375" style="4"/>
    <col min="1281" max="1281" width="13.5546875" style="4" customWidth="1"/>
    <col min="1282" max="1282" width="14.5546875" style="4" customWidth="1"/>
    <col min="1283" max="1283" width="29.33203125" style="4" customWidth="1"/>
    <col min="1284" max="1284" width="15.5546875" style="4" customWidth="1"/>
    <col min="1285" max="1286" width="7.109375" style="4"/>
    <col min="1287" max="1287" width="5.88671875" style="4" customWidth="1"/>
    <col min="1288" max="1288" width="5.6640625" style="4" customWidth="1"/>
    <col min="1289" max="1536" width="7.109375" style="4"/>
    <col min="1537" max="1537" width="13.5546875" style="4" customWidth="1"/>
    <col min="1538" max="1538" width="14.5546875" style="4" customWidth="1"/>
    <col min="1539" max="1539" width="29.33203125" style="4" customWidth="1"/>
    <col min="1540" max="1540" width="15.5546875" style="4" customWidth="1"/>
    <col min="1541" max="1542" width="7.109375" style="4"/>
    <col min="1543" max="1543" width="5.88671875" style="4" customWidth="1"/>
    <col min="1544" max="1544" width="5.6640625" style="4" customWidth="1"/>
    <col min="1545" max="1792" width="7.109375" style="4"/>
    <col min="1793" max="1793" width="13.5546875" style="4" customWidth="1"/>
    <col min="1794" max="1794" width="14.5546875" style="4" customWidth="1"/>
    <col min="1795" max="1795" width="29.33203125" style="4" customWidth="1"/>
    <col min="1796" max="1796" width="15.5546875" style="4" customWidth="1"/>
    <col min="1797" max="1798" width="7.109375" style="4"/>
    <col min="1799" max="1799" width="5.88671875" style="4" customWidth="1"/>
    <col min="1800" max="1800" width="5.6640625" style="4" customWidth="1"/>
    <col min="1801" max="2048" width="8.88671875" style="4"/>
    <col min="2049" max="2049" width="13.5546875" style="4" customWidth="1"/>
    <col min="2050" max="2050" width="14.5546875" style="4" customWidth="1"/>
    <col min="2051" max="2051" width="29.33203125" style="4" customWidth="1"/>
    <col min="2052" max="2052" width="15.5546875" style="4" customWidth="1"/>
    <col min="2053" max="2054" width="7.109375" style="4"/>
    <col min="2055" max="2055" width="5.88671875" style="4" customWidth="1"/>
    <col min="2056" max="2056" width="5.6640625" style="4" customWidth="1"/>
    <col min="2057" max="2304" width="7.109375" style="4"/>
    <col min="2305" max="2305" width="13.5546875" style="4" customWidth="1"/>
    <col min="2306" max="2306" width="14.5546875" style="4" customWidth="1"/>
    <col min="2307" max="2307" width="29.33203125" style="4" customWidth="1"/>
    <col min="2308" max="2308" width="15.5546875" style="4" customWidth="1"/>
    <col min="2309" max="2310" width="7.109375" style="4"/>
    <col min="2311" max="2311" width="5.88671875" style="4" customWidth="1"/>
    <col min="2312" max="2312" width="5.6640625" style="4" customWidth="1"/>
    <col min="2313" max="2560" width="7.109375" style="4"/>
    <col min="2561" max="2561" width="13.5546875" style="4" customWidth="1"/>
    <col min="2562" max="2562" width="14.5546875" style="4" customWidth="1"/>
    <col min="2563" max="2563" width="29.33203125" style="4" customWidth="1"/>
    <col min="2564" max="2564" width="15.5546875" style="4" customWidth="1"/>
    <col min="2565" max="2566" width="7.109375" style="4"/>
    <col min="2567" max="2567" width="5.88671875" style="4" customWidth="1"/>
    <col min="2568" max="2568" width="5.6640625" style="4" customWidth="1"/>
    <col min="2569" max="2816" width="7.109375" style="4"/>
    <col min="2817" max="2817" width="13.5546875" style="4" customWidth="1"/>
    <col min="2818" max="2818" width="14.5546875" style="4" customWidth="1"/>
    <col min="2819" max="2819" width="29.33203125" style="4" customWidth="1"/>
    <col min="2820" max="2820" width="15.5546875" style="4" customWidth="1"/>
    <col min="2821" max="2822" width="7.109375" style="4"/>
    <col min="2823" max="2823" width="5.88671875" style="4" customWidth="1"/>
    <col min="2824" max="2824" width="5.6640625" style="4" customWidth="1"/>
    <col min="2825" max="3072" width="8.88671875" style="4"/>
    <col min="3073" max="3073" width="13.5546875" style="4" customWidth="1"/>
    <col min="3074" max="3074" width="14.5546875" style="4" customWidth="1"/>
    <col min="3075" max="3075" width="29.33203125" style="4" customWidth="1"/>
    <col min="3076" max="3076" width="15.5546875" style="4" customWidth="1"/>
    <col min="3077" max="3078" width="7.109375" style="4"/>
    <col min="3079" max="3079" width="5.88671875" style="4" customWidth="1"/>
    <col min="3080" max="3080" width="5.6640625" style="4" customWidth="1"/>
    <col min="3081" max="3328" width="7.109375" style="4"/>
    <col min="3329" max="3329" width="13.5546875" style="4" customWidth="1"/>
    <col min="3330" max="3330" width="14.5546875" style="4" customWidth="1"/>
    <col min="3331" max="3331" width="29.33203125" style="4" customWidth="1"/>
    <col min="3332" max="3332" width="15.5546875" style="4" customWidth="1"/>
    <col min="3333" max="3334" width="7.109375" style="4"/>
    <col min="3335" max="3335" width="5.88671875" style="4" customWidth="1"/>
    <col min="3336" max="3336" width="5.6640625" style="4" customWidth="1"/>
    <col min="3337" max="3584" width="7.109375" style="4"/>
    <col min="3585" max="3585" width="13.5546875" style="4" customWidth="1"/>
    <col min="3586" max="3586" width="14.5546875" style="4" customWidth="1"/>
    <col min="3587" max="3587" width="29.33203125" style="4" customWidth="1"/>
    <col min="3588" max="3588" width="15.5546875" style="4" customWidth="1"/>
    <col min="3589" max="3590" width="7.109375" style="4"/>
    <col min="3591" max="3591" width="5.88671875" style="4" customWidth="1"/>
    <col min="3592" max="3592" width="5.6640625" style="4" customWidth="1"/>
    <col min="3593" max="3840" width="7.109375" style="4"/>
    <col min="3841" max="3841" width="13.5546875" style="4" customWidth="1"/>
    <col min="3842" max="3842" width="14.5546875" style="4" customWidth="1"/>
    <col min="3843" max="3843" width="29.33203125" style="4" customWidth="1"/>
    <col min="3844" max="3844" width="15.5546875" style="4" customWidth="1"/>
    <col min="3845" max="3846" width="7.109375" style="4"/>
    <col min="3847" max="3847" width="5.88671875" style="4" customWidth="1"/>
    <col min="3848" max="3848" width="5.6640625" style="4" customWidth="1"/>
    <col min="3849" max="4096" width="8.88671875" style="4"/>
    <col min="4097" max="4097" width="13.5546875" style="4" customWidth="1"/>
    <col min="4098" max="4098" width="14.5546875" style="4" customWidth="1"/>
    <col min="4099" max="4099" width="29.33203125" style="4" customWidth="1"/>
    <col min="4100" max="4100" width="15.5546875" style="4" customWidth="1"/>
    <col min="4101" max="4102" width="7.109375" style="4"/>
    <col min="4103" max="4103" width="5.88671875" style="4" customWidth="1"/>
    <col min="4104" max="4104" width="5.6640625" style="4" customWidth="1"/>
    <col min="4105" max="4352" width="7.109375" style="4"/>
    <col min="4353" max="4353" width="13.5546875" style="4" customWidth="1"/>
    <col min="4354" max="4354" width="14.5546875" style="4" customWidth="1"/>
    <col min="4355" max="4355" width="29.33203125" style="4" customWidth="1"/>
    <col min="4356" max="4356" width="15.5546875" style="4" customWidth="1"/>
    <col min="4357" max="4358" width="7.109375" style="4"/>
    <col min="4359" max="4359" width="5.88671875" style="4" customWidth="1"/>
    <col min="4360" max="4360" width="5.6640625" style="4" customWidth="1"/>
    <col min="4361" max="4608" width="7.109375" style="4"/>
    <col min="4609" max="4609" width="13.5546875" style="4" customWidth="1"/>
    <col min="4610" max="4610" width="14.5546875" style="4" customWidth="1"/>
    <col min="4611" max="4611" width="29.33203125" style="4" customWidth="1"/>
    <col min="4612" max="4612" width="15.5546875" style="4" customWidth="1"/>
    <col min="4613" max="4614" width="7.109375" style="4"/>
    <col min="4615" max="4615" width="5.88671875" style="4" customWidth="1"/>
    <col min="4616" max="4616" width="5.6640625" style="4" customWidth="1"/>
    <col min="4617" max="4864" width="7.109375" style="4"/>
    <col min="4865" max="4865" width="13.5546875" style="4" customWidth="1"/>
    <col min="4866" max="4866" width="14.5546875" style="4" customWidth="1"/>
    <col min="4867" max="4867" width="29.33203125" style="4" customWidth="1"/>
    <col min="4868" max="4868" width="15.5546875" style="4" customWidth="1"/>
    <col min="4869" max="4870" width="7.109375" style="4"/>
    <col min="4871" max="4871" width="5.88671875" style="4" customWidth="1"/>
    <col min="4872" max="4872" width="5.6640625" style="4" customWidth="1"/>
    <col min="4873" max="5120" width="8.88671875" style="4"/>
    <col min="5121" max="5121" width="13.5546875" style="4" customWidth="1"/>
    <col min="5122" max="5122" width="14.5546875" style="4" customWidth="1"/>
    <col min="5123" max="5123" width="29.33203125" style="4" customWidth="1"/>
    <col min="5124" max="5124" width="15.5546875" style="4" customWidth="1"/>
    <col min="5125" max="5126" width="7.109375" style="4"/>
    <col min="5127" max="5127" width="5.88671875" style="4" customWidth="1"/>
    <col min="5128" max="5128" width="5.6640625" style="4" customWidth="1"/>
    <col min="5129" max="5376" width="7.109375" style="4"/>
    <col min="5377" max="5377" width="13.5546875" style="4" customWidth="1"/>
    <col min="5378" max="5378" width="14.5546875" style="4" customWidth="1"/>
    <col min="5379" max="5379" width="29.33203125" style="4" customWidth="1"/>
    <col min="5380" max="5380" width="15.5546875" style="4" customWidth="1"/>
    <col min="5381" max="5382" width="7.109375" style="4"/>
    <col min="5383" max="5383" width="5.88671875" style="4" customWidth="1"/>
    <col min="5384" max="5384" width="5.6640625" style="4" customWidth="1"/>
    <col min="5385" max="5632" width="7.109375" style="4"/>
    <col min="5633" max="5633" width="13.5546875" style="4" customWidth="1"/>
    <col min="5634" max="5634" width="14.5546875" style="4" customWidth="1"/>
    <col min="5635" max="5635" width="29.33203125" style="4" customWidth="1"/>
    <col min="5636" max="5636" width="15.5546875" style="4" customWidth="1"/>
    <col min="5637" max="5638" width="7.109375" style="4"/>
    <col min="5639" max="5639" width="5.88671875" style="4" customWidth="1"/>
    <col min="5640" max="5640" width="5.6640625" style="4" customWidth="1"/>
    <col min="5641" max="5888" width="7.109375" style="4"/>
    <col min="5889" max="5889" width="13.5546875" style="4" customWidth="1"/>
    <col min="5890" max="5890" width="14.5546875" style="4" customWidth="1"/>
    <col min="5891" max="5891" width="29.33203125" style="4" customWidth="1"/>
    <col min="5892" max="5892" width="15.5546875" style="4" customWidth="1"/>
    <col min="5893" max="5894" width="7.109375" style="4"/>
    <col min="5895" max="5895" width="5.88671875" style="4" customWidth="1"/>
    <col min="5896" max="5896" width="5.6640625" style="4" customWidth="1"/>
    <col min="5897" max="6144" width="8.88671875" style="4"/>
    <col min="6145" max="6145" width="13.5546875" style="4" customWidth="1"/>
    <col min="6146" max="6146" width="14.5546875" style="4" customWidth="1"/>
    <col min="6147" max="6147" width="29.33203125" style="4" customWidth="1"/>
    <col min="6148" max="6148" width="15.5546875" style="4" customWidth="1"/>
    <col min="6149" max="6150" width="7.109375" style="4"/>
    <col min="6151" max="6151" width="5.88671875" style="4" customWidth="1"/>
    <col min="6152" max="6152" width="5.6640625" style="4" customWidth="1"/>
    <col min="6153" max="6400" width="7.109375" style="4"/>
    <col min="6401" max="6401" width="13.5546875" style="4" customWidth="1"/>
    <col min="6402" max="6402" width="14.5546875" style="4" customWidth="1"/>
    <col min="6403" max="6403" width="29.33203125" style="4" customWidth="1"/>
    <col min="6404" max="6404" width="15.5546875" style="4" customWidth="1"/>
    <col min="6405" max="6406" width="7.109375" style="4"/>
    <col min="6407" max="6407" width="5.88671875" style="4" customWidth="1"/>
    <col min="6408" max="6408" width="5.6640625" style="4" customWidth="1"/>
    <col min="6409" max="6656" width="7.109375" style="4"/>
    <col min="6657" max="6657" width="13.5546875" style="4" customWidth="1"/>
    <col min="6658" max="6658" width="14.5546875" style="4" customWidth="1"/>
    <col min="6659" max="6659" width="29.33203125" style="4" customWidth="1"/>
    <col min="6660" max="6660" width="15.5546875" style="4" customWidth="1"/>
    <col min="6661" max="6662" width="7.109375" style="4"/>
    <col min="6663" max="6663" width="5.88671875" style="4" customWidth="1"/>
    <col min="6664" max="6664" width="5.6640625" style="4" customWidth="1"/>
    <col min="6665" max="6912" width="7.109375" style="4"/>
    <col min="6913" max="6913" width="13.5546875" style="4" customWidth="1"/>
    <col min="6914" max="6914" width="14.5546875" style="4" customWidth="1"/>
    <col min="6915" max="6915" width="29.33203125" style="4" customWidth="1"/>
    <col min="6916" max="6916" width="15.5546875" style="4" customWidth="1"/>
    <col min="6917" max="6918" width="7.109375" style="4"/>
    <col min="6919" max="6919" width="5.88671875" style="4" customWidth="1"/>
    <col min="6920" max="6920" width="5.6640625" style="4" customWidth="1"/>
    <col min="6921" max="7168" width="8.88671875" style="4"/>
    <col min="7169" max="7169" width="13.5546875" style="4" customWidth="1"/>
    <col min="7170" max="7170" width="14.5546875" style="4" customWidth="1"/>
    <col min="7171" max="7171" width="29.33203125" style="4" customWidth="1"/>
    <col min="7172" max="7172" width="15.5546875" style="4" customWidth="1"/>
    <col min="7173" max="7174" width="7.109375" style="4"/>
    <col min="7175" max="7175" width="5.88671875" style="4" customWidth="1"/>
    <col min="7176" max="7176" width="5.6640625" style="4" customWidth="1"/>
    <col min="7177" max="7424" width="7.109375" style="4"/>
    <col min="7425" max="7425" width="13.5546875" style="4" customWidth="1"/>
    <col min="7426" max="7426" width="14.5546875" style="4" customWidth="1"/>
    <col min="7427" max="7427" width="29.33203125" style="4" customWidth="1"/>
    <col min="7428" max="7428" width="15.5546875" style="4" customWidth="1"/>
    <col min="7429" max="7430" width="7.109375" style="4"/>
    <col min="7431" max="7431" width="5.88671875" style="4" customWidth="1"/>
    <col min="7432" max="7432" width="5.6640625" style="4" customWidth="1"/>
    <col min="7433" max="7680" width="7.109375" style="4"/>
    <col min="7681" max="7681" width="13.5546875" style="4" customWidth="1"/>
    <col min="7682" max="7682" width="14.5546875" style="4" customWidth="1"/>
    <col min="7683" max="7683" width="29.33203125" style="4" customWidth="1"/>
    <col min="7684" max="7684" width="15.5546875" style="4" customWidth="1"/>
    <col min="7685" max="7686" width="7.109375" style="4"/>
    <col min="7687" max="7687" width="5.88671875" style="4" customWidth="1"/>
    <col min="7688" max="7688" width="5.6640625" style="4" customWidth="1"/>
    <col min="7689" max="7936" width="7.109375" style="4"/>
    <col min="7937" max="7937" width="13.5546875" style="4" customWidth="1"/>
    <col min="7938" max="7938" width="14.5546875" style="4" customWidth="1"/>
    <col min="7939" max="7939" width="29.33203125" style="4" customWidth="1"/>
    <col min="7940" max="7940" width="15.5546875" style="4" customWidth="1"/>
    <col min="7941" max="7942" width="7.109375" style="4"/>
    <col min="7943" max="7943" width="5.88671875" style="4" customWidth="1"/>
    <col min="7944" max="7944" width="5.6640625" style="4" customWidth="1"/>
    <col min="7945" max="8192" width="8.88671875" style="4"/>
    <col min="8193" max="8193" width="13.5546875" style="4" customWidth="1"/>
    <col min="8194" max="8194" width="14.5546875" style="4" customWidth="1"/>
    <col min="8195" max="8195" width="29.33203125" style="4" customWidth="1"/>
    <col min="8196" max="8196" width="15.5546875" style="4" customWidth="1"/>
    <col min="8197" max="8198" width="7.109375" style="4"/>
    <col min="8199" max="8199" width="5.88671875" style="4" customWidth="1"/>
    <col min="8200" max="8200" width="5.6640625" style="4" customWidth="1"/>
    <col min="8201" max="8448" width="7.109375" style="4"/>
    <col min="8449" max="8449" width="13.5546875" style="4" customWidth="1"/>
    <col min="8450" max="8450" width="14.5546875" style="4" customWidth="1"/>
    <col min="8451" max="8451" width="29.33203125" style="4" customWidth="1"/>
    <col min="8452" max="8452" width="15.5546875" style="4" customWidth="1"/>
    <col min="8453" max="8454" width="7.109375" style="4"/>
    <col min="8455" max="8455" width="5.88671875" style="4" customWidth="1"/>
    <col min="8456" max="8456" width="5.6640625" style="4" customWidth="1"/>
    <col min="8457" max="8704" width="7.109375" style="4"/>
    <col min="8705" max="8705" width="13.5546875" style="4" customWidth="1"/>
    <col min="8706" max="8706" width="14.5546875" style="4" customWidth="1"/>
    <col min="8707" max="8707" width="29.33203125" style="4" customWidth="1"/>
    <col min="8708" max="8708" width="15.5546875" style="4" customWidth="1"/>
    <col min="8709" max="8710" width="7.109375" style="4"/>
    <col min="8711" max="8711" width="5.88671875" style="4" customWidth="1"/>
    <col min="8712" max="8712" width="5.6640625" style="4" customWidth="1"/>
    <col min="8713" max="8960" width="7.109375" style="4"/>
    <col min="8961" max="8961" width="13.5546875" style="4" customWidth="1"/>
    <col min="8962" max="8962" width="14.5546875" style="4" customWidth="1"/>
    <col min="8963" max="8963" width="29.33203125" style="4" customWidth="1"/>
    <col min="8964" max="8964" width="15.5546875" style="4" customWidth="1"/>
    <col min="8965" max="8966" width="7.109375" style="4"/>
    <col min="8967" max="8967" width="5.88671875" style="4" customWidth="1"/>
    <col min="8968" max="8968" width="5.6640625" style="4" customWidth="1"/>
    <col min="8969" max="9216" width="8.88671875" style="4"/>
    <col min="9217" max="9217" width="13.5546875" style="4" customWidth="1"/>
    <col min="9218" max="9218" width="14.5546875" style="4" customWidth="1"/>
    <col min="9219" max="9219" width="29.33203125" style="4" customWidth="1"/>
    <col min="9220" max="9220" width="15.5546875" style="4" customWidth="1"/>
    <col min="9221" max="9222" width="7.109375" style="4"/>
    <col min="9223" max="9223" width="5.88671875" style="4" customWidth="1"/>
    <col min="9224" max="9224" width="5.6640625" style="4" customWidth="1"/>
    <col min="9225" max="9472" width="7.109375" style="4"/>
    <col min="9473" max="9473" width="13.5546875" style="4" customWidth="1"/>
    <col min="9474" max="9474" width="14.5546875" style="4" customWidth="1"/>
    <col min="9475" max="9475" width="29.33203125" style="4" customWidth="1"/>
    <col min="9476" max="9476" width="15.5546875" style="4" customWidth="1"/>
    <col min="9477" max="9478" width="7.109375" style="4"/>
    <col min="9479" max="9479" width="5.88671875" style="4" customWidth="1"/>
    <col min="9480" max="9480" width="5.6640625" style="4" customWidth="1"/>
    <col min="9481" max="9728" width="7.109375" style="4"/>
    <col min="9729" max="9729" width="13.5546875" style="4" customWidth="1"/>
    <col min="9730" max="9730" width="14.5546875" style="4" customWidth="1"/>
    <col min="9731" max="9731" width="29.33203125" style="4" customWidth="1"/>
    <col min="9732" max="9732" width="15.5546875" style="4" customWidth="1"/>
    <col min="9733" max="9734" width="7.109375" style="4"/>
    <col min="9735" max="9735" width="5.88671875" style="4" customWidth="1"/>
    <col min="9736" max="9736" width="5.6640625" style="4" customWidth="1"/>
    <col min="9737" max="9984" width="7.109375" style="4"/>
    <col min="9985" max="9985" width="13.5546875" style="4" customWidth="1"/>
    <col min="9986" max="9986" width="14.5546875" style="4" customWidth="1"/>
    <col min="9987" max="9987" width="29.33203125" style="4" customWidth="1"/>
    <col min="9988" max="9988" width="15.5546875" style="4" customWidth="1"/>
    <col min="9989" max="9990" width="7.109375" style="4"/>
    <col min="9991" max="9991" width="5.88671875" style="4" customWidth="1"/>
    <col min="9992" max="9992" width="5.6640625" style="4" customWidth="1"/>
    <col min="9993" max="10240" width="8.88671875" style="4"/>
    <col min="10241" max="10241" width="13.5546875" style="4" customWidth="1"/>
    <col min="10242" max="10242" width="14.5546875" style="4" customWidth="1"/>
    <col min="10243" max="10243" width="29.33203125" style="4" customWidth="1"/>
    <col min="10244" max="10244" width="15.5546875" style="4" customWidth="1"/>
    <col min="10245" max="10246" width="7.109375" style="4"/>
    <col min="10247" max="10247" width="5.88671875" style="4" customWidth="1"/>
    <col min="10248" max="10248" width="5.6640625" style="4" customWidth="1"/>
    <col min="10249" max="10496" width="7.109375" style="4"/>
    <col min="10497" max="10497" width="13.5546875" style="4" customWidth="1"/>
    <col min="10498" max="10498" width="14.5546875" style="4" customWidth="1"/>
    <col min="10499" max="10499" width="29.33203125" style="4" customWidth="1"/>
    <col min="10500" max="10500" width="15.5546875" style="4" customWidth="1"/>
    <col min="10501" max="10502" width="7.109375" style="4"/>
    <col min="10503" max="10503" width="5.88671875" style="4" customWidth="1"/>
    <col min="10504" max="10504" width="5.6640625" style="4" customWidth="1"/>
    <col min="10505" max="10752" width="7.109375" style="4"/>
    <col min="10753" max="10753" width="13.5546875" style="4" customWidth="1"/>
    <col min="10754" max="10754" width="14.5546875" style="4" customWidth="1"/>
    <col min="10755" max="10755" width="29.33203125" style="4" customWidth="1"/>
    <col min="10756" max="10756" width="15.5546875" style="4" customWidth="1"/>
    <col min="10757" max="10758" width="7.109375" style="4"/>
    <col min="10759" max="10759" width="5.88671875" style="4" customWidth="1"/>
    <col min="10760" max="10760" width="5.6640625" style="4" customWidth="1"/>
    <col min="10761" max="11008" width="7.109375" style="4"/>
    <col min="11009" max="11009" width="13.5546875" style="4" customWidth="1"/>
    <col min="11010" max="11010" width="14.5546875" style="4" customWidth="1"/>
    <col min="11011" max="11011" width="29.33203125" style="4" customWidth="1"/>
    <col min="11012" max="11012" width="15.5546875" style="4" customWidth="1"/>
    <col min="11013" max="11014" width="7.109375" style="4"/>
    <col min="11015" max="11015" width="5.88671875" style="4" customWidth="1"/>
    <col min="11016" max="11016" width="5.6640625" style="4" customWidth="1"/>
    <col min="11017" max="11264" width="8.88671875" style="4"/>
    <col min="11265" max="11265" width="13.5546875" style="4" customWidth="1"/>
    <col min="11266" max="11266" width="14.5546875" style="4" customWidth="1"/>
    <col min="11267" max="11267" width="29.33203125" style="4" customWidth="1"/>
    <col min="11268" max="11268" width="15.5546875" style="4" customWidth="1"/>
    <col min="11269" max="11270" width="7.109375" style="4"/>
    <col min="11271" max="11271" width="5.88671875" style="4" customWidth="1"/>
    <col min="11272" max="11272" width="5.6640625" style="4" customWidth="1"/>
    <col min="11273" max="11520" width="7.109375" style="4"/>
    <col min="11521" max="11521" width="13.5546875" style="4" customWidth="1"/>
    <col min="11522" max="11522" width="14.5546875" style="4" customWidth="1"/>
    <col min="11523" max="11523" width="29.33203125" style="4" customWidth="1"/>
    <col min="11524" max="11524" width="15.5546875" style="4" customWidth="1"/>
    <col min="11525" max="11526" width="7.109375" style="4"/>
    <col min="11527" max="11527" width="5.88671875" style="4" customWidth="1"/>
    <col min="11528" max="11528" width="5.6640625" style="4" customWidth="1"/>
    <col min="11529" max="11776" width="7.109375" style="4"/>
    <col min="11777" max="11777" width="13.5546875" style="4" customWidth="1"/>
    <col min="11778" max="11778" width="14.5546875" style="4" customWidth="1"/>
    <col min="11779" max="11779" width="29.33203125" style="4" customWidth="1"/>
    <col min="11780" max="11780" width="15.5546875" style="4" customWidth="1"/>
    <col min="11781" max="11782" width="7.109375" style="4"/>
    <col min="11783" max="11783" width="5.88671875" style="4" customWidth="1"/>
    <col min="11784" max="11784" width="5.6640625" style="4" customWidth="1"/>
    <col min="11785" max="12032" width="7.109375" style="4"/>
    <col min="12033" max="12033" width="13.5546875" style="4" customWidth="1"/>
    <col min="12034" max="12034" width="14.5546875" style="4" customWidth="1"/>
    <col min="12035" max="12035" width="29.33203125" style="4" customWidth="1"/>
    <col min="12036" max="12036" width="15.5546875" style="4" customWidth="1"/>
    <col min="12037" max="12038" width="7.109375" style="4"/>
    <col min="12039" max="12039" width="5.88671875" style="4" customWidth="1"/>
    <col min="12040" max="12040" width="5.6640625" style="4" customWidth="1"/>
    <col min="12041" max="12288" width="8.88671875" style="4"/>
    <col min="12289" max="12289" width="13.5546875" style="4" customWidth="1"/>
    <col min="12290" max="12290" width="14.5546875" style="4" customWidth="1"/>
    <col min="12291" max="12291" width="29.33203125" style="4" customWidth="1"/>
    <col min="12292" max="12292" width="15.5546875" style="4" customWidth="1"/>
    <col min="12293" max="12294" width="7.109375" style="4"/>
    <col min="12295" max="12295" width="5.88671875" style="4" customWidth="1"/>
    <col min="12296" max="12296" width="5.6640625" style="4" customWidth="1"/>
    <col min="12297" max="12544" width="7.109375" style="4"/>
    <col min="12545" max="12545" width="13.5546875" style="4" customWidth="1"/>
    <col min="12546" max="12546" width="14.5546875" style="4" customWidth="1"/>
    <col min="12547" max="12547" width="29.33203125" style="4" customWidth="1"/>
    <col min="12548" max="12548" width="15.5546875" style="4" customWidth="1"/>
    <col min="12549" max="12550" width="7.109375" style="4"/>
    <col min="12551" max="12551" width="5.88671875" style="4" customWidth="1"/>
    <col min="12552" max="12552" width="5.6640625" style="4" customWidth="1"/>
    <col min="12553" max="12800" width="7.109375" style="4"/>
    <col min="12801" max="12801" width="13.5546875" style="4" customWidth="1"/>
    <col min="12802" max="12802" width="14.5546875" style="4" customWidth="1"/>
    <col min="12803" max="12803" width="29.33203125" style="4" customWidth="1"/>
    <col min="12804" max="12804" width="15.5546875" style="4" customWidth="1"/>
    <col min="12805" max="12806" width="7.109375" style="4"/>
    <col min="12807" max="12807" width="5.88671875" style="4" customWidth="1"/>
    <col min="12808" max="12808" width="5.6640625" style="4" customWidth="1"/>
    <col min="12809" max="13056" width="7.109375" style="4"/>
    <col min="13057" max="13057" width="13.5546875" style="4" customWidth="1"/>
    <col min="13058" max="13058" width="14.5546875" style="4" customWidth="1"/>
    <col min="13059" max="13059" width="29.33203125" style="4" customWidth="1"/>
    <col min="13060" max="13060" width="15.5546875" style="4" customWidth="1"/>
    <col min="13061" max="13062" width="7.109375" style="4"/>
    <col min="13063" max="13063" width="5.88671875" style="4" customWidth="1"/>
    <col min="13064" max="13064" width="5.6640625" style="4" customWidth="1"/>
    <col min="13065" max="13312" width="8.88671875" style="4"/>
    <col min="13313" max="13313" width="13.5546875" style="4" customWidth="1"/>
    <col min="13314" max="13314" width="14.5546875" style="4" customWidth="1"/>
    <col min="13315" max="13315" width="29.33203125" style="4" customWidth="1"/>
    <col min="13316" max="13316" width="15.5546875" style="4" customWidth="1"/>
    <col min="13317" max="13318" width="7.109375" style="4"/>
    <col min="13319" max="13319" width="5.88671875" style="4" customWidth="1"/>
    <col min="13320" max="13320" width="5.6640625" style="4" customWidth="1"/>
    <col min="13321" max="13568" width="7.109375" style="4"/>
    <col min="13569" max="13569" width="13.5546875" style="4" customWidth="1"/>
    <col min="13570" max="13570" width="14.5546875" style="4" customWidth="1"/>
    <col min="13571" max="13571" width="29.33203125" style="4" customWidth="1"/>
    <col min="13572" max="13572" width="15.5546875" style="4" customWidth="1"/>
    <col min="13573" max="13574" width="7.109375" style="4"/>
    <col min="13575" max="13575" width="5.88671875" style="4" customWidth="1"/>
    <col min="13576" max="13576" width="5.6640625" style="4" customWidth="1"/>
    <col min="13577" max="13824" width="7.109375" style="4"/>
    <col min="13825" max="13825" width="13.5546875" style="4" customWidth="1"/>
    <col min="13826" max="13826" width="14.5546875" style="4" customWidth="1"/>
    <col min="13827" max="13827" width="29.33203125" style="4" customWidth="1"/>
    <col min="13828" max="13828" width="15.5546875" style="4" customWidth="1"/>
    <col min="13829" max="13830" width="7.109375" style="4"/>
    <col min="13831" max="13831" width="5.88671875" style="4" customWidth="1"/>
    <col min="13832" max="13832" width="5.6640625" style="4" customWidth="1"/>
    <col min="13833" max="14080" width="7.109375" style="4"/>
    <col min="14081" max="14081" width="13.5546875" style="4" customWidth="1"/>
    <col min="14082" max="14082" width="14.5546875" style="4" customWidth="1"/>
    <col min="14083" max="14083" width="29.33203125" style="4" customWidth="1"/>
    <col min="14084" max="14084" width="15.5546875" style="4" customWidth="1"/>
    <col min="14085" max="14086" width="7.109375" style="4"/>
    <col min="14087" max="14087" width="5.88671875" style="4" customWidth="1"/>
    <col min="14088" max="14088" width="5.6640625" style="4" customWidth="1"/>
    <col min="14089" max="14336" width="8.88671875" style="4"/>
    <col min="14337" max="14337" width="13.5546875" style="4" customWidth="1"/>
    <col min="14338" max="14338" width="14.5546875" style="4" customWidth="1"/>
    <col min="14339" max="14339" width="29.33203125" style="4" customWidth="1"/>
    <col min="14340" max="14340" width="15.5546875" style="4" customWidth="1"/>
    <col min="14341" max="14342" width="7.109375" style="4"/>
    <col min="14343" max="14343" width="5.88671875" style="4" customWidth="1"/>
    <col min="14344" max="14344" width="5.6640625" style="4" customWidth="1"/>
    <col min="14345" max="14592" width="7.109375" style="4"/>
    <col min="14593" max="14593" width="13.5546875" style="4" customWidth="1"/>
    <col min="14594" max="14594" width="14.5546875" style="4" customWidth="1"/>
    <col min="14595" max="14595" width="29.33203125" style="4" customWidth="1"/>
    <col min="14596" max="14596" width="15.5546875" style="4" customWidth="1"/>
    <col min="14597" max="14598" width="7.109375" style="4"/>
    <col min="14599" max="14599" width="5.88671875" style="4" customWidth="1"/>
    <col min="14600" max="14600" width="5.6640625" style="4" customWidth="1"/>
    <col min="14601" max="14848" width="7.109375" style="4"/>
    <col min="14849" max="14849" width="13.5546875" style="4" customWidth="1"/>
    <col min="14850" max="14850" width="14.5546875" style="4" customWidth="1"/>
    <col min="14851" max="14851" width="29.33203125" style="4" customWidth="1"/>
    <col min="14852" max="14852" width="15.5546875" style="4" customWidth="1"/>
    <col min="14853" max="14854" width="7.109375" style="4"/>
    <col min="14855" max="14855" width="5.88671875" style="4" customWidth="1"/>
    <col min="14856" max="14856" width="5.6640625" style="4" customWidth="1"/>
    <col min="14857" max="15104" width="7.109375" style="4"/>
    <col min="15105" max="15105" width="13.5546875" style="4" customWidth="1"/>
    <col min="15106" max="15106" width="14.5546875" style="4" customWidth="1"/>
    <col min="15107" max="15107" width="29.33203125" style="4" customWidth="1"/>
    <col min="15108" max="15108" width="15.5546875" style="4" customWidth="1"/>
    <col min="15109" max="15110" width="7.109375" style="4"/>
    <col min="15111" max="15111" width="5.88671875" style="4" customWidth="1"/>
    <col min="15112" max="15112" width="5.6640625" style="4" customWidth="1"/>
    <col min="15113" max="15360" width="8.88671875" style="4"/>
    <col min="15361" max="15361" width="13.5546875" style="4" customWidth="1"/>
    <col min="15362" max="15362" width="14.5546875" style="4" customWidth="1"/>
    <col min="15363" max="15363" width="29.33203125" style="4" customWidth="1"/>
    <col min="15364" max="15364" width="15.5546875" style="4" customWidth="1"/>
    <col min="15365" max="15366" width="7.109375" style="4"/>
    <col min="15367" max="15367" width="5.88671875" style="4" customWidth="1"/>
    <col min="15368" max="15368" width="5.6640625" style="4" customWidth="1"/>
    <col min="15369" max="15616" width="7.109375" style="4"/>
    <col min="15617" max="15617" width="13.5546875" style="4" customWidth="1"/>
    <col min="15618" max="15618" width="14.5546875" style="4" customWidth="1"/>
    <col min="15619" max="15619" width="29.33203125" style="4" customWidth="1"/>
    <col min="15620" max="15620" width="15.5546875" style="4" customWidth="1"/>
    <col min="15621" max="15622" width="7.109375" style="4"/>
    <col min="15623" max="15623" width="5.88671875" style="4" customWidth="1"/>
    <col min="15624" max="15624" width="5.6640625" style="4" customWidth="1"/>
    <col min="15625" max="15872" width="7.109375" style="4"/>
    <col min="15873" max="15873" width="13.5546875" style="4" customWidth="1"/>
    <col min="15874" max="15874" width="14.5546875" style="4" customWidth="1"/>
    <col min="15875" max="15875" width="29.33203125" style="4" customWidth="1"/>
    <col min="15876" max="15876" width="15.5546875" style="4" customWidth="1"/>
    <col min="15877" max="15878" width="7.109375" style="4"/>
    <col min="15879" max="15879" width="5.88671875" style="4" customWidth="1"/>
    <col min="15880" max="15880" width="5.6640625" style="4" customWidth="1"/>
    <col min="15881" max="16128" width="7.109375" style="4"/>
    <col min="16129" max="16129" width="13.5546875" style="4" customWidth="1"/>
    <col min="16130" max="16130" width="14.5546875" style="4" customWidth="1"/>
    <col min="16131" max="16131" width="29.33203125" style="4" customWidth="1"/>
    <col min="16132" max="16132" width="15.5546875" style="4" customWidth="1"/>
    <col min="16133" max="16134" width="7.109375" style="4"/>
    <col min="16135" max="16135" width="5.88671875" style="4" customWidth="1"/>
    <col min="16136" max="16136" width="5.6640625" style="4" customWidth="1"/>
    <col min="16137" max="16384" width="8.88671875" style="4"/>
  </cols>
  <sheetData>
    <row r="1" spans="1:9">
      <c r="A1" s="3955" t="s">
        <v>0</v>
      </c>
      <c r="B1" s="3955"/>
      <c r="C1" s="3955"/>
      <c r="D1" s="3955"/>
      <c r="E1" s="3955"/>
      <c r="F1" s="3955"/>
      <c r="G1" s="3955"/>
      <c r="H1" s="3955"/>
    </row>
    <row r="2" spans="1:9">
      <c r="A2" s="5" t="s">
        <v>1286</v>
      </c>
      <c r="B2" s="6"/>
      <c r="C2" s="6"/>
      <c r="D2" s="6"/>
      <c r="E2" s="6"/>
      <c r="F2" s="6"/>
      <c r="G2" s="6"/>
      <c r="H2" s="6"/>
    </row>
    <row r="3" spans="1:9">
      <c r="A3" s="5"/>
      <c r="C3" s="6"/>
      <c r="D3" s="6"/>
      <c r="F3" s="6"/>
      <c r="G3" s="6"/>
      <c r="H3" s="6"/>
    </row>
    <row r="4" spans="1:9">
      <c r="A4" s="5" t="s">
        <v>1</v>
      </c>
      <c r="B4" s="7" t="s">
        <v>2</v>
      </c>
      <c r="C4" s="6"/>
      <c r="D4" s="6"/>
      <c r="E4" s="7"/>
      <c r="F4" s="6"/>
      <c r="G4" s="6"/>
      <c r="H4" s="6"/>
    </row>
    <row r="5" spans="1:9">
      <c r="A5" s="7" t="s">
        <v>5</v>
      </c>
      <c r="B5" s="8" t="s">
        <v>6</v>
      </c>
      <c r="C5" s="7" t="s">
        <v>7</v>
      </c>
      <c r="D5" s="7" t="s">
        <v>8</v>
      </c>
      <c r="E5" s="9"/>
      <c r="F5" s="7"/>
      <c r="G5" s="7"/>
      <c r="H5" s="7"/>
      <c r="I5" s="26" t="s">
        <v>1414</v>
      </c>
    </row>
    <row r="6" spans="1:9">
      <c r="A6" s="6" t="s">
        <v>13</v>
      </c>
      <c r="B6" s="6"/>
      <c r="C6" s="6" t="s">
        <v>14</v>
      </c>
      <c r="D6" s="6" t="s">
        <v>15</v>
      </c>
      <c r="E6" s="10"/>
      <c r="F6" s="11"/>
      <c r="G6" s="11"/>
      <c r="H6" s="11"/>
      <c r="I6" s="26" t="s">
        <v>1415</v>
      </c>
    </row>
    <row r="7" spans="1:9">
      <c r="A7" s="12" t="s">
        <v>17</v>
      </c>
      <c r="B7" s="12" t="s">
        <v>1287</v>
      </c>
      <c r="C7" s="12" t="s">
        <v>18</v>
      </c>
      <c r="D7" s="12" t="s">
        <v>19</v>
      </c>
      <c r="E7" s="10"/>
      <c r="F7" s="13"/>
      <c r="G7" s="13"/>
      <c r="H7" s="13"/>
      <c r="I7" s="27" t="s">
        <v>1420</v>
      </c>
    </row>
    <row r="8" spans="1:9">
      <c r="A8" s="12" t="s">
        <v>21</v>
      </c>
      <c r="B8" s="12"/>
      <c r="C8" s="12" t="s">
        <v>22</v>
      </c>
      <c r="D8" s="12" t="s">
        <v>23</v>
      </c>
      <c r="E8" s="10"/>
      <c r="F8" s="13"/>
      <c r="G8" s="13"/>
      <c r="H8" s="13"/>
    </row>
    <row r="9" spans="1:9">
      <c r="A9" s="12" t="s">
        <v>25</v>
      </c>
      <c r="B9" s="12" t="s">
        <v>1287</v>
      </c>
      <c r="C9" s="12" t="s">
        <v>26</v>
      </c>
      <c r="D9" s="12" t="s">
        <v>27</v>
      </c>
      <c r="E9" s="10"/>
      <c r="F9" s="13"/>
      <c r="G9" s="13"/>
      <c r="H9" s="13"/>
    </row>
    <row r="10" spans="1:9">
      <c r="A10" s="12"/>
      <c r="B10" s="12"/>
      <c r="C10" s="12" t="s">
        <v>29</v>
      </c>
      <c r="D10" s="12" t="s">
        <v>30</v>
      </c>
      <c r="E10" s="12"/>
      <c r="F10" s="13"/>
      <c r="G10" s="13"/>
      <c r="H10" s="13"/>
    </row>
    <row r="11" spans="1:9">
      <c r="A11" s="12"/>
      <c r="B11" s="12"/>
      <c r="C11" s="12" t="s">
        <v>31</v>
      </c>
      <c r="D11" s="12" t="s">
        <v>32</v>
      </c>
      <c r="E11" s="12"/>
      <c r="F11" s="13"/>
      <c r="G11" s="13"/>
      <c r="H11" s="13"/>
    </row>
    <row r="12" spans="1:9">
      <c r="A12" s="12"/>
      <c r="B12" s="12"/>
      <c r="C12" s="12" t="s">
        <v>33</v>
      </c>
      <c r="D12" s="12" t="s">
        <v>34</v>
      </c>
      <c r="E12" s="12"/>
      <c r="F12" s="13"/>
      <c r="G12" s="13"/>
      <c r="H12" s="13"/>
    </row>
    <row r="13" spans="1:9" ht="12.75" customHeight="1">
      <c r="A13" s="12"/>
      <c r="B13" s="12"/>
      <c r="C13" s="12" t="s">
        <v>35</v>
      </c>
      <c r="D13" s="12"/>
      <c r="E13" s="12"/>
      <c r="F13" s="6" t="s">
        <v>36</v>
      </c>
      <c r="G13" s="13"/>
      <c r="H13" s="13"/>
    </row>
    <row r="14" spans="1:9" ht="12.75" customHeight="1">
      <c r="A14" s="12"/>
      <c r="B14" s="12"/>
      <c r="C14" s="12" t="s">
        <v>37</v>
      </c>
      <c r="D14" s="12"/>
      <c r="E14" s="12"/>
      <c r="F14" s="13"/>
      <c r="G14" s="13"/>
      <c r="H14" s="13"/>
    </row>
    <row r="15" spans="1:9" ht="12.75" customHeight="1">
      <c r="A15" s="12"/>
      <c r="B15" s="12"/>
      <c r="C15" s="12" t="s">
        <v>38</v>
      </c>
      <c r="D15" s="12"/>
      <c r="E15" s="12"/>
      <c r="F15" s="13"/>
      <c r="G15" s="13"/>
      <c r="H15" s="13"/>
    </row>
    <row r="16" spans="1:9" ht="12.75" customHeight="1">
      <c r="A16" s="12"/>
      <c r="B16" s="12"/>
      <c r="C16" s="12" t="s">
        <v>39</v>
      </c>
      <c r="D16" s="12"/>
      <c r="E16" s="12"/>
      <c r="F16" s="13"/>
      <c r="G16" s="13"/>
      <c r="H16" s="13"/>
    </row>
    <row r="17" spans="1:8" ht="12.75" customHeight="1">
      <c r="A17" s="12"/>
      <c r="B17" s="12"/>
      <c r="C17" s="12" t="s">
        <v>40</v>
      </c>
      <c r="D17" s="12"/>
      <c r="E17" s="12"/>
      <c r="F17" s="13"/>
      <c r="G17" s="13"/>
      <c r="H17" s="13"/>
    </row>
    <row r="18" spans="1:8" ht="12.75" customHeight="1">
      <c r="A18" s="12"/>
      <c r="B18" s="12"/>
      <c r="C18" s="12" t="s">
        <v>41</v>
      </c>
      <c r="D18" s="12"/>
      <c r="E18" s="12"/>
      <c r="F18" s="13"/>
      <c r="G18" s="13"/>
      <c r="H18" s="13"/>
    </row>
    <row r="19" spans="1:8" ht="12.75" customHeight="1">
      <c r="A19" s="12"/>
      <c r="B19" s="12"/>
      <c r="C19" s="12"/>
      <c r="D19" s="12"/>
      <c r="E19" s="12"/>
      <c r="F19" s="13"/>
      <c r="G19" s="13"/>
      <c r="H19" s="13"/>
    </row>
    <row r="20" spans="1:8" ht="12.75" customHeight="1">
      <c r="A20" s="5" t="s">
        <v>42</v>
      </c>
      <c r="B20" s="7" t="s">
        <v>2</v>
      </c>
      <c r="C20" s="6"/>
      <c r="D20" s="6"/>
      <c r="E20" s="7" t="s">
        <v>4</v>
      </c>
      <c r="F20" s="13"/>
      <c r="G20" s="13"/>
      <c r="H20" s="13"/>
    </row>
    <row r="21" spans="1:8">
      <c r="A21" s="7" t="s">
        <v>5</v>
      </c>
      <c r="B21" s="8"/>
      <c r="C21" s="7" t="s">
        <v>7</v>
      </c>
      <c r="D21" s="7" t="s">
        <v>8</v>
      </c>
      <c r="E21" s="10" t="s">
        <v>44</v>
      </c>
      <c r="F21" s="7"/>
      <c r="G21" s="7"/>
      <c r="H21" s="7"/>
    </row>
    <row r="22" spans="1:8">
      <c r="A22" s="6" t="s">
        <v>45</v>
      </c>
      <c r="B22" s="12"/>
      <c r="C22" s="12" t="s">
        <v>46</v>
      </c>
      <c r="D22" s="12" t="s">
        <v>47</v>
      </c>
      <c r="E22" s="10" t="s">
        <v>48</v>
      </c>
      <c r="F22" s="11"/>
      <c r="G22" s="11"/>
      <c r="H22" s="11"/>
    </row>
    <row r="23" spans="1:8" ht="12.75" customHeight="1">
      <c r="A23" s="12" t="s">
        <v>49</v>
      </c>
      <c r="B23" s="12" t="s">
        <v>50</v>
      </c>
      <c r="D23" s="12"/>
      <c r="E23" s="10" t="s">
        <v>51</v>
      </c>
      <c r="F23" s="13"/>
      <c r="G23" s="13"/>
      <c r="H23" s="13"/>
    </row>
    <row r="24" spans="1:8" ht="12.75" customHeight="1">
      <c r="A24" s="12"/>
      <c r="B24" s="12"/>
      <c r="C24" s="12"/>
      <c r="D24" s="12"/>
      <c r="E24" s="12">
        <f>742+121+203</f>
        <v>1066</v>
      </c>
      <c r="F24" s="13"/>
      <c r="G24" s="13"/>
      <c r="H24" s="13"/>
    </row>
    <row r="25" spans="1:8" ht="12.75" customHeight="1">
      <c r="A25" s="12"/>
      <c r="B25" s="12"/>
      <c r="C25" s="12"/>
      <c r="D25" s="12"/>
      <c r="E25" s="12"/>
      <c r="F25" s="13"/>
      <c r="G25" s="13"/>
      <c r="H25" s="13"/>
    </row>
    <row r="26" spans="1:8" ht="12.75" customHeight="1">
      <c r="A26" s="12"/>
      <c r="B26" s="12"/>
      <c r="C26" s="12"/>
      <c r="D26" s="12"/>
      <c r="E26" s="12"/>
      <c r="F26" s="13"/>
      <c r="G26" s="13"/>
      <c r="H26" s="13"/>
    </row>
    <row r="27" spans="1:8" ht="12.75" customHeight="1">
      <c r="A27" s="5" t="s">
        <v>52</v>
      </c>
      <c r="B27" s="7" t="s">
        <v>2</v>
      </c>
      <c r="C27" s="12" t="s">
        <v>53</v>
      </c>
      <c r="D27" s="6"/>
      <c r="E27" s="7" t="s">
        <v>4</v>
      </c>
      <c r="F27" s="13"/>
      <c r="G27" s="13"/>
      <c r="H27" s="13"/>
    </row>
    <row r="28" spans="1:8">
      <c r="A28" s="7" t="s">
        <v>5</v>
      </c>
      <c r="B28" s="8" t="s">
        <v>54</v>
      </c>
      <c r="C28" s="7" t="s">
        <v>7</v>
      </c>
      <c r="D28" s="7" t="s">
        <v>8</v>
      </c>
      <c r="E28" s="10">
        <v>345</v>
      </c>
      <c r="F28" s="7" t="s">
        <v>10</v>
      </c>
      <c r="G28" s="7" t="s">
        <v>11</v>
      </c>
      <c r="H28" s="7" t="s">
        <v>12</v>
      </c>
    </row>
    <row r="29" spans="1:8">
      <c r="A29" s="12" t="s">
        <v>55</v>
      </c>
      <c r="B29" s="12"/>
      <c r="D29" s="12" t="s">
        <v>56</v>
      </c>
      <c r="E29" s="12"/>
      <c r="F29" s="11">
        <v>2.1</v>
      </c>
      <c r="G29" s="11">
        <v>0.6</v>
      </c>
      <c r="H29" s="11">
        <v>7.1</v>
      </c>
    </row>
    <row r="30" spans="1:8">
      <c r="A30" s="12" t="s">
        <v>57</v>
      </c>
      <c r="B30" s="12"/>
      <c r="C30" s="12"/>
      <c r="D30" s="12" t="s">
        <v>58</v>
      </c>
      <c r="E30" s="12"/>
      <c r="F30" s="13"/>
      <c r="G30" s="13"/>
      <c r="H30" s="13"/>
    </row>
    <row r="31" spans="1:8" ht="12.75" customHeight="1">
      <c r="A31" s="12"/>
      <c r="B31" s="12"/>
      <c r="C31" s="12"/>
      <c r="D31" s="12"/>
      <c r="E31" s="12"/>
      <c r="F31" s="13"/>
      <c r="G31" s="13"/>
      <c r="H31" s="13"/>
    </row>
    <row r="32" spans="1:8" ht="12.75" customHeight="1">
      <c r="A32" s="12"/>
      <c r="B32" s="12"/>
      <c r="C32" s="12"/>
      <c r="D32" s="12"/>
      <c r="E32" s="12"/>
      <c r="F32" s="13"/>
      <c r="G32" s="13"/>
      <c r="H32" s="13"/>
    </row>
    <row r="33" spans="1:8" ht="12.75" customHeight="1">
      <c r="A33" s="5" t="s">
        <v>59</v>
      </c>
      <c r="B33" s="7" t="s">
        <v>2</v>
      </c>
      <c r="C33" s="6"/>
      <c r="D33" s="6"/>
      <c r="E33" s="7" t="s">
        <v>4</v>
      </c>
      <c r="F33" s="13"/>
      <c r="G33" s="13"/>
      <c r="H33" s="13"/>
    </row>
    <row r="34" spans="1:8">
      <c r="A34" s="7" t="s">
        <v>5</v>
      </c>
      <c r="B34" s="8" t="s">
        <v>60</v>
      </c>
      <c r="C34" s="7" t="s">
        <v>7</v>
      </c>
      <c r="D34" s="7" t="s">
        <v>8</v>
      </c>
      <c r="E34" s="10">
        <v>356</v>
      </c>
      <c r="F34" s="7" t="s">
        <v>10</v>
      </c>
      <c r="G34" s="7" t="s">
        <v>11</v>
      </c>
      <c r="H34" s="7" t="s">
        <v>12</v>
      </c>
    </row>
    <row r="35" spans="1:8">
      <c r="A35" s="12" t="s">
        <v>61</v>
      </c>
      <c r="B35" s="12"/>
      <c r="C35" s="12" t="s">
        <v>62</v>
      </c>
      <c r="D35" s="12" t="s">
        <v>63</v>
      </c>
      <c r="E35" s="12"/>
      <c r="F35" s="11">
        <v>2.2999999999999998</v>
      </c>
      <c r="G35" s="11">
        <v>1.9</v>
      </c>
      <c r="H35" s="11">
        <v>3.5</v>
      </c>
    </row>
    <row r="36" spans="1:8" ht="12.75" customHeight="1">
      <c r="A36" s="12"/>
      <c r="B36" s="12"/>
      <c r="C36" s="12"/>
      <c r="D36" s="12"/>
      <c r="E36" s="12"/>
      <c r="F36" s="13"/>
      <c r="G36" s="13"/>
      <c r="H36" s="13"/>
    </row>
    <row r="37" spans="1:8" ht="12.75" customHeight="1">
      <c r="A37" s="12"/>
      <c r="B37" s="12"/>
      <c r="C37" s="12"/>
      <c r="D37" s="12"/>
      <c r="E37" s="12"/>
      <c r="F37" s="13"/>
      <c r="G37" s="13"/>
      <c r="H37" s="13"/>
    </row>
    <row r="38" spans="1:8" ht="12.75" customHeight="1">
      <c r="A38" s="12"/>
      <c r="B38" s="12"/>
      <c r="C38" s="12"/>
      <c r="D38" s="12"/>
      <c r="E38" s="12"/>
      <c r="F38" s="13"/>
      <c r="G38" s="13"/>
      <c r="H38" s="13"/>
    </row>
    <row r="39" spans="1:8" ht="12.75" customHeight="1">
      <c r="A39" s="5" t="s">
        <v>64</v>
      </c>
      <c r="C39" s="6"/>
      <c r="D39" s="6"/>
      <c r="E39" s="7"/>
      <c r="F39" s="13"/>
      <c r="G39" s="13"/>
      <c r="H39" s="13"/>
    </row>
    <row r="40" spans="1:8">
      <c r="A40" s="7" t="s">
        <v>5</v>
      </c>
      <c r="B40" s="4" t="s">
        <v>65</v>
      </c>
      <c r="C40" s="7" t="s">
        <v>7</v>
      </c>
      <c r="D40" s="7" t="s">
        <v>8</v>
      </c>
      <c r="E40" s="10"/>
      <c r="F40" s="7"/>
      <c r="G40" s="7"/>
      <c r="H40" s="7"/>
    </row>
    <row r="41" spans="1:8">
      <c r="A41" s="12" t="s">
        <v>67</v>
      </c>
      <c r="B41" s="12"/>
      <c r="C41" s="12" t="s">
        <v>1288</v>
      </c>
      <c r="D41" s="14" t="s">
        <v>68</v>
      </c>
      <c r="E41" s="12"/>
      <c r="F41" s="11"/>
      <c r="G41" s="11"/>
      <c r="H41" s="11"/>
    </row>
    <row r="42" spans="1:8">
      <c r="A42" s="12"/>
      <c r="B42" s="12"/>
      <c r="C42" s="12" t="s">
        <v>69</v>
      </c>
      <c r="D42" s="14" t="s">
        <v>70</v>
      </c>
      <c r="E42" s="12"/>
      <c r="F42" s="13"/>
      <c r="G42" s="13"/>
      <c r="H42" s="13"/>
    </row>
    <row r="43" spans="1:8">
      <c r="A43" s="12"/>
      <c r="B43" s="12"/>
      <c r="C43" s="12" t="s">
        <v>71</v>
      </c>
      <c r="D43" s="12" t="s">
        <v>72</v>
      </c>
      <c r="E43" s="12"/>
      <c r="F43" s="13"/>
      <c r="G43" s="13"/>
      <c r="H43" s="13"/>
    </row>
    <row r="44" spans="1:8">
      <c r="A44" s="12"/>
      <c r="B44" s="12"/>
      <c r="C44" s="12" t="s">
        <v>73</v>
      </c>
      <c r="D44" s="12" t="s">
        <v>74</v>
      </c>
      <c r="E44" s="12"/>
      <c r="F44" s="13"/>
      <c r="G44" s="13"/>
      <c r="H44" s="13"/>
    </row>
    <row r="45" spans="1:8" ht="12.75" customHeight="1">
      <c r="A45" s="12"/>
      <c r="B45" s="12"/>
      <c r="C45" s="12" t="s">
        <v>75</v>
      </c>
      <c r="D45" s="12"/>
      <c r="E45" s="12"/>
      <c r="F45" s="13"/>
      <c r="G45" s="13"/>
      <c r="H45" s="13"/>
    </row>
    <row r="46" spans="1:8" ht="12.75" customHeight="1">
      <c r="A46" s="12"/>
      <c r="B46" s="12"/>
      <c r="C46" s="12"/>
      <c r="D46" s="12"/>
      <c r="E46" s="12"/>
      <c r="F46" s="13"/>
      <c r="G46" s="13"/>
      <c r="H46" s="13"/>
    </row>
    <row r="47" spans="1:8" ht="12.75" customHeight="1">
      <c r="A47" s="5" t="s">
        <v>76</v>
      </c>
      <c r="B47" s="7" t="s">
        <v>2</v>
      </c>
      <c r="C47" s="6"/>
      <c r="D47" s="6"/>
      <c r="E47" s="7" t="s">
        <v>4</v>
      </c>
      <c r="F47" s="13"/>
      <c r="G47" s="13"/>
      <c r="H47" s="13"/>
    </row>
    <row r="48" spans="1:8">
      <c r="A48" s="5"/>
      <c r="B48" s="8" t="s">
        <v>78</v>
      </c>
      <c r="C48" s="7" t="s">
        <v>7</v>
      </c>
      <c r="D48" s="7" t="s">
        <v>8</v>
      </c>
      <c r="E48" s="10">
        <v>436</v>
      </c>
      <c r="F48" s="7" t="s">
        <v>10</v>
      </c>
      <c r="G48" s="7" t="s">
        <v>11</v>
      </c>
      <c r="H48" s="7" t="s">
        <v>12</v>
      </c>
    </row>
    <row r="49" spans="1:8">
      <c r="A49" s="12" t="s">
        <v>79</v>
      </c>
      <c r="B49" s="12"/>
      <c r="C49" s="12" t="s">
        <v>80</v>
      </c>
      <c r="D49" s="12" t="s">
        <v>81</v>
      </c>
      <c r="E49" s="12"/>
      <c r="F49" s="11">
        <v>2.7</v>
      </c>
      <c r="G49" s="11">
        <v>1.8</v>
      </c>
      <c r="H49" s="11">
        <v>3.6</v>
      </c>
    </row>
    <row r="50" spans="1:8">
      <c r="A50" s="12"/>
      <c r="B50" s="12"/>
      <c r="C50" s="12"/>
      <c r="D50" s="12" t="s">
        <v>82</v>
      </c>
      <c r="E50" s="12"/>
      <c r="F50" s="13"/>
      <c r="G50" s="13"/>
      <c r="H50" s="13"/>
    </row>
    <row r="51" spans="1:8" ht="12.75" customHeight="1">
      <c r="A51" s="12"/>
      <c r="B51" s="12"/>
      <c r="C51" s="12"/>
      <c r="D51" s="12"/>
      <c r="E51" s="12"/>
      <c r="F51" s="13"/>
      <c r="G51" s="13"/>
      <c r="H51" s="13"/>
    </row>
    <row r="52" spans="1:8" ht="12.75" customHeight="1">
      <c r="A52" s="12"/>
      <c r="B52" s="12"/>
      <c r="C52" s="12"/>
      <c r="D52" s="12"/>
      <c r="E52" s="12"/>
      <c r="F52" s="13"/>
      <c r="G52" s="13"/>
      <c r="H52" s="13"/>
    </row>
    <row r="53" spans="1:8" ht="12.75" customHeight="1">
      <c r="A53" s="5" t="s">
        <v>83</v>
      </c>
      <c r="B53" s="7" t="s">
        <v>2</v>
      </c>
      <c r="C53" s="6"/>
      <c r="D53" s="6"/>
      <c r="E53" s="7"/>
      <c r="F53" s="13"/>
      <c r="G53" s="13"/>
      <c r="H53" s="13"/>
    </row>
    <row r="54" spans="1:8">
      <c r="A54" s="5"/>
      <c r="B54" s="8"/>
      <c r="C54" s="7" t="s">
        <v>7</v>
      </c>
      <c r="D54" s="7" t="s">
        <v>8</v>
      </c>
      <c r="F54" s="7"/>
      <c r="G54" s="7"/>
      <c r="H54" s="7"/>
    </row>
    <row r="55" spans="1:8" ht="12.75" customHeight="1">
      <c r="A55" s="6" t="s">
        <v>86</v>
      </c>
      <c r="B55" s="12" t="s">
        <v>1287</v>
      </c>
      <c r="C55" s="12" t="s">
        <v>1287</v>
      </c>
      <c r="D55" s="12"/>
      <c r="E55" s="12"/>
      <c r="F55" s="11"/>
      <c r="G55" s="11"/>
      <c r="H55" s="11"/>
    </row>
    <row r="56" spans="1:8" ht="12.75" customHeight="1">
      <c r="A56" s="6" t="s">
        <v>87</v>
      </c>
      <c r="B56" s="12"/>
      <c r="C56" s="12"/>
      <c r="D56" s="12"/>
      <c r="E56" s="12"/>
      <c r="F56" s="13"/>
      <c r="G56" s="13"/>
      <c r="H56" s="13"/>
    </row>
    <row r="57" spans="1:8" ht="12.75" customHeight="1">
      <c r="A57" s="6" t="s">
        <v>88</v>
      </c>
      <c r="B57" s="12"/>
      <c r="C57" s="12"/>
      <c r="D57" s="12"/>
      <c r="E57" s="12"/>
      <c r="F57" s="13"/>
      <c r="G57" s="13"/>
      <c r="H57" s="13"/>
    </row>
    <row r="58" spans="1:8" ht="12.75" customHeight="1">
      <c r="A58" s="6"/>
      <c r="B58" s="12"/>
      <c r="C58" s="12"/>
      <c r="D58" s="12"/>
      <c r="E58" s="12"/>
      <c r="F58" s="13"/>
      <c r="G58" s="13"/>
      <c r="H58" s="13"/>
    </row>
    <row r="59" spans="1:8" ht="12.75" customHeight="1">
      <c r="A59" s="6"/>
      <c r="B59" s="12"/>
      <c r="C59" s="12"/>
      <c r="D59" s="12"/>
      <c r="E59" s="12"/>
      <c r="F59" s="13"/>
      <c r="G59" s="13"/>
      <c r="H59" s="13"/>
    </row>
    <row r="60" spans="1:8" ht="12.75" customHeight="1">
      <c r="A60" s="5" t="s">
        <v>89</v>
      </c>
      <c r="B60" s="7" t="s">
        <v>2</v>
      </c>
      <c r="C60" s="6" t="s">
        <v>90</v>
      </c>
      <c r="D60" s="6"/>
      <c r="E60" s="7" t="s">
        <v>4</v>
      </c>
      <c r="F60" s="13"/>
      <c r="G60" s="13"/>
      <c r="H60" s="13"/>
    </row>
    <row r="61" spans="1:8">
      <c r="A61" s="5"/>
      <c r="B61" s="15" t="s">
        <v>91</v>
      </c>
      <c r="C61" s="7" t="s">
        <v>7</v>
      </c>
      <c r="D61" s="7" t="s">
        <v>8</v>
      </c>
      <c r="E61" s="10"/>
      <c r="F61" s="7" t="s">
        <v>10</v>
      </c>
      <c r="G61" s="7" t="s">
        <v>11</v>
      </c>
      <c r="H61" s="7" t="s">
        <v>12</v>
      </c>
    </row>
    <row r="62" spans="1:8" ht="22.5">
      <c r="A62" s="16" t="s">
        <v>93</v>
      </c>
      <c r="B62" s="12"/>
      <c r="C62" s="12" t="s">
        <v>94</v>
      </c>
      <c r="D62" s="14" t="s">
        <v>95</v>
      </c>
      <c r="E62" s="10"/>
      <c r="F62" s="11">
        <v>2.1</v>
      </c>
      <c r="G62" s="11">
        <v>1.9</v>
      </c>
      <c r="H62" s="11">
        <v>4.0999999999999996</v>
      </c>
    </row>
    <row r="63" spans="1:8">
      <c r="A63" s="12"/>
      <c r="B63" s="12"/>
      <c r="C63" s="12" t="s">
        <v>97</v>
      </c>
      <c r="D63" s="14" t="s">
        <v>98</v>
      </c>
      <c r="E63" s="12"/>
      <c r="F63" s="13"/>
      <c r="G63" s="13"/>
      <c r="H63" s="13"/>
    </row>
    <row r="64" spans="1:8" ht="12.75" customHeight="1">
      <c r="A64" s="12"/>
      <c r="B64" s="12"/>
      <c r="C64" s="12"/>
      <c r="D64" s="14"/>
      <c r="E64" s="12"/>
      <c r="F64" s="13"/>
      <c r="G64" s="13"/>
      <c r="H64" s="13"/>
    </row>
    <row r="65" spans="1:8" ht="12.75" customHeight="1">
      <c r="A65" s="12"/>
      <c r="B65" s="12"/>
      <c r="C65" s="12"/>
      <c r="D65" s="12"/>
      <c r="E65" s="12"/>
      <c r="F65" s="13"/>
      <c r="G65" s="13"/>
      <c r="H65" s="13"/>
    </row>
    <row r="66" spans="1:8" ht="12.75" customHeight="1">
      <c r="A66" s="5" t="s">
        <v>99</v>
      </c>
      <c r="B66" s="7" t="s">
        <v>2</v>
      </c>
      <c r="C66" s="6" t="s">
        <v>100</v>
      </c>
      <c r="D66" s="6"/>
      <c r="E66" s="7" t="s">
        <v>4</v>
      </c>
      <c r="F66" s="6"/>
      <c r="G66" s="6"/>
      <c r="H66" s="6"/>
    </row>
    <row r="67" spans="1:8">
      <c r="A67" s="5"/>
      <c r="B67" s="8" t="s">
        <v>101</v>
      </c>
      <c r="C67" s="7" t="s">
        <v>7</v>
      </c>
      <c r="D67" s="7" t="s">
        <v>8</v>
      </c>
      <c r="E67" s="10" t="s">
        <v>102</v>
      </c>
      <c r="F67" s="7" t="s">
        <v>10</v>
      </c>
      <c r="G67" s="7" t="s">
        <v>11</v>
      </c>
      <c r="H67" s="7" t="s">
        <v>12</v>
      </c>
    </row>
    <row r="68" spans="1:8">
      <c r="A68" s="6" t="s">
        <v>103</v>
      </c>
      <c r="B68" s="6"/>
      <c r="C68" s="6"/>
      <c r="D68" s="6" t="s">
        <v>104</v>
      </c>
      <c r="E68" s="10" t="s">
        <v>105</v>
      </c>
      <c r="F68" s="11">
        <v>1.1000000000000001</v>
      </c>
      <c r="G68" s="11">
        <v>0.9</v>
      </c>
      <c r="H68" s="11">
        <v>3.6</v>
      </c>
    </row>
    <row r="69" spans="1:8">
      <c r="A69" s="6"/>
      <c r="B69" s="6"/>
      <c r="C69" s="6"/>
      <c r="D69" s="6" t="s">
        <v>106</v>
      </c>
      <c r="E69" s="6"/>
      <c r="F69" s="6"/>
      <c r="G69" s="6"/>
      <c r="H69" s="6"/>
    </row>
    <row r="70" spans="1:8" ht="12.75" customHeight="1">
      <c r="A70" s="6"/>
      <c r="B70" s="6"/>
      <c r="C70" s="6"/>
      <c r="D70" s="6"/>
      <c r="E70" s="6"/>
      <c r="F70" s="6"/>
      <c r="G70" s="6"/>
      <c r="H70" s="6"/>
    </row>
    <row r="71" spans="1:8" ht="12.75" customHeight="1">
      <c r="A71" s="6"/>
      <c r="B71" s="6"/>
      <c r="C71" s="6"/>
      <c r="D71" s="6"/>
      <c r="E71" s="6"/>
      <c r="F71" s="6"/>
      <c r="G71" s="6"/>
      <c r="H71" s="6"/>
    </row>
    <row r="72" spans="1:8" ht="12.75" customHeight="1">
      <c r="A72" s="5" t="s">
        <v>107</v>
      </c>
      <c r="B72" s="7" t="s">
        <v>2</v>
      </c>
      <c r="C72" s="6" t="s">
        <v>108</v>
      </c>
      <c r="D72" s="6"/>
      <c r="E72" s="7" t="s">
        <v>4</v>
      </c>
      <c r="F72" s="6"/>
      <c r="G72" s="6"/>
      <c r="H72" s="6"/>
    </row>
    <row r="73" spans="1:8">
      <c r="A73" s="5"/>
      <c r="B73" s="17" t="s">
        <v>109</v>
      </c>
      <c r="C73" s="7" t="s">
        <v>7</v>
      </c>
      <c r="D73" s="7" t="s">
        <v>8</v>
      </c>
      <c r="E73" s="10"/>
      <c r="F73" s="7" t="s">
        <v>10</v>
      </c>
      <c r="G73" s="7" t="s">
        <v>11</v>
      </c>
      <c r="H73" s="7" t="s">
        <v>12</v>
      </c>
    </row>
    <row r="74" spans="1:8">
      <c r="A74" s="12" t="s">
        <v>111</v>
      </c>
      <c r="B74" s="6"/>
      <c r="C74" s="6" t="s">
        <v>112</v>
      </c>
      <c r="D74" s="6" t="s">
        <v>113</v>
      </c>
      <c r="E74" s="10"/>
      <c r="F74" s="11"/>
      <c r="G74" s="11"/>
      <c r="H74" s="11"/>
    </row>
    <row r="75" spans="1:8">
      <c r="A75" s="12" t="s">
        <v>1289</v>
      </c>
      <c r="B75" s="6"/>
      <c r="C75" s="12" t="s">
        <v>62</v>
      </c>
      <c r="D75" s="6" t="s">
        <v>115</v>
      </c>
      <c r="E75" s="6"/>
      <c r="F75" s="6"/>
      <c r="G75" s="6"/>
      <c r="H75" s="6"/>
    </row>
    <row r="76" spans="1:8">
      <c r="A76" s="12"/>
      <c r="B76" s="6"/>
      <c r="C76" s="6" t="s">
        <v>14</v>
      </c>
      <c r="D76" s="6" t="s">
        <v>116</v>
      </c>
      <c r="E76" s="6"/>
      <c r="F76" s="6"/>
      <c r="G76" s="6"/>
      <c r="H76" s="6"/>
    </row>
    <row r="77" spans="1:8">
      <c r="A77" s="12"/>
      <c r="B77" s="6"/>
      <c r="C77" s="12" t="s">
        <v>18</v>
      </c>
      <c r="D77" s="6" t="s">
        <v>117</v>
      </c>
      <c r="E77" s="6"/>
      <c r="F77" s="6"/>
      <c r="G77" s="6"/>
      <c r="H77" s="6"/>
    </row>
    <row r="78" spans="1:8" ht="12.75" customHeight="1">
      <c r="A78" s="12"/>
      <c r="B78" s="6"/>
      <c r="C78" s="12" t="s">
        <v>22</v>
      </c>
      <c r="D78" s="6"/>
      <c r="E78" s="6"/>
      <c r="F78" s="6"/>
      <c r="G78" s="6"/>
      <c r="H78" s="6"/>
    </row>
    <row r="79" spans="1:8" ht="12.75" customHeight="1">
      <c r="A79" s="12"/>
      <c r="B79" s="6"/>
      <c r="C79" s="12" t="s">
        <v>26</v>
      </c>
      <c r="D79" s="6"/>
      <c r="E79" s="6"/>
      <c r="F79" s="6"/>
      <c r="G79" s="6"/>
      <c r="H79" s="6"/>
    </row>
    <row r="80" spans="1:8" ht="12.75" customHeight="1">
      <c r="A80" s="12"/>
      <c r="B80" s="6"/>
      <c r="C80" s="12" t="s">
        <v>29</v>
      </c>
      <c r="D80" s="6"/>
      <c r="E80" s="6"/>
      <c r="F80" s="6"/>
      <c r="G80" s="6"/>
      <c r="H80" s="6"/>
    </row>
    <row r="81" spans="1:10" ht="12.75" customHeight="1">
      <c r="A81" s="12"/>
      <c r="B81" s="6"/>
      <c r="C81" s="12" t="s">
        <v>31</v>
      </c>
      <c r="D81" s="6"/>
      <c r="E81" s="6"/>
      <c r="F81" s="6"/>
      <c r="G81" s="6"/>
      <c r="H81" s="6"/>
    </row>
    <row r="82" spans="1:10" ht="12.75" customHeight="1">
      <c r="A82" s="12"/>
      <c r="B82" s="6"/>
      <c r="C82" s="12" t="s">
        <v>33</v>
      </c>
      <c r="D82" s="6"/>
      <c r="E82" s="6"/>
      <c r="F82" s="6"/>
      <c r="G82" s="6"/>
      <c r="H82" s="6"/>
      <c r="J82" s="4" t="s">
        <v>11727</v>
      </c>
    </row>
    <row r="83" spans="1:10" ht="12.75" customHeight="1">
      <c r="A83" s="12"/>
      <c r="B83" s="6"/>
      <c r="C83" s="12" t="s">
        <v>35</v>
      </c>
      <c r="D83" s="6"/>
      <c r="E83" s="6"/>
      <c r="F83" s="6"/>
      <c r="G83" s="6"/>
      <c r="H83" s="6"/>
      <c r="J83" s="4" t="s">
        <v>11728</v>
      </c>
    </row>
    <row r="84" spans="1:10" ht="12.75" customHeight="1">
      <c r="A84" s="12"/>
      <c r="B84" s="6"/>
      <c r="C84" s="12" t="s">
        <v>37</v>
      </c>
      <c r="D84" s="6"/>
      <c r="E84" s="6"/>
      <c r="F84" s="6"/>
      <c r="G84" s="6"/>
      <c r="H84" s="6"/>
      <c r="J84" s="4" t="s">
        <v>11729</v>
      </c>
    </row>
    <row r="85" spans="1:10" ht="12.75" customHeight="1">
      <c r="A85" s="12"/>
      <c r="B85" s="6"/>
      <c r="C85" s="12" t="s">
        <v>38</v>
      </c>
      <c r="D85" s="6"/>
      <c r="E85" s="6"/>
      <c r="F85" s="6"/>
      <c r="G85" s="6"/>
      <c r="H85" s="6"/>
      <c r="J85" s="4" t="s">
        <v>11730</v>
      </c>
    </row>
    <row r="86" spans="1:10" ht="12.75" customHeight="1">
      <c r="A86" s="12"/>
      <c r="B86" s="6"/>
      <c r="C86" s="12" t="s">
        <v>39</v>
      </c>
      <c r="D86" s="6"/>
      <c r="E86" s="6"/>
      <c r="F86" s="6"/>
      <c r="G86" s="6"/>
      <c r="H86" s="6"/>
      <c r="J86" s="4" t="s">
        <v>11731</v>
      </c>
    </row>
    <row r="87" spans="1:10" ht="12.75" customHeight="1">
      <c r="A87" s="12"/>
      <c r="B87" s="6"/>
      <c r="C87" s="12" t="s">
        <v>40</v>
      </c>
      <c r="D87" s="6"/>
      <c r="E87" s="6"/>
      <c r="F87" s="6"/>
      <c r="G87" s="6"/>
      <c r="H87" s="6"/>
      <c r="J87" s="4" t="s">
        <v>11732</v>
      </c>
    </row>
    <row r="88" spans="1:10" ht="12.75" customHeight="1">
      <c r="A88" s="12"/>
      <c r="B88" s="6"/>
      <c r="C88" s="12" t="s">
        <v>41</v>
      </c>
      <c r="D88" s="6"/>
      <c r="E88" s="6"/>
      <c r="F88" s="6"/>
      <c r="G88" s="6"/>
      <c r="H88" s="6"/>
      <c r="J88" s="4" t="s">
        <v>11733</v>
      </c>
    </row>
    <row r="89" spans="1:10" ht="12.75" customHeight="1">
      <c r="A89" s="12"/>
      <c r="B89" s="6"/>
      <c r="C89" s="12"/>
      <c r="D89" s="6"/>
      <c r="E89" s="6"/>
      <c r="F89" s="6"/>
      <c r="G89" s="6"/>
      <c r="H89" s="6"/>
      <c r="J89" s="4" t="s">
        <v>11734</v>
      </c>
    </row>
    <row r="90" spans="1:10" ht="12.75" customHeight="1">
      <c r="A90" s="5" t="s">
        <v>1280</v>
      </c>
      <c r="B90" s="7" t="s">
        <v>2</v>
      </c>
      <c r="C90" s="6"/>
      <c r="D90" s="6"/>
      <c r="E90" s="7" t="s">
        <v>4</v>
      </c>
      <c r="F90" s="6"/>
      <c r="G90" s="6"/>
      <c r="H90" s="6"/>
      <c r="J90" s="4" t="s">
        <v>11735</v>
      </c>
    </row>
    <row r="91" spans="1:10">
      <c r="A91" s="5"/>
      <c r="B91" s="17" t="s">
        <v>120</v>
      </c>
      <c r="C91" s="7" t="s">
        <v>7</v>
      </c>
      <c r="D91" s="7" t="s">
        <v>8</v>
      </c>
      <c r="E91" s="10"/>
      <c r="F91" s="7" t="s">
        <v>10</v>
      </c>
      <c r="G91" s="7" t="s">
        <v>11</v>
      </c>
      <c r="H91" s="7" t="s">
        <v>12</v>
      </c>
      <c r="J91" s="4" t="s">
        <v>11736</v>
      </c>
    </row>
    <row r="92" spans="1:10">
      <c r="A92" s="12" t="s">
        <v>122</v>
      </c>
      <c r="B92" s="12" t="s">
        <v>123</v>
      </c>
      <c r="C92" s="12" t="s">
        <v>124</v>
      </c>
      <c r="D92" s="12" t="s">
        <v>125</v>
      </c>
      <c r="E92" s="10"/>
      <c r="F92" s="11">
        <v>1.6</v>
      </c>
      <c r="G92" s="11">
        <v>1.2</v>
      </c>
      <c r="H92" s="11">
        <v>4.9000000000000004</v>
      </c>
      <c r="J92" s="4" t="s">
        <v>11737</v>
      </c>
    </row>
    <row r="93" spans="1:10">
      <c r="A93" s="12" t="s">
        <v>127</v>
      </c>
      <c r="B93" s="12"/>
      <c r="C93" s="12" t="s">
        <v>62</v>
      </c>
      <c r="D93" s="12" t="s">
        <v>128</v>
      </c>
      <c r="E93" s="12"/>
      <c r="F93" s="13"/>
      <c r="G93" s="13"/>
      <c r="H93" s="13"/>
      <c r="J93" s="4" t="s">
        <v>11738</v>
      </c>
    </row>
    <row r="94" spans="1:10">
      <c r="A94" s="16" t="s">
        <v>93</v>
      </c>
      <c r="B94" s="12"/>
      <c r="C94" s="12" t="s">
        <v>129</v>
      </c>
      <c r="D94" s="12" t="s">
        <v>130</v>
      </c>
      <c r="E94" s="12"/>
      <c r="F94" s="13"/>
      <c r="G94" s="13"/>
      <c r="H94" s="13"/>
    </row>
    <row r="95" spans="1:10">
      <c r="A95" s="12" t="s">
        <v>111</v>
      </c>
      <c r="B95" s="12"/>
      <c r="D95" s="6" t="s">
        <v>131</v>
      </c>
      <c r="E95" s="12"/>
      <c r="F95" s="13"/>
      <c r="G95" s="13"/>
      <c r="H95" s="13"/>
    </row>
    <row r="96" spans="1:10" ht="12.75" customHeight="1">
      <c r="A96" s="12" t="s">
        <v>132</v>
      </c>
      <c r="B96" s="12"/>
      <c r="C96" s="12"/>
      <c r="D96" s="12"/>
      <c r="E96" s="12"/>
      <c r="F96" s="13"/>
      <c r="G96" s="13"/>
      <c r="H96" s="13"/>
    </row>
    <row r="97" spans="1:8" ht="12.75" customHeight="1">
      <c r="A97" s="12" t="s">
        <v>133</v>
      </c>
      <c r="B97" s="12"/>
      <c r="C97" s="12"/>
      <c r="D97" s="12"/>
      <c r="E97" s="12"/>
      <c r="F97" s="13"/>
      <c r="G97" s="13"/>
      <c r="H97" s="13"/>
    </row>
    <row r="98" spans="1:8" ht="12.75" customHeight="1">
      <c r="A98" s="12" t="s">
        <v>61</v>
      </c>
      <c r="B98" s="12"/>
      <c r="D98" s="12"/>
      <c r="E98" s="12"/>
      <c r="F98" s="13"/>
      <c r="G98" s="13"/>
      <c r="H98" s="13"/>
    </row>
    <row r="99" spans="1:8" ht="12.75" customHeight="1">
      <c r="A99" s="12"/>
      <c r="B99" s="12"/>
      <c r="D99" s="12"/>
      <c r="E99" s="12"/>
      <c r="F99" s="13"/>
      <c r="G99" s="13"/>
      <c r="H99" s="13"/>
    </row>
    <row r="100" spans="1:8" ht="12.75" customHeight="1">
      <c r="A100" s="12"/>
      <c r="B100" s="12"/>
      <c r="D100" s="12"/>
      <c r="E100" s="12"/>
      <c r="F100" s="13"/>
      <c r="G100" s="13"/>
      <c r="H100" s="13"/>
    </row>
    <row r="101" spans="1:8" ht="12.75" customHeight="1">
      <c r="A101" s="12"/>
      <c r="B101" s="12"/>
      <c r="D101" s="12"/>
      <c r="E101" s="12"/>
      <c r="F101" s="13"/>
      <c r="G101" s="13"/>
      <c r="H101" s="13"/>
    </row>
    <row r="102" spans="1:8" ht="12.75" customHeight="1">
      <c r="A102" s="5" t="s">
        <v>134</v>
      </c>
      <c r="B102" s="7" t="s">
        <v>2</v>
      </c>
      <c r="C102" s="6" t="s">
        <v>135</v>
      </c>
      <c r="D102" s="6"/>
      <c r="E102" s="7" t="s">
        <v>4</v>
      </c>
      <c r="F102" s="18" t="s">
        <v>1287</v>
      </c>
      <c r="G102" s="18" t="s">
        <v>1287</v>
      </c>
      <c r="H102" s="18" t="s">
        <v>1287</v>
      </c>
    </row>
    <row r="103" spans="1:8">
      <c r="A103" s="5"/>
      <c r="B103" s="17" t="s">
        <v>136</v>
      </c>
      <c r="C103" s="7" t="s">
        <v>7</v>
      </c>
      <c r="D103" s="7" t="s">
        <v>8</v>
      </c>
      <c r="E103" s="10" t="s">
        <v>11933</v>
      </c>
      <c r="F103" s="7" t="s">
        <v>10</v>
      </c>
      <c r="G103" s="7" t="s">
        <v>11</v>
      </c>
      <c r="H103" s="7" t="s">
        <v>12</v>
      </c>
    </row>
    <row r="104" spans="1:8">
      <c r="A104" s="6" t="s">
        <v>13</v>
      </c>
      <c r="B104" s="6"/>
      <c r="C104" s="6" t="s">
        <v>138</v>
      </c>
      <c r="D104" s="6" t="s">
        <v>139</v>
      </c>
      <c r="E104" s="10"/>
      <c r="F104" s="11">
        <v>1.3</v>
      </c>
      <c r="G104" s="11">
        <v>1.6</v>
      </c>
      <c r="H104" s="11">
        <v>3.2</v>
      </c>
    </row>
    <row r="105" spans="1:8">
      <c r="A105" s="6"/>
      <c r="B105" s="6"/>
      <c r="C105" s="6" t="s">
        <v>140</v>
      </c>
      <c r="D105" s="6" t="s">
        <v>141</v>
      </c>
      <c r="E105" s="10"/>
      <c r="F105" s="6" t="s">
        <v>143</v>
      </c>
      <c r="G105" s="6"/>
      <c r="H105" s="6"/>
    </row>
    <row r="106" spans="1:8">
      <c r="A106" s="6"/>
      <c r="B106" s="6"/>
      <c r="C106" s="6"/>
      <c r="D106" s="6" t="s">
        <v>144</v>
      </c>
      <c r="E106" s="10"/>
      <c r="F106" s="6"/>
      <c r="G106" s="6"/>
      <c r="H106" s="6"/>
    </row>
    <row r="107" spans="1:8">
      <c r="A107" s="6"/>
      <c r="B107" s="6"/>
      <c r="C107" s="6"/>
      <c r="D107" s="6" t="s">
        <v>146</v>
      </c>
      <c r="E107" s="6"/>
      <c r="F107" s="6"/>
      <c r="G107" s="6"/>
      <c r="H107" s="6"/>
    </row>
    <row r="108" spans="1:8">
      <c r="A108" s="6"/>
      <c r="B108" s="6"/>
      <c r="C108" s="6"/>
      <c r="D108" s="6" t="s">
        <v>147</v>
      </c>
      <c r="E108" s="6"/>
      <c r="F108" s="6"/>
      <c r="G108" s="6"/>
      <c r="H108" s="6"/>
    </row>
    <row r="109" spans="1:8">
      <c r="A109" s="6"/>
      <c r="B109" s="6"/>
      <c r="C109" s="6"/>
      <c r="D109" s="6" t="s">
        <v>148</v>
      </c>
      <c r="E109" s="6"/>
      <c r="F109" s="6"/>
      <c r="G109" s="6"/>
      <c r="H109" s="6"/>
    </row>
    <row r="110" spans="1:8">
      <c r="A110" s="6"/>
      <c r="B110" s="6"/>
      <c r="C110" s="6"/>
      <c r="D110" s="6" t="s">
        <v>149</v>
      </c>
      <c r="E110" s="6"/>
      <c r="F110" s="6"/>
      <c r="G110" s="6"/>
      <c r="H110" s="6"/>
    </row>
    <row r="111" spans="1:8" ht="12.75" customHeight="1">
      <c r="A111" s="6"/>
      <c r="B111" s="6"/>
      <c r="C111" s="6"/>
      <c r="D111" s="6"/>
      <c r="E111" s="6"/>
      <c r="F111" s="6"/>
      <c r="G111" s="6"/>
      <c r="H111" s="6"/>
    </row>
    <row r="112" spans="1:8" ht="12.75" customHeight="1">
      <c r="A112" s="5" t="s">
        <v>150</v>
      </c>
      <c r="B112" s="7" t="s">
        <v>2</v>
      </c>
      <c r="C112" s="6" t="s">
        <v>151</v>
      </c>
      <c r="D112" s="6"/>
      <c r="E112" s="7" t="s">
        <v>4</v>
      </c>
      <c r="F112" s="18" t="s">
        <v>1287</v>
      </c>
      <c r="G112" s="18" t="s">
        <v>1287</v>
      </c>
      <c r="H112" s="18" t="s">
        <v>1287</v>
      </c>
    </row>
    <row r="113" spans="1:8">
      <c r="A113" s="5"/>
      <c r="B113" s="17" t="s">
        <v>152</v>
      </c>
      <c r="C113" s="7" t="s">
        <v>7</v>
      </c>
      <c r="D113" s="7" t="s">
        <v>8</v>
      </c>
      <c r="E113" s="10">
        <v>1425</v>
      </c>
      <c r="F113" s="7" t="s">
        <v>10</v>
      </c>
      <c r="G113" s="7" t="s">
        <v>11</v>
      </c>
      <c r="H113" s="7" t="s">
        <v>12</v>
      </c>
    </row>
    <row r="114" spans="1:8">
      <c r="A114" s="6" t="s">
        <v>111</v>
      </c>
      <c r="B114" s="6"/>
      <c r="C114" s="12" t="s">
        <v>153</v>
      </c>
      <c r="D114" s="6" t="s">
        <v>154</v>
      </c>
      <c r="E114" s="6"/>
      <c r="F114" s="11">
        <v>0.9</v>
      </c>
      <c r="G114" s="11">
        <v>1.1000000000000001</v>
      </c>
      <c r="H114" s="11">
        <v>2.2000000000000002</v>
      </c>
    </row>
    <row r="115" spans="1:8">
      <c r="A115" s="12" t="s">
        <v>25</v>
      </c>
      <c r="B115" s="12" t="s">
        <v>1287</v>
      </c>
      <c r="C115" s="12" t="s">
        <v>1287</v>
      </c>
      <c r="D115" s="12" t="s">
        <v>155</v>
      </c>
      <c r="E115" s="12"/>
      <c r="F115" s="13" t="s">
        <v>1287</v>
      </c>
      <c r="G115" s="13" t="s">
        <v>1287</v>
      </c>
      <c r="H115" s="13" t="s">
        <v>1287</v>
      </c>
    </row>
    <row r="116" spans="1:8">
      <c r="A116" s="12" t="s">
        <v>156</v>
      </c>
      <c r="B116" s="12" t="s">
        <v>1287</v>
      </c>
      <c r="C116" s="12" t="s">
        <v>1287</v>
      </c>
      <c r="D116" s="12" t="s">
        <v>157</v>
      </c>
      <c r="E116" s="12"/>
      <c r="F116" s="13" t="s">
        <v>1287</v>
      </c>
      <c r="G116" s="13" t="s">
        <v>1287</v>
      </c>
      <c r="H116" s="13" t="s">
        <v>1287</v>
      </c>
    </row>
    <row r="117" spans="1:8">
      <c r="A117" s="12"/>
      <c r="B117" s="12"/>
      <c r="D117" s="6" t="s">
        <v>158</v>
      </c>
      <c r="E117" s="12"/>
      <c r="F117" s="13"/>
      <c r="G117" s="13"/>
      <c r="H117" s="13"/>
    </row>
    <row r="118" spans="1:8" ht="12.75" customHeight="1">
      <c r="A118" s="12"/>
      <c r="B118" s="12"/>
      <c r="C118" s="12"/>
      <c r="D118" s="12"/>
      <c r="E118" s="12"/>
      <c r="F118" s="13"/>
      <c r="G118" s="13"/>
      <c r="H118" s="13"/>
    </row>
    <row r="119" spans="1:8" ht="12.75" customHeight="1">
      <c r="A119" s="12"/>
      <c r="B119" s="12"/>
      <c r="C119" s="12"/>
      <c r="D119" s="12"/>
      <c r="E119" s="12"/>
      <c r="F119" s="13"/>
      <c r="G119" s="13"/>
      <c r="H119" s="13"/>
    </row>
    <row r="120" spans="1:8" ht="12.75" customHeight="1">
      <c r="A120" s="12"/>
      <c r="B120" s="12"/>
      <c r="C120" s="12"/>
      <c r="D120" s="12"/>
      <c r="E120" s="12"/>
      <c r="F120" s="13"/>
      <c r="G120" s="13"/>
      <c r="H120" s="13"/>
    </row>
    <row r="121" spans="1:8" ht="12.75" customHeight="1">
      <c r="A121" s="5" t="s">
        <v>159</v>
      </c>
      <c r="B121" s="7" t="s">
        <v>2</v>
      </c>
      <c r="C121" s="6" t="s">
        <v>160</v>
      </c>
      <c r="D121" s="6"/>
      <c r="E121" s="7" t="s">
        <v>4</v>
      </c>
      <c r="F121" s="13"/>
      <c r="G121" s="13"/>
      <c r="H121" s="13"/>
    </row>
    <row r="122" spans="1:8">
      <c r="A122" s="5"/>
      <c r="B122" s="8" t="s">
        <v>161</v>
      </c>
      <c r="C122" s="7" t="s">
        <v>7</v>
      </c>
      <c r="D122" s="7" t="s">
        <v>8</v>
      </c>
      <c r="E122" s="10"/>
      <c r="F122" s="7" t="s">
        <v>10</v>
      </c>
      <c r="G122" s="7" t="s">
        <v>11</v>
      </c>
      <c r="H122" s="7" t="s">
        <v>12</v>
      </c>
    </row>
    <row r="123" spans="1:8">
      <c r="A123" s="12" t="s">
        <v>163</v>
      </c>
      <c r="B123" s="12"/>
      <c r="C123" s="12" t="s">
        <v>164</v>
      </c>
      <c r="D123" s="12" t="s">
        <v>165</v>
      </c>
      <c r="E123" s="10"/>
      <c r="F123" s="11">
        <v>3.1</v>
      </c>
      <c r="G123" s="11">
        <v>2.1</v>
      </c>
      <c r="H123" s="11">
        <v>5.0999999999999996</v>
      </c>
    </row>
    <row r="124" spans="1:8" ht="12.75" customHeight="1">
      <c r="A124" s="12"/>
      <c r="B124" s="12"/>
      <c r="C124" s="12"/>
      <c r="D124" s="12"/>
      <c r="E124" s="12"/>
      <c r="F124" s="13"/>
      <c r="G124" s="13"/>
      <c r="H124" s="13"/>
    </row>
    <row r="125" spans="1:8" ht="12.75" customHeight="1">
      <c r="A125" s="12"/>
      <c r="B125" s="12"/>
      <c r="C125" s="12"/>
      <c r="D125" s="12"/>
      <c r="E125" s="12"/>
      <c r="F125" s="13"/>
      <c r="G125" s="13"/>
      <c r="H125" s="13"/>
    </row>
    <row r="126" spans="1:8" ht="12.75" customHeight="1">
      <c r="A126" s="12"/>
      <c r="B126" s="12"/>
      <c r="C126" s="12"/>
      <c r="D126" s="12"/>
      <c r="E126" s="12"/>
      <c r="F126" s="13"/>
      <c r="G126" s="13"/>
      <c r="H126" s="13"/>
    </row>
    <row r="127" spans="1:8" ht="12.75" customHeight="1">
      <c r="A127" s="5" t="s">
        <v>167</v>
      </c>
      <c r="B127" s="7" t="s">
        <v>2</v>
      </c>
      <c r="C127" s="6" t="s">
        <v>168</v>
      </c>
      <c r="D127" s="6"/>
      <c r="E127" s="7" t="s">
        <v>4</v>
      </c>
      <c r="F127" s="13"/>
      <c r="G127" s="13"/>
      <c r="H127" s="13"/>
    </row>
    <row r="128" spans="1:8">
      <c r="A128" s="5"/>
      <c r="B128" s="8" t="s">
        <v>169</v>
      </c>
      <c r="C128" s="7" t="s">
        <v>7</v>
      </c>
      <c r="D128" s="7" t="s">
        <v>8</v>
      </c>
      <c r="E128" s="10" t="s">
        <v>170</v>
      </c>
      <c r="F128" s="7" t="s">
        <v>10</v>
      </c>
      <c r="G128" s="7" t="s">
        <v>11</v>
      </c>
      <c r="H128" s="7" t="s">
        <v>12</v>
      </c>
    </row>
    <row r="129" spans="1:8">
      <c r="A129" s="12"/>
      <c r="B129" s="12"/>
      <c r="C129" s="12" t="s">
        <v>171</v>
      </c>
      <c r="D129" s="12" t="s">
        <v>172</v>
      </c>
      <c r="E129" s="10" t="s">
        <v>173</v>
      </c>
      <c r="F129" s="11">
        <v>0.9</v>
      </c>
      <c r="G129" s="11">
        <v>0.7</v>
      </c>
      <c r="H129" s="11">
        <v>2.2999999999999998</v>
      </c>
    </row>
    <row r="130" spans="1:8">
      <c r="A130" s="12"/>
      <c r="B130" s="12"/>
      <c r="C130" s="12" t="s">
        <v>174</v>
      </c>
      <c r="D130" s="12" t="s">
        <v>175</v>
      </c>
      <c r="E130" s="12"/>
      <c r="F130" s="13"/>
      <c r="G130" s="13"/>
      <c r="H130" s="13"/>
    </row>
    <row r="131" spans="1:8" ht="12.75" customHeight="1">
      <c r="A131" s="12"/>
      <c r="B131" s="12"/>
      <c r="C131" s="12"/>
      <c r="E131" s="12"/>
      <c r="F131" s="13"/>
      <c r="G131" s="13"/>
      <c r="H131" s="13"/>
    </row>
    <row r="132" spans="1:8" ht="12.75" customHeight="1">
      <c r="A132" s="12"/>
      <c r="B132" s="12"/>
      <c r="C132" s="12"/>
      <c r="D132" s="12"/>
      <c r="E132" s="12"/>
      <c r="F132" s="13"/>
      <c r="G132" s="13"/>
      <c r="H132" s="13"/>
    </row>
    <row r="133" spans="1:8" ht="12.75" customHeight="1">
      <c r="A133" s="12"/>
      <c r="B133" s="12"/>
      <c r="C133" s="12"/>
      <c r="D133" s="12"/>
      <c r="E133" s="12"/>
      <c r="F133" s="13"/>
      <c r="G133" s="13"/>
      <c r="H133" s="13"/>
    </row>
    <row r="134" spans="1:8" ht="12.75" customHeight="1">
      <c r="A134" s="12"/>
      <c r="B134" s="12"/>
      <c r="C134" s="12"/>
      <c r="D134" s="12"/>
      <c r="E134" s="12"/>
      <c r="F134" s="13"/>
      <c r="G134" s="13"/>
      <c r="H134" s="13"/>
    </row>
    <row r="135" spans="1:8" ht="12.75" customHeight="1">
      <c r="A135" s="12"/>
      <c r="B135" s="12"/>
      <c r="C135" s="12"/>
      <c r="D135" s="12"/>
      <c r="E135" s="12"/>
      <c r="F135" s="13"/>
      <c r="G135" s="13"/>
      <c r="H135" s="13"/>
    </row>
    <row r="136" spans="1:8" ht="12.75" customHeight="1">
      <c r="A136" s="12"/>
      <c r="B136" s="12"/>
      <c r="C136" s="12"/>
      <c r="D136" s="12"/>
      <c r="E136" s="12"/>
      <c r="F136" s="13"/>
      <c r="G136" s="13"/>
      <c r="H136" s="13"/>
    </row>
    <row r="137" spans="1:8" ht="12.75" customHeight="1">
      <c r="A137" s="5" t="s">
        <v>176</v>
      </c>
      <c r="B137" s="7" t="s">
        <v>2</v>
      </c>
      <c r="C137" s="14" t="s">
        <v>177</v>
      </c>
      <c r="E137" s="7" t="s">
        <v>4</v>
      </c>
      <c r="F137" s="13"/>
      <c r="G137" s="13"/>
      <c r="H137" s="13"/>
    </row>
    <row r="138" spans="1:8">
      <c r="A138" s="5"/>
      <c r="B138" s="8" t="s">
        <v>178</v>
      </c>
      <c r="C138" s="7" t="s">
        <v>7</v>
      </c>
      <c r="D138" s="7" t="s">
        <v>8</v>
      </c>
      <c r="F138" s="7" t="s">
        <v>10</v>
      </c>
      <c r="G138" s="7" t="s">
        <v>11</v>
      </c>
      <c r="H138" s="7" t="s">
        <v>12</v>
      </c>
    </row>
    <row r="139" spans="1:8">
      <c r="A139" s="12"/>
      <c r="B139" s="12"/>
      <c r="C139" s="12"/>
      <c r="D139" s="12" t="s">
        <v>180</v>
      </c>
      <c r="E139" s="10"/>
      <c r="F139" s="11">
        <v>3.1</v>
      </c>
      <c r="G139" s="11">
        <v>2.1</v>
      </c>
      <c r="H139" s="11">
        <v>5.0999999999999996</v>
      </c>
    </row>
    <row r="140" spans="1:8">
      <c r="A140" s="12"/>
      <c r="B140" s="12"/>
      <c r="C140" s="12"/>
      <c r="D140" s="19" t="s">
        <v>182</v>
      </c>
      <c r="E140" s="10"/>
      <c r="F140" s="13"/>
      <c r="G140" s="13"/>
      <c r="H140" s="13"/>
    </row>
    <row r="141" spans="1:8" ht="12.75" customHeight="1">
      <c r="A141" s="12"/>
      <c r="B141" s="12"/>
      <c r="C141" s="12"/>
      <c r="D141" s="14"/>
      <c r="E141" s="12"/>
      <c r="F141" s="13"/>
      <c r="G141" s="13"/>
      <c r="H141" s="13"/>
    </row>
    <row r="142" spans="1:8" ht="12.75" customHeight="1">
      <c r="A142" s="12"/>
      <c r="B142" s="12"/>
      <c r="C142" s="12"/>
      <c r="D142" s="14"/>
      <c r="E142" s="12"/>
      <c r="F142" s="13"/>
      <c r="G142" s="13"/>
      <c r="H142" s="13"/>
    </row>
    <row r="143" spans="1:8" ht="12.75" customHeight="1">
      <c r="A143" s="12"/>
      <c r="B143" s="12"/>
      <c r="C143" s="12"/>
      <c r="D143" s="14"/>
      <c r="E143" s="12"/>
      <c r="F143" s="13"/>
      <c r="G143" s="13"/>
      <c r="H143" s="13"/>
    </row>
    <row r="144" spans="1:8" ht="12.75" customHeight="1">
      <c r="A144" s="5" t="s">
        <v>184</v>
      </c>
      <c r="B144" s="7" t="s">
        <v>2</v>
      </c>
      <c r="C144" s="6" t="s">
        <v>185</v>
      </c>
      <c r="D144" s="6"/>
      <c r="E144" s="7" t="s">
        <v>4</v>
      </c>
      <c r="F144" s="6"/>
      <c r="G144" s="6"/>
      <c r="H144" s="6"/>
    </row>
    <row r="145" spans="1:14" ht="14.25">
      <c r="A145" s="5"/>
      <c r="B145" s="17" t="s">
        <v>186</v>
      </c>
      <c r="C145" s="7" t="s">
        <v>7</v>
      </c>
      <c r="D145" s="7" t="s">
        <v>8</v>
      </c>
      <c r="E145" s="10" t="s">
        <v>187</v>
      </c>
      <c r="F145" s="7" t="s">
        <v>10</v>
      </c>
      <c r="G145" s="7" t="s">
        <v>11</v>
      </c>
      <c r="H145" s="7" t="s">
        <v>12</v>
      </c>
      <c r="N145"/>
    </row>
    <row r="146" spans="1:14" ht="14.25">
      <c r="A146" s="6" t="s">
        <v>188</v>
      </c>
      <c r="B146" s="6"/>
      <c r="C146" s="6"/>
      <c r="D146" s="6" t="s">
        <v>189</v>
      </c>
      <c r="E146" s="10" t="s">
        <v>190</v>
      </c>
      <c r="F146" s="11">
        <v>2.7</v>
      </c>
      <c r="G146" s="11">
        <v>1.9</v>
      </c>
      <c r="H146" s="11">
        <v>6.3</v>
      </c>
      <c r="N146"/>
    </row>
    <row r="147" spans="1:14" ht="14.25">
      <c r="A147" s="6"/>
      <c r="B147" s="6"/>
      <c r="C147" s="6"/>
      <c r="D147" s="6" t="s">
        <v>191</v>
      </c>
      <c r="E147" s="6"/>
      <c r="F147" s="6"/>
      <c r="G147" s="6"/>
      <c r="H147" s="6"/>
      <c r="N147"/>
    </row>
    <row r="148" spans="1:14" ht="14.25">
      <c r="A148" s="6"/>
      <c r="B148" s="6"/>
      <c r="C148" s="6"/>
      <c r="D148" s="20" t="s">
        <v>192</v>
      </c>
      <c r="E148" s="6"/>
      <c r="F148" s="6"/>
      <c r="G148" s="6"/>
      <c r="H148" s="6"/>
      <c r="N148"/>
    </row>
    <row r="149" spans="1:14" ht="12.75" customHeight="1">
      <c r="A149" s="6"/>
      <c r="B149" s="6"/>
      <c r="C149" s="6"/>
      <c r="D149" s="20"/>
      <c r="E149" s="6"/>
      <c r="F149" s="6"/>
      <c r="G149" s="6"/>
      <c r="H149" s="6"/>
      <c r="N149"/>
    </row>
    <row r="150" spans="1:14" ht="12.75" customHeight="1">
      <c r="A150" s="6"/>
      <c r="B150" s="6"/>
      <c r="C150" s="6"/>
      <c r="D150" s="20"/>
      <c r="E150" s="6"/>
      <c r="F150" s="6"/>
      <c r="G150" s="6"/>
      <c r="H150" s="6"/>
      <c r="N150"/>
    </row>
    <row r="151" spans="1:14" ht="12.75" customHeight="1">
      <c r="A151" s="5" t="s">
        <v>193</v>
      </c>
      <c r="B151" s="7" t="s">
        <v>2</v>
      </c>
      <c r="C151" s="6" t="s">
        <v>194</v>
      </c>
      <c r="D151" s="6"/>
      <c r="E151" s="7" t="s">
        <v>4</v>
      </c>
      <c r="F151" s="6"/>
      <c r="G151" s="6"/>
      <c r="H151" s="6"/>
      <c r="N151"/>
    </row>
    <row r="152" spans="1:14" ht="14.25">
      <c r="A152" s="5"/>
      <c r="B152" s="17" t="s">
        <v>195</v>
      </c>
      <c r="C152" s="7" t="s">
        <v>7</v>
      </c>
      <c r="D152" s="7" t="s">
        <v>8</v>
      </c>
      <c r="E152" s="10" t="s">
        <v>196</v>
      </c>
      <c r="F152" s="7" t="s">
        <v>10</v>
      </c>
      <c r="G152" s="7" t="s">
        <v>11</v>
      </c>
      <c r="H152" s="7" t="s">
        <v>12</v>
      </c>
      <c r="N152"/>
    </row>
    <row r="153" spans="1:14" ht="14.25">
      <c r="A153" s="12" t="s">
        <v>197</v>
      </c>
      <c r="B153" s="6"/>
      <c r="C153" s="6"/>
      <c r="D153" s="6" t="s">
        <v>198</v>
      </c>
      <c r="E153" s="10" t="s">
        <v>199</v>
      </c>
      <c r="F153" s="11">
        <v>2.9</v>
      </c>
      <c r="G153" s="11">
        <v>2.1</v>
      </c>
      <c r="H153" s="11">
        <v>4.2</v>
      </c>
      <c r="N153"/>
    </row>
    <row r="154" spans="1:14" ht="14.25">
      <c r="A154" s="12" t="s">
        <v>200</v>
      </c>
      <c r="B154" s="6"/>
      <c r="C154" s="6"/>
      <c r="D154" s="6" t="s">
        <v>201</v>
      </c>
      <c r="E154" s="10" t="s">
        <v>202</v>
      </c>
      <c r="F154" s="6"/>
      <c r="G154" s="6"/>
      <c r="H154" s="6"/>
      <c r="N154"/>
    </row>
    <row r="155" spans="1:14" ht="14.25">
      <c r="A155" s="12"/>
      <c r="B155" s="6"/>
      <c r="C155" s="6"/>
      <c r="D155" s="6" t="s">
        <v>203</v>
      </c>
      <c r="E155" s="6"/>
      <c r="F155" s="6"/>
      <c r="G155" s="6"/>
      <c r="H155" s="6"/>
      <c r="N155"/>
    </row>
    <row r="156" spans="1:14" ht="14.25">
      <c r="A156" s="12"/>
      <c r="B156" s="6"/>
      <c r="C156" s="6"/>
      <c r="D156" s="6" t="s">
        <v>204</v>
      </c>
      <c r="E156" s="6"/>
      <c r="F156" s="6"/>
      <c r="G156" s="6"/>
      <c r="H156" s="6"/>
      <c r="N156"/>
    </row>
    <row r="157" spans="1:14" ht="12.75" customHeight="1">
      <c r="A157" s="12"/>
      <c r="B157" s="6"/>
      <c r="D157" s="6"/>
      <c r="E157" s="6"/>
      <c r="F157" s="6"/>
      <c r="G157" s="6"/>
      <c r="H157" s="6"/>
      <c r="N157"/>
    </row>
    <row r="158" spans="1:14" ht="12.75" customHeight="1">
      <c r="A158" s="12"/>
      <c r="B158" s="6"/>
      <c r="D158" s="6"/>
      <c r="E158" s="6"/>
      <c r="F158" s="6"/>
      <c r="G158" s="6"/>
      <c r="H158" s="6"/>
      <c r="N158"/>
    </row>
    <row r="159" spans="1:14" ht="12.75" customHeight="1">
      <c r="A159" s="12"/>
      <c r="B159" s="6"/>
      <c r="D159" s="6"/>
      <c r="E159" s="6"/>
      <c r="F159" s="6"/>
      <c r="G159" s="6"/>
      <c r="H159" s="6"/>
      <c r="N159"/>
    </row>
    <row r="160" spans="1:14" ht="12.75" customHeight="1">
      <c r="A160" s="12"/>
      <c r="B160" s="6"/>
      <c r="D160" s="6"/>
      <c r="E160" s="6"/>
      <c r="F160" s="6"/>
      <c r="G160" s="6"/>
      <c r="H160" s="6"/>
      <c r="N160"/>
    </row>
    <row r="161" spans="1:14" ht="12.75" customHeight="1">
      <c r="A161" s="5" t="s">
        <v>205</v>
      </c>
      <c r="B161" s="7" t="s">
        <v>2</v>
      </c>
      <c r="C161" s="6" t="s">
        <v>206</v>
      </c>
      <c r="D161" s="6"/>
      <c r="E161" s="7" t="s">
        <v>4</v>
      </c>
      <c r="F161" s="6"/>
      <c r="G161" s="6"/>
      <c r="H161" s="6"/>
      <c r="N161"/>
    </row>
    <row r="162" spans="1:14" ht="14.25">
      <c r="A162" s="5"/>
      <c r="B162" s="17" t="s">
        <v>207</v>
      </c>
      <c r="C162" s="7" t="s">
        <v>7</v>
      </c>
      <c r="D162" s="7" t="s">
        <v>8</v>
      </c>
      <c r="E162" s="10">
        <v>4286</v>
      </c>
      <c r="F162" s="7" t="s">
        <v>10</v>
      </c>
      <c r="G162" s="7" t="s">
        <v>11</v>
      </c>
      <c r="H162" s="7" t="s">
        <v>12</v>
      </c>
      <c r="N162"/>
    </row>
    <row r="163" spans="1:14" ht="14.25">
      <c r="A163" s="6" t="s">
        <v>208</v>
      </c>
      <c r="B163" s="6"/>
      <c r="C163" s="6"/>
      <c r="D163" s="6" t="s">
        <v>209</v>
      </c>
      <c r="E163" s="6"/>
      <c r="F163" s="11">
        <v>2.9</v>
      </c>
      <c r="G163" s="11">
        <v>2.1</v>
      </c>
      <c r="H163" s="11">
        <v>4.2</v>
      </c>
      <c r="N163"/>
    </row>
    <row r="164" spans="1:14" ht="12.75" customHeight="1">
      <c r="A164" s="6" t="s">
        <v>210</v>
      </c>
      <c r="B164" s="6"/>
      <c r="C164" s="6"/>
      <c r="D164" s="6"/>
      <c r="E164" s="6"/>
      <c r="F164" s="6"/>
      <c r="G164" s="6"/>
      <c r="H164" s="6"/>
      <c r="N164"/>
    </row>
    <row r="165" spans="1:14" ht="12.75" customHeight="1">
      <c r="A165" s="6" t="s">
        <v>211</v>
      </c>
      <c r="B165" s="6"/>
      <c r="C165" s="6"/>
      <c r="D165" s="6"/>
      <c r="E165" s="6"/>
      <c r="F165" s="6"/>
      <c r="G165" s="6"/>
      <c r="H165" s="6"/>
      <c r="N165"/>
    </row>
    <row r="166" spans="1:14" ht="12.75" customHeight="1">
      <c r="A166" s="6"/>
      <c r="B166" s="6"/>
      <c r="C166" s="6"/>
      <c r="D166" s="6"/>
      <c r="E166" s="6"/>
      <c r="F166" s="6"/>
      <c r="G166" s="6"/>
      <c r="H166" s="6"/>
      <c r="N166"/>
    </row>
    <row r="167" spans="1:14" ht="12.75" customHeight="1">
      <c r="A167" s="6"/>
      <c r="B167" s="6"/>
      <c r="C167" s="6"/>
      <c r="D167" s="6"/>
      <c r="E167" s="6"/>
      <c r="F167" s="6"/>
      <c r="G167" s="6"/>
      <c r="H167" s="6"/>
      <c r="N167"/>
    </row>
    <row r="168" spans="1:14" ht="12.75" customHeight="1">
      <c r="A168" s="6"/>
      <c r="B168" s="6"/>
      <c r="D168" s="6"/>
      <c r="E168" s="6"/>
      <c r="F168" s="6"/>
      <c r="G168" s="6"/>
      <c r="H168" s="6"/>
      <c r="N168"/>
    </row>
    <row r="169" spans="1:14" ht="12.75" customHeight="1">
      <c r="A169" s="5" t="s">
        <v>212</v>
      </c>
      <c r="B169" s="7" t="s">
        <v>2</v>
      </c>
      <c r="C169" s="6" t="s">
        <v>213</v>
      </c>
      <c r="D169" s="6"/>
      <c r="E169" s="7" t="s">
        <v>4</v>
      </c>
      <c r="F169" s="6"/>
      <c r="G169" s="6"/>
      <c r="H169" s="6"/>
      <c r="N169"/>
    </row>
    <row r="170" spans="1:14" ht="14.25">
      <c r="A170" s="5"/>
      <c r="B170" s="17" t="s">
        <v>1290</v>
      </c>
      <c r="C170" s="7" t="s">
        <v>7</v>
      </c>
      <c r="D170" s="7" t="s">
        <v>8</v>
      </c>
      <c r="E170" s="10">
        <v>7500</v>
      </c>
      <c r="F170" s="7" t="s">
        <v>10</v>
      </c>
      <c r="G170" s="7" t="s">
        <v>11</v>
      </c>
      <c r="H170" s="7" t="s">
        <v>12</v>
      </c>
      <c r="N170"/>
    </row>
    <row r="171" spans="1:14" ht="14.25">
      <c r="A171" s="6" t="s">
        <v>214</v>
      </c>
      <c r="B171" s="12" t="s">
        <v>215</v>
      </c>
      <c r="C171" s="12" t="s">
        <v>1287</v>
      </c>
      <c r="D171" s="6" t="s">
        <v>216</v>
      </c>
      <c r="E171" s="12"/>
      <c r="F171" s="11">
        <v>2.9</v>
      </c>
      <c r="G171" s="11">
        <v>2.1</v>
      </c>
      <c r="H171" s="11">
        <v>4.2</v>
      </c>
      <c r="N171"/>
    </row>
    <row r="172" spans="1:14" ht="14.25">
      <c r="A172" s="6" t="s">
        <v>217</v>
      </c>
      <c r="B172" s="12"/>
      <c r="C172" s="12"/>
      <c r="D172" s="12" t="s">
        <v>218</v>
      </c>
      <c r="E172" s="12"/>
      <c r="F172" s="13"/>
      <c r="G172" s="13"/>
      <c r="H172" s="13"/>
      <c r="N172"/>
    </row>
    <row r="173" spans="1:14" ht="12.75" customHeight="1">
      <c r="A173" s="6"/>
      <c r="B173" s="12"/>
      <c r="C173" s="12"/>
      <c r="D173" s="12"/>
      <c r="E173" s="12"/>
      <c r="F173" s="13"/>
      <c r="G173" s="13"/>
      <c r="H173" s="13"/>
      <c r="N173"/>
    </row>
    <row r="174" spans="1:14" ht="12.75" customHeight="1">
      <c r="A174" s="6"/>
      <c r="B174" s="12"/>
      <c r="C174" s="12"/>
      <c r="D174" s="12"/>
      <c r="E174" s="12"/>
      <c r="F174" s="13"/>
      <c r="G174" s="13"/>
      <c r="H174" s="13"/>
      <c r="N174"/>
    </row>
    <row r="175" spans="1:14" ht="12.75" customHeight="1">
      <c r="A175" s="6"/>
      <c r="B175" s="12"/>
      <c r="D175" s="12"/>
      <c r="E175" s="12"/>
      <c r="F175" s="13"/>
      <c r="G175" s="13"/>
      <c r="H175" s="13"/>
      <c r="N175"/>
    </row>
    <row r="176" spans="1:14" ht="12.75" customHeight="1">
      <c r="A176" s="5" t="s">
        <v>219</v>
      </c>
      <c r="B176" s="7" t="s">
        <v>2</v>
      </c>
      <c r="C176" s="12" t="s">
        <v>220</v>
      </c>
      <c r="D176" s="6"/>
      <c r="E176" s="7" t="s">
        <v>4</v>
      </c>
      <c r="F176" s="13"/>
      <c r="G176" s="13"/>
      <c r="H176" s="13"/>
      <c r="N176"/>
    </row>
    <row r="177" spans="1:14" ht="14.25">
      <c r="A177" s="5"/>
      <c r="B177" s="8" t="s">
        <v>221</v>
      </c>
      <c r="C177" s="7" t="s">
        <v>7</v>
      </c>
      <c r="D177" s="7" t="s">
        <v>8</v>
      </c>
      <c r="E177" s="10">
        <v>747</v>
      </c>
      <c r="F177" s="7" t="s">
        <v>10</v>
      </c>
      <c r="G177" s="7" t="s">
        <v>11</v>
      </c>
      <c r="H177" s="7" t="s">
        <v>12</v>
      </c>
      <c r="N177"/>
    </row>
    <row r="178" spans="1:14" ht="14.25">
      <c r="A178" s="12"/>
      <c r="B178" s="12"/>
      <c r="C178" s="12"/>
      <c r="D178" s="12" t="s">
        <v>222</v>
      </c>
      <c r="E178" s="12"/>
      <c r="F178" s="11">
        <v>2.9</v>
      </c>
      <c r="G178" s="11">
        <v>2.1</v>
      </c>
      <c r="H178" s="11">
        <v>4.2</v>
      </c>
      <c r="N178"/>
    </row>
    <row r="179" spans="1:14" ht="14.25">
      <c r="A179" s="12"/>
      <c r="B179" s="12"/>
      <c r="C179" s="12"/>
      <c r="D179" s="12" t="s">
        <v>223</v>
      </c>
      <c r="E179" s="12"/>
      <c r="F179" s="13"/>
      <c r="G179" s="13"/>
      <c r="H179" s="13"/>
      <c r="N179"/>
    </row>
    <row r="180" spans="1:14" ht="12.75" customHeight="1">
      <c r="A180" s="12"/>
      <c r="B180" s="12"/>
      <c r="C180" s="12"/>
      <c r="D180" s="12"/>
      <c r="E180" s="12"/>
      <c r="F180" s="13"/>
      <c r="G180" s="13"/>
      <c r="H180" s="13"/>
      <c r="N180"/>
    </row>
    <row r="181" spans="1:14" ht="12.75" customHeight="1">
      <c r="A181" s="12"/>
      <c r="B181" s="12"/>
      <c r="C181" s="12"/>
      <c r="D181" s="12"/>
      <c r="E181" s="12"/>
      <c r="F181" s="13"/>
      <c r="G181" s="13"/>
      <c r="H181" s="13"/>
      <c r="N181"/>
    </row>
    <row r="182" spans="1:14" ht="12.75" customHeight="1">
      <c r="A182" s="5" t="s">
        <v>224</v>
      </c>
      <c r="B182" s="7" t="s">
        <v>2</v>
      </c>
      <c r="C182" s="6" t="s">
        <v>225</v>
      </c>
      <c r="D182" s="6"/>
      <c r="E182" s="7" t="s">
        <v>4</v>
      </c>
      <c r="F182" s="6"/>
      <c r="G182" s="6"/>
      <c r="H182" s="6"/>
      <c r="N182"/>
    </row>
    <row r="183" spans="1:14" ht="14.25">
      <c r="A183" s="5"/>
      <c r="B183" s="6" t="s">
        <v>226</v>
      </c>
      <c r="C183" s="7" t="s">
        <v>7</v>
      </c>
      <c r="D183" s="7" t="s">
        <v>8</v>
      </c>
      <c r="E183" s="10">
        <v>924</v>
      </c>
      <c r="F183" s="7" t="s">
        <v>10</v>
      </c>
      <c r="G183" s="7" t="s">
        <v>11</v>
      </c>
      <c r="H183" s="7" t="s">
        <v>12</v>
      </c>
      <c r="N183"/>
    </row>
    <row r="184" spans="1:14" ht="14.25">
      <c r="A184" s="12" t="s">
        <v>227</v>
      </c>
      <c r="B184" s="12" t="s">
        <v>1287</v>
      </c>
      <c r="C184" s="12" t="s">
        <v>1287</v>
      </c>
      <c r="D184" s="12" t="s">
        <v>228</v>
      </c>
      <c r="E184" s="12"/>
      <c r="F184" s="11">
        <v>0.9</v>
      </c>
      <c r="G184" s="11">
        <v>0.7</v>
      </c>
      <c r="H184" s="11">
        <v>2.2999999999999998</v>
      </c>
      <c r="N184"/>
    </row>
    <row r="185" spans="1:14" ht="14.25">
      <c r="A185" s="12"/>
      <c r="B185" s="12"/>
      <c r="C185" s="12"/>
      <c r="D185" s="6" t="s">
        <v>229</v>
      </c>
      <c r="E185" s="12"/>
      <c r="F185" s="13"/>
      <c r="G185" s="13"/>
      <c r="H185" s="13"/>
      <c r="N185"/>
    </row>
    <row r="186" spans="1:14" ht="14.25">
      <c r="A186" s="12"/>
      <c r="B186" s="12"/>
      <c r="C186" s="12"/>
      <c r="D186" s="6" t="s">
        <v>230</v>
      </c>
      <c r="E186" s="12"/>
      <c r="F186" s="13"/>
      <c r="G186" s="13"/>
      <c r="H186" s="13"/>
      <c r="N186"/>
    </row>
    <row r="187" spans="1:14" ht="12.75" customHeight="1">
      <c r="A187" s="12"/>
      <c r="B187" s="12"/>
      <c r="C187" s="12"/>
      <c r="D187" s="6"/>
      <c r="E187" s="12"/>
      <c r="F187" s="13"/>
      <c r="G187" s="13"/>
      <c r="H187" s="13"/>
      <c r="N187"/>
    </row>
    <row r="188" spans="1:14" ht="12.75" customHeight="1">
      <c r="A188" s="12"/>
      <c r="B188" s="12"/>
      <c r="C188" s="12"/>
      <c r="D188" s="6"/>
      <c r="E188" s="12"/>
      <c r="F188" s="13"/>
      <c r="G188" s="13"/>
      <c r="H188" s="13"/>
      <c r="N188"/>
    </row>
    <row r="189" spans="1:14" ht="12.75" customHeight="1">
      <c r="A189" s="12"/>
      <c r="B189" s="12"/>
      <c r="C189" s="12"/>
      <c r="D189" s="12"/>
      <c r="E189" s="12"/>
      <c r="F189" s="13"/>
      <c r="G189" s="13"/>
      <c r="H189" s="13"/>
      <c r="N189"/>
    </row>
    <row r="190" spans="1:14" ht="12.75" customHeight="1">
      <c r="A190" s="12"/>
      <c r="B190" s="12"/>
      <c r="C190" s="12"/>
      <c r="D190" s="12"/>
      <c r="E190" s="12"/>
      <c r="F190" s="13"/>
      <c r="G190" s="13"/>
      <c r="H190" s="13"/>
      <c r="N190"/>
    </row>
    <row r="191" spans="1:14" ht="12.75" customHeight="1">
      <c r="A191" s="5" t="s">
        <v>231</v>
      </c>
      <c r="B191" s="7" t="s">
        <v>2</v>
      </c>
      <c r="C191" s="6" t="s">
        <v>232</v>
      </c>
      <c r="D191" s="6"/>
      <c r="E191" s="7" t="s">
        <v>4</v>
      </c>
      <c r="F191" s="6"/>
      <c r="G191" s="6"/>
      <c r="H191" s="6"/>
      <c r="N191"/>
    </row>
    <row r="192" spans="1:14" ht="14.25">
      <c r="A192" s="5"/>
      <c r="B192" s="17" t="s">
        <v>233</v>
      </c>
      <c r="C192" s="7" t="s">
        <v>7</v>
      </c>
      <c r="D192" s="7" t="s">
        <v>8</v>
      </c>
      <c r="E192" s="10" t="s">
        <v>234</v>
      </c>
      <c r="F192" s="7" t="s">
        <v>10</v>
      </c>
      <c r="G192" s="7" t="s">
        <v>11</v>
      </c>
      <c r="H192" s="7" t="s">
        <v>12</v>
      </c>
      <c r="N192"/>
    </row>
    <row r="193" spans="1:14" ht="14.25">
      <c r="A193" s="12" t="s">
        <v>235</v>
      </c>
      <c r="B193" s="6" t="s">
        <v>1287</v>
      </c>
      <c r="C193" s="6"/>
      <c r="D193" s="6" t="s">
        <v>236</v>
      </c>
      <c r="E193" s="10" t="s">
        <v>237</v>
      </c>
      <c r="F193" s="11">
        <v>2.1</v>
      </c>
      <c r="G193" s="11">
        <v>1.85</v>
      </c>
      <c r="H193" s="11">
        <v>2.9</v>
      </c>
      <c r="N193"/>
    </row>
    <row r="194" spans="1:14" ht="14.25">
      <c r="A194" s="12" t="s">
        <v>238</v>
      </c>
      <c r="B194" s="6"/>
      <c r="C194" s="6"/>
      <c r="D194" s="6" t="s">
        <v>239</v>
      </c>
      <c r="E194" s="6"/>
      <c r="F194" s="6"/>
      <c r="G194" s="6"/>
      <c r="H194" s="6"/>
      <c r="N194"/>
    </row>
    <row r="195" spans="1:14" ht="12.75" customHeight="1">
      <c r="A195" s="12" t="s">
        <v>240</v>
      </c>
      <c r="B195" s="6"/>
      <c r="C195" s="6"/>
      <c r="D195" s="6"/>
      <c r="E195" s="6"/>
      <c r="F195" s="6"/>
      <c r="G195" s="6"/>
      <c r="H195" s="6"/>
      <c r="N195"/>
    </row>
    <row r="196" spans="1:14" ht="12.75" customHeight="1">
      <c r="A196" s="12" t="s">
        <v>241</v>
      </c>
      <c r="B196" s="6"/>
      <c r="C196" s="6"/>
      <c r="D196" s="6"/>
      <c r="E196" s="6"/>
      <c r="F196" s="6"/>
      <c r="G196" s="6"/>
      <c r="H196" s="6"/>
      <c r="N196"/>
    </row>
    <row r="197" spans="1:14" ht="12.75" customHeight="1">
      <c r="A197" s="12"/>
      <c r="B197" s="6"/>
      <c r="C197" s="6"/>
      <c r="D197" s="6"/>
      <c r="E197" s="6"/>
      <c r="F197" s="6"/>
      <c r="G197" s="6"/>
      <c r="H197" s="6"/>
      <c r="N197"/>
    </row>
    <row r="198" spans="1:14" ht="12.75" customHeight="1">
      <c r="A198" s="12"/>
      <c r="B198" s="6"/>
      <c r="C198" s="6"/>
      <c r="D198" s="6"/>
      <c r="E198" s="6"/>
      <c r="F198" s="6"/>
      <c r="G198" s="6"/>
      <c r="H198" s="6"/>
      <c r="N198"/>
    </row>
    <row r="199" spans="1:14" ht="12.75" customHeight="1">
      <c r="A199" s="5" t="s">
        <v>242</v>
      </c>
      <c r="B199" s="7" t="s">
        <v>2</v>
      </c>
      <c r="C199" s="6"/>
      <c r="D199" s="6"/>
      <c r="E199" s="7" t="s">
        <v>4</v>
      </c>
      <c r="F199" s="6"/>
      <c r="G199" s="6"/>
      <c r="H199" s="6"/>
      <c r="N199"/>
    </row>
    <row r="200" spans="1:14" ht="14.25">
      <c r="A200" s="5"/>
      <c r="B200" s="17" t="s">
        <v>243</v>
      </c>
      <c r="C200" s="7" t="s">
        <v>7</v>
      </c>
      <c r="D200" s="7" t="s">
        <v>8</v>
      </c>
      <c r="E200" s="10">
        <v>689</v>
      </c>
      <c r="F200" s="7" t="s">
        <v>10</v>
      </c>
      <c r="G200" s="7" t="s">
        <v>11</v>
      </c>
      <c r="H200" s="7" t="s">
        <v>12</v>
      </c>
      <c r="N200"/>
    </row>
    <row r="201" spans="1:14" ht="14.25">
      <c r="A201" s="6" t="s">
        <v>244</v>
      </c>
      <c r="B201" s="6"/>
      <c r="C201" s="6" t="s">
        <v>245</v>
      </c>
      <c r="D201" s="6" t="s">
        <v>246</v>
      </c>
      <c r="E201" s="6"/>
      <c r="F201" s="11">
        <v>3.1</v>
      </c>
      <c r="G201" s="11">
        <v>1.4</v>
      </c>
      <c r="H201" s="11">
        <v>3.5</v>
      </c>
      <c r="N201"/>
    </row>
    <row r="202" spans="1:14" ht="14.25">
      <c r="A202" s="6" t="s">
        <v>247</v>
      </c>
      <c r="B202" s="6"/>
      <c r="C202" s="6"/>
      <c r="D202" s="6" t="s">
        <v>248</v>
      </c>
      <c r="E202" s="6"/>
      <c r="F202" s="6"/>
      <c r="G202" s="6"/>
      <c r="H202" s="6"/>
      <c r="N202"/>
    </row>
    <row r="203" spans="1:14" ht="14.25">
      <c r="A203" s="6"/>
      <c r="B203" s="6"/>
      <c r="C203" s="6"/>
      <c r="D203" s="6" t="s">
        <v>249</v>
      </c>
      <c r="E203" s="6"/>
      <c r="F203" s="6"/>
      <c r="G203" s="6"/>
      <c r="H203" s="6"/>
      <c r="N203"/>
    </row>
    <row r="204" spans="1:14" ht="12.75" customHeight="1">
      <c r="A204" s="6"/>
      <c r="B204" s="6"/>
      <c r="C204" s="6"/>
      <c r="D204" s="6"/>
      <c r="E204" s="6"/>
      <c r="F204" s="6"/>
      <c r="G204" s="6"/>
      <c r="H204" s="6"/>
      <c r="N204"/>
    </row>
    <row r="205" spans="1:14" ht="12.75" customHeight="1">
      <c r="A205" s="5" t="s">
        <v>250</v>
      </c>
      <c r="B205" s="7" t="s">
        <v>2</v>
      </c>
      <c r="C205" s="6" t="s">
        <v>251</v>
      </c>
      <c r="E205" s="7" t="s">
        <v>4</v>
      </c>
      <c r="F205" s="6"/>
      <c r="G205" s="6"/>
      <c r="H205" s="6"/>
      <c r="N205"/>
    </row>
    <row r="206" spans="1:14" ht="14.25">
      <c r="A206" s="5"/>
      <c r="B206" s="8" t="s">
        <v>252</v>
      </c>
      <c r="C206" s="7" t="s">
        <v>7</v>
      </c>
      <c r="D206" s="7" t="s">
        <v>8</v>
      </c>
      <c r="E206" s="10">
        <v>378</v>
      </c>
      <c r="F206" s="7" t="s">
        <v>10</v>
      </c>
      <c r="G206" s="7" t="s">
        <v>11</v>
      </c>
      <c r="H206" s="7" t="s">
        <v>12</v>
      </c>
      <c r="N206"/>
    </row>
    <row r="207" spans="1:14" ht="14.25">
      <c r="A207" s="6" t="s">
        <v>253</v>
      </c>
      <c r="B207" s="6"/>
      <c r="C207" s="6"/>
      <c r="D207" s="6" t="s">
        <v>254</v>
      </c>
      <c r="E207" s="6"/>
      <c r="F207" s="11">
        <v>2.7</v>
      </c>
      <c r="G207" s="11">
        <v>1.9</v>
      </c>
      <c r="H207" s="11">
        <v>6.3</v>
      </c>
      <c r="N207"/>
    </row>
    <row r="208" spans="1:14" ht="12.75" customHeight="1">
      <c r="A208" s="6"/>
      <c r="B208" s="6"/>
      <c r="C208" s="6"/>
      <c r="D208" s="6"/>
      <c r="E208" s="6"/>
      <c r="F208" s="6"/>
      <c r="G208" s="6"/>
      <c r="H208" s="6"/>
      <c r="N208"/>
    </row>
    <row r="209" spans="1:14" ht="12.75" customHeight="1">
      <c r="A209" s="6"/>
      <c r="B209" s="6"/>
      <c r="C209" s="6"/>
      <c r="D209" s="6"/>
      <c r="E209" s="6"/>
      <c r="F209" s="6"/>
      <c r="G209" s="6"/>
      <c r="H209" s="6"/>
      <c r="N209"/>
    </row>
    <row r="210" spans="1:14" ht="12.75" customHeight="1">
      <c r="A210" s="5" t="s">
        <v>255</v>
      </c>
      <c r="B210" s="7" t="s">
        <v>2</v>
      </c>
      <c r="C210" s="6" t="s">
        <v>256</v>
      </c>
      <c r="E210" s="7" t="s">
        <v>4</v>
      </c>
      <c r="F210" s="6"/>
      <c r="G210" s="6"/>
      <c r="H210" s="6"/>
      <c r="N210"/>
    </row>
    <row r="211" spans="1:14" ht="14.25">
      <c r="A211" s="5"/>
      <c r="B211" s="8" t="s">
        <v>257</v>
      </c>
      <c r="C211" s="7" t="s">
        <v>7</v>
      </c>
      <c r="D211" s="7" t="s">
        <v>8</v>
      </c>
      <c r="E211" s="10">
        <v>8794</v>
      </c>
      <c r="F211" s="7" t="s">
        <v>10</v>
      </c>
      <c r="G211" s="7" t="s">
        <v>11</v>
      </c>
      <c r="H211" s="7" t="s">
        <v>12</v>
      </c>
      <c r="N211"/>
    </row>
    <row r="212" spans="1:14" ht="14.25">
      <c r="A212" s="12" t="s">
        <v>258</v>
      </c>
      <c r="B212" s="12" t="s">
        <v>1287</v>
      </c>
      <c r="C212" s="12" t="s">
        <v>62</v>
      </c>
      <c r="D212" s="12" t="s">
        <v>259</v>
      </c>
      <c r="E212" s="12"/>
      <c r="F212" s="11">
        <v>0.5</v>
      </c>
      <c r="G212" s="11">
        <v>0.7</v>
      </c>
      <c r="H212" s="11">
        <v>1.9</v>
      </c>
      <c r="N212"/>
    </row>
    <row r="213" spans="1:14" ht="14.25">
      <c r="A213" s="12" t="s">
        <v>111</v>
      </c>
      <c r="B213" s="12"/>
      <c r="C213" s="12" t="s">
        <v>260</v>
      </c>
      <c r="D213" s="12" t="s">
        <v>261</v>
      </c>
      <c r="E213" s="12"/>
      <c r="F213" s="13"/>
      <c r="G213" s="13"/>
      <c r="H213" s="13"/>
      <c r="N213"/>
    </row>
    <row r="214" spans="1:14" ht="14.25">
      <c r="A214" s="12" t="s">
        <v>262</v>
      </c>
      <c r="B214" s="12"/>
      <c r="C214" s="12" t="s">
        <v>263</v>
      </c>
      <c r="D214" s="12" t="s">
        <v>264</v>
      </c>
      <c r="E214" s="12"/>
      <c r="F214" s="13"/>
      <c r="G214" s="13"/>
      <c r="H214" s="13"/>
      <c r="N214"/>
    </row>
    <row r="215" spans="1:14" ht="14.25">
      <c r="A215" s="12" t="s">
        <v>265</v>
      </c>
      <c r="B215" s="12"/>
      <c r="C215" s="12" t="s">
        <v>266</v>
      </c>
      <c r="D215" s="6" t="s">
        <v>267</v>
      </c>
      <c r="E215" s="12"/>
      <c r="F215" s="13"/>
      <c r="G215" s="13"/>
      <c r="H215" s="13"/>
      <c r="N215"/>
    </row>
    <row r="216" spans="1:14" ht="12.75" customHeight="1">
      <c r="A216" s="12"/>
      <c r="B216" s="12"/>
      <c r="C216" s="12"/>
      <c r="D216" s="12"/>
      <c r="E216" s="12"/>
      <c r="F216" s="13"/>
      <c r="G216" s="13"/>
      <c r="H216" s="13"/>
      <c r="N216"/>
    </row>
    <row r="217" spans="1:14" ht="12.75" customHeight="1">
      <c r="A217" s="12"/>
      <c r="B217" s="12"/>
      <c r="C217" s="12"/>
      <c r="D217" s="12"/>
      <c r="E217" s="12"/>
      <c r="F217" s="13"/>
      <c r="G217" s="13"/>
      <c r="H217" s="13"/>
      <c r="N217"/>
    </row>
    <row r="218" spans="1:14" ht="12.75" customHeight="1">
      <c r="A218" s="12"/>
      <c r="B218" s="12"/>
      <c r="C218" s="12"/>
      <c r="D218" s="12"/>
      <c r="E218" s="12"/>
      <c r="F218" s="13"/>
      <c r="G218" s="13"/>
      <c r="H218" s="13"/>
      <c r="N218"/>
    </row>
    <row r="219" spans="1:14" ht="12.75" customHeight="1">
      <c r="A219" s="12"/>
      <c r="B219" s="12"/>
      <c r="C219" s="12"/>
      <c r="D219" s="12"/>
      <c r="E219" s="12"/>
      <c r="F219" s="13"/>
      <c r="G219" s="13"/>
      <c r="H219" s="13"/>
      <c r="N219"/>
    </row>
    <row r="220" spans="1:14" ht="12.75" customHeight="1">
      <c r="A220" s="5" t="s">
        <v>268</v>
      </c>
      <c r="B220" s="7" t="s">
        <v>2</v>
      </c>
      <c r="C220" s="12" t="s">
        <v>269</v>
      </c>
      <c r="E220" s="7" t="s">
        <v>4</v>
      </c>
      <c r="F220" s="13"/>
      <c r="G220" s="13"/>
      <c r="H220" s="13"/>
      <c r="N220"/>
    </row>
    <row r="221" spans="1:14" ht="14.25">
      <c r="A221" s="5"/>
      <c r="B221" s="8" t="s">
        <v>270</v>
      </c>
      <c r="C221" s="7" t="s">
        <v>7</v>
      </c>
      <c r="D221" s="7" t="s">
        <v>8</v>
      </c>
      <c r="E221" s="10" t="s">
        <v>271</v>
      </c>
      <c r="F221" s="7" t="s">
        <v>10</v>
      </c>
      <c r="G221" s="7" t="s">
        <v>11</v>
      </c>
      <c r="H221" s="7" t="s">
        <v>12</v>
      </c>
      <c r="N221"/>
    </row>
    <row r="222" spans="1:14" ht="14.25">
      <c r="A222" s="12" t="s">
        <v>272</v>
      </c>
      <c r="B222" s="12"/>
      <c r="C222" s="12"/>
      <c r="D222" s="12" t="s">
        <v>273</v>
      </c>
      <c r="E222" s="10" t="s">
        <v>274</v>
      </c>
      <c r="F222" s="11">
        <v>2.6</v>
      </c>
      <c r="G222" s="11">
        <v>1.4</v>
      </c>
      <c r="H222" s="11">
        <v>3.1</v>
      </c>
      <c r="N222"/>
    </row>
    <row r="223" spans="1:14" ht="14.25">
      <c r="A223" s="12"/>
      <c r="B223" s="12"/>
      <c r="C223" s="12"/>
      <c r="D223" s="12" t="s">
        <v>275</v>
      </c>
      <c r="E223" s="12"/>
      <c r="F223" s="13"/>
      <c r="G223" s="13"/>
      <c r="H223" s="13"/>
      <c r="N223"/>
    </row>
    <row r="224" spans="1:14" ht="14.25">
      <c r="A224" s="12"/>
      <c r="B224" s="12"/>
      <c r="C224" s="12"/>
      <c r="D224" s="12" t="s">
        <v>276</v>
      </c>
      <c r="E224" s="12"/>
      <c r="F224" s="13"/>
      <c r="G224" s="13"/>
      <c r="H224" s="13"/>
      <c r="N224"/>
    </row>
    <row r="225" spans="1:14" ht="12.75" customHeight="1">
      <c r="A225" s="12"/>
      <c r="B225" s="12"/>
      <c r="C225" s="12"/>
      <c r="D225" s="12"/>
      <c r="E225" s="12"/>
      <c r="F225" s="13"/>
      <c r="G225" s="13"/>
      <c r="H225" s="13"/>
      <c r="N225"/>
    </row>
    <row r="226" spans="1:14" ht="12.75" customHeight="1">
      <c r="A226" s="12"/>
      <c r="B226" s="12"/>
      <c r="C226" s="12"/>
      <c r="D226" s="12"/>
      <c r="E226" s="12"/>
      <c r="F226" s="13"/>
      <c r="G226" s="13"/>
      <c r="H226" s="13"/>
      <c r="N226"/>
    </row>
    <row r="227" spans="1:14" ht="12.75" customHeight="1">
      <c r="A227" s="5" t="s">
        <v>277</v>
      </c>
      <c r="B227" s="7" t="s">
        <v>2</v>
      </c>
      <c r="C227" s="12" t="s">
        <v>278</v>
      </c>
      <c r="E227" s="7" t="s">
        <v>4</v>
      </c>
      <c r="F227" s="13"/>
      <c r="G227" s="13"/>
      <c r="H227" s="13"/>
      <c r="N227"/>
    </row>
    <row r="228" spans="1:14" ht="14.25">
      <c r="A228" s="5"/>
      <c r="B228" s="8" t="s">
        <v>279</v>
      </c>
      <c r="C228" s="7" t="s">
        <v>7</v>
      </c>
      <c r="D228" s="7" t="s">
        <v>8</v>
      </c>
      <c r="E228" s="10" t="s">
        <v>280</v>
      </c>
      <c r="F228" s="7" t="s">
        <v>10</v>
      </c>
      <c r="G228" s="7" t="s">
        <v>11</v>
      </c>
      <c r="H228" s="7" t="s">
        <v>12</v>
      </c>
      <c r="N228"/>
    </row>
    <row r="229" spans="1:14" ht="14.25">
      <c r="A229" s="12" t="s">
        <v>281</v>
      </c>
      <c r="B229" s="12"/>
      <c r="C229" s="12"/>
      <c r="D229" s="12" t="s">
        <v>282</v>
      </c>
      <c r="E229" s="10" t="s">
        <v>283</v>
      </c>
      <c r="F229" s="11">
        <v>1.7</v>
      </c>
      <c r="G229" s="11">
        <v>1.1000000000000001</v>
      </c>
      <c r="H229" s="11">
        <v>2.2999999999999998</v>
      </c>
      <c r="N229"/>
    </row>
    <row r="230" spans="1:14" ht="14.25">
      <c r="A230" s="12"/>
      <c r="B230" s="12"/>
      <c r="C230" s="12"/>
      <c r="D230" s="12" t="s">
        <v>284</v>
      </c>
      <c r="E230" s="12"/>
      <c r="F230" s="13"/>
      <c r="G230" s="13"/>
      <c r="H230" s="13"/>
      <c r="N230"/>
    </row>
    <row r="231" spans="1:14" ht="14.25">
      <c r="A231" s="12"/>
      <c r="B231" s="12"/>
      <c r="C231" s="12"/>
      <c r="D231" s="12" t="s">
        <v>285</v>
      </c>
      <c r="E231" s="12"/>
      <c r="F231" s="13"/>
      <c r="G231" s="13"/>
      <c r="H231" s="13"/>
      <c r="N231"/>
    </row>
    <row r="232" spans="1:14" ht="12.75" customHeight="1">
      <c r="A232" s="12"/>
      <c r="B232" s="12"/>
      <c r="C232" s="12"/>
      <c r="D232" s="12"/>
      <c r="E232" s="12"/>
      <c r="F232" s="13"/>
      <c r="G232" s="13"/>
      <c r="H232" s="13"/>
      <c r="N232"/>
    </row>
    <row r="233" spans="1:14" ht="12.75" customHeight="1">
      <c r="A233" s="12"/>
      <c r="B233" s="12"/>
      <c r="C233" s="12"/>
      <c r="D233" s="12"/>
      <c r="E233" s="12"/>
      <c r="F233" s="13"/>
      <c r="G233" s="13"/>
      <c r="H233" s="13"/>
      <c r="N233"/>
    </row>
    <row r="234" spans="1:14" ht="12.75" customHeight="1">
      <c r="A234" s="12"/>
      <c r="B234" s="12"/>
      <c r="C234" s="12"/>
      <c r="D234" s="12"/>
      <c r="E234" s="12"/>
      <c r="F234" s="13"/>
      <c r="G234" s="13"/>
      <c r="H234" s="13"/>
      <c r="N234"/>
    </row>
    <row r="235" spans="1:14" ht="12.75" customHeight="1">
      <c r="A235" s="5" t="s">
        <v>286</v>
      </c>
      <c r="B235" s="7" t="s">
        <v>2</v>
      </c>
      <c r="C235" s="12" t="s">
        <v>287</v>
      </c>
      <c r="E235" s="7" t="s">
        <v>4</v>
      </c>
      <c r="F235" s="13"/>
      <c r="G235" s="13"/>
      <c r="H235" s="13"/>
      <c r="N235"/>
    </row>
    <row r="236" spans="1:14" ht="14.25">
      <c r="A236" s="5"/>
      <c r="B236" s="8" t="s">
        <v>288</v>
      </c>
      <c r="C236" s="7" t="s">
        <v>7</v>
      </c>
      <c r="D236" s="7" t="s">
        <v>8</v>
      </c>
      <c r="E236" s="10">
        <v>1354</v>
      </c>
      <c r="F236" s="7" t="s">
        <v>10</v>
      </c>
      <c r="G236" s="7" t="s">
        <v>11</v>
      </c>
      <c r="H236" s="7" t="s">
        <v>12</v>
      </c>
      <c r="N236"/>
    </row>
    <row r="237" spans="1:14" ht="14.25">
      <c r="A237" s="12" t="s">
        <v>289</v>
      </c>
      <c r="B237" s="12"/>
      <c r="C237" s="12" t="s">
        <v>290</v>
      </c>
      <c r="D237" s="12" t="s">
        <v>291</v>
      </c>
      <c r="E237" s="12"/>
      <c r="F237" s="11">
        <v>2.7</v>
      </c>
      <c r="G237" s="11">
        <v>1.9</v>
      </c>
      <c r="H237" s="11">
        <v>4.0999999999999996</v>
      </c>
      <c r="N237"/>
    </row>
    <row r="238" spans="1:14" ht="14.25">
      <c r="A238" s="12"/>
      <c r="B238" s="12"/>
      <c r="C238" s="12" t="s">
        <v>292</v>
      </c>
      <c r="D238" s="12" t="s">
        <v>293</v>
      </c>
      <c r="E238" s="12"/>
      <c r="F238" s="13"/>
      <c r="G238" s="13"/>
      <c r="H238" s="13"/>
      <c r="N238"/>
    </row>
    <row r="239" spans="1:14" ht="14.25">
      <c r="A239" s="12"/>
      <c r="B239" s="12"/>
      <c r="C239" s="12" t="s">
        <v>294</v>
      </c>
      <c r="D239" s="12" t="s">
        <v>295</v>
      </c>
      <c r="E239" s="12"/>
      <c r="F239" s="13"/>
      <c r="G239" s="13"/>
      <c r="H239" s="13"/>
      <c r="N239"/>
    </row>
    <row r="240" spans="1:14" ht="14.25">
      <c r="A240" s="12"/>
      <c r="B240" s="12"/>
      <c r="C240" s="12"/>
      <c r="D240" s="12" t="s">
        <v>296</v>
      </c>
      <c r="E240" s="12"/>
      <c r="F240" s="13"/>
      <c r="G240" s="13"/>
      <c r="H240" s="13"/>
      <c r="N240"/>
    </row>
    <row r="241" spans="1:14" ht="14.25">
      <c r="A241" s="12"/>
      <c r="B241" s="12"/>
      <c r="C241" s="12"/>
      <c r="D241" s="12" t="s">
        <v>297</v>
      </c>
      <c r="E241" s="12"/>
      <c r="F241" s="13"/>
      <c r="G241" s="13"/>
      <c r="H241" s="13"/>
      <c r="N241"/>
    </row>
    <row r="242" spans="1:14" ht="14.25">
      <c r="A242" s="12"/>
      <c r="B242" s="12"/>
      <c r="C242" s="12"/>
      <c r="D242" s="12" t="s">
        <v>298</v>
      </c>
      <c r="E242" s="12"/>
      <c r="F242" s="13"/>
      <c r="G242" s="13"/>
      <c r="H242" s="13"/>
      <c r="N242"/>
    </row>
    <row r="243" spans="1:14" ht="14.25">
      <c r="A243" s="12"/>
      <c r="B243" s="12"/>
      <c r="C243" s="12"/>
      <c r="D243" s="12" t="s">
        <v>299</v>
      </c>
      <c r="E243" s="12"/>
      <c r="F243" s="13"/>
      <c r="G243" s="13"/>
      <c r="H243" s="13"/>
      <c r="N243"/>
    </row>
    <row r="244" spans="1:14" ht="12.75" customHeight="1">
      <c r="A244" s="12"/>
      <c r="B244" s="12"/>
      <c r="C244" s="12"/>
      <c r="D244" s="12"/>
      <c r="E244" s="12"/>
      <c r="F244" s="13"/>
      <c r="G244" s="13"/>
      <c r="H244" s="13"/>
      <c r="N244"/>
    </row>
    <row r="245" spans="1:14" ht="12.75" customHeight="1">
      <c r="A245" s="12"/>
      <c r="B245" s="12"/>
      <c r="C245" s="12"/>
      <c r="D245" s="12"/>
      <c r="E245" s="12"/>
      <c r="F245" s="13"/>
      <c r="G245" s="13"/>
      <c r="H245" s="13"/>
      <c r="N245"/>
    </row>
    <row r="246" spans="1:14" ht="12.75" customHeight="1">
      <c r="A246" s="12"/>
      <c r="B246" s="12"/>
      <c r="C246" s="12"/>
      <c r="D246" s="12"/>
      <c r="E246" s="12"/>
      <c r="F246" s="13"/>
      <c r="G246" s="13"/>
      <c r="H246" s="13"/>
      <c r="N246"/>
    </row>
    <row r="247" spans="1:14" ht="12.75" customHeight="1">
      <c r="A247" s="5" t="s">
        <v>300</v>
      </c>
      <c r="B247" s="7" t="s">
        <v>2</v>
      </c>
      <c r="C247" s="19" t="s">
        <v>301</v>
      </c>
      <c r="E247" s="7" t="s">
        <v>4</v>
      </c>
      <c r="F247" s="13"/>
      <c r="G247" s="13"/>
      <c r="H247" s="13"/>
      <c r="N247"/>
    </row>
    <row r="248" spans="1:14" ht="14.25">
      <c r="A248" s="5"/>
      <c r="B248" s="8" t="s">
        <v>302</v>
      </c>
      <c r="C248" s="7" t="s">
        <v>7</v>
      </c>
      <c r="D248" s="7" t="s">
        <v>8</v>
      </c>
      <c r="E248" s="10">
        <v>245</v>
      </c>
      <c r="F248" s="7" t="s">
        <v>10</v>
      </c>
      <c r="G248" s="7" t="s">
        <v>11</v>
      </c>
      <c r="H248" s="7" t="s">
        <v>12</v>
      </c>
      <c r="N248"/>
    </row>
    <row r="249" spans="1:14" ht="14.25">
      <c r="A249" s="12"/>
      <c r="B249" s="12"/>
      <c r="C249" s="12" t="s">
        <v>303</v>
      </c>
      <c r="D249" s="12" t="s">
        <v>304</v>
      </c>
      <c r="E249" s="12"/>
      <c r="F249" s="11">
        <v>3.2</v>
      </c>
      <c r="G249" s="11">
        <v>2.5</v>
      </c>
      <c r="H249" s="11" t="s">
        <v>305</v>
      </c>
      <c r="N249"/>
    </row>
    <row r="250" spans="1:14" ht="14.25">
      <c r="A250" s="12"/>
      <c r="B250" s="12"/>
      <c r="C250" s="12"/>
      <c r="D250" s="12" t="s">
        <v>306</v>
      </c>
      <c r="E250" s="12"/>
      <c r="F250" s="13"/>
      <c r="G250" s="13"/>
      <c r="H250" s="13"/>
      <c r="N250"/>
    </row>
    <row r="251" spans="1:14" ht="12.75" customHeight="1">
      <c r="A251" s="12"/>
      <c r="B251" s="12"/>
      <c r="C251" s="12"/>
      <c r="D251" s="12"/>
      <c r="E251" s="12"/>
      <c r="F251" s="13"/>
      <c r="G251" s="13"/>
      <c r="H251" s="13"/>
      <c r="N251"/>
    </row>
    <row r="252" spans="1:14" ht="12.75" customHeight="1">
      <c r="A252" s="12"/>
      <c r="B252" s="12"/>
      <c r="C252" s="12"/>
      <c r="D252" s="12"/>
      <c r="E252" s="12"/>
      <c r="F252" s="13"/>
      <c r="G252" s="13"/>
      <c r="H252" s="13"/>
      <c r="N252"/>
    </row>
    <row r="253" spans="1:14" ht="12.75" customHeight="1">
      <c r="A253" s="5" t="s">
        <v>307</v>
      </c>
      <c r="B253" s="7" t="s">
        <v>2</v>
      </c>
      <c r="C253" s="6" t="s">
        <v>308</v>
      </c>
      <c r="D253" s="6"/>
      <c r="E253" s="7" t="s">
        <v>4</v>
      </c>
      <c r="F253" s="6"/>
      <c r="G253" s="6"/>
      <c r="H253" s="6"/>
      <c r="N253"/>
    </row>
    <row r="254" spans="1:14" ht="14.25">
      <c r="A254" s="5"/>
      <c r="B254" s="21" t="s">
        <v>309</v>
      </c>
      <c r="C254" s="7" t="s">
        <v>7</v>
      </c>
      <c r="D254" s="7" t="s">
        <v>8</v>
      </c>
      <c r="E254" s="9">
        <v>52000</v>
      </c>
      <c r="F254" s="7" t="s">
        <v>10</v>
      </c>
      <c r="G254" s="7" t="s">
        <v>11</v>
      </c>
      <c r="H254" s="7" t="s">
        <v>12</v>
      </c>
      <c r="N254"/>
    </row>
    <row r="255" spans="1:14" ht="14.25">
      <c r="A255" s="6" t="s">
        <v>310</v>
      </c>
      <c r="B255" s="6"/>
      <c r="C255" s="6" t="s">
        <v>311</v>
      </c>
      <c r="D255" s="6" t="s">
        <v>312</v>
      </c>
      <c r="E255" s="22"/>
      <c r="F255" s="11">
        <v>1.7</v>
      </c>
      <c r="G255" s="11">
        <v>1.3</v>
      </c>
      <c r="H255" s="11">
        <v>2.2999999999999998</v>
      </c>
      <c r="N255"/>
    </row>
    <row r="256" spans="1:14" ht="14.25">
      <c r="A256" s="6" t="s">
        <v>313</v>
      </c>
      <c r="B256" s="6"/>
      <c r="C256" s="6" t="s">
        <v>314</v>
      </c>
      <c r="D256" s="6" t="s">
        <v>315</v>
      </c>
      <c r="E256" s="6"/>
      <c r="F256" s="6"/>
      <c r="G256" s="6"/>
      <c r="H256" s="6"/>
      <c r="N256"/>
    </row>
    <row r="257" spans="1:14" ht="14.25">
      <c r="A257" s="6" t="s">
        <v>316</v>
      </c>
      <c r="B257" s="6"/>
      <c r="C257" s="6"/>
      <c r="D257" s="6" t="s">
        <v>317</v>
      </c>
      <c r="E257" s="6"/>
      <c r="F257" s="6"/>
      <c r="G257" s="6"/>
      <c r="H257" s="6"/>
      <c r="N257"/>
    </row>
    <row r="258" spans="1:14" ht="14.25">
      <c r="A258" s="6" t="s">
        <v>318</v>
      </c>
      <c r="B258" s="6" t="s">
        <v>319</v>
      </c>
      <c r="C258" s="6"/>
      <c r="D258" s="6" t="s">
        <v>320</v>
      </c>
      <c r="E258" s="6"/>
      <c r="F258" s="6"/>
      <c r="G258" s="6"/>
      <c r="H258" s="6"/>
      <c r="N258"/>
    </row>
    <row r="259" spans="1:14" ht="12.75" customHeight="1">
      <c r="A259" s="6" t="s">
        <v>321</v>
      </c>
      <c r="B259" s="6"/>
      <c r="C259" s="6"/>
      <c r="D259" s="6"/>
      <c r="E259" s="6"/>
      <c r="F259" s="6"/>
      <c r="G259" s="6"/>
      <c r="H259" s="6"/>
      <c r="N259"/>
    </row>
    <row r="260" spans="1:14" ht="12.75" customHeight="1">
      <c r="A260" s="6" t="s">
        <v>262</v>
      </c>
      <c r="B260" s="6"/>
      <c r="C260" s="6"/>
      <c r="D260" s="6"/>
      <c r="E260" s="6"/>
      <c r="F260" s="6"/>
      <c r="G260" s="6"/>
      <c r="H260" s="6"/>
      <c r="N260"/>
    </row>
    <row r="261" spans="1:14" ht="12.75" customHeight="1">
      <c r="A261" s="6"/>
      <c r="B261" s="6"/>
      <c r="C261" s="6"/>
      <c r="D261" s="6"/>
      <c r="E261" s="6"/>
      <c r="F261" s="6"/>
      <c r="G261" s="6"/>
      <c r="H261" s="6"/>
      <c r="N261"/>
    </row>
    <row r="262" spans="1:14" ht="12.75" customHeight="1">
      <c r="A262" s="6"/>
      <c r="B262" s="6"/>
      <c r="C262" s="6"/>
      <c r="D262" s="6"/>
      <c r="E262" s="6"/>
      <c r="F262" s="6"/>
      <c r="G262" s="6"/>
      <c r="H262" s="6"/>
      <c r="N262"/>
    </row>
    <row r="263" spans="1:14" ht="12.75" customHeight="1">
      <c r="A263" s="6"/>
      <c r="B263" s="6"/>
      <c r="C263" s="6"/>
      <c r="D263" s="6"/>
      <c r="E263" s="6"/>
      <c r="F263" s="6"/>
      <c r="G263" s="6"/>
      <c r="H263" s="6"/>
      <c r="N263"/>
    </row>
    <row r="264" spans="1:14" ht="12.75" customHeight="1">
      <c r="A264" s="6"/>
      <c r="B264" s="6"/>
      <c r="C264" s="6"/>
      <c r="D264" s="6"/>
      <c r="E264" s="6"/>
      <c r="F264" s="6"/>
      <c r="G264" s="6"/>
      <c r="H264" s="6"/>
      <c r="N264"/>
    </row>
    <row r="265" spans="1:14" ht="12.75" customHeight="1">
      <c r="A265" s="6"/>
      <c r="B265" s="6"/>
      <c r="C265" s="6"/>
      <c r="D265" s="6"/>
      <c r="E265" s="6"/>
      <c r="F265" s="6"/>
      <c r="G265" s="6"/>
      <c r="H265" s="6"/>
      <c r="N265"/>
    </row>
    <row r="266" spans="1:14" ht="12.75" customHeight="1">
      <c r="A266" s="5" t="s">
        <v>322</v>
      </c>
      <c r="B266" s="7" t="s">
        <v>2</v>
      </c>
      <c r="C266" s="6"/>
      <c r="E266" s="7" t="s">
        <v>4</v>
      </c>
      <c r="F266" s="6"/>
      <c r="G266" s="6"/>
      <c r="H266" s="6"/>
      <c r="N266"/>
    </row>
    <row r="267" spans="1:14" ht="14.25">
      <c r="A267" s="5"/>
      <c r="B267" s="17" t="s">
        <v>136</v>
      </c>
      <c r="C267" s="7" t="s">
        <v>7</v>
      </c>
      <c r="D267" s="7" t="s">
        <v>8</v>
      </c>
      <c r="E267" s="10">
        <v>102</v>
      </c>
      <c r="F267" s="7" t="s">
        <v>10</v>
      </c>
      <c r="G267" s="7" t="s">
        <v>11</v>
      </c>
      <c r="H267" s="7" t="s">
        <v>12</v>
      </c>
      <c r="N267"/>
    </row>
    <row r="268" spans="1:14" ht="14.25">
      <c r="A268" s="6" t="s">
        <v>323</v>
      </c>
      <c r="B268" s="6"/>
      <c r="C268" s="6" t="s">
        <v>324</v>
      </c>
      <c r="D268" s="6" t="s">
        <v>325</v>
      </c>
      <c r="E268" s="6"/>
      <c r="F268" s="11">
        <v>2.8</v>
      </c>
      <c r="G268" s="11">
        <v>0.9</v>
      </c>
      <c r="H268" s="11">
        <v>3.9</v>
      </c>
      <c r="N268"/>
    </row>
    <row r="269" spans="1:14" ht="14.25">
      <c r="A269" s="6"/>
      <c r="B269" s="6"/>
      <c r="C269" s="6"/>
      <c r="D269" s="6" t="s">
        <v>326</v>
      </c>
      <c r="E269" s="6"/>
      <c r="F269" s="6"/>
      <c r="G269" s="6"/>
      <c r="H269" s="6"/>
      <c r="N269"/>
    </row>
    <row r="270" spans="1:14" ht="14.25">
      <c r="A270" s="6"/>
      <c r="B270" s="6"/>
      <c r="C270" s="6"/>
      <c r="D270" s="6" t="s">
        <v>327</v>
      </c>
      <c r="E270" s="6"/>
      <c r="F270" s="6"/>
      <c r="G270" s="6"/>
      <c r="H270" s="6"/>
      <c r="N270"/>
    </row>
    <row r="271" spans="1:14" ht="12.75" customHeight="1">
      <c r="A271" s="6"/>
      <c r="B271" s="6"/>
      <c r="C271" s="6"/>
      <c r="D271" s="6"/>
      <c r="E271" s="6"/>
      <c r="F271" s="6"/>
      <c r="G271" s="6"/>
      <c r="H271" s="6"/>
      <c r="N271"/>
    </row>
    <row r="272" spans="1:14" ht="12.75" customHeight="1">
      <c r="A272" s="6"/>
      <c r="B272" s="6"/>
      <c r="C272" s="6"/>
      <c r="D272" s="6"/>
      <c r="E272" s="6"/>
      <c r="F272" s="6"/>
      <c r="G272" s="6"/>
      <c r="H272" s="6"/>
      <c r="N272"/>
    </row>
    <row r="273" spans="1:14" ht="12.75" customHeight="1">
      <c r="A273" s="5" t="s">
        <v>328</v>
      </c>
      <c r="B273" s="7" t="s">
        <v>2</v>
      </c>
      <c r="C273" s="19" t="s">
        <v>329</v>
      </c>
      <c r="E273" s="7" t="s">
        <v>4</v>
      </c>
      <c r="F273" s="6"/>
      <c r="G273" s="6"/>
      <c r="H273" s="6"/>
      <c r="N273"/>
    </row>
    <row r="274" spans="1:14" ht="14.25">
      <c r="A274" s="5"/>
      <c r="B274" s="17" t="s">
        <v>330</v>
      </c>
      <c r="C274" s="7" t="s">
        <v>7</v>
      </c>
      <c r="D274" s="7" t="s">
        <v>8</v>
      </c>
      <c r="E274" s="10">
        <v>834</v>
      </c>
      <c r="F274" s="7" t="s">
        <v>10</v>
      </c>
      <c r="G274" s="7" t="s">
        <v>11</v>
      </c>
      <c r="H274" s="7" t="s">
        <v>12</v>
      </c>
      <c r="N274"/>
    </row>
    <row r="275" spans="1:14" ht="14.25">
      <c r="A275" s="12" t="s">
        <v>331</v>
      </c>
      <c r="B275" s="6"/>
      <c r="C275" s="6" t="s">
        <v>332</v>
      </c>
      <c r="D275" s="6" t="s">
        <v>333</v>
      </c>
      <c r="E275" s="6"/>
      <c r="F275" s="11">
        <v>1.1000000000000001</v>
      </c>
      <c r="G275" s="11">
        <v>0.7</v>
      </c>
      <c r="H275" s="11">
        <v>3.1</v>
      </c>
      <c r="N275"/>
    </row>
    <row r="276" spans="1:14" ht="14.25">
      <c r="A276" s="12"/>
      <c r="B276" s="6"/>
      <c r="C276" s="6"/>
      <c r="D276" s="6" t="s">
        <v>334</v>
      </c>
      <c r="E276" s="6"/>
      <c r="F276" s="6"/>
      <c r="G276" s="6"/>
      <c r="H276" s="6"/>
      <c r="N276"/>
    </row>
    <row r="277" spans="1:14" ht="22.5">
      <c r="A277" s="12"/>
      <c r="B277" s="6"/>
      <c r="C277" s="6"/>
      <c r="D277" s="23" t="s">
        <v>335</v>
      </c>
      <c r="E277" s="6"/>
      <c r="F277" s="6"/>
      <c r="G277" s="6"/>
      <c r="H277" s="6"/>
      <c r="N277"/>
    </row>
    <row r="278" spans="1:14" ht="12.75" customHeight="1">
      <c r="A278" s="12"/>
      <c r="B278" s="6"/>
      <c r="C278" s="6"/>
      <c r="D278" s="23"/>
      <c r="E278" s="6"/>
      <c r="F278" s="6"/>
      <c r="G278" s="6"/>
      <c r="H278" s="6"/>
      <c r="N278"/>
    </row>
    <row r="279" spans="1:14" ht="12.75" customHeight="1">
      <c r="A279" s="12"/>
      <c r="B279" s="6"/>
      <c r="C279" s="6"/>
      <c r="D279" s="23"/>
      <c r="E279" s="6"/>
      <c r="F279" s="6"/>
      <c r="G279" s="6"/>
      <c r="H279" s="6"/>
      <c r="N279"/>
    </row>
    <row r="280" spans="1:14" ht="12.75" customHeight="1">
      <c r="A280" s="12"/>
      <c r="B280" s="6"/>
      <c r="C280" s="6"/>
      <c r="D280" s="23"/>
      <c r="E280" s="6"/>
      <c r="F280" s="6"/>
      <c r="G280" s="6"/>
      <c r="H280" s="6"/>
      <c r="N280"/>
    </row>
    <row r="281" spans="1:14" ht="12.75" customHeight="1">
      <c r="A281" s="5" t="s">
        <v>336</v>
      </c>
      <c r="B281" s="7" t="s">
        <v>2</v>
      </c>
      <c r="C281" s="6" t="s">
        <v>337</v>
      </c>
      <c r="E281" s="7" t="s">
        <v>4</v>
      </c>
      <c r="F281" s="6"/>
      <c r="G281" s="6"/>
      <c r="H281" s="6"/>
      <c r="N281"/>
    </row>
    <row r="282" spans="1:14" ht="14.25">
      <c r="A282" s="5"/>
      <c r="B282" s="17" t="s">
        <v>338</v>
      </c>
      <c r="C282" s="7" t="s">
        <v>7</v>
      </c>
      <c r="D282" s="7" t="s">
        <v>8</v>
      </c>
      <c r="E282" s="10">
        <v>900</v>
      </c>
      <c r="F282" s="7" t="s">
        <v>10</v>
      </c>
      <c r="G282" s="7" t="s">
        <v>11</v>
      </c>
      <c r="H282" s="7" t="s">
        <v>12</v>
      </c>
      <c r="N282"/>
    </row>
    <row r="283" spans="1:14" ht="12.75" customHeight="1">
      <c r="A283" s="6" t="s">
        <v>1291</v>
      </c>
      <c r="B283" s="6"/>
      <c r="C283" s="6"/>
      <c r="E283" s="6"/>
      <c r="F283" s="11">
        <v>2.1</v>
      </c>
      <c r="G283" s="11">
        <v>1.5</v>
      </c>
      <c r="H283" s="11" t="s">
        <v>305</v>
      </c>
      <c r="N283"/>
    </row>
    <row r="284" spans="1:14" ht="12.75" customHeight="1">
      <c r="A284" s="12"/>
      <c r="B284" s="6"/>
      <c r="C284" s="6"/>
      <c r="D284" s="6"/>
      <c r="E284" s="6"/>
      <c r="F284" s="6"/>
      <c r="G284" s="6"/>
      <c r="H284" s="6"/>
      <c r="N284"/>
    </row>
    <row r="285" spans="1:14" ht="12.75" customHeight="1">
      <c r="A285" s="12"/>
      <c r="B285" s="6"/>
      <c r="C285" s="6"/>
      <c r="D285" s="6"/>
      <c r="E285" s="6"/>
      <c r="F285" s="6"/>
      <c r="G285" s="6"/>
      <c r="H285" s="6"/>
      <c r="N285"/>
    </row>
    <row r="286" spans="1:14" ht="12.75" customHeight="1">
      <c r="A286" s="12"/>
      <c r="B286" s="6"/>
      <c r="C286" s="6"/>
      <c r="D286" s="6"/>
      <c r="E286" s="6"/>
      <c r="F286" s="6"/>
      <c r="G286" s="6"/>
      <c r="H286" s="6"/>
      <c r="N286"/>
    </row>
    <row r="287" spans="1:14" ht="12.75" customHeight="1">
      <c r="A287" s="12"/>
      <c r="B287" s="6"/>
      <c r="C287" s="6"/>
      <c r="D287" s="6"/>
      <c r="E287" s="6"/>
      <c r="F287" s="6"/>
      <c r="G287" s="6"/>
      <c r="H287" s="6"/>
      <c r="N287"/>
    </row>
    <row r="288" spans="1:14" ht="12.75" customHeight="1">
      <c r="A288" s="5" t="s">
        <v>339</v>
      </c>
      <c r="B288" s="7" t="s">
        <v>2</v>
      </c>
      <c r="C288" s="19" t="s">
        <v>340</v>
      </c>
      <c r="E288" s="7" t="s">
        <v>4</v>
      </c>
      <c r="F288" s="6"/>
      <c r="G288" s="6"/>
      <c r="H288" s="6"/>
      <c r="N288"/>
    </row>
    <row r="289" spans="1:14" ht="14.25">
      <c r="A289" s="5"/>
      <c r="B289" s="17" t="s">
        <v>341</v>
      </c>
      <c r="C289" s="7" t="s">
        <v>7</v>
      </c>
      <c r="D289" s="7" t="s">
        <v>8</v>
      </c>
      <c r="E289" s="10" t="s">
        <v>342</v>
      </c>
      <c r="F289" s="7" t="s">
        <v>10</v>
      </c>
      <c r="G289" s="7" t="s">
        <v>11</v>
      </c>
      <c r="H289" s="7" t="s">
        <v>12</v>
      </c>
      <c r="N289"/>
    </row>
    <row r="290" spans="1:14" ht="14.25">
      <c r="A290" s="12" t="s">
        <v>343</v>
      </c>
      <c r="B290" s="6"/>
      <c r="C290" s="6" t="s">
        <v>344</v>
      </c>
      <c r="D290" s="6" t="s">
        <v>345</v>
      </c>
      <c r="E290" s="10" t="s">
        <v>346</v>
      </c>
      <c r="F290" s="11">
        <v>1.1000000000000001</v>
      </c>
      <c r="G290" s="11">
        <v>0.9</v>
      </c>
      <c r="H290" s="11">
        <v>3.6</v>
      </c>
      <c r="N290"/>
    </row>
    <row r="291" spans="1:14" ht="14.25">
      <c r="A291" s="12"/>
      <c r="B291" s="6"/>
      <c r="C291" s="6" t="s">
        <v>347</v>
      </c>
      <c r="D291" s="6" t="s">
        <v>348</v>
      </c>
      <c r="E291" s="6"/>
      <c r="F291" s="6"/>
      <c r="G291" s="6"/>
      <c r="H291" s="6"/>
      <c r="N291"/>
    </row>
    <row r="292" spans="1:14" ht="14.25">
      <c r="A292" s="12"/>
      <c r="B292" s="6"/>
      <c r="C292" s="6"/>
      <c r="D292" s="6" t="s">
        <v>349</v>
      </c>
      <c r="E292" s="6"/>
      <c r="F292" s="6"/>
      <c r="G292" s="6"/>
      <c r="H292" s="6"/>
      <c r="N292"/>
    </row>
    <row r="293" spans="1:14" ht="14.25">
      <c r="A293" s="12"/>
      <c r="B293" s="6"/>
      <c r="C293" s="6"/>
      <c r="D293" s="6" t="s">
        <v>350</v>
      </c>
      <c r="E293" s="6"/>
      <c r="F293" s="6"/>
      <c r="G293" s="6"/>
      <c r="H293" s="6"/>
      <c r="N293"/>
    </row>
    <row r="294" spans="1:14" ht="12.75" customHeight="1">
      <c r="A294" s="12"/>
      <c r="B294" s="6"/>
      <c r="C294" s="6"/>
      <c r="D294" s="6"/>
      <c r="E294" s="6"/>
      <c r="F294" s="6"/>
      <c r="G294" s="6"/>
      <c r="H294" s="6"/>
      <c r="N294"/>
    </row>
    <row r="295" spans="1:14" ht="12.75" customHeight="1">
      <c r="A295" s="5" t="s">
        <v>351</v>
      </c>
      <c r="B295" s="7" t="s">
        <v>2</v>
      </c>
      <c r="C295" s="6" t="s">
        <v>352</v>
      </c>
      <c r="E295" s="7" t="s">
        <v>4</v>
      </c>
      <c r="F295" s="6"/>
      <c r="G295" s="6"/>
      <c r="H295" s="6"/>
      <c r="N295"/>
    </row>
    <row r="296" spans="1:14" ht="14.25">
      <c r="A296" s="5"/>
      <c r="B296" s="8" t="s">
        <v>353</v>
      </c>
      <c r="C296" s="7" t="s">
        <v>7</v>
      </c>
      <c r="D296" s="7" t="s">
        <v>8</v>
      </c>
      <c r="E296" s="10">
        <v>450</v>
      </c>
      <c r="F296" s="7" t="s">
        <v>10</v>
      </c>
      <c r="G296" s="7" t="s">
        <v>11</v>
      </c>
      <c r="H296" s="7" t="s">
        <v>12</v>
      </c>
      <c r="N296"/>
    </row>
    <row r="297" spans="1:14" ht="14.25">
      <c r="A297" s="12" t="s">
        <v>354</v>
      </c>
      <c r="B297" s="6"/>
      <c r="C297" s="6"/>
      <c r="D297" s="6" t="s">
        <v>355</v>
      </c>
      <c r="E297" s="6"/>
      <c r="F297" s="11">
        <v>2</v>
      </c>
      <c r="G297" s="11">
        <v>1.6</v>
      </c>
      <c r="H297" s="11">
        <v>4.0999999999999996</v>
      </c>
      <c r="N297"/>
    </row>
    <row r="298" spans="1:14" ht="14.25">
      <c r="A298" s="13" t="s">
        <v>1287</v>
      </c>
      <c r="B298" s="6"/>
      <c r="C298" s="6"/>
      <c r="D298" s="6" t="s">
        <v>356</v>
      </c>
      <c r="E298" s="6"/>
      <c r="F298" s="6"/>
      <c r="G298" s="6"/>
      <c r="H298" s="6"/>
      <c r="N298"/>
    </row>
    <row r="299" spans="1:14" ht="14.25">
      <c r="A299" s="13"/>
      <c r="B299" s="6"/>
      <c r="C299" s="6"/>
      <c r="D299" s="6" t="s">
        <v>357</v>
      </c>
      <c r="E299" s="6"/>
      <c r="F299" s="6"/>
      <c r="G299" s="6"/>
      <c r="H299" s="6"/>
      <c r="N299"/>
    </row>
    <row r="300" spans="1:14" ht="12.75" customHeight="1">
      <c r="A300" s="12"/>
      <c r="B300" s="6"/>
      <c r="C300" s="6"/>
      <c r="D300" s="6"/>
      <c r="E300" s="6"/>
      <c r="F300" s="6"/>
      <c r="G300" s="6"/>
      <c r="H300" s="6"/>
      <c r="N300"/>
    </row>
    <row r="301" spans="1:14" ht="12.75" customHeight="1">
      <c r="A301" s="5" t="s">
        <v>358</v>
      </c>
      <c r="B301" s="7" t="s">
        <v>2</v>
      </c>
      <c r="C301" s="6" t="s">
        <v>359</v>
      </c>
      <c r="D301" s="6"/>
      <c r="E301" s="7" t="s">
        <v>4</v>
      </c>
      <c r="F301" s="6"/>
      <c r="G301" s="6"/>
      <c r="H301" s="6"/>
      <c r="N301"/>
    </row>
    <row r="302" spans="1:14" ht="14.25">
      <c r="A302" s="5"/>
      <c r="B302" s="17" t="s">
        <v>360</v>
      </c>
      <c r="C302" s="7" t="s">
        <v>7</v>
      </c>
      <c r="D302" s="7" t="s">
        <v>8</v>
      </c>
      <c r="E302" s="10" t="s">
        <v>361</v>
      </c>
      <c r="F302" s="7" t="s">
        <v>10</v>
      </c>
      <c r="G302" s="7" t="s">
        <v>11</v>
      </c>
      <c r="H302" s="7" t="s">
        <v>12</v>
      </c>
      <c r="N302"/>
    </row>
    <row r="303" spans="1:14" ht="14.25">
      <c r="A303" s="12" t="s">
        <v>362</v>
      </c>
      <c r="B303" s="6" t="s">
        <v>1287</v>
      </c>
      <c r="C303" s="6"/>
      <c r="D303" s="6" t="s">
        <v>363</v>
      </c>
      <c r="E303" s="10" t="s">
        <v>364</v>
      </c>
      <c r="F303" s="11">
        <v>2.8</v>
      </c>
      <c r="G303" s="11">
        <v>1.86</v>
      </c>
      <c r="H303" s="11">
        <v>4.7</v>
      </c>
      <c r="N303"/>
    </row>
    <row r="304" spans="1:14" ht="14.25">
      <c r="A304" s="12"/>
      <c r="B304" s="6"/>
      <c r="C304" s="6"/>
      <c r="D304" s="6" t="s">
        <v>365</v>
      </c>
      <c r="E304" s="10" t="s">
        <v>366</v>
      </c>
      <c r="F304" s="6"/>
      <c r="G304" s="6"/>
      <c r="H304" s="6"/>
      <c r="N304"/>
    </row>
    <row r="305" spans="1:14" ht="14.25">
      <c r="A305" s="12"/>
      <c r="B305" s="6"/>
      <c r="C305" s="6"/>
      <c r="D305" s="6" t="s">
        <v>32</v>
      </c>
      <c r="E305" s="6"/>
      <c r="F305" s="6"/>
      <c r="G305" s="6"/>
      <c r="H305" s="6"/>
      <c r="N305"/>
    </row>
    <row r="306" spans="1:14" ht="12.75" customHeight="1">
      <c r="A306" s="12"/>
      <c r="B306" s="6"/>
      <c r="C306" s="6"/>
      <c r="D306" s="6"/>
      <c r="E306" s="6"/>
      <c r="F306" s="6"/>
      <c r="G306" s="6"/>
      <c r="H306" s="6"/>
      <c r="N306"/>
    </row>
    <row r="307" spans="1:14" ht="12.75" customHeight="1">
      <c r="A307" s="12"/>
      <c r="B307" s="6"/>
      <c r="C307" s="6"/>
      <c r="D307" s="6"/>
      <c r="E307" s="6"/>
      <c r="F307" s="6"/>
      <c r="G307" s="6"/>
      <c r="H307" s="6"/>
      <c r="N307"/>
    </row>
    <row r="308" spans="1:14" ht="12.75" customHeight="1">
      <c r="A308" s="12"/>
      <c r="B308" s="6"/>
      <c r="C308" s="6"/>
      <c r="D308" s="6"/>
      <c r="E308" s="6"/>
      <c r="F308" s="6"/>
      <c r="G308" s="6"/>
      <c r="H308" s="6"/>
      <c r="N308"/>
    </row>
    <row r="309" spans="1:14" ht="14.25">
      <c r="A309" s="5" t="s">
        <v>367</v>
      </c>
      <c r="B309" s="7" t="s">
        <v>2</v>
      </c>
      <c r="C309" s="6" t="s">
        <v>368</v>
      </c>
      <c r="D309" s="23" t="s">
        <v>369</v>
      </c>
      <c r="E309" s="7" t="s">
        <v>4</v>
      </c>
      <c r="F309" s="6"/>
      <c r="G309" s="6"/>
      <c r="H309" s="6"/>
      <c r="N309"/>
    </row>
    <row r="310" spans="1:14" ht="14.25">
      <c r="A310" s="5"/>
      <c r="B310" s="17" t="s">
        <v>370</v>
      </c>
      <c r="C310" s="7" t="s">
        <v>7</v>
      </c>
      <c r="D310" s="7" t="s">
        <v>8</v>
      </c>
      <c r="E310" s="10">
        <v>221</v>
      </c>
      <c r="F310" s="7" t="s">
        <v>10</v>
      </c>
      <c r="G310" s="7" t="s">
        <v>11</v>
      </c>
      <c r="H310" s="7" t="s">
        <v>12</v>
      </c>
      <c r="N310"/>
    </row>
    <row r="311" spans="1:14" ht="14.25">
      <c r="A311" s="12" t="s">
        <v>1292</v>
      </c>
      <c r="B311" s="6"/>
      <c r="C311" s="6"/>
      <c r="D311" s="23" t="s">
        <v>371</v>
      </c>
      <c r="E311" s="6"/>
      <c r="F311" s="11">
        <v>2</v>
      </c>
      <c r="G311" s="11">
        <v>1.6</v>
      </c>
      <c r="H311" s="11">
        <v>4.0999999999999996</v>
      </c>
      <c r="N311"/>
    </row>
    <row r="312" spans="1:14" ht="14.25">
      <c r="A312" s="12"/>
      <c r="B312" s="6"/>
      <c r="C312" s="6"/>
      <c r="D312" s="6" t="s">
        <v>372</v>
      </c>
      <c r="E312" s="6"/>
      <c r="F312" s="6"/>
      <c r="G312" s="6"/>
      <c r="H312" s="6"/>
      <c r="N312"/>
    </row>
    <row r="313" spans="1:14" ht="14.25">
      <c r="A313" s="12"/>
      <c r="B313" s="6"/>
      <c r="C313" s="6"/>
      <c r="D313" s="6" t="s">
        <v>373</v>
      </c>
      <c r="E313" s="6"/>
      <c r="F313" s="6"/>
      <c r="G313" s="6"/>
      <c r="H313" s="6"/>
      <c r="N313"/>
    </row>
    <row r="314" spans="1:14" ht="14.25">
      <c r="A314" s="12"/>
      <c r="B314" s="6"/>
      <c r="C314" s="6"/>
      <c r="D314" s="6" t="s">
        <v>23</v>
      </c>
      <c r="E314" s="6"/>
      <c r="F314" s="6"/>
      <c r="G314" s="6"/>
      <c r="H314" s="6"/>
      <c r="N314"/>
    </row>
    <row r="315" spans="1:14" ht="12.75" customHeight="1">
      <c r="A315" s="12"/>
      <c r="B315" s="6"/>
      <c r="C315" s="6"/>
      <c r="D315" s="6"/>
      <c r="E315" s="6"/>
      <c r="F315" s="6"/>
      <c r="G315" s="6"/>
      <c r="H315" s="6"/>
      <c r="N315"/>
    </row>
    <row r="316" spans="1:14" ht="12.75" customHeight="1">
      <c r="A316" s="12"/>
      <c r="B316" s="6"/>
      <c r="C316" s="6"/>
      <c r="D316" s="6"/>
      <c r="E316" s="6"/>
      <c r="F316" s="6"/>
      <c r="G316" s="6"/>
      <c r="H316" s="6"/>
      <c r="N316"/>
    </row>
    <row r="317" spans="1:14" ht="12.75" customHeight="1">
      <c r="A317" s="12"/>
      <c r="B317" s="6"/>
      <c r="C317" s="6"/>
      <c r="D317" s="6"/>
      <c r="E317" s="6"/>
      <c r="F317" s="6"/>
      <c r="G317" s="6"/>
      <c r="H317" s="6"/>
      <c r="N317"/>
    </row>
    <row r="318" spans="1:14" ht="12.75" customHeight="1">
      <c r="A318" s="12"/>
      <c r="B318" s="6"/>
      <c r="C318" s="6"/>
      <c r="D318" s="6"/>
      <c r="E318" s="6"/>
      <c r="F318" s="6"/>
      <c r="G318" s="6"/>
      <c r="H318" s="6"/>
      <c r="N318"/>
    </row>
    <row r="319" spans="1:14" ht="12.75" customHeight="1">
      <c r="A319" s="5" t="s">
        <v>374</v>
      </c>
      <c r="B319" s="7" t="s">
        <v>2</v>
      </c>
      <c r="C319" s="6" t="s">
        <v>375</v>
      </c>
      <c r="E319" s="7" t="s">
        <v>4</v>
      </c>
      <c r="F319" s="6"/>
      <c r="G319" s="6"/>
      <c r="H319" s="6"/>
      <c r="N319"/>
    </row>
    <row r="320" spans="1:14" ht="14.25">
      <c r="A320" s="5"/>
      <c r="B320" s="17" t="s">
        <v>376</v>
      </c>
      <c r="C320" s="7" t="s">
        <v>7</v>
      </c>
      <c r="D320" s="7" t="s">
        <v>8</v>
      </c>
      <c r="E320" s="9">
        <v>12500</v>
      </c>
      <c r="F320" s="7" t="s">
        <v>10</v>
      </c>
      <c r="G320" s="7" t="s">
        <v>11</v>
      </c>
      <c r="H320" s="7" t="s">
        <v>12</v>
      </c>
      <c r="N320"/>
    </row>
    <row r="321" spans="1:14" ht="14.25">
      <c r="A321" s="6" t="s">
        <v>210</v>
      </c>
      <c r="B321" s="6"/>
      <c r="C321" s="6" t="s">
        <v>377</v>
      </c>
      <c r="D321" s="19" t="s">
        <v>378</v>
      </c>
      <c r="E321" s="6"/>
      <c r="F321" s="11">
        <v>2.9</v>
      </c>
      <c r="G321" s="11">
        <v>2.1</v>
      </c>
      <c r="H321" s="11">
        <v>4.7</v>
      </c>
      <c r="N321"/>
    </row>
    <row r="322" spans="1:14" ht="12.75" customHeight="1">
      <c r="A322" s="6" t="s">
        <v>379</v>
      </c>
      <c r="B322" s="6"/>
      <c r="C322" s="12" t="s">
        <v>62</v>
      </c>
      <c r="D322" s="19"/>
      <c r="E322" s="6"/>
      <c r="F322" s="6"/>
      <c r="G322" s="6"/>
      <c r="H322" s="6"/>
      <c r="N322"/>
    </row>
    <row r="323" spans="1:14" ht="12.75" customHeight="1">
      <c r="A323" s="6" t="s">
        <v>358</v>
      </c>
      <c r="B323" s="6"/>
      <c r="C323" s="6"/>
      <c r="D323" s="6"/>
      <c r="E323" s="6"/>
      <c r="F323" s="6"/>
      <c r="G323" s="6"/>
      <c r="H323" s="6"/>
      <c r="N323"/>
    </row>
    <row r="324" spans="1:14" ht="12.75" customHeight="1">
      <c r="A324" s="6"/>
      <c r="B324" s="6"/>
      <c r="C324" s="6"/>
      <c r="D324" s="6"/>
      <c r="E324" s="6"/>
      <c r="F324" s="6"/>
      <c r="G324" s="6"/>
      <c r="H324" s="6"/>
      <c r="N324"/>
    </row>
    <row r="325" spans="1:14" ht="12.75" customHeight="1">
      <c r="A325" s="5" t="s">
        <v>380</v>
      </c>
      <c r="B325" s="7" t="s">
        <v>2</v>
      </c>
      <c r="C325" s="6" t="s">
        <v>381</v>
      </c>
      <c r="E325" s="7" t="s">
        <v>4</v>
      </c>
      <c r="F325" s="6"/>
      <c r="G325" s="6"/>
      <c r="H325" s="6"/>
      <c r="N325"/>
    </row>
    <row r="326" spans="1:14" ht="14.25">
      <c r="A326" s="5"/>
      <c r="B326" s="17" t="s">
        <v>382</v>
      </c>
      <c r="C326" s="7" t="s">
        <v>7</v>
      </c>
      <c r="D326" s="7" t="s">
        <v>8</v>
      </c>
      <c r="E326" s="10">
        <v>1396</v>
      </c>
      <c r="F326" s="7" t="s">
        <v>10</v>
      </c>
      <c r="G326" s="7" t="s">
        <v>11</v>
      </c>
      <c r="H326" s="7" t="s">
        <v>12</v>
      </c>
      <c r="N326"/>
    </row>
    <row r="327" spans="1:14" ht="14.25">
      <c r="A327" s="6"/>
      <c r="B327" s="6"/>
      <c r="C327" s="6"/>
      <c r="D327" s="6" t="s">
        <v>383</v>
      </c>
      <c r="E327" s="6"/>
      <c r="F327" s="11">
        <v>2.8</v>
      </c>
      <c r="G327" s="11">
        <v>2.1</v>
      </c>
      <c r="H327" s="11">
        <v>6.7</v>
      </c>
      <c r="N327"/>
    </row>
    <row r="328" spans="1:14" ht="14.25">
      <c r="A328" s="6"/>
      <c r="B328" s="6"/>
      <c r="C328" s="6"/>
      <c r="D328" s="6" t="s">
        <v>384</v>
      </c>
      <c r="E328" s="6"/>
      <c r="F328" s="6"/>
      <c r="G328" s="6"/>
      <c r="H328" s="6"/>
      <c r="N328"/>
    </row>
    <row r="329" spans="1:14" ht="12.75" customHeight="1">
      <c r="A329" s="13"/>
      <c r="B329" s="6"/>
      <c r="C329" s="6"/>
      <c r="D329" s="6"/>
      <c r="E329" s="6"/>
      <c r="F329" s="6"/>
      <c r="G329" s="6"/>
      <c r="H329" s="6"/>
      <c r="N329"/>
    </row>
    <row r="330" spans="1:14" ht="12.75" customHeight="1">
      <c r="A330" s="12"/>
      <c r="B330" s="6"/>
      <c r="C330" s="6"/>
      <c r="D330" s="6"/>
      <c r="E330" s="6"/>
      <c r="F330" s="6"/>
      <c r="G330" s="6"/>
      <c r="H330" s="6"/>
      <c r="N330"/>
    </row>
    <row r="331" spans="1:14" ht="12.75" customHeight="1">
      <c r="A331" s="5" t="s">
        <v>385</v>
      </c>
      <c r="B331" s="7" t="s">
        <v>2</v>
      </c>
      <c r="C331" s="6" t="s">
        <v>386</v>
      </c>
      <c r="E331" s="7" t="s">
        <v>4</v>
      </c>
      <c r="F331" s="6"/>
      <c r="G331" s="6"/>
      <c r="H331" s="6"/>
      <c r="N331"/>
    </row>
    <row r="332" spans="1:14" ht="14.25">
      <c r="A332" s="5"/>
      <c r="B332" s="17" t="s">
        <v>387</v>
      </c>
      <c r="C332" s="7" t="s">
        <v>7</v>
      </c>
      <c r="D332" s="7" t="s">
        <v>8</v>
      </c>
      <c r="E332" s="10" t="s">
        <v>388</v>
      </c>
      <c r="F332" s="7" t="s">
        <v>10</v>
      </c>
      <c r="G332" s="7" t="s">
        <v>11</v>
      </c>
      <c r="H332" s="7" t="s">
        <v>12</v>
      </c>
      <c r="N332"/>
    </row>
    <row r="333" spans="1:14" ht="14.25">
      <c r="A333" s="12" t="s">
        <v>238</v>
      </c>
      <c r="B333" s="6"/>
      <c r="C333" s="6"/>
      <c r="D333" s="6" t="s">
        <v>389</v>
      </c>
      <c r="E333" s="10" t="s">
        <v>142</v>
      </c>
      <c r="F333" s="11">
        <v>2.7</v>
      </c>
      <c r="G333" s="11">
        <v>2.2000000000000002</v>
      </c>
      <c r="H333" s="11">
        <v>5.6</v>
      </c>
      <c r="N333"/>
    </row>
    <row r="334" spans="1:14" ht="14.25">
      <c r="A334" s="12"/>
      <c r="B334" s="6"/>
      <c r="C334" s="6"/>
      <c r="D334" s="6" t="s">
        <v>390</v>
      </c>
      <c r="E334" s="6"/>
      <c r="F334" s="6"/>
      <c r="G334" s="6"/>
      <c r="H334" s="6"/>
      <c r="N334"/>
    </row>
    <row r="335" spans="1:14" ht="14.25">
      <c r="A335" s="12"/>
      <c r="B335" s="6"/>
      <c r="C335" s="6"/>
      <c r="D335" s="6" t="s">
        <v>148</v>
      </c>
      <c r="E335" s="6"/>
      <c r="F335" s="6"/>
      <c r="G335" s="6"/>
      <c r="H335" s="6"/>
      <c r="N335"/>
    </row>
    <row r="336" spans="1:14" ht="12.75" customHeight="1">
      <c r="A336" s="12"/>
      <c r="B336" s="6"/>
      <c r="C336" s="6"/>
      <c r="D336" s="6"/>
      <c r="E336" s="6"/>
      <c r="F336" s="6"/>
      <c r="G336" s="6"/>
      <c r="H336" s="6"/>
      <c r="N336"/>
    </row>
    <row r="337" spans="1:14" ht="12.75" customHeight="1">
      <c r="A337" s="12"/>
      <c r="B337" s="6"/>
      <c r="C337" s="6"/>
      <c r="D337" s="6"/>
      <c r="E337" s="6"/>
      <c r="F337" s="6"/>
      <c r="G337" s="6"/>
      <c r="H337" s="6"/>
      <c r="N337"/>
    </row>
    <row r="338" spans="1:14" ht="12.75" customHeight="1">
      <c r="A338" s="5" t="s">
        <v>391</v>
      </c>
      <c r="B338" s="7" t="s">
        <v>2</v>
      </c>
      <c r="C338" s="6" t="s">
        <v>392</v>
      </c>
      <c r="E338" s="7" t="s">
        <v>4</v>
      </c>
      <c r="F338" s="6"/>
      <c r="G338" s="6"/>
      <c r="H338" s="6"/>
      <c r="N338"/>
    </row>
    <row r="339" spans="1:14" ht="14.25">
      <c r="A339" s="5"/>
      <c r="B339" s="8" t="s">
        <v>393</v>
      </c>
      <c r="C339" s="7" t="s">
        <v>7</v>
      </c>
      <c r="D339" s="7" t="s">
        <v>8</v>
      </c>
      <c r="E339" s="10">
        <v>1211</v>
      </c>
      <c r="F339" s="7" t="s">
        <v>10</v>
      </c>
      <c r="G339" s="7" t="s">
        <v>11</v>
      </c>
      <c r="H339" s="7" t="s">
        <v>12</v>
      </c>
      <c r="N339"/>
    </row>
    <row r="340" spans="1:14" ht="14.25">
      <c r="A340" s="12" t="s">
        <v>394</v>
      </c>
      <c r="B340" s="6"/>
      <c r="C340" s="6"/>
      <c r="D340" s="6" t="s">
        <v>395</v>
      </c>
      <c r="E340" s="6"/>
      <c r="F340" s="11">
        <v>1.1000000000000001</v>
      </c>
      <c r="G340" s="11">
        <v>0.85</v>
      </c>
      <c r="H340" s="11">
        <v>3.1</v>
      </c>
      <c r="N340"/>
    </row>
    <row r="341" spans="1:14" ht="14.25">
      <c r="A341" s="12"/>
      <c r="B341" s="6"/>
      <c r="C341" s="6"/>
      <c r="D341" s="6" t="s">
        <v>396</v>
      </c>
      <c r="E341" s="6"/>
      <c r="F341" s="6"/>
      <c r="G341" s="6"/>
      <c r="H341" s="6"/>
      <c r="N341"/>
    </row>
    <row r="342" spans="1:14" ht="14.25">
      <c r="A342" s="12"/>
      <c r="B342" s="6"/>
      <c r="C342" s="6"/>
      <c r="D342" s="6" t="s">
        <v>397</v>
      </c>
      <c r="E342" s="6"/>
      <c r="F342" s="6"/>
      <c r="G342" s="6"/>
      <c r="H342" s="6"/>
      <c r="N342"/>
    </row>
    <row r="343" spans="1:14" ht="12.75" customHeight="1">
      <c r="A343" s="12"/>
      <c r="B343" s="6"/>
      <c r="C343" s="6"/>
      <c r="D343" s="6"/>
      <c r="E343" s="6"/>
      <c r="F343" s="6"/>
      <c r="G343" s="6"/>
      <c r="H343" s="6"/>
      <c r="N343"/>
    </row>
    <row r="344" spans="1:14" ht="12.75" customHeight="1">
      <c r="A344" s="5" t="s">
        <v>398</v>
      </c>
      <c r="B344" s="7" t="s">
        <v>2</v>
      </c>
      <c r="C344" s="6" t="s">
        <v>399</v>
      </c>
      <c r="E344" s="7" t="s">
        <v>4</v>
      </c>
      <c r="F344" s="6"/>
      <c r="G344" s="6"/>
      <c r="H344" s="6"/>
      <c r="N344"/>
    </row>
    <row r="345" spans="1:14" ht="14.25">
      <c r="A345" s="5"/>
      <c r="B345" s="17" t="s">
        <v>400</v>
      </c>
      <c r="C345" s="7" t="s">
        <v>7</v>
      </c>
      <c r="D345" s="7" t="s">
        <v>8</v>
      </c>
      <c r="E345" s="10" t="s">
        <v>401</v>
      </c>
      <c r="F345" s="7" t="s">
        <v>10</v>
      </c>
      <c r="G345" s="7" t="s">
        <v>11</v>
      </c>
      <c r="H345" s="7" t="s">
        <v>12</v>
      </c>
      <c r="N345"/>
    </row>
    <row r="346" spans="1:14" ht="14.25">
      <c r="A346" s="6" t="s">
        <v>402</v>
      </c>
      <c r="B346" s="6"/>
      <c r="C346" s="6" t="s">
        <v>403</v>
      </c>
      <c r="D346" s="23" t="s">
        <v>404</v>
      </c>
      <c r="E346" s="10" t="s">
        <v>405</v>
      </c>
      <c r="F346" s="11">
        <v>0.85</v>
      </c>
      <c r="G346" s="11">
        <v>0.79</v>
      </c>
      <c r="H346" s="11">
        <v>2.1</v>
      </c>
      <c r="N346"/>
    </row>
    <row r="347" spans="1:14" ht="12.75" customHeight="1">
      <c r="A347" s="6"/>
      <c r="B347" s="6"/>
      <c r="C347" s="12" t="s">
        <v>62</v>
      </c>
      <c r="D347" s="23"/>
      <c r="E347" s="6"/>
      <c r="F347" s="6"/>
      <c r="G347" s="6"/>
      <c r="H347" s="6"/>
      <c r="N347"/>
    </row>
    <row r="348" spans="1:14" ht="12.75" customHeight="1">
      <c r="A348" s="6"/>
      <c r="B348" s="6"/>
      <c r="C348" s="6" t="s">
        <v>406</v>
      </c>
      <c r="D348" s="23"/>
      <c r="E348" s="6"/>
      <c r="F348" s="6"/>
      <c r="G348" s="6"/>
      <c r="H348" s="6"/>
      <c r="N348"/>
    </row>
    <row r="349" spans="1:14" ht="12.75" customHeight="1">
      <c r="A349" s="6"/>
      <c r="B349" s="6"/>
      <c r="C349" s="6"/>
      <c r="D349" s="23"/>
      <c r="E349" s="6"/>
      <c r="F349" s="6"/>
      <c r="G349" s="6"/>
      <c r="H349" s="6"/>
      <c r="N349"/>
    </row>
    <row r="350" spans="1:14" ht="12.75" customHeight="1">
      <c r="A350" s="6"/>
      <c r="B350" s="6"/>
      <c r="C350" s="6"/>
      <c r="D350" s="23"/>
      <c r="E350" s="6"/>
      <c r="F350" s="6"/>
      <c r="G350" s="6"/>
      <c r="H350" s="6"/>
      <c r="N350"/>
    </row>
    <row r="351" spans="1:14" ht="12.75" customHeight="1">
      <c r="A351" s="5" t="s">
        <v>407</v>
      </c>
      <c r="B351" s="7" t="s">
        <v>2</v>
      </c>
      <c r="C351" s="6" t="s">
        <v>408</v>
      </c>
      <c r="D351" s="6"/>
      <c r="E351" s="7" t="s">
        <v>4</v>
      </c>
      <c r="F351" s="6"/>
      <c r="G351" s="6"/>
      <c r="H351" s="6"/>
      <c r="N351"/>
    </row>
    <row r="352" spans="1:14" ht="14.25">
      <c r="A352" s="5"/>
      <c r="B352" s="17" t="s">
        <v>409</v>
      </c>
      <c r="C352" s="7" t="s">
        <v>7</v>
      </c>
      <c r="D352" s="7" t="s">
        <v>8</v>
      </c>
      <c r="E352" s="10">
        <v>219</v>
      </c>
      <c r="F352" s="7" t="s">
        <v>10</v>
      </c>
      <c r="G352" s="7" t="s">
        <v>11</v>
      </c>
      <c r="H352" s="7" t="s">
        <v>12</v>
      </c>
      <c r="N352"/>
    </row>
    <row r="353" spans="1:14" ht="12.75" customHeight="1">
      <c r="A353" s="6" t="s">
        <v>410</v>
      </c>
      <c r="B353" s="6"/>
      <c r="C353" s="6"/>
      <c r="D353" s="6"/>
      <c r="E353" s="6"/>
      <c r="F353" s="11">
        <v>3.2</v>
      </c>
      <c r="G353" s="11">
        <v>2.9</v>
      </c>
      <c r="H353" s="11">
        <v>5.6</v>
      </c>
      <c r="N353"/>
    </row>
    <row r="354" spans="1:14" ht="12.75" customHeight="1">
      <c r="A354" s="6" t="s">
        <v>411</v>
      </c>
      <c r="B354" s="6"/>
      <c r="C354" s="6"/>
      <c r="D354" s="6"/>
      <c r="E354" s="6"/>
      <c r="F354" s="6" t="s">
        <v>412</v>
      </c>
      <c r="G354" s="6"/>
      <c r="H354" s="6"/>
      <c r="N354"/>
    </row>
    <row r="355" spans="1:14" ht="12.75" customHeight="1">
      <c r="A355" s="6" t="s">
        <v>413</v>
      </c>
      <c r="B355" s="6"/>
      <c r="C355" s="6"/>
      <c r="D355" s="6"/>
      <c r="E355" s="6"/>
      <c r="F355" s="6" t="s">
        <v>414</v>
      </c>
      <c r="G355" s="6"/>
      <c r="H355" s="6"/>
      <c r="N355"/>
    </row>
    <row r="356" spans="1:14" ht="12.75" customHeight="1">
      <c r="A356" s="6" t="s">
        <v>313</v>
      </c>
      <c r="B356" s="6"/>
      <c r="C356" s="6"/>
      <c r="D356" s="6"/>
      <c r="E356" s="6"/>
      <c r="F356" s="6"/>
      <c r="G356" s="6"/>
      <c r="H356" s="6"/>
      <c r="N356"/>
    </row>
    <row r="357" spans="1:14" ht="12.75" customHeight="1">
      <c r="A357" s="6"/>
      <c r="B357" s="6"/>
      <c r="C357" s="6"/>
      <c r="D357" s="6"/>
      <c r="E357" s="6"/>
      <c r="F357" s="6"/>
      <c r="G357" s="6"/>
      <c r="H357" s="6"/>
      <c r="N357"/>
    </row>
    <row r="358" spans="1:14" ht="12.75" customHeight="1">
      <c r="A358" s="6"/>
      <c r="B358" s="6"/>
      <c r="C358" s="6"/>
      <c r="D358" s="6"/>
      <c r="E358" s="6"/>
      <c r="F358" s="6"/>
      <c r="G358" s="6"/>
      <c r="H358" s="6"/>
      <c r="N358"/>
    </row>
    <row r="359" spans="1:14" ht="12.75" customHeight="1">
      <c r="A359" s="6"/>
      <c r="B359" s="6"/>
      <c r="C359" s="6"/>
      <c r="D359" s="6"/>
      <c r="E359" s="6"/>
      <c r="F359" s="6"/>
      <c r="G359" s="6"/>
      <c r="H359" s="6"/>
      <c r="N359"/>
    </row>
    <row r="360" spans="1:14" ht="12.75" customHeight="1">
      <c r="A360" s="6"/>
      <c r="B360" s="6"/>
      <c r="C360" s="6"/>
      <c r="D360" s="6"/>
      <c r="E360" s="6"/>
      <c r="F360" s="6"/>
      <c r="G360" s="6"/>
      <c r="H360" s="6"/>
      <c r="N360"/>
    </row>
    <row r="361" spans="1:14" ht="12.75" customHeight="1">
      <c r="A361" s="6"/>
      <c r="B361" s="6"/>
      <c r="C361" s="6"/>
      <c r="D361" s="6"/>
      <c r="E361" s="6"/>
      <c r="F361" s="6"/>
      <c r="G361" s="6"/>
      <c r="H361" s="6"/>
      <c r="N361"/>
    </row>
    <row r="362" spans="1:14" ht="12.75" customHeight="1">
      <c r="A362" s="6"/>
      <c r="B362" s="6"/>
      <c r="C362" s="6"/>
      <c r="D362" s="6"/>
      <c r="E362" s="6"/>
      <c r="F362" s="6"/>
      <c r="G362" s="6"/>
      <c r="H362" s="6"/>
      <c r="N362"/>
    </row>
    <row r="363" spans="1:14" ht="12.75" customHeight="1">
      <c r="A363" s="6"/>
      <c r="B363" s="6"/>
      <c r="C363" s="6"/>
      <c r="D363" s="6"/>
      <c r="E363" s="6"/>
      <c r="F363" s="6"/>
      <c r="G363" s="6"/>
      <c r="H363" s="6"/>
      <c r="N363"/>
    </row>
    <row r="364" spans="1:14" ht="12.75" customHeight="1">
      <c r="A364" s="5" t="s">
        <v>415</v>
      </c>
      <c r="B364" s="7" t="s">
        <v>2</v>
      </c>
      <c r="C364" s="6" t="s">
        <v>416</v>
      </c>
      <c r="D364" s="6"/>
      <c r="E364" s="7" t="s">
        <v>4</v>
      </c>
      <c r="F364" s="6" t="s">
        <v>36</v>
      </c>
      <c r="G364" s="6"/>
      <c r="H364" s="6"/>
      <c r="N364"/>
    </row>
    <row r="365" spans="1:14" ht="14.25">
      <c r="A365" s="5"/>
      <c r="B365" s="17" t="s">
        <v>417</v>
      </c>
      <c r="C365" s="7" t="s">
        <v>7</v>
      </c>
      <c r="D365" s="7" t="s">
        <v>8</v>
      </c>
      <c r="E365" s="9" t="s">
        <v>418</v>
      </c>
      <c r="F365" s="7" t="s">
        <v>10</v>
      </c>
      <c r="G365" s="7" t="s">
        <v>11</v>
      </c>
      <c r="H365" s="7" t="s">
        <v>12</v>
      </c>
      <c r="N365"/>
    </row>
    <row r="366" spans="1:14" ht="14.25">
      <c r="A366" s="6" t="s">
        <v>217</v>
      </c>
      <c r="B366" s="6"/>
      <c r="C366" s="6" t="s">
        <v>1293</v>
      </c>
      <c r="D366" s="23" t="s">
        <v>419</v>
      </c>
      <c r="E366" s="10" t="s">
        <v>420</v>
      </c>
      <c r="F366" s="11">
        <v>2.4</v>
      </c>
      <c r="G366" s="11">
        <v>1.85</v>
      </c>
      <c r="H366" s="11">
        <v>3.5</v>
      </c>
      <c r="N366"/>
    </row>
    <row r="367" spans="1:14" ht="12.75" customHeight="1">
      <c r="A367" s="6" t="s">
        <v>421</v>
      </c>
      <c r="B367" s="6"/>
      <c r="C367" s="6" t="s">
        <v>422</v>
      </c>
      <c r="D367" s="23"/>
      <c r="E367" s="10" t="s">
        <v>423</v>
      </c>
      <c r="F367" s="6"/>
      <c r="G367" s="6"/>
      <c r="H367" s="6"/>
      <c r="N367"/>
    </row>
    <row r="368" spans="1:14" ht="12.75" customHeight="1">
      <c r="A368" s="12" t="s">
        <v>410</v>
      </c>
      <c r="B368" s="6"/>
      <c r="C368" s="6" t="s">
        <v>424</v>
      </c>
      <c r="D368" s="6"/>
      <c r="E368" s="10" t="s">
        <v>425</v>
      </c>
      <c r="F368" s="6"/>
      <c r="G368" s="6"/>
      <c r="H368" s="6"/>
      <c r="N368"/>
    </row>
    <row r="369" spans="1:14" ht="12.75" customHeight="1">
      <c r="A369" s="12" t="s">
        <v>103</v>
      </c>
      <c r="B369" s="6"/>
      <c r="C369" s="6" t="s">
        <v>426</v>
      </c>
      <c r="D369" s="6"/>
      <c r="E369" s="10" t="s">
        <v>427</v>
      </c>
      <c r="F369" s="6"/>
      <c r="G369" s="6"/>
      <c r="H369" s="6"/>
      <c r="N369"/>
    </row>
    <row r="370" spans="1:14" ht="12.75" customHeight="1">
      <c r="A370" s="12" t="s">
        <v>428</v>
      </c>
      <c r="B370" s="6"/>
      <c r="C370" s="12" t="s">
        <v>62</v>
      </c>
      <c r="D370" s="6"/>
      <c r="E370" s="6"/>
      <c r="F370" s="6"/>
      <c r="G370" s="6"/>
      <c r="H370" s="6"/>
      <c r="N370"/>
    </row>
    <row r="371" spans="1:14" ht="12.75" customHeight="1">
      <c r="A371" s="12" t="s">
        <v>429</v>
      </c>
      <c r="B371" s="6"/>
      <c r="C371" s="6" t="s">
        <v>430</v>
      </c>
      <c r="D371" s="6"/>
      <c r="E371" s="6"/>
      <c r="F371" s="6"/>
      <c r="G371" s="6"/>
      <c r="H371" s="6"/>
      <c r="N371"/>
    </row>
    <row r="372" spans="1:14" ht="12.75" customHeight="1">
      <c r="A372" s="12" t="s">
        <v>111</v>
      </c>
      <c r="B372" s="6"/>
      <c r="C372" s="12" t="s">
        <v>18</v>
      </c>
      <c r="D372" s="6"/>
      <c r="E372" s="6"/>
      <c r="F372" s="6"/>
      <c r="G372" s="6"/>
      <c r="H372" s="6"/>
      <c r="N372"/>
    </row>
    <row r="373" spans="1:14" ht="12.75" customHeight="1">
      <c r="A373" s="12" t="s">
        <v>197</v>
      </c>
      <c r="B373" s="6"/>
      <c r="C373" s="12" t="s">
        <v>431</v>
      </c>
      <c r="D373" s="6"/>
      <c r="E373" s="6"/>
      <c r="F373" s="6"/>
      <c r="G373" s="6"/>
      <c r="H373" s="6"/>
      <c r="N373"/>
    </row>
    <row r="374" spans="1:14" ht="12.75" customHeight="1">
      <c r="A374" s="12" t="s">
        <v>432</v>
      </c>
      <c r="B374" s="6"/>
      <c r="C374" s="12" t="s">
        <v>26</v>
      </c>
      <c r="D374" s="6"/>
      <c r="E374" s="6"/>
      <c r="F374" s="6"/>
      <c r="G374" s="6"/>
      <c r="H374" s="6"/>
      <c r="N374"/>
    </row>
    <row r="375" spans="1:14" ht="12.75" customHeight="1">
      <c r="A375" s="12" t="s">
        <v>13</v>
      </c>
      <c r="B375" s="6"/>
      <c r="C375" s="12" t="s">
        <v>29</v>
      </c>
      <c r="D375" s="6"/>
      <c r="E375" s="6"/>
      <c r="F375" s="6"/>
      <c r="G375" s="6"/>
      <c r="H375" s="6"/>
      <c r="N375"/>
    </row>
    <row r="376" spans="1:14" ht="12.75" customHeight="1">
      <c r="A376" s="16" t="s">
        <v>93</v>
      </c>
      <c r="B376" s="6"/>
      <c r="C376" s="12" t="s">
        <v>433</v>
      </c>
      <c r="D376" s="6"/>
      <c r="E376" s="6"/>
      <c r="F376" s="6"/>
      <c r="G376" s="6"/>
      <c r="H376" s="6"/>
      <c r="N376"/>
    </row>
    <row r="377" spans="1:14" ht="12.75" customHeight="1">
      <c r="A377" s="6" t="s">
        <v>45</v>
      </c>
      <c r="B377" s="6"/>
      <c r="C377" s="12" t="s">
        <v>33</v>
      </c>
      <c r="D377" s="6"/>
      <c r="E377" s="6"/>
      <c r="F377" s="6"/>
      <c r="G377" s="6"/>
      <c r="H377" s="6"/>
      <c r="N377"/>
    </row>
    <row r="378" spans="1:14" ht="12.75" customHeight="1">
      <c r="A378" s="6" t="s">
        <v>434</v>
      </c>
      <c r="B378" s="6"/>
      <c r="C378" s="12" t="s">
        <v>35</v>
      </c>
      <c r="D378" s="6"/>
      <c r="E378" s="6"/>
      <c r="F378" s="6"/>
      <c r="G378" s="6"/>
      <c r="H378" s="6"/>
      <c r="N378"/>
    </row>
    <row r="379" spans="1:14" ht="12.75" customHeight="1">
      <c r="A379" s="12" t="s">
        <v>127</v>
      </c>
      <c r="B379" s="6"/>
      <c r="C379" s="12" t="s">
        <v>37</v>
      </c>
      <c r="D379" s="6"/>
      <c r="E379" s="6"/>
      <c r="F379" s="6"/>
      <c r="G379" s="6"/>
      <c r="H379" s="6"/>
      <c r="N379"/>
    </row>
    <row r="380" spans="1:14" ht="12.75" customHeight="1">
      <c r="A380" s="12" t="s">
        <v>49</v>
      </c>
      <c r="B380" s="6"/>
      <c r="C380" s="12" t="s">
        <v>39</v>
      </c>
      <c r="D380" s="6"/>
      <c r="E380" s="6"/>
      <c r="F380" s="6"/>
      <c r="G380" s="6"/>
      <c r="H380" s="6"/>
      <c r="N380"/>
    </row>
    <row r="381" spans="1:14" ht="12.75" customHeight="1">
      <c r="A381" s="12" t="s">
        <v>435</v>
      </c>
      <c r="B381" s="6" t="s">
        <v>436</v>
      </c>
      <c r="C381" s="12" t="s">
        <v>40</v>
      </c>
      <c r="D381" s="6"/>
      <c r="E381" s="6"/>
      <c r="F381" s="6"/>
      <c r="G381" s="6"/>
      <c r="H381" s="6"/>
      <c r="N381"/>
    </row>
    <row r="382" spans="1:14" ht="12.75" customHeight="1">
      <c r="A382" s="12" t="s">
        <v>437</v>
      </c>
      <c r="B382" s="6" t="s">
        <v>86</v>
      </c>
      <c r="C382" s="6" t="s">
        <v>377</v>
      </c>
      <c r="D382" s="6"/>
      <c r="E382" s="6"/>
      <c r="F382" s="6"/>
      <c r="G382" s="6"/>
      <c r="H382" s="6"/>
      <c r="N382"/>
    </row>
    <row r="383" spans="1:14" ht="12.75" customHeight="1">
      <c r="A383" s="12" t="s">
        <v>438</v>
      </c>
      <c r="B383" s="6" t="s">
        <v>362</v>
      </c>
      <c r="C383" s="6" t="s">
        <v>344</v>
      </c>
      <c r="D383" s="6"/>
      <c r="E383" s="6"/>
      <c r="F383" s="6"/>
      <c r="G383" s="6"/>
      <c r="H383" s="6"/>
      <c r="N383"/>
    </row>
    <row r="384" spans="1:14" ht="12.75" customHeight="1">
      <c r="A384" s="12" t="s">
        <v>439</v>
      </c>
      <c r="B384" s="12" t="s">
        <v>440</v>
      </c>
      <c r="C384" s="6" t="s">
        <v>324</v>
      </c>
      <c r="D384" s="6"/>
      <c r="E384" s="6"/>
      <c r="F384" s="6"/>
      <c r="G384" s="6"/>
      <c r="H384" s="6"/>
      <c r="N384"/>
    </row>
    <row r="385" spans="1:14" ht="12.75" customHeight="1">
      <c r="A385" s="12" t="s">
        <v>441</v>
      </c>
      <c r="B385" s="12" t="s">
        <v>163</v>
      </c>
      <c r="C385" s="12" t="s">
        <v>260</v>
      </c>
      <c r="D385" s="6"/>
      <c r="E385" s="6"/>
      <c r="F385" s="6"/>
      <c r="G385" s="6"/>
      <c r="H385" s="6"/>
      <c r="N385"/>
    </row>
    <row r="386" spans="1:14" ht="12.75" customHeight="1">
      <c r="A386" s="12" t="s">
        <v>88</v>
      </c>
      <c r="B386" s="12" t="s">
        <v>442</v>
      </c>
      <c r="C386" s="12" t="s">
        <v>263</v>
      </c>
      <c r="D386" s="6"/>
      <c r="E386" s="6"/>
      <c r="F386" s="6"/>
      <c r="G386" s="6"/>
      <c r="H386" s="6"/>
      <c r="N386"/>
    </row>
    <row r="387" spans="1:14" ht="12.75" customHeight="1">
      <c r="A387" s="12" t="s">
        <v>235</v>
      </c>
      <c r="B387" s="12" t="s">
        <v>411</v>
      </c>
      <c r="C387" s="12" t="s">
        <v>266</v>
      </c>
      <c r="D387" s="6"/>
      <c r="E387" s="6"/>
      <c r="F387" s="6"/>
      <c r="G387" s="6"/>
      <c r="H387" s="6"/>
      <c r="N387"/>
    </row>
    <row r="388" spans="1:14" ht="12.75" customHeight="1">
      <c r="A388" s="12" t="s">
        <v>443</v>
      </c>
      <c r="B388" s="12" t="s">
        <v>188</v>
      </c>
      <c r="C388" s="12" t="s">
        <v>290</v>
      </c>
      <c r="D388" s="6"/>
      <c r="E388" s="6"/>
      <c r="F388" s="6"/>
      <c r="G388" s="6"/>
      <c r="H388" s="6"/>
      <c r="N388"/>
    </row>
    <row r="389" spans="1:14" ht="12.75" customHeight="1">
      <c r="A389" s="12" t="s">
        <v>444</v>
      </c>
      <c r="B389" s="12" t="s">
        <v>316</v>
      </c>
      <c r="C389" s="12" t="s">
        <v>292</v>
      </c>
      <c r="D389" s="6"/>
      <c r="E389" s="6"/>
      <c r="F389" s="6"/>
      <c r="G389" s="6"/>
      <c r="H389" s="6"/>
      <c r="N389"/>
    </row>
    <row r="390" spans="1:14" ht="12.75" customHeight="1">
      <c r="A390" s="12" t="s">
        <v>445</v>
      </c>
      <c r="B390" s="12" t="s">
        <v>446</v>
      </c>
      <c r="C390" s="12" t="s">
        <v>294</v>
      </c>
      <c r="D390" s="6"/>
      <c r="E390" s="6"/>
      <c r="F390" s="6"/>
      <c r="G390" s="6"/>
      <c r="H390" s="6"/>
      <c r="N390"/>
    </row>
    <row r="391" spans="1:14" ht="12.75" customHeight="1">
      <c r="A391" s="12" t="s">
        <v>447</v>
      </c>
      <c r="B391" s="12" t="s">
        <v>67</v>
      </c>
      <c r="C391" s="6" t="s">
        <v>314</v>
      </c>
      <c r="D391" s="6"/>
      <c r="E391" s="6"/>
      <c r="F391" s="6"/>
      <c r="G391" s="6"/>
      <c r="H391" s="6"/>
      <c r="N391"/>
    </row>
    <row r="392" spans="1:14" ht="12.75" customHeight="1">
      <c r="A392" s="12" t="s">
        <v>448</v>
      </c>
      <c r="B392" s="12" t="s">
        <v>17</v>
      </c>
      <c r="C392" s="12" t="s">
        <v>164</v>
      </c>
      <c r="D392" s="6"/>
      <c r="E392" s="6"/>
      <c r="F392" s="6"/>
      <c r="G392" s="6"/>
      <c r="H392" s="6"/>
      <c r="N392"/>
    </row>
    <row r="393" spans="1:14" ht="12.75" customHeight="1">
      <c r="A393" s="12" t="s">
        <v>21</v>
      </c>
      <c r="B393" s="12" t="s">
        <v>122</v>
      </c>
      <c r="C393" s="6" t="s">
        <v>449</v>
      </c>
      <c r="D393" s="6"/>
      <c r="E393" s="6"/>
      <c r="F393" s="6"/>
      <c r="G393" s="6"/>
      <c r="H393" s="6"/>
      <c r="N393"/>
    </row>
    <row r="394" spans="1:14" ht="12.75" customHeight="1">
      <c r="A394" s="12" t="s">
        <v>238</v>
      </c>
      <c r="B394" s="12" t="s">
        <v>25</v>
      </c>
      <c r="C394" s="6" t="s">
        <v>450</v>
      </c>
      <c r="D394" s="6"/>
      <c r="E394" s="6"/>
      <c r="F394" s="6"/>
      <c r="G394" s="6"/>
      <c r="H394" s="6"/>
      <c r="N394"/>
    </row>
    <row r="395" spans="1:14" ht="12.75" customHeight="1">
      <c r="A395" s="12" t="s">
        <v>200</v>
      </c>
      <c r="B395" s="12" t="s">
        <v>379</v>
      </c>
      <c r="C395" s="6" t="s">
        <v>451</v>
      </c>
      <c r="D395" s="6"/>
      <c r="E395" s="6"/>
      <c r="F395" s="6"/>
      <c r="G395" s="6"/>
      <c r="H395" s="6"/>
      <c r="N395"/>
    </row>
    <row r="396" spans="1:14" ht="12.75" customHeight="1">
      <c r="A396" s="12" t="s">
        <v>452</v>
      </c>
      <c r="B396" s="12" t="s">
        <v>453</v>
      </c>
      <c r="C396" s="12" t="s">
        <v>129</v>
      </c>
      <c r="D396" s="6"/>
      <c r="E396" s="6"/>
      <c r="F396" s="6"/>
      <c r="G396" s="6"/>
      <c r="H396" s="6"/>
      <c r="N396"/>
    </row>
    <row r="397" spans="1:14" ht="12.75" customHeight="1">
      <c r="A397" s="12" t="s">
        <v>454</v>
      </c>
      <c r="B397" s="12" t="s">
        <v>455</v>
      </c>
      <c r="C397" s="6" t="s">
        <v>138</v>
      </c>
      <c r="D397" s="6"/>
      <c r="E397" s="6"/>
      <c r="F397" s="6"/>
      <c r="G397" s="6"/>
      <c r="H397" s="6"/>
      <c r="N397"/>
    </row>
    <row r="398" spans="1:14" ht="12.75" customHeight="1">
      <c r="A398" s="12" t="s">
        <v>394</v>
      </c>
      <c r="B398" s="12" t="s">
        <v>456</v>
      </c>
      <c r="C398" s="6" t="s">
        <v>140</v>
      </c>
      <c r="D398" s="6"/>
      <c r="E398" s="6"/>
      <c r="F398" s="6"/>
      <c r="G398" s="6"/>
      <c r="H398" s="6"/>
      <c r="N398"/>
    </row>
    <row r="399" spans="1:14" ht="12.75" customHeight="1">
      <c r="A399" s="12" t="s">
        <v>457</v>
      </c>
      <c r="B399" s="12" t="s">
        <v>258</v>
      </c>
      <c r="C399" s="12" t="s">
        <v>75</v>
      </c>
      <c r="D399" s="6"/>
      <c r="E399" s="6"/>
      <c r="F399" s="6"/>
      <c r="G399" s="6"/>
      <c r="H399" s="6"/>
      <c r="N399"/>
    </row>
    <row r="400" spans="1:14" ht="12.75" customHeight="1">
      <c r="A400" s="12" t="s">
        <v>458</v>
      </c>
      <c r="B400" s="12" t="s">
        <v>156</v>
      </c>
      <c r="C400" s="12" t="s">
        <v>46</v>
      </c>
      <c r="D400" s="6"/>
      <c r="E400" s="6"/>
      <c r="F400" s="6"/>
      <c r="G400" s="6"/>
      <c r="H400" s="6"/>
      <c r="N400"/>
    </row>
    <row r="401" spans="1:14" ht="12.75" customHeight="1">
      <c r="A401" s="12" t="s">
        <v>459</v>
      </c>
      <c r="B401" s="12" t="s">
        <v>460</v>
      </c>
      <c r="C401" s="6"/>
      <c r="D401" s="6"/>
      <c r="E401" s="6"/>
      <c r="F401" s="6"/>
      <c r="G401" s="6"/>
      <c r="H401" s="6"/>
      <c r="N401"/>
    </row>
    <row r="402" spans="1:14" ht="12.75" customHeight="1">
      <c r="A402" s="12" t="s">
        <v>262</v>
      </c>
      <c r="B402" s="6"/>
      <c r="C402" s="6"/>
      <c r="D402" s="6"/>
      <c r="E402" s="6"/>
      <c r="F402" s="6"/>
      <c r="G402" s="6"/>
      <c r="H402" s="6"/>
      <c r="N402"/>
    </row>
    <row r="403" spans="1:14" ht="12.75" customHeight="1">
      <c r="A403" s="12" t="s">
        <v>241</v>
      </c>
      <c r="B403" s="6"/>
      <c r="C403" s="6"/>
      <c r="D403" s="6"/>
      <c r="E403" s="6"/>
      <c r="F403" s="6"/>
      <c r="G403" s="6"/>
      <c r="H403" s="6"/>
      <c r="N403"/>
    </row>
    <row r="404" spans="1:14" ht="12.75" customHeight="1">
      <c r="A404" s="12" t="s">
        <v>265</v>
      </c>
      <c r="B404" s="6"/>
      <c r="C404" s="6"/>
      <c r="D404" s="6"/>
      <c r="E404" s="6"/>
      <c r="F404" s="6"/>
      <c r="G404" s="6"/>
      <c r="H404" s="6"/>
      <c r="N404"/>
    </row>
    <row r="405" spans="1:14" ht="12.75" customHeight="1">
      <c r="A405" s="12" t="s">
        <v>61</v>
      </c>
      <c r="B405" s="6"/>
      <c r="C405" s="6"/>
      <c r="D405" s="6"/>
      <c r="E405" s="6"/>
      <c r="F405" s="6"/>
      <c r="G405" s="6"/>
      <c r="H405" s="6"/>
      <c r="N405"/>
    </row>
    <row r="406" spans="1:14" ht="12.75" customHeight="1">
      <c r="A406" s="6"/>
      <c r="B406" s="6"/>
      <c r="C406" s="6"/>
      <c r="D406" s="6"/>
      <c r="E406" s="6"/>
      <c r="F406" s="6"/>
      <c r="G406" s="6"/>
      <c r="H406" s="6"/>
      <c r="N406"/>
    </row>
    <row r="407" spans="1:14" ht="12.75" customHeight="1">
      <c r="A407" s="5" t="s">
        <v>461</v>
      </c>
      <c r="B407" s="7" t="s">
        <v>2</v>
      </c>
      <c r="C407" s="6" t="s">
        <v>340</v>
      </c>
      <c r="E407" s="7" t="s">
        <v>4</v>
      </c>
      <c r="F407" s="6"/>
      <c r="G407" s="6"/>
      <c r="H407" s="6"/>
      <c r="N407"/>
    </row>
    <row r="408" spans="1:14" ht="14.25">
      <c r="A408" s="5"/>
      <c r="B408" s="17" t="s">
        <v>462</v>
      </c>
      <c r="C408" s="7" t="s">
        <v>7</v>
      </c>
      <c r="D408" s="7" t="s">
        <v>8</v>
      </c>
      <c r="E408" s="10" t="s">
        <v>463</v>
      </c>
      <c r="F408" s="7" t="s">
        <v>10</v>
      </c>
      <c r="G408" s="7" t="s">
        <v>11</v>
      </c>
      <c r="H408" s="7" t="s">
        <v>12</v>
      </c>
      <c r="N408"/>
    </row>
    <row r="409" spans="1:14" ht="14.25">
      <c r="A409" s="12" t="s">
        <v>453</v>
      </c>
      <c r="B409" s="12" t="s">
        <v>1294</v>
      </c>
      <c r="C409" s="12" t="s">
        <v>62</v>
      </c>
      <c r="D409" s="12" t="s">
        <v>464</v>
      </c>
      <c r="E409" s="10" t="s">
        <v>465</v>
      </c>
      <c r="F409" s="11">
        <v>2.5</v>
      </c>
      <c r="G409" s="11">
        <v>1.8</v>
      </c>
      <c r="H409" s="11">
        <v>4.3</v>
      </c>
      <c r="N409"/>
    </row>
    <row r="410" spans="1:14" ht="14.25">
      <c r="A410" s="12" t="s">
        <v>88</v>
      </c>
      <c r="B410" s="12"/>
      <c r="C410" s="12"/>
      <c r="D410" s="6" t="s">
        <v>165</v>
      </c>
      <c r="E410" s="10" t="s">
        <v>466</v>
      </c>
      <c r="F410" s="13"/>
      <c r="G410" s="13"/>
      <c r="H410" s="13"/>
      <c r="N410"/>
    </row>
    <row r="411" spans="1:14" ht="12.75" customHeight="1">
      <c r="A411" s="12" t="s">
        <v>103</v>
      </c>
      <c r="B411" s="12"/>
      <c r="C411" s="12"/>
      <c r="D411" s="12"/>
      <c r="E411" s="12"/>
      <c r="F411" s="13"/>
      <c r="G411" s="13"/>
      <c r="H411" s="13"/>
      <c r="N411"/>
    </row>
    <row r="412" spans="1:14" ht="12.75" customHeight="1">
      <c r="A412" s="12"/>
      <c r="B412" s="12"/>
      <c r="C412" s="12"/>
      <c r="D412" s="12"/>
      <c r="E412" s="12"/>
      <c r="F412" s="13"/>
      <c r="G412" s="13"/>
      <c r="H412" s="13"/>
      <c r="N412"/>
    </row>
    <row r="413" spans="1:14" ht="12.75" customHeight="1">
      <c r="A413" s="12"/>
      <c r="B413" s="12"/>
      <c r="C413" s="12"/>
      <c r="D413" s="12"/>
      <c r="E413" s="12"/>
      <c r="F413" s="13"/>
      <c r="G413" s="13"/>
      <c r="H413" s="13"/>
      <c r="N413"/>
    </row>
    <row r="414" spans="1:14" ht="12.75" customHeight="1">
      <c r="A414" s="12"/>
      <c r="B414" s="12"/>
      <c r="C414" s="12"/>
      <c r="D414" s="12"/>
      <c r="E414" s="12"/>
      <c r="F414" s="13"/>
      <c r="G414" s="13"/>
      <c r="H414" s="13"/>
      <c r="N414"/>
    </row>
    <row r="415" spans="1:14" ht="12.75" customHeight="1">
      <c r="A415" s="12"/>
      <c r="B415" s="12"/>
      <c r="C415" s="12"/>
      <c r="D415" s="12"/>
      <c r="E415" s="12"/>
      <c r="F415" s="13"/>
      <c r="G415" s="13"/>
      <c r="H415" s="13"/>
      <c r="N415"/>
    </row>
    <row r="416" spans="1:14" ht="12.75" customHeight="1">
      <c r="A416" s="5" t="s">
        <v>467</v>
      </c>
      <c r="B416" s="7" t="s">
        <v>2</v>
      </c>
      <c r="E416" s="7" t="s">
        <v>4</v>
      </c>
      <c r="F416" s="6"/>
      <c r="G416" s="6"/>
      <c r="H416" s="6"/>
      <c r="N416"/>
    </row>
    <row r="417" spans="1:14" ht="14.25">
      <c r="A417" s="5"/>
      <c r="B417" s="17" t="s">
        <v>468</v>
      </c>
      <c r="C417" s="7" t="s">
        <v>7</v>
      </c>
      <c r="D417" s="7" t="s">
        <v>8</v>
      </c>
      <c r="E417" s="10">
        <v>13500</v>
      </c>
      <c r="F417" s="7" t="s">
        <v>10</v>
      </c>
      <c r="G417" s="7" t="s">
        <v>11</v>
      </c>
      <c r="H417" s="7" t="s">
        <v>12</v>
      </c>
      <c r="N417"/>
    </row>
    <row r="418" spans="1:14" ht="14.25">
      <c r="A418" s="6" t="s">
        <v>13</v>
      </c>
      <c r="B418" s="6"/>
      <c r="C418" s="6" t="s">
        <v>451</v>
      </c>
      <c r="D418" s="6" t="s">
        <v>469</v>
      </c>
      <c r="E418" s="6"/>
      <c r="F418" s="11">
        <v>1.3</v>
      </c>
      <c r="G418" s="11">
        <v>1.6</v>
      </c>
      <c r="H418" s="11">
        <v>3.2</v>
      </c>
      <c r="N418"/>
    </row>
    <row r="419" spans="1:14" ht="14.25">
      <c r="A419" s="6" t="s">
        <v>452</v>
      </c>
      <c r="B419" s="6"/>
      <c r="C419" s="6" t="s">
        <v>450</v>
      </c>
      <c r="D419" s="6" t="s">
        <v>470</v>
      </c>
      <c r="E419" s="6"/>
      <c r="F419" s="6" t="s">
        <v>143</v>
      </c>
      <c r="G419" s="6"/>
      <c r="H419" s="6"/>
      <c r="N419"/>
    </row>
    <row r="420" spans="1:14" ht="14.25">
      <c r="A420" s="6"/>
      <c r="B420" s="6"/>
      <c r="C420" s="12" t="s">
        <v>62</v>
      </c>
      <c r="D420" s="6" t="s">
        <v>471</v>
      </c>
      <c r="E420" s="6"/>
      <c r="F420" s="6"/>
      <c r="G420" s="6"/>
      <c r="H420" s="6"/>
      <c r="N420"/>
    </row>
    <row r="421" spans="1:14" ht="14.25">
      <c r="A421" s="6"/>
      <c r="B421" s="6"/>
      <c r="C421" s="6" t="s">
        <v>449</v>
      </c>
      <c r="D421" s="6" t="s">
        <v>472</v>
      </c>
      <c r="E421" s="6"/>
      <c r="F421" s="6"/>
      <c r="G421" s="6"/>
      <c r="H421" s="6"/>
      <c r="N421"/>
    </row>
    <row r="422" spans="1:14" ht="12.75" customHeight="1">
      <c r="A422" s="6"/>
      <c r="B422" s="6"/>
      <c r="C422" s="6"/>
      <c r="D422" s="6"/>
      <c r="E422" s="6"/>
      <c r="F422" s="6"/>
      <c r="G422" s="6"/>
      <c r="H422" s="6"/>
      <c r="N422"/>
    </row>
    <row r="423" spans="1:14" ht="12.75" customHeight="1">
      <c r="A423" s="6"/>
      <c r="B423" s="6"/>
      <c r="C423" s="6"/>
      <c r="D423" s="6"/>
      <c r="E423" s="6"/>
      <c r="F423" s="6"/>
      <c r="G423" s="6"/>
      <c r="H423" s="6"/>
      <c r="N423"/>
    </row>
    <row r="424" spans="1:14" ht="12.75" customHeight="1">
      <c r="A424" s="6"/>
      <c r="B424" s="6"/>
      <c r="C424" s="6"/>
      <c r="D424" s="6"/>
      <c r="E424" s="6"/>
      <c r="F424" s="6"/>
      <c r="G424" s="6"/>
      <c r="H424" s="6"/>
      <c r="N424"/>
    </row>
    <row r="425" spans="1:14" ht="12.75" customHeight="1">
      <c r="A425" s="6"/>
      <c r="B425" s="6"/>
      <c r="C425" s="6"/>
      <c r="D425" s="6"/>
      <c r="E425" s="6"/>
      <c r="F425" s="6"/>
      <c r="G425" s="6"/>
      <c r="H425" s="6"/>
      <c r="N425"/>
    </row>
    <row r="426" spans="1:14" ht="12.75" customHeight="1">
      <c r="A426" s="5" t="s">
        <v>473</v>
      </c>
      <c r="B426" s="7" t="s">
        <v>2</v>
      </c>
      <c r="C426" s="6" t="s">
        <v>474</v>
      </c>
      <c r="D426" s="6"/>
      <c r="E426" s="7" t="s">
        <v>4</v>
      </c>
      <c r="F426" s="6"/>
      <c r="G426" s="6"/>
      <c r="H426" s="6"/>
      <c r="N426"/>
    </row>
    <row r="427" spans="1:14" ht="14.25">
      <c r="A427" s="5"/>
      <c r="B427" s="8" t="s">
        <v>475</v>
      </c>
      <c r="C427" s="7" t="s">
        <v>7</v>
      </c>
      <c r="D427" s="7" t="s">
        <v>8</v>
      </c>
      <c r="E427" s="10">
        <v>254</v>
      </c>
      <c r="F427" s="7" t="s">
        <v>10</v>
      </c>
      <c r="G427" s="7" t="s">
        <v>11</v>
      </c>
      <c r="H427" s="7" t="s">
        <v>12</v>
      </c>
      <c r="N427"/>
    </row>
    <row r="428" spans="1:14" ht="14.25">
      <c r="A428" s="12" t="s">
        <v>446</v>
      </c>
      <c r="C428" s="12" t="s">
        <v>476</v>
      </c>
      <c r="D428" s="12" t="s">
        <v>477</v>
      </c>
      <c r="E428" s="12"/>
      <c r="F428" s="11">
        <v>2.4</v>
      </c>
      <c r="G428" s="11">
        <v>1.8</v>
      </c>
      <c r="H428" s="11">
        <v>3.6</v>
      </c>
      <c r="N428"/>
    </row>
    <row r="429" spans="1:14" ht="14.25">
      <c r="A429" s="12" t="s">
        <v>238</v>
      </c>
      <c r="B429" s="12"/>
      <c r="C429" s="12" t="s">
        <v>478</v>
      </c>
      <c r="D429" s="12" t="s">
        <v>479</v>
      </c>
      <c r="E429" s="12"/>
      <c r="F429" s="13"/>
      <c r="G429" s="13"/>
      <c r="H429" s="13"/>
      <c r="N429"/>
    </row>
    <row r="430" spans="1:14" ht="14.25">
      <c r="A430" s="12"/>
      <c r="B430" s="12"/>
      <c r="C430" s="12"/>
      <c r="D430" s="12" t="s">
        <v>480</v>
      </c>
      <c r="E430" s="12"/>
      <c r="F430" s="13"/>
      <c r="G430" s="13"/>
      <c r="H430" s="13"/>
      <c r="N430"/>
    </row>
    <row r="431" spans="1:14" ht="12.75" customHeight="1">
      <c r="A431" s="12"/>
      <c r="B431" s="12"/>
      <c r="C431" s="12"/>
      <c r="D431" s="12"/>
      <c r="E431" s="12"/>
      <c r="F431" s="13"/>
      <c r="G431" s="13"/>
      <c r="H431" s="13"/>
      <c r="N431"/>
    </row>
    <row r="432" spans="1:14" ht="12.75" customHeight="1">
      <c r="A432" s="12"/>
      <c r="B432" s="12"/>
      <c r="C432" s="12"/>
      <c r="D432" s="12"/>
      <c r="E432" s="12"/>
      <c r="F432" s="13"/>
      <c r="G432" s="13"/>
      <c r="H432" s="13"/>
      <c r="N432"/>
    </row>
    <row r="433" spans="1:14" ht="12.75" customHeight="1">
      <c r="A433" s="12"/>
      <c r="B433" s="12"/>
      <c r="C433" s="12"/>
      <c r="D433" s="12"/>
      <c r="E433" s="12"/>
      <c r="F433" s="13"/>
      <c r="G433" s="13"/>
      <c r="H433" s="13"/>
      <c r="N433"/>
    </row>
    <row r="434" spans="1:14" ht="12.75" customHeight="1">
      <c r="A434" s="5" t="s">
        <v>481</v>
      </c>
      <c r="B434" s="7" t="s">
        <v>2</v>
      </c>
      <c r="C434" s="6"/>
      <c r="E434" s="7" t="s">
        <v>4</v>
      </c>
      <c r="F434" s="6"/>
      <c r="G434" s="6"/>
      <c r="H434" s="6"/>
      <c r="N434"/>
    </row>
    <row r="435" spans="1:14" ht="14.25">
      <c r="A435" s="5"/>
      <c r="B435" s="8" t="s">
        <v>482</v>
      </c>
      <c r="C435" s="7" t="s">
        <v>7</v>
      </c>
      <c r="D435" s="7" t="s">
        <v>8</v>
      </c>
      <c r="E435" s="10">
        <v>1211</v>
      </c>
      <c r="F435" s="7" t="s">
        <v>10</v>
      </c>
      <c r="G435" s="7" t="s">
        <v>11</v>
      </c>
      <c r="H435" s="7" t="s">
        <v>12</v>
      </c>
      <c r="N435"/>
    </row>
    <row r="436" spans="1:14" ht="14.25">
      <c r="A436" s="12" t="s">
        <v>483</v>
      </c>
      <c r="C436" s="12" t="s">
        <v>484</v>
      </c>
      <c r="D436" s="12" t="s">
        <v>485</v>
      </c>
      <c r="E436" s="12"/>
      <c r="F436" s="11">
        <v>1.3</v>
      </c>
      <c r="G436" s="11">
        <v>1.6</v>
      </c>
      <c r="H436" s="11">
        <v>3.2</v>
      </c>
      <c r="N436"/>
    </row>
    <row r="437" spans="1:14" ht="14.25">
      <c r="A437" s="12" t="s">
        <v>486</v>
      </c>
      <c r="B437" s="12"/>
      <c r="C437" s="12" t="s">
        <v>487</v>
      </c>
      <c r="D437" s="6" t="s">
        <v>488</v>
      </c>
      <c r="E437" s="12"/>
      <c r="F437" s="13"/>
      <c r="G437" s="13"/>
      <c r="H437" s="13"/>
      <c r="N437"/>
    </row>
    <row r="438" spans="1:14" ht="12.75" customHeight="1">
      <c r="A438" s="12" t="s">
        <v>442</v>
      </c>
      <c r="B438" s="12"/>
      <c r="C438" s="12"/>
      <c r="D438" s="12"/>
      <c r="E438" s="12"/>
      <c r="F438" s="13"/>
      <c r="G438" s="13"/>
      <c r="H438" s="13"/>
      <c r="N438"/>
    </row>
    <row r="439" spans="1:14" ht="12.75" customHeight="1">
      <c r="A439" s="12" t="s">
        <v>411</v>
      </c>
      <c r="B439" s="12"/>
      <c r="C439" s="12"/>
      <c r="D439" s="12"/>
      <c r="E439" s="12"/>
      <c r="F439" s="13"/>
      <c r="G439" s="13"/>
      <c r="H439" s="13"/>
      <c r="N439"/>
    </row>
    <row r="440" spans="1:14" ht="12.75" customHeight="1">
      <c r="A440" s="12"/>
      <c r="B440" s="12"/>
      <c r="C440" s="12"/>
      <c r="D440" s="12"/>
      <c r="E440" s="12"/>
      <c r="F440" s="13"/>
      <c r="G440" s="13"/>
      <c r="H440" s="13"/>
      <c r="N440"/>
    </row>
    <row r="441" spans="1:14" ht="12.75" customHeight="1">
      <c r="A441" s="12"/>
      <c r="B441" s="12"/>
      <c r="C441" s="12"/>
      <c r="D441" s="12"/>
      <c r="E441" s="12"/>
      <c r="F441" s="13"/>
      <c r="G441" s="13"/>
      <c r="H441" s="13"/>
      <c r="N441"/>
    </row>
    <row r="442" spans="1:14" ht="12.75" customHeight="1">
      <c r="A442" s="12"/>
      <c r="B442" s="12"/>
      <c r="C442" s="12"/>
      <c r="D442" s="12"/>
      <c r="E442" s="12"/>
      <c r="F442" s="13"/>
      <c r="G442" s="13"/>
      <c r="H442" s="13"/>
      <c r="N442"/>
    </row>
    <row r="443" spans="1:14" ht="12.75" customHeight="1">
      <c r="A443" s="12"/>
      <c r="B443" s="12"/>
      <c r="C443" s="12"/>
      <c r="D443" s="12"/>
      <c r="E443" s="12"/>
      <c r="F443" s="13"/>
      <c r="G443" s="13"/>
      <c r="H443" s="13"/>
      <c r="N443"/>
    </row>
    <row r="444" spans="1:14" ht="12.75" customHeight="1">
      <c r="A444" s="12"/>
      <c r="B444" s="12"/>
      <c r="C444" s="12"/>
      <c r="D444" s="12"/>
      <c r="E444" s="12"/>
      <c r="F444" s="13"/>
      <c r="G444" s="13"/>
      <c r="H444" s="13"/>
      <c r="N444"/>
    </row>
    <row r="445" spans="1:14" ht="12.75" customHeight="1">
      <c r="A445" s="5" t="s">
        <v>489</v>
      </c>
      <c r="B445" s="7" t="s">
        <v>2</v>
      </c>
      <c r="C445" s="6" t="s">
        <v>490</v>
      </c>
      <c r="E445" s="7" t="s">
        <v>4</v>
      </c>
      <c r="F445" s="6"/>
      <c r="G445" s="6"/>
      <c r="H445" s="6"/>
      <c r="N445"/>
    </row>
    <row r="446" spans="1:14" ht="14.25">
      <c r="A446" s="5"/>
      <c r="B446" s="8" t="s">
        <v>491</v>
      </c>
      <c r="C446" s="7" t="s">
        <v>7</v>
      </c>
      <c r="D446" s="7" t="s">
        <v>8</v>
      </c>
      <c r="E446" s="10">
        <v>4218</v>
      </c>
      <c r="F446" s="7" t="s">
        <v>10</v>
      </c>
      <c r="G446" s="7" t="s">
        <v>11</v>
      </c>
      <c r="H446" s="7" t="s">
        <v>12</v>
      </c>
      <c r="N446"/>
    </row>
    <row r="447" spans="1:14" ht="14.25">
      <c r="A447" s="12" t="s">
        <v>492</v>
      </c>
      <c r="C447" s="12" t="s">
        <v>1287</v>
      </c>
      <c r="D447" s="6" t="s">
        <v>493</v>
      </c>
      <c r="E447" s="12"/>
      <c r="F447" s="11">
        <v>0.8</v>
      </c>
      <c r="G447" s="11">
        <v>1.1000000000000001</v>
      </c>
      <c r="H447" s="11">
        <v>2.2999999999999998</v>
      </c>
      <c r="N447"/>
    </row>
    <row r="448" spans="1:14" ht="12.75" customHeight="1">
      <c r="A448" s="12" t="s">
        <v>61</v>
      </c>
      <c r="B448" s="12"/>
      <c r="C448" s="12" t="s">
        <v>494</v>
      </c>
      <c r="D448" s="12"/>
      <c r="E448" s="12"/>
      <c r="F448" s="13"/>
      <c r="G448" s="13"/>
      <c r="H448" s="13"/>
      <c r="N448"/>
    </row>
    <row r="449" spans="1:14" ht="12.75" customHeight="1">
      <c r="A449" s="12"/>
      <c r="B449" s="12"/>
      <c r="C449" s="12" t="s">
        <v>495</v>
      </c>
      <c r="D449" s="12"/>
      <c r="E449" s="12"/>
      <c r="F449" s="13"/>
      <c r="G449" s="13"/>
      <c r="H449" s="13"/>
      <c r="N449"/>
    </row>
    <row r="450" spans="1:14" ht="12.75" customHeight="1">
      <c r="A450" s="12"/>
      <c r="B450" s="12"/>
      <c r="C450" s="12" t="s">
        <v>496</v>
      </c>
      <c r="D450" s="12"/>
      <c r="E450" s="12"/>
      <c r="F450" s="13"/>
      <c r="G450" s="13"/>
      <c r="H450" s="13"/>
      <c r="N450"/>
    </row>
    <row r="451" spans="1:14" ht="12.75" customHeight="1">
      <c r="A451" s="12"/>
      <c r="B451" s="12"/>
      <c r="C451" s="12" t="s">
        <v>497</v>
      </c>
      <c r="D451" s="12"/>
      <c r="E451" s="12"/>
      <c r="F451" s="13"/>
      <c r="G451" s="13"/>
      <c r="H451" s="13"/>
      <c r="N451"/>
    </row>
    <row r="452" spans="1:14" ht="12.75" customHeight="1">
      <c r="A452" s="12"/>
      <c r="B452" s="12"/>
      <c r="C452" s="12" t="s">
        <v>498</v>
      </c>
      <c r="D452" s="12"/>
      <c r="E452" s="12"/>
      <c r="F452" s="13"/>
      <c r="G452" s="13"/>
      <c r="H452" s="13"/>
      <c r="N452"/>
    </row>
    <row r="453" spans="1:14" ht="12.75" customHeight="1">
      <c r="A453" s="12"/>
      <c r="B453" s="12"/>
      <c r="C453" s="12" t="s">
        <v>499</v>
      </c>
      <c r="D453" s="12"/>
      <c r="E453" s="12"/>
      <c r="F453" s="13"/>
      <c r="G453" s="13"/>
      <c r="H453" s="13"/>
      <c r="N453"/>
    </row>
    <row r="454" spans="1:14" ht="12.75" customHeight="1">
      <c r="A454" s="12"/>
      <c r="B454" s="12"/>
      <c r="C454" s="12" t="s">
        <v>62</v>
      </c>
      <c r="D454" s="12"/>
      <c r="E454" s="12"/>
      <c r="F454" s="13"/>
      <c r="G454" s="13"/>
      <c r="H454" s="13"/>
      <c r="N454"/>
    </row>
    <row r="455" spans="1:14" ht="12.75" customHeight="1">
      <c r="A455" s="12"/>
      <c r="B455" s="12"/>
      <c r="C455" s="12"/>
      <c r="D455" s="12"/>
      <c r="E455" s="12"/>
      <c r="F455" s="13"/>
      <c r="G455" s="13"/>
      <c r="H455" s="13"/>
      <c r="N455"/>
    </row>
    <row r="456" spans="1:14" ht="12.75" customHeight="1">
      <c r="A456" s="12"/>
      <c r="B456" s="12"/>
      <c r="C456" s="12"/>
      <c r="D456" s="12"/>
      <c r="E456" s="12"/>
      <c r="F456" s="13"/>
      <c r="G456" s="13"/>
      <c r="H456" s="13"/>
      <c r="N456"/>
    </row>
    <row r="457" spans="1:14" ht="12.75" customHeight="1">
      <c r="A457" s="5" t="s">
        <v>500</v>
      </c>
      <c r="B457" s="7" t="s">
        <v>2</v>
      </c>
      <c r="C457" s="12"/>
      <c r="E457" s="7" t="s">
        <v>4</v>
      </c>
      <c r="F457" s="13"/>
      <c r="G457" s="13"/>
      <c r="H457" s="13"/>
      <c r="N457"/>
    </row>
    <row r="458" spans="1:14" ht="14.25">
      <c r="A458" s="5"/>
      <c r="B458" s="8" t="s">
        <v>501</v>
      </c>
      <c r="C458" s="7" t="s">
        <v>7</v>
      </c>
      <c r="D458" s="7" t="s">
        <v>8</v>
      </c>
      <c r="E458" s="10">
        <v>532</v>
      </c>
      <c r="F458" s="7" t="s">
        <v>10</v>
      </c>
      <c r="G458" s="7" t="s">
        <v>11</v>
      </c>
      <c r="H458" s="7" t="s">
        <v>12</v>
      </c>
      <c r="N458"/>
    </row>
    <row r="459" spans="1:14" ht="14.25">
      <c r="A459" s="12" t="s">
        <v>241</v>
      </c>
      <c r="B459" s="12"/>
      <c r="C459" s="12"/>
      <c r="D459" s="12" t="s">
        <v>1295</v>
      </c>
      <c r="E459" s="12"/>
      <c r="F459" s="11">
        <v>2.6</v>
      </c>
      <c r="G459" s="11">
        <v>2.2000000000000002</v>
      </c>
      <c r="H459" s="11">
        <v>4.3</v>
      </c>
      <c r="N459"/>
    </row>
    <row r="460" spans="1:14" ht="14.25">
      <c r="A460" s="12"/>
      <c r="B460" s="12"/>
      <c r="C460" s="12"/>
      <c r="D460" s="12" t="s">
        <v>502</v>
      </c>
      <c r="E460" s="12"/>
      <c r="F460" s="13"/>
      <c r="G460" s="13"/>
      <c r="H460" s="13"/>
      <c r="N460"/>
    </row>
    <row r="461" spans="1:14" ht="14.25">
      <c r="A461" s="12"/>
      <c r="B461" s="12"/>
      <c r="C461" s="12"/>
      <c r="D461" s="12" t="s">
        <v>503</v>
      </c>
      <c r="E461" s="12"/>
      <c r="F461" s="13"/>
      <c r="G461" s="13"/>
      <c r="H461" s="13"/>
      <c r="N461"/>
    </row>
    <row r="462" spans="1:14" ht="12.75" customHeight="1">
      <c r="A462" s="12"/>
      <c r="B462" s="12"/>
      <c r="C462" s="12"/>
      <c r="E462" s="12"/>
      <c r="F462" s="13"/>
      <c r="G462" s="13"/>
      <c r="H462" s="13"/>
      <c r="N462"/>
    </row>
    <row r="463" spans="1:14" ht="12.75" customHeight="1">
      <c r="A463" s="12"/>
      <c r="B463" s="12"/>
      <c r="C463" s="12"/>
      <c r="D463" s="12"/>
      <c r="E463" s="12"/>
      <c r="F463" s="13"/>
      <c r="G463" s="13"/>
      <c r="H463" s="13"/>
      <c r="N463"/>
    </row>
    <row r="464" spans="1:14" ht="12.75" customHeight="1">
      <c r="A464" s="5" t="s">
        <v>504</v>
      </c>
      <c r="B464" s="7" t="s">
        <v>2</v>
      </c>
      <c r="C464" s="12" t="s">
        <v>505</v>
      </c>
      <c r="D464" s="12"/>
      <c r="E464" s="7" t="s">
        <v>4</v>
      </c>
      <c r="F464" s="12"/>
      <c r="G464" s="12"/>
      <c r="H464" s="12"/>
      <c r="N464"/>
    </row>
    <row r="465" spans="1:14" ht="14.25">
      <c r="A465" s="5"/>
      <c r="B465" s="8" t="s">
        <v>506</v>
      </c>
      <c r="C465" s="7" t="s">
        <v>7</v>
      </c>
      <c r="D465" s="7" t="s">
        <v>8</v>
      </c>
      <c r="E465" s="10">
        <v>96</v>
      </c>
      <c r="F465" s="7" t="s">
        <v>10</v>
      </c>
      <c r="G465" s="7" t="s">
        <v>11</v>
      </c>
      <c r="H465" s="7" t="s">
        <v>12</v>
      </c>
      <c r="N465"/>
    </row>
    <row r="466" spans="1:14" ht="12.75" customHeight="1">
      <c r="A466" s="12"/>
      <c r="B466" s="12"/>
      <c r="C466" s="12"/>
      <c r="D466" s="12"/>
      <c r="E466" s="12"/>
      <c r="F466" s="11" t="s">
        <v>305</v>
      </c>
      <c r="G466" s="11" t="s">
        <v>305</v>
      </c>
      <c r="H466" s="11" t="s">
        <v>305</v>
      </c>
      <c r="N466"/>
    </row>
    <row r="467" spans="1:14" ht="12.75" customHeight="1">
      <c r="A467" s="12"/>
      <c r="B467" s="12"/>
      <c r="C467" s="12"/>
      <c r="D467" s="12"/>
      <c r="E467" s="12"/>
      <c r="F467" s="12"/>
      <c r="G467" s="12"/>
      <c r="H467" s="12"/>
      <c r="N467"/>
    </row>
    <row r="468" spans="1:14" ht="12.75" customHeight="1">
      <c r="A468" s="12"/>
      <c r="B468" s="12"/>
      <c r="C468" s="12"/>
      <c r="D468" s="12"/>
      <c r="E468" s="12"/>
      <c r="F468" s="12"/>
      <c r="G468" s="12"/>
      <c r="H468" s="12"/>
      <c r="N468"/>
    </row>
    <row r="469" spans="1:14" ht="12.75" customHeight="1">
      <c r="A469" s="12"/>
      <c r="B469" s="12"/>
      <c r="C469" s="12"/>
      <c r="D469" s="12"/>
      <c r="E469" s="12"/>
      <c r="F469" s="12"/>
      <c r="G469" s="12"/>
      <c r="H469" s="12"/>
      <c r="N469"/>
    </row>
    <row r="470" spans="1:14" ht="12.75" customHeight="1">
      <c r="A470" s="12"/>
      <c r="B470" s="12"/>
      <c r="C470" s="12"/>
      <c r="D470" s="12"/>
      <c r="E470" s="12"/>
      <c r="F470" s="12"/>
      <c r="G470" s="12"/>
      <c r="H470" s="12"/>
      <c r="N470"/>
    </row>
    <row r="471" spans="1:14" ht="12.75" customHeight="1">
      <c r="A471" s="5" t="s">
        <v>507</v>
      </c>
      <c r="B471" s="7" t="s">
        <v>2</v>
      </c>
      <c r="C471" s="12" t="s">
        <v>508</v>
      </c>
      <c r="E471" s="7" t="s">
        <v>4</v>
      </c>
      <c r="F471" s="12"/>
      <c r="G471" s="12"/>
      <c r="H471" s="12"/>
      <c r="N471"/>
    </row>
    <row r="472" spans="1:14" ht="14.25">
      <c r="A472" s="5"/>
      <c r="B472" s="8" t="s">
        <v>509</v>
      </c>
      <c r="C472" s="7" t="s">
        <v>7</v>
      </c>
      <c r="D472" s="7" t="s">
        <v>8</v>
      </c>
      <c r="E472" s="10" t="s">
        <v>510</v>
      </c>
      <c r="F472" s="7" t="s">
        <v>10</v>
      </c>
      <c r="G472" s="7" t="s">
        <v>11</v>
      </c>
      <c r="H472" s="7" t="s">
        <v>12</v>
      </c>
      <c r="N472"/>
    </row>
    <row r="473" spans="1:14" ht="14.25">
      <c r="A473" s="12" t="s">
        <v>511</v>
      </c>
      <c r="B473" s="12"/>
      <c r="C473" s="12" t="s">
        <v>512</v>
      </c>
      <c r="D473" s="12" t="s">
        <v>513</v>
      </c>
      <c r="E473" s="10" t="s">
        <v>514</v>
      </c>
      <c r="F473" s="11">
        <v>2.4</v>
      </c>
      <c r="G473" s="11">
        <v>1.5</v>
      </c>
      <c r="H473" s="11">
        <v>3.85</v>
      </c>
      <c r="N473"/>
    </row>
    <row r="474" spans="1:14" ht="14.25">
      <c r="A474" s="12"/>
      <c r="B474" s="12"/>
      <c r="C474" s="12" t="s">
        <v>515</v>
      </c>
      <c r="D474" s="12" t="s">
        <v>516</v>
      </c>
      <c r="E474" s="12"/>
      <c r="F474" s="12"/>
      <c r="G474" s="12"/>
      <c r="H474" s="12"/>
      <c r="N474"/>
    </row>
    <row r="475" spans="1:14" ht="14.25">
      <c r="A475" s="12"/>
      <c r="B475" s="12"/>
      <c r="C475" s="12" t="s">
        <v>517</v>
      </c>
      <c r="D475" s="12" t="s">
        <v>518</v>
      </c>
      <c r="E475" s="12"/>
      <c r="F475" s="12"/>
      <c r="G475" s="12"/>
      <c r="H475" s="12"/>
      <c r="N475"/>
    </row>
    <row r="476" spans="1:14" ht="14.25">
      <c r="A476" s="12"/>
      <c r="B476" s="12" t="s">
        <v>1287</v>
      </c>
      <c r="C476" s="12" t="s">
        <v>519</v>
      </c>
      <c r="D476" s="12" t="s">
        <v>520</v>
      </c>
      <c r="E476" s="12"/>
      <c r="F476" s="13" t="s">
        <v>1287</v>
      </c>
      <c r="G476" s="13" t="s">
        <v>1287</v>
      </c>
      <c r="H476" s="13" t="s">
        <v>1287</v>
      </c>
      <c r="N476"/>
    </row>
    <row r="477" spans="1:14" ht="14.25">
      <c r="C477" s="12" t="s">
        <v>521</v>
      </c>
      <c r="N477"/>
    </row>
    <row r="478" spans="1:14" ht="14.25">
      <c r="C478" s="12" t="s">
        <v>62</v>
      </c>
      <c r="N478"/>
    </row>
    <row r="479" spans="1:14" ht="14.25">
      <c r="N479"/>
    </row>
    <row r="480" spans="1:14" ht="14.25">
      <c r="N480"/>
    </row>
    <row r="481" spans="14:14" ht="14.25">
      <c r="N481"/>
    </row>
  </sheetData>
  <autoFilter ref="A4:G478" xr:uid="{2788019B-CD90-49AE-97E9-39576ABEC530}"/>
  <sortState xmlns:xlrd2="http://schemas.microsoft.com/office/spreadsheetml/2017/richdata2" ref="N9:N481">
    <sortCondition ref="N9:N481"/>
  </sortState>
  <mergeCells count="1">
    <mergeCell ref="A1:H1"/>
  </mergeCells>
  <pageMargins left="0.25" right="0.25" top="0.25" bottom="0.25" header="0.5" footer="0.5"/>
  <pageSetup orientation="landscape" horizontalDpi="4294967294" verticalDpi="0" r:id="rId1"/>
  <headerFooter alignWithMargins="0"/>
  <rowBreaks count="3" manualBreakCount="3">
    <brk id="88" max="16383" man="1"/>
    <brk id="405" max="16383" man="1"/>
    <brk id="443" max="16383"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D8AC9-608F-41D0-9B13-503013C1C9F4}">
  <dimension ref="A1:A179"/>
  <sheetViews>
    <sheetView topLeftCell="A33" zoomScale="130" zoomScaleNormal="130" workbookViewId="0">
      <selection activeCell="DR152" sqref="DR152"/>
    </sheetView>
  </sheetViews>
  <sheetFormatPr defaultRowHeight="14.25"/>
  <cols>
    <col min="1" max="108" width="1.88671875" customWidth="1"/>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97AD4-51D5-43F7-9405-4C1BF3CBA2AE}">
  <sheetPr codeName="Аркуш40">
    <tabColor rgb="FF7030A0"/>
  </sheetPr>
  <dimension ref="A1:W55"/>
  <sheetViews>
    <sheetView workbookViewId="0">
      <selection activeCell="F7" sqref="F7"/>
    </sheetView>
  </sheetViews>
  <sheetFormatPr defaultRowHeight="14.25"/>
  <cols>
    <col min="1" max="1" width="10.77734375" style="2" customWidth="1"/>
    <col min="2" max="8" width="8.88671875" style="2"/>
    <col min="9" max="9" width="35.44140625" style="2" customWidth="1"/>
    <col min="10" max="16384" width="8.88671875" style="2"/>
  </cols>
  <sheetData>
    <row r="1" spans="1:23" ht="15" thickBot="1"/>
    <row r="2" spans="1:23" ht="21" thickTop="1" thickBot="1">
      <c r="A2" s="3964" t="s">
        <v>2080</v>
      </c>
      <c r="B2" s="3965"/>
      <c r="C2" s="3966"/>
      <c r="E2" s="3964" t="s">
        <v>2079</v>
      </c>
      <c r="F2" s="3965"/>
      <c r="G2" s="3966"/>
    </row>
    <row r="3" spans="1:23" ht="15" thickTop="1">
      <c r="A3" s="2" t="s">
        <v>1725</v>
      </c>
      <c r="B3" s="2" t="s">
        <v>1404</v>
      </c>
      <c r="C3" s="2" t="s">
        <v>1405</v>
      </c>
      <c r="E3" s="87" t="s">
        <v>1725</v>
      </c>
      <c r="F3" s="2" t="s">
        <v>1404</v>
      </c>
      <c r="G3" s="2" t="s">
        <v>1405</v>
      </c>
    </row>
    <row r="4" spans="1:23">
      <c r="A4" s="2">
        <v>1</v>
      </c>
      <c r="B4" s="2" t="str" cm="1">
        <f t="array" aca="1" ref="B4" ca="1">INDEX(CONFIG000!$B$3:$B$55,RANDBETWEEN(1,53),1)</f>
        <v>Esheena</v>
      </c>
      <c r="C4" s="2" t="str" cm="1">
        <f t="array" aca="1" ref="C4" ca="1">INDEX(CONFIG000!$D$3:$D$56,RANDBETWEEN(1,54),1)</f>
        <v>Danthalus</v>
      </c>
      <c r="E4" s="2">
        <v>1</v>
      </c>
      <c r="F4" s="2" t="str" cm="1">
        <f t="array" aca="1" ref="F4" ca="1">INDEX(Таблиця15[Female],RANDBETWEEN(1,51),1)</f>
        <v>Andurlatha</v>
      </c>
      <c r="G4" s="2" t="str" cm="1">
        <f t="array" aca="1" ref="G4" ca="1">INDEX(Таблиця15[Male],RANDBETWEEN(1,51),1)</f>
        <v>Lyrannus</v>
      </c>
    </row>
    <row r="5" spans="1:23" ht="15" thickBot="1">
      <c r="A5" s="2">
        <v>2</v>
      </c>
      <c r="B5" s="2" t="str" cm="1">
        <f t="array" aca="1" ref="B5" ca="1">INDEX(CONFIG000!$B$3:$B$55,RANDBETWEEN(1,53),1)</f>
        <v>Tress</v>
      </c>
      <c r="C5" s="2" t="str" cm="1">
        <f t="array" aca="1" ref="C5" ca="1">INDEX(CONFIG000!$D$3:$D$56,RANDBETWEEN(1,54),1)</f>
        <v>Asult</v>
      </c>
      <c r="E5" s="2">
        <v>2</v>
      </c>
      <c r="F5" s="2" t="str" cm="1">
        <f t="array" aca="1" ref="F5" ca="1">INDEX(Таблиця15[Female],RANDBETWEEN(1,51),1)</f>
        <v>Nechelseiya</v>
      </c>
      <c r="G5" s="2" t="str" cm="1">
        <f t="array" aca="1" ref="G5" ca="1">INDEX(Таблиця15[Male],RANDBETWEEN(1,51),1)</f>
        <v>Melder</v>
      </c>
    </row>
    <row r="6" spans="1:23" ht="21" thickTop="1" thickBot="1">
      <c r="A6" s="2">
        <v>3</v>
      </c>
      <c r="B6" s="2" t="str" cm="1">
        <f t="array" aca="1" ref="B6" ca="1">INDEX(CONFIG000!$B$3:$B$55,RANDBETWEEN(1,53),1)</f>
        <v>Mythandra</v>
      </c>
      <c r="C6" s="2" t="str" cm="1">
        <f t="array" aca="1" ref="C6" ca="1">INDEX(CONFIG000!$D$3:$D$56,RANDBETWEEN(1,54),1)</f>
        <v>Raskival</v>
      </c>
      <c r="E6" s="2">
        <v>3</v>
      </c>
      <c r="F6" s="2" t="str" cm="1">
        <f t="array" aca="1" ref="F6" ca="1">INDEX(Таблиця15[Female],RANDBETWEEN(1,51),1)</f>
        <v>Marantine</v>
      </c>
      <c r="G6" s="2" t="str" cm="1">
        <f t="array" aca="1" ref="G6" ca="1">INDEX(Таблиця15[Male],RANDBETWEEN(1,51),1)</f>
        <v>Sorlthavarn</v>
      </c>
      <c r="O6" s="3967" t="s">
        <v>10497</v>
      </c>
      <c r="P6" s="3968"/>
      <c r="T6" s="2610" t="s">
        <v>10543</v>
      </c>
    </row>
    <row r="7" spans="1:23" ht="15.75" thickTop="1">
      <c r="A7" s="2">
        <v>4</v>
      </c>
      <c r="B7" s="2" t="str" cm="1">
        <f t="array" aca="1" ref="B7" ca="1">INDEX(CONFIG000!$B$3:$B$55,RANDBETWEEN(1,53),1)</f>
        <v>Stornara</v>
      </c>
      <c r="C7" s="2" t="str" cm="1">
        <f t="array" aca="1" ref="C7" ca="1">INDEX(CONFIG000!$D$3:$D$56,RANDBETWEEN(1,54),1)</f>
        <v>Rorstil</v>
      </c>
      <c r="E7" s="2">
        <v>4</v>
      </c>
      <c r="F7" s="2" t="str" cm="1">
        <f t="array" aca="1" ref="F7" ca="1">INDEX(Таблиця15[Female],RANDBETWEEN(1,51),1)</f>
        <v>Ravandralla</v>
      </c>
      <c r="G7" s="2" t="str" cm="1">
        <f t="array" aca="1" ref="G7" ca="1">INDEX(Таблиця15[Male],RANDBETWEEN(1,51),1)</f>
        <v>Deremoz</v>
      </c>
      <c r="O7" s="2515" t="s">
        <v>10495</v>
      </c>
      <c r="P7" s="2421" t="s">
        <v>10498</v>
      </c>
      <c r="T7" s="2" t="s">
        <v>7257</v>
      </c>
      <c r="U7" s="2" t="s">
        <v>10540</v>
      </c>
      <c r="V7" s="2" t="s">
        <v>10541</v>
      </c>
      <c r="W7" s="2" t="s">
        <v>10542</v>
      </c>
    </row>
    <row r="8" spans="1:23">
      <c r="A8" s="2">
        <v>5</v>
      </c>
      <c r="B8" s="2" t="str" cm="1">
        <f t="array" aca="1" ref="B8" ca="1">INDEX(CONFIG000!$B$3:$B$55,RANDBETWEEN(1,53),1)</f>
        <v>Darantha</v>
      </c>
      <c r="C8" s="2" t="str" cm="1">
        <f t="array" aca="1" ref="C8" ca="1">INDEX(CONFIG000!$D$3:$D$56,RANDBETWEEN(1,54),1)</f>
        <v>Seszgar</v>
      </c>
      <c r="E8" s="2">
        <v>5</v>
      </c>
      <c r="F8" s="2" t="str" cm="1">
        <f t="array" aca="1" ref="F8" ca="1">INDEX(Таблиця15[Female],RANDBETWEEN(1,51),1)</f>
        <v>Asdragarna</v>
      </c>
      <c r="G8" s="2" t="str" cm="1">
        <f t="array" aca="1" ref="G8" ca="1">INDEX(Таблиця15[Male],RANDBETWEEN(1,51),1)</f>
        <v>Mellast</v>
      </c>
      <c r="O8" s="3956" t="s">
        <v>10499</v>
      </c>
      <c r="P8" s="3961" t="s">
        <v>10500</v>
      </c>
      <c r="T8" s="2611" t="s">
        <v>10520</v>
      </c>
      <c r="U8" s="2611" t="s">
        <v>10521</v>
      </c>
      <c r="V8" s="2612">
        <v>0</v>
      </c>
      <c r="W8" s="2611" t="s">
        <v>10522</v>
      </c>
    </row>
    <row r="9" spans="1:23">
      <c r="A9" s="2">
        <v>6</v>
      </c>
      <c r="B9" s="2" t="str" cm="1">
        <f t="array" aca="1" ref="B9" ca="1">INDEX(CONFIG000!$B$3:$B$55,RANDBETWEEN(1,53),1)</f>
        <v>Raereene</v>
      </c>
      <c r="C9" s="2" t="str" cm="1">
        <f t="array" aca="1" ref="C9" ca="1">INDEX(CONFIG000!$D$3:$D$56,RANDBETWEEN(1,54),1)</f>
        <v>Jassur</v>
      </c>
      <c r="E9" s="2">
        <v>6</v>
      </c>
      <c r="F9" s="2" t="str" cm="1">
        <f t="array" aca="1" ref="F9" ca="1">INDEX(Таблиця15[Female],RANDBETWEEN(1,51),1)</f>
        <v>Zarova</v>
      </c>
      <c r="G9" s="2" t="str" cm="1">
        <f t="array" aca="1" ref="G9" ca="1">INDEX(Таблиця15[Male],RANDBETWEEN(1,51),1)</f>
        <v>Elbert</v>
      </c>
      <c r="O9" s="3957"/>
      <c r="P9" s="3957"/>
      <c r="T9" s="2611" t="s">
        <v>10523</v>
      </c>
      <c r="U9" s="2611" t="s">
        <v>10524</v>
      </c>
      <c r="V9" s="2612">
        <v>0.05</v>
      </c>
      <c r="W9" s="2613">
        <v>20</v>
      </c>
    </row>
    <row r="10" spans="1:23">
      <c r="A10" s="2">
        <v>7</v>
      </c>
      <c r="B10" s="2" t="str" cm="1">
        <f t="array" aca="1" ref="B10" ca="1">INDEX(CONFIG000!$B$3:$B$55,RANDBETWEEN(1,53),1)</f>
        <v>Baelarra</v>
      </c>
      <c r="C10" s="2" t="str" cm="1">
        <f t="array" aca="1" ref="C10" ca="1">INDEX(CONFIG000!$D$3:$D$56,RANDBETWEEN(1,54),1)</f>
        <v>Asult</v>
      </c>
      <c r="E10" s="2">
        <v>7</v>
      </c>
      <c r="F10" s="2" t="str" cm="1">
        <f t="array" aca="1" ref="F10" ca="1">INDEX(Таблиця15[Female],RANDBETWEEN(1,51),1)</f>
        <v>Marantine</v>
      </c>
      <c r="G10" s="2" t="str" cm="1">
        <f t="array" aca="1" ref="G10" ca="1">INDEX(Таблиця15[Male],RANDBETWEEN(1,51),1)</f>
        <v>Ergluth</v>
      </c>
      <c r="O10" s="3962" t="s">
        <v>10501</v>
      </c>
      <c r="P10" s="3963" t="s">
        <v>10502</v>
      </c>
      <c r="T10" s="2611" t="s">
        <v>10525</v>
      </c>
      <c r="U10" s="2611" t="s">
        <v>10526</v>
      </c>
      <c r="V10" s="2612">
        <v>0.1</v>
      </c>
      <c r="W10" s="2613" t="s">
        <v>10527</v>
      </c>
    </row>
    <row r="11" spans="1:23">
      <c r="A11" s="2">
        <v>8</v>
      </c>
      <c r="B11" s="2" t="str" cm="1">
        <f t="array" aca="1" ref="B11" ca="1">INDEX(CONFIG000!$B$3:$B$55,RANDBETWEEN(1,53),1)</f>
        <v>Varimbra</v>
      </c>
      <c r="C11" s="2" t="str" cm="1">
        <f t="array" aca="1" ref="C11" ca="1">INDEX(CONFIG000!$D$3:$D$56,RANDBETWEEN(1,54),1)</f>
        <v>Beltar</v>
      </c>
      <c r="E11" s="2">
        <v>8</v>
      </c>
      <c r="F11" s="2" t="str" cm="1">
        <f t="array" aca="1" ref="F11" ca="1">INDEX(Таблиця15[Female],RANDBETWEEN(1,51),1)</f>
        <v>Noenel</v>
      </c>
      <c r="G11" s="2" t="str" cm="1">
        <f t="array" aca="1" ref="G11" ca="1">INDEX(Таблиця15[Male],RANDBETWEEN(1,51),1)</f>
        <v>Lhalaundrovam</v>
      </c>
      <c r="O11" s="3960"/>
      <c r="P11" s="3960"/>
      <c r="T11" s="2611" t="s">
        <v>10528</v>
      </c>
      <c r="U11" s="2611" t="s">
        <v>10529</v>
      </c>
      <c r="V11" s="2612">
        <v>0.15</v>
      </c>
      <c r="W11" s="2613" t="s">
        <v>10530</v>
      </c>
    </row>
    <row r="12" spans="1:23">
      <c r="A12" s="2">
        <v>9</v>
      </c>
      <c r="B12" s="2" t="str" cm="1">
        <f t="array" aca="1" ref="B12" ca="1">INDEX(CONFIG000!$B$3:$B$55,RANDBETWEEN(1,53),1)</f>
        <v>Narmitra</v>
      </c>
      <c r="C12" s="2" t="str" cm="1">
        <f t="array" aca="1" ref="C12" ca="1">INDEX(CONFIG000!$D$3:$D$56,RANDBETWEEN(1,54),1)</f>
        <v>Traevyn</v>
      </c>
      <c r="E12" s="2">
        <v>9</v>
      </c>
      <c r="F12" s="2" t="str" cm="1">
        <f t="array" aca="1" ref="F12" ca="1">INDEX(Таблиця15[Female],RANDBETWEEN(1,51),1)</f>
        <v>Darlethra</v>
      </c>
      <c r="G12" s="2" t="str" cm="1">
        <f t="array" aca="1" ref="G12" ca="1">INDEX(Таблиця15[Male],RANDBETWEEN(1,51),1)</f>
        <v>Traevyn</v>
      </c>
      <c r="O12" s="3959" t="s">
        <v>10503</v>
      </c>
      <c r="P12" s="3961" t="s">
        <v>10504</v>
      </c>
      <c r="T12" s="2611" t="s">
        <v>10531</v>
      </c>
      <c r="U12" s="2611" t="s">
        <v>10532</v>
      </c>
      <c r="V12" s="2612">
        <v>0.5</v>
      </c>
      <c r="W12" s="2423">
        <v>43424</v>
      </c>
    </row>
    <row r="13" spans="1:23">
      <c r="A13" s="2">
        <v>9</v>
      </c>
      <c r="B13" s="2" t="str" cm="1">
        <f t="array" aca="1" ref="B13" ca="1">INDEX(CONFIG000!$B$3:$B$55,RANDBETWEEN(1,53),1)</f>
        <v>Stornara</v>
      </c>
      <c r="C13" s="2" t="str" cm="1">
        <f t="array" aca="1" ref="C13" ca="1">INDEX(CONFIG000!$D$3:$D$56,RANDBETWEEN(1,54),1)</f>
        <v>Delnor</v>
      </c>
      <c r="E13" s="2">
        <v>9</v>
      </c>
      <c r="F13" s="2" t="str" cm="1">
        <f t="array" aca="1" ref="F13" ca="1">INDEX(Таблиця15[Female],RANDBETWEEN(1,51),1)</f>
        <v>Lathdue</v>
      </c>
      <c r="G13" s="2" t="str" cm="1">
        <f t="array" aca="1" ref="G13" ca="1">INDEX(Таблиця15[Male],RANDBETWEEN(1,51),1)</f>
        <v>Jassur</v>
      </c>
      <c r="O13" s="3960"/>
      <c r="P13" s="3957"/>
      <c r="T13" s="2" t="s">
        <v>10531</v>
      </c>
      <c r="U13" s="2611" t="s">
        <v>10533</v>
      </c>
      <c r="V13" s="2612">
        <v>1</v>
      </c>
    </row>
    <row r="14" spans="1:23">
      <c r="A14" s="2">
        <v>10</v>
      </c>
      <c r="B14" s="2" t="str" cm="1">
        <f t="array" aca="1" ref="B14" ca="1">INDEX(CONFIG000!$B$3:$B$55,RANDBETWEEN(1,53),1)</f>
        <v>Ospra</v>
      </c>
      <c r="C14" s="2" t="str" cm="1">
        <f t="array" aca="1" ref="C14" ca="1">INDEX(CONFIG000!$D$3:$D$56,RANDBETWEEN(1,54),1)</f>
        <v>Jassur</v>
      </c>
      <c r="E14" s="2">
        <v>10</v>
      </c>
      <c r="F14" s="2" t="str" cm="1">
        <f t="array" aca="1" ref="F14" ca="1">INDEX(Таблиця15[Female],RANDBETWEEN(1,51),1)</f>
        <v>Dalutheera</v>
      </c>
      <c r="G14" s="2" t="str" cm="1">
        <f t="array" aca="1" ref="G14" ca="1">INDEX(Таблиця15[Male],RANDBETWEEN(1,51),1)</f>
        <v>Obraerl</v>
      </c>
      <c r="O14" s="3960"/>
      <c r="P14" s="3957"/>
      <c r="T14" s="2611" t="s">
        <v>10534</v>
      </c>
      <c r="U14" s="2611" t="s">
        <v>10535</v>
      </c>
      <c r="V14" s="2612">
        <v>0.15</v>
      </c>
      <c r="W14" s="2613" t="s">
        <v>10530</v>
      </c>
    </row>
    <row r="15" spans="1:23">
      <c r="O15" s="3960"/>
      <c r="P15" s="3957"/>
      <c r="T15" s="2611" t="s">
        <v>10536</v>
      </c>
      <c r="U15" s="2611" t="s">
        <v>10537</v>
      </c>
      <c r="V15" s="2612">
        <v>0.1</v>
      </c>
      <c r="W15" s="2613" t="s">
        <v>10527</v>
      </c>
    </row>
    <row r="16" spans="1:23" ht="15">
      <c r="A16" s="2614" t="s">
        <v>11455</v>
      </c>
      <c r="B16" s="2" t="s">
        <v>11456</v>
      </c>
      <c r="C16" s="2615" t="s">
        <v>5975</v>
      </c>
      <c r="D16" s="2615" t="s">
        <v>5974</v>
      </c>
      <c r="E16" s="2616" t="s">
        <v>5973</v>
      </c>
      <c r="F16" s="2617"/>
      <c r="O16" s="3960"/>
      <c r="P16" s="3957"/>
      <c r="T16" s="2611" t="s">
        <v>10538</v>
      </c>
      <c r="U16" s="2611" t="s">
        <v>10539</v>
      </c>
      <c r="V16" s="2612">
        <v>0.05</v>
      </c>
      <c r="W16" s="2613">
        <v>20</v>
      </c>
    </row>
    <row r="17" spans="1:23" ht="15.75" thickBot="1">
      <c r="A17" s="2615" t="s">
        <v>5972</v>
      </c>
      <c r="B17" s="2618" t="s">
        <v>5906</v>
      </c>
      <c r="C17" s="2619">
        <f>VLOOKUP(B17,CONFIG000!$BM$153:$BP$168,2,FALSE)</f>
        <v>3</v>
      </c>
      <c r="D17" s="2620">
        <f>VLOOKUP(B17,CONFIG000!$BM$153:$BP$168,3,FALSE)</f>
        <v>0</v>
      </c>
      <c r="E17" s="2621">
        <f>VLOOKUP(B17,CONFIG000!$BM$153:$BP$168,4,FALSE)</f>
        <v>0</v>
      </c>
      <c r="F17" s="2617"/>
      <c r="O17" s="3960"/>
      <c r="P17" s="3957"/>
    </row>
    <row r="18" spans="1:23" ht="21" thickTop="1" thickBot="1">
      <c r="A18" s="2615" t="s">
        <v>5891</v>
      </c>
      <c r="B18" s="2618" t="s">
        <v>5886</v>
      </c>
      <c r="C18" s="2622">
        <f>VLOOKUP(B18,CONFIG000!$BM$171:$BP$175,2,FALSE)</f>
        <v>0.5</v>
      </c>
      <c r="D18" s="2622">
        <f>VLOOKUP(B18,CONFIG000!$BM$171:$BP$175,3,FALSE)</f>
        <v>0</v>
      </c>
      <c r="E18" s="2623">
        <f>VLOOKUP(B18,CONFIG000!$BM$171:$BP$175,4,FALSE)</f>
        <v>0</v>
      </c>
      <c r="F18" s="2617"/>
      <c r="O18" s="3962" t="s">
        <v>10505</v>
      </c>
      <c r="P18" s="3963" t="s">
        <v>10506</v>
      </c>
      <c r="T18" s="2610" t="s">
        <v>2087</v>
      </c>
      <c r="U18" s="2624" t="str" cm="1">
        <f t="array" aca="1" ref="U18" ca="1">INDEX(Таблиця26[Extraction:],RANDBETWEEN(1,8),1)</f>
        <v>You go to the macguffin and they want to stay because they just wanted to expose weaknesses where they are (or some other method via they help their captors)</v>
      </c>
    </row>
    <row r="19" spans="1:23" ht="21" customHeight="1" thickTop="1">
      <c r="A19" s="2615" t="s">
        <v>5971</v>
      </c>
      <c r="B19" s="2618" t="s">
        <v>10371</v>
      </c>
      <c r="C19" s="2622">
        <f>IF(B19="yes",0.75,1)</f>
        <v>0.75</v>
      </c>
      <c r="D19" s="2622">
        <f>IF(B19="yes",-4,0)</f>
        <v>-4</v>
      </c>
      <c r="E19" s="2623">
        <f>IF(B19="yes",-4,0)</f>
        <v>-4</v>
      </c>
      <c r="F19" s="2617"/>
      <c r="O19" s="3960"/>
      <c r="P19" s="3960"/>
      <c r="U19" s="2624" t="str" cm="1">
        <f t="array" aca="1" ref="U19" ca="1">INDEX(Таблиця20[1. Extraction (Voluntary/Involuntary)],RANDBETWEEN(1,8),1)</f>
        <v>7. From hostile forces</v>
      </c>
    </row>
    <row r="20" spans="1:23" ht="16.5">
      <c r="A20" s="2615" t="s">
        <v>5970</v>
      </c>
      <c r="B20" s="2618" t="s">
        <v>5928</v>
      </c>
      <c r="C20" s="2459">
        <f t="array" ref="C20">INDEX(CONFIG000!$BN$127:$BP$138,MATCH(B20,CONFIG000!$BM$127:$BM$138,0),MATCH(B21,CONFIG000!$BM$126:$BR$126,0)-1)</f>
        <v>1</v>
      </c>
      <c r="D20" s="2460"/>
      <c r="E20" s="2625"/>
      <c r="F20" s="2617"/>
      <c r="O20" s="3960"/>
      <c r="P20" s="3960"/>
      <c r="U20" s="2624" t="str" cm="1">
        <f t="array" aca="1" ref="U20" ca="1">INDEX(Таблиця26[Extraction:],RANDBETWEEN(1,8),1)</f>
        <v>You must recover or retrieve the macguffin</v>
      </c>
    </row>
    <row r="21" spans="1:23" ht="15">
      <c r="A21" s="2615" t="s">
        <v>5969</v>
      </c>
      <c r="B21" s="2618" t="s">
        <v>5935</v>
      </c>
      <c r="C21" s="2626"/>
      <c r="D21" s="2627"/>
      <c r="E21" s="2628"/>
      <c r="F21" s="2617"/>
      <c r="O21" s="3960"/>
      <c r="P21" s="3960"/>
    </row>
    <row r="22" spans="1:23" ht="15">
      <c r="A22" s="2629" t="s">
        <v>5918</v>
      </c>
      <c r="B22" s="2630" t="s">
        <v>5917</v>
      </c>
      <c r="C22" s="2631">
        <f>VLOOKUP(B22,CONFIG000!$BM$141:$BP$150,2,FALSE)</f>
        <v>0.75</v>
      </c>
      <c r="D22" s="2632">
        <f>VLOOKUP(B22,CONFIG000!$BM$141:$BP$150,3,FALSE)</f>
        <v>0</v>
      </c>
      <c r="E22" s="2633">
        <f>VLOOKUP(B22,CONFIG000!$BM$141:$BP$150,4,FALSE)</f>
        <v>0</v>
      </c>
      <c r="F22" s="2617"/>
      <c r="O22" s="2634"/>
      <c r="P22" s="2635"/>
    </row>
    <row r="23" spans="1:23" ht="15.75" thickBot="1">
      <c r="A23" s="2617"/>
      <c r="B23" s="2617"/>
      <c r="C23" s="2636"/>
      <c r="D23" s="2617"/>
      <c r="E23" s="2617"/>
      <c r="F23" s="2637" t="str">
        <f>IF(B18="Hunting",IF(B19="Yes","d8","d4"),IF(B19="Yes","d16","d8"))</f>
        <v>d16</v>
      </c>
      <c r="O23" s="2515" t="s">
        <v>10496</v>
      </c>
      <c r="P23" s="2421" t="s">
        <v>10498</v>
      </c>
    </row>
    <row r="24" spans="1:23" ht="21" thickTop="1" thickBot="1">
      <c r="A24" s="2614" t="s">
        <v>11455</v>
      </c>
      <c r="B24" s="2638" t="s">
        <v>11456</v>
      </c>
      <c r="O24" s="2514" t="s">
        <v>10507</v>
      </c>
      <c r="P24" s="2422" t="s">
        <v>10508</v>
      </c>
      <c r="T24" s="2610" t="s">
        <v>2110</v>
      </c>
      <c r="V24" s="139" t="s">
        <v>2116</v>
      </c>
      <c r="W24" s="140"/>
    </row>
    <row r="25" spans="1:23" ht="17.25" thickTop="1">
      <c r="A25" s="2639" t="s">
        <v>5967</v>
      </c>
      <c r="B25" s="2640">
        <f t="array" ref="B25">C17*C18*C19*INDEX(CONFIG000!$BN$127:$BP$138,MATCH(B20,CONFIG000!$BM$127:$BM$138,0),MATCH(B21,CONFIG000!$BM$126:$BR$126,0)-1)*C22</f>
        <v>0.84375</v>
      </c>
      <c r="O25" s="3962" t="s">
        <v>10509</v>
      </c>
      <c r="P25" s="3963" t="s">
        <v>10510</v>
      </c>
      <c r="T25" s="2624" t="str" cm="1">
        <f t="array" aca="1" ref="T25" ca="1">INDEX(Таблиця22[1. Bounty],RANDBETWEEN(1,6),1)</f>
        <v>1. Monster</v>
      </c>
    </row>
    <row r="26" spans="1:23" ht="17.25" thickBot="1">
      <c r="A26" s="2639" t="s">
        <v>5966</v>
      </c>
      <c r="B26" s="2640">
        <f>B25*4</f>
        <v>3.375</v>
      </c>
      <c r="O26" s="3960"/>
      <c r="P26" s="3960"/>
      <c r="T26" s="2624" t="str" cm="1">
        <f t="array" aca="1" ref="T26" ca="1">INDEX(CONFIG000!BX48:BX53,RANDBETWEEN(1,6),1)</f>
        <v>The bounty is on your head</v>
      </c>
    </row>
    <row r="27" spans="1:23" ht="21" thickTop="1" thickBot="1">
      <c r="A27" s="2639" t="s">
        <v>5965</v>
      </c>
      <c r="B27" s="2641">
        <f>VLOOKUP(B20,CONFIG000!$BM$127:$BR$138,5,FALSE)+SUM(D17:D22)</f>
        <v>10</v>
      </c>
      <c r="O27" s="3960"/>
      <c r="P27" s="3960"/>
      <c r="T27" s="2610" t="s">
        <v>2081</v>
      </c>
    </row>
    <row r="28" spans="1:23" ht="17.25" thickTop="1">
      <c r="A28" s="2642" t="s">
        <v>5964</v>
      </c>
      <c r="B28" s="2643">
        <f>VLOOKUP(B20,CONFIG000!$BM$127:$BR$138,6,FALSE)+SUM(E17:E22)</f>
        <v>10</v>
      </c>
      <c r="O28" s="3960"/>
      <c r="P28" s="3960"/>
      <c r="T28" s="2624" t="str" cm="1">
        <f t="array" aca="1" ref="T28" ca="1">INDEX(Таблиця21[From],RANDBETWEEN(1,5),1)</f>
        <v>1. Tower</v>
      </c>
    </row>
    <row r="29" spans="1:23" ht="16.5">
      <c r="O29" s="3960"/>
      <c r="P29" s="3960"/>
      <c r="T29" s="2624" t="str" cm="1">
        <f t="array" aca="1" ref="T29" ca="1">INDEX(Таблиця25[Assault/Raid: ],RANDBETWEEN(1,5),1)</f>
        <v>There are long term consequences of the Assault</v>
      </c>
    </row>
    <row r="30" spans="1:23">
      <c r="O30" s="3959" t="s">
        <v>5909</v>
      </c>
      <c r="P30" s="3961" t="s">
        <v>10511</v>
      </c>
    </row>
    <row r="31" spans="1:23">
      <c r="O31" s="3960"/>
      <c r="P31" s="3957"/>
    </row>
    <row r="32" spans="1:23" ht="15">
      <c r="O32" s="2634"/>
      <c r="P32" s="2635"/>
    </row>
    <row r="33" spans="3:16" ht="15">
      <c r="O33" s="3962" t="s">
        <v>10512</v>
      </c>
      <c r="P33" s="2421" t="s">
        <v>10513</v>
      </c>
    </row>
    <row r="34" spans="3:16" ht="15">
      <c r="O34" s="3960"/>
      <c r="P34" s="2421" t="s">
        <v>10514</v>
      </c>
    </row>
    <row r="35" spans="3:16" ht="15">
      <c r="O35" s="3960"/>
      <c r="P35" s="2421" t="s">
        <v>10515</v>
      </c>
    </row>
    <row r="36" spans="3:16" ht="15">
      <c r="G36" s="2617"/>
      <c r="H36" s="2617"/>
      <c r="O36" s="3960"/>
      <c r="P36" s="2421" t="s">
        <v>10516</v>
      </c>
    </row>
    <row r="37" spans="3:16" ht="15">
      <c r="G37" s="2617"/>
      <c r="H37" s="2617"/>
      <c r="O37" s="3956" t="s">
        <v>10517</v>
      </c>
      <c r="P37" s="2644" t="s">
        <v>10518</v>
      </c>
    </row>
    <row r="38" spans="3:16">
      <c r="G38" s="2617"/>
      <c r="H38" s="2617"/>
      <c r="O38" s="3957"/>
      <c r="P38" s="3958" t="s">
        <v>10519</v>
      </c>
    </row>
    <row r="39" spans="3:16">
      <c r="G39" s="2617"/>
      <c r="H39" s="2617"/>
      <c r="O39" s="3957"/>
      <c r="P39" s="3957"/>
    </row>
    <row r="40" spans="3:16" ht="15">
      <c r="G40" s="2617"/>
      <c r="H40" s="2617"/>
      <c r="O40" s="2634"/>
      <c r="P40" s="2635"/>
    </row>
    <row r="41" spans="3:16">
      <c r="G41" s="2617"/>
      <c r="H41" s="2617"/>
    </row>
    <row r="42" spans="3:16">
      <c r="G42" s="2617"/>
      <c r="H42" s="2617"/>
    </row>
    <row r="43" spans="3:16" ht="15">
      <c r="G43" s="2644" t="s">
        <v>5968</v>
      </c>
      <c r="H43" s="2617"/>
    </row>
    <row r="44" spans="3:16">
      <c r="C44" s="2617"/>
      <c r="D44" s="2617"/>
      <c r="E44" s="2617"/>
      <c r="F44" s="2617"/>
      <c r="G44" s="2617"/>
      <c r="H44" s="2617"/>
    </row>
    <row r="45" spans="3:16">
      <c r="C45" s="2617"/>
      <c r="D45" s="2617"/>
      <c r="E45" s="2617"/>
      <c r="F45" s="2617"/>
      <c r="G45" s="2617"/>
      <c r="H45" s="2617"/>
    </row>
    <row r="46" spans="3:16">
      <c r="C46" s="2617"/>
      <c r="D46" s="2617"/>
      <c r="E46" s="2617"/>
      <c r="F46" s="2617"/>
      <c r="G46" s="2617"/>
      <c r="H46" s="2617"/>
    </row>
    <row r="47" spans="3:16">
      <c r="C47" s="2617"/>
      <c r="D47" s="2617"/>
      <c r="E47" s="2617"/>
      <c r="F47" s="2617"/>
      <c r="G47" s="2617"/>
      <c r="H47" s="2617"/>
    </row>
    <row r="48" spans="3:16">
      <c r="C48" s="2617"/>
      <c r="D48" s="2617"/>
      <c r="E48" s="2617"/>
      <c r="F48" s="2617"/>
      <c r="G48" s="2617"/>
      <c r="H48" s="2617"/>
    </row>
    <row r="49" spans="1:8">
      <c r="A49" s="2617"/>
      <c r="B49" s="2617"/>
      <c r="C49" s="2617"/>
      <c r="D49" s="2617"/>
      <c r="E49" s="2617"/>
      <c r="F49" s="2617"/>
      <c r="G49" s="2617"/>
      <c r="H49" s="2617"/>
    </row>
    <row r="50" spans="1:8">
      <c r="A50" s="2617"/>
      <c r="B50" s="2617"/>
      <c r="C50" s="2617"/>
      <c r="D50" s="2617"/>
      <c r="E50" s="2617"/>
      <c r="F50" s="2617"/>
      <c r="G50" s="2617"/>
      <c r="H50" s="2617"/>
    </row>
    <row r="51" spans="1:8">
      <c r="A51" s="2617"/>
      <c r="B51" s="2617"/>
      <c r="C51" s="2617"/>
      <c r="D51" s="2617"/>
      <c r="E51" s="2617"/>
      <c r="F51" s="2617"/>
      <c r="G51" s="2617"/>
      <c r="H51" s="2617"/>
    </row>
    <row r="52" spans="1:8">
      <c r="A52" s="2617"/>
      <c r="B52" s="2617"/>
      <c r="C52" s="2617"/>
      <c r="D52" s="2617"/>
      <c r="E52" s="2617"/>
      <c r="F52" s="2617"/>
      <c r="G52" s="2617"/>
      <c r="H52" s="2617"/>
    </row>
    <row r="53" spans="1:8">
      <c r="A53" s="2617"/>
      <c r="B53" s="2617"/>
      <c r="C53" s="2617"/>
      <c r="D53" s="2617"/>
      <c r="E53" s="2617"/>
      <c r="F53" s="2617"/>
      <c r="G53" s="2617"/>
      <c r="H53" s="2617"/>
    </row>
    <row r="54" spans="1:8">
      <c r="A54" s="2617"/>
      <c r="B54" s="2617"/>
      <c r="C54" s="2617"/>
      <c r="D54" s="2617"/>
      <c r="E54" s="2617"/>
      <c r="F54" s="2617"/>
      <c r="G54" s="2617"/>
      <c r="H54" s="2617"/>
    </row>
    <row r="55" spans="1:8">
      <c r="A55" s="2617"/>
      <c r="B55" s="2617"/>
      <c r="C55" s="2617"/>
      <c r="D55" s="2617"/>
      <c r="E55" s="2617"/>
      <c r="F55" s="2617"/>
      <c r="G55" s="2617"/>
      <c r="H55" s="2617"/>
    </row>
  </sheetData>
  <mergeCells count="18">
    <mergeCell ref="E2:G2"/>
    <mergeCell ref="A2:C2"/>
    <mergeCell ref="O30:O31"/>
    <mergeCell ref="P30:P31"/>
    <mergeCell ref="O33:O36"/>
    <mergeCell ref="O10:O11"/>
    <mergeCell ref="P10:P11"/>
    <mergeCell ref="O6:P6"/>
    <mergeCell ref="O8:O9"/>
    <mergeCell ref="P8:P9"/>
    <mergeCell ref="O37:O39"/>
    <mergeCell ref="P38:P39"/>
    <mergeCell ref="O12:O17"/>
    <mergeCell ref="P12:P17"/>
    <mergeCell ref="O18:O21"/>
    <mergeCell ref="P18:P21"/>
    <mergeCell ref="O25:O29"/>
    <mergeCell ref="P25:P29"/>
  </mergeCells>
  <dataValidations count="1">
    <dataValidation type="list" allowBlank="1" showErrorMessage="1" sqref="B19" xr:uid="{00000000-0002-0000-0000-000002000000}">
      <formula1>"Yes,No"</formula1>
    </dataValidation>
  </dataValidations>
  <pageMargins left="0.7" right="0.7" top="0.75" bottom="0.75" header="0.3" footer="0.3"/>
  <tableParts count="5">
    <tablePart r:id="rId1"/>
    <tablePart r:id="rId2"/>
    <tablePart r:id="rId3"/>
    <tablePart r:id="rId4"/>
    <tablePart r:id="rId5"/>
  </tableParts>
  <extLst>
    <ext xmlns:x14="http://schemas.microsoft.com/office/spreadsheetml/2009/9/main" uri="{CCE6A557-97BC-4b89-ADB6-D9C93CAAB3DF}">
      <x14:dataValidations xmlns:xm="http://schemas.microsoft.com/office/excel/2006/main" count="5">
        <x14:dataValidation type="list" allowBlank="1" showErrorMessage="1" xr:uid="{00000000-0002-0000-0000-000005000000}">
          <x14:formula1>
            <xm:f>CONFIG000!$BT$127:$BT$142</xm:f>
          </x14:formula1>
          <xm:sqref>B17</xm:sqref>
        </x14:dataValidation>
        <x14:dataValidation type="list" allowBlank="1" showErrorMessage="1" xr:uid="{00000000-0002-0000-0000-000000000000}">
          <x14:formula1>
            <xm:f>CONFIG000!$BM$171:$BM$175</xm:f>
          </x14:formula1>
          <xm:sqref>B18</xm:sqref>
        </x14:dataValidation>
        <x14:dataValidation type="list" allowBlank="1" showErrorMessage="1" xr:uid="{00000000-0002-0000-0000-000001000000}">
          <x14:formula1>
            <xm:f>CONFIG000!$BM$141:$BM$150</xm:f>
          </x14:formula1>
          <xm:sqref>B22</xm:sqref>
        </x14:dataValidation>
        <x14:dataValidation type="list" allowBlank="1" showErrorMessage="1" xr:uid="{00000000-0002-0000-0000-000003000000}">
          <x14:formula1>
            <xm:f>CONFIG000!$BM$127:$BM$138</xm:f>
          </x14:formula1>
          <xm:sqref>B20</xm:sqref>
        </x14:dataValidation>
        <x14:dataValidation type="list" allowBlank="1" showErrorMessage="1" xr:uid="{00000000-0002-0000-0000-000004000000}">
          <x14:formula1>
            <xm:f>CONFIG000!$BN$126:$BP$126</xm:f>
          </x14:formula1>
          <xm:sqref>B21</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4D042-65AF-4686-9895-2E7B50CFE918}">
  <sheetPr>
    <tabColor rgb="FF7030A0"/>
  </sheetPr>
  <dimension ref="A1:F37"/>
  <sheetViews>
    <sheetView topLeftCell="A26" workbookViewId="0">
      <selection activeCell="Q4" sqref="Q4:T38"/>
    </sheetView>
  </sheetViews>
  <sheetFormatPr defaultRowHeight="14.25"/>
  <cols>
    <col min="1" max="1" width="16.109375" customWidth="1"/>
    <col min="3" max="3" width="10.88671875" customWidth="1"/>
    <col min="5" max="5" width="11.33203125" customWidth="1"/>
  </cols>
  <sheetData>
    <row r="1" spans="1:6">
      <c r="A1" t="s">
        <v>14498</v>
      </c>
      <c r="B1" t="s">
        <v>1875</v>
      </c>
      <c r="C1" t="s">
        <v>11749</v>
      </c>
      <c r="D1" t="s">
        <v>14499</v>
      </c>
      <c r="E1" t="s">
        <v>14500</v>
      </c>
      <c r="F1" t="s">
        <v>14501</v>
      </c>
    </row>
    <row r="2" spans="1:6">
      <c r="A2" t="s">
        <v>14502</v>
      </c>
      <c r="B2" t="s">
        <v>14503</v>
      </c>
      <c r="F2" t="s">
        <v>14509</v>
      </c>
    </row>
    <row r="3" spans="1:6">
      <c r="A3" t="s">
        <v>14505</v>
      </c>
      <c r="B3" t="s">
        <v>14504</v>
      </c>
      <c r="F3" t="s">
        <v>14507</v>
      </c>
    </row>
    <row r="4" spans="1:6">
      <c r="A4" t="s">
        <v>14506</v>
      </c>
      <c r="B4" s="1" t="s">
        <v>14504</v>
      </c>
    </row>
    <row r="5" spans="1:6">
      <c r="A5" t="s">
        <v>14508</v>
      </c>
      <c r="B5" s="1" t="s">
        <v>14504</v>
      </c>
      <c r="F5" t="s">
        <v>14745</v>
      </c>
    </row>
    <row r="6" spans="1:6">
      <c r="A6" t="s">
        <v>14746</v>
      </c>
      <c r="C6" s="2" t="s">
        <v>14747</v>
      </c>
    </row>
    <row r="7" spans="1:6">
      <c r="A7" t="s">
        <v>14748</v>
      </c>
      <c r="C7" t="s">
        <v>14749</v>
      </c>
    </row>
    <row r="8" spans="1:6">
      <c r="A8" t="s">
        <v>14750</v>
      </c>
      <c r="C8" s="2479" t="s">
        <v>14751</v>
      </c>
    </row>
    <row r="9" spans="1:6">
      <c r="A9" t="s">
        <v>14752</v>
      </c>
      <c r="F9" t="s">
        <v>14507</v>
      </c>
    </row>
    <row r="10" spans="1:6">
      <c r="A10" t="s">
        <v>14753</v>
      </c>
    </row>
    <row r="11" spans="1:6">
      <c r="A11" s="2673" t="s">
        <v>14754</v>
      </c>
    </row>
    <row r="12" spans="1:6">
      <c r="A12" t="s">
        <v>14755</v>
      </c>
    </row>
    <row r="13" spans="1:6">
      <c r="A13" t="s">
        <v>14756</v>
      </c>
    </row>
    <row r="14" spans="1:6">
      <c r="A14" t="s">
        <v>14757</v>
      </c>
    </row>
    <row r="15" spans="1:6" ht="17.25">
      <c r="A15" s="2664" t="s">
        <v>14780</v>
      </c>
    </row>
    <row r="16" spans="1:6" ht="15">
      <c r="A16" s="2598" t="s">
        <v>14781</v>
      </c>
      <c r="C16" s="2" t="s">
        <v>14782</v>
      </c>
    </row>
    <row r="17" spans="1:3">
      <c r="A17" t="s">
        <v>14783</v>
      </c>
      <c r="C17" s="2" t="s">
        <v>14784</v>
      </c>
    </row>
    <row r="18" spans="1:3" ht="15">
      <c r="A18" s="2598" t="s">
        <v>14785</v>
      </c>
    </row>
    <row r="19" spans="1:3">
      <c r="A19" t="s">
        <v>9489</v>
      </c>
    </row>
    <row r="20" spans="1:3">
      <c r="A20" t="s">
        <v>9511</v>
      </c>
    </row>
    <row r="21" spans="1:3" ht="17.25">
      <c r="A21" s="2664" t="s">
        <v>14786</v>
      </c>
      <c r="C21" s="2664" t="s">
        <v>14787</v>
      </c>
    </row>
    <row r="22" spans="1:3" ht="17.25">
      <c r="A22" s="2664" t="s">
        <v>14788</v>
      </c>
      <c r="C22" s="2664" t="s">
        <v>14789</v>
      </c>
    </row>
    <row r="23" spans="1:3">
      <c r="A23" s="1" t="s">
        <v>14893</v>
      </c>
      <c r="C23" s="1" t="s">
        <v>14894</v>
      </c>
    </row>
    <row r="24" spans="1:3">
      <c r="A24" s="1" t="s">
        <v>14895</v>
      </c>
      <c r="C24" s="1" t="s">
        <v>14896</v>
      </c>
    </row>
    <row r="25" spans="1:3" ht="17.25">
      <c r="A25" s="2674" t="s">
        <v>14790</v>
      </c>
      <c r="C25" s="2" t="s">
        <v>14791</v>
      </c>
    </row>
    <row r="26" spans="1:3">
      <c r="A26" t="s">
        <v>14792</v>
      </c>
      <c r="C26" t="s">
        <v>14793</v>
      </c>
    </row>
    <row r="27" spans="1:3">
      <c r="A27" t="s">
        <v>14851</v>
      </c>
      <c r="C27" t="s">
        <v>14852</v>
      </c>
    </row>
    <row r="28" spans="1:3">
      <c r="A28" t="s">
        <v>14878</v>
      </c>
      <c r="B28" t="s">
        <v>14879</v>
      </c>
    </row>
    <row r="29" spans="1:3">
      <c r="A29" t="s">
        <v>14880</v>
      </c>
      <c r="C29" t="s">
        <v>14881</v>
      </c>
    </row>
    <row r="30" spans="1:3">
      <c r="A30" t="s">
        <v>14882</v>
      </c>
      <c r="C30" t="s">
        <v>14883</v>
      </c>
    </row>
    <row r="31" spans="1:3">
      <c r="A31" t="s">
        <v>14884</v>
      </c>
      <c r="C31" t="s">
        <v>14885</v>
      </c>
    </row>
    <row r="32" spans="1:3">
      <c r="A32" t="s">
        <v>14886</v>
      </c>
      <c r="C32" t="s">
        <v>14887</v>
      </c>
    </row>
    <row r="33" spans="1:3">
      <c r="A33" t="s">
        <v>14786</v>
      </c>
      <c r="C33" t="s">
        <v>14888</v>
      </c>
    </row>
    <row r="34" spans="1:3">
      <c r="A34" t="s">
        <v>14889</v>
      </c>
      <c r="C34" t="s">
        <v>14890</v>
      </c>
    </row>
    <row r="35" spans="1:3">
      <c r="A35" t="s">
        <v>14891</v>
      </c>
      <c r="C35" t="s">
        <v>14892</v>
      </c>
    </row>
    <row r="36" spans="1:3">
      <c r="A36" t="s">
        <v>14893</v>
      </c>
      <c r="C36" t="s">
        <v>14894</v>
      </c>
    </row>
    <row r="37" spans="1:3">
      <c r="A37" t="s">
        <v>14895</v>
      </c>
      <c r="C37" t="s">
        <v>14896</v>
      </c>
    </row>
  </sheetData>
  <pageMargins left="0.7" right="0.7" top="0.75" bottom="0.75" header="0.3" footer="0.3"/>
  <pageSetup paperSize="9" orientation="portrait"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F17E5-2433-4280-9993-DE47E7B63008}">
  <sheetPr>
    <tabColor rgb="FF7030A0"/>
  </sheetPr>
  <dimension ref="A1"/>
  <sheetViews>
    <sheetView workbookViewId="0">
      <selection sqref="A1:A23"/>
    </sheetView>
  </sheetViews>
  <sheetFormatPr defaultRowHeight="14.25"/>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CB0B8-7923-4E20-AC7A-293E7EE5A484}">
  <sheetPr codeName="Аркуш41">
    <tabColor rgb="FF7030A0"/>
  </sheetPr>
  <dimension ref="A1:V213"/>
  <sheetViews>
    <sheetView topLeftCell="J216" workbookViewId="0">
      <selection activeCell="B7" sqref="B7"/>
    </sheetView>
  </sheetViews>
  <sheetFormatPr defaultRowHeight="14.25"/>
  <cols>
    <col min="1" max="1" width="15.5546875" style="1" customWidth="1"/>
    <col min="2" max="2" width="14.88671875" customWidth="1"/>
    <col min="3" max="3" width="23.88671875" customWidth="1"/>
    <col min="4" max="4" width="23.88671875" style="1" customWidth="1"/>
    <col min="5" max="5" width="59.109375" customWidth="1"/>
    <col min="6" max="6" width="10.77734375" customWidth="1"/>
    <col min="7" max="7" width="12.77734375" customWidth="1"/>
    <col min="8" max="8" width="11" customWidth="1"/>
    <col min="9" max="9" width="9.6640625" customWidth="1"/>
    <col min="12" max="12" width="36.88671875" bestFit="1" customWidth="1"/>
    <col min="13" max="13" width="12.109375" bestFit="1" customWidth="1"/>
    <col min="14" max="14" width="11" customWidth="1"/>
  </cols>
  <sheetData>
    <row r="1" spans="1:22" ht="27">
      <c r="A1" s="2648" t="s">
        <v>596</v>
      </c>
      <c r="B1" s="2648" t="s">
        <v>522</v>
      </c>
      <c r="C1" s="2648" t="s">
        <v>11485</v>
      </c>
      <c r="D1" s="2648" t="s">
        <v>11486</v>
      </c>
      <c r="E1" s="2648" t="s">
        <v>523</v>
      </c>
      <c r="F1" s="2648" t="s">
        <v>524</v>
      </c>
      <c r="G1" s="2648" t="s">
        <v>597</v>
      </c>
      <c r="H1" s="2648" t="s">
        <v>525</v>
      </c>
      <c r="I1" s="2648" t="s">
        <v>526</v>
      </c>
      <c r="J1" s="2648" t="s">
        <v>527</v>
      </c>
      <c r="L1" s="145" t="s">
        <v>696</v>
      </c>
      <c r="M1" s="146" t="s">
        <v>697</v>
      </c>
      <c r="N1" s="146" t="s">
        <v>597</v>
      </c>
      <c r="T1" s="3981"/>
    </row>
    <row r="2" spans="1:22" ht="18">
      <c r="A2" s="2427" t="s">
        <v>10544</v>
      </c>
      <c r="B2" s="2" t="s">
        <v>525</v>
      </c>
      <c r="C2" s="2" t="s">
        <v>528</v>
      </c>
      <c r="D2" s="2"/>
      <c r="E2" s="2" t="s">
        <v>415</v>
      </c>
      <c r="F2" s="2"/>
      <c r="G2" s="2">
        <f>MATCH(Таблиця1[[#This Row],[House]],Таблиця4[name],0)</f>
        <v>1</v>
      </c>
      <c r="H2" s="2">
        <v>1</v>
      </c>
      <c r="I2" s="2">
        <v>1</v>
      </c>
      <c r="J2" s="2">
        <v>1</v>
      </c>
      <c r="L2" s="143" t="s">
        <v>598</v>
      </c>
      <c r="M2" t="s">
        <v>525</v>
      </c>
      <c r="N2">
        <v>1</v>
      </c>
      <c r="P2" t="s">
        <v>11567</v>
      </c>
      <c r="U2" s="1"/>
      <c r="V2" s="1"/>
    </row>
    <row r="3" spans="1:22" ht="18">
      <c r="A3" s="2427" t="s">
        <v>529</v>
      </c>
      <c r="B3" s="2" t="s">
        <v>600</v>
      </c>
      <c r="C3" s="2" t="s">
        <v>530</v>
      </c>
      <c r="D3" s="2"/>
      <c r="E3" s="2" t="s">
        <v>415</v>
      </c>
      <c r="F3" s="2"/>
      <c r="G3" s="2">
        <f>MATCH(Таблиця1[[#This Row],[House]],Таблиця4[name],0)</f>
        <v>2</v>
      </c>
      <c r="H3" s="2">
        <v>2</v>
      </c>
      <c r="I3" s="2">
        <v>3</v>
      </c>
      <c r="J3" s="2">
        <v>3</v>
      </c>
      <c r="L3" s="144" t="s">
        <v>599</v>
      </c>
      <c r="M3" s="1" t="s">
        <v>600</v>
      </c>
      <c r="N3">
        <v>2</v>
      </c>
      <c r="P3" t="s">
        <v>11568</v>
      </c>
      <c r="S3" s="1"/>
      <c r="U3" s="1"/>
      <c r="V3" s="1"/>
    </row>
    <row r="4" spans="1:22" ht="18">
      <c r="A4" s="2427" t="s">
        <v>529</v>
      </c>
      <c r="B4" s="2" t="s">
        <v>103</v>
      </c>
      <c r="C4" s="2" t="s">
        <v>531</v>
      </c>
      <c r="D4" s="2"/>
      <c r="E4" s="2" t="s">
        <v>532</v>
      </c>
      <c r="F4" s="2"/>
      <c r="G4" s="2">
        <f>MATCH(Таблиця1[[#This Row],[House]],Таблиця4[name],0)</f>
        <v>3</v>
      </c>
      <c r="H4" s="2">
        <v>2</v>
      </c>
      <c r="I4" s="2">
        <v>2</v>
      </c>
      <c r="J4" s="2">
        <v>3</v>
      </c>
      <c r="L4" s="144" t="s">
        <v>599</v>
      </c>
      <c r="M4" s="1" t="s">
        <v>103</v>
      </c>
      <c r="N4" s="1">
        <v>2</v>
      </c>
      <c r="P4" t="s">
        <v>11569</v>
      </c>
      <c r="S4" s="1"/>
      <c r="U4" s="1"/>
      <c r="V4" s="1"/>
    </row>
    <row r="5" spans="1:22" ht="18">
      <c r="A5" s="2427" t="s">
        <v>529</v>
      </c>
      <c r="B5" s="2" t="s">
        <v>428</v>
      </c>
      <c r="C5" s="2" t="s">
        <v>533</v>
      </c>
      <c r="D5" s="2"/>
      <c r="E5" s="2" t="s">
        <v>534</v>
      </c>
      <c r="F5" s="2"/>
      <c r="G5" s="2">
        <f>MATCH(Таблиця1[[#This Row],[House]],Таблиця4[name],0)</f>
        <v>4</v>
      </c>
      <c r="H5" s="2">
        <v>1</v>
      </c>
      <c r="I5" s="2">
        <v>2</v>
      </c>
      <c r="J5" s="2">
        <v>3</v>
      </c>
      <c r="L5" s="144" t="s">
        <v>599</v>
      </c>
      <c r="M5" s="1" t="s">
        <v>428</v>
      </c>
      <c r="N5" s="1">
        <v>2</v>
      </c>
      <c r="P5" t="s">
        <v>11570</v>
      </c>
      <c r="S5" s="1"/>
      <c r="U5" s="1"/>
      <c r="V5" s="1"/>
    </row>
    <row r="6" spans="1:22">
      <c r="A6" s="2426">
        <v>1</v>
      </c>
      <c r="B6" s="2" t="s">
        <v>611</v>
      </c>
      <c r="C6" s="2" t="s">
        <v>535</v>
      </c>
      <c r="D6" s="2"/>
      <c r="E6" s="2" t="s">
        <v>536</v>
      </c>
      <c r="F6" s="2"/>
      <c r="G6" s="2">
        <f>MATCH(Таблиця1[[#This Row],[House]],Таблиця4[name],0)</f>
        <v>32</v>
      </c>
      <c r="H6" s="2">
        <v>1</v>
      </c>
      <c r="I6" s="2">
        <v>1</v>
      </c>
      <c r="J6" s="2">
        <v>2</v>
      </c>
      <c r="L6" s="141" t="s">
        <v>601</v>
      </c>
      <c r="M6" s="1" t="s">
        <v>197</v>
      </c>
      <c r="N6" s="1">
        <v>5</v>
      </c>
      <c r="P6" t="s">
        <v>11571</v>
      </c>
      <c r="S6" s="1"/>
      <c r="U6" s="1"/>
      <c r="V6" s="1"/>
    </row>
    <row r="7" spans="1:22">
      <c r="A7" s="2426">
        <v>1</v>
      </c>
      <c r="B7" s="2" t="s">
        <v>111</v>
      </c>
      <c r="C7" s="2" t="s">
        <v>537</v>
      </c>
      <c r="D7" s="2"/>
      <c r="E7" s="2" t="s">
        <v>538</v>
      </c>
      <c r="F7" s="2"/>
      <c r="G7" s="2">
        <f>MATCH(Таблиця1[[#This Row],[House]],Таблиця4[name],0)</f>
        <v>193</v>
      </c>
      <c r="H7" s="2">
        <v>5</v>
      </c>
      <c r="I7" s="2">
        <v>2</v>
      </c>
      <c r="J7" s="2">
        <v>5</v>
      </c>
      <c r="L7" s="141" t="s">
        <v>601</v>
      </c>
      <c r="M7" s="1" t="s">
        <v>437</v>
      </c>
      <c r="N7" s="1">
        <v>5</v>
      </c>
      <c r="P7" t="s">
        <v>11572</v>
      </c>
      <c r="S7" s="1"/>
      <c r="U7" s="1"/>
      <c r="V7" s="1"/>
    </row>
    <row r="8" spans="1:22">
      <c r="A8" s="2426">
        <v>1</v>
      </c>
      <c r="B8" s="2" t="s">
        <v>197</v>
      </c>
      <c r="C8" s="2" t="s">
        <v>539</v>
      </c>
      <c r="D8" s="2"/>
      <c r="E8" s="2" t="s">
        <v>540</v>
      </c>
      <c r="F8" s="2"/>
      <c r="G8" s="2">
        <f>MATCH(Таблиця1[[#This Row],[House]],Таблиця4[name],0)</f>
        <v>5</v>
      </c>
      <c r="H8" s="2">
        <v>1</v>
      </c>
      <c r="I8" s="2">
        <v>2</v>
      </c>
      <c r="J8" s="2">
        <v>2</v>
      </c>
      <c r="L8" s="141" t="s">
        <v>601</v>
      </c>
      <c r="M8" s="1" t="s">
        <v>13</v>
      </c>
      <c r="N8" s="1">
        <v>5</v>
      </c>
      <c r="P8" t="s">
        <v>11573</v>
      </c>
      <c r="S8" s="1"/>
      <c r="U8" s="1"/>
      <c r="V8" s="1"/>
    </row>
    <row r="9" spans="1:22">
      <c r="A9" s="2426">
        <v>1</v>
      </c>
      <c r="B9" s="2" t="s">
        <v>432</v>
      </c>
      <c r="C9" s="2" t="s">
        <v>541</v>
      </c>
      <c r="D9" s="2"/>
      <c r="E9" s="2" t="s">
        <v>542</v>
      </c>
      <c r="F9" s="2"/>
      <c r="G9" s="2">
        <f>MATCH(Таблиця1[[#This Row],[House]],Таблиця4[name],0)</f>
        <v>188</v>
      </c>
      <c r="H9" s="2">
        <v>4</v>
      </c>
      <c r="I9" s="2">
        <v>4</v>
      </c>
      <c r="J9" s="2">
        <v>5</v>
      </c>
      <c r="L9" s="141" t="s">
        <v>601</v>
      </c>
      <c r="M9" s="1" t="s">
        <v>93</v>
      </c>
      <c r="N9" s="1">
        <v>5</v>
      </c>
      <c r="P9" t="s">
        <v>11574</v>
      </c>
      <c r="S9" s="1"/>
      <c r="U9" s="1"/>
      <c r="V9" s="1"/>
    </row>
    <row r="10" spans="1:22">
      <c r="A10" s="2426">
        <v>1</v>
      </c>
      <c r="B10" s="2" t="s">
        <v>13</v>
      </c>
      <c r="C10" s="2" t="s">
        <v>543</v>
      </c>
      <c r="D10" s="2"/>
      <c r="E10" s="2" t="s">
        <v>544</v>
      </c>
      <c r="F10" s="2"/>
      <c r="G10" s="2">
        <f>MATCH(Таблиця1[[#This Row],[House]],Таблиця4[name],0)</f>
        <v>7</v>
      </c>
      <c r="H10" s="2">
        <v>3</v>
      </c>
      <c r="I10" s="2">
        <v>3</v>
      </c>
      <c r="J10" s="2">
        <v>3</v>
      </c>
      <c r="L10" s="141" t="s">
        <v>601</v>
      </c>
      <c r="M10" s="1" t="s">
        <v>21</v>
      </c>
      <c r="N10" s="1">
        <v>5</v>
      </c>
      <c r="P10" t="s">
        <v>11575</v>
      </c>
      <c r="S10" s="1"/>
      <c r="U10" s="1"/>
      <c r="V10" s="1"/>
    </row>
    <row r="11" spans="1:22">
      <c r="A11" s="2426">
        <v>1</v>
      </c>
      <c r="B11" s="2" t="s">
        <v>93</v>
      </c>
      <c r="C11" s="2" t="s">
        <v>545</v>
      </c>
      <c r="D11" s="2"/>
      <c r="E11" s="2" t="s">
        <v>546</v>
      </c>
      <c r="F11" s="2"/>
      <c r="G11" s="2">
        <f>MATCH(Таблиця1[[#This Row],[House]],Таблиця4[name],0)</f>
        <v>8</v>
      </c>
      <c r="H11" s="2">
        <v>5</v>
      </c>
      <c r="I11" s="2">
        <v>3</v>
      </c>
      <c r="J11" s="2">
        <v>5</v>
      </c>
      <c r="L11" s="141" t="s">
        <v>601</v>
      </c>
      <c r="M11" s="1" t="s">
        <v>452</v>
      </c>
      <c r="N11" s="1">
        <v>5</v>
      </c>
      <c r="P11" t="s">
        <v>11576</v>
      </c>
      <c r="S11" s="1"/>
      <c r="U11" s="1"/>
      <c r="V11" s="1"/>
    </row>
    <row r="12" spans="1:22">
      <c r="A12" s="2425">
        <v>2</v>
      </c>
      <c r="B12" s="2" t="s">
        <v>45</v>
      </c>
      <c r="C12" s="2"/>
      <c r="D12" s="2"/>
      <c r="E12" s="2" t="s">
        <v>42</v>
      </c>
      <c r="F12" s="2"/>
      <c r="G12" s="2">
        <f>MATCH(Таблиця1[[#This Row],[House]],Таблиця4[name],0)</f>
        <v>157</v>
      </c>
      <c r="H12" s="2"/>
      <c r="I12" s="2"/>
      <c r="J12" s="2"/>
      <c r="L12" s="141" t="s">
        <v>601</v>
      </c>
      <c r="M12" s="1" t="s">
        <v>458</v>
      </c>
      <c r="N12" s="1">
        <v>5</v>
      </c>
      <c r="P12" t="s">
        <v>11577</v>
      </c>
      <c r="S12" s="1"/>
      <c r="U12" s="1"/>
      <c r="V12" s="1"/>
    </row>
    <row r="13" spans="1:22">
      <c r="A13" s="2425">
        <v>2</v>
      </c>
      <c r="B13" s="2" t="s">
        <v>434</v>
      </c>
      <c r="C13" s="2" t="s">
        <v>288</v>
      </c>
      <c r="D13" s="2"/>
      <c r="E13" s="2" t="s">
        <v>286</v>
      </c>
      <c r="F13" s="2"/>
      <c r="G13" s="2">
        <f>MATCH(Таблиця1[[#This Row],[House]],Таблиця4[name],0)</f>
        <v>156</v>
      </c>
      <c r="H13" s="2"/>
      <c r="I13" s="2"/>
      <c r="J13" s="2"/>
      <c r="L13" s="141" t="s">
        <v>601</v>
      </c>
      <c r="M13" s="1" t="s">
        <v>132</v>
      </c>
      <c r="N13" s="1">
        <v>5</v>
      </c>
      <c r="P13" t="s">
        <v>11578</v>
      </c>
      <c r="S13" s="1"/>
      <c r="U13" s="1"/>
      <c r="V13" s="1"/>
    </row>
    <row r="14" spans="1:22">
      <c r="A14" s="2425">
        <v>2</v>
      </c>
      <c r="B14" s="2" t="s">
        <v>127</v>
      </c>
      <c r="C14" s="2" t="s">
        <v>547</v>
      </c>
      <c r="D14" s="2"/>
      <c r="E14" s="2" t="s">
        <v>548</v>
      </c>
      <c r="F14" s="2"/>
      <c r="G14" s="2">
        <f>MATCH(Таблиця1[[#This Row],[House]],Таблиця4[name],0)</f>
        <v>186</v>
      </c>
      <c r="H14" s="2">
        <v>5</v>
      </c>
      <c r="I14" s="2">
        <v>3</v>
      </c>
      <c r="J14" s="2">
        <v>5</v>
      </c>
      <c r="L14" s="141" t="s">
        <v>601</v>
      </c>
      <c r="M14" s="1" t="s">
        <v>602</v>
      </c>
      <c r="N14" s="1">
        <v>5</v>
      </c>
      <c r="P14" t="s">
        <v>11579</v>
      </c>
      <c r="S14" s="1"/>
      <c r="U14" s="1"/>
      <c r="V14" s="1"/>
    </row>
    <row r="15" spans="1:22">
      <c r="A15" s="2425">
        <v>2</v>
      </c>
      <c r="B15" s="2" t="s">
        <v>49</v>
      </c>
      <c r="C15" s="2" t="s">
        <v>43</v>
      </c>
      <c r="D15" s="2"/>
      <c r="E15" s="2" t="s">
        <v>42</v>
      </c>
      <c r="F15" s="2" t="s">
        <v>549</v>
      </c>
      <c r="G15" s="2">
        <f>MATCH(Таблиця1[[#This Row],[House]],Таблиця4[name],0)</f>
        <v>44</v>
      </c>
      <c r="H15" s="2">
        <v>4</v>
      </c>
      <c r="I15" s="2">
        <v>2</v>
      </c>
      <c r="J15" s="2">
        <v>3</v>
      </c>
      <c r="L15" s="141" t="s">
        <v>601</v>
      </c>
      <c r="M15" s="1" t="s">
        <v>265</v>
      </c>
      <c r="N15" s="1">
        <v>5</v>
      </c>
      <c r="P15" t="s">
        <v>11580</v>
      </c>
      <c r="S15" s="1"/>
      <c r="U15" s="1"/>
      <c r="V15" s="1"/>
    </row>
    <row r="16" spans="1:22">
      <c r="A16" s="2425">
        <v>2</v>
      </c>
      <c r="B16" s="2" t="s">
        <v>435</v>
      </c>
      <c r="C16" s="2" t="s">
        <v>341</v>
      </c>
      <c r="D16" s="2"/>
      <c r="E16" s="2" t="s">
        <v>550</v>
      </c>
      <c r="F16" s="2"/>
      <c r="G16" s="2">
        <f>MATCH(Таблиця1[[#This Row],[House]],Таблиця4[name],0)</f>
        <v>62</v>
      </c>
      <c r="H16" s="2">
        <v>2</v>
      </c>
      <c r="I16" s="2">
        <v>2</v>
      </c>
      <c r="J16" s="2">
        <v>2</v>
      </c>
      <c r="L16" s="142" t="s">
        <v>603</v>
      </c>
      <c r="M16" s="1" t="s">
        <v>604</v>
      </c>
      <c r="N16" s="1">
        <v>10</v>
      </c>
      <c r="P16" t="s">
        <v>11581</v>
      </c>
      <c r="S16" s="1"/>
      <c r="U16" s="1"/>
      <c r="V16" s="1"/>
    </row>
    <row r="17" spans="1:22">
      <c r="A17" s="2425">
        <v>2</v>
      </c>
      <c r="B17" s="2" t="s">
        <v>437</v>
      </c>
      <c r="C17" s="2" t="s">
        <v>551</v>
      </c>
      <c r="D17" s="2"/>
      <c r="E17" s="2" t="s">
        <v>415</v>
      </c>
      <c r="F17" s="2"/>
      <c r="G17" s="2">
        <f>MATCH(Таблиця1[[#This Row],[House]],Таблиця4[name],0)</f>
        <v>6</v>
      </c>
      <c r="H17" s="2">
        <v>1</v>
      </c>
      <c r="I17" s="2">
        <v>1</v>
      </c>
      <c r="J17" s="2">
        <v>1</v>
      </c>
      <c r="L17" s="142" t="s">
        <v>603</v>
      </c>
      <c r="M17" s="1" t="s">
        <v>1648</v>
      </c>
      <c r="N17" s="1">
        <v>10</v>
      </c>
      <c r="P17" t="s">
        <v>11582</v>
      </c>
      <c r="S17" s="1"/>
      <c r="U17" s="1"/>
      <c r="V17" s="1"/>
    </row>
    <row r="18" spans="1:22">
      <c r="A18" s="2425">
        <v>2</v>
      </c>
      <c r="B18" s="2" t="s">
        <v>438</v>
      </c>
      <c r="C18" s="2" t="s">
        <v>330</v>
      </c>
      <c r="D18" s="2"/>
      <c r="E18" s="2" t="s">
        <v>328</v>
      </c>
      <c r="F18" s="2"/>
      <c r="G18" s="2">
        <f>MATCH(Таблиця1[[#This Row],[House]],Таблиця4[name],0)</f>
        <v>161</v>
      </c>
      <c r="H18" s="2">
        <v>3</v>
      </c>
      <c r="I18" s="2">
        <v>2</v>
      </c>
      <c r="J18" s="2">
        <v>4</v>
      </c>
      <c r="L18" s="142" t="s">
        <v>603</v>
      </c>
      <c r="M18" s="1" t="s">
        <v>1650</v>
      </c>
      <c r="N18" s="1">
        <v>10</v>
      </c>
      <c r="P18" t="s">
        <v>11583</v>
      </c>
      <c r="S18" s="1"/>
      <c r="U18" s="1"/>
      <c r="V18" s="1"/>
    </row>
    <row r="19" spans="1:22">
      <c r="A19" s="2425">
        <v>2</v>
      </c>
      <c r="B19" s="2" t="s">
        <v>439</v>
      </c>
      <c r="C19" s="2" t="s">
        <v>552</v>
      </c>
      <c r="D19" s="2"/>
      <c r="E19" s="2" t="s">
        <v>553</v>
      </c>
      <c r="F19" s="2"/>
      <c r="G19" s="2">
        <f>MATCH(Таблиця1[[#This Row],[House]],Таблиця4[name],0)</f>
        <v>72</v>
      </c>
      <c r="H19" s="2">
        <v>2</v>
      </c>
      <c r="I19" s="2">
        <v>3</v>
      </c>
      <c r="J19" s="2">
        <v>2</v>
      </c>
      <c r="L19" s="142" t="s">
        <v>603</v>
      </c>
      <c r="M19" s="1" t="s">
        <v>605</v>
      </c>
      <c r="N19" s="1">
        <v>10</v>
      </c>
      <c r="P19" t="s">
        <v>11584</v>
      </c>
      <c r="S19" s="1"/>
      <c r="U19" s="1"/>
      <c r="V19" s="1"/>
    </row>
    <row r="20" spans="1:22">
      <c r="A20" s="2425">
        <v>2</v>
      </c>
      <c r="B20" s="2" t="s">
        <v>441</v>
      </c>
      <c r="C20" s="2" t="s">
        <v>554</v>
      </c>
      <c r="D20" s="2"/>
      <c r="E20" s="2" t="s">
        <v>555</v>
      </c>
      <c r="F20" s="2"/>
      <c r="G20" s="2">
        <f>MATCH(Таблиця1[[#This Row],[House]],Таблиця4[name],0)</f>
        <v>80</v>
      </c>
      <c r="H20" s="2">
        <v>3</v>
      </c>
      <c r="I20" s="2">
        <v>3</v>
      </c>
      <c r="J20" s="2">
        <v>4</v>
      </c>
      <c r="L20" s="142" t="s">
        <v>603</v>
      </c>
      <c r="M20" s="1" t="s">
        <v>606</v>
      </c>
      <c r="N20" s="1">
        <v>10</v>
      </c>
      <c r="P20" t="s">
        <v>11585</v>
      </c>
      <c r="S20" s="1"/>
      <c r="U20" s="1"/>
      <c r="V20" s="1"/>
    </row>
    <row r="21" spans="1:22">
      <c r="A21" s="2425">
        <v>2</v>
      </c>
      <c r="B21" s="2" t="s">
        <v>88</v>
      </c>
      <c r="C21" s="2" t="s">
        <v>556</v>
      </c>
      <c r="D21" s="2"/>
      <c r="E21" s="2" t="s">
        <v>557</v>
      </c>
      <c r="F21" s="2"/>
      <c r="G21" s="2">
        <f>MATCH(Таблиця1[[#This Row],[House]],Таблиця4[name],0)</f>
        <v>88</v>
      </c>
      <c r="H21" s="2">
        <v>1</v>
      </c>
      <c r="I21" s="2">
        <v>3</v>
      </c>
      <c r="J21" s="2">
        <v>1</v>
      </c>
      <c r="L21" s="142" t="s">
        <v>603</v>
      </c>
      <c r="M21" s="1" t="s">
        <v>1651</v>
      </c>
      <c r="N21" s="1">
        <v>10</v>
      </c>
      <c r="P21" t="s">
        <v>11586</v>
      </c>
      <c r="S21" s="1"/>
      <c r="U21" s="1"/>
      <c r="V21" s="1"/>
    </row>
    <row r="22" spans="1:22">
      <c r="A22" s="2425">
        <v>2</v>
      </c>
      <c r="B22" s="2" t="s">
        <v>231</v>
      </c>
      <c r="C22" s="2" t="s">
        <v>233</v>
      </c>
      <c r="D22" s="2"/>
      <c r="E22" s="2" t="s">
        <v>231</v>
      </c>
      <c r="F22" s="2"/>
      <c r="G22" s="2">
        <f>MATCH(Таблиця1[[#This Row],[House]],Таблиця4[name],0)</f>
        <v>198</v>
      </c>
      <c r="H22" s="2">
        <v>1</v>
      </c>
      <c r="I22" s="2">
        <v>3</v>
      </c>
      <c r="J22" s="2">
        <v>1</v>
      </c>
      <c r="L22" s="142" t="s">
        <v>603</v>
      </c>
      <c r="M22" s="1" t="s">
        <v>14902</v>
      </c>
      <c r="N22" s="1">
        <v>10</v>
      </c>
      <c r="P22" t="s">
        <v>11587</v>
      </c>
      <c r="S22" s="1"/>
      <c r="U22" s="1"/>
      <c r="V22" s="1"/>
    </row>
    <row r="23" spans="1:22">
      <c r="A23" s="2425">
        <v>2</v>
      </c>
      <c r="B23" s="2" t="s">
        <v>443</v>
      </c>
      <c r="C23" s="2" t="s">
        <v>558</v>
      </c>
      <c r="D23" s="2"/>
      <c r="E23" s="2" t="s">
        <v>559</v>
      </c>
      <c r="F23" s="2"/>
      <c r="G23" s="2">
        <f>MATCH(Таблиця1[[#This Row],[House]],Таблиця4[name],0)</f>
        <v>164</v>
      </c>
      <c r="H23" s="2">
        <v>3</v>
      </c>
      <c r="I23" s="2">
        <v>3</v>
      </c>
      <c r="J23" s="2">
        <v>3</v>
      </c>
      <c r="L23" s="142" t="s">
        <v>603</v>
      </c>
      <c r="M23" s="1" t="s">
        <v>1652</v>
      </c>
      <c r="N23" s="1">
        <v>10</v>
      </c>
      <c r="P23" t="s">
        <v>11588</v>
      </c>
      <c r="S23" s="1"/>
      <c r="U23" s="1"/>
      <c r="V23" s="1"/>
    </row>
    <row r="24" spans="1:22">
      <c r="A24" s="2425">
        <v>2</v>
      </c>
      <c r="B24" s="2" t="s">
        <v>444</v>
      </c>
      <c r="C24" s="2" t="s">
        <v>353</v>
      </c>
      <c r="D24" s="2"/>
      <c r="E24" s="2" t="s">
        <v>351</v>
      </c>
      <c r="F24" s="2"/>
      <c r="G24" s="2">
        <f>MATCH(Таблиця1[[#This Row],[House]],Таблиця4[name],0)</f>
        <v>165</v>
      </c>
      <c r="H24" s="2">
        <v>3</v>
      </c>
      <c r="I24" s="2">
        <v>2</v>
      </c>
      <c r="J24" s="2">
        <v>5</v>
      </c>
      <c r="L24" s="142" t="s">
        <v>603</v>
      </c>
      <c r="M24" s="1" t="s">
        <v>14903</v>
      </c>
      <c r="N24" s="1">
        <v>10</v>
      </c>
      <c r="P24" t="s">
        <v>11589</v>
      </c>
      <c r="S24" s="1"/>
      <c r="U24" s="1"/>
      <c r="V24" s="1"/>
    </row>
    <row r="25" spans="1:22">
      <c r="A25" s="2425">
        <v>2</v>
      </c>
      <c r="B25" s="2" t="s">
        <v>445</v>
      </c>
      <c r="C25" s="2" t="s">
        <v>560</v>
      </c>
      <c r="D25" s="2"/>
      <c r="E25" s="2" t="s">
        <v>561</v>
      </c>
      <c r="F25" s="2"/>
      <c r="G25" s="2">
        <f>MATCH(Таблиця1[[#This Row],[House]],Таблиця4[name],0)</f>
        <v>167</v>
      </c>
      <c r="H25" s="2">
        <v>4</v>
      </c>
      <c r="I25" s="2">
        <v>5</v>
      </c>
      <c r="J25" s="2">
        <v>3</v>
      </c>
      <c r="L25" s="142" t="s">
        <v>603</v>
      </c>
      <c r="M25" s="1" t="s">
        <v>607</v>
      </c>
      <c r="N25" s="1">
        <v>10</v>
      </c>
      <c r="P25" t="s">
        <v>11590</v>
      </c>
      <c r="S25" s="1"/>
      <c r="U25" s="1"/>
      <c r="V25" s="1"/>
    </row>
    <row r="26" spans="1:22">
      <c r="A26" s="2425">
        <v>2</v>
      </c>
      <c r="B26" s="2" t="s">
        <v>447</v>
      </c>
      <c r="C26" s="2" t="s">
        <v>252</v>
      </c>
      <c r="D26" s="2"/>
      <c r="E26" s="2" t="s">
        <v>250</v>
      </c>
      <c r="F26" s="2"/>
      <c r="G26" s="2">
        <f>MATCH(Таблиця1[[#This Row],[House]],Таблиця4[name],0)</f>
        <v>172</v>
      </c>
      <c r="H26" s="2"/>
      <c r="I26" s="2"/>
      <c r="J26" s="2"/>
      <c r="L26" s="142" t="s">
        <v>603</v>
      </c>
      <c r="M26" s="1" t="s">
        <v>1653</v>
      </c>
      <c r="N26" s="1">
        <v>10</v>
      </c>
      <c r="P26" t="s">
        <v>11591</v>
      </c>
      <c r="S26" s="1"/>
      <c r="U26" s="1"/>
      <c r="V26" s="1"/>
    </row>
    <row r="27" spans="1:22">
      <c r="A27" s="2425">
        <v>2</v>
      </c>
      <c r="B27" s="2" t="s">
        <v>448</v>
      </c>
      <c r="C27" s="2" t="s">
        <v>243</v>
      </c>
      <c r="D27" s="2"/>
      <c r="E27" s="2" t="s">
        <v>242</v>
      </c>
      <c r="F27" s="2"/>
      <c r="G27" s="2">
        <f>MATCH(Таблиця1[[#This Row],[House]],Таблиця4[name],0)</f>
        <v>112</v>
      </c>
      <c r="H27" s="2"/>
      <c r="I27" s="2"/>
      <c r="J27" s="2"/>
      <c r="L27" s="142" t="s">
        <v>603</v>
      </c>
      <c r="M27" s="1" t="s">
        <v>86</v>
      </c>
      <c r="N27" s="1">
        <v>10</v>
      </c>
      <c r="P27" t="s">
        <v>11592</v>
      </c>
      <c r="S27" s="1"/>
      <c r="U27" s="1"/>
      <c r="V27" s="1"/>
    </row>
    <row r="28" spans="1:22">
      <c r="A28" s="2425">
        <v>2</v>
      </c>
      <c r="B28" s="2" t="s">
        <v>21</v>
      </c>
      <c r="C28" s="2" t="s">
        <v>562</v>
      </c>
      <c r="D28" s="2"/>
      <c r="E28" s="2" t="s">
        <v>563</v>
      </c>
      <c r="F28" s="2"/>
      <c r="G28" s="2">
        <f>MATCH(Таблиця1[[#This Row],[House]],Таблиця4[name],0)</f>
        <v>9</v>
      </c>
      <c r="H28" s="2">
        <v>4</v>
      </c>
      <c r="I28" s="2">
        <v>3</v>
      </c>
      <c r="J28" s="2">
        <v>5</v>
      </c>
      <c r="L28" s="142" t="s">
        <v>603</v>
      </c>
      <c r="M28" s="1" t="s">
        <v>1714</v>
      </c>
      <c r="N28" s="1">
        <v>10</v>
      </c>
      <c r="P28" t="s">
        <v>11593</v>
      </c>
      <c r="S28" s="1"/>
      <c r="U28" s="1"/>
      <c r="V28" s="1"/>
    </row>
    <row r="29" spans="1:22">
      <c r="A29" s="2425">
        <v>2</v>
      </c>
      <c r="B29" s="2" t="s">
        <v>238</v>
      </c>
      <c r="C29" s="2" t="s">
        <v>387</v>
      </c>
      <c r="D29" s="2"/>
      <c r="E29" s="2" t="s">
        <v>564</v>
      </c>
      <c r="F29" s="2"/>
      <c r="G29" s="2">
        <f>MATCH(Таблиця1[[#This Row],[House]],Таблиця4[name],0)</f>
        <v>174</v>
      </c>
      <c r="H29" s="2">
        <v>2</v>
      </c>
      <c r="I29" s="2">
        <v>3</v>
      </c>
      <c r="J29" s="2">
        <v>2</v>
      </c>
      <c r="L29" s="142" t="s">
        <v>603</v>
      </c>
      <c r="M29" s="1" t="s">
        <v>608</v>
      </c>
      <c r="N29" s="1">
        <v>10</v>
      </c>
      <c r="P29" t="s">
        <v>11594</v>
      </c>
      <c r="S29" s="1"/>
      <c r="U29" s="1"/>
      <c r="V29" s="1"/>
    </row>
    <row r="30" spans="1:22">
      <c r="A30" s="2425">
        <v>2</v>
      </c>
      <c r="B30" s="2" t="s">
        <v>200</v>
      </c>
      <c r="C30" s="2" t="s">
        <v>565</v>
      </c>
      <c r="D30" s="2"/>
      <c r="E30" s="2" t="s">
        <v>566</v>
      </c>
      <c r="F30" s="2"/>
      <c r="G30" s="2">
        <f>MATCH(Таблиця1[[#This Row],[House]],Таблиця4[name],0)</f>
        <v>127</v>
      </c>
      <c r="H30" s="2">
        <v>1</v>
      </c>
      <c r="I30" s="2">
        <v>2</v>
      </c>
      <c r="J30" s="2">
        <v>2</v>
      </c>
      <c r="L30" s="142" t="s">
        <v>603</v>
      </c>
      <c r="M30" s="1" t="s">
        <v>609</v>
      </c>
      <c r="N30" s="1">
        <v>10</v>
      </c>
      <c r="P30" t="s">
        <v>11595</v>
      </c>
      <c r="S30" s="1"/>
      <c r="U30" s="1"/>
      <c r="V30" s="1"/>
    </row>
    <row r="31" spans="1:22">
      <c r="A31" s="2425">
        <v>2</v>
      </c>
      <c r="B31" s="2" t="s">
        <v>452</v>
      </c>
      <c r="C31" s="2" t="s">
        <v>567</v>
      </c>
      <c r="D31" s="2"/>
      <c r="E31" s="2" t="s">
        <v>568</v>
      </c>
      <c r="F31" s="2"/>
      <c r="G31" s="2">
        <f>MATCH(Таблиця1[[#This Row],[House]],Таблиця4[name],0)</f>
        <v>10</v>
      </c>
      <c r="H31" s="2">
        <v>1</v>
      </c>
      <c r="I31" s="2">
        <v>1</v>
      </c>
      <c r="J31" s="2">
        <v>1</v>
      </c>
      <c r="L31" s="142" t="s">
        <v>603</v>
      </c>
      <c r="M31" s="1" t="s">
        <v>610</v>
      </c>
      <c r="N31" s="1">
        <v>10</v>
      </c>
      <c r="P31" t="s">
        <v>11596</v>
      </c>
      <c r="S31" s="1"/>
      <c r="U31" s="1"/>
      <c r="V31" s="1"/>
    </row>
    <row r="32" spans="1:22">
      <c r="A32" s="2425">
        <v>2</v>
      </c>
      <c r="B32" s="2" t="s">
        <v>454</v>
      </c>
      <c r="C32" s="2" t="s">
        <v>270</v>
      </c>
      <c r="D32" s="2"/>
      <c r="E32" s="2" t="s">
        <v>569</v>
      </c>
      <c r="F32" s="2"/>
      <c r="G32" s="2">
        <f>MATCH(Таблиця1[[#This Row],[House]],Таблиця4[name],0)</f>
        <v>177</v>
      </c>
      <c r="H32" s="2">
        <v>3</v>
      </c>
      <c r="I32" s="2">
        <v>5</v>
      </c>
      <c r="J32" s="2">
        <v>5</v>
      </c>
      <c r="L32" s="142" t="s">
        <v>603</v>
      </c>
      <c r="M32" s="1" t="s">
        <v>18</v>
      </c>
      <c r="N32" s="1">
        <v>10</v>
      </c>
      <c r="P32" t="s">
        <v>11597</v>
      </c>
      <c r="S32" s="1"/>
      <c r="U32" s="1"/>
      <c r="V32" s="1"/>
    </row>
    <row r="33" spans="1:22">
      <c r="A33" s="2425">
        <v>2</v>
      </c>
      <c r="B33" s="2" t="s">
        <v>394</v>
      </c>
      <c r="C33" s="2" t="s">
        <v>393</v>
      </c>
      <c r="D33" s="2"/>
      <c r="E33" s="2" t="s">
        <v>570</v>
      </c>
      <c r="F33" s="2"/>
      <c r="G33" s="2">
        <f>MATCH(Таблиця1[[#This Row],[House]],Таблиця4[name],0)</f>
        <v>178</v>
      </c>
      <c r="H33" s="2">
        <v>2</v>
      </c>
      <c r="I33" s="2">
        <v>3</v>
      </c>
      <c r="J33" s="2">
        <v>3</v>
      </c>
      <c r="L33" s="142" t="s">
        <v>603</v>
      </c>
      <c r="M33" s="1" t="s">
        <v>611</v>
      </c>
      <c r="N33" s="1">
        <v>10</v>
      </c>
      <c r="P33" t="s">
        <v>11598</v>
      </c>
      <c r="S33" s="1"/>
      <c r="U33" s="1"/>
      <c r="V33" s="1"/>
    </row>
    <row r="34" spans="1:22">
      <c r="A34" s="2425">
        <v>2</v>
      </c>
      <c r="B34" s="2" t="s">
        <v>457</v>
      </c>
      <c r="C34" s="2" t="s">
        <v>509</v>
      </c>
      <c r="D34" s="2"/>
      <c r="E34" s="2" t="s">
        <v>507</v>
      </c>
      <c r="F34" s="2"/>
      <c r="G34" s="2">
        <f>MATCH(Таблиця1[[#This Row],[House]],Таблиця4[name],0)</f>
        <v>135</v>
      </c>
      <c r="H34" s="2"/>
      <c r="I34" s="2"/>
      <c r="J34" s="2"/>
      <c r="L34" s="142" t="s">
        <v>603</v>
      </c>
      <c r="M34" s="1" t="s">
        <v>612</v>
      </c>
      <c r="N34" s="1">
        <v>10</v>
      </c>
      <c r="P34" t="s">
        <v>11599</v>
      </c>
      <c r="S34" s="1"/>
      <c r="U34" s="1"/>
      <c r="V34" s="1"/>
    </row>
    <row r="35" spans="1:22">
      <c r="A35" s="2425">
        <v>2</v>
      </c>
      <c r="B35" s="2" t="s">
        <v>458</v>
      </c>
      <c r="C35" s="2" t="s">
        <v>571</v>
      </c>
      <c r="D35" s="2"/>
      <c r="E35" s="2" t="s">
        <v>415</v>
      </c>
      <c r="F35" s="2"/>
      <c r="G35" s="2">
        <f>MATCH(Таблиця1[[#This Row],[House]],Таблиця4[name],0)</f>
        <v>11</v>
      </c>
      <c r="H35" s="2">
        <v>1</v>
      </c>
      <c r="I35" s="2">
        <v>1</v>
      </c>
      <c r="J35" s="2">
        <v>1</v>
      </c>
      <c r="L35" s="142" t="s">
        <v>603</v>
      </c>
      <c r="M35" s="1" t="s">
        <v>613</v>
      </c>
      <c r="N35" s="1">
        <v>10</v>
      </c>
      <c r="P35" t="s">
        <v>11600</v>
      </c>
      <c r="S35" s="1"/>
      <c r="U35" s="1"/>
      <c r="V35" s="1"/>
    </row>
    <row r="36" spans="1:22">
      <c r="A36" s="2425">
        <v>2</v>
      </c>
      <c r="B36" s="2" t="s">
        <v>459</v>
      </c>
      <c r="C36" s="2" t="s">
        <v>279</v>
      </c>
      <c r="D36" s="2"/>
      <c r="E36" s="2" t="s">
        <v>277</v>
      </c>
      <c r="F36" s="2"/>
      <c r="G36" s="2">
        <f>MATCH(Таблиця1[[#This Row],[House]],Таблиця4[name],0)</f>
        <v>181</v>
      </c>
      <c r="H36" s="2"/>
      <c r="I36" s="2"/>
      <c r="J36" s="2"/>
      <c r="L36" s="142" t="s">
        <v>603</v>
      </c>
      <c r="M36" s="1" t="s">
        <v>1654</v>
      </c>
      <c r="N36" s="1">
        <v>10</v>
      </c>
      <c r="P36" t="s">
        <v>11601</v>
      </c>
      <c r="S36" s="1"/>
      <c r="U36" s="1"/>
      <c r="V36" s="1"/>
    </row>
    <row r="37" spans="1:22">
      <c r="A37" s="2425">
        <v>2</v>
      </c>
      <c r="B37" s="2" t="s">
        <v>602</v>
      </c>
      <c r="C37" s="2" t="s">
        <v>572</v>
      </c>
      <c r="D37" s="2"/>
      <c r="E37" s="2" t="s">
        <v>573</v>
      </c>
      <c r="F37" s="2"/>
      <c r="G37" s="2">
        <f>MATCH(Таблиця1[[#This Row],[House]],Таблиця4[name],0)</f>
        <v>13</v>
      </c>
      <c r="H37" s="2">
        <v>1</v>
      </c>
      <c r="I37" s="2">
        <v>1</v>
      </c>
      <c r="J37" s="2">
        <v>1</v>
      </c>
      <c r="L37" s="142" t="s">
        <v>603</v>
      </c>
      <c r="M37" s="1" t="s">
        <v>14904</v>
      </c>
      <c r="N37" s="1">
        <v>10</v>
      </c>
      <c r="P37" t="s">
        <v>11602</v>
      </c>
      <c r="S37" s="1"/>
      <c r="U37" s="1"/>
      <c r="V37" s="1"/>
    </row>
    <row r="38" spans="1:22">
      <c r="A38" s="2425">
        <v>2</v>
      </c>
      <c r="B38" s="2" t="s">
        <v>241</v>
      </c>
      <c r="C38" s="2" t="s">
        <v>501</v>
      </c>
      <c r="D38" s="2"/>
      <c r="E38" s="2" t="s">
        <v>574</v>
      </c>
      <c r="F38" s="2"/>
      <c r="G38" s="2">
        <f>MATCH(Таблиця1[[#This Row],[House]],Таблиця4[name],0)</f>
        <v>182</v>
      </c>
      <c r="H38" s="2">
        <v>3</v>
      </c>
      <c r="I38" s="2">
        <v>3</v>
      </c>
      <c r="J38" s="2">
        <v>3</v>
      </c>
      <c r="L38" s="142" t="s">
        <v>603</v>
      </c>
      <c r="M38" s="1" t="s">
        <v>614</v>
      </c>
      <c r="N38" s="1">
        <v>10</v>
      </c>
      <c r="P38" t="s">
        <v>11603</v>
      </c>
      <c r="S38" s="1"/>
      <c r="U38" s="1"/>
      <c r="V38" s="1"/>
    </row>
    <row r="39" spans="1:22">
      <c r="A39" s="2425">
        <v>2</v>
      </c>
      <c r="B39" s="2" t="s">
        <v>265</v>
      </c>
      <c r="C39" s="2" t="s">
        <v>575</v>
      </c>
      <c r="D39" s="2"/>
      <c r="E39" s="2" t="s">
        <v>576</v>
      </c>
      <c r="F39" s="2"/>
      <c r="G39" s="2">
        <f>MATCH(Таблиця1[[#This Row],[House]],Таблиця4[name],0)</f>
        <v>14</v>
      </c>
      <c r="H39" s="2">
        <v>1</v>
      </c>
      <c r="I39" s="2">
        <v>1</v>
      </c>
      <c r="J39" s="2">
        <v>1</v>
      </c>
      <c r="L39" s="142" t="s">
        <v>603</v>
      </c>
      <c r="M39" s="1" t="s">
        <v>1655</v>
      </c>
      <c r="N39" s="1">
        <v>10</v>
      </c>
      <c r="P39" t="s">
        <v>11604</v>
      </c>
      <c r="S39" s="1"/>
      <c r="U39" s="1"/>
      <c r="V39" s="1"/>
    </row>
    <row r="40" spans="1:22">
      <c r="A40" s="2425">
        <v>2</v>
      </c>
      <c r="B40" s="2" t="s">
        <v>61</v>
      </c>
      <c r="C40" s="2" t="s">
        <v>577</v>
      </c>
      <c r="D40" s="2"/>
      <c r="E40" s="2" t="s">
        <v>578</v>
      </c>
      <c r="F40" s="2"/>
      <c r="G40" s="2">
        <f>MATCH(Таблиця1[[#This Row],[House]],Таблиця4[name],0)</f>
        <v>185</v>
      </c>
      <c r="H40" s="2">
        <v>4</v>
      </c>
      <c r="I40" s="2">
        <v>4</v>
      </c>
      <c r="J40" s="2">
        <v>5</v>
      </c>
      <c r="L40" s="142" t="s">
        <v>603</v>
      </c>
      <c r="M40" s="1" t="s">
        <v>615</v>
      </c>
      <c r="N40" s="1">
        <v>10</v>
      </c>
      <c r="P40" t="s">
        <v>11605</v>
      </c>
      <c r="S40" s="1"/>
      <c r="U40" s="1"/>
      <c r="V40" s="1"/>
    </row>
    <row r="41" spans="1:22">
      <c r="A41" s="2424" t="s">
        <v>579</v>
      </c>
      <c r="B41" s="2" t="s">
        <v>436</v>
      </c>
      <c r="C41" s="2" t="s">
        <v>54</v>
      </c>
      <c r="D41" s="2"/>
      <c r="E41" s="2" t="s">
        <v>52</v>
      </c>
      <c r="F41" s="2" t="s">
        <v>580</v>
      </c>
      <c r="G41" s="2">
        <f>MATCH(Таблиця1[[#This Row],[House]],Таблиця4[name],0)</f>
        <v>189</v>
      </c>
      <c r="H41" s="2">
        <v>4</v>
      </c>
      <c r="I41" s="2">
        <v>4</v>
      </c>
      <c r="J41" s="2">
        <v>2</v>
      </c>
      <c r="L41" s="142" t="s">
        <v>603</v>
      </c>
      <c r="M41" s="1" t="s">
        <v>1656</v>
      </c>
      <c r="N41" s="1">
        <v>10</v>
      </c>
      <c r="P41" t="s">
        <v>11606</v>
      </c>
      <c r="S41" s="1"/>
      <c r="U41" s="1"/>
      <c r="V41" s="1"/>
    </row>
    <row r="42" spans="1:22">
      <c r="A42" s="2424" t="s">
        <v>579</v>
      </c>
      <c r="B42" s="2" t="s">
        <v>86</v>
      </c>
      <c r="C42" s="2" t="s">
        <v>215</v>
      </c>
      <c r="D42" s="2"/>
      <c r="E42" s="2" t="s">
        <v>581</v>
      </c>
      <c r="F42" s="2"/>
      <c r="G42" s="2">
        <f>MATCH(Таблиця1[[#This Row],[House]],Таблиця4[name],0)</f>
        <v>26</v>
      </c>
      <c r="H42" s="2">
        <v>2</v>
      </c>
      <c r="I42" s="2">
        <v>3</v>
      </c>
      <c r="J42" s="2">
        <v>3</v>
      </c>
      <c r="L42" s="142" t="s">
        <v>603</v>
      </c>
      <c r="M42" s="1" t="s">
        <v>1657</v>
      </c>
      <c r="N42" s="1">
        <v>10</v>
      </c>
      <c r="P42" t="s">
        <v>11607</v>
      </c>
      <c r="S42" s="1"/>
      <c r="U42" s="1"/>
      <c r="V42" s="1"/>
    </row>
    <row r="43" spans="1:22">
      <c r="A43" s="2424" t="s">
        <v>579</v>
      </c>
      <c r="B43" s="2" t="s">
        <v>362</v>
      </c>
      <c r="C43" s="2" t="s">
        <v>360</v>
      </c>
      <c r="D43" s="2"/>
      <c r="E43" s="2" t="s">
        <v>582</v>
      </c>
      <c r="F43" s="2"/>
      <c r="G43" s="2">
        <f>MATCH(Таблиця1[[#This Row],[House]],Таблиця4[name],0)</f>
        <v>158</v>
      </c>
      <c r="H43" s="2">
        <v>3</v>
      </c>
      <c r="I43" s="2">
        <v>3</v>
      </c>
      <c r="J43" s="2">
        <v>3</v>
      </c>
      <c r="L43" s="142" t="s">
        <v>603</v>
      </c>
      <c r="M43" s="1" t="s">
        <v>1658</v>
      </c>
      <c r="N43" s="1">
        <v>10</v>
      </c>
      <c r="P43" t="s">
        <v>11608</v>
      </c>
      <c r="S43" s="1"/>
      <c r="U43" s="1"/>
      <c r="V43" s="1"/>
    </row>
    <row r="44" spans="1:22">
      <c r="A44" s="2424" t="s">
        <v>579</v>
      </c>
      <c r="B44" s="2" t="s">
        <v>440</v>
      </c>
      <c r="C44" s="2" t="s">
        <v>226</v>
      </c>
      <c r="D44" s="2"/>
      <c r="E44" s="2" t="s">
        <v>224</v>
      </c>
      <c r="F44" s="2"/>
      <c r="G44" s="2">
        <f>MATCH(Таблиця1[[#This Row],[House]],Таблиця4[name],0)</f>
        <v>159</v>
      </c>
      <c r="H44" s="2">
        <v>3</v>
      </c>
      <c r="I44" s="2">
        <v>3</v>
      </c>
      <c r="J44" s="2">
        <v>4</v>
      </c>
      <c r="L44" s="142" t="s">
        <v>603</v>
      </c>
      <c r="M44" s="1" t="s">
        <v>616</v>
      </c>
      <c r="N44" s="1">
        <v>10</v>
      </c>
      <c r="P44" t="s">
        <v>11609</v>
      </c>
      <c r="S44" s="1"/>
      <c r="U44" s="1"/>
      <c r="V44" s="1"/>
    </row>
    <row r="45" spans="1:22">
      <c r="A45" s="2424" t="s">
        <v>579</v>
      </c>
      <c r="B45" s="2" t="s">
        <v>163</v>
      </c>
      <c r="C45" s="2" t="s">
        <v>161</v>
      </c>
      <c r="D45" s="2"/>
      <c r="E45" s="2" t="s">
        <v>159</v>
      </c>
      <c r="F45" s="2" t="s">
        <v>583</v>
      </c>
      <c r="G45" s="2">
        <f>MATCH(Таблиця1[[#This Row],[House]],Таблиця4[name],0)</f>
        <v>160</v>
      </c>
      <c r="H45" s="2">
        <v>2</v>
      </c>
      <c r="I45" s="2">
        <v>4</v>
      </c>
      <c r="J45" s="2">
        <v>2</v>
      </c>
      <c r="L45" s="142" t="s">
        <v>603</v>
      </c>
      <c r="M45" s="1" t="s">
        <v>49</v>
      </c>
      <c r="N45" s="1">
        <v>10</v>
      </c>
      <c r="P45" t="s">
        <v>11610</v>
      </c>
      <c r="S45" s="1"/>
      <c r="U45" s="1"/>
      <c r="V45" s="1"/>
    </row>
    <row r="46" spans="1:22">
      <c r="A46" s="2424" t="s">
        <v>579</v>
      </c>
      <c r="B46" s="2" t="s">
        <v>442</v>
      </c>
      <c r="C46" s="2" t="s">
        <v>584</v>
      </c>
      <c r="D46" s="2"/>
      <c r="E46" s="2" t="s">
        <v>585</v>
      </c>
      <c r="F46" s="2"/>
      <c r="G46" s="2">
        <f>MATCH(Таблиця1[[#This Row],[House]],Таблиця4[name],0)</f>
        <v>162</v>
      </c>
      <c r="H46" s="2">
        <v>2</v>
      </c>
      <c r="I46" s="2">
        <v>2</v>
      </c>
      <c r="J46" s="2">
        <v>2</v>
      </c>
      <c r="L46" s="142" t="s">
        <v>603</v>
      </c>
      <c r="M46" s="1" t="s">
        <v>617</v>
      </c>
      <c r="N46" s="1">
        <v>10</v>
      </c>
      <c r="P46" t="s">
        <v>11611</v>
      </c>
      <c r="S46" s="1"/>
      <c r="U46" s="1"/>
      <c r="V46" s="1"/>
    </row>
    <row r="47" spans="1:22">
      <c r="A47" s="2424" t="s">
        <v>579</v>
      </c>
      <c r="B47" s="2" t="s">
        <v>411</v>
      </c>
      <c r="C47" s="2" t="s">
        <v>586</v>
      </c>
      <c r="D47" s="2"/>
      <c r="E47" s="2" t="s">
        <v>587</v>
      </c>
      <c r="F47" s="2"/>
      <c r="G47" s="2">
        <f>MATCH(Таблиця1[[#This Row],[House]],Таблиця4[name],0)</f>
        <v>163</v>
      </c>
      <c r="H47" s="2">
        <v>1</v>
      </c>
      <c r="I47" s="2">
        <v>1</v>
      </c>
      <c r="J47" s="2">
        <v>2</v>
      </c>
      <c r="L47" s="142" t="s">
        <v>603</v>
      </c>
      <c r="M47" s="1" t="s">
        <v>1659</v>
      </c>
      <c r="N47" s="1">
        <v>10</v>
      </c>
      <c r="P47" t="s">
        <v>11612</v>
      </c>
      <c r="S47" s="1"/>
      <c r="U47" s="1"/>
      <c r="V47" s="1"/>
    </row>
    <row r="48" spans="1:22">
      <c r="A48" s="2424" t="s">
        <v>579</v>
      </c>
      <c r="B48" s="2" t="s">
        <v>188</v>
      </c>
      <c r="C48" s="2" t="s">
        <v>186</v>
      </c>
      <c r="D48" s="2"/>
      <c r="E48" s="2" t="s">
        <v>184</v>
      </c>
      <c r="F48" s="2"/>
      <c r="G48" s="2">
        <f>MATCH(Таблиця1[[#This Row],[House]],Таблиця4[name],0)</f>
        <v>166</v>
      </c>
      <c r="H48" s="2">
        <v>1</v>
      </c>
      <c r="I48" s="2">
        <v>1</v>
      </c>
      <c r="J48" s="2">
        <v>2</v>
      </c>
      <c r="L48" s="142" t="s">
        <v>603</v>
      </c>
      <c r="M48" s="1" t="s">
        <v>618</v>
      </c>
      <c r="N48" s="1">
        <v>10</v>
      </c>
      <c r="P48" t="s">
        <v>11613</v>
      </c>
      <c r="S48" s="1"/>
      <c r="U48" s="1"/>
      <c r="V48" s="1"/>
    </row>
    <row r="49" spans="1:22">
      <c r="A49" s="2424" t="s">
        <v>579</v>
      </c>
      <c r="B49" s="2" t="s">
        <v>316</v>
      </c>
      <c r="C49" s="2" t="s">
        <v>309</v>
      </c>
      <c r="D49" s="2"/>
      <c r="E49" s="2" t="s">
        <v>307</v>
      </c>
      <c r="F49" s="2"/>
      <c r="G49" s="2">
        <f>MATCH(Таблиця1[[#This Row],[House]],Таблиця4[name],0)</f>
        <v>168</v>
      </c>
      <c r="H49" s="2">
        <v>3</v>
      </c>
      <c r="I49" s="2">
        <v>4</v>
      </c>
      <c r="J49" s="2">
        <v>5</v>
      </c>
      <c r="L49" s="142" t="s">
        <v>603</v>
      </c>
      <c r="M49" s="1" t="s">
        <v>1660</v>
      </c>
      <c r="N49" s="1">
        <v>10</v>
      </c>
      <c r="P49" t="s">
        <v>11614</v>
      </c>
      <c r="S49" s="1"/>
      <c r="U49" s="1"/>
      <c r="V49" s="1"/>
    </row>
    <row r="50" spans="1:22">
      <c r="A50" s="2424" t="s">
        <v>579</v>
      </c>
      <c r="B50" s="2" t="s">
        <v>446</v>
      </c>
      <c r="C50" s="2" t="s">
        <v>475</v>
      </c>
      <c r="D50" s="2"/>
      <c r="E50" s="2" t="s">
        <v>473</v>
      </c>
      <c r="F50" s="2"/>
      <c r="G50" s="2">
        <f>MATCH(Таблиця1[[#This Row],[House]],Таблиця4[name],0)</f>
        <v>169</v>
      </c>
      <c r="H50" s="2">
        <v>3</v>
      </c>
      <c r="I50" s="2">
        <v>3</v>
      </c>
      <c r="J50" s="2">
        <v>4</v>
      </c>
      <c r="L50" s="142" t="s">
        <v>603</v>
      </c>
      <c r="M50" s="1" t="s">
        <v>619</v>
      </c>
      <c r="N50" s="1">
        <v>10</v>
      </c>
      <c r="P50" t="s">
        <v>11615</v>
      </c>
      <c r="S50" s="1"/>
      <c r="U50" s="1"/>
      <c r="V50" s="1"/>
    </row>
    <row r="51" spans="1:22">
      <c r="A51" s="2424" t="s">
        <v>579</v>
      </c>
      <c r="B51" s="2" t="s">
        <v>67</v>
      </c>
      <c r="C51" s="2" t="s">
        <v>66</v>
      </c>
      <c r="D51" s="2"/>
      <c r="E51" s="2" t="s">
        <v>588</v>
      </c>
      <c r="F51" s="2"/>
      <c r="G51" s="2">
        <f>MATCH(Таблиця1[[#This Row],[House]],Таблиця4[name],0)</f>
        <v>170</v>
      </c>
      <c r="H51" s="2">
        <v>3</v>
      </c>
      <c r="I51" s="2">
        <v>3</v>
      </c>
      <c r="J51" s="2">
        <v>3</v>
      </c>
      <c r="L51" s="142" t="s">
        <v>603</v>
      </c>
      <c r="M51" s="1" t="s">
        <v>620</v>
      </c>
      <c r="N51" s="1">
        <v>10</v>
      </c>
      <c r="P51" t="s">
        <v>11616</v>
      </c>
      <c r="S51" s="1"/>
      <c r="U51" s="1"/>
      <c r="V51" s="1"/>
    </row>
    <row r="52" spans="1:22">
      <c r="A52" s="2424" t="s">
        <v>579</v>
      </c>
      <c r="B52" s="2" t="s">
        <v>17</v>
      </c>
      <c r="C52" s="2" t="s">
        <v>589</v>
      </c>
      <c r="D52" s="2"/>
      <c r="E52" s="2" t="s">
        <v>590</v>
      </c>
      <c r="F52" s="2"/>
      <c r="G52" s="2">
        <f>MATCH(Таблиця1[[#This Row],[House]],Таблиця4[name],0)</f>
        <v>171</v>
      </c>
      <c r="H52" s="2">
        <v>3</v>
      </c>
      <c r="I52" s="2">
        <v>3</v>
      </c>
      <c r="J52" s="2">
        <v>4</v>
      </c>
      <c r="L52" s="142" t="s">
        <v>603</v>
      </c>
      <c r="M52" s="1" t="s">
        <v>621</v>
      </c>
      <c r="N52" s="1">
        <v>10</v>
      </c>
      <c r="P52" t="s">
        <v>11617</v>
      </c>
      <c r="S52" s="1"/>
      <c r="U52" s="1"/>
      <c r="V52" s="1"/>
    </row>
    <row r="53" spans="1:22">
      <c r="A53" s="2424" t="s">
        <v>579</v>
      </c>
      <c r="B53" s="2" t="s">
        <v>122</v>
      </c>
      <c r="C53" s="2" t="s">
        <v>123</v>
      </c>
      <c r="D53" s="2"/>
      <c r="E53" s="2" t="s">
        <v>561</v>
      </c>
      <c r="F53" s="2"/>
      <c r="G53" s="2">
        <f>MATCH(Таблиця1[[#This Row],[House]],Таблиця4[name],0)</f>
        <v>173</v>
      </c>
      <c r="H53" s="2">
        <v>5</v>
      </c>
      <c r="I53" s="2">
        <v>4</v>
      </c>
      <c r="J53" s="2">
        <v>5</v>
      </c>
      <c r="L53" s="142" t="s">
        <v>603</v>
      </c>
      <c r="M53" s="1" t="s">
        <v>1662</v>
      </c>
      <c r="N53" s="1">
        <v>10</v>
      </c>
      <c r="P53" t="s">
        <v>11618</v>
      </c>
      <c r="S53" s="1"/>
      <c r="U53" s="1"/>
      <c r="V53" s="1"/>
    </row>
    <row r="54" spans="1:22">
      <c r="A54" s="2424" t="s">
        <v>579</v>
      </c>
      <c r="B54" s="2" t="s">
        <v>25</v>
      </c>
      <c r="C54" s="2" t="s">
        <v>591</v>
      </c>
      <c r="D54" s="2"/>
      <c r="E54" s="2" t="s">
        <v>592</v>
      </c>
      <c r="F54" s="2"/>
      <c r="G54" s="2">
        <f>MATCH(Таблиця1[[#This Row],[House]],Таблиця4[name],0)</f>
        <v>119</v>
      </c>
      <c r="H54" s="2">
        <v>5</v>
      </c>
      <c r="I54" s="2">
        <v>4</v>
      </c>
      <c r="J54" s="2">
        <v>5</v>
      </c>
      <c r="L54" s="142" t="s">
        <v>603</v>
      </c>
      <c r="M54" s="1" t="s">
        <v>1724</v>
      </c>
      <c r="N54" s="1">
        <v>10</v>
      </c>
      <c r="P54" t="s">
        <v>11619</v>
      </c>
      <c r="S54" s="1"/>
      <c r="U54" s="1"/>
      <c r="V54" s="1"/>
    </row>
    <row r="55" spans="1:22">
      <c r="A55" s="2424" t="s">
        <v>579</v>
      </c>
      <c r="B55" s="2" t="s">
        <v>379</v>
      </c>
      <c r="C55" s="2" t="s">
        <v>376</v>
      </c>
      <c r="D55" s="2"/>
      <c r="E55" s="2" t="s">
        <v>593</v>
      </c>
      <c r="F55" s="2"/>
      <c r="G55" s="2">
        <f>MATCH(Таблиця1[[#This Row],[House]],Таблиця4[name],0)</f>
        <v>175</v>
      </c>
      <c r="H55" s="2">
        <v>3</v>
      </c>
      <c r="I55" s="2">
        <v>4</v>
      </c>
      <c r="J55" s="2">
        <v>5</v>
      </c>
      <c r="L55" s="142" t="s">
        <v>603</v>
      </c>
      <c r="M55" s="1" t="s">
        <v>622</v>
      </c>
      <c r="N55" s="1">
        <v>10</v>
      </c>
      <c r="S55" s="1"/>
      <c r="U55" s="1"/>
      <c r="V55" s="1"/>
    </row>
    <row r="56" spans="1:22">
      <c r="A56" s="2424" t="s">
        <v>579</v>
      </c>
      <c r="B56" s="2" t="s">
        <v>453</v>
      </c>
      <c r="C56" s="2" t="s">
        <v>491</v>
      </c>
      <c r="D56" s="2"/>
      <c r="E56" s="2" t="s">
        <v>594</v>
      </c>
      <c r="F56" s="2"/>
      <c r="G56" s="2">
        <f>MATCH(Таблиця1[[#This Row],[House]],Таблиця4[name],0)</f>
        <v>176</v>
      </c>
      <c r="H56" s="2">
        <v>4</v>
      </c>
      <c r="I56" s="2">
        <v>3</v>
      </c>
      <c r="J56" s="2">
        <v>4</v>
      </c>
      <c r="L56" s="142" t="s">
        <v>603</v>
      </c>
      <c r="M56" s="1" t="s">
        <v>1663</v>
      </c>
      <c r="N56" s="1">
        <v>10</v>
      </c>
      <c r="P56" t="s">
        <v>11620</v>
      </c>
      <c r="S56" s="1"/>
      <c r="U56" s="1"/>
      <c r="V56" s="1"/>
    </row>
    <row r="57" spans="1:22">
      <c r="A57" s="2424" t="s">
        <v>579</v>
      </c>
      <c r="B57" s="2" t="s">
        <v>455</v>
      </c>
      <c r="C57" s="2" t="s">
        <v>319</v>
      </c>
      <c r="D57" s="2"/>
      <c r="E57" s="2" t="s">
        <v>307</v>
      </c>
      <c r="F57" s="2"/>
      <c r="G57" s="2">
        <f>MATCH(Таблиця1[[#This Row],[House]],Таблиця4[name],0)</f>
        <v>134</v>
      </c>
      <c r="H57" s="2">
        <v>2</v>
      </c>
      <c r="I57" s="2">
        <v>2</v>
      </c>
      <c r="J57" s="2">
        <v>1</v>
      </c>
      <c r="L57" s="142" t="s">
        <v>603</v>
      </c>
      <c r="M57" s="1" t="s">
        <v>1664</v>
      </c>
      <c r="N57" s="1">
        <v>10</v>
      </c>
      <c r="P57" t="s">
        <v>11621</v>
      </c>
      <c r="S57" s="1"/>
      <c r="U57" s="1"/>
      <c r="V57" s="1"/>
    </row>
    <row r="58" spans="1:22">
      <c r="A58" s="2424" t="s">
        <v>579</v>
      </c>
      <c r="B58" s="2" t="s">
        <v>456</v>
      </c>
      <c r="C58" s="2" t="s">
        <v>595</v>
      </c>
      <c r="D58" s="2"/>
      <c r="E58" s="2" t="s">
        <v>415</v>
      </c>
      <c r="F58" s="2"/>
      <c r="G58" s="2">
        <f>MATCH(Таблиця1[[#This Row],[House]],Таблиця4[name],0)</f>
        <v>179</v>
      </c>
      <c r="H58" s="2">
        <v>1</v>
      </c>
      <c r="I58" s="2">
        <v>2</v>
      </c>
      <c r="J58" s="2">
        <v>2</v>
      </c>
      <c r="L58" s="142" t="s">
        <v>603</v>
      </c>
      <c r="M58" s="1" t="s">
        <v>623</v>
      </c>
      <c r="N58" s="1">
        <v>10</v>
      </c>
      <c r="P58" t="s">
        <v>11622</v>
      </c>
      <c r="S58" s="1"/>
      <c r="U58" s="1"/>
      <c r="V58" s="1"/>
    </row>
    <row r="59" spans="1:22">
      <c r="A59" s="2424" t="s">
        <v>579</v>
      </c>
      <c r="B59" s="2" t="s">
        <v>258</v>
      </c>
      <c r="C59" s="2" t="s">
        <v>257</v>
      </c>
      <c r="D59" s="2"/>
      <c r="E59" s="2" t="s">
        <v>255</v>
      </c>
      <c r="F59" s="2"/>
      <c r="G59" s="2">
        <f>MATCH(Таблиця1[[#This Row],[House]],Таблиця4[name],0)</f>
        <v>180</v>
      </c>
      <c r="H59" s="2">
        <v>4</v>
      </c>
      <c r="I59" s="2">
        <v>3</v>
      </c>
      <c r="J59" s="2">
        <v>4</v>
      </c>
      <c r="L59" s="142" t="s">
        <v>603</v>
      </c>
      <c r="M59" s="1" t="s">
        <v>1665</v>
      </c>
      <c r="N59" s="1">
        <v>10</v>
      </c>
      <c r="P59" t="s">
        <v>11623</v>
      </c>
      <c r="S59" s="1"/>
      <c r="U59" s="1"/>
      <c r="V59" s="1"/>
    </row>
    <row r="60" spans="1:22">
      <c r="A60" s="2424" t="s">
        <v>579</v>
      </c>
      <c r="B60" s="2" t="s">
        <v>156</v>
      </c>
      <c r="C60" s="2" t="s">
        <v>152</v>
      </c>
      <c r="D60" s="2"/>
      <c r="E60" s="2" t="s">
        <v>150</v>
      </c>
      <c r="F60" s="2"/>
      <c r="G60" s="2">
        <f>MATCH(Таблиця1[[#This Row],[House]],Таблиця4[name],0)</f>
        <v>183</v>
      </c>
      <c r="H60" s="2">
        <v>3</v>
      </c>
      <c r="I60" s="2">
        <v>3</v>
      </c>
      <c r="J60" s="2">
        <v>4</v>
      </c>
      <c r="L60" s="142" t="s">
        <v>603</v>
      </c>
      <c r="M60" s="1" t="s">
        <v>1666</v>
      </c>
      <c r="N60" s="1">
        <v>10</v>
      </c>
      <c r="P60" t="s">
        <v>11624</v>
      </c>
      <c r="S60" s="1"/>
      <c r="U60" s="1"/>
      <c r="V60" s="1"/>
    </row>
    <row r="61" spans="1:22">
      <c r="A61" s="2424" t="s">
        <v>579</v>
      </c>
      <c r="B61" s="2" t="s">
        <v>460</v>
      </c>
      <c r="C61" s="2" t="s">
        <v>482</v>
      </c>
      <c r="D61" s="2"/>
      <c r="E61" s="2" t="s">
        <v>481</v>
      </c>
      <c r="F61" s="2"/>
      <c r="G61" s="2">
        <f>MATCH(Таблиця1[[#This Row],[House]],Таблиця4[name],0)</f>
        <v>184</v>
      </c>
      <c r="H61" s="2">
        <v>3</v>
      </c>
      <c r="I61" s="2">
        <v>3</v>
      </c>
      <c r="J61" s="2">
        <v>4</v>
      </c>
      <c r="L61" s="142" t="s">
        <v>603</v>
      </c>
      <c r="M61" s="1" t="s">
        <v>624</v>
      </c>
      <c r="N61" s="1">
        <v>10</v>
      </c>
      <c r="P61" t="s">
        <v>11625</v>
      </c>
      <c r="S61" s="1"/>
      <c r="U61" s="1"/>
      <c r="V61" s="1"/>
    </row>
    <row r="62" spans="1:22">
      <c r="A62" s="2"/>
      <c r="B62" s="2"/>
      <c r="C62" s="2"/>
      <c r="D62" s="2"/>
      <c r="E62" s="2"/>
      <c r="F62" s="2"/>
      <c r="G62" s="2" t="e">
        <f>MATCH(Таблиця1[[#This Row],[House]],Таблиця4[name],0)</f>
        <v>#N/A</v>
      </c>
      <c r="H62" s="2"/>
      <c r="I62" s="2"/>
      <c r="J62" s="2"/>
      <c r="L62" s="142" t="s">
        <v>603</v>
      </c>
      <c r="M62" s="1" t="s">
        <v>1667</v>
      </c>
      <c r="N62" s="1">
        <v>10</v>
      </c>
      <c r="P62" t="s">
        <v>11626</v>
      </c>
      <c r="S62" s="1"/>
      <c r="U62" s="1"/>
      <c r="V62" s="1"/>
    </row>
    <row r="63" spans="1:22">
      <c r="L63" s="142" t="s">
        <v>603</v>
      </c>
      <c r="M63" s="1" t="s">
        <v>435</v>
      </c>
      <c r="N63" s="1">
        <v>10</v>
      </c>
      <c r="P63" t="s">
        <v>11627</v>
      </c>
      <c r="S63" s="1"/>
      <c r="U63" s="1"/>
      <c r="V63" s="1"/>
    </row>
    <row r="64" spans="1:22">
      <c r="L64" s="142" t="s">
        <v>603</v>
      </c>
      <c r="M64" s="1" t="s">
        <v>625</v>
      </c>
      <c r="N64" s="1">
        <v>10</v>
      </c>
      <c r="P64" t="s">
        <v>11628</v>
      </c>
      <c r="S64" s="1"/>
      <c r="U64" s="1"/>
      <c r="V64" s="1"/>
    </row>
    <row r="65" spans="12:22">
      <c r="L65" s="142" t="s">
        <v>603</v>
      </c>
      <c r="M65" s="1" t="s">
        <v>626</v>
      </c>
      <c r="N65" s="1">
        <v>10</v>
      </c>
      <c r="P65" t="s">
        <v>11629</v>
      </c>
      <c r="S65" s="1"/>
      <c r="U65" s="1"/>
      <c r="V65" s="1"/>
    </row>
    <row r="66" spans="12:22">
      <c r="L66" s="142" t="s">
        <v>603</v>
      </c>
      <c r="M66" s="1" t="s">
        <v>627</v>
      </c>
      <c r="N66" s="1">
        <v>10</v>
      </c>
      <c r="P66" t="s">
        <v>11630</v>
      </c>
      <c r="S66" s="1"/>
      <c r="U66" s="1"/>
      <c r="V66" s="1"/>
    </row>
    <row r="67" spans="12:22">
      <c r="L67" s="142" t="s">
        <v>603</v>
      </c>
      <c r="M67" s="1" t="s">
        <v>628</v>
      </c>
      <c r="N67" s="1">
        <v>10</v>
      </c>
      <c r="P67" t="s">
        <v>11631</v>
      </c>
      <c r="S67" s="1"/>
      <c r="U67" s="1"/>
      <c r="V67" s="1"/>
    </row>
    <row r="68" spans="12:22">
      <c r="L68" s="142" t="s">
        <v>603</v>
      </c>
      <c r="M68" s="1" t="s">
        <v>629</v>
      </c>
      <c r="N68" s="1">
        <v>10</v>
      </c>
      <c r="P68" t="s">
        <v>11632</v>
      </c>
      <c r="S68" s="1"/>
      <c r="U68" s="1"/>
      <c r="V68" s="1"/>
    </row>
    <row r="69" spans="12:22">
      <c r="L69" s="142" t="s">
        <v>603</v>
      </c>
      <c r="M69" s="1" t="s">
        <v>630</v>
      </c>
      <c r="N69" s="1">
        <v>10</v>
      </c>
      <c r="P69" t="s">
        <v>11633</v>
      </c>
      <c r="S69" s="1"/>
      <c r="U69" s="1"/>
      <c r="V69" s="1"/>
    </row>
    <row r="70" spans="12:22">
      <c r="L70" s="142" t="s">
        <v>603</v>
      </c>
      <c r="M70" s="1" t="s">
        <v>1669</v>
      </c>
      <c r="N70" s="1">
        <v>10</v>
      </c>
      <c r="P70" t="s">
        <v>11634</v>
      </c>
      <c r="S70" s="1"/>
      <c r="U70" s="1"/>
      <c r="V70" s="1"/>
    </row>
    <row r="71" spans="12:22">
      <c r="L71" s="142" t="s">
        <v>603</v>
      </c>
      <c r="M71" s="1" t="s">
        <v>1715</v>
      </c>
      <c r="N71" s="1">
        <v>10</v>
      </c>
      <c r="P71" t="s">
        <v>11635</v>
      </c>
      <c r="S71" s="1"/>
      <c r="U71" s="1"/>
      <c r="V71" s="1"/>
    </row>
    <row r="72" spans="12:22">
      <c r="L72" s="142" t="s">
        <v>603</v>
      </c>
      <c r="M72" s="1" t="s">
        <v>193</v>
      </c>
      <c r="N72" s="1">
        <v>10</v>
      </c>
      <c r="P72" t="s">
        <v>11636</v>
      </c>
      <c r="S72" s="1"/>
      <c r="U72" s="1"/>
      <c r="V72" s="1"/>
    </row>
    <row r="73" spans="12:22">
      <c r="L73" s="142" t="s">
        <v>603</v>
      </c>
      <c r="M73" s="1" t="s">
        <v>439</v>
      </c>
      <c r="N73" s="1">
        <v>10</v>
      </c>
      <c r="P73" t="s">
        <v>11637</v>
      </c>
      <c r="S73" s="1"/>
      <c r="U73" s="1"/>
      <c r="V73" s="1"/>
    </row>
    <row r="74" spans="12:22">
      <c r="L74" s="142" t="s">
        <v>603</v>
      </c>
      <c r="M74" s="1" t="s">
        <v>1670</v>
      </c>
      <c r="N74" s="1">
        <v>10</v>
      </c>
      <c r="P74" t="s">
        <v>11638</v>
      </c>
      <c r="S74" s="1"/>
      <c r="U74" s="1"/>
      <c r="V74" s="1"/>
    </row>
    <row r="75" spans="12:22">
      <c r="L75" s="142" t="s">
        <v>603</v>
      </c>
      <c r="M75" s="1" t="s">
        <v>1716</v>
      </c>
      <c r="N75" s="1">
        <v>10</v>
      </c>
      <c r="P75" t="s">
        <v>11639</v>
      </c>
      <c r="S75" s="1"/>
      <c r="U75" s="1"/>
      <c r="V75" s="1"/>
    </row>
    <row r="76" spans="12:22">
      <c r="L76" s="142" t="s">
        <v>603</v>
      </c>
      <c r="M76" s="1" t="s">
        <v>14905</v>
      </c>
      <c r="N76" s="1">
        <v>10</v>
      </c>
      <c r="P76" t="s">
        <v>11640</v>
      </c>
      <c r="S76" s="1"/>
      <c r="U76" s="1"/>
      <c r="V76" s="1"/>
    </row>
    <row r="77" spans="12:22">
      <c r="L77" s="142" t="s">
        <v>603</v>
      </c>
      <c r="M77" s="1" t="s">
        <v>1671</v>
      </c>
      <c r="N77" s="1">
        <v>10</v>
      </c>
      <c r="P77" t="s">
        <v>11641</v>
      </c>
      <c r="S77" s="1"/>
      <c r="U77" s="1"/>
      <c r="V77" s="1"/>
    </row>
    <row r="78" spans="12:22">
      <c r="L78" s="142" t="s">
        <v>603</v>
      </c>
      <c r="M78" s="1" t="s">
        <v>1672</v>
      </c>
      <c r="N78" s="1">
        <v>10</v>
      </c>
      <c r="P78" t="s">
        <v>11642</v>
      </c>
      <c r="S78" s="1"/>
      <c r="U78" s="1"/>
      <c r="V78" s="1"/>
    </row>
    <row r="79" spans="12:22">
      <c r="L79" s="142" t="s">
        <v>603</v>
      </c>
      <c r="M79" s="1" t="s">
        <v>1673</v>
      </c>
      <c r="N79" s="1">
        <v>10</v>
      </c>
      <c r="P79" t="s">
        <v>11643</v>
      </c>
      <c r="S79" s="1"/>
      <c r="U79" s="1"/>
      <c r="V79" s="1"/>
    </row>
    <row r="80" spans="12:22">
      <c r="L80" s="142" t="s">
        <v>603</v>
      </c>
      <c r="M80" s="1" t="s">
        <v>631</v>
      </c>
      <c r="N80" s="1">
        <v>10</v>
      </c>
      <c r="P80" t="s">
        <v>11644</v>
      </c>
      <c r="S80" s="1"/>
      <c r="U80" s="1"/>
      <c r="V80" s="1"/>
    </row>
    <row r="81" spans="12:22">
      <c r="L81" s="142" t="s">
        <v>603</v>
      </c>
      <c r="M81" s="1" t="s">
        <v>441</v>
      </c>
      <c r="N81" s="1">
        <v>10</v>
      </c>
      <c r="P81" t="s">
        <v>11645</v>
      </c>
      <c r="S81" s="1"/>
      <c r="U81" s="1"/>
      <c r="V81" s="1"/>
    </row>
    <row r="82" spans="12:22">
      <c r="L82" s="142" t="s">
        <v>603</v>
      </c>
      <c r="M82" s="1" t="s">
        <v>1674</v>
      </c>
      <c r="N82" s="1">
        <v>10</v>
      </c>
      <c r="P82" t="s">
        <v>11646</v>
      </c>
      <c r="S82" s="1"/>
      <c r="U82" s="1"/>
      <c r="V82" s="1"/>
    </row>
    <row r="83" spans="12:22">
      <c r="L83" s="142" t="s">
        <v>603</v>
      </c>
      <c r="M83" s="1" t="s">
        <v>1675</v>
      </c>
      <c r="N83" s="1">
        <v>10</v>
      </c>
      <c r="P83" t="s">
        <v>11647</v>
      </c>
      <c r="S83" s="1"/>
      <c r="U83" s="1"/>
      <c r="V83" s="1"/>
    </row>
    <row r="84" spans="12:22">
      <c r="L84" s="142" t="s">
        <v>603</v>
      </c>
      <c r="M84" s="1" t="s">
        <v>1676</v>
      </c>
      <c r="N84" s="1">
        <v>10</v>
      </c>
      <c r="P84" t="s">
        <v>11648</v>
      </c>
      <c r="S84" s="1"/>
      <c r="U84" s="1"/>
      <c r="V84" s="1"/>
    </row>
    <row r="85" spans="12:22">
      <c r="L85" s="142" t="s">
        <v>603</v>
      </c>
      <c r="M85" s="1" t="s">
        <v>1677</v>
      </c>
      <c r="N85" s="1">
        <v>10</v>
      </c>
      <c r="P85" t="s">
        <v>11649</v>
      </c>
      <c r="S85" s="1"/>
      <c r="U85" s="1"/>
      <c r="V85" s="1"/>
    </row>
    <row r="86" spans="12:22">
      <c r="L86" s="142" t="s">
        <v>603</v>
      </c>
      <c r="M86" s="1" t="s">
        <v>1678</v>
      </c>
      <c r="N86" s="1">
        <v>10</v>
      </c>
      <c r="P86" t="s">
        <v>11650</v>
      </c>
      <c r="S86" s="1"/>
      <c r="U86" s="1"/>
      <c r="V86" s="1"/>
    </row>
    <row r="87" spans="12:22">
      <c r="L87" s="142" t="s">
        <v>603</v>
      </c>
      <c r="M87" s="1" t="s">
        <v>1679</v>
      </c>
      <c r="N87" s="1">
        <v>10</v>
      </c>
      <c r="P87" t="s">
        <v>11651</v>
      </c>
      <c r="S87" s="1"/>
      <c r="U87" s="1"/>
      <c r="V87" s="1"/>
    </row>
    <row r="88" spans="12:22">
      <c r="L88" s="142" t="s">
        <v>603</v>
      </c>
      <c r="M88" s="1" t="s">
        <v>1680</v>
      </c>
      <c r="N88" s="1">
        <v>10</v>
      </c>
      <c r="P88" t="s">
        <v>11652</v>
      </c>
      <c r="S88" s="1"/>
      <c r="U88" s="1"/>
      <c r="V88" s="1"/>
    </row>
    <row r="89" spans="12:22">
      <c r="L89" s="142" t="s">
        <v>603</v>
      </c>
      <c r="M89" s="1" t="s">
        <v>88</v>
      </c>
      <c r="N89" s="1">
        <v>10</v>
      </c>
      <c r="P89" t="s">
        <v>11653</v>
      </c>
      <c r="S89" s="1"/>
      <c r="U89" s="1"/>
      <c r="V89" s="1"/>
    </row>
    <row r="90" spans="12:22">
      <c r="L90" s="142" t="s">
        <v>603</v>
      </c>
      <c r="M90" s="1" t="s">
        <v>1681</v>
      </c>
      <c r="N90" s="1">
        <v>10</v>
      </c>
      <c r="P90" t="s">
        <v>11654</v>
      </c>
      <c r="S90" s="1"/>
      <c r="U90" s="1"/>
      <c r="V90" s="1"/>
    </row>
    <row r="91" spans="12:22">
      <c r="L91" s="142" t="s">
        <v>603</v>
      </c>
      <c r="M91" s="1" t="s">
        <v>632</v>
      </c>
      <c r="N91" s="1">
        <v>10</v>
      </c>
      <c r="P91" t="s">
        <v>11655</v>
      </c>
      <c r="S91" s="1"/>
      <c r="U91" s="1"/>
      <c r="V91" s="1"/>
    </row>
    <row r="92" spans="12:22">
      <c r="L92" s="142" t="s">
        <v>603</v>
      </c>
      <c r="M92" s="1" t="s">
        <v>1682</v>
      </c>
      <c r="N92" s="1">
        <v>10</v>
      </c>
      <c r="P92" t="s">
        <v>11656</v>
      </c>
      <c r="S92" s="1"/>
      <c r="U92" s="1"/>
      <c r="V92" s="1"/>
    </row>
    <row r="93" spans="12:22">
      <c r="L93" s="142" t="s">
        <v>603</v>
      </c>
      <c r="M93" s="1" t="s">
        <v>1683</v>
      </c>
      <c r="N93" s="1">
        <v>10</v>
      </c>
      <c r="P93" t="s">
        <v>11657</v>
      </c>
      <c r="S93" s="1"/>
      <c r="U93" s="1"/>
      <c r="V93" s="1"/>
    </row>
    <row r="94" spans="12:22">
      <c r="L94" s="142" t="s">
        <v>603</v>
      </c>
      <c r="M94" s="1" t="s">
        <v>29</v>
      </c>
      <c r="N94" s="1">
        <v>10</v>
      </c>
      <c r="P94" t="s">
        <v>11658</v>
      </c>
      <c r="S94" s="1"/>
      <c r="U94" s="1"/>
      <c r="V94" s="1"/>
    </row>
    <row r="95" spans="12:22">
      <c r="L95" s="142" t="s">
        <v>603</v>
      </c>
      <c r="M95" s="1" t="s">
        <v>633</v>
      </c>
      <c r="N95" s="1">
        <v>10</v>
      </c>
      <c r="P95" t="s">
        <v>11659</v>
      </c>
      <c r="S95" s="1"/>
      <c r="U95" s="1"/>
      <c r="V95" s="1"/>
    </row>
    <row r="96" spans="12:22">
      <c r="L96" s="142" t="s">
        <v>603</v>
      </c>
      <c r="M96" s="1" t="s">
        <v>1684</v>
      </c>
      <c r="N96" s="1">
        <v>10</v>
      </c>
      <c r="P96" t="s">
        <v>11660</v>
      </c>
      <c r="S96" s="1"/>
      <c r="V96" s="1"/>
    </row>
    <row r="97" spans="12:21" ht="15">
      <c r="L97" s="142" t="s">
        <v>603</v>
      </c>
      <c r="M97" s="1" t="s">
        <v>634</v>
      </c>
      <c r="N97" s="1">
        <v>10</v>
      </c>
      <c r="P97" t="s">
        <v>11661</v>
      </c>
      <c r="T97" s="2604"/>
    </row>
    <row r="98" spans="12:21" ht="15">
      <c r="L98" s="142" t="s">
        <v>603</v>
      </c>
      <c r="M98" s="1" t="s">
        <v>635</v>
      </c>
      <c r="N98" s="1">
        <v>10</v>
      </c>
      <c r="P98" t="s">
        <v>11662</v>
      </c>
      <c r="T98" s="2604"/>
      <c r="U98" s="1"/>
    </row>
    <row r="99" spans="12:21" ht="15">
      <c r="L99" s="142" t="s">
        <v>603</v>
      </c>
      <c r="M99" s="1" t="s">
        <v>636</v>
      </c>
      <c r="N99" s="1">
        <v>10</v>
      </c>
      <c r="P99" t="s">
        <v>11663</v>
      </c>
      <c r="T99" s="2604"/>
      <c r="U99" s="1"/>
    </row>
    <row r="100" spans="12:21" ht="15">
      <c r="L100" s="142" t="s">
        <v>603</v>
      </c>
      <c r="M100" s="1" t="s">
        <v>1685</v>
      </c>
      <c r="N100" s="1">
        <v>10</v>
      </c>
      <c r="P100" t="s">
        <v>11664</v>
      </c>
      <c r="T100" s="2604"/>
      <c r="U100" s="2598"/>
    </row>
    <row r="101" spans="12:21" ht="15">
      <c r="L101" s="142" t="s">
        <v>603</v>
      </c>
      <c r="M101" s="1" t="s">
        <v>637</v>
      </c>
      <c r="N101" s="1">
        <v>10</v>
      </c>
      <c r="P101" t="s">
        <v>11665</v>
      </c>
      <c r="T101" s="3982"/>
      <c r="U101" s="3983"/>
    </row>
    <row r="102" spans="12:21" ht="15">
      <c r="L102" s="142" t="s">
        <v>603</v>
      </c>
      <c r="M102" s="1" t="s">
        <v>638</v>
      </c>
      <c r="N102" s="1">
        <v>10</v>
      </c>
      <c r="P102" t="s">
        <v>11666</v>
      </c>
      <c r="T102" s="3982"/>
      <c r="U102" s="3983"/>
    </row>
    <row r="103" spans="12:21" ht="15">
      <c r="L103" s="142" t="s">
        <v>603</v>
      </c>
      <c r="M103" s="1" t="s">
        <v>639</v>
      </c>
      <c r="N103" s="1">
        <v>10</v>
      </c>
      <c r="P103" t="s">
        <v>11667</v>
      </c>
      <c r="T103" s="3982"/>
      <c r="U103" s="3983"/>
    </row>
    <row r="104" spans="12:21" ht="15">
      <c r="L104" s="142" t="s">
        <v>603</v>
      </c>
      <c r="M104" s="1" t="s">
        <v>640</v>
      </c>
      <c r="N104" s="1">
        <v>10</v>
      </c>
      <c r="P104" t="s">
        <v>11668</v>
      </c>
      <c r="T104" s="3982"/>
      <c r="U104" s="3983"/>
    </row>
    <row r="105" spans="12:21" ht="15">
      <c r="L105" s="142" t="s">
        <v>603</v>
      </c>
      <c r="M105" s="1" t="s">
        <v>641</v>
      </c>
      <c r="N105" s="1">
        <v>10</v>
      </c>
      <c r="P105" t="s">
        <v>11669</v>
      </c>
      <c r="T105" s="3982"/>
      <c r="U105" s="3983"/>
    </row>
    <row r="106" spans="12:21" ht="15">
      <c r="L106" s="142" t="s">
        <v>603</v>
      </c>
      <c r="M106" s="1" t="s">
        <v>1686</v>
      </c>
      <c r="N106" s="1">
        <v>10</v>
      </c>
      <c r="P106" t="s">
        <v>11670</v>
      </c>
      <c r="T106" s="3982"/>
      <c r="U106" s="3983"/>
    </row>
    <row r="107" spans="12:21">
      <c r="L107" s="142" t="s">
        <v>603</v>
      </c>
      <c r="M107" s="1" t="s">
        <v>14687</v>
      </c>
      <c r="N107" s="1">
        <v>10</v>
      </c>
      <c r="P107" t="s">
        <v>11671</v>
      </c>
    </row>
    <row r="108" spans="12:21">
      <c r="L108" s="142" t="s">
        <v>603</v>
      </c>
      <c r="M108" s="1" t="s">
        <v>1687</v>
      </c>
      <c r="N108" s="1">
        <v>10</v>
      </c>
      <c r="P108" t="s">
        <v>11672</v>
      </c>
    </row>
    <row r="109" spans="12:21">
      <c r="L109" s="142" t="s">
        <v>603</v>
      </c>
      <c r="M109" s="1" t="s">
        <v>1717</v>
      </c>
      <c r="N109" s="1">
        <v>10</v>
      </c>
    </row>
    <row r="110" spans="12:21">
      <c r="L110" s="142" t="s">
        <v>603</v>
      </c>
      <c r="M110" s="1" t="s">
        <v>1688</v>
      </c>
      <c r="N110" s="1">
        <v>10</v>
      </c>
      <c r="P110" t="s">
        <v>11673</v>
      </c>
    </row>
    <row r="111" spans="12:21">
      <c r="L111" s="142" t="s">
        <v>603</v>
      </c>
      <c r="M111" s="1" t="s">
        <v>642</v>
      </c>
      <c r="N111" s="1">
        <v>10</v>
      </c>
      <c r="P111" t="s">
        <v>11674</v>
      </c>
    </row>
    <row r="112" spans="12:21">
      <c r="L112" s="142" t="s">
        <v>603</v>
      </c>
      <c r="M112" s="1" t="s">
        <v>643</v>
      </c>
      <c r="N112" s="1">
        <v>10</v>
      </c>
      <c r="P112" t="s">
        <v>11675</v>
      </c>
    </row>
    <row r="113" spans="12:16">
      <c r="L113" s="142" t="s">
        <v>603</v>
      </c>
      <c r="M113" s="1" t="s">
        <v>448</v>
      </c>
      <c r="N113" s="1">
        <v>10</v>
      </c>
      <c r="P113" t="s">
        <v>11676</v>
      </c>
    </row>
    <row r="114" spans="12:16">
      <c r="L114" s="142" t="s">
        <v>603</v>
      </c>
      <c r="M114" s="1" t="s">
        <v>644</v>
      </c>
      <c r="N114" s="1">
        <v>10</v>
      </c>
      <c r="P114" t="s">
        <v>11677</v>
      </c>
    </row>
    <row r="115" spans="12:16">
      <c r="L115" s="142" t="s">
        <v>603</v>
      </c>
      <c r="M115" s="1" t="s">
        <v>1689</v>
      </c>
      <c r="N115" s="1">
        <v>10</v>
      </c>
      <c r="P115" t="s">
        <v>11678</v>
      </c>
    </row>
    <row r="116" spans="12:16">
      <c r="L116" s="142" t="s">
        <v>603</v>
      </c>
      <c r="M116" s="1" t="s">
        <v>14906</v>
      </c>
      <c r="N116" s="1">
        <v>10</v>
      </c>
      <c r="P116" t="s">
        <v>11679</v>
      </c>
    </row>
    <row r="117" spans="12:16">
      <c r="L117" s="142" t="s">
        <v>603</v>
      </c>
      <c r="M117" s="1" t="s">
        <v>35</v>
      </c>
      <c r="N117" s="1">
        <v>10</v>
      </c>
      <c r="P117" t="s">
        <v>11680</v>
      </c>
    </row>
    <row r="118" spans="12:16">
      <c r="L118" s="142" t="s">
        <v>603</v>
      </c>
      <c r="M118" s="1" t="s">
        <v>645</v>
      </c>
      <c r="N118" s="1">
        <v>10</v>
      </c>
      <c r="P118" t="s">
        <v>11681</v>
      </c>
    </row>
    <row r="119" spans="12:16">
      <c r="L119" s="142" t="s">
        <v>603</v>
      </c>
      <c r="M119" s="1" t="s">
        <v>646</v>
      </c>
      <c r="N119" s="1">
        <v>10</v>
      </c>
      <c r="P119" t="s">
        <v>11682</v>
      </c>
    </row>
    <row r="120" spans="12:16">
      <c r="L120" s="142" t="s">
        <v>603</v>
      </c>
      <c r="M120" s="1" t="s">
        <v>25</v>
      </c>
      <c r="N120" s="1">
        <v>10</v>
      </c>
      <c r="P120" t="s">
        <v>11683</v>
      </c>
    </row>
    <row r="121" spans="12:16">
      <c r="L121" s="142" t="s">
        <v>603</v>
      </c>
      <c r="M121" s="1" t="s">
        <v>647</v>
      </c>
      <c r="N121" s="1">
        <v>10</v>
      </c>
      <c r="P121" t="s">
        <v>11684</v>
      </c>
    </row>
    <row r="122" spans="12:16">
      <c r="L122" s="142" t="s">
        <v>603</v>
      </c>
      <c r="M122" s="1" t="s">
        <v>648</v>
      </c>
      <c r="N122" s="1">
        <v>10</v>
      </c>
      <c r="P122" t="s">
        <v>11685</v>
      </c>
    </row>
    <row r="123" spans="12:16">
      <c r="L123" s="142" t="s">
        <v>603</v>
      </c>
      <c r="M123" s="1" t="s">
        <v>649</v>
      </c>
      <c r="N123" s="1">
        <v>10</v>
      </c>
      <c r="P123" t="s">
        <v>11686</v>
      </c>
    </row>
    <row r="124" spans="12:16">
      <c r="L124" s="142" t="s">
        <v>603</v>
      </c>
      <c r="M124" s="1" t="s">
        <v>650</v>
      </c>
      <c r="N124" s="1">
        <v>10</v>
      </c>
      <c r="P124" t="s">
        <v>11687</v>
      </c>
    </row>
    <row r="125" spans="12:16">
      <c r="L125" s="142" t="s">
        <v>603</v>
      </c>
      <c r="M125" s="1" t="s">
        <v>651</v>
      </c>
      <c r="N125" s="1">
        <v>10</v>
      </c>
      <c r="P125" t="s">
        <v>11688</v>
      </c>
    </row>
    <row r="126" spans="12:16">
      <c r="L126" s="142" t="s">
        <v>603</v>
      </c>
      <c r="M126" s="1" t="s">
        <v>652</v>
      </c>
      <c r="N126" s="1">
        <v>10</v>
      </c>
      <c r="P126" t="s">
        <v>11689</v>
      </c>
    </row>
    <row r="127" spans="12:16">
      <c r="L127" s="142" t="s">
        <v>603</v>
      </c>
      <c r="M127" s="1" t="s">
        <v>653</v>
      </c>
      <c r="N127" s="1">
        <v>10</v>
      </c>
      <c r="P127" t="s">
        <v>11690</v>
      </c>
    </row>
    <row r="128" spans="12:16">
      <c r="L128" s="142" t="s">
        <v>603</v>
      </c>
      <c r="M128" s="1" t="s">
        <v>200</v>
      </c>
      <c r="N128" s="1">
        <v>10</v>
      </c>
      <c r="P128" t="s">
        <v>11691</v>
      </c>
    </row>
    <row r="129" spans="12:16">
      <c r="L129" s="142" t="s">
        <v>603</v>
      </c>
      <c r="M129" t="s">
        <v>654</v>
      </c>
      <c r="N129" s="1">
        <v>10</v>
      </c>
      <c r="P129" t="s">
        <v>11692</v>
      </c>
    </row>
    <row r="130" spans="12:16">
      <c r="L130" s="142" t="s">
        <v>603</v>
      </c>
      <c r="M130" t="s">
        <v>655</v>
      </c>
      <c r="N130" s="1">
        <v>10</v>
      </c>
      <c r="P130" t="s">
        <v>11693</v>
      </c>
    </row>
    <row r="131" spans="12:16">
      <c r="L131" s="142" t="s">
        <v>603</v>
      </c>
      <c r="M131" t="s">
        <v>656</v>
      </c>
      <c r="N131" s="1">
        <v>10</v>
      </c>
      <c r="P131" t="s">
        <v>11694</v>
      </c>
    </row>
    <row r="132" spans="12:16">
      <c r="L132" s="142" t="s">
        <v>603</v>
      </c>
      <c r="M132" t="s">
        <v>657</v>
      </c>
      <c r="N132" s="1">
        <v>10</v>
      </c>
      <c r="P132" t="s">
        <v>11695</v>
      </c>
    </row>
    <row r="133" spans="12:16">
      <c r="L133" s="142" t="s">
        <v>603</v>
      </c>
      <c r="M133" t="s">
        <v>658</v>
      </c>
      <c r="N133" s="1">
        <v>10</v>
      </c>
      <c r="P133" t="s">
        <v>11696</v>
      </c>
    </row>
    <row r="134" spans="12:16">
      <c r="L134" s="142" t="s">
        <v>603</v>
      </c>
      <c r="M134" t="s">
        <v>659</v>
      </c>
      <c r="N134" s="1">
        <v>10</v>
      </c>
      <c r="P134" t="s">
        <v>11697</v>
      </c>
    </row>
    <row r="135" spans="12:16">
      <c r="L135" s="142" t="s">
        <v>603</v>
      </c>
      <c r="M135" t="s">
        <v>455</v>
      </c>
      <c r="N135" s="1">
        <v>10</v>
      </c>
      <c r="P135" t="s">
        <v>11698</v>
      </c>
    </row>
    <row r="136" spans="12:16">
      <c r="L136" s="142" t="s">
        <v>603</v>
      </c>
      <c r="M136" t="s">
        <v>457</v>
      </c>
      <c r="N136" s="1">
        <v>10</v>
      </c>
      <c r="P136" t="s">
        <v>11699</v>
      </c>
    </row>
    <row r="137" spans="12:16">
      <c r="L137" s="142" t="s">
        <v>603</v>
      </c>
      <c r="M137" t="s">
        <v>660</v>
      </c>
      <c r="N137" s="1">
        <v>10</v>
      </c>
      <c r="P137" t="s">
        <v>11700</v>
      </c>
    </row>
    <row r="138" spans="12:16">
      <c r="L138" s="142" t="s">
        <v>603</v>
      </c>
      <c r="M138" t="s">
        <v>661</v>
      </c>
      <c r="N138" s="1">
        <v>10</v>
      </c>
      <c r="P138" t="s">
        <v>11701</v>
      </c>
    </row>
    <row r="139" spans="12:16">
      <c r="L139" s="142" t="s">
        <v>603</v>
      </c>
      <c r="M139" t="s">
        <v>662</v>
      </c>
      <c r="N139" s="1">
        <v>10</v>
      </c>
      <c r="P139" t="s">
        <v>11702</v>
      </c>
    </row>
    <row r="140" spans="12:16">
      <c r="L140" s="142" t="s">
        <v>603</v>
      </c>
      <c r="M140" t="s">
        <v>663</v>
      </c>
      <c r="N140" s="1">
        <v>10</v>
      </c>
      <c r="P140" t="s">
        <v>11703</v>
      </c>
    </row>
    <row r="141" spans="12:16">
      <c r="L141" s="142" t="s">
        <v>603</v>
      </c>
      <c r="M141" t="s">
        <v>664</v>
      </c>
      <c r="N141" s="1">
        <v>10</v>
      </c>
      <c r="P141" t="s">
        <v>11704</v>
      </c>
    </row>
    <row r="142" spans="12:16">
      <c r="L142" s="142" t="s">
        <v>603</v>
      </c>
      <c r="M142" t="s">
        <v>665</v>
      </c>
      <c r="N142" s="1">
        <v>10</v>
      </c>
      <c r="P142" t="s">
        <v>11705</v>
      </c>
    </row>
    <row r="143" spans="12:16">
      <c r="L143" s="142" t="s">
        <v>603</v>
      </c>
      <c r="M143" t="s">
        <v>666</v>
      </c>
      <c r="N143" s="1">
        <v>10</v>
      </c>
      <c r="P143" t="s">
        <v>11706</v>
      </c>
    </row>
    <row r="144" spans="12:16">
      <c r="L144" s="142" t="s">
        <v>603</v>
      </c>
      <c r="M144" t="s">
        <v>667</v>
      </c>
      <c r="N144" s="1">
        <v>10</v>
      </c>
      <c r="P144" t="s">
        <v>11707</v>
      </c>
    </row>
    <row r="145" spans="12:16">
      <c r="L145" s="142" t="s">
        <v>603</v>
      </c>
      <c r="M145" t="s">
        <v>668</v>
      </c>
      <c r="N145" s="1">
        <v>10</v>
      </c>
      <c r="P145" t="s">
        <v>11708</v>
      </c>
    </row>
    <row r="146" spans="12:16">
      <c r="L146" s="142" t="s">
        <v>603</v>
      </c>
      <c r="M146" t="s">
        <v>669</v>
      </c>
      <c r="N146" s="1">
        <v>10</v>
      </c>
      <c r="P146" t="s">
        <v>11709</v>
      </c>
    </row>
    <row r="147" spans="12:16">
      <c r="L147" s="142" t="s">
        <v>603</v>
      </c>
      <c r="M147" t="s">
        <v>670</v>
      </c>
      <c r="N147" s="1">
        <v>10</v>
      </c>
      <c r="P147" t="s">
        <v>11710</v>
      </c>
    </row>
    <row r="148" spans="12:16">
      <c r="L148" s="142" t="s">
        <v>603</v>
      </c>
      <c r="M148" t="s">
        <v>671</v>
      </c>
      <c r="N148" s="1">
        <v>10</v>
      </c>
      <c r="P148" t="s">
        <v>11711</v>
      </c>
    </row>
    <row r="149" spans="12:16">
      <c r="L149" s="142" t="s">
        <v>603</v>
      </c>
      <c r="M149" t="s">
        <v>672</v>
      </c>
      <c r="N149" s="1">
        <v>10</v>
      </c>
      <c r="P149" t="s">
        <v>11712</v>
      </c>
    </row>
    <row r="150" spans="12:16">
      <c r="L150" s="142" t="s">
        <v>603</v>
      </c>
      <c r="M150" t="s">
        <v>673</v>
      </c>
      <c r="N150" s="1">
        <v>10</v>
      </c>
      <c r="P150" t="s">
        <v>11713</v>
      </c>
    </row>
    <row r="151" spans="12:16">
      <c r="L151" s="142" t="s">
        <v>603</v>
      </c>
      <c r="M151" t="s">
        <v>674</v>
      </c>
      <c r="N151" s="1">
        <v>10</v>
      </c>
      <c r="P151" t="s">
        <v>11714</v>
      </c>
    </row>
    <row r="152" spans="12:16">
      <c r="L152" s="142" t="s">
        <v>603</v>
      </c>
      <c r="M152" t="s">
        <v>675</v>
      </c>
      <c r="N152" s="1">
        <v>10</v>
      </c>
      <c r="P152" t="s">
        <v>11715</v>
      </c>
    </row>
    <row r="153" spans="12:16">
      <c r="L153" s="142" t="s">
        <v>603</v>
      </c>
      <c r="M153" t="s">
        <v>676</v>
      </c>
      <c r="N153" s="1">
        <v>10</v>
      </c>
      <c r="P153" t="s">
        <v>11716</v>
      </c>
    </row>
    <row r="154" spans="12:16">
      <c r="L154" s="142" t="s">
        <v>603</v>
      </c>
      <c r="M154" t="s">
        <v>677</v>
      </c>
      <c r="N154" s="1">
        <v>10</v>
      </c>
      <c r="P154" t="s">
        <v>11717</v>
      </c>
    </row>
    <row r="155" spans="12:16">
      <c r="L155" s="142" t="s">
        <v>603</v>
      </c>
      <c r="M155" t="s">
        <v>678</v>
      </c>
      <c r="N155" s="1">
        <v>10</v>
      </c>
      <c r="P155" t="s">
        <v>11718</v>
      </c>
    </row>
    <row r="156" spans="12:16">
      <c r="L156" s="142" t="s">
        <v>603</v>
      </c>
      <c r="M156" t="s">
        <v>679</v>
      </c>
      <c r="N156" s="1">
        <v>10</v>
      </c>
      <c r="P156" t="s">
        <v>11719</v>
      </c>
    </row>
    <row r="157" spans="12:16">
      <c r="L157" s="142" t="s">
        <v>603</v>
      </c>
      <c r="M157" t="s">
        <v>434</v>
      </c>
      <c r="N157" s="1">
        <v>10</v>
      </c>
      <c r="P157" t="s">
        <v>11720</v>
      </c>
    </row>
    <row r="158" spans="12:16">
      <c r="L158" s="142" t="s">
        <v>603</v>
      </c>
      <c r="M158" t="s">
        <v>45</v>
      </c>
      <c r="N158" s="1">
        <v>10</v>
      </c>
      <c r="P158" t="s">
        <v>11721</v>
      </c>
    </row>
    <row r="159" spans="12:16">
      <c r="L159" s="142" t="s">
        <v>603</v>
      </c>
      <c r="M159" t="s">
        <v>362</v>
      </c>
      <c r="N159" s="1">
        <v>10</v>
      </c>
      <c r="P159" t="s">
        <v>11722</v>
      </c>
    </row>
    <row r="160" spans="12:16">
      <c r="L160" s="142" t="s">
        <v>603</v>
      </c>
      <c r="M160" t="s">
        <v>440</v>
      </c>
      <c r="N160" s="1">
        <v>10</v>
      </c>
      <c r="P160" t="s">
        <v>11723</v>
      </c>
    </row>
    <row r="161" spans="12:16">
      <c r="L161" s="142" t="s">
        <v>603</v>
      </c>
      <c r="M161" t="s">
        <v>163</v>
      </c>
      <c r="N161" s="1">
        <v>10</v>
      </c>
      <c r="P161" t="s">
        <v>11724</v>
      </c>
    </row>
    <row r="162" spans="12:16">
      <c r="L162" s="142" t="s">
        <v>603</v>
      </c>
      <c r="M162" t="s">
        <v>438</v>
      </c>
      <c r="N162" s="1">
        <v>10</v>
      </c>
      <c r="P162" t="s">
        <v>11725</v>
      </c>
    </row>
    <row r="163" spans="12:16">
      <c r="L163" s="142" t="s">
        <v>603</v>
      </c>
      <c r="M163" t="s">
        <v>442</v>
      </c>
      <c r="N163" s="1">
        <v>10</v>
      </c>
    </row>
    <row r="164" spans="12:16">
      <c r="L164" s="142" t="s">
        <v>603</v>
      </c>
      <c r="M164" t="s">
        <v>411</v>
      </c>
      <c r="N164" s="1">
        <v>10</v>
      </c>
    </row>
    <row r="165" spans="12:16">
      <c r="L165" s="142" t="s">
        <v>603</v>
      </c>
      <c r="M165" t="s">
        <v>443</v>
      </c>
      <c r="N165" s="1">
        <v>10</v>
      </c>
    </row>
    <row r="166" spans="12:16">
      <c r="L166" s="142" t="s">
        <v>603</v>
      </c>
      <c r="M166" t="s">
        <v>444</v>
      </c>
      <c r="N166" s="1">
        <v>10</v>
      </c>
    </row>
    <row r="167" spans="12:16">
      <c r="L167" s="142" t="s">
        <v>603</v>
      </c>
      <c r="M167" t="s">
        <v>188</v>
      </c>
      <c r="N167" s="1">
        <v>10</v>
      </c>
    </row>
    <row r="168" spans="12:16">
      <c r="L168" s="142" t="s">
        <v>603</v>
      </c>
      <c r="M168" t="s">
        <v>445</v>
      </c>
      <c r="N168" s="1">
        <v>10</v>
      </c>
    </row>
    <row r="169" spans="12:16">
      <c r="L169" s="142" t="s">
        <v>603</v>
      </c>
      <c r="M169" t="s">
        <v>316</v>
      </c>
      <c r="N169" s="1">
        <v>10</v>
      </c>
    </row>
    <row r="170" spans="12:16">
      <c r="L170" s="142" t="s">
        <v>603</v>
      </c>
      <c r="M170" t="s">
        <v>446</v>
      </c>
      <c r="N170" s="1">
        <v>10</v>
      </c>
    </row>
    <row r="171" spans="12:16">
      <c r="L171" s="142" t="s">
        <v>603</v>
      </c>
      <c r="M171" t="s">
        <v>67</v>
      </c>
      <c r="N171" s="1">
        <v>10</v>
      </c>
    </row>
    <row r="172" spans="12:16">
      <c r="L172" s="142" t="s">
        <v>603</v>
      </c>
      <c r="M172" t="s">
        <v>17</v>
      </c>
      <c r="N172" s="1">
        <v>10</v>
      </c>
    </row>
    <row r="173" spans="12:16">
      <c r="L173" s="142" t="s">
        <v>603</v>
      </c>
      <c r="M173" t="s">
        <v>447</v>
      </c>
      <c r="N173" s="1">
        <v>10</v>
      </c>
    </row>
    <row r="174" spans="12:16">
      <c r="L174" s="142" t="s">
        <v>603</v>
      </c>
      <c r="M174" t="s">
        <v>122</v>
      </c>
      <c r="N174" s="1">
        <v>10</v>
      </c>
    </row>
    <row r="175" spans="12:16">
      <c r="L175" s="142" t="s">
        <v>603</v>
      </c>
      <c r="M175" t="s">
        <v>238</v>
      </c>
      <c r="N175" s="1">
        <v>10</v>
      </c>
    </row>
    <row r="176" spans="12:16">
      <c r="L176" s="142" t="s">
        <v>603</v>
      </c>
      <c r="M176" t="s">
        <v>379</v>
      </c>
      <c r="N176" s="1">
        <v>10</v>
      </c>
    </row>
    <row r="177" spans="12:14">
      <c r="L177" s="142" t="s">
        <v>603</v>
      </c>
      <c r="M177" t="s">
        <v>453</v>
      </c>
      <c r="N177" s="1">
        <v>10</v>
      </c>
    </row>
    <row r="178" spans="12:14">
      <c r="L178" s="142" t="s">
        <v>603</v>
      </c>
      <c r="M178" t="s">
        <v>454</v>
      </c>
      <c r="N178" s="1">
        <v>10</v>
      </c>
    </row>
    <row r="179" spans="12:14">
      <c r="L179" s="142" t="s">
        <v>603</v>
      </c>
      <c r="M179" t="s">
        <v>394</v>
      </c>
      <c r="N179" s="1">
        <v>10</v>
      </c>
    </row>
    <row r="180" spans="12:14">
      <c r="L180" s="142" t="s">
        <v>603</v>
      </c>
      <c r="M180" t="s">
        <v>456</v>
      </c>
      <c r="N180" s="1">
        <v>10</v>
      </c>
    </row>
    <row r="181" spans="12:14">
      <c r="L181" s="142" t="s">
        <v>603</v>
      </c>
      <c r="M181" t="s">
        <v>258</v>
      </c>
      <c r="N181" s="1">
        <v>10</v>
      </c>
    </row>
    <row r="182" spans="12:14">
      <c r="L182" s="142" t="s">
        <v>603</v>
      </c>
      <c r="M182" t="s">
        <v>459</v>
      </c>
      <c r="N182" s="1">
        <v>10</v>
      </c>
    </row>
    <row r="183" spans="12:14">
      <c r="L183" s="142" t="s">
        <v>603</v>
      </c>
      <c r="M183" t="s">
        <v>241</v>
      </c>
      <c r="N183" s="1">
        <v>10</v>
      </c>
    </row>
    <row r="184" spans="12:14">
      <c r="L184" s="142" t="s">
        <v>603</v>
      </c>
      <c r="M184" t="s">
        <v>156</v>
      </c>
      <c r="N184" s="1">
        <v>10</v>
      </c>
    </row>
    <row r="185" spans="12:14">
      <c r="L185" s="142" t="s">
        <v>603</v>
      </c>
      <c r="M185" t="s">
        <v>460</v>
      </c>
      <c r="N185" s="1">
        <v>10</v>
      </c>
    </row>
    <row r="186" spans="12:14">
      <c r="L186" s="142" t="s">
        <v>603</v>
      </c>
      <c r="M186" t="s">
        <v>61</v>
      </c>
      <c r="N186" s="1">
        <v>10</v>
      </c>
    </row>
    <row r="187" spans="12:14">
      <c r="L187" s="141" t="s">
        <v>14908</v>
      </c>
      <c r="M187" t="s">
        <v>127</v>
      </c>
      <c r="N187" s="1">
        <v>200</v>
      </c>
    </row>
    <row r="188" spans="12:14">
      <c r="L188" s="141" t="s">
        <v>14908</v>
      </c>
      <c r="M188" t="s">
        <v>685</v>
      </c>
      <c r="N188" s="1">
        <v>200</v>
      </c>
    </row>
    <row r="189" spans="12:14">
      <c r="L189" s="141" t="s">
        <v>14908</v>
      </c>
      <c r="M189" t="s">
        <v>432</v>
      </c>
      <c r="N189" s="1">
        <v>200</v>
      </c>
    </row>
    <row r="190" spans="12:14">
      <c r="L190" s="141" t="s">
        <v>680</v>
      </c>
      <c r="M190" t="s">
        <v>436</v>
      </c>
      <c r="N190" s="1">
        <v>210</v>
      </c>
    </row>
    <row r="191" spans="12:14">
      <c r="L191" s="141" t="s">
        <v>680</v>
      </c>
      <c r="M191" t="s">
        <v>681</v>
      </c>
      <c r="N191" s="1">
        <v>210</v>
      </c>
    </row>
    <row r="192" spans="12:14">
      <c r="L192" s="141" t="s">
        <v>680</v>
      </c>
      <c r="M192" t="s">
        <v>588</v>
      </c>
      <c r="N192" s="1">
        <v>210</v>
      </c>
    </row>
    <row r="193" spans="12:14" ht="15">
      <c r="L193" s="141" t="s">
        <v>680</v>
      </c>
      <c r="M193" s="2604" t="s">
        <v>14907</v>
      </c>
      <c r="N193" s="1">
        <v>210</v>
      </c>
    </row>
    <row r="194" spans="12:14">
      <c r="L194" s="141" t="s">
        <v>14908</v>
      </c>
      <c r="M194" t="s">
        <v>111</v>
      </c>
      <c r="N194" s="1">
        <v>210</v>
      </c>
    </row>
    <row r="195" spans="12:14">
      <c r="L195" s="141" t="s">
        <v>680</v>
      </c>
      <c r="M195" t="s">
        <v>682</v>
      </c>
      <c r="N195" s="1">
        <v>210</v>
      </c>
    </row>
    <row r="196" spans="12:14">
      <c r="L196" s="141" t="s">
        <v>680</v>
      </c>
      <c r="M196" t="s">
        <v>683</v>
      </c>
      <c r="N196" s="1">
        <v>210</v>
      </c>
    </row>
    <row r="197" spans="12:14">
      <c r="L197" s="141" t="s">
        <v>680</v>
      </c>
      <c r="M197" t="s">
        <v>684</v>
      </c>
      <c r="N197" s="1">
        <v>210</v>
      </c>
    </row>
    <row r="198" spans="12:14">
      <c r="L198" s="141" t="s">
        <v>680</v>
      </c>
      <c r="M198" t="s">
        <v>686</v>
      </c>
      <c r="N198" s="1">
        <v>210</v>
      </c>
    </row>
    <row r="199" spans="12:14">
      <c r="L199" s="141" t="s">
        <v>680</v>
      </c>
      <c r="M199" t="s">
        <v>231</v>
      </c>
      <c r="N199" s="1">
        <v>210</v>
      </c>
    </row>
    <row r="200" spans="12:14">
      <c r="L200" s="141" t="s">
        <v>680</v>
      </c>
      <c r="M200" t="s">
        <v>687</v>
      </c>
      <c r="N200" s="1">
        <v>210</v>
      </c>
    </row>
    <row r="201" spans="12:14">
      <c r="L201" s="141" t="s">
        <v>680</v>
      </c>
      <c r="M201" t="s">
        <v>688</v>
      </c>
      <c r="N201" s="1">
        <v>210</v>
      </c>
    </row>
    <row r="202" spans="12:14">
      <c r="L202" s="141" t="s">
        <v>680</v>
      </c>
      <c r="M202" t="s">
        <v>689</v>
      </c>
      <c r="N202" s="1">
        <v>210</v>
      </c>
    </row>
    <row r="203" spans="12:14">
      <c r="L203" s="141" t="s">
        <v>680</v>
      </c>
      <c r="M203" t="s">
        <v>690</v>
      </c>
      <c r="N203" s="1">
        <v>210</v>
      </c>
    </row>
    <row r="204" spans="12:14">
      <c r="L204" s="141" t="s">
        <v>680</v>
      </c>
      <c r="M204" t="s">
        <v>691</v>
      </c>
      <c r="N204" s="1">
        <v>210</v>
      </c>
    </row>
    <row r="205" spans="12:14">
      <c r="L205" s="141" t="s">
        <v>680</v>
      </c>
      <c r="M205" t="s">
        <v>692</v>
      </c>
      <c r="N205" s="1">
        <v>210</v>
      </c>
    </row>
    <row r="206" spans="12:14">
      <c r="L206" s="141" t="s">
        <v>680</v>
      </c>
      <c r="M206" t="s">
        <v>693</v>
      </c>
      <c r="N206" s="1">
        <v>210</v>
      </c>
    </row>
    <row r="207" spans="12:14">
      <c r="L207" s="141" t="s">
        <v>680</v>
      </c>
      <c r="M207" t="s">
        <v>695</v>
      </c>
      <c r="N207" s="1">
        <v>210</v>
      </c>
    </row>
    <row r="208" spans="12:14">
      <c r="L208" s="141" t="s">
        <v>680</v>
      </c>
      <c r="M208" t="s">
        <v>694</v>
      </c>
      <c r="N208" s="1">
        <v>210</v>
      </c>
    </row>
    <row r="209" spans="12:14">
      <c r="L209" s="1"/>
      <c r="N209" s="1"/>
    </row>
    <row r="210" spans="12:14">
      <c r="L210" s="1"/>
      <c r="N210" s="1"/>
    </row>
    <row r="211" spans="12:14">
      <c r="L211" s="1"/>
      <c r="N211" s="1"/>
    </row>
    <row r="212" spans="12:14">
      <c r="N212" s="1"/>
    </row>
    <row r="213" spans="12:14">
      <c r="N213" s="1"/>
    </row>
  </sheetData>
  <pageMargins left="0.7" right="0.7" top="0.75" bottom="0.75" header="0.3" footer="0.3"/>
  <pageSetup paperSize="9" orientation="portrait" r:id="rId1"/>
  <tableParts count="2">
    <tablePart r:id="rId2"/>
    <tablePart r:id="rId3"/>
  </tablePar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8B182-BC10-4AE9-B0A1-43D3F0F56CC6}">
  <sheetPr codeName="Аркуш42">
    <tabColor rgb="FFFFFF00"/>
  </sheetPr>
  <dimension ref="A2:AE146"/>
  <sheetViews>
    <sheetView zoomScaleNormal="100" workbookViewId="0">
      <selection activeCell="G11" sqref="G11"/>
    </sheetView>
  </sheetViews>
  <sheetFormatPr defaultRowHeight="14.25"/>
  <cols>
    <col min="1" max="1" width="20.5546875" style="2" customWidth="1"/>
    <col min="2" max="2" width="17.6640625" style="2" customWidth="1"/>
    <col min="3" max="3" width="17.6640625" style="1" customWidth="1"/>
    <col min="4" max="4" width="13.77734375" customWidth="1"/>
    <col min="5" max="5" width="26.6640625" customWidth="1"/>
    <col min="6" max="6" width="11.21875" customWidth="1"/>
    <col min="7" max="7" width="10.21875" customWidth="1"/>
    <col min="8" max="8" width="10.21875" style="1" customWidth="1"/>
    <col min="11" max="11" width="9.88671875" customWidth="1"/>
    <col min="14" max="14" width="18" customWidth="1"/>
    <col min="15" max="15" width="10.88671875" customWidth="1"/>
    <col min="17" max="17" width="9.88671875" customWidth="1"/>
    <col min="20" max="20" width="12.6640625" customWidth="1"/>
    <col min="25" max="25" width="8.6640625" customWidth="1"/>
    <col min="26" max="26" width="15.33203125" customWidth="1"/>
    <col min="27" max="27" width="10.33203125" customWidth="1"/>
    <col min="28" max="28" width="13.6640625" customWidth="1"/>
  </cols>
  <sheetData>
    <row r="2" spans="1:31">
      <c r="A2" s="2" t="s">
        <v>11481</v>
      </c>
      <c r="Q2" t="s">
        <v>10108</v>
      </c>
      <c r="AB2" s="2" t="s">
        <v>772</v>
      </c>
      <c r="AC2" s="2" t="s">
        <v>1875</v>
      </c>
      <c r="AD2" s="1" t="s">
        <v>14487</v>
      </c>
      <c r="AE2" t="s">
        <v>14488</v>
      </c>
    </row>
    <row r="3" spans="1:31">
      <c r="A3" s="2" t="s">
        <v>733</v>
      </c>
      <c r="B3" s="2" t="s">
        <v>734</v>
      </c>
      <c r="C3" t="s">
        <v>597</v>
      </c>
      <c r="D3" t="s">
        <v>735</v>
      </c>
      <c r="E3" t="s">
        <v>11870</v>
      </c>
      <c r="F3" t="s">
        <v>11749</v>
      </c>
      <c r="G3" t="s">
        <v>6042</v>
      </c>
      <c r="H3" s="1" t="s">
        <v>14491</v>
      </c>
      <c r="I3" t="s">
        <v>10691</v>
      </c>
      <c r="K3" s="1" t="s">
        <v>11918</v>
      </c>
      <c r="L3" s="1" t="s">
        <v>11913</v>
      </c>
      <c r="M3" s="1" t="s">
        <v>11914</v>
      </c>
      <c r="N3" s="1" t="s">
        <v>11915</v>
      </c>
      <c r="O3" s="1" t="s">
        <v>11916</v>
      </c>
      <c r="Q3" t="s">
        <v>11913</v>
      </c>
      <c r="R3" t="s">
        <v>11871</v>
      </c>
      <c r="S3" t="s">
        <v>13705</v>
      </c>
      <c r="T3" t="s">
        <v>11883</v>
      </c>
      <c r="V3" t="s">
        <v>13590</v>
      </c>
      <c r="W3" t="s">
        <v>10914</v>
      </c>
      <c r="AB3" s="2" t="s">
        <v>14470</v>
      </c>
      <c r="AC3" s="2" t="s">
        <v>14478</v>
      </c>
      <c r="AD3" s="1">
        <v>1</v>
      </c>
      <c r="AE3" t="s">
        <v>14481</v>
      </c>
    </row>
    <row r="4" spans="1:31">
      <c r="A4" s="2" t="s">
        <v>736</v>
      </c>
      <c r="B4" s="2" t="s">
        <v>737</v>
      </c>
      <c r="C4" t="s">
        <v>11511</v>
      </c>
      <c r="D4" t="s">
        <v>738</v>
      </c>
      <c r="E4">
        <v>12</v>
      </c>
      <c r="G4" t="s">
        <v>11855</v>
      </c>
      <c r="K4" s="1" t="s">
        <v>11907</v>
      </c>
      <c r="L4" s="1" t="s">
        <v>6305</v>
      </c>
      <c r="M4" s="1">
        <v>13</v>
      </c>
      <c r="N4" s="1">
        <v>600</v>
      </c>
      <c r="O4" s="1">
        <f>M4*N4</f>
        <v>7800</v>
      </c>
      <c r="Q4" t="s">
        <v>11872</v>
      </c>
      <c r="R4" t="s">
        <v>11881</v>
      </c>
      <c r="S4">
        <v>12</v>
      </c>
      <c r="T4" t="s">
        <v>11873</v>
      </c>
      <c r="V4" t="s">
        <v>14568</v>
      </c>
      <c r="W4">
        <v>18</v>
      </c>
      <c r="AB4" s="2" t="s">
        <v>14471</v>
      </c>
      <c r="AC4" s="2" t="s">
        <v>14479</v>
      </c>
      <c r="AD4" s="1">
        <v>2</v>
      </c>
      <c r="AE4" t="s">
        <v>14485</v>
      </c>
    </row>
    <row r="5" spans="1:31">
      <c r="A5" s="2" t="s">
        <v>739</v>
      </c>
      <c r="B5" s="2" t="s">
        <v>740</v>
      </c>
      <c r="C5" t="s">
        <v>11511</v>
      </c>
      <c r="D5" t="s">
        <v>741</v>
      </c>
      <c r="E5">
        <v>18</v>
      </c>
      <c r="F5" t="s">
        <v>11509</v>
      </c>
      <c r="G5" t="s">
        <v>11854</v>
      </c>
      <c r="K5" s="1" t="s">
        <v>11907</v>
      </c>
      <c r="L5" s="1" t="s">
        <v>2467</v>
      </c>
      <c r="M5" s="1">
        <v>6</v>
      </c>
      <c r="N5" s="1">
        <v>600</v>
      </c>
      <c r="O5" s="1">
        <f>M5*N5</f>
        <v>3600</v>
      </c>
      <c r="Q5" t="s">
        <v>11874</v>
      </c>
      <c r="R5" t="s">
        <v>11875</v>
      </c>
      <c r="S5">
        <v>28</v>
      </c>
      <c r="T5" t="s">
        <v>13706</v>
      </c>
      <c r="V5" t="s">
        <v>14569</v>
      </c>
      <c r="W5">
        <v>8</v>
      </c>
      <c r="AB5" s="2" t="s">
        <v>14472</v>
      </c>
      <c r="AC5" s="2" t="s">
        <v>14480</v>
      </c>
      <c r="AD5" s="1">
        <v>2</v>
      </c>
      <c r="AE5" t="s">
        <v>14486</v>
      </c>
    </row>
    <row r="6" spans="1:31">
      <c r="A6" s="2" t="s">
        <v>742</v>
      </c>
      <c r="B6" s="2" t="s">
        <v>743</v>
      </c>
      <c r="C6" t="s">
        <v>11511</v>
      </c>
      <c r="D6" t="s">
        <v>744</v>
      </c>
      <c r="E6">
        <v>24</v>
      </c>
      <c r="F6" t="s">
        <v>11510</v>
      </c>
      <c r="G6" t="s">
        <v>11856</v>
      </c>
      <c r="K6" s="1" t="s">
        <v>11907</v>
      </c>
      <c r="L6" s="1" t="s">
        <v>9154</v>
      </c>
      <c r="M6" s="1">
        <v>2</v>
      </c>
      <c r="N6" s="1">
        <v>600</v>
      </c>
      <c r="O6" s="1">
        <f>M6*N6</f>
        <v>1200</v>
      </c>
      <c r="Q6" t="s">
        <v>11876</v>
      </c>
      <c r="R6" t="s">
        <v>11877</v>
      </c>
      <c r="S6">
        <v>92</v>
      </c>
      <c r="T6" t="s">
        <v>13707</v>
      </c>
      <c r="V6" t="s">
        <v>14570</v>
      </c>
      <c r="W6">
        <v>3</v>
      </c>
      <c r="AB6" s="2" t="s">
        <v>14473</v>
      </c>
      <c r="AC6" s="2" t="s">
        <v>14482</v>
      </c>
      <c r="AD6" s="1">
        <v>4</v>
      </c>
      <c r="AE6" t="s">
        <v>14484</v>
      </c>
    </row>
    <row r="7" spans="1:31" ht="17.25" thickBot="1">
      <c r="A7" s="2" t="s">
        <v>745</v>
      </c>
      <c r="B7" s="2" t="s">
        <v>746</v>
      </c>
      <c r="C7" t="s">
        <v>11512</v>
      </c>
      <c r="D7" t="s">
        <v>747</v>
      </c>
      <c r="E7">
        <v>36</v>
      </c>
      <c r="F7" t="s">
        <v>14516</v>
      </c>
      <c r="K7" s="2658" t="s">
        <v>11907</v>
      </c>
      <c r="L7" s="2658" t="s">
        <v>6070</v>
      </c>
      <c r="M7" s="2658"/>
      <c r="N7" s="2658"/>
      <c r="O7" s="2658">
        <f>SUM(O4:O6)</f>
        <v>12600</v>
      </c>
      <c r="Q7" t="s">
        <v>11878</v>
      </c>
      <c r="R7" t="s">
        <v>11882</v>
      </c>
      <c r="S7">
        <v>289</v>
      </c>
      <c r="T7" t="s">
        <v>13708</v>
      </c>
      <c r="V7" t="s">
        <v>13726</v>
      </c>
      <c r="W7">
        <v>1</v>
      </c>
      <c r="AB7" s="2" t="s">
        <v>14474</v>
      </c>
      <c r="AC7" s="2" t="s">
        <v>14480</v>
      </c>
      <c r="AD7" s="1">
        <v>5</v>
      </c>
    </row>
    <row r="8" spans="1:31" ht="15" thickTop="1">
      <c r="A8" s="2" t="s">
        <v>748</v>
      </c>
      <c r="B8" s="2" t="s">
        <v>749</v>
      </c>
      <c r="C8" t="s">
        <v>11512</v>
      </c>
      <c r="D8" t="s">
        <v>750</v>
      </c>
      <c r="E8">
        <v>45</v>
      </c>
      <c r="F8" t="s">
        <v>14492</v>
      </c>
      <c r="K8" s="1" t="s">
        <v>11908</v>
      </c>
      <c r="L8" s="1" t="s">
        <v>6305</v>
      </c>
      <c r="M8" s="1">
        <v>5</v>
      </c>
      <c r="N8" s="1">
        <v>500</v>
      </c>
      <c r="O8" s="1">
        <f>M8*N8</f>
        <v>2500</v>
      </c>
      <c r="Q8" t="s">
        <v>11879</v>
      </c>
      <c r="R8" t="s">
        <v>11880</v>
      </c>
      <c r="S8">
        <v>600</v>
      </c>
      <c r="T8" t="s">
        <v>13709</v>
      </c>
      <c r="V8" t="s">
        <v>6070</v>
      </c>
      <c r="W8">
        <f>SUM(W4:W7)</f>
        <v>30</v>
      </c>
      <c r="AB8" s="2" t="s">
        <v>14475</v>
      </c>
      <c r="AC8" s="2" t="s">
        <v>14480</v>
      </c>
      <c r="AD8" s="1">
        <v>10</v>
      </c>
    </row>
    <row r="9" spans="1:31">
      <c r="A9" s="2" t="s">
        <v>751</v>
      </c>
      <c r="B9" s="2" t="s">
        <v>752</v>
      </c>
      <c r="C9" t="s">
        <v>11512</v>
      </c>
      <c r="D9" t="s">
        <v>753</v>
      </c>
      <c r="E9">
        <v>54</v>
      </c>
      <c r="K9" s="1" t="s">
        <v>11908</v>
      </c>
      <c r="L9" s="1" t="s">
        <v>2467</v>
      </c>
      <c r="M9" s="1">
        <v>1</v>
      </c>
      <c r="N9" s="1">
        <v>500</v>
      </c>
      <c r="O9" s="1">
        <f>M9*N9</f>
        <v>500</v>
      </c>
      <c r="Q9" t="s">
        <v>10126</v>
      </c>
      <c r="AB9" s="2" t="s">
        <v>14476</v>
      </c>
      <c r="AC9" s="2" t="s">
        <v>14480</v>
      </c>
      <c r="AD9" s="1">
        <v>20</v>
      </c>
    </row>
    <row r="10" spans="1:31" ht="19.5" thickBot="1">
      <c r="A10" s="2" t="s">
        <v>754</v>
      </c>
      <c r="B10" s="2" t="s">
        <v>755</v>
      </c>
      <c r="C10" t="s">
        <v>11512</v>
      </c>
      <c r="D10" t="s">
        <v>756</v>
      </c>
      <c r="E10">
        <v>63</v>
      </c>
      <c r="F10" t="s">
        <v>14697</v>
      </c>
      <c r="K10" s="1" t="s">
        <v>11908</v>
      </c>
      <c r="L10" s="1" t="s">
        <v>9154</v>
      </c>
      <c r="M10" s="1">
        <v>0</v>
      </c>
      <c r="N10" s="1">
        <v>500</v>
      </c>
      <c r="O10" s="1">
        <f>M10*N10</f>
        <v>0</v>
      </c>
      <c r="Q10" t="s">
        <v>13591</v>
      </c>
      <c r="R10" t="s">
        <v>13592</v>
      </c>
      <c r="S10" t="s">
        <v>13593</v>
      </c>
      <c r="T10" t="s">
        <v>11883</v>
      </c>
      <c r="V10" s="2600" t="s">
        <v>13590</v>
      </c>
      <c r="W10" s="2602" t="s">
        <v>10914</v>
      </c>
      <c r="Y10" s="2599" t="s">
        <v>12211</v>
      </c>
      <c r="AB10" s="2" t="s">
        <v>14483</v>
      </c>
      <c r="AC10" s="2" t="s">
        <v>14480</v>
      </c>
      <c r="AD10" s="1">
        <v>40</v>
      </c>
    </row>
    <row r="11" spans="1:31" ht="18" thickTop="1" thickBot="1">
      <c r="A11" s="2" t="s">
        <v>757</v>
      </c>
      <c r="B11" s="2" t="s">
        <v>11753</v>
      </c>
      <c r="C11" s="2665" t="s">
        <v>11750</v>
      </c>
      <c r="D11" t="s">
        <v>758</v>
      </c>
      <c r="E11">
        <v>96</v>
      </c>
      <c r="F11" t="s">
        <v>11513</v>
      </c>
      <c r="G11" t="s">
        <v>11858</v>
      </c>
      <c r="K11" s="2658" t="s">
        <v>11908</v>
      </c>
      <c r="L11" s="2658" t="s">
        <v>6070</v>
      </c>
      <c r="M11" s="2658"/>
      <c r="N11" s="2658"/>
      <c r="O11" s="2658">
        <f>SUM(O8:O10)</f>
        <v>3000</v>
      </c>
      <c r="Q11" t="s">
        <v>13716</v>
      </c>
      <c r="R11" s="2650" t="s">
        <v>13710</v>
      </c>
      <c r="S11">
        <v>8</v>
      </c>
      <c r="T11" t="s">
        <v>13594</v>
      </c>
      <c r="V11" t="s">
        <v>13723</v>
      </c>
      <c r="W11">
        <f xml:space="preserve"> 18</f>
        <v>18</v>
      </c>
      <c r="Y11" s="2598" t="s">
        <v>13602</v>
      </c>
      <c r="AB11" s="2" t="s">
        <v>14477</v>
      </c>
      <c r="AC11" s="2" t="s">
        <v>14480</v>
      </c>
      <c r="AD11" s="1">
        <v>80</v>
      </c>
    </row>
    <row r="12" spans="1:31" ht="15.75" thickTop="1">
      <c r="A12" s="2" t="s">
        <v>759</v>
      </c>
      <c r="B12" s="2" t="s">
        <v>11754</v>
      </c>
      <c r="C12" s="2665" t="s">
        <v>11751</v>
      </c>
      <c r="D12" t="s">
        <v>760</v>
      </c>
      <c r="E12">
        <v>108</v>
      </c>
      <c r="F12" t="s">
        <v>1408</v>
      </c>
      <c r="G12" t="s">
        <v>11858</v>
      </c>
      <c r="K12" s="1" t="s">
        <v>11909</v>
      </c>
      <c r="L12" s="1" t="s">
        <v>11910</v>
      </c>
      <c r="M12" s="1">
        <v>2</v>
      </c>
      <c r="N12" s="1">
        <v>220</v>
      </c>
      <c r="O12" s="1">
        <f>M12*N12</f>
        <v>440</v>
      </c>
      <c r="Q12" t="s">
        <v>7044</v>
      </c>
      <c r="R12" s="2650" t="s">
        <v>13724</v>
      </c>
      <c r="S12">
        <v>21</v>
      </c>
      <c r="T12" t="s">
        <v>13735</v>
      </c>
      <c r="V12" t="s">
        <v>13597</v>
      </c>
      <c r="W12">
        <f xml:space="preserve"> 8</f>
        <v>8</v>
      </c>
      <c r="Y12" s="2598" t="s">
        <v>13603</v>
      </c>
    </row>
    <row r="13" spans="1:31" ht="15">
      <c r="A13" s="2" t="s">
        <v>702</v>
      </c>
      <c r="B13" s="2" t="s">
        <v>10688</v>
      </c>
      <c r="C13" s="2665" t="s">
        <v>11752</v>
      </c>
      <c r="D13" t="s">
        <v>761</v>
      </c>
      <c r="E13">
        <v>120</v>
      </c>
      <c r="F13" t="s">
        <v>1409</v>
      </c>
      <c r="G13" t="s">
        <v>11858</v>
      </c>
      <c r="I13" t="s">
        <v>11516</v>
      </c>
      <c r="K13" s="1" t="s">
        <v>11909</v>
      </c>
      <c r="L13" s="1" t="s">
        <v>11911</v>
      </c>
      <c r="M13" s="1">
        <v>9</v>
      </c>
      <c r="N13" s="1">
        <v>100</v>
      </c>
      <c r="O13" s="1">
        <f>M13*N13</f>
        <v>900</v>
      </c>
      <c r="Q13" t="s">
        <v>13717</v>
      </c>
      <c r="R13" s="2650" t="s">
        <v>13718</v>
      </c>
      <c r="S13">
        <v>74</v>
      </c>
      <c r="T13" t="s">
        <v>13736</v>
      </c>
      <c r="V13" t="s">
        <v>13598</v>
      </c>
      <c r="W13">
        <v>3</v>
      </c>
      <c r="Y13" s="2598" t="s">
        <v>13604</v>
      </c>
    </row>
    <row r="14" spans="1:31">
      <c r="A14" s="2" t="s">
        <v>762</v>
      </c>
      <c r="C14"/>
      <c r="F14" t="s">
        <v>763</v>
      </c>
      <c r="G14" t="s">
        <v>11858</v>
      </c>
      <c r="K14" s="1" t="s">
        <v>11909</v>
      </c>
      <c r="L14" s="1" t="s">
        <v>11912</v>
      </c>
      <c r="M14" s="1">
        <v>1</v>
      </c>
      <c r="N14" s="1">
        <v>100</v>
      </c>
      <c r="O14" s="1">
        <f>M14*N14</f>
        <v>100</v>
      </c>
      <c r="Q14" t="s">
        <v>13595</v>
      </c>
      <c r="R14" s="2650" t="s">
        <v>13596</v>
      </c>
      <c r="S14">
        <v>238</v>
      </c>
      <c r="T14" t="s">
        <v>13737</v>
      </c>
      <c r="V14" t="s">
        <v>13738</v>
      </c>
      <c r="W14">
        <v>1</v>
      </c>
    </row>
    <row r="15" spans="1:31">
      <c r="A15" s="2" t="s">
        <v>764</v>
      </c>
      <c r="C15"/>
      <c r="D15" t="s">
        <v>766</v>
      </c>
      <c r="E15" t="s">
        <v>767</v>
      </c>
      <c r="F15" t="s">
        <v>765</v>
      </c>
      <c r="K15" t="s">
        <v>11909</v>
      </c>
      <c r="L15" t="s">
        <v>14521</v>
      </c>
      <c r="M15">
        <v>3</v>
      </c>
      <c r="N15">
        <f>S31*Таблиця105[[#This Row],['# Units]]</f>
        <v>387</v>
      </c>
      <c r="O15" s="1">
        <f t="shared" ref="O15:O17" si="0">M15*N15</f>
        <v>1161</v>
      </c>
      <c r="Q15" t="s">
        <v>11879</v>
      </c>
      <c r="R15" s="2650" t="s">
        <v>13711</v>
      </c>
      <c r="S15">
        <v>500</v>
      </c>
      <c r="T15" t="s">
        <v>13739</v>
      </c>
      <c r="V15" t="s">
        <v>6070</v>
      </c>
      <c r="W15">
        <f>SUM(W11:W14)</f>
        <v>30</v>
      </c>
    </row>
    <row r="16" spans="1:31">
      <c r="A16" s="2" t="s">
        <v>768</v>
      </c>
      <c r="C16"/>
      <c r="D16" t="s">
        <v>770</v>
      </c>
      <c r="F16" t="s">
        <v>769</v>
      </c>
      <c r="K16" s="1" t="s">
        <v>11909</v>
      </c>
      <c r="L16" t="s">
        <v>14702</v>
      </c>
      <c r="M16">
        <v>1</v>
      </c>
      <c r="N16">
        <f>S5</f>
        <v>28</v>
      </c>
      <c r="O16" s="1">
        <f t="shared" si="0"/>
        <v>28</v>
      </c>
      <c r="Q16" t="s">
        <v>14458</v>
      </c>
      <c r="R16" s="2650"/>
    </row>
    <row r="17" spans="1:29">
      <c r="A17" s="2" t="s">
        <v>11514</v>
      </c>
      <c r="C17"/>
      <c r="I17" t="s">
        <v>11515</v>
      </c>
      <c r="K17" s="1" t="s">
        <v>11909</v>
      </c>
      <c r="L17" t="s">
        <v>14703</v>
      </c>
      <c r="M17">
        <v>1</v>
      </c>
      <c r="N17">
        <f>S5*2</f>
        <v>56</v>
      </c>
      <c r="O17" s="1">
        <f t="shared" si="0"/>
        <v>56</v>
      </c>
      <c r="Q17" t="s">
        <v>13591</v>
      </c>
      <c r="R17" t="s">
        <v>13592</v>
      </c>
      <c r="S17" t="s">
        <v>13593</v>
      </c>
      <c r="T17" t="s">
        <v>13606</v>
      </c>
      <c r="V17" s="2600" t="s">
        <v>13590</v>
      </c>
      <c r="W17" s="2602" t="s">
        <v>10914</v>
      </c>
    </row>
    <row r="18" spans="1:29" ht="17.25" thickBot="1">
      <c r="A18" s="2" t="s">
        <v>11857</v>
      </c>
      <c r="C18"/>
      <c r="K18" s="2658" t="s">
        <v>6070</v>
      </c>
      <c r="L18" s="2658" t="s">
        <v>6070</v>
      </c>
      <c r="M18" s="2658"/>
      <c r="N18" s="2658"/>
      <c r="O18" s="2658">
        <f>SUM(O12:O17)</f>
        <v>2685</v>
      </c>
      <c r="Q18" t="s">
        <v>13719</v>
      </c>
      <c r="R18" t="s">
        <v>13725</v>
      </c>
      <c r="S18">
        <v>6</v>
      </c>
      <c r="T18" t="s">
        <v>13607</v>
      </c>
      <c r="V18" t="s">
        <v>14571</v>
      </c>
      <c r="W18">
        <v>8</v>
      </c>
      <c r="Y18" s="2551" t="s">
        <v>11879</v>
      </c>
      <c r="Z18" s="2551" t="s">
        <v>1875</v>
      </c>
      <c r="AA18" s="2551" t="s">
        <v>14733</v>
      </c>
      <c r="AB18" s="2551" t="s">
        <v>13519</v>
      </c>
      <c r="AC18" s="2551" t="s">
        <v>14662</v>
      </c>
    </row>
    <row r="19" spans="1:29" ht="18" thickTop="1" thickBot="1">
      <c r="K19" s="2658" t="s">
        <v>11917</v>
      </c>
      <c r="L19" s="2658"/>
      <c r="M19" s="2658"/>
      <c r="N19" s="2658"/>
      <c r="O19" s="2658">
        <f>O18+O11+O7</f>
        <v>18285</v>
      </c>
      <c r="Q19" t="s">
        <v>13720</v>
      </c>
      <c r="R19" t="s">
        <v>13712</v>
      </c>
      <c r="S19">
        <f>2*S18+4</f>
        <v>16</v>
      </c>
      <c r="T19" t="s">
        <v>13740</v>
      </c>
      <c r="V19" t="s">
        <v>14566</v>
      </c>
      <c r="W19">
        <v>6</v>
      </c>
      <c r="Y19" s="2551">
        <v>1</v>
      </c>
      <c r="Z19" s="2551" t="s">
        <v>12200</v>
      </c>
      <c r="AA19" s="2551" t="s">
        <v>415</v>
      </c>
      <c r="AB19" s="2551"/>
      <c r="AC19" s="2551"/>
    </row>
    <row r="20" spans="1:29" ht="18" thickTop="1">
      <c r="D20" s="2664" t="s">
        <v>11514</v>
      </c>
      <c r="E20" s="2664" t="s">
        <v>14690</v>
      </c>
      <c r="F20" s="2598" t="s">
        <v>14692</v>
      </c>
      <c r="G20" t="s">
        <v>83</v>
      </c>
      <c r="Q20" t="s">
        <v>13609</v>
      </c>
      <c r="R20" t="s">
        <v>13721</v>
      </c>
      <c r="S20">
        <v>42</v>
      </c>
      <c r="T20" t="s">
        <v>13741</v>
      </c>
      <c r="V20" t="s">
        <v>13598</v>
      </c>
      <c r="W20">
        <v>3</v>
      </c>
      <c r="Y20" s="2551">
        <v>2</v>
      </c>
      <c r="Z20" s="2551" t="s">
        <v>12200</v>
      </c>
      <c r="AA20" s="2551" t="s">
        <v>415</v>
      </c>
      <c r="AB20" s="2551"/>
      <c r="AC20" s="2551"/>
    </row>
    <row r="21" spans="1:29" ht="17.25">
      <c r="D21" s="2664" t="s">
        <v>14689</v>
      </c>
      <c r="E21" s="2664" t="s">
        <v>14691</v>
      </c>
      <c r="Q21" t="s">
        <v>13595</v>
      </c>
      <c r="R21" t="s">
        <v>13713</v>
      </c>
      <c r="S21">
        <v>100</v>
      </c>
      <c r="T21" t="s">
        <v>13742</v>
      </c>
      <c r="V21" t="s">
        <v>14567</v>
      </c>
      <c r="W21">
        <v>1</v>
      </c>
      <c r="Y21" s="2551">
        <v>3</v>
      </c>
      <c r="Z21" s="2551" t="s">
        <v>12200</v>
      </c>
      <c r="AA21" s="2551" t="s">
        <v>415</v>
      </c>
      <c r="AB21" s="2551"/>
      <c r="AC21" s="2551"/>
    </row>
    <row r="22" spans="1:29">
      <c r="Q22" t="s">
        <v>11879</v>
      </c>
      <c r="R22" t="s">
        <v>13711</v>
      </c>
      <c r="S22">
        <v>220</v>
      </c>
      <c r="T22" t="s">
        <v>13743</v>
      </c>
      <c r="V22" s="2597" t="s">
        <v>6070</v>
      </c>
      <c r="W22">
        <f>SUM(W18:W21)</f>
        <v>18</v>
      </c>
      <c r="Y22" s="2551">
        <v>4</v>
      </c>
      <c r="Z22" s="2551" t="s">
        <v>12200</v>
      </c>
      <c r="AA22" s="2551"/>
      <c r="AB22" s="2551"/>
      <c r="AC22" s="2551"/>
    </row>
    <row r="23" spans="1:29">
      <c r="Q23" t="s">
        <v>13611</v>
      </c>
      <c r="Y23" s="2551">
        <v>5</v>
      </c>
      <c r="Z23" s="2551" t="s">
        <v>12200</v>
      </c>
      <c r="AA23" s="2551"/>
      <c r="AB23" s="2551"/>
      <c r="AC23" s="2551"/>
    </row>
    <row r="24" spans="1:29">
      <c r="Q24" s="2600" t="s">
        <v>13591</v>
      </c>
      <c r="R24" s="2601" t="s">
        <v>13592</v>
      </c>
      <c r="S24" s="2601" t="s">
        <v>13593</v>
      </c>
      <c r="T24" s="2602" t="s">
        <v>13606</v>
      </c>
      <c r="Y24" s="2551" t="s">
        <v>14824</v>
      </c>
      <c r="Z24" s="2551" t="s">
        <v>12200</v>
      </c>
      <c r="AA24" s="2551" t="s">
        <v>1</v>
      </c>
      <c r="AB24" s="2551"/>
      <c r="AC24" s="2551"/>
    </row>
    <row r="25" spans="1:29">
      <c r="Q25" t="s">
        <v>13609</v>
      </c>
      <c r="R25" t="s">
        <v>13721</v>
      </c>
      <c r="S25">
        <v>24</v>
      </c>
      <c r="T25" t="s">
        <v>14515</v>
      </c>
      <c r="Y25" s="2551">
        <v>7</v>
      </c>
      <c r="Z25" s="2551" t="s">
        <v>12200</v>
      </c>
      <c r="AA25" s="2551"/>
      <c r="AB25" s="2551"/>
      <c r="AC25" s="2551"/>
    </row>
    <row r="26" spans="1:29">
      <c r="Q26" t="s">
        <v>13714</v>
      </c>
      <c r="R26" t="s">
        <v>13610</v>
      </c>
      <c r="S26">
        <f>S25*4+4</f>
        <v>100</v>
      </c>
      <c r="T26" t="s">
        <v>13744</v>
      </c>
      <c r="Y26" s="2551">
        <v>8</v>
      </c>
      <c r="Z26" s="2551" t="s">
        <v>12200</v>
      </c>
      <c r="AA26" s="2551"/>
      <c r="AB26" s="2551"/>
      <c r="AC26" s="2551"/>
    </row>
    <row r="27" spans="1:29">
      <c r="Q27" t="s">
        <v>14459</v>
      </c>
      <c r="Y27" s="2551">
        <v>9</v>
      </c>
      <c r="Z27" s="2551" t="s">
        <v>12200</v>
      </c>
      <c r="AA27" s="2551"/>
      <c r="AB27" s="2551"/>
      <c r="AC27" s="2551"/>
    </row>
    <row r="28" spans="1:29">
      <c r="Q28" s="2600" t="s">
        <v>13591</v>
      </c>
      <c r="R28" s="2601" t="s">
        <v>13592</v>
      </c>
      <c r="S28" s="2601" t="s">
        <v>13593</v>
      </c>
      <c r="T28" s="2602" t="s">
        <v>13606</v>
      </c>
      <c r="Y28" s="2551">
        <v>10</v>
      </c>
      <c r="Z28" s="2551" t="s">
        <v>12200</v>
      </c>
      <c r="AA28" s="2551"/>
      <c r="AB28" s="2551"/>
      <c r="AC28" s="2551"/>
    </row>
    <row r="29" spans="1:29">
      <c r="D29" t="s">
        <v>13605</v>
      </c>
      <c r="Q29" t="s">
        <v>14490</v>
      </c>
      <c r="R29" t="s">
        <v>14514</v>
      </c>
      <c r="S29">
        <v>7</v>
      </c>
      <c r="T29" t="s">
        <v>14522</v>
      </c>
      <c r="Y29" s="2551">
        <v>11</v>
      </c>
      <c r="Z29" s="2551" t="s">
        <v>12200</v>
      </c>
      <c r="AA29" s="2551"/>
      <c r="AB29" s="2551"/>
      <c r="AC29" s="2551"/>
    </row>
    <row r="30" spans="1:29">
      <c r="K30" s="2" t="s">
        <v>14694</v>
      </c>
      <c r="Q30" t="s">
        <v>14511</v>
      </c>
      <c r="R30" t="s">
        <v>14512</v>
      </c>
      <c r="S30">
        <v>31</v>
      </c>
      <c r="T30" t="s">
        <v>14523</v>
      </c>
      <c r="Y30" s="2551">
        <v>12</v>
      </c>
      <c r="Z30" s="2551" t="s">
        <v>12200</v>
      </c>
      <c r="AA30" s="2551"/>
      <c r="AB30" s="2551"/>
      <c r="AC30" s="2551"/>
    </row>
    <row r="31" spans="1:29">
      <c r="Q31" s="2645" t="s">
        <v>13714</v>
      </c>
      <c r="R31" s="2646" t="s">
        <v>14513</v>
      </c>
      <c r="S31">
        <f>S30*4+5</f>
        <v>129</v>
      </c>
      <c r="T31" t="s">
        <v>14524</v>
      </c>
      <c r="Y31" s="2551">
        <v>13</v>
      </c>
      <c r="Z31" s="2551" t="s">
        <v>12200</v>
      </c>
      <c r="AA31" s="2551"/>
      <c r="AB31" s="2551"/>
      <c r="AC31" s="2551"/>
    </row>
    <row r="32" spans="1:29">
      <c r="Y32" s="2551" t="s">
        <v>14823</v>
      </c>
      <c r="Z32" s="2551" t="s">
        <v>13588</v>
      </c>
      <c r="AA32" s="2551"/>
      <c r="AB32" s="2551"/>
      <c r="AC32" s="2551"/>
    </row>
    <row r="33" spans="1:29">
      <c r="Y33" s="2551">
        <v>2</v>
      </c>
      <c r="Z33" s="2551" t="s">
        <v>13588</v>
      </c>
      <c r="AA33" s="2551" t="s">
        <v>1</v>
      </c>
      <c r="AB33" s="2551"/>
      <c r="AC33" s="2551"/>
    </row>
    <row r="34" spans="1:29">
      <c r="Q34" t="s">
        <v>1875</v>
      </c>
      <c r="R34" s="1" t="s">
        <v>14549</v>
      </c>
      <c r="S34" t="s">
        <v>1725</v>
      </c>
      <c r="T34" t="s">
        <v>10914</v>
      </c>
      <c r="Y34" s="2551">
        <v>3</v>
      </c>
      <c r="Z34" s="2551" t="s">
        <v>13588</v>
      </c>
      <c r="AA34" s="2551"/>
      <c r="AB34" s="2551"/>
      <c r="AC34" s="2551"/>
    </row>
    <row r="35" spans="1:29">
      <c r="Q35" t="s">
        <v>14562</v>
      </c>
      <c r="R35" t="s">
        <v>14560</v>
      </c>
      <c r="S35">
        <v>4</v>
      </c>
      <c r="T35">
        <f>96/4</f>
        <v>24</v>
      </c>
      <c r="Y35" s="2551">
        <v>4</v>
      </c>
      <c r="Z35" s="2551" t="s">
        <v>13588</v>
      </c>
      <c r="AA35" s="2551"/>
      <c r="AB35" s="2551"/>
      <c r="AC35" s="2551"/>
    </row>
    <row r="36" spans="1:29">
      <c r="Q36" s="1" t="s">
        <v>14562</v>
      </c>
      <c r="R36" t="s">
        <v>14561</v>
      </c>
      <c r="S36">
        <v>12</v>
      </c>
      <c r="T36">
        <f>T35/3</f>
        <v>8</v>
      </c>
      <c r="Y36" s="2551">
        <v>5</v>
      </c>
      <c r="Z36" s="2551" t="s">
        <v>13588</v>
      </c>
      <c r="AA36" s="2551"/>
      <c r="AB36" s="2551"/>
      <c r="AC36" s="2551"/>
    </row>
    <row r="37" spans="1:29">
      <c r="A37" s="1" t="s">
        <v>1875</v>
      </c>
      <c r="B37" s="1" t="s">
        <v>6592</v>
      </c>
      <c r="C37" s="1" t="s">
        <v>13601</v>
      </c>
      <c r="D37" t="s">
        <v>6001</v>
      </c>
      <c r="E37" t="s">
        <v>6000</v>
      </c>
      <c r="F37" t="s">
        <v>1933</v>
      </c>
      <c r="G37" s="1" t="s">
        <v>10472</v>
      </c>
      <c r="H37" s="1" t="s">
        <v>14577</v>
      </c>
      <c r="I37" s="1" t="s">
        <v>14520</v>
      </c>
      <c r="K37" s="2" t="s">
        <v>774</v>
      </c>
      <c r="L37" s="2" t="s">
        <v>11749</v>
      </c>
      <c r="N37" t="s">
        <v>14700</v>
      </c>
      <c r="O37" t="s">
        <v>11749</v>
      </c>
      <c r="Q37" t="s">
        <v>14563</v>
      </c>
      <c r="R37" t="s">
        <v>14564</v>
      </c>
      <c r="S37">
        <v>3</v>
      </c>
      <c r="T37">
        <v>12</v>
      </c>
      <c r="Y37" s="2551">
        <v>6</v>
      </c>
      <c r="Z37" s="2551" t="s">
        <v>13588</v>
      </c>
      <c r="AA37" s="2551"/>
      <c r="AB37" s="2551"/>
      <c r="AC37" s="2551"/>
    </row>
    <row r="38" spans="1:29" ht="15">
      <c r="A38" s="2598" t="s">
        <v>13589</v>
      </c>
      <c r="B38" s="1" t="s">
        <v>14572</v>
      </c>
      <c r="C38" s="1" t="s">
        <v>13722</v>
      </c>
      <c r="D38" t="s">
        <v>14580</v>
      </c>
      <c r="E38" t="s">
        <v>14590</v>
      </c>
      <c r="F38" s="2525" t="s">
        <v>2462</v>
      </c>
      <c r="G38" s="1"/>
      <c r="I38" s="1"/>
      <c r="K38" s="2" t="s">
        <v>762</v>
      </c>
      <c r="L38" s="2" t="s">
        <v>11859</v>
      </c>
      <c r="N38" s="2598" t="s">
        <v>14701</v>
      </c>
      <c r="O38" s="2667" t="s">
        <v>14714</v>
      </c>
      <c r="Q38" s="1" t="s">
        <v>14563</v>
      </c>
      <c r="R38" t="s">
        <v>14561</v>
      </c>
      <c r="S38">
        <f>3*S37</f>
        <v>9</v>
      </c>
      <c r="T38">
        <v>4</v>
      </c>
      <c r="Y38" s="2551" t="s">
        <v>14823</v>
      </c>
      <c r="Z38" s="2551" t="s">
        <v>13585</v>
      </c>
      <c r="AA38" s="2551" t="s">
        <v>415</v>
      </c>
      <c r="AB38" s="2551"/>
      <c r="AC38" s="2551"/>
    </row>
    <row r="39" spans="1:29" ht="15">
      <c r="A39" s="2598" t="s">
        <v>13589</v>
      </c>
      <c r="B39" s="1" t="s">
        <v>10067</v>
      </c>
      <c r="C39" s="1" t="s">
        <v>13715</v>
      </c>
      <c r="D39" t="s">
        <v>14591</v>
      </c>
      <c r="E39" t="s">
        <v>2727</v>
      </c>
      <c r="F39" s="2525" t="s">
        <v>2462</v>
      </c>
      <c r="G39" s="1"/>
      <c r="I39" s="1"/>
      <c r="K39" s="2" t="s">
        <v>11860</v>
      </c>
      <c r="L39" s="2" t="s">
        <v>11861</v>
      </c>
      <c r="N39" s="2598" t="s">
        <v>14702</v>
      </c>
      <c r="O39" s="2598" t="s">
        <v>14705</v>
      </c>
      <c r="Y39" s="2551">
        <v>2</v>
      </c>
      <c r="Z39" s="2551" t="s">
        <v>13585</v>
      </c>
      <c r="AA39" s="2551" t="s">
        <v>83</v>
      </c>
      <c r="AB39" s="2551"/>
      <c r="AC39" s="2551"/>
    </row>
    <row r="40" spans="1:29" ht="15">
      <c r="A40" s="2598" t="s">
        <v>13588</v>
      </c>
      <c r="B40" s="1" t="s">
        <v>14572</v>
      </c>
      <c r="C40" s="1" t="s">
        <v>13727</v>
      </c>
      <c r="D40" s="1" t="s">
        <v>14579</v>
      </c>
      <c r="E40" t="s">
        <v>14592</v>
      </c>
      <c r="F40" s="2525" t="s">
        <v>2462</v>
      </c>
      <c r="G40" s="1"/>
      <c r="I40" s="1"/>
      <c r="K40" s="2" t="s">
        <v>14518</v>
      </c>
      <c r="L40" s="2" t="s">
        <v>11862</v>
      </c>
      <c r="N40" t="s">
        <v>14703</v>
      </c>
      <c r="O40" s="2598" t="s">
        <v>14704</v>
      </c>
      <c r="Y40" s="2551">
        <v>1</v>
      </c>
      <c r="Z40" s="2551" t="s">
        <v>12194</v>
      </c>
      <c r="AA40" s="2551"/>
      <c r="AB40" s="2551"/>
      <c r="AC40" s="2551"/>
    </row>
    <row r="41" spans="1:29" ht="15">
      <c r="A41" s="2598" t="s">
        <v>13588</v>
      </c>
      <c r="B41" s="1" t="s">
        <v>13590</v>
      </c>
      <c r="C41" s="1" t="s">
        <v>13728</v>
      </c>
      <c r="D41" s="1" t="s">
        <v>14579</v>
      </c>
      <c r="E41" s="1" t="s">
        <v>2727</v>
      </c>
      <c r="F41" s="2525" t="s">
        <v>2462</v>
      </c>
      <c r="G41" s="1"/>
      <c r="I41" s="1"/>
      <c r="K41" s="2" t="s">
        <v>11863</v>
      </c>
      <c r="L41" s="2" t="s">
        <v>11864</v>
      </c>
      <c r="Y41" s="2551">
        <v>2</v>
      </c>
      <c r="Z41" s="2551" t="s">
        <v>12194</v>
      </c>
      <c r="AA41" s="2551"/>
      <c r="AB41" s="2551"/>
      <c r="AC41" s="2551"/>
    </row>
    <row r="42" spans="1:29">
      <c r="A42" s="1" t="s">
        <v>13585</v>
      </c>
      <c r="B42" s="1" t="s">
        <v>14572</v>
      </c>
      <c r="C42" s="1" t="s">
        <v>13586</v>
      </c>
      <c r="D42" t="s">
        <v>14593</v>
      </c>
      <c r="E42" t="s">
        <v>14594</v>
      </c>
      <c r="F42" s="2525" t="s">
        <v>2462</v>
      </c>
      <c r="G42" s="1"/>
      <c r="I42" s="1"/>
      <c r="K42" s="2" t="s">
        <v>11865</v>
      </c>
      <c r="L42" s="2"/>
      <c r="Y42" s="2551">
        <v>3</v>
      </c>
      <c r="Z42" s="2551" t="s">
        <v>12194</v>
      </c>
      <c r="AA42" s="2551"/>
      <c r="AB42" s="2551"/>
      <c r="AC42" s="2551"/>
    </row>
    <row r="43" spans="1:29">
      <c r="A43" s="1" t="s">
        <v>13585</v>
      </c>
      <c r="B43" s="1" t="s">
        <v>13590</v>
      </c>
      <c r="C43" s="1" t="s">
        <v>13587</v>
      </c>
      <c r="D43" t="s">
        <v>14581</v>
      </c>
      <c r="E43" t="s">
        <v>2727</v>
      </c>
      <c r="F43" s="2525" t="s">
        <v>2462</v>
      </c>
      <c r="G43" s="1"/>
      <c r="I43" s="1"/>
      <c r="K43" s="2" t="s">
        <v>11867</v>
      </c>
      <c r="L43" s="2" t="s">
        <v>11866</v>
      </c>
      <c r="Y43" s="2551">
        <v>4</v>
      </c>
      <c r="Z43" s="2551" t="s">
        <v>12194</v>
      </c>
      <c r="AA43" s="2551"/>
      <c r="AB43" s="2551"/>
      <c r="AC43" s="2551"/>
    </row>
    <row r="44" spans="1:29" ht="15">
      <c r="A44" s="2598" t="s">
        <v>13599</v>
      </c>
      <c r="B44" s="1" t="s">
        <v>14572</v>
      </c>
      <c r="C44" s="1" t="s">
        <v>13729</v>
      </c>
      <c r="D44" t="s">
        <v>14580</v>
      </c>
      <c r="E44" t="s">
        <v>14578</v>
      </c>
      <c r="F44" s="2525" t="s">
        <v>2462</v>
      </c>
      <c r="G44" s="1" t="s">
        <v>14574</v>
      </c>
      <c r="H44" s="1" t="s">
        <v>14583</v>
      </c>
      <c r="I44" s="1" t="s">
        <v>14574</v>
      </c>
      <c r="K44" s="2" t="s">
        <v>11869</v>
      </c>
      <c r="L44" s="2" t="s">
        <v>11868</v>
      </c>
      <c r="Y44" s="2551">
        <v>5</v>
      </c>
      <c r="Z44" s="2551" t="s">
        <v>12194</v>
      </c>
      <c r="AA44" s="2551"/>
      <c r="AB44" s="2551"/>
      <c r="AC44" s="2551"/>
    </row>
    <row r="45" spans="1:29" ht="15">
      <c r="A45" s="2598" t="s">
        <v>13599</v>
      </c>
      <c r="B45" s="1" t="s">
        <v>10067</v>
      </c>
      <c r="C45" s="1" t="s">
        <v>13730</v>
      </c>
      <c r="D45" s="1" t="s">
        <v>14588</v>
      </c>
      <c r="E45" s="1" t="s">
        <v>14578</v>
      </c>
      <c r="F45" s="2525" t="s">
        <v>2462</v>
      </c>
      <c r="G45" s="1" t="s">
        <v>14574</v>
      </c>
      <c r="H45" s="1" t="s">
        <v>14583</v>
      </c>
      <c r="I45" s="1" t="s">
        <v>14574</v>
      </c>
      <c r="K45" s="2" t="s">
        <v>11886</v>
      </c>
      <c r="L45" s="2" t="s">
        <v>11887</v>
      </c>
      <c r="Y45" s="2551">
        <v>6</v>
      </c>
      <c r="Z45" s="2551" t="s">
        <v>12194</v>
      </c>
      <c r="AA45" s="2551"/>
      <c r="AB45" s="2551"/>
      <c r="AC45" s="2551"/>
    </row>
    <row r="46" spans="1:29" ht="15">
      <c r="A46" s="2598" t="s">
        <v>13600</v>
      </c>
      <c r="B46" s="1" t="s">
        <v>14572</v>
      </c>
      <c r="C46" s="1" t="s">
        <v>13731</v>
      </c>
      <c r="D46" t="s">
        <v>14579</v>
      </c>
      <c r="E46" s="1" t="s">
        <v>14578</v>
      </c>
      <c r="F46" s="2525" t="s">
        <v>2462</v>
      </c>
      <c r="G46" s="1" t="s">
        <v>14575</v>
      </c>
      <c r="H46" s="1" t="s">
        <v>14582</v>
      </c>
      <c r="I46" s="1" t="s">
        <v>14575</v>
      </c>
      <c r="K46" s="2" t="s">
        <v>11888</v>
      </c>
      <c r="L46" s="2" t="s">
        <v>11889</v>
      </c>
      <c r="Y46" s="2551" t="s">
        <v>14734</v>
      </c>
      <c r="Z46" s="2551" t="s">
        <v>13600</v>
      </c>
      <c r="AA46" s="2551" t="s">
        <v>1</v>
      </c>
      <c r="AB46" s="2551"/>
      <c r="AC46" s="2551"/>
    </row>
    <row r="47" spans="1:29" ht="15">
      <c r="A47" s="2598" t="s">
        <v>13600</v>
      </c>
      <c r="B47" s="1" t="s">
        <v>13590</v>
      </c>
      <c r="C47" s="1" t="s">
        <v>13732</v>
      </c>
      <c r="D47" t="s">
        <v>14581</v>
      </c>
      <c r="E47" s="1" t="s">
        <v>14578</v>
      </c>
      <c r="F47" s="2525" t="s">
        <v>2462</v>
      </c>
      <c r="G47" s="1" t="s">
        <v>14575</v>
      </c>
      <c r="H47" s="1" t="s">
        <v>14584</v>
      </c>
      <c r="I47" s="1" t="s">
        <v>14575</v>
      </c>
      <c r="K47" s="2" t="s">
        <v>11890</v>
      </c>
      <c r="L47" s="2" t="s">
        <v>11891</v>
      </c>
      <c r="Y47" s="2551" t="s">
        <v>14735</v>
      </c>
      <c r="Z47" s="2551" t="s">
        <v>13600</v>
      </c>
      <c r="AA47" s="2551" t="s">
        <v>415</v>
      </c>
      <c r="AB47" s="2551"/>
      <c r="AC47" s="2551"/>
    </row>
    <row r="48" spans="1:29" ht="15">
      <c r="A48" s="2598" t="s">
        <v>13608</v>
      </c>
      <c r="B48" s="1" t="s">
        <v>14572</v>
      </c>
      <c r="C48" s="1" t="s">
        <v>14587</v>
      </c>
      <c r="D48" s="1" t="s">
        <v>8292</v>
      </c>
      <c r="E48" s="1" t="s">
        <v>14585</v>
      </c>
      <c r="F48" t="s">
        <v>9175</v>
      </c>
      <c r="G48" s="1" t="s">
        <v>14576</v>
      </c>
      <c r="I48" s="1" t="s">
        <v>14576</v>
      </c>
      <c r="K48" s="2" t="s">
        <v>11892</v>
      </c>
      <c r="L48" s="2" t="s">
        <v>11893</v>
      </c>
      <c r="Y48" s="2551">
        <v>1</v>
      </c>
      <c r="Z48" s="2551" t="s">
        <v>11910</v>
      </c>
      <c r="AA48" s="2551"/>
      <c r="AB48" s="2551"/>
      <c r="AC48" s="2551"/>
    </row>
    <row r="49" spans="1:29" ht="15">
      <c r="A49" s="2598" t="s">
        <v>13608</v>
      </c>
      <c r="B49" s="1" t="s">
        <v>13590</v>
      </c>
      <c r="C49" s="1" t="s">
        <v>14586</v>
      </c>
      <c r="D49" t="s">
        <v>8306</v>
      </c>
      <c r="E49" s="1" t="s">
        <v>14585</v>
      </c>
      <c r="F49" s="1" t="s">
        <v>9175</v>
      </c>
      <c r="G49" s="1" t="s">
        <v>14576</v>
      </c>
      <c r="I49" s="1" t="s">
        <v>14576</v>
      </c>
      <c r="K49" s="2" t="s">
        <v>10080</v>
      </c>
      <c r="L49" s="2" t="s">
        <v>11894</v>
      </c>
      <c r="Y49" s="2551">
        <v>2</v>
      </c>
      <c r="Z49" s="2551" t="s">
        <v>11910</v>
      </c>
      <c r="AA49" s="2551"/>
      <c r="AB49" s="2551"/>
      <c r="AC49" s="2551"/>
    </row>
    <row r="50" spans="1:29" ht="15">
      <c r="A50" s="2598" t="s">
        <v>13611</v>
      </c>
      <c r="B50" s="1" t="s">
        <v>14572</v>
      </c>
      <c r="C50" s="1" t="s">
        <v>13733</v>
      </c>
      <c r="D50" t="s">
        <v>8292</v>
      </c>
      <c r="E50" t="s">
        <v>14589</v>
      </c>
      <c r="F50" s="2525" t="s">
        <v>2462</v>
      </c>
      <c r="G50" s="1"/>
      <c r="I50" s="1"/>
      <c r="K50" s="2" t="s">
        <v>11895</v>
      </c>
      <c r="L50" s="2" t="s">
        <v>11896</v>
      </c>
      <c r="Y50" s="2551">
        <v>1</v>
      </c>
      <c r="Z50" s="2551" t="s">
        <v>11911</v>
      </c>
      <c r="AA50" s="2551" t="s">
        <v>415</v>
      </c>
      <c r="AB50" s="2551"/>
      <c r="AC50" s="2551"/>
    </row>
    <row r="51" spans="1:29" ht="15">
      <c r="A51" s="2598" t="s">
        <v>13611</v>
      </c>
      <c r="B51" s="1" t="s">
        <v>13590</v>
      </c>
      <c r="C51" s="1" t="s">
        <v>13734</v>
      </c>
      <c r="D51" s="1" t="s">
        <v>8306</v>
      </c>
      <c r="E51" s="1" t="s">
        <v>14589</v>
      </c>
      <c r="F51" s="2525" t="s">
        <v>2462</v>
      </c>
      <c r="G51" s="1"/>
      <c r="I51" s="1"/>
      <c r="K51" s="2" t="s">
        <v>11897</v>
      </c>
      <c r="L51" s="2" t="s">
        <v>11898</v>
      </c>
      <c r="Y51" s="2551">
        <v>2</v>
      </c>
      <c r="Z51" s="2551" t="s">
        <v>11911</v>
      </c>
      <c r="AA51" s="2551"/>
      <c r="AB51" s="2551"/>
      <c r="AC51" s="2551"/>
    </row>
    <row r="52" spans="1:29" s="1" customFormat="1" ht="15">
      <c r="A52" s="2598" t="s">
        <v>14573</v>
      </c>
      <c r="B52" s="1" t="s">
        <v>14572</v>
      </c>
      <c r="D52" s="1" t="s">
        <v>8292</v>
      </c>
      <c r="E52" s="1" t="s">
        <v>2898</v>
      </c>
      <c r="F52" s="2525" t="s">
        <v>2462</v>
      </c>
      <c r="K52" s="2" t="s">
        <v>14519</v>
      </c>
      <c r="L52" s="2" t="s">
        <v>14517</v>
      </c>
      <c r="Y52" s="2551">
        <v>3</v>
      </c>
      <c r="Z52" s="2551" t="s">
        <v>11911</v>
      </c>
      <c r="AA52" s="2551"/>
      <c r="AB52" s="2551"/>
      <c r="AC52" s="2551"/>
    </row>
    <row r="53" spans="1:29" s="1" customFormat="1" ht="15">
      <c r="A53" s="2598" t="s">
        <v>14573</v>
      </c>
      <c r="B53" s="1" t="s">
        <v>13590</v>
      </c>
      <c r="D53" s="1" t="s">
        <v>8292</v>
      </c>
      <c r="E53" s="1" t="s">
        <v>2898</v>
      </c>
      <c r="F53" s="2525" t="s">
        <v>2462</v>
      </c>
      <c r="K53" s="2" t="s">
        <v>14695</v>
      </c>
      <c r="L53" s="2" t="s">
        <v>14696</v>
      </c>
      <c r="Y53" s="2551">
        <v>4</v>
      </c>
      <c r="Z53" s="2551" t="s">
        <v>11911</v>
      </c>
      <c r="AA53" s="2551"/>
      <c r="AB53" s="2551"/>
      <c r="AC53" s="2551"/>
    </row>
    <row r="54" spans="1:29" s="1" customFormat="1" ht="15">
      <c r="A54" s="2598" t="s">
        <v>764</v>
      </c>
      <c r="B54" s="1" t="s">
        <v>13590</v>
      </c>
      <c r="D54" s="1" t="s">
        <v>14581</v>
      </c>
      <c r="E54" s="1" t="s">
        <v>14595</v>
      </c>
      <c r="F54" s="2525" t="s">
        <v>2462</v>
      </c>
      <c r="K54" s="2" t="s">
        <v>14698</v>
      </c>
      <c r="L54" s="2" t="s">
        <v>14699</v>
      </c>
      <c r="Y54" s="2551">
        <v>5</v>
      </c>
      <c r="Z54" s="2551" t="s">
        <v>11911</v>
      </c>
      <c r="AA54" s="2551"/>
      <c r="AB54" s="2551"/>
      <c r="AC54" s="2551"/>
    </row>
    <row r="55" spans="1:29" s="1" customFormat="1" ht="15">
      <c r="A55" s="2598" t="s">
        <v>14596</v>
      </c>
      <c r="B55" s="1" t="s">
        <v>14572</v>
      </c>
      <c r="K55" t="s">
        <v>11884</v>
      </c>
      <c r="L55" t="s">
        <v>11885</v>
      </c>
      <c r="M55"/>
      <c r="Y55" s="2551">
        <v>6</v>
      </c>
      <c r="Z55" s="2551" t="s">
        <v>11911</v>
      </c>
      <c r="AA55" s="2551"/>
      <c r="AB55" s="2551"/>
      <c r="AC55" s="2551"/>
    </row>
    <row r="56" spans="1:29" s="1" customFormat="1" ht="15">
      <c r="A56" s="2598" t="s">
        <v>14596</v>
      </c>
      <c r="B56" s="1" t="s">
        <v>13590</v>
      </c>
      <c r="Y56" s="2551">
        <v>7</v>
      </c>
      <c r="Z56" s="2551" t="s">
        <v>11911</v>
      </c>
      <c r="AA56" s="2551"/>
      <c r="AB56" s="2551"/>
      <c r="AC56" s="2551"/>
    </row>
    <row r="57" spans="1:29" s="1" customFormat="1" ht="15">
      <c r="A57" s="2598" t="s">
        <v>14597</v>
      </c>
      <c r="B57" s="1" t="s">
        <v>14572</v>
      </c>
      <c r="K57" s="2660" t="s">
        <v>14549</v>
      </c>
      <c r="L57" s="2660" t="s">
        <v>13650</v>
      </c>
      <c r="M57" s="2660" t="s">
        <v>10914</v>
      </c>
      <c r="N57"/>
      <c r="O57"/>
      <c r="Y57" s="2551">
        <v>8</v>
      </c>
      <c r="Z57" s="2551" t="s">
        <v>11911</v>
      </c>
      <c r="AA57" s="2551"/>
      <c r="AB57" s="2551"/>
      <c r="AC57" s="2551"/>
    </row>
    <row r="58" spans="1:29" s="1" customFormat="1" ht="15">
      <c r="A58" s="2598" t="s">
        <v>14597</v>
      </c>
      <c r="B58" s="1" t="s">
        <v>13590</v>
      </c>
      <c r="K58" s="2551" t="s">
        <v>764</v>
      </c>
      <c r="L58" s="2551" t="s">
        <v>757</v>
      </c>
      <c r="M58" s="2551">
        <v>1</v>
      </c>
      <c r="N58"/>
      <c r="O58"/>
      <c r="Y58" s="2551">
        <v>9</v>
      </c>
      <c r="Z58" s="2551" t="s">
        <v>11911</v>
      </c>
      <c r="AA58" s="2551"/>
      <c r="AB58" s="2551"/>
      <c r="AC58" s="2551"/>
    </row>
    <row r="59" spans="1:29" s="1" customFormat="1" ht="15">
      <c r="A59" s="2598"/>
      <c r="K59" s="2551" t="s">
        <v>14558</v>
      </c>
      <c r="L59" s="2551" t="s">
        <v>754</v>
      </c>
      <c r="M59" s="2551">
        <v>1</v>
      </c>
      <c r="N59"/>
      <c r="O59"/>
      <c r="Y59" s="2551">
        <v>1</v>
      </c>
      <c r="Z59" s="2551" t="s">
        <v>14732</v>
      </c>
      <c r="AA59" s="2551"/>
      <c r="AB59" s="2551"/>
      <c r="AC59" s="2551"/>
    </row>
    <row r="60" spans="1:29" s="1" customFormat="1" ht="15">
      <c r="A60" s="2598"/>
      <c r="K60" s="2551" t="s">
        <v>14558</v>
      </c>
      <c r="L60" s="2551" t="s">
        <v>14559</v>
      </c>
      <c r="M60" s="2551">
        <v>4</v>
      </c>
      <c r="N60"/>
      <c r="O60"/>
      <c r="Y60" s="2551">
        <v>2</v>
      </c>
      <c r="Z60" s="2551" t="s">
        <v>14732</v>
      </c>
      <c r="AA60" s="2551"/>
      <c r="AB60" s="2551"/>
      <c r="AC60" s="2551"/>
    </row>
    <row r="61" spans="1:29">
      <c r="E61" t="s">
        <v>14662</v>
      </c>
      <c r="F61" t="s">
        <v>13519</v>
      </c>
      <c r="G61" t="s">
        <v>14663</v>
      </c>
      <c r="K61" s="2551" t="s">
        <v>14558</v>
      </c>
      <c r="L61" s="2551" t="s">
        <v>14565</v>
      </c>
      <c r="M61" s="2551">
        <f>S35*T35</f>
        <v>96</v>
      </c>
      <c r="Y61" s="2551">
        <v>3</v>
      </c>
      <c r="Z61" s="2551" t="s">
        <v>14732</v>
      </c>
      <c r="AA61" s="2551"/>
      <c r="AB61" s="2551"/>
      <c r="AC61" s="2551"/>
    </row>
    <row r="62" spans="1:29" ht="24.75" thickBot="1">
      <c r="A62" s="2606" t="s">
        <v>13612</v>
      </c>
      <c r="E62" t="s">
        <v>14659</v>
      </c>
      <c r="K62" s="2551" t="s">
        <v>14563</v>
      </c>
      <c r="L62" s="2551" t="s">
        <v>754</v>
      </c>
      <c r="M62" s="2551">
        <v>1</v>
      </c>
      <c r="Y62" s="2551">
        <v>1</v>
      </c>
      <c r="Z62" s="2551" t="s">
        <v>14702</v>
      </c>
      <c r="AA62" s="2551"/>
      <c r="AB62" s="2551"/>
      <c r="AC62" s="2551"/>
    </row>
    <row r="63" spans="1:29" ht="16.5" thickTop="1" thickBot="1">
      <c r="A63" s="2603">
        <v>1</v>
      </c>
      <c r="B63" s="2603" t="s">
        <v>13613</v>
      </c>
      <c r="C63" s="1">
        <v>500</v>
      </c>
      <c r="E63" t="s">
        <v>14660</v>
      </c>
      <c r="K63" s="2551" t="s">
        <v>14563</v>
      </c>
      <c r="L63" s="2551" t="s">
        <v>14559</v>
      </c>
      <c r="M63" s="2551">
        <f>S37</f>
        <v>3</v>
      </c>
      <c r="Y63" s="2551">
        <v>1</v>
      </c>
      <c r="Z63" s="2551" t="s">
        <v>14703</v>
      </c>
      <c r="AA63" s="2551"/>
      <c r="AB63" s="2551"/>
      <c r="AC63" s="2551"/>
    </row>
    <row r="64" spans="1:29" ht="15.75" thickBot="1">
      <c r="A64" s="2603">
        <v>1</v>
      </c>
      <c r="B64" s="2603" t="s">
        <v>13614</v>
      </c>
      <c r="E64" t="s">
        <v>14661</v>
      </c>
      <c r="K64" s="2551" t="s">
        <v>14563</v>
      </c>
      <c r="L64" s="2551" t="s">
        <v>14565</v>
      </c>
      <c r="M64" s="2551">
        <f>S37*T37</f>
        <v>36</v>
      </c>
      <c r="Y64" s="2551">
        <v>1</v>
      </c>
      <c r="Z64" s="2551" t="s">
        <v>11912</v>
      </c>
      <c r="AA64" s="2551"/>
      <c r="AB64" s="2551"/>
      <c r="AC64" s="2551"/>
    </row>
    <row r="65" spans="1:14" ht="17.25" thickBot="1">
      <c r="A65" s="2603">
        <v>1</v>
      </c>
      <c r="B65" s="2603" t="s">
        <v>13615</v>
      </c>
      <c r="K65" s="2658" t="s">
        <v>6088</v>
      </c>
      <c r="L65" s="2658"/>
      <c r="M65" s="2658">
        <f>SUM(M58:M64)</f>
        <v>142</v>
      </c>
      <c r="N65" s="2663" t="s">
        <v>14644</v>
      </c>
    </row>
    <row r="66" spans="1:14" ht="15.75" thickBot="1">
      <c r="A66" s="2603">
        <v>1</v>
      </c>
      <c r="B66" s="2603" t="s">
        <v>13616</v>
      </c>
    </row>
    <row r="67" spans="1:14" ht="15.75" thickBot="1">
      <c r="A67" s="2603">
        <v>1</v>
      </c>
      <c r="B67" s="2603" t="s">
        <v>13617</v>
      </c>
    </row>
    <row r="68" spans="1:14" ht="15.75" thickBot="1">
      <c r="A68" s="2603">
        <v>3</v>
      </c>
      <c r="B68" s="2603" t="s">
        <v>13618</v>
      </c>
    </row>
    <row r="69" spans="1:14" ht="15.75" thickBot="1">
      <c r="A69" s="2603">
        <v>3</v>
      </c>
      <c r="B69" s="2603" t="s">
        <v>13619</v>
      </c>
    </row>
    <row r="70" spans="1:14" ht="15.75" thickBot="1">
      <c r="A70" s="2603">
        <v>1</v>
      </c>
      <c r="B70" s="2603" t="s">
        <v>13620</v>
      </c>
    </row>
    <row r="71" spans="1:14" ht="15.75" thickBot="1">
      <c r="A71" s="2604" t="s">
        <v>14667</v>
      </c>
    </row>
    <row r="72" spans="1:14" ht="15.75" thickBot="1">
      <c r="A72" s="2603" t="s">
        <v>481</v>
      </c>
      <c r="B72" s="2603" t="s">
        <v>13621</v>
      </c>
    </row>
    <row r="73" spans="1:14" ht="15.75" thickBot="1">
      <c r="A73" s="2603" t="s">
        <v>11563</v>
      </c>
      <c r="B73" s="2603" t="s">
        <v>13622</v>
      </c>
    </row>
    <row r="74" spans="1:14" ht="15.75" thickBot="1">
      <c r="A74" s="2603" t="s">
        <v>14668</v>
      </c>
      <c r="B74" s="2603" t="s">
        <v>14666</v>
      </c>
    </row>
    <row r="75" spans="1:14" ht="15.75" thickBot="1">
      <c r="A75" s="2603" t="s">
        <v>150</v>
      </c>
      <c r="B75" s="2603" t="s">
        <v>13623</v>
      </c>
    </row>
    <row r="77" spans="1:14">
      <c r="D77" t="s">
        <v>14688</v>
      </c>
    </row>
    <row r="78" spans="1:14">
      <c r="D78" t="s">
        <v>13569</v>
      </c>
      <c r="E78" t="s">
        <v>1725</v>
      </c>
    </row>
    <row r="79" spans="1:14" ht="24.75" thickBot="1">
      <c r="A79" s="2606" t="s">
        <v>13624</v>
      </c>
      <c r="D79" t="s">
        <v>415</v>
      </c>
    </row>
    <row r="80" spans="1:14" ht="16.5" thickTop="1" thickBot="1">
      <c r="A80" s="2603">
        <v>5</v>
      </c>
      <c r="B80" s="2603" t="s">
        <v>13618</v>
      </c>
      <c r="D80" t="s">
        <v>307</v>
      </c>
    </row>
    <row r="81" spans="1:5" ht="24.75" thickBot="1">
      <c r="A81" s="2606" t="s">
        <v>13627</v>
      </c>
      <c r="D81" t="s">
        <v>1</v>
      </c>
    </row>
    <row r="82" spans="1:5" ht="16.5" thickTop="1" thickBot="1">
      <c r="A82" s="2603">
        <v>1</v>
      </c>
      <c r="B82" s="2603" t="s">
        <v>13617</v>
      </c>
      <c r="D82" t="s">
        <v>83</v>
      </c>
      <c r="E82">
        <v>620</v>
      </c>
    </row>
    <row r="83" spans="1:5" ht="15.75" thickBot="1">
      <c r="A83" s="2603">
        <v>1</v>
      </c>
      <c r="B83" s="2603" t="s">
        <v>13625</v>
      </c>
      <c r="D83" s="2598" t="s">
        <v>205</v>
      </c>
      <c r="E83">
        <v>1038</v>
      </c>
    </row>
    <row r="84" spans="1:5" ht="15.75" thickBot="1">
      <c r="A84" s="2603">
        <v>1</v>
      </c>
      <c r="B84" s="2603" t="s">
        <v>13626</v>
      </c>
      <c r="D84" t="s">
        <v>212</v>
      </c>
    </row>
    <row r="85" spans="1:5" ht="17.25" thickBot="1">
      <c r="A85" s="2655" t="s">
        <v>14669</v>
      </c>
      <c r="D85" t="s">
        <v>118</v>
      </c>
    </row>
    <row r="86" spans="1:5" ht="15.75" thickBot="1">
      <c r="A86" s="2603" t="s">
        <v>255</v>
      </c>
      <c r="B86" s="2603" t="s">
        <v>14675</v>
      </c>
      <c r="D86" t="s">
        <v>14664</v>
      </c>
    </row>
    <row r="87" spans="1:5" ht="15.75" thickBot="1">
      <c r="A87" s="2603" t="s">
        <v>14670</v>
      </c>
      <c r="B87" s="2603" t="s">
        <v>14676</v>
      </c>
      <c r="D87" t="s">
        <v>14687</v>
      </c>
    </row>
    <row r="88" spans="1:5" ht="15.75" thickBot="1">
      <c r="A88" s="2603" t="s">
        <v>14671</v>
      </c>
      <c r="B88" s="2603" t="s">
        <v>14677</v>
      </c>
      <c r="D88" t="s">
        <v>374</v>
      </c>
    </row>
    <row r="89" spans="1:5" ht="15.75" thickBot="1">
      <c r="A89" s="2603" t="s">
        <v>13628</v>
      </c>
      <c r="B89" s="2603" t="s">
        <v>14678</v>
      </c>
      <c r="D89" t="s">
        <v>14525</v>
      </c>
    </row>
    <row r="90" spans="1:5" ht="15.75" thickBot="1">
      <c r="A90" s="2603" t="s">
        <v>14672</v>
      </c>
      <c r="B90" s="2603" t="s">
        <v>14680</v>
      </c>
    </row>
    <row r="91" spans="1:5" ht="15.75" thickBot="1">
      <c r="A91" s="2603" t="s">
        <v>14673</v>
      </c>
      <c r="B91" s="2603" t="s">
        <v>14681</v>
      </c>
      <c r="C91" s="1" t="s">
        <v>14679</v>
      </c>
    </row>
    <row r="92" spans="1:5" ht="15.75" thickBot="1">
      <c r="A92" s="2603" t="s">
        <v>11899</v>
      </c>
      <c r="B92" s="2603"/>
    </row>
    <row r="93" spans="1:5" ht="24.75" thickBot="1">
      <c r="A93" s="2606" t="s">
        <v>13629</v>
      </c>
    </row>
    <row r="94" spans="1:5" ht="16.5" thickTop="1" thickBot="1">
      <c r="A94" s="2603">
        <v>1</v>
      </c>
      <c r="B94" s="2603" t="s">
        <v>13617</v>
      </c>
    </row>
    <row r="95" spans="1:5" ht="15.75" thickBot="1">
      <c r="A95" s="2603">
        <v>1</v>
      </c>
      <c r="B95" s="2603" t="s">
        <v>13630</v>
      </c>
    </row>
    <row r="96" spans="1:5" ht="15.75" thickBot="1">
      <c r="A96" s="2604" t="s">
        <v>13631</v>
      </c>
    </row>
    <row r="97" spans="1:2" ht="15.75" thickBot="1">
      <c r="A97" s="2603" t="s">
        <v>391</v>
      </c>
      <c r="B97" s="2603" t="s">
        <v>14666</v>
      </c>
    </row>
    <row r="98" spans="1:2" ht="15.75" thickBot="1">
      <c r="A98" s="2603" t="s">
        <v>219</v>
      </c>
      <c r="B98" s="2603" t="s">
        <v>14666</v>
      </c>
    </row>
    <row r="99" spans="1:2" ht="15.75" thickBot="1">
      <c r="A99" s="2603" t="s">
        <v>11903</v>
      </c>
      <c r="B99" s="2603" t="s">
        <v>14666</v>
      </c>
    </row>
    <row r="100" spans="1:2" ht="24.75" thickBot="1">
      <c r="A100" s="2606" t="s">
        <v>13634</v>
      </c>
    </row>
    <row r="101" spans="1:2" ht="16.5" thickTop="1" thickBot="1">
      <c r="A101" s="2603">
        <v>1</v>
      </c>
      <c r="B101" s="2603" t="s">
        <v>14665</v>
      </c>
    </row>
    <row r="102" spans="1:2" ht="15.75" thickBot="1">
      <c r="A102" s="2603">
        <v>1</v>
      </c>
      <c r="B102" s="2603" t="s">
        <v>13632</v>
      </c>
    </row>
    <row r="103" spans="1:2" ht="15.75" thickBot="1">
      <c r="A103" s="2603">
        <v>1</v>
      </c>
      <c r="B103" s="2603" t="s">
        <v>13625</v>
      </c>
    </row>
    <row r="104" spans="1:2" ht="15.75" thickBot="1">
      <c r="A104" s="2603">
        <v>2</v>
      </c>
      <c r="B104" s="2603" t="s">
        <v>13633</v>
      </c>
    </row>
    <row r="105" spans="1:2" ht="15.75" thickBot="1">
      <c r="A105" s="2604" t="s">
        <v>13635</v>
      </c>
    </row>
    <row r="106" spans="1:2" ht="15.75" thickBot="1">
      <c r="A106" s="2603" t="s">
        <v>11902</v>
      </c>
      <c r="B106" s="2603" t="s">
        <v>14682</v>
      </c>
    </row>
    <row r="107" spans="1:2" ht="24.75" thickBot="1">
      <c r="A107" s="2606" t="s">
        <v>14664</v>
      </c>
      <c r="B107" s="2605"/>
    </row>
    <row r="108" spans="1:2" ht="15" thickTop="1">
      <c r="A108" s="2605">
        <v>1</v>
      </c>
      <c r="B108" s="2605" t="s">
        <v>14674</v>
      </c>
    </row>
    <row r="110" spans="1:2">
      <c r="A110" s="2605"/>
      <c r="B110" s="2605"/>
    </row>
    <row r="111" spans="1:2" ht="24.75" thickBot="1">
      <c r="A111" s="2606" t="s">
        <v>13637</v>
      </c>
    </row>
    <row r="112" spans="1:2" ht="16.5" thickTop="1" thickBot="1">
      <c r="A112" s="2603">
        <v>1</v>
      </c>
      <c r="B112" s="2603" t="s">
        <v>13638</v>
      </c>
    </row>
    <row r="113" spans="1:2" ht="15.75" thickBot="1">
      <c r="A113" s="2603">
        <v>1</v>
      </c>
      <c r="B113" s="2603" t="s">
        <v>13626</v>
      </c>
    </row>
    <row r="114" spans="1:2" ht="24.75" thickBot="1">
      <c r="A114" s="2606" t="s">
        <v>13639</v>
      </c>
    </row>
    <row r="115" spans="1:2" ht="16.5" thickTop="1" thickBot="1">
      <c r="A115" s="2603">
        <v>1</v>
      </c>
      <c r="B115" s="2603" t="s">
        <v>13640</v>
      </c>
    </row>
    <row r="116" spans="1:2" ht="15.75" thickBot="1">
      <c r="A116" s="2603">
        <v>1</v>
      </c>
      <c r="B116" s="2603" t="s">
        <v>13641</v>
      </c>
    </row>
    <row r="117" spans="1:2" ht="15.75" thickBot="1">
      <c r="A117" s="2603">
        <v>1</v>
      </c>
      <c r="B117" s="2603" t="s">
        <v>13633</v>
      </c>
    </row>
    <row r="118" spans="1:2" s="1" customFormat="1" ht="15.75" thickBot="1">
      <c r="A118" s="2682" t="s">
        <v>14818</v>
      </c>
      <c r="B118" s="2682"/>
    </row>
    <row r="119" spans="1:2" s="1" customFormat="1" ht="15.75" thickBot="1">
      <c r="A119" s="2682"/>
      <c r="B119" s="2603" t="s">
        <v>13621</v>
      </c>
    </row>
    <row r="120" spans="1:2" ht="24.75" thickBot="1">
      <c r="A120" s="2606" t="s">
        <v>13643</v>
      </c>
    </row>
    <row r="121" spans="1:2" ht="16.5" thickTop="1" thickBot="1">
      <c r="A121" s="2603">
        <v>1</v>
      </c>
      <c r="B121" s="2603" t="s">
        <v>13636</v>
      </c>
    </row>
    <row r="122" spans="1:2" ht="15.75" thickBot="1">
      <c r="A122" s="2603">
        <v>1</v>
      </c>
      <c r="B122" s="2603" t="s">
        <v>13642</v>
      </c>
    </row>
    <row r="123" spans="1:2" ht="15.75" thickBot="1">
      <c r="A123" s="2603">
        <v>1</v>
      </c>
      <c r="B123" s="2603" t="s">
        <v>13625</v>
      </c>
    </row>
    <row r="124" spans="1:2" ht="15.75" thickBot="1">
      <c r="A124" s="2603">
        <v>1</v>
      </c>
      <c r="B124" s="2603" t="s">
        <v>13633</v>
      </c>
    </row>
    <row r="125" spans="1:2" ht="15.75" thickBot="1">
      <c r="A125" s="2604" t="s">
        <v>13635</v>
      </c>
    </row>
    <row r="126" spans="1:2" ht="15.75" thickBot="1">
      <c r="A126" s="2603" t="s">
        <v>193</v>
      </c>
      <c r="B126" s="2603" t="s">
        <v>13644</v>
      </c>
    </row>
    <row r="127" spans="1:2" ht="24.75" thickBot="1">
      <c r="A127" s="2606" t="s">
        <v>13645</v>
      </c>
    </row>
    <row r="128" spans="1:2" ht="16.5" thickTop="1" thickBot="1">
      <c r="A128" s="2603">
        <v>1</v>
      </c>
      <c r="B128" s="2603" t="s">
        <v>13646</v>
      </c>
    </row>
    <row r="129" spans="1:2" ht="15.75" thickBot="1">
      <c r="A129" s="2604" t="s">
        <v>13647</v>
      </c>
    </row>
    <row r="130" spans="1:2" ht="15.75" thickBot="1">
      <c r="A130" s="2603" t="s">
        <v>268</v>
      </c>
      <c r="B130" s="2603" t="s">
        <v>14683</v>
      </c>
    </row>
    <row r="131" spans="1:2" ht="15.75" thickBot="1">
      <c r="A131" s="2603" t="s">
        <v>242</v>
      </c>
      <c r="B131" s="2603" t="s">
        <v>14684</v>
      </c>
    </row>
    <row r="132" spans="1:2" ht="15.75" thickBot="1">
      <c r="A132" s="2603" t="s">
        <v>159</v>
      </c>
      <c r="B132" s="2603" t="s">
        <v>13648</v>
      </c>
    </row>
    <row r="133" spans="1:2" ht="15.75" thickBot="1">
      <c r="A133" s="2603" t="s">
        <v>52</v>
      </c>
      <c r="B133" s="2603" t="s">
        <v>13621</v>
      </c>
    </row>
    <row r="134" spans="1:2" ht="15.75" thickBot="1">
      <c r="A134" s="2603" t="s">
        <v>286</v>
      </c>
      <c r="B134" s="2603" t="s">
        <v>13648</v>
      </c>
    </row>
    <row r="135" spans="1:2" ht="15.75" thickBot="1">
      <c r="A135" s="2603"/>
      <c r="B135" s="2603"/>
    </row>
    <row r="136" spans="1:2" ht="24.75" thickBot="1">
      <c r="A136" s="2606" t="s">
        <v>461</v>
      </c>
    </row>
    <row r="137" spans="1:2" ht="16.5" thickTop="1" thickBot="1">
      <c r="A137" s="2603">
        <v>1</v>
      </c>
      <c r="B137" s="2603" t="s">
        <v>14685</v>
      </c>
    </row>
    <row r="138" spans="1:2" ht="24.75" thickBot="1">
      <c r="A138" s="2606" t="s">
        <v>14686</v>
      </c>
    </row>
    <row r="139" spans="1:2" ht="15" thickTop="1">
      <c r="A139" s="2">
        <v>1</v>
      </c>
      <c r="B139" s="2" t="s">
        <v>14731</v>
      </c>
    </row>
    <row r="141" spans="1:2" ht="24.75" thickBot="1">
      <c r="A141" s="2606" t="s">
        <v>374</v>
      </c>
    </row>
    <row r="142" spans="1:2" ht="15" thickTop="1"/>
    <row r="145" spans="1:2" ht="24.75" thickBot="1">
      <c r="A145" s="2606" t="s">
        <v>89</v>
      </c>
    </row>
    <row r="146" spans="1:2" ht="16.5" thickTop="1" thickBot="1">
      <c r="B146" s="2603" t="s">
        <v>13621</v>
      </c>
    </row>
  </sheetData>
  <phoneticPr fontId="233" type="noConversion"/>
  <conditionalFormatting sqref="A2">
    <cfRule type="colorScale" priority="1">
      <colorScale>
        <cfvo type="min"/>
        <cfvo type="max"/>
        <color rgb="FFFCFCFF"/>
        <color rgb="FF63BE7B"/>
      </colorScale>
    </cfRule>
  </conditionalFormatting>
  <pageMargins left="0.7" right="0.7" top="0.75" bottom="0.75" header="0.3" footer="0.3"/>
  <pageSetup paperSize="9" orientation="portrait" r:id="rId1"/>
  <legacyDrawing r:id="rId2"/>
  <tableParts count="17">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s>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E74DF-BA2C-416B-A53F-FB89BEEF1008}">
  <sheetPr>
    <tabColor rgb="FFFFFF00"/>
  </sheetPr>
  <dimension ref="O4"/>
  <sheetViews>
    <sheetView topLeftCell="A88" zoomScale="115" zoomScaleNormal="115" workbookViewId="0">
      <selection activeCell="I85" sqref="I85"/>
    </sheetView>
  </sheetViews>
  <sheetFormatPr defaultRowHeight="14.25"/>
  <sheetData>
    <row r="4" spans="15:15"/>
  </sheetData>
  <pageMargins left="0.7" right="0.7" top="0.75" bottom="0.75" header="0.3" footer="0.3"/>
  <drawing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62BE-BA43-4D03-8F4A-94CD6DED3E90}">
  <sheetPr codeName="Аркуш43">
    <tabColor rgb="FFFFFF00"/>
  </sheetPr>
  <dimension ref="A2:N328"/>
  <sheetViews>
    <sheetView workbookViewId="0">
      <selection activeCell="A4" sqref="A4"/>
    </sheetView>
  </sheetViews>
  <sheetFormatPr defaultRowHeight="14.25"/>
  <cols>
    <col min="3" max="3" width="12.77734375" customWidth="1"/>
  </cols>
  <sheetData>
    <row r="2" spans="1:13" s="1" customFormat="1">
      <c r="A2" s="1" t="s">
        <v>14729</v>
      </c>
    </row>
    <row r="3" spans="1:13" s="1" customFormat="1">
      <c r="A3" s="1" t="s">
        <v>14730</v>
      </c>
    </row>
    <row r="4" spans="1:13" s="1" customFormat="1"/>
    <row r="5" spans="1:13" s="1" customFormat="1"/>
    <row r="6" spans="1:13" s="1" customFormat="1"/>
    <row r="7" spans="1:13" s="1" customFormat="1"/>
    <row r="8" spans="1:13" s="1" customFormat="1"/>
    <row r="9" spans="1:13" s="1" customFormat="1"/>
    <row r="10" spans="1:13">
      <c r="A10" t="s">
        <v>771</v>
      </c>
      <c r="B10" t="s">
        <v>772</v>
      </c>
      <c r="C10" t="s">
        <v>597</v>
      </c>
      <c r="D10" t="s">
        <v>773</v>
      </c>
      <c r="E10" t="s">
        <v>774</v>
      </c>
      <c r="F10" t="s">
        <v>775</v>
      </c>
      <c r="G10" t="s">
        <v>776</v>
      </c>
      <c r="H10" t="s">
        <v>777</v>
      </c>
      <c r="I10" t="s">
        <v>778</v>
      </c>
    </row>
    <row r="11" spans="1:13">
      <c r="A11" t="s">
        <v>779</v>
      </c>
      <c r="B11" t="s">
        <v>780</v>
      </c>
      <c r="D11" t="s">
        <v>781</v>
      </c>
      <c r="E11" t="s">
        <v>782</v>
      </c>
      <c r="F11" t="s">
        <v>783</v>
      </c>
      <c r="G11" t="s">
        <v>784</v>
      </c>
      <c r="H11" t="s">
        <v>415</v>
      </c>
      <c r="M11" s="3" t="s">
        <v>1278</v>
      </c>
    </row>
    <row r="12" spans="1:13">
      <c r="A12" t="s">
        <v>785</v>
      </c>
      <c r="B12" t="s">
        <v>786</v>
      </c>
      <c r="D12" t="s">
        <v>787</v>
      </c>
      <c r="E12" t="s">
        <v>788</v>
      </c>
      <c r="F12" t="s">
        <v>783</v>
      </c>
      <c r="G12" t="s">
        <v>789</v>
      </c>
      <c r="H12" t="s">
        <v>415</v>
      </c>
      <c r="I12" t="s">
        <v>790</v>
      </c>
      <c r="M12" s="3" t="s">
        <v>1279</v>
      </c>
    </row>
    <row r="13" spans="1:13">
      <c r="A13" t="s">
        <v>785</v>
      </c>
      <c r="B13" t="s">
        <v>791</v>
      </c>
      <c r="D13" t="s">
        <v>792</v>
      </c>
      <c r="E13" t="s">
        <v>793</v>
      </c>
      <c r="F13" t="s">
        <v>794</v>
      </c>
      <c r="G13" t="s">
        <v>784</v>
      </c>
      <c r="H13" t="s">
        <v>795</v>
      </c>
      <c r="M13" s="3" t="s">
        <v>1279</v>
      </c>
    </row>
    <row r="14" spans="1:13">
      <c r="A14" t="s">
        <v>796</v>
      </c>
      <c r="B14" t="s">
        <v>797</v>
      </c>
      <c r="D14" t="s">
        <v>798</v>
      </c>
      <c r="E14" t="s">
        <v>793</v>
      </c>
      <c r="F14" t="s">
        <v>783</v>
      </c>
      <c r="G14" t="s">
        <v>799</v>
      </c>
      <c r="H14" t="s">
        <v>795</v>
      </c>
    </row>
    <row r="15" spans="1:13">
      <c r="A15" t="s">
        <v>800</v>
      </c>
      <c r="B15" t="s">
        <v>801</v>
      </c>
      <c r="D15" t="s">
        <v>802</v>
      </c>
      <c r="E15" t="s">
        <v>793</v>
      </c>
      <c r="F15" t="s">
        <v>783</v>
      </c>
      <c r="G15" t="s">
        <v>803</v>
      </c>
      <c r="H15" t="s">
        <v>795</v>
      </c>
    </row>
    <row r="16" spans="1:13">
      <c r="A16" t="s">
        <v>804</v>
      </c>
      <c r="B16" t="s">
        <v>805</v>
      </c>
      <c r="D16" t="s">
        <v>806</v>
      </c>
      <c r="E16" t="s">
        <v>793</v>
      </c>
      <c r="F16" t="s">
        <v>807</v>
      </c>
      <c r="G16" t="s">
        <v>808</v>
      </c>
      <c r="H16" t="s">
        <v>795</v>
      </c>
    </row>
    <row r="17" spans="1:14">
      <c r="A17" t="s">
        <v>810</v>
      </c>
      <c r="B17" t="s">
        <v>811</v>
      </c>
      <c r="D17" t="s">
        <v>812</v>
      </c>
      <c r="E17" t="s">
        <v>813</v>
      </c>
      <c r="F17" t="s">
        <v>814</v>
      </c>
      <c r="G17" t="s">
        <v>803</v>
      </c>
      <c r="H17" t="s">
        <v>415</v>
      </c>
      <c r="I17" t="s">
        <v>809</v>
      </c>
    </row>
    <row r="18" spans="1:14">
      <c r="A18" t="s">
        <v>815</v>
      </c>
      <c r="B18" t="s">
        <v>816</v>
      </c>
      <c r="D18" t="s">
        <v>817</v>
      </c>
      <c r="E18" t="s">
        <v>813</v>
      </c>
      <c r="F18" t="s">
        <v>818</v>
      </c>
      <c r="G18" t="s">
        <v>803</v>
      </c>
      <c r="H18" t="s">
        <v>795</v>
      </c>
      <c r="I18" s="1" t="s">
        <v>809</v>
      </c>
    </row>
    <row r="19" spans="1:14">
      <c r="A19" t="s">
        <v>819</v>
      </c>
      <c r="B19" t="s">
        <v>820</v>
      </c>
      <c r="D19" t="s">
        <v>817</v>
      </c>
      <c r="E19" t="s">
        <v>813</v>
      </c>
      <c r="F19" t="s">
        <v>818</v>
      </c>
      <c r="G19" t="s">
        <v>803</v>
      </c>
      <c r="H19" t="s">
        <v>795</v>
      </c>
      <c r="I19" s="1" t="s">
        <v>809</v>
      </c>
    </row>
    <row r="20" spans="1:14">
      <c r="A20" t="s">
        <v>821</v>
      </c>
      <c r="B20" t="s">
        <v>822</v>
      </c>
      <c r="D20" t="s">
        <v>817</v>
      </c>
      <c r="E20" t="s">
        <v>813</v>
      </c>
      <c r="F20" t="s">
        <v>823</v>
      </c>
      <c r="G20" t="s">
        <v>824</v>
      </c>
      <c r="H20" t="s">
        <v>795</v>
      </c>
      <c r="I20" s="1" t="s">
        <v>809</v>
      </c>
    </row>
    <row r="21" spans="1:14">
      <c r="A21" t="s">
        <v>825</v>
      </c>
      <c r="B21" t="s">
        <v>826</v>
      </c>
      <c r="D21" t="s">
        <v>827</v>
      </c>
      <c r="E21" t="s">
        <v>813</v>
      </c>
      <c r="F21" t="s">
        <v>818</v>
      </c>
      <c r="G21" t="s">
        <v>803</v>
      </c>
      <c r="H21" t="s">
        <v>795</v>
      </c>
      <c r="I21" s="1" t="s">
        <v>809</v>
      </c>
    </row>
    <row r="22" spans="1:14">
      <c r="A22" t="s">
        <v>828</v>
      </c>
      <c r="B22" t="s">
        <v>829</v>
      </c>
      <c r="D22" t="s">
        <v>830</v>
      </c>
      <c r="E22" t="s">
        <v>793</v>
      </c>
      <c r="F22" t="s">
        <v>783</v>
      </c>
      <c r="G22" t="s">
        <v>803</v>
      </c>
      <c r="H22" t="s">
        <v>415</v>
      </c>
    </row>
    <row r="23" spans="1:14">
      <c r="A23" s="1" t="s">
        <v>828</v>
      </c>
      <c r="B23" t="s">
        <v>831</v>
      </c>
      <c r="D23" t="s">
        <v>832</v>
      </c>
      <c r="E23" t="s">
        <v>833</v>
      </c>
      <c r="F23" t="s">
        <v>823</v>
      </c>
      <c r="G23" t="s">
        <v>834</v>
      </c>
      <c r="H23" t="s">
        <v>795</v>
      </c>
    </row>
    <row r="24" spans="1:14">
      <c r="A24" t="s">
        <v>828</v>
      </c>
      <c r="B24" t="s">
        <v>835</v>
      </c>
      <c r="D24" t="s">
        <v>836</v>
      </c>
      <c r="E24" t="s">
        <v>793</v>
      </c>
      <c r="F24" t="s">
        <v>807</v>
      </c>
      <c r="G24" t="s">
        <v>803</v>
      </c>
      <c r="H24" t="s">
        <v>795</v>
      </c>
    </row>
    <row r="25" spans="1:14">
      <c r="A25" s="1" t="s">
        <v>828</v>
      </c>
      <c r="B25" t="s">
        <v>837</v>
      </c>
      <c r="D25" t="s">
        <v>838</v>
      </c>
      <c r="E25" t="s">
        <v>833</v>
      </c>
      <c r="F25" t="s">
        <v>818</v>
      </c>
      <c r="G25" t="s">
        <v>803</v>
      </c>
      <c r="H25" t="s">
        <v>795</v>
      </c>
    </row>
    <row r="26" spans="1:14">
      <c r="A26" t="s">
        <v>828</v>
      </c>
      <c r="B26" t="s">
        <v>839</v>
      </c>
      <c r="D26" t="s">
        <v>840</v>
      </c>
      <c r="E26" t="s">
        <v>793</v>
      </c>
      <c r="F26" t="s">
        <v>807</v>
      </c>
      <c r="G26" t="s">
        <v>841</v>
      </c>
      <c r="H26" t="s">
        <v>795</v>
      </c>
      <c r="M26" t="s">
        <v>11517</v>
      </c>
      <c r="N26" s="2" t="s">
        <v>11518</v>
      </c>
    </row>
    <row r="27" spans="1:14">
      <c r="A27" s="1" t="s">
        <v>828</v>
      </c>
      <c r="B27" t="s">
        <v>842</v>
      </c>
      <c r="D27" t="s">
        <v>843</v>
      </c>
      <c r="E27" t="s">
        <v>833</v>
      </c>
      <c r="F27" t="s">
        <v>794</v>
      </c>
      <c r="G27" t="s">
        <v>789</v>
      </c>
      <c r="H27" t="s">
        <v>795</v>
      </c>
      <c r="M27" t="s">
        <v>726</v>
      </c>
    </row>
    <row r="28" spans="1:14">
      <c r="A28" t="s">
        <v>844</v>
      </c>
      <c r="B28" t="s">
        <v>845</v>
      </c>
      <c r="D28" t="s">
        <v>792</v>
      </c>
      <c r="E28" t="s">
        <v>793</v>
      </c>
      <c r="F28" t="s">
        <v>807</v>
      </c>
      <c r="G28" t="s">
        <v>824</v>
      </c>
      <c r="H28" t="s">
        <v>415</v>
      </c>
      <c r="M28" t="s">
        <v>11521</v>
      </c>
    </row>
    <row r="29" spans="1:14">
      <c r="B29" t="s">
        <v>846</v>
      </c>
      <c r="D29" t="s">
        <v>847</v>
      </c>
      <c r="E29" t="s">
        <v>833</v>
      </c>
      <c r="F29" t="s">
        <v>848</v>
      </c>
      <c r="G29" t="s">
        <v>834</v>
      </c>
      <c r="H29" t="s">
        <v>795</v>
      </c>
    </row>
    <row r="30" spans="1:14">
      <c r="A30" t="s">
        <v>844</v>
      </c>
      <c r="B30" t="s">
        <v>849</v>
      </c>
      <c r="D30" t="s">
        <v>840</v>
      </c>
      <c r="E30" t="s">
        <v>793</v>
      </c>
      <c r="F30" t="s">
        <v>783</v>
      </c>
      <c r="G30" t="s">
        <v>803</v>
      </c>
      <c r="H30" t="s">
        <v>795</v>
      </c>
    </row>
    <row r="31" spans="1:14">
      <c r="B31" t="s">
        <v>850</v>
      </c>
      <c r="D31" t="s">
        <v>851</v>
      </c>
      <c r="E31" t="s">
        <v>833</v>
      </c>
      <c r="F31" t="s">
        <v>852</v>
      </c>
      <c r="G31" t="s">
        <v>824</v>
      </c>
      <c r="H31" t="s">
        <v>795</v>
      </c>
    </row>
    <row r="32" spans="1:14">
      <c r="A32" t="s">
        <v>844</v>
      </c>
      <c r="B32" t="s">
        <v>853</v>
      </c>
      <c r="D32" t="s">
        <v>854</v>
      </c>
      <c r="E32" t="s">
        <v>793</v>
      </c>
      <c r="F32" t="s">
        <v>783</v>
      </c>
      <c r="G32" t="s">
        <v>803</v>
      </c>
      <c r="H32" t="s">
        <v>1</v>
      </c>
    </row>
    <row r="33" spans="1:9">
      <c r="B33" t="s">
        <v>855</v>
      </c>
      <c r="D33" t="s">
        <v>856</v>
      </c>
      <c r="E33" t="s">
        <v>833</v>
      </c>
      <c r="F33" t="s">
        <v>818</v>
      </c>
      <c r="G33" t="s">
        <v>803</v>
      </c>
      <c r="H33" t="s">
        <v>1</v>
      </c>
    </row>
    <row r="34" spans="1:9">
      <c r="A34" t="s">
        <v>857</v>
      </c>
      <c r="B34" t="s">
        <v>858</v>
      </c>
      <c r="D34" t="s">
        <v>859</v>
      </c>
      <c r="E34" t="s">
        <v>793</v>
      </c>
      <c r="F34" t="s">
        <v>783</v>
      </c>
      <c r="G34" t="s">
        <v>860</v>
      </c>
      <c r="H34" t="s">
        <v>212</v>
      </c>
    </row>
    <row r="35" spans="1:9">
      <c r="A35" t="s">
        <v>857</v>
      </c>
      <c r="B35" t="s">
        <v>861</v>
      </c>
      <c r="D35" t="s">
        <v>862</v>
      </c>
      <c r="E35" t="s">
        <v>793</v>
      </c>
      <c r="F35" t="s">
        <v>807</v>
      </c>
      <c r="G35" t="s">
        <v>863</v>
      </c>
      <c r="H35" t="s">
        <v>1</v>
      </c>
    </row>
    <row r="36" spans="1:9">
      <c r="A36" t="s">
        <v>857</v>
      </c>
      <c r="B36" t="s">
        <v>864</v>
      </c>
      <c r="D36" t="s">
        <v>865</v>
      </c>
      <c r="E36" t="s">
        <v>793</v>
      </c>
      <c r="F36" t="s">
        <v>783</v>
      </c>
      <c r="G36" t="s">
        <v>841</v>
      </c>
      <c r="H36" t="s">
        <v>415</v>
      </c>
    </row>
    <row r="37" spans="1:9">
      <c r="A37" t="s">
        <v>857</v>
      </c>
      <c r="B37" t="s">
        <v>866</v>
      </c>
      <c r="D37" t="s">
        <v>867</v>
      </c>
      <c r="E37" t="s">
        <v>793</v>
      </c>
      <c r="F37" t="s">
        <v>807</v>
      </c>
      <c r="G37" t="s">
        <v>803</v>
      </c>
      <c r="H37" t="s">
        <v>307</v>
      </c>
    </row>
    <row r="38" spans="1:9">
      <c r="A38" t="s">
        <v>857</v>
      </c>
      <c r="B38" t="s">
        <v>868</v>
      </c>
      <c r="D38" t="s">
        <v>840</v>
      </c>
      <c r="E38" t="s">
        <v>793</v>
      </c>
      <c r="F38" t="s">
        <v>783</v>
      </c>
      <c r="G38" t="s">
        <v>789</v>
      </c>
      <c r="H38" t="s">
        <v>415</v>
      </c>
    </row>
    <row r="39" spans="1:9">
      <c r="A39" t="s">
        <v>857</v>
      </c>
      <c r="B39" t="s">
        <v>869</v>
      </c>
      <c r="D39" t="s">
        <v>870</v>
      </c>
      <c r="E39" t="s">
        <v>793</v>
      </c>
      <c r="F39" t="s">
        <v>783</v>
      </c>
      <c r="G39" t="s">
        <v>834</v>
      </c>
      <c r="H39" t="s">
        <v>307</v>
      </c>
      <c r="I39" t="s">
        <v>871</v>
      </c>
    </row>
    <row r="40" spans="1:9">
      <c r="A40" t="s">
        <v>872</v>
      </c>
      <c r="B40" t="s">
        <v>873</v>
      </c>
      <c r="D40" t="s">
        <v>802</v>
      </c>
      <c r="E40" t="s">
        <v>793</v>
      </c>
      <c r="F40" t="s">
        <v>807</v>
      </c>
      <c r="G40" t="s">
        <v>803</v>
      </c>
      <c r="H40" t="s">
        <v>415</v>
      </c>
    </row>
    <row r="41" spans="1:9">
      <c r="A41" t="s">
        <v>872</v>
      </c>
      <c r="B41" t="s">
        <v>874</v>
      </c>
      <c r="D41" t="s">
        <v>875</v>
      </c>
      <c r="E41" t="s">
        <v>793</v>
      </c>
      <c r="F41" t="s">
        <v>783</v>
      </c>
      <c r="G41" t="s">
        <v>789</v>
      </c>
      <c r="H41" t="s">
        <v>795</v>
      </c>
    </row>
    <row r="42" spans="1:9">
      <c r="A42" t="s">
        <v>872</v>
      </c>
      <c r="B42" t="s">
        <v>876</v>
      </c>
      <c r="D42" t="s">
        <v>875</v>
      </c>
      <c r="E42" t="s">
        <v>793</v>
      </c>
      <c r="F42" t="s">
        <v>783</v>
      </c>
      <c r="G42" t="s">
        <v>789</v>
      </c>
      <c r="H42" t="s">
        <v>795</v>
      </c>
    </row>
    <row r="43" spans="1:9">
      <c r="A43" t="s">
        <v>872</v>
      </c>
      <c r="B43" t="s">
        <v>877</v>
      </c>
      <c r="D43" t="s">
        <v>859</v>
      </c>
      <c r="E43" t="s">
        <v>793</v>
      </c>
      <c r="F43" t="s">
        <v>783</v>
      </c>
      <c r="G43" t="s">
        <v>834</v>
      </c>
      <c r="H43" t="s">
        <v>795</v>
      </c>
    </row>
    <row r="44" spans="1:9">
      <c r="A44" t="s">
        <v>872</v>
      </c>
      <c r="B44" t="s">
        <v>878</v>
      </c>
      <c r="D44" t="s">
        <v>879</v>
      </c>
      <c r="E44" t="s">
        <v>793</v>
      </c>
      <c r="F44" t="s">
        <v>880</v>
      </c>
      <c r="G44" t="s">
        <v>881</v>
      </c>
      <c r="H44" t="s">
        <v>795</v>
      </c>
    </row>
    <row r="45" spans="1:9">
      <c r="A45" t="s">
        <v>872</v>
      </c>
      <c r="B45" t="s">
        <v>882</v>
      </c>
      <c r="D45" t="s">
        <v>840</v>
      </c>
      <c r="E45" t="s">
        <v>793</v>
      </c>
      <c r="F45" t="s">
        <v>794</v>
      </c>
      <c r="G45" t="s">
        <v>789</v>
      </c>
      <c r="H45" t="s">
        <v>795</v>
      </c>
    </row>
    <row r="46" spans="1:9">
      <c r="A46" t="s">
        <v>872</v>
      </c>
      <c r="B46" t="s">
        <v>883</v>
      </c>
      <c r="D46" t="s">
        <v>884</v>
      </c>
      <c r="E46" t="s">
        <v>793</v>
      </c>
      <c r="F46" t="s">
        <v>783</v>
      </c>
      <c r="G46" t="s">
        <v>860</v>
      </c>
      <c r="H46" t="s">
        <v>1</v>
      </c>
    </row>
    <row r="47" spans="1:9">
      <c r="A47" t="s">
        <v>872</v>
      </c>
      <c r="B47" t="s">
        <v>885</v>
      </c>
      <c r="D47" t="s">
        <v>867</v>
      </c>
      <c r="E47" t="s">
        <v>793</v>
      </c>
      <c r="F47" t="s">
        <v>783</v>
      </c>
      <c r="G47" t="s">
        <v>886</v>
      </c>
      <c r="H47" t="s">
        <v>415</v>
      </c>
    </row>
    <row r="48" spans="1:9">
      <c r="A48" t="s">
        <v>887</v>
      </c>
      <c r="B48" t="s">
        <v>888</v>
      </c>
      <c r="D48" t="s">
        <v>802</v>
      </c>
      <c r="E48" t="s">
        <v>793</v>
      </c>
      <c r="F48" t="s">
        <v>807</v>
      </c>
      <c r="G48" t="s">
        <v>834</v>
      </c>
      <c r="H48" t="s">
        <v>415</v>
      </c>
    </row>
    <row r="49" spans="1:9">
      <c r="A49" t="s">
        <v>887</v>
      </c>
      <c r="B49" t="s">
        <v>889</v>
      </c>
      <c r="D49" t="s">
        <v>890</v>
      </c>
      <c r="E49" t="s">
        <v>793</v>
      </c>
      <c r="F49" t="s">
        <v>783</v>
      </c>
      <c r="G49" t="s">
        <v>803</v>
      </c>
      <c r="H49" t="s">
        <v>307</v>
      </c>
    </row>
    <row r="50" spans="1:9">
      <c r="A50" t="s">
        <v>887</v>
      </c>
      <c r="B50" t="s">
        <v>891</v>
      </c>
      <c r="D50" t="s">
        <v>840</v>
      </c>
      <c r="E50" t="s">
        <v>793</v>
      </c>
      <c r="F50" t="s">
        <v>783</v>
      </c>
      <c r="G50" t="s">
        <v>824</v>
      </c>
      <c r="H50" t="s">
        <v>415</v>
      </c>
    </row>
    <row r="51" spans="1:9">
      <c r="A51" t="s">
        <v>887</v>
      </c>
      <c r="B51" t="s">
        <v>892</v>
      </c>
      <c r="D51" t="s">
        <v>890</v>
      </c>
      <c r="E51" t="s">
        <v>793</v>
      </c>
      <c r="F51" t="s">
        <v>783</v>
      </c>
      <c r="G51" t="s">
        <v>893</v>
      </c>
      <c r="H51" t="s">
        <v>1</v>
      </c>
    </row>
    <row r="52" spans="1:9">
      <c r="A52" t="s">
        <v>887</v>
      </c>
      <c r="B52" t="s">
        <v>894</v>
      </c>
      <c r="D52" t="s">
        <v>854</v>
      </c>
      <c r="E52" t="s">
        <v>793</v>
      </c>
      <c r="F52" t="s">
        <v>880</v>
      </c>
      <c r="G52" t="s">
        <v>893</v>
      </c>
      <c r="H52" t="s">
        <v>415</v>
      </c>
    </row>
    <row r="53" spans="1:9">
      <c r="A53" t="s">
        <v>887</v>
      </c>
      <c r="B53" t="s">
        <v>895</v>
      </c>
      <c r="D53" t="s">
        <v>859</v>
      </c>
      <c r="E53" t="s">
        <v>793</v>
      </c>
      <c r="F53" t="s">
        <v>807</v>
      </c>
      <c r="G53" t="s">
        <v>789</v>
      </c>
      <c r="H53" t="s">
        <v>415</v>
      </c>
    </row>
    <row r="54" spans="1:9">
      <c r="A54" t="s">
        <v>887</v>
      </c>
      <c r="B54" t="s">
        <v>896</v>
      </c>
      <c r="D54" t="s">
        <v>897</v>
      </c>
      <c r="E54" t="s">
        <v>793</v>
      </c>
      <c r="F54" t="s">
        <v>783</v>
      </c>
      <c r="G54" t="s">
        <v>898</v>
      </c>
      <c r="H54" t="s">
        <v>415</v>
      </c>
    </row>
    <row r="55" spans="1:9">
      <c r="A55" t="s">
        <v>887</v>
      </c>
      <c r="B55" t="s">
        <v>899</v>
      </c>
      <c r="D55" t="s">
        <v>879</v>
      </c>
      <c r="E55" t="s">
        <v>793</v>
      </c>
      <c r="F55" t="s">
        <v>783</v>
      </c>
      <c r="G55" t="s">
        <v>824</v>
      </c>
      <c r="H55" t="s">
        <v>150</v>
      </c>
    </row>
    <row r="56" spans="1:9">
      <c r="A56" t="s">
        <v>887</v>
      </c>
      <c r="B56" t="s">
        <v>900</v>
      </c>
      <c r="D56" t="s">
        <v>843</v>
      </c>
      <c r="E56" t="s">
        <v>793</v>
      </c>
      <c r="F56" t="s">
        <v>880</v>
      </c>
      <c r="G56" t="s">
        <v>898</v>
      </c>
      <c r="H56" t="s">
        <v>467</v>
      </c>
    </row>
    <row r="57" spans="1:9">
      <c r="A57" t="s">
        <v>887</v>
      </c>
      <c r="B57" t="s">
        <v>901</v>
      </c>
      <c r="D57" t="s">
        <v>902</v>
      </c>
      <c r="E57" t="s">
        <v>793</v>
      </c>
      <c r="F57" t="s">
        <v>880</v>
      </c>
      <c r="G57" t="s">
        <v>903</v>
      </c>
      <c r="H57" t="s">
        <v>150</v>
      </c>
    </row>
    <row r="58" spans="1:9">
      <c r="A58" t="s">
        <v>887</v>
      </c>
      <c r="B58" t="s">
        <v>904</v>
      </c>
      <c r="D58" t="s">
        <v>806</v>
      </c>
      <c r="E58" t="s">
        <v>793</v>
      </c>
      <c r="F58" t="s">
        <v>807</v>
      </c>
      <c r="G58" t="s">
        <v>803</v>
      </c>
      <c r="H58" t="s">
        <v>415</v>
      </c>
    </row>
    <row r="59" spans="1:9">
      <c r="A59" t="s">
        <v>887</v>
      </c>
      <c r="B59" t="s">
        <v>905</v>
      </c>
      <c r="D59" t="s">
        <v>906</v>
      </c>
      <c r="E59" t="s">
        <v>793</v>
      </c>
      <c r="F59" t="s">
        <v>807</v>
      </c>
      <c r="G59" t="s">
        <v>789</v>
      </c>
      <c r="H59" t="s">
        <v>415</v>
      </c>
    </row>
    <row r="60" spans="1:9">
      <c r="A60" t="s">
        <v>887</v>
      </c>
      <c r="B60" t="s">
        <v>907</v>
      </c>
      <c r="D60" t="s">
        <v>908</v>
      </c>
      <c r="E60" t="s">
        <v>793</v>
      </c>
      <c r="F60" t="s">
        <v>783</v>
      </c>
      <c r="G60" t="s">
        <v>881</v>
      </c>
      <c r="H60" t="s">
        <v>415</v>
      </c>
    </row>
    <row r="61" spans="1:9">
      <c r="A61" t="s">
        <v>887</v>
      </c>
      <c r="B61" t="s">
        <v>909</v>
      </c>
      <c r="D61" t="s">
        <v>910</v>
      </c>
      <c r="E61" t="s">
        <v>793</v>
      </c>
      <c r="F61" t="s">
        <v>807</v>
      </c>
      <c r="G61" t="s">
        <v>789</v>
      </c>
      <c r="H61" t="s">
        <v>415</v>
      </c>
    </row>
    <row r="62" spans="1:9">
      <c r="A62" t="s">
        <v>887</v>
      </c>
      <c r="B62" t="s">
        <v>911</v>
      </c>
      <c r="D62" t="s">
        <v>840</v>
      </c>
      <c r="E62" t="s">
        <v>793</v>
      </c>
      <c r="F62" t="s">
        <v>783</v>
      </c>
      <c r="G62" t="s">
        <v>803</v>
      </c>
      <c r="H62" t="s">
        <v>415</v>
      </c>
    </row>
    <row r="63" spans="1:9">
      <c r="A63" t="s">
        <v>887</v>
      </c>
      <c r="B63" t="s">
        <v>912</v>
      </c>
      <c r="D63" t="s">
        <v>875</v>
      </c>
      <c r="E63" t="s">
        <v>793</v>
      </c>
      <c r="F63" t="s">
        <v>783</v>
      </c>
      <c r="G63" t="s">
        <v>803</v>
      </c>
      <c r="H63" t="s">
        <v>415</v>
      </c>
    </row>
    <row r="64" spans="1:9">
      <c r="A64" t="s">
        <v>915</v>
      </c>
      <c r="B64" t="s">
        <v>916</v>
      </c>
      <c r="D64" t="s">
        <v>917</v>
      </c>
      <c r="E64" t="s">
        <v>918</v>
      </c>
      <c r="F64" t="s">
        <v>852</v>
      </c>
      <c r="H64" t="s">
        <v>415</v>
      </c>
      <c r="I64" t="s">
        <v>913</v>
      </c>
    </row>
    <row r="65" spans="1:10">
      <c r="A65" t="s">
        <v>919</v>
      </c>
      <c r="B65" t="s">
        <v>920</v>
      </c>
      <c r="D65" t="s">
        <v>921</v>
      </c>
      <c r="E65" t="s">
        <v>795</v>
      </c>
      <c r="F65" t="s">
        <v>807</v>
      </c>
      <c r="G65" t="s">
        <v>803</v>
      </c>
      <c r="H65" t="s">
        <v>795</v>
      </c>
      <c r="I65" s="1" t="s">
        <v>913</v>
      </c>
    </row>
    <row r="66" spans="1:10">
      <c r="A66" t="s">
        <v>922</v>
      </c>
      <c r="B66" t="s">
        <v>923</v>
      </c>
      <c r="D66" t="s">
        <v>924</v>
      </c>
      <c r="E66" t="s">
        <v>795</v>
      </c>
      <c r="F66" t="s">
        <v>783</v>
      </c>
      <c r="G66" t="s">
        <v>925</v>
      </c>
      <c r="H66" t="s">
        <v>795</v>
      </c>
      <c r="I66" s="1" t="s">
        <v>913</v>
      </c>
    </row>
    <row r="67" spans="1:10">
      <c r="A67" t="s">
        <v>926</v>
      </c>
      <c r="B67" t="s">
        <v>927</v>
      </c>
      <c r="D67" t="s">
        <v>897</v>
      </c>
      <c r="E67" t="s">
        <v>795</v>
      </c>
      <c r="F67" t="s">
        <v>848</v>
      </c>
      <c r="G67" t="s">
        <v>824</v>
      </c>
      <c r="H67" t="s">
        <v>795</v>
      </c>
      <c r="I67" s="1" t="s">
        <v>913</v>
      </c>
    </row>
    <row r="68" spans="1:10">
      <c r="A68" t="s">
        <v>928</v>
      </c>
      <c r="B68" t="s">
        <v>929</v>
      </c>
      <c r="D68" t="s">
        <v>930</v>
      </c>
      <c r="E68" t="s">
        <v>795</v>
      </c>
      <c r="F68" t="s">
        <v>794</v>
      </c>
      <c r="G68" t="s">
        <v>824</v>
      </c>
      <c r="H68" t="s">
        <v>795</v>
      </c>
      <c r="I68" s="1" t="s">
        <v>913</v>
      </c>
    </row>
    <row r="69" spans="1:10">
      <c r="A69" t="s">
        <v>931</v>
      </c>
      <c r="B69" t="s">
        <v>932</v>
      </c>
      <c r="D69" t="s">
        <v>933</v>
      </c>
      <c r="E69" t="s">
        <v>795</v>
      </c>
      <c r="F69" t="s">
        <v>934</v>
      </c>
      <c r="G69" t="s">
        <v>935</v>
      </c>
      <c r="H69" t="s">
        <v>795</v>
      </c>
      <c r="I69" s="1" t="s">
        <v>913</v>
      </c>
    </row>
    <row r="70" spans="1:10">
      <c r="A70" t="s">
        <v>936</v>
      </c>
      <c r="B70" t="s">
        <v>937</v>
      </c>
      <c r="D70" t="s">
        <v>930</v>
      </c>
      <c r="E70" t="s">
        <v>795</v>
      </c>
      <c r="F70" t="s">
        <v>794</v>
      </c>
      <c r="G70" t="s">
        <v>841</v>
      </c>
      <c r="H70" t="s">
        <v>795</v>
      </c>
      <c r="I70" s="1" t="s">
        <v>913</v>
      </c>
    </row>
    <row r="71" spans="1:10">
      <c r="A71" t="s">
        <v>938</v>
      </c>
      <c r="B71" t="s">
        <v>939</v>
      </c>
      <c r="D71" t="s">
        <v>940</v>
      </c>
      <c r="E71" t="s">
        <v>795</v>
      </c>
      <c r="F71" t="s">
        <v>941</v>
      </c>
      <c r="G71" t="s">
        <v>893</v>
      </c>
      <c r="H71" t="s">
        <v>795</v>
      </c>
      <c r="I71" s="1" t="s">
        <v>913</v>
      </c>
    </row>
    <row r="72" spans="1:10">
      <c r="A72" t="s">
        <v>942</v>
      </c>
      <c r="B72" t="s">
        <v>943</v>
      </c>
      <c r="D72" t="s">
        <v>944</v>
      </c>
      <c r="E72" t="s">
        <v>795</v>
      </c>
      <c r="F72" t="s">
        <v>783</v>
      </c>
      <c r="G72" t="s">
        <v>789</v>
      </c>
      <c r="H72" t="s">
        <v>795</v>
      </c>
      <c r="I72" s="1" t="s">
        <v>913</v>
      </c>
    </row>
    <row r="73" spans="1:10">
      <c r="A73" t="s">
        <v>945</v>
      </c>
      <c r="B73" t="s">
        <v>946</v>
      </c>
      <c r="D73" t="s">
        <v>947</v>
      </c>
      <c r="E73" t="s">
        <v>795</v>
      </c>
      <c r="F73" t="s">
        <v>823</v>
      </c>
      <c r="G73" t="s">
        <v>824</v>
      </c>
      <c r="H73" t="s">
        <v>795</v>
      </c>
      <c r="I73" s="1" t="s">
        <v>913</v>
      </c>
      <c r="J73" t="s">
        <v>914</v>
      </c>
    </row>
    <row r="74" spans="1:10">
      <c r="A74" t="s">
        <v>949</v>
      </c>
      <c r="B74" t="s">
        <v>950</v>
      </c>
      <c r="D74" t="s">
        <v>792</v>
      </c>
      <c r="E74" t="s">
        <v>951</v>
      </c>
      <c r="F74" t="s">
        <v>852</v>
      </c>
      <c r="G74" t="s">
        <v>803</v>
      </c>
      <c r="H74" t="s">
        <v>415</v>
      </c>
      <c r="I74" t="s">
        <v>948</v>
      </c>
      <c r="J74" s="1" t="s">
        <v>914</v>
      </c>
    </row>
    <row r="75" spans="1:10">
      <c r="A75" t="s">
        <v>949</v>
      </c>
      <c r="B75" t="s">
        <v>952</v>
      </c>
      <c r="D75" t="s">
        <v>953</v>
      </c>
      <c r="E75" t="s">
        <v>954</v>
      </c>
      <c r="F75" t="s">
        <v>807</v>
      </c>
      <c r="G75" t="s">
        <v>803</v>
      </c>
      <c r="H75" t="s">
        <v>415</v>
      </c>
      <c r="I75" s="1" t="s">
        <v>948</v>
      </c>
      <c r="J75" s="1" t="s">
        <v>914</v>
      </c>
    </row>
    <row r="76" spans="1:10">
      <c r="A76" t="s">
        <v>949</v>
      </c>
      <c r="B76" t="s">
        <v>955</v>
      </c>
      <c r="D76" t="s">
        <v>897</v>
      </c>
      <c r="E76" t="s">
        <v>956</v>
      </c>
      <c r="F76" t="s">
        <v>783</v>
      </c>
      <c r="G76" t="s">
        <v>824</v>
      </c>
      <c r="H76" t="s">
        <v>307</v>
      </c>
      <c r="I76" s="1" t="s">
        <v>948</v>
      </c>
      <c r="J76" s="1" t="s">
        <v>914</v>
      </c>
    </row>
    <row r="77" spans="1:10">
      <c r="A77" t="s">
        <v>949</v>
      </c>
      <c r="B77" t="s">
        <v>957</v>
      </c>
      <c r="D77" t="s">
        <v>958</v>
      </c>
      <c r="E77" t="s">
        <v>959</v>
      </c>
      <c r="F77" t="s">
        <v>783</v>
      </c>
      <c r="G77" t="s">
        <v>803</v>
      </c>
      <c r="H77" t="s">
        <v>415</v>
      </c>
      <c r="I77" s="1" t="s">
        <v>948</v>
      </c>
      <c r="J77" s="1" t="s">
        <v>914</v>
      </c>
    </row>
    <row r="78" spans="1:10">
      <c r="A78" t="s">
        <v>960</v>
      </c>
      <c r="B78" t="s">
        <v>961</v>
      </c>
      <c r="D78" t="s">
        <v>910</v>
      </c>
      <c r="E78" t="s">
        <v>962</v>
      </c>
      <c r="F78" t="s">
        <v>783</v>
      </c>
      <c r="G78" t="s">
        <v>789</v>
      </c>
      <c r="H78" t="s">
        <v>415</v>
      </c>
      <c r="J78" s="1" t="s">
        <v>914</v>
      </c>
    </row>
    <row r="79" spans="1:10">
      <c r="A79" t="s">
        <v>960</v>
      </c>
      <c r="B79" t="s">
        <v>963</v>
      </c>
      <c r="D79" t="s">
        <v>964</v>
      </c>
      <c r="E79" t="s">
        <v>962</v>
      </c>
      <c r="F79" t="s">
        <v>783</v>
      </c>
      <c r="G79" t="s">
        <v>789</v>
      </c>
      <c r="H79" t="s">
        <v>1</v>
      </c>
      <c r="J79" s="1" t="s">
        <v>914</v>
      </c>
    </row>
    <row r="80" spans="1:10">
      <c r="A80" t="s">
        <v>960</v>
      </c>
      <c r="B80" t="s">
        <v>965</v>
      </c>
      <c r="D80" t="s">
        <v>966</v>
      </c>
      <c r="E80" t="s">
        <v>962</v>
      </c>
      <c r="F80" t="s">
        <v>783</v>
      </c>
      <c r="G80" t="s">
        <v>824</v>
      </c>
      <c r="H80" t="s">
        <v>415</v>
      </c>
      <c r="J80" s="1" t="s">
        <v>914</v>
      </c>
    </row>
    <row r="81" spans="1:10">
      <c r="A81" t="s">
        <v>960</v>
      </c>
      <c r="B81" t="s">
        <v>967</v>
      </c>
      <c r="D81" t="s">
        <v>802</v>
      </c>
      <c r="E81" t="s">
        <v>962</v>
      </c>
      <c r="F81" t="s">
        <v>807</v>
      </c>
      <c r="G81" t="s">
        <v>803</v>
      </c>
      <c r="H81" t="s">
        <v>467</v>
      </c>
      <c r="J81" s="1" t="s">
        <v>914</v>
      </c>
    </row>
    <row r="82" spans="1:10">
      <c r="A82" t="s">
        <v>960</v>
      </c>
      <c r="B82" t="s">
        <v>968</v>
      </c>
      <c r="D82" t="s">
        <v>910</v>
      </c>
      <c r="E82" t="s">
        <v>962</v>
      </c>
      <c r="F82" t="s">
        <v>807</v>
      </c>
      <c r="G82" t="s">
        <v>784</v>
      </c>
      <c r="H82" t="s">
        <v>415</v>
      </c>
      <c r="J82" s="1" t="s">
        <v>914</v>
      </c>
    </row>
    <row r="83" spans="1:10">
      <c r="A83" t="s">
        <v>960</v>
      </c>
      <c r="B83" t="s">
        <v>969</v>
      </c>
      <c r="D83" t="s">
        <v>970</v>
      </c>
      <c r="E83" t="s">
        <v>962</v>
      </c>
      <c r="F83" t="s">
        <v>852</v>
      </c>
      <c r="G83" t="s">
        <v>789</v>
      </c>
      <c r="H83" t="s">
        <v>415</v>
      </c>
    </row>
    <row r="84" spans="1:10">
      <c r="A84" t="s">
        <v>971</v>
      </c>
      <c r="B84" t="s">
        <v>972</v>
      </c>
      <c r="D84" t="s">
        <v>910</v>
      </c>
      <c r="E84" t="s">
        <v>973</v>
      </c>
      <c r="F84" t="s">
        <v>823</v>
      </c>
      <c r="G84" t="s">
        <v>803</v>
      </c>
      <c r="H84" t="s">
        <v>415</v>
      </c>
    </row>
    <row r="85" spans="1:10">
      <c r="A85" t="s">
        <v>974</v>
      </c>
      <c r="B85" t="s">
        <v>975</v>
      </c>
      <c r="D85" t="s">
        <v>859</v>
      </c>
      <c r="E85" t="s">
        <v>973</v>
      </c>
      <c r="F85" t="s">
        <v>794</v>
      </c>
      <c r="G85" t="s">
        <v>976</v>
      </c>
      <c r="H85" t="s">
        <v>212</v>
      </c>
    </row>
    <row r="86" spans="1:10">
      <c r="A86" t="s">
        <v>974</v>
      </c>
      <c r="B86" t="s">
        <v>977</v>
      </c>
      <c r="D86" t="s">
        <v>859</v>
      </c>
      <c r="E86" t="s">
        <v>973</v>
      </c>
      <c r="F86" t="s">
        <v>807</v>
      </c>
      <c r="G86" t="s">
        <v>789</v>
      </c>
      <c r="H86" t="s">
        <v>415</v>
      </c>
    </row>
    <row r="87" spans="1:10">
      <c r="A87" t="s">
        <v>974</v>
      </c>
      <c r="B87" t="s">
        <v>978</v>
      </c>
      <c r="D87" t="s">
        <v>979</v>
      </c>
      <c r="E87" t="s">
        <v>973</v>
      </c>
      <c r="F87" t="s">
        <v>807</v>
      </c>
      <c r="G87" t="s">
        <v>789</v>
      </c>
      <c r="H87" t="s">
        <v>415</v>
      </c>
    </row>
    <row r="88" spans="1:10">
      <c r="A88" t="s">
        <v>974</v>
      </c>
      <c r="B88" t="s">
        <v>980</v>
      </c>
      <c r="D88" t="s">
        <v>981</v>
      </c>
      <c r="E88" t="s">
        <v>973</v>
      </c>
      <c r="F88" t="s">
        <v>794</v>
      </c>
      <c r="G88" t="s">
        <v>834</v>
      </c>
      <c r="H88" t="s">
        <v>415</v>
      </c>
    </row>
    <row r="89" spans="1:10">
      <c r="A89" t="s">
        <v>974</v>
      </c>
      <c r="B89" t="s">
        <v>982</v>
      </c>
      <c r="D89" t="s">
        <v>890</v>
      </c>
      <c r="E89" t="s">
        <v>973</v>
      </c>
      <c r="F89" t="s">
        <v>794</v>
      </c>
      <c r="G89" t="s">
        <v>808</v>
      </c>
      <c r="H89" t="s">
        <v>205</v>
      </c>
    </row>
    <row r="90" spans="1:10">
      <c r="A90" t="s">
        <v>974</v>
      </c>
      <c r="B90" t="s">
        <v>983</v>
      </c>
      <c r="D90" t="s">
        <v>859</v>
      </c>
      <c r="E90" t="s">
        <v>973</v>
      </c>
      <c r="F90" t="s">
        <v>783</v>
      </c>
      <c r="G90" t="s">
        <v>808</v>
      </c>
      <c r="H90" t="s">
        <v>415</v>
      </c>
    </row>
    <row r="91" spans="1:10">
      <c r="A91" t="s">
        <v>974</v>
      </c>
      <c r="B91" t="s">
        <v>984</v>
      </c>
      <c r="D91" t="s">
        <v>910</v>
      </c>
      <c r="E91" t="s">
        <v>973</v>
      </c>
      <c r="F91" t="s">
        <v>783</v>
      </c>
      <c r="G91" t="s">
        <v>784</v>
      </c>
      <c r="H91" t="s">
        <v>415</v>
      </c>
    </row>
    <row r="92" spans="1:10">
      <c r="A92" t="s">
        <v>974</v>
      </c>
      <c r="B92" t="s">
        <v>985</v>
      </c>
      <c r="D92" t="s">
        <v>986</v>
      </c>
      <c r="E92" t="s">
        <v>973</v>
      </c>
      <c r="F92" t="s">
        <v>783</v>
      </c>
      <c r="G92" t="s">
        <v>784</v>
      </c>
      <c r="H92" t="s">
        <v>415</v>
      </c>
    </row>
    <row r="93" spans="1:10">
      <c r="A93" t="s">
        <v>974</v>
      </c>
      <c r="B93" t="s">
        <v>987</v>
      </c>
      <c r="D93" t="s">
        <v>902</v>
      </c>
      <c r="E93" t="s">
        <v>973</v>
      </c>
      <c r="F93" t="s">
        <v>783</v>
      </c>
      <c r="G93" t="s">
        <v>841</v>
      </c>
      <c r="H93" t="s">
        <v>1</v>
      </c>
    </row>
    <row r="94" spans="1:10">
      <c r="A94" t="s">
        <v>974</v>
      </c>
      <c r="B94" t="s">
        <v>988</v>
      </c>
      <c r="D94" t="s">
        <v>840</v>
      </c>
      <c r="E94" t="s">
        <v>973</v>
      </c>
      <c r="F94" t="s">
        <v>807</v>
      </c>
      <c r="G94" t="s">
        <v>789</v>
      </c>
      <c r="H94" t="s">
        <v>1</v>
      </c>
    </row>
    <row r="95" spans="1:10">
      <c r="A95" t="s">
        <v>974</v>
      </c>
      <c r="B95" t="s">
        <v>989</v>
      </c>
      <c r="D95" t="s">
        <v>990</v>
      </c>
      <c r="E95" t="s">
        <v>973</v>
      </c>
      <c r="F95" t="s">
        <v>807</v>
      </c>
      <c r="G95" t="s">
        <v>784</v>
      </c>
      <c r="H95" t="s">
        <v>1</v>
      </c>
    </row>
    <row r="96" spans="1:10">
      <c r="A96" t="s">
        <v>974</v>
      </c>
      <c r="B96" t="s">
        <v>991</v>
      </c>
      <c r="D96" t="s">
        <v>908</v>
      </c>
      <c r="E96" t="s">
        <v>973</v>
      </c>
      <c r="F96" t="s">
        <v>807</v>
      </c>
      <c r="G96" t="s">
        <v>789</v>
      </c>
      <c r="H96" t="s">
        <v>415</v>
      </c>
    </row>
    <row r="97" spans="1:9">
      <c r="A97" t="s">
        <v>974</v>
      </c>
      <c r="B97" t="s">
        <v>992</v>
      </c>
      <c r="D97" t="s">
        <v>879</v>
      </c>
      <c r="E97" t="s">
        <v>993</v>
      </c>
      <c r="F97" t="s">
        <v>807</v>
      </c>
      <c r="G97" t="s">
        <v>789</v>
      </c>
      <c r="H97" t="s">
        <v>526</v>
      </c>
      <c r="I97" t="s">
        <v>994</v>
      </c>
    </row>
    <row r="98" spans="1:9">
      <c r="A98" t="s">
        <v>974</v>
      </c>
      <c r="B98" t="s">
        <v>995</v>
      </c>
      <c r="D98" t="s">
        <v>996</v>
      </c>
      <c r="E98" t="s">
        <v>973</v>
      </c>
      <c r="F98" t="s">
        <v>783</v>
      </c>
      <c r="G98" t="s">
        <v>803</v>
      </c>
      <c r="H98" t="s">
        <v>415</v>
      </c>
    </row>
    <row r="99" spans="1:9">
      <c r="A99" t="s">
        <v>974</v>
      </c>
      <c r="B99" t="s">
        <v>997</v>
      </c>
      <c r="D99" t="s">
        <v>854</v>
      </c>
      <c r="E99" t="s">
        <v>973</v>
      </c>
      <c r="F99" t="s">
        <v>783</v>
      </c>
      <c r="G99" t="s">
        <v>834</v>
      </c>
      <c r="H99" t="s">
        <v>150</v>
      </c>
    </row>
    <row r="100" spans="1:9">
      <c r="A100" t="s">
        <v>974</v>
      </c>
      <c r="B100" t="s">
        <v>998</v>
      </c>
      <c r="D100" t="s">
        <v>875</v>
      </c>
      <c r="E100" t="s">
        <v>973</v>
      </c>
      <c r="F100" t="s">
        <v>852</v>
      </c>
      <c r="G100" t="s">
        <v>976</v>
      </c>
      <c r="H100" t="s">
        <v>415</v>
      </c>
    </row>
    <row r="101" spans="1:9">
      <c r="A101" t="s">
        <v>974</v>
      </c>
      <c r="B101" t="s">
        <v>999</v>
      </c>
      <c r="D101" t="s">
        <v>902</v>
      </c>
      <c r="E101" t="s">
        <v>973</v>
      </c>
      <c r="F101" t="s">
        <v>794</v>
      </c>
      <c r="G101" t="s">
        <v>808</v>
      </c>
      <c r="H101" t="s">
        <v>415</v>
      </c>
    </row>
    <row r="102" spans="1:9">
      <c r="A102" t="s">
        <v>1000</v>
      </c>
      <c r="B102" t="s">
        <v>1001</v>
      </c>
      <c r="D102" t="s">
        <v>979</v>
      </c>
      <c r="E102" t="s">
        <v>1002</v>
      </c>
      <c r="F102" t="s">
        <v>794</v>
      </c>
      <c r="G102" t="s">
        <v>976</v>
      </c>
      <c r="H102" t="s">
        <v>415</v>
      </c>
    </row>
    <row r="103" spans="1:9">
      <c r="A103" t="s">
        <v>1003</v>
      </c>
      <c r="B103" t="s">
        <v>1004</v>
      </c>
      <c r="D103" t="s">
        <v>996</v>
      </c>
      <c r="E103" t="s">
        <v>1002</v>
      </c>
      <c r="F103" t="s">
        <v>807</v>
      </c>
      <c r="G103" t="s">
        <v>808</v>
      </c>
      <c r="H103" t="s">
        <v>415</v>
      </c>
    </row>
    <row r="104" spans="1:9">
      <c r="A104" t="s">
        <v>1003</v>
      </c>
      <c r="B104" t="s">
        <v>1005</v>
      </c>
      <c r="D104" t="s">
        <v>908</v>
      </c>
      <c r="E104" t="s">
        <v>1002</v>
      </c>
      <c r="F104" t="s">
        <v>807</v>
      </c>
      <c r="G104" t="s">
        <v>789</v>
      </c>
      <c r="H104" t="s">
        <v>415</v>
      </c>
    </row>
    <row r="105" spans="1:9">
      <c r="A105" t="s">
        <v>1003</v>
      </c>
      <c r="B105" t="s">
        <v>1006</v>
      </c>
      <c r="D105" t="s">
        <v>979</v>
      </c>
      <c r="E105" t="s">
        <v>1002</v>
      </c>
      <c r="F105" t="s">
        <v>852</v>
      </c>
      <c r="G105" t="s">
        <v>789</v>
      </c>
      <c r="H105" t="s">
        <v>415</v>
      </c>
    </row>
    <row r="106" spans="1:9">
      <c r="A106" t="s">
        <v>1003</v>
      </c>
      <c r="B106" t="s">
        <v>1007</v>
      </c>
      <c r="D106" t="s">
        <v>879</v>
      </c>
      <c r="E106" t="s">
        <v>1002</v>
      </c>
      <c r="F106" t="s">
        <v>783</v>
      </c>
      <c r="G106" t="s">
        <v>803</v>
      </c>
      <c r="H106" t="s">
        <v>150</v>
      </c>
    </row>
    <row r="107" spans="1:9">
      <c r="A107" t="s">
        <v>1003</v>
      </c>
      <c r="B107" t="s">
        <v>1008</v>
      </c>
      <c r="D107" t="s">
        <v>1009</v>
      </c>
      <c r="E107" t="s">
        <v>1002</v>
      </c>
      <c r="F107" t="s">
        <v>783</v>
      </c>
      <c r="G107" t="s">
        <v>808</v>
      </c>
      <c r="H107" t="s">
        <v>307</v>
      </c>
      <c r="I107" t="s">
        <v>1010</v>
      </c>
    </row>
    <row r="108" spans="1:9">
      <c r="A108" t="s">
        <v>1003</v>
      </c>
      <c r="B108" t="s">
        <v>1011</v>
      </c>
      <c r="D108" t="s">
        <v>979</v>
      </c>
      <c r="E108" t="s">
        <v>1002</v>
      </c>
      <c r="F108" t="s">
        <v>783</v>
      </c>
      <c r="G108" t="s">
        <v>803</v>
      </c>
      <c r="H108" t="s">
        <v>415</v>
      </c>
    </row>
    <row r="109" spans="1:9">
      <c r="A109" t="s">
        <v>1003</v>
      </c>
      <c r="B109" t="s">
        <v>1012</v>
      </c>
      <c r="D109" t="s">
        <v>910</v>
      </c>
      <c r="E109" t="s">
        <v>1002</v>
      </c>
      <c r="F109" t="s">
        <v>852</v>
      </c>
      <c r="G109" t="s">
        <v>784</v>
      </c>
      <c r="H109" t="s">
        <v>307</v>
      </c>
    </row>
    <row r="110" spans="1:9">
      <c r="A110" t="s">
        <v>1003</v>
      </c>
      <c r="B110" t="s">
        <v>1013</v>
      </c>
      <c r="D110" t="s">
        <v>902</v>
      </c>
      <c r="E110" t="s">
        <v>1002</v>
      </c>
      <c r="F110" t="s">
        <v>807</v>
      </c>
      <c r="G110" t="s">
        <v>834</v>
      </c>
      <c r="H110" t="s">
        <v>212</v>
      </c>
    </row>
    <row r="111" spans="1:9">
      <c r="A111" t="s">
        <v>1003</v>
      </c>
      <c r="B111" t="s">
        <v>1014</v>
      </c>
      <c r="D111" t="s">
        <v>902</v>
      </c>
      <c r="E111" t="s">
        <v>1002</v>
      </c>
      <c r="F111" t="s">
        <v>794</v>
      </c>
      <c r="G111" t="s">
        <v>808</v>
      </c>
      <c r="H111" t="s">
        <v>415</v>
      </c>
    </row>
    <row r="112" spans="1:9">
      <c r="A112" t="s">
        <v>1003</v>
      </c>
      <c r="B112" t="s">
        <v>1015</v>
      </c>
      <c r="D112" t="s">
        <v>879</v>
      </c>
      <c r="E112" t="s">
        <v>1002</v>
      </c>
      <c r="F112" t="s">
        <v>852</v>
      </c>
      <c r="G112" t="s">
        <v>808</v>
      </c>
      <c r="H112" t="s">
        <v>415</v>
      </c>
    </row>
    <row r="113" spans="1:9">
      <c r="A113" t="s">
        <v>1003</v>
      </c>
      <c r="B113" t="s">
        <v>1016</v>
      </c>
      <c r="D113" t="s">
        <v>981</v>
      </c>
      <c r="E113" t="s">
        <v>1002</v>
      </c>
      <c r="F113" t="s">
        <v>818</v>
      </c>
      <c r="G113" t="s">
        <v>834</v>
      </c>
      <c r="H113" t="s">
        <v>415</v>
      </c>
    </row>
    <row r="114" spans="1:9">
      <c r="A114" t="s">
        <v>1003</v>
      </c>
      <c r="B114" t="s">
        <v>1017</v>
      </c>
      <c r="D114" t="s">
        <v>908</v>
      </c>
      <c r="E114" t="s">
        <v>1002</v>
      </c>
      <c r="F114" t="s">
        <v>783</v>
      </c>
      <c r="G114" t="s">
        <v>824</v>
      </c>
      <c r="H114" t="s">
        <v>415</v>
      </c>
    </row>
    <row r="115" spans="1:9">
      <c r="A115" t="s">
        <v>1003</v>
      </c>
      <c r="B115" t="s">
        <v>1018</v>
      </c>
      <c r="D115" t="s">
        <v>1019</v>
      </c>
      <c r="E115" t="s">
        <v>1002</v>
      </c>
      <c r="F115" t="s">
        <v>807</v>
      </c>
      <c r="G115" t="s">
        <v>808</v>
      </c>
      <c r="H115" t="s">
        <v>224</v>
      </c>
    </row>
    <row r="116" spans="1:9">
      <c r="A116" t="s">
        <v>1003</v>
      </c>
      <c r="B116" t="s">
        <v>1020</v>
      </c>
      <c r="D116" t="s">
        <v>1021</v>
      </c>
      <c r="E116" t="s">
        <v>1002</v>
      </c>
      <c r="F116" t="s">
        <v>852</v>
      </c>
      <c r="G116" t="s">
        <v>834</v>
      </c>
      <c r="H116" t="s">
        <v>481</v>
      </c>
    </row>
    <row r="117" spans="1:9">
      <c r="A117" t="s">
        <v>1003</v>
      </c>
      <c r="B117" t="s">
        <v>1022</v>
      </c>
      <c r="D117" t="s">
        <v>981</v>
      </c>
      <c r="E117" t="s">
        <v>1002</v>
      </c>
      <c r="F117" t="s">
        <v>783</v>
      </c>
      <c r="G117" t="s">
        <v>976</v>
      </c>
      <c r="H117" t="s">
        <v>99</v>
      </c>
    </row>
    <row r="118" spans="1:9">
      <c r="A118" t="s">
        <v>1003</v>
      </c>
      <c r="B118" t="s">
        <v>1023</v>
      </c>
      <c r="D118" t="s">
        <v>996</v>
      </c>
      <c r="E118" t="s">
        <v>1002</v>
      </c>
      <c r="F118" t="s">
        <v>848</v>
      </c>
      <c r="G118" t="s">
        <v>1024</v>
      </c>
      <c r="H118" t="s">
        <v>415</v>
      </c>
      <c r="I118" t="s">
        <v>1025</v>
      </c>
    </row>
    <row r="119" spans="1:9">
      <c r="A119" t="s">
        <v>1003</v>
      </c>
      <c r="B119" t="s">
        <v>1026</v>
      </c>
      <c r="D119" t="s">
        <v>1027</v>
      </c>
      <c r="E119" t="s">
        <v>1002</v>
      </c>
      <c r="F119" t="s">
        <v>848</v>
      </c>
      <c r="G119" t="s">
        <v>1028</v>
      </c>
      <c r="H119" t="s">
        <v>415</v>
      </c>
      <c r="I119" t="s">
        <v>1025</v>
      </c>
    </row>
    <row r="120" spans="1:9">
      <c r="A120" t="s">
        <v>1029</v>
      </c>
      <c r="B120" t="s">
        <v>1030</v>
      </c>
      <c r="D120" t="s">
        <v>802</v>
      </c>
      <c r="E120" t="s">
        <v>1031</v>
      </c>
      <c r="F120" t="s">
        <v>814</v>
      </c>
      <c r="G120" t="s">
        <v>789</v>
      </c>
      <c r="H120" t="s">
        <v>415</v>
      </c>
    </row>
    <row r="121" spans="1:9">
      <c r="A121" t="s">
        <v>1032</v>
      </c>
      <c r="B121" t="s">
        <v>1033</v>
      </c>
      <c r="D121" t="s">
        <v>840</v>
      </c>
      <c r="E121" t="s">
        <v>1031</v>
      </c>
      <c r="F121" t="s">
        <v>807</v>
      </c>
      <c r="G121" t="s">
        <v>799</v>
      </c>
      <c r="H121" t="s">
        <v>307</v>
      </c>
    </row>
    <row r="122" spans="1:9">
      <c r="A122" t="s">
        <v>1032</v>
      </c>
      <c r="B122" t="s">
        <v>1034</v>
      </c>
      <c r="D122" t="s">
        <v>910</v>
      </c>
      <c r="E122" t="s">
        <v>1031</v>
      </c>
      <c r="F122" t="s">
        <v>783</v>
      </c>
      <c r="G122" t="s">
        <v>1035</v>
      </c>
      <c r="H122" t="s">
        <v>1</v>
      </c>
    </row>
    <row r="123" spans="1:9">
      <c r="A123" t="s">
        <v>1032</v>
      </c>
      <c r="B123" t="s">
        <v>1036</v>
      </c>
      <c r="D123" t="s">
        <v>979</v>
      </c>
      <c r="E123" t="s">
        <v>1031</v>
      </c>
      <c r="F123" t="s">
        <v>807</v>
      </c>
      <c r="G123" t="s">
        <v>824</v>
      </c>
      <c r="H123" t="s">
        <v>118</v>
      </c>
    </row>
    <row r="124" spans="1:9">
      <c r="A124" t="s">
        <v>1032</v>
      </c>
      <c r="B124" t="s">
        <v>1037</v>
      </c>
      <c r="D124" t="s">
        <v>996</v>
      </c>
      <c r="E124" t="s">
        <v>1031</v>
      </c>
      <c r="F124" t="s">
        <v>783</v>
      </c>
      <c r="G124" t="s">
        <v>784</v>
      </c>
      <c r="H124" t="s">
        <v>415</v>
      </c>
    </row>
    <row r="125" spans="1:9">
      <c r="A125" t="s">
        <v>1032</v>
      </c>
      <c r="B125" t="s">
        <v>1038</v>
      </c>
      <c r="D125" t="s">
        <v>1039</v>
      </c>
      <c r="E125" t="s">
        <v>1031</v>
      </c>
      <c r="F125" t="s">
        <v>807</v>
      </c>
      <c r="G125" t="s">
        <v>808</v>
      </c>
      <c r="H125" t="s">
        <v>1</v>
      </c>
    </row>
    <row r="126" spans="1:9">
      <c r="A126" t="s">
        <v>1032</v>
      </c>
      <c r="B126" t="s">
        <v>1040</v>
      </c>
      <c r="D126" t="s">
        <v>981</v>
      </c>
      <c r="E126" t="s">
        <v>1031</v>
      </c>
      <c r="F126" t="s">
        <v>807</v>
      </c>
      <c r="G126" t="s">
        <v>789</v>
      </c>
      <c r="H126" t="s">
        <v>415</v>
      </c>
    </row>
    <row r="127" spans="1:9">
      <c r="A127" t="s">
        <v>1032</v>
      </c>
      <c r="B127" t="s">
        <v>1041</v>
      </c>
      <c r="D127" t="s">
        <v>908</v>
      </c>
      <c r="E127" t="s">
        <v>1031</v>
      </c>
      <c r="F127" t="s">
        <v>807</v>
      </c>
      <c r="G127" t="s">
        <v>789</v>
      </c>
      <c r="H127" t="s">
        <v>415</v>
      </c>
    </row>
    <row r="128" spans="1:9">
      <c r="A128" t="s">
        <v>1032</v>
      </c>
      <c r="B128" t="s">
        <v>1042</v>
      </c>
      <c r="D128" t="s">
        <v>902</v>
      </c>
      <c r="E128" t="s">
        <v>1031</v>
      </c>
      <c r="F128" t="s">
        <v>852</v>
      </c>
      <c r="G128" t="s">
        <v>824</v>
      </c>
      <c r="H128" t="s">
        <v>118</v>
      </c>
    </row>
    <row r="129" spans="1:9">
      <c r="A129" t="s">
        <v>1032</v>
      </c>
      <c r="B129" t="s">
        <v>1043</v>
      </c>
      <c r="D129" t="s">
        <v>890</v>
      </c>
      <c r="E129" t="s">
        <v>1031</v>
      </c>
      <c r="F129" t="s">
        <v>852</v>
      </c>
      <c r="G129" t="s">
        <v>824</v>
      </c>
      <c r="H129" t="s">
        <v>118</v>
      </c>
    </row>
    <row r="130" spans="1:9">
      <c r="A130" t="s">
        <v>1032</v>
      </c>
      <c r="B130" t="s">
        <v>1044</v>
      </c>
      <c r="D130" t="s">
        <v>981</v>
      </c>
      <c r="E130" t="s">
        <v>1031</v>
      </c>
      <c r="F130" t="s">
        <v>783</v>
      </c>
      <c r="G130" t="s">
        <v>976</v>
      </c>
      <c r="H130" t="s">
        <v>467</v>
      </c>
    </row>
    <row r="131" spans="1:9">
      <c r="A131" t="s">
        <v>1032</v>
      </c>
      <c r="B131" t="s">
        <v>1045</v>
      </c>
      <c r="D131" t="s">
        <v>1046</v>
      </c>
      <c r="E131" t="s">
        <v>1031</v>
      </c>
      <c r="F131" t="s">
        <v>794</v>
      </c>
      <c r="G131" t="s">
        <v>799</v>
      </c>
      <c r="H131" t="s">
        <v>415</v>
      </c>
      <c r="I131" t="s">
        <v>1047</v>
      </c>
    </row>
    <row r="132" spans="1:9">
      <c r="A132" t="s">
        <v>1032</v>
      </c>
      <c r="B132" t="s">
        <v>1048</v>
      </c>
      <c r="D132" t="s">
        <v>910</v>
      </c>
      <c r="E132" t="s">
        <v>1031</v>
      </c>
      <c r="F132" t="s">
        <v>783</v>
      </c>
      <c r="G132" t="s">
        <v>789</v>
      </c>
      <c r="H132" t="s">
        <v>415</v>
      </c>
    </row>
    <row r="133" spans="1:9">
      <c r="A133" t="s">
        <v>1032</v>
      </c>
      <c r="B133" t="s">
        <v>1049</v>
      </c>
      <c r="D133" t="s">
        <v>1046</v>
      </c>
      <c r="E133" t="s">
        <v>1031</v>
      </c>
      <c r="F133" t="s">
        <v>783</v>
      </c>
      <c r="G133" t="s">
        <v>789</v>
      </c>
      <c r="H133" t="s">
        <v>415</v>
      </c>
      <c r="I133" t="s">
        <v>1050</v>
      </c>
    </row>
    <row r="134" spans="1:9">
      <c r="A134" t="s">
        <v>1032</v>
      </c>
      <c r="B134" t="s">
        <v>1051</v>
      </c>
      <c r="D134" t="s">
        <v>902</v>
      </c>
      <c r="E134" t="s">
        <v>1031</v>
      </c>
      <c r="F134" t="s">
        <v>783</v>
      </c>
      <c r="G134" t="s">
        <v>834</v>
      </c>
      <c r="H134" t="s">
        <v>307</v>
      </c>
    </row>
    <row r="135" spans="1:9">
      <c r="A135" t="s">
        <v>1032</v>
      </c>
      <c r="B135" t="s">
        <v>1052</v>
      </c>
      <c r="D135" t="s">
        <v>981</v>
      </c>
      <c r="E135" t="s">
        <v>1031</v>
      </c>
      <c r="F135" t="s">
        <v>794</v>
      </c>
      <c r="G135" t="s">
        <v>789</v>
      </c>
      <c r="H135" t="s">
        <v>1</v>
      </c>
    </row>
    <row r="136" spans="1:9">
      <c r="A136" t="s">
        <v>1032</v>
      </c>
      <c r="B136" t="s">
        <v>1053</v>
      </c>
      <c r="D136" t="s">
        <v>981</v>
      </c>
      <c r="E136" t="s">
        <v>1031</v>
      </c>
      <c r="F136" t="s">
        <v>852</v>
      </c>
      <c r="G136" t="s">
        <v>808</v>
      </c>
      <c r="H136" t="s">
        <v>1054</v>
      </c>
    </row>
    <row r="137" spans="1:9">
      <c r="A137" t="s">
        <v>1032</v>
      </c>
      <c r="B137" t="s">
        <v>1055</v>
      </c>
      <c r="D137" t="s">
        <v>908</v>
      </c>
      <c r="E137" t="s">
        <v>1031</v>
      </c>
      <c r="F137" t="s">
        <v>783</v>
      </c>
      <c r="G137" t="s">
        <v>789</v>
      </c>
      <c r="H137" t="s">
        <v>99</v>
      </c>
    </row>
    <row r="138" spans="1:9">
      <c r="A138" t="s">
        <v>1032</v>
      </c>
      <c r="B138" t="s">
        <v>1056</v>
      </c>
      <c r="D138" t="s">
        <v>806</v>
      </c>
      <c r="E138" t="s">
        <v>1031</v>
      </c>
      <c r="F138" t="s">
        <v>783</v>
      </c>
      <c r="G138" t="s">
        <v>824</v>
      </c>
      <c r="H138" t="s">
        <v>205</v>
      </c>
    </row>
    <row r="139" spans="1:9">
      <c r="A139" t="s">
        <v>1032</v>
      </c>
      <c r="B139" t="s">
        <v>1057</v>
      </c>
      <c r="D139" t="s">
        <v>986</v>
      </c>
      <c r="E139" t="s">
        <v>1031</v>
      </c>
      <c r="F139" t="s">
        <v>783</v>
      </c>
      <c r="G139" t="s">
        <v>784</v>
      </c>
      <c r="H139" t="s">
        <v>83</v>
      </c>
    </row>
    <row r="140" spans="1:9">
      <c r="A140" t="s">
        <v>1032</v>
      </c>
      <c r="B140" t="s">
        <v>1058</v>
      </c>
      <c r="D140" t="s">
        <v>979</v>
      </c>
      <c r="E140" t="s">
        <v>1031</v>
      </c>
      <c r="F140" t="s">
        <v>807</v>
      </c>
      <c r="G140" t="s">
        <v>803</v>
      </c>
      <c r="H140" t="s">
        <v>415</v>
      </c>
    </row>
    <row r="141" spans="1:9">
      <c r="A141" t="s">
        <v>1032</v>
      </c>
      <c r="B141" t="s">
        <v>1059</v>
      </c>
      <c r="D141" t="s">
        <v>840</v>
      </c>
      <c r="E141" t="s">
        <v>1031</v>
      </c>
      <c r="F141" t="s">
        <v>807</v>
      </c>
      <c r="G141" t="s">
        <v>803</v>
      </c>
      <c r="H141" t="s">
        <v>415</v>
      </c>
    </row>
    <row r="142" spans="1:9">
      <c r="A142" t="s">
        <v>1032</v>
      </c>
      <c r="B142" t="s">
        <v>1060</v>
      </c>
      <c r="D142" t="s">
        <v>996</v>
      </c>
      <c r="E142" t="s">
        <v>1031</v>
      </c>
      <c r="F142" t="s">
        <v>807</v>
      </c>
      <c r="G142" t="s">
        <v>784</v>
      </c>
      <c r="H142" t="s">
        <v>467</v>
      </c>
    </row>
    <row r="143" spans="1:9">
      <c r="A143" t="s">
        <v>1032</v>
      </c>
      <c r="B143" t="s">
        <v>1061</v>
      </c>
      <c r="D143" t="s">
        <v>990</v>
      </c>
      <c r="E143" t="s">
        <v>1031</v>
      </c>
      <c r="F143" t="s">
        <v>783</v>
      </c>
      <c r="G143" t="s">
        <v>799</v>
      </c>
      <c r="H143" t="s">
        <v>467</v>
      </c>
    </row>
    <row r="144" spans="1:9">
      <c r="A144" t="s">
        <v>1032</v>
      </c>
      <c r="B144" t="s">
        <v>1062</v>
      </c>
      <c r="D144" t="s">
        <v>908</v>
      </c>
      <c r="E144" t="s">
        <v>1031</v>
      </c>
      <c r="F144" t="s">
        <v>807</v>
      </c>
      <c r="G144" t="s">
        <v>803</v>
      </c>
      <c r="H144" t="s">
        <v>83</v>
      </c>
    </row>
    <row r="145" spans="1:9">
      <c r="A145" t="s">
        <v>1032</v>
      </c>
      <c r="B145" t="s">
        <v>1063</v>
      </c>
      <c r="D145" t="s">
        <v>990</v>
      </c>
      <c r="E145" t="s">
        <v>1031</v>
      </c>
      <c r="F145" t="s">
        <v>823</v>
      </c>
      <c r="G145" t="s">
        <v>789</v>
      </c>
      <c r="H145" t="s">
        <v>415</v>
      </c>
    </row>
    <row r="146" spans="1:9">
      <c r="A146" t="s">
        <v>1032</v>
      </c>
      <c r="B146" t="s">
        <v>1064</v>
      </c>
      <c r="D146" t="s">
        <v>908</v>
      </c>
      <c r="E146" t="s">
        <v>1031</v>
      </c>
      <c r="F146" t="s">
        <v>794</v>
      </c>
      <c r="G146" t="s">
        <v>789</v>
      </c>
      <c r="H146" t="s">
        <v>415</v>
      </c>
      <c r="I146" t="s">
        <v>1065</v>
      </c>
    </row>
    <row r="147" spans="1:9">
      <c r="A147" t="s">
        <v>1032</v>
      </c>
      <c r="B147" t="s">
        <v>1066</v>
      </c>
      <c r="D147" t="s">
        <v>990</v>
      </c>
      <c r="E147" t="s">
        <v>1031</v>
      </c>
      <c r="F147" t="s">
        <v>852</v>
      </c>
      <c r="G147" t="s">
        <v>789</v>
      </c>
      <c r="H147" t="s">
        <v>242</v>
      </c>
    </row>
    <row r="148" spans="1:9">
      <c r="A148" t="s">
        <v>1032</v>
      </c>
      <c r="B148" t="s">
        <v>1067</v>
      </c>
      <c r="D148" t="s">
        <v>981</v>
      </c>
      <c r="E148" t="s">
        <v>1031</v>
      </c>
      <c r="F148" t="s">
        <v>794</v>
      </c>
      <c r="G148" t="s">
        <v>808</v>
      </c>
      <c r="H148" t="s">
        <v>415</v>
      </c>
    </row>
    <row r="149" spans="1:9">
      <c r="A149" t="s">
        <v>1032</v>
      </c>
      <c r="B149" t="s">
        <v>1068</v>
      </c>
      <c r="D149" t="s">
        <v>1069</v>
      </c>
      <c r="E149" t="s">
        <v>1031</v>
      </c>
      <c r="F149" t="s">
        <v>823</v>
      </c>
      <c r="G149" t="s">
        <v>784</v>
      </c>
      <c r="H149" t="s">
        <v>212</v>
      </c>
    </row>
    <row r="150" spans="1:9">
      <c r="A150" t="s">
        <v>1032</v>
      </c>
      <c r="B150" t="s">
        <v>1070</v>
      </c>
      <c r="D150" t="s">
        <v>908</v>
      </c>
      <c r="E150" t="s">
        <v>1031</v>
      </c>
      <c r="F150" t="s">
        <v>941</v>
      </c>
      <c r="G150" t="s">
        <v>803</v>
      </c>
      <c r="H150" t="s">
        <v>212</v>
      </c>
    </row>
    <row r="151" spans="1:9">
      <c r="A151" t="s">
        <v>1032</v>
      </c>
      <c r="B151" t="s">
        <v>1071</v>
      </c>
      <c r="D151" t="s">
        <v>979</v>
      </c>
      <c r="E151" t="s">
        <v>1031</v>
      </c>
      <c r="F151" t="s">
        <v>848</v>
      </c>
      <c r="G151" t="s">
        <v>824</v>
      </c>
      <c r="H151" t="s">
        <v>212</v>
      </c>
    </row>
    <row r="152" spans="1:9">
      <c r="A152" t="s">
        <v>1072</v>
      </c>
      <c r="B152" t="s">
        <v>1073</v>
      </c>
      <c r="D152" t="s">
        <v>979</v>
      </c>
      <c r="E152" t="s">
        <v>1074</v>
      </c>
      <c r="F152" t="s">
        <v>807</v>
      </c>
      <c r="G152" t="s">
        <v>789</v>
      </c>
      <c r="H152" t="s">
        <v>415</v>
      </c>
    </row>
    <row r="153" spans="1:9">
      <c r="A153" t="s">
        <v>1075</v>
      </c>
      <c r="B153" t="s">
        <v>1076</v>
      </c>
      <c r="D153" t="s">
        <v>981</v>
      </c>
      <c r="E153" t="s">
        <v>1074</v>
      </c>
      <c r="F153" t="s">
        <v>852</v>
      </c>
      <c r="G153" t="s">
        <v>803</v>
      </c>
      <c r="H153" t="s">
        <v>415</v>
      </c>
    </row>
    <row r="154" spans="1:9">
      <c r="A154" t="s">
        <v>1075</v>
      </c>
      <c r="B154" t="s">
        <v>1077</v>
      </c>
      <c r="D154" t="s">
        <v>981</v>
      </c>
      <c r="E154" t="s">
        <v>1074</v>
      </c>
      <c r="F154" t="s">
        <v>807</v>
      </c>
      <c r="G154" t="s">
        <v>789</v>
      </c>
      <c r="H154" t="s">
        <v>415</v>
      </c>
    </row>
    <row r="155" spans="1:9">
      <c r="A155" t="s">
        <v>1075</v>
      </c>
      <c r="B155" t="s">
        <v>1078</v>
      </c>
      <c r="D155" t="s">
        <v>996</v>
      </c>
      <c r="E155" t="s">
        <v>1074</v>
      </c>
      <c r="F155" t="s">
        <v>783</v>
      </c>
      <c r="G155" t="s">
        <v>903</v>
      </c>
      <c r="H155" t="s">
        <v>1</v>
      </c>
    </row>
    <row r="156" spans="1:9">
      <c r="A156" t="s">
        <v>1075</v>
      </c>
      <c r="B156" t="s">
        <v>1079</v>
      </c>
      <c r="D156" t="s">
        <v>990</v>
      </c>
      <c r="E156" t="s">
        <v>1074</v>
      </c>
      <c r="F156" t="s">
        <v>794</v>
      </c>
      <c r="G156" t="s">
        <v>834</v>
      </c>
      <c r="H156" t="s">
        <v>415</v>
      </c>
    </row>
    <row r="157" spans="1:9">
      <c r="A157" t="s">
        <v>1075</v>
      </c>
      <c r="B157" t="s">
        <v>1080</v>
      </c>
      <c r="D157" t="s">
        <v>996</v>
      </c>
      <c r="E157" t="s">
        <v>1074</v>
      </c>
      <c r="F157" t="s">
        <v>807</v>
      </c>
      <c r="G157" t="s">
        <v>789</v>
      </c>
      <c r="H157" t="s">
        <v>307</v>
      </c>
    </row>
    <row r="158" spans="1:9">
      <c r="A158" t="s">
        <v>1075</v>
      </c>
      <c r="B158" t="s">
        <v>1081</v>
      </c>
      <c r="D158" t="s">
        <v>1082</v>
      </c>
      <c r="E158" t="s">
        <v>1074</v>
      </c>
      <c r="F158" t="s">
        <v>783</v>
      </c>
      <c r="G158" t="s">
        <v>789</v>
      </c>
      <c r="H158" t="s">
        <v>150</v>
      </c>
      <c r="I158" t="s">
        <v>1083</v>
      </c>
    </row>
    <row r="159" spans="1:9">
      <c r="A159" t="s">
        <v>1075</v>
      </c>
      <c r="B159" t="s">
        <v>1084</v>
      </c>
      <c r="D159" t="s">
        <v>1019</v>
      </c>
      <c r="E159" t="s">
        <v>1074</v>
      </c>
      <c r="F159" t="s">
        <v>794</v>
      </c>
      <c r="G159" t="s">
        <v>898</v>
      </c>
      <c r="H159" t="s">
        <v>1</v>
      </c>
    </row>
    <row r="160" spans="1:9">
      <c r="A160" t="s">
        <v>1075</v>
      </c>
      <c r="B160" t="s">
        <v>1085</v>
      </c>
      <c r="D160" t="s">
        <v>1019</v>
      </c>
      <c r="E160" t="s">
        <v>1074</v>
      </c>
      <c r="F160" t="s">
        <v>807</v>
      </c>
      <c r="G160" t="s">
        <v>803</v>
      </c>
      <c r="H160" t="s">
        <v>467</v>
      </c>
    </row>
    <row r="161" spans="1:9">
      <c r="A161" t="s">
        <v>1075</v>
      </c>
      <c r="B161" t="s">
        <v>1086</v>
      </c>
      <c r="D161" t="s">
        <v>1087</v>
      </c>
      <c r="E161" t="s">
        <v>1074</v>
      </c>
      <c r="F161" t="s">
        <v>794</v>
      </c>
      <c r="G161" t="s">
        <v>860</v>
      </c>
      <c r="H161" t="s">
        <v>1054</v>
      </c>
    </row>
    <row r="162" spans="1:9">
      <c r="A162" t="s">
        <v>1075</v>
      </c>
      <c r="B162" t="s">
        <v>1088</v>
      </c>
      <c r="D162" t="s">
        <v>990</v>
      </c>
      <c r="E162" t="s">
        <v>1074</v>
      </c>
      <c r="F162" t="s">
        <v>783</v>
      </c>
      <c r="G162" t="s">
        <v>824</v>
      </c>
      <c r="H162" t="s">
        <v>415</v>
      </c>
      <c r="I162" t="s">
        <v>1047</v>
      </c>
    </row>
    <row r="163" spans="1:9">
      <c r="A163" t="s">
        <v>1075</v>
      </c>
      <c r="B163" t="s">
        <v>1089</v>
      </c>
      <c r="D163" t="s">
        <v>981</v>
      </c>
      <c r="E163" t="s">
        <v>1074</v>
      </c>
      <c r="F163" t="s">
        <v>807</v>
      </c>
      <c r="G163" t="s">
        <v>808</v>
      </c>
      <c r="H163" t="s">
        <v>255</v>
      </c>
    </row>
    <row r="164" spans="1:9">
      <c r="A164" t="s">
        <v>1075</v>
      </c>
      <c r="B164" t="s">
        <v>1090</v>
      </c>
      <c r="D164" t="s">
        <v>908</v>
      </c>
      <c r="E164" t="s">
        <v>1074</v>
      </c>
      <c r="F164" t="s">
        <v>783</v>
      </c>
      <c r="G164" t="s">
        <v>841</v>
      </c>
      <c r="H164" t="s">
        <v>99</v>
      </c>
      <c r="I164" t="s">
        <v>1091</v>
      </c>
    </row>
    <row r="165" spans="1:9">
      <c r="A165" t="s">
        <v>1075</v>
      </c>
      <c r="B165" t="s">
        <v>1092</v>
      </c>
      <c r="D165" t="s">
        <v>996</v>
      </c>
      <c r="E165" t="s">
        <v>1074</v>
      </c>
      <c r="F165" t="s">
        <v>807</v>
      </c>
      <c r="G165" t="s">
        <v>789</v>
      </c>
      <c r="H165" t="s">
        <v>255</v>
      </c>
    </row>
    <row r="166" spans="1:9">
      <c r="A166" t="s">
        <v>1075</v>
      </c>
      <c r="B166" t="s">
        <v>1093</v>
      </c>
      <c r="D166" t="s">
        <v>1027</v>
      </c>
      <c r="E166" t="s">
        <v>1074</v>
      </c>
      <c r="F166" t="s">
        <v>807</v>
      </c>
      <c r="G166" t="s">
        <v>841</v>
      </c>
      <c r="H166" t="s">
        <v>467</v>
      </c>
    </row>
    <row r="167" spans="1:9">
      <c r="A167" t="s">
        <v>1075</v>
      </c>
      <c r="B167" t="s">
        <v>1094</v>
      </c>
      <c r="D167" t="s">
        <v>996</v>
      </c>
      <c r="E167" t="s">
        <v>1074</v>
      </c>
      <c r="F167" t="s">
        <v>848</v>
      </c>
      <c r="G167" t="s">
        <v>789</v>
      </c>
      <c r="H167" t="s">
        <v>150</v>
      </c>
    </row>
    <row r="168" spans="1:9">
      <c r="A168" t="s">
        <v>1075</v>
      </c>
      <c r="B168" t="s">
        <v>1095</v>
      </c>
      <c r="D168" t="s">
        <v>1019</v>
      </c>
      <c r="E168" t="s">
        <v>1074</v>
      </c>
      <c r="F168" t="s">
        <v>807</v>
      </c>
      <c r="G168" t="s">
        <v>976</v>
      </c>
      <c r="H168" t="s">
        <v>473</v>
      </c>
    </row>
    <row r="169" spans="1:9">
      <c r="A169" t="s">
        <v>1075</v>
      </c>
      <c r="B169" t="s">
        <v>1096</v>
      </c>
      <c r="D169" t="s">
        <v>996</v>
      </c>
      <c r="E169" t="s">
        <v>1074</v>
      </c>
      <c r="F169" t="s">
        <v>783</v>
      </c>
      <c r="G169" t="s">
        <v>860</v>
      </c>
      <c r="H169" t="s">
        <v>467</v>
      </c>
    </row>
    <row r="170" spans="1:9">
      <c r="A170" t="s">
        <v>1075</v>
      </c>
      <c r="B170" t="s">
        <v>1097</v>
      </c>
      <c r="D170" t="s">
        <v>990</v>
      </c>
      <c r="E170" t="s">
        <v>1074</v>
      </c>
      <c r="F170" t="s">
        <v>848</v>
      </c>
      <c r="G170" t="s">
        <v>1098</v>
      </c>
      <c r="H170" t="s">
        <v>1054</v>
      </c>
    </row>
    <row r="171" spans="1:9">
      <c r="A171" t="s">
        <v>1075</v>
      </c>
      <c r="B171" t="s">
        <v>1099</v>
      </c>
      <c r="D171" t="s">
        <v>908</v>
      </c>
      <c r="E171" t="s">
        <v>1074</v>
      </c>
      <c r="F171" t="s">
        <v>794</v>
      </c>
      <c r="G171" t="s">
        <v>784</v>
      </c>
      <c r="H171" t="s">
        <v>212</v>
      </c>
    </row>
    <row r="172" spans="1:9">
      <c r="A172" t="s">
        <v>1075</v>
      </c>
      <c r="B172" t="s">
        <v>1100</v>
      </c>
      <c r="D172" t="s">
        <v>981</v>
      </c>
      <c r="E172" t="s">
        <v>1074</v>
      </c>
      <c r="F172" t="s">
        <v>794</v>
      </c>
      <c r="G172" t="s">
        <v>834</v>
      </c>
      <c r="H172" t="s">
        <v>212</v>
      </c>
    </row>
    <row r="173" spans="1:9">
      <c r="A173" t="s">
        <v>1075</v>
      </c>
      <c r="B173" t="s">
        <v>1101</v>
      </c>
      <c r="D173" t="s">
        <v>996</v>
      </c>
      <c r="E173" t="s">
        <v>1074</v>
      </c>
      <c r="F173" t="s">
        <v>783</v>
      </c>
      <c r="G173" t="s">
        <v>808</v>
      </c>
      <c r="H173" t="s">
        <v>118</v>
      </c>
      <c r="I173" t="s">
        <v>1102</v>
      </c>
    </row>
    <row r="174" spans="1:9">
      <c r="A174" t="s">
        <v>1075</v>
      </c>
      <c r="B174" t="s">
        <v>1103</v>
      </c>
      <c r="D174" t="s">
        <v>981</v>
      </c>
      <c r="E174" t="s">
        <v>1074</v>
      </c>
      <c r="F174" t="s">
        <v>807</v>
      </c>
      <c r="G174" t="s">
        <v>789</v>
      </c>
      <c r="H174" t="s">
        <v>231</v>
      </c>
      <c r="I174" t="s">
        <v>1104</v>
      </c>
    </row>
    <row r="175" spans="1:9">
      <c r="A175" t="s">
        <v>1075</v>
      </c>
      <c r="B175" t="s">
        <v>1105</v>
      </c>
      <c r="D175" t="s">
        <v>1019</v>
      </c>
      <c r="E175" t="s">
        <v>1074</v>
      </c>
      <c r="F175" t="s">
        <v>794</v>
      </c>
      <c r="G175" t="s">
        <v>903</v>
      </c>
      <c r="H175" t="s">
        <v>118</v>
      </c>
    </row>
    <row r="176" spans="1:9">
      <c r="A176" t="s">
        <v>1075</v>
      </c>
      <c r="B176" t="s">
        <v>1106</v>
      </c>
      <c r="D176" t="s">
        <v>996</v>
      </c>
      <c r="E176" t="s">
        <v>1074</v>
      </c>
      <c r="F176" t="s">
        <v>807</v>
      </c>
      <c r="G176" t="s">
        <v>789</v>
      </c>
      <c r="H176" t="s">
        <v>134</v>
      </c>
    </row>
    <row r="177" spans="1:8">
      <c r="A177" t="s">
        <v>1075</v>
      </c>
      <c r="B177" t="s">
        <v>1107</v>
      </c>
      <c r="D177" t="s">
        <v>908</v>
      </c>
      <c r="E177" t="s">
        <v>1074</v>
      </c>
      <c r="F177" t="s">
        <v>783</v>
      </c>
      <c r="G177" t="s">
        <v>789</v>
      </c>
      <c r="H177" t="s">
        <v>481</v>
      </c>
    </row>
    <row r="178" spans="1:8">
      <c r="A178" t="s">
        <v>1075</v>
      </c>
      <c r="B178" t="s">
        <v>1108</v>
      </c>
      <c r="D178" t="s">
        <v>981</v>
      </c>
      <c r="E178" t="s">
        <v>1074</v>
      </c>
      <c r="F178" t="s">
        <v>880</v>
      </c>
      <c r="G178" t="s">
        <v>898</v>
      </c>
      <c r="H178" t="s">
        <v>134</v>
      </c>
    </row>
    <row r="179" spans="1:8">
      <c r="A179" t="s">
        <v>1075</v>
      </c>
      <c r="B179" t="s">
        <v>1109</v>
      </c>
      <c r="D179" t="s">
        <v>1019</v>
      </c>
      <c r="E179" t="s">
        <v>1074</v>
      </c>
      <c r="F179" t="s">
        <v>852</v>
      </c>
      <c r="G179" t="s">
        <v>834</v>
      </c>
      <c r="H179" t="s">
        <v>150</v>
      </c>
    </row>
    <row r="180" spans="1:8">
      <c r="A180" t="s">
        <v>1075</v>
      </c>
      <c r="B180" t="s">
        <v>1110</v>
      </c>
      <c r="D180" t="s">
        <v>981</v>
      </c>
      <c r="E180" t="s">
        <v>1074</v>
      </c>
      <c r="F180" t="s">
        <v>852</v>
      </c>
      <c r="G180" t="s">
        <v>824</v>
      </c>
      <c r="H180" t="s">
        <v>1</v>
      </c>
    </row>
    <row r="181" spans="1:8">
      <c r="A181" t="s">
        <v>1075</v>
      </c>
      <c r="B181" t="s">
        <v>1111</v>
      </c>
      <c r="D181" t="s">
        <v>979</v>
      </c>
      <c r="E181" t="s">
        <v>1074</v>
      </c>
      <c r="F181" t="s">
        <v>783</v>
      </c>
      <c r="G181" t="s">
        <v>881</v>
      </c>
      <c r="H181" t="s">
        <v>415</v>
      </c>
    </row>
    <row r="182" spans="1:8">
      <c r="A182" t="s">
        <v>1075</v>
      </c>
      <c r="B182" t="s">
        <v>1112</v>
      </c>
      <c r="D182" t="s">
        <v>981</v>
      </c>
      <c r="E182" t="s">
        <v>1074</v>
      </c>
      <c r="F182" t="s">
        <v>783</v>
      </c>
      <c r="G182" t="s">
        <v>789</v>
      </c>
      <c r="H182" t="s">
        <v>1054</v>
      </c>
    </row>
    <row r="183" spans="1:8">
      <c r="A183" t="s">
        <v>1075</v>
      </c>
      <c r="B183" t="s">
        <v>1113</v>
      </c>
      <c r="D183" t="s">
        <v>1019</v>
      </c>
      <c r="E183" t="s">
        <v>1074</v>
      </c>
      <c r="F183" t="s">
        <v>807</v>
      </c>
      <c r="G183" t="s">
        <v>784</v>
      </c>
      <c r="H183" t="s">
        <v>1054</v>
      </c>
    </row>
    <row r="184" spans="1:8">
      <c r="A184" t="s">
        <v>1075</v>
      </c>
      <c r="B184" t="s">
        <v>1114</v>
      </c>
      <c r="D184" t="s">
        <v>1087</v>
      </c>
      <c r="E184" t="s">
        <v>1074</v>
      </c>
      <c r="F184" t="s">
        <v>880</v>
      </c>
      <c r="G184" t="s">
        <v>863</v>
      </c>
      <c r="H184" t="s">
        <v>415</v>
      </c>
    </row>
    <row r="185" spans="1:8">
      <c r="A185" t="s">
        <v>1075</v>
      </c>
      <c r="B185" t="s">
        <v>1115</v>
      </c>
      <c r="D185" t="s">
        <v>902</v>
      </c>
      <c r="E185" t="s">
        <v>1074</v>
      </c>
      <c r="F185" t="s">
        <v>783</v>
      </c>
      <c r="G185" t="s">
        <v>903</v>
      </c>
      <c r="H185" t="s">
        <v>307</v>
      </c>
    </row>
    <row r="186" spans="1:8">
      <c r="A186" t="s">
        <v>1075</v>
      </c>
      <c r="B186" t="s">
        <v>1116</v>
      </c>
      <c r="D186" t="s">
        <v>981</v>
      </c>
      <c r="E186" t="s">
        <v>1074</v>
      </c>
      <c r="F186" t="s">
        <v>783</v>
      </c>
      <c r="G186" t="s">
        <v>808</v>
      </c>
      <c r="H186" t="s">
        <v>1</v>
      </c>
    </row>
    <row r="187" spans="1:8">
      <c r="A187" t="s">
        <v>1075</v>
      </c>
      <c r="B187" t="s">
        <v>1117</v>
      </c>
      <c r="D187" t="s">
        <v>1019</v>
      </c>
      <c r="E187" t="s">
        <v>1074</v>
      </c>
      <c r="F187" t="s">
        <v>807</v>
      </c>
      <c r="G187" t="s">
        <v>1118</v>
      </c>
      <c r="H187" t="s">
        <v>467</v>
      </c>
    </row>
    <row r="188" spans="1:8">
      <c r="A188" t="s">
        <v>1075</v>
      </c>
      <c r="B188" t="s">
        <v>1119</v>
      </c>
      <c r="D188" t="s">
        <v>908</v>
      </c>
      <c r="E188" t="s">
        <v>1074</v>
      </c>
      <c r="F188" t="s">
        <v>848</v>
      </c>
      <c r="G188" t="s">
        <v>808</v>
      </c>
      <c r="H188" t="s">
        <v>205</v>
      </c>
    </row>
    <row r="189" spans="1:8">
      <c r="A189" t="s">
        <v>1075</v>
      </c>
      <c r="B189" t="s">
        <v>1120</v>
      </c>
      <c r="D189" t="s">
        <v>1069</v>
      </c>
      <c r="E189" t="s">
        <v>1074</v>
      </c>
      <c r="F189" t="s">
        <v>880</v>
      </c>
      <c r="G189" t="s">
        <v>903</v>
      </c>
      <c r="H189" t="s">
        <v>99</v>
      </c>
    </row>
    <row r="190" spans="1:8">
      <c r="A190" t="s">
        <v>1075</v>
      </c>
      <c r="B190" t="s">
        <v>1121</v>
      </c>
      <c r="D190" t="s">
        <v>996</v>
      </c>
      <c r="E190" t="s">
        <v>1074</v>
      </c>
      <c r="F190" t="s">
        <v>807</v>
      </c>
      <c r="G190" t="s">
        <v>808</v>
      </c>
      <c r="H190" t="s">
        <v>415</v>
      </c>
    </row>
    <row r="191" spans="1:8">
      <c r="A191" t="s">
        <v>1075</v>
      </c>
      <c r="B191" t="s">
        <v>1122</v>
      </c>
      <c r="D191" t="s">
        <v>908</v>
      </c>
      <c r="E191" t="s">
        <v>1074</v>
      </c>
      <c r="F191" t="s">
        <v>794</v>
      </c>
      <c r="G191" t="s">
        <v>1098</v>
      </c>
      <c r="H191" t="s">
        <v>1123</v>
      </c>
    </row>
    <row r="192" spans="1:8">
      <c r="A192" t="s">
        <v>1075</v>
      </c>
      <c r="B192" t="s">
        <v>1124</v>
      </c>
      <c r="D192" t="s">
        <v>1019</v>
      </c>
      <c r="E192" t="s">
        <v>1074</v>
      </c>
      <c r="F192" t="s">
        <v>783</v>
      </c>
      <c r="G192" t="s">
        <v>808</v>
      </c>
      <c r="H192" t="s">
        <v>184</v>
      </c>
    </row>
    <row r="193" spans="1:9">
      <c r="A193" t="s">
        <v>1075</v>
      </c>
      <c r="B193" t="s">
        <v>1125</v>
      </c>
      <c r="D193" t="s">
        <v>1087</v>
      </c>
      <c r="E193" t="s">
        <v>1074</v>
      </c>
      <c r="F193" t="s">
        <v>807</v>
      </c>
      <c r="G193" t="s">
        <v>789</v>
      </c>
      <c r="H193" t="s">
        <v>415</v>
      </c>
      <c r="I193" t="s">
        <v>1050</v>
      </c>
    </row>
    <row r="194" spans="1:9">
      <c r="A194" t="s">
        <v>1075</v>
      </c>
      <c r="B194" t="s">
        <v>1126</v>
      </c>
      <c r="D194" t="s">
        <v>990</v>
      </c>
      <c r="E194" t="s">
        <v>1074</v>
      </c>
      <c r="F194" t="s">
        <v>807</v>
      </c>
      <c r="G194" t="s">
        <v>841</v>
      </c>
      <c r="H194" t="s">
        <v>415</v>
      </c>
    </row>
    <row r="195" spans="1:9">
      <c r="A195" t="s">
        <v>1075</v>
      </c>
      <c r="B195" t="s">
        <v>1127</v>
      </c>
      <c r="D195" t="s">
        <v>1087</v>
      </c>
      <c r="E195" t="s">
        <v>1074</v>
      </c>
      <c r="F195" t="s">
        <v>807</v>
      </c>
      <c r="G195" t="s">
        <v>834</v>
      </c>
      <c r="H195" t="s">
        <v>415</v>
      </c>
    </row>
    <row r="196" spans="1:9">
      <c r="A196" t="s">
        <v>1075</v>
      </c>
      <c r="B196" t="s">
        <v>1128</v>
      </c>
      <c r="D196" t="s">
        <v>1087</v>
      </c>
      <c r="E196" t="s">
        <v>1074</v>
      </c>
      <c r="F196" t="s">
        <v>783</v>
      </c>
      <c r="G196" t="s">
        <v>789</v>
      </c>
      <c r="H196" t="s">
        <v>415</v>
      </c>
    </row>
    <row r="197" spans="1:9">
      <c r="A197" t="s">
        <v>1075</v>
      </c>
      <c r="B197" t="s">
        <v>1129</v>
      </c>
      <c r="D197" t="s">
        <v>1087</v>
      </c>
      <c r="E197" t="s">
        <v>1074</v>
      </c>
      <c r="F197" t="s">
        <v>794</v>
      </c>
      <c r="G197" t="s">
        <v>789</v>
      </c>
      <c r="H197" t="s">
        <v>415</v>
      </c>
    </row>
    <row r="198" spans="1:9">
      <c r="A198" t="s">
        <v>1075</v>
      </c>
      <c r="B198" t="s">
        <v>1130</v>
      </c>
      <c r="D198" t="s">
        <v>996</v>
      </c>
      <c r="E198" t="s">
        <v>1074</v>
      </c>
      <c r="F198" t="s">
        <v>852</v>
      </c>
      <c r="G198" t="s">
        <v>860</v>
      </c>
      <c r="H198" t="s">
        <v>307</v>
      </c>
    </row>
    <row r="199" spans="1:9">
      <c r="A199" t="s">
        <v>1075</v>
      </c>
      <c r="B199" t="s">
        <v>1131</v>
      </c>
      <c r="D199" t="s">
        <v>902</v>
      </c>
      <c r="E199" t="s">
        <v>1074</v>
      </c>
      <c r="F199" t="s">
        <v>783</v>
      </c>
      <c r="G199" t="s">
        <v>789</v>
      </c>
      <c r="H199" t="s">
        <v>307</v>
      </c>
      <c r="I199" t="s">
        <v>1132</v>
      </c>
    </row>
    <row r="200" spans="1:9">
      <c r="A200" t="s">
        <v>1075</v>
      </c>
      <c r="B200" t="s">
        <v>1133</v>
      </c>
      <c r="D200" t="s">
        <v>1019</v>
      </c>
      <c r="E200" t="s">
        <v>1074</v>
      </c>
      <c r="F200" t="s">
        <v>807</v>
      </c>
      <c r="G200" t="s">
        <v>834</v>
      </c>
      <c r="H200" t="s">
        <v>224</v>
      </c>
    </row>
    <row r="201" spans="1:9">
      <c r="A201" t="s">
        <v>1075</v>
      </c>
      <c r="B201" t="s">
        <v>1134</v>
      </c>
      <c r="D201" t="s">
        <v>1027</v>
      </c>
      <c r="E201" t="s">
        <v>1074</v>
      </c>
      <c r="F201" t="s">
        <v>807</v>
      </c>
      <c r="G201" t="s">
        <v>803</v>
      </c>
      <c r="H201" t="s">
        <v>415</v>
      </c>
    </row>
    <row r="202" spans="1:9">
      <c r="A202" t="s">
        <v>1075</v>
      </c>
      <c r="B202" t="s">
        <v>1135</v>
      </c>
      <c r="D202" t="s">
        <v>1087</v>
      </c>
      <c r="E202" t="s">
        <v>1074</v>
      </c>
      <c r="F202" t="s">
        <v>783</v>
      </c>
      <c r="G202" t="s">
        <v>803</v>
      </c>
      <c r="H202" t="s">
        <v>224</v>
      </c>
    </row>
    <row r="203" spans="1:9">
      <c r="A203" t="s">
        <v>1075</v>
      </c>
      <c r="B203" t="s">
        <v>1136</v>
      </c>
      <c r="D203" t="s">
        <v>1027</v>
      </c>
      <c r="E203" t="s">
        <v>1074</v>
      </c>
      <c r="F203" t="s">
        <v>794</v>
      </c>
      <c r="G203" t="s">
        <v>789</v>
      </c>
      <c r="H203" t="s">
        <v>415</v>
      </c>
    </row>
    <row r="204" spans="1:9">
      <c r="A204" t="s">
        <v>1075</v>
      </c>
      <c r="B204" t="s">
        <v>1137</v>
      </c>
      <c r="D204" t="s">
        <v>1039</v>
      </c>
      <c r="E204" t="s">
        <v>1074</v>
      </c>
      <c r="F204" t="s">
        <v>880</v>
      </c>
      <c r="G204" t="s">
        <v>893</v>
      </c>
      <c r="H204" t="s">
        <v>1</v>
      </c>
    </row>
    <row r="205" spans="1:9">
      <c r="A205" t="s">
        <v>1075</v>
      </c>
      <c r="B205" t="s">
        <v>1138</v>
      </c>
      <c r="D205" t="s">
        <v>1019</v>
      </c>
      <c r="E205" t="s">
        <v>1074</v>
      </c>
      <c r="F205" t="s">
        <v>880</v>
      </c>
      <c r="G205" t="s">
        <v>893</v>
      </c>
      <c r="H205" t="s">
        <v>286</v>
      </c>
    </row>
    <row r="206" spans="1:9">
      <c r="A206" t="s">
        <v>1075</v>
      </c>
      <c r="B206" t="s">
        <v>1139</v>
      </c>
      <c r="D206" t="s">
        <v>1082</v>
      </c>
      <c r="E206" t="s">
        <v>1074</v>
      </c>
      <c r="F206" t="s">
        <v>783</v>
      </c>
      <c r="G206" t="s">
        <v>881</v>
      </c>
      <c r="H206" t="s">
        <v>286</v>
      </c>
    </row>
    <row r="207" spans="1:9">
      <c r="A207" t="s">
        <v>1075</v>
      </c>
      <c r="B207" t="s">
        <v>1140</v>
      </c>
      <c r="D207" t="s">
        <v>1019</v>
      </c>
      <c r="E207" t="s">
        <v>1074</v>
      </c>
      <c r="F207" t="s">
        <v>794</v>
      </c>
      <c r="G207" t="s">
        <v>808</v>
      </c>
      <c r="H207" t="s">
        <v>307</v>
      </c>
      <c r="I207" t="s">
        <v>1047</v>
      </c>
    </row>
    <row r="208" spans="1:9">
      <c r="A208" t="s">
        <v>1075</v>
      </c>
      <c r="B208" t="s">
        <v>1141</v>
      </c>
      <c r="D208" t="s">
        <v>908</v>
      </c>
      <c r="E208" t="s">
        <v>1074</v>
      </c>
      <c r="F208" t="s">
        <v>807</v>
      </c>
      <c r="G208" t="s">
        <v>784</v>
      </c>
      <c r="H208" t="s">
        <v>150</v>
      </c>
    </row>
    <row r="209" spans="1:8">
      <c r="A209" t="s">
        <v>1075</v>
      </c>
      <c r="B209" t="s">
        <v>1142</v>
      </c>
      <c r="D209" t="s">
        <v>1087</v>
      </c>
      <c r="E209" t="s">
        <v>1074</v>
      </c>
      <c r="F209" t="s">
        <v>880</v>
      </c>
      <c r="G209" t="s">
        <v>898</v>
      </c>
      <c r="H209" t="s">
        <v>1</v>
      </c>
    </row>
    <row r="210" spans="1:8">
      <c r="A210" t="s">
        <v>1075</v>
      </c>
      <c r="B210" t="s">
        <v>1143</v>
      </c>
      <c r="D210" t="s">
        <v>1019</v>
      </c>
      <c r="E210" t="s">
        <v>1074</v>
      </c>
      <c r="F210" t="s">
        <v>823</v>
      </c>
      <c r="G210" t="s">
        <v>789</v>
      </c>
      <c r="H210" t="s">
        <v>1054</v>
      </c>
    </row>
    <row r="211" spans="1:8">
      <c r="A211" t="s">
        <v>1075</v>
      </c>
      <c r="B211" t="s">
        <v>1144</v>
      </c>
      <c r="D211" t="s">
        <v>1039</v>
      </c>
      <c r="E211" t="s">
        <v>1074</v>
      </c>
      <c r="F211" t="s">
        <v>783</v>
      </c>
      <c r="G211" t="s">
        <v>886</v>
      </c>
      <c r="H211" t="s">
        <v>467</v>
      </c>
    </row>
    <row r="212" spans="1:8">
      <c r="A212" t="s">
        <v>1075</v>
      </c>
      <c r="B212" t="s">
        <v>1145</v>
      </c>
      <c r="D212" t="s">
        <v>1087</v>
      </c>
      <c r="E212" t="s">
        <v>1074</v>
      </c>
      <c r="F212" t="s">
        <v>852</v>
      </c>
      <c r="G212" t="s">
        <v>841</v>
      </c>
      <c r="H212" t="s">
        <v>481</v>
      </c>
    </row>
    <row r="213" spans="1:8">
      <c r="A213" t="s">
        <v>1075</v>
      </c>
      <c r="B213" t="s">
        <v>1146</v>
      </c>
      <c r="D213" t="s">
        <v>1019</v>
      </c>
      <c r="E213" t="s">
        <v>1074</v>
      </c>
      <c r="F213" t="s">
        <v>880</v>
      </c>
      <c r="G213" t="s">
        <v>893</v>
      </c>
      <c r="H213" t="s">
        <v>1054</v>
      </c>
    </row>
    <row r="214" spans="1:8">
      <c r="A214" t="s">
        <v>1075</v>
      </c>
      <c r="B214" t="s">
        <v>1147</v>
      </c>
      <c r="D214" t="s">
        <v>1019</v>
      </c>
      <c r="E214" t="s">
        <v>1074</v>
      </c>
      <c r="F214" t="s">
        <v>783</v>
      </c>
      <c r="G214" t="s">
        <v>841</v>
      </c>
      <c r="H214" t="s">
        <v>255</v>
      </c>
    </row>
    <row r="215" spans="1:8">
      <c r="A215" t="s">
        <v>1075</v>
      </c>
      <c r="B215" t="s">
        <v>1148</v>
      </c>
      <c r="D215" t="s">
        <v>1019</v>
      </c>
      <c r="E215" t="s">
        <v>1074</v>
      </c>
      <c r="F215" t="s">
        <v>807</v>
      </c>
      <c r="G215" t="s">
        <v>803</v>
      </c>
      <c r="H215" t="s">
        <v>89</v>
      </c>
    </row>
    <row r="216" spans="1:8">
      <c r="A216" t="s">
        <v>1075</v>
      </c>
      <c r="B216" t="s">
        <v>1149</v>
      </c>
      <c r="D216" t="s">
        <v>902</v>
      </c>
      <c r="E216" t="s">
        <v>1074</v>
      </c>
      <c r="F216" t="s">
        <v>807</v>
      </c>
      <c r="G216" t="s">
        <v>784</v>
      </c>
      <c r="H216" t="s">
        <v>1150</v>
      </c>
    </row>
    <row r="217" spans="1:8">
      <c r="A217" t="s">
        <v>1075</v>
      </c>
      <c r="B217" t="s">
        <v>1151</v>
      </c>
      <c r="D217" t="s">
        <v>908</v>
      </c>
      <c r="E217" t="s">
        <v>1074</v>
      </c>
      <c r="F217" t="s">
        <v>807</v>
      </c>
      <c r="G217" t="s">
        <v>808</v>
      </c>
      <c r="H217" t="s">
        <v>1054</v>
      </c>
    </row>
    <row r="218" spans="1:8">
      <c r="A218" t="s">
        <v>1152</v>
      </c>
      <c r="B218" t="s">
        <v>1153</v>
      </c>
      <c r="D218" t="s">
        <v>1019</v>
      </c>
      <c r="E218" t="s">
        <v>1154</v>
      </c>
      <c r="F218" t="s">
        <v>807</v>
      </c>
      <c r="G218" t="s">
        <v>834</v>
      </c>
      <c r="H218" t="s">
        <v>461</v>
      </c>
    </row>
    <row r="219" spans="1:8">
      <c r="A219" t="s">
        <v>1155</v>
      </c>
      <c r="B219" t="s">
        <v>1156</v>
      </c>
      <c r="D219" t="s">
        <v>1019</v>
      </c>
      <c r="E219" t="s">
        <v>1154</v>
      </c>
      <c r="F219" t="s">
        <v>783</v>
      </c>
      <c r="G219" t="s">
        <v>789</v>
      </c>
      <c r="H219" t="s">
        <v>134</v>
      </c>
    </row>
    <row r="220" spans="1:8">
      <c r="A220" t="s">
        <v>1155</v>
      </c>
      <c r="B220" t="s">
        <v>1157</v>
      </c>
      <c r="D220" t="s">
        <v>1019</v>
      </c>
      <c r="E220" t="s">
        <v>1154</v>
      </c>
      <c r="F220" t="s">
        <v>807</v>
      </c>
      <c r="G220" t="s">
        <v>976</v>
      </c>
      <c r="H220" t="s">
        <v>150</v>
      </c>
    </row>
    <row r="221" spans="1:8">
      <c r="A221" t="s">
        <v>1155</v>
      </c>
      <c r="B221" t="s">
        <v>1158</v>
      </c>
      <c r="D221" t="s">
        <v>996</v>
      </c>
      <c r="E221" t="s">
        <v>1154</v>
      </c>
      <c r="F221" t="s">
        <v>794</v>
      </c>
      <c r="G221" t="s">
        <v>803</v>
      </c>
      <c r="H221" t="s">
        <v>481</v>
      </c>
    </row>
    <row r="222" spans="1:8">
      <c r="A222" t="s">
        <v>1155</v>
      </c>
      <c r="B222" t="s">
        <v>1159</v>
      </c>
      <c r="D222" t="s">
        <v>1087</v>
      </c>
      <c r="E222" t="s">
        <v>1154</v>
      </c>
      <c r="F222" t="s">
        <v>783</v>
      </c>
      <c r="G222" t="s">
        <v>803</v>
      </c>
      <c r="H222" t="s">
        <v>99</v>
      </c>
    </row>
    <row r="223" spans="1:8">
      <c r="A223" t="s">
        <v>1155</v>
      </c>
      <c r="B223" t="s">
        <v>1160</v>
      </c>
      <c r="D223" t="s">
        <v>1019</v>
      </c>
      <c r="E223" t="s">
        <v>1154</v>
      </c>
      <c r="F223" t="s">
        <v>852</v>
      </c>
      <c r="G223" t="s">
        <v>789</v>
      </c>
      <c r="H223" t="s">
        <v>118</v>
      </c>
    </row>
    <row r="224" spans="1:8">
      <c r="A224" t="s">
        <v>1155</v>
      </c>
      <c r="B224" t="s">
        <v>1161</v>
      </c>
      <c r="D224" t="s">
        <v>908</v>
      </c>
      <c r="E224" t="s">
        <v>1154</v>
      </c>
      <c r="F224" t="s">
        <v>807</v>
      </c>
      <c r="G224" t="s">
        <v>808</v>
      </c>
      <c r="H224" t="s">
        <v>351</v>
      </c>
    </row>
    <row r="225" spans="1:9">
      <c r="A225" t="s">
        <v>1155</v>
      </c>
      <c r="B225" t="s">
        <v>1162</v>
      </c>
      <c r="D225" t="s">
        <v>1027</v>
      </c>
      <c r="E225" t="s">
        <v>1154</v>
      </c>
      <c r="F225" t="s">
        <v>794</v>
      </c>
      <c r="G225" t="s">
        <v>808</v>
      </c>
      <c r="H225" t="s">
        <v>150</v>
      </c>
    </row>
    <row r="226" spans="1:9">
      <c r="A226" t="s">
        <v>1155</v>
      </c>
      <c r="B226" t="s">
        <v>1163</v>
      </c>
      <c r="D226" t="s">
        <v>1087</v>
      </c>
      <c r="E226" t="s">
        <v>1154</v>
      </c>
      <c r="F226" t="s">
        <v>848</v>
      </c>
      <c r="G226" t="s">
        <v>803</v>
      </c>
      <c r="H226" t="s">
        <v>415</v>
      </c>
      <c r="I226" t="s">
        <v>1065</v>
      </c>
    </row>
    <row r="227" spans="1:9">
      <c r="A227" t="s">
        <v>1155</v>
      </c>
      <c r="B227" t="s">
        <v>1164</v>
      </c>
      <c r="D227" t="s">
        <v>990</v>
      </c>
      <c r="E227" t="s">
        <v>1154</v>
      </c>
      <c r="F227" t="s">
        <v>783</v>
      </c>
      <c r="G227" t="s">
        <v>803</v>
      </c>
      <c r="H227" t="s">
        <v>467</v>
      </c>
    </row>
    <row r="228" spans="1:9">
      <c r="A228" t="s">
        <v>1155</v>
      </c>
      <c r="B228" t="s">
        <v>1165</v>
      </c>
      <c r="D228" t="s">
        <v>1046</v>
      </c>
      <c r="E228" t="s">
        <v>1154</v>
      </c>
      <c r="F228" t="s">
        <v>880</v>
      </c>
      <c r="G228" t="s">
        <v>925</v>
      </c>
      <c r="H228" t="s">
        <v>205</v>
      </c>
    </row>
    <row r="229" spans="1:9">
      <c r="A229" t="s">
        <v>1155</v>
      </c>
      <c r="B229" t="s">
        <v>1166</v>
      </c>
      <c r="D229" t="s">
        <v>1027</v>
      </c>
      <c r="E229" t="s">
        <v>1154</v>
      </c>
      <c r="F229" t="s">
        <v>783</v>
      </c>
      <c r="G229" t="s">
        <v>789</v>
      </c>
      <c r="H229" t="s">
        <v>467</v>
      </c>
    </row>
    <row r="230" spans="1:9">
      <c r="A230" t="s">
        <v>1155</v>
      </c>
      <c r="B230" t="s">
        <v>1167</v>
      </c>
      <c r="D230" t="s">
        <v>990</v>
      </c>
      <c r="E230" t="s">
        <v>1154</v>
      </c>
      <c r="F230" t="s">
        <v>807</v>
      </c>
      <c r="G230" t="s">
        <v>824</v>
      </c>
      <c r="H230" t="s">
        <v>286</v>
      </c>
    </row>
    <row r="231" spans="1:9">
      <c r="A231" t="s">
        <v>1155</v>
      </c>
      <c r="B231" t="s">
        <v>1168</v>
      </c>
      <c r="D231" t="s">
        <v>1087</v>
      </c>
      <c r="E231" t="s">
        <v>1154</v>
      </c>
      <c r="F231" t="s">
        <v>852</v>
      </c>
      <c r="G231" t="s">
        <v>893</v>
      </c>
      <c r="H231" t="s">
        <v>415</v>
      </c>
      <c r="I231" t="s">
        <v>1065</v>
      </c>
    </row>
    <row r="232" spans="1:9">
      <c r="A232" t="s">
        <v>1155</v>
      </c>
      <c r="B232" t="s">
        <v>1169</v>
      </c>
      <c r="D232" t="s">
        <v>1082</v>
      </c>
      <c r="E232" t="s">
        <v>1154</v>
      </c>
      <c r="F232" t="s">
        <v>794</v>
      </c>
      <c r="G232" t="s">
        <v>903</v>
      </c>
      <c r="H232" t="s">
        <v>415</v>
      </c>
    </row>
    <row r="233" spans="1:9">
      <c r="A233" t="s">
        <v>1155</v>
      </c>
      <c r="B233" t="s">
        <v>1170</v>
      </c>
      <c r="D233" t="s">
        <v>990</v>
      </c>
      <c r="E233" t="s">
        <v>1154</v>
      </c>
      <c r="F233" t="s">
        <v>783</v>
      </c>
      <c r="G233" t="s">
        <v>834</v>
      </c>
      <c r="H233" t="s">
        <v>415</v>
      </c>
    </row>
    <row r="234" spans="1:9">
      <c r="A234" t="s">
        <v>1155</v>
      </c>
      <c r="B234" t="s">
        <v>1171</v>
      </c>
      <c r="D234" t="s">
        <v>1019</v>
      </c>
      <c r="E234" t="s">
        <v>1154</v>
      </c>
      <c r="F234" t="s">
        <v>880</v>
      </c>
      <c r="G234" t="s">
        <v>1172</v>
      </c>
      <c r="H234" t="s">
        <v>415</v>
      </c>
    </row>
    <row r="235" spans="1:9">
      <c r="A235" t="s">
        <v>1155</v>
      </c>
      <c r="B235" t="s">
        <v>1173</v>
      </c>
      <c r="D235" t="s">
        <v>1027</v>
      </c>
      <c r="E235" t="s">
        <v>1154</v>
      </c>
      <c r="F235" t="s">
        <v>880</v>
      </c>
      <c r="G235" t="s">
        <v>1174</v>
      </c>
      <c r="H235" t="s">
        <v>1</v>
      </c>
    </row>
    <row r="236" spans="1:9">
      <c r="A236" t="s">
        <v>1155</v>
      </c>
      <c r="B236" t="s">
        <v>1175</v>
      </c>
      <c r="D236" t="s">
        <v>996</v>
      </c>
      <c r="E236" t="s">
        <v>1154</v>
      </c>
      <c r="F236" t="s">
        <v>807</v>
      </c>
      <c r="G236" t="s">
        <v>893</v>
      </c>
      <c r="H236" t="s">
        <v>415</v>
      </c>
    </row>
    <row r="237" spans="1:9">
      <c r="A237" t="s">
        <v>1155</v>
      </c>
      <c r="B237" t="s">
        <v>1176</v>
      </c>
      <c r="D237" t="s">
        <v>1027</v>
      </c>
      <c r="E237" t="s">
        <v>1154</v>
      </c>
      <c r="F237" t="s">
        <v>807</v>
      </c>
      <c r="G237" t="s">
        <v>789</v>
      </c>
      <c r="H237" t="s">
        <v>415</v>
      </c>
    </row>
    <row r="238" spans="1:9">
      <c r="A238" t="s">
        <v>1155</v>
      </c>
      <c r="B238" t="s">
        <v>1177</v>
      </c>
      <c r="D238" t="s">
        <v>908</v>
      </c>
      <c r="E238" t="s">
        <v>1154</v>
      </c>
      <c r="F238" t="s">
        <v>783</v>
      </c>
      <c r="G238" t="s">
        <v>789</v>
      </c>
      <c r="H238" t="s">
        <v>415</v>
      </c>
    </row>
    <row r="239" spans="1:9">
      <c r="A239" t="s">
        <v>1155</v>
      </c>
      <c r="B239" t="s">
        <v>1178</v>
      </c>
      <c r="D239" t="s">
        <v>1019</v>
      </c>
      <c r="E239" t="s">
        <v>1154</v>
      </c>
      <c r="F239" t="s">
        <v>848</v>
      </c>
      <c r="G239" t="s">
        <v>803</v>
      </c>
      <c r="H239" t="s">
        <v>415</v>
      </c>
    </row>
    <row r="240" spans="1:9">
      <c r="A240" t="s">
        <v>1155</v>
      </c>
      <c r="B240" t="s">
        <v>1179</v>
      </c>
      <c r="D240" t="s">
        <v>996</v>
      </c>
      <c r="E240" t="s">
        <v>1154</v>
      </c>
      <c r="F240" t="s">
        <v>852</v>
      </c>
      <c r="G240" t="s">
        <v>824</v>
      </c>
      <c r="H240" t="s">
        <v>415</v>
      </c>
    </row>
    <row r="241" spans="1:9">
      <c r="A241" t="s">
        <v>1155</v>
      </c>
      <c r="B241" t="s">
        <v>1180</v>
      </c>
      <c r="D241" t="s">
        <v>1087</v>
      </c>
      <c r="E241" t="s">
        <v>1154</v>
      </c>
      <c r="F241" t="s">
        <v>807</v>
      </c>
      <c r="G241" t="s">
        <v>976</v>
      </c>
      <c r="H241" t="s">
        <v>159</v>
      </c>
    </row>
    <row r="242" spans="1:9">
      <c r="A242" t="s">
        <v>1155</v>
      </c>
      <c r="B242" t="s">
        <v>1181</v>
      </c>
      <c r="D242" t="s">
        <v>996</v>
      </c>
      <c r="E242" t="s">
        <v>1154</v>
      </c>
      <c r="F242" t="s">
        <v>783</v>
      </c>
      <c r="G242" t="s">
        <v>789</v>
      </c>
      <c r="H242" t="s">
        <v>159</v>
      </c>
    </row>
    <row r="243" spans="1:9">
      <c r="A243" t="s">
        <v>1155</v>
      </c>
      <c r="B243" t="s">
        <v>1182</v>
      </c>
      <c r="D243" t="s">
        <v>1019</v>
      </c>
      <c r="E243" t="s">
        <v>1154</v>
      </c>
      <c r="F243" t="s">
        <v>880</v>
      </c>
      <c r="G243" t="s">
        <v>1174</v>
      </c>
      <c r="H243" t="s">
        <v>1</v>
      </c>
    </row>
    <row r="244" spans="1:9">
      <c r="A244" t="s">
        <v>1155</v>
      </c>
      <c r="B244" t="s">
        <v>1183</v>
      </c>
      <c r="D244" t="s">
        <v>1027</v>
      </c>
      <c r="E244" t="s">
        <v>1154</v>
      </c>
      <c r="F244" t="s">
        <v>807</v>
      </c>
      <c r="G244" t="s">
        <v>1184</v>
      </c>
      <c r="H244" t="s">
        <v>118</v>
      </c>
    </row>
    <row r="245" spans="1:9">
      <c r="A245" t="s">
        <v>1155</v>
      </c>
      <c r="B245" t="s">
        <v>1185</v>
      </c>
      <c r="D245" t="s">
        <v>1019</v>
      </c>
      <c r="E245" t="s">
        <v>1154</v>
      </c>
      <c r="F245" t="s">
        <v>783</v>
      </c>
      <c r="G245" t="s">
        <v>834</v>
      </c>
      <c r="H245" t="s">
        <v>489</v>
      </c>
    </row>
    <row r="246" spans="1:9">
      <c r="A246" t="s">
        <v>1155</v>
      </c>
      <c r="B246" t="s">
        <v>1186</v>
      </c>
      <c r="D246" t="s">
        <v>1087</v>
      </c>
      <c r="E246" t="s">
        <v>1154</v>
      </c>
      <c r="F246" t="s">
        <v>818</v>
      </c>
      <c r="G246" t="s">
        <v>824</v>
      </c>
      <c r="H246" t="s">
        <v>1</v>
      </c>
    </row>
    <row r="247" spans="1:9">
      <c r="A247" t="s">
        <v>1155</v>
      </c>
      <c r="B247" t="s">
        <v>1187</v>
      </c>
      <c r="D247" t="s">
        <v>1019</v>
      </c>
      <c r="E247" t="s">
        <v>1154</v>
      </c>
      <c r="F247" t="s">
        <v>794</v>
      </c>
      <c r="G247" t="s">
        <v>808</v>
      </c>
      <c r="H247" t="s">
        <v>307</v>
      </c>
    </row>
    <row r="248" spans="1:9">
      <c r="A248" t="s">
        <v>1155</v>
      </c>
      <c r="B248" t="s">
        <v>1188</v>
      </c>
      <c r="D248" t="s">
        <v>1019</v>
      </c>
      <c r="E248" t="s">
        <v>1154</v>
      </c>
      <c r="F248" t="s">
        <v>823</v>
      </c>
      <c r="G248" t="s">
        <v>789</v>
      </c>
      <c r="H248" t="s">
        <v>1054</v>
      </c>
    </row>
    <row r="249" spans="1:9">
      <c r="A249" t="s">
        <v>1155</v>
      </c>
      <c r="B249" t="s">
        <v>1189</v>
      </c>
      <c r="D249" t="s">
        <v>996</v>
      </c>
      <c r="E249" t="s">
        <v>1154</v>
      </c>
      <c r="F249" t="s">
        <v>807</v>
      </c>
      <c r="G249" t="s">
        <v>834</v>
      </c>
      <c r="H249" t="s">
        <v>307</v>
      </c>
    </row>
    <row r="250" spans="1:9">
      <c r="A250" t="s">
        <v>1155</v>
      </c>
      <c r="B250" t="s">
        <v>1190</v>
      </c>
      <c r="D250" t="s">
        <v>1019</v>
      </c>
      <c r="E250" t="s">
        <v>1154</v>
      </c>
      <c r="F250" t="s">
        <v>783</v>
      </c>
      <c r="G250" t="s">
        <v>925</v>
      </c>
      <c r="H250" t="s">
        <v>415</v>
      </c>
    </row>
    <row r="251" spans="1:9">
      <c r="A251" t="s">
        <v>1155</v>
      </c>
      <c r="B251" t="s">
        <v>1191</v>
      </c>
      <c r="D251" t="s">
        <v>1087</v>
      </c>
      <c r="E251" t="s">
        <v>1154</v>
      </c>
      <c r="F251" t="s">
        <v>807</v>
      </c>
      <c r="G251" t="s">
        <v>789</v>
      </c>
      <c r="H251" t="s">
        <v>415</v>
      </c>
    </row>
    <row r="252" spans="1:9">
      <c r="A252" t="s">
        <v>1155</v>
      </c>
      <c r="B252" t="s">
        <v>1192</v>
      </c>
      <c r="D252" t="s">
        <v>1019</v>
      </c>
      <c r="E252" t="s">
        <v>1154</v>
      </c>
      <c r="F252" t="s">
        <v>783</v>
      </c>
      <c r="G252" t="s">
        <v>976</v>
      </c>
      <c r="H252" t="s">
        <v>307</v>
      </c>
      <c r="I252" t="s">
        <v>1047</v>
      </c>
    </row>
    <row r="253" spans="1:9">
      <c r="A253" t="s">
        <v>1155</v>
      </c>
      <c r="B253" t="s">
        <v>1193</v>
      </c>
      <c r="D253" t="s">
        <v>1087</v>
      </c>
      <c r="E253" t="s">
        <v>1154</v>
      </c>
      <c r="F253" t="s">
        <v>783</v>
      </c>
      <c r="G253" t="s">
        <v>841</v>
      </c>
      <c r="H253" t="s">
        <v>134</v>
      </c>
    </row>
    <row r="254" spans="1:9">
      <c r="A254" t="s">
        <v>1155</v>
      </c>
      <c r="B254" t="s">
        <v>1194</v>
      </c>
      <c r="D254" t="s">
        <v>1019</v>
      </c>
      <c r="E254" t="s">
        <v>1154</v>
      </c>
      <c r="F254" t="s">
        <v>783</v>
      </c>
      <c r="G254" t="s">
        <v>803</v>
      </c>
      <c r="H254" t="s">
        <v>1054</v>
      </c>
    </row>
    <row r="255" spans="1:9">
      <c r="A255" t="s">
        <v>1155</v>
      </c>
      <c r="B255" t="s">
        <v>1195</v>
      </c>
      <c r="D255" t="s">
        <v>981</v>
      </c>
      <c r="E255" t="s">
        <v>1154</v>
      </c>
      <c r="F255" t="s">
        <v>783</v>
      </c>
      <c r="G255" t="s">
        <v>834</v>
      </c>
      <c r="H255" t="s">
        <v>489</v>
      </c>
    </row>
    <row r="256" spans="1:9">
      <c r="A256" t="s">
        <v>1155</v>
      </c>
      <c r="B256" t="s">
        <v>1196</v>
      </c>
      <c r="D256" t="s">
        <v>908</v>
      </c>
      <c r="E256" t="s">
        <v>1154</v>
      </c>
      <c r="F256" t="s">
        <v>880</v>
      </c>
      <c r="G256" t="s">
        <v>1174</v>
      </c>
      <c r="H256" t="s">
        <v>118</v>
      </c>
    </row>
    <row r="257" spans="1:9">
      <c r="A257" t="s">
        <v>1155</v>
      </c>
      <c r="B257" t="s">
        <v>1197</v>
      </c>
      <c r="D257" t="s">
        <v>1019</v>
      </c>
      <c r="E257" t="s">
        <v>1154</v>
      </c>
      <c r="F257" t="s">
        <v>783</v>
      </c>
      <c r="G257" t="s">
        <v>789</v>
      </c>
      <c r="H257" t="s">
        <v>380</v>
      </c>
    </row>
    <row r="258" spans="1:9">
      <c r="A258" t="s">
        <v>1155</v>
      </c>
      <c r="B258" t="s">
        <v>1198</v>
      </c>
      <c r="D258" t="s">
        <v>1027</v>
      </c>
      <c r="E258" t="s">
        <v>1154</v>
      </c>
      <c r="F258" t="s">
        <v>794</v>
      </c>
      <c r="G258" t="s">
        <v>976</v>
      </c>
      <c r="H258" t="s">
        <v>205</v>
      </c>
    </row>
    <row r="259" spans="1:9">
      <c r="A259" t="s">
        <v>1155</v>
      </c>
      <c r="B259" t="s">
        <v>1199</v>
      </c>
      <c r="D259" t="s">
        <v>1200</v>
      </c>
      <c r="E259" t="s">
        <v>1154</v>
      </c>
      <c r="F259" t="s">
        <v>807</v>
      </c>
      <c r="G259" t="s">
        <v>803</v>
      </c>
      <c r="H259" t="s">
        <v>118</v>
      </c>
    </row>
    <row r="260" spans="1:9">
      <c r="A260" t="s">
        <v>1155</v>
      </c>
      <c r="B260" t="s">
        <v>1201</v>
      </c>
      <c r="D260" t="s">
        <v>990</v>
      </c>
      <c r="E260" t="s">
        <v>1154</v>
      </c>
      <c r="F260" t="s">
        <v>848</v>
      </c>
      <c r="G260" t="s">
        <v>803</v>
      </c>
      <c r="H260" t="s">
        <v>415</v>
      </c>
    </row>
    <row r="261" spans="1:9">
      <c r="A261" t="s">
        <v>1155</v>
      </c>
      <c r="B261" t="s">
        <v>1202</v>
      </c>
      <c r="D261" t="s">
        <v>1087</v>
      </c>
      <c r="E261" t="s">
        <v>1154</v>
      </c>
      <c r="F261" t="s">
        <v>783</v>
      </c>
      <c r="G261" t="s">
        <v>789</v>
      </c>
      <c r="H261" t="s">
        <v>415</v>
      </c>
    </row>
    <row r="262" spans="1:9">
      <c r="A262" t="s">
        <v>1155</v>
      </c>
      <c r="B262" t="s">
        <v>1203</v>
      </c>
      <c r="D262" t="s">
        <v>908</v>
      </c>
      <c r="E262" t="s">
        <v>1154</v>
      </c>
      <c r="F262" t="s">
        <v>794</v>
      </c>
      <c r="G262" t="s">
        <v>808</v>
      </c>
      <c r="H262" t="s">
        <v>307</v>
      </c>
    </row>
    <row r="263" spans="1:9">
      <c r="A263" t="s">
        <v>1155</v>
      </c>
      <c r="B263" t="s">
        <v>1204</v>
      </c>
      <c r="D263" t="s">
        <v>1087</v>
      </c>
      <c r="E263" t="s">
        <v>1154</v>
      </c>
      <c r="F263" t="s">
        <v>852</v>
      </c>
      <c r="G263" t="s">
        <v>803</v>
      </c>
      <c r="H263" t="s">
        <v>1</v>
      </c>
    </row>
    <row r="264" spans="1:9">
      <c r="A264" t="s">
        <v>1155</v>
      </c>
      <c r="B264" t="s">
        <v>1205</v>
      </c>
      <c r="D264" t="s">
        <v>990</v>
      </c>
      <c r="E264" t="s">
        <v>1154</v>
      </c>
      <c r="F264" t="s">
        <v>783</v>
      </c>
      <c r="G264" t="s">
        <v>803</v>
      </c>
      <c r="H264" t="s">
        <v>415</v>
      </c>
    </row>
    <row r="265" spans="1:9">
      <c r="A265" t="s">
        <v>1155</v>
      </c>
      <c r="B265" t="s">
        <v>1206</v>
      </c>
      <c r="D265" t="s">
        <v>1087</v>
      </c>
      <c r="E265" t="s">
        <v>1154</v>
      </c>
      <c r="F265" t="s">
        <v>783</v>
      </c>
      <c r="G265" t="s">
        <v>789</v>
      </c>
      <c r="H265" t="s">
        <v>307</v>
      </c>
    </row>
    <row r="266" spans="1:9">
      <c r="A266" t="s">
        <v>1155</v>
      </c>
      <c r="B266" t="s">
        <v>1207</v>
      </c>
      <c r="D266" t="s">
        <v>996</v>
      </c>
      <c r="E266" t="s">
        <v>1154</v>
      </c>
      <c r="F266" t="s">
        <v>807</v>
      </c>
      <c r="G266" t="s">
        <v>925</v>
      </c>
      <c r="H266" t="s">
        <v>1</v>
      </c>
    </row>
    <row r="267" spans="1:9">
      <c r="A267" t="s">
        <v>1155</v>
      </c>
      <c r="B267" t="s">
        <v>1208</v>
      </c>
      <c r="D267" t="s">
        <v>996</v>
      </c>
      <c r="E267" t="s">
        <v>1154</v>
      </c>
      <c r="F267" t="s">
        <v>848</v>
      </c>
      <c r="G267" t="s">
        <v>824</v>
      </c>
      <c r="H267" t="s">
        <v>415</v>
      </c>
      <c r="I267" t="s">
        <v>1065</v>
      </c>
    </row>
    <row r="268" spans="1:9">
      <c r="A268" t="s">
        <v>1155</v>
      </c>
      <c r="B268" t="s">
        <v>1209</v>
      </c>
      <c r="D268" t="s">
        <v>996</v>
      </c>
      <c r="E268" t="s">
        <v>1154</v>
      </c>
      <c r="F268" t="s">
        <v>852</v>
      </c>
      <c r="G268" t="s">
        <v>893</v>
      </c>
      <c r="H268" t="s">
        <v>1</v>
      </c>
    </row>
    <row r="269" spans="1:9">
      <c r="A269" t="s">
        <v>1155</v>
      </c>
      <c r="B269" t="s">
        <v>1210</v>
      </c>
      <c r="D269" t="s">
        <v>990</v>
      </c>
      <c r="E269" t="s">
        <v>1154</v>
      </c>
      <c r="F269" t="s">
        <v>880</v>
      </c>
      <c r="G269" t="s">
        <v>903</v>
      </c>
      <c r="H269" t="s">
        <v>167</v>
      </c>
    </row>
    <row r="270" spans="1:9">
      <c r="A270" t="s">
        <v>1155</v>
      </c>
      <c r="B270" t="s">
        <v>1211</v>
      </c>
      <c r="D270" t="s">
        <v>1027</v>
      </c>
      <c r="E270" t="s">
        <v>1154</v>
      </c>
      <c r="F270" t="s">
        <v>783</v>
      </c>
      <c r="G270" t="s">
        <v>834</v>
      </c>
      <c r="H270" t="s">
        <v>1212</v>
      </c>
    </row>
    <row r="271" spans="1:9">
      <c r="A271" t="s">
        <v>1155</v>
      </c>
      <c r="B271" t="s">
        <v>1213</v>
      </c>
      <c r="D271" t="s">
        <v>1082</v>
      </c>
      <c r="E271" t="s">
        <v>1154</v>
      </c>
      <c r="F271" t="s">
        <v>880</v>
      </c>
      <c r="G271" t="s">
        <v>1172</v>
      </c>
      <c r="H271" t="s">
        <v>461</v>
      </c>
    </row>
    <row r="272" spans="1:9">
      <c r="A272" t="s">
        <v>1155</v>
      </c>
      <c r="B272" t="s">
        <v>1214</v>
      </c>
      <c r="D272" t="s">
        <v>1019</v>
      </c>
      <c r="E272" t="s">
        <v>1154</v>
      </c>
      <c r="F272" t="s">
        <v>880</v>
      </c>
      <c r="G272" t="s">
        <v>1174</v>
      </c>
      <c r="H272" t="s">
        <v>461</v>
      </c>
    </row>
    <row r="273" spans="1:8">
      <c r="A273" t="s">
        <v>1155</v>
      </c>
      <c r="B273" t="s">
        <v>1215</v>
      </c>
      <c r="D273" t="s">
        <v>990</v>
      </c>
      <c r="E273" t="s">
        <v>1154</v>
      </c>
      <c r="F273" t="s">
        <v>794</v>
      </c>
      <c r="G273" t="s">
        <v>893</v>
      </c>
      <c r="H273" t="s">
        <v>219</v>
      </c>
    </row>
    <row r="274" spans="1:8">
      <c r="A274" t="s">
        <v>1155</v>
      </c>
      <c r="B274" t="s">
        <v>1216</v>
      </c>
      <c r="D274" t="s">
        <v>1027</v>
      </c>
      <c r="E274" t="s">
        <v>1154</v>
      </c>
      <c r="F274" t="s">
        <v>783</v>
      </c>
      <c r="G274" t="s">
        <v>789</v>
      </c>
      <c r="H274" t="s">
        <v>83</v>
      </c>
    </row>
    <row r="275" spans="1:8">
      <c r="A275" t="s">
        <v>1155</v>
      </c>
      <c r="B275" t="s">
        <v>1217</v>
      </c>
      <c r="D275" t="s">
        <v>1039</v>
      </c>
      <c r="E275" t="s">
        <v>1154</v>
      </c>
      <c r="F275" t="s">
        <v>807</v>
      </c>
      <c r="G275" t="s">
        <v>789</v>
      </c>
      <c r="H275" t="s">
        <v>415</v>
      </c>
    </row>
    <row r="276" spans="1:8">
      <c r="A276" t="s">
        <v>1155</v>
      </c>
      <c r="B276" t="s">
        <v>1218</v>
      </c>
      <c r="D276" t="s">
        <v>996</v>
      </c>
      <c r="E276" t="s">
        <v>1154</v>
      </c>
      <c r="F276" t="s">
        <v>794</v>
      </c>
      <c r="G276" t="s">
        <v>803</v>
      </c>
      <c r="H276" t="s">
        <v>415</v>
      </c>
    </row>
    <row r="277" spans="1:8">
      <c r="A277" t="s">
        <v>1155</v>
      </c>
      <c r="B277" t="s">
        <v>1219</v>
      </c>
      <c r="D277" t="s">
        <v>1220</v>
      </c>
      <c r="E277" t="s">
        <v>1154</v>
      </c>
      <c r="F277" t="s">
        <v>807</v>
      </c>
      <c r="G277" t="s">
        <v>824</v>
      </c>
      <c r="H277" t="s">
        <v>1</v>
      </c>
    </row>
    <row r="278" spans="1:8">
      <c r="A278" t="s">
        <v>1155</v>
      </c>
      <c r="B278" t="s">
        <v>1221</v>
      </c>
      <c r="D278" t="s">
        <v>1039</v>
      </c>
      <c r="E278" t="s">
        <v>1154</v>
      </c>
      <c r="F278" t="s">
        <v>807</v>
      </c>
      <c r="G278" t="s">
        <v>976</v>
      </c>
      <c r="H278" t="s">
        <v>307</v>
      </c>
    </row>
    <row r="279" spans="1:8">
      <c r="A279" t="s">
        <v>1155</v>
      </c>
      <c r="B279" t="s">
        <v>1222</v>
      </c>
      <c r="D279" t="s">
        <v>1019</v>
      </c>
      <c r="E279" t="s">
        <v>1154</v>
      </c>
      <c r="F279" t="s">
        <v>852</v>
      </c>
      <c r="G279" t="s">
        <v>789</v>
      </c>
      <c r="H279" t="s">
        <v>212</v>
      </c>
    </row>
    <row r="280" spans="1:8">
      <c r="A280" t="s">
        <v>1155</v>
      </c>
      <c r="B280" t="s">
        <v>1223</v>
      </c>
      <c r="D280" t="s">
        <v>1019</v>
      </c>
      <c r="E280" t="s">
        <v>1154</v>
      </c>
      <c r="F280" t="s">
        <v>880</v>
      </c>
      <c r="G280" t="s">
        <v>1174</v>
      </c>
      <c r="H280" t="s">
        <v>1</v>
      </c>
    </row>
    <row r="281" spans="1:8">
      <c r="A281" t="s">
        <v>1155</v>
      </c>
      <c r="B281" t="s">
        <v>1224</v>
      </c>
      <c r="D281" t="s">
        <v>1019</v>
      </c>
      <c r="E281" t="s">
        <v>1154</v>
      </c>
      <c r="F281" t="s">
        <v>783</v>
      </c>
      <c r="G281" t="s">
        <v>1184</v>
      </c>
      <c r="H281" t="s">
        <v>212</v>
      </c>
    </row>
    <row r="282" spans="1:8">
      <c r="A282" t="s">
        <v>1155</v>
      </c>
      <c r="B282" t="s">
        <v>1225</v>
      </c>
      <c r="D282" t="s">
        <v>1087</v>
      </c>
      <c r="E282" t="s">
        <v>1154</v>
      </c>
      <c r="F282" t="s">
        <v>807</v>
      </c>
      <c r="G282" t="s">
        <v>834</v>
      </c>
      <c r="H282" t="s">
        <v>1212</v>
      </c>
    </row>
    <row r="283" spans="1:8">
      <c r="A283" t="s">
        <v>1155</v>
      </c>
      <c r="B283" t="s">
        <v>1226</v>
      </c>
      <c r="D283" t="s">
        <v>996</v>
      </c>
      <c r="E283" t="s">
        <v>1154</v>
      </c>
      <c r="F283" t="s">
        <v>794</v>
      </c>
      <c r="G283" t="s">
        <v>824</v>
      </c>
      <c r="H283" t="s">
        <v>1212</v>
      </c>
    </row>
    <row r="284" spans="1:8">
      <c r="A284" t="s">
        <v>1155</v>
      </c>
      <c r="B284" t="s">
        <v>1227</v>
      </c>
      <c r="D284" t="s">
        <v>1019</v>
      </c>
      <c r="E284" t="s">
        <v>1154</v>
      </c>
      <c r="F284" t="s">
        <v>807</v>
      </c>
      <c r="G284" t="s">
        <v>808</v>
      </c>
      <c r="H284" t="s">
        <v>415</v>
      </c>
    </row>
    <row r="285" spans="1:8">
      <c r="A285" t="s">
        <v>1155</v>
      </c>
      <c r="B285" t="s">
        <v>1228</v>
      </c>
      <c r="D285" t="s">
        <v>996</v>
      </c>
      <c r="E285" t="s">
        <v>1154</v>
      </c>
      <c r="F285" t="s">
        <v>823</v>
      </c>
      <c r="G285" t="s">
        <v>803</v>
      </c>
      <c r="H285" t="s">
        <v>205</v>
      </c>
    </row>
    <row r="286" spans="1:8">
      <c r="A286" t="s">
        <v>1155</v>
      </c>
      <c r="B286" t="s">
        <v>1229</v>
      </c>
      <c r="D286" t="s">
        <v>996</v>
      </c>
      <c r="E286" t="s">
        <v>1154</v>
      </c>
      <c r="F286" t="s">
        <v>807</v>
      </c>
      <c r="G286" t="s">
        <v>834</v>
      </c>
      <c r="H286" t="s">
        <v>415</v>
      </c>
    </row>
    <row r="287" spans="1:8">
      <c r="A287" t="s">
        <v>1155</v>
      </c>
      <c r="B287" t="s">
        <v>1230</v>
      </c>
      <c r="D287" t="s">
        <v>996</v>
      </c>
      <c r="E287" t="s">
        <v>1154</v>
      </c>
      <c r="F287" t="s">
        <v>783</v>
      </c>
      <c r="G287" t="s">
        <v>925</v>
      </c>
      <c r="H287" t="s">
        <v>1</v>
      </c>
    </row>
    <row r="288" spans="1:8">
      <c r="A288" t="s">
        <v>1155</v>
      </c>
      <c r="B288" t="s">
        <v>1231</v>
      </c>
      <c r="D288" t="s">
        <v>996</v>
      </c>
      <c r="E288" t="s">
        <v>1154</v>
      </c>
      <c r="F288" t="s">
        <v>852</v>
      </c>
      <c r="G288" t="s">
        <v>789</v>
      </c>
      <c r="H288" t="s">
        <v>307</v>
      </c>
    </row>
    <row r="289" spans="1:9">
      <c r="A289" t="s">
        <v>1155</v>
      </c>
      <c r="B289" t="s">
        <v>1232</v>
      </c>
      <c r="D289" t="s">
        <v>1027</v>
      </c>
      <c r="E289" t="s">
        <v>1154</v>
      </c>
      <c r="F289" t="s">
        <v>807</v>
      </c>
      <c r="G289" t="s">
        <v>803</v>
      </c>
      <c r="H289" t="s">
        <v>307</v>
      </c>
    </row>
    <row r="290" spans="1:9">
      <c r="A290" t="s">
        <v>1155</v>
      </c>
      <c r="B290" t="s">
        <v>1233</v>
      </c>
      <c r="D290" t="s">
        <v>1019</v>
      </c>
      <c r="E290" t="s">
        <v>1154</v>
      </c>
      <c r="F290" t="s">
        <v>880</v>
      </c>
      <c r="G290" t="s">
        <v>1174</v>
      </c>
      <c r="H290" t="s">
        <v>1</v>
      </c>
    </row>
    <row r="291" spans="1:9">
      <c r="A291" t="s">
        <v>1155</v>
      </c>
      <c r="B291" t="s">
        <v>409</v>
      </c>
      <c r="D291" t="s">
        <v>1019</v>
      </c>
      <c r="E291" t="s">
        <v>1154</v>
      </c>
      <c r="F291" t="s">
        <v>807</v>
      </c>
      <c r="G291" t="s">
        <v>841</v>
      </c>
      <c r="H291" t="s">
        <v>1234</v>
      </c>
    </row>
    <row r="292" spans="1:9">
      <c r="A292" t="s">
        <v>1155</v>
      </c>
      <c r="B292" t="s">
        <v>1235</v>
      </c>
      <c r="D292" t="s">
        <v>990</v>
      </c>
      <c r="E292" t="s">
        <v>1154</v>
      </c>
      <c r="F292" t="s">
        <v>880</v>
      </c>
      <c r="G292" t="s">
        <v>1236</v>
      </c>
      <c r="H292" t="s">
        <v>1</v>
      </c>
    </row>
    <row r="293" spans="1:9">
      <c r="A293" t="s">
        <v>1155</v>
      </c>
      <c r="B293" t="s">
        <v>1237</v>
      </c>
      <c r="D293" t="s">
        <v>908</v>
      </c>
      <c r="E293" t="s">
        <v>1154</v>
      </c>
      <c r="F293" t="s">
        <v>852</v>
      </c>
      <c r="G293" t="s">
        <v>881</v>
      </c>
      <c r="H293" t="s">
        <v>1054</v>
      </c>
    </row>
    <row r="294" spans="1:9">
      <c r="A294" t="s">
        <v>1155</v>
      </c>
      <c r="B294" t="s">
        <v>1238</v>
      </c>
      <c r="D294" t="s">
        <v>1009</v>
      </c>
      <c r="E294" t="s">
        <v>1154</v>
      </c>
      <c r="F294" t="s">
        <v>852</v>
      </c>
      <c r="G294" t="s">
        <v>803</v>
      </c>
      <c r="H294" t="s">
        <v>415</v>
      </c>
    </row>
    <row r="295" spans="1:9">
      <c r="A295" t="s">
        <v>1155</v>
      </c>
      <c r="B295" t="s">
        <v>1239</v>
      </c>
      <c r="D295" t="s">
        <v>1087</v>
      </c>
      <c r="E295" t="s">
        <v>1154</v>
      </c>
      <c r="F295" t="s">
        <v>807</v>
      </c>
      <c r="G295" t="s">
        <v>925</v>
      </c>
      <c r="H295" t="s">
        <v>467</v>
      </c>
    </row>
    <row r="296" spans="1:9">
      <c r="A296" t="s">
        <v>1155</v>
      </c>
      <c r="B296" t="s">
        <v>1240</v>
      </c>
      <c r="D296" t="s">
        <v>1087</v>
      </c>
      <c r="E296" t="s">
        <v>1154</v>
      </c>
      <c r="F296" t="s">
        <v>783</v>
      </c>
      <c r="G296" t="s">
        <v>789</v>
      </c>
      <c r="H296" t="s">
        <v>212</v>
      </c>
    </row>
    <row r="297" spans="1:9">
      <c r="A297" t="s">
        <v>1155</v>
      </c>
      <c r="B297" t="s">
        <v>1241</v>
      </c>
      <c r="D297" t="s">
        <v>1019</v>
      </c>
      <c r="E297" t="s">
        <v>1154</v>
      </c>
      <c r="F297" t="s">
        <v>852</v>
      </c>
      <c r="G297" t="s">
        <v>824</v>
      </c>
      <c r="H297" t="s">
        <v>415</v>
      </c>
    </row>
    <row r="298" spans="1:9">
      <c r="A298" t="s">
        <v>1155</v>
      </c>
      <c r="B298" t="s">
        <v>1242</v>
      </c>
      <c r="D298" t="s">
        <v>1019</v>
      </c>
      <c r="E298" t="s">
        <v>1154</v>
      </c>
      <c r="F298" t="s">
        <v>880</v>
      </c>
      <c r="G298" t="s">
        <v>893</v>
      </c>
      <c r="H298" t="s">
        <v>255</v>
      </c>
    </row>
    <row r="299" spans="1:9">
      <c r="A299" t="s">
        <v>1155</v>
      </c>
      <c r="B299" t="s">
        <v>1243</v>
      </c>
      <c r="D299" t="s">
        <v>996</v>
      </c>
      <c r="E299" t="s">
        <v>1154</v>
      </c>
      <c r="F299" t="s">
        <v>880</v>
      </c>
      <c r="G299" t="s">
        <v>903</v>
      </c>
      <c r="H299" t="s">
        <v>481</v>
      </c>
    </row>
    <row r="300" spans="1:9">
      <c r="A300" t="s">
        <v>1155</v>
      </c>
      <c r="B300" t="s">
        <v>1244</v>
      </c>
      <c r="D300" t="s">
        <v>996</v>
      </c>
      <c r="E300" t="s">
        <v>1154</v>
      </c>
      <c r="F300" t="s">
        <v>783</v>
      </c>
      <c r="G300" t="s">
        <v>834</v>
      </c>
      <c r="H300" t="s">
        <v>76</v>
      </c>
    </row>
    <row r="301" spans="1:9">
      <c r="A301" t="s">
        <v>1155</v>
      </c>
      <c r="B301" t="s">
        <v>1245</v>
      </c>
      <c r="D301" t="s">
        <v>1087</v>
      </c>
      <c r="E301" t="s">
        <v>1154</v>
      </c>
      <c r="F301" t="s">
        <v>880</v>
      </c>
      <c r="G301" t="s">
        <v>1172</v>
      </c>
      <c r="H301" t="s">
        <v>268</v>
      </c>
    </row>
    <row r="302" spans="1:9">
      <c r="A302" t="s">
        <v>1155</v>
      </c>
      <c r="B302" t="s">
        <v>1246</v>
      </c>
      <c r="D302" t="s">
        <v>981</v>
      </c>
      <c r="E302" t="s">
        <v>1154</v>
      </c>
      <c r="F302" t="s">
        <v>880</v>
      </c>
      <c r="G302" t="s">
        <v>1174</v>
      </c>
      <c r="H302" t="s">
        <v>415</v>
      </c>
    </row>
    <row r="303" spans="1:9">
      <c r="A303" t="s">
        <v>1155</v>
      </c>
      <c r="B303" t="s">
        <v>1247</v>
      </c>
      <c r="D303" t="s">
        <v>1039</v>
      </c>
      <c r="E303" t="s">
        <v>1154</v>
      </c>
      <c r="F303" t="s">
        <v>783</v>
      </c>
      <c r="G303" t="s">
        <v>893</v>
      </c>
      <c r="H303" t="s">
        <v>99</v>
      </c>
      <c r="I303" t="s">
        <v>1091</v>
      </c>
    </row>
    <row r="304" spans="1:9">
      <c r="A304" t="s">
        <v>1155</v>
      </c>
      <c r="B304" t="s">
        <v>1248</v>
      </c>
      <c r="D304" t="s">
        <v>1019</v>
      </c>
      <c r="E304" t="s">
        <v>1154</v>
      </c>
      <c r="F304" t="s">
        <v>807</v>
      </c>
      <c r="G304" t="s">
        <v>789</v>
      </c>
      <c r="H304" t="s">
        <v>212</v>
      </c>
    </row>
    <row r="305" spans="1:8">
      <c r="A305" t="s">
        <v>1155</v>
      </c>
      <c r="B305" t="s">
        <v>1249</v>
      </c>
      <c r="D305" t="s">
        <v>1019</v>
      </c>
      <c r="E305" t="s">
        <v>1154</v>
      </c>
      <c r="F305" t="s">
        <v>807</v>
      </c>
      <c r="G305" t="s">
        <v>789</v>
      </c>
      <c r="H305" t="s">
        <v>467</v>
      </c>
    </row>
    <row r="306" spans="1:8">
      <c r="A306" t="s">
        <v>1155</v>
      </c>
      <c r="B306" t="s">
        <v>1250</v>
      </c>
      <c r="D306" t="s">
        <v>1019</v>
      </c>
      <c r="E306" t="s">
        <v>1154</v>
      </c>
      <c r="F306" t="s">
        <v>783</v>
      </c>
      <c r="G306" t="s">
        <v>803</v>
      </c>
      <c r="H306" t="s">
        <v>134</v>
      </c>
    </row>
    <row r="307" spans="1:8">
      <c r="A307" t="s">
        <v>1155</v>
      </c>
      <c r="B307" t="s">
        <v>1251</v>
      </c>
      <c r="D307" t="s">
        <v>1027</v>
      </c>
      <c r="E307" t="s">
        <v>1154</v>
      </c>
      <c r="F307" t="s">
        <v>852</v>
      </c>
      <c r="G307" t="s">
        <v>824</v>
      </c>
      <c r="H307" t="s">
        <v>118</v>
      </c>
    </row>
    <row r="308" spans="1:8">
      <c r="A308" t="s">
        <v>1155</v>
      </c>
      <c r="B308" t="s">
        <v>1252</v>
      </c>
      <c r="D308" t="s">
        <v>1019</v>
      </c>
      <c r="E308" t="s">
        <v>1154</v>
      </c>
      <c r="F308" t="s">
        <v>807</v>
      </c>
      <c r="G308" t="s">
        <v>976</v>
      </c>
      <c r="H308" t="s">
        <v>415</v>
      </c>
    </row>
    <row r="309" spans="1:8">
      <c r="A309" t="s">
        <v>1155</v>
      </c>
      <c r="B309" t="s">
        <v>1253</v>
      </c>
      <c r="D309" t="s">
        <v>996</v>
      </c>
      <c r="E309" t="s">
        <v>1154</v>
      </c>
      <c r="F309" t="s">
        <v>783</v>
      </c>
      <c r="G309" t="s">
        <v>789</v>
      </c>
      <c r="H309" t="s">
        <v>307</v>
      </c>
    </row>
    <row r="310" spans="1:8">
      <c r="A310" t="s">
        <v>1155</v>
      </c>
      <c r="B310" t="s">
        <v>1254</v>
      </c>
      <c r="D310" t="s">
        <v>1087</v>
      </c>
      <c r="E310" t="s">
        <v>1154</v>
      </c>
      <c r="F310" t="s">
        <v>783</v>
      </c>
      <c r="G310" t="s">
        <v>1184</v>
      </c>
      <c r="H310" t="s">
        <v>415</v>
      </c>
    </row>
    <row r="311" spans="1:8">
      <c r="A311" t="s">
        <v>1155</v>
      </c>
      <c r="B311" t="s">
        <v>1255</v>
      </c>
      <c r="D311" t="s">
        <v>1027</v>
      </c>
      <c r="E311" t="s">
        <v>1154</v>
      </c>
      <c r="F311" t="s">
        <v>783</v>
      </c>
      <c r="G311" t="s">
        <v>1174</v>
      </c>
      <c r="H311" t="s">
        <v>1</v>
      </c>
    </row>
    <row r="312" spans="1:8">
      <c r="A312" t="s">
        <v>1155</v>
      </c>
      <c r="B312" t="s">
        <v>1256</v>
      </c>
      <c r="D312" t="s">
        <v>1019</v>
      </c>
      <c r="E312" t="s">
        <v>1154</v>
      </c>
      <c r="F312" t="s">
        <v>807</v>
      </c>
      <c r="G312" t="s">
        <v>834</v>
      </c>
      <c r="H312" t="s">
        <v>415</v>
      </c>
    </row>
    <row r="313" spans="1:8">
      <c r="A313" t="s">
        <v>1155</v>
      </c>
      <c r="B313" t="s">
        <v>1257</v>
      </c>
      <c r="D313" t="s">
        <v>1087</v>
      </c>
      <c r="E313" t="s">
        <v>1154</v>
      </c>
      <c r="F313" t="s">
        <v>852</v>
      </c>
      <c r="G313" t="s">
        <v>824</v>
      </c>
      <c r="H313" t="s">
        <v>307</v>
      </c>
    </row>
    <row r="314" spans="1:8">
      <c r="A314" t="s">
        <v>1155</v>
      </c>
      <c r="B314" t="s">
        <v>1258</v>
      </c>
      <c r="D314" t="s">
        <v>1027</v>
      </c>
      <c r="E314" t="s">
        <v>1154</v>
      </c>
      <c r="F314" t="s">
        <v>807</v>
      </c>
      <c r="G314" t="s">
        <v>808</v>
      </c>
      <c r="H314" t="s">
        <v>1</v>
      </c>
    </row>
    <row r="315" spans="1:8">
      <c r="A315" t="s">
        <v>1155</v>
      </c>
      <c r="B315" t="s">
        <v>1259</v>
      </c>
      <c r="D315" t="s">
        <v>1019</v>
      </c>
      <c r="E315" t="s">
        <v>1154</v>
      </c>
      <c r="F315" t="s">
        <v>783</v>
      </c>
      <c r="G315" t="s">
        <v>834</v>
      </c>
      <c r="H315" t="s">
        <v>415</v>
      </c>
    </row>
    <row r="316" spans="1:8">
      <c r="A316" t="s">
        <v>1155</v>
      </c>
      <c r="B316" t="s">
        <v>1260</v>
      </c>
      <c r="D316" t="s">
        <v>1019</v>
      </c>
      <c r="E316" t="s">
        <v>1154</v>
      </c>
      <c r="F316" t="s">
        <v>783</v>
      </c>
      <c r="G316" t="s">
        <v>925</v>
      </c>
      <c r="H316" t="s">
        <v>415</v>
      </c>
    </row>
    <row r="317" spans="1:8">
      <c r="A317" t="s">
        <v>1155</v>
      </c>
      <c r="B317" t="s">
        <v>1261</v>
      </c>
      <c r="D317" t="s">
        <v>1046</v>
      </c>
      <c r="E317" t="s">
        <v>1154</v>
      </c>
      <c r="F317" t="s">
        <v>783</v>
      </c>
      <c r="G317" t="s">
        <v>789</v>
      </c>
      <c r="H317" t="s">
        <v>212</v>
      </c>
    </row>
    <row r="318" spans="1:8">
      <c r="A318" t="s">
        <v>1155</v>
      </c>
      <c r="B318" t="s">
        <v>1262</v>
      </c>
      <c r="D318" t="s">
        <v>908</v>
      </c>
      <c r="E318" t="s">
        <v>1154</v>
      </c>
      <c r="F318" t="s">
        <v>783</v>
      </c>
      <c r="G318" t="s">
        <v>803</v>
      </c>
      <c r="H318" t="s">
        <v>212</v>
      </c>
    </row>
    <row r="319" spans="1:8">
      <c r="A319" t="s">
        <v>1155</v>
      </c>
      <c r="B319" t="s">
        <v>1263</v>
      </c>
      <c r="D319" t="s">
        <v>1082</v>
      </c>
      <c r="E319" t="s">
        <v>1154</v>
      </c>
      <c r="F319" t="s">
        <v>880</v>
      </c>
      <c r="G319" t="s">
        <v>1174</v>
      </c>
      <c r="H319" t="s">
        <v>212</v>
      </c>
    </row>
    <row r="320" spans="1:8">
      <c r="A320" t="s">
        <v>1155</v>
      </c>
      <c r="B320" t="s">
        <v>1264</v>
      </c>
      <c r="D320" t="s">
        <v>1087</v>
      </c>
      <c r="E320" t="s">
        <v>1154</v>
      </c>
      <c r="F320" t="s">
        <v>807</v>
      </c>
      <c r="G320" t="s">
        <v>841</v>
      </c>
      <c r="H320" t="s">
        <v>242</v>
      </c>
    </row>
    <row r="321" spans="1:9">
      <c r="A321" t="s">
        <v>1265</v>
      </c>
      <c r="E321" t="s">
        <v>1266</v>
      </c>
    </row>
    <row r="322" spans="1:9">
      <c r="A322" t="s">
        <v>1267</v>
      </c>
      <c r="B322" t="s">
        <v>1268</v>
      </c>
      <c r="D322" t="s">
        <v>1039</v>
      </c>
      <c r="E322" t="s">
        <v>1266</v>
      </c>
      <c r="F322" t="s">
        <v>852</v>
      </c>
      <c r="G322" t="s">
        <v>824</v>
      </c>
      <c r="H322" t="s">
        <v>415</v>
      </c>
      <c r="I322" t="s">
        <v>1269</v>
      </c>
    </row>
    <row r="323" spans="1:9">
      <c r="A323" t="s">
        <v>1267</v>
      </c>
      <c r="B323" t="s">
        <v>1270</v>
      </c>
      <c r="D323" t="s">
        <v>908</v>
      </c>
      <c r="E323" t="s">
        <v>1266</v>
      </c>
      <c r="F323" t="s">
        <v>807</v>
      </c>
      <c r="G323" t="s">
        <v>841</v>
      </c>
      <c r="H323" t="s">
        <v>415</v>
      </c>
    </row>
    <row r="324" spans="1:9">
      <c r="A324" t="s">
        <v>1267</v>
      </c>
      <c r="B324" t="s">
        <v>1271</v>
      </c>
      <c r="D324" t="s">
        <v>1009</v>
      </c>
      <c r="E324" t="s">
        <v>1266</v>
      </c>
      <c r="F324" t="s">
        <v>783</v>
      </c>
      <c r="G324" t="s">
        <v>834</v>
      </c>
      <c r="H324" t="s">
        <v>1272</v>
      </c>
    </row>
    <row r="325" spans="1:9">
      <c r="A325" t="s">
        <v>1267</v>
      </c>
      <c r="B325" t="s">
        <v>1273</v>
      </c>
      <c r="D325" t="s">
        <v>990</v>
      </c>
      <c r="E325" t="s">
        <v>1266</v>
      </c>
      <c r="F325" t="s">
        <v>807</v>
      </c>
      <c r="G325" t="s">
        <v>789</v>
      </c>
      <c r="H325" t="s">
        <v>415</v>
      </c>
    </row>
    <row r="326" spans="1:9">
      <c r="A326" t="s">
        <v>1267</v>
      </c>
      <c r="B326" t="s">
        <v>1274</v>
      </c>
      <c r="D326" t="s">
        <v>979</v>
      </c>
      <c r="E326" t="s">
        <v>1266</v>
      </c>
      <c r="F326" t="s">
        <v>814</v>
      </c>
      <c r="G326" t="s">
        <v>789</v>
      </c>
      <c r="H326" t="s">
        <v>118</v>
      </c>
    </row>
    <row r="327" spans="1:9">
      <c r="A327" t="s">
        <v>1267</v>
      </c>
      <c r="B327" t="s">
        <v>1275</v>
      </c>
      <c r="D327" t="s">
        <v>875</v>
      </c>
      <c r="E327" t="s">
        <v>1266</v>
      </c>
      <c r="F327" t="s">
        <v>1276</v>
      </c>
      <c r="G327" t="s">
        <v>784</v>
      </c>
      <c r="H327" t="s">
        <v>76</v>
      </c>
    </row>
    <row r="328" spans="1:9">
      <c r="A328" t="s">
        <v>1267</v>
      </c>
      <c r="B328" t="s">
        <v>1277</v>
      </c>
      <c r="D328" t="s">
        <v>908</v>
      </c>
      <c r="E328" t="s">
        <v>1266</v>
      </c>
      <c r="F328" t="s">
        <v>852</v>
      </c>
      <c r="G328" t="s">
        <v>803</v>
      </c>
      <c r="H328" t="s">
        <v>224</v>
      </c>
    </row>
  </sheetData>
  <hyperlinks>
    <hyperlink ref="M11" r:id="rId1" xr:uid="{BAFFD128-D298-416C-8330-D43DBCBAB9BA}"/>
    <hyperlink ref="M12" r:id="rId2" xr:uid="{5C302AFC-9420-4977-B32E-7E588F5D8C4A}"/>
    <hyperlink ref="M13" r:id="rId3" xr:uid="{F6EDEF38-21CC-482A-A5F2-6D00368C71FD}"/>
  </hyperlinks>
  <pageMargins left="0.7" right="0.7" top="0.75" bottom="0.75" header="0.3" footer="0.3"/>
  <tableParts count="1">
    <tablePart r:id="rId4"/>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50CBB-7B65-4BA6-B636-9EEB1EC02FF4}">
  <sheetPr codeName="Аркуш7">
    <tabColor rgb="FFFFFF00"/>
  </sheetPr>
  <dimension ref="A6:B11"/>
  <sheetViews>
    <sheetView workbookViewId="0">
      <selection activeCell="A7" sqref="A7"/>
    </sheetView>
  </sheetViews>
  <sheetFormatPr defaultRowHeight="14.25"/>
  <sheetData>
    <row r="6" spans="1:2">
      <c r="A6" t="s">
        <v>14510</v>
      </c>
      <c r="B6" t="s">
        <v>14460</v>
      </c>
    </row>
    <row r="7" spans="1:2">
      <c r="A7" t="s">
        <v>14461</v>
      </c>
    </row>
    <row r="8" spans="1:2">
      <c r="A8" t="s">
        <v>14462</v>
      </c>
      <c r="B8" t="s">
        <v>14463</v>
      </c>
    </row>
    <row r="9" spans="1:2">
      <c r="A9" t="s">
        <v>14464</v>
      </c>
      <c r="B9" t="s">
        <v>14465</v>
      </c>
    </row>
    <row r="10" spans="1:2">
      <c r="A10" t="s">
        <v>14466</v>
      </c>
      <c r="B10" t="s">
        <v>14467</v>
      </c>
    </row>
    <row r="11" spans="1:2">
      <c r="A11" t="s">
        <v>14468</v>
      </c>
      <c r="B11" t="s">
        <v>14469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890DD-07E3-4A6D-A6B6-3CDE08B1A2AA}">
  <sheetPr codeName="Аркуш44">
    <tabColor rgb="FFFFFF00"/>
  </sheetPr>
  <dimension ref="A3:Z125"/>
  <sheetViews>
    <sheetView topLeftCell="F96" workbookViewId="0">
      <selection activeCell="J36" sqref="J36"/>
    </sheetView>
  </sheetViews>
  <sheetFormatPr defaultRowHeight="14.25"/>
  <cols>
    <col min="1" max="1" width="11.5546875" customWidth="1"/>
    <col min="2" max="2" width="14.44140625" customWidth="1"/>
    <col min="3" max="3" width="10.5546875" customWidth="1"/>
    <col min="4" max="4" width="12.5546875" customWidth="1"/>
    <col min="5" max="6" width="10.77734375" customWidth="1"/>
    <col min="9" max="9" width="16" customWidth="1"/>
    <col min="10" max="10" width="11.21875" customWidth="1"/>
    <col min="11" max="11" width="11.88671875" customWidth="1"/>
    <col min="13" max="14" width="10.77734375" customWidth="1"/>
  </cols>
  <sheetData>
    <row r="3" spans="1:18">
      <c r="C3" t="s">
        <v>11557</v>
      </c>
    </row>
    <row r="4" spans="1:18">
      <c r="C4" t="s">
        <v>13536</v>
      </c>
      <c r="E4" t="s">
        <v>14693</v>
      </c>
    </row>
    <row r="5" spans="1:18">
      <c r="J5" s="1"/>
      <c r="K5" s="1"/>
      <c r="L5" s="1"/>
      <c r="M5" s="1"/>
      <c r="N5" s="1"/>
      <c r="O5" s="1"/>
      <c r="P5" s="1"/>
      <c r="Q5" s="1"/>
      <c r="R5" s="1"/>
    </row>
    <row r="6" spans="1:18">
      <c r="J6" s="1"/>
      <c r="K6" s="1"/>
      <c r="L6" s="1"/>
      <c r="M6" s="1"/>
      <c r="N6" s="1"/>
      <c r="O6" s="1"/>
      <c r="P6" s="1"/>
      <c r="Q6" s="1"/>
      <c r="R6" s="1"/>
    </row>
    <row r="7" spans="1:18">
      <c r="A7" t="s">
        <v>774</v>
      </c>
      <c r="B7" t="s">
        <v>11749</v>
      </c>
      <c r="H7" s="2600" t="s">
        <v>6592</v>
      </c>
      <c r="I7" s="2602" t="s">
        <v>14551</v>
      </c>
      <c r="J7" s="2602" t="s">
        <v>13523</v>
      </c>
      <c r="K7" s="1"/>
      <c r="L7" s="1"/>
      <c r="M7" s="1"/>
      <c r="N7" s="1"/>
      <c r="O7" s="1"/>
      <c r="P7" s="1"/>
      <c r="Q7" s="1"/>
      <c r="R7" s="1"/>
    </row>
    <row r="8" spans="1:18">
      <c r="A8" t="s">
        <v>749</v>
      </c>
      <c r="B8" t="s">
        <v>13490</v>
      </c>
      <c r="D8" s="1" t="s">
        <v>6592</v>
      </c>
      <c r="E8" s="1" t="s">
        <v>13523</v>
      </c>
      <c r="F8" t="s">
        <v>14715</v>
      </c>
      <c r="H8" s="1" t="s">
        <v>14543</v>
      </c>
      <c r="I8" t="str">
        <f>D9</f>
        <v>Sailor</v>
      </c>
      <c r="J8" s="1">
        <f>E9</f>
        <v>12</v>
      </c>
      <c r="K8" s="1"/>
      <c r="L8" s="1"/>
      <c r="M8" s="1"/>
      <c r="N8" s="1"/>
      <c r="O8" s="1"/>
      <c r="P8" s="1"/>
      <c r="Q8" s="1"/>
      <c r="R8" s="1"/>
    </row>
    <row r="9" spans="1:18">
      <c r="A9" t="s">
        <v>13491</v>
      </c>
      <c r="B9" t="s">
        <v>13492</v>
      </c>
      <c r="D9" t="s">
        <v>9640</v>
      </c>
      <c r="E9">
        <v>12</v>
      </c>
      <c r="F9" s="1" t="s">
        <v>736</v>
      </c>
      <c r="H9" s="1" t="s">
        <v>740</v>
      </c>
      <c r="I9" t="str">
        <f>Таблиця234[[#This Row],[Rank]]</f>
        <v>Sailor</v>
      </c>
      <c r="J9" s="1">
        <f>E10</f>
        <v>18</v>
      </c>
      <c r="K9" s="1"/>
      <c r="L9" s="1"/>
      <c r="M9" s="1"/>
      <c r="N9" s="1"/>
      <c r="O9" s="1"/>
      <c r="P9" s="1"/>
      <c r="Q9" s="1"/>
      <c r="R9" s="1"/>
    </row>
    <row r="10" spans="1:18">
      <c r="A10" t="s">
        <v>13493</v>
      </c>
      <c r="B10" t="s">
        <v>13494</v>
      </c>
      <c r="D10" t="s">
        <v>13516</v>
      </c>
      <c r="E10">
        <v>18</v>
      </c>
      <c r="F10" s="1" t="s">
        <v>739</v>
      </c>
      <c r="H10" s="1" t="s">
        <v>743</v>
      </c>
      <c r="I10" t="str">
        <f>D12</f>
        <v>Midshipman</v>
      </c>
      <c r="J10" s="1">
        <f>E12</f>
        <v>36</v>
      </c>
      <c r="K10" s="1"/>
      <c r="L10" s="1"/>
      <c r="M10" s="1"/>
      <c r="N10" s="1"/>
      <c r="O10" s="1"/>
      <c r="P10" s="1"/>
      <c r="Q10" s="1"/>
      <c r="R10" s="1"/>
    </row>
    <row r="11" spans="1:18">
      <c r="A11" t="s">
        <v>13495</v>
      </c>
      <c r="B11" t="s">
        <v>13496</v>
      </c>
      <c r="D11" t="s">
        <v>13517</v>
      </c>
      <c r="E11">
        <v>24</v>
      </c>
      <c r="F11" s="1" t="s">
        <v>742</v>
      </c>
      <c r="H11" s="1" t="s">
        <v>746</v>
      </c>
      <c r="I11" t="str">
        <f>H11</f>
        <v>Lieutenant</v>
      </c>
      <c r="J11" s="1">
        <f>E13</f>
        <v>45</v>
      </c>
      <c r="K11" s="1"/>
      <c r="L11" s="1"/>
      <c r="M11" s="1"/>
      <c r="N11" s="1"/>
      <c r="O11" s="1"/>
      <c r="P11" s="1"/>
      <c r="Q11" s="1"/>
      <c r="R11" s="1"/>
    </row>
    <row r="12" spans="1:18">
      <c r="A12" t="s">
        <v>13497</v>
      </c>
      <c r="B12" t="s">
        <v>13498</v>
      </c>
      <c r="D12" t="s">
        <v>13518</v>
      </c>
      <c r="E12">
        <v>36</v>
      </c>
      <c r="J12" s="1"/>
      <c r="K12" s="1"/>
      <c r="L12" s="1"/>
      <c r="M12" s="1"/>
      <c r="N12" s="1"/>
      <c r="O12" s="1"/>
      <c r="P12" s="1" t="s">
        <v>14643</v>
      </c>
      <c r="Q12" s="1"/>
      <c r="R12" s="1"/>
    </row>
    <row r="13" spans="1:18">
      <c r="A13" t="s">
        <v>13499</v>
      </c>
      <c r="B13" t="s">
        <v>13500</v>
      </c>
      <c r="D13" t="s">
        <v>746</v>
      </c>
      <c r="E13">
        <v>45</v>
      </c>
      <c r="F13">
        <f>M8</f>
        <v>0</v>
      </c>
      <c r="H13" t="s">
        <v>14549</v>
      </c>
      <c r="I13" t="s">
        <v>14550</v>
      </c>
      <c r="J13" t="s">
        <v>1725</v>
      </c>
      <c r="K13" t="s">
        <v>11883</v>
      </c>
      <c r="L13" s="1"/>
      <c r="M13" s="1"/>
      <c r="N13" s="1"/>
      <c r="O13" s="1"/>
      <c r="P13" s="1" t="s">
        <v>14642</v>
      </c>
      <c r="Q13" s="1"/>
      <c r="R13" s="1"/>
    </row>
    <row r="14" spans="1:18">
      <c r="A14" t="s">
        <v>1002</v>
      </c>
      <c r="B14" t="s">
        <v>13501</v>
      </c>
      <c r="D14" t="s">
        <v>13519</v>
      </c>
      <c r="E14">
        <v>54</v>
      </c>
      <c r="F14">
        <f>M9</f>
        <v>0</v>
      </c>
      <c r="H14" t="s">
        <v>11872</v>
      </c>
      <c r="I14" t="s">
        <v>11881</v>
      </c>
      <c r="J14">
        <v>10</v>
      </c>
      <c r="K14" t="s">
        <v>14548</v>
      </c>
      <c r="L14" s="1"/>
      <c r="M14" s="1"/>
      <c r="N14" s="1"/>
      <c r="O14" s="1"/>
      <c r="P14" s="1"/>
      <c r="Q14" s="1"/>
      <c r="R14" s="1"/>
    </row>
    <row r="15" spans="1:18">
      <c r="A15" t="s">
        <v>13502</v>
      </c>
      <c r="B15" t="s">
        <v>13503</v>
      </c>
      <c r="D15" t="s">
        <v>749</v>
      </c>
      <c r="E15">
        <v>63</v>
      </c>
      <c r="F15">
        <f>M10</f>
        <v>0</v>
      </c>
      <c r="H15" t="s">
        <v>14544</v>
      </c>
      <c r="I15" t="s">
        <v>14545</v>
      </c>
      <c r="J15">
        <f>J14*3+2</f>
        <v>32</v>
      </c>
      <c r="K15" s="1" t="s">
        <v>14608</v>
      </c>
      <c r="L15" s="1"/>
      <c r="M15" s="1"/>
      <c r="N15" s="1" t="s">
        <v>14604</v>
      </c>
      <c r="O15" s="1"/>
      <c r="P15" s="1"/>
      <c r="Q15" s="1"/>
      <c r="R15" s="1"/>
    </row>
    <row r="16" spans="1:18">
      <c r="A16" t="s">
        <v>13504</v>
      </c>
      <c r="B16" t="s">
        <v>13505</v>
      </c>
      <c r="D16" t="s">
        <v>13520</v>
      </c>
      <c r="E16">
        <v>96</v>
      </c>
      <c r="F16">
        <f>M11</f>
        <v>0</v>
      </c>
      <c r="H16" t="s">
        <v>14546</v>
      </c>
      <c r="I16" t="s">
        <v>14547</v>
      </c>
      <c r="J16">
        <f>J14*6+3</f>
        <v>63</v>
      </c>
      <c r="K16" s="1" t="s">
        <v>14609</v>
      </c>
      <c r="L16" s="1"/>
      <c r="M16" s="1"/>
      <c r="N16" s="1"/>
      <c r="O16" s="1"/>
      <c r="P16" s="1"/>
      <c r="Q16" s="1"/>
      <c r="R16" s="1"/>
    </row>
    <row r="17" spans="1:26">
      <c r="A17" t="s">
        <v>10080</v>
      </c>
      <c r="B17" t="s">
        <v>13506</v>
      </c>
      <c r="D17" t="s">
        <v>13521</v>
      </c>
      <c r="E17">
        <v>108</v>
      </c>
      <c r="F17" t="str">
        <f>'Purple Dragons'!A11</f>
        <v>Oversword</v>
      </c>
      <c r="H17" t="s">
        <v>14605</v>
      </c>
      <c r="I17" t="s">
        <v>14606</v>
      </c>
      <c r="J17" s="1">
        <v>73</v>
      </c>
      <c r="K17" s="1" t="s">
        <v>14607</v>
      </c>
      <c r="L17" s="1"/>
      <c r="M17" s="1"/>
      <c r="N17" s="1"/>
      <c r="O17" s="1"/>
      <c r="P17" s="1"/>
      <c r="Q17" s="1"/>
      <c r="R17" s="1"/>
    </row>
    <row r="18" spans="1:26">
      <c r="A18" t="s">
        <v>13507</v>
      </c>
      <c r="B18" t="s">
        <v>13508</v>
      </c>
      <c r="D18" t="s">
        <v>13522</v>
      </c>
      <c r="E18">
        <v>120</v>
      </c>
      <c r="J18" s="1"/>
      <c r="K18" s="1"/>
      <c r="L18" s="1"/>
      <c r="M18" s="1"/>
      <c r="N18" s="1"/>
      <c r="O18" s="1"/>
      <c r="P18" s="1"/>
      <c r="Q18" s="1"/>
      <c r="R18" s="1"/>
    </row>
    <row r="19" spans="1:26">
      <c r="A19" t="s">
        <v>13509</v>
      </c>
      <c r="B19" t="s">
        <v>13510</v>
      </c>
      <c r="D19" t="s">
        <v>14630</v>
      </c>
      <c r="J19" s="1"/>
      <c r="K19" s="1"/>
      <c r="L19" s="1"/>
      <c r="M19" s="1"/>
      <c r="N19" s="1"/>
      <c r="O19" s="1"/>
      <c r="P19" s="1"/>
      <c r="Q19" s="1"/>
      <c r="R19" s="1"/>
    </row>
    <row r="20" spans="1:26">
      <c r="A20" t="s">
        <v>13511</v>
      </c>
      <c r="B20" t="s">
        <v>13512</v>
      </c>
      <c r="J20" s="1"/>
      <c r="K20" s="1"/>
      <c r="L20" s="1"/>
      <c r="M20" s="1"/>
      <c r="N20" s="1"/>
      <c r="O20" s="1"/>
      <c r="P20" s="1"/>
      <c r="Q20" s="1"/>
      <c r="R20" s="1"/>
    </row>
    <row r="21" spans="1:26">
      <c r="A21" t="s">
        <v>12252</v>
      </c>
      <c r="B21" t="s">
        <v>13513</v>
      </c>
      <c r="J21" s="1"/>
      <c r="K21" s="1"/>
      <c r="L21" s="1"/>
      <c r="M21" s="1"/>
      <c r="N21" s="1"/>
      <c r="O21" s="1"/>
      <c r="P21" s="1"/>
      <c r="Q21" s="1"/>
      <c r="R21" s="1"/>
    </row>
    <row r="22" spans="1:26">
      <c r="A22" t="s">
        <v>13514</v>
      </c>
      <c r="B22" t="s">
        <v>13515</v>
      </c>
      <c r="J22" s="1"/>
      <c r="K22" s="1"/>
      <c r="L22" s="1"/>
      <c r="M22" s="1"/>
      <c r="N22" s="1"/>
      <c r="O22" s="1"/>
      <c r="P22" s="1"/>
      <c r="Q22" s="1"/>
      <c r="R22" s="1"/>
    </row>
    <row r="23" spans="1:26">
      <c r="J23" s="1"/>
      <c r="K23" s="1"/>
      <c r="L23" s="1"/>
      <c r="M23" s="1"/>
      <c r="N23" s="1"/>
      <c r="O23" s="1"/>
      <c r="P23" s="1"/>
      <c r="Q23" s="1"/>
      <c r="R23" s="1"/>
    </row>
    <row r="24" spans="1:26">
      <c r="J24" s="1"/>
      <c r="K24" s="1"/>
      <c r="L24" s="1"/>
      <c r="M24" s="1"/>
      <c r="N24" s="1"/>
      <c r="O24" s="1"/>
      <c r="P24" s="1"/>
      <c r="Q24" s="1"/>
      <c r="R24" s="1"/>
    </row>
    <row r="25" spans="1:26">
      <c r="L25" s="1"/>
      <c r="M25" s="1"/>
      <c r="N25" s="1"/>
      <c r="O25" s="1"/>
      <c r="P25" s="1"/>
      <c r="Q25" s="1"/>
      <c r="R25" s="1"/>
    </row>
    <row r="26" spans="1:26">
      <c r="L26" s="1"/>
      <c r="M26" s="1"/>
      <c r="N26" s="1"/>
      <c r="O26" s="1"/>
      <c r="P26" s="1"/>
      <c r="Q26" s="1"/>
      <c r="R26" s="1"/>
    </row>
    <row r="27" spans="1:26">
      <c r="L27" s="1"/>
      <c r="M27" s="1"/>
      <c r="N27" s="1"/>
      <c r="O27" s="1"/>
      <c r="P27" s="1"/>
      <c r="Q27" s="1"/>
      <c r="R27" s="1"/>
    </row>
    <row r="28" spans="1:26">
      <c r="L28" s="1"/>
      <c r="M28" s="1"/>
      <c r="N28" s="1"/>
      <c r="O28" s="1"/>
      <c r="P28" s="1"/>
      <c r="Q28" s="1"/>
      <c r="R28" s="1"/>
    </row>
    <row r="29" spans="1:26">
      <c r="A29" t="s">
        <v>14552</v>
      </c>
      <c r="B29" t="s">
        <v>14554</v>
      </c>
      <c r="C29" t="s">
        <v>13533</v>
      </c>
      <c r="D29" t="s">
        <v>13548</v>
      </c>
      <c r="E29" t="s">
        <v>6088</v>
      </c>
      <c r="F29" t="s">
        <v>2068</v>
      </c>
      <c r="G29" t="s">
        <v>14613</v>
      </c>
      <c r="H29" t="s">
        <v>14614</v>
      </c>
      <c r="I29" t="s">
        <v>14615</v>
      </c>
      <c r="J29" s="1" t="s">
        <v>11749</v>
      </c>
      <c r="K29" s="1" t="s">
        <v>14727</v>
      </c>
      <c r="L29" s="1"/>
      <c r="M29" s="1"/>
      <c r="N29" s="1"/>
      <c r="O29" s="1"/>
      <c r="P29" s="2659" t="s">
        <v>13650</v>
      </c>
      <c r="Q29" s="2659" t="s">
        <v>13541</v>
      </c>
      <c r="R29" s="2659" t="s">
        <v>13537</v>
      </c>
      <c r="S29" s="2659" t="s">
        <v>13538</v>
      </c>
      <c r="T29" s="2659" t="s">
        <v>13539</v>
      </c>
      <c r="U29" s="2659" t="s">
        <v>13540</v>
      </c>
      <c r="V29" s="2659" t="s">
        <v>13542</v>
      </c>
      <c r="W29" s="2659" t="s">
        <v>13543</v>
      </c>
      <c r="X29" s="2659" t="s">
        <v>13544</v>
      </c>
      <c r="Y29" s="2659" t="s">
        <v>13545</v>
      </c>
      <c r="Z29" s="2659" t="s">
        <v>14716</v>
      </c>
    </row>
    <row r="30" spans="1:26" ht="16.5">
      <c r="A30" t="s">
        <v>13541</v>
      </c>
      <c r="B30" t="s">
        <v>13547</v>
      </c>
      <c r="C30">
        <v>350</v>
      </c>
      <c r="D30">
        <v>73</v>
      </c>
      <c r="E30">
        <f>C30+D30</f>
        <v>423</v>
      </c>
      <c r="F30" s="2" t="s">
        <v>14603</v>
      </c>
      <c r="G30">
        <v>180</v>
      </c>
      <c r="H30">
        <v>50</v>
      </c>
      <c r="I30">
        <v>7</v>
      </c>
      <c r="K30" s="1"/>
      <c r="L30" s="1"/>
      <c r="M30" s="1"/>
      <c r="N30" s="1"/>
      <c r="O30" s="1"/>
      <c r="P30" s="2652" t="s">
        <v>14489</v>
      </c>
      <c r="Q30" s="2551"/>
      <c r="R30" s="2551"/>
      <c r="S30" s="2551"/>
      <c r="T30" s="2551"/>
      <c r="U30" s="2551"/>
      <c r="V30" s="2551"/>
      <c r="W30" s="2551"/>
      <c r="X30" s="2551"/>
      <c r="Y30" s="2551"/>
      <c r="Z30" s="2551"/>
    </row>
    <row r="31" spans="1:26">
      <c r="A31" t="s">
        <v>13537</v>
      </c>
      <c r="B31" t="s">
        <v>13547</v>
      </c>
      <c r="C31">
        <v>325</v>
      </c>
      <c r="D31">
        <v>63</v>
      </c>
      <c r="E31">
        <f t="shared" ref="E31:E38" si="0">C31+D31</f>
        <v>388</v>
      </c>
      <c r="F31" s="2" t="s">
        <v>14610</v>
      </c>
      <c r="G31">
        <v>170</v>
      </c>
      <c r="H31">
        <v>45</v>
      </c>
      <c r="I31">
        <v>6</v>
      </c>
      <c r="M31" s="1"/>
      <c r="N31" s="1"/>
      <c r="O31" s="1"/>
      <c r="P31" s="2551" t="s">
        <v>13526</v>
      </c>
      <c r="Q31" s="2551">
        <v>1</v>
      </c>
      <c r="R31" s="2551">
        <v>1</v>
      </c>
      <c r="S31" s="2551">
        <v>1</v>
      </c>
      <c r="T31" s="2551">
        <v>1</v>
      </c>
      <c r="U31" s="2551"/>
      <c r="V31" s="2551"/>
      <c r="W31" s="2551"/>
      <c r="X31" s="2551"/>
      <c r="Y31" s="2551"/>
      <c r="Z31" s="2551">
        <v>1</v>
      </c>
    </row>
    <row r="32" spans="1:26">
      <c r="A32" t="s">
        <v>13538</v>
      </c>
      <c r="B32" t="s">
        <v>13547</v>
      </c>
      <c r="C32">
        <v>300</v>
      </c>
      <c r="D32">
        <v>63</v>
      </c>
      <c r="E32">
        <f t="shared" si="0"/>
        <v>363</v>
      </c>
      <c r="F32" s="2" t="s">
        <v>14611</v>
      </c>
      <c r="G32">
        <v>160</v>
      </c>
      <c r="H32">
        <v>45</v>
      </c>
      <c r="I32">
        <v>5</v>
      </c>
      <c r="M32" s="1"/>
      <c r="N32" s="1"/>
      <c r="O32" s="1"/>
      <c r="P32" s="2551" t="s">
        <v>13527</v>
      </c>
      <c r="Q32" s="2551">
        <v>5</v>
      </c>
      <c r="R32" s="2551">
        <v>5</v>
      </c>
      <c r="S32" s="2551">
        <v>4</v>
      </c>
      <c r="T32" s="2551">
        <v>4</v>
      </c>
      <c r="U32" s="2551"/>
      <c r="V32" s="2551"/>
      <c r="W32" s="2551"/>
      <c r="X32" s="2551"/>
      <c r="Y32" s="2551"/>
      <c r="Z32" s="2551">
        <v>4</v>
      </c>
    </row>
    <row r="33" spans="1:26" ht="15">
      <c r="A33" t="s">
        <v>13539</v>
      </c>
      <c r="B33" t="s">
        <v>13547</v>
      </c>
      <c r="C33">
        <v>240</v>
      </c>
      <c r="D33">
        <v>32</v>
      </c>
      <c r="E33">
        <f t="shared" si="0"/>
        <v>272</v>
      </c>
      <c r="F33" s="2" t="s">
        <v>14612</v>
      </c>
      <c r="G33">
        <f>G32</f>
        <v>160</v>
      </c>
      <c r="H33">
        <v>35</v>
      </c>
      <c r="I33">
        <v>5</v>
      </c>
      <c r="P33" s="2551" t="s">
        <v>13528</v>
      </c>
      <c r="Q33" s="2551">
        <v>9</v>
      </c>
      <c r="R33" s="2551">
        <v>8</v>
      </c>
      <c r="S33" s="2551">
        <v>7</v>
      </c>
      <c r="T33" s="2551">
        <v>6</v>
      </c>
      <c r="U33" s="2551"/>
      <c r="V33" s="2551"/>
      <c r="W33" s="2551"/>
      <c r="X33" s="2551"/>
      <c r="Y33" s="2551"/>
      <c r="Z33" s="2551">
        <v>6</v>
      </c>
    </row>
    <row r="34" spans="1:26">
      <c r="A34" t="s">
        <v>13540</v>
      </c>
      <c r="B34" t="s">
        <v>13547</v>
      </c>
      <c r="C34">
        <v>150</v>
      </c>
      <c r="D34">
        <v>32</v>
      </c>
      <c r="E34">
        <f t="shared" si="0"/>
        <v>182</v>
      </c>
      <c r="F34" s="2"/>
      <c r="G34">
        <v>130</v>
      </c>
      <c r="H34">
        <v>30</v>
      </c>
      <c r="I34">
        <v>5</v>
      </c>
      <c r="P34" s="2551" t="s">
        <v>13529</v>
      </c>
      <c r="Q34" s="2551">
        <v>3</v>
      </c>
      <c r="R34" s="2551">
        <v>2</v>
      </c>
      <c r="S34" s="2551">
        <v>2</v>
      </c>
      <c r="T34" s="2551">
        <v>2</v>
      </c>
      <c r="U34" s="2551">
        <v>2</v>
      </c>
      <c r="V34" s="2551">
        <v>1</v>
      </c>
      <c r="W34" s="2551">
        <v>1</v>
      </c>
      <c r="X34" s="2551"/>
      <c r="Y34" s="2551"/>
      <c r="Z34" s="2551">
        <v>2</v>
      </c>
    </row>
    <row r="35" spans="1:26" ht="16.5">
      <c r="A35" t="s">
        <v>13542</v>
      </c>
      <c r="B35" t="s">
        <v>13546</v>
      </c>
      <c r="C35">
        <v>40</v>
      </c>
      <c r="D35">
        <v>11</v>
      </c>
      <c r="E35">
        <f t="shared" si="0"/>
        <v>51</v>
      </c>
      <c r="F35" s="2" t="s">
        <v>14616</v>
      </c>
      <c r="G35">
        <v>70</v>
      </c>
      <c r="H35">
        <v>20</v>
      </c>
      <c r="I35">
        <v>5</v>
      </c>
      <c r="P35" s="2652" t="s">
        <v>13524</v>
      </c>
      <c r="Q35" s="2551"/>
      <c r="R35" s="2551"/>
      <c r="S35" s="2551"/>
      <c r="T35" s="2551"/>
      <c r="U35" s="2551"/>
      <c r="V35" s="2551"/>
      <c r="W35" s="2551"/>
      <c r="X35" s="2551"/>
      <c r="Y35" s="2551"/>
      <c r="Z35" s="2551"/>
    </row>
    <row r="36" spans="1:26">
      <c r="A36" t="s">
        <v>13543</v>
      </c>
      <c r="B36" t="s">
        <v>13546</v>
      </c>
      <c r="C36">
        <v>50</v>
      </c>
      <c r="D36">
        <v>11</v>
      </c>
      <c r="E36">
        <f t="shared" si="0"/>
        <v>61</v>
      </c>
      <c r="F36" s="2"/>
      <c r="G36">
        <v>90</v>
      </c>
      <c r="H36">
        <v>24</v>
      </c>
      <c r="I36">
        <v>2</v>
      </c>
      <c r="J36" t="s">
        <v>14617</v>
      </c>
      <c r="P36" s="2551" t="s">
        <v>13495</v>
      </c>
      <c r="Q36" s="2551">
        <v>1</v>
      </c>
      <c r="R36" s="2551">
        <v>1</v>
      </c>
      <c r="S36" s="2551">
        <v>1</v>
      </c>
      <c r="T36" s="2551">
        <v>1</v>
      </c>
      <c r="U36" s="2551"/>
      <c r="V36" s="2551"/>
      <c r="W36" s="2551"/>
      <c r="X36" s="2551"/>
      <c r="Y36" s="2551"/>
      <c r="Z36" s="2551">
        <v>1</v>
      </c>
    </row>
    <row r="37" spans="1:26">
      <c r="A37" t="s">
        <v>13544</v>
      </c>
      <c r="B37" t="s">
        <v>13546</v>
      </c>
      <c r="C37">
        <v>90</v>
      </c>
      <c r="D37">
        <v>11</v>
      </c>
      <c r="E37">
        <f t="shared" si="0"/>
        <v>101</v>
      </c>
      <c r="F37" s="2"/>
      <c r="G37" s="1">
        <v>90</v>
      </c>
      <c r="H37" s="1">
        <v>25</v>
      </c>
      <c r="I37" s="1">
        <v>5</v>
      </c>
      <c r="J37" t="s">
        <v>14618</v>
      </c>
      <c r="P37" s="2551" t="s">
        <v>13497</v>
      </c>
      <c r="Q37" s="2551">
        <v>2</v>
      </c>
      <c r="R37" s="2551">
        <v>2</v>
      </c>
      <c r="S37" s="2551">
        <v>2</v>
      </c>
      <c r="T37" s="2551">
        <v>2</v>
      </c>
      <c r="U37" s="2551"/>
      <c r="V37" s="2551"/>
      <c r="W37" s="2551"/>
      <c r="X37" s="2551"/>
      <c r="Y37" s="2551"/>
      <c r="Z37" s="2551">
        <v>2</v>
      </c>
    </row>
    <row r="38" spans="1:26">
      <c r="A38" t="s">
        <v>13545</v>
      </c>
      <c r="B38" t="s">
        <v>13546</v>
      </c>
      <c r="C38">
        <v>100</v>
      </c>
      <c r="D38">
        <v>22</v>
      </c>
      <c r="E38">
        <f t="shared" si="0"/>
        <v>122</v>
      </c>
      <c r="F38" s="2" t="s">
        <v>14619</v>
      </c>
      <c r="G38" s="1">
        <v>70</v>
      </c>
      <c r="H38" s="1">
        <v>20</v>
      </c>
      <c r="I38" s="1">
        <v>5</v>
      </c>
      <c r="J38" t="s">
        <v>14620</v>
      </c>
      <c r="P38" s="2551" t="s">
        <v>13499</v>
      </c>
      <c r="Q38" s="2551">
        <v>2</v>
      </c>
      <c r="R38" s="2551">
        <v>2</v>
      </c>
      <c r="S38" s="2551">
        <v>2</v>
      </c>
      <c r="T38" s="2551">
        <v>2</v>
      </c>
      <c r="U38" s="2551"/>
      <c r="V38" s="2551"/>
      <c r="W38" s="2551"/>
      <c r="X38" s="2551"/>
      <c r="Y38" s="2551"/>
      <c r="Z38" s="2551">
        <v>2</v>
      </c>
    </row>
    <row r="39" spans="1:26">
      <c r="A39" t="s">
        <v>14716</v>
      </c>
      <c r="B39" t="s">
        <v>13547</v>
      </c>
      <c r="C39" s="1">
        <v>150</v>
      </c>
      <c r="D39" s="1">
        <v>32</v>
      </c>
      <c r="E39">
        <f>C39+D39</f>
        <v>182</v>
      </c>
      <c r="G39">
        <v>140</v>
      </c>
      <c r="H39">
        <v>30</v>
      </c>
      <c r="I39">
        <v>5</v>
      </c>
      <c r="P39" s="2551" t="s">
        <v>13530</v>
      </c>
      <c r="Q39" s="2551">
        <v>2</v>
      </c>
      <c r="R39" s="2551">
        <v>2</v>
      </c>
      <c r="S39" s="2551">
        <v>2</v>
      </c>
      <c r="T39" s="2551">
        <v>2</v>
      </c>
      <c r="U39" s="2551"/>
      <c r="V39" s="2551"/>
      <c r="W39" s="2551"/>
      <c r="X39" s="2551"/>
      <c r="Y39" s="2551"/>
      <c r="Z39" s="2551">
        <v>2</v>
      </c>
    </row>
    <row r="40" spans="1:26">
      <c r="P40" s="2551" t="s">
        <v>13502</v>
      </c>
      <c r="Q40" s="2551">
        <v>2</v>
      </c>
      <c r="R40" s="2551">
        <v>2</v>
      </c>
      <c r="S40" s="2551">
        <v>2</v>
      </c>
      <c r="T40" s="2551">
        <v>2</v>
      </c>
      <c r="U40" s="2551"/>
      <c r="V40" s="2551"/>
      <c r="W40" s="2551"/>
      <c r="X40" s="2551"/>
      <c r="Y40" s="2551"/>
      <c r="Z40" s="2551">
        <v>2</v>
      </c>
    </row>
    <row r="41" spans="1:26" ht="16.5">
      <c r="P41" s="2652" t="s">
        <v>13525</v>
      </c>
      <c r="Q41" s="2551"/>
      <c r="R41" s="2551"/>
      <c r="S41" s="2551"/>
      <c r="T41" s="2551"/>
      <c r="U41" s="2551"/>
      <c r="V41" s="2551"/>
      <c r="W41" s="2551"/>
      <c r="X41" s="2551"/>
      <c r="Y41" s="2551"/>
      <c r="Z41" s="2551"/>
    </row>
    <row r="42" spans="1:26">
      <c r="P42" s="2551" t="s">
        <v>13504</v>
      </c>
      <c r="Q42" s="2551">
        <v>2</v>
      </c>
      <c r="R42" s="2551">
        <v>2</v>
      </c>
      <c r="S42" s="2551">
        <v>2</v>
      </c>
      <c r="T42" s="2551">
        <v>2</v>
      </c>
      <c r="U42" s="2551"/>
      <c r="V42" s="2551"/>
      <c r="W42" s="2551"/>
      <c r="X42" s="2551"/>
      <c r="Y42" s="2551"/>
      <c r="Z42" s="2551">
        <v>2</v>
      </c>
    </row>
    <row r="43" spans="1:26">
      <c r="P43" s="2551" t="s">
        <v>10080</v>
      </c>
      <c r="Q43" s="2551">
        <v>3</v>
      </c>
      <c r="R43" s="2551">
        <v>2</v>
      </c>
      <c r="S43" s="2551">
        <v>2</v>
      </c>
      <c r="T43" s="2551">
        <v>2</v>
      </c>
      <c r="U43" s="2551"/>
      <c r="V43" s="2551"/>
      <c r="W43" s="2551"/>
      <c r="X43" s="2551"/>
      <c r="Y43" s="2551"/>
      <c r="Z43" s="2551">
        <v>2</v>
      </c>
    </row>
    <row r="44" spans="1:26">
      <c r="P44" s="2551" t="s">
        <v>13509</v>
      </c>
      <c r="Q44" s="2551">
        <v>2</v>
      </c>
      <c r="R44" s="2551">
        <v>2</v>
      </c>
      <c r="S44" s="2551">
        <v>2</v>
      </c>
      <c r="T44" s="2551">
        <v>2</v>
      </c>
      <c r="U44" s="2551"/>
      <c r="V44" s="2551"/>
      <c r="W44" s="2551"/>
      <c r="X44" s="2551"/>
      <c r="Y44" s="2551"/>
      <c r="Z44" s="2551">
        <v>2</v>
      </c>
    </row>
    <row r="45" spans="1:26">
      <c r="P45" s="2551" t="s">
        <v>13511</v>
      </c>
      <c r="Q45" s="2551">
        <v>2</v>
      </c>
      <c r="R45" s="2551">
        <v>2</v>
      </c>
      <c r="S45" s="2551">
        <v>2</v>
      </c>
      <c r="T45" s="2551">
        <v>2</v>
      </c>
      <c r="U45" s="2551"/>
      <c r="V45" s="2551"/>
      <c r="W45" s="2551"/>
      <c r="X45" s="2551"/>
      <c r="Y45" s="2551"/>
      <c r="Z45" s="2551">
        <v>2</v>
      </c>
    </row>
    <row r="46" spans="1:26">
      <c r="P46" s="2551" t="s">
        <v>12252</v>
      </c>
      <c r="Q46" s="2551">
        <v>2</v>
      </c>
      <c r="R46" s="2551">
        <v>2</v>
      </c>
      <c r="S46" s="2551">
        <v>2</v>
      </c>
      <c r="T46" s="2551">
        <v>2</v>
      </c>
      <c r="U46" s="2551"/>
      <c r="V46" s="2551"/>
      <c r="W46" s="2551"/>
      <c r="X46" s="2551"/>
      <c r="Y46" s="2551"/>
      <c r="Z46" s="2551">
        <v>2</v>
      </c>
    </row>
    <row r="47" spans="1:26" s="1" customFormat="1">
      <c r="P47" s="2551" t="s">
        <v>13531</v>
      </c>
      <c r="Q47" s="2551">
        <v>62</v>
      </c>
      <c r="R47" s="2551">
        <v>56</v>
      </c>
      <c r="S47" s="2551">
        <v>52</v>
      </c>
      <c r="T47" s="2551">
        <v>40</v>
      </c>
      <c r="U47" s="2551"/>
      <c r="V47" s="2551"/>
      <c r="W47" s="2551"/>
      <c r="X47" s="2551"/>
      <c r="Y47" s="2551"/>
      <c r="Z47" s="2551">
        <v>40</v>
      </c>
    </row>
    <row r="48" spans="1:26">
      <c r="P48" s="2551" t="s">
        <v>13532</v>
      </c>
      <c r="Q48" s="2551">
        <v>250</v>
      </c>
      <c r="R48" s="2551">
        <v>234</v>
      </c>
      <c r="S48" s="2551">
        <v>215</v>
      </c>
      <c r="T48" s="2551">
        <v>168</v>
      </c>
      <c r="U48" s="2551"/>
      <c r="V48" s="2551"/>
      <c r="W48" s="2551"/>
      <c r="X48" s="2551"/>
      <c r="Y48" s="2551"/>
      <c r="Z48" s="2551">
        <v>168</v>
      </c>
    </row>
    <row r="49" spans="2:26" ht="18.75">
      <c r="P49" s="2653" t="s">
        <v>13533</v>
      </c>
      <c r="Q49" s="2551">
        <f>SUM(Q31:Q34)+SUM(Q36:Q40)+SUM(Q42:Q48)</f>
        <v>350</v>
      </c>
      <c r="R49" s="2551">
        <f t="shared" ref="R49:Y49" si="1">SUM(R31:R34)+SUM(R36:R40)+SUM(R42:R48)</f>
        <v>325</v>
      </c>
      <c r="S49" s="2551">
        <f t="shared" si="1"/>
        <v>300</v>
      </c>
      <c r="T49" s="2551">
        <f t="shared" si="1"/>
        <v>240</v>
      </c>
      <c r="U49" s="2551">
        <f t="shared" si="1"/>
        <v>2</v>
      </c>
      <c r="V49" s="2551">
        <f t="shared" si="1"/>
        <v>1</v>
      </c>
      <c r="W49" s="2551">
        <f t="shared" si="1"/>
        <v>1</v>
      </c>
      <c r="X49" s="2551">
        <f t="shared" si="1"/>
        <v>0</v>
      </c>
      <c r="Y49" s="2551">
        <f t="shared" si="1"/>
        <v>0</v>
      </c>
      <c r="Z49" s="2551">
        <f t="shared" ref="Z49" si="2">SUM(Z31:Z34)+SUM(Z36:Z40)+SUM(Z42:Z48)</f>
        <v>240</v>
      </c>
    </row>
    <row r="50" spans="2:26" ht="18.75">
      <c r="P50" s="2653" t="s">
        <v>13534</v>
      </c>
      <c r="Q50" s="2551">
        <v>73</v>
      </c>
      <c r="R50" s="2551">
        <v>63</v>
      </c>
      <c r="S50" s="2551">
        <v>63</v>
      </c>
      <c r="T50" s="2551">
        <v>32</v>
      </c>
      <c r="U50" s="2551">
        <v>32</v>
      </c>
      <c r="V50" s="2551">
        <v>11</v>
      </c>
      <c r="W50" s="2551">
        <v>11</v>
      </c>
      <c r="X50" s="2551">
        <v>11</v>
      </c>
      <c r="Y50" s="2551">
        <v>22</v>
      </c>
      <c r="Z50" s="2551">
        <v>32</v>
      </c>
    </row>
    <row r="51" spans="2:26" ht="24">
      <c r="P51" s="2654" t="s">
        <v>13535</v>
      </c>
      <c r="Q51" s="2551">
        <f>Q49+Q50</f>
        <v>423</v>
      </c>
      <c r="R51" s="2551">
        <f t="shared" ref="R51:Y51" si="3">R49+R50</f>
        <v>388</v>
      </c>
      <c r="S51" s="2551">
        <f t="shared" si="3"/>
        <v>363</v>
      </c>
      <c r="T51" s="2551">
        <f t="shared" si="3"/>
        <v>272</v>
      </c>
      <c r="U51" s="2551">
        <f t="shared" si="3"/>
        <v>34</v>
      </c>
      <c r="V51" s="2551">
        <f t="shared" si="3"/>
        <v>12</v>
      </c>
      <c r="W51" s="2551">
        <f t="shared" si="3"/>
        <v>12</v>
      </c>
      <c r="X51" s="2551">
        <f t="shared" si="3"/>
        <v>11</v>
      </c>
      <c r="Y51" s="2551">
        <f t="shared" si="3"/>
        <v>22</v>
      </c>
      <c r="Z51" s="2551">
        <f t="shared" ref="Z51" si="4">Z49+Z50</f>
        <v>272</v>
      </c>
    </row>
    <row r="52" spans="2:26">
      <c r="Q52" s="1"/>
      <c r="R52" s="1"/>
      <c r="S52" s="1"/>
      <c r="T52" s="1"/>
      <c r="U52" s="1"/>
    </row>
    <row r="53" spans="2:26">
      <c r="Q53" s="1"/>
      <c r="R53" s="1"/>
      <c r="S53" s="1"/>
      <c r="T53" s="1"/>
      <c r="U53" s="1"/>
    </row>
    <row r="54" spans="2:26">
      <c r="Q54" s="1"/>
      <c r="R54" s="1"/>
      <c r="S54" s="1"/>
      <c r="T54" s="1"/>
      <c r="U54" s="1"/>
    </row>
    <row r="55" spans="2:26">
      <c r="Q55" s="1"/>
      <c r="R55" s="1"/>
      <c r="S55" s="1"/>
      <c r="T55" s="1"/>
      <c r="U55" s="1"/>
    </row>
    <row r="56" spans="2:26">
      <c r="M56" s="1"/>
      <c r="N56" s="1"/>
      <c r="O56" s="1"/>
      <c r="P56" s="1"/>
      <c r="Q56" s="1"/>
      <c r="R56" s="1"/>
      <c r="S56" s="1"/>
      <c r="T56" s="1"/>
      <c r="U56" s="1"/>
    </row>
    <row r="57" spans="2:26">
      <c r="M57" s="1"/>
      <c r="N57" s="1"/>
      <c r="O57" s="1"/>
      <c r="P57" s="1"/>
      <c r="Q57" s="1"/>
      <c r="R57" s="1"/>
      <c r="S57" s="1"/>
      <c r="T57" s="1"/>
      <c r="U57" s="1"/>
    </row>
    <row r="58" spans="2:26">
      <c r="B58" t="s">
        <v>772</v>
      </c>
      <c r="C58" t="s">
        <v>14552</v>
      </c>
      <c r="D58" s="1" t="s">
        <v>14553</v>
      </c>
      <c r="E58" t="s">
        <v>5755</v>
      </c>
      <c r="F58" t="s">
        <v>13568</v>
      </c>
      <c r="G58" t="s">
        <v>13569</v>
      </c>
      <c r="I58" t="s">
        <v>14555</v>
      </c>
      <c r="J58" t="s">
        <v>13519</v>
      </c>
      <c r="K58" t="s">
        <v>2068</v>
      </c>
      <c r="L58" t="s">
        <v>14728</v>
      </c>
      <c r="O58" s="1"/>
      <c r="P58" s="1"/>
      <c r="Q58" s="1"/>
      <c r="R58" s="1"/>
      <c r="S58" s="1"/>
      <c r="T58" s="1"/>
      <c r="U58" s="1"/>
      <c r="V58" s="1"/>
    </row>
    <row r="59" spans="2:26">
      <c r="B59" t="s">
        <v>13549</v>
      </c>
      <c r="C59" t="s">
        <v>13541</v>
      </c>
      <c r="D59" s="1" t="s">
        <v>14717</v>
      </c>
      <c r="E59" t="s">
        <v>13550</v>
      </c>
      <c r="F59" t="s">
        <v>14718</v>
      </c>
      <c r="G59" t="s">
        <v>415</v>
      </c>
      <c r="I59" t="s">
        <v>415</v>
      </c>
      <c r="O59" s="1"/>
      <c r="P59" s="1"/>
      <c r="Q59" s="1"/>
      <c r="R59" s="1"/>
      <c r="S59" s="1"/>
      <c r="T59" s="1"/>
      <c r="U59" s="1"/>
      <c r="V59" s="1"/>
    </row>
    <row r="60" spans="2:26">
      <c r="B60" t="s">
        <v>2488</v>
      </c>
      <c r="C60" t="s">
        <v>13537</v>
      </c>
      <c r="D60" s="1" t="s">
        <v>14717</v>
      </c>
      <c r="E60" t="s">
        <v>13551</v>
      </c>
      <c r="F60">
        <v>1</v>
      </c>
      <c r="G60" t="s">
        <v>415</v>
      </c>
      <c r="I60" t="s">
        <v>307</v>
      </c>
      <c r="O60" s="1"/>
      <c r="P60" s="1"/>
      <c r="Q60" s="1"/>
      <c r="R60" s="1"/>
      <c r="S60" s="1"/>
      <c r="T60" s="1"/>
      <c r="U60" s="1"/>
      <c r="V60" s="1"/>
    </row>
    <row r="61" spans="2:26">
      <c r="B61" t="s">
        <v>13552</v>
      </c>
      <c r="C61" t="s">
        <v>13540</v>
      </c>
      <c r="D61" s="1" t="s">
        <v>14717</v>
      </c>
      <c r="E61" t="s">
        <v>13553</v>
      </c>
      <c r="F61">
        <v>1</v>
      </c>
      <c r="G61" t="s">
        <v>415</v>
      </c>
      <c r="I61" t="s">
        <v>89</v>
      </c>
      <c r="K61" t="s">
        <v>14638</v>
      </c>
      <c r="O61" s="1"/>
      <c r="Q61" s="1"/>
      <c r="R61" s="1"/>
      <c r="S61" s="1"/>
      <c r="T61" s="1"/>
      <c r="U61" s="1"/>
      <c r="V61" s="1"/>
    </row>
    <row r="62" spans="2:26">
      <c r="B62" t="s">
        <v>13554</v>
      </c>
      <c r="C62" t="s">
        <v>14495</v>
      </c>
      <c r="D62" s="1" t="s">
        <v>14717</v>
      </c>
      <c r="E62" t="s">
        <v>13555</v>
      </c>
      <c r="F62">
        <v>1</v>
      </c>
      <c r="G62" t="s">
        <v>415</v>
      </c>
      <c r="I62" s="1" t="s">
        <v>14598</v>
      </c>
      <c r="N62" s="1"/>
      <c r="O62" s="1"/>
      <c r="Q62" s="1"/>
      <c r="R62" s="1"/>
      <c r="S62" s="1"/>
      <c r="T62" s="1"/>
      <c r="U62" s="1"/>
      <c r="V62" s="1"/>
    </row>
    <row r="63" spans="2:26">
      <c r="B63" t="s">
        <v>13556</v>
      </c>
      <c r="C63" t="s">
        <v>13542</v>
      </c>
      <c r="D63" s="1" t="s">
        <v>13546</v>
      </c>
      <c r="E63" t="s">
        <v>13555</v>
      </c>
      <c r="F63">
        <v>1</v>
      </c>
      <c r="G63" t="s">
        <v>415</v>
      </c>
    </row>
    <row r="64" spans="2:26">
      <c r="B64" t="s">
        <v>13557</v>
      </c>
      <c r="C64" t="s">
        <v>13544</v>
      </c>
      <c r="D64" s="1" t="s">
        <v>13546</v>
      </c>
      <c r="E64" t="s">
        <v>13558</v>
      </c>
      <c r="F64">
        <v>1</v>
      </c>
      <c r="G64" t="s">
        <v>415</v>
      </c>
    </row>
    <row r="65" spans="2:20">
      <c r="B65" t="s">
        <v>13559</v>
      </c>
      <c r="C65" t="s">
        <v>13538</v>
      </c>
      <c r="D65" s="1" t="s">
        <v>14717</v>
      </c>
      <c r="F65">
        <v>2</v>
      </c>
      <c r="G65" t="s">
        <v>415</v>
      </c>
      <c r="I65" s="2659" t="s">
        <v>14557</v>
      </c>
      <c r="J65" s="2659" t="s">
        <v>14552</v>
      </c>
      <c r="K65" s="2659" t="s">
        <v>10914</v>
      </c>
      <c r="L65" s="2659" t="s">
        <v>13533</v>
      </c>
      <c r="M65" s="2659" t="s">
        <v>13548</v>
      </c>
      <c r="N65" s="2659" t="s">
        <v>6088</v>
      </c>
      <c r="P65" s="2659" t="s">
        <v>13568</v>
      </c>
      <c r="Q65" s="2659" t="s">
        <v>6088</v>
      </c>
      <c r="R65" s="2659" t="s">
        <v>14717</v>
      </c>
      <c r="S65" s="2659" t="s">
        <v>13546</v>
      </c>
      <c r="T65" s="2659" t="s">
        <v>13519</v>
      </c>
    </row>
    <row r="66" spans="2:20">
      <c r="B66" t="s">
        <v>13560</v>
      </c>
      <c r="C66" t="s">
        <v>13540</v>
      </c>
      <c r="D66" s="1" t="s">
        <v>14717</v>
      </c>
      <c r="E66" t="s">
        <v>13558</v>
      </c>
      <c r="F66">
        <v>2</v>
      </c>
      <c r="G66" t="s">
        <v>415</v>
      </c>
      <c r="I66" s="2551" t="s">
        <v>13547</v>
      </c>
      <c r="J66" s="2551" t="s">
        <v>13541</v>
      </c>
      <c r="K66" s="2551">
        <f>COUNTIF(Таблиця238[Ship Class],J66)</f>
        <v>1</v>
      </c>
      <c r="L66" s="2551">
        <f>INDEX(Таблиця261[Total Crew],MATCH($J66,Таблиця261[Ship Class],0),1)*K66</f>
        <v>350</v>
      </c>
      <c r="M66" s="2551">
        <f>INDEX(Таблиця261[Total Marines],MATCH($J66,Таблиця261[Ship Class],0),1)*K66</f>
        <v>73</v>
      </c>
      <c r="N66" s="2551">
        <f>SUM(L66:M66)</f>
        <v>423</v>
      </c>
      <c r="P66" s="2651" t="s">
        <v>14718</v>
      </c>
      <c r="Q66" s="2551">
        <f>COUNTIF(Таблиця238[Squadron],P66)</f>
        <v>1</v>
      </c>
      <c r="R66" s="2551">
        <f>COUNTIFS(Таблиця238[Squadron],$P66,Таблиця238[Ship Type],R$65)</f>
        <v>1</v>
      </c>
      <c r="S66" s="2551">
        <f>COUNTIFS(Таблиця238[Squadron],$P66,Таблиця238[Ship Type],S$65)</f>
        <v>0</v>
      </c>
      <c r="T66" s="2551"/>
    </row>
    <row r="67" spans="2:20">
      <c r="B67" t="s">
        <v>13561</v>
      </c>
      <c r="C67" t="s">
        <v>14496</v>
      </c>
      <c r="D67" s="1" t="s">
        <v>13546</v>
      </c>
      <c r="E67" t="s">
        <v>13551</v>
      </c>
      <c r="F67">
        <v>2</v>
      </c>
      <c r="G67" t="s">
        <v>415</v>
      </c>
      <c r="I67" s="2551" t="s">
        <v>13547</v>
      </c>
      <c r="J67" s="2551" t="s">
        <v>13537</v>
      </c>
      <c r="K67" s="2551">
        <f>COUNTIF(Таблиця238[Ship Class],J67)</f>
        <v>2</v>
      </c>
      <c r="L67" s="2551">
        <f>INDEX(Таблиця261[Total Crew],MATCH($J67,Таблиця261[Ship Class],0),1)*K67</f>
        <v>650</v>
      </c>
      <c r="M67" s="2551">
        <f>INDEX(Таблиця261[Total Marines],MATCH($J67,Таблиця261[Ship Class],0),1)*K67</f>
        <v>126</v>
      </c>
      <c r="N67" s="2551">
        <f t="shared" ref="N67:N70" si="5">SUM(L67:M67)</f>
        <v>776</v>
      </c>
      <c r="P67" s="2551">
        <v>1</v>
      </c>
      <c r="Q67" s="2551">
        <f>COUNTIF(Таблиця238[Squadron],P67)</f>
        <v>5</v>
      </c>
      <c r="R67" s="2551">
        <f>COUNTIFS(Таблиця238[Squadron],$P67,Таблиця238[Ship Type],R$65)</f>
        <v>3</v>
      </c>
      <c r="S67" s="2551">
        <f>COUNTIFS(Таблиця238[Squadron],$P67,Таблиця238[Ship Type],S$65)</f>
        <v>2</v>
      </c>
      <c r="T67" s="2551"/>
    </row>
    <row r="68" spans="2:20">
      <c r="B68" t="s">
        <v>13562</v>
      </c>
      <c r="C68" t="s">
        <v>14496</v>
      </c>
      <c r="D68" s="1" t="s">
        <v>13546</v>
      </c>
      <c r="E68" t="s">
        <v>13558</v>
      </c>
      <c r="F68">
        <v>2</v>
      </c>
      <c r="G68" t="s">
        <v>415</v>
      </c>
      <c r="I68" s="2551" t="s">
        <v>13547</v>
      </c>
      <c r="J68" s="2551" t="s">
        <v>13538</v>
      </c>
      <c r="K68" s="2551">
        <f>COUNTIF(Таблиця238[Ship Class],J68)</f>
        <v>6</v>
      </c>
      <c r="L68" s="2551">
        <f>INDEX(Таблиця261[Total Crew],MATCH($J68,Таблиця261[Ship Class],0),1)*K68</f>
        <v>1800</v>
      </c>
      <c r="M68" s="2551">
        <f>INDEX(Таблиця261[Total Marines],MATCH($J68,Таблиця261[Ship Class],0),1)*K68</f>
        <v>378</v>
      </c>
      <c r="N68" s="2551">
        <f t="shared" si="5"/>
        <v>2178</v>
      </c>
      <c r="P68" s="2551">
        <v>2</v>
      </c>
      <c r="Q68" s="2551">
        <f>COUNTIF(Таблиця238[Squadron],P68)</f>
        <v>4</v>
      </c>
      <c r="R68" s="2551">
        <f>COUNTIFS(Таблиця238[Squadron],$P68,Таблиця238[Ship Type],R$65)</f>
        <v>2</v>
      </c>
      <c r="S68" s="2551">
        <f>COUNTIFS(Таблиця238[Squadron],$P68,Таблиця238[Ship Type],S$65)</f>
        <v>2</v>
      </c>
      <c r="T68" s="2551"/>
    </row>
    <row r="69" spans="2:20">
      <c r="B69" t="s">
        <v>13563</v>
      </c>
      <c r="C69" t="s">
        <v>13540</v>
      </c>
      <c r="D69" s="1" t="s">
        <v>14717</v>
      </c>
      <c r="F69">
        <v>3</v>
      </c>
      <c r="G69" t="s">
        <v>415</v>
      </c>
      <c r="I69" s="2551" t="s">
        <v>13547</v>
      </c>
      <c r="J69" s="2551" t="s">
        <v>13539</v>
      </c>
      <c r="K69" s="2551">
        <f>COUNTIF(Таблиця238[Ship Class],J69)</f>
        <v>2</v>
      </c>
      <c r="L69" s="2551">
        <f>INDEX(Таблиця261[Total Crew],MATCH($J69,Таблиця261[Ship Class],0),1)*K69</f>
        <v>480</v>
      </c>
      <c r="M69" s="2551">
        <f>INDEX(Таблиця261[Total Marines],MATCH($J69,Таблиця261[Ship Class],0),1)*K69</f>
        <v>64</v>
      </c>
      <c r="N69" s="2551">
        <f t="shared" si="5"/>
        <v>544</v>
      </c>
      <c r="P69" s="2551">
        <v>3</v>
      </c>
      <c r="Q69" s="2551">
        <f>COUNTIF(Таблиця238[Squadron],P69)</f>
        <v>4</v>
      </c>
      <c r="R69" s="2551">
        <f>COUNTIFS(Таблиця238[Squadron],$P69,Таблиця238[Ship Type],R$65)</f>
        <v>2</v>
      </c>
      <c r="S69" s="2551">
        <f>COUNTIFS(Таблиця238[Squadron],$P69,Таблиця238[Ship Type],S$65)</f>
        <v>2</v>
      </c>
      <c r="T69" s="2551"/>
    </row>
    <row r="70" spans="2:20" ht="17.25" thickBot="1">
      <c r="B70" t="s">
        <v>13564</v>
      </c>
      <c r="C70" t="s">
        <v>13540</v>
      </c>
      <c r="D70" s="1" t="s">
        <v>14717</v>
      </c>
      <c r="E70" t="s">
        <v>13565</v>
      </c>
      <c r="F70">
        <v>3</v>
      </c>
      <c r="G70" t="s">
        <v>415</v>
      </c>
      <c r="I70" s="2551" t="s">
        <v>13547</v>
      </c>
      <c r="J70" s="2551" t="s">
        <v>13540</v>
      </c>
      <c r="K70" s="2551">
        <f>COUNTIF(Таблиця238[Ship Class],J70)</f>
        <v>4</v>
      </c>
      <c r="L70" s="2551">
        <f>INDEX(Таблиця261[Total Crew],MATCH($J70,Таблиця261[Ship Class],0),1)*K70</f>
        <v>600</v>
      </c>
      <c r="M70" s="2551">
        <f>INDEX(Таблиця261[Total Marines],MATCH($J70,Таблиця261[Ship Class],0),1)*K70</f>
        <v>128</v>
      </c>
      <c r="N70" s="2551">
        <f t="shared" si="5"/>
        <v>728</v>
      </c>
      <c r="P70" s="2658" t="s">
        <v>14723</v>
      </c>
      <c r="Q70" s="2671">
        <f>SUM(Q66:Q69)</f>
        <v>14</v>
      </c>
      <c r="R70" s="2671">
        <f t="shared" ref="R70:S70" si="6">SUM(R66:R69)</f>
        <v>8</v>
      </c>
      <c r="S70" s="2671">
        <f t="shared" si="6"/>
        <v>6</v>
      </c>
      <c r="T70" s="2671"/>
    </row>
    <row r="71" spans="2:20" ht="15" thickTop="1">
      <c r="B71" t="s">
        <v>13566</v>
      </c>
      <c r="C71" s="1" t="s">
        <v>14496</v>
      </c>
      <c r="D71" s="1" t="s">
        <v>13546</v>
      </c>
      <c r="E71" t="s">
        <v>13550</v>
      </c>
      <c r="F71">
        <v>3</v>
      </c>
      <c r="G71" t="s">
        <v>415</v>
      </c>
      <c r="I71" s="2551" t="s">
        <v>13547</v>
      </c>
      <c r="J71" s="2670" t="s">
        <v>14716</v>
      </c>
      <c r="K71" s="2551">
        <f>COUNTIF(Таблиця238[Ship Class],J71)</f>
        <v>5</v>
      </c>
      <c r="L71" s="2551">
        <f>INDEX(Таблиця261[Total Crew],MATCH($J71,Таблиця261[Ship Class],0),1)*K71</f>
        <v>750</v>
      </c>
      <c r="M71" s="2551">
        <f>INDEX(Таблиця261[Total Marines],MATCH($J71,Таблиця261[Ship Class],0),1)*K71</f>
        <v>160</v>
      </c>
      <c r="N71" s="2551">
        <f t="shared" ref="N71" si="7">SUM(L71:M71)</f>
        <v>910</v>
      </c>
      <c r="P71" s="2551">
        <v>4</v>
      </c>
      <c r="Q71" s="2551">
        <f>COUNTIF(Таблиця238[Squadron],P71)</f>
        <v>5</v>
      </c>
      <c r="R71" s="2551">
        <f>COUNTIFS(Таблиця238[Squadron],$P71,Таблиця238[Ship Type],R$65)</f>
        <v>2</v>
      </c>
      <c r="S71" s="2551">
        <f>COUNTIFS(Таблиця238[Squadron],$P71,Таблиця238[Ship Type],S$65)</f>
        <v>3</v>
      </c>
      <c r="T71" s="2551"/>
    </row>
    <row r="72" spans="2:20" ht="17.25" thickBot="1">
      <c r="B72" t="s">
        <v>13567</v>
      </c>
      <c r="C72" s="1" t="s">
        <v>14496</v>
      </c>
      <c r="D72" s="1" t="s">
        <v>13546</v>
      </c>
      <c r="E72" t="s">
        <v>13558</v>
      </c>
      <c r="F72">
        <v>3</v>
      </c>
      <c r="G72" t="s">
        <v>415</v>
      </c>
      <c r="I72" s="2658" t="s">
        <v>13547</v>
      </c>
      <c r="J72" s="2658" t="s">
        <v>6088</v>
      </c>
      <c r="K72" s="2658">
        <f>SUM(K66:K71)</f>
        <v>20</v>
      </c>
      <c r="L72" s="2658">
        <f>SUM(L66:L70)</f>
        <v>3880</v>
      </c>
      <c r="M72" s="2658">
        <f>SUM(M66:M70)</f>
        <v>769</v>
      </c>
      <c r="N72" s="2658">
        <f>SUM(N66:N70)</f>
        <v>4649</v>
      </c>
      <c r="P72" s="2551">
        <v>5</v>
      </c>
      <c r="Q72" s="2551">
        <f>COUNTIF(Таблиця238[Squadron],P72)</f>
        <v>5</v>
      </c>
      <c r="R72" s="2551">
        <f>COUNTIFS(Таблиця238[Squadron],$P72,Таблиця238[Ship Type],R$65)</f>
        <v>2</v>
      </c>
      <c r="S72" s="2551">
        <f>COUNTIFS(Таблиця238[Squadron],$P72,Таблиця238[Ship Type],S$65)</f>
        <v>3</v>
      </c>
      <c r="T72" s="2551"/>
    </row>
    <row r="73" spans="2:20" ht="15" thickTop="1">
      <c r="B73" t="s">
        <v>13570</v>
      </c>
      <c r="C73" s="1" t="s">
        <v>13538</v>
      </c>
      <c r="D73" s="1" t="s">
        <v>14717</v>
      </c>
      <c r="E73" t="s">
        <v>13555</v>
      </c>
      <c r="F73">
        <v>4</v>
      </c>
      <c r="G73" t="s">
        <v>307</v>
      </c>
      <c r="I73" s="2551" t="s">
        <v>13546</v>
      </c>
      <c r="J73" s="2551" t="s">
        <v>13542</v>
      </c>
      <c r="K73" s="2551">
        <f>COUNTIF(Таблиця238[Ship Class],J73)</f>
        <v>11</v>
      </c>
      <c r="L73" s="2551">
        <f>INDEX(Таблиця261[Total Crew],MATCH($J73,Таблиця261[Ship Class],0),1)*K73</f>
        <v>440</v>
      </c>
      <c r="M73" s="2551">
        <f>INDEX(Таблиця261[Total Marines],MATCH($J73,Таблиця261[Ship Class],0),1)*K73</f>
        <v>121</v>
      </c>
      <c r="N73" s="2551">
        <f>SUM(L73:M73)</f>
        <v>561</v>
      </c>
      <c r="P73" s="2651" t="s">
        <v>13584</v>
      </c>
      <c r="Q73" s="2551">
        <f>COUNTIF(Таблиця238[Squadron],P73)</f>
        <v>4</v>
      </c>
      <c r="R73" s="2551">
        <f>COUNTIFS(Таблиця238[Squadron],$P73,Таблиця238[Ship Type],R$65)</f>
        <v>0</v>
      </c>
      <c r="S73" s="2551">
        <f>COUNTIFS(Таблиця238[Squadron],$P73,Таблиця238[Ship Type],S$65)</f>
        <v>4</v>
      </c>
      <c r="T73" s="2551"/>
    </row>
    <row r="74" spans="2:20" ht="17.25" thickBot="1">
      <c r="B74" t="s">
        <v>13571</v>
      </c>
      <c r="C74" s="1" t="s">
        <v>13538</v>
      </c>
      <c r="D74" s="1" t="s">
        <v>14717</v>
      </c>
      <c r="E74" t="s">
        <v>13558</v>
      </c>
      <c r="F74">
        <v>4</v>
      </c>
      <c r="G74" t="s">
        <v>307</v>
      </c>
      <c r="I74" s="2551" t="s">
        <v>13546</v>
      </c>
      <c r="J74" s="2551" t="s">
        <v>13543</v>
      </c>
      <c r="K74" s="2551">
        <f>COUNTIF(Таблиця238[Ship Class],J74)</f>
        <v>6</v>
      </c>
      <c r="L74" s="2551">
        <f>INDEX(Таблиця261[Total Crew],MATCH($J74,Таблиця261[Ship Class],0),1)*K74</f>
        <v>300</v>
      </c>
      <c r="M74" s="2551">
        <f>INDEX(Таблиця261[Total Marines],MATCH($J74,Таблиця261[Ship Class],0),1)*K74</f>
        <v>66</v>
      </c>
      <c r="N74" s="2551">
        <f>SUM(L74:M74)</f>
        <v>366</v>
      </c>
      <c r="P74" s="2658" t="s">
        <v>14724</v>
      </c>
      <c r="Q74" s="2671">
        <f>SUM(Q71:Q73)</f>
        <v>14</v>
      </c>
      <c r="R74" s="2671">
        <f t="shared" ref="R74:S74" si="8">SUM(R71:R73)</f>
        <v>4</v>
      </c>
      <c r="S74" s="2671">
        <f t="shared" si="8"/>
        <v>10</v>
      </c>
      <c r="T74" s="2671"/>
    </row>
    <row r="75" spans="2:20" ht="15" thickTop="1">
      <c r="B75" t="s">
        <v>13572</v>
      </c>
      <c r="C75" s="1" t="s">
        <v>13542</v>
      </c>
      <c r="D75" s="1" t="s">
        <v>13546</v>
      </c>
      <c r="E75" t="s">
        <v>13573</v>
      </c>
      <c r="F75">
        <v>4</v>
      </c>
      <c r="G75" t="s">
        <v>307</v>
      </c>
      <c r="I75" s="2551" t="s">
        <v>13546</v>
      </c>
      <c r="J75" s="2551" t="s">
        <v>13544</v>
      </c>
      <c r="K75" s="2551">
        <f>COUNTIF(Таблиця238[Ship Class],J75)</f>
        <v>2</v>
      </c>
      <c r="L75" s="2551">
        <f>INDEX(Таблиця261[Total Crew],MATCH($J75,Таблиця261[Ship Class],0),1)*K75</f>
        <v>180</v>
      </c>
      <c r="M75" s="2551">
        <f>INDEX(Таблиця261[Total Marines],MATCH($J75,Таблиця261[Ship Class],0),1)*K75</f>
        <v>22</v>
      </c>
      <c r="N75" s="2551">
        <f>SUM(L75:M75)</f>
        <v>202</v>
      </c>
      <c r="P75" s="2551">
        <v>6</v>
      </c>
      <c r="Q75" s="2551">
        <f>COUNTIF(Таблиця238[Squadron],P75)</f>
        <v>5</v>
      </c>
      <c r="R75" s="2551">
        <f>COUNTIFS(Таблиця238[Squadron],$P75,Таблиця238[Ship Type],R$65)</f>
        <v>4</v>
      </c>
      <c r="S75" s="2551">
        <f>COUNTIFS(Таблиця238[Squadron],$P75,Таблиця238[Ship Type],S$65)</f>
        <v>1</v>
      </c>
      <c r="T75" s="2551"/>
    </row>
    <row r="76" spans="2:20">
      <c r="B76" t="s">
        <v>14721</v>
      </c>
      <c r="C76" t="s">
        <v>13544</v>
      </c>
      <c r="D76" s="1" t="s">
        <v>13546</v>
      </c>
      <c r="E76" t="s">
        <v>13555</v>
      </c>
      <c r="F76">
        <v>4</v>
      </c>
      <c r="G76" t="s">
        <v>307</v>
      </c>
      <c r="I76" s="2551" t="s">
        <v>13546</v>
      </c>
      <c r="J76" s="2551" t="s">
        <v>13545</v>
      </c>
      <c r="K76" s="2551">
        <f>COUNTIF(Таблиця238[Ship Class],J76)</f>
        <v>4</v>
      </c>
      <c r="L76" s="2551">
        <f>INDEX(Таблиця261[Total Crew],MATCH($J76,Таблиця261[Ship Class],0),1)*K76</f>
        <v>400</v>
      </c>
      <c r="M76" s="2551">
        <f>INDEX(Таблиця261[Total Marines],MATCH($J76,Таблиця261[Ship Class],0),1)*K76</f>
        <v>88</v>
      </c>
      <c r="N76" s="2551">
        <f>SUM(L76:M76)</f>
        <v>488</v>
      </c>
      <c r="P76" s="2551">
        <v>7</v>
      </c>
      <c r="Q76" s="2551">
        <f>COUNTIF(Таблиця238[Squadron],P76)</f>
        <v>5</v>
      </c>
      <c r="R76" s="2551">
        <f>COUNTIFS(Таблиця238[Squadron],$P76,Таблиця238[Ship Type],R$65)</f>
        <v>3</v>
      </c>
      <c r="S76" s="2551">
        <f>COUNTIFS(Таблиця238[Squadron],$P76,Таблиця238[Ship Type],S$65)</f>
        <v>2</v>
      </c>
      <c r="T76" s="2551"/>
    </row>
    <row r="77" spans="2:20" ht="17.25" thickBot="1">
      <c r="B77" t="s">
        <v>13574</v>
      </c>
      <c r="C77" s="1" t="s">
        <v>13538</v>
      </c>
      <c r="D77" s="1" t="s">
        <v>14717</v>
      </c>
      <c r="E77" t="s">
        <v>13558</v>
      </c>
      <c r="F77">
        <v>5</v>
      </c>
      <c r="G77" t="s">
        <v>307</v>
      </c>
      <c r="I77" s="2658" t="s">
        <v>13546</v>
      </c>
      <c r="J77" s="2658" t="s">
        <v>6088</v>
      </c>
      <c r="K77" s="2658">
        <f>SUM(K73:K76)</f>
        <v>23</v>
      </c>
      <c r="L77" s="2658">
        <f>SUM(L73:L76)</f>
        <v>1320</v>
      </c>
      <c r="M77" s="2658">
        <f>SUM(M73:M76)</f>
        <v>297</v>
      </c>
      <c r="N77" s="2658">
        <f>SUM(N73:N76)</f>
        <v>1617</v>
      </c>
      <c r="P77" s="2658" t="s">
        <v>14725</v>
      </c>
      <c r="Q77" s="2671">
        <f>SUM(Q75:Q76)</f>
        <v>10</v>
      </c>
      <c r="R77" s="2671">
        <f t="shared" ref="R77:S77" si="9">SUM(R75:R76)</f>
        <v>7</v>
      </c>
      <c r="S77" s="2671">
        <f t="shared" si="9"/>
        <v>3</v>
      </c>
      <c r="T77" s="2671"/>
    </row>
    <row r="78" spans="2:20" ht="18" thickTop="1" thickBot="1">
      <c r="B78" t="s">
        <v>14722</v>
      </c>
      <c r="C78" s="1" t="s">
        <v>13538</v>
      </c>
      <c r="D78" s="1" t="s">
        <v>14717</v>
      </c>
      <c r="E78" t="s">
        <v>13558</v>
      </c>
      <c r="F78">
        <v>5</v>
      </c>
      <c r="G78" t="s">
        <v>307</v>
      </c>
      <c r="I78" s="2658" t="s">
        <v>14556</v>
      </c>
      <c r="J78" s="2658"/>
      <c r="K78" s="2658">
        <f>K72+K77</f>
        <v>43</v>
      </c>
      <c r="L78" s="2658">
        <f>L72+L77</f>
        <v>5200</v>
      </c>
      <c r="M78" s="2658">
        <f>M72+M77</f>
        <v>1066</v>
      </c>
      <c r="N78" s="2658">
        <f>N72+N77</f>
        <v>6266</v>
      </c>
      <c r="P78" s="2551">
        <v>8</v>
      </c>
      <c r="Q78" s="2551">
        <f>COUNTIF(Таблиця238[Squadron],P78)</f>
        <v>5</v>
      </c>
      <c r="R78" s="2551">
        <f>COUNTIFS(Таблиця238[Squadron],$P78,Таблиця238[Ship Type],R$65)</f>
        <v>1</v>
      </c>
      <c r="S78" s="2551">
        <f>COUNTIFS(Таблиця238[Squadron],$P78,Таблиця238[Ship Type],S$65)</f>
        <v>4</v>
      </c>
      <c r="T78" s="2551"/>
    </row>
    <row r="79" spans="2:20" ht="18" thickTop="1" thickBot="1">
      <c r="B79" t="s">
        <v>13575</v>
      </c>
      <c r="C79" s="1" t="s">
        <v>13542</v>
      </c>
      <c r="D79" s="1" t="s">
        <v>13546</v>
      </c>
      <c r="E79" t="s">
        <v>13576</v>
      </c>
      <c r="F79">
        <v>5</v>
      </c>
      <c r="G79" t="s">
        <v>307</v>
      </c>
      <c r="P79" s="2658" t="s">
        <v>14726</v>
      </c>
      <c r="Q79" s="2671">
        <f>SUM(Q78)</f>
        <v>5</v>
      </c>
      <c r="R79" s="2671">
        <f t="shared" ref="R79:S79" si="10">SUM(R78)</f>
        <v>1</v>
      </c>
      <c r="S79" s="2671">
        <f t="shared" si="10"/>
        <v>4</v>
      </c>
      <c r="T79" s="2672" t="s">
        <v>2462</v>
      </c>
    </row>
    <row r="80" spans="2:20" ht="18" thickTop="1" thickBot="1">
      <c r="B80" t="s">
        <v>13577</v>
      </c>
      <c r="C80" s="1" t="s">
        <v>14496</v>
      </c>
      <c r="D80" s="1" t="s">
        <v>13546</v>
      </c>
      <c r="E80" t="s">
        <v>13558</v>
      </c>
      <c r="F80">
        <v>5</v>
      </c>
      <c r="G80" t="s">
        <v>307</v>
      </c>
      <c r="P80" s="2658" t="s">
        <v>6088</v>
      </c>
      <c r="Q80" s="2671">
        <f>Q70+Q74+Q77+Q79</f>
        <v>43</v>
      </c>
      <c r="R80" s="2671">
        <f t="shared" ref="R80:S80" si="11">R70+R74+R77+R79</f>
        <v>20</v>
      </c>
      <c r="S80" s="2671">
        <f t="shared" si="11"/>
        <v>23</v>
      </c>
      <c r="T80" s="2671"/>
    </row>
    <row r="81" spans="2:9" ht="15" thickTop="1">
      <c r="B81" t="s">
        <v>13578</v>
      </c>
      <c r="C81" t="s">
        <v>14497</v>
      </c>
      <c r="D81" s="1" t="s">
        <v>13546</v>
      </c>
      <c r="E81" t="s">
        <v>13573</v>
      </c>
      <c r="F81" t="s">
        <v>13584</v>
      </c>
      <c r="G81" t="s">
        <v>307</v>
      </c>
    </row>
    <row r="82" spans="2:9">
      <c r="B82" t="s">
        <v>13579</v>
      </c>
      <c r="C82" s="1" t="s">
        <v>14497</v>
      </c>
      <c r="D82" s="1" t="s">
        <v>13546</v>
      </c>
      <c r="E82" t="s">
        <v>13580</v>
      </c>
      <c r="F82" t="s">
        <v>13584</v>
      </c>
      <c r="G82" t="s">
        <v>307</v>
      </c>
    </row>
    <row r="83" spans="2:9">
      <c r="B83" t="s">
        <v>13581</v>
      </c>
      <c r="C83" s="1" t="s">
        <v>14497</v>
      </c>
      <c r="D83" s="1" t="s">
        <v>13546</v>
      </c>
      <c r="E83" t="s">
        <v>13582</v>
      </c>
      <c r="F83" t="s">
        <v>13584</v>
      </c>
      <c r="G83" t="s">
        <v>307</v>
      </c>
    </row>
    <row r="84" spans="2:9">
      <c r="B84" t="s">
        <v>13583</v>
      </c>
      <c r="C84" s="1" t="s">
        <v>14497</v>
      </c>
      <c r="D84" s="1" t="s">
        <v>13546</v>
      </c>
      <c r="F84" t="s">
        <v>13584</v>
      </c>
      <c r="G84" t="s">
        <v>307</v>
      </c>
    </row>
    <row r="85" spans="2:9">
      <c r="B85" t="s">
        <v>14493</v>
      </c>
      <c r="C85" s="1" t="s">
        <v>13542</v>
      </c>
      <c r="D85" s="1" t="s">
        <v>13546</v>
      </c>
      <c r="F85">
        <v>4</v>
      </c>
      <c r="G85" t="s">
        <v>307</v>
      </c>
    </row>
    <row r="86" spans="2:9">
      <c r="B86" t="s">
        <v>14494</v>
      </c>
      <c r="C86" s="1" t="s">
        <v>13542</v>
      </c>
      <c r="D86" s="1" t="s">
        <v>13546</v>
      </c>
      <c r="F86">
        <v>5</v>
      </c>
      <c r="G86" t="s">
        <v>307</v>
      </c>
    </row>
    <row r="87" spans="2:9">
      <c r="C87" s="1" t="s">
        <v>13537</v>
      </c>
      <c r="D87" s="1" t="s">
        <v>14717</v>
      </c>
      <c r="F87">
        <v>6</v>
      </c>
      <c r="G87" t="s">
        <v>89</v>
      </c>
    </row>
    <row r="88" spans="2:9">
      <c r="C88" s="1" t="s">
        <v>13538</v>
      </c>
      <c r="D88" s="1" t="s">
        <v>14717</v>
      </c>
      <c r="F88">
        <v>6</v>
      </c>
      <c r="G88" t="s">
        <v>89</v>
      </c>
    </row>
    <row r="89" spans="2:9">
      <c r="C89" t="s">
        <v>14716</v>
      </c>
      <c r="D89" s="1" t="s">
        <v>14717</v>
      </c>
      <c r="F89">
        <v>6</v>
      </c>
      <c r="G89" t="s">
        <v>89</v>
      </c>
    </row>
    <row r="90" spans="2:9" ht="15">
      <c r="C90" s="1" t="s">
        <v>14716</v>
      </c>
      <c r="D90" s="1" t="s">
        <v>14717</v>
      </c>
      <c r="F90">
        <v>6</v>
      </c>
      <c r="G90" s="1" t="s">
        <v>89</v>
      </c>
      <c r="I90" s="2649" t="s">
        <v>14621</v>
      </c>
    </row>
    <row r="91" spans="2:9">
      <c r="C91" s="1" t="s">
        <v>13542</v>
      </c>
      <c r="D91" s="1" t="s">
        <v>13546</v>
      </c>
      <c r="F91">
        <v>6</v>
      </c>
      <c r="G91" s="1" t="s">
        <v>89</v>
      </c>
      <c r="I91" s="2649" t="s">
        <v>14622</v>
      </c>
    </row>
    <row r="92" spans="2:9">
      <c r="C92" s="1" t="s">
        <v>13542</v>
      </c>
      <c r="D92" s="1" t="s">
        <v>13546</v>
      </c>
      <c r="F92">
        <v>7</v>
      </c>
      <c r="G92" s="1" t="s">
        <v>89</v>
      </c>
      <c r="I92" s="2649" t="s">
        <v>14623</v>
      </c>
    </row>
    <row r="93" spans="2:9">
      <c r="B93" t="s">
        <v>14719</v>
      </c>
      <c r="C93" s="1" t="s">
        <v>14496</v>
      </c>
      <c r="D93" s="1" t="s">
        <v>13546</v>
      </c>
      <c r="F93">
        <v>7</v>
      </c>
      <c r="G93" s="1" t="s">
        <v>89</v>
      </c>
      <c r="I93" s="2662" t="s">
        <v>14624</v>
      </c>
    </row>
    <row r="94" spans="2:9">
      <c r="C94" s="1" t="s">
        <v>14495</v>
      </c>
      <c r="D94" s="1" t="s">
        <v>14717</v>
      </c>
      <c r="F94" s="1">
        <v>7</v>
      </c>
      <c r="G94" s="1" t="s">
        <v>89</v>
      </c>
      <c r="I94" t="s">
        <v>14625</v>
      </c>
    </row>
    <row r="95" spans="2:9">
      <c r="B95" t="s">
        <v>14720</v>
      </c>
      <c r="C95" s="1" t="s">
        <v>14716</v>
      </c>
      <c r="D95" s="1" t="s">
        <v>14717</v>
      </c>
      <c r="F95" s="1">
        <v>7</v>
      </c>
      <c r="G95" s="1" t="s">
        <v>89</v>
      </c>
      <c r="I95" s="1" t="s">
        <v>14627</v>
      </c>
    </row>
    <row r="96" spans="2:9">
      <c r="C96" s="1" t="s">
        <v>14716</v>
      </c>
      <c r="D96" s="1" t="s">
        <v>14717</v>
      </c>
      <c r="F96" s="1">
        <v>7</v>
      </c>
      <c r="G96" s="1" t="s">
        <v>89</v>
      </c>
      <c r="I96" t="s">
        <v>14626</v>
      </c>
    </row>
    <row r="97" spans="2:15" ht="15">
      <c r="C97" s="1" t="s">
        <v>14716</v>
      </c>
      <c r="D97" s="1" t="s">
        <v>14717</v>
      </c>
      <c r="F97" s="1">
        <v>8</v>
      </c>
      <c r="G97" s="1" t="s">
        <v>14598</v>
      </c>
      <c r="I97" s="2663" t="s">
        <v>14628</v>
      </c>
    </row>
    <row r="98" spans="2:15">
      <c r="C98" s="1" t="s">
        <v>13542</v>
      </c>
      <c r="D98" s="1" t="s">
        <v>13546</v>
      </c>
      <c r="F98" s="1">
        <v>8</v>
      </c>
      <c r="G98" s="1" t="s">
        <v>14598</v>
      </c>
      <c r="I98" t="s">
        <v>14629</v>
      </c>
    </row>
    <row r="99" spans="2:15">
      <c r="C99" s="2669" t="s">
        <v>13542</v>
      </c>
      <c r="D99" s="2669" t="s">
        <v>13546</v>
      </c>
      <c r="E99" s="1"/>
      <c r="F99" s="1">
        <v>8</v>
      </c>
      <c r="G99" s="1" t="s">
        <v>14598</v>
      </c>
      <c r="I99" s="1" t="s">
        <v>14631</v>
      </c>
    </row>
    <row r="100" spans="2:15">
      <c r="C100" s="2669" t="s">
        <v>13542</v>
      </c>
      <c r="D100" s="2669" t="s">
        <v>13546</v>
      </c>
      <c r="E100" s="1"/>
      <c r="F100" s="1">
        <v>8</v>
      </c>
      <c r="G100" s="1" t="s">
        <v>14598</v>
      </c>
      <c r="I100" t="s">
        <v>14632</v>
      </c>
    </row>
    <row r="101" spans="2:15">
      <c r="C101" s="2669" t="s">
        <v>13542</v>
      </c>
      <c r="D101" s="2669" t="s">
        <v>13546</v>
      </c>
      <c r="E101" s="1"/>
      <c r="F101" s="1">
        <v>8</v>
      </c>
      <c r="G101" s="1" t="s">
        <v>14598</v>
      </c>
      <c r="I101" t="s">
        <v>14633</v>
      </c>
    </row>
    <row r="102" spans="2:15">
      <c r="H102" s="1"/>
      <c r="I102" t="s">
        <v>14634</v>
      </c>
      <c r="J102" s="1"/>
      <c r="K102" s="1"/>
      <c r="L102" s="1"/>
      <c r="M102" s="1"/>
      <c r="N102" s="1"/>
      <c r="O102" s="1"/>
    </row>
    <row r="103" spans="2:15">
      <c r="H103" s="1"/>
      <c r="I103" t="s">
        <v>14635</v>
      </c>
      <c r="J103" s="1"/>
      <c r="K103" s="1"/>
      <c r="L103" s="1"/>
      <c r="M103" s="1"/>
      <c r="N103" s="1"/>
      <c r="O103" s="1"/>
    </row>
    <row r="104" spans="2:15">
      <c r="B104" s="1"/>
      <c r="H104" s="1"/>
      <c r="I104" t="s">
        <v>14636</v>
      </c>
      <c r="J104" s="1"/>
      <c r="K104" s="1"/>
      <c r="L104" s="1"/>
      <c r="M104" s="1"/>
      <c r="N104" s="1"/>
      <c r="O104" s="1"/>
    </row>
    <row r="105" spans="2:15">
      <c r="B105" s="1"/>
      <c r="H105" s="1"/>
      <c r="J105" s="1"/>
      <c r="K105" s="1"/>
      <c r="L105" s="1"/>
      <c r="M105" s="1"/>
      <c r="N105" s="1"/>
      <c r="O105" s="1"/>
    </row>
    <row r="106" spans="2:15">
      <c r="B106" s="1"/>
      <c r="H106" s="1"/>
      <c r="I106" t="s">
        <v>14637</v>
      </c>
      <c r="J106" s="1"/>
      <c r="K106" s="1"/>
      <c r="L106" s="1"/>
      <c r="M106" s="1"/>
      <c r="N106" s="1"/>
      <c r="O106" s="1"/>
    </row>
    <row r="107" spans="2:15">
      <c r="C107" s="2669"/>
      <c r="D107" s="2669"/>
      <c r="H107" s="1"/>
      <c r="I107" t="s">
        <v>14639</v>
      </c>
      <c r="J107" s="1"/>
      <c r="K107" s="1"/>
      <c r="L107" s="1"/>
      <c r="M107" s="1"/>
      <c r="N107" s="1"/>
      <c r="O107" s="1"/>
    </row>
    <row r="108" spans="2:15">
      <c r="C108" s="2669"/>
      <c r="D108" s="2669"/>
      <c r="H108" s="1"/>
      <c r="I108" t="s">
        <v>14640</v>
      </c>
      <c r="J108" s="1"/>
      <c r="K108" s="1"/>
      <c r="L108" s="1"/>
      <c r="M108" s="1"/>
      <c r="N108" s="1"/>
      <c r="O108" s="1"/>
    </row>
    <row r="109" spans="2:15">
      <c r="C109" s="2669"/>
      <c r="D109" s="2669"/>
      <c r="H109" s="1"/>
      <c r="I109" s="2" t="s">
        <v>14641</v>
      </c>
      <c r="J109" s="1"/>
      <c r="K109" s="1"/>
      <c r="L109" s="1"/>
      <c r="M109" s="1"/>
      <c r="N109" s="1"/>
      <c r="O109" s="1"/>
    </row>
    <row r="110" spans="2:15">
      <c r="H110" s="1"/>
      <c r="I110" s="1"/>
      <c r="J110" s="1"/>
      <c r="K110" s="1"/>
      <c r="L110" s="1"/>
      <c r="M110" s="1"/>
      <c r="N110" s="1"/>
      <c r="O110" s="1"/>
    </row>
    <row r="111" spans="2:15">
      <c r="H111" s="1"/>
      <c r="I111" s="1"/>
      <c r="J111" s="1"/>
      <c r="K111" s="1"/>
      <c r="L111" s="1"/>
      <c r="M111" s="1"/>
      <c r="N111" s="1"/>
      <c r="O111" s="1"/>
    </row>
    <row r="112" spans="2:15">
      <c r="H112" s="1"/>
      <c r="I112" s="1"/>
      <c r="J112" s="1"/>
      <c r="K112" s="1"/>
      <c r="L112" s="1"/>
      <c r="M112" s="1"/>
      <c r="N112" s="1"/>
      <c r="O112" s="1"/>
    </row>
    <row r="113" spans="8:15">
      <c r="H113" s="1"/>
      <c r="I113" s="1"/>
      <c r="J113" s="1"/>
      <c r="K113" s="1"/>
      <c r="L113" s="1"/>
      <c r="M113" s="1"/>
      <c r="N113" s="1"/>
      <c r="O113" s="1"/>
    </row>
    <row r="114" spans="8:15">
      <c r="H114" s="1"/>
      <c r="I114" s="1"/>
      <c r="J114" s="1"/>
      <c r="K114" s="1"/>
      <c r="L114" s="1"/>
      <c r="M114" s="1"/>
      <c r="N114" s="1"/>
      <c r="O114" s="1"/>
    </row>
    <row r="115" spans="8:15">
      <c r="H115" s="1"/>
      <c r="I115" s="1"/>
      <c r="J115" s="1"/>
      <c r="K115" s="1"/>
      <c r="L115" s="1"/>
      <c r="M115" s="1"/>
      <c r="N115" s="1"/>
      <c r="O115" s="1"/>
    </row>
    <row r="116" spans="8:15">
      <c r="H116" s="1"/>
      <c r="I116" s="1"/>
      <c r="J116" s="1"/>
      <c r="K116" s="1"/>
      <c r="L116" s="1"/>
      <c r="M116" s="1"/>
      <c r="N116" s="1"/>
      <c r="O116" s="1"/>
    </row>
    <row r="117" spans="8:15">
      <c r="H117" s="1"/>
      <c r="I117" s="1"/>
      <c r="J117" s="1"/>
      <c r="K117" s="1"/>
      <c r="L117" s="1"/>
      <c r="M117" s="1"/>
      <c r="N117" s="1"/>
      <c r="O117" s="1"/>
    </row>
    <row r="118" spans="8:15">
      <c r="H118" s="1"/>
      <c r="I118" s="1"/>
      <c r="J118" s="1"/>
      <c r="K118" s="1"/>
      <c r="L118" s="1"/>
      <c r="M118" s="1"/>
      <c r="N118" s="1"/>
      <c r="O118" s="1"/>
    </row>
    <row r="119" spans="8:15">
      <c r="H119" s="1"/>
      <c r="I119" s="1"/>
      <c r="J119" s="1"/>
      <c r="K119" s="1"/>
      <c r="L119" s="1"/>
      <c r="M119" s="1"/>
      <c r="N119" s="1"/>
    </row>
    <row r="120" spans="8:15">
      <c r="H120" s="1"/>
      <c r="I120" s="1"/>
      <c r="J120" s="1"/>
      <c r="K120" s="1"/>
      <c r="L120" s="1"/>
      <c r="M120" s="1"/>
      <c r="N120" s="1"/>
    </row>
    <row r="121" spans="8:15">
      <c r="H121" s="1"/>
      <c r="I121" s="1"/>
      <c r="J121" s="1"/>
      <c r="K121" s="1"/>
      <c r="L121" s="1"/>
      <c r="M121" s="1"/>
      <c r="N121" s="1"/>
    </row>
    <row r="122" spans="8:15">
      <c r="H122" s="1"/>
      <c r="I122" s="1"/>
      <c r="J122" s="1"/>
      <c r="K122" s="1"/>
      <c r="L122" s="1"/>
      <c r="M122" s="1"/>
      <c r="N122" s="1"/>
    </row>
    <row r="123" spans="8:15">
      <c r="H123" s="1"/>
      <c r="I123" s="1"/>
      <c r="J123" s="1"/>
      <c r="K123" s="1"/>
      <c r="L123" s="1"/>
      <c r="M123" s="1"/>
      <c r="N123" s="1"/>
    </row>
    <row r="124" spans="8:15">
      <c r="H124" s="1"/>
      <c r="I124" s="1"/>
      <c r="J124" s="1"/>
      <c r="K124" s="1"/>
      <c r="L124" s="1"/>
      <c r="M124" s="1"/>
      <c r="N124" s="1"/>
    </row>
    <row r="125" spans="8:15">
      <c r="H125" s="1"/>
      <c r="I125" s="1"/>
      <c r="J125" s="1"/>
      <c r="K125" s="1"/>
      <c r="L125" s="1"/>
      <c r="M125" s="1"/>
      <c r="N125" s="1"/>
    </row>
  </sheetData>
  <phoneticPr fontId="233" type="noConversion"/>
  <pageMargins left="0.7" right="0.7" top="0.75" bottom="0.75" header="0.3" footer="0.3"/>
  <pageSetup paperSize="9" orientation="portrait" r:id="rId1"/>
  <tableParts count="7">
    <tablePart r:id="rId2"/>
    <tablePart r:id="rId3"/>
    <tablePart r:id="rId4"/>
    <tablePart r:id="rId5"/>
    <tablePart r:id="rId6"/>
    <tablePart r:id="rId7"/>
    <tablePart r:id="rId8"/>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D5556-533B-4640-9611-A1969EC53187}">
  <dimension ref="A1"/>
  <sheetViews>
    <sheetView workbookViewId="0">
      <selection activeCell="B3" sqref="B3"/>
    </sheetView>
  </sheetViews>
  <sheetFormatPr defaultRowHeight="14.25"/>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EA5B4-FE6E-40E9-B415-921B50504003}">
  <sheetPr codeName="Аркуш48"/>
  <dimension ref="A1:I26"/>
  <sheetViews>
    <sheetView workbookViewId="0">
      <selection activeCell="I4" sqref="I4:I26"/>
    </sheetView>
  </sheetViews>
  <sheetFormatPr defaultRowHeight="14.25"/>
  <cols>
    <col min="1" max="1" width="24.6640625" customWidth="1"/>
    <col min="2" max="2" width="52.109375" customWidth="1"/>
    <col min="3" max="3" width="14.109375" customWidth="1"/>
  </cols>
  <sheetData>
    <row r="1" spans="1:9" s="1" customFormat="1">
      <c r="A1" s="3969"/>
      <c r="B1" s="3969"/>
      <c r="C1" s="3969"/>
    </row>
    <row r="2" spans="1:9" s="1" customFormat="1">
      <c r="A2" s="3969"/>
      <c r="B2" s="3969"/>
      <c r="C2" s="3969"/>
    </row>
    <row r="3" spans="1:9">
      <c r="A3" t="s">
        <v>774</v>
      </c>
      <c r="B3" t="s">
        <v>1296</v>
      </c>
      <c r="C3" t="s">
        <v>772</v>
      </c>
    </row>
    <row r="4" spans="1:9" ht="15">
      <c r="A4" t="s">
        <v>698</v>
      </c>
      <c r="B4" t="s">
        <v>699</v>
      </c>
      <c r="G4" s="1" t="s">
        <v>11487</v>
      </c>
      <c r="I4" s="2604" t="s">
        <v>14758</v>
      </c>
    </row>
    <row r="5" spans="1:9" ht="15">
      <c r="A5" t="s">
        <v>700</v>
      </c>
      <c r="B5" t="s">
        <v>701</v>
      </c>
      <c r="G5" s="1" t="s">
        <v>11505</v>
      </c>
      <c r="I5" s="2604" t="s">
        <v>14759</v>
      </c>
    </row>
    <row r="6" spans="1:9" ht="15">
      <c r="A6" t="s">
        <v>702</v>
      </c>
      <c r="B6" t="s">
        <v>703</v>
      </c>
      <c r="G6" s="1" t="s">
        <v>11506</v>
      </c>
      <c r="I6" s="2604" t="s">
        <v>14760</v>
      </c>
    </row>
    <row r="7" spans="1:9" ht="15">
      <c r="A7" t="s">
        <v>704</v>
      </c>
      <c r="B7" t="s">
        <v>705</v>
      </c>
      <c r="G7" s="1" t="s">
        <v>11488</v>
      </c>
      <c r="I7" s="2604" t="s">
        <v>14761</v>
      </c>
    </row>
    <row r="8" spans="1:9" ht="15">
      <c r="A8" t="s">
        <v>706</v>
      </c>
      <c r="B8" t="s">
        <v>707</v>
      </c>
      <c r="G8" s="1" t="s">
        <v>11489</v>
      </c>
      <c r="I8" s="2604" t="s">
        <v>14762</v>
      </c>
    </row>
    <row r="9" spans="1:9" ht="15">
      <c r="A9" t="s">
        <v>708</v>
      </c>
      <c r="B9" t="s">
        <v>709</v>
      </c>
      <c r="G9" s="1" t="s">
        <v>11490</v>
      </c>
      <c r="I9" s="2604" t="s">
        <v>14763</v>
      </c>
    </row>
    <row r="10" spans="1:9" ht="15">
      <c r="A10" t="s">
        <v>710</v>
      </c>
      <c r="B10" t="s">
        <v>711</v>
      </c>
      <c r="G10" s="1" t="s">
        <v>11491</v>
      </c>
      <c r="I10" s="2604" t="s">
        <v>14764</v>
      </c>
    </row>
    <row r="11" spans="1:9" ht="15">
      <c r="A11" t="s">
        <v>712</v>
      </c>
      <c r="B11" t="s">
        <v>713</v>
      </c>
      <c r="G11" s="1" t="s">
        <v>11492</v>
      </c>
      <c r="I11" s="2604" t="s">
        <v>14765</v>
      </c>
    </row>
    <row r="12" spans="1:9" ht="15">
      <c r="A12" t="s">
        <v>714</v>
      </c>
      <c r="B12" t="s">
        <v>715</v>
      </c>
      <c r="G12" s="1" t="s">
        <v>11493</v>
      </c>
      <c r="I12" s="2604" t="s">
        <v>14766</v>
      </c>
    </row>
    <row r="13" spans="1:9" ht="15">
      <c r="A13" t="s">
        <v>716</v>
      </c>
      <c r="B13" t="s">
        <v>717</v>
      </c>
      <c r="G13" s="1" t="s">
        <v>11494</v>
      </c>
      <c r="I13" s="2604" t="s">
        <v>14767</v>
      </c>
    </row>
    <row r="14" spans="1:9" ht="15">
      <c r="A14" t="s">
        <v>718</v>
      </c>
      <c r="B14" t="s">
        <v>719</v>
      </c>
      <c r="G14" s="1" t="s">
        <v>11495</v>
      </c>
      <c r="I14" s="2604" t="s">
        <v>14768</v>
      </c>
    </row>
    <row r="15" spans="1:9" ht="15">
      <c r="A15" t="s">
        <v>720</v>
      </c>
      <c r="B15" t="s">
        <v>721</v>
      </c>
      <c r="G15" s="1" t="s">
        <v>11496</v>
      </c>
      <c r="I15" s="2604" t="s">
        <v>11521</v>
      </c>
    </row>
    <row r="16" spans="1:9" ht="15">
      <c r="A16" t="s">
        <v>722</v>
      </c>
      <c r="B16" t="s">
        <v>723</v>
      </c>
      <c r="G16" s="1" t="s">
        <v>11497</v>
      </c>
      <c r="I16" s="2604" t="s">
        <v>14769</v>
      </c>
    </row>
    <row r="17" spans="1:9" ht="15">
      <c r="A17" t="s">
        <v>724</v>
      </c>
      <c r="B17" t="s">
        <v>725</v>
      </c>
      <c r="G17" s="1" t="s">
        <v>11498</v>
      </c>
      <c r="I17" s="2604" t="s">
        <v>14770</v>
      </c>
    </row>
    <row r="18" spans="1:9" ht="15">
      <c r="A18" t="s">
        <v>726</v>
      </c>
      <c r="G18" s="1" t="s">
        <v>11499</v>
      </c>
      <c r="I18" s="2604" t="s">
        <v>14771</v>
      </c>
    </row>
    <row r="19" spans="1:9" ht="21">
      <c r="A19" t="s">
        <v>727</v>
      </c>
      <c r="B19" t="s">
        <v>728</v>
      </c>
      <c r="G19" s="1" t="s">
        <v>11500</v>
      </c>
      <c r="I19" s="2604" t="s">
        <v>14772</v>
      </c>
    </row>
    <row r="20" spans="1:9" ht="15">
      <c r="A20" t="s">
        <v>729</v>
      </c>
      <c r="B20" t="s">
        <v>730</v>
      </c>
      <c r="G20" s="1" t="s">
        <v>11501</v>
      </c>
      <c r="I20" s="2604" t="s">
        <v>14773</v>
      </c>
    </row>
    <row r="21" spans="1:9" ht="15">
      <c r="A21" t="s">
        <v>731</v>
      </c>
      <c r="B21" t="s">
        <v>732</v>
      </c>
      <c r="G21" s="1" t="s">
        <v>11502</v>
      </c>
      <c r="I21" s="2604" t="s">
        <v>14774</v>
      </c>
    </row>
    <row r="22" spans="1:9" ht="15">
      <c r="A22" s="1" t="s">
        <v>9439</v>
      </c>
      <c r="G22" s="1" t="s">
        <v>11503</v>
      </c>
      <c r="I22" s="2604" t="s">
        <v>14775</v>
      </c>
    </row>
    <row r="23" spans="1:9" ht="15">
      <c r="A23" s="1" t="s">
        <v>1990</v>
      </c>
      <c r="G23" s="1" t="s">
        <v>11504</v>
      </c>
      <c r="I23" s="2604" t="s">
        <v>14776</v>
      </c>
    </row>
    <row r="24" spans="1:9" ht="15">
      <c r="I24" s="2604" t="s">
        <v>14777</v>
      </c>
    </row>
    <row r="25" spans="1:9" ht="15">
      <c r="I25" s="2604" t="s">
        <v>14778</v>
      </c>
    </row>
    <row r="26" spans="1:9" ht="15">
      <c r="I26" s="2604" t="s">
        <v>14779</v>
      </c>
    </row>
  </sheetData>
  <mergeCells count="1">
    <mergeCell ref="A1:C2"/>
  </mergeCells>
  <pageMargins left="0.7" right="0.7" top="0.75" bottom="0.75" header="0.3" footer="0.3"/>
  <tableParts count="1">
    <tablePart r:id="rId1"/>
  </tableParts>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FAEB2-547B-458F-B0F4-564E30A5EC1D}">
  <sheetPr codeName="Аркуш39">
    <tabColor rgb="FF7030A0"/>
  </sheetPr>
  <dimension ref="A1:CL981"/>
  <sheetViews>
    <sheetView topLeftCell="AF51" zoomScaleNormal="100" workbookViewId="0">
      <selection activeCell="AG57" sqref="AG57:AO63"/>
    </sheetView>
  </sheetViews>
  <sheetFormatPr defaultRowHeight="14.25"/>
  <cols>
    <col min="2" max="2" width="9.77734375" customWidth="1"/>
    <col min="6" max="10" width="8.88671875" style="1"/>
    <col min="12" max="12" width="12.6640625" customWidth="1"/>
    <col min="13" max="13" width="8.88671875" style="1"/>
    <col min="15" max="15" width="16.44140625" style="1" customWidth="1"/>
    <col min="16" max="16" width="8.88671875" style="1"/>
    <col min="18" max="18" width="11.109375" customWidth="1"/>
    <col min="19" max="19" width="12.88671875" customWidth="1"/>
    <col min="21" max="21" width="12.109375" customWidth="1"/>
    <col min="22" max="22" width="25.44140625" customWidth="1"/>
    <col min="26" max="26" width="10" customWidth="1"/>
    <col min="27" max="27" width="9.109375" customWidth="1"/>
    <col min="28" max="28" width="11.77734375" customWidth="1"/>
    <col min="29" max="29" width="11.5546875" customWidth="1"/>
    <col min="31" max="31" width="9" customWidth="1"/>
    <col min="46" max="46" width="14.6640625" customWidth="1"/>
    <col min="47" max="47" width="13.21875" customWidth="1"/>
    <col min="49" max="49" width="10.33203125" customWidth="1"/>
    <col min="51" max="51" width="15.21875" customWidth="1"/>
    <col min="53" max="53" width="9.109375" customWidth="1"/>
    <col min="54" max="54" width="9.5546875" customWidth="1"/>
    <col min="55" max="55" width="12.44140625" customWidth="1"/>
  </cols>
  <sheetData>
    <row r="1" spans="1:90">
      <c r="B1" s="85" t="str" cm="1">
        <f t="array" aca="1" ref="B1" ca="1">INDEX($B$3:$B$55,RANDBETWEEN(1,53),1)</f>
        <v>Deleira</v>
      </c>
      <c r="C1" s="85" t="str" cm="1">
        <f t="array" aca="1" ref="C1" ca="1">INDEX($B$3:$B$53,RANDBETWEEN(1,51),1)</f>
        <v>Baelarra</v>
      </c>
      <c r="D1" s="85" t="str" cm="1">
        <f t="array" aca="1" ref="D1" ca="1">INDEX($B$3:$B$56,RANDBETWEEN(1,54),1)</f>
        <v>Embrurra</v>
      </c>
      <c r="E1" s="85" t="str" cm="1">
        <f t="array" aca="1" ref="E1" ca="1">INDEX($B$3:$B$53,RANDBETWEEN(1,51),1)</f>
        <v>Raedra</v>
      </c>
      <c r="H1" s="85" t="str" cm="1">
        <f t="array" aca="1" ref="H1" ca="1">INDEX($B$3:$B$53,RANDBETWEEN(1,51),1)</f>
        <v>Shalice</v>
      </c>
      <c r="I1" s="85" t="str" cm="1">
        <f t="array" aca="1" ref="I1" ca="1">INDEX($B$3:$B$53,RANDBETWEEN(1,51),1)</f>
        <v>Baelarra</v>
      </c>
    </row>
    <row r="2" spans="1:90" ht="18" thickBot="1">
      <c r="A2" t="s">
        <v>1567</v>
      </c>
      <c r="B2" t="s">
        <v>1404</v>
      </c>
      <c r="C2" t="s">
        <v>1606</v>
      </c>
      <c r="D2" t="s">
        <v>1405</v>
      </c>
      <c r="E2" t="s">
        <v>1607</v>
      </c>
      <c r="G2" t="s">
        <v>1725</v>
      </c>
      <c r="H2" t="s">
        <v>1404</v>
      </c>
      <c r="I2" t="s">
        <v>1405</v>
      </c>
      <c r="K2" s="31" t="s">
        <v>1725</v>
      </c>
      <c r="L2" s="31" t="s">
        <v>1723</v>
      </c>
      <c r="S2" s="86" t="str" cm="1">
        <f t="array" aca="1" ref="S2" ca="1">INDEX(Таблиця8[Interaction],RANDBETWEEN(1,20),1)</f>
        <v>What's the last piece of advice you gave them?</v>
      </c>
      <c r="V2" s="86" t="str" cm="1">
        <f t="array" aca="1" ref="V2" ca="1">INDEX(Таблиця7[What we learn about you],RANDBETWEEN(1,100),1)</f>
        <v>What mystery do you wish you knew the answer to?</v>
      </c>
      <c r="Y2" s="151"/>
      <c r="Z2" s="151"/>
      <c r="AA2" s="151"/>
      <c r="AB2" s="151"/>
      <c r="AC2" s="151"/>
      <c r="AD2" s="151"/>
      <c r="AE2" s="151"/>
      <c r="AF2" s="151"/>
      <c r="AG2" s="151"/>
      <c r="AH2" s="151"/>
      <c r="AI2" s="151"/>
      <c r="AJ2" s="151"/>
      <c r="AK2" s="151"/>
      <c r="AL2" s="151"/>
      <c r="AM2" s="151"/>
      <c r="AN2" s="151"/>
      <c r="AO2" s="151"/>
      <c r="AP2" s="151"/>
      <c r="AQ2" s="151"/>
      <c r="AR2" s="151"/>
      <c r="AS2" s="151"/>
      <c r="AT2" s="151"/>
      <c r="AU2" s="151"/>
      <c r="AV2" s="151"/>
      <c r="AW2" s="151"/>
      <c r="AX2" s="151"/>
      <c r="AY2" s="151"/>
      <c r="AZ2" s="151"/>
      <c r="BA2" s="151"/>
      <c r="BB2" s="151"/>
      <c r="BC2" s="151"/>
      <c r="BD2" s="151"/>
      <c r="BE2" s="151"/>
      <c r="BF2" s="151"/>
      <c r="BG2" s="151"/>
      <c r="BH2" s="151"/>
      <c r="BI2" s="151"/>
      <c r="BJ2" s="151"/>
      <c r="BK2" s="151"/>
      <c r="BL2" s="151"/>
      <c r="BM2" s="151"/>
      <c r="BN2" s="151"/>
    </row>
    <row r="3" spans="1:90" ht="18.75" thickTop="1" thickBot="1">
      <c r="A3">
        <v>1</v>
      </c>
      <c r="B3" t="s">
        <v>1297</v>
      </c>
      <c r="C3" s="28" t="s">
        <v>1568</v>
      </c>
      <c r="D3" t="s">
        <v>1350</v>
      </c>
      <c r="E3" s="29" t="s">
        <v>1350</v>
      </c>
      <c r="G3">
        <v>1</v>
      </c>
      <c r="H3" t="s">
        <v>1568</v>
      </c>
      <c r="I3" t="s">
        <v>1350</v>
      </c>
      <c r="K3">
        <v>1</v>
      </c>
      <c r="L3" t="s">
        <v>525</v>
      </c>
      <c r="O3" s="31" t="s">
        <v>1725</v>
      </c>
      <c r="P3" s="31" t="s">
        <v>1723</v>
      </c>
      <c r="R3" t="s">
        <v>1443</v>
      </c>
      <c r="S3" t="s">
        <v>1444</v>
      </c>
      <c r="U3" t="s">
        <v>1465</v>
      </c>
      <c r="V3" t="s">
        <v>1466</v>
      </c>
      <c r="Y3" s="151"/>
      <c r="Z3" s="2418" t="s">
        <v>10493</v>
      </c>
      <c r="AA3" s="151"/>
      <c r="AB3" s="151"/>
      <c r="AC3" s="151"/>
      <c r="AD3" s="151"/>
      <c r="AE3" s="151"/>
      <c r="AF3" s="151"/>
      <c r="AG3" t="s">
        <v>10492</v>
      </c>
      <c r="AH3" t="s">
        <v>10491</v>
      </c>
      <c r="AI3" t="s">
        <v>10490</v>
      </c>
      <c r="AJ3" t="s">
        <v>10489</v>
      </c>
      <c r="AK3" t="s">
        <v>10488</v>
      </c>
      <c r="AL3" t="s">
        <v>10487</v>
      </c>
      <c r="AM3" t="s">
        <v>10486</v>
      </c>
      <c r="AN3" t="s">
        <v>10485</v>
      </c>
      <c r="AO3" t="s">
        <v>10484</v>
      </c>
      <c r="AP3" t="s">
        <v>10483</v>
      </c>
      <c r="AQ3" t="s">
        <v>10482</v>
      </c>
      <c r="AR3" s="151"/>
      <c r="AS3" s="151"/>
      <c r="AT3" s="1939" t="s">
        <v>9477</v>
      </c>
      <c r="AU3" s="1939"/>
      <c r="AV3" s="1939"/>
      <c r="AW3" s="1939"/>
      <c r="AX3" s="1939"/>
      <c r="AY3" s="1939"/>
      <c r="AZ3" s="1939"/>
      <c r="BA3" s="1939"/>
      <c r="BB3" s="1939"/>
      <c r="BC3" s="1939"/>
      <c r="BD3" s="1940"/>
      <c r="BE3" s="1941"/>
      <c r="BF3" s="1941"/>
      <c r="BG3" s="1941"/>
      <c r="BH3" s="1941"/>
      <c r="BI3" s="1941"/>
      <c r="BJ3" s="1941"/>
      <c r="BK3" s="1940"/>
      <c r="BL3" s="1940"/>
      <c r="BM3" s="1940"/>
      <c r="BN3" s="1940"/>
      <c r="BO3" s="1940"/>
      <c r="BP3" s="1940"/>
      <c r="BQ3" s="1940"/>
      <c r="BR3" s="1940"/>
      <c r="BS3" s="1940"/>
      <c r="BT3" s="1940"/>
      <c r="BU3" s="1940"/>
      <c r="BV3" s="1940"/>
      <c r="BW3" s="1940"/>
      <c r="BX3" s="1940"/>
      <c r="BY3" s="1940"/>
      <c r="BZ3" s="1940"/>
      <c r="CA3" s="1940"/>
      <c r="CB3" s="1940"/>
      <c r="CC3" s="1940"/>
      <c r="CD3" s="1940"/>
      <c r="CE3" s="1940"/>
      <c r="CF3" s="1940"/>
      <c r="CG3" s="1940"/>
      <c r="CH3" s="1940"/>
      <c r="CI3" s="1940"/>
      <c r="CJ3" s="1940"/>
      <c r="CK3" s="1940"/>
      <c r="CL3" s="1940"/>
    </row>
    <row r="4" spans="1:90" ht="17.25">
      <c r="A4">
        <v>2</v>
      </c>
      <c r="B4" t="s">
        <v>1298</v>
      </c>
      <c r="C4" s="28" t="s">
        <v>1569</v>
      </c>
      <c r="D4" t="s">
        <v>1351</v>
      </c>
      <c r="E4" s="29" t="s">
        <v>1352</v>
      </c>
      <c r="G4">
        <v>2</v>
      </c>
      <c r="H4" t="s">
        <v>1569</v>
      </c>
      <c r="I4" t="s">
        <v>1352</v>
      </c>
      <c r="K4">
        <v>2</v>
      </c>
      <c r="L4" t="s">
        <v>410</v>
      </c>
      <c r="O4" s="30">
        <v>1</v>
      </c>
      <c r="P4" s="30" t="s">
        <v>604</v>
      </c>
      <c r="R4">
        <v>1</v>
      </c>
      <c r="S4" t="s">
        <v>1445</v>
      </c>
      <c r="U4">
        <v>1</v>
      </c>
      <c r="V4" t="s">
        <v>1467</v>
      </c>
      <c r="Y4" s="151"/>
      <c r="Z4" s="2416" t="s">
        <v>10476</v>
      </c>
      <c r="AA4" s="151"/>
      <c r="AB4" s="151"/>
      <c r="AC4" s="151"/>
      <c r="AD4" s="151"/>
      <c r="AE4" s="151"/>
      <c r="AF4" s="151"/>
      <c r="AG4">
        <f t="array" ref="AG4:AG17">IFERROR( IF( VLOOKUP( MagicItemContainers, Containers, 13, FALSE) = "Equipped",MagicItemWeights,0 ),0 )</f>
        <v>0</v>
      </c>
      <c r="AH4">
        <f t="array" ref="AH4:AH17">IFERROR( IF( VLOOKUP( MagicItemContainers, Containers, 13, FALSE) = "Mount",MagicItemWeights,0 ),0 )</f>
        <v>0</v>
      </c>
      <c r="AI4">
        <f t="array" ref="AI4:AI8">IFERROR(CoinQuantities*0.02,"")</f>
        <v>0</v>
      </c>
      <c r="AJ4">
        <f t="array" ref="AJ4:AJ8">IFERROR(GemQuantities*0.1,"")</f>
        <v>0</v>
      </c>
      <c r="AK4">
        <f t="array" ref="AK4:AK9">IFERROR( IF( VLOOKUP( StockContainers, Containers, 13, FALSE) = "Equipped",StockTotalWeights,0 ),0 )</f>
        <v>0</v>
      </c>
      <c r="AL4">
        <f t="array" ref="AL4:AL9">IFERROR( IF( VLOOKUP( StockContainers, Containers, 13, FALSE) = "Mount",StockTotalWeights,0 ),0 )</f>
        <v>0</v>
      </c>
      <c r="AM4">
        <f t="array" ref="AM4:AM54">IFERROR( IF( VLOOKUP( ItemContainers, Containers, 13, FALSE) = "Equipped",ItemTotalWeights,0 ),0 )</f>
        <v>0</v>
      </c>
      <c r="AN4">
        <f t="array" ref="AN4:AN54">IFERROR( IF( VLOOKUP( ItemContainers, Containers, 13, FALSE) = "Mount",ItemTotalWeights,0 ),0 )</f>
        <v>0</v>
      </c>
      <c r="AO4">
        <f t="array" aca="1" ref="AO4:AO13" ca="1">IF( SlotsCheckbox="Y", SUMIF( ItemContainers,ContainerNames,ItemQuantity ) + SUMIF( StockContainers,ContainerNames,StockQuantities ) + COUNTIF( MagicItemContainers,ContainerNames ) + sumif ( CoinContainer, ContainerNames, TotalCoinsGems ), SUMIF( ItemContainers,ContainerNames,ItemTotalWeights ) + SUMIF( StockContainers,ContainerNames,StockTotalWeights ) + SUMIF( MagicItemContainers, ContainerNames, MagicItemWeights ) + SUMIF( CoinContainer, ContainerNames, MoneyTotalWeight ) )</f>
        <v>0</v>
      </c>
      <c r="AP4">
        <f t="array" ref="AP4:AP54">IFERROR(ItemWeight*IF(ISBLANK(ItemQuantity),1,ItemQuantity),"")</f>
        <v>0</v>
      </c>
      <c r="AQ4">
        <f t="array" ref="AQ4:AQ9">IFERROR(Inventory!I26:J31*IF(ISBLANK(Inventory!C26:D31),0,Inventory!C26:D31),"")</f>
        <v>0</v>
      </c>
      <c r="AR4" s="151"/>
      <c r="AS4" s="151"/>
      <c r="AT4" s="1940"/>
      <c r="AU4" s="1940"/>
      <c r="AV4" s="1940"/>
      <c r="AW4" s="1940"/>
      <c r="AX4" s="1940"/>
      <c r="AY4" s="1940"/>
      <c r="AZ4" s="1940"/>
      <c r="BA4" s="1940"/>
      <c r="BB4" s="1940"/>
      <c r="BC4" s="1940"/>
      <c r="BD4" s="1940"/>
      <c r="BE4" s="1942" t="s">
        <v>6301</v>
      </c>
      <c r="BF4" s="1943" t="s">
        <v>9478</v>
      </c>
      <c r="BG4" s="1943"/>
      <c r="BH4" s="1944"/>
      <c r="BI4" s="1941"/>
      <c r="BJ4" s="1941"/>
      <c r="BK4" s="1940"/>
      <c r="BL4" s="1940"/>
      <c r="BO4" s="3" t="s">
        <v>2452</v>
      </c>
      <c r="BP4" s="1"/>
      <c r="BQ4" s="1"/>
      <c r="BR4" s="1"/>
    </row>
    <row r="5" spans="1:90" ht="17.25">
      <c r="A5" s="1">
        <v>3</v>
      </c>
      <c r="B5" t="s">
        <v>1299</v>
      </c>
      <c r="C5" s="28" t="s">
        <v>1570</v>
      </c>
      <c r="D5" t="s">
        <v>1352</v>
      </c>
      <c r="E5" s="29" t="s">
        <v>1608</v>
      </c>
      <c r="G5">
        <v>3</v>
      </c>
      <c r="H5" t="s">
        <v>1570</v>
      </c>
      <c r="I5" t="s">
        <v>1608</v>
      </c>
      <c r="K5" s="1">
        <v>3</v>
      </c>
      <c r="L5" t="s">
        <v>103</v>
      </c>
      <c r="O5" s="30">
        <v>2</v>
      </c>
      <c r="P5" s="30" t="s">
        <v>1648</v>
      </c>
      <c r="R5">
        <v>2</v>
      </c>
      <c r="S5" t="s">
        <v>1446</v>
      </c>
      <c r="U5">
        <v>2</v>
      </c>
      <c r="V5" t="s">
        <v>1468</v>
      </c>
      <c r="Y5" s="151"/>
      <c r="Z5" s="2416" t="s">
        <v>10474</v>
      </c>
      <c r="AA5" s="151"/>
      <c r="AB5" s="151"/>
      <c r="AC5" s="151"/>
      <c r="AD5" s="151"/>
      <c r="AE5" s="151"/>
      <c r="AF5" s="151"/>
      <c r="AG5">
        <v>0</v>
      </c>
      <c r="AH5">
        <v>0</v>
      </c>
      <c r="AI5">
        <v>0</v>
      </c>
      <c r="AJ5">
        <v>0</v>
      </c>
      <c r="AK5">
        <v>0</v>
      </c>
      <c r="AL5">
        <v>0</v>
      </c>
      <c r="AM5">
        <v>0</v>
      </c>
      <c r="AN5">
        <v>0</v>
      </c>
      <c r="AO5">
        <f ca="1"/>
        <v>0</v>
      </c>
      <c r="AP5">
        <v>0</v>
      </c>
      <c r="AQ5">
        <v>0</v>
      </c>
      <c r="AR5" s="151"/>
      <c r="AS5" s="151"/>
      <c r="AT5" s="1940"/>
      <c r="AU5" s="1940"/>
      <c r="AV5" s="1940"/>
      <c r="AW5" s="1940"/>
      <c r="AX5" s="1940"/>
      <c r="AY5" s="1940"/>
      <c r="AZ5" s="1940"/>
      <c r="BA5" s="1940"/>
      <c r="BB5" s="1940"/>
      <c r="BC5" s="1940"/>
      <c r="BD5" s="1940"/>
      <c r="BE5" s="1945" t="s">
        <v>9479</v>
      </c>
      <c r="BF5" s="1946"/>
      <c r="BG5" s="1947" t="s">
        <v>9480</v>
      </c>
      <c r="BH5" s="1948" t="s">
        <v>9481</v>
      </c>
      <c r="BI5" s="1941"/>
      <c r="BJ5" s="1941"/>
      <c r="BK5" s="1940"/>
      <c r="BL5" s="1940"/>
      <c r="BP5" s="1"/>
      <c r="BQ5" s="1"/>
      <c r="BR5" s="1"/>
    </row>
    <row r="6" spans="1:90" ht="18" thickBot="1">
      <c r="A6" s="1">
        <v>4</v>
      </c>
      <c r="B6" t="s">
        <v>1300</v>
      </c>
      <c r="C6" s="28" t="s">
        <v>1571</v>
      </c>
      <c r="D6" t="s">
        <v>1353</v>
      </c>
      <c r="E6" s="29" t="s">
        <v>1609</v>
      </c>
      <c r="G6">
        <v>4</v>
      </c>
      <c r="H6" t="s">
        <v>1571</v>
      </c>
      <c r="I6" t="s">
        <v>1609</v>
      </c>
      <c r="K6" s="1">
        <v>4</v>
      </c>
      <c r="L6" t="s">
        <v>428</v>
      </c>
      <c r="O6" s="30">
        <v>3</v>
      </c>
      <c r="P6" s="30" t="s">
        <v>1649</v>
      </c>
      <c r="R6">
        <v>3</v>
      </c>
      <c r="S6" t="s">
        <v>1447</v>
      </c>
      <c r="U6">
        <v>3</v>
      </c>
      <c r="V6" t="s">
        <v>1469</v>
      </c>
      <c r="Y6" s="151"/>
      <c r="Z6" s="2415" t="s">
        <v>10472</v>
      </c>
      <c r="AA6" s="151"/>
      <c r="AB6" s="151"/>
      <c r="AC6" s="151"/>
      <c r="AD6" s="151"/>
      <c r="AE6" s="151"/>
      <c r="AF6" s="151"/>
      <c r="AG6">
        <v>0</v>
      </c>
      <c r="AH6">
        <v>0</v>
      </c>
      <c r="AI6">
        <v>0</v>
      </c>
      <c r="AJ6">
        <v>0</v>
      </c>
      <c r="AK6">
        <v>0</v>
      </c>
      <c r="AL6">
        <v>0</v>
      </c>
      <c r="AM6">
        <v>0</v>
      </c>
      <c r="AN6">
        <v>0</v>
      </c>
      <c r="AO6">
        <f ca="1"/>
        <v>0</v>
      </c>
      <c r="AP6">
        <v>0</v>
      </c>
      <c r="AQ6">
        <v>0</v>
      </c>
      <c r="AR6" s="151"/>
      <c r="AS6" s="151"/>
      <c r="AT6" s="1940"/>
      <c r="AU6" s="2468" t="s">
        <v>597</v>
      </c>
      <c r="AV6" s="2469" t="s">
        <v>9482</v>
      </c>
      <c r="AW6" s="2469" t="s">
        <v>9483</v>
      </c>
      <c r="AX6" s="2469" t="s">
        <v>6592</v>
      </c>
      <c r="AY6" s="2470" t="s">
        <v>9484</v>
      </c>
      <c r="AZ6" s="1949"/>
      <c r="BA6" s="1940" t="s">
        <v>597</v>
      </c>
      <c r="BB6" s="1951" t="s">
        <v>9485</v>
      </c>
      <c r="BC6" s="2461" t="s">
        <v>9486</v>
      </c>
      <c r="BD6" s="1940" t="s">
        <v>1287</v>
      </c>
      <c r="BE6" s="1945" t="s">
        <v>9487</v>
      </c>
      <c r="BF6" s="1946">
        <f ca="1">RANDBETWEEN(1,365)</f>
        <v>344</v>
      </c>
      <c r="BG6" s="1946" t="s">
        <v>9488</v>
      </c>
      <c r="BH6" s="1952" t="str">
        <f ca="1">IF(BF6&lt;6,"YES","No")</f>
        <v>No</v>
      </c>
      <c r="BI6" s="1941"/>
      <c r="BJ6" s="1941"/>
      <c r="BK6" s="1940"/>
      <c r="BL6" s="1940"/>
      <c r="BP6" s="1"/>
      <c r="BQ6" s="1"/>
      <c r="BR6" s="1"/>
    </row>
    <row r="7" spans="1:90" ht="18" thickTop="1">
      <c r="A7" s="1">
        <v>5</v>
      </c>
      <c r="B7" t="s">
        <v>1301</v>
      </c>
      <c r="C7" s="28" t="s">
        <v>1572</v>
      </c>
      <c r="D7" t="s">
        <v>1354</v>
      </c>
      <c r="E7" s="29" t="s">
        <v>1610</v>
      </c>
      <c r="G7">
        <v>5</v>
      </c>
      <c r="H7" t="s">
        <v>1572</v>
      </c>
      <c r="I7" t="s">
        <v>1610</v>
      </c>
      <c r="K7" s="1">
        <v>5</v>
      </c>
      <c r="L7" t="s">
        <v>429</v>
      </c>
      <c r="O7" s="30">
        <v>4</v>
      </c>
      <c r="P7" s="30" t="s">
        <v>1650</v>
      </c>
      <c r="R7">
        <v>4</v>
      </c>
      <c r="S7" t="s">
        <v>1448</v>
      </c>
      <c r="U7">
        <v>4</v>
      </c>
      <c r="V7" t="s">
        <v>1470</v>
      </c>
      <c r="Y7" s="151"/>
      <c r="Z7" s="151"/>
      <c r="AA7" s="151"/>
      <c r="AB7" s="151"/>
      <c r="AC7" s="151"/>
      <c r="AD7" s="151"/>
      <c r="AE7" s="151"/>
      <c r="AF7" s="151"/>
      <c r="AG7">
        <v>0</v>
      </c>
      <c r="AH7">
        <v>0</v>
      </c>
      <c r="AI7">
        <v>0</v>
      </c>
      <c r="AJ7">
        <v>0</v>
      </c>
      <c r="AK7">
        <v>0</v>
      </c>
      <c r="AL7">
        <v>0</v>
      </c>
      <c r="AM7">
        <v>0</v>
      </c>
      <c r="AN7">
        <v>0</v>
      </c>
      <c r="AO7">
        <f ca="1"/>
        <v>0</v>
      </c>
      <c r="AP7">
        <v>0</v>
      </c>
      <c r="AQ7">
        <v>0</v>
      </c>
      <c r="AR7" s="151"/>
      <c r="AS7" s="151"/>
      <c r="AT7" s="1940"/>
      <c r="AU7" s="2467">
        <v>1</v>
      </c>
      <c r="AV7" s="1949" t="s">
        <v>9489</v>
      </c>
      <c r="AW7" s="1949" t="s">
        <v>9490</v>
      </c>
      <c r="AX7" s="1949"/>
      <c r="AY7" s="2462"/>
      <c r="AZ7" s="1949"/>
      <c r="BA7" s="1949">
        <v>1</v>
      </c>
      <c r="BB7" s="1953" t="s">
        <v>5732</v>
      </c>
      <c r="BC7" s="2462" t="s">
        <v>9491</v>
      </c>
      <c r="BD7" s="1940"/>
      <c r="BE7" s="1945" t="s">
        <v>9492</v>
      </c>
      <c r="BF7" s="1946">
        <f ca="1">RANDBETWEEN(1,30)</f>
        <v>16</v>
      </c>
      <c r="BG7" s="1946" t="s">
        <v>9493</v>
      </c>
      <c r="BH7" s="1952">
        <f ca="1">RANDBETWEEN(1,5)</f>
        <v>5</v>
      </c>
      <c r="BI7" s="1941"/>
      <c r="BJ7" s="1941"/>
      <c r="BK7" s="1940"/>
      <c r="BL7" s="1940"/>
      <c r="BP7" s="1"/>
      <c r="BQ7" s="1"/>
      <c r="BR7" s="1"/>
    </row>
    <row r="8" spans="1:90" ht="17.25">
      <c r="A8" s="1">
        <v>6</v>
      </c>
      <c r="B8" t="s">
        <v>1302</v>
      </c>
      <c r="C8" s="28" t="s">
        <v>1573</v>
      </c>
      <c r="D8" t="s">
        <v>1355</v>
      </c>
      <c r="E8" s="29" t="s">
        <v>1611</v>
      </c>
      <c r="G8">
        <v>6</v>
      </c>
      <c r="H8" t="s">
        <v>1573</v>
      </c>
      <c r="I8" t="s">
        <v>1611</v>
      </c>
      <c r="K8" s="1">
        <v>6</v>
      </c>
      <c r="L8" t="s">
        <v>111</v>
      </c>
      <c r="O8" s="30">
        <v>5</v>
      </c>
      <c r="P8" s="30" t="s">
        <v>605</v>
      </c>
      <c r="R8">
        <v>5</v>
      </c>
      <c r="S8" t="s">
        <v>1449</v>
      </c>
      <c r="U8">
        <v>5</v>
      </c>
      <c r="V8" t="s">
        <v>1471</v>
      </c>
      <c r="Y8" s="151"/>
      <c r="Z8" s="2457" t="s">
        <v>10469</v>
      </c>
      <c r="AA8" s="2456" t="s">
        <v>10468</v>
      </c>
      <c r="AB8" s="2456" t="s">
        <v>10467</v>
      </c>
      <c r="AC8" s="2456" t="s">
        <v>10466</v>
      </c>
      <c r="AD8" s="2456" t="s">
        <v>10465</v>
      </c>
      <c r="AE8" s="2456" t="s">
        <v>10464</v>
      </c>
      <c r="AF8" s="151"/>
      <c r="AG8">
        <v>0</v>
      </c>
      <c r="AH8">
        <v>0</v>
      </c>
      <c r="AI8">
        <v>0</v>
      </c>
      <c r="AJ8">
        <v>0</v>
      </c>
      <c r="AK8">
        <v>0</v>
      </c>
      <c r="AL8">
        <v>0</v>
      </c>
      <c r="AM8">
        <v>0</v>
      </c>
      <c r="AN8">
        <v>0</v>
      </c>
      <c r="AO8">
        <f ca="1"/>
        <v>0</v>
      </c>
      <c r="AP8">
        <v>0</v>
      </c>
      <c r="AQ8">
        <v>0</v>
      </c>
      <c r="AR8" s="151"/>
      <c r="AS8" s="151"/>
      <c r="AT8" s="1940"/>
      <c r="AU8" s="2467">
        <v>2</v>
      </c>
      <c r="AV8" s="1949" t="s">
        <v>9494</v>
      </c>
      <c r="AW8" s="1949" t="s">
        <v>9495</v>
      </c>
      <c r="AX8" s="1949"/>
      <c r="AY8" s="2462"/>
      <c r="AZ8" s="1949"/>
      <c r="BA8" s="1949">
        <v>2</v>
      </c>
      <c r="BB8" s="1953" t="s">
        <v>9496</v>
      </c>
      <c r="BC8" s="2462" t="s">
        <v>9497</v>
      </c>
      <c r="BD8" s="1940" t="s">
        <v>1287</v>
      </c>
      <c r="BE8" s="1945" t="s">
        <v>9498</v>
      </c>
      <c r="BF8" s="1946">
        <f ca="1">RANDBETWEEN(1,12)</f>
        <v>12</v>
      </c>
      <c r="BG8" s="1946" t="s">
        <v>9499</v>
      </c>
      <c r="BH8" s="1952" t="str">
        <f ca="1">VLOOKUP(BH7,BE25:BF29,2,FALSE)</f>
        <v xml:space="preserve">Holiday: The Feast of the Moon </v>
      </c>
      <c r="BI8" s="1941"/>
      <c r="BJ8" s="1941"/>
      <c r="BK8" s="1940"/>
      <c r="BL8" s="1940"/>
      <c r="BP8" s="1"/>
      <c r="BQ8" s="1"/>
      <c r="BR8" s="1"/>
    </row>
    <row r="9" spans="1:90" ht="18" thickBot="1">
      <c r="A9" s="1">
        <v>7</v>
      </c>
      <c r="B9" t="s">
        <v>1303</v>
      </c>
      <c r="C9" s="28" t="s">
        <v>1574</v>
      </c>
      <c r="D9" t="s">
        <v>1356</v>
      </c>
      <c r="E9" s="29" t="s">
        <v>1612</v>
      </c>
      <c r="G9">
        <v>7</v>
      </c>
      <c r="H9" t="s">
        <v>1574</v>
      </c>
      <c r="I9" t="s">
        <v>1612</v>
      </c>
      <c r="K9" s="1">
        <v>7</v>
      </c>
      <c r="L9" t="s">
        <v>197</v>
      </c>
      <c r="O9" s="30">
        <v>6</v>
      </c>
      <c r="P9" s="30" t="s">
        <v>1651</v>
      </c>
      <c r="R9">
        <v>6</v>
      </c>
      <c r="S9" t="s">
        <v>1450</v>
      </c>
      <c r="U9">
        <v>6</v>
      </c>
      <c r="V9" t="s">
        <v>1472</v>
      </c>
      <c r="Y9" s="151"/>
      <c r="Z9" s="2456" t="s">
        <v>7843</v>
      </c>
      <c r="AA9" s="2380" t="s">
        <v>10454</v>
      </c>
      <c r="AB9" s="152">
        <v>5</v>
      </c>
      <c r="AC9" s="152">
        <v>30</v>
      </c>
      <c r="AD9" s="152" t="s">
        <v>1997</v>
      </c>
      <c r="AE9" s="2456" t="s">
        <v>1997</v>
      </c>
      <c r="AF9" s="151"/>
      <c r="AG9">
        <v>0</v>
      </c>
      <c r="AH9">
        <v>0</v>
      </c>
      <c r="AK9">
        <v>0</v>
      </c>
      <c r="AL9">
        <v>0</v>
      </c>
      <c r="AM9">
        <v>0</v>
      </c>
      <c r="AN9">
        <v>0</v>
      </c>
      <c r="AO9">
        <f ca="1"/>
        <v>0</v>
      </c>
      <c r="AP9">
        <v>0</v>
      </c>
      <c r="AQ9">
        <v>0</v>
      </c>
      <c r="AR9" s="151"/>
      <c r="AS9" s="151"/>
      <c r="AT9" s="1940"/>
      <c r="AU9" s="2467">
        <v>3</v>
      </c>
      <c r="AV9" s="1949" t="s">
        <v>9500</v>
      </c>
      <c r="AW9" s="1949" t="s">
        <v>9501</v>
      </c>
      <c r="AX9" s="1949"/>
      <c r="AY9" s="2462"/>
      <c r="AZ9" s="1949"/>
      <c r="BA9" s="1949">
        <v>3</v>
      </c>
      <c r="BB9" s="1954" t="s">
        <v>9502</v>
      </c>
      <c r="BC9" s="2461" t="s">
        <v>9503</v>
      </c>
      <c r="BD9" s="1940"/>
      <c r="BE9" s="1955" t="s">
        <v>9504</v>
      </c>
      <c r="BF9" s="1956" t="str">
        <f ca="1">VLOOKUP(BF8,BE12:BG23,2,FALSE)</f>
        <v xml:space="preserve">Nightal </v>
      </c>
      <c r="BG9" s="1956" t="s">
        <v>9505</v>
      </c>
      <c r="BH9" s="1957" t="str">
        <f ca="1">VLOOKUP(BF8,BE12:BG23,3,FALSE)</f>
        <v>(Drawing Down)</v>
      </c>
      <c r="BI9" s="1941"/>
      <c r="BJ9" s="1941"/>
      <c r="BK9" s="1940"/>
      <c r="BL9" s="1940"/>
      <c r="BP9" s="1"/>
      <c r="BQ9" s="1"/>
      <c r="BR9" s="1"/>
    </row>
    <row r="10" spans="1:90" ht="18" thickBot="1">
      <c r="A10" s="1">
        <v>8</v>
      </c>
      <c r="B10" t="s">
        <v>1304</v>
      </c>
      <c r="C10" s="28" t="s">
        <v>1575</v>
      </c>
      <c r="D10" t="s">
        <v>1357</v>
      </c>
      <c r="E10" s="29" t="s">
        <v>1613</v>
      </c>
      <c r="G10">
        <v>8</v>
      </c>
      <c r="H10" t="s">
        <v>1575</v>
      </c>
      <c r="I10" t="s">
        <v>1613</v>
      </c>
      <c r="K10" s="1">
        <v>8</v>
      </c>
      <c r="L10" t="s">
        <v>432</v>
      </c>
      <c r="O10" s="30">
        <v>7</v>
      </c>
      <c r="P10" s="30" t="s">
        <v>1652</v>
      </c>
      <c r="R10">
        <v>7</v>
      </c>
      <c r="S10" t="s">
        <v>1451</v>
      </c>
      <c r="U10">
        <v>7</v>
      </c>
      <c r="V10" t="s">
        <v>1473</v>
      </c>
      <c r="Y10" s="151"/>
      <c r="Z10" s="2456" t="s">
        <v>10460</v>
      </c>
      <c r="AA10" s="2380" t="s">
        <v>10454</v>
      </c>
      <c r="AB10" s="152">
        <v>5</v>
      </c>
      <c r="AC10" s="152">
        <v>1</v>
      </c>
      <c r="AD10" s="152" t="s">
        <v>10391</v>
      </c>
      <c r="AE10" s="2456" t="s">
        <v>1997</v>
      </c>
      <c r="AF10" s="151"/>
      <c r="AG10">
        <v>0</v>
      </c>
      <c r="AH10">
        <v>0</v>
      </c>
      <c r="AM10">
        <v>0</v>
      </c>
      <c r="AN10">
        <v>0</v>
      </c>
      <c r="AO10">
        <f ca="1"/>
        <v>0</v>
      </c>
      <c r="AP10">
        <v>0</v>
      </c>
      <c r="AR10" s="151"/>
      <c r="AS10" s="151"/>
      <c r="AT10" s="1940"/>
      <c r="AU10" s="2467">
        <v>4</v>
      </c>
      <c r="AV10" s="1949" t="s">
        <v>9506</v>
      </c>
      <c r="AW10" s="1949" t="s">
        <v>9507</v>
      </c>
      <c r="AX10" s="1949"/>
      <c r="AY10" s="2462"/>
      <c r="AZ10" s="1949"/>
      <c r="BA10" s="1949">
        <v>4</v>
      </c>
      <c r="BB10" s="1954" t="s">
        <v>9508</v>
      </c>
      <c r="BC10" s="2461" t="s">
        <v>9509</v>
      </c>
      <c r="BD10" s="1940"/>
      <c r="BE10" s="1958" t="s">
        <v>9510</v>
      </c>
      <c r="BF10" s="1959"/>
      <c r="BG10" s="1960" t="str">
        <f ca="1">IF(BH6="NO",BF9&amp;", "&amp;BF8&amp;" "&amp;BH9,BH8)</f>
        <v>Nightal , 12 (Drawing Down)</v>
      </c>
      <c r="BH10" s="1961"/>
      <c r="BI10" s="1941"/>
      <c r="BJ10" s="1941"/>
      <c r="BK10" s="1940"/>
      <c r="BL10" s="1940"/>
      <c r="BP10" s="1"/>
      <c r="BQ10" s="1"/>
      <c r="BR10" s="1"/>
      <c r="BU10" t="s">
        <v>1726</v>
      </c>
      <c r="BV10" t="s">
        <v>1727</v>
      </c>
    </row>
    <row r="11" spans="1:90" ht="17.25">
      <c r="A11" s="1">
        <v>9</v>
      </c>
      <c r="B11" t="s">
        <v>1305</v>
      </c>
      <c r="C11" s="28" t="s">
        <v>1576</v>
      </c>
      <c r="D11" t="s">
        <v>1358</v>
      </c>
      <c r="E11" s="29" t="s">
        <v>1362</v>
      </c>
      <c r="G11">
        <v>9</v>
      </c>
      <c r="H11" t="s">
        <v>1576</v>
      </c>
      <c r="I11" t="s">
        <v>1362</v>
      </c>
      <c r="K11" s="1">
        <v>9</v>
      </c>
      <c r="L11" t="s">
        <v>13</v>
      </c>
      <c r="O11" s="30">
        <v>8</v>
      </c>
      <c r="P11" s="30" t="s">
        <v>607</v>
      </c>
      <c r="R11">
        <v>8</v>
      </c>
      <c r="S11" t="s">
        <v>1452</v>
      </c>
      <c r="U11">
        <v>8</v>
      </c>
      <c r="V11" t="s">
        <v>1474</v>
      </c>
      <c r="Y11" s="151"/>
      <c r="Z11" s="2456" t="s">
        <v>10455</v>
      </c>
      <c r="AA11" s="2380" t="s">
        <v>10454</v>
      </c>
      <c r="AB11" s="152">
        <v>5</v>
      </c>
      <c r="AC11" s="152">
        <v>1</v>
      </c>
      <c r="AD11" s="152" t="s">
        <v>10391</v>
      </c>
      <c r="AE11" s="2456" t="s">
        <v>1997</v>
      </c>
      <c r="AF11" s="151"/>
      <c r="AG11">
        <v>0</v>
      </c>
      <c r="AH11">
        <v>0</v>
      </c>
      <c r="AM11">
        <v>0</v>
      </c>
      <c r="AN11">
        <v>0</v>
      </c>
      <c r="AO11">
        <f ca="1"/>
        <v>0</v>
      </c>
      <c r="AP11">
        <v>0</v>
      </c>
      <c r="AR11" s="151"/>
      <c r="AS11" s="151"/>
      <c r="AT11" s="1940"/>
      <c r="AU11" s="2467">
        <v>5</v>
      </c>
      <c r="AV11" s="1949" t="s">
        <v>9511</v>
      </c>
      <c r="AW11" s="1949" t="s">
        <v>9512</v>
      </c>
      <c r="AX11" s="1949"/>
      <c r="AY11" s="2462"/>
      <c r="AZ11" s="1949"/>
      <c r="BA11" s="1949">
        <v>5</v>
      </c>
      <c r="BB11" s="1954" t="s">
        <v>9513</v>
      </c>
      <c r="BC11" s="2461" t="s">
        <v>9509</v>
      </c>
      <c r="BD11" s="1940"/>
      <c r="BE11" s="1962" t="s">
        <v>9498</v>
      </c>
      <c r="BF11" s="1963" t="s">
        <v>772</v>
      </c>
      <c r="BG11" s="1964" t="s">
        <v>9514</v>
      </c>
      <c r="BH11" s="1941"/>
      <c r="BI11" s="1941"/>
      <c r="BJ11" s="1941"/>
      <c r="BK11" s="1940"/>
      <c r="BL11" s="1940"/>
      <c r="BP11" s="1"/>
      <c r="BQ11" s="1"/>
      <c r="BR11" s="1"/>
      <c r="BT11">
        <v>1</v>
      </c>
      <c r="BU11">
        <v>3</v>
      </c>
      <c r="BV11" t="s">
        <v>1728</v>
      </c>
    </row>
    <row r="12" spans="1:90" ht="17.25">
      <c r="A12" s="1">
        <v>10</v>
      </c>
      <c r="B12" t="s">
        <v>1306</v>
      </c>
      <c r="C12" s="28" t="s">
        <v>1577</v>
      </c>
      <c r="D12" t="s">
        <v>1359</v>
      </c>
      <c r="E12" s="29" t="s">
        <v>1614</v>
      </c>
      <c r="G12">
        <v>10</v>
      </c>
      <c r="H12" t="s">
        <v>1577</v>
      </c>
      <c r="I12" t="s">
        <v>1614</v>
      </c>
      <c r="K12" s="1">
        <v>10</v>
      </c>
      <c r="L12" t="s">
        <v>93</v>
      </c>
      <c r="O12" s="30">
        <v>9</v>
      </c>
      <c r="P12" s="30" t="s">
        <v>1653</v>
      </c>
      <c r="R12">
        <v>9</v>
      </c>
      <c r="S12" t="s">
        <v>1453</v>
      </c>
      <c r="U12">
        <v>9</v>
      </c>
      <c r="V12" t="s">
        <v>1475</v>
      </c>
      <c r="Y12" s="151"/>
      <c r="Z12" s="2456" t="s">
        <v>7847</v>
      </c>
      <c r="AA12" s="2380" t="s">
        <v>10452</v>
      </c>
      <c r="AB12" s="152">
        <v>70</v>
      </c>
      <c r="AC12" s="152">
        <v>334</v>
      </c>
      <c r="AD12" s="152" t="s">
        <v>1997</v>
      </c>
      <c r="AE12" s="2456" t="s">
        <v>1997</v>
      </c>
      <c r="AF12" s="151"/>
      <c r="AG12">
        <v>0</v>
      </c>
      <c r="AH12">
        <v>0</v>
      </c>
      <c r="AM12">
        <v>0</v>
      </c>
      <c r="AN12">
        <v>0</v>
      </c>
      <c r="AO12">
        <f ca="1"/>
        <v>0</v>
      </c>
      <c r="AP12">
        <v>0</v>
      </c>
      <c r="AR12" s="151"/>
      <c r="AS12" s="151"/>
      <c r="AT12" s="1940"/>
      <c r="AU12" s="2467">
        <v>6</v>
      </c>
      <c r="AV12" s="1949"/>
      <c r="AW12" s="1949"/>
      <c r="AX12" s="1949"/>
      <c r="AY12" s="2462"/>
      <c r="AZ12" s="1949"/>
      <c r="BA12" s="1949">
        <v>6</v>
      </c>
      <c r="BB12" s="1954" t="s">
        <v>9515</v>
      </c>
      <c r="BC12" s="2461" t="s">
        <v>9516</v>
      </c>
      <c r="BD12" s="1940" t="s">
        <v>1287</v>
      </c>
      <c r="BE12" s="1965">
        <v>1</v>
      </c>
      <c r="BF12" s="1946" t="s">
        <v>9517</v>
      </c>
      <c r="BG12" s="1952" t="s">
        <v>9518</v>
      </c>
      <c r="BH12" s="1941"/>
      <c r="BI12" s="1941"/>
      <c r="BJ12" s="1941"/>
      <c r="BK12" s="1940"/>
      <c r="BL12" s="1940"/>
      <c r="BP12" s="1"/>
      <c r="BQ12" s="1"/>
      <c r="BR12" s="1"/>
      <c r="BT12">
        <v>2</v>
      </c>
      <c r="BU12">
        <v>10</v>
      </c>
      <c r="BV12" t="s">
        <v>1729</v>
      </c>
    </row>
    <row r="13" spans="1:90" ht="17.25">
      <c r="A13" s="1">
        <v>11</v>
      </c>
      <c r="B13" t="s">
        <v>1307</v>
      </c>
      <c r="C13" s="28" t="s">
        <v>1305</v>
      </c>
      <c r="D13" t="s">
        <v>1360</v>
      </c>
      <c r="E13" s="29" t="s">
        <v>1364</v>
      </c>
      <c r="G13">
        <v>11</v>
      </c>
      <c r="H13" t="s">
        <v>1305</v>
      </c>
      <c r="I13" t="s">
        <v>1364</v>
      </c>
      <c r="K13" s="1">
        <v>11</v>
      </c>
      <c r="L13" t="s">
        <v>45</v>
      </c>
      <c r="O13" s="30">
        <v>10</v>
      </c>
      <c r="P13" s="30" t="s">
        <v>42</v>
      </c>
      <c r="R13">
        <v>10</v>
      </c>
      <c r="S13" t="s">
        <v>1454</v>
      </c>
      <c r="U13">
        <v>10</v>
      </c>
      <c r="V13" t="s">
        <v>1476</v>
      </c>
      <c r="Y13" s="151"/>
      <c r="Z13" s="2456" t="s">
        <v>7848</v>
      </c>
      <c r="AA13" s="2380" t="s">
        <v>10450</v>
      </c>
      <c r="AB13" s="152">
        <v>2</v>
      </c>
      <c r="AC13" s="152">
        <v>40</v>
      </c>
      <c r="AD13" s="152" t="s">
        <v>1997</v>
      </c>
      <c r="AE13" s="2456" t="s">
        <v>1997</v>
      </c>
      <c r="AF13" s="151"/>
      <c r="AG13">
        <v>0</v>
      </c>
      <c r="AH13">
        <v>0</v>
      </c>
      <c r="AM13">
        <v>0</v>
      </c>
      <c r="AN13">
        <v>0</v>
      </c>
      <c r="AO13">
        <f ca="1"/>
        <v>0</v>
      </c>
      <c r="AP13">
        <v>0</v>
      </c>
      <c r="AR13" s="151"/>
      <c r="AS13" s="151"/>
      <c r="AT13" s="1940"/>
      <c r="AU13" s="2467">
        <v>7</v>
      </c>
      <c r="AV13" s="1949"/>
      <c r="AW13" s="1949"/>
      <c r="AX13" s="1949"/>
      <c r="AY13" s="2462"/>
      <c r="AZ13" s="1949"/>
      <c r="BA13" s="1949">
        <v>7</v>
      </c>
      <c r="BB13" s="1954" t="s">
        <v>9519</v>
      </c>
      <c r="BC13" s="2461" t="s">
        <v>9503</v>
      </c>
      <c r="BD13" s="1940"/>
      <c r="BE13" s="1965">
        <v>2</v>
      </c>
      <c r="BF13" s="1946" t="s">
        <v>9520</v>
      </c>
      <c r="BG13" s="1952" t="s">
        <v>9521</v>
      </c>
      <c r="BH13" s="1941"/>
      <c r="BI13" s="1941"/>
      <c r="BJ13" s="1941"/>
      <c r="BK13" s="1940"/>
      <c r="BL13" s="1940"/>
      <c r="BP13" s="1"/>
      <c r="BQ13" s="1"/>
      <c r="BR13" s="1"/>
      <c r="BT13">
        <v>3</v>
      </c>
      <c r="BU13">
        <v>10</v>
      </c>
      <c r="BV13" t="s">
        <v>1730</v>
      </c>
    </row>
    <row r="14" spans="1:90" ht="17.25">
      <c r="A14" s="1">
        <v>12</v>
      </c>
      <c r="B14" t="s">
        <v>1308</v>
      </c>
      <c r="C14" s="28" t="s">
        <v>1578</v>
      </c>
      <c r="D14" t="s">
        <v>1361</v>
      </c>
      <c r="E14" s="29" t="s">
        <v>1615</v>
      </c>
      <c r="G14">
        <v>12</v>
      </c>
      <c r="H14" t="s">
        <v>1578</v>
      </c>
      <c r="I14" t="s">
        <v>1615</v>
      </c>
      <c r="K14" s="1">
        <v>12</v>
      </c>
      <c r="L14" t="s">
        <v>434</v>
      </c>
      <c r="O14" s="30">
        <v>11</v>
      </c>
      <c r="P14" s="30" t="s">
        <v>86</v>
      </c>
      <c r="R14">
        <v>11</v>
      </c>
      <c r="S14" t="s">
        <v>1455</v>
      </c>
      <c r="U14">
        <v>11</v>
      </c>
      <c r="V14" t="s">
        <v>1477</v>
      </c>
      <c r="Y14" s="151"/>
      <c r="Z14" s="2456" t="s">
        <v>10445</v>
      </c>
      <c r="AA14" s="2380" t="s">
        <v>10444</v>
      </c>
      <c r="AB14" s="152">
        <v>2</v>
      </c>
      <c r="AC14" s="152">
        <v>1.5</v>
      </c>
      <c r="AD14" s="152" t="s">
        <v>1997</v>
      </c>
      <c r="AE14" s="2456" t="s">
        <v>1997</v>
      </c>
      <c r="AF14" s="151"/>
      <c r="AG14">
        <v>0</v>
      </c>
      <c r="AH14">
        <v>0</v>
      </c>
      <c r="AM14">
        <v>0</v>
      </c>
      <c r="AN14">
        <v>0</v>
      </c>
      <c r="AP14">
        <v>0</v>
      </c>
      <c r="AR14" s="151"/>
      <c r="AS14" s="151"/>
      <c r="AT14" s="1940"/>
      <c r="AU14" s="2467">
        <v>8</v>
      </c>
      <c r="AV14" s="1949"/>
      <c r="AW14" s="1949"/>
      <c r="AX14" s="1949"/>
      <c r="AY14" s="2462"/>
      <c r="AZ14" s="1949"/>
      <c r="BA14" s="1949">
        <v>8</v>
      </c>
      <c r="BB14" s="1966" t="s">
        <v>1025</v>
      </c>
      <c r="BC14" s="2463" t="s">
        <v>9522</v>
      </c>
      <c r="BD14" s="1940"/>
      <c r="BE14" s="1965">
        <v>3</v>
      </c>
      <c r="BF14" s="1946" t="s">
        <v>9523</v>
      </c>
      <c r="BG14" s="1952" t="s">
        <v>9524</v>
      </c>
      <c r="BH14" s="1941"/>
      <c r="BI14" s="1941"/>
      <c r="BJ14" s="1941"/>
      <c r="BK14" s="1940"/>
      <c r="BL14" s="1940"/>
      <c r="BQ14" s="1"/>
      <c r="BR14" s="1"/>
      <c r="BT14">
        <v>4</v>
      </c>
      <c r="BU14">
        <v>15</v>
      </c>
      <c r="BV14" t="s">
        <v>1731</v>
      </c>
    </row>
    <row r="15" spans="1:90" ht="18" thickBot="1">
      <c r="A15" s="1">
        <v>13</v>
      </c>
      <c r="B15" t="s">
        <v>1309</v>
      </c>
      <c r="C15" s="28" t="s">
        <v>1579</v>
      </c>
      <c r="D15" t="s">
        <v>1362</v>
      </c>
      <c r="E15" s="29" t="s">
        <v>1616</v>
      </c>
      <c r="G15">
        <v>13</v>
      </c>
      <c r="H15" t="s">
        <v>1579</v>
      </c>
      <c r="I15" t="s">
        <v>1616</v>
      </c>
      <c r="K15" s="1">
        <v>13</v>
      </c>
      <c r="L15" t="s">
        <v>127</v>
      </c>
      <c r="O15" s="30">
        <v>12</v>
      </c>
      <c r="P15" s="30" t="s">
        <v>1714</v>
      </c>
      <c r="R15">
        <v>12</v>
      </c>
      <c r="S15" t="s">
        <v>1456</v>
      </c>
      <c r="U15">
        <v>12</v>
      </c>
      <c r="V15" t="s">
        <v>1478</v>
      </c>
      <c r="Y15" s="151"/>
      <c r="Z15" s="2456" t="s">
        <v>7891</v>
      </c>
      <c r="AA15" s="2380" t="s">
        <v>10443</v>
      </c>
      <c r="AB15" s="152">
        <v>2</v>
      </c>
      <c r="AC15" s="152">
        <v>25</v>
      </c>
      <c r="AD15" s="152" t="s">
        <v>1997</v>
      </c>
      <c r="AE15" s="2456" t="s">
        <v>1997</v>
      </c>
      <c r="AF15" s="151"/>
      <c r="AG15">
        <v>0</v>
      </c>
      <c r="AH15">
        <v>0</v>
      </c>
      <c r="AM15">
        <v>0</v>
      </c>
      <c r="AN15">
        <v>0</v>
      </c>
      <c r="AP15">
        <v>0</v>
      </c>
      <c r="AR15" s="151"/>
      <c r="AS15" s="151"/>
      <c r="AT15" s="1940"/>
      <c r="AU15" s="2467">
        <v>9</v>
      </c>
      <c r="AV15" s="1949"/>
      <c r="AW15" s="1949"/>
      <c r="AX15" s="1949"/>
      <c r="AY15" s="2462"/>
      <c r="AZ15" s="1949"/>
      <c r="BA15" s="1949">
        <v>9</v>
      </c>
      <c r="BB15" s="1954" t="s">
        <v>9525</v>
      </c>
      <c r="BC15" s="2461" t="s">
        <v>9526</v>
      </c>
      <c r="BD15" s="1940"/>
      <c r="BE15" s="1965">
        <v>4</v>
      </c>
      <c r="BF15" s="1946" t="s">
        <v>9527</v>
      </c>
      <c r="BG15" s="1952" t="s">
        <v>9528</v>
      </c>
      <c r="BH15" s="1941"/>
      <c r="BI15" s="1941"/>
      <c r="BJ15" s="1941"/>
      <c r="BK15" s="1940"/>
      <c r="BL15" s="1940"/>
      <c r="BM15" t="s">
        <v>1725</v>
      </c>
      <c r="BN15" t="s">
        <v>2081</v>
      </c>
      <c r="BP15" s="93" t="s">
        <v>1725</v>
      </c>
      <c r="BQ15" s="1" t="s">
        <v>2129</v>
      </c>
      <c r="BR15" s="1"/>
      <c r="BT15">
        <v>5</v>
      </c>
      <c r="BU15">
        <v>18</v>
      </c>
      <c r="BV15" t="s">
        <v>1732</v>
      </c>
    </row>
    <row r="16" spans="1:90" ht="17.25">
      <c r="A16" s="1">
        <v>14</v>
      </c>
      <c r="B16" t="s">
        <v>1310</v>
      </c>
      <c r="C16" s="28" t="s">
        <v>1580</v>
      </c>
      <c r="D16" t="s">
        <v>1363</v>
      </c>
      <c r="E16" s="29" t="s">
        <v>1617</v>
      </c>
      <c r="G16">
        <v>14</v>
      </c>
      <c r="H16" t="s">
        <v>1580</v>
      </c>
      <c r="I16" t="s">
        <v>1617</v>
      </c>
      <c r="K16" s="1">
        <v>14</v>
      </c>
      <c r="L16" t="s">
        <v>49</v>
      </c>
      <c r="O16" s="30">
        <v>13</v>
      </c>
      <c r="P16" s="30" t="s">
        <v>608</v>
      </c>
      <c r="R16">
        <v>13</v>
      </c>
      <c r="S16" t="s">
        <v>1457</v>
      </c>
      <c r="U16">
        <v>13</v>
      </c>
      <c r="V16" t="s">
        <v>1479</v>
      </c>
      <c r="Y16" s="151"/>
      <c r="Z16" s="2456" t="s">
        <v>10442</v>
      </c>
      <c r="AA16" s="2380" t="s">
        <v>10441</v>
      </c>
      <c r="AB16" s="152">
        <v>1</v>
      </c>
      <c r="AC16" s="152">
        <v>20</v>
      </c>
      <c r="AD16" s="152" t="s">
        <v>10391</v>
      </c>
      <c r="AE16" s="2456" t="s">
        <v>1997</v>
      </c>
      <c r="AF16" s="151"/>
      <c r="AG16">
        <v>0</v>
      </c>
      <c r="AH16">
        <v>0</v>
      </c>
      <c r="AM16">
        <v>0</v>
      </c>
      <c r="AN16">
        <v>0</v>
      </c>
      <c r="AP16">
        <v>0</v>
      </c>
      <c r="AR16" s="151"/>
      <c r="AS16" s="151"/>
      <c r="AT16" s="1940"/>
      <c r="AU16" s="2471">
        <v>10</v>
      </c>
      <c r="AV16" s="2464"/>
      <c r="AW16" s="2464"/>
      <c r="AX16" s="2464"/>
      <c r="AY16" s="2472"/>
      <c r="AZ16" s="1949"/>
      <c r="BA16" s="1949">
        <v>10</v>
      </c>
      <c r="BB16" s="1954" t="s">
        <v>9529</v>
      </c>
      <c r="BC16" s="2463" t="s">
        <v>9491</v>
      </c>
      <c r="BD16" s="1940"/>
      <c r="BE16" s="1965">
        <v>5</v>
      </c>
      <c r="BF16" s="1946" t="s">
        <v>9530</v>
      </c>
      <c r="BG16" s="1952" t="s">
        <v>9531</v>
      </c>
      <c r="BH16" s="1941"/>
      <c r="BI16" s="1941"/>
      <c r="BJ16" s="1941"/>
      <c r="BK16" s="1940"/>
      <c r="BL16" s="1940"/>
      <c r="BM16">
        <v>1</v>
      </c>
      <c r="BN16" t="s">
        <v>2082</v>
      </c>
      <c r="BP16">
        <v>1</v>
      </c>
      <c r="BQ16" s="1" t="s">
        <v>2130</v>
      </c>
      <c r="BR16" s="1"/>
    </row>
    <row r="17" spans="1:79" ht="17.25">
      <c r="A17" s="1">
        <v>15</v>
      </c>
      <c r="B17" t="s">
        <v>1311</v>
      </c>
      <c r="C17" s="28" t="s">
        <v>1310</v>
      </c>
      <c r="D17" t="s">
        <v>1364</v>
      </c>
      <c r="E17" s="29" t="s">
        <v>1618</v>
      </c>
      <c r="G17">
        <v>15</v>
      </c>
      <c r="H17" t="s">
        <v>1310</v>
      </c>
      <c r="I17" t="s">
        <v>1618</v>
      </c>
      <c r="K17" s="1">
        <v>15</v>
      </c>
      <c r="L17" t="s">
        <v>435</v>
      </c>
      <c r="O17" s="30">
        <v>14</v>
      </c>
      <c r="P17" s="30" t="s">
        <v>609</v>
      </c>
      <c r="R17">
        <v>14</v>
      </c>
      <c r="S17" t="s">
        <v>1458</v>
      </c>
      <c r="U17">
        <v>14</v>
      </c>
      <c r="V17" t="s">
        <v>1480</v>
      </c>
      <c r="Y17" s="151"/>
      <c r="Z17" s="2456" t="s">
        <v>10438</v>
      </c>
      <c r="AA17" s="2380" t="s">
        <v>10436</v>
      </c>
      <c r="AB17" s="152">
        <v>1</v>
      </c>
      <c r="AC17" s="152">
        <v>5</v>
      </c>
      <c r="AD17" s="152" t="s">
        <v>10391</v>
      </c>
      <c r="AE17" s="2456" t="s">
        <v>1997</v>
      </c>
      <c r="AF17" s="151"/>
      <c r="AG17">
        <v>0</v>
      </c>
      <c r="AH17">
        <v>0</v>
      </c>
      <c r="AM17">
        <v>0</v>
      </c>
      <c r="AN17">
        <v>0</v>
      </c>
      <c r="AP17">
        <v>0</v>
      </c>
      <c r="AR17" s="151"/>
      <c r="AS17" s="151"/>
      <c r="AT17" s="1940"/>
      <c r="AU17" s="1940"/>
      <c r="AV17" s="1940"/>
      <c r="AW17" s="1940"/>
      <c r="AX17" s="1940"/>
      <c r="AY17" s="1940"/>
      <c r="AZ17" s="1940"/>
      <c r="BA17" s="1949">
        <v>11</v>
      </c>
      <c r="BB17" s="1954" t="s">
        <v>9532</v>
      </c>
      <c r="BC17" s="2461" t="s">
        <v>9509</v>
      </c>
      <c r="BD17" s="1940"/>
      <c r="BE17" s="1965">
        <v>6</v>
      </c>
      <c r="BF17" s="1946" t="s">
        <v>9533</v>
      </c>
      <c r="BG17" s="1952" t="s">
        <v>9534</v>
      </c>
      <c r="BH17" s="1941"/>
      <c r="BI17" s="1941"/>
      <c r="BJ17" s="1941"/>
      <c r="BK17" s="1940"/>
      <c r="BL17" s="1940"/>
      <c r="BM17">
        <v>2</v>
      </c>
      <c r="BN17" t="s">
        <v>2083</v>
      </c>
      <c r="BP17">
        <v>2</v>
      </c>
      <c r="BQ17" s="1" t="s">
        <v>2131</v>
      </c>
      <c r="BR17" s="1"/>
    </row>
    <row r="18" spans="1:79" ht="17.25">
      <c r="A18" s="1">
        <v>16</v>
      </c>
      <c r="B18" t="s">
        <v>1312</v>
      </c>
      <c r="C18" s="28" t="s">
        <v>1311</v>
      </c>
      <c r="D18" t="s">
        <v>1365</v>
      </c>
      <c r="E18" s="29" t="s">
        <v>1619</v>
      </c>
      <c r="G18">
        <v>16</v>
      </c>
      <c r="H18" t="s">
        <v>1311</v>
      </c>
      <c r="I18" t="s">
        <v>1619</v>
      </c>
      <c r="K18" s="1">
        <v>16</v>
      </c>
      <c r="L18" t="s">
        <v>437</v>
      </c>
      <c r="O18" s="30">
        <v>15</v>
      </c>
      <c r="P18" s="30" t="s">
        <v>610</v>
      </c>
      <c r="R18">
        <v>15</v>
      </c>
      <c r="S18" t="s">
        <v>1459</v>
      </c>
      <c r="U18">
        <v>15</v>
      </c>
      <c r="V18" t="s">
        <v>1481</v>
      </c>
      <c r="Y18" s="151"/>
      <c r="Z18" s="2456" t="s">
        <v>10437</v>
      </c>
      <c r="AA18" s="2380" t="s">
        <v>10436</v>
      </c>
      <c r="AB18" s="152">
        <v>1</v>
      </c>
      <c r="AC18" s="152">
        <v>10</v>
      </c>
      <c r="AD18" s="152" t="s">
        <v>10391</v>
      </c>
      <c r="AE18" s="2456" t="s">
        <v>1997</v>
      </c>
      <c r="AF18" s="151"/>
      <c r="AM18">
        <v>0</v>
      </c>
      <c r="AN18">
        <v>0</v>
      </c>
      <c r="AP18">
        <v>0</v>
      </c>
      <c r="AR18" s="151"/>
      <c r="AS18" s="151"/>
      <c r="AT18" s="1940"/>
      <c r="AU18" s="1940"/>
      <c r="AV18" s="1940"/>
      <c r="AW18" s="1940"/>
      <c r="AX18" s="1940"/>
      <c r="AY18" s="1940"/>
      <c r="AZ18" s="1940"/>
      <c r="BA18" s="1949">
        <v>12</v>
      </c>
      <c r="BB18" s="1954" t="s">
        <v>9535</v>
      </c>
      <c r="BC18" s="2461" t="s">
        <v>9509</v>
      </c>
      <c r="BD18" s="1940"/>
      <c r="BE18" s="1965">
        <v>7</v>
      </c>
      <c r="BF18" s="1946" t="s">
        <v>9536</v>
      </c>
      <c r="BG18" s="1952" t="s">
        <v>9537</v>
      </c>
      <c r="BH18" s="1941"/>
      <c r="BI18" s="1941"/>
      <c r="BJ18" s="1941"/>
      <c r="BK18" s="1940"/>
      <c r="BL18" s="1940"/>
      <c r="BM18">
        <v>3</v>
      </c>
      <c r="BN18" t="s">
        <v>2084</v>
      </c>
      <c r="BP18">
        <v>3</v>
      </c>
      <c r="BQ18" s="1" t="s">
        <v>2132</v>
      </c>
      <c r="BR18" s="1"/>
    </row>
    <row r="19" spans="1:79" ht="17.25">
      <c r="A19" s="1">
        <v>17</v>
      </c>
      <c r="B19" t="s">
        <v>1313</v>
      </c>
      <c r="C19" s="28" t="s">
        <v>1581</v>
      </c>
      <c r="D19" t="s">
        <v>1366</v>
      </c>
      <c r="E19" s="29" t="s">
        <v>1620</v>
      </c>
      <c r="G19">
        <v>17</v>
      </c>
      <c r="H19" t="s">
        <v>1581</v>
      </c>
      <c r="I19" t="s">
        <v>1620</v>
      </c>
      <c r="K19" s="1">
        <v>17</v>
      </c>
      <c r="L19" t="s">
        <v>438</v>
      </c>
      <c r="O19" s="30">
        <v>16</v>
      </c>
      <c r="P19" s="30" t="s">
        <v>18</v>
      </c>
      <c r="R19">
        <v>16</v>
      </c>
      <c r="S19" t="s">
        <v>1460</v>
      </c>
      <c r="U19">
        <v>16</v>
      </c>
      <c r="V19" t="s">
        <v>1482</v>
      </c>
      <c r="Y19" s="151"/>
      <c r="Z19" s="2456" t="s">
        <v>7903</v>
      </c>
      <c r="AA19" s="2380" t="s">
        <v>10435</v>
      </c>
      <c r="AB19" s="152">
        <v>5</v>
      </c>
      <c r="AC19" s="152">
        <v>300</v>
      </c>
      <c r="AD19" s="152" t="s">
        <v>1997</v>
      </c>
      <c r="AE19" s="2456" t="s">
        <v>1997</v>
      </c>
      <c r="AF19" s="151"/>
      <c r="AM19">
        <v>0</v>
      </c>
      <c r="AN19">
        <v>0</v>
      </c>
      <c r="AP19">
        <v>0</v>
      </c>
      <c r="AR19" s="151"/>
      <c r="AS19" s="151"/>
      <c r="AT19" s="1940"/>
      <c r="AU19" s="1940"/>
      <c r="AV19" s="1940"/>
      <c r="AW19" s="1940"/>
      <c r="AX19" s="1940"/>
      <c r="AY19" s="1940"/>
      <c r="AZ19" s="1940"/>
      <c r="BA19" s="2464">
        <v>13</v>
      </c>
      <c r="BB19" s="2465" t="s">
        <v>9538</v>
      </c>
      <c r="BC19" s="2466" t="s">
        <v>9509</v>
      </c>
      <c r="BD19" s="1940"/>
      <c r="BE19" s="1965">
        <v>8</v>
      </c>
      <c r="BF19" s="1946" t="s">
        <v>9539</v>
      </c>
      <c r="BG19" s="1952" t="s">
        <v>9540</v>
      </c>
      <c r="BH19" s="1941"/>
      <c r="BI19" s="1941"/>
      <c r="BJ19" s="1941"/>
      <c r="BK19" s="1940"/>
      <c r="BL19" s="1940"/>
      <c r="BM19">
        <v>4</v>
      </c>
      <c r="BN19" t="s">
        <v>2085</v>
      </c>
      <c r="BP19">
        <v>4</v>
      </c>
      <c r="BQ19" s="1" t="s">
        <v>2133</v>
      </c>
      <c r="BR19" s="1"/>
    </row>
    <row r="20" spans="1:79" ht="17.25">
      <c r="A20" s="1">
        <v>18</v>
      </c>
      <c r="B20" t="s">
        <v>1314</v>
      </c>
      <c r="C20" s="28" t="s">
        <v>1582</v>
      </c>
      <c r="D20" t="s">
        <v>1367</v>
      </c>
      <c r="E20" s="29" t="s">
        <v>1375</v>
      </c>
      <c r="G20">
        <v>18</v>
      </c>
      <c r="H20" t="s">
        <v>1582</v>
      </c>
      <c r="I20" t="s">
        <v>1375</v>
      </c>
      <c r="K20" s="1">
        <v>18</v>
      </c>
      <c r="L20" t="s">
        <v>439</v>
      </c>
      <c r="O20" s="30">
        <v>17</v>
      </c>
      <c r="P20" s="30" t="s">
        <v>611</v>
      </c>
      <c r="R20">
        <v>17</v>
      </c>
      <c r="S20" t="s">
        <v>1461</v>
      </c>
      <c r="U20">
        <v>17</v>
      </c>
      <c r="V20" t="s">
        <v>1483</v>
      </c>
      <c r="Y20" s="151"/>
      <c r="Z20" s="2456" t="s">
        <v>10434</v>
      </c>
      <c r="AA20" s="2380" t="s">
        <v>10433</v>
      </c>
      <c r="AB20" s="152">
        <v>1</v>
      </c>
      <c r="AC20" s="152">
        <v>1</v>
      </c>
      <c r="AD20" s="152" t="s">
        <v>1997</v>
      </c>
      <c r="AE20" s="2456" t="s">
        <v>1997</v>
      </c>
      <c r="AF20" s="151"/>
      <c r="AM20">
        <v>0</v>
      </c>
      <c r="AN20">
        <v>0</v>
      </c>
      <c r="AP20">
        <v>0</v>
      </c>
      <c r="AR20" s="151"/>
      <c r="AS20" s="151"/>
      <c r="AT20" s="1940"/>
      <c r="AU20" s="1940"/>
      <c r="AV20" s="1940"/>
      <c r="AW20" s="1940"/>
      <c r="AX20" s="1940"/>
      <c r="AY20" s="1940"/>
      <c r="AZ20" s="1940"/>
      <c r="BA20" s="1940"/>
      <c r="BB20" s="1940"/>
      <c r="BC20" s="1940"/>
      <c r="BD20" s="1940"/>
      <c r="BE20" s="1965">
        <v>9</v>
      </c>
      <c r="BF20" s="1946" t="s">
        <v>9541</v>
      </c>
      <c r="BG20" s="1952" t="s">
        <v>9542</v>
      </c>
      <c r="BH20" s="1941"/>
      <c r="BI20" s="1941"/>
      <c r="BJ20" s="1941"/>
      <c r="BK20" s="1940"/>
      <c r="BL20" s="1940"/>
      <c r="BM20">
        <v>5</v>
      </c>
      <c r="BN20" t="s">
        <v>2086</v>
      </c>
      <c r="BP20">
        <v>5</v>
      </c>
      <c r="BQ20" s="1" t="s">
        <v>2134</v>
      </c>
      <c r="BR20" s="1"/>
    </row>
    <row r="21" spans="1:79" ht="17.25">
      <c r="A21" s="1">
        <v>19</v>
      </c>
      <c r="B21" t="s">
        <v>1315</v>
      </c>
      <c r="C21" s="28" t="s">
        <v>1583</v>
      </c>
      <c r="D21" t="s">
        <v>1368</v>
      </c>
      <c r="E21" s="29" t="s">
        <v>1621</v>
      </c>
      <c r="G21">
        <v>19</v>
      </c>
      <c r="H21" t="s">
        <v>1583</v>
      </c>
      <c r="I21" t="s">
        <v>1621</v>
      </c>
      <c r="K21" s="1">
        <v>19</v>
      </c>
      <c r="L21" t="s">
        <v>441</v>
      </c>
      <c r="O21" s="30">
        <v>18</v>
      </c>
      <c r="P21" s="30" t="s">
        <v>612</v>
      </c>
      <c r="R21">
        <v>18</v>
      </c>
      <c r="S21" t="s">
        <v>1462</v>
      </c>
      <c r="U21">
        <v>18</v>
      </c>
      <c r="V21" t="s">
        <v>1484</v>
      </c>
      <c r="Y21" s="151"/>
      <c r="Z21" s="2456" t="s">
        <v>10431</v>
      </c>
      <c r="AA21" s="2380" t="s">
        <v>10430</v>
      </c>
      <c r="AB21" s="152">
        <v>4</v>
      </c>
      <c r="AC21" s="152">
        <v>8</v>
      </c>
      <c r="AD21" s="152" t="s">
        <v>1997</v>
      </c>
      <c r="AE21" s="2456" t="s">
        <v>1997</v>
      </c>
      <c r="AF21" s="151"/>
      <c r="AM21">
        <v>0</v>
      </c>
      <c r="AN21">
        <v>0</v>
      </c>
      <c r="AP21">
        <v>0</v>
      </c>
      <c r="AR21" s="151"/>
      <c r="AS21" s="151"/>
      <c r="AT21" s="1940"/>
      <c r="AU21" s="1940"/>
      <c r="AV21" s="1940"/>
      <c r="AW21" s="1940"/>
      <c r="AX21" s="1940"/>
      <c r="AY21" s="1940"/>
      <c r="AZ21" s="1940"/>
      <c r="BA21" s="1940"/>
      <c r="BB21" s="1940"/>
      <c r="BC21" s="1940"/>
      <c r="BD21" s="1940"/>
      <c r="BE21" s="1965">
        <v>10</v>
      </c>
      <c r="BF21" s="1946" t="s">
        <v>9543</v>
      </c>
      <c r="BG21" s="1952" t="s">
        <v>9544</v>
      </c>
      <c r="BH21" s="1941"/>
      <c r="BI21" s="1941"/>
      <c r="BJ21" s="1941"/>
      <c r="BK21" s="1940"/>
      <c r="BL21" s="1940"/>
      <c r="BP21" s="1"/>
      <c r="BQ21" s="1"/>
      <c r="BR21" s="1"/>
    </row>
    <row r="22" spans="1:79" ht="17.25">
      <c r="A22" s="1">
        <v>20</v>
      </c>
      <c r="B22" t="s">
        <v>1316</v>
      </c>
      <c r="C22" s="28" t="s">
        <v>1584</v>
      </c>
      <c r="D22" t="s">
        <v>1369</v>
      </c>
      <c r="E22" s="29" t="s">
        <v>1622</v>
      </c>
      <c r="G22">
        <v>20</v>
      </c>
      <c r="H22" t="s">
        <v>1584</v>
      </c>
      <c r="I22" t="s">
        <v>1622</v>
      </c>
      <c r="K22" s="1">
        <v>20</v>
      </c>
      <c r="L22" t="s">
        <v>88</v>
      </c>
      <c r="O22" s="30">
        <v>19</v>
      </c>
      <c r="P22" s="30" t="s">
        <v>613</v>
      </c>
      <c r="R22">
        <v>19</v>
      </c>
      <c r="S22" t="s">
        <v>1463</v>
      </c>
      <c r="U22">
        <v>19</v>
      </c>
      <c r="V22" t="s">
        <v>1485</v>
      </c>
      <c r="Y22" s="151"/>
      <c r="Z22" s="2456" t="s">
        <v>8029</v>
      </c>
      <c r="AA22" s="2380" t="s">
        <v>10429</v>
      </c>
      <c r="AB22" s="152">
        <v>10</v>
      </c>
      <c r="AC22" s="152">
        <v>8</v>
      </c>
      <c r="AD22" s="152" t="s">
        <v>1997</v>
      </c>
      <c r="AE22" s="2456" t="s">
        <v>1997</v>
      </c>
      <c r="AF22" s="151"/>
      <c r="AM22">
        <v>0</v>
      </c>
      <c r="AN22">
        <v>0</v>
      </c>
      <c r="AP22">
        <v>0</v>
      </c>
      <c r="AR22" s="151"/>
      <c r="AS22" s="151"/>
      <c r="AT22" s="1950"/>
      <c r="AU22" s="1967" t="s">
        <v>9489</v>
      </c>
      <c r="AV22" s="1967" t="s">
        <v>9545</v>
      </c>
      <c r="AW22" s="1967" t="s">
        <v>8493</v>
      </c>
      <c r="AX22" s="1967" t="s">
        <v>9546</v>
      </c>
      <c r="AY22" s="1967" t="s">
        <v>9511</v>
      </c>
      <c r="AZ22" s="1968" t="s">
        <v>9547</v>
      </c>
      <c r="BA22" s="1968" t="s">
        <v>9548</v>
      </c>
      <c r="BB22" s="1969" t="s">
        <v>9549</v>
      </c>
      <c r="BC22" s="1970"/>
      <c r="BD22" s="1971"/>
      <c r="BE22" s="1965">
        <v>11</v>
      </c>
      <c r="BF22" s="1946" t="s">
        <v>9550</v>
      </c>
      <c r="BG22" s="1952" t="s">
        <v>9551</v>
      </c>
      <c r="BH22" s="1941"/>
      <c r="BI22" s="1941"/>
      <c r="BJ22" s="1941"/>
      <c r="BK22" s="1971"/>
      <c r="BL22" s="1971"/>
      <c r="BP22" s="1"/>
      <c r="BQ22" s="1"/>
      <c r="BR22" s="1"/>
      <c r="BU22" s="92" t="s">
        <v>1725</v>
      </c>
      <c r="BV22" t="s">
        <v>597</v>
      </c>
    </row>
    <row r="23" spans="1:79" ht="18" thickBot="1">
      <c r="A23" s="1">
        <v>21</v>
      </c>
      <c r="B23" t="s">
        <v>1317</v>
      </c>
      <c r="C23" s="28" t="s">
        <v>1585</v>
      </c>
      <c r="D23" t="s">
        <v>1370</v>
      </c>
      <c r="E23" s="29" t="s">
        <v>1623</v>
      </c>
      <c r="G23">
        <v>21</v>
      </c>
      <c r="H23" t="s">
        <v>1585</v>
      </c>
      <c r="I23" t="s">
        <v>1623</v>
      </c>
      <c r="K23" s="1">
        <v>21</v>
      </c>
      <c r="L23" t="s">
        <v>235</v>
      </c>
      <c r="O23" s="30">
        <v>20</v>
      </c>
      <c r="P23" s="30" t="s">
        <v>1654</v>
      </c>
      <c r="R23">
        <v>20</v>
      </c>
      <c r="S23" t="s">
        <v>1464</v>
      </c>
      <c r="U23">
        <v>20</v>
      </c>
      <c r="V23" t="s">
        <v>1486</v>
      </c>
      <c r="Y23" s="151"/>
      <c r="Z23" s="2456" t="s">
        <v>8035</v>
      </c>
      <c r="AA23" s="2380" t="s">
        <v>10422</v>
      </c>
      <c r="AB23" s="152">
        <v>1</v>
      </c>
      <c r="AC23" s="152">
        <v>6</v>
      </c>
      <c r="AD23" s="152" t="s">
        <v>1997</v>
      </c>
      <c r="AE23" s="2456" t="s">
        <v>1997</v>
      </c>
      <c r="AF23" s="151"/>
      <c r="AM23">
        <v>0</v>
      </c>
      <c r="AN23">
        <v>0</v>
      </c>
      <c r="AP23">
        <v>0</v>
      </c>
      <c r="AR23" s="151"/>
      <c r="AS23" s="151"/>
      <c r="AT23" s="1949">
        <v>1</v>
      </c>
      <c r="AU23" s="1949" t="s">
        <v>9552</v>
      </c>
      <c r="AV23" s="1949" t="s">
        <v>9553</v>
      </c>
      <c r="AW23" s="1949" t="s">
        <v>9554</v>
      </c>
      <c r="AX23" s="1949" t="s">
        <v>9555</v>
      </c>
      <c r="AY23" s="1949" t="s">
        <v>9556</v>
      </c>
      <c r="AZ23" s="1972">
        <v>1</v>
      </c>
      <c r="BA23" s="1972">
        <v>0</v>
      </c>
      <c r="BB23" s="1973" t="s">
        <v>9557</v>
      </c>
      <c r="BC23" s="1974"/>
      <c r="BD23" s="1940" t="s">
        <v>1287</v>
      </c>
      <c r="BE23" s="1975">
        <v>12</v>
      </c>
      <c r="BF23" s="1956" t="s">
        <v>9558</v>
      </c>
      <c r="BG23" s="1957" t="s">
        <v>9559</v>
      </c>
      <c r="BH23" s="1941"/>
      <c r="BI23" s="1941"/>
      <c r="BJ23" s="1941"/>
      <c r="BK23" s="1940"/>
      <c r="BL23" s="1940"/>
      <c r="BP23" s="1"/>
      <c r="BQ23" s="1"/>
      <c r="BR23" s="1"/>
      <c r="BU23">
        <v>1</v>
      </c>
      <c r="BV23" s="1" t="s">
        <v>2117</v>
      </c>
    </row>
    <row r="24" spans="1:79" ht="18" thickBot="1">
      <c r="A24" s="1">
        <v>22</v>
      </c>
      <c r="B24" t="s">
        <v>1318</v>
      </c>
      <c r="C24" s="28" t="s">
        <v>1586</v>
      </c>
      <c r="D24" t="s">
        <v>1371</v>
      </c>
      <c r="E24" s="29" t="s">
        <v>1624</v>
      </c>
      <c r="G24">
        <v>22</v>
      </c>
      <c r="H24" t="s">
        <v>1586</v>
      </c>
      <c r="I24" t="s">
        <v>1624</v>
      </c>
      <c r="K24" s="1">
        <v>22</v>
      </c>
      <c r="L24" t="s">
        <v>443</v>
      </c>
      <c r="O24" s="30">
        <v>21</v>
      </c>
      <c r="P24" s="30" t="s">
        <v>588</v>
      </c>
      <c r="U24">
        <v>21</v>
      </c>
      <c r="V24" t="s">
        <v>1487</v>
      </c>
      <c r="Y24" s="151"/>
      <c r="Z24" s="2456" t="s">
        <v>10425</v>
      </c>
      <c r="AA24" s="2380" t="s">
        <v>10422</v>
      </c>
      <c r="AB24" s="152">
        <v>1</v>
      </c>
      <c r="AC24" s="152">
        <v>20</v>
      </c>
      <c r="AD24" s="152" t="s">
        <v>10391</v>
      </c>
      <c r="AE24" s="2456" t="s">
        <v>1997</v>
      </c>
      <c r="AF24" s="151"/>
      <c r="AM24">
        <v>0</v>
      </c>
      <c r="AN24">
        <v>0</v>
      </c>
      <c r="AP24">
        <v>0</v>
      </c>
      <c r="AR24" s="151"/>
      <c r="AS24" s="151"/>
      <c r="AT24" s="1949">
        <v>2</v>
      </c>
      <c r="AU24" s="1949" t="s">
        <v>9560</v>
      </c>
      <c r="AV24" s="1949" t="s">
        <v>9561</v>
      </c>
      <c r="AW24" s="1949" t="s">
        <v>9562</v>
      </c>
      <c r="AX24" s="1949" t="s">
        <v>9563</v>
      </c>
      <c r="AY24" s="1949" t="s">
        <v>9564</v>
      </c>
      <c r="AZ24" s="1976">
        <v>2</v>
      </c>
      <c r="BA24" s="1977">
        <v>3</v>
      </c>
      <c r="BB24" s="1973" t="s">
        <v>9557</v>
      </c>
      <c r="BC24" s="1974"/>
      <c r="BD24" s="1940" t="s">
        <v>1287</v>
      </c>
      <c r="BE24" s="1962" t="s">
        <v>9565</v>
      </c>
      <c r="BF24" s="1963" t="s">
        <v>9566</v>
      </c>
      <c r="BG24" s="1944"/>
      <c r="BH24" s="1941"/>
      <c r="BI24" s="1941"/>
      <c r="BJ24" s="1978"/>
      <c r="BK24" s="1940"/>
      <c r="BL24" s="1940"/>
      <c r="BM24" t="s">
        <v>1725</v>
      </c>
      <c r="BN24" t="s">
        <v>2087</v>
      </c>
      <c r="BP24" s="94" t="s">
        <v>1725</v>
      </c>
      <c r="BQ24" s="1" t="s">
        <v>2135</v>
      </c>
      <c r="BR24" s="1"/>
      <c r="BU24">
        <v>2</v>
      </c>
      <c r="BV24" s="1" t="s">
        <v>2118</v>
      </c>
      <c r="BW24" s="83" t="str" cm="1">
        <f t="array" aca="1" ref="BW24" ca="1">INDEX(Таблиця24[[#All],[2. Caravan]],RANDBETWEEN(1,2),1)</f>
        <v>2. Caravan</v>
      </c>
      <c r="BZ24" s="92" t="s">
        <v>1725</v>
      </c>
      <c r="CA24" s="1" t="s">
        <v>2118</v>
      </c>
    </row>
    <row r="25" spans="1:79" ht="17.25">
      <c r="A25" s="1">
        <v>23</v>
      </c>
      <c r="B25" t="s">
        <v>1319</v>
      </c>
      <c r="C25" s="28" t="s">
        <v>1321</v>
      </c>
      <c r="D25" t="s">
        <v>1372</v>
      </c>
      <c r="E25" s="29" t="s">
        <v>1625</v>
      </c>
      <c r="G25">
        <v>23</v>
      </c>
      <c r="H25" t="s">
        <v>1321</v>
      </c>
      <c r="I25" t="s">
        <v>1625</v>
      </c>
      <c r="K25" s="1">
        <v>23</v>
      </c>
      <c r="L25" t="s">
        <v>444</v>
      </c>
      <c r="O25" s="30">
        <v>22</v>
      </c>
      <c r="P25" s="30" t="s">
        <v>614</v>
      </c>
      <c r="U25">
        <v>22</v>
      </c>
      <c r="V25" t="s">
        <v>1488</v>
      </c>
      <c r="Y25" s="151"/>
      <c r="Z25" s="2456" t="s">
        <v>10423</v>
      </c>
      <c r="AA25" s="2380" t="s">
        <v>10422</v>
      </c>
      <c r="AB25" s="152">
        <v>1</v>
      </c>
      <c r="AC25" s="152">
        <v>50</v>
      </c>
      <c r="AD25" s="152" t="s">
        <v>10391</v>
      </c>
      <c r="AE25" s="2456" t="s">
        <v>1997</v>
      </c>
      <c r="AF25" s="151"/>
      <c r="AM25">
        <v>0</v>
      </c>
      <c r="AN25">
        <v>0</v>
      </c>
      <c r="AP25">
        <v>0</v>
      </c>
      <c r="AR25" s="151"/>
      <c r="AS25" s="151"/>
      <c r="AT25" s="1949">
        <v>3</v>
      </c>
      <c r="AU25" s="1949" t="s">
        <v>9567</v>
      </c>
      <c r="AV25" s="1949" t="s">
        <v>9568</v>
      </c>
      <c r="AW25" s="1949" t="s">
        <v>9569</v>
      </c>
      <c r="AX25" s="1949" t="s">
        <v>9570</v>
      </c>
      <c r="AY25" s="1949" t="s">
        <v>9571</v>
      </c>
      <c r="AZ25" s="1976">
        <v>3</v>
      </c>
      <c r="BA25" s="1976">
        <v>10</v>
      </c>
      <c r="BB25" s="1973" t="s">
        <v>9572</v>
      </c>
      <c r="BC25" s="1974"/>
      <c r="BD25" s="1940" t="s">
        <v>1287</v>
      </c>
      <c r="BE25" s="1965">
        <v>1</v>
      </c>
      <c r="BF25" s="1946" t="s">
        <v>9573</v>
      </c>
      <c r="BG25" s="1952"/>
      <c r="BH25" s="1941"/>
      <c r="BI25" s="1941"/>
      <c r="BJ25" s="1941"/>
      <c r="BK25" s="1940"/>
      <c r="BL25" s="1940"/>
      <c r="BM25">
        <v>1</v>
      </c>
      <c r="BN25" t="s">
        <v>2088</v>
      </c>
      <c r="BP25">
        <v>1</v>
      </c>
      <c r="BQ25" s="1" t="s">
        <v>2136</v>
      </c>
      <c r="BR25" s="1"/>
      <c r="BU25" s="1">
        <v>3</v>
      </c>
      <c r="BV25" s="1" t="s">
        <v>2121</v>
      </c>
      <c r="BZ25">
        <v>1</v>
      </c>
      <c r="CA25" s="1" t="s">
        <v>2119</v>
      </c>
    </row>
    <row r="26" spans="1:79" ht="17.25">
      <c r="A26" s="1">
        <v>24</v>
      </c>
      <c r="B26" t="s">
        <v>1320</v>
      </c>
      <c r="C26" s="28" t="s">
        <v>1587</v>
      </c>
      <c r="D26" t="s">
        <v>1373</v>
      </c>
      <c r="E26" s="29" t="s">
        <v>1379</v>
      </c>
      <c r="G26">
        <v>24</v>
      </c>
      <c r="H26" t="s">
        <v>1587</v>
      </c>
      <c r="I26" t="s">
        <v>1379</v>
      </c>
      <c r="K26" s="1">
        <v>24</v>
      </c>
      <c r="L26" t="s">
        <v>445</v>
      </c>
      <c r="O26" s="30">
        <v>23</v>
      </c>
      <c r="P26" s="30" t="s">
        <v>1655</v>
      </c>
      <c r="U26">
        <v>23</v>
      </c>
      <c r="V26" t="s">
        <v>1489</v>
      </c>
      <c r="Y26" s="151"/>
      <c r="Z26" s="2456" t="s">
        <v>10421</v>
      </c>
      <c r="AA26" s="2380" t="s">
        <v>10420</v>
      </c>
      <c r="AB26" s="152">
        <v>1</v>
      </c>
      <c r="AC26" s="152">
        <v>20</v>
      </c>
      <c r="AD26" s="152" t="s">
        <v>10391</v>
      </c>
      <c r="AE26" s="2456" t="s">
        <v>1997</v>
      </c>
      <c r="AF26" s="151"/>
      <c r="AM26">
        <v>0</v>
      </c>
      <c r="AN26">
        <v>0</v>
      </c>
      <c r="AP26">
        <v>0</v>
      </c>
      <c r="AR26" s="151"/>
      <c r="AS26" s="151"/>
      <c r="AT26" s="1949">
        <v>4</v>
      </c>
      <c r="AU26" s="1949" t="s">
        <v>9574</v>
      </c>
      <c r="AV26" s="1949" t="s">
        <v>9575</v>
      </c>
      <c r="AW26" s="1949" t="s">
        <v>9576</v>
      </c>
      <c r="AX26" s="1949" t="s">
        <v>9577</v>
      </c>
      <c r="AY26" s="1949" t="s">
        <v>9578</v>
      </c>
      <c r="AZ26" s="1976">
        <v>4</v>
      </c>
      <c r="BA26" s="1976">
        <v>25</v>
      </c>
      <c r="BB26" s="1973" t="s">
        <v>9579</v>
      </c>
      <c r="BC26" s="1974"/>
      <c r="BD26" s="1940" t="s">
        <v>1287</v>
      </c>
      <c r="BE26" s="1965">
        <v>2</v>
      </c>
      <c r="BF26" s="1946" t="s">
        <v>9580</v>
      </c>
      <c r="BG26" s="1952"/>
      <c r="BH26" s="1941"/>
      <c r="BI26" s="1941"/>
      <c r="BJ26" s="1941"/>
      <c r="BK26" s="1940"/>
      <c r="BL26" s="1940"/>
      <c r="BM26">
        <v>2</v>
      </c>
      <c r="BN26" t="s">
        <v>2089</v>
      </c>
      <c r="BP26">
        <v>2</v>
      </c>
      <c r="BQ26" s="1" t="s">
        <v>2137</v>
      </c>
      <c r="BR26" s="1"/>
      <c r="BU26" s="1">
        <v>4</v>
      </c>
      <c r="BV26" s="1" t="s">
        <v>2122</v>
      </c>
      <c r="BZ26">
        <v>2</v>
      </c>
      <c r="CA26" s="1" t="s">
        <v>2120</v>
      </c>
    </row>
    <row r="27" spans="1:79" ht="17.25">
      <c r="A27" s="1">
        <v>25</v>
      </c>
      <c r="B27" t="s">
        <v>1321</v>
      </c>
      <c r="C27" s="28" t="s">
        <v>1324</v>
      </c>
      <c r="D27" t="s">
        <v>1374</v>
      </c>
      <c r="E27" s="29" t="s">
        <v>1626</v>
      </c>
      <c r="G27">
        <v>25</v>
      </c>
      <c r="H27" t="s">
        <v>1324</v>
      </c>
      <c r="I27" t="s">
        <v>1626</v>
      </c>
      <c r="K27" s="1">
        <v>25</v>
      </c>
      <c r="L27" t="s">
        <v>447</v>
      </c>
      <c r="O27" s="30">
        <v>24</v>
      </c>
      <c r="P27" s="30" t="s">
        <v>615</v>
      </c>
      <c r="U27">
        <v>24</v>
      </c>
      <c r="V27" t="s">
        <v>1490</v>
      </c>
      <c r="Y27" s="151"/>
      <c r="Z27" s="2456" t="s">
        <v>10418</v>
      </c>
      <c r="AA27" s="2380" t="s">
        <v>10417</v>
      </c>
      <c r="AB27" s="152">
        <v>0.5</v>
      </c>
      <c r="AC27" s="152">
        <v>30</v>
      </c>
      <c r="AD27" s="152" t="s">
        <v>1997</v>
      </c>
      <c r="AE27" s="2456" t="s">
        <v>1997</v>
      </c>
      <c r="AF27" s="151"/>
      <c r="AM27">
        <v>0</v>
      </c>
      <c r="AN27">
        <v>0</v>
      </c>
      <c r="AP27">
        <v>0</v>
      </c>
      <c r="AR27" s="151"/>
      <c r="AS27" s="151"/>
      <c r="AT27" s="1949">
        <v>5</v>
      </c>
      <c r="AU27" s="1949" t="s">
        <v>9581</v>
      </c>
      <c r="AV27" s="1949" t="s">
        <v>9582</v>
      </c>
      <c r="AW27" s="1949" t="s">
        <v>9583</v>
      </c>
      <c r="AX27" s="1949" t="s">
        <v>9584</v>
      </c>
      <c r="AY27" s="1949" t="s">
        <v>9585</v>
      </c>
      <c r="AZ27" s="1976">
        <v>5</v>
      </c>
      <c r="BA27" s="1976">
        <v>50</v>
      </c>
      <c r="BB27" s="1973" t="s">
        <v>9586</v>
      </c>
      <c r="BC27" s="1974"/>
      <c r="BD27" s="1940" t="s">
        <v>1287</v>
      </c>
      <c r="BE27" s="1965">
        <v>3</v>
      </c>
      <c r="BF27" s="1946" t="s">
        <v>9587</v>
      </c>
      <c r="BG27" s="1952"/>
      <c r="BH27" s="1941"/>
      <c r="BI27" s="1941"/>
      <c r="BJ27" s="1941"/>
      <c r="BK27" s="1940"/>
      <c r="BL27" s="1940"/>
      <c r="BM27">
        <v>3</v>
      </c>
      <c r="BN27" t="s">
        <v>2090</v>
      </c>
      <c r="BP27" s="1">
        <v>3</v>
      </c>
      <c r="BQ27" s="1" t="s">
        <v>2138</v>
      </c>
      <c r="BR27" s="1"/>
      <c r="BU27" s="1">
        <v>5</v>
      </c>
      <c r="BV27" s="1" t="s">
        <v>2123</v>
      </c>
    </row>
    <row r="28" spans="1:79" ht="17.25">
      <c r="A28" s="1">
        <v>26</v>
      </c>
      <c r="B28" t="s">
        <v>1322</v>
      </c>
      <c r="C28" s="28" t="s">
        <v>1588</v>
      </c>
      <c r="D28" t="s">
        <v>1375</v>
      </c>
      <c r="E28" s="29" t="s">
        <v>1627</v>
      </c>
      <c r="G28">
        <v>26</v>
      </c>
      <c r="H28" t="s">
        <v>1588</v>
      </c>
      <c r="I28" t="s">
        <v>1627</v>
      </c>
      <c r="K28" s="1">
        <v>26</v>
      </c>
      <c r="L28" t="s">
        <v>448</v>
      </c>
      <c r="O28" s="30">
        <v>25</v>
      </c>
      <c r="P28" s="30" t="s">
        <v>1656</v>
      </c>
      <c r="U28">
        <v>25</v>
      </c>
      <c r="V28" t="s">
        <v>1491</v>
      </c>
      <c r="Y28" s="151"/>
      <c r="Z28" s="2456" t="s">
        <v>10415</v>
      </c>
      <c r="AA28" s="2380" t="s">
        <v>10414</v>
      </c>
      <c r="AB28" s="152">
        <v>8</v>
      </c>
      <c r="AC28" s="152">
        <v>60</v>
      </c>
      <c r="AD28" s="152" t="s">
        <v>1997</v>
      </c>
      <c r="AE28" s="2456" t="s">
        <v>1997</v>
      </c>
      <c r="AF28" s="151"/>
      <c r="AM28">
        <v>0</v>
      </c>
      <c r="AN28">
        <v>0</v>
      </c>
      <c r="AP28">
        <v>0</v>
      </c>
      <c r="AR28" s="151"/>
      <c r="AS28" s="151"/>
      <c r="AT28" s="1940"/>
      <c r="AU28" s="1940"/>
      <c r="AV28" s="1940"/>
      <c r="AW28" s="1940"/>
      <c r="AX28" s="1940"/>
      <c r="AY28" s="1940"/>
      <c r="AZ28" s="1940"/>
      <c r="BA28" s="1940"/>
      <c r="BB28" s="1940"/>
      <c r="BC28" s="1940"/>
      <c r="BD28" s="1940" t="s">
        <v>1287</v>
      </c>
      <c r="BE28" s="1965">
        <v>4</v>
      </c>
      <c r="BF28" s="1946" t="s">
        <v>9588</v>
      </c>
      <c r="BG28" s="1952"/>
      <c r="BH28" s="1941"/>
      <c r="BI28" s="1941"/>
      <c r="BJ28" s="1941"/>
      <c r="BK28" s="1940"/>
      <c r="BL28" s="1940"/>
      <c r="BM28">
        <v>4</v>
      </c>
      <c r="BN28" t="s">
        <v>2091</v>
      </c>
      <c r="BP28" s="1">
        <v>4</v>
      </c>
      <c r="BQ28" s="1" t="s">
        <v>2139</v>
      </c>
      <c r="BR28" s="1"/>
      <c r="BU28" s="1">
        <v>6</v>
      </c>
      <c r="BV28" s="1" t="s">
        <v>2124</v>
      </c>
    </row>
    <row r="29" spans="1:79" ht="18" thickBot="1">
      <c r="A29" s="1">
        <v>27</v>
      </c>
      <c r="B29" t="s">
        <v>1323</v>
      </c>
      <c r="C29" s="28" t="s">
        <v>1327</v>
      </c>
      <c r="D29" t="s">
        <v>1376</v>
      </c>
      <c r="E29" s="29" t="s">
        <v>1380</v>
      </c>
      <c r="G29">
        <v>27</v>
      </c>
      <c r="H29" t="s">
        <v>1327</v>
      </c>
      <c r="I29" t="s">
        <v>1380</v>
      </c>
      <c r="K29" s="1">
        <v>27</v>
      </c>
      <c r="L29" t="s">
        <v>21</v>
      </c>
      <c r="O29" s="30">
        <v>26</v>
      </c>
      <c r="P29" s="30" t="s">
        <v>1657</v>
      </c>
      <c r="U29">
        <v>26</v>
      </c>
      <c r="V29" t="s">
        <v>1492</v>
      </c>
      <c r="Y29" s="151"/>
      <c r="Z29" s="2456" t="s">
        <v>10412</v>
      </c>
      <c r="AA29" s="2380" t="s">
        <v>10411</v>
      </c>
      <c r="AB29" s="152">
        <v>0</v>
      </c>
      <c r="AC29" s="152">
        <v>0.25</v>
      </c>
      <c r="AD29" s="152" t="s">
        <v>1997</v>
      </c>
      <c r="AE29" s="2456" t="s">
        <v>1997</v>
      </c>
      <c r="AF29" s="151"/>
      <c r="AM29">
        <v>0</v>
      </c>
      <c r="AN29">
        <v>0</v>
      </c>
      <c r="AP29">
        <v>0</v>
      </c>
      <c r="AR29" s="151"/>
      <c r="AS29" s="151"/>
      <c r="AT29" s="1940"/>
      <c r="AU29" s="1940"/>
      <c r="AV29" s="1940"/>
      <c r="AW29" s="1940"/>
      <c r="AX29" s="1940"/>
      <c r="AY29" s="1940"/>
      <c r="AZ29" s="1940"/>
      <c r="BA29" s="1940"/>
      <c r="BB29" s="1940"/>
      <c r="BC29" s="1940"/>
      <c r="BD29" s="1940"/>
      <c r="BE29" s="1975">
        <v>5</v>
      </c>
      <c r="BF29" s="1956" t="s">
        <v>9589</v>
      </c>
      <c r="BG29" s="1957"/>
      <c r="BH29" s="1941"/>
      <c r="BI29" s="1941"/>
      <c r="BJ29" s="1941"/>
      <c r="BK29" s="1940"/>
      <c r="BL29" s="1940"/>
      <c r="BM29">
        <v>5</v>
      </c>
      <c r="BN29" t="s">
        <v>2092</v>
      </c>
      <c r="BP29" s="1">
        <v>5</v>
      </c>
      <c r="BQ29" s="1" t="s">
        <v>2140</v>
      </c>
      <c r="BR29" s="1"/>
      <c r="BU29" s="1">
        <v>7</v>
      </c>
      <c r="BV29" s="1" t="s">
        <v>2125</v>
      </c>
    </row>
    <row r="30" spans="1:79" ht="17.25">
      <c r="A30" s="1">
        <v>28</v>
      </c>
      <c r="B30" t="s">
        <v>1324</v>
      </c>
      <c r="C30" s="28" t="s">
        <v>1589</v>
      </c>
      <c r="D30" t="s">
        <v>1377</v>
      </c>
      <c r="E30" s="29" t="s">
        <v>1628</v>
      </c>
      <c r="G30">
        <v>28</v>
      </c>
      <c r="H30" t="s">
        <v>1589</v>
      </c>
      <c r="I30" t="s">
        <v>1628</v>
      </c>
      <c r="K30" s="1">
        <v>28</v>
      </c>
      <c r="L30" t="s">
        <v>238</v>
      </c>
      <c r="O30" s="30">
        <v>27</v>
      </c>
      <c r="P30" s="30" t="s">
        <v>1658</v>
      </c>
      <c r="U30">
        <v>27</v>
      </c>
      <c r="V30" t="s">
        <v>1493</v>
      </c>
      <c r="Y30" s="151"/>
      <c r="Z30" s="2456" t="s">
        <v>8065</v>
      </c>
      <c r="AA30" s="2380" t="s">
        <v>10409</v>
      </c>
      <c r="AB30" s="152">
        <v>1</v>
      </c>
      <c r="AC30" s="152">
        <v>4</v>
      </c>
      <c r="AD30" s="152" t="s">
        <v>1997</v>
      </c>
      <c r="AE30" s="2456" t="s">
        <v>1997</v>
      </c>
      <c r="AF30" s="151"/>
      <c r="AM30">
        <v>0</v>
      </c>
      <c r="AN30">
        <v>0</v>
      </c>
      <c r="AP30">
        <v>0</v>
      </c>
      <c r="AR30" s="151"/>
      <c r="AS30" s="151"/>
      <c r="AT30" t="s">
        <v>10459</v>
      </c>
      <c r="AU30" t="s">
        <v>10458</v>
      </c>
      <c r="AV30" s="1940"/>
      <c r="AW30" s="1940"/>
      <c r="AX30" s="1940"/>
      <c r="AY30" s="1940"/>
      <c r="AZ30" s="1940"/>
      <c r="BA30" s="1940"/>
      <c r="BB30" s="1940"/>
      <c r="BC30" s="1940"/>
      <c r="BD30" s="1940"/>
      <c r="BE30" s="1941"/>
      <c r="BF30" s="1941"/>
      <c r="BG30" s="1941"/>
      <c r="BH30" s="1941"/>
      <c r="BI30" s="1941"/>
      <c r="BJ30" s="1941"/>
      <c r="BK30" s="1940"/>
      <c r="BL30" s="1940"/>
      <c r="BM30">
        <v>6</v>
      </c>
      <c r="BN30" t="s">
        <v>2093</v>
      </c>
      <c r="BP30" s="1">
        <v>6</v>
      </c>
      <c r="BQ30" s="1" t="s">
        <v>2141</v>
      </c>
      <c r="BR30" s="1"/>
    </row>
    <row r="31" spans="1:79" ht="17.25">
      <c r="A31" s="1">
        <v>29</v>
      </c>
      <c r="B31" t="s">
        <v>1325</v>
      </c>
      <c r="C31" s="28" t="s">
        <v>1590</v>
      </c>
      <c r="D31" t="s">
        <v>1378</v>
      </c>
      <c r="E31" s="29" t="s">
        <v>1629</v>
      </c>
      <c r="G31">
        <v>29</v>
      </c>
      <c r="H31" t="s">
        <v>1590</v>
      </c>
      <c r="I31" t="s">
        <v>1629</v>
      </c>
      <c r="K31" s="1">
        <v>29</v>
      </c>
      <c r="L31" t="s">
        <v>200</v>
      </c>
      <c r="O31" s="30">
        <v>28</v>
      </c>
      <c r="P31" s="30" t="s">
        <v>616</v>
      </c>
      <c r="U31">
        <v>28</v>
      </c>
      <c r="V31" t="s">
        <v>1494</v>
      </c>
      <c r="Y31" s="151"/>
      <c r="Z31" s="2456" t="s">
        <v>10408</v>
      </c>
      <c r="AA31" s="151"/>
      <c r="AB31" s="151"/>
      <c r="AC31" s="151"/>
      <c r="AD31" s="151"/>
      <c r="AE31" s="2456"/>
      <c r="AF31" s="151"/>
      <c r="AM31">
        <v>0</v>
      </c>
      <c r="AN31">
        <v>0</v>
      </c>
      <c r="AP31">
        <v>0</v>
      </c>
      <c r="AR31" s="151"/>
      <c r="AS31" s="151"/>
      <c r="AT31">
        <f>SUM(CoinTotalWeight,GemTotalWeight)</f>
        <v>0</v>
      </c>
      <c r="AU31">
        <f>SUM(TotalCoins,TotalGems)</f>
        <v>0</v>
      </c>
      <c r="AV31" s="1940"/>
      <c r="AW31" s="1940"/>
      <c r="AX31" s="1940"/>
      <c r="AY31" s="1940"/>
      <c r="AZ31" s="1940"/>
      <c r="BA31" s="1979"/>
      <c r="BB31" s="1979"/>
      <c r="BC31" s="1979"/>
      <c r="BD31" s="1979"/>
      <c r="BE31" s="1980"/>
      <c r="BF31" s="1980"/>
      <c r="BG31" s="1980"/>
      <c r="BH31" s="1980"/>
      <c r="BI31" s="1980"/>
      <c r="BJ31" s="1980"/>
      <c r="BK31" s="1979"/>
      <c r="BL31" s="1979"/>
      <c r="BM31">
        <v>7</v>
      </c>
      <c r="BN31" t="s">
        <v>2094</v>
      </c>
      <c r="BP31" s="1">
        <v>7</v>
      </c>
      <c r="BQ31" s="1" t="s">
        <v>2142</v>
      </c>
      <c r="BR31" s="1"/>
    </row>
    <row r="32" spans="1:79" ht="17.25">
      <c r="A32" s="1">
        <v>30</v>
      </c>
      <c r="B32" t="s">
        <v>1326</v>
      </c>
      <c r="C32" s="28" t="s">
        <v>1330</v>
      </c>
      <c r="D32" t="s">
        <v>1379</v>
      </c>
      <c r="E32" s="29" t="s">
        <v>1630</v>
      </c>
      <c r="G32">
        <v>30</v>
      </c>
      <c r="H32" t="s">
        <v>1330</v>
      </c>
      <c r="I32" t="s">
        <v>1630</v>
      </c>
      <c r="K32" s="1">
        <v>30</v>
      </c>
      <c r="L32" t="s">
        <v>452</v>
      </c>
      <c r="O32" s="30">
        <v>29</v>
      </c>
      <c r="P32" s="30" t="s">
        <v>49</v>
      </c>
      <c r="U32">
        <v>29</v>
      </c>
      <c r="V32" t="s">
        <v>1495</v>
      </c>
      <c r="Y32" s="151"/>
      <c r="Z32" s="2456" t="s">
        <v>8986</v>
      </c>
      <c r="AA32" s="2380" t="s">
        <v>10407</v>
      </c>
      <c r="AB32" s="152">
        <v>15</v>
      </c>
      <c r="AC32" s="152">
        <v>500</v>
      </c>
      <c r="AD32" s="152" t="s">
        <v>1997</v>
      </c>
      <c r="AE32" s="2456" t="s">
        <v>10391</v>
      </c>
      <c r="AF32" s="151"/>
      <c r="AM32">
        <v>0</v>
      </c>
      <c r="AN32">
        <v>0</v>
      </c>
      <c r="AP32">
        <v>0</v>
      </c>
      <c r="AR32" s="151"/>
      <c r="AS32" s="151"/>
      <c r="AV32" s="1940"/>
      <c r="AW32" s="1940"/>
      <c r="AX32" s="1940"/>
      <c r="AY32" s="1940"/>
      <c r="AZ32" s="1940"/>
      <c r="BA32" s="1979"/>
      <c r="BB32" s="1979"/>
      <c r="BC32" s="1979"/>
      <c r="BD32" s="1979"/>
      <c r="BE32" s="1980"/>
      <c r="BF32" s="1980"/>
      <c r="BG32" s="1980"/>
      <c r="BH32" s="1980"/>
      <c r="BI32" s="1980"/>
      <c r="BJ32" s="1980"/>
      <c r="BK32" s="1979"/>
      <c r="BL32" s="1979"/>
      <c r="BM32">
        <v>8</v>
      </c>
      <c r="BN32" t="str">
        <f ca="1">BM37</f>
        <v>2. Dungeon</v>
      </c>
      <c r="BP32" s="1">
        <v>8</v>
      </c>
      <c r="BQ32" s="1" t="s">
        <v>2143</v>
      </c>
      <c r="BR32" s="1"/>
    </row>
    <row r="33" spans="1:79" ht="17.25">
      <c r="A33" s="1">
        <v>31</v>
      </c>
      <c r="B33" t="s">
        <v>1327</v>
      </c>
      <c r="C33" s="28" t="s">
        <v>1332</v>
      </c>
      <c r="D33" t="s">
        <v>1380</v>
      </c>
      <c r="E33" s="29" t="s">
        <v>1631</v>
      </c>
      <c r="G33">
        <v>31</v>
      </c>
      <c r="H33" t="s">
        <v>1332</v>
      </c>
      <c r="I33" t="s">
        <v>1631</v>
      </c>
      <c r="K33" s="1">
        <v>31</v>
      </c>
      <c r="L33" t="s">
        <v>454</v>
      </c>
      <c r="O33" s="30">
        <v>30</v>
      </c>
      <c r="P33" s="30" t="s">
        <v>617</v>
      </c>
      <c r="U33">
        <v>30</v>
      </c>
      <c r="V33" t="s">
        <v>1496</v>
      </c>
      <c r="Y33" s="151"/>
      <c r="Z33" s="2456" t="s">
        <v>10406</v>
      </c>
      <c r="AA33" s="2380" t="s">
        <v>10402</v>
      </c>
      <c r="AB33" s="152">
        <v>2</v>
      </c>
      <c r="AC33" s="152">
        <v>60</v>
      </c>
      <c r="AD33" s="152" t="s">
        <v>10391</v>
      </c>
      <c r="AE33" s="2456" t="s">
        <v>10391</v>
      </c>
      <c r="AF33" s="151"/>
      <c r="AM33">
        <v>0</v>
      </c>
      <c r="AN33">
        <v>0</v>
      </c>
      <c r="AP33">
        <v>0</v>
      </c>
      <c r="AR33" s="151"/>
      <c r="AS33" s="151"/>
      <c r="AT33" t="s">
        <v>10449</v>
      </c>
      <c r="AU33" t="s">
        <v>10448</v>
      </c>
      <c r="AV33" s="1940"/>
      <c r="AW33" s="1940"/>
      <c r="AX33" s="1940"/>
      <c r="AY33" s="1940"/>
      <c r="AZ33" s="1940"/>
      <c r="BA33" s="1979"/>
      <c r="BB33" s="1981"/>
      <c r="BC33" s="1979"/>
      <c r="BD33" s="1979"/>
      <c r="BE33" s="1980"/>
      <c r="BF33" s="1980"/>
      <c r="BG33" s="1980"/>
      <c r="BH33" s="1980"/>
      <c r="BI33" s="1980"/>
      <c r="BJ33" s="1980"/>
      <c r="BK33" s="1979"/>
      <c r="BL33" s="1979"/>
      <c r="BP33" s="1"/>
      <c r="BQ33" s="1"/>
      <c r="BR33" s="1"/>
    </row>
    <row r="34" spans="1:79" ht="17.25">
      <c r="A34" s="1">
        <v>32</v>
      </c>
      <c r="B34" t="s">
        <v>1328</v>
      </c>
      <c r="C34" s="28" t="s">
        <v>1591</v>
      </c>
      <c r="D34" t="s">
        <v>1381</v>
      </c>
      <c r="E34" s="29" t="s">
        <v>1632</v>
      </c>
      <c r="G34">
        <v>32</v>
      </c>
      <c r="H34" t="s">
        <v>1591</v>
      </c>
      <c r="I34" t="s">
        <v>1632</v>
      </c>
      <c r="K34" s="1">
        <v>32</v>
      </c>
      <c r="L34" t="s">
        <v>394</v>
      </c>
      <c r="O34" s="30">
        <v>31</v>
      </c>
      <c r="P34" s="30" t="s">
        <v>111</v>
      </c>
      <c r="U34">
        <v>31</v>
      </c>
      <c r="V34" t="s">
        <v>1497</v>
      </c>
      <c r="Y34" s="151"/>
      <c r="Z34" s="2456" t="s">
        <v>10405</v>
      </c>
      <c r="AA34" s="2380" t="s">
        <v>10402</v>
      </c>
      <c r="AB34" s="152">
        <v>0</v>
      </c>
      <c r="AC34" s="152">
        <v>18</v>
      </c>
      <c r="AD34" s="152" t="s">
        <v>10391</v>
      </c>
      <c r="AE34" s="2456" t="s">
        <v>10391</v>
      </c>
      <c r="AF34" s="151"/>
      <c r="AM34">
        <v>0</v>
      </c>
      <c r="AN34">
        <v>0</v>
      </c>
      <c r="AP34">
        <v>0</v>
      </c>
      <c r="AR34" s="151"/>
      <c r="AS34" s="151"/>
      <c r="AT34">
        <f>IFERROR( IF( VLOOKUP( CoinContainer, Containers, 13, FALSE ) = "equipped", MoneyTotalWeight, 0 ),0)</f>
        <v>0</v>
      </c>
      <c r="AU34">
        <f>IFERROR( IF( VLOOKUP( CoinContainer, Containers, 13, FALSE ) = "mount", MoneyTotalWeight, 0 ), 0)</f>
        <v>0</v>
      </c>
      <c r="AV34" s="1940"/>
      <c r="AW34" s="1940"/>
      <c r="AX34" s="1940"/>
      <c r="AY34" s="1940"/>
      <c r="AZ34" s="1940"/>
      <c r="BA34" s="1979"/>
      <c r="BB34" s="1982"/>
      <c r="BC34" s="1979"/>
      <c r="BD34" s="1979"/>
      <c r="BE34" s="1980"/>
      <c r="BF34" s="1980"/>
      <c r="BG34" s="1980"/>
      <c r="BH34" s="1980"/>
      <c r="BI34" s="1980"/>
      <c r="BJ34" s="1980"/>
      <c r="BK34" s="1979"/>
      <c r="BL34" s="1979"/>
      <c r="BP34" s="1"/>
      <c r="BQ34" s="1"/>
      <c r="BR34" s="1"/>
    </row>
    <row r="35" spans="1:79" ht="17.25">
      <c r="A35" s="1">
        <v>33</v>
      </c>
      <c r="B35" t="s">
        <v>1329</v>
      </c>
      <c r="C35" s="28" t="s">
        <v>1592</v>
      </c>
      <c r="D35" t="s">
        <v>1382</v>
      </c>
      <c r="E35" s="29" t="s">
        <v>1633</v>
      </c>
      <c r="G35">
        <v>33</v>
      </c>
      <c r="H35" t="s">
        <v>1592</v>
      </c>
      <c r="I35" t="s">
        <v>1633</v>
      </c>
      <c r="K35" s="1">
        <v>33</v>
      </c>
      <c r="L35" t="s">
        <v>457</v>
      </c>
      <c r="O35" s="30">
        <v>32</v>
      </c>
      <c r="P35" s="30" t="s">
        <v>1659</v>
      </c>
      <c r="U35">
        <v>32</v>
      </c>
      <c r="V35" t="s">
        <v>1498</v>
      </c>
      <c r="Y35" s="151"/>
      <c r="Z35" s="2456" t="s">
        <v>10403</v>
      </c>
      <c r="AA35" s="2380" t="s">
        <v>10402</v>
      </c>
      <c r="AB35" s="152">
        <v>0</v>
      </c>
      <c r="AC35" s="152">
        <v>6</v>
      </c>
      <c r="AD35" s="152" t="s">
        <v>10391</v>
      </c>
      <c r="AE35" s="2456" t="s">
        <v>10391</v>
      </c>
      <c r="AF35" s="151"/>
      <c r="AM35">
        <v>0</v>
      </c>
      <c r="AN35">
        <v>0</v>
      </c>
      <c r="AP35">
        <v>0</v>
      </c>
      <c r="AR35" s="151"/>
      <c r="AS35" s="151"/>
      <c r="AV35" s="1940"/>
      <c r="AW35" s="1940"/>
      <c r="AX35" s="1940"/>
      <c r="AY35" s="1940"/>
      <c r="AZ35" s="1940"/>
      <c r="BA35" s="1979"/>
      <c r="BB35" s="1982"/>
      <c r="BC35" s="1979"/>
      <c r="BD35" s="1979"/>
      <c r="BE35" s="1980"/>
      <c r="BF35" s="1980"/>
      <c r="BG35" s="1980"/>
      <c r="BH35" s="1980"/>
      <c r="BI35" s="1980"/>
      <c r="BJ35" s="1980"/>
      <c r="BK35" s="1979"/>
      <c r="BL35" s="1979"/>
      <c r="BP35" s="1"/>
      <c r="BQ35" s="1"/>
      <c r="BR35" s="1"/>
    </row>
    <row r="36" spans="1:79" ht="17.25">
      <c r="A36" s="1">
        <v>34</v>
      </c>
      <c r="B36" t="s">
        <v>1330</v>
      </c>
      <c r="C36" s="28" t="s">
        <v>1593</v>
      </c>
      <c r="D36" t="s">
        <v>1383</v>
      </c>
      <c r="E36" s="29" t="s">
        <v>1634</v>
      </c>
      <c r="G36">
        <v>34</v>
      </c>
      <c r="H36" t="s">
        <v>1593</v>
      </c>
      <c r="I36" t="s">
        <v>1634</v>
      </c>
      <c r="K36" s="1">
        <v>34</v>
      </c>
      <c r="L36" t="s">
        <v>458</v>
      </c>
      <c r="O36" s="30">
        <v>33</v>
      </c>
      <c r="P36" s="30" t="s">
        <v>618</v>
      </c>
      <c r="U36">
        <v>33</v>
      </c>
      <c r="V36" t="s">
        <v>1499</v>
      </c>
      <c r="Y36" s="151"/>
      <c r="Z36" s="2456" t="s">
        <v>10396</v>
      </c>
      <c r="AA36" s="2380" t="s">
        <v>10393</v>
      </c>
      <c r="AB36" s="152">
        <v>5</v>
      </c>
      <c r="AC36" s="152">
        <v>80</v>
      </c>
      <c r="AD36" s="152" t="s">
        <v>1997</v>
      </c>
      <c r="AE36" s="2456" t="s">
        <v>10391</v>
      </c>
      <c r="AF36" s="151"/>
      <c r="AM36">
        <v>0</v>
      </c>
      <c r="AN36">
        <v>0</v>
      </c>
      <c r="AP36">
        <v>0</v>
      </c>
      <c r="AR36" s="151"/>
      <c r="AS36" s="151"/>
      <c r="AT36" s="1940"/>
      <c r="AU36" s="1940"/>
      <c r="AV36" s="1940"/>
      <c r="AW36" s="1940"/>
      <c r="AX36" s="1940"/>
      <c r="AY36" s="1940"/>
      <c r="AZ36" s="1940"/>
      <c r="BA36" s="1979"/>
      <c r="BB36" s="1982"/>
      <c r="BC36" s="1979"/>
      <c r="BD36" s="1979"/>
      <c r="BE36" s="1980"/>
      <c r="BF36" s="1980"/>
      <c r="BG36" s="1980"/>
      <c r="BH36" s="1980"/>
      <c r="BI36" s="1980"/>
      <c r="BJ36" s="1980"/>
      <c r="BK36" s="1979"/>
      <c r="BL36" s="1979"/>
      <c r="BP36" s="1"/>
      <c r="BQ36" s="1"/>
      <c r="BR36" s="1"/>
    </row>
    <row r="37" spans="1:79" ht="17.25">
      <c r="A37" s="1">
        <v>35</v>
      </c>
      <c r="B37" t="s">
        <v>1331</v>
      </c>
      <c r="C37" s="28" t="s">
        <v>1335</v>
      </c>
      <c r="D37" t="s">
        <v>1384</v>
      </c>
      <c r="E37" s="29" t="s">
        <v>1635</v>
      </c>
      <c r="G37">
        <v>35</v>
      </c>
      <c r="H37" t="s">
        <v>1335</v>
      </c>
      <c r="I37" t="s">
        <v>1635</v>
      </c>
      <c r="K37" s="1">
        <v>35</v>
      </c>
      <c r="L37" t="s">
        <v>459</v>
      </c>
      <c r="O37" s="30">
        <v>34</v>
      </c>
      <c r="P37" s="30" t="s">
        <v>1660</v>
      </c>
      <c r="U37">
        <v>34</v>
      </c>
      <c r="V37" t="s">
        <v>1500</v>
      </c>
      <c r="Y37" s="151"/>
      <c r="Z37" s="2456" t="s">
        <v>10395</v>
      </c>
      <c r="AA37" s="2380" t="s">
        <v>10393</v>
      </c>
      <c r="AB37" s="152">
        <v>0</v>
      </c>
      <c r="AC37" s="152">
        <v>20</v>
      </c>
      <c r="AD37" s="152" t="s">
        <v>1997</v>
      </c>
      <c r="AE37" s="2456" t="s">
        <v>10391</v>
      </c>
      <c r="AF37" s="151"/>
      <c r="AM37">
        <v>0</v>
      </c>
      <c r="AN37">
        <v>0</v>
      </c>
      <c r="AP37">
        <v>0</v>
      </c>
      <c r="AR37" s="151"/>
      <c r="AS37" s="151"/>
      <c r="AT37" s="1940"/>
      <c r="AU37" s="1940"/>
      <c r="AV37" s="1940"/>
      <c r="AW37" s="1940"/>
      <c r="AX37" s="1940"/>
      <c r="AY37" s="1940"/>
      <c r="AZ37" s="1940"/>
      <c r="BA37" s="1979"/>
      <c r="BB37" s="1982"/>
      <c r="BC37" s="1979"/>
      <c r="BD37" s="1979"/>
      <c r="BE37" s="1980"/>
      <c r="BF37" s="1980"/>
      <c r="BG37" s="1980"/>
      <c r="BH37" s="1980"/>
      <c r="BI37" s="1980"/>
      <c r="BJ37" s="1980"/>
      <c r="BK37" s="1979"/>
      <c r="BL37" s="1979"/>
      <c r="BM37" s="83" t="str" cm="1">
        <f t="array" aca="1" ref="BM37" ca="1">INDEX(Таблиця21[From],RANDBETWEEN(1,5),1)</f>
        <v>2. Dungeon</v>
      </c>
      <c r="BP37" s="1"/>
      <c r="BQ37" s="1"/>
      <c r="BR37" s="1"/>
    </row>
    <row r="38" spans="1:79" ht="18" thickBot="1">
      <c r="A38" s="1">
        <v>36</v>
      </c>
      <c r="B38" t="s">
        <v>1332</v>
      </c>
      <c r="C38" s="28" t="s">
        <v>1594</v>
      </c>
      <c r="D38" t="s">
        <v>1385</v>
      </c>
      <c r="E38" s="29" t="s">
        <v>1383</v>
      </c>
      <c r="G38">
        <v>36</v>
      </c>
      <c r="H38" t="s">
        <v>1594</v>
      </c>
      <c r="I38" t="s">
        <v>1383</v>
      </c>
      <c r="K38" s="1">
        <v>36</v>
      </c>
      <c r="L38" t="s">
        <v>262</v>
      </c>
      <c r="O38" s="30">
        <v>35</v>
      </c>
      <c r="P38" s="30" t="s">
        <v>600</v>
      </c>
      <c r="U38">
        <v>35</v>
      </c>
      <c r="V38" t="s">
        <v>1501</v>
      </c>
      <c r="Y38" s="151"/>
      <c r="Z38" s="2456" t="s">
        <v>10394</v>
      </c>
      <c r="AA38" s="2380" t="s">
        <v>10393</v>
      </c>
      <c r="AB38" s="152">
        <v>0</v>
      </c>
      <c r="AC38" s="152">
        <v>20</v>
      </c>
      <c r="AD38" s="152" t="s">
        <v>1997</v>
      </c>
      <c r="AE38" s="2456" t="s">
        <v>10391</v>
      </c>
      <c r="AF38" s="151"/>
      <c r="AM38">
        <v>0</v>
      </c>
      <c r="AN38">
        <v>0</v>
      </c>
      <c r="AP38">
        <v>0</v>
      </c>
      <c r="AR38" s="151"/>
      <c r="AS38" s="151"/>
      <c r="AT38" s="1940"/>
      <c r="AU38" s="1940"/>
      <c r="AV38" s="1940"/>
      <c r="AW38" s="1940"/>
      <c r="AX38" s="1940"/>
      <c r="AY38" s="1940"/>
      <c r="AZ38" s="1940"/>
      <c r="BA38" s="1940"/>
      <c r="BB38" s="1940"/>
      <c r="BC38" s="1940"/>
      <c r="BD38" s="1940"/>
      <c r="BE38" s="1941"/>
      <c r="BF38" s="1941"/>
      <c r="BG38" s="1941"/>
      <c r="BH38" s="1941"/>
      <c r="BI38" s="1941"/>
      <c r="BJ38" s="1941"/>
      <c r="BK38" s="1940"/>
      <c r="BL38" s="1940"/>
      <c r="BM38" t="s">
        <v>1725</v>
      </c>
      <c r="BN38" t="s">
        <v>2095</v>
      </c>
      <c r="BP38" s="94" t="s">
        <v>1725</v>
      </c>
      <c r="BQ38" s="1" t="s">
        <v>2447</v>
      </c>
      <c r="BR38" s="1"/>
    </row>
    <row r="39" spans="1:79" ht="17.25">
      <c r="A39" s="1">
        <v>37</v>
      </c>
      <c r="B39" t="s">
        <v>1333</v>
      </c>
      <c r="C39" s="28" t="s">
        <v>1595</v>
      </c>
      <c r="D39" t="s">
        <v>1386</v>
      </c>
      <c r="E39" s="29" t="s">
        <v>1636</v>
      </c>
      <c r="G39">
        <v>37</v>
      </c>
      <c r="H39" t="s">
        <v>1595</v>
      </c>
      <c r="I39" t="s">
        <v>1636</v>
      </c>
      <c r="K39" s="1">
        <v>37</v>
      </c>
      <c r="L39" t="s">
        <v>241</v>
      </c>
      <c r="O39" s="30">
        <v>36</v>
      </c>
      <c r="P39" s="30" t="s">
        <v>619</v>
      </c>
      <c r="U39">
        <v>36</v>
      </c>
      <c r="V39" t="s">
        <v>1502</v>
      </c>
      <c r="Y39" s="151"/>
      <c r="Z39" s="2456" t="s">
        <v>9324</v>
      </c>
      <c r="AA39" s="2458" t="s">
        <v>10392</v>
      </c>
      <c r="AB39" s="2456">
        <v>0</v>
      </c>
      <c r="AC39" s="2456">
        <v>350000</v>
      </c>
      <c r="AD39" s="2456" t="s">
        <v>1997</v>
      </c>
      <c r="AE39" s="2456" t="s">
        <v>10391</v>
      </c>
      <c r="AF39" s="151"/>
      <c r="AM39">
        <v>0</v>
      </c>
      <c r="AN39">
        <v>0</v>
      </c>
      <c r="AP39">
        <v>0</v>
      </c>
      <c r="AR39" s="151"/>
      <c r="AS39" s="151"/>
      <c r="AT39" s="1940"/>
      <c r="AU39" s="1940"/>
      <c r="AV39" s="1940"/>
      <c r="AW39" s="1940"/>
      <c r="AX39" s="1940"/>
      <c r="AY39" s="1940"/>
      <c r="AZ39" s="1940"/>
      <c r="BA39" s="1940"/>
      <c r="BB39" s="1940"/>
      <c r="BC39" s="1940"/>
      <c r="BD39" s="1940"/>
      <c r="BE39" s="1941"/>
      <c r="BF39" s="1941"/>
      <c r="BG39" s="1941"/>
      <c r="BH39" s="1941"/>
      <c r="BI39" s="1941"/>
      <c r="BJ39" s="1941"/>
      <c r="BK39" s="1940"/>
      <c r="BL39" s="1940"/>
      <c r="BM39">
        <v>1</v>
      </c>
      <c r="BN39" t="s">
        <v>2096</v>
      </c>
      <c r="BP39" s="1">
        <v>1</v>
      </c>
      <c r="BQ39" s="1" t="s">
        <v>2448</v>
      </c>
      <c r="BR39" s="1"/>
      <c r="BU39">
        <v>1</v>
      </c>
      <c r="BV39" s="1" t="s">
        <v>2126</v>
      </c>
    </row>
    <row r="40" spans="1:79" ht="17.25">
      <c r="A40" s="1">
        <v>38</v>
      </c>
      <c r="B40" t="s">
        <v>1334</v>
      </c>
      <c r="C40" s="28" t="s">
        <v>1596</v>
      </c>
      <c r="D40" t="s">
        <v>1387</v>
      </c>
      <c r="E40" s="29" t="s">
        <v>1637</v>
      </c>
      <c r="G40">
        <v>38</v>
      </c>
      <c r="H40" t="s">
        <v>1596</v>
      </c>
      <c r="I40" t="s">
        <v>1637</v>
      </c>
      <c r="K40" s="1">
        <v>38</v>
      </c>
      <c r="L40" t="s">
        <v>265</v>
      </c>
      <c r="O40" s="30">
        <v>37</v>
      </c>
      <c r="P40" s="30" t="s">
        <v>1661</v>
      </c>
      <c r="U40">
        <v>37</v>
      </c>
      <c r="V40" t="s">
        <v>1503</v>
      </c>
      <c r="Y40" s="151"/>
      <c r="Z40" s="151"/>
      <c r="AA40" s="151"/>
      <c r="AB40" s="151"/>
      <c r="AC40" s="151"/>
      <c r="AD40" s="151"/>
      <c r="AE40" s="151"/>
      <c r="AF40" s="151"/>
      <c r="AM40">
        <v>0</v>
      </c>
      <c r="AN40">
        <v>0</v>
      </c>
      <c r="AP40">
        <v>0</v>
      </c>
      <c r="AR40" s="151"/>
      <c r="AS40" s="151"/>
      <c r="AT40" s="151"/>
      <c r="AU40" s="151"/>
      <c r="AV40" s="151"/>
      <c r="AW40" s="151"/>
      <c r="AX40" s="151"/>
      <c r="AY40" s="151"/>
      <c r="AZ40" s="151"/>
      <c r="BA40" s="151"/>
      <c r="BB40" s="151"/>
      <c r="BC40" s="151"/>
      <c r="BD40" s="151"/>
      <c r="BE40" s="151"/>
      <c r="BF40" s="151"/>
      <c r="BG40" s="151"/>
      <c r="BH40" s="151"/>
      <c r="BI40" s="151"/>
      <c r="BJ40" s="151"/>
      <c r="BK40" s="151"/>
      <c r="BL40" s="151"/>
      <c r="BM40">
        <v>2</v>
      </c>
      <c r="BN40" t="s">
        <v>2097</v>
      </c>
      <c r="BP40" s="1">
        <v>2</v>
      </c>
      <c r="BQ40" s="1" t="s">
        <v>2449</v>
      </c>
      <c r="BR40" s="1"/>
      <c r="BU40">
        <v>2</v>
      </c>
      <c r="BV40" s="1" t="s">
        <v>2127</v>
      </c>
    </row>
    <row r="41" spans="1:79" ht="17.25">
      <c r="A41" s="1">
        <v>39</v>
      </c>
      <c r="B41" t="s">
        <v>1335</v>
      </c>
      <c r="C41" s="28" t="s">
        <v>1597</v>
      </c>
      <c r="D41" t="s">
        <v>1388</v>
      </c>
      <c r="E41" s="29" t="s">
        <v>1638</v>
      </c>
      <c r="G41">
        <v>39</v>
      </c>
      <c r="H41" t="s">
        <v>1597</v>
      </c>
      <c r="I41" t="s">
        <v>1638</v>
      </c>
      <c r="K41" s="1">
        <v>39</v>
      </c>
      <c r="L41" t="s">
        <v>61</v>
      </c>
      <c r="O41" s="30">
        <v>38</v>
      </c>
      <c r="P41" s="30" t="s">
        <v>621</v>
      </c>
      <c r="U41">
        <v>38</v>
      </c>
      <c r="V41" t="s">
        <v>1504</v>
      </c>
      <c r="Y41" s="151"/>
      <c r="Z41" s="2457" t="s">
        <v>5795</v>
      </c>
      <c r="AA41" s="2456" t="s">
        <v>10390</v>
      </c>
      <c r="AB41" s="151"/>
      <c r="AC41" s="151"/>
      <c r="AD41" s="151"/>
      <c r="AE41" s="151"/>
      <c r="AF41" s="151"/>
      <c r="AM41">
        <v>0</v>
      </c>
      <c r="AN41">
        <v>0</v>
      </c>
      <c r="AP41">
        <v>0</v>
      </c>
      <c r="AR41" s="151"/>
      <c r="AS41" s="151"/>
      <c r="AT41" s="151"/>
      <c r="AU41" s="151"/>
      <c r="AV41" s="151"/>
      <c r="AW41" s="151"/>
      <c r="AX41" s="151"/>
      <c r="AY41" s="151"/>
      <c r="AZ41" s="151"/>
      <c r="BA41" s="151"/>
      <c r="BB41" s="151"/>
      <c r="BC41" s="151"/>
      <c r="BD41" s="151"/>
      <c r="BE41" s="151"/>
      <c r="BF41" s="151"/>
      <c r="BG41" s="151"/>
      <c r="BH41" s="151"/>
      <c r="BI41" s="151"/>
      <c r="BJ41" s="151"/>
      <c r="BK41" s="151"/>
      <c r="BL41" s="151"/>
      <c r="BM41">
        <v>3</v>
      </c>
      <c r="BN41" t="s">
        <v>2098</v>
      </c>
      <c r="BP41" s="1">
        <v>3</v>
      </c>
      <c r="BQ41" s="1" t="s">
        <v>2450</v>
      </c>
      <c r="BR41" s="1"/>
      <c r="BU41">
        <v>3</v>
      </c>
      <c r="BV41" s="1" t="s">
        <v>2128</v>
      </c>
    </row>
    <row r="42" spans="1:79" ht="17.25">
      <c r="A42" s="1">
        <v>40</v>
      </c>
      <c r="B42" t="s">
        <v>1336</v>
      </c>
      <c r="C42" s="28" t="s">
        <v>1598</v>
      </c>
      <c r="D42" t="s">
        <v>1389</v>
      </c>
      <c r="E42" s="29" t="s">
        <v>1385</v>
      </c>
      <c r="G42">
        <v>40</v>
      </c>
      <c r="H42" t="s">
        <v>1598</v>
      </c>
      <c r="I42" t="s">
        <v>1385</v>
      </c>
      <c r="K42" s="1">
        <v>40</v>
      </c>
      <c r="L42" t="s">
        <v>436</v>
      </c>
      <c r="O42" s="30">
        <v>39</v>
      </c>
      <c r="P42" s="30" t="s">
        <v>1662</v>
      </c>
      <c r="U42">
        <v>39</v>
      </c>
      <c r="V42" t="s">
        <v>1505</v>
      </c>
      <c r="Y42" s="151"/>
      <c r="Z42" s="2456" t="s">
        <v>2985</v>
      </c>
      <c r="AA42" s="2456">
        <v>8</v>
      </c>
      <c r="AB42" s="151"/>
      <c r="AC42" s="151"/>
      <c r="AD42" s="151"/>
      <c r="AE42" s="151"/>
      <c r="AF42" s="151"/>
      <c r="AM42">
        <v>0</v>
      </c>
      <c r="AN42">
        <v>0</v>
      </c>
      <c r="AP42">
        <v>0</v>
      </c>
      <c r="AR42" s="151"/>
      <c r="AS42" s="151"/>
      <c r="AT42" s="151"/>
      <c r="AU42" s="151"/>
      <c r="AV42" s="151"/>
      <c r="AW42" s="151"/>
      <c r="AX42" s="151"/>
      <c r="AY42" s="151"/>
      <c r="AZ42" s="151"/>
      <c r="BA42" s="151"/>
      <c r="BB42" s="151"/>
      <c r="BC42" s="151"/>
      <c r="BD42" s="151"/>
      <c r="BE42" s="151"/>
      <c r="BF42" s="151"/>
      <c r="BG42" s="151"/>
      <c r="BH42" s="151"/>
      <c r="BI42" s="151"/>
      <c r="BJ42" s="151"/>
      <c r="BK42" s="151"/>
      <c r="BL42" s="151"/>
      <c r="BM42">
        <v>4</v>
      </c>
      <c r="BN42" t="s">
        <v>2099</v>
      </c>
      <c r="BP42" s="1">
        <v>4</v>
      </c>
      <c r="BQ42" s="1" t="s">
        <v>2451</v>
      </c>
      <c r="BR42" s="1"/>
    </row>
    <row r="43" spans="1:79" ht="17.25">
      <c r="A43" s="1">
        <v>41</v>
      </c>
      <c r="B43" t="s">
        <v>1337</v>
      </c>
      <c r="C43" s="28" t="s">
        <v>1336</v>
      </c>
      <c r="D43" t="s">
        <v>1390</v>
      </c>
      <c r="E43" s="29" t="s">
        <v>1639</v>
      </c>
      <c r="G43">
        <v>41</v>
      </c>
      <c r="H43" t="s">
        <v>1336</v>
      </c>
      <c r="I43" t="s">
        <v>1639</v>
      </c>
      <c r="K43" s="1">
        <v>41</v>
      </c>
      <c r="L43" t="s">
        <v>86</v>
      </c>
      <c r="O43" s="30">
        <v>40</v>
      </c>
      <c r="P43" s="30" t="s">
        <v>197</v>
      </c>
      <c r="U43">
        <v>40</v>
      </c>
      <c r="V43" t="s">
        <v>1506</v>
      </c>
      <c r="Y43" s="151"/>
      <c r="Z43" s="2456" t="s">
        <v>2489</v>
      </c>
      <c r="AA43" s="2456">
        <v>4</v>
      </c>
      <c r="AB43" s="151"/>
      <c r="AC43" s="151"/>
      <c r="AD43" s="151"/>
      <c r="AE43" s="151"/>
      <c r="AF43" s="151"/>
      <c r="AM43">
        <v>0</v>
      </c>
      <c r="AN43">
        <v>0</v>
      </c>
      <c r="AP43">
        <v>0</v>
      </c>
      <c r="AR43" s="151"/>
      <c r="AS43" s="151"/>
      <c r="AT43" s="151"/>
      <c r="AU43" s="151"/>
      <c r="AV43" s="151"/>
      <c r="AW43" s="151"/>
      <c r="AX43" s="151"/>
      <c r="AY43" s="151"/>
      <c r="AZ43" s="151"/>
      <c r="BA43" s="151"/>
      <c r="BB43" s="151"/>
      <c r="BC43" s="151"/>
      <c r="BD43" s="151"/>
      <c r="BE43" s="151"/>
      <c r="BF43" s="151"/>
      <c r="BG43" s="151"/>
      <c r="BH43" s="151"/>
      <c r="BI43" s="151"/>
      <c r="BJ43" s="151"/>
      <c r="BK43" s="151"/>
      <c r="BL43" s="151"/>
      <c r="BM43">
        <v>5</v>
      </c>
      <c r="BN43" t="s">
        <v>2100</v>
      </c>
      <c r="BP43" s="1"/>
      <c r="BQ43" s="1"/>
      <c r="BR43" s="1"/>
      <c r="CA43" s="83" t="str" cm="1">
        <f t="array" aca="1" ref="CA43" ca="1">INDEX(Таблиця27[Theft:],RANDBETWEEN(1,6))</f>
        <v>You must steal a macguffin</v>
      </c>
    </row>
    <row r="44" spans="1:79" ht="18" thickBot="1">
      <c r="A44" s="1">
        <v>42</v>
      </c>
      <c r="B44" t="s">
        <v>1338</v>
      </c>
      <c r="C44" s="28" t="s">
        <v>1337</v>
      </c>
      <c r="D44" t="s">
        <v>1391</v>
      </c>
      <c r="E44" s="29" t="s">
        <v>1640</v>
      </c>
      <c r="G44">
        <v>42</v>
      </c>
      <c r="H44" t="s">
        <v>1337</v>
      </c>
      <c r="I44" t="s">
        <v>1640</v>
      </c>
      <c r="K44" s="1">
        <v>42</v>
      </c>
      <c r="L44" t="s">
        <v>362</v>
      </c>
      <c r="O44" s="30">
        <v>41</v>
      </c>
      <c r="P44" s="30" t="s">
        <v>1724</v>
      </c>
      <c r="U44">
        <v>41</v>
      </c>
      <c r="V44" t="s">
        <v>1507</v>
      </c>
      <c r="Y44" s="151"/>
      <c r="Z44" s="2456" t="s">
        <v>2467</v>
      </c>
      <c r="AA44" s="2456">
        <v>1</v>
      </c>
      <c r="AB44" s="151"/>
      <c r="AC44" s="151"/>
      <c r="AD44" s="151"/>
      <c r="AE44" s="151"/>
      <c r="AF44" s="151"/>
      <c r="AM44">
        <v>0</v>
      </c>
      <c r="AN44">
        <v>0</v>
      </c>
      <c r="AP44">
        <v>0</v>
      </c>
      <c r="AR44" s="151"/>
      <c r="AS44" s="151"/>
      <c r="AT44" s="151"/>
      <c r="AU44" s="151"/>
      <c r="AV44" s="151"/>
      <c r="AW44" s="151"/>
      <c r="AX44" s="151"/>
      <c r="AY44" s="151"/>
      <c r="AZ44" s="151"/>
      <c r="BA44" s="151"/>
      <c r="BB44" s="151"/>
      <c r="BC44" s="151"/>
      <c r="BD44" s="151"/>
      <c r="BE44" s="151"/>
      <c r="BF44" s="151"/>
      <c r="BG44" s="151"/>
      <c r="BH44" s="151"/>
      <c r="BI44" s="151"/>
      <c r="BJ44" s="151"/>
      <c r="BK44" s="151"/>
      <c r="BL44" s="151"/>
      <c r="BP44" s="1"/>
      <c r="BQ44" s="1"/>
      <c r="BR44" s="1"/>
      <c r="BZ44" s="94" t="s">
        <v>1725</v>
      </c>
      <c r="CA44" t="s">
        <v>2144</v>
      </c>
    </row>
    <row r="45" spans="1:79" ht="17.25">
      <c r="A45" s="1">
        <v>43</v>
      </c>
      <c r="B45" t="s">
        <v>1339</v>
      </c>
      <c r="C45" s="28" t="s">
        <v>1599</v>
      </c>
      <c r="D45" t="s">
        <v>1392</v>
      </c>
      <c r="E45" s="29" t="s">
        <v>1641</v>
      </c>
      <c r="G45">
        <v>43</v>
      </c>
      <c r="H45" t="s">
        <v>1599</v>
      </c>
      <c r="I45" t="s">
        <v>1641</v>
      </c>
      <c r="K45" s="1">
        <v>43</v>
      </c>
      <c r="L45" t="s">
        <v>440</v>
      </c>
      <c r="O45" s="30">
        <v>42</v>
      </c>
      <c r="P45" s="30" t="s">
        <v>622</v>
      </c>
      <c r="U45">
        <v>42</v>
      </c>
      <c r="V45" t="s">
        <v>1508</v>
      </c>
      <c r="Y45" s="151"/>
      <c r="Z45" s="2456" t="s">
        <v>10389</v>
      </c>
      <c r="AA45" s="2456">
        <v>2</v>
      </c>
      <c r="AB45" s="151"/>
      <c r="AC45" s="151"/>
      <c r="AD45" s="151"/>
      <c r="AE45" s="151"/>
      <c r="AF45" s="151"/>
      <c r="AM45">
        <v>0</v>
      </c>
      <c r="AN45">
        <v>0</v>
      </c>
      <c r="AP45">
        <v>0</v>
      </c>
      <c r="AR45" s="151"/>
      <c r="AS45" s="151"/>
      <c r="AT45" s="151"/>
      <c r="AU45" s="151"/>
      <c r="AV45" s="151"/>
      <c r="AW45" s="151"/>
      <c r="AX45" s="151"/>
      <c r="AY45" s="151"/>
      <c r="AZ45" s="151"/>
      <c r="BA45" s="151"/>
      <c r="BB45" s="151"/>
      <c r="BC45" s="151"/>
      <c r="BD45" s="151"/>
      <c r="BE45" s="151"/>
      <c r="BF45" s="151"/>
      <c r="BG45" s="151"/>
      <c r="BH45" s="151"/>
      <c r="BI45" s="151"/>
      <c r="BJ45" s="151"/>
      <c r="BK45" s="151"/>
      <c r="BL45" s="151"/>
      <c r="BP45" s="1"/>
      <c r="BQ45" s="1"/>
      <c r="BR45" s="1"/>
      <c r="BZ45">
        <v>1</v>
      </c>
      <c r="CA45" t="s">
        <v>2145</v>
      </c>
    </row>
    <row r="46" spans="1:79" ht="17.25">
      <c r="A46" s="1">
        <v>44</v>
      </c>
      <c r="B46" t="s">
        <v>1340</v>
      </c>
      <c r="C46" s="28" t="s">
        <v>1600</v>
      </c>
      <c r="D46" t="s">
        <v>1393</v>
      </c>
      <c r="E46" s="29" t="s">
        <v>1642</v>
      </c>
      <c r="G46">
        <v>44</v>
      </c>
      <c r="H46" t="s">
        <v>1600</v>
      </c>
      <c r="I46" t="s">
        <v>1642</v>
      </c>
      <c r="K46" s="1">
        <v>44</v>
      </c>
      <c r="L46" t="s">
        <v>163</v>
      </c>
      <c r="O46" s="30">
        <v>43</v>
      </c>
      <c r="P46" s="30" t="s">
        <v>1663</v>
      </c>
      <c r="U46">
        <v>43</v>
      </c>
      <c r="V46" t="s">
        <v>1509</v>
      </c>
      <c r="Y46" s="151"/>
      <c r="Z46" s="2456" t="s">
        <v>2644</v>
      </c>
      <c r="AA46" s="2456">
        <v>0.5</v>
      </c>
      <c r="AB46" s="151"/>
      <c r="AC46" s="151"/>
      <c r="AD46" s="151"/>
      <c r="AE46" s="151"/>
      <c r="AF46" s="151"/>
      <c r="AM46">
        <v>0</v>
      </c>
      <c r="AN46">
        <v>0</v>
      </c>
      <c r="AP46">
        <v>0</v>
      </c>
      <c r="AR46" s="151"/>
      <c r="AS46" s="151"/>
      <c r="AT46" s="151"/>
      <c r="AU46" s="151"/>
      <c r="AV46" s="151"/>
      <c r="AW46" s="151"/>
      <c r="AX46" s="151"/>
      <c r="AY46" s="151"/>
      <c r="AZ46" s="151"/>
      <c r="BA46" s="151"/>
      <c r="BB46" s="151"/>
      <c r="BC46" s="151"/>
      <c r="BD46" s="151"/>
      <c r="BE46" s="151"/>
      <c r="BF46" s="151"/>
      <c r="BG46" s="151"/>
      <c r="BH46" s="151"/>
      <c r="BI46" s="151"/>
      <c r="BJ46" s="151"/>
      <c r="BK46" s="151"/>
      <c r="BL46" s="151"/>
      <c r="BM46" s="91" t="s">
        <v>2101</v>
      </c>
      <c r="BN46" s="83"/>
      <c r="BP46" s="1"/>
      <c r="BQ46" s="1"/>
      <c r="BR46" s="1"/>
      <c r="BZ46">
        <v>2</v>
      </c>
      <c r="CA46" t="s">
        <v>2146</v>
      </c>
    </row>
    <row r="47" spans="1:79" ht="17.25">
      <c r="A47" s="1">
        <v>45</v>
      </c>
      <c r="B47" t="s">
        <v>1341</v>
      </c>
      <c r="C47" s="28" t="s">
        <v>1601</v>
      </c>
      <c r="D47" t="s">
        <v>1394</v>
      </c>
      <c r="E47" s="29" t="s">
        <v>1643</v>
      </c>
      <c r="G47">
        <v>45</v>
      </c>
      <c r="H47" t="s">
        <v>1601</v>
      </c>
      <c r="I47" t="s">
        <v>1643</v>
      </c>
      <c r="K47" s="1">
        <v>45</v>
      </c>
      <c r="L47" t="s">
        <v>442</v>
      </c>
      <c r="O47" s="30">
        <v>44</v>
      </c>
      <c r="P47" s="30" t="s">
        <v>1664</v>
      </c>
      <c r="U47">
        <v>44</v>
      </c>
      <c r="V47" t="s">
        <v>1510</v>
      </c>
      <c r="Y47" s="151"/>
      <c r="Z47" s="151"/>
      <c r="AA47" s="151"/>
      <c r="AB47" s="151"/>
      <c r="AC47" s="151"/>
      <c r="AD47" s="151"/>
      <c r="AE47" s="151"/>
      <c r="AF47" s="151"/>
      <c r="AM47">
        <v>0</v>
      </c>
      <c r="AN47">
        <v>0</v>
      </c>
      <c r="AP47">
        <v>0</v>
      </c>
      <c r="AR47" s="151"/>
      <c r="AS47" s="151"/>
      <c r="AT47" s="151"/>
      <c r="AU47" s="151"/>
      <c r="AV47" s="151"/>
      <c r="AW47" s="151"/>
      <c r="AX47" s="151"/>
      <c r="AY47" s="151"/>
      <c r="AZ47" s="151"/>
      <c r="BA47" s="151"/>
      <c r="BB47" s="151"/>
      <c r="BC47" s="151"/>
      <c r="BD47" s="151"/>
      <c r="BE47" s="151"/>
      <c r="BF47" s="151"/>
      <c r="BG47" s="151"/>
      <c r="BH47" s="151"/>
      <c r="BI47" s="151"/>
      <c r="BJ47" s="151"/>
      <c r="BK47" s="151"/>
      <c r="BL47" s="151"/>
      <c r="BM47" t="s">
        <v>1725</v>
      </c>
      <c r="BN47" t="s">
        <v>2102</v>
      </c>
      <c r="BP47" s="1"/>
      <c r="BQ47" s="1"/>
      <c r="BR47" s="1"/>
      <c r="BT47" t="s">
        <v>1725</v>
      </c>
      <c r="BU47" s="88" t="s">
        <v>2110</v>
      </c>
      <c r="BW47" t="s">
        <v>1725</v>
      </c>
      <c r="BX47" t="s">
        <v>2151</v>
      </c>
      <c r="BZ47">
        <v>3</v>
      </c>
      <c r="CA47" t="s">
        <v>2147</v>
      </c>
    </row>
    <row r="48" spans="1:79" ht="17.25">
      <c r="A48" s="1">
        <v>46</v>
      </c>
      <c r="B48" t="s">
        <v>1342</v>
      </c>
      <c r="C48" s="28" t="s">
        <v>1342</v>
      </c>
      <c r="D48" t="s">
        <v>1395</v>
      </c>
      <c r="E48" s="29" t="s">
        <v>1644</v>
      </c>
      <c r="G48">
        <v>46</v>
      </c>
      <c r="H48" t="s">
        <v>1342</v>
      </c>
      <c r="I48" t="s">
        <v>1644</v>
      </c>
      <c r="K48" s="1">
        <v>46</v>
      </c>
      <c r="L48" t="s">
        <v>411</v>
      </c>
      <c r="O48" s="30">
        <v>45</v>
      </c>
      <c r="P48" s="30" t="s">
        <v>623</v>
      </c>
      <c r="U48">
        <v>45</v>
      </c>
      <c r="V48" t="s">
        <v>1511</v>
      </c>
      <c r="Y48" s="151"/>
      <c r="Z48" s="151"/>
      <c r="AA48" s="151"/>
      <c r="AB48" s="151"/>
      <c r="AC48" s="151"/>
      <c r="AD48" s="151"/>
      <c r="AE48" s="151"/>
      <c r="AF48" s="151"/>
      <c r="AM48">
        <v>0</v>
      </c>
      <c r="AN48">
        <v>0</v>
      </c>
      <c r="AP48">
        <v>0</v>
      </c>
      <c r="AR48" s="151"/>
      <c r="AS48" s="151"/>
      <c r="AT48" s="151"/>
      <c r="AU48" s="151"/>
      <c r="AV48" s="151"/>
      <c r="AW48" s="151"/>
      <c r="AX48" s="151"/>
      <c r="AY48" s="151"/>
      <c r="AZ48" s="151"/>
      <c r="BA48" s="151"/>
      <c r="BB48" s="151"/>
      <c r="BC48" s="151"/>
      <c r="BD48" s="151"/>
      <c r="BE48" s="151"/>
      <c r="BF48" s="151"/>
      <c r="BG48" s="151"/>
      <c r="BH48" s="151"/>
      <c r="BI48" s="151"/>
      <c r="BJ48" s="151"/>
      <c r="BK48" s="151"/>
      <c r="BL48" s="151"/>
      <c r="BM48">
        <v>1</v>
      </c>
      <c r="BN48" t="s">
        <v>2103</v>
      </c>
      <c r="BP48" s="1"/>
      <c r="BQ48" s="1"/>
      <c r="BR48" s="1"/>
      <c r="BT48">
        <v>1</v>
      </c>
      <c r="BU48" s="89" t="s">
        <v>2111</v>
      </c>
      <c r="BW48">
        <v>1</v>
      </c>
      <c r="BX48" t="s">
        <v>2152</v>
      </c>
      <c r="BZ48">
        <v>4</v>
      </c>
      <c r="CA48" t="s">
        <v>2148</v>
      </c>
    </row>
    <row r="49" spans="1:79" ht="17.25">
      <c r="A49" s="1">
        <v>47</v>
      </c>
      <c r="B49" t="s">
        <v>1343</v>
      </c>
      <c r="C49" s="28" t="s">
        <v>1344</v>
      </c>
      <c r="D49" t="s">
        <v>1396</v>
      </c>
      <c r="E49" s="29" t="s">
        <v>1393</v>
      </c>
      <c r="G49">
        <v>47</v>
      </c>
      <c r="H49" t="s">
        <v>1344</v>
      </c>
      <c r="I49" t="s">
        <v>1393</v>
      </c>
      <c r="K49" s="1">
        <v>47</v>
      </c>
      <c r="L49" t="s">
        <v>188</v>
      </c>
      <c r="O49" s="30">
        <v>46</v>
      </c>
      <c r="P49" s="30" t="s">
        <v>1665</v>
      </c>
      <c r="U49">
        <v>46</v>
      </c>
      <c r="V49" t="s">
        <v>1512</v>
      </c>
      <c r="Y49" s="151"/>
      <c r="Z49" s="151"/>
      <c r="AA49" s="151"/>
      <c r="AB49" s="151"/>
      <c r="AC49" s="151"/>
      <c r="AD49" s="151"/>
      <c r="AE49" s="151"/>
      <c r="AF49" s="151"/>
      <c r="AM49">
        <v>0</v>
      </c>
      <c r="AN49">
        <v>0</v>
      </c>
      <c r="AP49">
        <v>0</v>
      </c>
      <c r="AR49" s="151"/>
      <c r="AS49" s="151"/>
      <c r="AT49" s="151"/>
      <c r="AU49" s="151"/>
      <c r="AV49" s="151"/>
      <c r="AW49" s="151"/>
      <c r="AX49" s="151"/>
      <c r="AY49" s="151"/>
      <c r="AZ49" s="151"/>
      <c r="BA49" s="151"/>
      <c r="BB49" s="151"/>
      <c r="BC49" s="151"/>
      <c r="BD49" s="151"/>
      <c r="BE49" s="151"/>
      <c r="BF49" s="151"/>
      <c r="BG49" s="151"/>
      <c r="BH49" s="151"/>
      <c r="BI49" s="151"/>
      <c r="BJ49" s="151"/>
      <c r="BK49" s="151"/>
      <c r="BL49" s="151"/>
      <c r="BM49">
        <v>2</v>
      </c>
      <c r="BN49" t="s">
        <v>2104</v>
      </c>
      <c r="BP49" s="1"/>
      <c r="BQ49" s="1"/>
      <c r="BR49" s="1"/>
      <c r="BT49">
        <v>2</v>
      </c>
      <c r="BU49" s="89" t="s">
        <v>2104</v>
      </c>
      <c r="BW49">
        <v>2</v>
      </c>
      <c r="BX49" t="s">
        <v>2153</v>
      </c>
      <c r="BZ49">
        <v>5</v>
      </c>
      <c r="CA49" t="s">
        <v>2149</v>
      </c>
    </row>
    <row r="50" spans="1:79" ht="17.25">
      <c r="A50" s="1">
        <v>48</v>
      </c>
      <c r="B50" t="s">
        <v>1344</v>
      </c>
      <c r="C50" s="28" t="s">
        <v>1602</v>
      </c>
      <c r="D50" t="s">
        <v>1397</v>
      </c>
      <c r="E50" s="29" t="s">
        <v>1645</v>
      </c>
      <c r="G50">
        <v>48</v>
      </c>
      <c r="H50" t="s">
        <v>1602</v>
      </c>
      <c r="I50" t="s">
        <v>1645</v>
      </c>
      <c r="K50" s="1">
        <v>48</v>
      </c>
      <c r="L50" t="s">
        <v>316</v>
      </c>
      <c r="O50" s="30">
        <v>47</v>
      </c>
      <c r="P50" s="30" t="s">
        <v>1666</v>
      </c>
      <c r="U50">
        <v>47</v>
      </c>
      <c r="V50" t="s">
        <v>1513</v>
      </c>
      <c r="Y50" s="151"/>
      <c r="Z50" s="151"/>
      <c r="AA50" s="151"/>
      <c r="AB50" s="151"/>
      <c r="AC50" s="151"/>
      <c r="AD50" s="151"/>
      <c r="AE50" s="151"/>
      <c r="AF50" s="151"/>
      <c r="AM50">
        <v>0</v>
      </c>
      <c r="AN50">
        <v>0</v>
      </c>
      <c r="AP50">
        <v>0</v>
      </c>
      <c r="AR50" s="151"/>
      <c r="AS50" s="151"/>
      <c r="AT50" s="151"/>
      <c r="AU50" s="151"/>
      <c r="AV50" s="151"/>
      <c r="AW50" s="151"/>
      <c r="AX50" s="151"/>
      <c r="AY50" s="151"/>
      <c r="AZ50" s="151"/>
      <c r="BA50" s="151"/>
      <c r="BB50" s="151"/>
      <c r="BC50" s="151"/>
      <c r="BD50" s="151"/>
      <c r="BE50" s="151"/>
      <c r="BF50" s="151"/>
      <c r="BG50" s="151"/>
      <c r="BH50" s="151"/>
      <c r="BI50" s="151"/>
      <c r="BJ50" s="151"/>
      <c r="BK50" s="151"/>
      <c r="BL50" s="151"/>
      <c r="BM50">
        <v>3</v>
      </c>
      <c r="BN50" t="s">
        <v>2105</v>
      </c>
      <c r="BP50" s="1"/>
      <c r="BQ50" s="1"/>
      <c r="BR50" s="1"/>
      <c r="BT50" s="1">
        <v>3</v>
      </c>
      <c r="BU50" s="89" t="s">
        <v>2112</v>
      </c>
      <c r="BW50">
        <v>3</v>
      </c>
      <c r="BX50" t="s">
        <v>2154</v>
      </c>
      <c r="BZ50">
        <v>6</v>
      </c>
      <c r="CA50" t="s">
        <v>2150</v>
      </c>
    </row>
    <row r="51" spans="1:79" ht="17.25">
      <c r="A51" s="1">
        <v>49</v>
      </c>
      <c r="B51" t="s">
        <v>1345</v>
      </c>
      <c r="C51" s="28" t="s">
        <v>1603</v>
      </c>
      <c r="D51" t="s">
        <v>1398</v>
      </c>
      <c r="E51" s="29" t="s">
        <v>1646</v>
      </c>
      <c r="G51">
        <v>49</v>
      </c>
      <c r="H51" t="s">
        <v>1603</v>
      </c>
      <c r="I51" t="s">
        <v>1646</v>
      </c>
      <c r="K51" s="1">
        <v>49</v>
      </c>
      <c r="L51" t="s">
        <v>446</v>
      </c>
      <c r="O51" s="30">
        <v>48</v>
      </c>
      <c r="P51" s="30" t="s">
        <v>624</v>
      </c>
      <c r="U51">
        <v>48</v>
      </c>
      <c r="V51" t="s">
        <v>1514</v>
      </c>
      <c r="Y51" s="151"/>
      <c r="Z51" s="151"/>
      <c r="AA51" s="151"/>
      <c r="AB51" s="151"/>
      <c r="AC51" s="151"/>
      <c r="AD51" s="151"/>
      <c r="AE51" s="151"/>
      <c r="AF51" s="151"/>
      <c r="AM51">
        <v>0</v>
      </c>
      <c r="AN51">
        <v>0</v>
      </c>
      <c r="AP51">
        <v>0</v>
      </c>
      <c r="AR51" s="151"/>
      <c r="AS51" s="151"/>
      <c r="AT51" s="151"/>
      <c r="AU51" s="151"/>
      <c r="AV51" s="151"/>
      <c r="AW51" s="151"/>
      <c r="AX51" s="151"/>
      <c r="AY51" s="151"/>
      <c r="AZ51" s="151"/>
      <c r="BA51" s="151"/>
      <c r="BB51" s="151"/>
      <c r="BC51" s="151"/>
      <c r="BD51" s="151"/>
      <c r="BE51" s="151"/>
      <c r="BF51" s="151"/>
      <c r="BG51" s="151"/>
      <c r="BH51" s="151"/>
      <c r="BI51" s="151"/>
      <c r="BJ51" s="151"/>
      <c r="BK51" s="151"/>
      <c r="BL51" s="151"/>
      <c r="BM51">
        <v>4</v>
      </c>
      <c r="BN51" t="s">
        <v>2106</v>
      </c>
      <c r="BP51" s="1"/>
      <c r="BQ51" s="1"/>
      <c r="BR51" s="1"/>
      <c r="BT51" s="1">
        <v>4</v>
      </c>
      <c r="BU51" s="89" t="s">
        <v>2113</v>
      </c>
      <c r="BW51">
        <v>4</v>
      </c>
      <c r="BX51" t="s">
        <v>2155</v>
      </c>
    </row>
    <row r="52" spans="1:79" ht="17.25">
      <c r="A52" s="1">
        <v>50</v>
      </c>
      <c r="B52" t="s">
        <v>1346</v>
      </c>
      <c r="C52" s="28" t="s">
        <v>1604</v>
      </c>
      <c r="D52" t="s">
        <v>1399</v>
      </c>
      <c r="E52" s="29" t="s">
        <v>1647</v>
      </c>
      <c r="G52">
        <v>50</v>
      </c>
      <c r="H52" t="s">
        <v>1604</v>
      </c>
      <c r="I52" t="s">
        <v>1647</v>
      </c>
      <c r="K52" s="1">
        <v>50</v>
      </c>
      <c r="L52" t="s">
        <v>67</v>
      </c>
      <c r="O52" s="30">
        <v>49</v>
      </c>
      <c r="P52" s="30" t="s">
        <v>1667</v>
      </c>
      <c r="U52">
        <v>49</v>
      </c>
      <c r="V52" t="s">
        <v>1515</v>
      </c>
      <c r="Y52" s="151"/>
      <c r="Z52" s="151"/>
      <c r="AA52" s="151"/>
      <c r="AB52" s="151"/>
      <c r="AC52" s="151"/>
      <c r="AD52" s="151"/>
      <c r="AE52" s="151"/>
      <c r="AF52" s="151"/>
      <c r="AM52">
        <v>0</v>
      </c>
      <c r="AN52">
        <v>0</v>
      </c>
      <c r="AP52">
        <v>0</v>
      </c>
      <c r="AR52" s="151"/>
      <c r="AS52" s="151"/>
      <c r="AT52" s="151"/>
      <c r="AU52" s="151"/>
      <c r="AV52" s="151"/>
      <c r="AW52" s="151"/>
      <c r="AX52" s="151"/>
      <c r="AY52" s="151"/>
      <c r="AZ52" s="151"/>
      <c r="BA52" s="151"/>
      <c r="BB52" s="151"/>
      <c r="BC52" s="151"/>
      <c r="BD52" s="151"/>
      <c r="BE52" s="151"/>
      <c r="BF52" s="151"/>
      <c r="BG52" s="151"/>
      <c r="BH52" s="151"/>
      <c r="BI52" s="151"/>
      <c r="BJ52" s="151"/>
      <c r="BK52" s="151"/>
      <c r="BL52" s="151"/>
      <c r="BM52">
        <v>5</v>
      </c>
      <c r="BN52" t="s">
        <v>2107</v>
      </c>
      <c r="BP52" s="1"/>
      <c r="BQ52" s="1"/>
      <c r="BR52" s="1"/>
      <c r="BT52" s="1">
        <v>5</v>
      </c>
      <c r="BU52" s="89" t="s">
        <v>2114</v>
      </c>
      <c r="BW52">
        <v>5</v>
      </c>
      <c r="BX52" t="s">
        <v>2156</v>
      </c>
    </row>
    <row r="53" spans="1:79" ht="17.25">
      <c r="A53" s="1">
        <v>51</v>
      </c>
      <c r="B53" t="s">
        <v>1347</v>
      </c>
      <c r="C53" s="28" t="s">
        <v>1605</v>
      </c>
      <c r="D53" t="s">
        <v>1400</v>
      </c>
      <c r="E53" s="29" t="s">
        <v>1400</v>
      </c>
      <c r="G53">
        <v>51</v>
      </c>
      <c r="H53" t="s">
        <v>1605</v>
      </c>
      <c r="I53" t="s">
        <v>1400</v>
      </c>
      <c r="K53" s="1">
        <v>51</v>
      </c>
      <c r="L53" t="s">
        <v>17</v>
      </c>
      <c r="O53" s="30">
        <v>50</v>
      </c>
      <c r="P53" s="30" t="s">
        <v>435</v>
      </c>
      <c r="U53">
        <v>50</v>
      </c>
      <c r="V53" t="s">
        <v>1516</v>
      </c>
      <c r="Y53" s="151"/>
      <c r="Z53" s="151"/>
      <c r="AA53" s="151"/>
      <c r="AB53" s="151"/>
      <c r="AC53" s="151"/>
      <c r="AD53" s="151"/>
      <c r="AE53" s="151"/>
      <c r="AF53" s="151"/>
      <c r="AM53">
        <v>0</v>
      </c>
      <c r="AN53">
        <v>0</v>
      </c>
      <c r="AP53">
        <v>0</v>
      </c>
      <c r="AR53" s="151"/>
      <c r="AS53" s="151"/>
      <c r="AT53" s="151"/>
      <c r="AU53" s="151"/>
      <c r="AV53" s="151"/>
      <c r="AW53" s="151"/>
      <c r="AX53" s="151"/>
      <c r="AY53" s="151"/>
      <c r="AZ53" s="151"/>
      <c r="BA53" s="151"/>
      <c r="BB53" s="151"/>
      <c r="BC53" s="151"/>
      <c r="BD53" s="151"/>
      <c r="BE53" s="151"/>
      <c r="BF53" s="151"/>
      <c r="BG53" s="151"/>
      <c r="BH53" s="151"/>
      <c r="BI53" s="151"/>
      <c r="BJ53" s="151"/>
      <c r="BK53" s="151"/>
      <c r="BL53" s="151"/>
      <c r="BM53">
        <v>6</v>
      </c>
      <c r="BN53" t="s">
        <v>2108</v>
      </c>
      <c r="BP53" s="1"/>
      <c r="BQ53" s="1"/>
      <c r="BR53" s="1"/>
      <c r="BT53" s="1">
        <v>6</v>
      </c>
      <c r="BU53" s="89" t="s">
        <v>2115</v>
      </c>
      <c r="BW53">
        <v>6</v>
      </c>
      <c r="BX53" t="s">
        <v>2157</v>
      </c>
    </row>
    <row r="54" spans="1:79" ht="17.25">
      <c r="A54" s="1">
        <v>52</v>
      </c>
      <c r="B54" t="s">
        <v>1348</v>
      </c>
      <c r="C54" s="1"/>
      <c r="D54" t="s">
        <v>1401</v>
      </c>
      <c r="K54" s="1">
        <v>52</v>
      </c>
      <c r="L54" t="s">
        <v>122</v>
      </c>
      <c r="O54" s="30">
        <v>51</v>
      </c>
      <c r="P54" s="30" t="s">
        <v>625</v>
      </c>
      <c r="U54">
        <v>51</v>
      </c>
      <c r="V54" t="s">
        <v>1517</v>
      </c>
      <c r="Y54" s="151"/>
      <c r="Z54" s="151"/>
      <c r="AA54" s="151"/>
      <c r="AB54" s="151"/>
      <c r="AC54" s="151"/>
      <c r="AD54" s="151"/>
      <c r="AE54" s="151"/>
      <c r="AF54" s="151"/>
      <c r="AM54">
        <v>0</v>
      </c>
      <c r="AN54">
        <v>0</v>
      </c>
      <c r="AP54">
        <v>0</v>
      </c>
      <c r="AR54" s="151"/>
      <c r="AS54" s="151"/>
      <c r="AT54" s="151"/>
      <c r="AU54" s="151"/>
      <c r="AV54" s="151"/>
      <c r="AW54" s="151"/>
      <c r="AX54" s="151"/>
      <c r="AY54" s="151"/>
      <c r="AZ54" s="151"/>
      <c r="BA54" s="151"/>
      <c r="BB54" s="151"/>
      <c r="BC54" s="151"/>
      <c r="BD54" s="151"/>
      <c r="BE54" s="151"/>
      <c r="BF54" s="151"/>
      <c r="BG54" s="151"/>
      <c r="BH54" s="151"/>
      <c r="BI54" s="151"/>
      <c r="BJ54" s="151"/>
      <c r="BK54" s="151"/>
      <c r="BL54" s="151"/>
      <c r="BM54">
        <v>7</v>
      </c>
      <c r="BN54" t="s">
        <v>2109</v>
      </c>
      <c r="BP54" s="1"/>
      <c r="BQ54" s="1"/>
      <c r="BR54" s="1"/>
    </row>
    <row r="55" spans="1:79" ht="17.25">
      <c r="A55" s="1">
        <v>53</v>
      </c>
      <c r="B55" t="s">
        <v>1349</v>
      </c>
      <c r="C55" s="1"/>
      <c r="D55" t="s">
        <v>1402</v>
      </c>
      <c r="K55" s="1">
        <v>53</v>
      </c>
      <c r="L55" t="s">
        <v>25</v>
      </c>
      <c r="O55" s="30">
        <v>52</v>
      </c>
      <c r="P55" s="30" t="s">
        <v>437</v>
      </c>
      <c r="U55">
        <v>52</v>
      </c>
      <c r="V55" t="s">
        <v>1518</v>
      </c>
      <c r="Y55" s="151"/>
      <c r="Z55" s="151"/>
      <c r="AA55" s="151"/>
      <c r="AB55" s="151"/>
      <c r="AC55" s="151"/>
      <c r="AD55" s="151"/>
      <c r="AE55" s="151"/>
      <c r="AF55" s="151"/>
      <c r="AG55" s="151"/>
      <c r="AH55" s="151"/>
      <c r="AI55" s="151"/>
      <c r="AJ55" s="151"/>
      <c r="AK55" s="151"/>
      <c r="AL55" s="151"/>
      <c r="AM55" s="151"/>
      <c r="AN55" s="151"/>
      <c r="AO55" s="151"/>
      <c r="AP55" s="151"/>
      <c r="AQ55" s="151"/>
      <c r="AR55" s="151"/>
      <c r="AS55" s="151"/>
      <c r="AT55" s="151"/>
      <c r="AU55" s="151"/>
      <c r="AV55" s="151"/>
      <c r="AW55" s="151"/>
      <c r="AX55" s="151"/>
      <c r="AY55" s="151"/>
      <c r="AZ55" s="151"/>
      <c r="BA55" s="151"/>
      <c r="BB55" s="151"/>
      <c r="BC55" s="151"/>
      <c r="BD55" s="151"/>
      <c r="BE55" s="151"/>
      <c r="BF55" s="151"/>
      <c r="BG55" s="151"/>
      <c r="BH55" s="151"/>
      <c r="BI55" s="151"/>
      <c r="BJ55" s="151"/>
      <c r="BK55" s="151"/>
      <c r="BL55" s="151"/>
      <c r="BP55" s="1"/>
      <c r="BQ55" s="1"/>
      <c r="BR55" s="1"/>
    </row>
    <row r="56" spans="1:79" ht="17.25">
      <c r="C56" s="1"/>
      <c r="D56" t="s">
        <v>1403</v>
      </c>
      <c r="K56" s="1">
        <v>54</v>
      </c>
      <c r="L56" t="s">
        <v>379</v>
      </c>
      <c r="O56" s="30">
        <v>53</v>
      </c>
      <c r="P56" s="30" t="s">
        <v>626</v>
      </c>
      <c r="U56">
        <v>53</v>
      </c>
      <c r="V56" t="s">
        <v>1519</v>
      </c>
      <c r="Y56" s="151"/>
      <c r="Z56" s="151"/>
      <c r="AA56" s="151"/>
      <c r="AB56" s="151"/>
      <c r="AC56" s="151"/>
      <c r="AD56" s="151"/>
      <c r="AE56" s="151"/>
      <c r="AF56" s="151"/>
      <c r="AG56" s="151"/>
      <c r="AH56" s="151"/>
      <c r="AI56" s="151"/>
      <c r="AJ56" s="151"/>
      <c r="AK56" s="151"/>
      <c r="AL56" s="151"/>
      <c r="AM56" s="151"/>
      <c r="AN56" s="151"/>
      <c r="AO56" s="151"/>
      <c r="AP56" s="151"/>
      <c r="AQ56" s="151"/>
      <c r="AR56" s="151"/>
      <c r="AS56" s="151"/>
      <c r="AT56" s="151"/>
      <c r="AU56" s="151"/>
      <c r="AV56" s="151"/>
      <c r="AW56" s="151"/>
      <c r="AX56" s="151"/>
      <c r="AY56" s="151"/>
      <c r="AZ56" s="151"/>
      <c r="BA56" s="151"/>
      <c r="BB56" s="151"/>
      <c r="BC56" s="151"/>
      <c r="BD56" s="151"/>
      <c r="BE56" s="151"/>
      <c r="BF56" s="151"/>
      <c r="BG56" s="151"/>
      <c r="BH56" s="151"/>
      <c r="BI56" s="151"/>
      <c r="BJ56" s="151"/>
      <c r="BK56" s="151"/>
      <c r="BL56" s="151"/>
      <c r="BP56" s="1"/>
      <c r="BQ56" s="1"/>
      <c r="BR56" s="1"/>
    </row>
    <row r="57" spans="1:79" ht="17.25">
      <c r="K57" s="1">
        <v>55</v>
      </c>
      <c r="L57" t="s">
        <v>453</v>
      </c>
      <c r="O57" s="30">
        <v>54</v>
      </c>
      <c r="P57" s="30" t="s">
        <v>627</v>
      </c>
      <c r="U57">
        <v>54</v>
      </c>
      <c r="V57" t="s">
        <v>1520</v>
      </c>
      <c r="Y57" s="151"/>
      <c r="Z57" s="151"/>
      <c r="AA57" s="151"/>
      <c r="AB57" s="151"/>
      <c r="AC57" s="151"/>
      <c r="AD57" s="151"/>
      <c r="AE57" s="151"/>
      <c r="AF57" s="151"/>
      <c r="AG57" t="s">
        <v>12267</v>
      </c>
      <c r="AH57" t="s">
        <v>12268</v>
      </c>
      <c r="AI57" t="s">
        <v>12269</v>
      </c>
      <c r="AJ57" t="s">
        <v>12270</v>
      </c>
      <c r="AK57" t="s">
        <v>12271</v>
      </c>
      <c r="AL57" t="s">
        <v>12272</v>
      </c>
      <c r="AM57" t="s">
        <v>12273</v>
      </c>
      <c r="AN57" t="s">
        <v>12274</v>
      </c>
      <c r="AO57" t="s">
        <v>12275</v>
      </c>
      <c r="AP57" s="151"/>
      <c r="AQ57" s="151"/>
      <c r="AR57" s="151"/>
      <c r="AS57" s="151"/>
      <c r="AT57" s="151"/>
      <c r="AU57" s="151"/>
      <c r="AV57" s="151"/>
      <c r="AW57" s="151"/>
      <c r="AX57" s="151"/>
      <c r="AY57" s="151"/>
      <c r="AZ57" s="151"/>
      <c r="BA57" s="151"/>
      <c r="BB57" s="151"/>
      <c r="BC57" s="151"/>
      <c r="BD57" s="151"/>
      <c r="BE57" s="151"/>
      <c r="BF57" s="151"/>
      <c r="BG57" s="151"/>
      <c r="BH57" s="151"/>
      <c r="BI57" s="151"/>
      <c r="BJ57" s="151"/>
      <c r="BK57" s="151"/>
      <c r="BL57" s="151"/>
      <c r="BP57" s="1"/>
      <c r="BQ57" s="1"/>
      <c r="BR57" s="1"/>
    </row>
    <row r="58" spans="1:79" ht="17.25">
      <c r="K58" s="1">
        <v>56</v>
      </c>
      <c r="L58" t="s">
        <v>455</v>
      </c>
      <c r="O58" s="30">
        <v>55</v>
      </c>
      <c r="P58" s="30" t="s">
        <v>1668</v>
      </c>
      <c r="U58">
        <v>55</v>
      </c>
      <c r="V58" t="s">
        <v>1521</v>
      </c>
      <c r="Y58" s="151"/>
      <c r="Z58" s="151"/>
      <c r="AA58" s="151"/>
      <c r="AB58" s="151"/>
      <c r="AC58" s="151"/>
      <c r="AD58" s="151"/>
      <c r="AE58" s="151"/>
      <c r="AF58" s="151"/>
      <c r="AG58" t="s">
        <v>12276</v>
      </c>
      <c r="AH58" t="s">
        <v>12277</v>
      </c>
      <c r="AI58" t="s">
        <v>12278</v>
      </c>
      <c r="AJ58" t="s">
        <v>12279</v>
      </c>
      <c r="AK58" t="s">
        <v>12280</v>
      </c>
      <c r="AL58" t="s">
        <v>12278</v>
      </c>
      <c r="AM58" t="s">
        <v>12279</v>
      </c>
      <c r="AN58" t="s">
        <v>12281</v>
      </c>
      <c r="AO58" t="s">
        <v>12282</v>
      </c>
      <c r="AP58" s="151"/>
      <c r="AQ58" s="151"/>
      <c r="AR58" s="151"/>
      <c r="AS58" s="151"/>
      <c r="AT58" s="151"/>
      <c r="AU58" s="151"/>
      <c r="AV58" s="151"/>
      <c r="AW58" s="151"/>
      <c r="AX58" s="151"/>
      <c r="AY58" s="151"/>
      <c r="AZ58" s="151"/>
      <c r="BA58" s="151"/>
      <c r="BB58" s="151"/>
      <c r="BC58" s="151"/>
      <c r="BD58" s="151"/>
      <c r="BE58" s="151"/>
      <c r="BF58" s="151"/>
      <c r="BG58" s="151"/>
      <c r="BH58" s="151"/>
      <c r="BI58" s="151"/>
      <c r="BJ58" s="151"/>
      <c r="BK58" s="151"/>
      <c r="BL58" s="151"/>
      <c r="BP58" s="1"/>
      <c r="BQ58" s="1"/>
      <c r="BR58" s="1"/>
    </row>
    <row r="59" spans="1:79" ht="17.25">
      <c r="K59" s="1">
        <v>57</v>
      </c>
      <c r="L59" t="s">
        <v>456</v>
      </c>
      <c r="O59" s="30">
        <v>56</v>
      </c>
      <c r="P59" s="30" t="s">
        <v>628</v>
      </c>
      <c r="U59">
        <v>56</v>
      </c>
      <c r="V59" t="s">
        <v>1522</v>
      </c>
      <c r="Y59" s="151"/>
      <c r="Z59" s="151"/>
      <c r="AA59" s="151"/>
      <c r="AB59" s="151"/>
      <c r="AC59" s="151"/>
      <c r="AD59" s="151"/>
      <c r="AE59" s="151"/>
      <c r="AF59" s="151"/>
      <c r="AG59" t="s">
        <v>12283</v>
      </c>
      <c r="AH59" t="s">
        <v>12284</v>
      </c>
      <c r="AI59" t="s">
        <v>12280</v>
      </c>
      <c r="AJ59" t="s">
        <v>12285</v>
      </c>
      <c r="AK59" t="s">
        <v>12286</v>
      </c>
      <c r="AL59" t="s">
        <v>12280</v>
      </c>
      <c r="AM59" t="s">
        <v>12285</v>
      </c>
      <c r="AN59" t="s">
        <v>12287</v>
      </c>
      <c r="AO59" t="s">
        <v>12288</v>
      </c>
      <c r="AP59" s="151"/>
      <c r="AQ59" s="151"/>
      <c r="AR59" s="151"/>
      <c r="AS59" s="151"/>
      <c r="AT59" s="151"/>
      <c r="AU59" s="151"/>
      <c r="AV59" s="151"/>
      <c r="AW59" s="151"/>
      <c r="AX59" s="151"/>
      <c r="AY59" s="151"/>
      <c r="AZ59" s="151"/>
      <c r="BA59" s="151"/>
      <c r="BB59" s="151"/>
      <c r="BC59" s="151"/>
      <c r="BD59" s="151"/>
      <c r="BE59" s="151"/>
      <c r="BF59" s="151"/>
      <c r="BG59" s="151"/>
      <c r="BH59" s="151"/>
      <c r="BI59" s="151"/>
      <c r="BJ59" s="151"/>
      <c r="BK59" s="151"/>
      <c r="BL59" s="151"/>
      <c r="BP59" s="1"/>
      <c r="BQ59" s="1"/>
      <c r="BR59" s="1"/>
    </row>
    <row r="60" spans="1:79" ht="17.25">
      <c r="K60" s="1">
        <v>58</v>
      </c>
      <c r="L60" t="s">
        <v>258</v>
      </c>
      <c r="O60" s="30">
        <v>57</v>
      </c>
      <c r="P60" s="30" t="s">
        <v>629</v>
      </c>
      <c r="U60">
        <v>57</v>
      </c>
      <c r="V60" t="s">
        <v>1523</v>
      </c>
      <c r="Y60" s="151"/>
      <c r="Z60" s="151"/>
      <c r="AA60" s="151"/>
      <c r="AB60" s="151"/>
      <c r="AC60" s="151"/>
      <c r="AD60" s="151"/>
      <c r="AE60" s="151"/>
      <c r="AF60" s="151"/>
      <c r="AG60" t="s">
        <v>12289</v>
      </c>
      <c r="AH60" t="s">
        <v>12290</v>
      </c>
      <c r="AI60" t="s">
        <v>12286</v>
      </c>
      <c r="AJ60" t="s">
        <v>12291</v>
      </c>
      <c r="AK60" t="s">
        <v>6605</v>
      </c>
      <c r="AL60" t="s">
        <v>12286</v>
      </c>
      <c r="AM60" t="s">
        <v>12291</v>
      </c>
      <c r="AN60" t="s">
        <v>12292</v>
      </c>
      <c r="AO60" t="s">
        <v>12293</v>
      </c>
      <c r="AP60" s="151"/>
      <c r="AQ60" s="151"/>
      <c r="AR60" s="151"/>
      <c r="AS60" s="151"/>
      <c r="AT60" s="151"/>
      <c r="AU60" s="151"/>
      <c r="AV60" s="151"/>
      <c r="AW60" s="151"/>
      <c r="AX60" s="151"/>
      <c r="AY60" s="151"/>
      <c r="AZ60" s="151"/>
      <c r="BA60" s="151"/>
      <c r="BB60" s="151"/>
      <c r="BC60" s="151"/>
      <c r="BD60" s="151"/>
      <c r="BE60" s="151"/>
      <c r="BF60" s="151"/>
      <c r="BG60" s="151"/>
      <c r="BH60" s="151"/>
      <c r="BI60" s="151"/>
      <c r="BJ60" s="151"/>
      <c r="BK60" s="151"/>
      <c r="BL60" s="151"/>
      <c r="BP60" s="1"/>
      <c r="BQ60" s="1"/>
      <c r="BR60" s="1"/>
    </row>
    <row r="61" spans="1:79" ht="17.25">
      <c r="K61" s="1">
        <v>59</v>
      </c>
      <c r="L61" t="s">
        <v>156</v>
      </c>
      <c r="O61" s="30">
        <v>58</v>
      </c>
      <c r="P61" s="30" t="s">
        <v>630</v>
      </c>
      <c r="U61">
        <v>58</v>
      </c>
      <c r="V61" t="s">
        <v>1524</v>
      </c>
      <c r="Y61" s="151"/>
      <c r="Z61" s="151"/>
      <c r="AA61" s="151"/>
      <c r="AB61" s="151"/>
      <c r="AC61" s="151"/>
      <c r="AD61" s="151"/>
      <c r="AE61" s="151"/>
      <c r="AF61" s="151"/>
      <c r="AG61" t="s">
        <v>12294</v>
      </c>
      <c r="AH61" t="s">
        <v>12295</v>
      </c>
      <c r="AI61" t="s">
        <v>6605</v>
      </c>
      <c r="AJ61" t="s">
        <v>12296</v>
      </c>
      <c r="AK61" t="s">
        <v>12297</v>
      </c>
      <c r="AL61" t="s">
        <v>6605</v>
      </c>
      <c r="AM61" t="s">
        <v>12296</v>
      </c>
      <c r="AN61" t="s">
        <v>12298</v>
      </c>
      <c r="AO61" t="s">
        <v>12299</v>
      </c>
      <c r="AP61" s="151"/>
      <c r="AQ61" s="151"/>
      <c r="AR61" s="151"/>
      <c r="AS61" s="151"/>
      <c r="AT61" s="151"/>
      <c r="AU61" s="151"/>
      <c r="AV61" s="151"/>
      <c r="AW61" s="151"/>
      <c r="AX61" s="151"/>
      <c r="AY61" s="151"/>
      <c r="AZ61" s="151"/>
      <c r="BA61" s="151"/>
      <c r="BB61" s="151"/>
      <c r="BC61" s="151"/>
      <c r="BD61" s="151"/>
      <c r="BE61" s="151"/>
      <c r="BF61" s="151"/>
      <c r="BG61" s="151"/>
      <c r="BH61" s="151"/>
      <c r="BI61" s="151"/>
      <c r="BJ61" s="151"/>
      <c r="BK61" s="151"/>
      <c r="BL61" s="151"/>
      <c r="BP61" s="1"/>
      <c r="BQ61" s="1"/>
      <c r="BR61" s="1"/>
      <c r="CA61" s="137" t="str" cm="1">
        <f t="array" aca="1" ref="CA61" ca="1">INDEX(CA63:CA66,RANDBETWEEN(1,4),1)</f>
        <v>Something has affected the destination that makes completion of the mission impossible</v>
      </c>
    </row>
    <row r="62" spans="1:79" ht="17.25">
      <c r="K62" s="1">
        <v>60</v>
      </c>
      <c r="L62" t="s">
        <v>460</v>
      </c>
      <c r="O62" s="30">
        <v>59</v>
      </c>
      <c r="P62" s="30" t="s">
        <v>1669</v>
      </c>
      <c r="U62">
        <v>59</v>
      </c>
      <c r="V62" t="s">
        <v>1525</v>
      </c>
      <c r="Y62" s="151"/>
      <c r="Z62" s="151"/>
      <c r="AA62" s="151"/>
      <c r="AB62" s="151"/>
      <c r="AC62" s="151"/>
      <c r="AD62" s="151"/>
      <c r="AE62" s="151"/>
      <c r="AF62" s="151"/>
      <c r="AG62" t="s">
        <v>2009</v>
      </c>
      <c r="AH62" t="s">
        <v>12300</v>
      </c>
      <c r="AI62" t="s">
        <v>12297</v>
      </c>
      <c r="AJ62" t="s">
        <v>12301</v>
      </c>
      <c r="AK62" t="s">
        <v>12302</v>
      </c>
      <c r="AL62" t="s">
        <v>12297</v>
      </c>
      <c r="AM62" t="s">
        <v>12301</v>
      </c>
      <c r="AN62" t="s">
        <v>12303</v>
      </c>
      <c r="AO62" t="s">
        <v>12304</v>
      </c>
      <c r="AP62" s="151"/>
      <c r="AQ62" s="151"/>
      <c r="AR62" s="151"/>
      <c r="AS62" s="151"/>
      <c r="AT62" s="151"/>
      <c r="AU62" s="151"/>
      <c r="AV62" s="151"/>
      <c r="AW62" s="151"/>
      <c r="AX62" s="151"/>
      <c r="AY62" s="151"/>
      <c r="AZ62" s="151"/>
      <c r="BA62" s="151"/>
      <c r="BB62" s="151"/>
      <c r="BC62" s="151"/>
      <c r="BD62" s="151"/>
      <c r="BE62" s="151"/>
      <c r="BF62" s="151"/>
      <c r="BG62" s="151"/>
      <c r="BH62" s="151"/>
      <c r="BI62" s="151"/>
      <c r="BJ62" s="151"/>
      <c r="BK62" s="151"/>
      <c r="BL62" s="151"/>
      <c r="BP62" s="1"/>
      <c r="BQ62" s="1"/>
      <c r="BR62" s="1"/>
      <c r="BZ62" s="90" t="s">
        <v>1725</v>
      </c>
      <c r="CA62" s="1" t="s">
        <v>2158</v>
      </c>
    </row>
    <row r="63" spans="1:79" ht="17.25">
      <c r="O63" s="30">
        <v>60</v>
      </c>
      <c r="P63" s="30" t="s">
        <v>1715</v>
      </c>
      <c r="U63">
        <v>60</v>
      </c>
      <c r="V63" t="s">
        <v>1526</v>
      </c>
      <c r="Y63" s="151"/>
      <c r="Z63" s="151"/>
      <c r="AA63" s="151"/>
      <c r="AB63" s="151"/>
      <c r="AC63" s="151"/>
      <c r="AD63" s="151"/>
      <c r="AE63" s="151"/>
      <c r="AF63" s="151"/>
      <c r="AG63" t="s">
        <v>12305</v>
      </c>
      <c r="AH63" t="s">
        <v>12306</v>
      </c>
      <c r="AI63" t="s">
        <v>12302</v>
      </c>
      <c r="AJ63" t="s">
        <v>12307</v>
      </c>
      <c r="AK63" t="s">
        <v>12308</v>
      </c>
      <c r="AL63" t="s">
        <v>12302</v>
      </c>
      <c r="AM63" t="s">
        <v>12307</v>
      </c>
      <c r="AN63" t="s">
        <v>12309</v>
      </c>
      <c r="AO63" t="s">
        <v>12303</v>
      </c>
      <c r="AP63" s="151"/>
      <c r="AQ63" s="151"/>
      <c r="AR63" s="151"/>
      <c r="AS63" s="151"/>
      <c r="AT63" s="151"/>
      <c r="AU63" s="151"/>
      <c r="AV63" s="151"/>
      <c r="AW63" s="151"/>
      <c r="AX63" s="151"/>
      <c r="AY63" s="151"/>
      <c r="AZ63" s="151"/>
      <c r="BA63" s="151"/>
      <c r="BB63" s="151"/>
      <c r="BC63" s="151"/>
      <c r="BD63" s="151"/>
      <c r="BE63" s="151"/>
      <c r="BF63" s="151"/>
      <c r="BG63" s="151"/>
      <c r="BH63" s="151"/>
      <c r="BI63" s="151"/>
      <c r="BJ63" s="151"/>
      <c r="BK63" s="151"/>
      <c r="BL63" s="151"/>
      <c r="BP63" s="1"/>
      <c r="BQ63" s="1"/>
      <c r="BR63" s="1"/>
      <c r="BZ63">
        <v>1</v>
      </c>
      <c r="CA63" s="1" t="s">
        <v>2159</v>
      </c>
    </row>
    <row r="64" spans="1:79" ht="17.25">
      <c r="O64" s="30">
        <v>61</v>
      </c>
      <c r="P64" s="30" t="s">
        <v>686</v>
      </c>
      <c r="U64">
        <v>61</v>
      </c>
      <c r="V64" t="s">
        <v>1527</v>
      </c>
      <c r="Y64" s="151"/>
      <c r="Z64" s="151"/>
      <c r="AA64" s="151"/>
      <c r="AB64" s="151"/>
      <c r="AC64" s="151"/>
      <c r="AD64" s="151"/>
      <c r="AE64" s="151"/>
      <c r="AF64" s="151"/>
      <c r="AG64" s="151"/>
      <c r="AH64" s="151"/>
      <c r="AI64" s="151"/>
      <c r="AJ64" s="151"/>
      <c r="AK64" s="151"/>
      <c r="AL64" s="151"/>
      <c r="AM64" s="151"/>
      <c r="AN64" s="151"/>
      <c r="AO64" s="151"/>
      <c r="AP64" s="151"/>
      <c r="AQ64" s="151"/>
      <c r="AR64" s="151"/>
      <c r="AS64" s="151"/>
      <c r="AT64" s="151"/>
      <c r="AU64" s="151"/>
      <c r="AV64" s="151"/>
      <c r="AW64" s="151"/>
      <c r="AX64" s="151"/>
      <c r="AY64" s="151"/>
      <c r="AZ64" s="151"/>
      <c r="BA64" s="151"/>
      <c r="BB64" s="151"/>
      <c r="BC64" s="151"/>
      <c r="BD64" s="151"/>
      <c r="BE64" s="151"/>
      <c r="BF64" s="151"/>
      <c r="BG64" s="151"/>
      <c r="BH64" s="151"/>
      <c r="BI64" s="151"/>
      <c r="BJ64" s="151"/>
      <c r="BK64" s="151"/>
      <c r="BL64" s="151"/>
      <c r="BP64" s="1"/>
      <c r="BQ64" s="1"/>
      <c r="BR64" s="1"/>
      <c r="BZ64">
        <v>2</v>
      </c>
      <c r="CA64" s="1" t="s">
        <v>2160</v>
      </c>
    </row>
    <row r="65" spans="15:79" ht="17.25">
      <c r="O65" s="30">
        <v>62</v>
      </c>
      <c r="P65" s="30" t="s">
        <v>193</v>
      </c>
      <c r="U65">
        <v>62</v>
      </c>
      <c r="V65" t="s">
        <v>1528</v>
      </c>
      <c r="Y65" s="151"/>
      <c r="Z65" s="151"/>
      <c r="AA65" s="151"/>
      <c r="AB65" s="151"/>
      <c r="AC65" s="151"/>
      <c r="AD65" s="151"/>
      <c r="AE65" s="151"/>
      <c r="AF65" s="151"/>
      <c r="AG65" s="151"/>
      <c r="AH65" s="151"/>
      <c r="AI65" s="151"/>
      <c r="AJ65" s="151"/>
      <c r="AK65" s="151"/>
      <c r="AL65" s="151"/>
      <c r="AM65" s="151"/>
      <c r="AN65" s="151"/>
      <c r="AO65" s="151"/>
      <c r="AP65" s="151"/>
      <c r="AQ65" s="151"/>
      <c r="AR65" s="151"/>
      <c r="AS65" s="151"/>
      <c r="AT65" s="151"/>
      <c r="AU65" s="151"/>
      <c r="AV65" s="151"/>
      <c r="AW65" s="151"/>
      <c r="AX65" s="151"/>
      <c r="AY65" s="151"/>
      <c r="AZ65" s="151"/>
      <c r="BA65" s="151"/>
      <c r="BB65" s="151"/>
      <c r="BC65" s="151"/>
      <c r="BD65" s="151"/>
      <c r="BE65" s="151"/>
      <c r="BF65" s="151"/>
      <c r="BG65" s="151"/>
      <c r="BH65" s="151"/>
      <c r="BI65" s="151"/>
      <c r="BJ65" s="151"/>
      <c r="BK65" s="151"/>
      <c r="BL65" s="151"/>
      <c r="BP65" s="1"/>
      <c r="BQ65" s="1"/>
      <c r="BR65" s="1"/>
      <c r="BZ65">
        <v>3</v>
      </c>
      <c r="CA65" s="1" t="s">
        <v>2161</v>
      </c>
    </row>
    <row r="66" spans="15:79" ht="17.25">
      <c r="O66" s="30">
        <v>63</v>
      </c>
      <c r="P66" s="30" t="s">
        <v>439</v>
      </c>
      <c r="U66">
        <v>63</v>
      </c>
      <c r="V66" t="s">
        <v>1529</v>
      </c>
      <c r="Y66" s="151"/>
      <c r="Z66" s="151"/>
      <c r="AA66" s="151"/>
      <c r="AB66" s="151"/>
      <c r="AC66" s="151"/>
      <c r="AD66" s="151"/>
      <c r="AE66" s="151"/>
      <c r="AF66" s="151"/>
      <c r="AG66" s="151"/>
      <c r="AH66" s="151"/>
      <c r="AI66" s="151"/>
      <c r="AJ66" s="151"/>
      <c r="AK66" s="151"/>
      <c r="AL66" s="151"/>
      <c r="AM66" s="151"/>
      <c r="AN66" s="151"/>
      <c r="AO66" s="151"/>
      <c r="AP66" s="151"/>
      <c r="AQ66" s="151"/>
      <c r="AR66" s="151"/>
      <c r="AS66" s="151"/>
      <c r="AT66" s="151"/>
      <c r="AU66" s="151"/>
      <c r="AV66" s="151"/>
      <c r="AW66" s="151"/>
      <c r="AX66" s="151"/>
      <c r="AY66" s="151"/>
      <c r="AZ66" s="151"/>
      <c r="BA66" s="151"/>
      <c r="BB66" s="151"/>
      <c r="BC66" s="151"/>
      <c r="BD66" s="151"/>
      <c r="BE66" s="151"/>
      <c r="BF66" s="151"/>
      <c r="BG66" s="151"/>
      <c r="BH66" s="151"/>
      <c r="BI66" s="151"/>
      <c r="BJ66" s="151"/>
      <c r="BK66" s="151"/>
      <c r="BL66" s="151"/>
      <c r="BP66" s="1"/>
      <c r="BQ66" s="1"/>
      <c r="BR66" s="1"/>
      <c r="BZ66">
        <v>4</v>
      </c>
      <c r="CA66" s="1" t="s">
        <v>2162</v>
      </c>
    </row>
    <row r="67" spans="15:79" ht="17.25">
      <c r="O67" s="30">
        <v>64</v>
      </c>
      <c r="P67" s="30" t="s">
        <v>1670</v>
      </c>
      <c r="U67">
        <v>64</v>
      </c>
      <c r="V67" t="s">
        <v>1530</v>
      </c>
      <c r="Y67" s="151"/>
      <c r="Z67" s="151"/>
      <c r="AA67" s="151"/>
      <c r="AB67" s="151"/>
      <c r="AC67" s="151"/>
      <c r="AD67" s="151"/>
      <c r="AE67" s="151"/>
      <c r="AF67" s="151"/>
      <c r="AG67" s="151"/>
      <c r="AH67" s="151"/>
      <c r="AI67" s="151"/>
      <c r="AJ67" s="151"/>
      <c r="AK67" s="151"/>
      <c r="AL67" s="151"/>
      <c r="AM67" s="151"/>
      <c r="AN67" s="151"/>
      <c r="AO67" s="151"/>
      <c r="AP67" s="151"/>
      <c r="AQ67" s="151"/>
      <c r="AR67" s="151"/>
      <c r="AS67" s="151"/>
      <c r="AT67" s="151"/>
      <c r="AU67" s="151"/>
      <c r="AV67" s="151"/>
      <c r="AW67" s="151"/>
      <c r="AX67" s="151"/>
      <c r="AY67" s="151"/>
      <c r="AZ67" s="151"/>
      <c r="BA67" s="151"/>
      <c r="BB67" s="151"/>
      <c r="BC67" s="151"/>
      <c r="BD67" s="151"/>
      <c r="BE67" s="151"/>
      <c r="BF67" s="151"/>
      <c r="BG67" s="151"/>
      <c r="BH67" s="151"/>
      <c r="BI67" s="151"/>
      <c r="BJ67" s="151"/>
      <c r="BK67" s="151"/>
      <c r="BL67" s="151"/>
      <c r="BP67" s="1"/>
      <c r="BQ67" s="1"/>
      <c r="BR67" s="1"/>
      <c r="BZ67" s="135"/>
      <c r="CA67" s="136" t="str" cm="1">
        <f t="array" aca="1" ref="CA67" ca="1">INDEX(CA69:CA74,RANDBETWEEN(1,6),1)</f>
        <v>You don't need to unseat the person in power because of their new position</v>
      </c>
    </row>
    <row r="68" spans="15:79" ht="17.25">
      <c r="O68" s="30">
        <v>65</v>
      </c>
      <c r="P68" s="30" t="s">
        <v>1716</v>
      </c>
      <c r="U68">
        <v>65</v>
      </c>
      <c r="V68" t="s">
        <v>1531</v>
      </c>
      <c r="Y68" s="151"/>
      <c r="Z68" s="151"/>
      <c r="AA68" s="151"/>
      <c r="AB68" s="151"/>
      <c r="AC68" s="151"/>
      <c r="AD68" s="151"/>
      <c r="AE68" s="151"/>
      <c r="AF68" s="151"/>
      <c r="AG68" s="151"/>
      <c r="AH68" s="151"/>
      <c r="AI68" s="151"/>
      <c r="AJ68" s="151"/>
      <c r="AK68" s="151"/>
      <c r="AL68" s="151"/>
      <c r="AM68" s="151"/>
      <c r="AN68" s="151"/>
      <c r="AO68" s="151"/>
      <c r="AP68" s="151"/>
      <c r="AQ68" s="151"/>
      <c r="AR68" s="151"/>
      <c r="AS68" s="151"/>
      <c r="AT68" s="151"/>
      <c r="AU68" s="151"/>
      <c r="AV68" s="151"/>
      <c r="AW68" s="151"/>
      <c r="AX68" s="151"/>
      <c r="AY68" s="151"/>
      <c r="AZ68" s="151"/>
      <c r="BA68" s="151"/>
      <c r="BB68" s="151"/>
      <c r="BC68" s="151"/>
      <c r="BD68" s="151"/>
      <c r="BE68" s="151"/>
      <c r="BF68" s="151"/>
      <c r="BG68" s="151"/>
      <c r="BH68" s="151"/>
      <c r="BI68" s="151"/>
      <c r="BJ68" s="151"/>
      <c r="BK68" s="151"/>
      <c r="BL68" s="151"/>
      <c r="BP68" s="1"/>
      <c r="BQ68" s="1"/>
      <c r="BR68" s="1"/>
      <c r="BZ68" t="s">
        <v>1725</v>
      </c>
      <c r="CA68" s="1" t="s">
        <v>2163</v>
      </c>
    </row>
    <row r="69" spans="15:79" ht="17.25">
      <c r="O69" s="30">
        <v>66</v>
      </c>
      <c r="P69" s="30" t="s">
        <v>1671</v>
      </c>
      <c r="U69">
        <v>66</v>
      </c>
      <c r="V69" t="s">
        <v>1532</v>
      </c>
      <c r="Y69" s="151"/>
      <c r="Z69" s="151"/>
      <c r="AA69" s="151"/>
      <c r="AB69" s="151"/>
      <c r="AC69" s="151"/>
      <c r="AD69" s="151"/>
      <c r="AE69" s="151"/>
      <c r="AF69" s="151"/>
      <c r="AG69" s="151"/>
      <c r="AH69" s="151"/>
      <c r="AI69" s="151"/>
      <c r="AJ69" s="151"/>
      <c r="AK69" s="151"/>
      <c r="AL69" s="151"/>
      <c r="AM69" s="151"/>
      <c r="AN69" s="151"/>
      <c r="AO69" s="151"/>
      <c r="AP69" s="151"/>
      <c r="AQ69" s="151"/>
      <c r="AR69" s="151"/>
      <c r="AS69" s="151"/>
      <c r="AT69" s="151"/>
      <c r="AU69" s="151"/>
      <c r="AV69" s="151"/>
      <c r="AW69" s="151"/>
      <c r="AX69" s="151"/>
      <c r="AY69" s="151"/>
      <c r="AZ69" s="151"/>
      <c r="BA69" s="151"/>
      <c r="BB69" s="151"/>
      <c r="BC69" s="151"/>
      <c r="BD69" s="151"/>
      <c r="BE69" s="151"/>
      <c r="BF69" s="151"/>
      <c r="BG69" s="151"/>
      <c r="BH69" s="151"/>
      <c r="BI69" s="151"/>
      <c r="BJ69" s="151"/>
      <c r="BK69" s="151"/>
      <c r="BL69" s="151"/>
      <c r="BP69" s="1"/>
      <c r="BQ69" s="1"/>
      <c r="BR69" s="1"/>
      <c r="BZ69">
        <v>1</v>
      </c>
      <c r="CA69" s="1" t="s">
        <v>2164</v>
      </c>
    </row>
    <row r="70" spans="15:79" ht="17.25">
      <c r="O70" s="30">
        <v>67</v>
      </c>
      <c r="P70" s="30" t="s">
        <v>1672</v>
      </c>
      <c r="U70">
        <v>67</v>
      </c>
      <c r="V70" t="s">
        <v>1533</v>
      </c>
      <c r="Y70" s="151"/>
      <c r="Z70" s="151"/>
      <c r="AA70" s="151"/>
      <c r="AB70" s="151"/>
      <c r="AC70" s="151"/>
      <c r="AD70" s="151"/>
      <c r="AE70" s="151"/>
      <c r="AF70" s="151"/>
      <c r="AG70" s="151"/>
      <c r="AH70" s="151"/>
      <c r="AI70" s="151"/>
      <c r="AJ70" s="151"/>
      <c r="AK70" s="151"/>
      <c r="AL70" s="151"/>
      <c r="AM70" s="151"/>
      <c r="AN70" s="151"/>
      <c r="AO70" s="151"/>
      <c r="AP70" s="151"/>
      <c r="AQ70" s="151"/>
      <c r="AR70" s="151"/>
      <c r="AS70" s="151"/>
      <c r="AT70" s="151"/>
      <c r="AU70" s="151"/>
      <c r="AV70" s="151"/>
      <c r="AW70" s="151"/>
      <c r="AX70" s="151"/>
      <c r="AY70" s="151"/>
      <c r="AZ70" s="151"/>
      <c r="BA70" s="151"/>
      <c r="BB70" s="151"/>
      <c r="BC70" s="151"/>
      <c r="BD70" s="151"/>
      <c r="BE70" s="151"/>
      <c r="BF70" s="151"/>
      <c r="BG70" s="151"/>
      <c r="BH70" s="151"/>
      <c r="BI70" s="151"/>
      <c r="BJ70" s="151"/>
      <c r="BK70" s="151"/>
      <c r="BL70" s="151"/>
      <c r="BP70" s="1"/>
      <c r="BQ70" s="1"/>
      <c r="BR70" s="1"/>
      <c r="BZ70">
        <v>2</v>
      </c>
      <c r="CA70" s="1" t="s">
        <v>2165</v>
      </c>
    </row>
    <row r="71" spans="15:79" ht="17.25">
      <c r="O71" s="30">
        <v>68</v>
      </c>
      <c r="P71" s="30" t="s">
        <v>1673</v>
      </c>
      <c r="U71">
        <v>68</v>
      </c>
      <c r="V71" t="s">
        <v>1534</v>
      </c>
      <c r="Y71" s="151"/>
      <c r="Z71" s="151"/>
      <c r="AA71" s="151"/>
      <c r="AB71" s="151"/>
      <c r="AC71" s="151"/>
      <c r="AD71" s="151"/>
      <c r="AE71" s="151"/>
      <c r="AF71" s="151"/>
      <c r="AG71" s="151"/>
      <c r="AH71" s="151"/>
      <c r="AI71" s="151"/>
      <c r="AJ71" s="151"/>
      <c r="AK71" s="151"/>
      <c r="AL71" s="151"/>
      <c r="AM71" s="151"/>
      <c r="AN71" s="151"/>
      <c r="AO71" s="151"/>
      <c r="AP71" s="151"/>
      <c r="AQ71" s="151"/>
      <c r="AR71" s="151"/>
      <c r="AS71" s="151"/>
      <c r="AT71" s="151"/>
      <c r="AU71" s="151"/>
      <c r="AV71" s="151"/>
      <c r="AW71" s="151"/>
      <c r="AX71" s="151"/>
      <c r="AY71" s="151"/>
      <c r="AZ71" s="151"/>
      <c r="BA71" s="151"/>
      <c r="BB71" s="151"/>
      <c r="BC71" s="151"/>
      <c r="BD71" s="151"/>
      <c r="BE71" s="151"/>
      <c r="BF71" s="151"/>
      <c r="BG71" s="151"/>
      <c r="BH71" s="151"/>
      <c r="BI71" s="151"/>
      <c r="BJ71" s="151"/>
      <c r="BK71" s="151"/>
      <c r="BL71" s="151"/>
      <c r="BP71" s="1"/>
      <c r="BQ71" s="1"/>
      <c r="BR71" s="1"/>
      <c r="BZ71" s="1">
        <v>3</v>
      </c>
      <c r="CA71" s="1" t="s">
        <v>2166</v>
      </c>
    </row>
    <row r="72" spans="15:79" ht="17.25">
      <c r="O72" s="30">
        <v>69</v>
      </c>
      <c r="P72" s="30" t="s">
        <v>631</v>
      </c>
      <c r="U72">
        <v>69</v>
      </c>
      <c r="V72" t="s">
        <v>1535</v>
      </c>
      <c r="Y72" s="151"/>
      <c r="Z72" s="151"/>
      <c r="AA72" s="151"/>
      <c r="AB72" s="151"/>
      <c r="AC72" s="151"/>
      <c r="AD72" s="151"/>
      <c r="AE72" s="151"/>
      <c r="AF72" s="151"/>
      <c r="AG72" s="151"/>
      <c r="AH72" s="151"/>
      <c r="AI72" s="151"/>
      <c r="AJ72" s="151"/>
      <c r="AK72" s="151"/>
      <c r="AL72" s="151"/>
      <c r="AM72" s="151"/>
      <c r="AN72" s="151"/>
      <c r="AO72" s="151"/>
      <c r="AP72" s="151"/>
      <c r="AQ72" s="151"/>
      <c r="AR72" s="151"/>
      <c r="AS72" s="151"/>
      <c r="AT72" s="151"/>
      <c r="AU72" s="151"/>
      <c r="AV72" s="151"/>
      <c r="AW72" s="151"/>
      <c r="AX72" s="151"/>
      <c r="AY72" s="151"/>
      <c r="AZ72" s="151"/>
      <c r="BA72" s="151"/>
      <c r="BB72" s="151"/>
      <c r="BC72" s="151"/>
      <c r="BD72" s="151"/>
      <c r="BE72" s="151"/>
      <c r="BF72" s="151"/>
      <c r="BG72" s="151"/>
      <c r="BH72" s="151"/>
      <c r="BI72" s="151"/>
      <c r="BJ72" s="151"/>
      <c r="BK72" s="151"/>
      <c r="BL72" s="151"/>
      <c r="BP72" s="1"/>
      <c r="BQ72" s="1"/>
      <c r="BR72" s="1"/>
      <c r="BZ72" s="1">
        <v>4</v>
      </c>
      <c r="CA72" s="1" t="s">
        <v>2167</v>
      </c>
    </row>
    <row r="73" spans="15:79" ht="17.25">
      <c r="O73" s="30">
        <v>70</v>
      </c>
      <c r="P73" s="30" t="s">
        <v>441</v>
      </c>
      <c r="U73">
        <v>70</v>
      </c>
      <c r="V73" t="s">
        <v>1536</v>
      </c>
      <c r="Y73" s="151"/>
      <c r="Z73" s="151"/>
      <c r="AA73" s="151"/>
      <c r="AB73" s="151"/>
      <c r="AC73" s="151"/>
      <c r="AD73" s="151"/>
      <c r="AE73" s="151"/>
      <c r="AF73" s="151"/>
      <c r="AG73" s="151"/>
      <c r="AH73" s="151"/>
      <c r="AI73" s="151"/>
      <c r="AJ73" s="151"/>
      <c r="AK73" s="151"/>
      <c r="AL73" s="151"/>
      <c r="AM73" s="151"/>
      <c r="AN73" s="151"/>
      <c r="AO73" s="151"/>
      <c r="AP73" s="151"/>
      <c r="AQ73" s="151"/>
      <c r="AR73" s="151"/>
      <c r="AS73" s="151"/>
      <c r="AT73" s="151"/>
      <c r="AU73" s="151"/>
      <c r="AV73" s="151"/>
      <c r="AW73" s="151"/>
      <c r="AX73" s="151"/>
      <c r="AY73" s="151"/>
      <c r="AZ73" s="151"/>
      <c r="BA73" s="151"/>
      <c r="BB73" s="151"/>
      <c r="BC73" s="151"/>
      <c r="BD73" s="151"/>
      <c r="BE73" s="151"/>
      <c r="BF73" s="151"/>
      <c r="BG73" s="151"/>
      <c r="BH73" s="151"/>
      <c r="BI73" s="151"/>
      <c r="BJ73" s="151"/>
      <c r="BK73" s="151"/>
      <c r="BL73" s="151"/>
      <c r="BP73" s="1"/>
      <c r="BQ73" s="1"/>
      <c r="BR73" s="1"/>
      <c r="BZ73" s="1">
        <v>5</v>
      </c>
      <c r="CA73" s="1" t="s">
        <v>2168</v>
      </c>
    </row>
    <row r="74" spans="15:79" ht="17.25">
      <c r="O74" s="30">
        <v>71</v>
      </c>
      <c r="P74" s="30" t="s">
        <v>1674</v>
      </c>
      <c r="U74">
        <v>71</v>
      </c>
      <c r="V74" t="s">
        <v>1537</v>
      </c>
      <c r="Y74" s="151"/>
      <c r="Z74" s="151"/>
      <c r="AA74" s="151"/>
      <c r="AB74" s="151"/>
      <c r="AC74" s="151"/>
      <c r="AD74" s="151"/>
      <c r="AE74" s="151"/>
      <c r="AF74" s="151"/>
      <c r="AG74" s="151"/>
      <c r="AH74" s="151"/>
      <c r="AI74" s="151"/>
      <c r="AJ74" s="151"/>
      <c r="AK74" s="151"/>
      <c r="AL74" s="151"/>
      <c r="AM74" s="151"/>
      <c r="AN74" s="151"/>
      <c r="AO74" s="151"/>
      <c r="AP74" s="151"/>
      <c r="AQ74" s="151"/>
      <c r="AR74" s="151"/>
      <c r="AS74" s="151"/>
      <c r="AT74" s="151"/>
      <c r="AU74" s="151"/>
      <c r="AV74" s="151"/>
      <c r="AW74" s="151"/>
      <c r="AX74" s="151"/>
      <c r="AY74" s="151"/>
      <c r="AZ74" s="151"/>
      <c r="BA74" s="151"/>
      <c r="BB74" s="151"/>
      <c r="BC74" s="151"/>
      <c r="BD74" s="151"/>
      <c r="BE74" s="151"/>
      <c r="BF74" s="151"/>
      <c r="BG74" s="151"/>
      <c r="BH74" s="151"/>
      <c r="BI74" s="151"/>
      <c r="BJ74" s="151"/>
      <c r="BK74" s="151"/>
      <c r="BL74" s="151"/>
      <c r="BP74" s="1"/>
      <c r="BQ74" s="1"/>
      <c r="BR74" s="1"/>
      <c r="BZ74" s="1">
        <v>6</v>
      </c>
      <c r="CA74" s="1" t="s">
        <v>2169</v>
      </c>
    </row>
    <row r="75" spans="15:79" ht="17.25">
      <c r="O75" s="30">
        <v>72</v>
      </c>
      <c r="P75" s="30" t="s">
        <v>1675</v>
      </c>
      <c r="U75">
        <v>72</v>
      </c>
      <c r="V75" t="s">
        <v>1538</v>
      </c>
      <c r="Y75" s="151"/>
      <c r="Z75" s="151"/>
      <c r="AA75" s="151"/>
      <c r="AB75" s="151"/>
      <c r="AC75" s="151"/>
      <c r="AD75" s="151"/>
      <c r="AE75" s="151"/>
      <c r="AF75" s="151"/>
      <c r="AG75" s="151"/>
      <c r="AH75" s="151"/>
      <c r="AI75" s="151"/>
      <c r="AJ75" s="151"/>
      <c r="AK75" s="151"/>
      <c r="AL75" s="151"/>
      <c r="AM75" s="151"/>
      <c r="AN75" s="151"/>
      <c r="AO75" s="151"/>
      <c r="AP75" s="151"/>
      <c r="AQ75" s="151"/>
      <c r="AR75" s="151"/>
      <c r="AS75" s="151"/>
      <c r="AT75" s="151"/>
      <c r="AU75" s="151"/>
      <c r="AV75" s="151"/>
      <c r="AW75" s="151"/>
      <c r="AX75" s="151"/>
      <c r="AY75" s="151"/>
      <c r="AZ75" s="151"/>
      <c r="BA75" s="151"/>
      <c r="BB75" s="151"/>
      <c r="BC75" s="151"/>
      <c r="BD75" s="151"/>
      <c r="BE75" s="151"/>
      <c r="BF75" s="151"/>
      <c r="BG75" s="151"/>
      <c r="BH75" s="151"/>
      <c r="BI75" s="151"/>
      <c r="BJ75" s="151"/>
      <c r="BK75" s="151"/>
      <c r="BL75" s="151"/>
      <c r="BP75" s="1"/>
      <c r="BQ75" s="1"/>
      <c r="BR75" s="1"/>
    </row>
    <row r="76" spans="15:79" ht="17.25">
      <c r="O76" s="30">
        <v>73</v>
      </c>
      <c r="P76" s="30" t="s">
        <v>1676</v>
      </c>
      <c r="U76">
        <v>73</v>
      </c>
      <c r="V76" t="s">
        <v>1539</v>
      </c>
      <c r="Y76" s="151"/>
      <c r="Z76" s="151"/>
      <c r="AA76" s="151"/>
      <c r="AB76" s="151"/>
      <c r="AC76" s="151"/>
      <c r="AD76" s="151"/>
      <c r="AE76" s="151"/>
      <c r="AF76" s="151"/>
      <c r="AG76" s="151"/>
      <c r="AH76" s="151"/>
      <c r="AI76" s="151"/>
      <c r="AJ76" s="151"/>
      <c r="AK76" s="151"/>
      <c r="AL76" s="151"/>
      <c r="AM76" s="151"/>
      <c r="AN76" s="151"/>
      <c r="AO76" s="151"/>
      <c r="AP76" s="151"/>
      <c r="AQ76" s="151"/>
      <c r="AR76" s="151"/>
      <c r="AS76" s="151"/>
      <c r="AT76" s="151"/>
      <c r="AU76" s="151"/>
      <c r="AV76" s="151"/>
      <c r="AW76" s="151"/>
      <c r="AX76" s="151"/>
      <c r="AY76" s="151"/>
      <c r="AZ76" s="151"/>
      <c r="BA76" s="151"/>
      <c r="BB76" s="151"/>
      <c r="BC76" s="151"/>
      <c r="BD76" s="151"/>
      <c r="BE76" s="151"/>
      <c r="BF76" s="151"/>
      <c r="BG76" s="151"/>
      <c r="BH76" s="151"/>
      <c r="BI76" s="151"/>
      <c r="BJ76" s="151"/>
      <c r="BK76" s="151"/>
      <c r="BL76" s="151"/>
      <c r="BP76" s="1"/>
      <c r="BQ76" s="1"/>
      <c r="BR76" s="1"/>
    </row>
    <row r="77" spans="15:79" ht="17.25">
      <c r="O77" s="30">
        <v>74</v>
      </c>
      <c r="P77" s="30" t="s">
        <v>1677</v>
      </c>
      <c r="U77">
        <v>74</v>
      </c>
      <c r="V77" t="s">
        <v>1540</v>
      </c>
      <c r="Y77" s="151"/>
      <c r="Z77" s="151"/>
      <c r="AA77" s="151"/>
      <c r="AB77" s="151"/>
      <c r="AC77" s="151"/>
      <c r="AD77" s="151"/>
      <c r="AE77" s="151"/>
      <c r="AF77" s="151"/>
      <c r="AG77" s="151"/>
      <c r="AH77" s="151"/>
      <c r="AI77" s="151"/>
      <c r="AJ77" s="151"/>
      <c r="AK77" s="151"/>
      <c r="AL77" s="151"/>
      <c r="AM77" s="151"/>
      <c r="AN77" s="151"/>
      <c r="AO77" s="151"/>
      <c r="AP77" s="151"/>
      <c r="AQ77" s="151"/>
      <c r="AR77" s="151"/>
      <c r="AS77" s="151"/>
      <c r="AT77" s="151"/>
      <c r="AU77" s="151"/>
      <c r="AV77" s="151"/>
      <c r="AW77" s="151"/>
      <c r="AX77" s="151"/>
      <c r="AY77" s="151"/>
      <c r="AZ77" s="151"/>
      <c r="BA77" s="151"/>
      <c r="BB77" s="151"/>
      <c r="BC77" s="151"/>
      <c r="BD77" s="151"/>
      <c r="BE77" s="151"/>
      <c r="BF77" s="151"/>
      <c r="BG77" s="151"/>
      <c r="BH77" s="151"/>
      <c r="BI77" s="151"/>
      <c r="BJ77" s="151"/>
      <c r="BK77" s="151"/>
      <c r="BL77" s="151"/>
      <c r="BP77" s="1"/>
      <c r="BQ77" s="1"/>
      <c r="BR77" s="1"/>
      <c r="BX77" s="137" t="str" cm="1">
        <f t="array" aca="1" ref="BX77" ca="1">INDEX(BX79:BX83,RANDBETWEEN(1,5),1)</f>
        <v>The person is paying you to kill them</v>
      </c>
      <c r="CA77" s="137" t="str" cm="1">
        <f t="array" aca="1" ref="CA77" ca="1">INDEX(CA79:CA84,RANDBETWEEN(1,6),1)</f>
        <v>The target you set out to sabotage is already non-functional</v>
      </c>
    </row>
    <row r="78" spans="15:79" ht="17.25">
      <c r="O78" s="30">
        <v>75</v>
      </c>
      <c r="P78" s="30" t="s">
        <v>1678</v>
      </c>
      <c r="U78">
        <v>75</v>
      </c>
      <c r="V78" t="s">
        <v>1541</v>
      </c>
      <c r="Y78" s="151"/>
      <c r="Z78" s="151"/>
      <c r="AA78" s="151"/>
      <c r="AB78" s="151"/>
      <c r="AC78" s="151"/>
      <c r="AD78" s="151"/>
      <c r="AE78" s="151"/>
      <c r="AF78" s="151"/>
      <c r="AG78" s="151"/>
      <c r="AH78" s="151"/>
      <c r="AI78" s="151"/>
      <c r="AJ78" s="151"/>
      <c r="AK78" s="151"/>
      <c r="AL78" s="151"/>
      <c r="AM78" s="151"/>
      <c r="AN78" s="151"/>
      <c r="AO78" s="151"/>
      <c r="AP78" s="151"/>
      <c r="AQ78" s="151"/>
      <c r="AR78" s="151"/>
      <c r="AS78" s="151"/>
      <c r="AT78" s="151"/>
      <c r="AU78" s="151"/>
      <c r="AV78" s="151"/>
      <c r="AW78" s="151"/>
      <c r="AX78" s="151"/>
      <c r="AY78" s="151"/>
      <c r="AZ78" s="151"/>
      <c r="BA78" s="151"/>
      <c r="BB78" s="151"/>
      <c r="BC78" s="151"/>
      <c r="BD78" s="151"/>
      <c r="BE78" s="151"/>
      <c r="BF78" s="151"/>
      <c r="BG78" s="151"/>
      <c r="BH78" s="151"/>
      <c r="BI78" s="151"/>
      <c r="BJ78" s="151"/>
      <c r="BK78" s="151"/>
      <c r="BL78" s="151"/>
      <c r="BP78" s="1"/>
      <c r="BQ78" s="1"/>
      <c r="BR78" s="1"/>
      <c r="BU78" s="83" t="str" cm="1">
        <f t="array" aca="1" ref="BU78" ca="1">INDEX(BU80:BU85,RANDBETWEEN(1,6),1)</f>
        <v>The contest is called on account of weather</v>
      </c>
      <c r="BW78" t="s">
        <v>1725</v>
      </c>
      <c r="BX78" s="1" t="s">
        <v>2177</v>
      </c>
      <c r="BZ78" t="s">
        <v>1725</v>
      </c>
      <c r="CA78" s="1" t="s">
        <v>2184</v>
      </c>
    </row>
    <row r="79" spans="15:79" ht="17.25">
      <c r="O79" s="30">
        <v>76</v>
      </c>
      <c r="P79" s="30" t="s">
        <v>1679</v>
      </c>
      <c r="U79">
        <v>76</v>
      </c>
      <c r="V79" t="s">
        <v>1542</v>
      </c>
      <c r="Y79" s="151"/>
      <c r="Z79" s="151"/>
      <c r="AA79" s="151"/>
      <c r="AB79" s="151"/>
      <c r="AC79" s="151"/>
      <c r="AD79" s="151"/>
      <c r="AE79" s="151"/>
      <c r="AF79" s="151"/>
      <c r="AG79" s="151"/>
      <c r="AH79" s="151"/>
      <c r="AI79" s="151"/>
      <c r="AJ79" s="151"/>
      <c r="AK79" s="151"/>
      <c r="AL79" s="151"/>
      <c r="AM79" s="151"/>
      <c r="AN79" s="151"/>
      <c r="AO79" s="151"/>
      <c r="AP79" s="151"/>
      <c r="AQ79" s="151"/>
      <c r="AR79" s="151"/>
      <c r="AS79" s="151"/>
      <c r="AT79" s="151"/>
      <c r="AU79" s="151"/>
      <c r="AV79" s="151"/>
      <c r="AW79" s="151"/>
      <c r="AX79" s="151"/>
      <c r="AY79" s="151"/>
      <c r="AZ79" s="151"/>
      <c r="BA79" s="151"/>
      <c r="BB79" s="151"/>
      <c r="BC79" s="151"/>
      <c r="BD79" s="151"/>
      <c r="BE79" s="151"/>
      <c r="BF79" s="151"/>
      <c r="BG79" s="151"/>
      <c r="BH79" s="151"/>
      <c r="BI79" s="151"/>
      <c r="BJ79" s="151"/>
      <c r="BK79" s="151"/>
      <c r="BL79" s="151"/>
      <c r="BP79" s="1"/>
      <c r="BQ79" s="1"/>
      <c r="BR79" s="1"/>
      <c r="BT79" t="s">
        <v>1725</v>
      </c>
      <c r="BU79" t="s">
        <v>2170</v>
      </c>
      <c r="BW79">
        <v>1</v>
      </c>
      <c r="BX79" s="1" t="s">
        <v>2178</v>
      </c>
      <c r="BZ79" s="1">
        <v>1</v>
      </c>
      <c r="CA79" s="1" t="s">
        <v>2185</v>
      </c>
    </row>
    <row r="80" spans="15:79" ht="17.25">
      <c r="O80" s="30">
        <v>77</v>
      </c>
      <c r="P80" s="30" t="s">
        <v>1680</v>
      </c>
      <c r="U80">
        <v>77</v>
      </c>
      <c r="V80" t="s">
        <v>1543</v>
      </c>
      <c r="Y80" s="151"/>
      <c r="Z80" s="151"/>
      <c r="AA80" s="151"/>
      <c r="AB80" s="151"/>
      <c r="AC80" s="151"/>
      <c r="AD80" s="151"/>
      <c r="AE80" s="151"/>
      <c r="AF80" s="151"/>
      <c r="AG80" s="151"/>
      <c r="AH80" s="151"/>
      <c r="AI80" s="151"/>
      <c r="AJ80" s="151"/>
      <c r="AK80" s="151"/>
      <c r="AL80" s="151"/>
      <c r="AM80" s="151"/>
      <c r="AN80" s="151"/>
      <c r="AO80" s="151"/>
      <c r="AP80" s="151"/>
      <c r="AQ80" s="151"/>
      <c r="AR80" s="151"/>
      <c r="AS80" s="151"/>
      <c r="AT80" s="151"/>
      <c r="AU80" s="151"/>
      <c r="AV80" s="151"/>
      <c r="AW80" s="151"/>
      <c r="AX80" s="151"/>
      <c r="AY80" s="151"/>
      <c r="AZ80" s="151"/>
      <c r="BA80" s="151"/>
      <c r="BB80" s="151"/>
      <c r="BC80" s="151"/>
      <c r="BD80" s="151"/>
      <c r="BE80" s="151"/>
      <c r="BF80" s="151"/>
      <c r="BG80" s="151"/>
      <c r="BH80" s="151"/>
      <c r="BI80" s="151"/>
      <c r="BJ80" s="151"/>
      <c r="BK80" s="151"/>
      <c r="BL80" s="151"/>
      <c r="BP80" s="1"/>
      <c r="BQ80" s="1"/>
      <c r="BR80" s="1"/>
      <c r="BT80">
        <v>1</v>
      </c>
      <c r="BU80" t="s">
        <v>2171</v>
      </c>
      <c r="BW80">
        <v>2</v>
      </c>
      <c r="BX80" s="1" t="s">
        <v>2179</v>
      </c>
      <c r="BZ80" s="1">
        <v>2</v>
      </c>
      <c r="CA80" s="1" t="s">
        <v>2186</v>
      </c>
    </row>
    <row r="81" spans="15:79" ht="17.25">
      <c r="O81" s="30">
        <v>78</v>
      </c>
      <c r="P81" s="30" t="s">
        <v>88</v>
      </c>
      <c r="U81">
        <v>78</v>
      </c>
      <c r="V81" t="s">
        <v>1544</v>
      </c>
      <c r="Y81" s="151"/>
      <c r="Z81" s="151"/>
      <c r="AA81" s="151"/>
      <c r="AB81" s="151"/>
      <c r="AC81" s="151"/>
      <c r="AD81" s="151"/>
      <c r="AE81" s="151"/>
      <c r="AF81" s="151"/>
      <c r="AG81" s="151"/>
      <c r="AH81" s="151"/>
      <c r="AI81" s="151"/>
      <c r="AJ81" s="151"/>
      <c r="AK81" s="151"/>
      <c r="AL81" s="151"/>
      <c r="AM81" s="151"/>
      <c r="AN81" s="151"/>
      <c r="AO81" s="151"/>
      <c r="AP81" s="151"/>
      <c r="AQ81" s="151"/>
      <c r="AR81" s="151"/>
      <c r="AS81" s="151"/>
      <c r="AT81" s="151"/>
      <c r="AU81" s="151"/>
      <c r="AV81" s="151"/>
      <c r="AW81" s="151"/>
      <c r="AX81" s="151"/>
      <c r="AY81" s="151"/>
      <c r="AZ81" s="151"/>
      <c r="BA81" s="151"/>
      <c r="BB81" s="151"/>
      <c r="BC81" s="151"/>
      <c r="BD81" s="151"/>
      <c r="BE81" s="151"/>
      <c r="BF81" s="151"/>
      <c r="BG81" s="151"/>
      <c r="BH81" s="151"/>
      <c r="BI81" s="151"/>
      <c r="BJ81" s="151"/>
      <c r="BK81" s="151"/>
      <c r="BL81" s="151"/>
      <c r="BP81" s="1"/>
      <c r="BQ81" s="1"/>
      <c r="BR81" s="1"/>
      <c r="BT81">
        <v>2</v>
      </c>
      <c r="BU81" t="s">
        <v>2172</v>
      </c>
      <c r="BW81">
        <v>3</v>
      </c>
      <c r="BX81" s="1" t="s">
        <v>2180</v>
      </c>
      <c r="BZ81" s="1">
        <v>3</v>
      </c>
      <c r="CA81" s="1" t="s">
        <v>2187</v>
      </c>
    </row>
    <row r="82" spans="15:79" ht="17.25">
      <c r="O82" s="30">
        <v>79</v>
      </c>
      <c r="P82" s="30" t="s">
        <v>1681</v>
      </c>
      <c r="U82">
        <v>79</v>
      </c>
      <c r="V82" t="s">
        <v>1545</v>
      </c>
      <c r="Y82" s="151"/>
      <c r="Z82" s="151"/>
      <c r="AA82" s="151"/>
      <c r="AB82" s="151"/>
      <c r="AC82" s="151"/>
      <c r="AD82" s="151"/>
      <c r="AE82" s="151"/>
      <c r="AF82" s="151"/>
      <c r="AG82" s="151"/>
      <c r="AH82" s="151"/>
      <c r="AI82" s="151"/>
      <c r="AJ82" s="151"/>
      <c r="AK82" s="151"/>
      <c r="AL82" s="151"/>
      <c r="AM82" s="151"/>
      <c r="AN82" s="151"/>
      <c r="AO82" s="151"/>
      <c r="AP82" s="151"/>
      <c r="AQ82" s="151"/>
      <c r="AR82" s="151"/>
      <c r="AS82" s="151"/>
      <c r="AT82" s="151"/>
      <c r="AU82" s="151"/>
      <c r="AV82" s="151"/>
      <c r="AW82" s="151"/>
      <c r="AX82" s="151"/>
      <c r="AY82" s="151"/>
      <c r="AZ82" s="151"/>
      <c r="BA82" s="151"/>
      <c r="BB82" s="151"/>
      <c r="BC82" s="151"/>
      <c r="BD82" s="151"/>
      <c r="BE82" s="151"/>
      <c r="BF82" s="151"/>
      <c r="BG82" s="151"/>
      <c r="BH82" s="151"/>
      <c r="BI82" s="151"/>
      <c r="BJ82" s="151"/>
      <c r="BK82" s="151"/>
      <c r="BL82" s="151"/>
      <c r="BP82" s="1"/>
      <c r="BQ82" s="1"/>
      <c r="BR82" s="1"/>
      <c r="BT82">
        <v>3</v>
      </c>
      <c r="BU82" t="s">
        <v>2173</v>
      </c>
      <c r="BW82">
        <v>4</v>
      </c>
      <c r="BX82" s="1" t="s">
        <v>2181</v>
      </c>
      <c r="BZ82" s="1">
        <v>4</v>
      </c>
      <c r="CA82" s="1" t="s">
        <v>2188</v>
      </c>
    </row>
    <row r="83" spans="15:79" ht="17.25">
      <c r="O83" s="30">
        <v>80</v>
      </c>
      <c r="P83" s="30" t="s">
        <v>632</v>
      </c>
      <c r="U83">
        <v>80</v>
      </c>
      <c r="V83" t="s">
        <v>1546</v>
      </c>
      <c r="Y83" s="151"/>
      <c r="Z83" s="151"/>
      <c r="AA83" s="151"/>
      <c r="AB83" s="151"/>
      <c r="AC83" s="151"/>
      <c r="AD83" s="151"/>
      <c r="AE83" s="151"/>
      <c r="AF83" s="151"/>
      <c r="AG83" s="151"/>
      <c r="AH83" s="151"/>
      <c r="AI83" s="151"/>
      <c r="AJ83" s="151"/>
      <c r="AK83" s="151"/>
      <c r="AL83" s="151"/>
      <c r="AM83" s="151"/>
      <c r="AN83" s="151"/>
      <c r="AO83" s="151"/>
      <c r="AP83" s="151"/>
      <c r="AQ83" s="151"/>
      <c r="AR83" s="151"/>
      <c r="AS83" s="151"/>
      <c r="AT83" s="151"/>
      <c r="AU83" s="151"/>
      <c r="AV83" s="151"/>
      <c r="AW83" s="151"/>
      <c r="AX83" s="151"/>
      <c r="AY83" s="151"/>
      <c r="AZ83" s="151"/>
      <c r="BA83" s="151"/>
      <c r="BB83" s="151"/>
      <c r="BC83" s="151"/>
      <c r="BD83" s="151"/>
      <c r="BE83" s="151"/>
      <c r="BF83" s="151"/>
      <c r="BG83" s="151"/>
      <c r="BH83" s="151"/>
      <c r="BI83" s="151"/>
      <c r="BJ83" s="151"/>
      <c r="BK83" s="151"/>
      <c r="BL83" s="151"/>
      <c r="BP83" s="1"/>
      <c r="BQ83" s="1"/>
      <c r="BR83" s="1"/>
      <c r="BT83">
        <v>4</v>
      </c>
      <c r="BU83" t="s">
        <v>2174</v>
      </c>
      <c r="BW83">
        <v>4</v>
      </c>
      <c r="BX83" s="1" t="s">
        <v>2182</v>
      </c>
      <c r="BZ83" s="1">
        <v>4</v>
      </c>
      <c r="CA83" s="1" t="s">
        <v>2189</v>
      </c>
    </row>
    <row r="84" spans="15:79" ht="17.25">
      <c r="O84" s="30">
        <v>81</v>
      </c>
      <c r="P84" s="30" t="s">
        <v>1682</v>
      </c>
      <c r="U84">
        <v>81</v>
      </c>
      <c r="V84" t="s">
        <v>1547</v>
      </c>
      <c r="Y84" s="151"/>
      <c r="Z84" s="151"/>
      <c r="AA84" s="151"/>
      <c r="AB84" s="151"/>
      <c r="AC84" s="151"/>
      <c r="AD84" s="151"/>
      <c r="AE84" s="151"/>
      <c r="AF84" s="151"/>
      <c r="AG84" s="151"/>
      <c r="AH84" s="151"/>
      <c r="AI84" s="151"/>
      <c r="AJ84" s="151"/>
      <c r="AK84" s="151"/>
      <c r="AL84" s="151"/>
      <c r="AM84" s="151"/>
      <c r="AN84" s="151"/>
      <c r="AO84" s="151"/>
      <c r="AP84" s="151"/>
      <c r="AQ84" s="151"/>
      <c r="AR84" s="151"/>
      <c r="AS84" s="151"/>
      <c r="AT84" s="151"/>
      <c r="AU84" s="151"/>
      <c r="AV84" s="151"/>
      <c r="AW84" s="151"/>
      <c r="AX84" s="151"/>
      <c r="AY84" s="151"/>
      <c r="AZ84" s="151"/>
      <c r="BA84" s="151"/>
      <c r="BB84" s="151"/>
      <c r="BC84" s="151"/>
      <c r="BD84" s="151"/>
      <c r="BE84" s="151"/>
      <c r="BF84" s="151"/>
      <c r="BG84" s="151"/>
      <c r="BH84" s="151"/>
      <c r="BI84" s="151"/>
      <c r="BJ84" s="151"/>
      <c r="BK84" s="151"/>
      <c r="BL84" s="151"/>
      <c r="BP84" s="1"/>
      <c r="BQ84" s="1"/>
      <c r="BR84" s="1"/>
      <c r="BT84">
        <v>5</v>
      </c>
      <c r="BU84" t="s">
        <v>2175</v>
      </c>
      <c r="BW84">
        <v>5</v>
      </c>
      <c r="BX84" s="1" t="s">
        <v>2183</v>
      </c>
      <c r="BZ84" s="1">
        <v>5</v>
      </c>
      <c r="CA84" s="1" t="s">
        <v>2190</v>
      </c>
    </row>
    <row r="85" spans="15:79" ht="17.25">
      <c r="O85" s="30">
        <v>82</v>
      </c>
      <c r="P85" s="30" t="s">
        <v>1683</v>
      </c>
      <c r="U85">
        <v>82</v>
      </c>
      <c r="V85" t="s">
        <v>1548</v>
      </c>
      <c r="Y85" s="151"/>
      <c r="Z85" s="151"/>
      <c r="AA85" s="151"/>
      <c r="AB85" s="151"/>
      <c r="AC85" s="151"/>
      <c r="AD85" s="151"/>
      <c r="AE85" s="151"/>
      <c r="AF85" s="151"/>
      <c r="AG85" s="151"/>
      <c r="AH85" s="151"/>
      <c r="AI85" s="151"/>
      <c r="AJ85" s="151"/>
      <c r="AK85" s="151"/>
      <c r="AL85" s="151"/>
      <c r="AM85" s="151"/>
      <c r="AN85" s="151"/>
      <c r="AO85" s="151"/>
      <c r="AP85" s="151"/>
      <c r="AQ85" s="151"/>
      <c r="AR85" s="151"/>
      <c r="AS85" s="151"/>
      <c r="AT85" s="151"/>
      <c r="AU85" s="151"/>
      <c r="AV85" s="151"/>
      <c r="AW85" s="151"/>
      <c r="AX85" s="151"/>
      <c r="AY85" s="151"/>
      <c r="AZ85" s="151"/>
      <c r="BA85" s="151"/>
      <c r="BB85" s="151"/>
      <c r="BC85" s="151"/>
      <c r="BD85" s="151"/>
      <c r="BE85" s="151"/>
      <c r="BF85" s="151"/>
      <c r="BG85" s="151"/>
      <c r="BH85" s="151"/>
      <c r="BI85" s="151"/>
      <c r="BJ85" s="151"/>
      <c r="BK85" s="151"/>
      <c r="BL85" s="151"/>
      <c r="BP85" s="1"/>
      <c r="BQ85" s="1"/>
      <c r="BR85" s="1"/>
      <c r="BT85">
        <v>6</v>
      </c>
      <c r="BU85" t="s">
        <v>2176</v>
      </c>
      <c r="BZ85" s="1">
        <v>6</v>
      </c>
      <c r="CA85" s="1" t="s">
        <v>2191</v>
      </c>
    </row>
    <row r="86" spans="15:79" ht="17.25">
      <c r="O86" s="30">
        <v>83</v>
      </c>
      <c r="P86" s="30" t="s">
        <v>29</v>
      </c>
      <c r="U86">
        <v>83</v>
      </c>
      <c r="V86" t="s">
        <v>1549</v>
      </c>
      <c r="Y86" s="151"/>
      <c r="Z86" s="151"/>
      <c r="AA86" s="151"/>
      <c r="AB86" s="151"/>
      <c r="AC86" s="151"/>
      <c r="AD86" s="151"/>
      <c r="AE86" s="151"/>
      <c r="AF86" s="151"/>
      <c r="AG86" s="151"/>
      <c r="AH86" s="151"/>
      <c r="AI86" s="151"/>
      <c r="AJ86" s="151"/>
      <c r="AK86" s="151"/>
      <c r="AL86" s="151"/>
      <c r="AM86" s="151"/>
      <c r="AN86" s="151"/>
      <c r="AO86" s="151"/>
      <c r="AP86" s="151"/>
      <c r="AQ86" s="151"/>
      <c r="AR86" s="151"/>
      <c r="AS86" s="151"/>
      <c r="AT86" s="151"/>
      <c r="AU86" s="151"/>
      <c r="AV86" s="151"/>
      <c r="AW86" s="151"/>
      <c r="AX86" s="151"/>
      <c r="AY86" s="151"/>
      <c r="AZ86" s="151"/>
      <c r="BA86" s="151"/>
      <c r="BB86" s="151"/>
      <c r="BC86" s="151"/>
      <c r="BD86" s="151"/>
      <c r="BE86" s="151"/>
      <c r="BF86" s="151"/>
      <c r="BG86" s="151"/>
      <c r="BH86" s="151"/>
      <c r="BI86" s="151"/>
      <c r="BJ86" s="151"/>
      <c r="BK86" s="151"/>
      <c r="BL86" s="151"/>
      <c r="BP86" s="1"/>
      <c r="BQ86" s="1"/>
      <c r="BR86" s="1"/>
      <c r="BZ86" s="135"/>
      <c r="CA86" s="138" t="str" cm="1">
        <f t="array" aca="1" ref="CA86" ca="1">INDEX(CA88:CA92,RANDBETWEEN(1,5),1)</f>
        <v>Something that appears to be a mystery is clearly not when examined</v>
      </c>
    </row>
    <row r="87" spans="15:79" ht="17.25">
      <c r="O87" s="30">
        <v>84</v>
      </c>
      <c r="P87" s="30" t="s">
        <v>633</v>
      </c>
      <c r="U87">
        <v>84</v>
      </c>
      <c r="V87" t="s">
        <v>1550</v>
      </c>
      <c r="Y87" s="151"/>
      <c r="Z87" s="151"/>
      <c r="AA87" s="151"/>
      <c r="AB87" s="151"/>
      <c r="AC87" s="151"/>
      <c r="AD87" s="151"/>
      <c r="AE87" s="151"/>
      <c r="AF87" s="151"/>
      <c r="AG87" s="151"/>
      <c r="AH87" s="151"/>
      <c r="AI87" s="151"/>
      <c r="AJ87" s="151"/>
      <c r="AK87" s="151"/>
      <c r="AL87" s="151"/>
      <c r="AM87" s="151"/>
      <c r="AN87" s="151"/>
      <c r="AO87" s="151"/>
      <c r="AP87" s="151"/>
      <c r="AQ87" s="151"/>
      <c r="AR87" s="151"/>
      <c r="AS87" s="151"/>
      <c r="AT87" s="151"/>
      <c r="AU87" s="151"/>
      <c r="AV87" s="151"/>
      <c r="AW87" s="151"/>
      <c r="AX87" s="151"/>
      <c r="AY87" s="151"/>
      <c r="AZ87" s="151"/>
      <c r="BA87" s="151"/>
      <c r="BB87" s="151"/>
      <c r="BC87" s="151"/>
      <c r="BD87" s="151"/>
      <c r="BE87" s="151"/>
      <c r="BF87" s="151"/>
      <c r="BG87" s="151"/>
      <c r="BH87" s="151"/>
      <c r="BI87" s="151"/>
      <c r="BJ87" s="151"/>
      <c r="BK87" s="151"/>
      <c r="BL87" s="151"/>
      <c r="BP87" s="1"/>
      <c r="BQ87" s="1"/>
      <c r="BR87" s="1"/>
      <c r="BZ87" t="s">
        <v>1725</v>
      </c>
      <c r="CA87" s="1" t="s">
        <v>2197</v>
      </c>
    </row>
    <row r="88" spans="15:79" ht="17.25">
      <c r="O88" s="30">
        <v>85</v>
      </c>
      <c r="P88" s="30" t="s">
        <v>1684</v>
      </c>
      <c r="U88">
        <v>85</v>
      </c>
      <c r="V88" t="s">
        <v>1551</v>
      </c>
      <c r="Y88" s="151"/>
      <c r="Z88" s="151"/>
      <c r="AA88" s="151"/>
      <c r="AB88" s="151"/>
      <c r="AC88" s="151"/>
      <c r="AD88" s="151"/>
      <c r="AE88" s="151"/>
      <c r="AF88" s="151"/>
      <c r="AG88" s="151"/>
      <c r="AH88" s="151"/>
      <c r="AI88" s="151"/>
      <c r="AJ88" s="151"/>
      <c r="AK88" s="151"/>
      <c r="AL88" s="151"/>
      <c r="AM88" s="151"/>
      <c r="AN88" s="151"/>
      <c r="AO88" s="151"/>
      <c r="AP88" s="151"/>
      <c r="AQ88" s="151"/>
      <c r="AR88" s="151"/>
      <c r="AS88" s="151"/>
      <c r="AT88" s="151"/>
      <c r="AU88" s="151"/>
      <c r="AV88" s="151"/>
      <c r="AW88" s="151"/>
      <c r="AX88" s="151"/>
      <c r="AY88" s="151"/>
      <c r="AZ88" s="151"/>
      <c r="BA88" s="151"/>
      <c r="BB88" s="151"/>
      <c r="BC88" s="151"/>
      <c r="BD88" s="151"/>
      <c r="BE88" s="151"/>
      <c r="BF88" s="151"/>
      <c r="BG88" s="151"/>
      <c r="BH88" s="151"/>
      <c r="BI88" s="151"/>
      <c r="BJ88" s="151"/>
      <c r="BK88" s="151"/>
      <c r="BL88" s="151"/>
      <c r="BP88" s="1"/>
      <c r="BQ88" s="1"/>
      <c r="BR88" s="1"/>
      <c r="BU88" s="137" t="str" cm="1">
        <f t="array" aca="1" ref="BU88" ca="1">INDEX(BU90:BU93,RANDBETWEEN(1,4),1)</f>
        <v>You discover a well mapped out area that you set out to explore but find that all the maps are very inaccurate</v>
      </c>
      <c r="BZ88" s="1">
        <v>1</v>
      </c>
      <c r="CA88" s="1" t="s">
        <v>2198</v>
      </c>
    </row>
    <row r="89" spans="15:79" ht="17.25">
      <c r="O89" s="30">
        <v>86</v>
      </c>
      <c r="P89" s="30" t="s">
        <v>634</v>
      </c>
      <c r="U89">
        <v>86</v>
      </c>
      <c r="V89" t="s">
        <v>1552</v>
      </c>
      <c r="Y89" s="151"/>
      <c r="Z89" s="151"/>
      <c r="AA89" s="151"/>
      <c r="AB89" s="151"/>
      <c r="AC89" s="151"/>
      <c r="AD89" s="151"/>
      <c r="AE89" s="151"/>
      <c r="AF89" s="151"/>
      <c r="AG89" s="151"/>
      <c r="AH89" s="151"/>
      <c r="AI89" s="151"/>
      <c r="AJ89" s="151"/>
      <c r="AK89" s="151"/>
      <c r="AL89" s="151"/>
      <c r="AM89" s="151"/>
      <c r="AN89" s="151"/>
      <c r="AO89" s="151"/>
      <c r="AP89" s="151"/>
      <c r="AQ89" s="151"/>
      <c r="AR89" s="151"/>
      <c r="AS89" s="151"/>
      <c r="AT89" s="151"/>
      <c r="AU89" s="151"/>
      <c r="AV89" s="151"/>
      <c r="AW89" s="151"/>
      <c r="AX89" s="151"/>
      <c r="AY89" s="151"/>
      <c r="AZ89" s="151"/>
      <c r="BA89" s="151"/>
      <c r="BB89" s="151"/>
      <c r="BC89" s="151"/>
      <c r="BD89" s="151"/>
      <c r="BE89" s="151"/>
      <c r="BF89" s="151"/>
      <c r="BG89" s="151"/>
      <c r="BH89" s="151"/>
      <c r="BI89" s="151"/>
      <c r="BJ89" s="151"/>
      <c r="BK89" s="151"/>
      <c r="BL89" s="151"/>
      <c r="BP89" s="1"/>
      <c r="BQ89" s="1"/>
      <c r="BR89" s="1"/>
      <c r="BT89" t="s">
        <v>1725</v>
      </c>
      <c r="BU89" s="1" t="s">
        <v>2192</v>
      </c>
      <c r="BZ89" s="1">
        <v>2</v>
      </c>
      <c r="CA89" s="1" t="s">
        <v>2199</v>
      </c>
    </row>
    <row r="90" spans="15:79" ht="17.25">
      <c r="O90" s="30">
        <v>87</v>
      </c>
      <c r="P90" s="30" t="s">
        <v>13</v>
      </c>
      <c r="U90">
        <v>87</v>
      </c>
      <c r="V90" t="s">
        <v>1553</v>
      </c>
      <c r="Y90" s="151"/>
      <c r="Z90" s="151"/>
      <c r="AA90" s="151"/>
      <c r="AB90" s="151"/>
      <c r="AC90" s="151"/>
      <c r="AD90" s="151"/>
      <c r="AE90" s="151"/>
      <c r="AF90" s="151"/>
      <c r="AG90" s="151"/>
      <c r="AH90" s="151"/>
      <c r="AI90" s="151"/>
      <c r="AJ90" s="151"/>
      <c r="AK90" s="151"/>
      <c r="AL90" s="151"/>
      <c r="AM90" s="151"/>
      <c r="AN90" s="151"/>
      <c r="AO90" s="151"/>
      <c r="AP90" s="151"/>
      <c r="AQ90" s="151"/>
      <c r="AR90" s="151"/>
      <c r="AS90" s="151"/>
      <c r="AT90" s="151"/>
      <c r="AU90" s="151"/>
      <c r="AV90" s="151"/>
      <c r="AW90" s="151"/>
      <c r="AX90" s="151"/>
      <c r="AY90" s="151"/>
      <c r="AZ90" s="151"/>
      <c r="BA90" s="151"/>
      <c r="BB90" s="151"/>
      <c r="BC90" s="151"/>
      <c r="BD90" s="151"/>
      <c r="BE90" s="151"/>
      <c r="BF90" s="151"/>
      <c r="BG90" s="151"/>
      <c r="BH90" s="151"/>
      <c r="BI90" s="151"/>
      <c r="BJ90" s="151"/>
      <c r="BK90" s="151"/>
      <c r="BL90" s="151"/>
      <c r="BP90" s="1"/>
      <c r="BQ90" s="1"/>
      <c r="BR90" s="1"/>
      <c r="BT90" s="1">
        <v>1</v>
      </c>
      <c r="BU90" s="1" t="s">
        <v>2193</v>
      </c>
      <c r="BZ90" s="1">
        <v>3</v>
      </c>
      <c r="CA90" s="1" t="s">
        <v>2200</v>
      </c>
    </row>
    <row r="91" spans="15:79" ht="17.25">
      <c r="O91" s="30">
        <v>88</v>
      </c>
      <c r="P91" s="30" t="s">
        <v>635</v>
      </c>
      <c r="U91">
        <v>88</v>
      </c>
      <c r="V91" t="s">
        <v>1554</v>
      </c>
      <c r="Y91" s="151"/>
      <c r="Z91" s="151"/>
      <c r="AA91" s="151"/>
      <c r="AB91" s="151"/>
      <c r="AC91" s="151"/>
      <c r="AD91" s="151"/>
      <c r="AE91" s="151"/>
      <c r="AF91" s="151"/>
      <c r="AG91" s="151"/>
      <c r="AH91" s="151"/>
      <c r="AI91" s="151"/>
      <c r="AJ91" s="151"/>
      <c r="AK91" s="151"/>
      <c r="AL91" s="151"/>
      <c r="AM91" s="151"/>
      <c r="AN91" s="151"/>
      <c r="AO91" s="151"/>
      <c r="AP91" s="151"/>
      <c r="AQ91" s="151"/>
      <c r="AR91" s="151"/>
      <c r="AS91" s="151"/>
      <c r="AT91" s="151"/>
      <c r="AU91" s="151"/>
      <c r="AV91" s="151"/>
      <c r="AW91" s="151"/>
      <c r="AX91" s="151"/>
      <c r="AY91" s="151"/>
      <c r="AZ91" s="151"/>
      <c r="BA91" s="151"/>
      <c r="BB91" s="151"/>
      <c r="BC91" s="151"/>
      <c r="BD91" s="151"/>
      <c r="BE91" s="151"/>
      <c r="BF91" s="151"/>
      <c r="BG91" s="151"/>
      <c r="BH91" s="151"/>
      <c r="BI91" s="151"/>
      <c r="BJ91" s="151"/>
      <c r="BK91" s="151"/>
      <c r="BL91" s="151"/>
      <c r="BP91" s="1"/>
      <c r="BQ91" s="1"/>
      <c r="BR91" s="1"/>
      <c r="BT91" s="1">
        <v>2</v>
      </c>
      <c r="BU91" s="1" t="s">
        <v>2194</v>
      </c>
      <c r="BZ91" s="1">
        <v>4</v>
      </c>
      <c r="CA91" s="1" t="s">
        <v>2201</v>
      </c>
    </row>
    <row r="92" spans="15:79" ht="17.25">
      <c r="O92" s="30">
        <v>89</v>
      </c>
      <c r="P92" s="30" t="s">
        <v>1685</v>
      </c>
      <c r="U92">
        <v>89</v>
      </c>
      <c r="V92" t="s">
        <v>1555</v>
      </c>
      <c r="Y92" s="151"/>
      <c r="Z92" s="151"/>
      <c r="AA92" s="151"/>
      <c r="AB92" s="151"/>
      <c r="AC92" s="151"/>
      <c r="AD92" s="151"/>
      <c r="AE92" s="151"/>
      <c r="AF92" s="151"/>
      <c r="AG92" s="151"/>
      <c r="AH92" s="151"/>
      <c r="AI92" s="151"/>
      <c r="AJ92" s="151"/>
      <c r="AK92" s="151"/>
      <c r="AL92" s="151"/>
      <c r="AM92" s="151"/>
      <c r="AN92" s="151"/>
      <c r="AO92" s="151"/>
      <c r="AP92" s="151"/>
      <c r="AQ92" s="151"/>
      <c r="AR92" s="151"/>
      <c r="AS92" s="151"/>
      <c r="AT92" s="151"/>
      <c r="AU92" s="151"/>
      <c r="AV92" s="151"/>
      <c r="AW92" s="151"/>
      <c r="AX92" s="151"/>
      <c r="AY92" s="151"/>
      <c r="AZ92" s="151"/>
      <c r="BA92" s="151"/>
      <c r="BB92" s="151"/>
      <c r="BC92" s="151"/>
      <c r="BD92" s="151"/>
      <c r="BE92" s="151"/>
      <c r="BF92" s="151"/>
      <c r="BG92" s="151"/>
      <c r="BH92" s="151"/>
      <c r="BI92" s="151"/>
      <c r="BJ92" s="151"/>
      <c r="BK92" s="151"/>
      <c r="BL92" s="151"/>
      <c r="BP92" s="1"/>
      <c r="BQ92" s="1"/>
      <c r="BR92" s="1"/>
      <c r="BT92" s="1">
        <v>3</v>
      </c>
      <c r="BU92" s="1" t="s">
        <v>2195</v>
      </c>
      <c r="BZ92" s="1">
        <v>5</v>
      </c>
      <c r="CA92" s="1" t="s">
        <v>2202</v>
      </c>
    </row>
    <row r="93" spans="15:79" ht="17.25">
      <c r="O93" s="30">
        <v>90</v>
      </c>
      <c r="P93" s="30" t="s">
        <v>636</v>
      </c>
      <c r="U93">
        <v>90</v>
      </c>
      <c r="V93" t="s">
        <v>1556</v>
      </c>
      <c r="Y93" s="151"/>
      <c r="Z93" s="151"/>
      <c r="AA93" s="151"/>
      <c r="AB93" s="151"/>
      <c r="AC93" s="151"/>
      <c r="AD93" s="151"/>
      <c r="AE93" s="151"/>
      <c r="AF93" s="151"/>
      <c r="AG93" s="151"/>
      <c r="AH93" s="151"/>
      <c r="AI93" s="151"/>
      <c r="AJ93" s="151"/>
      <c r="AK93" s="151"/>
      <c r="AL93" s="151"/>
      <c r="AM93" s="151"/>
      <c r="AN93" s="151"/>
      <c r="AO93" s="151"/>
      <c r="AP93" s="151"/>
      <c r="AQ93" s="151"/>
      <c r="AR93" s="151"/>
      <c r="AS93" s="151"/>
      <c r="AT93" s="151"/>
      <c r="AU93" s="151"/>
      <c r="AV93" s="151"/>
      <c r="AW93" s="151"/>
      <c r="AX93" s="151"/>
      <c r="AY93" s="151"/>
      <c r="AZ93" s="151"/>
      <c r="BA93" s="151"/>
      <c r="BB93" s="151"/>
      <c r="BC93" s="151"/>
      <c r="BD93" s="151"/>
      <c r="BE93" s="151"/>
      <c r="BF93" s="151"/>
      <c r="BG93" s="151"/>
      <c r="BH93" s="151"/>
      <c r="BI93" s="151"/>
      <c r="BJ93" s="151"/>
      <c r="BK93" s="151"/>
      <c r="BL93" s="151"/>
      <c r="BP93" s="1"/>
      <c r="BQ93" s="1"/>
      <c r="BR93" s="1"/>
      <c r="BT93" s="1">
        <v>4</v>
      </c>
      <c r="BU93" s="1" t="s">
        <v>2196</v>
      </c>
    </row>
    <row r="94" spans="15:79" ht="17.25">
      <c r="O94" s="30">
        <v>91</v>
      </c>
      <c r="P94" s="30" t="s">
        <v>103</v>
      </c>
      <c r="U94">
        <v>91</v>
      </c>
      <c r="V94" t="s">
        <v>1557</v>
      </c>
      <c r="Y94" s="151"/>
      <c r="Z94" s="151"/>
      <c r="AA94" s="151"/>
      <c r="AB94" s="151"/>
      <c r="AC94" s="151"/>
      <c r="AD94" s="151"/>
      <c r="AE94" s="151"/>
      <c r="AF94" s="151"/>
      <c r="AG94" s="151"/>
      <c r="AH94" s="151"/>
      <c r="AI94" s="151"/>
      <c r="AJ94" s="151"/>
      <c r="AK94" s="151"/>
      <c r="AL94" s="151"/>
      <c r="AM94" s="151"/>
      <c r="AN94" s="151"/>
      <c r="AO94" s="151"/>
      <c r="AP94" s="151"/>
      <c r="AQ94" s="151"/>
      <c r="AR94" s="151"/>
      <c r="AS94" s="151"/>
      <c r="AT94" s="151"/>
      <c r="AU94" s="151"/>
      <c r="AV94" s="151"/>
      <c r="AW94" s="151"/>
      <c r="AX94" s="151"/>
      <c r="AY94" s="151"/>
      <c r="AZ94" s="151"/>
      <c r="BA94" s="151"/>
      <c r="BB94" s="151"/>
      <c r="BC94" s="151"/>
      <c r="BD94" s="151"/>
      <c r="BE94" s="151"/>
      <c r="BF94" s="151"/>
      <c r="BG94" s="151"/>
      <c r="BH94" s="151"/>
      <c r="BI94" s="151"/>
      <c r="BJ94" s="151"/>
      <c r="BK94" s="151"/>
      <c r="BL94" s="151"/>
      <c r="BP94" s="1"/>
      <c r="BQ94" s="1"/>
      <c r="BR94" s="1"/>
    </row>
    <row r="95" spans="15:79" ht="17.25">
      <c r="O95" s="30">
        <v>92</v>
      </c>
      <c r="P95" s="30" t="s">
        <v>637</v>
      </c>
      <c r="U95">
        <v>92</v>
      </c>
      <c r="V95" t="s">
        <v>1558</v>
      </c>
      <c r="Y95" s="151"/>
      <c r="Z95" s="151"/>
      <c r="AA95" s="151"/>
      <c r="AB95" s="151"/>
      <c r="AC95" s="151"/>
      <c r="AD95" s="151"/>
      <c r="AE95" s="151"/>
      <c r="AF95" s="151"/>
      <c r="AG95" s="151"/>
      <c r="AH95" s="151"/>
      <c r="AI95" s="151"/>
      <c r="AJ95" s="151"/>
      <c r="AK95" s="151"/>
      <c r="AL95" s="151"/>
      <c r="AM95" s="151"/>
      <c r="AN95" s="151"/>
      <c r="AO95" s="151"/>
      <c r="AP95" s="151"/>
      <c r="AQ95" s="151"/>
      <c r="AR95" s="151"/>
      <c r="AS95" s="151"/>
      <c r="AT95" s="151"/>
      <c r="AU95" s="151"/>
      <c r="AV95" s="151"/>
      <c r="AW95" s="151"/>
      <c r="AX95" s="151"/>
      <c r="AY95" s="151"/>
      <c r="AZ95" s="151"/>
      <c r="BA95" s="151"/>
      <c r="BB95" s="151"/>
      <c r="BC95" s="151"/>
      <c r="BD95" s="151"/>
      <c r="BE95" s="151"/>
      <c r="BF95" s="151"/>
      <c r="BG95" s="151"/>
      <c r="BH95" s="151"/>
      <c r="BI95" s="151"/>
      <c r="BJ95" s="151"/>
      <c r="BK95" s="151"/>
      <c r="BL95" s="151"/>
      <c r="BP95" s="1"/>
      <c r="BQ95" s="1"/>
      <c r="BR95" s="1"/>
    </row>
    <row r="96" spans="15:79" ht="17.25">
      <c r="O96" s="30">
        <v>93</v>
      </c>
      <c r="P96" s="30" t="s">
        <v>93</v>
      </c>
      <c r="U96">
        <v>93</v>
      </c>
      <c r="V96" t="s">
        <v>1559</v>
      </c>
      <c r="Y96" s="151"/>
      <c r="Z96" s="151"/>
      <c r="AA96" s="151"/>
      <c r="AB96" s="151"/>
      <c r="AC96" s="151"/>
      <c r="AD96" s="151"/>
      <c r="AE96" s="151"/>
      <c r="AF96" s="151"/>
      <c r="AG96" s="151"/>
      <c r="AH96" s="151"/>
      <c r="AI96" s="151"/>
      <c r="AJ96" s="151"/>
      <c r="AK96" s="151"/>
      <c r="AL96" s="151"/>
      <c r="AM96" s="151"/>
      <c r="AN96" s="151"/>
      <c r="AO96" s="151"/>
      <c r="AP96" s="151"/>
      <c r="AQ96" s="151"/>
      <c r="AR96" s="151"/>
      <c r="AS96" s="151"/>
      <c r="AT96" s="151"/>
      <c r="AU96" s="151"/>
      <c r="AV96" s="151"/>
      <c r="AW96" s="151"/>
      <c r="AX96" s="151"/>
      <c r="AY96" s="151"/>
      <c r="AZ96" s="151"/>
      <c r="BA96" s="151"/>
      <c r="BB96" s="151"/>
      <c r="BC96" s="151"/>
      <c r="BD96" s="151"/>
      <c r="BE96" s="151"/>
      <c r="BF96" s="151"/>
      <c r="BG96" s="151"/>
      <c r="BH96" s="151"/>
      <c r="BI96" s="151"/>
      <c r="BJ96" s="151"/>
      <c r="BK96" s="151"/>
      <c r="BL96" s="151"/>
      <c r="BP96" s="1"/>
      <c r="BQ96" s="1"/>
      <c r="BR96" s="1"/>
      <c r="BX96" s="137" t="str" cm="1">
        <f t="array" aca="1" ref="BX96" ca="1">INDEX(BX98:BX102,RANDBETWEEN(1,5),1)</f>
        <v>Your skill or work is tested</v>
      </c>
    </row>
    <row r="97" spans="15:76" ht="17.25">
      <c r="O97" s="30">
        <v>94</v>
      </c>
      <c r="P97" s="30" t="s">
        <v>638</v>
      </c>
      <c r="U97">
        <v>94</v>
      </c>
      <c r="V97" t="s">
        <v>1560</v>
      </c>
      <c r="Y97" s="151"/>
      <c r="Z97" s="151"/>
      <c r="AA97" s="151"/>
      <c r="AB97" s="151"/>
      <c r="AC97" s="151"/>
      <c r="AD97" s="151"/>
      <c r="AE97" s="151"/>
      <c r="AF97" s="151"/>
      <c r="AG97" s="151"/>
      <c r="AH97" s="151"/>
      <c r="AI97" s="151"/>
      <c r="AJ97" s="151"/>
      <c r="AK97" s="151"/>
      <c r="AL97" s="151"/>
      <c r="AM97" s="151"/>
      <c r="AN97" s="151"/>
      <c r="AO97" s="151"/>
      <c r="AP97" s="151"/>
      <c r="AQ97" s="151"/>
      <c r="AR97" s="151"/>
      <c r="AS97" s="151"/>
      <c r="AT97" s="151"/>
      <c r="AU97" s="151"/>
      <c r="AV97" s="151"/>
      <c r="AW97" s="151"/>
      <c r="AX97" s="151"/>
      <c r="AY97" s="151"/>
      <c r="AZ97" s="151"/>
      <c r="BA97" s="151"/>
      <c r="BB97" s="151"/>
      <c r="BC97" s="151"/>
      <c r="BD97" s="151"/>
      <c r="BE97" s="151"/>
      <c r="BF97" s="151"/>
      <c r="BG97" s="151"/>
      <c r="BH97" s="151"/>
      <c r="BI97" s="151"/>
      <c r="BJ97" s="151"/>
      <c r="BK97" s="151"/>
      <c r="BL97" s="151"/>
      <c r="BP97" s="1"/>
      <c r="BQ97" s="1"/>
      <c r="BR97" s="1"/>
      <c r="BW97" t="s">
        <v>1725</v>
      </c>
      <c r="BX97" s="1" t="s">
        <v>2203</v>
      </c>
    </row>
    <row r="98" spans="15:76" ht="17.25">
      <c r="O98" s="30">
        <v>95</v>
      </c>
      <c r="P98" s="30" t="s">
        <v>639</v>
      </c>
      <c r="U98">
        <v>95</v>
      </c>
      <c r="V98" t="s">
        <v>1561</v>
      </c>
      <c r="Y98" s="151"/>
      <c r="Z98" s="151"/>
      <c r="AA98" s="151"/>
      <c r="AB98" s="151"/>
      <c r="AC98" s="151"/>
      <c r="AD98" s="151"/>
      <c r="AE98" s="151"/>
      <c r="AF98" s="151"/>
      <c r="AG98" s="151"/>
      <c r="AH98" s="151"/>
      <c r="AI98" s="151"/>
      <c r="AJ98" s="151"/>
      <c r="AK98" s="151"/>
      <c r="AL98" s="151"/>
      <c r="AM98" s="151"/>
      <c r="AN98" s="151"/>
      <c r="AO98" s="151"/>
      <c r="AP98" s="151"/>
      <c r="AQ98" s="151"/>
      <c r="AR98" s="151"/>
      <c r="AS98" s="151"/>
      <c r="AT98" s="151"/>
      <c r="AU98" s="151"/>
      <c r="AV98" s="151"/>
      <c r="AW98" s="151"/>
      <c r="AX98" s="151"/>
      <c r="AY98" s="151"/>
      <c r="AZ98" s="151"/>
      <c r="BA98" s="151"/>
      <c r="BB98" s="151"/>
      <c r="BC98" s="151"/>
      <c r="BD98" s="151"/>
      <c r="BE98" s="151"/>
      <c r="BF98" s="151"/>
      <c r="BG98" s="151"/>
      <c r="BH98" s="151"/>
      <c r="BI98" s="151"/>
      <c r="BJ98" s="151"/>
      <c r="BK98" s="151"/>
      <c r="BL98" s="151"/>
      <c r="BP98" s="1"/>
      <c r="BQ98" s="1"/>
      <c r="BR98" s="1"/>
      <c r="BW98" s="1">
        <v>1</v>
      </c>
      <c r="BX98" s="1" t="s">
        <v>2204</v>
      </c>
    </row>
    <row r="99" spans="15:76" ht="17.25">
      <c r="O99" s="30">
        <v>96</v>
      </c>
      <c r="P99" s="30" t="s">
        <v>640</v>
      </c>
      <c r="U99">
        <v>96</v>
      </c>
      <c r="V99" t="s">
        <v>1562</v>
      </c>
      <c r="Y99" s="151"/>
      <c r="Z99" s="151"/>
      <c r="AA99" s="151"/>
      <c r="AB99" s="151"/>
      <c r="AC99" s="151"/>
      <c r="AD99" s="151"/>
      <c r="AE99" s="151"/>
      <c r="AF99" s="151"/>
      <c r="AG99" s="151"/>
      <c r="AH99" s="151"/>
      <c r="AI99" s="151"/>
      <c r="AJ99" s="151"/>
      <c r="AK99" s="151"/>
      <c r="AL99" s="151"/>
      <c r="AM99" s="151"/>
      <c r="AN99" s="151"/>
      <c r="AO99" s="151"/>
      <c r="AP99" s="151"/>
      <c r="AQ99" s="151"/>
      <c r="AR99" s="151"/>
      <c r="AS99" s="151"/>
      <c r="AT99" s="151"/>
      <c r="AU99" s="151"/>
      <c r="AV99" s="151"/>
      <c r="AW99" s="151"/>
      <c r="AX99" s="151"/>
      <c r="AY99" s="151"/>
      <c r="AZ99" s="151"/>
      <c r="BA99" s="151"/>
      <c r="BB99" s="151"/>
      <c r="BC99" s="151"/>
      <c r="BD99" s="151"/>
      <c r="BE99" s="151"/>
      <c r="BF99" s="151"/>
      <c r="BG99" s="151"/>
      <c r="BH99" s="151"/>
      <c r="BI99" s="151"/>
      <c r="BJ99" s="151"/>
      <c r="BK99" s="151"/>
      <c r="BL99" s="151"/>
      <c r="BP99" s="1"/>
      <c r="BQ99" s="1"/>
      <c r="BR99" s="1"/>
      <c r="BW99" s="1">
        <v>2</v>
      </c>
      <c r="BX99" s="1" t="s">
        <v>2205</v>
      </c>
    </row>
    <row r="100" spans="15:76" ht="17.25">
      <c r="O100" s="30">
        <v>97</v>
      </c>
      <c r="P100" s="30" t="s">
        <v>641</v>
      </c>
      <c r="U100">
        <v>97</v>
      </c>
      <c r="V100" t="s">
        <v>1563</v>
      </c>
      <c r="Y100" s="151"/>
      <c r="Z100" s="151"/>
      <c r="AA100" s="151"/>
      <c r="AB100" s="151"/>
      <c r="AC100" s="151"/>
      <c r="AD100" s="151"/>
      <c r="AE100" s="151"/>
      <c r="AF100" s="151"/>
      <c r="AG100" s="151"/>
      <c r="AH100" s="151"/>
      <c r="AI100" s="151"/>
      <c r="AJ100" s="151"/>
      <c r="AK100" s="151"/>
      <c r="AL100" s="151"/>
      <c r="AM100" s="151"/>
      <c r="AN100" s="151"/>
      <c r="AO100" s="151"/>
      <c r="AP100" s="151"/>
      <c r="AQ100" s="151"/>
      <c r="AR100" s="151"/>
      <c r="AS100" s="151"/>
      <c r="AT100" s="151"/>
      <c r="AU100" s="151"/>
      <c r="AV100" s="151"/>
      <c r="AW100" s="151"/>
      <c r="AX100" s="151"/>
      <c r="AY100" s="151"/>
      <c r="AZ100" s="151"/>
      <c r="BA100" s="151"/>
      <c r="BB100" s="151"/>
      <c r="BC100" s="151"/>
      <c r="BD100" s="151"/>
      <c r="BE100" s="151"/>
      <c r="BF100" s="151"/>
      <c r="BG100" s="151"/>
      <c r="BH100" s="151"/>
      <c r="BI100" s="151"/>
      <c r="BJ100" s="151"/>
      <c r="BK100" s="151"/>
      <c r="BL100" s="151"/>
      <c r="BP100" s="1"/>
      <c r="BQ100" s="1"/>
      <c r="BR100" s="1"/>
      <c r="BW100" s="1">
        <v>3</v>
      </c>
      <c r="BX100" s="1" t="s">
        <v>2206</v>
      </c>
    </row>
    <row r="101" spans="15:76" ht="17.25">
      <c r="O101" s="30">
        <v>98</v>
      </c>
      <c r="P101" s="30" t="s">
        <v>1686</v>
      </c>
      <c r="U101">
        <v>98</v>
      </c>
      <c r="V101" t="s">
        <v>1564</v>
      </c>
      <c r="Y101" s="151"/>
      <c r="Z101" s="151"/>
      <c r="AA101" s="151"/>
      <c r="AB101" s="151"/>
      <c r="AC101" s="151"/>
      <c r="AD101" s="151"/>
      <c r="AE101" s="151"/>
      <c r="AF101" s="151"/>
      <c r="AG101" s="151"/>
      <c r="AH101" s="151"/>
      <c r="AI101" s="151"/>
      <c r="AJ101" s="151"/>
      <c r="AK101" s="151"/>
      <c r="AL101" s="151"/>
      <c r="AM101" s="151"/>
      <c r="AN101" s="151"/>
      <c r="AO101" s="151"/>
      <c r="AP101" s="151"/>
      <c r="AQ101" s="151"/>
      <c r="AR101" s="151"/>
      <c r="AS101" s="151"/>
      <c r="AT101" s="151"/>
      <c r="AU101" s="151"/>
      <c r="AV101" s="151"/>
      <c r="AW101" s="151"/>
      <c r="AX101" s="151"/>
      <c r="AY101" s="151"/>
      <c r="AZ101" s="151"/>
      <c r="BA101" s="151"/>
      <c r="BB101" s="151"/>
      <c r="BC101" s="151"/>
      <c r="BD101" s="151"/>
      <c r="BE101" s="151"/>
      <c r="BF101" s="151"/>
      <c r="BG101" s="151"/>
      <c r="BH101" s="151"/>
      <c r="BI101" s="151"/>
      <c r="BJ101" s="151"/>
      <c r="BK101" s="151"/>
      <c r="BL101" s="151"/>
      <c r="BP101" s="1"/>
      <c r="BQ101" s="1"/>
      <c r="BR101" s="1"/>
      <c r="BW101" s="1">
        <v>4</v>
      </c>
      <c r="BX101" s="1" t="s">
        <v>2207</v>
      </c>
    </row>
    <row r="102" spans="15:76" ht="17.25">
      <c r="O102" s="30">
        <v>99</v>
      </c>
      <c r="P102" s="30" t="s">
        <v>1687</v>
      </c>
      <c r="U102">
        <v>99</v>
      </c>
      <c r="V102" t="s">
        <v>1565</v>
      </c>
      <c r="Y102" s="151"/>
      <c r="Z102" s="151"/>
      <c r="AA102" s="151"/>
      <c r="AB102" s="151"/>
      <c r="AC102" s="151"/>
      <c r="AD102" s="151"/>
      <c r="AE102" s="151"/>
      <c r="AF102" s="151"/>
      <c r="AG102" s="151"/>
      <c r="AH102" s="151"/>
      <c r="AI102" s="151"/>
      <c r="AJ102" s="151"/>
      <c r="AK102" s="151"/>
      <c r="AL102" s="151"/>
      <c r="AM102" s="151"/>
      <c r="AN102" s="151"/>
      <c r="AO102" s="151"/>
      <c r="AP102" s="151"/>
      <c r="AQ102" s="151"/>
      <c r="AR102" s="151"/>
      <c r="AS102" s="151"/>
      <c r="AT102" s="151"/>
      <c r="AU102" s="151"/>
      <c r="AV102" s="151"/>
      <c r="AW102" s="151"/>
      <c r="AX102" s="151"/>
      <c r="AY102" s="151"/>
      <c r="AZ102" s="151"/>
      <c r="BA102" s="151"/>
      <c r="BB102" s="151"/>
      <c r="BC102" s="151"/>
      <c r="BD102" s="151"/>
      <c r="BE102" s="151"/>
      <c r="BF102" s="151"/>
      <c r="BG102" s="151"/>
      <c r="BH102" s="151"/>
      <c r="BI102" s="151"/>
      <c r="BJ102" s="151"/>
      <c r="BK102" s="151"/>
      <c r="BL102" s="151"/>
      <c r="BP102" s="1"/>
      <c r="BQ102" s="1"/>
      <c r="BR102" s="1"/>
      <c r="BW102" s="1">
        <v>5</v>
      </c>
      <c r="BX102" s="1" t="s">
        <v>2208</v>
      </c>
    </row>
    <row r="103" spans="15:76" ht="17.25">
      <c r="O103" s="30">
        <v>100</v>
      </c>
      <c r="P103" s="30" t="s">
        <v>688</v>
      </c>
      <c r="U103">
        <v>100</v>
      </c>
      <c r="V103" t="s">
        <v>1566</v>
      </c>
      <c r="Y103" s="151"/>
      <c r="Z103" s="151"/>
      <c r="AA103" s="151"/>
      <c r="AB103" s="151"/>
      <c r="AC103" s="151"/>
      <c r="AD103" s="151"/>
      <c r="AE103" s="151"/>
      <c r="AF103" s="151"/>
      <c r="AG103" s="151"/>
      <c r="AH103" s="151"/>
      <c r="AI103" s="151"/>
      <c r="AJ103" s="151"/>
      <c r="AK103" s="151"/>
      <c r="AL103" s="151"/>
      <c r="AM103" s="151"/>
      <c r="AN103" s="151"/>
      <c r="AO103" s="151"/>
      <c r="AP103" s="151"/>
      <c r="AQ103" s="151"/>
      <c r="AR103" s="151"/>
      <c r="AS103" s="151"/>
      <c r="AT103" s="151"/>
      <c r="AU103" s="151"/>
      <c r="AV103" s="151"/>
      <c r="AW103" s="151"/>
      <c r="AX103" s="151"/>
      <c r="AY103" s="151"/>
      <c r="AZ103" s="151"/>
      <c r="BA103" s="151"/>
      <c r="BB103" s="151"/>
      <c r="BC103" s="151"/>
      <c r="BD103" s="151"/>
      <c r="BE103" s="151"/>
      <c r="BF103" s="151"/>
      <c r="BG103" s="151"/>
      <c r="BH103" s="151"/>
      <c r="BI103" s="151"/>
      <c r="BJ103" s="151"/>
      <c r="BK103" s="151"/>
      <c r="BL103" s="151"/>
      <c r="BP103" s="1"/>
      <c r="BQ103" s="1"/>
      <c r="BR103" s="1"/>
    </row>
    <row r="104" spans="15:76" ht="17.25">
      <c r="O104" s="30">
        <v>101</v>
      </c>
      <c r="P104" s="30" t="s">
        <v>1717</v>
      </c>
      <c r="Y104" s="151"/>
      <c r="Z104" s="151"/>
      <c r="AA104" s="151"/>
      <c r="AB104" s="151"/>
      <c r="AC104" s="151"/>
      <c r="AD104" s="151"/>
      <c r="AE104" s="151"/>
      <c r="AF104" s="151"/>
      <c r="AG104" s="151"/>
      <c r="AH104" s="151"/>
      <c r="AI104" s="151"/>
      <c r="AJ104" s="151"/>
      <c r="AK104" s="151"/>
      <c r="AL104" s="151"/>
      <c r="AM104" s="151"/>
      <c r="AN104" s="151"/>
      <c r="AO104" s="151"/>
      <c r="AP104" s="151"/>
      <c r="AQ104" s="151"/>
      <c r="AR104" s="151"/>
      <c r="AS104" s="151"/>
      <c r="AT104" s="151"/>
      <c r="AU104" s="151"/>
      <c r="AV104" s="151"/>
      <c r="AW104" s="151"/>
      <c r="AX104" s="151"/>
      <c r="AY104" s="151"/>
      <c r="AZ104" s="151"/>
      <c r="BA104" s="151"/>
      <c r="BB104" s="151"/>
      <c r="BC104" s="151"/>
      <c r="BD104" s="151"/>
      <c r="BE104" s="151"/>
      <c r="BF104" s="151"/>
      <c r="BG104" s="151"/>
      <c r="BH104" s="151"/>
      <c r="BI104" s="151"/>
      <c r="BJ104" s="151"/>
      <c r="BK104" s="151"/>
      <c r="BL104" s="151"/>
      <c r="BP104" s="1"/>
      <c r="BQ104" s="1"/>
      <c r="BR104" s="1"/>
    </row>
    <row r="105" spans="15:76" ht="17.25">
      <c r="O105" s="30">
        <v>102</v>
      </c>
      <c r="P105" s="30" t="s">
        <v>1688</v>
      </c>
      <c r="Y105" s="151"/>
      <c r="Z105" s="151"/>
      <c r="AA105" s="151"/>
      <c r="AB105" s="151"/>
      <c r="AC105" s="151"/>
      <c r="AD105" s="151"/>
      <c r="AE105" s="151"/>
      <c r="AF105" s="151"/>
      <c r="AG105" s="151"/>
      <c r="AH105" s="151"/>
      <c r="AI105" s="151"/>
      <c r="AJ105" s="151"/>
      <c r="AK105" s="151"/>
      <c r="AL105" s="151"/>
      <c r="AM105" s="151"/>
      <c r="AN105" s="151"/>
      <c r="AO105" s="151"/>
      <c r="AP105" s="151"/>
      <c r="AQ105" s="151"/>
      <c r="AR105" s="151"/>
      <c r="AS105" s="151"/>
      <c r="AT105" s="151"/>
      <c r="AU105" s="151"/>
      <c r="AV105" s="151"/>
      <c r="AW105" s="151"/>
      <c r="AX105" s="151"/>
      <c r="AY105" s="151"/>
      <c r="AZ105" s="151"/>
      <c r="BA105" s="151"/>
      <c r="BB105" s="151"/>
      <c r="BC105" s="151"/>
      <c r="BD105" s="151"/>
      <c r="BE105" s="151"/>
      <c r="BF105" s="151"/>
      <c r="BG105" s="151"/>
      <c r="BH105" s="151"/>
      <c r="BI105" s="151"/>
      <c r="BJ105" s="151"/>
      <c r="BK105" s="151"/>
      <c r="BL105" s="151"/>
      <c r="BP105" s="1"/>
      <c r="BQ105" s="1"/>
      <c r="BR105" s="1"/>
    </row>
    <row r="106" spans="15:76" ht="17.25">
      <c r="O106" s="30">
        <v>103</v>
      </c>
      <c r="P106" s="30" t="s">
        <v>642</v>
      </c>
      <c r="Y106" s="151"/>
      <c r="Z106" s="151"/>
      <c r="AA106" s="151"/>
      <c r="AB106" s="151"/>
      <c r="AC106" s="151"/>
      <c r="AD106" s="151"/>
      <c r="AE106" s="151"/>
      <c r="AF106" s="151"/>
      <c r="AG106" s="151"/>
      <c r="AH106" s="151"/>
      <c r="AI106" s="151"/>
      <c r="AJ106" s="151"/>
      <c r="AK106" s="151"/>
      <c r="AL106" s="151"/>
      <c r="AM106" s="151"/>
      <c r="AN106" s="151"/>
      <c r="AO106" s="151"/>
      <c r="AP106" s="151"/>
      <c r="AQ106" s="151"/>
      <c r="AR106" s="151"/>
      <c r="AS106" s="151"/>
      <c r="AT106" s="151"/>
      <c r="AU106" s="151"/>
      <c r="AV106" s="151"/>
      <c r="AW106" s="151"/>
      <c r="AX106" s="151"/>
      <c r="AY106" s="151"/>
      <c r="AZ106" s="151"/>
      <c r="BA106" s="151"/>
      <c r="BB106" s="151"/>
      <c r="BC106" s="151"/>
      <c r="BD106" s="151"/>
      <c r="BE106" s="151"/>
      <c r="BF106" s="151"/>
      <c r="BG106" s="151"/>
      <c r="BH106" s="151"/>
      <c r="BI106" s="151"/>
      <c r="BJ106" s="151"/>
      <c r="BK106" s="151"/>
      <c r="BL106" s="151"/>
      <c r="BP106" s="1"/>
      <c r="BQ106" s="1"/>
      <c r="BR106" s="1"/>
    </row>
    <row r="107" spans="15:76" ht="17.25">
      <c r="O107" s="30">
        <v>104</v>
      </c>
      <c r="P107" s="30" t="s">
        <v>643</v>
      </c>
      <c r="Y107" s="151"/>
      <c r="Z107" s="151"/>
      <c r="AA107" s="151"/>
      <c r="AB107" s="151"/>
      <c r="AC107" s="151"/>
      <c r="AD107" s="151"/>
      <c r="AE107" s="151"/>
      <c r="AF107" s="151"/>
      <c r="AG107" s="151"/>
      <c r="AH107" s="151"/>
      <c r="AI107" s="151"/>
      <c r="AJ107" s="151"/>
      <c r="AK107" s="151"/>
      <c r="AL107" s="151"/>
      <c r="AM107" s="151"/>
      <c r="AN107" s="151"/>
      <c r="AO107" s="151"/>
      <c r="AP107" s="151"/>
      <c r="AQ107" s="151"/>
      <c r="AR107" s="151"/>
      <c r="AS107" s="151"/>
      <c r="AT107" s="151"/>
      <c r="AU107" s="151"/>
      <c r="AV107" s="151"/>
      <c r="AW107" s="151"/>
      <c r="AX107" s="151"/>
      <c r="AY107" s="151"/>
      <c r="AZ107" s="151"/>
      <c r="BA107" s="151"/>
      <c r="BB107" s="151"/>
      <c r="BC107" s="151"/>
      <c r="BD107" s="151"/>
      <c r="BE107" s="151"/>
      <c r="BF107" s="151"/>
      <c r="BG107" s="151"/>
      <c r="BH107" s="151"/>
      <c r="BI107" s="151"/>
      <c r="BJ107" s="151"/>
      <c r="BK107" s="151"/>
      <c r="BL107" s="151"/>
      <c r="BP107" s="1"/>
      <c r="BQ107" s="1"/>
      <c r="BR107" s="1"/>
    </row>
    <row r="108" spans="15:76" ht="17.25">
      <c r="O108" s="30">
        <v>105</v>
      </c>
      <c r="P108" s="30" t="s">
        <v>448</v>
      </c>
      <c r="Y108" s="151"/>
      <c r="Z108" s="151"/>
      <c r="AA108" s="151"/>
      <c r="AB108" s="151"/>
      <c r="AC108" s="151"/>
      <c r="AD108" s="151"/>
      <c r="AE108" s="151"/>
      <c r="AF108" s="151"/>
      <c r="AG108" s="151"/>
      <c r="AH108" s="151"/>
      <c r="AI108" s="151"/>
      <c r="AJ108" s="151"/>
      <c r="AK108" s="151"/>
      <c r="AL108" s="151"/>
      <c r="AM108" s="151"/>
      <c r="AN108" s="151"/>
      <c r="AO108" s="151"/>
      <c r="AP108" s="151"/>
      <c r="AQ108" s="151"/>
      <c r="AR108" s="151"/>
      <c r="AS108" s="151"/>
      <c r="AT108" s="151"/>
      <c r="AU108" s="151"/>
      <c r="AV108" s="151"/>
      <c r="AW108" s="151"/>
      <c r="AX108" s="151"/>
      <c r="AY108" s="151"/>
      <c r="AZ108" s="151"/>
      <c r="BA108" s="151"/>
      <c r="BB108" s="151"/>
      <c r="BC108" s="151"/>
      <c r="BD108" s="151"/>
      <c r="BE108" s="151"/>
      <c r="BF108" s="151"/>
      <c r="BG108" s="151"/>
      <c r="BH108" s="151"/>
      <c r="BI108" s="151"/>
      <c r="BJ108" s="151"/>
      <c r="BK108" s="151"/>
      <c r="BL108" s="151"/>
      <c r="BP108" s="1"/>
      <c r="BQ108" s="1"/>
      <c r="BR108" s="1"/>
    </row>
    <row r="109" spans="15:76" ht="17.25">
      <c r="O109" s="30">
        <v>106</v>
      </c>
      <c r="P109" s="30" t="s">
        <v>644</v>
      </c>
      <c r="Y109" s="151"/>
      <c r="Z109" s="151"/>
      <c r="AA109" s="151"/>
      <c r="AB109" s="151"/>
      <c r="AC109" s="151"/>
      <c r="AD109" s="151"/>
      <c r="AE109" s="151"/>
      <c r="AF109" s="151"/>
      <c r="AG109" s="151"/>
      <c r="AH109" s="151"/>
      <c r="AI109" s="151"/>
      <c r="AJ109" s="151"/>
      <c r="AK109" s="151"/>
      <c r="AL109" s="151"/>
      <c r="AM109" s="151"/>
      <c r="AN109" s="151"/>
      <c r="AO109" s="151"/>
      <c r="AP109" s="151"/>
      <c r="AQ109" s="151"/>
      <c r="AR109" s="151"/>
      <c r="AS109" s="151"/>
      <c r="AT109" s="151"/>
      <c r="AU109" s="151"/>
      <c r="AV109" s="151"/>
      <c r="AW109" s="151"/>
      <c r="AX109" s="151"/>
      <c r="AY109" s="151"/>
      <c r="AZ109" s="151"/>
      <c r="BA109" s="151"/>
      <c r="BB109" s="151"/>
      <c r="BC109" s="151"/>
      <c r="BD109" s="151"/>
      <c r="BE109" s="151"/>
      <c r="BF109" s="151"/>
      <c r="BG109" s="151"/>
      <c r="BH109" s="151"/>
      <c r="BI109" s="151"/>
      <c r="BJ109" s="151"/>
      <c r="BK109" s="151"/>
      <c r="BL109" s="151"/>
      <c r="BP109" s="1"/>
      <c r="BQ109" s="1"/>
      <c r="BR109" s="1"/>
    </row>
    <row r="110" spans="15:76" ht="51">
      <c r="O110" s="30">
        <v>107</v>
      </c>
      <c r="P110" s="30" t="s">
        <v>1689</v>
      </c>
      <c r="U110" s="3973" t="s">
        <v>5883</v>
      </c>
      <c r="V110" s="3974"/>
      <c r="W110" s="3974"/>
      <c r="X110" s="3974"/>
      <c r="Y110" s="2453" t="s">
        <v>5882</v>
      </c>
      <c r="Z110" s="2453" t="s">
        <v>5881</v>
      </c>
      <c r="AA110" s="160"/>
      <c r="AB110" t="s">
        <v>5880</v>
      </c>
      <c r="AC110" t="s">
        <v>5879</v>
      </c>
      <c r="AD110" s="151"/>
      <c r="AE110" s="151"/>
      <c r="AF110" s="151"/>
      <c r="AG110" s="151"/>
      <c r="AH110" s="151"/>
      <c r="AI110" s="151"/>
      <c r="AJ110" s="151"/>
      <c r="AK110" s="151"/>
      <c r="AL110" s="151"/>
      <c r="AM110" s="151"/>
      <c r="AN110" s="151"/>
      <c r="AO110" s="151"/>
      <c r="AP110" s="151"/>
      <c r="AQ110" s="151"/>
      <c r="AR110" s="151"/>
      <c r="AS110" s="151"/>
      <c r="AT110" s="151"/>
      <c r="AU110" s="151"/>
      <c r="AV110" s="151"/>
      <c r="AW110" s="151"/>
      <c r="AX110" s="151"/>
      <c r="AY110" s="151"/>
      <c r="AZ110" s="151"/>
      <c r="BA110" s="151"/>
      <c r="BB110" s="151"/>
      <c r="BC110" s="151"/>
      <c r="BD110" s="151"/>
      <c r="BE110" s="151"/>
      <c r="BF110" s="151"/>
      <c r="BG110" s="151"/>
      <c r="BH110" s="151"/>
      <c r="BI110" s="151"/>
      <c r="BJ110" s="151"/>
      <c r="BK110" s="151"/>
      <c r="BL110" s="151"/>
      <c r="BP110" s="1"/>
      <c r="BQ110" s="1"/>
      <c r="BR110" s="1"/>
    </row>
    <row r="111" spans="15:76" ht="17.25">
      <c r="O111" s="30">
        <v>108</v>
      </c>
      <c r="P111" s="30" t="s">
        <v>1690</v>
      </c>
      <c r="U111" s="2454" t="s">
        <v>5777</v>
      </c>
      <c r="V111" s="159" t="s">
        <v>5878</v>
      </c>
      <c r="W111" s="153" t="s">
        <v>5877</v>
      </c>
      <c r="X111" s="153">
        <v>27</v>
      </c>
      <c r="Y111" s="153">
        <v>0</v>
      </c>
      <c r="Z111" s="153">
        <v>0</v>
      </c>
      <c r="AA111" s="153"/>
      <c r="AB111" t="s">
        <v>5771</v>
      </c>
      <c r="AC111" t="s">
        <v>2454</v>
      </c>
      <c r="AD111" s="151"/>
      <c r="AE111" s="151"/>
      <c r="AF111" s="151"/>
      <c r="AG111" s="151"/>
      <c r="AH111" s="151"/>
      <c r="AI111" s="151"/>
      <c r="AJ111" s="151"/>
      <c r="AK111" s="151"/>
      <c r="AL111" s="151"/>
      <c r="AM111" s="151"/>
      <c r="AN111" s="151"/>
      <c r="AO111" s="151"/>
      <c r="AP111" s="151"/>
      <c r="AQ111" s="151"/>
      <c r="AR111" s="151"/>
      <c r="AS111" s="151"/>
      <c r="AT111" s="151"/>
      <c r="AU111" s="151"/>
      <c r="AV111" s="151"/>
      <c r="AW111" s="151"/>
      <c r="AX111" s="151"/>
      <c r="AY111" s="151"/>
      <c r="AZ111" s="151"/>
      <c r="BA111" s="151"/>
      <c r="BB111" s="151"/>
      <c r="BC111" s="151"/>
      <c r="BD111" s="151"/>
      <c r="BE111" s="151"/>
      <c r="BF111" s="151"/>
      <c r="BG111" s="151"/>
      <c r="BH111" s="151"/>
      <c r="BI111" s="151"/>
      <c r="BJ111" s="151"/>
      <c r="BK111" s="151"/>
      <c r="BL111" s="151"/>
      <c r="BP111" s="1"/>
      <c r="BQ111" s="1"/>
      <c r="BR111" s="1"/>
    </row>
    <row r="112" spans="15:76" ht="17.25">
      <c r="O112" s="30">
        <v>109</v>
      </c>
      <c r="P112" s="30" t="s">
        <v>1718</v>
      </c>
      <c r="U112" s="2455" t="s">
        <v>5776</v>
      </c>
      <c r="V112" s="153" t="s">
        <v>5876</v>
      </c>
      <c r="W112" s="153" t="s">
        <v>5875</v>
      </c>
      <c r="X112" s="153">
        <v>28</v>
      </c>
      <c r="Y112" s="153">
        <v>1</v>
      </c>
      <c r="Z112" s="153">
        <v>1</v>
      </c>
      <c r="AA112" s="153"/>
      <c r="AB112" t="s">
        <v>5770</v>
      </c>
      <c r="AC112" t="s">
        <v>5874</v>
      </c>
      <c r="AD112" s="151"/>
      <c r="AE112" s="151"/>
      <c r="AF112" s="151"/>
      <c r="AG112" s="151"/>
      <c r="AH112" s="151"/>
      <c r="AI112" s="151"/>
      <c r="AJ112" s="151"/>
      <c r="AK112" s="151"/>
      <c r="AL112" s="151"/>
      <c r="AM112" s="151"/>
      <c r="AN112" s="151"/>
      <c r="AO112" s="151"/>
      <c r="AP112" s="151"/>
      <c r="AQ112" s="151"/>
      <c r="AR112" s="151"/>
      <c r="AS112" s="151"/>
      <c r="AT112" s="151"/>
      <c r="AU112" s="151"/>
      <c r="AV112" s="151"/>
      <c r="AW112" s="151"/>
      <c r="AX112" s="151"/>
      <c r="AY112" s="151"/>
      <c r="AZ112" s="151"/>
      <c r="BA112" s="151"/>
      <c r="BB112" s="151"/>
      <c r="BC112" s="151"/>
      <c r="BD112" s="151"/>
      <c r="BE112" s="151"/>
      <c r="BF112" s="151"/>
      <c r="BG112" s="151"/>
      <c r="BH112" s="151"/>
      <c r="BI112" s="151"/>
      <c r="BJ112" s="151"/>
      <c r="BK112" s="151"/>
      <c r="BL112" s="151"/>
      <c r="BP112" s="1"/>
      <c r="BQ112" s="1"/>
      <c r="BR112" s="1"/>
    </row>
    <row r="113" spans="15:87" ht="17.25">
      <c r="O113" s="30">
        <v>110</v>
      </c>
      <c r="P113" s="30" t="s">
        <v>1691</v>
      </c>
      <c r="U113" s="2454" t="s">
        <v>5775</v>
      </c>
      <c r="V113" s="159" t="s">
        <v>5873</v>
      </c>
      <c r="W113" s="153" t="s">
        <v>5872</v>
      </c>
      <c r="X113" s="153">
        <v>29</v>
      </c>
      <c r="Y113" s="153">
        <v>0</v>
      </c>
      <c r="Z113" s="153">
        <v>0</v>
      </c>
      <c r="AA113" s="153"/>
      <c r="AB113" t="s">
        <v>5769</v>
      </c>
      <c r="AC113" t="s">
        <v>5871</v>
      </c>
      <c r="AD113" s="151"/>
      <c r="AE113" s="151"/>
      <c r="AF113" s="151"/>
      <c r="AG113" s="151"/>
      <c r="AH113" s="151"/>
      <c r="AI113" s="151"/>
      <c r="AJ113" s="151"/>
      <c r="AK113" s="151"/>
      <c r="AL113" s="151"/>
      <c r="AM113" s="151"/>
      <c r="AN113" s="151"/>
      <c r="AO113" s="151"/>
      <c r="AP113" s="151"/>
      <c r="AQ113" s="151"/>
      <c r="AR113" s="151"/>
      <c r="AS113" s="151"/>
      <c r="AT113" s="151"/>
      <c r="AU113" s="151"/>
      <c r="AV113" s="151"/>
      <c r="AW113" s="151"/>
      <c r="AX113" s="151"/>
      <c r="AY113" s="151"/>
      <c r="AZ113" s="151"/>
      <c r="BA113" s="151"/>
      <c r="BB113" s="151"/>
      <c r="BC113" s="151"/>
      <c r="BD113" s="151"/>
      <c r="BE113" s="151"/>
      <c r="BF113" s="151"/>
      <c r="BG113" s="151"/>
      <c r="BH113" s="151"/>
      <c r="BI113" s="151"/>
      <c r="BJ113" s="151"/>
      <c r="BK113" s="151"/>
      <c r="BL113" s="151"/>
      <c r="BP113" s="1"/>
      <c r="BQ113" s="1"/>
      <c r="BR113" s="1"/>
    </row>
    <row r="114" spans="15:87" ht="17.25">
      <c r="O114" s="30">
        <v>111</v>
      </c>
      <c r="P114" s="30" t="s">
        <v>21</v>
      </c>
      <c r="U114" s="2454" t="s">
        <v>5774</v>
      </c>
      <c r="V114" s="153" t="s">
        <v>5870</v>
      </c>
      <c r="W114" s="153" t="s">
        <v>5869</v>
      </c>
      <c r="X114" s="153">
        <v>30</v>
      </c>
      <c r="Y114" s="153">
        <v>0</v>
      </c>
      <c r="Z114" s="153">
        <v>0</v>
      </c>
      <c r="AA114" s="153"/>
      <c r="AB114" t="s">
        <v>5768</v>
      </c>
      <c r="AC114" t="s">
        <v>5868</v>
      </c>
      <c r="AD114" s="151"/>
      <c r="AE114" s="151"/>
      <c r="AF114" s="151"/>
      <c r="AG114" s="151"/>
      <c r="AH114" s="151"/>
      <c r="AI114" s="151"/>
      <c r="AJ114" s="151"/>
      <c r="AK114" s="151"/>
      <c r="AL114" s="151"/>
      <c r="AM114" s="151"/>
      <c r="AN114" s="151"/>
      <c r="AO114" s="151"/>
      <c r="AP114" s="151"/>
      <c r="AQ114" s="151"/>
      <c r="AR114" s="151"/>
      <c r="AS114" s="151"/>
      <c r="AT114" s="151"/>
      <c r="AU114" s="151"/>
      <c r="AV114" s="151"/>
      <c r="AW114" s="151"/>
      <c r="AX114" s="151"/>
      <c r="AY114" s="151"/>
      <c r="AZ114" s="151"/>
      <c r="BA114" s="151"/>
      <c r="BB114" s="151"/>
      <c r="BC114" s="151"/>
      <c r="BD114" s="151"/>
      <c r="BE114" s="151"/>
      <c r="BF114" s="151"/>
      <c r="BG114" s="151"/>
      <c r="BH114" s="151"/>
      <c r="BI114" s="151"/>
      <c r="BJ114" s="151"/>
      <c r="BK114" s="151"/>
      <c r="BL114" s="151"/>
      <c r="BP114" s="1"/>
      <c r="BQ114" s="1"/>
      <c r="BR114" s="1"/>
    </row>
    <row r="115" spans="15:87" ht="17.25">
      <c r="O115" s="30">
        <v>112</v>
      </c>
      <c r="P115" s="30" t="s">
        <v>1692</v>
      </c>
      <c r="U115" s="2454" t="s">
        <v>5773</v>
      </c>
      <c r="V115" s="159" t="s">
        <v>5867</v>
      </c>
      <c r="W115" s="153" t="s">
        <v>5866</v>
      </c>
      <c r="X115" s="153">
        <v>31</v>
      </c>
      <c r="Y115" s="153">
        <v>1</v>
      </c>
      <c r="Z115" s="153">
        <v>0</v>
      </c>
      <c r="AA115" s="153"/>
      <c r="AB115" t="s">
        <v>5765</v>
      </c>
      <c r="AC115" t="s">
        <v>5846</v>
      </c>
      <c r="AD115" s="151"/>
      <c r="AE115" s="151"/>
      <c r="AF115" s="151"/>
      <c r="AG115" s="151"/>
      <c r="AH115" s="151"/>
      <c r="AI115" s="151"/>
      <c r="AJ115" s="151"/>
      <c r="AK115" s="151"/>
      <c r="AL115" s="151"/>
      <c r="AM115" s="151"/>
      <c r="AN115" s="151"/>
      <c r="AO115" s="151"/>
      <c r="AP115" s="151"/>
      <c r="AQ115" s="151"/>
      <c r="AR115" s="151"/>
      <c r="AS115" s="151"/>
      <c r="AT115" s="151"/>
      <c r="AU115" s="151"/>
      <c r="AV115" s="151"/>
      <c r="AW115" s="151"/>
      <c r="AX115" s="151"/>
      <c r="AY115" s="151"/>
      <c r="AZ115" s="151"/>
      <c r="BA115" s="151"/>
      <c r="BB115" s="151"/>
      <c r="BC115" s="151"/>
      <c r="BD115" s="151"/>
      <c r="BE115" s="151"/>
      <c r="BF115" s="151"/>
      <c r="BG115" s="151"/>
      <c r="BH115" s="151"/>
      <c r="BI115" s="151"/>
      <c r="BJ115" s="151"/>
      <c r="BK115" s="151"/>
      <c r="BL115" s="151"/>
      <c r="BP115" s="1"/>
      <c r="BQ115" s="1"/>
      <c r="BR115" s="1"/>
    </row>
    <row r="116" spans="15:87" ht="17.25">
      <c r="O116" s="30">
        <v>113</v>
      </c>
      <c r="P116" s="30" t="s">
        <v>35</v>
      </c>
      <c r="U116" s="2454" t="s">
        <v>5772</v>
      </c>
      <c r="V116" s="153" t="s">
        <v>5865</v>
      </c>
      <c r="W116" s="153" t="s">
        <v>5864</v>
      </c>
      <c r="X116" s="153">
        <v>32</v>
      </c>
      <c r="Y116" s="153">
        <v>0</v>
      </c>
      <c r="Z116" s="153">
        <v>0</v>
      </c>
      <c r="AA116" s="153"/>
      <c r="AB116" t="s">
        <v>5764</v>
      </c>
      <c r="AC116" t="s">
        <v>5846</v>
      </c>
      <c r="AD116" s="151"/>
      <c r="AE116" s="151"/>
      <c r="AF116" s="151"/>
      <c r="AG116" s="151"/>
      <c r="AH116" s="151"/>
      <c r="AI116" s="151"/>
      <c r="AJ116" s="151"/>
      <c r="AK116" s="151"/>
      <c r="AL116" s="151"/>
      <c r="AM116" s="151"/>
      <c r="AN116" s="151"/>
      <c r="AO116" s="151"/>
      <c r="AP116" s="151"/>
      <c r="AQ116" s="151"/>
      <c r="AR116" s="151"/>
      <c r="AS116" s="151"/>
      <c r="AT116" s="151"/>
      <c r="AU116" s="151"/>
      <c r="AV116" s="151"/>
      <c r="AW116" s="151"/>
      <c r="AX116" s="151"/>
      <c r="AY116" s="151"/>
      <c r="AZ116" s="151"/>
      <c r="BA116" s="151"/>
      <c r="BB116" s="151"/>
      <c r="BC116" s="151"/>
      <c r="BD116" s="151"/>
      <c r="BE116" s="151"/>
      <c r="BF116" s="151"/>
      <c r="BG116" s="151"/>
      <c r="BH116" s="151"/>
      <c r="BI116" s="151"/>
      <c r="BJ116" s="151"/>
      <c r="BK116" s="151"/>
      <c r="BL116" s="151"/>
      <c r="BP116" s="1"/>
      <c r="BQ116" s="1"/>
      <c r="BR116" s="1"/>
    </row>
    <row r="117" spans="15:87" ht="17.25">
      <c r="O117" s="30">
        <v>114</v>
      </c>
      <c r="P117" s="30" t="s">
        <v>645</v>
      </c>
      <c r="U117" s="154"/>
      <c r="V117" s="158"/>
      <c r="W117" s="153"/>
      <c r="X117" s="153"/>
      <c r="Y117" s="153"/>
      <c r="Z117" s="153"/>
      <c r="AA117" s="153"/>
      <c r="AB117" t="s">
        <v>5761</v>
      </c>
      <c r="AC117" t="s">
        <v>5863</v>
      </c>
      <c r="AD117" s="151"/>
      <c r="AE117" s="151"/>
      <c r="AF117" s="151"/>
      <c r="AG117" s="151"/>
      <c r="AH117" s="151"/>
      <c r="AI117" s="151"/>
      <c r="AJ117" s="151"/>
      <c r="AK117" s="151"/>
      <c r="AL117" s="151"/>
      <c r="AM117" s="151"/>
      <c r="AN117" s="151"/>
      <c r="AO117" s="151"/>
      <c r="AP117" s="151"/>
      <c r="AQ117" s="151"/>
      <c r="AR117" s="151"/>
      <c r="AS117" s="151"/>
      <c r="AT117" s="151"/>
      <c r="AU117" s="151"/>
      <c r="AV117" s="151"/>
      <c r="AW117" s="151"/>
      <c r="AX117" s="151"/>
      <c r="AY117" s="151"/>
      <c r="AZ117" s="151"/>
      <c r="BA117" s="151"/>
      <c r="BB117" s="151"/>
      <c r="BC117" s="151"/>
      <c r="BD117" s="151"/>
      <c r="BE117" s="151"/>
      <c r="BF117" s="151"/>
      <c r="BG117" s="151"/>
      <c r="BH117" s="151"/>
      <c r="BI117" s="151"/>
      <c r="BJ117" s="151"/>
      <c r="BK117" s="151"/>
      <c r="BL117" s="151"/>
      <c r="BP117" s="1"/>
      <c r="BQ117" s="1"/>
      <c r="BR117" s="1"/>
    </row>
    <row r="118" spans="15:87" ht="17.25">
      <c r="O118" s="30">
        <v>115</v>
      </c>
      <c r="P118" s="30" t="s">
        <v>646</v>
      </c>
      <c r="U118" s="3970" t="s">
        <v>5862</v>
      </c>
      <c r="V118" s="2707"/>
      <c r="W118" s="153"/>
      <c r="X118" s="153"/>
      <c r="Y118" s="153"/>
      <c r="Z118" s="153"/>
      <c r="AA118" s="153"/>
      <c r="AB118" t="s">
        <v>5767</v>
      </c>
      <c r="AC118" t="s">
        <v>5861</v>
      </c>
      <c r="AD118" s="151"/>
      <c r="AE118" s="151"/>
      <c r="AF118" s="151"/>
      <c r="AG118" s="151"/>
      <c r="AH118" s="151"/>
      <c r="AI118" s="151"/>
      <c r="AJ118" s="151"/>
      <c r="AK118" s="151"/>
      <c r="AL118" s="151"/>
      <c r="AM118" s="151"/>
      <c r="AN118" s="151"/>
      <c r="AO118" s="151"/>
      <c r="AP118" s="151"/>
      <c r="AQ118" s="151"/>
      <c r="AR118" s="151"/>
      <c r="AS118" s="151"/>
      <c r="AT118" s="151"/>
      <c r="AU118" s="151"/>
      <c r="AV118" s="151"/>
      <c r="AW118" s="151"/>
      <c r="AX118" s="151"/>
      <c r="AY118" s="151"/>
      <c r="AZ118" s="151"/>
      <c r="BA118" s="151"/>
      <c r="BB118" s="151"/>
      <c r="BC118" s="151"/>
      <c r="BD118" s="151"/>
      <c r="BE118" s="151"/>
      <c r="BF118" s="151"/>
      <c r="BG118" s="151"/>
      <c r="BH118" s="151"/>
      <c r="BI118" s="151"/>
      <c r="BJ118" s="151"/>
      <c r="BK118" s="151"/>
      <c r="BL118" s="151"/>
      <c r="BP118" s="1"/>
      <c r="BQ118" s="1"/>
      <c r="BR118" s="1"/>
    </row>
    <row r="119" spans="15:87" ht="17.25">
      <c r="O119" s="30">
        <v>116</v>
      </c>
      <c r="P119" s="30" t="s">
        <v>25</v>
      </c>
      <c r="U119" s="2454" t="s">
        <v>5860</v>
      </c>
      <c r="V119" s="158" t="s">
        <v>5859</v>
      </c>
      <c r="W119" s="153"/>
      <c r="X119" s="153"/>
      <c r="Y119" s="153"/>
      <c r="Z119" s="153"/>
      <c r="AA119" s="153"/>
      <c r="AB119" t="s">
        <v>5766</v>
      </c>
      <c r="AC119" t="s">
        <v>5858</v>
      </c>
      <c r="AD119" s="151"/>
      <c r="AE119" s="151"/>
      <c r="AF119" s="151"/>
      <c r="AG119" s="151"/>
      <c r="AH119" s="151"/>
      <c r="AI119" s="151"/>
      <c r="AJ119" s="151"/>
      <c r="AK119" s="151"/>
      <c r="AL119" s="151"/>
      <c r="AM119" s="151"/>
      <c r="AN119" s="151"/>
      <c r="AO119" s="151"/>
      <c r="AP119" s="151"/>
      <c r="AQ119" s="151"/>
      <c r="AR119" s="151"/>
      <c r="AS119" s="151"/>
      <c r="AT119" s="151"/>
      <c r="AU119" s="151"/>
      <c r="AV119" s="151"/>
      <c r="AW119" s="151"/>
      <c r="AX119" s="151"/>
      <c r="AY119" s="151"/>
      <c r="AZ119" s="151"/>
      <c r="BA119" s="151"/>
      <c r="BB119" s="151"/>
      <c r="BC119" s="151"/>
      <c r="BD119" s="151"/>
      <c r="BE119" s="151"/>
      <c r="BF119" s="151"/>
      <c r="BG119" s="151"/>
      <c r="BH119" s="151"/>
      <c r="BI119" s="151"/>
      <c r="BJ119" s="151"/>
      <c r="BK119" s="151"/>
      <c r="BL119" s="151"/>
      <c r="BP119" s="1"/>
      <c r="BQ119" s="1"/>
      <c r="BR119" s="1"/>
    </row>
    <row r="120" spans="15:87" ht="17.25">
      <c r="O120" s="30">
        <v>117</v>
      </c>
      <c r="P120" s="30" t="s">
        <v>647</v>
      </c>
      <c r="U120" s="2454" t="s">
        <v>5857</v>
      </c>
      <c r="V120" s="153" t="s">
        <v>5856</v>
      </c>
      <c r="W120" s="153"/>
      <c r="X120" s="153"/>
      <c r="Y120" s="153"/>
      <c r="Z120" s="153"/>
      <c r="AA120" s="153"/>
      <c r="AB120" t="s">
        <v>5765</v>
      </c>
      <c r="AC120" t="s">
        <v>5855</v>
      </c>
      <c r="AD120" s="151"/>
      <c r="AE120" s="151"/>
      <c r="AF120" s="151"/>
      <c r="AG120" s="151"/>
      <c r="AH120" s="151"/>
      <c r="AI120" s="151"/>
      <c r="AJ120" s="151"/>
      <c r="AK120" s="151"/>
      <c r="AL120" s="151"/>
      <c r="AM120" s="151"/>
      <c r="AN120" s="151"/>
      <c r="AO120" s="151"/>
      <c r="AP120" s="151"/>
      <c r="AQ120" s="151"/>
      <c r="AR120" s="151"/>
      <c r="AS120" s="151"/>
      <c r="AT120" s="151"/>
      <c r="AU120" s="151"/>
      <c r="AV120" s="151"/>
      <c r="AW120" s="151"/>
      <c r="AX120" s="151"/>
      <c r="AY120" s="151"/>
      <c r="AZ120" s="151"/>
      <c r="BA120" s="151"/>
      <c r="BB120" s="151"/>
      <c r="BC120" s="151"/>
      <c r="BD120" s="151"/>
      <c r="BE120" s="151"/>
      <c r="BF120" s="151"/>
      <c r="BG120" s="151"/>
      <c r="BH120" s="151"/>
      <c r="BI120" s="151"/>
      <c r="BJ120" s="151"/>
      <c r="BK120" s="151"/>
      <c r="BL120" s="151"/>
      <c r="BM120" s="151"/>
      <c r="BN120" s="151"/>
    </row>
    <row r="121" spans="15:87" ht="17.25">
      <c r="O121" s="30">
        <v>118</v>
      </c>
      <c r="P121" s="30" t="s">
        <v>1693</v>
      </c>
      <c r="U121" s="2454" t="s">
        <v>5854</v>
      </c>
      <c r="V121" s="153" t="s">
        <v>5853</v>
      </c>
      <c r="W121" s="153"/>
      <c r="X121" s="153"/>
      <c r="Y121" s="153"/>
      <c r="Z121" s="153"/>
      <c r="AA121" s="153"/>
      <c r="AB121" t="s">
        <v>5764</v>
      </c>
      <c r="AC121" t="s">
        <v>5852</v>
      </c>
      <c r="AD121" s="151"/>
      <c r="AE121" s="151"/>
      <c r="AF121" s="151"/>
      <c r="AG121" s="151"/>
      <c r="AH121" s="151"/>
      <c r="AI121" s="151"/>
      <c r="AJ121" s="151"/>
      <c r="AK121" s="151"/>
      <c r="AL121" s="151"/>
      <c r="AM121" s="151"/>
      <c r="AN121" s="151"/>
      <c r="AO121" s="151"/>
      <c r="AP121" s="151"/>
      <c r="AQ121" s="151"/>
      <c r="AR121" s="151"/>
      <c r="AS121" s="151"/>
      <c r="AT121" s="151"/>
      <c r="AU121" s="151"/>
      <c r="AV121" s="151"/>
      <c r="AW121" s="151"/>
      <c r="AX121" s="151"/>
      <c r="AY121" s="151"/>
      <c r="AZ121" s="151"/>
      <c r="BA121" s="151"/>
      <c r="BB121" s="151"/>
      <c r="BC121" s="151"/>
      <c r="BD121" s="151"/>
      <c r="BE121" s="151"/>
      <c r="BF121" s="151"/>
      <c r="BG121" s="151"/>
      <c r="BH121" s="151"/>
      <c r="BI121" s="151"/>
      <c r="BJ121" s="151"/>
      <c r="BK121" s="151"/>
      <c r="BL121" s="151"/>
      <c r="BM121" s="151"/>
      <c r="BN121" s="151"/>
    </row>
    <row r="122" spans="15:87" ht="17.25">
      <c r="O122" s="30">
        <v>119</v>
      </c>
      <c r="P122" s="30" t="s">
        <v>648</v>
      </c>
      <c r="U122" s="2454" t="s">
        <v>5851</v>
      </c>
      <c r="V122" s="153" t="s">
        <v>5850</v>
      </c>
      <c r="W122" s="153"/>
      <c r="X122" s="153"/>
      <c r="Y122" s="153"/>
      <c r="Z122" s="153"/>
      <c r="AA122" s="153"/>
      <c r="AB122" t="s">
        <v>5763</v>
      </c>
      <c r="AC122" t="s">
        <v>5849</v>
      </c>
      <c r="AD122" s="151"/>
      <c r="AE122" s="151"/>
      <c r="AF122" s="151"/>
      <c r="AG122" s="151"/>
      <c r="AH122" s="151"/>
      <c r="AI122" s="151"/>
      <c r="AJ122" s="151"/>
      <c r="AK122" s="151"/>
      <c r="AL122" s="151"/>
      <c r="AM122" s="151"/>
      <c r="AN122" s="151"/>
      <c r="AO122" s="151"/>
      <c r="AP122" s="151"/>
      <c r="AQ122" s="151"/>
      <c r="AR122" s="151"/>
      <c r="AS122" s="151"/>
      <c r="AT122" s="151"/>
      <c r="AU122" s="151"/>
      <c r="AV122" s="151"/>
      <c r="AW122" s="151"/>
      <c r="AX122" s="151"/>
      <c r="AY122" s="151"/>
      <c r="AZ122" s="151"/>
      <c r="BA122" s="151"/>
      <c r="BB122" s="151"/>
      <c r="BC122" s="151"/>
      <c r="BD122" s="151"/>
      <c r="BE122" s="151"/>
      <c r="BF122" s="151"/>
      <c r="BG122" s="151"/>
      <c r="BH122" s="151"/>
      <c r="BI122" s="151"/>
      <c r="BJ122" s="151"/>
      <c r="BK122" s="151"/>
      <c r="BL122" s="151"/>
      <c r="BM122" s="151"/>
      <c r="BN122" s="151"/>
    </row>
    <row r="123" spans="15:87" ht="17.25">
      <c r="O123" s="30">
        <v>120</v>
      </c>
      <c r="P123" s="30" t="s">
        <v>649</v>
      </c>
      <c r="U123" s="2454" t="s">
        <v>5848</v>
      </c>
      <c r="V123" s="158" t="s">
        <v>5847</v>
      </c>
      <c r="W123" s="153"/>
      <c r="X123" s="153"/>
      <c r="Y123" s="153"/>
      <c r="Z123" s="153"/>
      <c r="AA123" s="153"/>
      <c r="AB123" t="s">
        <v>5762</v>
      </c>
      <c r="AC123" t="s">
        <v>5846</v>
      </c>
      <c r="AD123" s="151"/>
      <c r="AE123" s="151"/>
      <c r="AF123" s="151"/>
      <c r="AG123" s="151"/>
      <c r="AH123" s="151"/>
      <c r="AI123" s="151"/>
      <c r="AJ123" s="151"/>
      <c r="AK123" s="151"/>
      <c r="AL123" s="151"/>
      <c r="AM123" s="151"/>
      <c r="AN123" s="151"/>
      <c r="AO123" s="151"/>
      <c r="AP123" s="151"/>
      <c r="AQ123" s="151"/>
      <c r="AR123" s="151"/>
      <c r="AS123" s="151"/>
      <c r="AT123" s="151"/>
      <c r="AU123" s="151"/>
      <c r="AV123" s="151"/>
      <c r="AW123" s="151"/>
      <c r="AX123" s="151"/>
      <c r="AY123" s="151"/>
      <c r="AZ123" s="151"/>
      <c r="BA123" s="151"/>
      <c r="BB123" s="151"/>
      <c r="BC123" s="151"/>
      <c r="BD123" s="151"/>
      <c r="BE123" s="151"/>
      <c r="BF123" s="151"/>
      <c r="BG123" s="151"/>
      <c r="BH123" s="151"/>
      <c r="BI123" s="151"/>
      <c r="BJ123" s="151"/>
      <c r="BK123" s="151"/>
      <c r="BL123" s="151"/>
      <c r="BM123" s="151"/>
      <c r="BN123" s="151"/>
    </row>
    <row r="124" spans="15:87" ht="17.25">
      <c r="O124" s="30">
        <v>121</v>
      </c>
      <c r="P124" s="30" t="s">
        <v>1719</v>
      </c>
      <c r="U124" s="2454" t="s">
        <v>5845</v>
      </c>
      <c r="V124" s="153" t="s">
        <v>5844</v>
      </c>
      <c r="W124" s="153"/>
      <c r="X124" s="153"/>
      <c r="Y124" s="153"/>
      <c r="Z124" s="153"/>
      <c r="AA124" s="153"/>
      <c r="AB124" t="s">
        <v>5761</v>
      </c>
      <c r="AD124" s="151"/>
      <c r="AE124" s="151"/>
      <c r="AF124" s="151"/>
      <c r="AG124" s="151"/>
      <c r="AH124" s="151"/>
      <c r="AI124" s="151"/>
      <c r="AJ124" s="151"/>
      <c r="AK124" s="151"/>
      <c r="AL124" s="151"/>
      <c r="AM124" s="151"/>
      <c r="AN124" s="151"/>
      <c r="AO124" s="151"/>
      <c r="AP124" s="151"/>
      <c r="AQ124" s="151"/>
      <c r="AR124" s="151"/>
      <c r="AS124" s="151"/>
      <c r="AT124" s="151"/>
      <c r="AU124" s="151"/>
      <c r="AV124" s="151"/>
      <c r="AW124" s="151"/>
      <c r="AX124" s="151"/>
      <c r="AY124" s="151"/>
      <c r="AZ124" s="151"/>
      <c r="BA124" s="151"/>
      <c r="BB124" s="151"/>
      <c r="BC124" s="151"/>
      <c r="BD124" s="151"/>
      <c r="BE124" s="151"/>
      <c r="BF124" s="151"/>
      <c r="BG124" s="151"/>
      <c r="BH124" s="151"/>
      <c r="BI124" s="151"/>
      <c r="BJ124" s="151"/>
      <c r="BK124" s="151"/>
      <c r="BL124" s="151"/>
      <c r="BM124" s="151"/>
      <c r="BN124" s="151"/>
      <c r="CE124" t="s">
        <v>5963</v>
      </c>
      <c r="CF124" t="s">
        <v>5918</v>
      </c>
      <c r="CG124" t="s">
        <v>5962</v>
      </c>
      <c r="CH124" t="s">
        <v>5961</v>
      </c>
      <c r="CI124" t="s">
        <v>5929</v>
      </c>
    </row>
    <row r="125" spans="15:87" ht="17.25">
      <c r="O125" s="30">
        <v>122</v>
      </c>
      <c r="P125" s="30" t="s">
        <v>1694</v>
      </c>
      <c r="U125" s="154"/>
      <c r="V125" s="153"/>
      <c r="W125" s="153"/>
      <c r="X125" s="153"/>
      <c r="Y125" s="153"/>
      <c r="Z125" s="153"/>
      <c r="AA125" s="153"/>
      <c r="AB125" t="s">
        <v>5760</v>
      </c>
      <c r="AD125" s="151"/>
      <c r="AE125" s="151"/>
      <c r="AF125" s="151"/>
      <c r="AG125" s="151"/>
      <c r="AH125" s="151"/>
      <c r="AI125" s="151"/>
      <c r="AJ125" s="151"/>
      <c r="AK125" s="151"/>
      <c r="AL125" s="151"/>
      <c r="AM125" s="151"/>
      <c r="AN125" s="151"/>
      <c r="AO125" s="151"/>
      <c r="AP125" s="151"/>
      <c r="AQ125" s="151"/>
      <c r="AR125" s="151"/>
      <c r="AS125" s="151"/>
      <c r="AT125" s="151"/>
      <c r="AU125" s="151"/>
      <c r="AV125" s="151"/>
      <c r="AW125" s="151"/>
      <c r="AX125" s="151"/>
      <c r="AY125" s="151"/>
      <c r="AZ125" s="151"/>
      <c r="BA125" s="151"/>
      <c r="BB125" s="151"/>
      <c r="BC125" s="151"/>
      <c r="BD125" s="151"/>
      <c r="BE125" s="151"/>
      <c r="BF125" s="151"/>
      <c r="BG125" s="151"/>
      <c r="BH125" s="151"/>
      <c r="BI125" s="151"/>
      <c r="BJ125" s="151"/>
      <c r="BK125" s="151"/>
      <c r="BL125" s="151"/>
      <c r="BM125" s="266"/>
      <c r="BN125" s="266"/>
      <c r="BO125" s="266"/>
      <c r="BP125" s="266"/>
      <c r="BQ125" s="266"/>
      <c r="BR125" s="266"/>
      <c r="BS125" s="266"/>
      <c r="BT125" s="266"/>
      <c r="BU125" s="266"/>
      <c r="BV125" s="266"/>
      <c r="CE125" t="s">
        <v>5960</v>
      </c>
      <c r="CF125" t="s">
        <v>5959</v>
      </c>
      <c r="CG125" t="s">
        <v>5958</v>
      </c>
      <c r="CH125" t="s">
        <v>5957</v>
      </c>
      <c r="CI125" t="s">
        <v>5956</v>
      </c>
    </row>
    <row r="126" spans="15:87" ht="17.25">
      <c r="O126" s="30">
        <v>123</v>
      </c>
      <c r="P126" s="30" t="s">
        <v>650</v>
      </c>
      <c r="U126" s="3970" t="s">
        <v>5843</v>
      </c>
      <c r="V126" s="2707"/>
      <c r="W126" s="153"/>
      <c r="X126" s="153"/>
      <c r="Y126" s="153"/>
      <c r="Z126" s="153"/>
      <c r="AA126" s="153"/>
      <c r="AB126" t="s">
        <v>5759</v>
      </c>
      <c r="AD126" s="151"/>
      <c r="AE126" s="151"/>
      <c r="AF126" s="151"/>
      <c r="AG126" s="151"/>
      <c r="AH126" s="151"/>
      <c r="AI126" s="151"/>
      <c r="AJ126" s="151"/>
      <c r="AK126" s="151"/>
      <c r="AL126" s="151"/>
      <c r="AM126" s="151"/>
      <c r="AN126" s="151"/>
      <c r="AO126" s="151"/>
      <c r="AP126" s="151"/>
      <c r="AQ126" s="151"/>
      <c r="AR126" s="151"/>
      <c r="AS126" s="151"/>
      <c r="AT126" s="151"/>
      <c r="AU126" s="151"/>
      <c r="AV126" s="151"/>
      <c r="AW126" s="151"/>
      <c r="AX126" s="151"/>
      <c r="AY126" s="151"/>
      <c r="AZ126" s="151"/>
      <c r="BA126" s="151"/>
      <c r="BB126" s="151"/>
      <c r="BC126" s="151"/>
      <c r="BD126" s="151"/>
      <c r="BE126" s="151"/>
      <c r="BF126" s="151"/>
      <c r="BG126" s="151"/>
      <c r="BH126" s="151"/>
      <c r="BI126" s="151"/>
      <c r="BJ126" s="151"/>
      <c r="BK126" s="151"/>
      <c r="BL126" s="151"/>
      <c r="BM126" s="267" t="s">
        <v>5936</v>
      </c>
      <c r="BN126" s="267" t="s">
        <v>5935</v>
      </c>
      <c r="BO126" s="267" t="s">
        <v>5934</v>
      </c>
      <c r="BP126" s="267" t="s">
        <v>5933</v>
      </c>
      <c r="BQ126" s="267" t="s">
        <v>5932</v>
      </c>
      <c r="BR126" s="267" t="s">
        <v>5931</v>
      </c>
      <c r="BS126" s="266"/>
      <c r="BT126" s="267" t="s">
        <v>5972</v>
      </c>
      <c r="BU126" s="267" t="s">
        <v>5891</v>
      </c>
      <c r="BV126" s="266"/>
      <c r="CE126" t="s">
        <v>5955</v>
      </c>
      <c r="CF126" t="s">
        <v>5954</v>
      </c>
      <c r="CG126" t="s">
        <v>5953</v>
      </c>
      <c r="CH126" t="s">
        <v>5952</v>
      </c>
      <c r="CI126" t="s">
        <v>5945</v>
      </c>
    </row>
    <row r="127" spans="15:87" ht="17.25">
      <c r="O127" s="30">
        <v>124</v>
      </c>
      <c r="P127" s="30" t="s">
        <v>651</v>
      </c>
      <c r="U127" s="2454" t="s">
        <v>5842</v>
      </c>
      <c r="V127" s="158" t="s">
        <v>5841</v>
      </c>
      <c r="W127" s="153"/>
      <c r="X127" s="153"/>
      <c r="Y127" s="153"/>
      <c r="Z127" s="153"/>
      <c r="AA127" s="153"/>
      <c r="AB127" t="s">
        <v>5758</v>
      </c>
      <c r="AD127" s="151"/>
      <c r="AE127" s="151"/>
      <c r="AF127" s="151"/>
      <c r="AG127" s="151"/>
      <c r="AH127" s="151"/>
      <c r="AI127" s="151"/>
      <c r="AJ127" s="151"/>
      <c r="AK127" s="151"/>
      <c r="AL127" s="151"/>
      <c r="AM127" s="151"/>
      <c r="AN127" s="151"/>
      <c r="AO127" s="151"/>
      <c r="AP127" s="151"/>
      <c r="AQ127" s="151"/>
      <c r="AR127" s="151"/>
      <c r="AS127" s="151"/>
      <c r="AT127" s="151"/>
      <c r="AU127" s="151"/>
      <c r="AV127" s="151"/>
      <c r="AW127" s="151"/>
      <c r="AX127" s="151"/>
      <c r="AY127" s="151"/>
      <c r="AZ127" s="151"/>
      <c r="BA127" s="151"/>
      <c r="BB127" s="151"/>
      <c r="BC127" s="151"/>
      <c r="BD127" s="151"/>
      <c r="BE127" s="151"/>
      <c r="BF127" s="151"/>
      <c r="BG127" s="151"/>
      <c r="BH127" s="151"/>
      <c r="BI127" s="151"/>
      <c r="BJ127" s="151"/>
      <c r="BK127" s="151"/>
      <c r="BL127" s="151"/>
      <c r="BM127" s="267" t="s">
        <v>5930</v>
      </c>
      <c r="BN127" s="270">
        <v>1</v>
      </c>
      <c r="BO127" s="270">
        <v>1</v>
      </c>
      <c r="BP127" s="270">
        <v>0.75</v>
      </c>
      <c r="BQ127" s="268">
        <v>14</v>
      </c>
      <c r="BR127" s="268">
        <v>16</v>
      </c>
      <c r="BS127" s="266"/>
      <c r="BT127" s="267" t="s">
        <v>5906</v>
      </c>
      <c r="BU127" s="267" t="s">
        <v>11</v>
      </c>
      <c r="BV127" s="266"/>
      <c r="CG127" t="s">
        <v>5951</v>
      </c>
      <c r="CH127" t="s">
        <v>5950</v>
      </c>
    </row>
    <row r="128" spans="15:87" ht="17.25">
      <c r="O128" s="30">
        <v>125</v>
      </c>
      <c r="P128" s="30" t="s">
        <v>652</v>
      </c>
      <c r="U128" s="2454" t="s">
        <v>5840</v>
      </c>
      <c r="V128" s="158" t="s">
        <v>5839</v>
      </c>
      <c r="W128" s="153"/>
      <c r="X128" s="153"/>
      <c r="Y128" s="153"/>
      <c r="Z128" s="153"/>
      <c r="AA128" s="153"/>
      <c r="AB128" t="s">
        <v>5757</v>
      </c>
      <c r="AD128" s="151"/>
      <c r="AE128" s="151"/>
      <c r="AF128" s="151"/>
      <c r="AG128" s="151"/>
      <c r="AH128" s="151"/>
      <c r="AI128" s="151"/>
      <c r="AJ128" s="151"/>
      <c r="AK128" s="151"/>
      <c r="AL128" s="151"/>
      <c r="AM128" s="151"/>
      <c r="AN128" s="151"/>
      <c r="AO128" s="151"/>
      <c r="AP128" s="151"/>
      <c r="AQ128" s="151"/>
      <c r="AR128" s="151"/>
      <c r="AS128" s="151"/>
      <c r="AT128" s="151"/>
      <c r="AU128" s="151"/>
      <c r="AV128" s="151"/>
      <c r="AW128" s="151"/>
      <c r="AX128" s="151"/>
      <c r="AY128" s="151"/>
      <c r="AZ128" s="151"/>
      <c r="BA128" s="151"/>
      <c r="BB128" s="151"/>
      <c r="BC128" s="151"/>
      <c r="BD128" s="151"/>
      <c r="BE128" s="151"/>
      <c r="BF128" s="151"/>
      <c r="BG128" s="151"/>
      <c r="BH128" s="151"/>
      <c r="BI128" s="151"/>
      <c r="BJ128" s="151"/>
      <c r="BK128" s="151"/>
      <c r="BL128" s="151"/>
      <c r="BM128" s="267" t="s">
        <v>5929</v>
      </c>
      <c r="BN128" s="270">
        <v>1</v>
      </c>
      <c r="BO128" s="270">
        <v>0.5</v>
      </c>
      <c r="BP128" s="270">
        <v>0.5</v>
      </c>
      <c r="BQ128" s="268">
        <v>12</v>
      </c>
      <c r="BR128" s="268">
        <v>20</v>
      </c>
      <c r="BS128" s="266"/>
      <c r="BT128" s="267" t="s">
        <v>3862</v>
      </c>
      <c r="BU128" s="267" t="s">
        <v>5887</v>
      </c>
      <c r="BV128" s="266"/>
      <c r="CE128" t="s">
        <v>5949</v>
      </c>
      <c r="CF128" t="s">
        <v>5948</v>
      </c>
      <c r="CG128" t="s">
        <v>5947</v>
      </c>
      <c r="CH128" t="s">
        <v>5946</v>
      </c>
      <c r="CI128" t="s">
        <v>5945</v>
      </c>
    </row>
    <row r="129" spans="15:87" ht="17.25">
      <c r="O129" s="30">
        <v>126</v>
      </c>
      <c r="P129" s="30" t="s">
        <v>653</v>
      </c>
      <c r="U129" s="2454" t="s">
        <v>5838</v>
      </c>
      <c r="V129" s="158" t="s">
        <v>5837</v>
      </c>
      <c r="W129" s="153"/>
      <c r="X129" s="153"/>
      <c r="Y129" s="153"/>
      <c r="Z129" s="153"/>
      <c r="AA129" s="153"/>
      <c r="AB129" s="153"/>
      <c r="AC129" s="153"/>
      <c r="AD129" s="151"/>
      <c r="AE129" s="151"/>
      <c r="AF129" s="151"/>
      <c r="AG129" s="151"/>
      <c r="AH129" s="151"/>
      <c r="AI129" s="151"/>
      <c r="AJ129" s="151"/>
      <c r="AK129" s="151"/>
      <c r="AL129" s="151"/>
      <c r="AM129" s="151"/>
      <c r="AN129" s="151"/>
      <c r="AO129" s="151"/>
      <c r="AP129" s="151"/>
      <c r="AQ129" s="151"/>
      <c r="AR129" s="151"/>
      <c r="AS129" s="151"/>
      <c r="AT129" s="151"/>
      <c r="AU129" s="151"/>
      <c r="AV129" s="151"/>
      <c r="AW129" s="151"/>
      <c r="AX129" s="151"/>
      <c r="AY129" s="151"/>
      <c r="AZ129" s="151"/>
      <c r="BA129" s="151"/>
      <c r="BB129" s="151"/>
      <c r="BC129" s="151"/>
      <c r="BD129" s="151"/>
      <c r="BE129" s="151"/>
      <c r="BF129" s="151"/>
      <c r="BG129" s="151"/>
      <c r="BH129" s="151"/>
      <c r="BI129" s="151"/>
      <c r="BJ129" s="151"/>
      <c r="BK129" s="151"/>
      <c r="BL129" s="151"/>
      <c r="BM129" s="267" t="s">
        <v>5928</v>
      </c>
      <c r="BN129" s="270">
        <v>1</v>
      </c>
      <c r="BO129" s="270">
        <v>1</v>
      </c>
      <c r="BP129" s="270">
        <v>0.5</v>
      </c>
      <c r="BQ129" s="268">
        <v>14</v>
      </c>
      <c r="BR129" s="268">
        <v>14</v>
      </c>
      <c r="BS129" s="266"/>
      <c r="BT129" s="267" t="s">
        <v>5905</v>
      </c>
      <c r="BU129" s="267" t="s">
        <v>5886</v>
      </c>
      <c r="BV129" s="266"/>
      <c r="CE129" t="s">
        <v>5944</v>
      </c>
      <c r="CF129" t="s">
        <v>5909</v>
      </c>
      <c r="CG129" t="s">
        <v>5943</v>
      </c>
      <c r="CH129" t="s">
        <v>5942</v>
      </c>
      <c r="CI129" t="s">
        <v>5941</v>
      </c>
    </row>
    <row r="130" spans="15:87" ht="17.25">
      <c r="O130" s="30">
        <v>127</v>
      </c>
      <c r="P130" s="30" t="s">
        <v>200</v>
      </c>
      <c r="U130" s="2454" t="s">
        <v>5836</v>
      </c>
      <c r="V130" s="158" t="s">
        <v>5835</v>
      </c>
      <c r="W130" s="153"/>
      <c r="X130" s="153"/>
      <c r="Y130" s="153"/>
      <c r="Z130" s="153"/>
      <c r="AA130" s="153"/>
      <c r="AB130" s="153"/>
      <c r="AC130" s="153"/>
      <c r="AD130" s="151"/>
      <c r="AE130" s="151"/>
      <c r="AF130" s="151"/>
      <c r="AG130" s="151"/>
      <c r="AH130" s="151"/>
      <c r="AI130" s="151"/>
      <c r="AJ130" s="151"/>
      <c r="AK130" s="151"/>
      <c r="AL130" s="151"/>
      <c r="AM130" s="151"/>
      <c r="AN130" s="151"/>
      <c r="AO130" s="151"/>
      <c r="AP130" s="151"/>
      <c r="AQ130" s="151"/>
      <c r="AR130" s="151"/>
      <c r="AS130" s="151"/>
      <c r="AT130" s="151"/>
      <c r="AU130" s="151"/>
      <c r="AV130" s="151"/>
      <c r="AW130" s="151"/>
      <c r="AX130" s="151"/>
      <c r="AY130" s="151"/>
      <c r="AZ130" s="151"/>
      <c r="BA130" s="151"/>
      <c r="BB130" s="151"/>
      <c r="BC130" s="151"/>
      <c r="BD130" s="151"/>
      <c r="BE130" s="151"/>
      <c r="BF130" s="151"/>
      <c r="BG130" s="151"/>
      <c r="BH130" s="151"/>
      <c r="BI130" s="151"/>
      <c r="BJ130" s="151"/>
      <c r="BK130" s="151"/>
      <c r="BL130" s="151"/>
      <c r="BM130" s="267" t="s">
        <v>5927</v>
      </c>
      <c r="BN130" s="270">
        <v>1</v>
      </c>
      <c r="BO130" s="270">
        <v>1</v>
      </c>
      <c r="BP130" s="270">
        <v>0.5</v>
      </c>
      <c r="BQ130" s="268">
        <v>16</v>
      </c>
      <c r="BR130" s="268">
        <v>14</v>
      </c>
      <c r="BS130" s="266"/>
      <c r="BT130" s="267" t="s">
        <v>5904</v>
      </c>
      <c r="BU130" s="267" t="s">
        <v>5885</v>
      </c>
      <c r="BV130" s="266"/>
      <c r="CE130">
        <v>100</v>
      </c>
      <c r="CF130" t="s">
        <v>5940</v>
      </c>
      <c r="CG130" t="s">
        <v>5939</v>
      </c>
      <c r="CH130" t="s">
        <v>5938</v>
      </c>
      <c r="CI130" t="s">
        <v>5937</v>
      </c>
    </row>
    <row r="131" spans="15:87" ht="17.25">
      <c r="O131" s="30">
        <v>128</v>
      </c>
      <c r="P131" s="30" t="s">
        <v>1695</v>
      </c>
      <c r="U131" s="2454" t="s">
        <v>5834</v>
      </c>
      <c r="V131" s="158" t="s">
        <v>5833</v>
      </c>
      <c r="W131" s="153"/>
      <c r="X131" s="153"/>
      <c r="Y131" s="153"/>
      <c r="Z131" s="153"/>
      <c r="AA131" s="153"/>
      <c r="AB131" s="153"/>
      <c r="AC131" s="153"/>
      <c r="AD131" s="151"/>
      <c r="AE131" s="151"/>
      <c r="AF131" s="151"/>
      <c r="AG131" s="151"/>
      <c r="AH131" s="151"/>
      <c r="AI131" s="151"/>
      <c r="AJ131" s="151"/>
      <c r="AK131" s="151"/>
      <c r="AL131" s="151"/>
      <c r="AM131" s="151"/>
      <c r="AN131" s="151"/>
      <c r="AO131" s="151"/>
      <c r="AP131" s="151"/>
      <c r="AQ131" s="151"/>
      <c r="AR131" s="151"/>
      <c r="AS131" s="151"/>
      <c r="AT131" s="151"/>
      <c r="AU131" s="151"/>
      <c r="AV131" s="151"/>
      <c r="AW131" s="151"/>
      <c r="AX131" s="151"/>
      <c r="AY131" s="151"/>
      <c r="AZ131" s="151"/>
      <c r="BA131" s="151"/>
      <c r="BB131" s="151"/>
      <c r="BC131" s="151"/>
      <c r="BD131" s="151"/>
      <c r="BE131" s="151"/>
      <c r="BF131" s="151"/>
      <c r="BG131" s="151"/>
      <c r="BH131" s="151"/>
      <c r="BI131" s="151"/>
      <c r="BJ131" s="151"/>
      <c r="BK131" s="151"/>
      <c r="BL131" s="151"/>
      <c r="BM131" s="267" t="s">
        <v>5926</v>
      </c>
      <c r="BN131" s="270">
        <v>1</v>
      </c>
      <c r="BO131" s="270">
        <v>1</v>
      </c>
      <c r="BP131" s="270">
        <v>0.5</v>
      </c>
      <c r="BQ131" s="268">
        <v>18</v>
      </c>
      <c r="BR131" s="268">
        <v>14</v>
      </c>
      <c r="BS131" s="266"/>
      <c r="BT131" s="267" t="s">
        <v>5903</v>
      </c>
      <c r="BU131" s="267" t="s">
        <v>5884</v>
      </c>
      <c r="BV131" s="266"/>
    </row>
    <row r="132" spans="15:87" ht="17.25">
      <c r="O132" s="30">
        <v>129</v>
      </c>
      <c r="P132" s="30" t="s">
        <v>654</v>
      </c>
      <c r="U132" s="2454" t="s">
        <v>5832</v>
      </c>
      <c r="V132" s="158" t="s">
        <v>5831</v>
      </c>
      <c r="W132" s="153"/>
      <c r="X132" s="153"/>
      <c r="Y132" s="153"/>
      <c r="Z132" s="153"/>
      <c r="AA132" s="153"/>
      <c r="AB132" s="153"/>
      <c r="AC132" s="153"/>
      <c r="AD132" s="151"/>
      <c r="AE132" s="151"/>
      <c r="AF132" s="151"/>
      <c r="AG132" s="151"/>
      <c r="AH132" s="151"/>
      <c r="AI132" s="151"/>
      <c r="AJ132" s="151"/>
      <c r="AK132" s="151"/>
      <c r="AL132" s="151"/>
      <c r="AM132" s="151"/>
      <c r="AN132" s="151"/>
      <c r="AO132" s="151"/>
      <c r="AP132" s="151"/>
      <c r="AQ132" s="151"/>
      <c r="AR132" s="151"/>
      <c r="AS132" s="151"/>
      <c r="AT132" s="151"/>
      <c r="AU132" s="151"/>
      <c r="AV132" s="151"/>
      <c r="AW132" s="151"/>
      <c r="AX132" s="151"/>
      <c r="AY132" s="151"/>
      <c r="AZ132" s="151"/>
      <c r="BA132" s="151"/>
      <c r="BB132" s="151"/>
      <c r="BC132" s="151"/>
      <c r="BD132" s="151"/>
      <c r="BE132" s="151"/>
      <c r="BF132" s="151"/>
      <c r="BG132" s="151"/>
      <c r="BH132" s="151"/>
      <c r="BI132" s="151"/>
      <c r="BJ132" s="151"/>
      <c r="BK132" s="151"/>
      <c r="BL132" s="151"/>
      <c r="BM132" s="267" t="s">
        <v>5925</v>
      </c>
      <c r="BN132" s="270">
        <v>1</v>
      </c>
      <c r="BO132" s="270">
        <v>0.75</v>
      </c>
      <c r="BP132" s="270">
        <v>0.5</v>
      </c>
      <c r="BQ132" s="268">
        <v>14</v>
      </c>
      <c r="BR132" s="268">
        <v>12</v>
      </c>
      <c r="BS132" s="266"/>
      <c r="BT132" s="267" t="s">
        <v>5902</v>
      </c>
      <c r="BU132" s="266"/>
      <c r="BV132" s="266"/>
    </row>
    <row r="133" spans="15:87" ht="17.25">
      <c r="O133" s="30">
        <v>130</v>
      </c>
      <c r="P133" s="30" t="s">
        <v>655</v>
      </c>
      <c r="U133" s="154"/>
      <c r="V133" s="153"/>
      <c r="W133" s="153"/>
      <c r="X133" s="153"/>
      <c r="Y133" s="153"/>
      <c r="Z133" s="153"/>
      <c r="AA133" s="153"/>
      <c r="AB133" s="153"/>
      <c r="AC133" s="153"/>
      <c r="AD133" s="151"/>
      <c r="AE133" s="151"/>
      <c r="AF133" s="151"/>
      <c r="AG133" s="151"/>
      <c r="AH133" s="151"/>
      <c r="AI133" s="151"/>
      <c r="AJ133" s="151"/>
      <c r="AK133" s="151"/>
      <c r="AL133" s="151"/>
      <c r="AM133" s="151"/>
      <c r="AN133" s="151"/>
      <c r="AO133" s="151"/>
      <c r="AP133" s="151"/>
      <c r="AQ133" s="151"/>
      <c r="AR133" s="151"/>
      <c r="AS133" s="151"/>
      <c r="AT133" s="151"/>
      <c r="AU133" s="151"/>
      <c r="AV133" s="151"/>
      <c r="AW133" s="151"/>
      <c r="AX133" s="151"/>
      <c r="AY133" s="151"/>
      <c r="AZ133" s="151"/>
      <c r="BA133" s="151"/>
      <c r="BB133" s="151"/>
      <c r="BC133" s="151"/>
      <c r="BD133" s="151"/>
      <c r="BE133" s="151"/>
      <c r="BF133" s="151"/>
      <c r="BG133" s="151"/>
      <c r="BH133" s="151"/>
      <c r="BI133" s="151"/>
      <c r="BJ133" s="151"/>
      <c r="BK133" s="151"/>
      <c r="BL133" s="151"/>
      <c r="BM133" s="267" t="s">
        <v>5924</v>
      </c>
      <c r="BN133" s="270">
        <v>1</v>
      </c>
      <c r="BO133" s="270">
        <v>0.75</v>
      </c>
      <c r="BP133" s="270">
        <v>0.25</v>
      </c>
      <c r="BQ133" s="268">
        <v>16</v>
      </c>
      <c r="BR133" s="268">
        <v>14</v>
      </c>
      <c r="BS133" s="266"/>
      <c r="BT133" s="267" t="s">
        <v>5901</v>
      </c>
      <c r="BU133" s="266"/>
      <c r="BV133" s="266"/>
    </row>
    <row r="134" spans="15:87" ht="17.25">
      <c r="O134" s="30">
        <v>131</v>
      </c>
      <c r="P134" s="30" t="s">
        <v>656</v>
      </c>
      <c r="U134" s="3971" t="s">
        <v>5830</v>
      </c>
      <c r="V134" s="3756"/>
      <c r="W134" s="153"/>
      <c r="X134" s="153"/>
      <c r="Y134" s="153"/>
      <c r="Z134" s="153"/>
      <c r="AA134" s="153"/>
      <c r="AB134" s="153"/>
      <c r="AC134" s="153"/>
      <c r="AD134" s="151"/>
      <c r="AE134" s="151"/>
      <c r="AF134" s="151"/>
      <c r="AG134" s="151"/>
      <c r="AH134" s="151"/>
      <c r="AI134" s="151"/>
      <c r="AJ134" s="151"/>
      <c r="AK134" s="151"/>
      <c r="AL134" s="151"/>
      <c r="AM134" s="151"/>
      <c r="AN134" s="151"/>
      <c r="AO134" s="151"/>
      <c r="AP134" s="151"/>
      <c r="AQ134" s="151"/>
      <c r="AR134" s="151"/>
      <c r="AS134" s="151"/>
      <c r="AT134" s="151"/>
      <c r="AU134" s="151"/>
      <c r="AV134" s="151"/>
      <c r="AW134" s="151"/>
      <c r="AX134" s="151"/>
      <c r="AY134" s="151"/>
      <c r="AZ134" s="151"/>
      <c r="BA134" s="151"/>
      <c r="BB134" s="151"/>
      <c r="BC134" s="151"/>
      <c r="BD134" s="151"/>
      <c r="BE134" s="151"/>
      <c r="BF134" s="151"/>
      <c r="BG134" s="151"/>
      <c r="BH134" s="151"/>
      <c r="BI134" s="151"/>
      <c r="BJ134" s="151"/>
      <c r="BK134" s="151"/>
      <c r="BL134" s="151"/>
      <c r="BM134" s="267" t="s">
        <v>5923</v>
      </c>
      <c r="BN134" s="270">
        <v>1</v>
      </c>
      <c r="BO134" s="270">
        <v>1</v>
      </c>
      <c r="BP134" s="270">
        <v>0.75</v>
      </c>
      <c r="BQ134" s="268">
        <v>14</v>
      </c>
      <c r="BR134" s="268">
        <v>16</v>
      </c>
      <c r="BS134" s="266"/>
      <c r="BT134" s="267" t="s">
        <v>5900</v>
      </c>
      <c r="BU134" s="266"/>
      <c r="BV134" s="266"/>
    </row>
    <row r="135" spans="15:87" ht="17.25">
      <c r="O135" s="30">
        <v>132</v>
      </c>
      <c r="P135" s="30" t="s">
        <v>1696</v>
      </c>
      <c r="U135" s="157" t="s">
        <v>5829</v>
      </c>
      <c r="V135" s="157" t="s">
        <v>2240</v>
      </c>
      <c r="W135" s="153"/>
      <c r="X135" s="153"/>
      <c r="Y135" s="153"/>
      <c r="Z135" s="153"/>
      <c r="AA135" s="153"/>
      <c r="AB135" s="153"/>
      <c r="AC135" s="153"/>
      <c r="AD135" s="151"/>
      <c r="AE135" s="151"/>
      <c r="AF135" s="151"/>
      <c r="AG135" s="151"/>
      <c r="AH135" s="151"/>
      <c r="AI135" s="151"/>
      <c r="AJ135" s="151"/>
      <c r="AK135" s="151"/>
      <c r="AL135" s="151"/>
      <c r="AM135" s="151"/>
      <c r="AN135" s="151"/>
      <c r="AO135" s="151"/>
      <c r="AP135" s="151"/>
      <c r="AQ135" s="151"/>
      <c r="AR135" s="151"/>
      <c r="AS135" s="151"/>
      <c r="AT135" s="151"/>
      <c r="AU135" s="151"/>
      <c r="AV135" s="151"/>
      <c r="AW135" s="151"/>
      <c r="AX135" s="151"/>
      <c r="AY135" s="151"/>
      <c r="AZ135" s="151"/>
      <c r="BA135" s="151"/>
      <c r="BB135" s="151"/>
      <c r="BC135" s="151"/>
      <c r="BD135" s="151"/>
      <c r="BE135" s="151"/>
      <c r="BF135" s="151"/>
      <c r="BG135" s="151"/>
      <c r="BH135" s="151"/>
      <c r="BI135" s="151"/>
      <c r="BJ135" s="151"/>
      <c r="BK135" s="151"/>
      <c r="BL135" s="151"/>
      <c r="BM135" s="267" t="s">
        <v>5922</v>
      </c>
      <c r="BN135" s="270">
        <v>0.75</v>
      </c>
      <c r="BO135" s="270">
        <v>0.75</v>
      </c>
      <c r="BP135" s="270">
        <v>0.5</v>
      </c>
      <c r="BQ135" s="268">
        <v>16</v>
      </c>
      <c r="BR135" s="268">
        <v>18</v>
      </c>
      <c r="BS135" s="266"/>
      <c r="BT135" s="267" t="s">
        <v>5899</v>
      </c>
      <c r="BU135" s="266"/>
      <c r="BV135" s="266"/>
    </row>
    <row r="136" spans="15:87" ht="17.25">
      <c r="O136" s="30">
        <v>133</v>
      </c>
      <c r="P136" s="30" t="s">
        <v>657</v>
      </c>
      <c r="U136" s="156">
        <v>1</v>
      </c>
      <c r="V136" s="156">
        <f t="shared" ref="V136:V165" si="0">INT(U136/2)-5</f>
        <v>-5</v>
      </c>
      <c r="W136" s="153"/>
      <c r="X136" s="153"/>
      <c r="Y136" s="153"/>
      <c r="Z136" s="153"/>
      <c r="AA136" s="153"/>
      <c r="AB136" s="153"/>
      <c r="AC136" s="153"/>
      <c r="AD136" s="151"/>
      <c r="AE136" s="151"/>
      <c r="AF136" s="151"/>
      <c r="AG136" s="151"/>
      <c r="AH136" s="151"/>
      <c r="AI136" s="151"/>
      <c r="AJ136" s="151"/>
      <c r="AK136" s="151"/>
      <c r="AL136" s="151"/>
      <c r="AM136" s="151"/>
      <c r="AN136" s="151"/>
      <c r="AO136" s="151"/>
      <c r="AP136" s="151"/>
      <c r="AQ136" s="151"/>
      <c r="AR136" s="151"/>
      <c r="AS136" s="151"/>
      <c r="AT136" s="151"/>
      <c r="AU136" s="151"/>
      <c r="AV136" s="151"/>
      <c r="AW136" s="151"/>
      <c r="AX136" s="151"/>
      <c r="AY136" s="151"/>
      <c r="AZ136" s="151"/>
      <c r="BA136" s="151"/>
      <c r="BB136" s="151"/>
      <c r="BC136" s="151"/>
      <c r="BD136" s="151"/>
      <c r="BE136" s="151"/>
      <c r="BF136" s="151"/>
      <c r="BG136" s="151"/>
      <c r="BH136" s="151"/>
      <c r="BI136" s="151"/>
      <c r="BJ136" s="151"/>
      <c r="BK136" s="151"/>
      <c r="BL136" s="151"/>
      <c r="BM136" s="267" t="s">
        <v>5921</v>
      </c>
      <c r="BN136" s="270">
        <v>1</v>
      </c>
      <c r="BO136" s="270">
        <v>1</v>
      </c>
      <c r="BP136" s="270">
        <v>0.75</v>
      </c>
      <c r="BQ136" s="268">
        <v>12</v>
      </c>
      <c r="BR136" s="268">
        <v>12</v>
      </c>
      <c r="BS136" s="266"/>
      <c r="BT136" s="267" t="s">
        <v>5898</v>
      </c>
      <c r="BU136" s="266"/>
      <c r="BV136" s="266"/>
    </row>
    <row r="137" spans="15:87" ht="17.25">
      <c r="O137" s="30">
        <v>134</v>
      </c>
      <c r="P137" s="30" t="s">
        <v>452</v>
      </c>
      <c r="U137" s="156">
        <v>2</v>
      </c>
      <c r="V137" s="156">
        <f t="shared" si="0"/>
        <v>-4</v>
      </c>
      <c r="W137" s="153"/>
      <c r="X137" s="153"/>
      <c r="Y137" s="153"/>
      <c r="Z137" s="153"/>
      <c r="AA137" s="153"/>
      <c r="AB137" s="153"/>
      <c r="AC137" s="153"/>
      <c r="AD137" s="151"/>
      <c r="AE137" s="151"/>
      <c r="AF137" s="151"/>
      <c r="AG137" s="151"/>
      <c r="AH137" s="151"/>
      <c r="AI137" s="151"/>
      <c r="AJ137" s="151"/>
      <c r="AK137" s="151"/>
      <c r="AL137" s="151"/>
      <c r="AM137" s="151"/>
      <c r="AN137" s="151"/>
      <c r="AO137" s="151"/>
      <c r="AP137" s="151"/>
      <c r="AQ137" s="151"/>
      <c r="AR137" s="151"/>
      <c r="AS137" s="151"/>
      <c r="AT137" s="151"/>
      <c r="AU137" s="151"/>
      <c r="AV137" s="151"/>
      <c r="AW137" s="151"/>
      <c r="AX137" s="151"/>
      <c r="AY137" s="151"/>
      <c r="AZ137" s="151"/>
      <c r="BA137" s="151"/>
      <c r="BB137" s="151"/>
      <c r="BC137" s="151"/>
      <c r="BD137" s="151"/>
      <c r="BE137" s="151"/>
      <c r="BF137" s="151"/>
      <c r="BG137" s="151"/>
      <c r="BH137" s="151"/>
      <c r="BI137" s="151"/>
      <c r="BJ137" s="151"/>
      <c r="BK137" s="151"/>
      <c r="BL137" s="151"/>
      <c r="BM137" s="267" t="s">
        <v>5920</v>
      </c>
      <c r="BN137" s="270">
        <v>1</v>
      </c>
      <c r="BO137" s="270">
        <v>0.75</v>
      </c>
      <c r="BP137" s="270">
        <v>0.5</v>
      </c>
      <c r="BQ137" s="268">
        <v>15</v>
      </c>
      <c r="BR137" s="268">
        <v>16</v>
      </c>
      <c r="BS137" s="266"/>
      <c r="BT137" s="267" t="s">
        <v>5897</v>
      </c>
      <c r="BU137" s="266"/>
      <c r="BV137" s="266"/>
    </row>
    <row r="138" spans="15:87" ht="17.25">
      <c r="O138" s="30">
        <v>135</v>
      </c>
      <c r="P138" s="30" t="s">
        <v>1720</v>
      </c>
      <c r="U138" s="156">
        <v>3</v>
      </c>
      <c r="V138" s="156">
        <f t="shared" si="0"/>
        <v>-4</v>
      </c>
      <c r="W138" s="153"/>
      <c r="X138" s="153"/>
      <c r="Y138" s="153"/>
      <c r="Z138" s="153"/>
      <c r="AA138" s="153"/>
      <c r="AB138" s="153"/>
      <c r="AC138" s="153"/>
      <c r="AD138" s="151"/>
      <c r="AE138" s="151"/>
      <c r="AF138" s="151"/>
      <c r="AG138" s="151"/>
      <c r="AH138" s="151"/>
      <c r="AI138" s="151"/>
      <c r="AJ138" s="151"/>
      <c r="AK138" s="151"/>
      <c r="AL138" s="151"/>
      <c r="AM138" s="151"/>
      <c r="AN138" s="151"/>
      <c r="AO138" s="151"/>
      <c r="AP138" s="151"/>
      <c r="AQ138" s="151"/>
      <c r="AR138" s="151"/>
      <c r="AS138" s="151"/>
      <c r="AT138" s="151"/>
      <c r="AU138" s="151"/>
      <c r="AV138" s="151"/>
      <c r="AW138" s="151"/>
      <c r="AX138" s="151"/>
      <c r="AY138" s="151"/>
      <c r="AZ138" s="151"/>
      <c r="BA138" s="151"/>
      <c r="BB138" s="151"/>
      <c r="BC138" s="151"/>
      <c r="BD138" s="151"/>
      <c r="BE138" s="151"/>
      <c r="BF138" s="151"/>
      <c r="BG138" s="151"/>
      <c r="BH138" s="151"/>
      <c r="BI138" s="151"/>
      <c r="BJ138" s="151"/>
      <c r="BK138" s="151"/>
      <c r="BL138" s="151"/>
      <c r="BM138" s="267" t="s">
        <v>5919</v>
      </c>
      <c r="BN138" s="270">
        <v>1</v>
      </c>
      <c r="BO138" s="270">
        <v>0.75</v>
      </c>
      <c r="BP138" s="270">
        <v>0.75</v>
      </c>
      <c r="BQ138" s="268">
        <v>12</v>
      </c>
      <c r="BR138" s="268">
        <v>18</v>
      </c>
      <c r="BS138" s="266"/>
      <c r="BT138" s="267" t="s">
        <v>5896</v>
      </c>
      <c r="BU138" s="266"/>
      <c r="BV138" s="266"/>
    </row>
    <row r="139" spans="15:87" ht="17.25">
      <c r="O139" s="30">
        <v>136</v>
      </c>
      <c r="P139" s="30" t="s">
        <v>658</v>
      </c>
      <c r="U139" s="156">
        <v>4</v>
      </c>
      <c r="V139" s="156">
        <f t="shared" si="0"/>
        <v>-3</v>
      </c>
      <c r="W139" s="153"/>
      <c r="X139" s="153"/>
      <c r="Y139" s="153"/>
      <c r="Z139" s="153"/>
      <c r="AA139" s="153"/>
      <c r="AB139" s="153"/>
      <c r="AC139" s="153"/>
      <c r="AD139" s="151"/>
      <c r="AE139" s="151"/>
      <c r="AF139" s="151"/>
      <c r="AG139" s="151"/>
      <c r="AH139" s="151"/>
      <c r="AI139" s="151"/>
      <c r="AJ139" s="151"/>
      <c r="AK139" s="151"/>
      <c r="AL139" s="151"/>
      <c r="AM139" s="151"/>
      <c r="AN139" s="151"/>
      <c r="AO139" s="151"/>
      <c r="AP139" s="151"/>
      <c r="AQ139" s="151"/>
      <c r="AR139" s="151"/>
      <c r="AS139" s="151"/>
      <c r="AT139" s="151"/>
      <c r="AU139" s="151"/>
      <c r="AV139" s="151"/>
      <c r="AW139" s="151"/>
      <c r="AX139" s="151"/>
      <c r="AY139" s="151"/>
      <c r="AZ139" s="151"/>
      <c r="BA139" s="151"/>
      <c r="BB139" s="151"/>
      <c r="BC139" s="151"/>
      <c r="BD139" s="151"/>
      <c r="BE139" s="151"/>
      <c r="BF139" s="151"/>
      <c r="BG139" s="151"/>
      <c r="BH139" s="151"/>
      <c r="BI139" s="151"/>
      <c r="BJ139" s="151"/>
      <c r="BK139" s="151"/>
      <c r="BL139" s="151"/>
      <c r="BM139" s="266"/>
      <c r="BN139" s="266"/>
      <c r="BO139" s="266"/>
      <c r="BP139" s="266"/>
      <c r="BQ139" s="266"/>
      <c r="BR139" s="266"/>
      <c r="BS139" s="266"/>
      <c r="BT139" s="267" t="s">
        <v>5895</v>
      </c>
      <c r="BU139" s="266"/>
      <c r="BV139" s="266"/>
    </row>
    <row r="140" spans="15:87" ht="17.25">
      <c r="O140" s="30">
        <v>137</v>
      </c>
      <c r="P140" s="30" t="s">
        <v>659</v>
      </c>
      <c r="U140" s="156">
        <v>5</v>
      </c>
      <c r="V140" s="156">
        <f t="shared" si="0"/>
        <v>-3</v>
      </c>
      <c r="W140" s="153"/>
      <c r="X140" s="153"/>
      <c r="Y140" s="153"/>
      <c r="Z140" s="153"/>
      <c r="AA140" s="153"/>
      <c r="AB140" s="153"/>
      <c r="AC140" s="153"/>
      <c r="AD140" s="151"/>
      <c r="AE140" s="151"/>
      <c r="AF140" s="151"/>
      <c r="AG140" s="151"/>
      <c r="AH140" s="151"/>
      <c r="AI140" s="151"/>
      <c r="AJ140" s="151"/>
      <c r="AK140" s="151"/>
      <c r="AL140" s="151"/>
      <c r="AM140" s="151"/>
      <c r="AN140" s="151"/>
      <c r="AO140" s="151"/>
      <c r="AP140" s="151"/>
      <c r="AQ140" s="151"/>
      <c r="AR140" s="151"/>
      <c r="AS140" s="151"/>
      <c r="AT140" s="151"/>
      <c r="AU140" s="151"/>
      <c r="AV140" s="151"/>
      <c r="AW140" s="151"/>
      <c r="AX140" s="151"/>
      <c r="AY140" s="151"/>
      <c r="AZ140" s="151"/>
      <c r="BA140" s="151"/>
      <c r="BB140" s="151"/>
      <c r="BC140" s="151"/>
      <c r="BD140" s="151"/>
      <c r="BE140" s="151"/>
      <c r="BF140" s="151"/>
      <c r="BG140" s="151"/>
      <c r="BH140" s="151"/>
      <c r="BI140" s="151"/>
      <c r="BJ140" s="151"/>
      <c r="BK140" s="151"/>
      <c r="BL140" s="151"/>
      <c r="BM140" s="267" t="s">
        <v>5918</v>
      </c>
      <c r="BN140" s="267" t="s">
        <v>5890</v>
      </c>
      <c r="BO140" s="267" t="s">
        <v>5889</v>
      </c>
      <c r="BP140" s="267" t="s">
        <v>5888</v>
      </c>
      <c r="BQ140" s="266"/>
      <c r="BR140" s="266"/>
      <c r="BS140" s="266"/>
      <c r="BT140" s="267" t="s">
        <v>5894</v>
      </c>
      <c r="BU140" s="266"/>
      <c r="BV140" s="266"/>
    </row>
    <row r="141" spans="15:87" ht="17.25">
      <c r="O141" s="30">
        <v>138</v>
      </c>
      <c r="P141" s="30" t="s">
        <v>455</v>
      </c>
      <c r="U141" s="156">
        <v>6</v>
      </c>
      <c r="V141" s="156">
        <f t="shared" si="0"/>
        <v>-2</v>
      </c>
      <c r="W141" s="153"/>
      <c r="X141" s="153"/>
      <c r="Y141" s="153"/>
      <c r="Z141" s="153"/>
      <c r="AA141" s="153"/>
      <c r="AB141" s="153"/>
      <c r="AC141" s="153"/>
      <c r="AD141" s="151"/>
      <c r="AE141" s="151"/>
      <c r="AF141" s="151"/>
      <c r="AG141" s="151"/>
      <c r="AH141" s="151"/>
      <c r="AI141" s="151"/>
      <c r="AJ141" s="151"/>
      <c r="AK141" s="151"/>
      <c r="AL141" s="151"/>
      <c r="AM141" s="151"/>
      <c r="AN141" s="151"/>
      <c r="AO141" s="151"/>
      <c r="AP141" s="151"/>
      <c r="AQ141" s="151"/>
      <c r="AR141" s="151"/>
      <c r="AS141" s="151"/>
      <c r="AT141" s="151"/>
      <c r="AU141" s="151"/>
      <c r="AV141" s="151"/>
      <c r="AW141" s="151"/>
      <c r="AX141" s="151"/>
      <c r="AY141" s="151"/>
      <c r="AZ141" s="151"/>
      <c r="BA141" s="151"/>
      <c r="BB141" s="151"/>
      <c r="BC141" s="151"/>
      <c r="BD141" s="151"/>
      <c r="BE141" s="151"/>
      <c r="BF141" s="151"/>
      <c r="BG141" s="151"/>
      <c r="BH141" s="151"/>
      <c r="BI141" s="151"/>
      <c r="BJ141" s="151"/>
      <c r="BK141" s="151"/>
      <c r="BL141" s="151"/>
      <c r="BM141" s="267" t="s">
        <v>5917</v>
      </c>
      <c r="BN141" s="269">
        <v>0.75</v>
      </c>
      <c r="BO141" s="269">
        <v>0</v>
      </c>
      <c r="BP141" s="269">
        <v>0</v>
      </c>
      <c r="BQ141" s="269"/>
      <c r="BR141" s="266"/>
      <c r="BS141" s="266"/>
      <c r="BT141" s="267" t="s">
        <v>5893</v>
      </c>
      <c r="BU141" s="266"/>
      <c r="BV141" s="266"/>
    </row>
    <row r="142" spans="15:87" ht="17.25">
      <c r="O142" s="30">
        <v>139</v>
      </c>
      <c r="P142" s="30" t="s">
        <v>457</v>
      </c>
      <c r="U142" s="156">
        <v>7</v>
      </c>
      <c r="V142" s="156">
        <f t="shared" si="0"/>
        <v>-2</v>
      </c>
      <c r="W142" s="153"/>
      <c r="X142" s="153"/>
      <c r="Y142" s="153"/>
      <c r="Z142" s="153"/>
      <c r="AA142" s="153"/>
      <c r="AB142" s="153"/>
      <c r="AC142" s="153"/>
      <c r="AD142" s="151"/>
      <c r="AE142" s="151"/>
      <c r="AF142" s="151"/>
      <c r="AG142" s="151"/>
      <c r="AH142" s="151"/>
      <c r="AI142" s="151"/>
      <c r="AJ142" s="151"/>
      <c r="AK142" s="151"/>
      <c r="AL142" s="151"/>
      <c r="AM142" s="151"/>
      <c r="AN142" s="151"/>
      <c r="AO142" s="151"/>
      <c r="AP142" s="151"/>
      <c r="AQ142" s="151"/>
      <c r="AR142" s="151"/>
      <c r="AS142" s="151"/>
      <c r="AT142" s="151"/>
      <c r="AU142" s="151"/>
      <c r="AV142" s="151"/>
      <c r="AW142" s="151"/>
      <c r="AX142" s="151"/>
      <c r="AY142" s="151"/>
      <c r="AZ142" s="151"/>
      <c r="BA142" s="151"/>
      <c r="BB142" s="151"/>
      <c r="BC142" s="151"/>
      <c r="BD142" s="151"/>
      <c r="BE142" s="151"/>
      <c r="BF142" s="151"/>
      <c r="BG142" s="151"/>
      <c r="BH142" s="151"/>
      <c r="BI142" s="151"/>
      <c r="BJ142" s="151"/>
      <c r="BK142" s="151"/>
      <c r="BL142" s="151"/>
      <c r="BM142" s="267" t="s">
        <v>5916</v>
      </c>
      <c r="BN142" s="269">
        <v>1</v>
      </c>
      <c r="BO142" s="269">
        <v>0</v>
      </c>
      <c r="BP142" s="269">
        <v>0</v>
      </c>
      <c r="BQ142" s="269"/>
      <c r="BR142" s="266"/>
      <c r="BS142" s="266"/>
      <c r="BT142" s="267" t="s">
        <v>5892</v>
      </c>
      <c r="BU142" s="266"/>
      <c r="BV142" s="266"/>
    </row>
    <row r="143" spans="15:87" ht="17.25">
      <c r="O143" s="30">
        <v>140</v>
      </c>
      <c r="P143" s="30" t="s">
        <v>458</v>
      </c>
      <c r="U143" s="156">
        <v>8</v>
      </c>
      <c r="V143" s="156">
        <f t="shared" si="0"/>
        <v>-1</v>
      </c>
      <c r="W143" s="153"/>
      <c r="X143" s="153"/>
      <c r="Y143" s="153"/>
      <c r="Z143" s="153"/>
      <c r="AA143" s="153"/>
      <c r="AB143" s="153"/>
      <c r="AC143" s="153"/>
      <c r="AD143" s="151"/>
      <c r="AE143" s="151"/>
      <c r="AF143" s="151"/>
      <c r="AG143" s="151"/>
      <c r="AH143" s="151"/>
      <c r="AI143" s="151"/>
      <c r="AJ143" s="151"/>
      <c r="AK143" s="151"/>
      <c r="AL143" s="151"/>
      <c r="AM143" s="151"/>
      <c r="AN143" s="151"/>
      <c r="AO143" s="151"/>
      <c r="AP143" s="151"/>
      <c r="AQ143" s="151"/>
      <c r="AR143" s="151"/>
      <c r="AS143" s="151"/>
      <c r="AT143" s="151"/>
      <c r="AU143" s="151"/>
      <c r="AV143" s="151"/>
      <c r="AW143" s="151"/>
      <c r="AX143" s="151"/>
      <c r="AY143" s="151"/>
      <c r="AZ143" s="151"/>
      <c r="BA143" s="151"/>
      <c r="BB143" s="151"/>
      <c r="BC143" s="151"/>
      <c r="BD143" s="151"/>
      <c r="BE143" s="151"/>
      <c r="BF143" s="151"/>
      <c r="BG143" s="151"/>
      <c r="BH143" s="151"/>
      <c r="BI143" s="151"/>
      <c r="BJ143" s="151"/>
      <c r="BK143" s="151"/>
      <c r="BL143" s="151"/>
      <c r="BM143" s="267" t="s">
        <v>5915</v>
      </c>
      <c r="BN143" s="269">
        <v>0.75</v>
      </c>
      <c r="BO143" s="269">
        <v>0</v>
      </c>
      <c r="BP143" s="269">
        <v>0</v>
      </c>
      <c r="BQ143" s="269"/>
      <c r="BR143" s="266"/>
      <c r="BS143" s="266"/>
      <c r="BT143" s="266"/>
      <c r="BU143" s="266"/>
      <c r="BV143" s="266"/>
    </row>
    <row r="144" spans="15:87" ht="17.25">
      <c r="O144" s="30">
        <v>141</v>
      </c>
      <c r="P144" s="30" t="s">
        <v>132</v>
      </c>
      <c r="U144" s="156">
        <v>9</v>
      </c>
      <c r="V144" s="156">
        <f t="shared" si="0"/>
        <v>-1</v>
      </c>
      <c r="W144" s="153"/>
      <c r="X144" s="153"/>
      <c r="Y144" s="153"/>
      <c r="Z144" s="153"/>
      <c r="AA144" s="153"/>
      <c r="AB144" s="153"/>
      <c r="AC144" s="153"/>
      <c r="AD144" s="151"/>
      <c r="AE144" s="151"/>
      <c r="AF144" s="151"/>
      <c r="AG144" s="151"/>
      <c r="AH144" s="151"/>
      <c r="AI144" s="151"/>
      <c r="AJ144" s="151"/>
      <c r="AK144" s="151"/>
      <c r="AL144" s="151"/>
      <c r="AM144" s="151"/>
      <c r="AN144" s="151"/>
      <c r="AO144" s="151"/>
      <c r="AP144" s="151"/>
      <c r="AQ144" s="151"/>
      <c r="AR144" s="151"/>
      <c r="AS144" s="151"/>
      <c r="AT144" s="151"/>
      <c r="AU144" s="151"/>
      <c r="AV144" s="151"/>
      <c r="AW144" s="151"/>
      <c r="AX144" s="151"/>
      <c r="AY144" s="151"/>
      <c r="AZ144" s="151"/>
      <c r="BA144" s="151"/>
      <c r="BB144" s="151"/>
      <c r="BC144" s="151"/>
      <c r="BD144" s="151"/>
      <c r="BE144" s="151"/>
      <c r="BF144" s="151"/>
      <c r="BG144" s="151"/>
      <c r="BH144" s="151"/>
      <c r="BI144" s="151"/>
      <c r="BJ144" s="151"/>
      <c r="BK144" s="151"/>
      <c r="BL144" s="151"/>
      <c r="BM144" s="267" t="s">
        <v>5914</v>
      </c>
      <c r="BN144" s="269">
        <v>0.1</v>
      </c>
      <c r="BO144" s="269">
        <v>0</v>
      </c>
      <c r="BP144" s="269">
        <v>0</v>
      </c>
      <c r="BQ144" s="269"/>
      <c r="BR144" s="266"/>
      <c r="BS144" s="266"/>
      <c r="BT144" s="266"/>
      <c r="BU144" s="266"/>
      <c r="BV144" s="266"/>
    </row>
    <row r="145" spans="15:74" ht="17.25">
      <c r="O145" s="30">
        <v>142</v>
      </c>
      <c r="P145" s="30" t="s">
        <v>1697</v>
      </c>
      <c r="U145" s="156">
        <v>10</v>
      </c>
      <c r="V145" s="156">
        <f t="shared" si="0"/>
        <v>0</v>
      </c>
      <c r="W145" s="153"/>
      <c r="X145" s="153"/>
      <c r="Y145" s="153"/>
      <c r="Z145" s="153"/>
      <c r="AA145" s="153"/>
      <c r="AB145" s="153"/>
      <c r="AC145" s="153"/>
      <c r="AD145" s="151"/>
      <c r="AE145" s="151"/>
      <c r="AF145" s="151"/>
      <c r="AG145" s="151"/>
      <c r="AH145" s="151"/>
      <c r="AI145" s="151"/>
      <c r="AJ145" s="151"/>
      <c r="AK145" s="151"/>
      <c r="AL145" s="151"/>
      <c r="AM145" s="151"/>
      <c r="AN145" s="151"/>
      <c r="AO145" s="151"/>
      <c r="AP145" s="151"/>
      <c r="AQ145" s="151"/>
      <c r="AR145" s="151"/>
      <c r="AS145" s="151"/>
      <c r="AT145" s="151"/>
      <c r="AU145" s="151"/>
      <c r="AV145" s="151"/>
      <c r="AW145" s="151"/>
      <c r="AX145" s="151"/>
      <c r="AY145" s="151"/>
      <c r="AZ145" s="151"/>
      <c r="BA145" s="151"/>
      <c r="BB145" s="151"/>
      <c r="BC145" s="151"/>
      <c r="BD145" s="151"/>
      <c r="BE145" s="151"/>
      <c r="BF145" s="151"/>
      <c r="BG145" s="151"/>
      <c r="BH145" s="151"/>
      <c r="BI145" s="151"/>
      <c r="BJ145" s="151"/>
      <c r="BK145" s="151"/>
      <c r="BL145" s="151"/>
      <c r="BM145" s="267" t="s">
        <v>5913</v>
      </c>
      <c r="BN145" s="269">
        <v>0.5</v>
      </c>
      <c r="BO145" s="269">
        <v>4</v>
      </c>
      <c r="BP145" s="269">
        <v>2</v>
      </c>
      <c r="BQ145" s="269"/>
      <c r="BR145" s="266"/>
      <c r="BS145" s="266"/>
      <c r="BT145" s="266"/>
      <c r="BU145" s="266"/>
      <c r="BV145" s="266"/>
    </row>
    <row r="146" spans="15:74" ht="17.25">
      <c r="O146" s="30">
        <v>143</v>
      </c>
      <c r="P146" s="30" t="s">
        <v>1698</v>
      </c>
      <c r="U146" s="156">
        <v>11</v>
      </c>
      <c r="V146" s="156">
        <f t="shared" si="0"/>
        <v>0</v>
      </c>
      <c r="W146" s="153"/>
      <c r="X146" s="153"/>
      <c r="Y146" s="153"/>
      <c r="Z146" s="153"/>
      <c r="AA146" s="153"/>
      <c r="AB146" s="153"/>
      <c r="AC146" s="153"/>
      <c r="AD146" s="151"/>
      <c r="AE146" s="151"/>
      <c r="AF146" s="151"/>
      <c r="AG146" s="151"/>
      <c r="AH146" s="151"/>
      <c r="AI146" s="151"/>
      <c r="AJ146" s="151"/>
      <c r="AK146" s="151"/>
      <c r="AL146" s="151"/>
      <c r="AM146" s="151"/>
      <c r="AN146" s="151"/>
      <c r="AO146" s="151"/>
      <c r="AP146" s="151"/>
      <c r="AQ146" s="151"/>
      <c r="AR146" s="151"/>
      <c r="AS146" s="151"/>
      <c r="AT146" s="151"/>
      <c r="AU146" s="151"/>
      <c r="AV146" s="151"/>
      <c r="AW146" s="151"/>
      <c r="AX146" s="151"/>
      <c r="AY146" s="151"/>
      <c r="AZ146" s="151"/>
      <c r="BA146" s="151"/>
      <c r="BB146" s="151"/>
      <c r="BC146" s="151"/>
      <c r="BD146" s="151"/>
      <c r="BE146" s="151"/>
      <c r="BF146" s="151"/>
      <c r="BG146" s="151"/>
      <c r="BH146" s="151"/>
      <c r="BI146" s="151"/>
      <c r="BJ146" s="151"/>
      <c r="BK146" s="151"/>
      <c r="BL146" s="151"/>
      <c r="BM146" s="267" t="s">
        <v>5912</v>
      </c>
      <c r="BN146" s="269">
        <v>0.75</v>
      </c>
      <c r="BO146" s="269">
        <v>0</v>
      </c>
      <c r="BP146" s="269">
        <v>0</v>
      </c>
      <c r="BQ146" s="269"/>
      <c r="BR146" s="266"/>
      <c r="BS146" s="266"/>
      <c r="BT146" s="266"/>
      <c r="BU146" s="266"/>
      <c r="BV146" s="266"/>
    </row>
    <row r="147" spans="15:74" ht="17.25">
      <c r="O147" s="30">
        <v>144</v>
      </c>
      <c r="P147" s="30" t="s">
        <v>660</v>
      </c>
      <c r="U147" s="156">
        <v>12</v>
      </c>
      <c r="V147" s="156">
        <f t="shared" si="0"/>
        <v>1</v>
      </c>
      <c r="W147" s="153"/>
      <c r="X147" s="153"/>
      <c r="Y147" s="153"/>
      <c r="Z147" s="153"/>
      <c r="AA147" s="153"/>
      <c r="AB147" s="153"/>
      <c r="AC147" s="153"/>
      <c r="AD147" s="151"/>
      <c r="AE147" s="151"/>
      <c r="AF147" s="151"/>
      <c r="AG147" s="151"/>
      <c r="AH147" s="151"/>
      <c r="AI147" s="151"/>
      <c r="AJ147" s="151"/>
      <c r="AK147" s="151"/>
      <c r="AL147" s="151"/>
      <c r="AM147" s="151"/>
      <c r="AN147" s="151"/>
      <c r="AO147" s="151"/>
      <c r="AP147" s="151"/>
      <c r="AQ147" s="151"/>
      <c r="AR147" s="151"/>
      <c r="AS147" s="151"/>
      <c r="AT147" s="151"/>
      <c r="AU147" s="151"/>
      <c r="AV147" s="151"/>
      <c r="AW147" s="151"/>
      <c r="AX147" s="151"/>
      <c r="AY147" s="151"/>
      <c r="AZ147" s="151"/>
      <c r="BA147" s="151"/>
      <c r="BB147" s="151"/>
      <c r="BC147" s="151"/>
      <c r="BD147" s="151"/>
      <c r="BE147" s="151"/>
      <c r="BF147" s="151"/>
      <c r="BG147" s="151"/>
      <c r="BH147" s="151"/>
      <c r="BI147" s="151"/>
      <c r="BJ147" s="151"/>
      <c r="BK147" s="151"/>
      <c r="BL147" s="151"/>
      <c r="BM147" s="267" t="s">
        <v>5911</v>
      </c>
      <c r="BN147" s="269">
        <v>0.5</v>
      </c>
      <c r="BO147" s="269">
        <v>0</v>
      </c>
      <c r="BP147" s="269">
        <v>0</v>
      </c>
      <c r="BQ147" s="269"/>
      <c r="BR147" s="266"/>
      <c r="BS147" s="266"/>
      <c r="BT147" s="266"/>
      <c r="BU147" s="266"/>
      <c r="BV147" s="266"/>
    </row>
    <row r="148" spans="15:74" ht="17.25">
      <c r="O148" s="30">
        <v>145</v>
      </c>
      <c r="P148" s="30" t="s">
        <v>1699</v>
      </c>
      <c r="U148" s="156">
        <v>13</v>
      </c>
      <c r="V148" s="156">
        <f t="shared" si="0"/>
        <v>1</v>
      </c>
      <c r="W148" s="153"/>
      <c r="X148" s="153"/>
      <c r="Y148" s="153"/>
      <c r="Z148" s="153"/>
      <c r="AA148" s="153"/>
      <c r="AB148" s="153"/>
      <c r="AC148" s="153"/>
      <c r="AD148" s="151"/>
      <c r="AE148" s="151"/>
      <c r="AF148" s="151"/>
      <c r="AG148" s="151"/>
      <c r="AH148" s="151"/>
      <c r="AI148" s="151"/>
      <c r="AJ148" s="151"/>
      <c r="AK148" s="151"/>
      <c r="AL148" s="151"/>
      <c r="AM148" s="151"/>
      <c r="AN148" s="151"/>
      <c r="AO148" s="151"/>
      <c r="AP148" s="151"/>
      <c r="AQ148" s="151"/>
      <c r="AR148" s="151"/>
      <c r="AS148" s="151"/>
      <c r="AT148" s="151"/>
      <c r="AU148" s="151"/>
      <c r="AV148" s="151"/>
      <c r="AW148" s="151"/>
      <c r="AX148" s="151"/>
      <c r="AY148" s="151"/>
      <c r="AZ148" s="151"/>
      <c r="BA148" s="151"/>
      <c r="BB148" s="151"/>
      <c r="BC148" s="151"/>
      <c r="BD148" s="151"/>
      <c r="BE148" s="151"/>
      <c r="BF148" s="151"/>
      <c r="BG148" s="151"/>
      <c r="BH148" s="151"/>
      <c r="BI148" s="151"/>
      <c r="BJ148" s="151"/>
      <c r="BK148" s="151"/>
      <c r="BL148" s="151"/>
      <c r="BM148" s="267" t="s">
        <v>5910</v>
      </c>
      <c r="BN148" s="269">
        <v>0.25</v>
      </c>
      <c r="BO148" s="269">
        <v>0</v>
      </c>
      <c r="BP148" s="269">
        <v>0</v>
      </c>
      <c r="BQ148" s="269"/>
      <c r="BR148" s="266"/>
      <c r="BS148" s="266"/>
      <c r="BT148" s="266"/>
      <c r="BU148" s="266"/>
      <c r="BV148" s="266"/>
    </row>
    <row r="149" spans="15:74" ht="17.25">
      <c r="O149" s="30">
        <v>146</v>
      </c>
      <c r="P149" s="30" t="s">
        <v>661</v>
      </c>
      <c r="U149" s="156">
        <v>14</v>
      </c>
      <c r="V149" s="156">
        <f t="shared" si="0"/>
        <v>2</v>
      </c>
      <c r="W149" s="153"/>
      <c r="X149" s="153"/>
      <c r="Y149" s="153"/>
      <c r="Z149" s="153"/>
      <c r="AA149" s="153"/>
      <c r="AB149" s="153"/>
      <c r="AC149" s="153"/>
      <c r="AD149" s="151"/>
      <c r="AE149" s="151"/>
      <c r="AF149" s="151"/>
      <c r="AG149" s="151"/>
      <c r="AH149" s="151"/>
      <c r="AI149" s="151"/>
      <c r="AJ149" s="151"/>
      <c r="AK149" s="151"/>
      <c r="AL149" s="151"/>
      <c r="AM149" s="151"/>
      <c r="AN149" s="151"/>
      <c r="AO149" s="151"/>
      <c r="AP149" s="151"/>
      <c r="AQ149" s="151"/>
      <c r="AR149" s="151"/>
      <c r="AS149" s="151"/>
      <c r="AT149" s="151"/>
      <c r="AU149" s="151"/>
      <c r="AV149" s="151"/>
      <c r="AW149" s="151"/>
      <c r="AX149" s="151"/>
      <c r="AY149" s="151"/>
      <c r="AZ149" s="151"/>
      <c r="BA149" s="151"/>
      <c r="BB149" s="151"/>
      <c r="BC149" s="151"/>
      <c r="BD149" s="151"/>
      <c r="BE149" s="151"/>
      <c r="BF149" s="151"/>
      <c r="BG149" s="151"/>
      <c r="BH149" s="151"/>
      <c r="BI149" s="151"/>
      <c r="BJ149" s="151"/>
      <c r="BK149" s="151"/>
      <c r="BL149" s="151"/>
      <c r="BM149" s="267" t="s">
        <v>5909</v>
      </c>
      <c r="BN149" s="269">
        <v>0.75</v>
      </c>
      <c r="BO149" s="269">
        <v>0</v>
      </c>
      <c r="BP149" s="269">
        <v>0</v>
      </c>
      <c r="BQ149" s="269"/>
      <c r="BR149" s="266"/>
      <c r="BS149" s="266"/>
      <c r="BT149" s="266"/>
      <c r="BU149" s="266"/>
      <c r="BV149" s="266"/>
    </row>
    <row r="150" spans="15:74" ht="17.25">
      <c r="O150" s="30">
        <v>147</v>
      </c>
      <c r="P150" s="30" t="s">
        <v>1700</v>
      </c>
      <c r="U150" s="156">
        <v>15</v>
      </c>
      <c r="V150" s="156">
        <f t="shared" si="0"/>
        <v>2</v>
      </c>
      <c r="W150" s="153"/>
      <c r="X150" s="153"/>
      <c r="Y150" s="153"/>
      <c r="Z150" s="153"/>
      <c r="AA150" s="153"/>
      <c r="AB150" s="153"/>
      <c r="AC150" s="153"/>
      <c r="AD150" s="151"/>
      <c r="AE150" s="151"/>
      <c r="AF150" s="151"/>
      <c r="AG150" s="151"/>
      <c r="AH150" s="151"/>
      <c r="AI150" s="151"/>
      <c r="AJ150" s="151"/>
      <c r="AK150" s="151"/>
      <c r="AL150" s="151"/>
      <c r="AM150" s="151"/>
      <c r="AN150" s="151"/>
      <c r="AO150" s="151"/>
      <c r="AP150" s="151"/>
      <c r="AQ150" s="151"/>
      <c r="AR150" s="151"/>
      <c r="AS150" s="151"/>
      <c r="AT150" s="151"/>
      <c r="AU150" s="151"/>
      <c r="AV150" s="151"/>
      <c r="AW150" s="151"/>
      <c r="AX150" s="151"/>
      <c r="AY150" s="151"/>
      <c r="AZ150" s="151"/>
      <c r="BA150" s="151"/>
      <c r="BB150" s="151"/>
      <c r="BC150" s="151"/>
      <c r="BD150" s="151"/>
      <c r="BE150" s="151"/>
      <c r="BF150" s="151"/>
      <c r="BG150" s="151"/>
      <c r="BH150" s="151"/>
      <c r="BI150" s="151"/>
      <c r="BJ150" s="151"/>
      <c r="BK150" s="151"/>
      <c r="BL150" s="151"/>
      <c r="BM150" s="267" t="s">
        <v>5908</v>
      </c>
      <c r="BN150" s="269">
        <v>0.5</v>
      </c>
      <c r="BO150" s="269">
        <v>0</v>
      </c>
      <c r="BP150" s="269">
        <v>0</v>
      </c>
      <c r="BQ150" s="269"/>
      <c r="BR150" s="266"/>
      <c r="BS150" s="266"/>
      <c r="BT150" s="266"/>
      <c r="BU150" s="266"/>
      <c r="BV150" s="266"/>
    </row>
    <row r="151" spans="15:74" ht="17.25">
      <c r="O151" s="30">
        <v>148</v>
      </c>
      <c r="P151" s="30" t="s">
        <v>1701</v>
      </c>
      <c r="U151" s="156">
        <v>16</v>
      </c>
      <c r="V151" s="156">
        <f t="shared" si="0"/>
        <v>3</v>
      </c>
      <c r="W151" s="153"/>
      <c r="X151" s="153"/>
      <c r="Y151" s="153"/>
      <c r="Z151" s="153"/>
      <c r="AA151" s="153"/>
      <c r="AB151" s="153"/>
      <c r="AC151" s="153"/>
      <c r="AD151" s="151"/>
      <c r="AE151" s="151"/>
      <c r="AF151" s="151"/>
      <c r="AG151" s="151"/>
      <c r="AH151" s="151"/>
      <c r="AI151" s="151"/>
      <c r="AJ151" s="151"/>
      <c r="AK151" s="151"/>
      <c r="AL151" s="151"/>
      <c r="AM151" s="151"/>
      <c r="AN151" s="151"/>
      <c r="AO151" s="151"/>
      <c r="AP151" s="151"/>
      <c r="AQ151" s="151"/>
      <c r="AR151" s="151"/>
      <c r="AS151" s="151"/>
      <c r="AT151" s="151"/>
      <c r="AU151" s="151"/>
      <c r="AV151" s="151"/>
      <c r="AW151" s="151"/>
      <c r="AX151" s="151"/>
      <c r="AY151" s="151"/>
      <c r="AZ151" s="151"/>
      <c r="BA151" s="151"/>
      <c r="BB151" s="151"/>
      <c r="BC151" s="151"/>
      <c r="BD151" s="151"/>
      <c r="BE151" s="151"/>
      <c r="BF151" s="151"/>
      <c r="BG151" s="151"/>
      <c r="BH151" s="151"/>
      <c r="BI151" s="151"/>
      <c r="BJ151" s="151"/>
      <c r="BK151" s="151"/>
      <c r="BL151" s="151"/>
      <c r="BM151" s="266"/>
      <c r="BN151" s="266"/>
      <c r="BO151" s="266"/>
      <c r="BP151" s="266"/>
      <c r="BQ151" s="266"/>
      <c r="BR151" s="266"/>
      <c r="BS151" s="266"/>
      <c r="BT151" s="266"/>
      <c r="BU151" s="266"/>
      <c r="BV151" s="266"/>
    </row>
    <row r="152" spans="15:74" ht="17.25">
      <c r="O152" s="30">
        <v>149</v>
      </c>
      <c r="P152" s="30" t="s">
        <v>1702</v>
      </c>
      <c r="U152" s="156">
        <v>17</v>
      </c>
      <c r="V152" s="156">
        <f t="shared" si="0"/>
        <v>3</v>
      </c>
      <c r="W152" s="153"/>
      <c r="X152" s="153"/>
      <c r="Y152" s="153"/>
      <c r="Z152" s="153"/>
      <c r="AA152" s="153"/>
      <c r="AB152" s="153"/>
      <c r="AC152" s="153"/>
      <c r="AD152" s="151"/>
      <c r="AE152" s="151"/>
      <c r="AF152" s="151"/>
      <c r="AG152" s="151"/>
      <c r="AH152" s="151"/>
      <c r="AI152" s="151"/>
      <c r="AJ152" s="151"/>
      <c r="AK152" s="151"/>
      <c r="AL152" s="151"/>
      <c r="AM152" s="151"/>
      <c r="AN152" s="151"/>
      <c r="AO152" s="151"/>
      <c r="AP152" s="151"/>
      <c r="AQ152" s="151"/>
      <c r="AR152" s="151"/>
      <c r="AS152" s="151"/>
      <c r="AT152" s="151"/>
      <c r="AU152" s="151"/>
      <c r="AV152" s="151"/>
      <c r="AW152" s="151"/>
      <c r="AX152" s="151"/>
      <c r="AY152" s="151"/>
      <c r="AZ152" s="151"/>
      <c r="BA152" s="151"/>
      <c r="BB152" s="151"/>
      <c r="BC152" s="151"/>
      <c r="BD152" s="151"/>
      <c r="BE152" s="151"/>
      <c r="BF152" s="151"/>
      <c r="BG152" s="151"/>
      <c r="BH152" s="151"/>
      <c r="BI152" s="151"/>
      <c r="BJ152" s="151"/>
      <c r="BK152" s="151"/>
      <c r="BL152" s="151"/>
      <c r="BM152" s="267" t="s">
        <v>5907</v>
      </c>
      <c r="BN152" s="267" t="s">
        <v>5890</v>
      </c>
      <c r="BO152" s="267" t="s">
        <v>5889</v>
      </c>
      <c r="BP152" s="267" t="s">
        <v>5888</v>
      </c>
      <c r="BQ152" s="266"/>
      <c r="BR152" s="266"/>
      <c r="BS152" s="266"/>
      <c r="BT152" s="266"/>
      <c r="BU152" s="266"/>
      <c r="BV152" s="266"/>
    </row>
    <row r="153" spans="15:74" ht="17.25">
      <c r="O153" s="30">
        <v>150</v>
      </c>
      <c r="P153" s="30" t="s">
        <v>1703</v>
      </c>
      <c r="U153" s="156">
        <v>18</v>
      </c>
      <c r="V153" s="156">
        <f t="shared" si="0"/>
        <v>4</v>
      </c>
      <c r="W153" s="153"/>
      <c r="X153" s="153"/>
      <c r="Y153" s="153"/>
      <c r="Z153" s="153"/>
      <c r="AA153" s="153"/>
      <c r="AB153" s="153"/>
      <c r="AC153" s="153"/>
      <c r="AD153" s="151"/>
      <c r="AE153" s="151"/>
      <c r="AF153" s="151"/>
      <c r="AG153" s="151"/>
      <c r="AH153" s="151"/>
      <c r="AI153" s="151"/>
      <c r="AJ153" s="151"/>
      <c r="AK153" s="151"/>
      <c r="AL153" s="151"/>
      <c r="AM153" s="151"/>
      <c r="AN153" s="151"/>
      <c r="AO153" s="151"/>
      <c r="AP153" s="151"/>
      <c r="AQ153" s="151"/>
      <c r="AR153" s="151"/>
      <c r="AS153" s="151"/>
      <c r="AT153" s="151"/>
      <c r="AU153" s="151"/>
      <c r="AV153" s="151"/>
      <c r="AW153" s="151"/>
      <c r="AX153" s="151"/>
      <c r="AY153" s="151"/>
      <c r="AZ153" s="151"/>
      <c r="BA153" s="151"/>
      <c r="BB153" s="151"/>
      <c r="BC153" s="151"/>
      <c r="BD153" s="151"/>
      <c r="BE153" s="151"/>
      <c r="BF153" s="151"/>
      <c r="BG153" s="151"/>
      <c r="BH153" s="151"/>
      <c r="BI153" s="151"/>
      <c r="BJ153" s="151"/>
      <c r="BK153" s="151"/>
      <c r="BL153" s="151"/>
      <c r="BM153" s="267" t="s">
        <v>5906</v>
      </c>
      <c r="BN153" s="268">
        <v>3</v>
      </c>
      <c r="BO153" s="268">
        <v>0</v>
      </c>
      <c r="BP153" s="268">
        <v>0</v>
      </c>
      <c r="BQ153" s="266"/>
      <c r="BR153" s="266"/>
      <c r="BS153" s="266"/>
      <c r="BT153" s="266"/>
      <c r="BU153" s="266"/>
      <c r="BV153" s="266"/>
    </row>
    <row r="154" spans="15:74" ht="17.25">
      <c r="O154" s="30">
        <v>151</v>
      </c>
      <c r="P154" s="30" t="s">
        <v>1704</v>
      </c>
      <c r="U154" s="156">
        <v>19</v>
      </c>
      <c r="V154" s="156">
        <f t="shared" si="0"/>
        <v>4</v>
      </c>
      <c r="W154" s="153"/>
      <c r="X154" s="153"/>
      <c r="Y154" s="153"/>
      <c r="Z154" s="153"/>
      <c r="AA154" s="153"/>
      <c r="AB154" s="153"/>
      <c r="AC154" s="153"/>
      <c r="AD154" s="151"/>
      <c r="AE154" s="151"/>
      <c r="AF154" s="151"/>
      <c r="AG154" s="151"/>
      <c r="AH154" s="151"/>
      <c r="AI154" s="151"/>
      <c r="AJ154" s="151"/>
      <c r="AK154" s="151"/>
      <c r="AL154" s="151"/>
      <c r="AM154" s="151"/>
      <c r="AN154" s="151"/>
      <c r="AO154" s="151"/>
      <c r="AP154" s="151"/>
      <c r="AQ154" s="151"/>
      <c r="AR154" s="151"/>
      <c r="AS154" s="151"/>
      <c r="AT154" s="151"/>
      <c r="AU154" s="151"/>
      <c r="AV154" s="151"/>
      <c r="AW154" s="151"/>
      <c r="AX154" s="151"/>
      <c r="AY154" s="151"/>
      <c r="AZ154" s="151"/>
      <c r="BA154" s="151"/>
      <c r="BB154" s="151"/>
      <c r="BC154" s="151"/>
      <c r="BD154" s="151"/>
      <c r="BE154" s="151"/>
      <c r="BF154" s="151"/>
      <c r="BG154" s="151"/>
      <c r="BH154" s="151"/>
      <c r="BI154" s="151"/>
      <c r="BJ154" s="151"/>
      <c r="BK154" s="151"/>
      <c r="BL154" s="151"/>
      <c r="BM154" s="267" t="s">
        <v>3862</v>
      </c>
      <c r="BN154" s="268">
        <v>3</v>
      </c>
      <c r="BO154" s="268">
        <v>0</v>
      </c>
      <c r="BP154" s="268">
        <v>0</v>
      </c>
      <c r="BQ154" s="266"/>
      <c r="BR154" s="266"/>
      <c r="BS154" s="266"/>
      <c r="BT154" s="266"/>
      <c r="BU154" s="266"/>
      <c r="BV154" s="266"/>
    </row>
    <row r="155" spans="15:74" ht="17.25">
      <c r="O155" s="30">
        <v>152</v>
      </c>
      <c r="P155" s="30" t="s">
        <v>662</v>
      </c>
      <c r="U155" s="156">
        <v>20</v>
      </c>
      <c r="V155" s="156">
        <f t="shared" si="0"/>
        <v>5</v>
      </c>
      <c r="W155" s="153"/>
      <c r="X155" s="153"/>
      <c r="Y155" s="153"/>
      <c r="Z155" s="153"/>
      <c r="AA155" s="153"/>
      <c r="AB155" s="153"/>
      <c r="AC155" s="153"/>
      <c r="AD155" s="151"/>
      <c r="AE155" s="151"/>
      <c r="AF155" s="151"/>
      <c r="AG155" s="151"/>
      <c r="AH155" s="151"/>
      <c r="AI155" s="151"/>
      <c r="AJ155" s="151"/>
      <c r="AK155" s="151"/>
      <c r="AL155" s="151"/>
      <c r="AM155" s="151"/>
      <c r="AN155" s="151"/>
      <c r="AO155" s="151"/>
      <c r="AP155" s="151"/>
      <c r="AQ155" s="151"/>
      <c r="AR155" s="151"/>
      <c r="AS155" s="151"/>
      <c r="AT155" s="151"/>
      <c r="AU155" s="151"/>
      <c r="AV155" s="151"/>
      <c r="AW155" s="151"/>
      <c r="AX155" s="151"/>
      <c r="AY155" s="151"/>
      <c r="AZ155" s="151"/>
      <c r="BA155" s="151"/>
      <c r="BB155" s="151"/>
      <c r="BC155" s="151"/>
      <c r="BD155" s="151"/>
      <c r="BE155" s="151"/>
      <c r="BF155" s="151"/>
      <c r="BG155" s="151"/>
      <c r="BH155" s="151"/>
      <c r="BI155" s="151"/>
      <c r="BJ155" s="151"/>
      <c r="BK155" s="151"/>
      <c r="BL155" s="151"/>
      <c r="BM155" s="267" t="s">
        <v>5905</v>
      </c>
      <c r="BN155" s="268">
        <v>5</v>
      </c>
      <c r="BO155" s="268">
        <v>0</v>
      </c>
      <c r="BP155" s="268">
        <v>0</v>
      </c>
      <c r="BQ155" s="266"/>
      <c r="BR155" s="266"/>
      <c r="BS155" s="266"/>
      <c r="BT155" s="266"/>
      <c r="BU155" s="266"/>
      <c r="BV155" s="266"/>
    </row>
    <row r="156" spans="15:74" ht="17.25">
      <c r="O156" s="30">
        <v>153</v>
      </c>
      <c r="P156" s="30" t="s">
        <v>663</v>
      </c>
      <c r="U156" s="156">
        <v>21</v>
      </c>
      <c r="V156" s="156">
        <f t="shared" si="0"/>
        <v>5</v>
      </c>
      <c r="W156" s="153"/>
      <c r="X156" s="153"/>
      <c r="Y156" s="153"/>
      <c r="Z156" s="153"/>
      <c r="AA156" s="153"/>
      <c r="AB156" s="153"/>
      <c r="AC156" s="153"/>
      <c r="AD156" s="151"/>
      <c r="AE156" s="151"/>
      <c r="AF156" s="151"/>
      <c r="AG156" s="151"/>
      <c r="AH156" s="151"/>
      <c r="AI156" s="151"/>
      <c r="AJ156" s="151"/>
      <c r="AK156" s="151"/>
      <c r="AL156" s="151"/>
      <c r="AM156" s="151"/>
      <c r="AN156" s="151"/>
      <c r="AO156" s="151"/>
      <c r="AP156" s="151"/>
      <c r="AQ156" s="151"/>
      <c r="AR156" s="151"/>
      <c r="AS156" s="151"/>
      <c r="AT156" s="151"/>
      <c r="AU156" s="151"/>
      <c r="AV156" s="151"/>
      <c r="AW156" s="151"/>
      <c r="AX156" s="151"/>
      <c r="AY156" s="151"/>
      <c r="AZ156" s="151"/>
      <c r="BA156" s="151"/>
      <c r="BB156" s="151"/>
      <c r="BC156" s="151"/>
      <c r="BD156" s="151"/>
      <c r="BE156" s="151"/>
      <c r="BF156" s="151"/>
      <c r="BG156" s="151"/>
      <c r="BH156" s="151"/>
      <c r="BI156" s="151"/>
      <c r="BJ156" s="151"/>
      <c r="BK156" s="151"/>
      <c r="BL156" s="151"/>
      <c r="BM156" s="267" t="s">
        <v>5904</v>
      </c>
      <c r="BN156" s="268">
        <v>6</v>
      </c>
      <c r="BO156" s="268">
        <v>0</v>
      </c>
      <c r="BP156" s="268">
        <v>0</v>
      </c>
      <c r="BQ156" s="266"/>
      <c r="BR156" s="266"/>
      <c r="BS156" s="266"/>
      <c r="BT156" s="266"/>
      <c r="BU156" s="266"/>
      <c r="BV156" s="266"/>
    </row>
    <row r="157" spans="15:74" ht="17.25">
      <c r="O157" s="30">
        <v>154</v>
      </c>
      <c r="P157" s="30" t="s">
        <v>1705</v>
      </c>
      <c r="U157" s="156">
        <v>22</v>
      </c>
      <c r="V157" s="156">
        <f t="shared" si="0"/>
        <v>6</v>
      </c>
      <c r="W157" s="153"/>
      <c r="X157" s="153"/>
      <c r="Y157" s="153"/>
      <c r="Z157" s="153"/>
      <c r="AA157" s="153"/>
      <c r="AB157" s="153"/>
      <c r="AC157" s="153"/>
      <c r="AD157" s="151"/>
      <c r="AE157" s="151"/>
      <c r="AF157" s="151"/>
      <c r="AG157" s="151"/>
      <c r="AH157" s="151"/>
      <c r="AI157" s="151"/>
      <c r="AJ157" s="151"/>
      <c r="AK157" s="151"/>
      <c r="AL157" s="151"/>
      <c r="AM157" s="151"/>
      <c r="AN157" s="151"/>
      <c r="AO157" s="151"/>
      <c r="AP157" s="151"/>
      <c r="AQ157" s="151"/>
      <c r="AR157" s="151"/>
      <c r="AS157" s="151"/>
      <c r="AT157" s="151"/>
      <c r="AU157" s="151"/>
      <c r="AV157" s="151"/>
      <c r="AW157" s="151"/>
      <c r="AX157" s="151"/>
      <c r="AY157" s="151"/>
      <c r="AZ157" s="151"/>
      <c r="BA157" s="151"/>
      <c r="BB157" s="151"/>
      <c r="BC157" s="151"/>
      <c r="BD157" s="151"/>
      <c r="BE157" s="151"/>
      <c r="BF157" s="151"/>
      <c r="BG157" s="151"/>
      <c r="BH157" s="151"/>
      <c r="BI157" s="151"/>
      <c r="BJ157" s="151"/>
      <c r="BK157" s="151"/>
      <c r="BL157" s="151"/>
      <c r="BM157" s="267" t="s">
        <v>5903</v>
      </c>
      <c r="BN157" s="268">
        <v>5</v>
      </c>
      <c r="BO157" s="268">
        <v>0</v>
      </c>
      <c r="BP157" s="268">
        <v>0</v>
      </c>
      <c r="BQ157" s="266"/>
      <c r="BR157" s="266"/>
      <c r="BS157" s="266"/>
      <c r="BT157" s="266"/>
      <c r="BU157" s="266"/>
      <c r="BV157" s="266"/>
    </row>
    <row r="158" spans="15:74" ht="17.25">
      <c r="O158" s="30">
        <v>155</v>
      </c>
      <c r="P158" s="30" t="s">
        <v>664</v>
      </c>
      <c r="U158" s="156">
        <v>23</v>
      </c>
      <c r="V158" s="156">
        <f t="shared" si="0"/>
        <v>6</v>
      </c>
      <c r="W158" s="153"/>
      <c r="X158" s="153"/>
      <c r="Y158" s="153"/>
      <c r="Z158" s="153"/>
      <c r="AA158" s="153"/>
      <c r="AB158" s="153"/>
      <c r="AC158" s="153"/>
      <c r="AD158" s="151"/>
      <c r="AE158" s="151"/>
      <c r="AF158" s="151"/>
      <c r="AG158" s="151"/>
      <c r="AH158" s="151"/>
      <c r="AI158" s="151"/>
      <c r="AJ158" s="151"/>
      <c r="AK158" s="151"/>
      <c r="AL158" s="151"/>
      <c r="AM158" s="151"/>
      <c r="AN158" s="151"/>
      <c r="AO158" s="151"/>
      <c r="AP158" s="151"/>
      <c r="AQ158" s="151"/>
      <c r="AR158" s="151"/>
      <c r="AS158" s="151"/>
      <c r="AT158" s="151"/>
      <c r="AU158" s="151"/>
      <c r="AV158" s="151"/>
      <c r="AW158" s="151"/>
      <c r="AX158" s="151"/>
      <c r="AY158" s="151"/>
      <c r="AZ158" s="151"/>
      <c r="BA158" s="151"/>
      <c r="BB158" s="151"/>
      <c r="BC158" s="151"/>
      <c r="BD158" s="151"/>
      <c r="BE158" s="151"/>
      <c r="BF158" s="151"/>
      <c r="BG158" s="151"/>
      <c r="BH158" s="151"/>
      <c r="BI158" s="151"/>
      <c r="BJ158" s="151"/>
      <c r="BK158" s="151"/>
      <c r="BL158" s="151"/>
      <c r="BM158" s="267" t="s">
        <v>5902</v>
      </c>
      <c r="BN158" s="268">
        <v>5</v>
      </c>
      <c r="BO158" s="268">
        <v>0</v>
      </c>
      <c r="BP158" s="268">
        <v>0</v>
      </c>
      <c r="BQ158" s="266"/>
      <c r="BR158" s="266"/>
      <c r="BS158" s="266"/>
      <c r="BT158" s="266"/>
      <c r="BU158" s="266"/>
      <c r="BV158" s="266"/>
    </row>
    <row r="159" spans="15:74" ht="17.25">
      <c r="O159" s="30">
        <v>156</v>
      </c>
      <c r="P159" s="30" t="s">
        <v>665</v>
      </c>
      <c r="U159" s="156">
        <v>24</v>
      </c>
      <c r="V159" s="156">
        <f t="shared" si="0"/>
        <v>7</v>
      </c>
      <c r="W159" s="153"/>
      <c r="X159" s="153"/>
      <c r="Y159" s="153"/>
      <c r="Z159" s="153"/>
      <c r="AA159" s="153"/>
      <c r="AB159" s="153"/>
      <c r="AC159" s="153"/>
      <c r="AD159" s="151"/>
      <c r="AE159" s="151"/>
      <c r="AF159" s="151"/>
      <c r="AG159" s="151"/>
      <c r="AH159" s="151"/>
      <c r="AI159" s="151"/>
      <c r="AJ159" s="151"/>
      <c r="AK159" s="151"/>
      <c r="AL159" s="151"/>
      <c r="AM159" s="151"/>
      <c r="AN159" s="151"/>
      <c r="AO159" s="151"/>
      <c r="AP159" s="151"/>
      <c r="AQ159" s="151"/>
      <c r="AR159" s="151"/>
      <c r="AS159" s="151"/>
      <c r="AT159" s="151"/>
      <c r="AU159" s="151"/>
      <c r="AV159" s="151"/>
      <c r="AW159" s="151"/>
      <c r="AX159" s="151"/>
      <c r="AY159" s="151"/>
      <c r="AZ159" s="151"/>
      <c r="BA159" s="151"/>
      <c r="BB159" s="151"/>
      <c r="BC159" s="151"/>
      <c r="BD159" s="151"/>
      <c r="BE159" s="151"/>
      <c r="BF159" s="151"/>
      <c r="BG159" s="151"/>
      <c r="BH159" s="151"/>
      <c r="BI159" s="151"/>
      <c r="BJ159" s="151"/>
      <c r="BK159" s="151"/>
      <c r="BL159" s="151"/>
      <c r="BM159" s="267" t="s">
        <v>5901</v>
      </c>
      <c r="BN159" s="268">
        <v>4</v>
      </c>
      <c r="BO159" s="268">
        <v>0</v>
      </c>
      <c r="BP159" s="268">
        <v>0</v>
      </c>
      <c r="BQ159" s="266"/>
      <c r="BR159" s="266"/>
      <c r="BS159" s="266"/>
      <c r="BT159" s="266"/>
      <c r="BU159" s="266"/>
      <c r="BV159" s="266"/>
    </row>
    <row r="160" spans="15:74" ht="17.25">
      <c r="O160" s="30">
        <v>157</v>
      </c>
      <c r="P160" s="30" t="s">
        <v>1706</v>
      </c>
      <c r="U160" s="156">
        <v>25</v>
      </c>
      <c r="V160" s="156">
        <f t="shared" si="0"/>
        <v>7</v>
      </c>
      <c r="W160" s="153"/>
      <c r="X160" s="153"/>
      <c r="Y160" s="153"/>
      <c r="Z160" s="153"/>
      <c r="AA160" s="153"/>
      <c r="AB160" s="153"/>
      <c r="AC160" s="153"/>
      <c r="AD160" s="151"/>
      <c r="AE160" s="151"/>
      <c r="AF160" s="151"/>
      <c r="AG160" s="151"/>
      <c r="AH160" s="151"/>
      <c r="AI160" s="151"/>
      <c r="AJ160" s="151"/>
      <c r="AK160" s="151"/>
      <c r="AL160" s="151"/>
      <c r="AM160" s="151"/>
      <c r="AN160" s="151"/>
      <c r="AO160" s="151"/>
      <c r="AP160" s="151"/>
      <c r="AQ160" s="151"/>
      <c r="AR160" s="151"/>
      <c r="AS160" s="151"/>
      <c r="AT160" s="151"/>
      <c r="AU160" s="151"/>
      <c r="AV160" s="151"/>
      <c r="AW160" s="151"/>
      <c r="AX160" s="151"/>
      <c r="AY160" s="151"/>
      <c r="AZ160" s="151"/>
      <c r="BA160" s="151"/>
      <c r="BB160" s="151"/>
      <c r="BC160" s="151"/>
      <c r="BD160" s="151"/>
      <c r="BE160" s="151"/>
      <c r="BF160" s="151"/>
      <c r="BG160" s="151"/>
      <c r="BH160" s="151"/>
      <c r="BI160" s="151"/>
      <c r="BJ160" s="151"/>
      <c r="BK160" s="151"/>
      <c r="BL160" s="151"/>
      <c r="BM160" s="267" t="s">
        <v>5900</v>
      </c>
      <c r="BN160" s="268">
        <v>8</v>
      </c>
      <c r="BO160" s="268">
        <v>-1</v>
      </c>
      <c r="BP160" s="268">
        <v>2</v>
      </c>
      <c r="BQ160" s="266"/>
      <c r="BR160" s="266"/>
      <c r="BS160" s="266"/>
      <c r="BT160" s="266"/>
      <c r="BU160" s="266"/>
      <c r="BV160" s="266"/>
    </row>
    <row r="161" spans="15:74" ht="17.25">
      <c r="O161" s="30">
        <v>158</v>
      </c>
      <c r="P161" s="30" t="s">
        <v>666</v>
      </c>
      <c r="U161" s="156">
        <v>26</v>
      </c>
      <c r="V161" s="156">
        <f t="shared" si="0"/>
        <v>8</v>
      </c>
      <c r="W161" s="153"/>
      <c r="X161" s="153"/>
      <c r="Y161" s="153"/>
      <c r="Z161" s="153"/>
      <c r="AA161" s="153"/>
      <c r="AB161" s="153"/>
      <c r="AC161" s="153"/>
      <c r="AD161" s="151"/>
      <c r="AE161" s="151"/>
      <c r="AF161" s="151"/>
      <c r="AG161" s="151"/>
      <c r="AH161" s="151"/>
      <c r="AI161" s="151"/>
      <c r="AJ161" s="151"/>
      <c r="AK161" s="151"/>
      <c r="AL161" s="151"/>
      <c r="AM161" s="151"/>
      <c r="AN161" s="151"/>
      <c r="AO161" s="151"/>
      <c r="AP161" s="151"/>
      <c r="AQ161" s="151"/>
      <c r="AR161" s="151"/>
      <c r="AS161" s="151"/>
      <c r="AT161" s="151"/>
      <c r="AU161" s="151"/>
      <c r="AV161" s="151"/>
      <c r="AW161" s="151"/>
      <c r="AX161" s="151"/>
      <c r="AY161" s="151"/>
      <c r="AZ161" s="151"/>
      <c r="BA161" s="151"/>
      <c r="BB161" s="151"/>
      <c r="BC161" s="151"/>
      <c r="BD161" s="151"/>
      <c r="BE161" s="151"/>
      <c r="BF161" s="151"/>
      <c r="BG161" s="151"/>
      <c r="BH161" s="151"/>
      <c r="BI161" s="151"/>
      <c r="BJ161" s="151"/>
      <c r="BK161" s="151"/>
      <c r="BL161" s="151"/>
      <c r="BM161" s="267" t="s">
        <v>5899</v>
      </c>
      <c r="BN161" s="268">
        <v>2</v>
      </c>
      <c r="BO161" s="268">
        <v>0</v>
      </c>
      <c r="BP161" s="268">
        <v>0</v>
      </c>
      <c r="BQ161" s="266"/>
      <c r="BR161" s="266"/>
      <c r="BS161" s="266"/>
      <c r="BT161" s="266"/>
      <c r="BU161" s="266"/>
      <c r="BV161" s="266"/>
    </row>
    <row r="162" spans="15:74" ht="17.25">
      <c r="O162" s="30">
        <v>159</v>
      </c>
      <c r="P162" s="30" t="s">
        <v>667</v>
      </c>
      <c r="U162" s="156">
        <v>27</v>
      </c>
      <c r="V162" s="156">
        <f t="shared" si="0"/>
        <v>8</v>
      </c>
      <c r="W162" s="153"/>
      <c r="X162" s="153"/>
      <c r="Y162" s="153"/>
      <c r="Z162" s="153"/>
      <c r="AA162" s="153"/>
      <c r="AB162" s="153"/>
      <c r="AC162" s="153"/>
      <c r="AD162" s="151"/>
      <c r="AE162" s="151"/>
      <c r="AF162" s="151"/>
      <c r="AG162" s="151"/>
      <c r="AH162" s="151"/>
      <c r="AI162" s="151"/>
      <c r="AJ162" s="151"/>
      <c r="AK162" s="151"/>
      <c r="AL162" s="151"/>
      <c r="AM162" s="151"/>
      <c r="AN162" s="151"/>
      <c r="AO162" s="151"/>
      <c r="AP162" s="151"/>
      <c r="AQ162" s="151"/>
      <c r="AR162" s="151"/>
      <c r="AS162" s="151"/>
      <c r="AT162" s="151"/>
      <c r="AU162" s="151"/>
      <c r="AV162" s="151"/>
      <c r="AW162" s="151"/>
      <c r="AX162" s="151"/>
      <c r="AY162" s="151"/>
      <c r="AZ162" s="151"/>
      <c r="BA162" s="151"/>
      <c r="BB162" s="151"/>
      <c r="BC162" s="151"/>
      <c r="BD162" s="151"/>
      <c r="BE162" s="151"/>
      <c r="BF162" s="151"/>
      <c r="BG162" s="151"/>
      <c r="BH162" s="151"/>
      <c r="BI162" s="151"/>
      <c r="BJ162" s="151"/>
      <c r="BK162" s="151"/>
      <c r="BL162" s="151"/>
      <c r="BM162" s="267" t="s">
        <v>5898</v>
      </c>
      <c r="BN162" s="268">
        <v>0.5</v>
      </c>
      <c r="BO162" s="268">
        <v>0</v>
      </c>
      <c r="BP162" s="268">
        <v>0</v>
      </c>
      <c r="BQ162" s="266"/>
      <c r="BR162" s="266"/>
      <c r="BS162" s="266"/>
      <c r="BT162" s="266"/>
      <c r="BU162" s="266"/>
      <c r="BV162" s="266"/>
    </row>
    <row r="163" spans="15:74" ht="17.25">
      <c r="O163" s="30">
        <v>160</v>
      </c>
      <c r="P163" s="30" t="s">
        <v>1707</v>
      </c>
      <c r="U163" s="156">
        <v>28</v>
      </c>
      <c r="V163" s="156">
        <f t="shared" si="0"/>
        <v>9</v>
      </c>
      <c r="W163" s="153"/>
      <c r="X163" s="153"/>
      <c r="Y163" s="153"/>
      <c r="Z163" s="153"/>
      <c r="AA163" s="153"/>
      <c r="AB163" s="153"/>
      <c r="AC163" s="153"/>
      <c r="AD163" s="151"/>
      <c r="AE163" s="151"/>
      <c r="AF163" s="151"/>
      <c r="AG163" s="151"/>
      <c r="AH163" s="151"/>
      <c r="AI163" s="151"/>
      <c r="AJ163" s="151"/>
      <c r="AK163" s="151"/>
      <c r="AL163" s="151"/>
      <c r="AM163" s="151"/>
      <c r="AN163" s="151"/>
      <c r="AO163" s="151"/>
      <c r="AP163" s="151"/>
      <c r="AQ163" s="151"/>
      <c r="AR163" s="151"/>
      <c r="AS163" s="151"/>
      <c r="AT163" s="151"/>
      <c r="AU163" s="151"/>
      <c r="AV163" s="151"/>
      <c r="AW163" s="151"/>
      <c r="AX163" s="151"/>
      <c r="AY163" s="151"/>
      <c r="AZ163" s="151"/>
      <c r="BA163" s="151"/>
      <c r="BB163" s="151"/>
      <c r="BC163" s="151"/>
      <c r="BD163" s="151"/>
      <c r="BE163" s="151"/>
      <c r="BF163" s="151"/>
      <c r="BG163" s="151"/>
      <c r="BH163" s="151"/>
      <c r="BI163" s="151"/>
      <c r="BJ163" s="151"/>
      <c r="BK163" s="151"/>
      <c r="BL163" s="151"/>
      <c r="BM163" s="267" t="s">
        <v>5897</v>
      </c>
      <c r="BN163" s="268">
        <v>1</v>
      </c>
      <c r="BO163" s="268">
        <v>0</v>
      </c>
      <c r="BP163" s="268">
        <v>0</v>
      </c>
      <c r="BQ163" s="266"/>
      <c r="BR163" s="266"/>
      <c r="BS163" s="266"/>
      <c r="BT163" s="266"/>
      <c r="BU163" s="266"/>
      <c r="BV163" s="266"/>
    </row>
    <row r="164" spans="15:74" ht="17.25">
      <c r="O164" s="30">
        <v>161</v>
      </c>
      <c r="P164" s="30" t="s">
        <v>668</v>
      </c>
      <c r="U164" s="156">
        <v>29</v>
      </c>
      <c r="V164" s="156">
        <f t="shared" si="0"/>
        <v>9</v>
      </c>
      <c r="W164" s="153"/>
      <c r="X164" s="153"/>
      <c r="Y164" s="153"/>
      <c r="Z164" s="153"/>
      <c r="AA164" s="153"/>
      <c r="AB164" s="153"/>
      <c r="AC164" s="153"/>
      <c r="AD164" s="151"/>
      <c r="AE164" s="151"/>
      <c r="AF164" s="151"/>
      <c r="AG164" s="151"/>
      <c r="AH164" s="151"/>
      <c r="AI164" s="151"/>
      <c r="AJ164" s="151"/>
      <c r="AK164" s="151"/>
      <c r="AL164" s="151"/>
      <c r="AM164" s="151"/>
      <c r="AN164" s="151"/>
      <c r="AO164" s="151"/>
      <c r="AP164" s="151"/>
      <c r="AQ164" s="151"/>
      <c r="AR164" s="151"/>
      <c r="AS164" s="151"/>
      <c r="AT164" s="151"/>
      <c r="AU164" s="151"/>
      <c r="AV164" s="151"/>
      <c r="AW164" s="151"/>
      <c r="AX164" s="151"/>
      <c r="AY164" s="151"/>
      <c r="AZ164" s="151"/>
      <c r="BA164" s="151"/>
      <c r="BB164" s="151"/>
      <c r="BC164" s="151"/>
      <c r="BD164" s="151"/>
      <c r="BE164" s="151"/>
      <c r="BF164" s="151"/>
      <c r="BG164" s="151"/>
      <c r="BH164" s="151"/>
      <c r="BI164" s="151"/>
      <c r="BJ164" s="151"/>
      <c r="BK164" s="151"/>
      <c r="BL164" s="151"/>
      <c r="BM164" s="267" t="s">
        <v>5896</v>
      </c>
      <c r="BN164" s="268">
        <v>7</v>
      </c>
      <c r="BO164" s="268">
        <v>0</v>
      </c>
      <c r="BP164" s="268">
        <v>0</v>
      </c>
      <c r="BQ164" s="266"/>
      <c r="BR164" s="266"/>
      <c r="BS164" s="266"/>
      <c r="BT164" s="266"/>
      <c r="BU164" s="266"/>
      <c r="BV164" s="266"/>
    </row>
    <row r="165" spans="15:74" ht="17.25">
      <c r="O165" s="30">
        <v>162</v>
      </c>
      <c r="P165" s="30" t="s">
        <v>1708</v>
      </c>
      <c r="U165" s="156">
        <v>30</v>
      </c>
      <c r="V165" s="156">
        <f t="shared" si="0"/>
        <v>10</v>
      </c>
      <c r="W165" s="153"/>
      <c r="X165" s="153"/>
      <c r="Y165" s="153"/>
      <c r="Z165" s="153"/>
      <c r="AA165" s="153"/>
      <c r="AB165" s="153"/>
      <c r="AC165" s="153"/>
      <c r="AD165" s="151"/>
      <c r="AE165" s="151"/>
      <c r="AF165" s="151"/>
      <c r="AG165" s="151"/>
      <c r="AH165" s="151"/>
      <c r="AI165" s="151"/>
      <c r="AJ165" s="151"/>
      <c r="AK165" s="151"/>
      <c r="AL165" s="151"/>
      <c r="AM165" s="151"/>
      <c r="AN165" s="151"/>
      <c r="AO165" s="151"/>
      <c r="AP165" s="151"/>
      <c r="AQ165" s="151"/>
      <c r="AR165" s="151"/>
      <c r="AS165" s="151"/>
      <c r="AT165" s="151"/>
      <c r="AU165" s="151"/>
      <c r="AV165" s="151"/>
      <c r="AW165" s="151"/>
      <c r="AX165" s="151"/>
      <c r="AY165" s="151"/>
      <c r="AZ165" s="151"/>
      <c r="BA165" s="151"/>
      <c r="BB165" s="151"/>
      <c r="BC165" s="151"/>
      <c r="BD165" s="151"/>
      <c r="BE165" s="151"/>
      <c r="BF165" s="151"/>
      <c r="BG165" s="151"/>
      <c r="BH165" s="151"/>
      <c r="BI165" s="151"/>
      <c r="BJ165" s="151"/>
      <c r="BK165" s="151"/>
      <c r="BL165" s="151"/>
      <c r="BM165" s="267" t="s">
        <v>5895</v>
      </c>
      <c r="BN165" s="268">
        <v>4</v>
      </c>
      <c r="BO165" s="268">
        <v>0</v>
      </c>
      <c r="BP165" s="268">
        <v>0</v>
      </c>
      <c r="BQ165" s="266"/>
      <c r="BR165" s="266"/>
      <c r="BS165" s="266"/>
      <c r="BT165" s="266"/>
      <c r="BU165" s="266"/>
      <c r="BV165" s="266"/>
    </row>
    <row r="166" spans="15:74" ht="17.25">
      <c r="O166" s="30">
        <v>163</v>
      </c>
      <c r="P166" s="30" t="s">
        <v>669</v>
      </c>
      <c r="U166" s="154"/>
      <c r="V166" s="153"/>
      <c r="W166" s="153"/>
      <c r="X166" s="153"/>
      <c r="Y166" s="153"/>
      <c r="Z166" s="153"/>
      <c r="AA166" s="153"/>
      <c r="AB166" s="153"/>
      <c r="AC166" s="153"/>
      <c r="AD166" s="151"/>
      <c r="AE166" s="151"/>
      <c r="AF166" s="151"/>
      <c r="AG166" s="151"/>
      <c r="AH166" s="151"/>
      <c r="AI166" s="151"/>
      <c r="AJ166" s="151"/>
      <c r="AK166" s="151"/>
      <c r="AL166" s="151"/>
      <c r="AM166" s="151"/>
      <c r="AN166" s="151"/>
      <c r="AO166" s="151"/>
      <c r="AP166" s="151"/>
      <c r="AQ166" s="151"/>
      <c r="AR166" s="151"/>
      <c r="AS166" s="151"/>
      <c r="AT166" s="151"/>
      <c r="AU166" s="151"/>
      <c r="AV166" s="151"/>
      <c r="AW166" s="151"/>
      <c r="AX166" s="151"/>
      <c r="AY166" s="151"/>
      <c r="AZ166" s="151"/>
      <c r="BA166" s="151"/>
      <c r="BB166" s="151"/>
      <c r="BC166" s="151"/>
      <c r="BD166" s="151"/>
      <c r="BE166" s="151"/>
      <c r="BF166" s="151"/>
      <c r="BG166" s="151"/>
      <c r="BH166" s="151"/>
      <c r="BI166" s="151"/>
      <c r="BJ166" s="151"/>
      <c r="BK166" s="151"/>
      <c r="BL166" s="151"/>
      <c r="BM166" s="267" t="s">
        <v>5894</v>
      </c>
      <c r="BN166" s="268">
        <v>20</v>
      </c>
      <c r="BO166" s="268">
        <v>0</v>
      </c>
      <c r="BP166" s="268">
        <v>0</v>
      </c>
      <c r="BQ166" s="266"/>
      <c r="BR166" s="266"/>
      <c r="BS166" s="266"/>
      <c r="BT166" s="266"/>
      <c r="BU166" s="266"/>
      <c r="BV166" s="266"/>
    </row>
    <row r="167" spans="15:74" ht="17.25">
      <c r="O167" s="30">
        <v>164</v>
      </c>
      <c r="P167" s="30" t="s">
        <v>1709</v>
      </c>
      <c r="U167" s="3972" t="s">
        <v>5828</v>
      </c>
      <c r="V167" s="2707"/>
      <c r="W167" s="2707"/>
      <c r="X167" s="153"/>
      <c r="Y167" s="153"/>
      <c r="Z167" s="153"/>
      <c r="AA167" s="153"/>
      <c r="AB167" s="153"/>
      <c r="AC167" s="153"/>
      <c r="AD167" s="151"/>
      <c r="AE167" s="151"/>
      <c r="AF167" s="151"/>
      <c r="AG167" s="151"/>
      <c r="AH167" s="151"/>
      <c r="AI167" s="151"/>
      <c r="AJ167" s="151"/>
      <c r="AK167" s="151"/>
      <c r="AL167" s="151"/>
      <c r="AM167" s="151"/>
      <c r="AN167" s="151"/>
      <c r="AO167" s="151"/>
      <c r="AP167" s="151"/>
      <c r="AQ167" s="151"/>
      <c r="AR167" s="151"/>
      <c r="AS167" s="151"/>
      <c r="AT167" s="151"/>
      <c r="AU167" s="151"/>
      <c r="AV167" s="151"/>
      <c r="AW167" s="151"/>
      <c r="AX167" s="151"/>
      <c r="AY167" s="151"/>
      <c r="AZ167" s="151"/>
      <c r="BA167" s="151"/>
      <c r="BB167" s="151"/>
      <c r="BC167" s="151"/>
      <c r="BD167" s="151"/>
      <c r="BE167" s="151"/>
      <c r="BF167" s="151"/>
      <c r="BG167" s="151"/>
      <c r="BH167" s="151"/>
      <c r="BI167" s="151"/>
      <c r="BJ167" s="151"/>
      <c r="BK167" s="151"/>
      <c r="BL167" s="151"/>
      <c r="BM167" s="267" t="s">
        <v>5893</v>
      </c>
      <c r="BN167" s="268">
        <v>20</v>
      </c>
      <c r="BO167" s="268">
        <v>-1</v>
      </c>
      <c r="BP167" s="268">
        <v>4</v>
      </c>
      <c r="BQ167" s="266"/>
      <c r="BR167" s="266"/>
      <c r="BS167" s="266"/>
      <c r="BT167" s="266"/>
      <c r="BU167" s="266"/>
      <c r="BV167" s="266"/>
    </row>
    <row r="168" spans="15:74" ht="17.25">
      <c r="O168" s="30">
        <v>165</v>
      </c>
      <c r="P168" s="30" t="s">
        <v>670</v>
      </c>
      <c r="U168" s="148" t="s">
        <v>5796</v>
      </c>
      <c r="V168" s="148" t="s">
        <v>5827</v>
      </c>
      <c r="W168" s="148" t="s">
        <v>5826</v>
      </c>
      <c r="X168" s="153"/>
      <c r="Y168" s="153"/>
      <c r="Z168" s="153"/>
      <c r="AA168" s="153"/>
      <c r="AB168" s="153"/>
      <c r="AC168" s="153"/>
      <c r="AD168" s="151"/>
      <c r="AE168" s="151"/>
      <c r="AF168" s="151"/>
      <c r="AG168" s="151"/>
      <c r="AH168" s="151"/>
      <c r="AI168" s="151"/>
      <c r="AJ168" s="151"/>
      <c r="AK168" s="151"/>
      <c r="AL168" s="151"/>
      <c r="AM168" s="151"/>
      <c r="AN168" s="151"/>
      <c r="AO168" s="151"/>
      <c r="AP168" s="151"/>
      <c r="AQ168" s="151"/>
      <c r="AR168" s="151"/>
      <c r="AS168" s="151"/>
      <c r="AT168" s="151"/>
      <c r="AU168" s="151"/>
      <c r="AV168" s="151"/>
      <c r="AW168" s="151"/>
      <c r="AX168" s="151"/>
      <c r="AY168" s="151"/>
      <c r="AZ168" s="151"/>
      <c r="BA168" s="151"/>
      <c r="BB168" s="151"/>
      <c r="BC168" s="151"/>
      <c r="BD168" s="151"/>
      <c r="BE168" s="151"/>
      <c r="BF168" s="151"/>
      <c r="BG168" s="151"/>
      <c r="BH168" s="151"/>
      <c r="BI168" s="151"/>
      <c r="BJ168" s="151"/>
      <c r="BK168" s="151"/>
      <c r="BL168" s="151"/>
      <c r="BM168" s="267" t="s">
        <v>5892</v>
      </c>
      <c r="BN168" s="268">
        <v>25</v>
      </c>
      <c r="BO168" s="268">
        <v>-2</v>
      </c>
      <c r="BP168" s="268">
        <v>6</v>
      </c>
      <c r="BQ168" s="266"/>
      <c r="BR168" s="266"/>
      <c r="BS168" s="266"/>
      <c r="BT168" s="266"/>
      <c r="BU168" s="266"/>
      <c r="BV168" s="266"/>
    </row>
    <row r="169" spans="15:74" ht="17.25">
      <c r="O169" s="30">
        <v>166</v>
      </c>
      <c r="P169" s="30" t="s">
        <v>602</v>
      </c>
      <c r="U169" s="148">
        <v>0</v>
      </c>
      <c r="V169" s="148">
        <v>10</v>
      </c>
      <c r="W169" s="148">
        <f>2</f>
        <v>2</v>
      </c>
      <c r="X169" s="153"/>
      <c r="Y169" s="153"/>
      <c r="Z169" s="153"/>
      <c r="AA169" s="153"/>
      <c r="AB169" s="153"/>
      <c r="AC169" s="153"/>
      <c r="AD169" s="151"/>
      <c r="AE169" s="151"/>
      <c r="AF169" s="151"/>
      <c r="AG169" s="151"/>
      <c r="AH169" s="151"/>
      <c r="AI169" s="151"/>
      <c r="AJ169" s="151"/>
      <c r="AK169" s="151"/>
      <c r="AL169" s="151"/>
      <c r="AM169" s="151"/>
      <c r="AN169" s="151"/>
      <c r="AO169" s="151"/>
      <c r="AP169" s="151"/>
      <c r="AQ169" s="151"/>
      <c r="AR169" s="151"/>
      <c r="AS169" s="151"/>
      <c r="AT169" s="151"/>
      <c r="AU169" s="151"/>
      <c r="AV169" s="151"/>
      <c r="AW169" s="151"/>
      <c r="AX169" s="151"/>
      <c r="AY169" s="151"/>
      <c r="AZ169" s="151"/>
      <c r="BA169" s="151"/>
      <c r="BB169" s="151"/>
      <c r="BC169" s="151"/>
      <c r="BD169" s="151"/>
      <c r="BE169" s="151"/>
      <c r="BF169" s="151"/>
      <c r="BG169" s="151"/>
      <c r="BH169" s="151"/>
      <c r="BI169" s="151"/>
      <c r="BJ169" s="151"/>
      <c r="BK169" s="151"/>
      <c r="BL169" s="151"/>
      <c r="BM169" s="266"/>
      <c r="BN169" s="266"/>
      <c r="BO169" s="266"/>
      <c r="BP169" s="266"/>
      <c r="BQ169" s="266"/>
      <c r="BR169" s="266"/>
      <c r="BS169" s="266"/>
      <c r="BT169" s="266"/>
      <c r="BU169" s="266"/>
      <c r="BV169" s="266"/>
    </row>
    <row r="170" spans="15:74" ht="17.25">
      <c r="O170" s="30">
        <v>167</v>
      </c>
      <c r="P170" s="30" t="s">
        <v>671</v>
      </c>
      <c r="U170" s="148">
        <v>0.125</v>
      </c>
      <c r="V170" s="148">
        <v>25</v>
      </c>
      <c r="W170" s="148">
        <f>2</f>
        <v>2</v>
      </c>
      <c r="X170" s="153"/>
      <c r="Y170" s="153"/>
      <c r="Z170" s="153"/>
      <c r="AA170" s="153"/>
      <c r="AB170" s="153"/>
      <c r="AC170" s="153"/>
      <c r="AD170" s="151"/>
      <c r="AE170" s="151"/>
      <c r="AF170" s="151"/>
      <c r="AG170" s="151"/>
      <c r="AH170" s="151"/>
      <c r="AI170" s="151"/>
      <c r="AJ170" s="151"/>
      <c r="AK170" s="151"/>
      <c r="AL170" s="151"/>
      <c r="AM170" s="151"/>
      <c r="AN170" s="151"/>
      <c r="AO170" s="151"/>
      <c r="AP170" s="151"/>
      <c r="AQ170" s="151"/>
      <c r="AR170" s="151"/>
      <c r="AS170" s="151"/>
      <c r="AT170" s="151"/>
      <c r="AU170" s="151"/>
      <c r="AV170" s="151"/>
      <c r="AW170" s="151"/>
      <c r="AX170" s="151"/>
      <c r="AY170" s="151"/>
      <c r="AZ170" s="151"/>
      <c r="BA170" s="151"/>
      <c r="BB170" s="151"/>
      <c r="BC170" s="151"/>
      <c r="BD170" s="151"/>
      <c r="BE170" s="151"/>
      <c r="BF170" s="151"/>
      <c r="BG170" s="151"/>
      <c r="BH170" s="151"/>
      <c r="BI170" s="151"/>
      <c r="BJ170" s="151"/>
      <c r="BK170" s="151"/>
      <c r="BL170" s="151"/>
      <c r="BM170" s="267" t="s">
        <v>5891</v>
      </c>
      <c r="BN170" s="267" t="s">
        <v>5890</v>
      </c>
      <c r="BO170" s="267" t="s">
        <v>5889</v>
      </c>
      <c r="BP170" s="267" t="s">
        <v>5888</v>
      </c>
      <c r="BQ170" s="266"/>
      <c r="BR170" s="266"/>
      <c r="BS170" s="266"/>
      <c r="BT170" s="266"/>
      <c r="BU170" s="266"/>
      <c r="BV170" s="266"/>
    </row>
    <row r="171" spans="15:74" ht="17.25">
      <c r="O171" s="30">
        <v>168</v>
      </c>
      <c r="P171" s="30" t="s">
        <v>1710</v>
      </c>
      <c r="U171" s="148">
        <v>0.25</v>
      </c>
      <c r="V171" s="148">
        <v>50</v>
      </c>
      <c r="W171" s="148">
        <f>2</f>
        <v>2</v>
      </c>
      <c r="X171" s="153"/>
      <c r="Y171" s="153"/>
      <c r="Z171" s="153"/>
      <c r="AA171" s="153"/>
      <c r="AB171" s="153"/>
      <c r="AC171" s="153"/>
      <c r="AD171" s="151"/>
      <c r="AE171" s="151"/>
      <c r="AF171" s="151"/>
      <c r="AG171" s="151"/>
      <c r="AH171" s="151"/>
      <c r="AI171" s="151"/>
      <c r="AJ171" s="151"/>
      <c r="AK171" s="151"/>
      <c r="AL171" s="151"/>
      <c r="AM171" s="151"/>
      <c r="AN171" s="151"/>
      <c r="AO171" s="151"/>
      <c r="AP171" s="151"/>
      <c r="AQ171" s="151"/>
      <c r="AR171" s="151"/>
      <c r="AS171" s="151"/>
      <c r="AT171" s="151"/>
      <c r="AU171" s="151"/>
      <c r="AV171" s="151"/>
      <c r="AW171" s="151"/>
      <c r="AX171" s="151"/>
      <c r="AY171" s="151"/>
      <c r="AZ171" s="151"/>
      <c r="BA171" s="151"/>
      <c r="BB171" s="151"/>
      <c r="BC171" s="151"/>
      <c r="BD171" s="151"/>
      <c r="BE171" s="151"/>
      <c r="BF171" s="151"/>
      <c r="BG171" s="151"/>
      <c r="BH171" s="151"/>
      <c r="BI171" s="151"/>
      <c r="BJ171" s="151"/>
      <c r="BK171" s="151"/>
      <c r="BL171" s="151"/>
      <c r="BM171" s="267" t="s">
        <v>11</v>
      </c>
      <c r="BN171" s="267">
        <v>1</v>
      </c>
      <c r="BO171" s="267">
        <v>0</v>
      </c>
      <c r="BP171" s="267">
        <v>0</v>
      </c>
      <c r="BQ171" s="266"/>
      <c r="BR171" s="266"/>
      <c r="BS171" s="266"/>
      <c r="BT171" s="266"/>
      <c r="BU171" s="266"/>
      <c r="BV171" s="266"/>
    </row>
    <row r="172" spans="15:74" ht="17.25">
      <c r="O172" s="30">
        <v>169</v>
      </c>
      <c r="P172" s="30" t="s">
        <v>672</v>
      </c>
      <c r="U172" s="148">
        <v>0.5</v>
      </c>
      <c r="V172" s="148">
        <v>100</v>
      </c>
      <c r="W172" s="148">
        <f>2</f>
        <v>2</v>
      </c>
      <c r="X172" s="153"/>
      <c r="Y172" s="153"/>
      <c r="Z172" s="153"/>
      <c r="AA172" s="153"/>
      <c r="AB172" s="153"/>
      <c r="AC172" s="153"/>
      <c r="AD172" s="151"/>
      <c r="AE172" s="151"/>
      <c r="AF172" s="151"/>
      <c r="AG172" s="151"/>
      <c r="AH172" s="151"/>
      <c r="AI172" s="151"/>
      <c r="AJ172" s="151"/>
      <c r="AK172" s="151"/>
      <c r="AL172" s="151"/>
      <c r="AM172" s="151"/>
      <c r="AN172" s="151"/>
      <c r="AO172" s="151"/>
      <c r="AP172" s="151"/>
      <c r="AQ172" s="151"/>
      <c r="AR172" s="151"/>
      <c r="AS172" s="151"/>
      <c r="AT172" s="151"/>
      <c r="AU172" s="151"/>
      <c r="AV172" s="151"/>
      <c r="AW172" s="151"/>
      <c r="AX172" s="151"/>
      <c r="AY172" s="151"/>
      <c r="AZ172" s="151"/>
      <c r="BA172" s="151"/>
      <c r="BB172" s="151"/>
      <c r="BC172" s="151"/>
      <c r="BD172" s="151"/>
      <c r="BE172" s="151"/>
      <c r="BF172" s="151"/>
      <c r="BG172" s="151"/>
      <c r="BH172" s="151"/>
      <c r="BI172" s="151"/>
      <c r="BJ172" s="151"/>
      <c r="BK172" s="151"/>
      <c r="BL172" s="151"/>
      <c r="BM172" s="267" t="s">
        <v>5887</v>
      </c>
      <c r="BN172" s="267">
        <v>2</v>
      </c>
      <c r="BO172" s="267">
        <v>5</v>
      </c>
      <c r="BP172" s="267">
        <v>0</v>
      </c>
      <c r="BQ172" s="266"/>
      <c r="BR172" s="266"/>
      <c r="BS172" s="266"/>
      <c r="BT172" s="266"/>
      <c r="BU172" s="266"/>
      <c r="BV172" s="266"/>
    </row>
    <row r="173" spans="15:74" ht="17.25">
      <c r="O173" s="30">
        <v>170</v>
      </c>
      <c r="P173" s="30" t="s">
        <v>673</v>
      </c>
      <c r="U173" s="148">
        <v>1</v>
      </c>
      <c r="V173" s="148">
        <v>200</v>
      </c>
      <c r="W173" s="148">
        <f>2</f>
        <v>2</v>
      </c>
      <c r="X173" s="153"/>
      <c r="Y173" s="153"/>
      <c r="Z173" s="153"/>
      <c r="AA173" s="153"/>
      <c r="AB173" s="153"/>
      <c r="AC173" s="153"/>
      <c r="AD173" s="151"/>
      <c r="AE173" s="151"/>
      <c r="AF173" s="151"/>
      <c r="AG173" s="151"/>
      <c r="AH173" s="151"/>
      <c r="AI173" s="151"/>
      <c r="AJ173" s="151"/>
      <c r="AK173" s="151"/>
      <c r="AL173" s="151"/>
      <c r="AM173" s="151"/>
      <c r="AN173" s="151"/>
      <c r="AO173" s="151"/>
      <c r="AP173" s="151"/>
      <c r="AQ173" s="151"/>
      <c r="AR173" s="151"/>
      <c r="AS173" s="151"/>
      <c r="AT173" s="151"/>
      <c r="AU173" s="151"/>
      <c r="AV173" s="151"/>
      <c r="AW173" s="151"/>
      <c r="AX173" s="151"/>
      <c r="AY173" s="151"/>
      <c r="AZ173" s="151"/>
      <c r="BA173" s="151"/>
      <c r="BB173" s="151"/>
      <c r="BC173" s="151"/>
      <c r="BD173" s="151"/>
      <c r="BE173" s="151"/>
      <c r="BF173" s="151"/>
      <c r="BG173" s="151"/>
      <c r="BH173" s="151"/>
      <c r="BI173" s="151"/>
      <c r="BJ173" s="151"/>
      <c r="BK173" s="151"/>
      <c r="BL173" s="151"/>
      <c r="BM173" s="267" t="s">
        <v>5886</v>
      </c>
      <c r="BN173" s="267">
        <v>0.5</v>
      </c>
      <c r="BO173" s="267">
        <v>0</v>
      </c>
      <c r="BP173" s="267">
        <v>0</v>
      </c>
      <c r="BQ173" s="266"/>
      <c r="BR173" s="266"/>
      <c r="BS173" s="266"/>
      <c r="BT173" s="266"/>
      <c r="BU173" s="266"/>
      <c r="BV173" s="266"/>
    </row>
    <row r="174" spans="15:74" ht="17.25">
      <c r="O174" s="30">
        <v>171</v>
      </c>
      <c r="P174" s="30" t="s">
        <v>1711</v>
      </c>
      <c r="U174" s="148">
        <v>2</v>
      </c>
      <c r="V174" s="148">
        <v>450</v>
      </c>
      <c r="W174" s="148">
        <f>2</f>
        <v>2</v>
      </c>
      <c r="X174" s="153"/>
      <c r="Y174" s="153"/>
      <c r="Z174" s="153"/>
      <c r="AA174" s="153"/>
      <c r="AB174" s="153"/>
      <c r="AC174" s="153"/>
      <c r="AD174" s="151"/>
      <c r="AE174" s="151"/>
      <c r="AF174" s="151"/>
      <c r="AG174" s="151"/>
      <c r="AH174" s="151"/>
      <c r="AI174" s="151"/>
      <c r="AJ174" s="151"/>
      <c r="AK174" s="151"/>
      <c r="AL174" s="151"/>
      <c r="AM174" s="151"/>
      <c r="AN174" s="151"/>
      <c r="AO174" s="151"/>
      <c r="AP174" s="151"/>
      <c r="AQ174" s="151"/>
      <c r="AR174" s="151"/>
      <c r="AS174" s="151"/>
      <c r="AT174" s="151"/>
      <c r="AU174" s="151"/>
      <c r="AV174" s="151"/>
      <c r="AW174" s="151"/>
      <c r="AX174" s="151"/>
      <c r="AY174" s="151"/>
      <c r="AZ174" s="151"/>
      <c r="BA174" s="151"/>
      <c r="BB174" s="151"/>
      <c r="BC174" s="151"/>
      <c r="BD174" s="151"/>
      <c r="BE174" s="151"/>
      <c r="BF174" s="151"/>
      <c r="BG174" s="151"/>
      <c r="BH174" s="151"/>
      <c r="BI174" s="151"/>
      <c r="BJ174" s="151"/>
      <c r="BK174" s="151"/>
      <c r="BL174" s="151"/>
      <c r="BM174" s="267" t="s">
        <v>5885</v>
      </c>
      <c r="BN174" s="267">
        <v>0.25</v>
      </c>
      <c r="BO174" s="267">
        <v>0</v>
      </c>
      <c r="BP174" s="267">
        <v>0</v>
      </c>
      <c r="BQ174" s="266"/>
      <c r="BR174" s="266"/>
      <c r="BS174" s="266"/>
      <c r="BT174" s="266"/>
      <c r="BU174" s="266"/>
      <c r="BV174" s="266"/>
    </row>
    <row r="175" spans="15:74" ht="17.25">
      <c r="O175" s="30">
        <v>172</v>
      </c>
      <c r="P175" s="30" t="s">
        <v>428</v>
      </c>
      <c r="U175" s="148">
        <v>3</v>
      </c>
      <c r="V175" s="148">
        <v>700</v>
      </c>
      <c r="W175" s="148">
        <f>2</f>
        <v>2</v>
      </c>
      <c r="X175" s="153"/>
      <c r="Y175" s="153"/>
      <c r="Z175" s="153"/>
      <c r="AA175" s="153"/>
      <c r="AB175" s="153"/>
      <c r="AC175" s="153"/>
      <c r="AD175" s="151"/>
      <c r="AE175" s="151"/>
      <c r="AF175" s="151"/>
      <c r="AG175" s="151"/>
      <c r="AH175" s="151"/>
      <c r="AI175" s="151"/>
      <c r="AJ175" s="151"/>
      <c r="AK175" s="151"/>
      <c r="AL175" s="151"/>
      <c r="AM175" s="151"/>
      <c r="AN175" s="151"/>
      <c r="AO175" s="151"/>
      <c r="AP175" s="151"/>
      <c r="AQ175" s="151"/>
      <c r="AR175" s="151"/>
      <c r="AS175" s="151"/>
      <c r="AT175" s="151"/>
      <c r="AU175" s="151"/>
      <c r="AV175" s="151"/>
      <c r="AW175" s="151"/>
      <c r="AX175" s="151"/>
      <c r="AY175" s="151"/>
      <c r="AZ175" s="151"/>
      <c r="BA175" s="151"/>
      <c r="BB175" s="151"/>
      <c r="BC175" s="151"/>
      <c r="BD175" s="151"/>
      <c r="BE175" s="151"/>
      <c r="BF175" s="151"/>
      <c r="BG175" s="151"/>
      <c r="BH175" s="151"/>
      <c r="BI175" s="151"/>
      <c r="BJ175" s="151"/>
      <c r="BK175" s="151"/>
      <c r="BL175" s="151"/>
      <c r="BM175" s="267" t="s">
        <v>5884</v>
      </c>
      <c r="BN175" s="267">
        <v>0.5</v>
      </c>
      <c r="BO175" s="267">
        <v>0</v>
      </c>
      <c r="BP175" s="267">
        <v>0</v>
      </c>
      <c r="BQ175" s="266"/>
      <c r="BR175" s="266"/>
      <c r="BS175" s="266"/>
      <c r="BT175" s="266"/>
      <c r="BU175" s="266"/>
      <c r="BV175" s="266"/>
    </row>
    <row r="176" spans="15:74" ht="17.25">
      <c r="O176" s="30">
        <v>173</v>
      </c>
      <c r="P176" s="30" t="s">
        <v>1721</v>
      </c>
      <c r="U176" s="148">
        <v>4</v>
      </c>
      <c r="V176" s="155">
        <v>1100</v>
      </c>
      <c r="W176" s="148">
        <f>2</f>
        <v>2</v>
      </c>
      <c r="X176" s="153"/>
      <c r="Y176" s="153"/>
      <c r="Z176" s="153"/>
      <c r="AA176" s="153"/>
      <c r="AB176" s="153"/>
      <c r="AC176" s="153"/>
      <c r="AD176" s="151"/>
      <c r="AE176" s="151"/>
      <c r="AF176" s="151"/>
      <c r="AG176" s="151"/>
      <c r="AH176" s="151"/>
      <c r="AI176" s="151"/>
      <c r="AJ176" s="151"/>
      <c r="AK176" s="151"/>
      <c r="AL176" s="151"/>
      <c r="AM176" s="151"/>
      <c r="AN176" s="151"/>
      <c r="AO176" s="151"/>
      <c r="AP176" s="151"/>
      <c r="AQ176" s="151"/>
      <c r="AR176" s="151"/>
      <c r="AS176" s="151"/>
      <c r="AT176" s="151"/>
      <c r="AU176" s="151"/>
      <c r="AV176" s="151"/>
      <c r="AW176" s="151"/>
      <c r="AX176" s="151"/>
      <c r="AY176" s="151"/>
      <c r="AZ176" s="151"/>
      <c r="BA176" s="151"/>
      <c r="BB176" s="151"/>
      <c r="BC176" s="151"/>
      <c r="BD176" s="151"/>
      <c r="BE176" s="151"/>
      <c r="BF176" s="151"/>
      <c r="BG176" s="151"/>
      <c r="BH176" s="151"/>
      <c r="BI176" s="151"/>
      <c r="BJ176" s="151"/>
      <c r="BK176" s="151"/>
      <c r="BL176" s="151"/>
      <c r="BM176" s="266"/>
      <c r="BN176" s="266"/>
      <c r="BO176" s="266"/>
      <c r="BP176" s="266"/>
      <c r="BQ176" s="266"/>
      <c r="BR176" s="266"/>
      <c r="BS176" s="266"/>
      <c r="BT176" s="266"/>
      <c r="BU176" s="266"/>
      <c r="BV176" s="266"/>
    </row>
    <row r="177" spans="15:74" ht="17.25">
      <c r="O177" s="30">
        <v>174</v>
      </c>
      <c r="P177" s="30" t="s">
        <v>674</v>
      </c>
      <c r="U177" s="148">
        <v>5</v>
      </c>
      <c r="V177" s="155">
        <v>1800</v>
      </c>
      <c r="W177" s="148">
        <f>3</f>
        <v>3</v>
      </c>
      <c r="X177" s="153"/>
      <c r="Y177" s="153"/>
      <c r="Z177" s="153"/>
      <c r="AA177" s="153"/>
      <c r="AB177" s="153"/>
      <c r="AC177" s="153"/>
      <c r="AD177" s="151"/>
      <c r="AE177" s="151"/>
      <c r="AF177" s="151"/>
      <c r="AG177" s="151"/>
      <c r="AH177" s="151"/>
      <c r="AI177" s="151"/>
      <c r="AJ177" s="151"/>
      <c r="AK177" s="151"/>
      <c r="AL177" s="151"/>
      <c r="AM177" s="151"/>
      <c r="AN177" s="151"/>
      <c r="AO177" s="151"/>
      <c r="AP177" s="151"/>
      <c r="AQ177" s="151"/>
      <c r="AR177" s="151"/>
      <c r="AS177" s="151"/>
      <c r="AT177" s="151"/>
      <c r="AU177" s="151"/>
      <c r="AV177" s="151"/>
      <c r="AW177" s="151"/>
      <c r="AX177" s="151"/>
      <c r="AY177" s="151"/>
      <c r="AZ177" s="151"/>
      <c r="BA177" s="151"/>
      <c r="BB177" s="151"/>
      <c r="BC177" s="151"/>
      <c r="BD177" s="151"/>
      <c r="BE177" s="151"/>
      <c r="BF177" s="151"/>
      <c r="BG177" s="151"/>
      <c r="BH177" s="151"/>
      <c r="BI177" s="151"/>
      <c r="BJ177" s="151"/>
      <c r="BK177" s="151"/>
      <c r="BL177" s="151"/>
      <c r="BM177" s="266"/>
      <c r="BN177" s="266"/>
      <c r="BO177" s="266"/>
      <c r="BP177" s="266"/>
      <c r="BQ177" s="266"/>
      <c r="BR177" s="266"/>
      <c r="BS177" s="266"/>
      <c r="BT177" s="266"/>
      <c r="BU177" s="266"/>
      <c r="BV177" s="266"/>
    </row>
    <row r="178" spans="15:74" ht="17.25">
      <c r="O178" s="30">
        <v>175</v>
      </c>
      <c r="P178" s="30" t="s">
        <v>1722</v>
      </c>
      <c r="U178" s="148">
        <v>6</v>
      </c>
      <c r="V178" s="155">
        <v>2300</v>
      </c>
      <c r="W178" s="148">
        <f>3</f>
        <v>3</v>
      </c>
      <c r="X178" s="153"/>
      <c r="Y178" s="153"/>
      <c r="Z178" s="153"/>
      <c r="AA178" s="153"/>
      <c r="AB178" s="153"/>
      <c r="AC178" s="153"/>
      <c r="AD178" s="151"/>
      <c r="AE178" s="151"/>
      <c r="AF178" s="151"/>
      <c r="AG178" s="151"/>
      <c r="AH178" s="151"/>
      <c r="AI178" s="151"/>
      <c r="AJ178" s="151"/>
      <c r="AK178" s="151"/>
      <c r="AL178" s="151"/>
      <c r="AM178" s="151"/>
      <c r="AN178" s="151"/>
      <c r="AO178" s="151"/>
      <c r="AP178" s="151"/>
      <c r="AQ178" s="151"/>
      <c r="AR178" s="151"/>
      <c r="AS178" s="151"/>
      <c r="AT178" s="151"/>
      <c r="AU178" s="151"/>
      <c r="AV178" s="151"/>
      <c r="AW178" s="151"/>
      <c r="AX178" s="151"/>
      <c r="AY178" s="151"/>
      <c r="AZ178" s="151"/>
      <c r="BA178" s="151"/>
      <c r="BB178" s="151"/>
      <c r="BC178" s="151"/>
      <c r="BD178" s="151"/>
      <c r="BE178" s="151"/>
      <c r="BF178" s="151"/>
      <c r="BG178" s="151"/>
      <c r="BH178" s="151"/>
      <c r="BI178" s="151"/>
      <c r="BJ178" s="151"/>
      <c r="BK178" s="151"/>
      <c r="BL178" s="151"/>
      <c r="BM178" s="266"/>
      <c r="BN178" s="266"/>
      <c r="BO178" s="266"/>
      <c r="BP178" s="266"/>
      <c r="BQ178" s="266"/>
      <c r="BR178" s="266"/>
      <c r="BS178" s="266"/>
      <c r="BT178" s="266"/>
      <c r="BU178" s="266"/>
      <c r="BV178" s="266"/>
    </row>
    <row r="179" spans="15:74" ht="17.25">
      <c r="O179" s="30">
        <v>176</v>
      </c>
      <c r="P179" s="30" t="s">
        <v>675</v>
      </c>
      <c r="U179" s="148">
        <v>7</v>
      </c>
      <c r="V179" s="155">
        <v>2900</v>
      </c>
      <c r="W179" s="148">
        <f>3</f>
        <v>3</v>
      </c>
      <c r="X179" s="153"/>
      <c r="Y179" s="153"/>
      <c r="Z179" s="153"/>
      <c r="AA179" s="153"/>
      <c r="AB179" s="153"/>
      <c r="AC179" s="153"/>
      <c r="AD179" s="151"/>
      <c r="AE179" s="151"/>
      <c r="AF179" s="151"/>
      <c r="AG179" s="151"/>
      <c r="AH179" s="151"/>
      <c r="AI179" s="151"/>
      <c r="AJ179" s="151"/>
      <c r="AK179" s="151"/>
      <c r="AL179" s="151"/>
      <c r="AM179" s="151"/>
      <c r="AN179" s="151"/>
      <c r="AO179" s="151"/>
      <c r="AP179" s="151"/>
      <c r="AQ179" s="151"/>
      <c r="AR179" s="151"/>
      <c r="AS179" s="151"/>
      <c r="AT179" s="151"/>
      <c r="AU179" s="151"/>
      <c r="AV179" s="151"/>
      <c r="AW179" s="151"/>
      <c r="AX179" s="151"/>
      <c r="AY179" s="151"/>
      <c r="AZ179" s="151"/>
      <c r="BA179" s="151"/>
      <c r="BB179" s="151"/>
      <c r="BC179" s="151"/>
      <c r="BD179" s="151"/>
      <c r="BE179" s="151"/>
      <c r="BF179" s="151"/>
      <c r="BG179" s="151"/>
      <c r="BH179" s="151"/>
      <c r="BI179" s="151"/>
      <c r="BJ179" s="151"/>
      <c r="BK179" s="151"/>
      <c r="BL179" s="151"/>
      <c r="BM179" s="266"/>
      <c r="BN179" s="266"/>
      <c r="BO179" s="266"/>
      <c r="BP179" s="266"/>
      <c r="BQ179" s="266"/>
      <c r="BR179" s="266"/>
      <c r="BS179" s="266"/>
      <c r="BT179" s="266"/>
      <c r="BU179" s="266"/>
      <c r="BV179" s="266"/>
    </row>
    <row r="180" spans="15:74" ht="17.25">
      <c r="O180" s="30">
        <v>177</v>
      </c>
      <c r="P180" s="30" t="s">
        <v>1712</v>
      </c>
      <c r="U180" s="148">
        <v>8</v>
      </c>
      <c r="V180" s="155">
        <v>3900</v>
      </c>
      <c r="W180" s="148">
        <f>3</f>
        <v>3</v>
      </c>
      <c r="X180" s="153"/>
      <c r="Y180" s="153"/>
      <c r="Z180" s="153"/>
      <c r="AA180" s="153"/>
      <c r="AB180" s="153"/>
      <c r="AC180" s="153"/>
      <c r="AD180" s="151"/>
      <c r="AE180" s="151"/>
      <c r="AF180" s="151"/>
      <c r="AG180" s="151"/>
      <c r="AH180" s="151"/>
      <c r="AI180" s="151"/>
      <c r="AJ180" s="151"/>
      <c r="AK180" s="151"/>
      <c r="AL180" s="151"/>
      <c r="AM180" s="151"/>
      <c r="AN180" s="151"/>
      <c r="AO180" s="151"/>
      <c r="AP180" s="151"/>
      <c r="AQ180" s="151"/>
      <c r="AR180" s="151"/>
      <c r="AS180" s="151"/>
      <c r="AT180" s="151"/>
      <c r="AU180" s="151"/>
      <c r="AV180" s="151"/>
      <c r="AW180" s="151"/>
      <c r="AX180" s="151"/>
      <c r="AY180" s="151"/>
      <c r="AZ180" s="151"/>
      <c r="BA180" s="151"/>
      <c r="BB180" s="151"/>
      <c r="BC180" s="151"/>
      <c r="BD180" s="151"/>
      <c r="BE180" s="151"/>
      <c r="BF180" s="151"/>
      <c r="BG180" s="151"/>
      <c r="BH180" s="151"/>
      <c r="BI180" s="151"/>
      <c r="BJ180" s="151"/>
      <c r="BK180" s="151"/>
      <c r="BL180" s="151"/>
      <c r="BM180" s="266"/>
      <c r="BN180" s="266"/>
      <c r="BO180" s="266"/>
      <c r="BP180" s="266"/>
      <c r="BQ180" s="266"/>
      <c r="BR180" s="266"/>
      <c r="BS180" s="266"/>
      <c r="BT180" s="266"/>
      <c r="BU180" s="266"/>
      <c r="BV180" s="266"/>
    </row>
    <row r="181" spans="15:74" ht="17.25">
      <c r="O181" s="30">
        <v>178</v>
      </c>
      <c r="P181" s="30" t="s">
        <v>1713</v>
      </c>
      <c r="U181" s="148">
        <v>9</v>
      </c>
      <c r="V181" s="155">
        <v>5000</v>
      </c>
      <c r="W181" s="148">
        <f>4</f>
        <v>4</v>
      </c>
      <c r="X181" s="153"/>
      <c r="Y181" s="153"/>
      <c r="Z181" s="153"/>
      <c r="AA181" s="153"/>
      <c r="AB181" s="153"/>
      <c r="AC181" s="153"/>
      <c r="AD181" s="151"/>
      <c r="AE181" s="151"/>
      <c r="AF181" s="151"/>
      <c r="AG181" s="151"/>
      <c r="AH181" s="151"/>
      <c r="AI181" s="151"/>
      <c r="AJ181" s="151"/>
      <c r="AK181" s="151"/>
      <c r="AL181" s="151"/>
      <c r="AM181" s="151"/>
      <c r="AN181" s="151"/>
      <c r="AO181" s="151"/>
      <c r="AP181" s="151"/>
      <c r="AQ181" s="151"/>
      <c r="AR181" s="151"/>
      <c r="AS181" s="151"/>
      <c r="AT181" s="151"/>
      <c r="AU181" s="151"/>
      <c r="AV181" s="151"/>
      <c r="AW181" s="151"/>
      <c r="AX181" s="151"/>
      <c r="AY181" s="151"/>
      <c r="AZ181" s="151"/>
      <c r="BA181" s="151"/>
      <c r="BB181" s="151"/>
      <c r="BC181" s="151"/>
      <c r="BD181" s="151"/>
      <c r="BE181" s="151"/>
      <c r="BF181" s="151"/>
      <c r="BG181" s="151"/>
      <c r="BH181" s="151"/>
      <c r="BI181" s="151"/>
      <c r="BJ181" s="151"/>
      <c r="BK181" s="151"/>
      <c r="BL181" s="151"/>
      <c r="BM181" s="266"/>
      <c r="BN181" s="266"/>
      <c r="BO181" s="266"/>
      <c r="BP181" s="266"/>
      <c r="BQ181" s="266"/>
      <c r="BR181" s="266"/>
      <c r="BS181" s="266"/>
      <c r="BT181" s="266"/>
      <c r="BU181" s="266"/>
      <c r="BV181" s="266"/>
    </row>
    <row r="182" spans="15:74" ht="17.25">
      <c r="O182" s="30">
        <v>179</v>
      </c>
      <c r="P182" s="30" t="s">
        <v>676</v>
      </c>
      <c r="U182" s="148">
        <v>10</v>
      </c>
      <c r="V182" s="155">
        <v>5900</v>
      </c>
      <c r="W182" s="148">
        <f>4</f>
        <v>4</v>
      </c>
      <c r="X182" s="153"/>
      <c r="Y182" s="153"/>
      <c r="Z182" s="153"/>
      <c r="AA182" s="153"/>
      <c r="AB182" s="153"/>
      <c r="AC182" s="153"/>
      <c r="AD182" s="151"/>
      <c r="AE182" s="151"/>
      <c r="AF182" s="151"/>
      <c r="AG182" s="151"/>
      <c r="AH182" s="151"/>
      <c r="AI182" s="151"/>
      <c r="AJ182" s="151"/>
      <c r="AK182" s="151"/>
      <c r="AL182" s="151"/>
      <c r="AM182" s="151"/>
      <c r="AN182" s="151"/>
      <c r="AO182" s="151"/>
      <c r="AP182" s="151"/>
      <c r="AQ182" s="151"/>
      <c r="AR182" s="151"/>
      <c r="AS182" s="151"/>
      <c r="AT182" s="151"/>
      <c r="AU182" s="151"/>
      <c r="AV182" s="151"/>
      <c r="AW182" s="151"/>
      <c r="AX182" s="151"/>
      <c r="AY182" s="151"/>
      <c r="AZ182" s="151"/>
      <c r="BA182" s="151"/>
      <c r="BB182" s="151"/>
      <c r="BC182" s="151"/>
      <c r="BD182" s="151"/>
      <c r="BE182" s="151"/>
      <c r="BF182" s="151"/>
      <c r="BG182" s="151"/>
      <c r="BH182" s="151"/>
      <c r="BI182" s="151"/>
      <c r="BJ182" s="151"/>
      <c r="BK182" s="151"/>
      <c r="BL182" s="151"/>
      <c r="BM182" s="266"/>
      <c r="BN182" s="266"/>
      <c r="BO182" s="266"/>
      <c r="BP182" s="266"/>
      <c r="BQ182" s="266"/>
      <c r="BR182" s="266"/>
      <c r="BS182" s="266"/>
      <c r="BT182" s="266"/>
      <c r="BU182" s="266"/>
      <c r="BV182" s="266"/>
    </row>
    <row r="183" spans="15:74" ht="17.25">
      <c r="O183" s="30">
        <v>180</v>
      </c>
      <c r="P183" s="30" t="s">
        <v>677</v>
      </c>
      <c r="U183" s="148">
        <v>11</v>
      </c>
      <c r="V183" s="155">
        <v>7200</v>
      </c>
      <c r="W183" s="148">
        <f>4</f>
        <v>4</v>
      </c>
      <c r="X183" s="153"/>
      <c r="Y183" s="153"/>
      <c r="Z183" s="153"/>
      <c r="AA183" s="153"/>
      <c r="AB183" s="153"/>
      <c r="AC183" s="153"/>
      <c r="AD183" s="151"/>
      <c r="AE183" s="151"/>
      <c r="AF183" s="151"/>
      <c r="AG183" s="151"/>
      <c r="AH183" s="151"/>
      <c r="AI183" s="151"/>
      <c r="AJ183" s="151"/>
      <c r="AK183" s="151"/>
      <c r="AL183" s="151"/>
      <c r="AM183" s="151"/>
      <c r="AN183" s="151"/>
      <c r="AO183" s="151"/>
      <c r="AP183" s="151"/>
      <c r="AQ183" s="151"/>
      <c r="AR183" s="151"/>
      <c r="AS183" s="151"/>
      <c r="AT183" s="151"/>
      <c r="AU183" s="151"/>
      <c r="AV183" s="151"/>
      <c r="AW183" s="151"/>
      <c r="AX183" s="151"/>
      <c r="AY183" s="151"/>
      <c r="AZ183" s="151"/>
      <c r="BA183" s="151"/>
      <c r="BB183" s="151"/>
      <c r="BC183" s="151"/>
      <c r="BD183" s="151"/>
      <c r="BE183" s="151"/>
      <c r="BF183" s="151"/>
      <c r="BG183" s="151"/>
      <c r="BH183" s="151"/>
      <c r="BI183" s="151"/>
      <c r="BJ183" s="151"/>
      <c r="BK183" s="151"/>
      <c r="BL183" s="151"/>
      <c r="BM183" s="266"/>
      <c r="BN183" s="266"/>
      <c r="BO183" s="266"/>
      <c r="BP183" s="266"/>
      <c r="BQ183" s="266"/>
      <c r="BR183" s="266"/>
      <c r="BS183" s="266"/>
      <c r="BT183" s="266"/>
      <c r="BU183" s="266"/>
      <c r="BV183" s="266"/>
    </row>
    <row r="184" spans="15:74" ht="17.25">
      <c r="O184" s="30">
        <v>181</v>
      </c>
      <c r="P184" s="30" t="s">
        <v>678</v>
      </c>
      <c r="U184" s="148">
        <v>12</v>
      </c>
      <c r="V184" s="155">
        <v>8400</v>
      </c>
      <c r="W184" s="148">
        <f>4</f>
        <v>4</v>
      </c>
      <c r="X184" s="153"/>
      <c r="Y184" s="153"/>
      <c r="Z184" s="153"/>
      <c r="AA184" s="153"/>
      <c r="AB184" s="153"/>
      <c r="AC184" s="153"/>
      <c r="AD184" s="151"/>
      <c r="AE184" s="151"/>
      <c r="AF184" s="151"/>
      <c r="AG184" s="151"/>
      <c r="AH184" s="151"/>
      <c r="AI184" s="151"/>
      <c r="AJ184" s="151"/>
      <c r="AK184" s="151"/>
      <c r="AL184" s="151"/>
      <c r="AM184" s="151"/>
      <c r="AN184" s="151"/>
      <c r="AO184" s="151"/>
      <c r="AP184" s="151"/>
      <c r="AQ184" s="151"/>
      <c r="AR184" s="151"/>
      <c r="AS184" s="151"/>
      <c r="AT184" s="151"/>
      <c r="AU184" s="151"/>
      <c r="AV184" s="151"/>
      <c r="AW184" s="151"/>
      <c r="AX184" s="151"/>
      <c r="AY184" s="151"/>
      <c r="AZ184" s="151"/>
      <c r="BA184" s="151"/>
      <c r="BB184" s="151"/>
      <c r="BC184" s="151"/>
      <c r="BD184" s="151"/>
      <c r="BE184" s="151"/>
      <c r="BF184" s="151"/>
      <c r="BG184" s="151"/>
      <c r="BH184" s="151"/>
      <c r="BI184" s="151"/>
      <c r="BJ184" s="151"/>
      <c r="BK184" s="151"/>
      <c r="BL184" s="151"/>
      <c r="BM184" s="266"/>
      <c r="BN184" s="266"/>
      <c r="BO184" s="266"/>
      <c r="BP184" s="266"/>
      <c r="BQ184" s="266"/>
      <c r="BR184" s="266"/>
      <c r="BS184" s="266"/>
      <c r="BT184" s="266"/>
      <c r="BU184" s="266"/>
      <c r="BV184" s="266"/>
    </row>
    <row r="185" spans="15:74" ht="17.25">
      <c r="O185" s="30">
        <v>182</v>
      </c>
      <c r="P185" s="30" t="s">
        <v>265</v>
      </c>
      <c r="U185" s="148">
        <v>13</v>
      </c>
      <c r="V185" s="155">
        <v>10000</v>
      </c>
      <c r="W185" s="148">
        <f>5</f>
        <v>5</v>
      </c>
      <c r="X185" s="153"/>
      <c r="Y185" s="153"/>
      <c r="Z185" s="153"/>
      <c r="AA185" s="153"/>
      <c r="AB185" s="153"/>
      <c r="AC185" s="153"/>
      <c r="AD185" s="151"/>
      <c r="AE185" s="151"/>
      <c r="AF185" s="151"/>
      <c r="AG185" s="151"/>
      <c r="AH185" s="151"/>
      <c r="AI185" s="151"/>
      <c r="AJ185" s="151"/>
      <c r="AK185" s="151"/>
      <c r="AL185" s="151"/>
      <c r="AM185" s="151"/>
      <c r="AN185" s="151"/>
      <c r="AO185" s="151"/>
      <c r="AP185" s="151"/>
      <c r="AQ185" s="151"/>
      <c r="AR185" s="151"/>
      <c r="AS185" s="151"/>
      <c r="AT185" s="151"/>
      <c r="AU185" s="151"/>
      <c r="AV185" s="151"/>
      <c r="AW185" s="151"/>
      <c r="AX185" s="151"/>
      <c r="AY185" s="151"/>
      <c r="AZ185" s="151"/>
      <c r="BA185" s="151"/>
      <c r="BB185" s="151"/>
      <c r="BC185" s="151"/>
      <c r="BD185" s="151"/>
      <c r="BE185" s="151"/>
      <c r="BF185" s="151"/>
      <c r="BG185" s="151"/>
      <c r="BH185" s="151"/>
      <c r="BI185" s="151"/>
      <c r="BJ185" s="151"/>
      <c r="BK185" s="151"/>
      <c r="BL185" s="151"/>
      <c r="BM185" s="266"/>
      <c r="BN185" s="266"/>
      <c r="BO185" s="266"/>
      <c r="BP185" s="266"/>
      <c r="BQ185" s="266"/>
      <c r="BR185" s="266"/>
      <c r="BS185" s="266"/>
      <c r="BT185" s="266"/>
      <c r="BU185" s="266"/>
      <c r="BV185" s="266"/>
    </row>
    <row r="186" spans="15:74" ht="17.25">
      <c r="O186" s="30">
        <v>183</v>
      </c>
      <c r="P186" s="30" t="s">
        <v>679</v>
      </c>
      <c r="U186" s="148">
        <v>14</v>
      </c>
      <c r="V186" s="155">
        <v>11500</v>
      </c>
      <c r="W186" s="148">
        <f>5</f>
        <v>5</v>
      </c>
      <c r="X186" s="153"/>
      <c r="Y186" s="153"/>
      <c r="Z186" s="153"/>
      <c r="AA186" s="153"/>
      <c r="AB186" s="153"/>
      <c r="AC186" s="153"/>
      <c r="AD186" s="151"/>
      <c r="AE186" s="151"/>
      <c r="AF186" s="151"/>
      <c r="AG186" s="151"/>
      <c r="AH186" s="151"/>
      <c r="AI186" s="151"/>
      <c r="AJ186" s="151"/>
      <c r="AK186" s="151"/>
      <c r="AL186" s="151"/>
      <c r="AM186" s="151"/>
      <c r="AN186" s="151"/>
      <c r="AO186" s="151"/>
      <c r="AP186" s="151"/>
      <c r="AQ186" s="151"/>
      <c r="AR186" s="151"/>
      <c r="AS186" s="151"/>
      <c r="AT186" s="151"/>
      <c r="AU186" s="151"/>
      <c r="AV186" s="151"/>
      <c r="AW186" s="151"/>
      <c r="AX186" s="151"/>
      <c r="AY186" s="151"/>
      <c r="AZ186" s="151"/>
      <c r="BA186" s="151"/>
      <c r="BB186" s="151"/>
      <c r="BC186" s="151"/>
      <c r="BD186" s="151"/>
      <c r="BE186" s="151"/>
      <c r="BF186" s="151"/>
      <c r="BG186" s="151"/>
      <c r="BH186" s="151"/>
      <c r="BI186" s="151"/>
      <c r="BJ186" s="151"/>
      <c r="BK186" s="151"/>
      <c r="BL186" s="151"/>
      <c r="BM186" s="266"/>
      <c r="BN186" s="266"/>
      <c r="BO186" s="266"/>
      <c r="BP186" s="266"/>
      <c r="BQ186" s="266"/>
      <c r="BR186" s="266"/>
      <c r="BS186" s="266"/>
      <c r="BT186" s="266"/>
      <c r="BU186" s="266"/>
      <c r="BV186" s="266"/>
    </row>
    <row r="187" spans="15:74" ht="15">
      <c r="U187" s="148">
        <v>15</v>
      </c>
      <c r="V187" s="155">
        <v>13000</v>
      </c>
      <c r="W187" s="148">
        <f>5</f>
        <v>5</v>
      </c>
      <c r="X187" s="153"/>
      <c r="Y187" s="153"/>
      <c r="Z187" s="153"/>
      <c r="AA187" s="153"/>
      <c r="AB187" s="153"/>
      <c r="AC187" s="153"/>
      <c r="AD187" s="151"/>
      <c r="AE187" s="151"/>
      <c r="AF187" s="151"/>
      <c r="AG187" s="151"/>
      <c r="AH187" s="151"/>
      <c r="AI187" s="151"/>
      <c r="AJ187" s="151"/>
      <c r="AK187" s="151"/>
      <c r="AL187" s="151"/>
      <c r="AM187" s="151"/>
      <c r="AN187" s="151"/>
      <c r="AO187" s="151"/>
      <c r="AP187" s="151"/>
      <c r="AQ187" s="151"/>
      <c r="AR187" s="151"/>
      <c r="AS187" s="151"/>
      <c r="AT187" s="151"/>
      <c r="AU187" s="151"/>
      <c r="AV187" s="151"/>
      <c r="AW187" s="151"/>
      <c r="AX187" s="151"/>
      <c r="AY187" s="151"/>
      <c r="AZ187" s="151"/>
      <c r="BA187" s="151"/>
      <c r="BB187" s="151"/>
      <c r="BC187" s="151"/>
      <c r="BD187" s="151"/>
      <c r="BE187" s="151"/>
      <c r="BF187" s="151"/>
      <c r="BG187" s="151"/>
      <c r="BH187" s="151"/>
      <c r="BI187" s="151"/>
      <c r="BJ187" s="151"/>
      <c r="BK187" s="151"/>
      <c r="BL187" s="151"/>
      <c r="BM187" s="266"/>
      <c r="BN187" s="266"/>
      <c r="BO187" s="266"/>
      <c r="BP187" s="266"/>
      <c r="BQ187" s="266"/>
      <c r="BR187" s="266"/>
      <c r="BS187" s="266"/>
      <c r="BT187" s="266"/>
      <c r="BU187" s="266"/>
      <c r="BV187" s="266"/>
    </row>
    <row r="188" spans="15:74" ht="15">
      <c r="U188" s="148">
        <v>16</v>
      </c>
      <c r="V188" s="155">
        <v>15000</v>
      </c>
      <c r="W188" s="148">
        <f>5</f>
        <v>5</v>
      </c>
      <c r="X188" s="153"/>
      <c r="Y188" s="153"/>
      <c r="Z188" s="153"/>
      <c r="AA188" s="153"/>
      <c r="AB188" s="153"/>
      <c r="AC188" s="153"/>
      <c r="AD188" s="151"/>
      <c r="AE188" s="151"/>
      <c r="AF188" s="151"/>
      <c r="AG188" s="151"/>
      <c r="AH188" s="151"/>
      <c r="AI188" s="151"/>
      <c r="AJ188" s="151"/>
      <c r="AK188" s="151"/>
      <c r="AL188" s="151"/>
      <c r="AM188" s="151"/>
      <c r="AN188" s="151"/>
      <c r="AO188" s="151"/>
      <c r="AP188" s="151"/>
      <c r="AQ188" s="151"/>
      <c r="AR188" s="151"/>
      <c r="AS188" s="151"/>
      <c r="AT188" s="151"/>
      <c r="AU188" s="151"/>
      <c r="AV188" s="151"/>
      <c r="AW188" s="151"/>
      <c r="AX188" s="151"/>
      <c r="AY188" s="151"/>
      <c r="AZ188" s="151"/>
      <c r="BA188" s="151"/>
      <c r="BB188" s="151"/>
      <c r="BC188" s="151"/>
      <c r="BD188" s="151"/>
      <c r="BE188" s="151"/>
      <c r="BF188" s="151"/>
      <c r="BG188" s="151"/>
      <c r="BH188" s="151"/>
      <c r="BI188" s="151"/>
      <c r="BJ188" s="151"/>
      <c r="BK188" s="151"/>
      <c r="BL188" s="151"/>
      <c r="BM188" s="266"/>
      <c r="BN188" s="266"/>
      <c r="BO188" s="266"/>
      <c r="BP188" s="266"/>
      <c r="BQ188" s="266"/>
      <c r="BR188" s="266"/>
      <c r="BS188" s="266"/>
      <c r="BT188" s="266"/>
      <c r="BU188" s="266"/>
      <c r="BV188" s="266"/>
    </row>
    <row r="189" spans="15:74" ht="15">
      <c r="U189" s="148">
        <v>17</v>
      </c>
      <c r="V189" s="155">
        <v>18000</v>
      </c>
      <c r="W189" s="148">
        <f>6</f>
        <v>6</v>
      </c>
      <c r="X189" s="153"/>
      <c r="Y189" s="153"/>
      <c r="Z189" s="153"/>
      <c r="AA189" s="153"/>
      <c r="AB189" s="153"/>
      <c r="AC189" s="153"/>
      <c r="AD189" s="151"/>
      <c r="AE189" s="151"/>
      <c r="AF189" s="151"/>
      <c r="AG189" s="151"/>
      <c r="AH189" s="151"/>
      <c r="AI189" s="151"/>
      <c r="AJ189" s="151"/>
      <c r="AK189" s="151"/>
      <c r="AL189" s="151"/>
      <c r="AM189" s="151"/>
      <c r="AN189" s="151"/>
      <c r="AO189" s="151"/>
      <c r="AP189" s="151"/>
      <c r="AQ189" s="151"/>
      <c r="AR189" s="151"/>
      <c r="AS189" s="151"/>
      <c r="AT189" s="151"/>
      <c r="AU189" s="151"/>
      <c r="AV189" s="151"/>
      <c r="AW189" s="151"/>
      <c r="AX189" s="151"/>
      <c r="AY189" s="151"/>
      <c r="AZ189" s="151"/>
      <c r="BA189" s="151"/>
      <c r="BB189" s="151"/>
      <c r="BC189" s="151"/>
      <c r="BD189" s="151"/>
      <c r="BE189" s="151"/>
      <c r="BF189" s="151"/>
      <c r="BG189" s="151"/>
      <c r="BH189" s="151"/>
      <c r="BI189" s="151"/>
      <c r="BJ189" s="151"/>
      <c r="BK189" s="151"/>
      <c r="BL189" s="151"/>
      <c r="BM189" s="266"/>
      <c r="BN189" s="266"/>
      <c r="BO189" s="266"/>
      <c r="BP189" s="266"/>
      <c r="BQ189" s="266"/>
      <c r="BR189" s="266"/>
      <c r="BS189" s="266"/>
      <c r="BT189" s="266"/>
      <c r="BU189" s="266"/>
      <c r="BV189" s="266"/>
    </row>
    <row r="190" spans="15:74" ht="15">
      <c r="U190" s="148">
        <v>18</v>
      </c>
      <c r="V190" s="155">
        <v>20000</v>
      </c>
      <c r="W190" s="148">
        <f>6</f>
        <v>6</v>
      </c>
      <c r="X190" s="153"/>
      <c r="Y190" s="153"/>
      <c r="Z190" s="153"/>
      <c r="AA190" s="153"/>
      <c r="AB190" s="153"/>
      <c r="AC190" s="153"/>
      <c r="AD190" s="151"/>
      <c r="AE190" s="151"/>
      <c r="AF190" s="151"/>
      <c r="AG190" s="151"/>
      <c r="AH190" s="151"/>
      <c r="AI190" s="151"/>
      <c r="AJ190" s="151"/>
      <c r="AK190" s="151"/>
      <c r="AL190" s="151"/>
      <c r="AM190" s="151"/>
      <c r="AN190" s="151"/>
      <c r="AO190" s="151"/>
      <c r="AP190" s="151"/>
      <c r="AQ190" s="151"/>
      <c r="AR190" s="151"/>
      <c r="AS190" s="151"/>
      <c r="AT190" s="151"/>
      <c r="AU190" s="151"/>
      <c r="AV190" s="151"/>
      <c r="AW190" s="151"/>
      <c r="AX190" s="151"/>
      <c r="AY190" s="151"/>
      <c r="AZ190" s="151"/>
      <c r="BA190" s="151"/>
      <c r="BB190" s="151"/>
      <c r="BC190" s="151"/>
      <c r="BD190" s="151"/>
      <c r="BE190" s="151"/>
      <c r="BF190" s="151"/>
      <c r="BG190" s="151"/>
      <c r="BH190" s="151"/>
      <c r="BI190" s="151"/>
      <c r="BJ190" s="151"/>
      <c r="BK190" s="151"/>
      <c r="BL190" s="151"/>
      <c r="BM190" s="266"/>
      <c r="BN190" s="266"/>
      <c r="BO190" s="266"/>
      <c r="BP190" s="266"/>
      <c r="BQ190" s="266"/>
      <c r="BR190" s="266"/>
      <c r="BS190" s="266"/>
      <c r="BT190" s="266"/>
      <c r="BU190" s="266"/>
      <c r="BV190" s="266"/>
    </row>
    <row r="191" spans="15:74" ht="15">
      <c r="U191" s="148">
        <v>19</v>
      </c>
      <c r="V191" s="155">
        <v>22000</v>
      </c>
      <c r="W191" s="148">
        <f>6</f>
        <v>6</v>
      </c>
      <c r="X191" s="153"/>
      <c r="Y191" s="153"/>
      <c r="Z191" s="153"/>
      <c r="AA191" s="153"/>
      <c r="AB191" s="153"/>
      <c r="AC191" s="153"/>
      <c r="AD191" s="151"/>
      <c r="AE191" s="151"/>
      <c r="AF191" s="151"/>
      <c r="AG191" s="151"/>
      <c r="AH191" s="151"/>
      <c r="AI191" s="151"/>
      <c r="AJ191" s="151"/>
      <c r="AK191" s="151"/>
      <c r="AL191" s="151"/>
      <c r="AM191" s="151"/>
      <c r="AN191" s="151"/>
      <c r="AO191" s="151"/>
      <c r="AP191" s="151"/>
      <c r="AQ191" s="151"/>
      <c r="AR191" s="151"/>
      <c r="AS191" s="151"/>
      <c r="AT191" s="151"/>
      <c r="AU191" s="151"/>
      <c r="AV191" s="151"/>
      <c r="AW191" s="151"/>
      <c r="AX191" s="151"/>
      <c r="AY191" s="151"/>
      <c r="AZ191" s="151"/>
      <c r="BA191" s="151"/>
      <c r="BB191" s="151"/>
      <c r="BC191" s="151"/>
      <c r="BD191" s="151"/>
      <c r="BE191" s="151"/>
      <c r="BF191" s="151"/>
      <c r="BG191" s="151"/>
      <c r="BH191" s="151"/>
      <c r="BI191" s="151"/>
      <c r="BJ191" s="151"/>
      <c r="BK191" s="151"/>
      <c r="BL191" s="151"/>
      <c r="BM191" s="266"/>
      <c r="BN191" s="266"/>
      <c r="BO191" s="266"/>
      <c r="BP191" s="266"/>
      <c r="BQ191" s="266"/>
      <c r="BR191" s="266"/>
      <c r="BS191" s="266"/>
      <c r="BT191" s="266"/>
      <c r="BU191" s="266"/>
      <c r="BV191" s="266"/>
    </row>
    <row r="192" spans="15:74" ht="15">
      <c r="U192" s="148">
        <v>20</v>
      </c>
      <c r="V192" s="155">
        <v>25000</v>
      </c>
      <c r="W192" s="148">
        <f>6</f>
        <v>6</v>
      </c>
      <c r="X192" s="153"/>
      <c r="Y192" s="153"/>
      <c r="Z192" s="153"/>
      <c r="AA192" s="153"/>
      <c r="AB192" s="153"/>
      <c r="AC192" s="153"/>
      <c r="AD192" s="151"/>
      <c r="AE192" s="151"/>
      <c r="AF192" s="151"/>
      <c r="AG192" s="151"/>
      <c r="AH192" s="151"/>
      <c r="AI192" s="151"/>
      <c r="AJ192" s="151"/>
      <c r="AK192" s="151"/>
      <c r="AL192" s="151"/>
      <c r="AM192" s="151"/>
      <c r="AN192" s="151"/>
      <c r="AO192" s="151"/>
      <c r="AP192" s="151"/>
      <c r="AQ192" s="151"/>
      <c r="AR192" s="151"/>
      <c r="AS192" s="151"/>
      <c r="AT192" s="151"/>
      <c r="AU192" s="151"/>
      <c r="AV192" s="151"/>
      <c r="AW192" s="151"/>
      <c r="AX192" s="151"/>
      <c r="AY192" s="151"/>
      <c r="AZ192" s="151"/>
      <c r="BA192" s="151"/>
      <c r="BB192" s="151"/>
      <c r="BC192" s="151"/>
      <c r="BD192" s="151"/>
      <c r="BE192" s="151"/>
      <c r="BF192" s="151"/>
      <c r="BG192" s="151"/>
      <c r="BH192" s="151"/>
      <c r="BI192" s="151"/>
      <c r="BJ192" s="151"/>
      <c r="BK192" s="151"/>
      <c r="BL192" s="151"/>
      <c r="BM192" s="266"/>
      <c r="BN192" s="266"/>
      <c r="BO192" s="266"/>
      <c r="BP192" s="266"/>
      <c r="BQ192" s="266"/>
      <c r="BR192" s="266"/>
      <c r="BS192" s="266"/>
      <c r="BT192" s="266"/>
      <c r="BU192" s="266"/>
      <c r="BV192" s="266"/>
    </row>
    <row r="193" spans="21:74" ht="15">
      <c r="U193" s="148">
        <v>21</v>
      </c>
      <c r="V193" s="155">
        <v>33000</v>
      </c>
      <c r="W193" s="148">
        <f>7</f>
        <v>7</v>
      </c>
      <c r="X193" s="153"/>
      <c r="Y193" s="153"/>
      <c r="Z193" s="153"/>
      <c r="AA193" s="153"/>
      <c r="AB193" s="153"/>
      <c r="AC193" s="153"/>
      <c r="AD193" s="151"/>
      <c r="AE193" s="151"/>
      <c r="AF193" s="151"/>
      <c r="AG193" s="151"/>
      <c r="AH193" s="151"/>
      <c r="AI193" s="151"/>
      <c r="AJ193" s="151"/>
      <c r="AK193" s="151"/>
      <c r="AL193" s="151"/>
      <c r="AM193" s="151"/>
      <c r="AN193" s="151"/>
      <c r="AO193" s="151"/>
      <c r="AP193" s="151"/>
      <c r="AQ193" s="151"/>
      <c r="AR193" s="151"/>
      <c r="AS193" s="151"/>
      <c r="AT193" s="151"/>
      <c r="AU193" s="151"/>
      <c r="AV193" s="151"/>
      <c r="AW193" s="151"/>
      <c r="AX193" s="151"/>
      <c r="AY193" s="151"/>
      <c r="AZ193" s="151"/>
      <c r="BA193" s="151"/>
      <c r="BB193" s="151"/>
      <c r="BC193" s="151"/>
      <c r="BD193" s="151"/>
      <c r="BE193" s="151"/>
      <c r="BF193" s="151"/>
      <c r="BG193" s="151"/>
      <c r="BH193" s="151"/>
      <c r="BI193" s="151"/>
      <c r="BJ193" s="151"/>
      <c r="BK193" s="151"/>
      <c r="BL193" s="151"/>
      <c r="BM193" s="266"/>
      <c r="BN193" s="266"/>
      <c r="BO193" s="266"/>
      <c r="BP193" s="266"/>
      <c r="BQ193" s="266"/>
      <c r="BR193" s="266"/>
      <c r="BS193" s="266"/>
      <c r="BT193" s="266"/>
      <c r="BU193" s="266"/>
      <c r="BV193" s="266"/>
    </row>
    <row r="194" spans="21:74" ht="15">
      <c r="U194" s="148">
        <v>22</v>
      </c>
      <c r="V194" s="155">
        <v>41000</v>
      </c>
      <c r="W194" s="148">
        <f>7</f>
        <v>7</v>
      </c>
      <c r="X194" s="153"/>
      <c r="Y194" s="153"/>
      <c r="Z194" s="153"/>
      <c r="AA194" s="153"/>
      <c r="AB194" s="153"/>
      <c r="AC194" s="153"/>
      <c r="AD194" s="151"/>
      <c r="AE194" s="151"/>
      <c r="AF194" s="151"/>
      <c r="AG194" s="151"/>
      <c r="AH194" s="151"/>
      <c r="AI194" s="151"/>
      <c r="AJ194" s="151"/>
      <c r="AK194" s="151"/>
      <c r="AL194" s="151"/>
      <c r="AM194" s="151"/>
      <c r="AN194" s="151"/>
      <c r="AO194" s="151"/>
      <c r="AP194" s="151"/>
      <c r="AQ194" s="151"/>
      <c r="AR194" s="151"/>
      <c r="AS194" s="151"/>
      <c r="AT194" s="151"/>
      <c r="AU194" s="151"/>
      <c r="AV194" s="151"/>
      <c r="AW194" s="151"/>
      <c r="AX194" s="151"/>
      <c r="AY194" s="151"/>
      <c r="AZ194" s="151"/>
      <c r="BA194" s="151"/>
      <c r="BB194" s="151"/>
      <c r="BC194" s="151"/>
      <c r="BD194" s="151"/>
      <c r="BE194" s="151"/>
      <c r="BF194" s="151"/>
      <c r="BG194" s="151"/>
      <c r="BH194" s="151"/>
      <c r="BI194" s="151"/>
      <c r="BJ194" s="151"/>
      <c r="BK194" s="151"/>
      <c r="BL194" s="151"/>
      <c r="BM194" s="266"/>
      <c r="BN194" s="266"/>
      <c r="BO194" s="266"/>
      <c r="BP194" s="266"/>
      <c r="BQ194" s="266"/>
      <c r="BR194" s="266"/>
      <c r="BS194" s="266"/>
      <c r="BT194" s="266"/>
      <c r="BU194" s="266"/>
      <c r="BV194" s="266"/>
    </row>
    <row r="195" spans="21:74" ht="15">
      <c r="U195" s="148">
        <v>23</v>
      </c>
      <c r="V195" s="155">
        <v>50000</v>
      </c>
      <c r="W195" s="148">
        <f>7</f>
        <v>7</v>
      </c>
      <c r="X195" s="153"/>
      <c r="Y195" s="153"/>
      <c r="Z195" s="153"/>
      <c r="AA195" s="153"/>
      <c r="AB195" s="153"/>
      <c r="AC195" s="153"/>
      <c r="AD195" s="151"/>
      <c r="AE195" s="151"/>
      <c r="AF195" s="151"/>
      <c r="AG195" s="151"/>
      <c r="AH195" s="151"/>
      <c r="AI195" s="151"/>
      <c r="AJ195" s="151"/>
      <c r="AK195" s="151"/>
      <c r="AL195" s="151"/>
      <c r="AM195" s="151"/>
      <c r="AN195" s="151"/>
      <c r="AO195" s="151"/>
      <c r="AP195" s="151"/>
      <c r="AQ195" s="151"/>
      <c r="AR195" s="151"/>
      <c r="AS195" s="151"/>
      <c r="AT195" s="151"/>
      <c r="AU195" s="151"/>
      <c r="AV195" s="151"/>
      <c r="AW195" s="151"/>
      <c r="AX195" s="151"/>
      <c r="AY195" s="151"/>
      <c r="AZ195" s="151"/>
      <c r="BA195" s="151"/>
      <c r="BB195" s="151"/>
      <c r="BC195" s="151"/>
      <c r="BD195" s="151"/>
      <c r="BE195" s="151"/>
      <c r="BF195" s="151"/>
      <c r="BG195" s="151"/>
      <c r="BH195" s="151"/>
      <c r="BI195" s="151"/>
      <c r="BJ195" s="151"/>
      <c r="BK195" s="151"/>
      <c r="BL195" s="151"/>
      <c r="BM195" s="266"/>
      <c r="BN195" s="266"/>
      <c r="BO195" s="266"/>
      <c r="BP195" s="266"/>
      <c r="BQ195" s="266"/>
      <c r="BR195" s="266"/>
      <c r="BS195" s="266"/>
      <c r="BT195" s="266"/>
      <c r="BU195" s="266"/>
      <c r="BV195" s="266"/>
    </row>
    <row r="196" spans="21:74" ht="15">
      <c r="U196" s="148">
        <v>24</v>
      </c>
      <c r="V196" s="155">
        <v>62000</v>
      </c>
      <c r="W196" s="148">
        <f>7</f>
        <v>7</v>
      </c>
      <c r="X196" s="153"/>
      <c r="Y196" s="153"/>
      <c r="Z196" s="153"/>
      <c r="AA196" s="153"/>
      <c r="AB196" s="153"/>
      <c r="AC196" s="153"/>
      <c r="AD196" s="151"/>
      <c r="AE196" s="151"/>
      <c r="AF196" s="151"/>
      <c r="AG196" s="151"/>
      <c r="AH196" s="151"/>
      <c r="AI196" s="151"/>
      <c r="AJ196" s="151"/>
      <c r="AK196" s="151"/>
      <c r="AL196" s="151"/>
      <c r="AM196" s="151"/>
      <c r="AN196" s="151"/>
      <c r="AO196" s="151"/>
      <c r="AP196" s="151"/>
      <c r="AQ196" s="151"/>
      <c r="AR196" s="151"/>
      <c r="AS196" s="151"/>
      <c r="AT196" s="151"/>
      <c r="AU196" s="151"/>
      <c r="AV196" s="151"/>
      <c r="AW196" s="151"/>
      <c r="AX196" s="151"/>
      <c r="AY196" s="151"/>
      <c r="AZ196" s="151"/>
      <c r="BA196" s="151"/>
      <c r="BB196" s="151"/>
      <c r="BC196" s="151"/>
      <c r="BD196" s="151"/>
      <c r="BE196" s="151"/>
      <c r="BF196" s="151"/>
      <c r="BG196" s="151"/>
      <c r="BH196" s="151"/>
      <c r="BI196" s="151"/>
      <c r="BJ196" s="151"/>
      <c r="BK196" s="151"/>
      <c r="BL196" s="151"/>
      <c r="BM196" s="266"/>
      <c r="BN196" s="266"/>
      <c r="BO196" s="266"/>
      <c r="BP196" s="266"/>
      <c r="BQ196" s="266"/>
      <c r="BR196" s="266"/>
      <c r="BS196" s="266"/>
      <c r="BT196" s="266"/>
      <c r="BU196" s="266"/>
      <c r="BV196" s="266"/>
    </row>
    <row r="197" spans="21:74" ht="15">
      <c r="U197" s="148">
        <v>25</v>
      </c>
      <c r="V197" s="155">
        <v>75000</v>
      </c>
      <c r="W197" s="148">
        <f>8</f>
        <v>8</v>
      </c>
      <c r="X197" s="153"/>
      <c r="Y197" s="153"/>
      <c r="Z197" s="153"/>
      <c r="AA197" s="153"/>
      <c r="AB197" s="153"/>
      <c r="AC197" s="153"/>
      <c r="AD197" s="151"/>
      <c r="AE197" s="151"/>
      <c r="AF197" s="151"/>
      <c r="AG197" s="151"/>
      <c r="AH197" s="151"/>
      <c r="AI197" s="151"/>
      <c r="AJ197" s="151"/>
      <c r="AK197" s="151"/>
      <c r="AL197" s="151"/>
      <c r="AM197" s="151"/>
      <c r="AN197" s="151"/>
      <c r="AO197" s="151"/>
      <c r="AP197" s="151"/>
      <c r="AQ197" s="151"/>
      <c r="AR197" s="151"/>
      <c r="AS197" s="151"/>
      <c r="AT197" s="151"/>
      <c r="AU197" s="151"/>
      <c r="AV197" s="151"/>
      <c r="AW197" s="151"/>
      <c r="AX197" s="151"/>
      <c r="AY197" s="151"/>
      <c r="AZ197" s="151"/>
      <c r="BA197" s="151"/>
      <c r="BB197" s="151"/>
      <c r="BC197" s="151"/>
      <c r="BD197" s="151"/>
      <c r="BE197" s="151"/>
      <c r="BF197" s="151"/>
      <c r="BG197" s="151"/>
      <c r="BH197" s="151"/>
      <c r="BI197" s="151"/>
      <c r="BJ197" s="151"/>
      <c r="BK197" s="151"/>
      <c r="BL197" s="151"/>
      <c r="BM197" s="266"/>
      <c r="BN197" s="266"/>
      <c r="BO197" s="266"/>
      <c r="BP197" s="266"/>
      <c r="BQ197" s="266"/>
      <c r="BR197" s="266"/>
      <c r="BS197" s="266"/>
      <c r="BT197" s="266"/>
      <c r="BU197" s="266"/>
      <c r="BV197" s="266"/>
    </row>
    <row r="198" spans="21:74" ht="15">
      <c r="U198" s="148">
        <v>26</v>
      </c>
      <c r="V198" s="155">
        <v>90000</v>
      </c>
      <c r="W198" s="148">
        <f>8</f>
        <v>8</v>
      </c>
      <c r="X198" s="153"/>
      <c r="Y198" s="153"/>
      <c r="Z198" s="153"/>
      <c r="AA198" s="153"/>
      <c r="AB198" s="153"/>
      <c r="AC198" s="153"/>
      <c r="AD198" s="151"/>
      <c r="AE198" s="151"/>
      <c r="AF198" s="151"/>
      <c r="AG198" s="151"/>
      <c r="AH198" s="151"/>
      <c r="AI198" s="151"/>
      <c r="AJ198" s="151"/>
      <c r="AK198" s="151"/>
      <c r="AL198" s="151"/>
      <c r="AM198" s="151"/>
      <c r="AN198" s="151"/>
      <c r="AO198" s="151"/>
      <c r="AP198" s="151"/>
      <c r="AQ198" s="151"/>
      <c r="AR198" s="151"/>
      <c r="AS198" s="151"/>
      <c r="AT198" s="151"/>
      <c r="AU198" s="151"/>
      <c r="AV198" s="151"/>
      <c r="AW198" s="151"/>
      <c r="AX198" s="151"/>
      <c r="AY198" s="151"/>
      <c r="AZ198" s="151"/>
      <c r="BA198" s="151"/>
      <c r="BB198" s="151"/>
      <c r="BC198" s="151"/>
      <c r="BD198" s="151"/>
      <c r="BE198" s="151"/>
      <c r="BF198" s="151"/>
      <c r="BG198" s="151"/>
      <c r="BH198" s="151"/>
      <c r="BI198" s="151"/>
      <c r="BJ198" s="151"/>
      <c r="BK198" s="151"/>
      <c r="BL198" s="151"/>
      <c r="BM198" s="266"/>
      <c r="BN198" s="266"/>
      <c r="BO198" s="266"/>
      <c r="BP198" s="266"/>
      <c r="BQ198" s="266"/>
      <c r="BR198" s="266"/>
      <c r="BS198" s="266"/>
      <c r="BT198" s="266"/>
      <c r="BU198" s="266"/>
      <c r="BV198" s="266"/>
    </row>
    <row r="199" spans="21:74" ht="15">
      <c r="U199" s="148">
        <v>27</v>
      </c>
      <c r="V199" s="155">
        <v>105000</v>
      </c>
      <c r="W199" s="148">
        <f>8</f>
        <v>8</v>
      </c>
      <c r="X199" s="153"/>
      <c r="Y199" s="153"/>
      <c r="Z199" s="153"/>
      <c r="AA199" s="153"/>
      <c r="AB199" s="153"/>
      <c r="AC199" s="153"/>
      <c r="AD199" s="151"/>
      <c r="AE199" s="151"/>
      <c r="AF199" s="151"/>
      <c r="AG199" s="151"/>
      <c r="AH199" s="151"/>
      <c r="AI199" s="151"/>
      <c r="AJ199" s="151"/>
      <c r="AK199" s="151"/>
      <c r="AL199" s="151"/>
      <c r="AM199" s="151"/>
      <c r="AN199" s="151"/>
      <c r="AO199" s="151"/>
      <c r="AP199" s="151"/>
      <c r="AQ199" s="151"/>
      <c r="AR199" s="151"/>
      <c r="AS199" s="151"/>
      <c r="AT199" s="151"/>
      <c r="AU199" s="151"/>
      <c r="AV199" s="151"/>
      <c r="AW199" s="151"/>
      <c r="AX199" s="151"/>
      <c r="AY199" s="151"/>
      <c r="AZ199" s="151"/>
      <c r="BA199" s="151"/>
      <c r="BB199" s="151"/>
      <c r="BC199" s="151"/>
      <c r="BD199" s="151"/>
      <c r="BE199" s="151"/>
      <c r="BF199" s="151"/>
      <c r="BG199" s="151"/>
      <c r="BH199" s="151"/>
      <c r="BI199" s="151"/>
      <c r="BJ199" s="151"/>
      <c r="BK199" s="151"/>
      <c r="BL199" s="151"/>
      <c r="BM199" s="266"/>
      <c r="BN199" s="266"/>
      <c r="BO199" s="266"/>
      <c r="BP199" s="266"/>
      <c r="BQ199" s="266"/>
      <c r="BR199" s="266"/>
      <c r="BS199" s="266"/>
      <c r="BT199" s="266"/>
      <c r="BU199" s="266"/>
      <c r="BV199" s="266"/>
    </row>
    <row r="200" spans="21:74" ht="15">
      <c r="U200" s="148">
        <v>28</v>
      </c>
      <c r="V200" s="155">
        <v>120000</v>
      </c>
      <c r="W200" s="148">
        <f>8</f>
        <v>8</v>
      </c>
      <c r="X200" s="153"/>
      <c r="Y200" s="153"/>
      <c r="Z200" s="153"/>
      <c r="AA200" s="153"/>
      <c r="AB200" s="153"/>
      <c r="AC200" s="153"/>
      <c r="AD200" s="151"/>
      <c r="AE200" s="151"/>
      <c r="AF200" s="151"/>
      <c r="AG200" s="151"/>
      <c r="AH200" s="151"/>
      <c r="AI200" s="151"/>
      <c r="AJ200" s="151"/>
      <c r="AK200" s="151"/>
      <c r="AL200" s="151"/>
      <c r="AM200" s="151"/>
      <c r="AN200" s="151"/>
      <c r="AO200" s="151"/>
      <c r="AP200" s="151"/>
      <c r="AQ200" s="151"/>
      <c r="AR200" s="151"/>
      <c r="AS200" s="151"/>
      <c r="AT200" s="151"/>
      <c r="AU200" s="151"/>
      <c r="AV200" s="151"/>
      <c r="AW200" s="151"/>
      <c r="AX200" s="151"/>
      <c r="AY200" s="151"/>
      <c r="AZ200" s="151"/>
      <c r="BA200" s="151"/>
      <c r="BB200" s="151"/>
      <c r="BC200" s="151"/>
      <c r="BD200" s="151"/>
      <c r="BE200" s="151"/>
      <c r="BF200" s="151"/>
      <c r="BG200" s="151"/>
      <c r="BH200" s="151"/>
      <c r="BI200" s="151"/>
      <c r="BJ200" s="151"/>
      <c r="BK200" s="151"/>
      <c r="BL200" s="151"/>
      <c r="BM200" s="266"/>
      <c r="BN200" s="266"/>
      <c r="BO200" s="266"/>
      <c r="BP200" s="266"/>
      <c r="BQ200" s="266"/>
      <c r="BR200" s="266"/>
      <c r="BS200" s="266"/>
      <c r="BT200" s="266"/>
      <c r="BU200" s="266"/>
      <c r="BV200" s="266"/>
    </row>
    <row r="201" spans="21:74" ht="15">
      <c r="U201" s="148">
        <v>29</v>
      </c>
      <c r="V201" s="155">
        <v>135000</v>
      </c>
      <c r="W201" s="148">
        <f>9</f>
        <v>9</v>
      </c>
      <c r="X201" s="153"/>
      <c r="Y201" s="153"/>
      <c r="Z201" s="153"/>
      <c r="AA201" s="153"/>
      <c r="AB201" s="153"/>
      <c r="AC201" s="153"/>
      <c r="AD201" s="151"/>
      <c r="AE201" s="151"/>
      <c r="AF201" s="151"/>
      <c r="AG201" s="151"/>
      <c r="AH201" s="151"/>
      <c r="AI201" s="151"/>
      <c r="AJ201" s="151"/>
      <c r="AK201" s="151"/>
      <c r="AL201" s="151"/>
      <c r="AM201" s="151"/>
      <c r="AN201" s="151"/>
      <c r="AO201" s="151"/>
      <c r="AP201" s="151"/>
      <c r="AQ201" s="151"/>
      <c r="AR201" s="151"/>
      <c r="AS201" s="151"/>
      <c r="AT201" s="151"/>
      <c r="AU201" s="151"/>
      <c r="AV201" s="151"/>
      <c r="AW201" s="151"/>
      <c r="AX201" s="151"/>
      <c r="AY201" s="151"/>
      <c r="AZ201" s="151"/>
      <c r="BA201" s="151"/>
      <c r="BB201" s="151"/>
      <c r="BC201" s="151"/>
      <c r="BD201" s="151"/>
      <c r="BE201" s="151"/>
      <c r="BF201" s="151"/>
      <c r="BG201" s="151"/>
      <c r="BH201" s="151"/>
      <c r="BI201" s="151"/>
      <c r="BJ201" s="151"/>
      <c r="BK201" s="151"/>
      <c r="BL201" s="151"/>
      <c r="BM201" s="266"/>
      <c r="BN201" s="266"/>
      <c r="BO201" s="266"/>
      <c r="BP201" s="266"/>
      <c r="BQ201" s="266"/>
      <c r="BR201" s="266"/>
      <c r="BS201" s="266"/>
      <c r="BT201" s="266"/>
      <c r="BU201" s="266"/>
      <c r="BV201" s="266"/>
    </row>
    <row r="202" spans="21:74" ht="15">
      <c r="U202" s="148">
        <v>30</v>
      </c>
      <c r="V202" s="155">
        <v>155000</v>
      </c>
      <c r="W202" s="148">
        <f>9</f>
        <v>9</v>
      </c>
      <c r="X202" s="153"/>
      <c r="Y202" s="153"/>
      <c r="Z202" s="153"/>
      <c r="AA202" s="153"/>
      <c r="AB202" s="153"/>
      <c r="AC202" s="153"/>
      <c r="AD202" s="151"/>
      <c r="AE202" s="151"/>
      <c r="AF202" s="151"/>
      <c r="AG202" s="151"/>
      <c r="AH202" s="151"/>
      <c r="AI202" s="151"/>
      <c r="AJ202" s="151"/>
      <c r="AK202" s="151"/>
      <c r="AL202" s="151"/>
      <c r="AM202" s="151"/>
      <c r="AN202" s="151"/>
      <c r="AO202" s="151"/>
      <c r="AP202" s="151"/>
      <c r="AQ202" s="151"/>
      <c r="AR202" s="151"/>
      <c r="AS202" s="151"/>
      <c r="AT202" s="151"/>
      <c r="AU202" s="151"/>
      <c r="AV202" s="151"/>
      <c r="AW202" s="151"/>
      <c r="AX202" s="151"/>
      <c r="AY202" s="151"/>
      <c r="AZ202" s="151"/>
      <c r="BA202" s="151"/>
      <c r="BB202" s="151"/>
      <c r="BC202" s="151"/>
      <c r="BD202" s="151"/>
      <c r="BE202" s="151"/>
      <c r="BF202" s="151"/>
      <c r="BG202" s="151"/>
      <c r="BH202" s="151"/>
      <c r="BI202" s="151"/>
      <c r="BJ202" s="151"/>
      <c r="BK202" s="151"/>
      <c r="BL202" s="151"/>
      <c r="BM202" s="266"/>
      <c r="BN202" s="266"/>
      <c r="BO202" s="266"/>
      <c r="BP202" s="266"/>
      <c r="BQ202" s="266"/>
      <c r="BR202" s="266"/>
      <c r="BS202" s="266"/>
      <c r="BT202" s="266"/>
      <c r="BU202" s="266"/>
      <c r="BV202" s="266"/>
    </row>
    <row r="203" spans="21:74">
      <c r="U203" s="154"/>
      <c r="V203" s="153"/>
      <c r="W203" s="153"/>
      <c r="X203" s="153"/>
      <c r="Y203" s="153"/>
      <c r="Z203" s="153"/>
      <c r="AA203" s="153"/>
      <c r="AB203" s="153"/>
      <c r="AC203" s="153"/>
      <c r="AD203" s="151"/>
      <c r="AE203" s="151"/>
      <c r="AF203" s="151"/>
      <c r="AG203" s="151"/>
      <c r="AH203" s="151"/>
      <c r="AI203" s="151"/>
      <c r="AJ203" s="151"/>
      <c r="AK203" s="151"/>
      <c r="AL203" s="151"/>
      <c r="AM203" s="151"/>
      <c r="AN203" s="151"/>
      <c r="AO203" s="151"/>
      <c r="AP203" s="151"/>
      <c r="AQ203" s="151"/>
      <c r="AR203" s="151"/>
      <c r="AS203" s="151"/>
      <c r="AT203" s="151"/>
      <c r="AU203" s="151"/>
      <c r="AV203" s="151"/>
      <c r="AW203" s="151"/>
      <c r="AX203" s="151"/>
      <c r="AY203" s="151"/>
      <c r="AZ203" s="151"/>
      <c r="BA203" s="151"/>
      <c r="BB203" s="151"/>
      <c r="BC203" s="151"/>
      <c r="BD203" s="151"/>
      <c r="BE203" s="151"/>
      <c r="BF203" s="151"/>
      <c r="BG203" s="151"/>
      <c r="BH203" s="151"/>
      <c r="BI203" s="151"/>
      <c r="BJ203" s="151"/>
      <c r="BK203" s="151"/>
      <c r="BL203" s="151"/>
      <c r="BM203" s="266"/>
      <c r="BN203" s="266"/>
      <c r="BO203" s="266"/>
      <c r="BP203" s="266"/>
      <c r="BQ203" s="266"/>
      <c r="BR203" s="266"/>
      <c r="BS203" s="266"/>
      <c r="BT203" s="266"/>
      <c r="BU203" s="266"/>
      <c r="BV203" s="266"/>
    </row>
    <row r="204" spans="21:74">
      <c r="U204" s="154"/>
      <c r="V204" s="153"/>
      <c r="W204" s="153"/>
      <c r="X204" s="153"/>
      <c r="Y204" s="153"/>
      <c r="Z204" s="153"/>
      <c r="AA204" s="153"/>
      <c r="AB204" s="153"/>
      <c r="AC204" s="153"/>
      <c r="AD204" s="151"/>
      <c r="AE204" s="151"/>
      <c r="AF204" s="151"/>
      <c r="AG204" s="151"/>
      <c r="AH204" s="151"/>
      <c r="AI204" s="151"/>
      <c r="AJ204" s="151"/>
      <c r="AK204" s="151"/>
      <c r="AL204" s="151"/>
      <c r="AM204" s="151"/>
      <c r="AN204" s="151"/>
      <c r="AO204" s="151"/>
      <c r="AP204" s="151"/>
      <c r="AQ204" s="151"/>
      <c r="AR204" s="151"/>
      <c r="AS204" s="151"/>
      <c r="AT204" s="151"/>
      <c r="AU204" s="151"/>
      <c r="AV204" s="151"/>
      <c r="AW204" s="151"/>
      <c r="AX204" s="151"/>
      <c r="AY204" s="151"/>
      <c r="AZ204" s="151"/>
      <c r="BA204" s="151"/>
      <c r="BB204" s="151"/>
      <c r="BC204" s="151"/>
      <c r="BD204" s="151"/>
      <c r="BE204" s="151"/>
      <c r="BF204" s="151"/>
      <c r="BG204" s="151"/>
      <c r="BH204" s="151"/>
      <c r="BI204" s="151"/>
      <c r="BJ204" s="151"/>
      <c r="BK204" s="151"/>
      <c r="BL204" s="151"/>
      <c r="BM204" s="151"/>
      <c r="BN204" s="151"/>
    </row>
    <row r="205" spans="21:74">
      <c r="U205" s="154"/>
      <c r="V205" s="153"/>
      <c r="W205" s="153"/>
      <c r="X205" s="153"/>
      <c r="Y205" s="153"/>
      <c r="Z205" s="153"/>
      <c r="AA205" s="153"/>
      <c r="AB205" s="153"/>
      <c r="AC205" s="153"/>
      <c r="AD205" s="151"/>
      <c r="AE205" s="151"/>
      <c r="AF205" s="151"/>
      <c r="AG205" s="151"/>
      <c r="AH205" s="151"/>
      <c r="AI205" s="151"/>
      <c r="AJ205" s="151"/>
      <c r="AK205" s="151"/>
      <c r="AL205" s="151"/>
      <c r="AM205" s="151"/>
      <c r="AN205" s="151"/>
      <c r="AO205" s="151"/>
      <c r="AP205" s="151"/>
      <c r="AQ205" s="151"/>
      <c r="AR205" s="151"/>
      <c r="AS205" s="151"/>
      <c r="AT205" s="151"/>
      <c r="AU205" s="151"/>
      <c r="AV205" s="151"/>
      <c r="AW205" s="151"/>
      <c r="AX205" s="151"/>
      <c r="AY205" s="151"/>
      <c r="AZ205" s="151"/>
      <c r="BA205" s="151"/>
      <c r="BB205" s="151"/>
      <c r="BC205" s="151"/>
      <c r="BD205" s="151"/>
      <c r="BE205" s="151"/>
      <c r="BF205" s="151"/>
      <c r="BG205" s="151"/>
      <c r="BH205" s="151"/>
      <c r="BI205" s="151"/>
      <c r="BJ205" s="151"/>
      <c r="BK205" s="151"/>
      <c r="BL205" s="151"/>
      <c r="BM205" s="151"/>
      <c r="BN205" s="151"/>
    </row>
    <row r="206" spans="21:74">
      <c r="U206" s="154"/>
      <c r="V206" s="153"/>
      <c r="W206" s="153"/>
      <c r="X206" s="153"/>
      <c r="Y206" s="153"/>
      <c r="Z206" s="153"/>
      <c r="AA206" s="153"/>
      <c r="AB206" s="153"/>
      <c r="AC206" s="153"/>
      <c r="AD206" s="151"/>
      <c r="AE206" s="151"/>
      <c r="AF206" s="151"/>
      <c r="AG206" s="151"/>
      <c r="AH206" s="151"/>
      <c r="AI206" s="151"/>
      <c r="AJ206" s="151"/>
      <c r="AK206" s="151"/>
      <c r="AL206" s="151"/>
      <c r="AM206" s="151"/>
      <c r="AN206" s="151"/>
      <c r="AO206" s="151"/>
      <c r="AP206" s="151"/>
      <c r="AQ206" s="151"/>
      <c r="AR206" s="151"/>
      <c r="AS206" s="151"/>
      <c r="AT206" s="151"/>
      <c r="AU206" s="151"/>
      <c r="AV206" s="151"/>
      <c r="AW206" s="151"/>
      <c r="AX206" s="151"/>
      <c r="AY206" s="151"/>
      <c r="AZ206" s="151"/>
      <c r="BA206" s="151"/>
      <c r="BB206" s="151"/>
      <c r="BC206" s="151"/>
      <c r="BD206" s="151"/>
      <c r="BE206" s="151"/>
      <c r="BF206" s="151"/>
      <c r="BG206" s="151"/>
      <c r="BH206" s="151"/>
      <c r="BI206" s="151"/>
      <c r="BJ206" s="151"/>
      <c r="BK206" s="151"/>
      <c r="BL206" s="151"/>
      <c r="BM206" s="151"/>
      <c r="BN206" s="151"/>
    </row>
    <row r="207" spans="21:74">
      <c r="U207" s="154"/>
      <c r="V207" s="153"/>
      <c r="W207" s="153"/>
      <c r="X207" s="153"/>
      <c r="Y207" s="153"/>
      <c r="Z207" s="153"/>
      <c r="AA207" s="153"/>
      <c r="AB207" s="153"/>
      <c r="AC207" s="153"/>
      <c r="AD207" s="151"/>
      <c r="AE207" s="151"/>
      <c r="AF207" s="151"/>
      <c r="AG207" s="151"/>
      <c r="AH207" s="151"/>
      <c r="AI207" s="151"/>
      <c r="AJ207" s="151"/>
      <c r="AK207" s="151"/>
      <c r="AL207" s="151"/>
      <c r="AM207" s="151"/>
      <c r="AN207" s="151"/>
      <c r="AO207" s="151"/>
      <c r="AP207" s="151"/>
      <c r="AQ207" s="151"/>
      <c r="AR207" s="151"/>
      <c r="AS207" s="151"/>
      <c r="AT207" s="151"/>
      <c r="AU207" s="151"/>
      <c r="AV207" s="151"/>
      <c r="AW207" s="151"/>
      <c r="AX207" s="151"/>
      <c r="AY207" s="151"/>
      <c r="AZ207" s="151"/>
      <c r="BA207" s="151"/>
      <c r="BB207" s="151"/>
      <c r="BC207" s="151"/>
      <c r="BD207" s="151"/>
      <c r="BE207" s="151"/>
      <c r="BF207" s="151"/>
      <c r="BG207" s="151"/>
      <c r="BH207" s="151"/>
      <c r="BI207" s="151"/>
      <c r="BJ207" s="151"/>
      <c r="BK207" s="151"/>
      <c r="BL207" s="151"/>
      <c r="BM207" s="151"/>
      <c r="BN207" s="151"/>
    </row>
    <row r="208" spans="21:74">
      <c r="U208" s="154"/>
      <c r="V208" s="153"/>
      <c r="W208" s="153"/>
      <c r="X208" s="153"/>
      <c r="Y208" s="153"/>
      <c r="Z208" s="153"/>
      <c r="AA208" s="153"/>
      <c r="AB208" s="153"/>
      <c r="AC208" s="153"/>
      <c r="AD208" s="151"/>
      <c r="AE208" s="151"/>
      <c r="AF208" s="151"/>
      <c r="AG208" s="151"/>
      <c r="AH208" s="151"/>
      <c r="AI208" s="151"/>
      <c r="AJ208" s="151"/>
      <c r="AK208" s="151"/>
      <c r="AL208" s="151"/>
      <c r="AM208" s="151"/>
      <c r="AN208" s="151"/>
      <c r="AO208" s="151"/>
      <c r="AP208" s="151"/>
      <c r="AQ208" s="151"/>
      <c r="AR208" s="151"/>
      <c r="AS208" s="151"/>
      <c r="AT208" s="151"/>
      <c r="AU208" s="151"/>
      <c r="AV208" s="151"/>
      <c r="AW208" s="151"/>
      <c r="AX208" s="151"/>
      <c r="AY208" s="151"/>
      <c r="AZ208" s="151"/>
      <c r="BA208" s="151"/>
      <c r="BB208" s="151"/>
      <c r="BC208" s="151"/>
      <c r="BD208" s="151"/>
      <c r="BE208" s="151"/>
      <c r="BF208" s="151"/>
      <c r="BG208" s="151"/>
      <c r="BH208" s="151"/>
      <c r="BI208" s="151"/>
      <c r="BJ208" s="151"/>
      <c r="BK208" s="151"/>
      <c r="BL208" s="151"/>
      <c r="BM208" s="151"/>
      <c r="BN208" s="151"/>
    </row>
    <row r="209" spans="21:66">
      <c r="U209" s="154"/>
      <c r="V209" s="153"/>
      <c r="W209" s="153"/>
      <c r="X209" s="153"/>
      <c r="Y209" s="153"/>
      <c r="Z209" s="153"/>
      <c r="AA209" s="153"/>
      <c r="AB209" s="153"/>
      <c r="AC209" s="153"/>
      <c r="AD209" s="151"/>
      <c r="AE209" s="151"/>
      <c r="AF209" s="151"/>
      <c r="AG209" s="151"/>
      <c r="AH209" s="151"/>
      <c r="AI209" s="151"/>
      <c r="AJ209" s="151"/>
      <c r="AK209" s="151"/>
      <c r="AL209" s="151"/>
      <c r="AM209" s="151"/>
      <c r="AN209" s="151"/>
      <c r="AO209" s="151"/>
      <c r="AP209" s="151"/>
      <c r="AQ209" s="151"/>
      <c r="AR209" s="151"/>
      <c r="AS209" s="151"/>
      <c r="AT209" s="151"/>
      <c r="AU209" s="151"/>
      <c r="AV209" s="151"/>
      <c r="AW209" s="151"/>
      <c r="AX209" s="151"/>
      <c r="AY209" s="151"/>
      <c r="AZ209" s="151"/>
      <c r="BA209" s="151"/>
      <c r="BB209" s="151"/>
      <c r="BC209" s="151"/>
      <c r="BD209" s="151"/>
      <c r="BE209" s="151"/>
      <c r="BF209" s="151"/>
      <c r="BG209" s="151"/>
      <c r="BH209" s="151"/>
      <c r="BI209" s="151"/>
      <c r="BJ209" s="151"/>
      <c r="BK209" s="151"/>
      <c r="BL209" s="151"/>
      <c r="BM209" s="151"/>
      <c r="BN209" s="151"/>
    </row>
    <row r="210" spans="21:66">
      <c r="U210" s="154"/>
      <c r="V210" s="153"/>
      <c r="W210" s="153"/>
      <c r="X210" s="153"/>
      <c r="Y210" s="153"/>
      <c r="Z210" s="153"/>
      <c r="AA210" s="153"/>
      <c r="AB210" s="153"/>
      <c r="AC210" s="153"/>
      <c r="AD210" s="151"/>
      <c r="AE210" s="151"/>
      <c r="AF210" s="151"/>
      <c r="AG210" s="151"/>
      <c r="AH210" s="151"/>
      <c r="AI210" s="151"/>
      <c r="AJ210" s="151"/>
      <c r="AK210" s="151"/>
      <c r="AL210" s="151"/>
      <c r="AM210" s="151"/>
      <c r="AN210" s="151"/>
      <c r="AO210" s="151"/>
      <c r="AP210" s="151"/>
      <c r="AQ210" s="151"/>
      <c r="AR210" s="151"/>
      <c r="AS210" s="151"/>
      <c r="AT210" s="151"/>
      <c r="AU210" s="151"/>
      <c r="AV210" s="151"/>
      <c r="AW210" s="151"/>
      <c r="AX210" s="151"/>
      <c r="AY210" s="151"/>
      <c r="AZ210" s="151"/>
      <c r="BA210" s="151"/>
      <c r="BB210" s="151"/>
      <c r="BC210" s="151"/>
      <c r="BD210" s="151"/>
      <c r="BE210" s="151"/>
      <c r="BF210" s="151"/>
      <c r="BG210" s="151"/>
      <c r="BH210" s="151"/>
      <c r="BI210" s="151"/>
      <c r="BJ210" s="151"/>
      <c r="BK210" s="151"/>
      <c r="BL210" s="151"/>
      <c r="BM210" s="151"/>
      <c r="BN210" s="151"/>
    </row>
    <row r="211" spans="21:66">
      <c r="U211" s="154"/>
      <c r="V211" s="153"/>
      <c r="W211" s="153"/>
      <c r="X211" s="153"/>
      <c r="Y211" s="153"/>
      <c r="Z211" s="153"/>
      <c r="AA211" s="153"/>
      <c r="AB211" s="153"/>
      <c r="AC211" s="153"/>
      <c r="AD211" s="151"/>
      <c r="AE211" s="151"/>
      <c r="AF211" s="151"/>
      <c r="AG211" s="151"/>
      <c r="AH211" s="151"/>
      <c r="AI211" s="151"/>
      <c r="AJ211" s="151"/>
      <c r="AK211" s="151"/>
      <c r="AL211" s="151"/>
      <c r="AM211" s="151"/>
      <c r="AN211" s="151"/>
      <c r="AO211" s="151"/>
      <c r="AP211" s="151"/>
      <c r="AQ211" s="151"/>
      <c r="AR211" s="151"/>
      <c r="AS211" s="151"/>
      <c r="AT211" s="151"/>
      <c r="AU211" s="151"/>
      <c r="AV211" s="151"/>
      <c r="AW211" s="151"/>
      <c r="AX211" s="151"/>
      <c r="AY211" s="151"/>
      <c r="AZ211" s="151"/>
      <c r="BA211" s="151"/>
      <c r="BB211" s="151"/>
      <c r="BC211" s="151"/>
      <c r="BD211" s="151"/>
      <c r="BE211" s="151"/>
      <c r="BF211" s="151"/>
      <c r="BG211" s="151"/>
      <c r="BH211" s="151"/>
      <c r="BI211" s="151"/>
      <c r="BJ211" s="151"/>
      <c r="BK211" s="151"/>
      <c r="BL211" s="151"/>
      <c r="BM211" s="151"/>
      <c r="BN211" s="151"/>
    </row>
    <row r="212" spans="21:66">
      <c r="U212" s="154"/>
      <c r="V212" s="153"/>
      <c r="W212" s="153"/>
      <c r="X212" s="153"/>
      <c r="Y212" s="153"/>
      <c r="Z212" s="153"/>
      <c r="AA212" s="153"/>
      <c r="AB212" s="153"/>
      <c r="AC212" s="153"/>
      <c r="AD212" s="151"/>
      <c r="AE212" s="151"/>
      <c r="AF212" s="151"/>
      <c r="AG212" s="151"/>
      <c r="AH212" s="151"/>
      <c r="AI212" s="151"/>
      <c r="AJ212" s="151"/>
      <c r="AK212" s="151"/>
      <c r="AL212" s="151"/>
      <c r="AM212" s="151"/>
      <c r="AN212" s="151"/>
      <c r="AO212" s="151"/>
      <c r="AP212" s="151"/>
      <c r="AQ212" s="151"/>
      <c r="AR212" s="151"/>
      <c r="AS212" s="151"/>
      <c r="AT212" s="151"/>
      <c r="AU212" s="151"/>
      <c r="AV212" s="151"/>
      <c r="AW212" s="151"/>
      <c r="AX212" s="151"/>
      <c r="AY212" s="151"/>
      <c r="AZ212" s="151"/>
      <c r="BA212" s="151"/>
      <c r="BB212" s="151"/>
      <c r="BC212" s="151"/>
      <c r="BD212" s="151"/>
      <c r="BE212" s="151"/>
      <c r="BF212" s="151"/>
      <c r="BG212" s="151"/>
      <c r="BH212" s="151"/>
      <c r="BI212" s="151"/>
      <c r="BJ212" s="151"/>
      <c r="BK212" s="151"/>
      <c r="BL212" s="151"/>
      <c r="BM212" s="151"/>
      <c r="BN212" s="151"/>
    </row>
    <row r="213" spans="21:66">
      <c r="U213" s="154"/>
      <c r="V213" s="153"/>
      <c r="W213" s="153"/>
      <c r="X213" s="153"/>
      <c r="Y213" s="153"/>
      <c r="Z213" s="153"/>
      <c r="AA213" s="153"/>
      <c r="AB213" s="153"/>
      <c r="AC213" s="153"/>
      <c r="AD213" s="151"/>
      <c r="AE213" s="151"/>
      <c r="AF213" s="151"/>
      <c r="AG213" s="151"/>
      <c r="AH213" s="151"/>
      <c r="AI213" s="151"/>
      <c r="AJ213" s="151"/>
      <c r="AK213" s="151"/>
      <c r="AL213" s="151"/>
      <c r="AM213" s="151"/>
      <c r="AN213" s="151"/>
      <c r="AO213" s="151"/>
      <c r="AP213" s="151"/>
      <c r="AQ213" s="151"/>
      <c r="AR213" s="151"/>
      <c r="AS213" s="151"/>
      <c r="AT213" s="151"/>
      <c r="AU213" s="151"/>
      <c r="AV213" s="151"/>
      <c r="AW213" s="151"/>
      <c r="AX213" s="151"/>
      <c r="AY213" s="151"/>
      <c r="AZ213" s="151"/>
      <c r="BA213" s="151"/>
      <c r="BB213" s="151"/>
      <c r="BC213" s="151"/>
      <c r="BD213" s="151"/>
      <c r="BE213" s="151"/>
      <c r="BF213" s="151"/>
      <c r="BG213" s="151"/>
      <c r="BH213" s="151"/>
      <c r="BI213" s="151"/>
      <c r="BJ213" s="151"/>
      <c r="BK213" s="151"/>
      <c r="BL213" s="151"/>
      <c r="BM213" s="151"/>
      <c r="BN213" s="151"/>
    </row>
    <row r="214" spans="21:66">
      <c r="U214" s="154"/>
      <c r="V214" s="153"/>
      <c r="W214" s="153"/>
      <c r="X214" s="153"/>
      <c r="Y214" s="153"/>
      <c r="Z214" s="153"/>
      <c r="AA214" s="153"/>
      <c r="AB214" s="153"/>
      <c r="AC214" s="153"/>
      <c r="AD214" s="151"/>
      <c r="AE214" s="151"/>
      <c r="AF214" s="151"/>
      <c r="AG214" s="151"/>
      <c r="AH214" s="151"/>
      <c r="AI214" s="151"/>
      <c r="AJ214" s="151"/>
      <c r="AK214" s="151"/>
      <c r="AL214" s="151"/>
      <c r="AM214" s="151"/>
      <c r="AN214" s="151"/>
      <c r="AO214" s="151"/>
      <c r="AP214" s="151"/>
      <c r="AQ214" s="151"/>
      <c r="AR214" s="151"/>
      <c r="AS214" s="151"/>
      <c r="AT214" s="151"/>
      <c r="AU214" s="151"/>
      <c r="AV214" s="151"/>
      <c r="AW214" s="151"/>
      <c r="AX214" s="151"/>
      <c r="AY214" s="151"/>
      <c r="AZ214" s="151"/>
      <c r="BA214" s="151"/>
      <c r="BB214" s="151"/>
      <c r="BC214" s="151"/>
      <c r="BD214" s="151"/>
      <c r="BE214" s="151"/>
      <c r="BF214" s="151"/>
      <c r="BG214" s="151"/>
      <c r="BH214" s="151"/>
      <c r="BI214" s="151"/>
      <c r="BJ214" s="151"/>
      <c r="BK214" s="151"/>
      <c r="BL214" s="151"/>
      <c r="BM214" s="151"/>
      <c r="BN214" s="151"/>
    </row>
    <row r="215" spans="21:66">
      <c r="U215" s="154"/>
      <c r="V215" s="153"/>
      <c r="W215" s="153"/>
      <c r="X215" s="153"/>
      <c r="Y215" s="153"/>
      <c r="Z215" s="153"/>
      <c r="AA215" s="153"/>
      <c r="AB215" s="153"/>
      <c r="AC215" s="153"/>
      <c r="AD215" s="151"/>
      <c r="AE215" s="151"/>
      <c r="AF215" s="151"/>
      <c r="AG215" s="151"/>
      <c r="AH215" s="151"/>
      <c r="AI215" s="151"/>
      <c r="AJ215" s="151"/>
      <c r="AK215" s="151"/>
      <c r="AL215" s="151"/>
      <c r="AM215" s="151"/>
      <c r="AN215" s="151"/>
      <c r="AO215" s="151"/>
      <c r="AP215" s="151"/>
      <c r="AQ215" s="151"/>
      <c r="AR215" s="151"/>
      <c r="AS215" s="151"/>
      <c r="AT215" s="151"/>
      <c r="AU215" s="151"/>
      <c r="AV215" s="151"/>
      <c r="AW215" s="151"/>
      <c r="AX215" s="151"/>
      <c r="AY215" s="151"/>
      <c r="AZ215" s="151"/>
      <c r="BA215" s="151"/>
      <c r="BB215" s="151"/>
      <c r="BC215" s="151"/>
      <c r="BD215" s="151"/>
      <c r="BE215" s="151"/>
      <c r="BF215" s="151"/>
      <c r="BG215" s="151"/>
      <c r="BH215" s="151"/>
      <c r="BI215" s="151"/>
      <c r="BJ215" s="151"/>
      <c r="BK215" s="151"/>
      <c r="BL215" s="151"/>
      <c r="BM215" s="151"/>
      <c r="BN215" s="151"/>
    </row>
    <row r="216" spans="21:66">
      <c r="U216" s="154"/>
      <c r="V216" s="153"/>
      <c r="W216" s="153"/>
      <c r="X216" s="153"/>
      <c r="Y216" s="153"/>
      <c r="Z216" s="153"/>
      <c r="AA216" s="153"/>
      <c r="AB216" s="153"/>
      <c r="AC216" s="153"/>
      <c r="AD216" s="151"/>
      <c r="AE216" s="151"/>
      <c r="AF216" s="151"/>
      <c r="AG216" s="151"/>
      <c r="AH216" s="151"/>
      <c r="AI216" s="151"/>
      <c r="AJ216" s="151"/>
      <c r="AK216" s="151"/>
      <c r="AL216" s="151"/>
      <c r="AM216" s="151"/>
      <c r="AN216" s="151"/>
      <c r="AO216" s="151"/>
      <c r="AP216" s="151"/>
      <c r="AQ216" s="151"/>
      <c r="AR216" s="151"/>
      <c r="AS216" s="151"/>
      <c r="AT216" s="151"/>
      <c r="AU216" s="151"/>
      <c r="AV216" s="151"/>
      <c r="AW216" s="151"/>
      <c r="AX216" s="151"/>
      <c r="AY216" s="151"/>
      <c r="AZ216" s="151"/>
      <c r="BA216" s="151"/>
      <c r="BB216" s="151"/>
      <c r="BC216" s="151"/>
      <c r="BD216" s="151"/>
      <c r="BE216" s="151"/>
      <c r="BF216" s="151"/>
      <c r="BG216" s="151"/>
      <c r="BH216" s="151"/>
      <c r="BI216" s="151"/>
      <c r="BJ216" s="151"/>
      <c r="BK216" s="151"/>
      <c r="BL216" s="151"/>
      <c r="BM216" s="151"/>
      <c r="BN216" s="151"/>
    </row>
    <row r="217" spans="21:66">
      <c r="U217" s="154"/>
      <c r="V217" s="153"/>
      <c r="W217" s="153"/>
      <c r="X217" s="153"/>
      <c r="Y217" s="153"/>
      <c r="Z217" s="153"/>
      <c r="AA217" s="153"/>
      <c r="AB217" s="153"/>
      <c r="AC217" s="153"/>
      <c r="AD217" s="151"/>
      <c r="AE217" s="151"/>
      <c r="AF217" s="151"/>
      <c r="AG217" s="151"/>
      <c r="AH217" s="151"/>
      <c r="AI217" s="151"/>
      <c r="AJ217" s="151"/>
      <c r="AK217" s="151"/>
      <c r="AL217" s="151"/>
      <c r="AM217" s="151"/>
      <c r="AN217" s="151"/>
      <c r="AO217" s="151"/>
      <c r="AP217" s="151"/>
      <c r="AQ217" s="151"/>
      <c r="AR217" s="151"/>
      <c r="AS217" s="151"/>
      <c r="AT217" s="151"/>
      <c r="AU217" s="151"/>
      <c r="AV217" s="151"/>
      <c r="AW217" s="151"/>
      <c r="AX217" s="151"/>
      <c r="AY217" s="151"/>
      <c r="AZ217" s="151"/>
      <c r="BA217" s="151"/>
      <c r="BB217" s="151"/>
      <c r="BC217" s="151"/>
      <c r="BD217" s="151"/>
      <c r="BE217" s="151"/>
      <c r="BF217" s="151"/>
      <c r="BG217" s="151"/>
      <c r="BH217" s="151"/>
      <c r="BI217" s="151"/>
      <c r="BJ217" s="151"/>
      <c r="BK217" s="151"/>
      <c r="BL217" s="151"/>
      <c r="BM217" s="151"/>
      <c r="BN217" s="151"/>
    </row>
    <row r="218" spans="21:66">
      <c r="U218" s="154"/>
      <c r="V218" s="153"/>
      <c r="W218" s="153"/>
      <c r="X218" s="153"/>
      <c r="Y218" s="153"/>
      <c r="Z218" s="153"/>
      <c r="AA218" s="153"/>
      <c r="AB218" s="153"/>
      <c r="AC218" s="153"/>
      <c r="AD218" s="151"/>
      <c r="AE218" s="151"/>
      <c r="AF218" s="151"/>
      <c r="AG218" s="151"/>
      <c r="AH218" s="151"/>
      <c r="AI218" s="151"/>
      <c r="AJ218" s="151"/>
      <c r="AK218" s="151"/>
      <c r="AL218" s="151"/>
      <c r="AM218" s="151"/>
      <c r="AN218" s="151"/>
      <c r="AO218" s="151"/>
      <c r="AP218" s="151"/>
      <c r="AQ218" s="151"/>
      <c r="AR218" s="151"/>
      <c r="AS218" s="151"/>
      <c r="AT218" s="151"/>
      <c r="AU218" s="151"/>
      <c r="AV218" s="151"/>
      <c r="AW218" s="151"/>
      <c r="AX218" s="151"/>
      <c r="AY218" s="151"/>
      <c r="AZ218" s="151"/>
      <c r="BA218" s="151"/>
      <c r="BB218" s="151"/>
      <c r="BC218" s="151"/>
      <c r="BD218" s="151"/>
      <c r="BE218" s="151"/>
      <c r="BF218" s="151"/>
      <c r="BG218" s="151"/>
      <c r="BH218" s="151"/>
      <c r="BI218" s="151"/>
      <c r="BJ218" s="151"/>
      <c r="BK218" s="151"/>
      <c r="BL218" s="151"/>
      <c r="BM218" s="151"/>
      <c r="BN218" s="151"/>
    </row>
    <row r="219" spans="21:66">
      <c r="U219" s="154"/>
      <c r="V219" s="153"/>
      <c r="W219" s="153"/>
      <c r="X219" s="153"/>
      <c r="Y219" s="153"/>
      <c r="Z219" s="153"/>
      <c r="AA219" s="153"/>
      <c r="AB219" s="153"/>
      <c r="AC219" s="153"/>
      <c r="AD219" s="151"/>
      <c r="AE219" s="151"/>
      <c r="AF219" s="151"/>
      <c r="AG219" s="151"/>
      <c r="AH219" s="151"/>
      <c r="AI219" s="151"/>
      <c r="AJ219" s="151"/>
      <c r="AK219" s="151"/>
      <c r="AL219" s="151"/>
      <c r="AM219" s="151"/>
      <c r="AN219" s="151"/>
      <c r="AO219" s="151"/>
      <c r="AP219" s="151"/>
      <c r="AQ219" s="151"/>
      <c r="AR219" s="151"/>
      <c r="AS219" s="151"/>
      <c r="AT219" s="151"/>
      <c r="AU219" s="151"/>
      <c r="AV219" s="151"/>
      <c r="AW219" s="151"/>
      <c r="AX219" s="151"/>
      <c r="AY219" s="151"/>
      <c r="AZ219" s="151"/>
      <c r="BA219" s="151"/>
      <c r="BB219" s="151"/>
      <c r="BC219" s="151"/>
      <c r="BD219" s="151"/>
      <c r="BE219" s="151"/>
      <c r="BF219" s="151"/>
      <c r="BG219" s="151"/>
      <c r="BH219" s="151"/>
      <c r="BI219" s="151"/>
      <c r="BJ219" s="151"/>
      <c r="BK219" s="151"/>
      <c r="BL219" s="151"/>
      <c r="BM219" s="151"/>
      <c r="BN219" s="151"/>
    </row>
    <row r="220" spans="21:66">
      <c r="U220" s="154"/>
      <c r="V220" s="153"/>
      <c r="W220" s="153"/>
      <c r="X220" s="153"/>
      <c r="Y220" s="153"/>
      <c r="Z220" s="153"/>
      <c r="AA220" s="153"/>
      <c r="AB220" s="153"/>
      <c r="AC220" s="153"/>
      <c r="AD220" s="151"/>
      <c r="AE220" s="151"/>
      <c r="AF220" s="151"/>
      <c r="AG220" s="151"/>
      <c r="AH220" s="151"/>
      <c r="AI220" s="151"/>
      <c r="AJ220" s="151"/>
      <c r="AK220" s="151"/>
      <c r="AL220" s="151"/>
      <c r="AM220" s="151"/>
      <c r="AN220" s="151"/>
      <c r="AO220" s="151"/>
      <c r="AP220" s="151"/>
      <c r="AQ220" s="151"/>
      <c r="AR220" s="151"/>
      <c r="AS220" s="151"/>
      <c r="AT220" s="151"/>
      <c r="AU220" s="151"/>
      <c r="AV220" s="151"/>
      <c r="AW220" s="151"/>
      <c r="AX220" s="151"/>
      <c r="AY220" s="151"/>
      <c r="AZ220" s="151"/>
      <c r="BA220" s="151"/>
      <c r="BB220" s="151"/>
      <c r="BC220" s="151"/>
      <c r="BD220" s="151"/>
      <c r="BE220" s="151"/>
      <c r="BF220" s="151"/>
      <c r="BG220" s="151"/>
      <c r="BH220" s="151"/>
      <c r="BI220" s="151"/>
      <c r="BJ220" s="151"/>
      <c r="BK220" s="151"/>
      <c r="BL220" s="151"/>
      <c r="BM220" s="151"/>
      <c r="BN220" s="151"/>
    </row>
    <row r="221" spans="21:66">
      <c r="U221" s="154"/>
      <c r="V221" s="153"/>
      <c r="W221" s="153"/>
      <c r="X221" s="153"/>
      <c r="Y221" s="153"/>
      <c r="Z221" s="153"/>
      <c r="AA221" s="153"/>
      <c r="AB221" s="153"/>
      <c r="AC221" s="153"/>
      <c r="AD221" s="151"/>
      <c r="AE221" s="151"/>
      <c r="AF221" s="151"/>
      <c r="AG221" s="151"/>
      <c r="AH221" s="151"/>
      <c r="AI221" s="151"/>
      <c r="AJ221" s="151"/>
      <c r="AK221" s="151"/>
      <c r="AL221" s="151"/>
      <c r="AM221" s="151"/>
      <c r="AN221" s="151"/>
      <c r="AO221" s="151"/>
      <c r="AP221" s="151"/>
      <c r="AQ221" s="151"/>
      <c r="AR221" s="151"/>
      <c r="AS221" s="151"/>
      <c r="AT221" s="151"/>
      <c r="AU221" s="151"/>
      <c r="AV221" s="151"/>
      <c r="AW221" s="151"/>
      <c r="AX221" s="151"/>
      <c r="AY221" s="151"/>
      <c r="AZ221" s="151"/>
      <c r="BA221" s="151"/>
      <c r="BB221" s="151"/>
      <c r="BC221" s="151"/>
      <c r="BD221" s="151"/>
      <c r="BE221" s="151"/>
      <c r="BF221" s="151"/>
      <c r="BG221" s="151"/>
      <c r="BH221" s="151"/>
      <c r="BI221" s="151"/>
      <c r="BJ221" s="151"/>
      <c r="BK221" s="151"/>
      <c r="BL221" s="151"/>
      <c r="BM221" s="151"/>
      <c r="BN221" s="151"/>
    </row>
    <row r="222" spans="21:66">
      <c r="U222" s="154"/>
      <c r="V222" s="153"/>
      <c r="W222" s="153"/>
      <c r="X222" s="153"/>
      <c r="Y222" s="153"/>
      <c r="Z222" s="153"/>
      <c r="AA222" s="153"/>
      <c r="AB222" s="153"/>
      <c r="AC222" s="153"/>
      <c r="AD222" s="151"/>
      <c r="AE222" s="151"/>
      <c r="AF222" s="151"/>
      <c r="AG222" s="151"/>
      <c r="AH222" s="151"/>
      <c r="AI222" s="151"/>
      <c r="AJ222" s="151"/>
      <c r="AK222" s="151"/>
      <c r="AL222" s="151"/>
      <c r="AM222" s="151"/>
      <c r="AN222" s="151"/>
      <c r="AO222" s="151"/>
      <c r="AP222" s="151"/>
      <c r="AQ222" s="151"/>
      <c r="AR222" s="151"/>
      <c r="AS222" s="151"/>
      <c r="AT222" s="151"/>
      <c r="AU222" s="151"/>
      <c r="AV222" s="151"/>
      <c r="AW222" s="151"/>
      <c r="AX222" s="151"/>
      <c r="AY222" s="151"/>
      <c r="AZ222" s="151"/>
      <c r="BA222" s="151"/>
      <c r="BB222" s="151"/>
      <c r="BC222" s="151"/>
      <c r="BD222" s="151"/>
      <c r="BE222" s="151"/>
      <c r="BF222" s="151"/>
      <c r="BG222" s="151"/>
      <c r="BH222" s="151"/>
      <c r="BI222" s="151"/>
      <c r="BJ222" s="151"/>
      <c r="BK222" s="151"/>
      <c r="BL222" s="151"/>
      <c r="BM222" s="151"/>
      <c r="BN222" s="151"/>
    </row>
    <row r="223" spans="21:66">
      <c r="U223" s="154"/>
      <c r="V223" s="153"/>
      <c r="W223" s="153"/>
      <c r="X223" s="153"/>
      <c r="Y223" s="153"/>
      <c r="Z223" s="153"/>
      <c r="AA223" s="153"/>
      <c r="AB223" s="153"/>
      <c r="AC223" s="153"/>
      <c r="AD223" s="151"/>
      <c r="AE223" s="151"/>
      <c r="AF223" s="151"/>
      <c r="AG223" s="151"/>
      <c r="AH223" s="151"/>
      <c r="AI223" s="151"/>
      <c r="AJ223" s="151"/>
      <c r="AK223" s="151"/>
      <c r="AL223" s="151"/>
      <c r="AM223" s="151"/>
      <c r="AN223" s="151"/>
      <c r="AO223" s="151"/>
      <c r="AP223" s="151"/>
      <c r="AQ223" s="151"/>
      <c r="AR223" s="151"/>
      <c r="AS223" s="151"/>
      <c r="AT223" s="151"/>
      <c r="AU223" s="151"/>
      <c r="AV223" s="151"/>
      <c r="AW223" s="151"/>
      <c r="AX223" s="151"/>
      <c r="AY223" s="151"/>
      <c r="AZ223" s="151"/>
      <c r="BA223" s="151"/>
      <c r="BB223" s="151"/>
      <c r="BC223" s="151"/>
      <c r="BD223" s="151"/>
      <c r="BE223" s="151"/>
      <c r="BF223" s="151"/>
      <c r="BG223" s="151"/>
      <c r="BH223" s="151"/>
      <c r="BI223" s="151"/>
      <c r="BJ223" s="151"/>
      <c r="BK223" s="151"/>
      <c r="BL223" s="151"/>
      <c r="BM223" s="151"/>
      <c r="BN223" s="151"/>
    </row>
    <row r="224" spans="21:66">
      <c r="U224" s="154"/>
      <c r="V224" s="153"/>
      <c r="W224" s="153"/>
      <c r="X224" s="153"/>
      <c r="Y224" s="153"/>
      <c r="Z224" s="153"/>
      <c r="AA224" s="153"/>
      <c r="AB224" s="153"/>
      <c r="AC224" s="153"/>
      <c r="AD224" s="151"/>
      <c r="AE224" s="151"/>
      <c r="AF224" s="151"/>
      <c r="AG224" s="151"/>
      <c r="AH224" s="151"/>
      <c r="AI224" s="151"/>
      <c r="AJ224" s="151"/>
      <c r="AK224" s="151"/>
      <c r="AL224" s="151"/>
      <c r="AM224" s="151"/>
      <c r="AN224" s="151"/>
      <c r="AO224" s="151"/>
      <c r="AP224" s="151"/>
      <c r="AQ224" s="151"/>
      <c r="AR224" s="151"/>
      <c r="AS224" s="151"/>
      <c r="AT224" s="151"/>
      <c r="AU224" s="151"/>
      <c r="AV224" s="151"/>
      <c r="AW224" s="151"/>
      <c r="AX224" s="151"/>
      <c r="AY224" s="151"/>
      <c r="AZ224" s="151"/>
      <c r="BA224" s="151"/>
      <c r="BB224" s="151"/>
      <c r="BC224" s="151"/>
      <c r="BD224" s="151"/>
      <c r="BE224" s="151"/>
      <c r="BF224" s="151"/>
      <c r="BG224" s="151"/>
      <c r="BH224" s="151"/>
      <c r="BI224" s="151"/>
      <c r="BJ224" s="151"/>
      <c r="BK224" s="151"/>
      <c r="BL224" s="151"/>
      <c r="BM224" s="151"/>
      <c r="BN224" s="151"/>
    </row>
    <row r="225" spans="21:66">
      <c r="U225" s="154"/>
      <c r="V225" s="153"/>
      <c r="W225" s="153"/>
      <c r="X225" s="153"/>
      <c r="Y225" s="153"/>
      <c r="Z225" s="153"/>
      <c r="AA225" s="153"/>
      <c r="AB225" s="153"/>
      <c r="AC225" s="153"/>
      <c r="AD225" s="151"/>
      <c r="AE225" s="151"/>
      <c r="AF225" s="151"/>
      <c r="AG225" s="151"/>
      <c r="AH225" s="151"/>
      <c r="AI225" s="151"/>
      <c r="AJ225" s="151"/>
      <c r="AK225" s="151"/>
      <c r="AL225" s="151"/>
      <c r="AM225" s="151"/>
      <c r="AN225" s="151"/>
      <c r="AO225" s="151"/>
      <c r="AP225" s="151"/>
      <c r="AQ225" s="151"/>
      <c r="AR225" s="151"/>
      <c r="AS225" s="151"/>
      <c r="AT225" s="151"/>
      <c r="AU225" s="151"/>
      <c r="AV225" s="151"/>
      <c r="AW225" s="151"/>
      <c r="AX225" s="151"/>
      <c r="AY225" s="151"/>
      <c r="AZ225" s="151"/>
      <c r="BA225" s="151"/>
      <c r="BB225" s="151"/>
      <c r="BC225" s="151"/>
      <c r="BD225" s="151"/>
      <c r="BE225" s="151"/>
      <c r="BF225" s="151"/>
      <c r="BG225" s="151"/>
      <c r="BH225" s="151"/>
      <c r="BI225" s="151"/>
      <c r="BJ225" s="151"/>
      <c r="BK225" s="151"/>
      <c r="BL225" s="151"/>
      <c r="BM225" s="151"/>
      <c r="BN225" s="151"/>
    </row>
    <row r="226" spans="21:66">
      <c r="U226" s="154"/>
      <c r="V226" s="153"/>
      <c r="W226" s="153"/>
      <c r="X226" s="153"/>
      <c r="Y226" s="153"/>
      <c r="Z226" s="153"/>
      <c r="AA226" s="153"/>
      <c r="AB226" s="153"/>
      <c r="AC226" s="153"/>
      <c r="AD226" s="151"/>
      <c r="AE226" s="151"/>
      <c r="AF226" s="151"/>
      <c r="AG226" s="151"/>
      <c r="AH226" s="151"/>
      <c r="AI226" s="151"/>
      <c r="AJ226" s="151"/>
      <c r="AK226" s="151"/>
      <c r="AL226" s="151"/>
      <c r="AM226" s="151"/>
      <c r="AN226" s="151"/>
      <c r="AO226" s="151"/>
      <c r="AP226" s="151"/>
      <c r="AQ226" s="151"/>
      <c r="AR226" s="151"/>
      <c r="AS226" s="151"/>
      <c r="AT226" s="151"/>
      <c r="AU226" s="151"/>
      <c r="AV226" s="151"/>
      <c r="AW226" s="151"/>
      <c r="AX226" s="151"/>
      <c r="AY226" s="151"/>
      <c r="AZ226" s="151"/>
      <c r="BA226" s="151"/>
      <c r="BB226" s="151"/>
      <c r="BC226" s="151"/>
      <c r="BD226" s="151"/>
      <c r="BE226" s="151"/>
      <c r="BF226" s="151"/>
      <c r="BG226" s="151"/>
      <c r="BH226" s="151"/>
      <c r="BI226" s="151"/>
      <c r="BJ226" s="151"/>
      <c r="BK226" s="151"/>
      <c r="BL226" s="151"/>
      <c r="BM226" s="151"/>
      <c r="BN226" s="151"/>
    </row>
    <row r="227" spans="21:66">
      <c r="U227" s="154"/>
      <c r="V227" s="153"/>
      <c r="W227" s="153"/>
      <c r="X227" s="153"/>
      <c r="Y227" s="153"/>
      <c r="Z227" s="153"/>
      <c r="AA227" s="153"/>
      <c r="AB227" s="153"/>
      <c r="AC227" s="153"/>
      <c r="AD227" s="151"/>
      <c r="AE227" s="151"/>
      <c r="AF227" s="151"/>
      <c r="AG227" s="151"/>
      <c r="AH227" s="151"/>
      <c r="AI227" s="151"/>
      <c r="AJ227" s="151"/>
      <c r="AK227" s="151"/>
      <c r="AL227" s="151"/>
      <c r="AM227" s="151"/>
      <c r="AN227" s="151"/>
      <c r="AO227" s="151"/>
      <c r="AP227" s="151"/>
      <c r="AQ227" s="151"/>
      <c r="AR227" s="151"/>
      <c r="AS227" s="151"/>
      <c r="AT227" s="151"/>
      <c r="AU227" s="151"/>
      <c r="AV227" s="151"/>
      <c r="AW227" s="151"/>
      <c r="AX227" s="151"/>
      <c r="AY227" s="151"/>
      <c r="AZ227" s="151"/>
      <c r="BA227" s="151"/>
      <c r="BB227" s="151"/>
      <c r="BC227" s="151"/>
      <c r="BD227" s="151"/>
      <c r="BE227" s="151"/>
      <c r="BF227" s="151"/>
      <c r="BG227" s="151"/>
      <c r="BH227" s="151"/>
      <c r="BI227" s="151"/>
      <c r="BJ227" s="151"/>
      <c r="BK227" s="151"/>
      <c r="BL227" s="151"/>
      <c r="BM227" s="151"/>
      <c r="BN227" s="151"/>
    </row>
    <row r="228" spans="21:66">
      <c r="U228" s="154"/>
      <c r="V228" s="153"/>
      <c r="W228" s="153"/>
      <c r="X228" s="153"/>
      <c r="Y228" s="153"/>
      <c r="Z228" s="153"/>
      <c r="AA228" s="153"/>
      <c r="AB228" s="153"/>
      <c r="AC228" s="153"/>
      <c r="AD228" s="151"/>
      <c r="AE228" s="151"/>
      <c r="AF228" s="151"/>
      <c r="AG228" s="151"/>
      <c r="AH228" s="151"/>
      <c r="AI228" s="151"/>
      <c r="AJ228" s="151"/>
      <c r="AK228" s="151"/>
      <c r="AL228" s="151"/>
      <c r="AM228" s="151"/>
      <c r="AN228" s="151"/>
      <c r="AO228" s="151"/>
      <c r="AP228" s="151"/>
      <c r="AQ228" s="151"/>
      <c r="AR228" s="151"/>
      <c r="AS228" s="151"/>
      <c r="AT228" s="151"/>
      <c r="AU228" s="151"/>
      <c r="AV228" s="151"/>
      <c r="AW228" s="151"/>
      <c r="AX228" s="151"/>
      <c r="AY228" s="151"/>
      <c r="AZ228" s="151"/>
      <c r="BA228" s="151"/>
      <c r="BB228" s="151"/>
      <c r="BC228" s="151"/>
      <c r="BD228" s="151"/>
      <c r="BE228" s="151"/>
      <c r="BF228" s="151"/>
      <c r="BG228" s="151"/>
      <c r="BH228" s="151"/>
      <c r="BI228" s="151"/>
      <c r="BJ228" s="151"/>
      <c r="BK228" s="151"/>
      <c r="BL228" s="151"/>
      <c r="BM228" s="151"/>
      <c r="BN228" s="151"/>
    </row>
    <row r="229" spans="21:66">
      <c r="U229" s="154"/>
      <c r="V229" s="153"/>
      <c r="W229" s="153"/>
      <c r="X229" s="153"/>
      <c r="Y229" s="153"/>
      <c r="Z229" s="153"/>
      <c r="AA229" s="153"/>
      <c r="AB229" s="153"/>
      <c r="AC229" s="153"/>
      <c r="AD229" s="151"/>
      <c r="AE229" s="151"/>
      <c r="AF229" s="151"/>
      <c r="AG229" s="151"/>
      <c r="AH229" s="151"/>
      <c r="AI229" s="151"/>
      <c r="AJ229" s="151"/>
      <c r="AK229" s="151"/>
      <c r="AL229" s="151"/>
      <c r="AM229" s="151"/>
      <c r="AN229" s="151"/>
      <c r="AO229" s="151"/>
      <c r="AP229" s="151"/>
      <c r="AQ229" s="151"/>
      <c r="AR229" s="151"/>
      <c r="AS229" s="151"/>
      <c r="AT229" s="151"/>
      <c r="AU229" s="151"/>
      <c r="AV229" s="151"/>
      <c r="AW229" s="151"/>
      <c r="AX229" s="151"/>
      <c r="AY229" s="151"/>
      <c r="AZ229" s="151"/>
      <c r="BA229" s="151"/>
      <c r="BB229" s="151"/>
      <c r="BC229" s="151"/>
      <c r="BD229" s="151"/>
      <c r="BE229" s="151"/>
      <c r="BF229" s="151"/>
      <c r="BG229" s="151"/>
      <c r="BH229" s="151"/>
      <c r="BI229" s="151"/>
      <c r="BJ229" s="151"/>
      <c r="BK229" s="151"/>
      <c r="BL229" s="151"/>
      <c r="BM229" s="151"/>
      <c r="BN229" s="151"/>
    </row>
    <row r="230" spans="21:66">
      <c r="U230" s="154"/>
      <c r="V230" s="153"/>
      <c r="W230" s="153"/>
      <c r="X230" s="153"/>
      <c r="Y230" s="153"/>
      <c r="Z230" s="153"/>
      <c r="AA230" s="153"/>
      <c r="AB230" s="153"/>
      <c r="AC230" s="153"/>
      <c r="AD230" s="151"/>
      <c r="AE230" s="151"/>
      <c r="AF230" s="151"/>
      <c r="AG230" s="151"/>
      <c r="AH230" s="151"/>
      <c r="AI230" s="151"/>
      <c r="AJ230" s="151"/>
      <c r="AK230" s="151"/>
      <c r="AL230" s="151"/>
      <c r="AM230" s="151"/>
      <c r="AN230" s="151"/>
      <c r="AO230" s="151"/>
      <c r="AP230" s="151"/>
      <c r="AQ230" s="151"/>
      <c r="AR230" s="151"/>
      <c r="AS230" s="151"/>
      <c r="AT230" s="151"/>
      <c r="AU230" s="151"/>
      <c r="AV230" s="151"/>
      <c r="AW230" s="151"/>
      <c r="AX230" s="151"/>
      <c r="AY230" s="151"/>
      <c r="AZ230" s="151"/>
      <c r="BA230" s="151"/>
      <c r="BB230" s="151"/>
      <c r="BC230" s="151"/>
      <c r="BD230" s="151"/>
      <c r="BE230" s="151"/>
      <c r="BF230" s="151"/>
      <c r="BG230" s="151"/>
      <c r="BH230" s="151"/>
      <c r="BI230" s="151"/>
      <c r="BJ230" s="151"/>
      <c r="BK230" s="151"/>
      <c r="BL230" s="151"/>
      <c r="BM230" s="151"/>
      <c r="BN230" s="151"/>
    </row>
    <row r="231" spans="21:66">
      <c r="U231" s="154"/>
      <c r="V231" s="153"/>
      <c r="W231" s="153"/>
      <c r="X231" s="153"/>
      <c r="Y231" s="153"/>
      <c r="Z231" s="153"/>
      <c r="AA231" s="153"/>
      <c r="AB231" s="153"/>
      <c r="AC231" s="153"/>
      <c r="AD231" s="151"/>
      <c r="AE231" s="151"/>
      <c r="AF231" s="151"/>
      <c r="AG231" s="151"/>
      <c r="AH231" s="151"/>
      <c r="AI231" s="151"/>
      <c r="AJ231" s="151"/>
      <c r="AK231" s="151"/>
      <c r="AL231" s="151"/>
      <c r="AM231" s="151"/>
      <c r="AN231" s="151"/>
      <c r="AO231" s="151"/>
      <c r="AP231" s="151"/>
      <c r="AQ231" s="151"/>
      <c r="AR231" s="151"/>
      <c r="AS231" s="151"/>
      <c r="AT231" s="151"/>
      <c r="AU231" s="151"/>
      <c r="AV231" s="151"/>
      <c r="AW231" s="151"/>
      <c r="AX231" s="151"/>
      <c r="AY231" s="151"/>
      <c r="AZ231" s="151"/>
      <c r="BA231" s="151"/>
      <c r="BB231" s="151"/>
      <c r="BC231" s="151"/>
      <c r="BD231" s="151"/>
      <c r="BE231" s="151"/>
      <c r="BF231" s="151"/>
      <c r="BG231" s="151"/>
      <c r="BH231" s="151"/>
      <c r="BI231" s="151"/>
      <c r="BJ231" s="151"/>
      <c r="BK231" s="151"/>
      <c r="BL231" s="151"/>
      <c r="BM231" s="151"/>
      <c r="BN231" s="151"/>
    </row>
    <row r="232" spans="21:66">
      <c r="U232" s="154"/>
      <c r="V232" s="153"/>
      <c r="W232" s="153"/>
      <c r="X232" s="153"/>
      <c r="Y232" s="153"/>
      <c r="Z232" s="153"/>
      <c r="AA232" s="153"/>
      <c r="AB232" s="153"/>
      <c r="AC232" s="153"/>
      <c r="AD232" s="151"/>
      <c r="AE232" s="151"/>
      <c r="AF232" s="151"/>
      <c r="AG232" s="151"/>
      <c r="AH232" s="151"/>
      <c r="AI232" s="151"/>
      <c r="AJ232" s="151"/>
      <c r="AK232" s="151"/>
      <c r="AL232" s="151"/>
      <c r="AM232" s="151"/>
      <c r="AN232" s="151"/>
      <c r="AO232" s="151"/>
      <c r="AP232" s="151"/>
      <c r="AQ232" s="151"/>
      <c r="AR232" s="151"/>
      <c r="AS232" s="151"/>
      <c r="AT232" s="151"/>
      <c r="AU232" s="151"/>
      <c r="AV232" s="151"/>
      <c r="AW232" s="151"/>
      <c r="AX232" s="151"/>
      <c r="AY232" s="151"/>
      <c r="AZ232" s="151"/>
      <c r="BA232" s="151"/>
      <c r="BB232" s="151"/>
      <c r="BC232" s="151"/>
      <c r="BD232" s="151"/>
      <c r="BE232" s="151"/>
      <c r="BF232" s="151"/>
      <c r="BG232" s="151"/>
      <c r="BH232" s="151"/>
      <c r="BI232" s="151"/>
      <c r="BJ232" s="151"/>
      <c r="BK232" s="151"/>
      <c r="BL232" s="151"/>
      <c r="BM232" s="151"/>
      <c r="BN232" s="151"/>
    </row>
    <row r="233" spans="21:66">
      <c r="U233" s="154"/>
      <c r="V233" s="153"/>
      <c r="W233" s="153"/>
      <c r="X233" s="153"/>
      <c r="Y233" s="153"/>
      <c r="Z233" s="153"/>
      <c r="AA233" s="153"/>
      <c r="AB233" s="153"/>
      <c r="AC233" s="153"/>
      <c r="AD233" s="151"/>
      <c r="AE233" s="151"/>
      <c r="AF233" s="151"/>
      <c r="AG233" s="151"/>
      <c r="AH233" s="151"/>
      <c r="AI233" s="151"/>
      <c r="AJ233" s="151"/>
      <c r="AK233" s="151"/>
      <c r="AL233" s="151"/>
      <c r="AM233" s="151"/>
      <c r="AN233" s="151"/>
      <c r="AO233" s="151"/>
      <c r="AP233" s="151"/>
      <c r="AQ233" s="151"/>
      <c r="AR233" s="151"/>
      <c r="AS233" s="151"/>
      <c r="AT233" s="151"/>
      <c r="AU233" s="151"/>
      <c r="AV233" s="151"/>
      <c r="AW233" s="151"/>
      <c r="AX233" s="151"/>
      <c r="AY233" s="151"/>
      <c r="AZ233" s="151"/>
      <c r="BA233" s="151"/>
      <c r="BB233" s="151"/>
      <c r="BC233" s="151"/>
      <c r="BD233" s="151"/>
      <c r="BE233" s="151"/>
      <c r="BF233" s="151"/>
      <c r="BG233" s="151"/>
      <c r="BH233" s="151"/>
      <c r="BI233" s="151"/>
      <c r="BJ233" s="151"/>
      <c r="BK233" s="151"/>
      <c r="BL233" s="151"/>
      <c r="BM233" s="151"/>
      <c r="BN233" s="151"/>
    </row>
    <row r="234" spans="21:66">
      <c r="U234" s="154"/>
      <c r="V234" s="153"/>
      <c r="W234" s="153"/>
      <c r="X234" s="153"/>
      <c r="Y234" s="153"/>
      <c r="Z234" s="153"/>
      <c r="AA234" s="153"/>
      <c r="AB234" s="153"/>
      <c r="AC234" s="153"/>
      <c r="AD234" s="151"/>
      <c r="AE234" s="151"/>
      <c r="AF234" s="151"/>
      <c r="AG234" s="151"/>
      <c r="AH234" s="151"/>
      <c r="AI234" s="151"/>
      <c r="AJ234" s="151"/>
      <c r="AK234" s="151"/>
      <c r="AL234" s="151"/>
      <c r="AM234" s="151"/>
      <c r="AN234" s="151"/>
      <c r="AO234" s="151"/>
      <c r="AP234" s="151"/>
      <c r="AQ234" s="151"/>
      <c r="AR234" s="151"/>
      <c r="AS234" s="151"/>
      <c r="AT234" s="151"/>
      <c r="AU234" s="151"/>
      <c r="AV234" s="151"/>
      <c r="AW234" s="151"/>
      <c r="AX234" s="151"/>
      <c r="AY234" s="151"/>
      <c r="AZ234" s="151"/>
      <c r="BA234" s="151"/>
      <c r="BB234" s="151"/>
      <c r="BC234" s="151"/>
      <c r="BD234" s="151"/>
      <c r="BE234" s="151"/>
      <c r="BF234" s="151"/>
      <c r="BG234" s="151"/>
      <c r="BH234" s="151"/>
      <c r="BI234" s="151"/>
      <c r="BJ234" s="151"/>
      <c r="BK234" s="151"/>
      <c r="BL234" s="151"/>
      <c r="BM234" s="151"/>
      <c r="BN234" s="151"/>
    </row>
    <row r="235" spans="21:66">
      <c r="U235" s="154"/>
      <c r="V235" s="153"/>
      <c r="W235" s="153"/>
      <c r="X235" s="153"/>
      <c r="Y235" s="153"/>
      <c r="Z235" s="153"/>
      <c r="AA235" s="153"/>
      <c r="AB235" s="153"/>
      <c r="AC235" s="153"/>
      <c r="AD235" s="151"/>
      <c r="AE235" s="151"/>
      <c r="AF235" s="151"/>
      <c r="AG235" s="151"/>
      <c r="AH235" s="151"/>
      <c r="AI235" s="151"/>
      <c r="AJ235" s="151"/>
      <c r="AK235" s="151"/>
      <c r="AL235" s="151"/>
      <c r="AM235" s="151"/>
      <c r="AN235" s="151"/>
      <c r="AO235" s="151"/>
      <c r="AP235" s="151"/>
      <c r="AQ235" s="151"/>
      <c r="AR235" s="151"/>
      <c r="AS235" s="151"/>
      <c r="AT235" s="151"/>
      <c r="AU235" s="151"/>
      <c r="AV235" s="151"/>
      <c r="AW235" s="151"/>
      <c r="AX235" s="151"/>
      <c r="AY235" s="151"/>
      <c r="AZ235" s="151"/>
      <c r="BA235" s="151"/>
      <c r="BB235" s="151"/>
      <c r="BC235" s="151"/>
      <c r="BD235" s="151"/>
      <c r="BE235" s="151"/>
      <c r="BF235" s="151"/>
      <c r="BG235" s="151"/>
      <c r="BH235" s="151"/>
      <c r="BI235" s="151"/>
      <c r="BJ235" s="151"/>
      <c r="BK235" s="151"/>
      <c r="BL235" s="151"/>
      <c r="BM235" s="151"/>
      <c r="BN235" s="151"/>
    </row>
    <row r="236" spans="21:66">
      <c r="U236" s="154"/>
      <c r="V236" s="153"/>
      <c r="W236" s="153"/>
      <c r="X236" s="153"/>
      <c r="Y236" s="153"/>
      <c r="Z236" s="153"/>
      <c r="AA236" s="153"/>
      <c r="AB236" s="153"/>
      <c r="AC236" s="153"/>
      <c r="AD236" s="151"/>
      <c r="AE236" s="151"/>
      <c r="AF236" s="151"/>
      <c r="AG236" s="151"/>
      <c r="AH236" s="151"/>
      <c r="AI236" s="151"/>
      <c r="AJ236" s="151"/>
      <c r="AK236" s="151"/>
      <c r="AL236" s="151"/>
      <c r="AM236" s="151"/>
      <c r="AN236" s="151"/>
      <c r="AO236" s="151"/>
      <c r="AP236" s="151"/>
      <c r="AQ236" s="151"/>
      <c r="AR236" s="151"/>
      <c r="AS236" s="151"/>
      <c r="AT236" s="151"/>
      <c r="AU236" s="151"/>
      <c r="AV236" s="151"/>
      <c r="AW236" s="151"/>
      <c r="AX236" s="151"/>
      <c r="AY236" s="151"/>
      <c r="AZ236" s="151"/>
      <c r="BA236" s="151"/>
      <c r="BB236" s="151"/>
      <c r="BC236" s="151"/>
      <c r="BD236" s="151"/>
      <c r="BE236" s="151"/>
      <c r="BF236" s="151"/>
      <c r="BG236" s="151"/>
      <c r="BH236" s="151"/>
      <c r="BI236" s="151"/>
      <c r="BJ236" s="151"/>
      <c r="BK236" s="151"/>
      <c r="BL236" s="151"/>
      <c r="BM236" s="151"/>
      <c r="BN236" s="151"/>
    </row>
    <row r="237" spans="21:66">
      <c r="U237" s="154"/>
      <c r="V237" s="153"/>
      <c r="W237" s="153"/>
      <c r="X237" s="153"/>
      <c r="Y237" s="153"/>
      <c r="Z237" s="153"/>
      <c r="AA237" s="153"/>
      <c r="AB237" s="153"/>
      <c r="AC237" s="153"/>
      <c r="AD237" s="151"/>
      <c r="AE237" s="151"/>
      <c r="AF237" s="151"/>
      <c r="AG237" s="151"/>
      <c r="AH237" s="151"/>
      <c r="AI237" s="151"/>
      <c r="AJ237" s="151"/>
      <c r="AK237" s="151"/>
      <c r="AL237" s="151"/>
      <c r="AM237" s="151"/>
      <c r="AN237" s="151"/>
      <c r="AO237" s="151"/>
      <c r="AP237" s="151"/>
      <c r="AQ237" s="151"/>
      <c r="AR237" s="151"/>
      <c r="AS237" s="151"/>
      <c r="AT237" s="151"/>
      <c r="AU237" s="151"/>
      <c r="AV237" s="151"/>
      <c r="AW237" s="151"/>
      <c r="AX237" s="151"/>
      <c r="AY237" s="151"/>
      <c r="AZ237" s="151"/>
      <c r="BA237" s="151"/>
      <c r="BB237" s="151"/>
      <c r="BC237" s="151"/>
      <c r="BD237" s="151"/>
      <c r="BE237" s="151"/>
      <c r="BF237" s="151"/>
      <c r="BG237" s="151"/>
      <c r="BH237" s="151"/>
      <c r="BI237" s="151"/>
      <c r="BJ237" s="151"/>
      <c r="BK237" s="151"/>
      <c r="BL237" s="151"/>
      <c r="BM237" s="151"/>
      <c r="BN237" s="151"/>
    </row>
    <row r="238" spans="21:66">
      <c r="U238" s="154"/>
      <c r="V238" s="153"/>
      <c r="W238" s="153"/>
      <c r="X238" s="153"/>
      <c r="Y238" s="153"/>
      <c r="Z238" s="153"/>
      <c r="AA238" s="153"/>
      <c r="AB238" s="153"/>
      <c r="AC238" s="153"/>
      <c r="AD238" s="151"/>
      <c r="AE238" s="151"/>
      <c r="AF238" s="151"/>
      <c r="AG238" s="151"/>
      <c r="AH238" s="151"/>
      <c r="AI238" s="151"/>
      <c r="AJ238" s="151"/>
      <c r="AK238" s="151"/>
      <c r="AL238" s="151"/>
      <c r="AM238" s="151"/>
      <c r="AN238" s="151"/>
      <c r="AO238" s="151"/>
      <c r="AP238" s="151"/>
      <c r="AQ238" s="151"/>
      <c r="AR238" s="151"/>
      <c r="AS238" s="151"/>
      <c r="AT238" s="151"/>
      <c r="AU238" s="151"/>
      <c r="AV238" s="151"/>
      <c r="AW238" s="151"/>
      <c r="AX238" s="151"/>
      <c r="AY238" s="151"/>
      <c r="AZ238" s="151"/>
      <c r="BA238" s="151"/>
      <c r="BB238" s="151"/>
      <c r="BC238" s="151"/>
      <c r="BD238" s="151"/>
      <c r="BE238" s="151"/>
      <c r="BF238" s="151"/>
      <c r="BG238" s="151"/>
      <c r="BH238" s="151"/>
      <c r="BI238" s="151"/>
      <c r="BJ238" s="151"/>
      <c r="BK238" s="151"/>
      <c r="BL238" s="151"/>
      <c r="BM238" s="151"/>
      <c r="BN238" s="151"/>
    </row>
    <row r="239" spans="21:66">
      <c r="U239" s="154"/>
      <c r="V239" s="153"/>
      <c r="W239" s="153"/>
      <c r="X239" s="153"/>
      <c r="Y239" s="153"/>
      <c r="Z239" s="153"/>
      <c r="AA239" s="153"/>
      <c r="AB239" s="153"/>
      <c r="AC239" s="153"/>
      <c r="AD239" s="151"/>
      <c r="AE239" s="151"/>
      <c r="AF239" s="151"/>
      <c r="AG239" s="151"/>
      <c r="AH239" s="151"/>
      <c r="AI239" s="151"/>
      <c r="AJ239" s="151"/>
      <c r="AK239" s="151"/>
      <c r="AL239" s="151"/>
      <c r="AM239" s="151"/>
      <c r="AN239" s="151"/>
      <c r="AO239" s="151"/>
      <c r="AP239" s="151"/>
      <c r="AQ239" s="151"/>
      <c r="AR239" s="151"/>
      <c r="AS239" s="151"/>
      <c r="AT239" s="151"/>
      <c r="AU239" s="151"/>
      <c r="AV239" s="151"/>
      <c r="AW239" s="151"/>
      <c r="AX239" s="151"/>
      <c r="AY239" s="151"/>
      <c r="AZ239" s="151"/>
      <c r="BA239" s="151"/>
      <c r="BB239" s="151"/>
      <c r="BC239" s="151"/>
      <c r="BD239" s="151"/>
      <c r="BE239" s="151"/>
      <c r="BF239" s="151"/>
      <c r="BG239" s="151"/>
      <c r="BH239" s="151"/>
      <c r="BI239" s="151"/>
      <c r="BJ239" s="151"/>
      <c r="BK239" s="151"/>
      <c r="BL239" s="151"/>
      <c r="BM239" s="151"/>
      <c r="BN239" s="151"/>
    </row>
    <row r="240" spans="21:66">
      <c r="U240" s="154"/>
      <c r="V240" s="153"/>
      <c r="W240" s="153"/>
      <c r="X240" s="153"/>
      <c r="Y240" s="153"/>
      <c r="Z240" s="153"/>
      <c r="AA240" s="153"/>
      <c r="AB240" s="153"/>
      <c r="AC240" s="153"/>
      <c r="AD240" s="151"/>
      <c r="AE240" s="151"/>
      <c r="AF240" s="151"/>
      <c r="AG240" s="151"/>
      <c r="AH240" s="151"/>
      <c r="AI240" s="151"/>
      <c r="AJ240" s="151"/>
      <c r="AK240" s="151"/>
      <c r="AL240" s="151"/>
      <c r="AM240" s="151"/>
      <c r="AN240" s="151"/>
      <c r="AO240" s="151"/>
      <c r="AP240" s="151"/>
      <c r="AQ240" s="151"/>
      <c r="AR240" s="151"/>
      <c r="AS240" s="151"/>
      <c r="AT240" s="151"/>
      <c r="AU240" s="151"/>
      <c r="AV240" s="151"/>
      <c r="AW240" s="151"/>
      <c r="AX240" s="151"/>
      <c r="AY240" s="151"/>
      <c r="AZ240" s="151"/>
      <c r="BA240" s="151"/>
      <c r="BB240" s="151"/>
      <c r="BC240" s="151"/>
      <c r="BD240" s="151"/>
      <c r="BE240" s="151"/>
      <c r="BF240" s="151"/>
      <c r="BG240" s="151"/>
      <c r="BH240" s="151"/>
      <c r="BI240" s="151"/>
      <c r="BJ240" s="151"/>
      <c r="BK240" s="151"/>
      <c r="BL240" s="151"/>
      <c r="BM240" s="151"/>
      <c r="BN240" s="151"/>
    </row>
    <row r="241" spans="21:66">
      <c r="U241" s="154"/>
      <c r="V241" s="153"/>
      <c r="W241" s="153"/>
      <c r="X241" s="153"/>
      <c r="Y241" s="153"/>
      <c r="Z241" s="153"/>
      <c r="AA241" s="153"/>
      <c r="AB241" s="153"/>
      <c r="AC241" s="153"/>
      <c r="AD241" s="151"/>
      <c r="AE241" s="151"/>
      <c r="AF241" s="151"/>
      <c r="AG241" s="151"/>
      <c r="AH241" s="151"/>
      <c r="AI241" s="151"/>
      <c r="AJ241" s="151"/>
      <c r="AK241" s="151"/>
      <c r="AL241" s="151"/>
      <c r="AM241" s="151"/>
      <c r="AN241" s="151"/>
      <c r="AO241" s="151"/>
      <c r="AP241" s="151"/>
      <c r="AQ241" s="151"/>
      <c r="AR241" s="151"/>
      <c r="AS241" s="151"/>
      <c r="AT241" s="151"/>
      <c r="AU241" s="151"/>
      <c r="AV241" s="151"/>
      <c r="AW241" s="151"/>
      <c r="AX241" s="151"/>
      <c r="AY241" s="151"/>
      <c r="AZ241" s="151"/>
      <c r="BA241" s="151"/>
      <c r="BB241" s="151"/>
      <c r="BC241" s="151"/>
      <c r="BD241" s="151"/>
      <c r="BE241" s="151"/>
      <c r="BF241" s="151"/>
      <c r="BG241" s="151"/>
      <c r="BH241" s="151"/>
      <c r="BI241" s="151"/>
      <c r="BJ241" s="151"/>
      <c r="BK241" s="151"/>
      <c r="BL241" s="151"/>
      <c r="BM241" s="151"/>
      <c r="BN241" s="151"/>
    </row>
    <row r="242" spans="21:66">
      <c r="U242" s="154"/>
      <c r="V242" s="153"/>
      <c r="W242" s="153"/>
      <c r="X242" s="153"/>
      <c r="Y242" s="153"/>
      <c r="Z242" s="153"/>
      <c r="AA242" s="153"/>
      <c r="AB242" s="153"/>
      <c r="AC242" s="153"/>
      <c r="AD242" s="151"/>
      <c r="AE242" s="151"/>
      <c r="AF242" s="151"/>
      <c r="AG242" s="151"/>
      <c r="AH242" s="151"/>
      <c r="AI242" s="151"/>
      <c r="AJ242" s="151"/>
      <c r="AK242" s="151"/>
      <c r="AL242" s="151"/>
      <c r="AM242" s="151"/>
      <c r="AN242" s="151"/>
      <c r="AO242" s="151"/>
      <c r="AP242" s="151"/>
      <c r="AQ242" s="151"/>
      <c r="AR242" s="151"/>
      <c r="AS242" s="151"/>
      <c r="AT242" s="151"/>
      <c r="AU242" s="151"/>
      <c r="AV242" s="151"/>
      <c r="AW242" s="151"/>
      <c r="AX242" s="151"/>
      <c r="AY242" s="151"/>
      <c r="AZ242" s="151"/>
      <c r="BA242" s="151"/>
      <c r="BB242" s="151"/>
      <c r="BC242" s="151"/>
      <c r="BD242" s="151"/>
      <c r="BE242" s="151"/>
      <c r="BF242" s="151"/>
      <c r="BG242" s="151"/>
      <c r="BH242" s="151"/>
      <c r="BI242" s="151"/>
      <c r="BJ242" s="151"/>
      <c r="BK242" s="151"/>
      <c r="BL242" s="151"/>
      <c r="BM242" s="151"/>
      <c r="BN242" s="151"/>
    </row>
    <row r="243" spans="21:66">
      <c r="U243" s="154"/>
      <c r="V243" s="153"/>
      <c r="W243" s="153"/>
      <c r="X243" s="153"/>
      <c r="Y243" s="153"/>
      <c r="Z243" s="153"/>
      <c r="AA243" s="153"/>
      <c r="AB243" s="153"/>
      <c r="AC243" s="153"/>
      <c r="AD243" s="151"/>
      <c r="AE243" s="151"/>
      <c r="AF243" s="151"/>
      <c r="AG243" s="151"/>
      <c r="AH243" s="151"/>
      <c r="AI243" s="151"/>
      <c r="AJ243" s="151"/>
      <c r="AK243" s="151"/>
      <c r="AL243" s="151"/>
      <c r="AM243" s="151"/>
      <c r="AN243" s="151"/>
      <c r="AO243" s="151"/>
      <c r="AP243" s="151"/>
      <c r="AQ243" s="151"/>
      <c r="AR243" s="151"/>
      <c r="AS243" s="151"/>
      <c r="AT243" s="151"/>
      <c r="AU243" s="151"/>
      <c r="AV243" s="151"/>
      <c r="AW243" s="151"/>
      <c r="AX243" s="151"/>
      <c r="AY243" s="151"/>
      <c r="AZ243" s="151"/>
      <c r="BA243" s="151"/>
      <c r="BB243" s="151"/>
      <c r="BC243" s="151"/>
      <c r="BD243" s="151"/>
      <c r="BE243" s="151"/>
      <c r="BF243" s="151"/>
      <c r="BG243" s="151"/>
      <c r="BH243" s="151"/>
      <c r="BI243" s="151"/>
      <c r="BJ243" s="151"/>
      <c r="BK243" s="151"/>
      <c r="BL243" s="151"/>
      <c r="BM243" s="151"/>
      <c r="BN243" s="151"/>
    </row>
    <row r="244" spans="21:66">
      <c r="U244" s="154"/>
      <c r="V244" s="153"/>
      <c r="W244" s="153"/>
      <c r="X244" s="153"/>
      <c r="Y244" s="153"/>
      <c r="Z244" s="153"/>
      <c r="AA244" s="153"/>
      <c r="AB244" s="153"/>
      <c r="AC244" s="153"/>
      <c r="AD244" s="151"/>
      <c r="AE244" s="151"/>
      <c r="AF244" s="151"/>
      <c r="AG244" s="151"/>
      <c r="AH244" s="151"/>
      <c r="AI244" s="151"/>
      <c r="AJ244" s="151"/>
      <c r="AK244" s="151"/>
      <c r="AL244" s="151"/>
      <c r="AM244" s="151"/>
      <c r="AN244" s="151"/>
      <c r="AO244" s="151"/>
      <c r="AP244" s="151"/>
      <c r="AQ244" s="151"/>
      <c r="AR244" s="151"/>
      <c r="AS244" s="151"/>
      <c r="AT244" s="151"/>
      <c r="AU244" s="151"/>
      <c r="AV244" s="151"/>
      <c r="AW244" s="151"/>
      <c r="AX244" s="151"/>
      <c r="AY244" s="151"/>
      <c r="AZ244" s="151"/>
      <c r="BA244" s="151"/>
      <c r="BB244" s="151"/>
      <c r="BC244" s="151"/>
      <c r="BD244" s="151"/>
      <c r="BE244" s="151"/>
      <c r="BF244" s="151"/>
      <c r="BG244" s="151"/>
      <c r="BH244" s="151"/>
      <c r="BI244" s="151"/>
      <c r="BJ244" s="151"/>
      <c r="BK244" s="151"/>
      <c r="BL244" s="151"/>
      <c r="BM244" s="151"/>
      <c r="BN244" s="151"/>
    </row>
    <row r="245" spans="21:66">
      <c r="U245" s="154"/>
      <c r="V245" s="153"/>
      <c r="W245" s="153"/>
      <c r="X245" s="153"/>
      <c r="Y245" s="153"/>
      <c r="Z245" s="153"/>
      <c r="AA245" s="153"/>
      <c r="AB245" s="153"/>
      <c r="AC245" s="153"/>
      <c r="AD245" s="151"/>
      <c r="AE245" s="151"/>
      <c r="AF245" s="151"/>
      <c r="AG245" s="151"/>
      <c r="AH245" s="151"/>
      <c r="AI245" s="151"/>
      <c r="AJ245" s="151"/>
      <c r="AK245" s="151"/>
      <c r="AL245" s="151"/>
      <c r="AM245" s="151"/>
      <c r="AN245" s="151"/>
      <c r="AO245" s="151"/>
      <c r="AP245" s="151"/>
      <c r="AQ245" s="151"/>
      <c r="AR245" s="151"/>
      <c r="AS245" s="151"/>
      <c r="AT245" s="151"/>
      <c r="AU245" s="151"/>
      <c r="AV245" s="151"/>
      <c r="AW245" s="151"/>
      <c r="AX245" s="151"/>
      <c r="AY245" s="151"/>
      <c r="AZ245" s="151"/>
      <c r="BA245" s="151"/>
      <c r="BB245" s="151"/>
      <c r="BC245" s="151"/>
      <c r="BD245" s="151"/>
      <c r="BE245" s="151"/>
      <c r="BF245" s="151"/>
      <c r="BG245" s="151"/>
      <c r="BH245" s="151"/>
      <c r="BI245" s="151"/>
      <c r="BJ245" s="151"/>
      <c r="BK245" s="151"/>
      <c r="BL245" s="151"/>
      <c r="BM245" s="151"/>
      <c r="BN245" s="151"/>
    </row>
    <row r="246" spans="21:66">
      <c r="U246" s="154"/>
      <c r="V246" s="153"/>
      <c r="W246" s="153"/>
      <c r="X246" s="153"/>
      <c r="Y246" s="153"/>
      <c r="Z246" s="153"/>
      <c r="AA246" s="153"/>
      <c r="AB246" s="153"/>
      <c r="AC246" s="153"/>
      <c r="AD246" s="151"/>
      <c r="AE246" s="151"/>
      <c r="AF246" s="151"/>
      <c r="AG246" s="151"/>
      <c r="AH246" s="151"/>
      <c r="AI246" s="151"/>
      <c r="AJ246" s="151"/>
      <c r="AK246" s="151"/>
      <c r="AL246" s="151"/>
      <c r="AM246" s="151"/>
      <c r="AN246" s="151"/>
      <c r="AO246" s="151"/>
      <c r="AP246" s="151"/>
      <c r="AQ246" s="151"/>
      <c r="AR246" s="151"/>
      <c r="AS246" s="151"/>
      <c r="AT246" s="151"/>
      <c r="AU246" s="151"/>
      <c r="AV246" s="151"/>
      <c r="AW246" s="151"/>
      <c r="AX246" s="151"/>
      <c r="AY246" s="151"/>
      <c r="AZ246" s="151"/>
      <c r="BA246" s="151"/>
      <c r="BB246" s="151"/>
      <c r="BC246" s="151"/>
      <c r="BD246" s="151"/>
      <c r="BE246" s="151"/>
      <c r="BF246" s="151"/>
      <c r="BG246" s="151"/>
      <c r="BH246" s="151"/>
      <c r="BI246" s="151"/>
      <c r="BJ246" s="151"/>
      <c r="BK246" s="151"/>
      <c r="BL246" s="151"/>
      <c r="BM246" s="151"/>
      <c r="BN246" s="151"/>
    </row>
    <row r="247" spans="21:66">
      <c r="U247" s="154"/>
      <c r="V247" s="153"/>
      <c r="W247" s="153"/>
      <c r="X247" s="153"/>
      <c r="Y247" s="153"/>
      <c r="Z247" s="153"/>
      <c r="AA247" s="153"/>
      <c r="AB247" s="153"/>
      <c r="AC247" s="153"/>
      <c r="AD247" s="151"/>
      <c r="AE247" s="151"/>
      <c r="AF247" s="151"/>
      <c r="AG247" s="151"/>
      <c r="AH247" s="151"/>
      <c r="AI247" s="151"/>
      <c r="AJ247" s="151"/>
      <c r="AK247" s="151"/>
      <c r="AL247" s="151"/>
      <c r="AM247" s="151"/>
      <c r="AN247" s="151"/>
      <c r="AO247" s="151"/>
      <c r="AP247" s="151"/>
      <c r="AQ247" s="151"/>
      <c r="AR247" s="151"/>
      <c r="AS247" s="151"/>
      <c r="AT247" s="151"/>
      <c r="AU247" s="151"/>
      <c r="AV247" s="151"/>
      <c r="AW247" s="151"/>
      <c r="AX247" s="151"/>
      <c r="AY247" s="151"/>
      <c r="AZ247" s="151"/>
      <c r="BA247" s="151"/>
      <c r="BB247" s="151"/>
      <c r="BC247" s="151"/>
      <c r="BD247" s="151"/>
      <c r="BE247" s="151"/>
      <c r="BF247" s="151"/>
      <c r="BG247" s="151"/>
      <c r="BH247" s="151"/>
      <c r="BI247" s="151"/>
      <c r="BJ247" s="151"/>
      <c r="BK247" s="151"/>
      <c r="BL247" s="151"/>
      <c r="BM247" s="151"/>
      <c r="BN247" s="151"/>
    </row>
    <row r="248" spans="21:66">
      <c r="U248" s="154"/>
      <c r="V248" s="153"/>
      <c r="W248" s="153"/>
      <c r="X248" s="153"/>
      <c r="Y248" s="153"/>
      <c r="Z248" s="153"/>
      <c r="AA248" s="153"/>
      <c r="AB248" s="153"/>
      <c r="AC248" s="153"/>
      <c r="AD248" s="151"/>
      <c r="AE248" s="151"/>
      <c r="AF248" s="151"/>
      <c r="AG248" s="151"/>
      <c r="AH248" s="151"/>
      <c r="AI248" s="151"/>
      <c r="AJ248" s="151"/>
      <c r="AK248" s="151"/>
      <c r="AL248" s="151"/>
      <c r="AM248" s="151"/>
      <c r="AN248" s="151"/>
      <c r="AO248" s="151"/>
      <c r="AP248" s="151"/>
      <c r="AQ248" s="151"/>
      <c r="AR248" s="151"/>
      <c r="AS248" s="151"/>
      <c r="AT248" s="151"/>
      <c r="AU248" s="151"/>
      <c r="AV248" s="151"/>
      <c r="AW248" s="151"/>
      <c r="AX248" s="151"/>
      <c r="AY248" s="151"/>
      <c r="AZ248" s="151"/>
      <c r="BA248" s="151"/>
      <c r="BB248" s="151"/>
      <c r="BC248" s="151"/>
      <c r="BD248" s="151"/>
      <c r="BE248" s="151"/>
      <c r="BF248" s="151"/>
      <c r="BG248" s="151"/>
      <c r="BH248" s="151"/>
      <c r="BI248" s="151"/>
      <c r="BJ248" s="151"/>
      <c r="BK248" s="151"/>
      <c r="BL248" s="151"/>
      <c r="BM248" s="151"/>
      <c r="BN248" s="151"/>
    </row>
    <row r="249" spans="21:66">
      <c r="U249" s="154"/>
      <c r="V249" s="153"/>
      <c r="W249" s="153"/>
      <c r="X249" s="153"/>
      <c r="Y249" s="153"/>
      <c r="Z249" s="153"/>
      <c r="AA249" s="153"/>
      <c r="AB249" s="153"/>
      <c r="AC249" s="153"/>
      <c r="AD249" s="151"/>
      <c r="AE249" s="151"/>
      <c r="AF249" s="151"/>
      <c r="AG249" s="151"/>
      <c r="AH249" s="151"/>
      <c r="AI249" s="151"/>
      <c r="AJ249" s="151"/>
      <c r="AK249" s="151"/>
      <c r="AL249" s="151"/>
      <c r="AM249" s="151"/>
      <c r="AN249" s="151"/>
      <c r="AO249" s="151"/>
      <c r="AP249" s="151"/>
      <c r="AQ249" s="151"/>
      <c r="AR249" s="151"/>
      <c r="AS249" s="151"/>
      <c r="AT249" s="151"/>
      <c r="AU249" s="151"/>
      <c r="AV249" s="151"/>
      <c r="AW249" s="151"/>
      <c r="AX249" s="151"/>
      <c r="AY249" s="151"/>
      <c r="AZ249" s="151"/>
      <c r="BA249" s="151"/>
      <c r="BB249" s="151"/>
      <c r="BC249" s="151"/>
      <c r="BD249" s="151"/>
      <c r="BE249" s="151"/>
      <c r="BF249" s="151"/>
      <c r="BG249" s="151"/>
      <c r="BH249" s="151"/>
      <c r="BI249" s="151"/>
      <c r="BJ249" s="151"/>
      <c r="BK249" s="151"/>
      <c r="BL249" s="151"/>
      <c r="BM249" s="151"/>
      <c r="BN249" s="151"/>
    </row>
    <row r="250" spans="21:66">
      <c r="U250" s="154"/>
      <c r="V250" s="153"/>
      <c r="W250" s="153"/>
      <c r="X250" s="153"/>
      <c r="Y250" s="153"/>
      <c r="Z250" s="153"/>
      <c r="AA250" s="153"/>
      <c r="AB250" s="153"/>
      <c r="AC250" s="153"/>
      <c r="AD250" s="151"/>
      <c r="AE250" s="151"/>
      <c r="AF250" s="151"/>
      <c r="AG250" s="151"/>
      <c r="AH250" s="151"/>
      <c r="AI250" s="151"/>
      <c r="AJ250" s="151"/>
      <c r="AK250" s="151"/>
      <c r="AL250" s="151"/>
      <c r="AM250" s="151"/>
      <c r="AN250" s="151"/>
      <c r="AO250" s="151"/>
      <c r="AP250" s="151"/>
      <c r="AQ250" s="151"/>
      <c r="AR250" s="151"/>
      <c r="AS250" s="151"/>
      <c r="AT250" s="151"/>
      <c r="AU250" s="151"/>
      <c r="AV250" s="151"/>
      <c r="AW250" s="151"/>
      <c r="AX250" s="151"/>
      <c r="AY250" s="151"/>
      <c r="AZ250" s="151"/>
      <c r="BA250" s="151"/>
      <c r="BB250" s="151"/>
      <c r="BC250" s="151"/>
      <c r="BD250" s="151"/>
      <c r="BE250" s="151"/>
      <c r="BF250" s="151"/>
      <c r="BG250" s="151"/>
      <c r="BH250" s="151"/>
      <c r="BI250" s="151"/>
      <c r="BJ250" s="151"/>
      <c r="BK250" s="151"/>
      <c r="BL250" s="151"/>
      <c r="BM250" s="151"/>
      <c r="BN250" s="151"/>
    </row>
    <row r="251" spans="21:66">
      <c r="U251" s="154"/>
      <c r="V251" s="153"/>
      <c r="W251" s="153"/>
      <c r="X251" s="153"/>
      <c r="Y251" s="153"/>
      <c r="Z251" s="153"/>
      <c r="AA251" s="153"/>
      <c r="AB251" s="153"/>
      <c r="AC251" s="153"/>
      <c r="AD251" s="151"/>
      <c r="AE251" s="151"/>
      <c r="AF251" s="151"/>
      <c r="AG251" s="151"/>
      <c r="AH251" s="151"/>
      <c r="AI251" s="151"/>
      <c r="AJ251" s="151"/>
      <c r="AK251" s="151"/>
      <c r="AL251" s="151"/>
      <c r="AM251" s="151"/>
      <c r="AN251" s="151"/>
      <c r="AO251" s="151"/>
      <c r="AP251" s="151"/>
      <c r="AQ251" s="151"/>
      <c r="AR251" s="151"/>
      <c r="AS251" s="151"/>
      <c r="AT251" s="151"/>
      <c r="AU251" s="151"/>
      <c r="AV251" s="151"/>
      <c r="AW251" s="151"/>
      <c r="AX251" s="151"/>
      <c r="AY251" s="151"/>
      <c r="AZ251" s="151"/>
      <c r="BA251" s="151"/>
      <c r="BB251" s="151"/>
      <c r="BC251" s="151"/>
      <c r="BD251" s="151"/>
      <c r="BE251" s="151"/>
      <c r="BF251" s="151"/>
      <c r="BG251" s="151"/>
      <c r="BH251" s="151"/>
      <c r="BI251" s="151"/>
      <c r="BJ251" s="151"/>
      <c r="BK251" s="151"/>
      <c r="BL251" s="151"/>
      <c r="BM251" s="151"/>
      <c r="BN251" s="151"/>
    </row>
    <row r="252" spans="21:66">
      <c r="U252" s="154"/>
      <c r="V252" s="153"/>
      <c r="W252" s="153"/>
      <c r="X252" s="153"/>
      <c r="Y252" s="153"/>
      <c r="Z252" s="153"/>
      <c r="AA252" s="153"/>
      <c r="AB252" s="153"/>
      <c r="AC252" s="153"/>
      <c r="AD252" s="151"/>
      <c r="AE252" s="151"/>
      <c r="AF252" s="151"/>
      <c r="AG252" s="151"/>
      <c r="AH252" s="151"/>
      <c r="AI252" s="151"/>
      <c r="AJ252" s="151"/>
      <c r="AK252" s="151"/>
      <c r="AL252" s="151"/>
      <c r="AM252" s="151"/>
      <c r="AN252" s="151"/>
      <c r="AO252" s="151"/>
      <c r="AP252" s="151"/>
      <c r="AQ252" s="151"/>
      <c r="AR252" s="151"/>
      <c r="AS252" s="151"/>
      <c r="AT252" s="151"/>
      <c r="AU252" s="151"/>
      <c r="AV252" s="151"/>
      <c r="AW252" s="151"/>
      <c r="AX252" s="151"/>
      <c r="AY252" s="151"/>
      <c r="AZ252" s="151"/>
      <c r="BA252" s="151"/>
      <c r="BB252" s="151"/>
      <c r="BC252" s="151"/>
      <c r="BD252" s="151"/>
      <c r="BE252" s="151"/>
      <c r="BF252" s="151"/>
      <c r="BG252" s="151"/>
      <c r="BH252" s="151"/>
      <c r="BI252" s="151"/>
      <c r="BJ252" s="151"/>
      <c r="BK252" s="151"/>
      <c r="BL252" s="151"/>
      <c r="BM252" s="151"/>
      <c r="BN252" s="151"/>
    </row>
    <row r="253" spans="21:66">
      <c r="U253" s="154"/>
      <c r="V253" s="153"/>
      <c r="W253" s="153"/>
      <c r="X253" s="153"/>
      <c r="Y253" s="153"/>
      <c r="Z253" s="153"/>
      <c r="AA253" s="153"/>
      <c r="AB253" s="153"/>
      <c r="AC253" s="153"/>
      <c r="AD253" s="151"/>
      <c r="AE253" s="151"/>
      <c r="AF253" s="151"/>
      <c r="AG253" s="151"/>
      <c r="AH253" s="151"/>
      <c r="AI253" s="151"/>
      <c r="AJ253" s="151"/>
      <c r="AK253" s="151"/>
      <c r="AL253" s="151"/>
      <c r="AM253" s="151"/>
      <c r="AN253" s="151"/>
      <c r="AO253" s="151"/>
      <c r="AP253" s="151"/>
      <c r="AQ253" s="151"/>
      <c r="AR253" s="151"/>
      <c r="AS253" s="151"/>
      <c r="AT253" s="151"/>
      <c r="AU253" s="151"/>
      <c r="AV253" s="151"/>
      <c r="AW253" s="151"/>
      <c r="AX253" s="151"/>
      <c r="AY253" s="151"/>
      <c r="AZ253" s="151"/>
      <c r="BA253" s="151"/>
      <c r="BB253" s="151"/>
      <c r="BC253" s="151"/>
      <c r="BD253" s="151"/>
      <c r="BE253" s="151"/>
      <c r="BF253" s="151"/>
      <c r="BG253" s="151"/>
      <c r="BH253" s="151"/>
      <c r="BI253" s="151"/>
      <c r="BJ253" s="151"/>
      <c r="BK253" s="151"/>
      <c r="BL253" s="151"/>
      <c r="BM253" s="151"/>
      <c r="BN253" s="151"/>
    </row>
    <row r="254" spans="21:66">
      <c r="U254" s="154"/>
      <c r="V254" s="153"/>
      <c r="W254" s="153"/>
      <c r="X254" s="153"/>
      <c r="Y254" s="153"/>
      <c r="Z254" s="153"/>
      <c r="AA254" s="153"/>
      <c r="AB254" s="153"/>
      <c r="AC254" s="153"/>
      <c r="AD254" s="151"/>
      <c r="AE254" s="151"/>
      <c r="AF254" s="151"/>
      <c r="AG254" s="151"/>
      <c r="AH254" s="151"/>
      <c r="AI254" s="151"/>
      <c r="AJ254" s="151"/>
      <c r="AK254" s="151"/>
      <c r="AL254" s="151"/>
      <c r="AM254" s="151"/>
      <c r="AN254" s="151"/>
      <c r="AO254" s="151"/>
      <c r="AP254" s="151"/>
      <c r="AQ254" s="151"/>
      <c r="AR254" s="151"/>
      <c r="AS254" s="151"/>
      <c r="AT254" s="151"/>
      <c r="AU254" s="151"/>
      <c r="AV254" s="151"/>
      <c r="AW254" s="151"/>
      <c r="AX254" s="151"/>
      <c r="AY254" s="151"/>
      <c r="AZ254" s="151"/>
      <c r="BA254" s="151"/>
      <c r="BB254" s="151"/>
      <c r="BC254" s="151"/>
      <c r="BD254" s="151"/>
      <c r="BE254" s="151"/>
      <c r="BF254" s="151"/>
      <c r="BG254" s="151"/>
      <c r="BH254" s="151"/>
      <c r="BI254" s="151"/>
      <c r="BJ254" s="151"/>
      <c r="BK254" s="151"/>
      <c r="BL254" s="151"/>
      <c r="BM254" s="151"/>
      <c r="BN254" s="151"/>
    </row>
    <row r="255" spans="21:66">
      <c r="U255" s="154"/>
      <c r="V255" s="153"/>
      <c r="W255" s="153"/>
      <c r="X255" s="153"/>
      <c r="Y255" s="153"/>
      <c r="Z255" s="153"/>
      <c r="AA255" s="153"/>
      <c r="AB255" s="153"/>
      <c r="AC255" s="153"/>
      <c r="AD255" s="151"/>
      <c r="AE255" s="151"/>
      <c r="AF255" s="151"/>
      <c r="AG255" s="151"/>
      <c r="AH255" s="151"/>
      <c r="AI255" s="151"/>
      <c r="AJ255" s="151"/>
      <c r="AK255" s="151"/>
      <c r="AL255" s="151"/>
      <c r="AM255" s="151"/>
      <c r="AN255" s="151"/>
      <c r="AO255" s="151"/>
      <c r="AP255" s="151"/>
      <c r="AQ255" s="151"/>
      <c r="AR255" s="151"/>
      <c r="AS255" s="151"/>
      <c r="AT255" s="151"/>
      <c r="AU255" s="151"/>
      <c r="AV255" s="151"/>
      <c r="AW255" s="151"/>
      <c r="AX255" s="151"/>
      <c r="AY255" s="151"/>
      <c r="AZ255" s="151"/>
      <c r="BA255" s="151"/>
      <c r="BB255" s="151"/>
      <c r="BC255" s="151"/>
      <c r="BD255" s="151"/>
      <c r="BE255" s="151"/>
      <c r="BF255" s="151"/>
      <c r="BG255" s="151"/>
      <c r="BH255" s="151"/>
      <c r="BI255" s="151"/>
      <c r="BJ255" s="151"/>
      <c r="BK255" s="151"/>
      <c r="BL255" s="151"/>
      <c r="BM255" s="151"/>
      <c r="BN255" s="151"/>
    </row>
    <row r="256" spans="21:66">
      <c r="U256" s="154"/>
      <c r="V256" s="153"/>
      <c r="W256" s="153"/>
      <c r="X256" s="153"/>
      <c r="Y256" s="153"/>
      <c r="Z256" s="153"/>
      <c r="AA256" s="153"/>
      <c r="AB256" s="153"/>
      <c r="AC256" s="153"/>
      <c r="AD256" s="151"/>
      <c r="AE256" s="151"/>
      <c r="AF256" s="151"/>
      <c r="AG256" s="151"/>
      <c r="AH256" s="151"/>
      <c r="AI256" s="151"/>
      <c r="AJ256" s="151"/>
      <c r="AK256" s="151"/>
      <c r="AL256" s="151"/>
      <c r="AM256" s="151"/>
      <c r="AN256" s="151"/>
      <c r="AO256" s="151"/>
      <c r="AP256" s="151"/>
      <c r="AQ256" s="151"/>
      <c r="AR256" s="151"/>
      <c r="AS256" s="151"/>
      <c r="AT256" s="151"/>
      <c r="AU256" s="151"/>
      <c r="AV256" s="151"/>
      <c r="AW256" s="151"/>
      <c r="AX256" s="151"/>
      <c r="AY256" s="151"/>
      <c r="AZ256" s="151"/>
      <c r="BA256" s="151"/>
      <c r="BB256" s="151"/>
      <c r="BC256" s="151"/>
      <c r="BD256" s="151"/>
      <c r="BE256" s="151"/>
      <c r="BF256" s="151"/>
      <c r="BG256" s="151"/>
      <c r="BH256" s="151"/>
      <c r="BI256" s="151"/>
      <c r="BJ256" s="151"/>
      <c r="BK256" s="151"/>
      <c r="BL256" s="151"/>
      <c r="BM256" s="151"/>
      <c r="BN256" s="151"/>
    </row>
    <row r="257" spans="21:66">
      <c r="U257" s="154"/>
      <c r="V257" s="153"/>
      <c r="W257" s="153"/>
      <c r="X257" s="153"/>
      <c r="Y257" s="153"/>
      <c r="Z257" s="153"/>
      <c r="AA257" s="153"/>
      <c r="AB257" s="153"/>
      <c r="AC257" s="153"/>
      <c r="AD257" s="151"/>
      <c r="AE257" s="151"/>
      <c r="AF257" s="151"/>
      <c r="AG257" s="151"/>
      <c r="AH257" s="151"/>
      <c r="AI257" s="151"/>
      <c r="AJ257" s="151"/>
      <c r="AK257" s="151"/>
      <c r="AL257" s="151"/>
      <c r="AM257" s="151"/>
      <c r="AN257" s="151"/>
      <c r="AO257" s="151"/>
      <c r="AP257" s="151"/>
      <c r="AQ257" s="151"/>
      <c r="AR257" s="151"/>
      <c r="AS257" s="151"/>
      <c r="AT257" s="151"/>
      <c r="AU257" s="151"/>
      <c r="AV257" s="151"/>
      <c r="AW257" s="151"/>
      <c r="AX257" s="151"/>
      <c r="AY257" s="151"/>
      <c r="AZ257" s="151"/>
      <c r="BA257" s="151"/>
      <c r="BB257" s="151"/>
      <c r="BC257" s="151"/>
      <c r="BD257" s="151"/>
      <c r="BE257" s="151"/>
      <c r="BF257" s="151"/>
      <c r="BG257" s="151"/>
      <c r="BH257" s="151"/>
      <c r="BI257" s="151"/>
      <c r="BJ257" s="151"/>
      <c r="BK257" s="151"/>
      <c r="BL257" s="151"/>
      <c r="BM257" s="151"/>
      <c r="BN257" s="151"/>
    </row>
    <row r="258" spans="21:66">
      <c r="U258" s="154"/>
      <c r="V258" s="153"/>
      <c r="W258" s="153"/>
      <c r="X258" s="153"/>
      <c r="Y258" s="153"/>
      <c r="Z258" s="153"/>
      <c r="AA258" s="153"/>
      <c r="AB258" s="153"/>
      <c r="AC258" s="153"/>
      <c r="AD258" s="151"/>
      <c r="AE258" s="151"/>
      <c r="AF258" s="151"/>
      <c r="AG258" s="151"/>
      <c r="AH258" s="151"/>
      <c r="AI258" s="151"/>
      <c r="AJ258" s="151"/>
      <c r="AK258" s="151"/>
      <c r="AL258" s="151"/>
      <c r="AM258" s="151"/>
      <c r="AN258" s="151"/>
      <c r="AO258" s="151"/>
      <c r="AP258" s="151"/>
      <c r="AQ258" s="151"/>
      <c r="AR258" s="151"/>
      <c r="AS258" s="151"/>
      <c r="AT258" s="151"/>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row>
    <row r="259" spans="21:66">
      <c r="U259" s="154"/>
      <c r="V259" s="153"/>
      <c r="W259" s="153"/>
      <c r="X259" s="153"/>
      <c r="Y259" s="153"/>
      <c r="Z259" s="153"/>
      <c r="AA259" s="153"/>
      <c r="AB259" s="153"/>
      <c r="AC259" s="153"/>
      <c r="AD259" s="151"/>
      <c r="AE259" s="151"/>
      <c r="AF259" s="151"/>
      <c r="AG259" s="151"/>
      <c r="AH259" s="151"/>
      <c r="AI259" s="151"/>
      <c r="AJ259" s="151"/>
      <c r="AK259" s="151"/>
      <c r="AL259" s="151"/>
      <c r="AM259" s="151"/>
      <c r="AN259" s="151"/>
      <c r="AO259" s="151"/>
      <c r="AP259" s="151"/>
      <c r="AQ259" s="151"/>
      <c r="AR259" s="151"/>
      <c r="AS259" s="151"/>
      <c r="AT259" s="151"/>
      <c r="AU259" s="151"/>
      <c r="AV259" s="151"/>
      <c r="AW259" s="151"/>
      <c r="AX259" s="151"/>
      <c r="AY259" s="151"/>
      <c r="AZ259" s="151"/>
      <c r="BA259" s="151"/>
      <c r="BB259" s="151"/>
      <c r="BC259" s="151"/>
      <c r="BD259" s="151"/>
      <c r="BE259" s="151"/>
      <c r="BF259" s="151"/>
      <c r="BG259" s="151"/>
      <c r="BH259" s="151"/>
      <c r="BI259" s="151"/>
      <c r="BJ259" s="151"/>
      <c r="BK259" s="151"/>
      <c r="BL259" s="151"/>
      <c r="BM259" s="151"/>
      <c r="BN259" s="151"/>
    </row>
    <row r="260" spans="21:66">
      <c r="U260" s="154"/>
      <c r="V260" s="153"/>
      <c r="W260" s="153"/>
      <c r="X260" s="153"/>
      <c r="Y260" s="153"/>
      <c r="Z260" s="153"/>
      <c r="AA260" s="153"/>
      <c r="AB260" s="153"/>
      <c r="AC260" s="153"/>
      <c r="AD260" s="151"/>
      <c r="AE260" s="151"/>
      <c r="AF260" s="151"/>
      <c r="AG260" s="151"/>
      <c r="AH260" s="151"/>
      <c r="AI260" s="151"/>
      <c r="AJ260" s="151"/>
      <c r="AK260" s="151"/>
      <c r="AL260" s="151"/>
      <c r="AM260" s="151"/>
      <c r="AN260" s="151"/>
      <c r="AO260" s="151"/>
      <c r="AP260" s="151"/>
      <c r="AQ260" s="151"/>
      <c r="AR260" s="151"/>
      <c r="AS260" s="151"/>
      <c r="AT260" s="151"/>
      <c r="AU260" s="151"/>
      <c r="AV260" s="151"/>
      <c r="AW260" s="151"/>
      <c r="AX260" s="151"/>
      <c r="AY260" s="151"/>
      <c r="AZ260" s="151"/>
      <c r="BA260" s="151"/>
      <c r="BB260" s="151"/>
      <c r="BC260" s="151"/>
      <c r="BD260" s="151"/>
      <c r="BE260" s="151"/>
      <c r="BF260" s="151"/>
      <c r="BG260" s="151"/>
      <c r="BH260" s="151"/>
      <c r="BI260" s="151"/>
      <c r="BJ260" s="151"/>
      <c r="BK260" s="151"/>
      <c r="BL260" s="151"/>
      <c r="BM260" s="151"/>
      <c r="BN260" s="151"/>
    </row>
    <row r="261" spans="21:66">
      <c r="U261" s="154"/>
      <c r="V261" s="153"/>
      <c r="W261" s="153"/>
      <c r="X261" s="153"/>
      <c r="Y261" s="153"/>
      <c r="Z261" s="153"/>
      <c r="AA261" s="153"/>
      <c r="AB261" s="153"/>
      <c r="AC261" s="153"/>
      <c r="AD261" s="151"/>
      <c r="AE261" s="151"/>
      <c r="AF261" s="151"/>
      <c r="AG261" s="151"/>
      <c r="AH261" s="151"/>
      <c r="AI261" s="151"/>
      <c r="AJ261" s="151"/>
      <c r="AK261" s="151"/>
      <c r="AL261" s="151"/>
      <c r="AM261" s="151"/>
      <c r="AN261" s="151"/>
      <c r="AO261" s="151"/>
      <c r="AP261" s="151"/>
      <c r="AQ261" s="151"/>
      <c r="AR261" s="151"/>
      <c r="AS261" s="151"/>
      <c r="AT261" s="151"/>
      <c r="AU261" s="151"/>
      <c r="AV261" s="151"/>
      <c r="AW261" s="151"/>
      <c r="AX261" s="151"/>
      <c r="AY261" s="151"/>
      <c r="AZ261" s="151"/>
      <c r="BA261" s="151"/>
      <c r="BB261" s="151"/>
      <c r="BC261" s="151"/>
      <c r="BD261" s="151"/>
      <c r="BE261" s="151"/>
      <c r="BF261" s="151"/>
      <c r="BG261" s="151"/>
      <c r="BH261" s="151"/>
      <c r="BI261" s="151"/>
      <c r="BJ261" s="151"/>
      <c r="BK261" s="151"/>
      <c r="BL261" s="151"/>
      <c r="BM261" s="151"/>
      <c r="BN261" s="151"/>
    </row>
    <row r="262" spans="21:66">
      <c r="U262" s="154"/>
      <c r="V262" s="153"/>
      <c r="W262" s="153"/>
      <c r="X262" s="153"/>
      <c r="Y262" s="153"/>
      <c r="Z262" s="153"/>
      <c r="AA262" s="153"/>
      <c r="AB262" s="153"/>
      <c r="AC262" s="153"/>
      <c r="AD262" s="151"/>
      <c r="AE262" s="151"/>
      <c r="AF262" s="151"/>
      <c r="AG262" s="151"/>
      <c r="AH262" s="151"/>
      <c r="AI262" s="151"/>
      <c r="AJ262" s="151"/>
      <c r="AK262" s="151"/>
      <c r="AL262" s="151"/>
      <c r="AM262" s="151"/>
      <c r="AN262" s="151"/>
      <c r="AO262" s="151"/>
      <c r="AP262" s="151"/>
      <c r="AQ262" s="151"/>
      <c r="AR262" s="151"/>
      <c r="AS262" s="151"/>
      <c r="AT262" s="151"/>
      <c r="AU262" s="151"/>
      <c r="AV262" s="151"/>
      <c r="AW262" s="151"/>
      <c r="AX262" s="151"/>
      <c r="AY262" s="151"/>
      <c r="AZ262" s="151"/>
      <c r="BA262" s="151"/>
      <c r="BB262" s="151"/>
      <c r="BC262" s="151"/>
      <c r="BD262" s="151"/>
      <c r="BE262" s="151"/>
      <c r="BF262" s="151"/>
      <c r="BG262" s="151"/>
      <c r="BH262" s="151"/>
      <c r="BI262" s="151"/>
      <c r="BJ262" s="151"/>
      <c r="BK262" s="151"/>
      <c r="BL262" s="151"/>
      <c r="BM262" s="151"/>
      <c r="BN262" s="151"/>
    </row>
    <row r="263" spans="21:66">
      <c r="U263" s="154"/>
      <c r="V263" s="153"/>
      <c r="W263" s="153"/>
      <c r="X263" s="153"/>
      <c r="Y263" s="153"/>
      <c r="Z263" s="153"/>
      <c r="AA263" s="153"/>
      <c r="AB263" s="153"/>
      <c r="AC263" s="153"/>
      <c r="AD263" s="151"/>
      <c r="AE263" s="151"/>
      <c r="AF263" s="151"/>
      <c r="AG263" s="151"/>
      <c r="AH263" s="151"/>
      <c r="AI263" s="151"/>
      <c r="AJ263" s="151"/>
      <c r="AK263" s="151"/>
      <c r="AL263" s="151"/>
      <c r="AM263" s="151"/>
      <c r="AN263" s="151"/>
      <c r="AO263" s="151"/>
      <c r="AP263" s="151"/>
      <c r="AQ263" s="151"/>
      <c r="AR263" s="151"/>
      <c r="AS263" s="151"/>
      <c r="AT263" s="151"/>
      <c r="AU263" s="151"/>
      <c r="AV263" s="151"/>
      <c r="AW263" s="151"/>
      <c r="AX263" s="151"/>
      <c r="AY263" s="151"/>
      <c r="AZ263" s="151"/>
      <c r="BA263" s="151"/>
      <c r="BB263" s="151"/>
      <c r="BC263" s="151"/>
      <c r="BD263" s="151"/>
      <c r="BE263" s="151"/>
      <c r="BF263" s="151"/>
      <c r="BG263" s="151"/>
      <c r="BH263" s="151"/>
      <c r="BI263" s="151"/>
      <c r="BJ263" s="151"/>
      <c r="BK263" s="151"/>
      <c r="BL263" s="151"/>
      <c r="BM263" s="151"/>
      <c r="BN263" s="151"/>
    </row>
    <row r="264" spans="21:66">
      <c r="U264" s="154"/>
      <c r="V264" s="153"/>
      <c r="W264" s="153"/>
      <c r="X264" s="153"/>
      <c r="Y264" s="153"/>
      <c r="Z264" s="153"/>
      <c r="AA264" s="153"/>
      <c r="AB264" s="153"/>
      <c r="AC264" s="153"/>
      <c r="AD264" s="151"/>
      <c r="AE264" s="151"/>
      <c r="AF264" s="151"/>
      <c r="AG264" s="151"/>
      <c r="AH264" s="151"/>
      <c r="AI264" s="151"/>
      <c r="AJ264" s="151"/>
      <c r="AK264" s="151"/>
      <c r="AL264" s="151"/>
      <c r="AM264" s="151"/>
      <c r="AN264" s="151"/>
      <c r="AO264" s="151"/>
      <c r="AP264" s="151"/>
      <c r="AQ264" s="151"/>
      <c r="AR264" s="151"/>
      <c r="AS264" s="151"/>
      <c r="AT264" s="151"/>
      <c r="AU264" s="151"/>
      <c r="AV264" s="151"/>
      <c r="AW264" s="151"/>
      <c r="AX264" s="151"/>
      <c r="AY264" s="151"/>
      <c r="AZ264" s="151"/>
      <c r="BA264" s="151"/>
      <c r="BB264" s="151"/>
      <c r="BC264" s="151"/>
      <c r="BD264" s="151"/>
      <c r="BE264" s="151"/>
      <c r="BF264" s="151"/>
      <c r="BG264" s="151"/>
      <c r="BH264" s="151"/>
      <c r="BI264" s="151"/>
      <c r="BJ264" s="151"/>
      <c r="BK264" s="151"/>
      <c r="BL264" s="151"/>
      <c r="BM264" s="151"/>
      <c r="BN264" s="151"/>
    </row>
    <row r="265" spans="21:66">
      <c r="U265" s="154"/>
      <c r="V265" s="153"/>
      <c r="W265" s="153"/>
      <c r="X265" s="153"/>
      <c r="Y265" s="153"/>
      <c r="Z265" s="153"/>
      <c r="AA265" s="153"/>
      <c r="AB265" s="153"/>
      <c r="AC265" s="153"/>
      <c r="AD265" s="151"/>
      <c r="AE265" s="151"/>
      <c r="AF265" s="151"/>
      <c r="AG265" s="151"/>
      <c r="AH265" s="151"/>
      <c r="AI265" s="151"/>
      <c r="AJ265" s="151"/>
      <c r="AK265" s="151"/>
      <c r="AL265" s="151"/>
      <c r="AM265" s="151"/>
      <c r="AN265" s="151"/>
      <c r="AO265" s="151"/>
      <c r="AP265" s="151"/>
      <c r="AQ265" s="151"/>
      <c r="AR265" s="151"/>
      <c r="AS265" s="151"/>
      <c r="AT265" s="151"/>
      <c r="AU265" s="151"/>
      <c r="AV265" s="151"/>
      <c r="AW265" s="151"/>
      <c r="AX265" s="151"/>
      <c r="AY265" s="151"/>
      <c r="AZ265" s="151"/>
      <c r="BA265" s="151"/>
      <c r="BB265" s="151"/>
      <c r="BC265" s="151"/>
      <c r="BD265" s="151"/>
      <c r="BE265" s="151"/>
      <c r="BF265" s="151"/>
      <c r="BG265" s="151"/>
      <c r="BH265" s="151"/>
      <c r="BI265" s="151"/>
      <c r="BJ265" s="151"/>
      <c r="BK265" s="151"/>
      <c r="BL265" s="151"/>
      <c r="BM265" s="151"/>
      <c r="BN265" s="151"/>
    </row>
    <row r="266" spans="21:66">
      <c r="U266" s="154"/>
      <c r="V266" s="153"/>
      <c r="W266" s="153"/>
      <c r="X266" s="153"/>
      <c r="Y266" s="153"/>
      <c r="Z266" s="153"/>
      <c r="AA266" s="153"/>
      <c r="AB266" s="153"/>
      <c r="AC266" s="153"/>
      <c r="AD266" s="151"/>
      <c r="AE266" s="151"/>
      <c r="AF266" s="151"/>
      <c r="AG266" s="151"/>
      <c r="AH266" s="151"/>
      <c r="AI266" s="151"/>
      <c r="AJ266" s="151"/>
      <c r="AK266" s="151"/>
      <c r="AL266" s="151"/>
      <c r="AM266" s="151"/>
      <c r="AN266" s="151"/>
      <c r="AO266" s="151"/>
      <c r="AP266" s="151"/>
      <c r="AQ266" s="151"/>
      <c r="AR266" s="151"/>
      <c r="AS266" s="151"/>
      <c r="AT266" s="151"/>
      <c r="AU266" s="151"/>
      <c r="AV266" s="151"/>
      <c r="AW266" s="151"/>
      <c r="AX266" s="151"/>
      <c r="AY266" s="151"/>
      <c r="AZ266" s="151"/>
      <c r="BA266" s="151"/>
      <c r="BB266" s="151"/>
      <c r="BC266" s="151"/>
      <c r="BD266" s="151"/>
      <c r="BE266" s="151"/>
      <c r="BF266" s="151"/>
      <c r="BG266" s="151"/>
      <c r="BH266" s="151"/>
      <c r="BI266" s="151"/>
      <c r="BJ266" s="151"/>
      <c r="BK266" s="151"/>
      <c r="BL266" s="151"/>
      <c r="BM266" s="151"/>
      <c r="BN266" s="151"/>
    </row>
    <row r="267" spans="21:66">
      <c r="U267" s="154"/>
      <c r="V267" s="153"/>
      <c r="W267" s="153"/>
      <c r="X267" s="153"/>
      <c r="Y267" s="153"/>
      <c r="Z267" s="153"/>
      <c r="AA267" s="153"/>
      <c r="AB267" s="153"/>
      <c r="AC267" s="153"/>
      <c r="AD267" s="151"/>
      <c r="AE267" s="151"/>
      <c r="AF267" s="151"/>
      <c r="AG267" s="151"/>
      <c r="AH267" s="151"/>
      <c r="AI267" s="151"/>
      <c r="AJ267" s="151"/>
      <c r="AK267" s="151"/>
      <c r="AL267" s="151"/>
      <c r="AM267" s="151"/>
      <c r="AN267" s="151"/>
      <c r="AO267" s="151"/>
      <c r="AP267" s="151"/>
      <c r="AQ267" s="151"/>
      <c r="AR267" s="151"/>
      <c r="AS267" s="151"/>
      <c r="AT267" s="151"/>
      <c r="AU267" s="151"/>
      <c r="AV267" s="151"/>
      <c r="AW267" s="151"/>
      <c r="AX267" s="151"/>
      <c r="AY267" s="151"/>
      <c r="AZ267" s="151"/>
      <c r="BA267" s="151"/>
      <c r="BB267" s="151"/>
      <c r="BC267" s="151"/>
      <c r="BD267" s="151"/>
      <c r="BE267" s="151"/>
      <c r="BF267" s="151"/>
      <c r="BG267" s="151"/>
      <c r="BH267" s="151"/>
      <c r="BI267" s="151"/>
      <c r="BJ267" s="151"/>
      <c r="BK267" s="151"/>
      <c r="BL267" s="151"/>
      <c r="BM267" s="151"/>
      <c r="BN267" s="151"/>
    </row>
    <row r="268" spans="21:66">
      <c r="U268" s="154"/>
      <c r="V268" s="153"/>
      <c r="W268" s="153"/>
      <c r="X268" s="153"/>
      <c r="Y268" s="153"/>
      <c r="Z268" s="153"/>
      <c r="AA268" s="153"/>
      <c r="AB268" s="153"/>
      <c r="AC268" s="153"/>
      <c r="AD268" s="151"/>
      <c r="AE268" s="151"/>
      <c r="AF268" s="151"/>
      <c r="AG268" s="151"/>
      <c r="AH268" s="151"/>
      <c r="AI268" s="151"/>
      <c r="AJ268" s="151"/>
      <c r="AK268" s="151"/>
      <c r="AL268" s="151"/>
      <c r="AM268" s="151"/>
      <c r="AN268" s="151"/>
      <c r="AO268" s="151"/>
      <c r="AP268" s="151"/>
      <c r="AQ268" s="151"/>
      <c r="AR268" s="151"/>
      <c r="AS268" s="151"/>
      <c r="AT268" s="151"/>
      <c r="AU268" s="151"/>
      <c r="AV268" s="151"/>
      <c r="AW268" s="151"/>
      <c r="AX268" s="151"/>
      <c r="AY268" s="151"/>
      <c r="AZ268" s="151"/>
      <c r="BA268" s="151"/>
      <c r="BB268" s="151"/>
      <c r="BC268" s="151"/>
      <c r="BD268" s="151"/>
      <c r="BE268" s="151"/>
      <c r="BF268" s="151"/>
      <c r="BG268" s="151"/>
      <c r="BH268" s="151"/>
      <c r="BI268" s="151"/>
      <c r="BJ268" s="151"/>
      <c r="BK268" s="151"/>
      <c r="BL268" s="151"/>
      <c r="BM268" s="151"/>
      <c r="BN268" s="151"/>
    </row>
    <row r="269" spans="21:66">
      <c r="U269" s="154"/>
      <c r="V269" s="153"/>
      <c r="W269" s="153"/>
      <c r="X269" s="153"/>
      <c r="Y269" s="153"/>
      <c r="Z269" s="153"/>
      <c r="AA269" s="153"/>
      <c r="AB269" s="153"/>
      <c r="AC269" s="153"/>
      <c r="AD269" s="151"/>
      <c r="AE269" s="151"/>
      <c r="AF269" s="151"/>
      <c r="AG269" s="151"/>
      <c r="AH269" s="151"/>
      <c r="AI269" s="151"/>
      <c r="AJ269" s="151"/>
      <c r="AK269" s="151"/>
      <c r="AL269" s="151"/>
      <c r="AM269" s="151"/>
      <c r="AN269" s="151"/>
      <c r="AO269" s="151"/>
      <c r="AP269" s="151"/>
      <c r="AQ269" s="151"/>
      <c r="AR269" s="151"/>
      <c r="AS269" s="151"/>
      <c r="AT269" s="151"/>
      <c r="AU269" s="151"/>
      <c r="AV269" s="151"/>
      <c r="AW269" s="151"/>
      <c r="AX269" s="151"/>
      <c r="AY269" s="151"/>
      <c r="AZ269" s="151"/>
      <c r="BA269" s="151"/>
      <c r="BB269" s="151"/>
      <c r="BC269" s="151"/>
      <c r="BD269" s="151"/>
      <c r="BE269" s="151"/>
      <c r="BF269" s="151"/>
      <c r="BG269" s="151"/>
      <c r="BH269" s="151"/>
      <c r="BI269" s="151"/>
      <c r="BJ269" s="151"/>
      <c r="BK269" s="151"/>
      <c r="BL269" s="151"/>
      <c r="BM269" s="151"/>
      <c r="BN269" s="151"/>
    </row>
    <row r="270" spans="21:66">
      <c r="U270" s="154"/>
      <c r="V270" s="153"/>
      <c r="W270" s="153"/>
      <c r="X270" s="153"/>
      <c r="Y270" s="153"/>
      <c r="Z270" s="153"/>
      <c r="AA270" s="153"/>
      <c r="AB270" s="153"/>
      <c r="AC270" s="153"/>
      <c r="AD270" s="151"/>
      <c r="AE270" s="151"/>
      <c r="AF270" s="151"/>
      <c r="AG270" s="151"/>
      <c r="AH270" s="151"/>
      <c r="AI270" s="151"/>
      <c r="AJ270" s="151"/>
      <c r="AK270" s="151"/>
      <c r="AL270" s="151"/>
      <c r="AM270" s="151"/>
      <c r="AN270" s="151"/>
      <c r="AO270" s="151"/>
      <c r="AP270" s="151"/>
      <c r="AQ270" s="151"/>
      <c r="AR270" s="151"/>
      <c r="AS270" s="151"/>
      <c r="AT270" s="151"/>
      <c r="AU270" s="151"/>
      <c r="AV270" s="151"/>
      <c r="AW270" s="151"/>
      <c r="AX270" s="151"/>
      <c r="AY270" s="151"/>
      <c r="AZ270" s="151"/>
      <c r="BA270" s="151"/>
      <c r="BB270" s="151"/>
      <c r="BC270" s="151"/>
      <c r="BD270" s="151"/>
      <c r="BE270" s="151"/>
      <c r="BF270" s="151"/>
      <c r="BG270" s="151"/>
      <c r="BH270" s="151"/>
      <c r="BI270" s="151"/>
      <c r="BJ270" s="151"/>
      <c r="BK270" s="151"/>
      <c r="BL270" s="151"/>
      <c r="BM270" s="151"/>
      <c r="BN270" s="151"/>
    </row>
    <row r="271" spans="21:66">
      <c r="U271" s="154"/>
      <c r="V271" s="153"/>
      <c r="W271" s="153"/>
      <c r="X271" s="153"/>
      <c r="Y271" s="153"/>
      <c r="Z271" s="153"/>
      <c r="AA271" s="153"/>
      <c r="AB271" s="153"/>
      <c r="AC271" s="153"/>
      <c r="AD271" s="151"/>
      <c r="AE271" s="151"/>
      <c r="AF271" s="151"/>
      <c r="AG271" s="151"/>
      <c r="AH271" s="151"/>
      <c r="AI271" s="151"/>
      <c r="AJ271" s="151"/>
      <c r="AK271" s="151"/>
      <c r="AL271" s="151"/>
      <c r="AM271" s="151"/>
      <c r="AN271" s="151"/>
      <c r="AO271" s="151"/>
      <c r="AP271" s="151"/>
      <c r="AQ271" s="151"/>
      <c r="AR271" s="151"/>
      <c r="AS271" s="151"/>
      <c r="AT271" s="151"/>
      <c r="AU271" s="151"/>
      <c r="AV271" s="151"/>
      <c r="AW271" s="151"/>
      <c r="AX271" s="151"/>
      <c r="AY271" s="151"/>
      <c r="AZ271" s="151"/>
      <c r="BA271" s="151"/>
      <c r="BB271" s="151"/>
      <c r="BC271" s="151"/>
      <c r="BD271" s="151"/>
      <c r="BE271" s="151"/>
      <c r="BF271" s="151"/>
      <c r="BG271" s="151"/>
      <c r="BH271" s="151"/>
      <c r="BI271" s="151"/>
      <c r="BJ271" s="151"/>
      <c r="BK271" s="151"/>
      <c r="BL271" s="151"/>
      <c r="BM271" s="151"/>
      <c r="BN271" s="151"/>
    </row>
    <row r="272" spans="21:66">
      <c r="U272" s="154"/>
      <c r="V272" s="153"/>
      <c r="W272" s="153"/>
      <c r="X272" s="153"/>
      <c r="Y272" s="153"/>
      <c r="Z272" s="153"/>
      <c r="AA272" s="153"/>
      <c r="AB272" s="153"/>
      <c r="AC272" s="153"/>
      <c r="AD272" s="151"/>
      <c r="AE272" s="151"/>
      <c r="AF272" s="151"/>
      <c r="AG272" s="151"/>
      <c r="AH272" s="151"/>
      <c r="AI272" s="151"/>
      <c r="AJ272" s="151"/>
      <c r="AK272" s="151"/>
      <c r="AL272" s="151"/>
      <c r="AM272" s="151"/>
      <c r="AN272" s="151"/>
      <c r="AO272" s="151"/>
      <c r="AP272" s="151"/>
      <c r="AQ272" s="151"/>
      <c r="AR272" s="151"/>
      <c r="AS272" s="151"/>
      <c r="AT272" s="151"/>
      <c r="AU272" s="151"/>
      <c r="AV272" s="151"/>
      <c r="AW272" s="151"/>
      <c r="AX272" s="151"/>
      <c r="AY272" s="151"/>
      <c r="AZ272" s="151"/>
      <c r="BA272" s="151"/>
      <c r="BB272" s="151"/>
      <c r="BC272" s="151"/>
      <c r="BD272" s="151"/>
      <c r="BE272" s="151"/>
      <c r="BF272" s="151"/>
      <c r="BG272" s="151"/>
      <c r="BH272" s="151"/>
      <c r="BI272" s="151"/>
      <c r="BJ272" s="151"/>
      <c r="BK272" s="151"/>
      <c r="BL272" s="151"/>
      <c r="BM272" s="151"/>
      <c r="BN272" s="151"/>
    </row>
    <row r="273" spans="21:66">
      <c r="U273" s="154"/>
      <c r="V273" s="153"/>
      <c r="W273" s="153"/>
      <c r="X273" s="153"/>
      <c r="Y273" s="153"/>
      <c r="Z273" s="153"/>
      <c r="AA273" s="153"/>
      <c r="AB273" s="153"/>
      <c r="AC273" s="153"/>
      <c r="AD273" s="151"/>
      <c r="AE273" s="151"/>
      <c r="AF273" s="151"/>
      <c r="AG273" s="151"/>
      <c r="AH273" s="151"/>
      <c r="AI273" s="151"/>
      <c r="AJ273" s="151"/>
      <c r="AK273" s="151"/>
      <c r="AL273" s="151"/>
      <c r="AM273" s="151"/>
      <c r="AN273" s="151"/>
      <c r="AO273" s="151"/>
      <c r="AP273" s="151"/>
      <c r="AQ273" s="151"/>
      <c r="AR273" s="151"/>
      <c r="AS273" s="151"/>
      <c r="AT273" s="151"/>
      <c r="AU273" s="151"/>
      <c r="AV273" s="151"/>
      <c r="AW273" s="151"/>
      <c r="AX273" s="151"/>
      <c r="AY273" s="151"/>
      <c r="AZ273" s="151"/>
      <c r="BA273" s="151"/>
      <c r="BB273" s="151"/>
      <c r="BC273" s="151"/>
      <c r="BD273" s="151"/>
      <c r="BE273" s="151"/>
      <c r="BF273" s="151"/>
      <c r="BG273" s="151"/>
      <c r="BH273" s="151"/>
      <c r="BI273" s="151"/>
      <c r="BJ273" s="151"/>
      <c r="BK273" s="151"/>
      <c r="BL273" s="151"/>
      <c r="BM273" s="151"/>
      <c r="BN273" s="151"/>
    </row>
    <row r="274" spans="21:66">
      <c r="U274" s="154"/>
      <c r="V274" s="153"/>
      <c r="W274" s="153"/>
      <c r="X274" s="153"/>
      <c r="Y274" s="153"/>
      <c r="Z274" s="153"/>
      <c r="AA274" s="153"/>
      <c r="AB274" s="153"/>
      <c r="AC274" s="153"/>
      <c r="AD274" s="151"/>
      <c r="AE274" s="151"/>
      <c r="AF274" s="151"/>
      <c r="AG274" s="151"/>
      <c r="AH274" s="151"/>
      <c r="AI274" s="151"/>
      <c r="AJ274" s="151"/>
      <c r="AK274" s="151"/>
      <c r="AL274" s="151"/>
      <c r="AM274" s="151"/>
      <c r="AN274" s="151"/>
      <c r="AO274" s="151"/>
      <c r="AP274" s="151"/>
      <c r="AQ274" s="151"/>
      <c r="AR274" s="151"/>
      <c r="AS274" s="151"/>
      <c r="AT274" s="151"/>
      <c r="AU274" s="151"/>
      <c r="AV274" s="151"/>
      <c r="AW274" s="151"/>
      <c r="AX274" s="151"/>
      <c r="AY274" s="151"/>
      <c r="AZ274" s="151"/>
      <c r="BA274" s="151"/>
      <c r="BB274" s="151"/>
      <c r="BC274" s="151"/>
      <c r="BD274" s="151"/>
      <c r="BE274" s="151"/>
      <c r="BF274" s="151"/>
      <c r="BG274" s="151"/>
      <c r="BH274" s="151"/>
      <c r="BI274" s="151"/>
      <c r="BJ274" s="151"/>
      <c r="BK274" s="151"/>
      <c r="BL274" s="151"/>
      <c r="BM274" s="151"/>
      <c r="BN274" s="151"/>
    </row>
    <row r="275" spans="21:66">
      <c r="U275" s="154"/>
      <c r="V275" s="153"/>
      <c r="W275" s="153"/>
      <c r="X275" s="153"/>
      <c r="Y275" s="153"/>
      <c r="Z275" s="153"/>
      <c r="AA275" s="153"/>
      <c r="AB275" s="153"/>
      <c r="AC275" s="153"/>
      <c r="AD275" s="151"/>
      <c r="AE275" s="151"/>
      <c r="AF275" s="151"/>
      <c r="AG275" s="151"/>
      <c r="AH275" s="151"/>
      <c r="AI275" s="151"/>
      <c r="AJ275" s="151"/>
      <c r="AK275" s="151"/>
      <c r="AL275" s="151"/>
      <c r="AM275" s="151"/>
      <c r="AN275" s="151"/>
      <c r="AO275" s="151"/>
      <c r="AP275" s="151"/>
      <c r="AQ275" s="151"/>
      <c r="AR275" s="151"/>
      <c r="AS275" s="151"/>
      <c r="AT275" s="151"/>
      <c r="AU275" s="151"/>
      <c r="AV275" s="151"/>
      <c r="AW275" s="151"/>
      <c r="AX275" s="151"/>
      <c r="AY275" s="151"/>
      <c r="AZ275" s="151"/>
      <c r="BA275" s="151"/>
      <c r="BB275" s="151"/>
      <c r="BC275" s="151"/>
      <c r="BD275" s="151"/>
      <c r="BE275" s="151"/>
      <c r="BF275" s="151"/>
      <c r="BG275" s="151"/>
      <c r="BH275" s="151"/>
      <c r="BI275" s="151"/>
      <c r="BJ275" s="151"/>
      <c r="BK275" s="151"/>
      <c r="BL275" s="151"/>
      <c r="BM275" s="151"/>
      <c r="BN275" s="151"/>
    </row>
    <row r="276" spans="21:66">
      <c r="U276" s="154"/>
      <c r="V276" s="153"/>
      <c r="W276" s="153"/>
      <c r="X276" s="153"/>
      <c r="Y276" s="153"/>
      <c r="Z276" s="153"/>
      <c r="AA276" s="153"/>
      <c r="AB276" s="153"/>
      <c r="AC276" s="153"/>
      <c r="AD276" s="151"/>
      <c r="AE276" s="151"/>
      <c r="AF276" s="151"/>
      <c r="AG276" s="151"/>
      <c r="AH276" s="151"/>
      <c r="AI276" s="151"/>
      <c r="AJ276" s="151"/>
      <c r="AK276" s="151"/>
      <c r="AL276" s="151"/>
      <c r="AM276" s="151"/>
      <c r="AN276" s="151"/>
      <c r="AO276" s="151"/>
      <c r="AP276" s="151"/>
      <c r="AQ276" s="151"/>
      <c r="AR276" s="151"/>
      <c r="AS276" s="151"/>
      <c r="AT276" s="151"/>
      <c r="AU276" s="151"/>
      <c r="AV276" s="151"/>
      <c r="AW276" s="151"/>
      <c r="AX276" s="151"/>
      <c r="AY276" s="151"/>
      <c r="AZ276" s="151"/>
      <c r="BA276" s="151"/>
      <c r="BB276" s="151"/>
      <c r="BC276" s="151"/>
      <c r="BD276" s="151"/>
      <c r="BE276" s="151"/>
      <c r="BF276" s="151"/>
      <c r="BG276" s="151"/>
      <c r="BH276" s="151"/>
      <c r="BI276" s="151"/>
      <c r="BJ276" s="151"/>
      <c r="BK276" s="151"/>
      <c r="BL276" s="151"/>
      <c r="BM276" s="151"/>
      <c r="BN276" s="151"/>
    </row>
    <row r="277" spans="21:66">
      <c r="U277" s="154"/>
      <c r="V277" s="153"/>
      <c r="W277" s="153"/>
      <c r="X277" s="153"/>
      <c r="Y277" s="153"/>
      <c r="Z277" s="153"/>
      <c r="AA277" s="153"/>
      <c r="AB277" s="153"/>
      <c r="AC277" s="153"/>
      <c r="AD277" s="151"/>
      <c r="AE277" s="151"/>
      <c r="AF277" s="151"/>
      <c r="AG277" s="151"/>
      <c r="AH277" s="151"/>
      <c r="AI277" s="151"/>
      <c r="AJ277" s="151"/>
      <c r="AK277" s="151"/>
      <c r="AL277" s="151"/>
      <c r="AM277" s="151"/>
      <c r="AN277" s="151"/>
      <c r="AO277" s="151"/>
      <c r="AP277" s="151"/>
      <c r="AQ277" s="151"/>
      <c r="AR277" s="151"/>
      <c r="AS277" s="151"/>
      <c r="AT277" s="151"/>
      <c r="AU277" s="151"/>
      <c r="AV277" s="151"/>
      <c r="AW277" s="151"/>
      <c r="AX277" s="151"/>
      <c r="AY277" s="151"/>
      <c r="AZ277" s="151"/>
      <c r="BA277" s="151"/>
      <c r="BB277" s="151"/>
      <c r="BC277" s="151"/>
      <c r="BD277" s="151"/>
      <c r="BE277" s="151"/>
      <c r="BF277" s="151"/>
      <c r="BG277" s="151"/>
      <c r="BH277" s="151"/>
      <c r="BI277" s="151"/>
      <c r="BJ277" s="151"/>
      <c r="BK277" s="151"/>
      <c r="BL277" s="151"/>
      <c r="BM277" s="151"/>
      <c r="BN277" s="151"/>
    </row>
    <row r="278" spans="21:66">
      <c r="U278" s="154"/>
      <c r="V278" s="153"/>
      <c r="W278" s="153"/>
      <c r="X278" s="153"/>
      <c r="Y278" s="153"/>
      <c r="Z278" s="153"/>
      <c r="AA278" s="153"/>
      <c r="AB278" s="153"/>
      <c r="AC278" s="153"/>
      <c r="AD278" s="151"/>
      <c r="AE278" s="151"/>
      <c r="AF278" s="151"/>
      <c r="AG278" s="151"/>
      <c r="AH278" s="151"/>
      <c r="AI278" s="151"/>
      <c r="AJ278" s="151"/>
      <c r="AK278" s="151"/>
      <c r="AL278" s="151"/>
      <c r="AM278" s="151"/>
      <c r="AN278" s="151"/>
      <c r="AO278" s="151"/>
      <c r="AP278" s="151"/>
      <c r="AQ278" s="151"/>
      <c r="AR278" s="151"/>
      <c r="AS278" s="151"/>
      <c r="AT278" s="151"/>
      <c r="AU278" s="151"/>
      <c r="AV278" s="151"/>
      <c r="AW278" s="151"/>
      <c r="AX278" s="151"/>
      <c r="AY278" s="151"/>
      <c r="AZ278" s="151"/>
      <c r="BA278" s="151"/>
      <c r="BB278" s="151"/>
      <c r="BC278" s="151"/>
      <c r="BD278" s="151"/>
      <c r="BE278" s="151"/>
      <c r="BF278" s="151"/>
      <c r="BG278" s="151"/>
      <c r="BH278" s="151"/>
      <c r="BI278" s="151"/>
      <c r="BJ278" s="151"/>
      <c r="BK278" s="151"/>
      <c r="BL278" s="151"/>
      <c r="BM278" s="151"/>
      <c r="BN278" s="151"/>
    </row>
    <row r="279" spans="21:66">
      <c r="U279" s="154"/>
      <c r="V279" s="153"/>
      <c r="W279" s="153"/>
      <c r="X279" s="153"/>
      <c r="Y279" s="153"/>
      <c r="Z279" s="153"/>
      <c r="AA279" s="153"/>
      <c r="AB279" s="153"/>
      <c r="AC279" s="153"/>
      <c r="AD279" s="151"/>
      <c r="AE279" s="151"/>
      <c r="AF279" s="151"/>
      <c r="AG279" s="151"/>
      <c r="AH279" s="151"/>
      <c r="AI279" s="151"/>
      <c r="AJ279" s="151"/>
      <c r="AK279" s="151"/>
      <c r="AL279" s="151"/>
      <c r="AM279" s="151"/>
      <c r="AN279" s="151"/>
      <c r="AO279" s="151"/>
      <c r="AP279" s="151"/>
      <c r="AQ279" s="151"/>
      <c r="AR279" s="151"/>
      <c r="AS279" s="151"/>
      <c r="AT279" s="151"/>
      <c r="AU279" s="151"/>
      <c r="AV279" s="151"/>
      <c r="AW279" s="151"/>
      <c r="AX279" s="151"/>
      <c r="AY279" s="151"/>
      <c r="AZ279" s="151"/>
      <c r="BA279" s="151"/>
      <c r="BB279" s="151"/>
      <c r="BC279" s="151"/>
      <c r="BD279" s="151"/>
      <c r="BE279" s="151"/>
      <c r="BF279" s="151"/>
      <c r="BG279" s="151"/>
      <c r="BH279" s="151"/>
      <c r="BI279" s="151"/>
      <c r="BJ279" s="151"/>
      <c r="BK279" s="151"/>
      <c r="BL279" s="151"/>
      <c r="BM279" s="151"/>
      <c r="BN279" s="151"/>
    </row>
    <row r="280" spans="21:66">
      <c r="U280" s="154"/>
      <c r="V280" s="153"/>
      <c r="W280" s="153"/>
      <c r="X280" s="153"/>
      <c r="Y280" s="153"/>
      <c r="Z280" s="153"/>
      <c r="AA280" s="153"/>
      <c r="AB280" s="153"/>
      <c r="AC280" s="153"/>
      <c r="AD280" s="151"/>
      <c r="AE280" s="151"/>
      <c r="AF280" s="151"/>
      <c r="AG280" s="151"/>
      <c r="AH280" s="151"/>
      <c r="AI280" s="151"/>
      <c r="AJ280" s="151"/>
      <c r="AK280" s="151"/>
      <c r="AL280" s="151"/>
      <c r="AM280" s="151"/>
      <c r="AN280" s="151"/>
      <c r="AO280" s="151"/>
      <c r="AP280" s="151"/>
      <c r="AQ280" s="151"/>
      <c r="AR280" s="151"/>
      <c r="AS280" s="151"/>
      <c r="AT280" s="151"/>
      <c r="AU280" s="151"/>
      <c r="AV280" s="151"/>
      <c r="AW280" s="151"/>
      <c r="AX280" s="151"/>
      <c r="AY280" s="151"/>
      <c r="AZ280" s="151"/>
      <c r="BA280" s="151"/>
      <c r="BB280" s="151"/>
      <c r="BC280" s="151"/>
      <c r="BD280" s="151"/>
      <c r="BE280" s="151"/>
      <c r="BF280" s="151"/>
      <c r="BG280" s="151"/>
      <c r="BH280" s="151"/>
      <c r="BI280" s="151"/>
      <c r="BJ280" s="151"/>
      <c r="BK280" s="151"/>
      <c r="BL280" s="151"/>
      <c r="BM280" s="151"/>
      <c r="BN280" s="151"/>
    </row>
    <row r="281" spans="21:66">
      <c r="U281" s="154"/>
      <c r="V281" s="153"/>
      <c r="W281" s="153"/>
      <c r="X281" s="153"/>
      <c r="Y281" s="153"/>
      <c r="Z281" s="153"/>
      <c r="AA281" s="153"/>
      <c r="AB281" s="153"/>
      <c r="AC281" s="153"/>
      <c r="AD281" s="151"/>
      <c r="AE281" s="151"/>
      <c r="AF281" s="151"/>
      <c r="AG281" s="151"/>
      <c r="AH281" s="151"/>
      <c r="AI281" s="151"/>
      <c r="AJ281" s="151"/>
      <c r="AK281" s="151"/>
      <c r="AL281" s="151"/>
      <c r="AM281" s="151"/>
      <c r="AN281" s="151"/>
      <c r="AO281" s="151"/>
      <c r="AP281" s="151"/>
      <c r="AQ281" s="151"/>
      <c r="AR281" s="151"/>
      <c r="AS281" s="151"/>
      <c r="AT281" s="151"/>
      <c r="AU281" s="151"/>
      <c r="AV281" s="151"/>
      <c r="AW281" s="151"/>
      <c r="AX281" s="151"/>
      <c r="AY281" s="151"/>
      <c r="AZ281" s="151"/>
      <c r="BA281" s="151"/>
      <c r="BB281" s="151"/>
      <c r="BC281" s="151"/>
      <c r="BD281" s="151"/>
      <c r="BE281" s="151"/>
      <c r="BF281" s="151"/>
      <c r="BG281" s="151"/>
      <c r="BH281" s="151"/>
      <c r="BI281" s="151"/>
      <c r="BJ281" s="151"/>
      <c r="BK281" s="151"/>
      <c r="BL281" s="151"/>
      <c r="BM281" s="151"/>
      <c r="BN281" s="151"/>
    </row>
    <row r="282" spans="21:66">
      <c r="U282" s="154"/>
      <c r="V282" s="153"/>
      <c r="W282" s="153"/>
      <c r="X282" s="153"/>
      <c r="Y282" s="153"/>
      <c r="Z282" s="153"/>
      <c r="AA282" s="153"/>
      <c r="AB282" s="153"/>
      <c r="AC282" s="153"/>
      <c r="AD282" s="151"/>
      <c r="AE282" s="151"/>
      <c r="AF282" s="151"/>
      <c r="AG282" s="151"/>
      <c r="AH282" s="151"/>
      <c r="AI282" s="151"/>
      <c r="AJ282" s="151"/>
      <c r="AK282" s="151"/>
      <c r="AL282" s="151"/>
      <c r="AM282" s="151"/>
      <c r="AN282" s="151"/>
      <c r="AO282" s="151"/>
      <c r="AP282" s="151"/>
      <c r="AQ282" s="151"/>
      <c r="AR282" s="151"/>
      <c r="AS282" s="151"/>
      <c r="AT282" s="151"/>
      <c r="AU282" s="151"/>
      <c r="AV282" s="151"/>
      <c r="AW282" s="151"/>
      <c r="AX282" s="151"/>
      <c r="AY282" s="151"/>
      <c r="AZ282" s="151"/>
      <c r="BA282" s="151"/>
      <c r="BB282" s="151"/>
      <c r="BC282" s="151"/>
      <c r="BD282" s="151"/>
      <c r="BE282" s="151"/>
      <c r="BF282" s="151"/>
      <c r="BG282" s="151"/>
      <c r="BH282" s="151"/>
      <c r="BI282" s="151"/>
      <c r="BJ282" s="151"/>
      <c r="BK282" s="151"/>
      <c r="BL282" s="151"/>
      <c r="BM282" s="151"/>
      <c r="BN282" s="151"/>
    </row>
    <row r="283" spans="21:66">
      <c r="U283" s="154"/>
      <c r="V283" s="153"/>
      <c r="W283" s="153"/>
      <c r="X283" s="153"/>
      <c r="Y283" s="153"/>
      <c r="Z283" s="153"/>
      <c r="AA283" s="153"/>
      <c r="AB283" s="153"/>
      <c r="AC283" s="153"/>
      <c r="AD283" s="151"/>
      <c r="AE283" s="151"/>
      <c r="AF283" s="151"/>
      <c r="AG283" s="151"/>
      <c r="AH283" s="151"/>
      <c r="AI283" s="151"/>
      <c r="AJ283" s="151"/>
      <c r="AK283" s="151"/>
      <c r="AL283" s="151"/>
      <c r="AM283" s="151"/>
      <c r="AN283" s="151"/>
      <c r="AO283" s="151"/>
      <c r="AP283" s="151"/>
      <c r="AQ283" s="151"/>
      <c r="AR283" s="151"/>
      <c r="AS283" s="151"/>
      <c r="AT283" s="151"/>
      <c r="AU283" s="151"/>
      <c r="AV283" s="151"/>
      <c r="AW283" s="151"/>
      <c r="AX283" s="151"/>
      <c r="AY283" s="151"/>
      <c r="AZ283" s="151"/>
      <c r="BA283" s="151"/>
      <c r="BB283" s="151"/>
      <c r="BC283" s="151"/>
      <c r="BD283" s="151"/>
      <c r="BE283" s="151"/>
      <c r="BF283" s="151"/>
      <c r="BG283" s="151"/>
      <c r="BH283" s="151"/>
      <c r="BI283" s="151"/>
      <c r="BJ283" s="151"/>
      <c r="BK283" s="151"/>
      <c r="BL283" s="151"/>
      <c r="BM283" s="151"/>
      <c r="BN283" s="151"/>
    </row>
    <row r="284" spans="21:66">
      <c r="U284" s="154"/>
      <c r="V284" s="153"/>
      <c r="W284" s="153"/>
      <c r="X284" s="153"/>
      <c r="Y284" s="153"/>
      <c r="Z284" s="153"/>
      <c r="AA284" s="153"/>
      <c r="AB284" s="153"/>
      <c r="AC284" s="153"/>
      <c r="AD284" s="151"/>
      <c r="AE284" s="151"/>
      <c r="AF284" s="151"/>
      <c r="AG284" s="151"/>
      <c r="AH284" s="151"/>
      <c r="AI284" s="151"/>
      <c r="AJ284" s="151"/>
      <c r="AK284" s="151"/>
      <c r="AL284" s="151"/>
      <c r="AM284" s="151"/>
      <c r="AN284" s="151"/>
      <c r="AO284" s="151"/>
      <c r="AP284" s="151"/>
      <c r="AQ284" s="151"/>
      <c r="AR284" s="151"/>
      <c r="AS284" s="151"/>
      <c r="AT284" s="151"/>
      <c r="AU284" s="151"/>
      <c r="AV284" s="151"/>
      <c r="AW284" s="151"/>
      <c r="AX284" s="151"/>
      <c r="AY284" s="151"/>
      <c r="AZ284" s="151"/>
      <c r="BA284" s="151"/>
      <c r="BB284" s="151"/>
      <c r="BC284" s="151"/>
      <c r="BD284" s="151"/>
      <c r="BE284" s="151"/>
      <c r="BF284" s="151"/>
      <c r="BG284" s="151"/>
      <c r="BH284" s="151"/>
      <c r="BI284" s="151"/>
      <c r="BJ284" s="151"/>
      <c r="BK284" s="151"/>
      <c r="BL284" s="151"/>
      <c r="BM284" s="151"/>
      <c r="BN284" s="151"/>
    </row>
    <row r="285" spans="21:66">
      <c r="U285" s="154"/>
      <c r="V285" s="153"/>
      <c r="W285" s="153"/>
      <c r="X285" s="153"/>
      <c r="Y285" s="153"/>
      <c r="Z285" s="153"/>
      <c r="AA285" s="153"/>
      <c r="AB285" s="153"/>
      <c r="AC285" s="153"/>
      <c r="AD285" s="151"/>
      <c r="AE285" s="151"/>
      <c r="AF285" s="151"/>
      <c r="AG285" s="151"/>
      <c r="AH285" s="151"/>
      <c r="AI285" s="151"/>
      <c r="AJ285" s="151"/>
      <c r="AK285" s="151"/>
      <c r="AL285" s="151"/>
      <c r="AM285" s="151"/>
      <c r="AN285" s="151"/>
      <c r="AO285" s="151"/>
      <c r="AP285" s="151"/>
      <c r="AQ285" s="151"/>
      <c r="AR285" s="151"/>
      <c r="AS285" s="151"/>
      <c r="AT285" s="151"/>
      <c r="AU285" s="151"/>
      <c r="AV285" s="151"/>
      <c r="AW285" s="151"/>
      <c r="AX285" s="151"/>
      <c r="AY285" s="151"/>
      <c r="AZ285" s="151"/>
      <c r="BA285" s="151"/>
      <c r="BB285" s="151"/>
      <c r="BC285" s="151"/>
      <c r="BD285" s="151"/>
      <c r="BE285" s="151"/>
      <c r="BF285" s="151"/>
      <c r="BG285" s="151"/>
      <c r="BH285" s="151"/>
      <c r="BI285" s="151"/>
      <c r="BJ285" s="151"/>
      <c r="BK285" s="151"/>
      <c r="BL285" s="151"/>
      <c r="BM285" s="151"/>
      <c r="BN285" s="151"/>
    </row>
    <row r="286" spans="21:66">
      <c r="U286" s="154"/>
      <c r="V286" s="153"/>
      <c r="W286" s="153"/>
      <c r="X286" s="153"/>
      <c r="Y286" s="153"/>
      <c r="Z286" s="153"/>
      <c r="AA286" s="153"/>
      <c r="AB286" s="153"/>
      <c r="AC286" s="153"/>
      <c r="AD286" s="151"/>
      <c r="AE286" s="151"/>
      <c r="AF286" s="151"/>
      <c r="AG286" s="151"/>
      <c r="AH286" s="151"/>
      <c r="AI286" s="151"/>
      <c r="AJ286" s="151"/>
      <c r="AK286" s="151"/>
      <c r="AL286" s="151"/>
      <c r="AM286" s="151"/>
      <c r="AN286" s="151"/>
      <c r="AO286" s="151"/>
      <c r="AP286" s="151"/>
      <c r="AQ286" s="151"/>
      <c r="AR286" s="151"/>
      <c r="AS286" s="151"/>
      <c r="AT286" s="151"/>
      <c r="AU286" s="151"/>
      <c r="AV286" s="151"/>
      <c r="AW286" s="151"/>
      <c r="AX286" s="151"/>
      <c r="AY286" s="151"/>
      <c r="AZ286" s="151"/>
      <c r="BA286" s="151"/>
      <c r="BB286" s="151"/>
      <c r="BC286" s="151"/>
      <c r="BD286" s="151"/>
      <c r="BE286" s="151"/>
      <c r="BF286" s="151"/>
      <c r="BG286" s="151"/>
      <c r="BH286" s="151"/>
      <c r="BI286" s="151"/>
      <c r="BJ286" s="151"/>
      <c r="BK286" s="151"/>
      <c r="BL286" s="151"/>
      <c r="BM286" s="151"/>
      <c r="BN286" s="151"/>
    </row>
    <row r="287" spans="21:66">
      <c r="U287" s="154"/>
      <c r="V287" s="153"/>
      <c r="W287" s="153"/>
      <c r="X287" s="153"/>
      <c r="Y287" s="153"/>
      <c r="Z287" s="153"/>
      <c r="AA287" s="153"/>
      <c r="AB287" s="153"/>
      <c r="AC287" s="153"/>
      <c r="AD287" s="151"/>
      <c r="AE287" s="151"/>
      <c r="AF287" s="151"/>
      <c r="AG287" s="151"/>
      <c r="AH287" s="151"/>
      <c r="AI287" s="151"/>
      <c r="AJ287" s="151"/>
      <c r="AK287" s="151"/>
      <c r="AL287" s="151"/>
      <c r="AM287" s="151"/>
      <c r="AN287" s="151"/>
      <c r="AO287" s="151"/>
      <c r="AP287" s="151"/>
      <c r="AQ287" s="151"/>
      <c r="AR287" s="151"/>
      <c r="AS287" s="151"/>
      <c r="AT287" s="151"/>
      <c r="AU287" s="151"/>
      <c r="AV287" s="151"/>
      <c r="AW287" s="151"/>
      <c r="AX287" s="151"/>
      <c r="AY287" s="151"/>
      <c r="AZ287" s="151"/>
      <c r="BA287" s="151"/>
      <c r="BB287" s="151"/>
      <c r="BC287" s="151"/>
      <c r="BD287" s="151"/>
      <c r="BE287" s="151"/>
      <c r="BF287" s="151"/>
      <c r="BG287" s="151"/>
      <c r="BH287" s="151"/>
      <c r="BI287" s="151"/>
      <c r="BJ287" s="151"/>
      <c r="BK287" s="151"/>
      <c r="BL287" s="151"/>
      <c r="BM287" s="151"/>
      <c r="BN287" s="151"/>
    </row>
    <row r="288" spans="21:66">
      <c r="U288" s="154"/>
      <c r="V288" s="153"/>
      <c r="W288" s="153"/>
      <c r="X288" s="153"/>
      <c r="Y288" s="153"/>
      <c r="Z288" s="153"/>
      <c r="AA288" s="153"/>
      <c r="AB288" s="153"/>
      <c r="AC288" s="153"/>
      <c r="AD288" s="151"/>
      <c r="AE288" s="151"/>
      <c r="AF288" s="151"/>
      <c r="AG288" s="151"/>
      <c r="AH288" s="151"/>
      <c r="AI288" s="151"/>
      <c r="AJ288" s="151"/>
      <c r="AK288" s="151"/>
      <c r="AL288" s="151"/>
      <c r="AM288" s="151"/>
      <c r="AN288" s="151"/>
      <c r="AO288" s="151"/>
      <c r="AP288" s="151"/>
      <c r="AQ288" s="151"/>
      <c r="AR288" s="151"/>
      <c r="AS288" s="151"/>
      <c r="AT288" s="151"/>
      <c r="AU288" s="151"/>
      <c r="AV288" s="151"/>
      <c r="AW288" s="151"/>
      <c r="AX288" s="151"/>
      <c r="AY288" s="151"/>
      <c r="AZ288" s="151"/>
      <c r="BA288" s="151"/>
      <c r="BB288" s="151"/>
      <c r="BC288" s="151"/>
      <c r="BD288" s="151"/>
      <c r="BE288" s="151"/>
      <c r="BF288" s="151"/>
      <c r="BG288" s="151"/>
      <c r="BH288" s="151"/>
      <c r="BI288" s="151"/>
      <c r="BJ288" s="151"/>
      <c r="BK288" s="151"/>
      <c r="BL288" s="151"/>
      <c r="BM288" s="151"/>
      <c r="BN288" s="151"/>
    </row>
    <row r="289" spans="21:66">
      <c r="U289" s="154"/>
      <c r="V289" s="153"/>
      <c r="W289" s="153"/>
      <c r="X289" s="153"/>
      <c r="Y289" s="153"/>
      <c r="Z289" s="153"/>
      <c r="AA289" s="153"/>
      <c r="AB289" s="153"/>
      <c r="AC289" s="153"/>
      <c r="AD289" s="151"/>
      <c r="AE289" s="151"/>
      <c r="AF289" s="151"/>
      <c r="AG289" s="151"/>
      <c r="AH289" s="151"/>
      <c r="AI289" s="151"/>
      <c r="AJ289" s="151"/>
      <c r="AK289" s="151"/>
      <c r="AL289" s="151"/>
      <c r="AM289" s="151"/>
      <c r="AN289" s="151"/>
      <c r="AO289" s="151"/>
      <c r="AP289" s="151"/>
      <c r="AQ289" s="151"/>
      <c r="AR289" s="151"/>
      <c r="AS289" s="151"/>
      <c r="AT289" s="151"/>
      <c r="AU289" s="151"/>
      <c r="AV289" s="151"/>
      <c r="AW289" s="151"/>
      <c r="AX289" s="151"/>
      <c r="AY289" s="151"/>
      <c r="AZ289" s="151"/>
      <c r="BA289" s="151"/>
      <c r="BB289" s="151"/>
      <c r="BC289" s="151"/>
      <c r="BD289" s="151"/>
      <c r="BE289" s="151"/>
      <c r="BF289" s="151"/>
      <c r="BG289" s="151"/>
      <c r="BH289" s="151"/>
      <c r="BI289" s="151"/>
      <c r="BJ289" s="151"/>
      <c r="BK289" s="151"/>
      <c r="BL289" s="151"/>
      <c r="BM289" s="151"/>
      <c r="BN289" s="151"/>
    </row>
    <row r="290" spans="21:66">
      <c r="U290" s="154"/>
      <c r="V290" s="153"/>
      <c r="W290" s="153"/>
      <c r="X290" s="153"/>
      <c r="Y290" s="153"/>
      <c r="Z290" s="153"/>
      <c r="AA290" s="153"/>
      <c r="AB290" s="153"/>
      <c r="AC290" s="153"/>
      <c r="AD290" s="151"/>
      <c r="AE290" s="151"/>
      <c r="AF290" s="151"/>
      <c r="AG290" s="151"/>
      <c r="AH290" s="151"/>
      <c r="AI290" s="151"/>
      <c r="AJ290" s="151"/>
      <c r="AK290" s="151"/>
      <c r="AL290" s="151"/>
      <c r="AM290" s="151"/>
      <c r="AN290" s="151"/>
      <c r="AO290" s="151"/>
      <c r="AP290" s="151"/>
      <c r="AQ290" s="151"/>
      <c r="AR290" s="151"/>
      <c r="AS290" s="151"/>
      <c r="AT290" s="151"/>
      <c r="AU290" s="151"/>
      <c r="AV290" s="151"/>
      <c r="AW290" s="151"/>
      <c r="AX290" s="151"/>
      <c r="AY290" s="151"/>
      <c r="AZ290" s="151"/>
      <c r="BA290" s="151"/>
      <c r="BB290" s="151"/>
      <c r="BC290" s="151"/>
      <c r="BD290" s="151"/>
      <c r="BE290" s="151"/>
      <c r="BF290" s="151"/>
      <c r="BG290" s="151"/>
      <c r="BH290" s="151"/>
      <c r="BI290" s="151"/>
      <c r="BJ290" s="151"/>
      <c r="BK290" s="151"/>
      <c r="BL290" s="151"/>
      <c r="BM290" s="151"/>
      <c r="BN290" s="151"/>
    </row>
    <row r="291" spans="21:66">
      <c r="U291" s="154"/>
      <c r="V291" s="153"/>
      <c r="W291" s="153"/>
      <c r="X291" s="153"/>
      <c r="Y291" s="153"/>
      <c r="Z291" s="153"/>
      <c r="AA291" s="153"/>
      <c r="AB291" s="153"/>
      <c r="AC291" s="153"/>
      <c r="AD291" s="151"/>
      <c r="AE291" s="151"/>
      <c r="AF291" s="151"/>
      <c r="AG291" s="151"/>
      <c r="AH291" s="151"/>
      <c r="AI291" s="151"/>
      <c r="AJ291" s="151"/>
      <c r="AK291" s="151"/>
      <c r="AL291" s="151"/>
      <c r="AM291" s="151"/>
      <c r="AN291" s="151"/>
      <c r="AO291" s="151"/>
      <c r="AP291" s="151"/>
      <c r="AQ291" s="151"/>
      <c r="AR291" s="151"/>
      <c r="AS291" s="151"/>
      <c r="AT291" s="151"/>
      <c r="AU291" s="151"/>
      <c r="AV291" s="151"/>
      <c r="AW291" s="151"/>
      <c r="AX291" s="151"/>
      <c r="AY291" s="151"/>
      <c r="AZ291" s="151"/>
      <c r="BA291" s="151"/>
      <c r="BB291" s="151"/>
      <c r="BC291" s="151"/>
      <c r="BD291" s="151"/>
      <c r="BE291" s="151"/>
      <c r="BF291" s="151"/>
      <c r="BG291" s="151"/>
      <c r="BH291" s="151"/>
      <c r="BI291" s="151"/>
      <c r="BJ291" s="151"/>
      <c r="BK291" s="151"/>
      <c r="BL291" s="151"/>
      <c r="BM291" s="151"/>
      <c r="BN291" s="151"/>
    </row>
    <row r="292" spans="21:66">
      <c r="U292" s="154"/>
      <c r="V292" s="153"/>
      <c r="W292" s="153"/>
      <c r="X292" s="153"/>
      <c r="Y292" s="153"/>
      <c r="Z292" s="153"/>
      <c r="AA292" s="153"/>
      <c r="AB292" s="153"/>
      <c r="AC292" s="153"/>
      <c r="AD292" s="151"/>
      <c r="AE292" s="151"/>
      <c r="AF292" s="151"/>
      <c r="AG292" s="151"/>
      <c r="AH292" s="151"/>
      <c r="AI292" s="151"/>
      <c r="AJ292" s="151"/>
      <c r="AK292" s="151"/>
      <c r="AL292" s="151"/>
      <c r="AM292" s="151"/>
      <c r="AN292" s="151"/>
      <c r="AO292" s="151"/>
      <c r="AP292" s="151"/>
      <c r="AQ292" s="151"/>
      <c r="AR292" s="151"/>
      <c r="AS292" s="151"/>
      <c r="AT292" s="151"/>
      <c r="AU292" s="151"/>
      <c r="AV292" s="151"/>
      <c r="AW292" s="151"/>
      <c r="AX292" s="151"/>
      <c r="AY292" s="151"/>
      <c r="AZ292" s="151"/>
      <c r="BA292" s="151"/>
      <c r="BB292" s="151"/>
      <c r="BC292" s="151"/>
      <c r="BD292" s="151"/>
      <c r="BE292" s="151"/>
      <c r="BF292" s="151"/>
      <c r="BG292" s="151"/>
      <c r="BH292" s="151"/>
      <c r="BI292" s="151"/>
      <c r="BJ292" s="151"/>
      <c r="BK292" s="151"/>
      <c r="BL292" s="151"/>
      <c r="BM292" s="151"/>
      <c r="BN292" s="151"/>
    </row>
    <row r="293" spans="21:66">
      <c r="U293" s="154"/>
      <c r="V293" s="153"/>
      <c r="W293" s="153"/>
      <c r="X293" s="153"/>
      <c r="Y293" s="153"/>
      <c r="Z293" s="153"/>
      <c r="AA293" s="153"/>
      <c r="AB293" s="153"/>
      <c r="AC293" s="153"/>
      <c r="AD293" s="151"/>
      <c r="AE293" s="151"/>
      <c r="AF293" s="151"/>
      <c r="AG293" s="151"/>
      <c r="AH293" s="151"/>
      <c r="AI293" s="151"/>
      <c r="AJ293" s="151"/>
      <c r="AK293" s="151"/>
      <c r="AL293" s="151"/>
      <c r="AM293" s="151"/>
      <c r="AN293" s="151"/>
      <c r="AO293" s="151"/>
      <c r="AP293" s="151"/>
      <c r="AQ293" s="151"/>
      <c r="AR293" s="151"/>
      <c r="AS293" s="151"/>
      <c r="AT293" s="151"/>
      <c r="AU293" s="151"/>
      <c r="AV293" s="151"/>
      <c r="AW293" s="151"/>
      <c r="AX293" s="151"/>
      <c r="AY293" s="151"/>
      <c r="AZ293" s="151"/>
      <c r="BA293" s="151"/>
      <c r="BB293" s="151"/>
      <c r="BC293" s="151"/>
      <c r="BD293" s="151"/>
      <c r="BE293" s="151"/>
      <c r="BF293" s="151"/>
      <c r="BG293" s="151"/>
      <c r="BH293" s="151"/>
      <c r="BI293" s="151"/>
      <c r="BJ293" s="151"/>
      <c r="BK293" s="151"/>
      <c r="BL293" s="151"/>
      <c r="BM293" s="151"/>
      <c r="BN293" s="151"/>
    </row>
    <row r="294" spans="21:66">
      <c r="U294" s="154"/>
      <c r="V294" s="153"/>
      <c r="W294" s="153"/>
      <c r="X294" s="153"/>
      <c r="Y294" s="153"/>
      <c r="Z294" s="153"/>
      <c r="AA294" s="153"/>
      <c r="AB294" s="153"/>
      <c r="AC294" s="153"/>
      <c r="AD294" s="151"/>
      <c r="AE294" s="151"/>
      <c r="AF294" s="151"/>
      <c r="AG294" s="151"/>
      <c r="AH294" s="151"/>
      <c r="AI294" s="151"/>
      <c r="AJ294" s="151"/>
      <c r="AK294" s="151"/>
      <c r="AL294" s="151"/>
      <c r="AM294" s="151"/>
      <c r="AN294" s="151"/>
      <c r="AO294" s="151"/>
      <c r="AP294" s="151"/>
      <c r="AQ294" s="151"/>
      <c r="AR294" s="151"/>
      <c r="AS294" s="151"/>
      <c r="AT294" s="151"/>
      <c r="AU294" s="151"/>
      <c r="AV294" s="151"/>
      <c r="AW294" s="151"/>
      <c r="AX294" s="151"/>
      <c r="AY294" s="151"/>
      <c r="AZ294" s="151"/>
      <c r="BA294" s="151"/>
      <c r="BB294" s="151"/>
      <c r="BC294" s="151"/>
      <c r="BD294" s="151"/>
      <c r="BE294" s="151"/>
      <c r="BF294" s="151"/>
      <c r="BG294" s="151"/>
      <c r="BH294" s="151"/>
      <c r="BI294" s="151"/>
      <c r="BJ294" s="151"/>
      <c r="BK294" s="151"/>
      <c r="BL294" s="151"/>
      <c r="BM294" s="151"/>
      <c r="BN294" s="151"/>
    </row>
    <row r="295" spans="21:66">
      <c r="U295" s="154"/>
      <c r="V295" s="153"/>
      <c r="W295" s="153"/>
      <c r="X295" s="153"/>
      <c r="Y295" s="153"/>
      <c r="Z295" s="153"/>
      <c r="AA295" s="153"/>
      <c r="AB295" s="153"/>
      <c r="AC295" s="153"/>
      <c r="AD295" s="151"/>
      <c r="AE295" s="151"/>
      <c r="AF295" s="151"/>
      <c r="AG295" s="151"/>
      <c r="AH295" s="151"/>
      <c r="AI295" s="151"/>
      <c r="AJ295" s="151"/>
      <c r="AK295" s="151"/>
      <c r="AL295" s="151"/>
      <c r="AM295" s="151"/>
      <c r="AN295" s="151"/>
      <c r="AO295" s="151"/>
      <c r="AP295" s="151"/>
      <c r="AQ295" s="151"/>
      <c r="AR295" s="151"/>
      <c r="AS295" s="151"/>
      <c r="AT295" s="151"/>
      <c r="AU295" s="151"/>
      <c r="AV295" s="151"/>
      <c r="AW295" s="151"/>
      <c r="AX295" s="151"/>
      <c r="AY295" s="151"/>
      <c r="AZ295" s="151"/>
      <c r="BA295" s="151"/>
      <c r="BB295" s="151"/>
      <c r="BC295" s="151"/>
      <c r="BD295" s="151"/>
      <c r="BE295" s="151"/>
      <c r="BF295" s="151"/>
      <c r="BG295" s="151"/>
      <c r="BH295" s="151"/>
      <c r="BI295" s="151"/>
      <c r="BJ295" s="151"/>
      <c r="BK295" s="151"/>
      <c r="BL295" s="151"/>
      <c r="BM295" s="151"/>
      <c r="BN295" s="151"/>
    </row>
    <row r="296" spans="21:66">
      <c r="U296" s="154"/>
      <c r="V296" s="153"/>
      <c r="W296" s="153"/>
      <c r="X296" s="153"/>
      <c r="Y296" s="153"/>
      <c r="Z296" s="153"/>
      <c r="AA296" s="153"/>
      <c r="AB296" s="153"/>
      <c r="AC296" s="153"/>
      <c r="AD296" s="151"/>
      <c r="AE296" s="151"/>
      <c r="AF296" s="151"/>
      <c r="AG296" s="151"/>
      <c r="AH296" s="151"/>
      <c r="AI296" s="151"/>
      <c r="AJ296" s="151"/>
      <c r="AK296" s="151"/>
      <c r="AL296" s="151"/>
      <c r="AM296" s="151"/>
      <c r="AN296" s="151"/>
      <c r="AO296" s="151"/>
      <c r="AP296" s="151"/>
      <c r="AQ296" s="151"/>
      <c r="AR296" s="151"/>
      <c r="AS296" s="151"/>
      <c r="AT296" s="151"/>
      <c r="AU296" s="151"/>
      <c r="AV296" s="151"/>
      <c r="AW296" s="151"/>
      <c r="AX296" s="151"/>
      <c r="AY296" s="151"/>
      <c r="AZ296" s="151"/>
      <c r="BA296" s="151"/>
      <c r="BB296" s="151"/>
      <c r="BC296" s="151"/>
      <c r="BD296" s="151"/>
      <c r="BE296" s="151"/>
      <c r="BF296" s="151"/>
      <c r="BG296" s="151"/>
      <c r="BH296" s="151"/>
      <c r="BI296" s="151"/>
      <c r="BJ296" s="151"/>
      <c r="BK296" s="151"/>
      <c r="BL296" s="151"/>
      <c r="BM296" s="151"/>
      <c r="BN296" s="151"/>
    </row>
    <row r="297" spans="21:66">
      <c r="U297" s="154"/>
      <c r="V297" s="153"/>
      <c r="W297" s="153"/>
      <c r="X297" s="153"/>
      <c r="Y297" s="153"/>
      <c r="Z297" s="153"/>
      <c r="AA297" s="153"/>
      <c r="AB297" s="153"/>
      <c r="AC297" s="153"/>
      <c r="AD297" s="151"/>
      <c r="AE297" s="151"/>
      <c r="AF297" s="151"/>
      <c r="AG297" s="151"/>
      <c r="AH297" s="151"/>
      <c r="AI297" s="151"/>
      <c r="AJ297" s="151"/>
      <c r="AK297" s="151"/>
      <c r="AL297" s="151"/>
      <c r="AM297" s="151"/>
      <c r="AN297" s="151"/>
      <c r="AO297" s="151"/>
      <c r="AP297" s="151"/>
      <c r="AQ297" s="151"/>
      <c r="AR297" s="151"/>
      <c r="AS297" s="151"/>
      <c r="AT297" s="151"/>
      <c r="AU297" s="151"/>
      <c r="AV297" s="151"/>
      <c r="AW297" s="151"/>
      <c r="AX297" s="151"/>
      <c r="AY297" s="151"/>
      <c r="AZ297" s="151"/>
      <c r="BA297" s="151"/>
      <c r="BB297" s="151"/>
      <c r="BC297" s="151"/>
      <c r="BD297" s="151"/>
      <c r="BE297" s="151"/>
      <c r="BF297" s="151"/>
      <c r="BG297" s="151"/>
      <c r="BH297" s="151"/>
      <c r="BI297" s="151"/>
      <c r="BJ297" s="151"/>
      <c r="BK297" s="151"/>
      <c r="BL297" s="151"/>
      <c r="BM297" s="151"/>
      <c r="BN297" s="151"/>
    </row>
    <row r="298" spans="21:66">
      <c r="U298" s="154"/>
      <c r="V298" s="153"/>
      <c r="W298" s="153"/>
      <c r="X298" s="153"/>
      <c r="Y298" s="153"/>
      <c r="Z298" s="153"/>
      <c r="AA298" s="153"/>
      <c r="AB298" s="153"/>
      <c r="AC298" s="153"/>
      <c r="AD298" s="151"/>
      <c r="AE298" s="151"/>
      <c r="AF298" s="151"/>
      <c r="AG298" s="151"/>
      <c r="AH298" s="151"/>
      <c r="AI298" s="151"/>
      <c r="AJ298" s="151"/>
      <c r="AK298" s="151"/>
      <c r="AL298" s="151"/>
      <c r="AM298" s="151"/>
      <c r="AN298" s="151"/>
      <c r="AO298" s="151"/>
      <c r="AP298" s="151"/>
      <c r="AQ298" s="151"/>
      <c r="AR298" s="151"/>
      <c r="AS298" s="151"/>
      <c r="AT298" s="151"/>
      <c r="AU298" s="151"/>
      <c r="AV298" s="151"/>
      <c r="AW298" s="151"/>
      <c r="AX298" s="151"/>
      <c r="AY298" s="151"/>
      <c r="AZ298" s="151"/>
      <c r="BA298" s="151"/>
      <c r="BB298" s="151"/>
      <c r="BC298" s="151"/>
      <c r="BD298" s="151"/>
      <c r="BE298" s="151"/>
      <c r="BF298" s="151"/>
      <c r="BG298" s="151"/>
      <c r="BH298" s="151"/>
      <c r="BI298" s="151"/>
      <c r="BJ298" s="151"/>
      <c r="BK298" s="151"/>
      <c r="BL298" s="151"/>
      <c r="BM298" s="151"/>
      <c r="BN298" s="151"/>
    </row>
    <row r="299" spans="21:66">
      <c r="U299" s="154"/>
      <c r="V299" s="153"/>
      <c r="W299" s="153"/>
      <c r="X299" s="153"/>
      <c r="Y299" s="153"/>
      <c r="Z299" s="153"/>
      <c r="AA299" s="153"/>
      <c r="AB299" s="153"/>
      <c r="AC299" s="153"/>
      <c r="AD299" s="151"/>
      <c r="AE299" s="151"/>
      <c r="AF299" s="151"/>
      <c r="AG299" s="151"/>
      <c r="AH299" s="151"/>
      <c r="AI299" s="151"/>
      <c r="AJ299" s="151"/>
      <c r="AK299" s="151"/>
      <c r="AL299" s="151"/>
      <c r="AM299" s="151"/>
      <c r="AN299" s="151"/>
      <c r="AO299" s="151"/>
      <c r="AP299" s="151"/>
      <c r="AQ299" s="151"/>
      <c r="AR299" s="151"/>
      <c r="AS299" s="151"/>
      <c r="AT299" s="151"/>
      <c r="AU299" s="151"/>
      <c r="AV299" s="151"/>
      <c r="AW299" s="151"/>
      <c r="AX299" s="151"/>
      <c r="AY299" s="151"/>
      <c r="AZ299" s="151"/>
      <c r="BA299" s="151"/>
      <c r="BB299" s="151"/>
      <c r="BC299" s="151"/>
      <c r="BD299" s="151"/>
      <c r="BE299" s="151"/>
      <c r="BF299" s="151"/>
      <c r="BG299" s="151"/>
      <c r="BH299" s="151"/>
      <c r="BI299" s="151"/>
      <c r="BJ299" s="151"/>
      <c r="BK299" s="151"/>
      <c r="BL299" s="151"/>
      <c r="BM299" s="151"/>
      <c r="BN299" s="151"/>
    </row>
    <row r="300" spans="21:66">
      <c r="U300" s="154"/>
      <c r="V300" s="153"/>
      <c r="W300" s="153"/>
      <c r="X300" s="153"/>
      <c r="Y300" s="153"/>
      <c r="Z300" s="153"/>
      <c r="AA300" s="153"/>
      <c r="AB300" s="153"/>
      <c r="AC300" s="153"/>
      <c r="AD300" s="151"/>
      <c r="AE300" s="151"/>
      <c r="AF300" s="151"/>
      <c r="AG300" s="151"/>
      <c r="AH300" s="151"/>
      <c r="AI300" s="151"/>
      <c r="AJ300" s="151"/>
      <c r="AK300" s="151"/>
      <c r="AL300" s="151"/>
      <c r="AM300" s="151"/>
      <c r="AN300" s="151"/>
      <c r="AO300" s="151"/>
      <c r="AP300" s="151"/>
      <c r="AQ300" s="151"/>
      <c r="AR300" s="151"/>
      <c r="AS300" s="151"/>
      <c r="AT300" s="151"/>
      <c r="AU300" s="151"/>
      <c r="AV300" s="151"/>
      <c r="AW300" s="151"/>
      <c r="AX300" s="151"/>
      <c r="AY300" s="151"/>
      <c r="AZ300" s="151"/>
      <c r="BA300" s="151"/>
      <c r="BB300" s="151"/>
      <c r="BC300" s="151"/>
      <c r="BD300" s="151"/>
      <c r="BE300" s="151"/>
      <c r="BF300" s="151"/>
      <c r="BG300" s="151"/>
      <c r="BH300" s="151"/>
      <c r="BI300" s="151"/>
      <c r="BJ300" s="151"/>
      <c r="BK300" s="151"/>
      <c r="BL300" s="151"/>
      <c r="BM300" s="151"/>
      <c r="BN300" s="151"/>
    </row>
    <row r="301" spans="21:66">
      <c r="U301" s="154"/>
      <c r="V301" s="153"/>
      <c r="W301" s="153"/>
      <c r="X301" s="153"/>
      <c r="Y301" s="153"/>
      <c r="Z301" s="153"/>
      <c r="AA301" s="153"/>
      <c r="AB301" s="153"/>
      <c r="AC301" s="153"/>
      <c r="AD301" s="151"/>
      <c r="AE301" s="151"/>
      <c r="AF301" s="151"/>
      <c r="AG301" s="151"/>
      <c r="AH301" s="151"/>
      <c r="AI301" s="151"/>
      <c r="AJ301" s="151"/>
      <c r="AK301" s="151"/>
      <c r="AL301" s="151"/>
      <c r="AM301" s="151"/>
      <c r="AN301" s="151"/>
      <c r="AO301" s="151"/>
      <c r="AP301" s="151"/>
      <c r="AQ301" s="151"/>
      <c r="AR301" s="151"/>
      <c r="AS301" s="151"/>
      <c r="AT301" s="151"/>
      <c r="AU301" s="151"/>
      <c r="AV301" s="151"/>
      <c r="AW301" s="151"/>
      <c r="AX301" s="151"/>
      <c r="AY301" s="151"/>
      <c r="AZ301" s="151"/>
      <c r="BA301" s="151"/>
      <c r="BB301" s="151"/>
      <c r="BC301" s="151"/>
      <c r="BD301" s="151"/>
      <c r="BE301" s="151"/>
      <c r="BF301" s="151"/>
      <c r="BG301" s="151"/>
      <c r="BH301" s="151"/>
      <c r="BI301" s="151"/>
      <c r="BJ301" s="151"/>
      <c r="BK301" s="151"/>
      <c r="BL301" s="151"/>
      <c r="BM301" s="151"/>
      <c r="BN301" s="151"/>
    </row>
    <row r="302" spans="21:66">
      <c r="U302" s="154"/>
      <c r="V302" s="153"/>
      <c r="W302" s="153"/>
      <c r="X302" s="153"/>
      <c r="Y302" s="153"/>
      <c r="Z302" s="153"/>
      <c r="AA302" s="153"/>
      <c r="AB302" s="153"/>
      <c r="AC302" s="153"/>
      <c r="AD302" s="151"/>
      <c r="AE302" s="151"/>
      <c r="AF302" s="151"/>
      <c r="AG302" s="151"/>
      <c r="AH302" s="151"/>
      <c r="AI302" s="151"/>
      <c r="AJ302" s="151"/>
      <c r="AK302" s="151"/>
      <c r="AL302" s="151"/>
      <c r="AM302" s="151"/>
      <c r="AN302" s="151"/>
      <c r="AO302" s="151"/>
      <c r="AP302" s="151"/>
      <c r="AQ302" s="151"/>
      <c r="AR302" s="151"/>
      <c r="AS302" s="151"/>
      <c r="AT302" s="151"/>
      <c r="AU302" s="151"/>
      <c r="AV302" s="151"/>
      <c r="AW302" s="151"/>
      <c r="AX302" s="151"/>
      <c r="AY302" s="151"/>
      <c r="AZ302" s="151"/>
      <c r="BA302" s="151"/>
      <c r="BB302" s="151"/>
      <c r="BC302" s="151"/>
      <c r="BD302" s="151"/>
      <c r="BE302" s="151"/>
      <c r="BF302" s="151"/>
      <c r="BG302" s="151"/>
      <c r="BH302" s="151"/>
      <c r="BI302" s="151"/>
      <c r="BJ302" s="151"/>
      <c r="BK302" s="151"/>
      <c r="BL302" s="151"/>
      <c r="BM302" s="151"/>
      <c r="BN302" s="151"/>
    </row>
    <row r="303" spans="21:66">
      <c r="U303" s="154"/>
      <c r="V303" s="153"/>
      <c r="W303" s="153"/>
      <c r="X303" s="153"/>
      <c r="Y303" s="153"/>
      <c r="Z303" s="153"/>
      <c r="AA303" s="153"/>
      <c r="AB303" s="153"/>
      <c r="AC303" s="153"/>
      <c r="AD303" s="151"/>
      <c r="AE303" s="151"/>
      <c r="AF303" s="151"/>
      <c r="AG303" s="151"/>
      <c r="AH303" s="151"/>
      <c r="AI303" s="151"/>
      <c r="AJ303" s="151"/>
      <c r="AK303" s="151"/>
      <c r="AL303" s="151"/>
      <c r="AM303" s="151"/>
      <c r="AN303" s="151"/>
      <c r="AO303" s="151"/>
      <c r="AP303" s="151"/>
      <c r="AQ303" s="151"/>
      <c r="AR303" s="151"/>
      <c r="AS303" s="151"/>
      <c r="AT303" s="151"/>
      <c r="AU303" s="151"/>
      <c r="AV303" s="151"/>
      <c r="AW303" s="151"/>
      <c r="AX303" s="151"/>
      <c r="AY303" s="151"/>
      <c r="AZ303" s="151"/>
      <c r="BA303" s="151"/>
      <c r="BB303" s="151"/>
      <c r="BC303" s="151"/>
      <c r="BD303" s="151"/>
      <c r="BE303" s="151"/>
      <c r="BF303" s="151"/>
      <c r="BG303" s="151"/>
      <c r="BH303" s="151"/>
      <c r="BI303" s="151"/>
      <c r="BJ303" s="151"/>
      <c r="BK303" s="151"/>
      <c r="BL303" s="151"/>
      <c r="BM303" s="151"/>
      <c r="BN303" s="151"/>
    </row>
    <row r="304" spans="21:66">
      <c r="U304" s="154"/>
      <c r="V304" s="153"/>
      <c r="W304" s="153"/>
      <c r="X304" s="153"/>
      <c r="Y304" s="153"/>
      <c r="Z304" s="153"/>
      <c r="AA304" s="153"/>
      <c r="AB304" s="153"/>
      <c r="AC304" s="153"/>
      <c r="AD304" s="151"/>
      <c r="AE304" s="151"/>
      <c r="AF304" s="151"/>
      <c r="AG304" s="151"/>
      <c r="AH304" s="151"/>
      <c r="AI304" s="151"/>
      <c r="AJ304" s="151"/>
      <c r="AK304" s="151"/>
      <c r="AL304" s="151"/>
      <c r="AM304" s="151"/>
      <c r="AN304" s="151"/>
      <c r="AO304" s="151"/>
      <c r="AP304" s="151"/>
      <c r="AQ304" s="151"/>
      <c r="AR304" s="151"/>
      <c r="AS304" s="151"/>
      <c r="AT304" s="151"/>
      <c r="AU304" s="151"/>
      <c r="AV304" s="151"/>
      <c r="AW304" s="151"/>
      <c r="AX304" s="151"/>
      <c r="AY304" s="151"/>
      <c r="AZ304" s="151"/>
      <c r="BA304" s="151"/>
      <c r="BB304" s="151"/>
      <c r="BC304" s="151"/>
      <c r="BD304" s="151"/>
      <c r="BE304" s="151"/>
      <c r="BF304" s="151"/>
      <c r="BG304" s="151"/>
      <c r="BH304" s="151"/>
      <c r="BI304" s="151"/>
      <c r="BJ304" s="151"/>
      <c r="BK304" s="151"/>
      <c r="BL304" s="151"/>
      <c r="BM304" s="151"/>
      <c r="BN304" s="151"/>
    </row>
    <row r="305" spans="21:66">
      <c r="U305" s="154"/>
      <c r="V305" s="153"/>
      <c r="W305" s="153"/>
      <c r="X305" s="153"/>
      <c r="Y305" s="153"/>
      <c r="Z305" s="153"/>
      <c r="AA305" s="153"/>
      <c r="AB305" s="153"/>
      <c r="AC305" s="153"/>
      <c r="AD305" s="151"/>
      <c r="AE305" s="151"/>
      <c r="AF305" s="151"/>
      <c r="AG305" s="151"/>
      <c r="AH305" s="151"/>
      <c r="AI305" s="151"/>
      <c r="AJ305" s="151"/>
      <c r="AK305" s="151"/>
      <c r="AL305" s="151"/>
      <c r="AM305" s="151"/>
      <c r="AN305" s="151"/>
      <c r="AO305" s="151"/>
      <c r="AP305" s="151"/>
      <c r="AQ305" s="151"/>
      <c r="AR305" s="151"/>
      <c r="AS305" s="151"/>
      <c r="AT305" s="151"/>
      <c r="AU305" s="151"/>
      <c r="AV305" s="151"/>
      <c r="AW305" s="151"/>
      <c r="AX305" s="151"/>
      <c r="AY305" s="151"/>
      <c r="AZ305" s="151"/>
      <c r="BA305" s="151"/>
      <c r="BB305" s="151"/>
      <c r="BC305" s="151"/>
      <c r="BD305" s="151"/>
      <c r="BE305" s="151"/>
      <c r="BF305" s="151"/>
      <c r="BG305" s="151"/>
      <c r="BH305" s="151"/>
      <c r="BI305" s="151"/>
      <c r="BJ305" s="151"/>
      <c r="BK305" s="151"/>
      <c r="BL305" s="151"/>
      <c r="BM305" s="151"/>
      <c r="BN305" s="151"/>
    </row>
    <row r="306" spans="21:66">
      <c r="U306" s="154"/>
      <c r="V306" s="153"/>
      <c r="W306" s="153"/>
      <c r="X306" s="153"/>
      <c r="Y306" s="153"/>
      <c r="Z306" s="153"/>
      <c r="AA306" s="153"/>
      <c r="AB306" s="153"/>
      <c r="AC306" s="153"/>
      <c r="AD306" s="151"/>
      <c r="AE306" s="151"/>
      <c r="AF306" s="151"/>
      <c r="AG306" s="151"/>
      <c r="AH306" s="151"/>
      <c r="AI306" s="151"/>
      <c r="AJ306" s="151"/>
      <c r="AK306" s="151"/>
      <c r="AL306" s="151"/>
      <c r="AM306" s="151"/>
      <c r="AN306" s="151"/>
      <c r="AO306" s="151"/>
      <c r="AP306" s="151"/>
      <c r="AQ306" s="151"/>
      <c r="AR306" s="151"/>
      <c r="AS306" s="151"/>
      <c r="AT306" s="151"/>
      <c r="AU306" s="151"/>
      <c r="AV306" s="151"/>
      <c r="AW306" s="151"/>
      <c r="AX306" s="151"/>
      <c r="AY306" s="151"/>
      <c r="AZ306" s="151"/>
      <c r="BA306" s="151"/>
      <c r="BB306" s="151"/>
      <c r="BC306" s="151"/>
      <c r="BD306" s="151"/>
      <c r="BE306" s="151"/>
      <c r="BF306" s="151"/>
      <c r="BG306" s="151"/>
      <c r="BH306" s="151"/>
      <c r="BI306" s="151"/>
      <c r="BJ306" s="151"/>
      <c r="BK306" s="151"/>
      <c r="BL306" s="151"/>
      <c r="BM306" s="151"/>
      <c r="BN306" s="151"/>
    </row>
    <row r="307" spans="21:66">
      <c r="U307" s="154"/>
      <c r="V307" s="153"/>
      <c r="W307" s="153"/>
      <c r="X307" s="153"/>
      <c r="Y307" s="153"/>
      <c r="Z307" s="153"/>
      <c r="AA307" s="153"/>
      <c r="AB307" s="153"/>
      <c r="AC307" s="153"/>
      <c r="AD307" s="151"/>
      <c r="AE307" s="151"/>
      <c r="AF307" s="151"/>
      <c r="AG307" s="151"/>
      <c r="AH307" s="151"/>
      <c r="AI307" s="151"/>
      <c r="AJ307" s="151"/>
      <c r="AK307" s="151"/>
      <c r="AL307" s="151"/>
      <c r="AM307" s="151"/>
      <c r="AN307" s="151"/>
      <c r="AO307" s="151"/>
      <c r="AP307" s="151"/>
      <c r="AQ307" s="151"/>
      <c r="AR307" s="151"/>
      <c r="AS307" s="151"/>
      <c r="AT307" s="151"/>
      <c r="AU307" s="151"/>
      <c r="AV307" s="151"/>
      <c r="AW307" s="151"/>
      <c r="AX307" s="151"/>
      <c r="AY307" s="151"/>
      <c r="AZ307" s="151"/>
      <c r="BA307" s="151"/>
      <c r="BB307" s="151"/>
      <c r="BC307" s="151"/>
      <c r="BD307" s="151"/>
      <c r="BE307" s="151"/>
      <c r="BF307" s="151"/>
      <c r="BG307" s="151"/>
      <c r="BH307" s="151"/>
      <c r="BI307" s="151"/>
      <c r="BJ307" s="151"/>
      <c r="BK307" s="151"/>
      <c r="BL307" s="151"/>
      <c r="BM307" s="151"/>
      <c r="BN307" s="151"/>
    </row>
    <row r="308" spans="21:66">
      <c r="U308" s="154"/>
      <c r="V308" s="153"/>
      <c r="W308" s="153"/>
      <c r="X308" s="153"/>
      <c r="Y308" s="153"/>
      <c r="Z308" s="153"/>
      <c r="AA308" s="153"/>
      <c r="AB308" s="153"/>
      <c r="AC308" s="153"/>
      <c r="AD308" s="151"/>
      <c r="AE308" s="151"/>
      <c r="AF308" s="151"/>
      <c r="AG308" s="151"/>
      <c r="AH308" s="151"/>
      <c r="AI308" s="151"/>
      <c r="AJ308" s="151"/>
      <c r="AK308" s="151"/>
      <c r="AL308" s="151"/>
      <c r="AM308" s="151"/>
      <c r="AN308" s="151"/>
      <c r="AO308" s="151"/>
      <c r="AP308" s="151"/>
      <c r="AQ308" s="151"/>
      <c r="AR308" s="151"/>
      <c r="AS308" s="151"/>
      <c r="AT308" s="151"/>
      <c r="AU308" s="151"/>
      <c r="AV308" s="151"/>
      <c r="AW308" s="151"/>
      <c r="AX308" s="151"/>
      <c r="AY308" s="151"/>
      <c r="AZ308" s="151"/>
      <c r="BA308" s="151"/>
      <c r="BB308" s="151"/>
      <c r="BC308" s="151"/>
      <c r="BD308" s="151"/>
      <c r="BE308" s="151"/>
      <c r="BF308" s="151"/>
      <c r="BG308" s="151"/>
      <c r="BH308" s="151"/>
      <c r="BI308" s="151"/>
      <c r="BJ308" s="151"/>
      <c r="BK308" s="151"/>
      <c r="BL308" s="151"/>
      <c r="BM308" s="151"/>
      <c r="BN308" s="151"/>
    </row>
    <row r="309" spans="21:66">
      <c r="U309" s="154"/>
      <c r="V309" s="153"/>
      <c r="W309" s="153"/>
      <c r="X309" s="153"/>
      <c r="Y309" s="153"/>
      <c r="Z309" s="153"/>
      <c r="AA309" s="153"/>
      <c r="AB309" s="153"/>
      <c r="AC309" s="153"/>
      <c r="AD309" s="151"/>
      <c r="AE309" s="151"/>
      <c r="AF309" s="151"/>
      <c r="AG309" s="151"/>
      <c r="AH309" s="151"/>
      <c r="AI309" s="151"/>
      <c r="AJ309" s="151"/>
      <c r="AK309" s="151"/>
      <c r="AL309" s="151"/>
      <c r="AM309" s="151"/>
      <c r="AN309" s="151"/>
      <c r="AO309" s="151"/>
      <c r="AP309" s="151"/>
      <c r="AQ309" s="151"/>
      <c r="AR309" s="151"/>
      <c r="AS309" s="151"/>
      <c r="AT309" s="151"/>
      <c r="AU309" s="151"/>
      <c r="AV309" s="151"/>
      <c r="AW309" s="151"/>
      <c r="AX309" s="151"/>
      <c r="AY309" s="151"/>
      <c r="AZ309" s="151"/>
      <c r="BA309" s="151"/>
      <c r="BB309" s="151"/>
      <c r="BC309" s="151"/>
      <c r="BD309" s="151"/>
      <c r="BE309" s="151"/>
      <c r="BF309" s="151"/>
      <c r="BG309" s="151"/>
      <c r="BH309" s="151"/>
      <c r="BI309" s="151"/>
      <c r="BJ309" s="151"/>
      <c r="BK309" s="151"/>
      <c r="BL309" s="151"/>
      <c r="BM309" s="151"/>
      <c r="BN309" s="151"/>
    </row>
    <row r="310" spans="21:66">
      <c r="U310" s="154"/>
      <c r="V310" s="153"/>
      <c r="W310" s="153"/>
      <c r="X310" s="153"/>
      <c r="Y310" s="153"/>
      <c r="Z310" s="153"/>
      <c r="AA310" s="153"/>
      <c r="AB310" s="153"/>
      <c r="AC310" s="153"/>
      <c r="AD310" s="151"/>
      <c r="AE310" s="151"/>
      <c r="AF310" s="151"/>
      <c r="AG310" s="151"/>
      <c r="AH310" s="151"/>
      <c r="AI310" s="151"/>
      <c r="AJ310" s="151"/>
      <c r="AK310" s="151"/>
      <c r="AL310" s="151"/>
      <c r="AM310" s="151"/>
      <c r="AN310" s="151"/>
      <c r="AO310" s="151"/>
      <c r="AP310" s="151"/>
      <c r="AQ310" s="151"/>
      <c r="AR310" s="151"/>
      <c r="AS310" s="151"/>
      <c r="AT310" s="151"/>
      <c r="AU310" s="151"/>
      <c r="AV310" s="151"/>
      <c r="AW310" s="151"/>
      <c r="AX310" s="151"/>
      <c r="AY310" s="151"/>
      <c r="AZ310" s="151"/>
      <c r="BA310" s="151"/>
      <c r="BB310" s="151"/>
      <c r="BC310" s="151"/>
      <c r="BD310" s="151"/>
      <c r="BE310" s="151"/>
      <c r="BF310" s="151"/>
      <c r="BG310" s="151"/>
      <c r="BH310" s="151"/>
      <c r="BI310" s="151"/>
      <c r="BJ310" s="151"/>
      <c r="BK310" s="151"/>
      <c r="BL310" s="151"/>
      <c r="BM310" s="151"/>
      <c r="BN310" s="151"/>
    </row>
    <row r="311" spans="21:66">
      <c r="U311" s="154"/>
      <c r="V311" s="153"/>
      <c r="W311" s="153"/>
      <c r="X311" s="153"/>
      <c r="Y311" s="153"/>
      <c r="Z311" s="153"/>
      <c r="AA311" s="153"/>
      <c r="AB311" s="153"/>
      <c r="AC311" s="153"/>
      <c r="AD311" s="151"/>
      <c r="AE311" s="151"/>
      <c r="AF311" s="151"/>
      <c r="AG311" s="151"/>
      <c r="AH311" s="151"/>
      <c r="AI311" s="151"/>
      <c r="AJ311" s="151"/>
      <c r="AK311" s="151"/>
      <c r="AL311" s="151"/>
      <c r="AM311" s="151"/>
      <c r="AN311" s="151"/>
      <c r="AO311" s="151"/>
      <c r="AP311" s="151"/>
      <c r="AQ311" s="151"/>
      <c r="AR311" s="151"/>
      <c r="AS311" s="151"/>
      <c r="AT311" s="151"/>
      <c r="AU311" s="151"/>
      <c r="AV311" s="151"/>
      <c r="AW311" s="151"/>
      <c r="AX311" s="151"/>
      <c r="AY311" s="151"/>
      <c r="AZ311" s="151"/>
      <c r="BA311" s="151"/>
      <c r="BB311" s="151"/>
      <c r="BC311" s="151"/>
      <c r="BD311" s="151"/>
      <c r="BE311" s="151"/>
      <c r="BF311" s="151"/>
      <c r="BG311" s="151"/>
      <c r="BH311" s="151"/>
      <c r="BI311" s="151"/>
      <c r="BJ311" s="151"/>
      <c r="BK311" s="151"/>
      <c r="BL311" s="151"/>
      <c r="BM311" s="151"/>
      <c r="BN311" s="151"/>
    </row>
    <row r="312" spans="21:66">
      <c r="U312" s="154"/>
      <c r="V312" s="153"/>
      <c r="W312" s="153"/>
      <c r="X312" s="153"/>
      <c r="Y312" s="153"/>
      <c r="Z312" s="153"/>
      <c r="AA312" s="153"/>
      <c r="AB312" s="153"/>
      <c r="AC312" s="153"/>
      <c r="AD312" s="151"/>
      <c r="AE312" s="151"/>
      <c r="AF312" s="151"/>
      <c r="AG312" s="151"/>
      <c r="AH312" s="151"/>
      <c r="AI312" s="151"/>
      <c r="AJ312" s="151"/>
      <c r="AK312" s="151"/>
      <c r="AL312" s="151"/>
      <c r="AM312" s="151"/>
      <c r="AN312" s="151"/>
      <c r="AO312" s="151"/>
      <c r="AP312" s="151"/>
      <c r="AQ312" s="151"/>
      <c r="AR312" s="151"/>
      <c r="AS312" s="151"/>
      <c r="AT312" s="151"/>
      <c r="AU312" s="151"/>
      <c r="AV312" s="151"/>
      <c r="AW312" s="151"/>
      <c r="AX312" s="151"/>
      <c r="AY312" s="151"/>
      <c r="AZ312" s="151"/>
      <c r="BA312" s="151"/>
      <c r="BB312" s="151"/>
      <c r="BC312" s="151"/>
      <c r="BD312" s="151"/>
      <c r="BE312" s="151"/>
      <c r="BF312" s="151"/>
      <c r="BG312" s="151"/>
      <c r="BH312" s="151"/>
      <c r="BI312" s="151"/>
      <c r="BJ312" s="151"/>
      <c r="BK312" s="151"/>
      <c r="BL312" s="151"/>
      <c r="BM312" s="151"/>
      <c r="BN312" s="151"/>
    </row>
    <row r="313" spans="21:66">
      <c r="U313" s="154"/>
      <c r="V313" s="153"/>
      <c r="W313" s="153"/>
      <c r="X313" s="153"/>
      <c r="Y313" s="153"/>
      <c r="Z313" s="153"/>
      <c r="AA313" s="153"/>
      <c r="AB313" s="153"/>
      <c r="AC313" s="153"/>
      <c r="AD313" s="151"/>
      <c r="AE313" s="151"/>
      <c r="AF313" s="151"/>
      <c r="AG313" s="151"/>
      <c r="AH313" s="151"/>
      <c r="AI313" s="151"/>
      <c r="AJ313" s="151"/>
      <c r="AK313" s="151"/>
      <c r="AL313" s="151"/>
      <c r="AM313" s="151"/>
      <c r="AN313" s="151"/>
      <c r="AO313" s="151"/>
      <c r="AP313" s="151"/>
      <c r="AQ313" s="151"/>
      <c r="AR313" s="151"/>
      <c r="AS313" s="151"/>
      <c r="AT313" s="151"/>
      <c r="AU313" s="151"/>
      <c r="AV313" s="151"/>
      <c r="AW313" s="151"/>
      <c r="AX313" s="151"/>
      <c r="AY313" s="151"/>
      <c r="AZ313" s="151"/>
      <c r="BA313" s="151"/>
      <c r="BB313" s="151"/>
      <c r="BC313" s="151"/>
      <c r="BD313" s="151"/>
      <c r="BE313" s="151"/>
      <c r="BF313" s="151"/>
      <c r="BG313" s="151"/>
      <c r="BH313" s="151"/>
      <c r="BI313" s="151"/>
      <c r="BJ313" s="151"/>
      <c r="BK313" s="151"/>
      <c r="BL313" s="151"/>
      <c r="BM313" s="151"/>
      <c r="BN313" s="151"/>
    </row>
    <row r="314" spans="21:66">
      <c r="U314" s="154"/>
      <c r="V314" s="153"/>
      <c r="W314" s="153"/>
      <c r="X314" s="153"/>
      <c r="Y314" s="153"/>
      <c r="Z314" s="153"/>
      <c r="AA314" s="153"/>
      <c r="AB314" s="153"/>
      <c r="AC314" s="153"/>
      <c r="AD314" s="151"/>
      <c r="AE314" s="151"/>
      <c r="AF314" s="151"/>
      <c r="AG314" s="151"/>
      <c r="AH314" s="151"/>
      <c r="AI314" s="151"/>
      <c r="AJ314" s="151"/>
      <c r="AK314" s="151"/>
      <c r="AL314" s="151"/>
      <c r="AM314" s="151"/>
      <c r="AN314" s="151"/>
      <c r="AO314" s="151"/>
      <c r="AP314" s="151"/>
      <c r="AQ314" s="151"/>
      <c r="AR314" s="151"/>
      <c r="AS314" s="151"/>
      <c r="AT314" s="151"/>
      <c r="AU314" s="151"/>
      <c r="AV314" s="151"/>
      <c r="AW314" s="151"/>
      <c r="AX314" s="151"/>
      <c r="AY314" s="151"/>
      <c r="AZ314" s="151"/>
      <c r="BA314" s="151"/>
      <c r="BB314" s="151"/>
      <c r="BC314" s="151"/>
      <c r="BD314" s="151"/>
      <c r="BE314" s="151"/>
      <c r="BF314" s="151"/>
      <c r="BG314" s="151"/>
      <c r="BH314" s="151"/>
      <c r="BI314" s="151"/>
      <c r="BJ314" s="151"/>
      <c r="BK314" s="151"/>
      <c r="BL314" s="151"/>
      <c r="BM314" s="151"/>
      <c r="BN314" s="151"/>
    </row>
    <row r="315" spans="21:66">
      <c r="U315" s="154"/>
      <c r="V315" s="153"/>
      <c r="W315" s="153"/>
      <c r="X315" s="153"/>
      <c r="Y315" s="153"/>
      <c r="Z315" s="153"/>
      <c r="AA315" s="153"/>
      <c r="AB315" s="153"/>
      <c r="AC315" s="153"/>
      <c r="AD315" s="151"/>
      <c r="AE315" s="151"/>
      <c r="AF315" s="151"/>
      <c r="AG315" s="151"/>
      <c r="AH315" s="151"/>
      <c r="AI315" s="151"/>
      <c r="AJ315" s="151"/>
      <c r="AK315" s="151"/>
      <c r="AL315" s="151"/>
      <c r="AM315" s="151"/>
      <c r="AN315" s="151"/>
      <c r="AO315" s="151"/>
      <c r="AP315" s="151"/>
      <c r="AQ315" s="151"/>
      <c r="AR315" s="151"/>
      <c r="AS315" s="151"/>
      <c r="AT315" s="151"/>
      <c r="AU315" s="151"/>
      <c r="AV315" s="151"/>
      <c r="AW315" s="151"/>
      <c r="AX315" s="151"/>
      <c r="AY315" s="151"/>
      <c r="AZ315" s="151"/>
      <c r="BA315" s="151"/>
      <c r="BB315" s="151"/>
      <c r="BC315" s="151"/>
      <c r="BD315" s="151"/>
      <c r="BE315" s="151"/>
      <c r="BF315" s="151"/>
      <c r="BG315" s="151"/>
      <c r="BH315" s="151"/>
      <c r="BI315" s="151"/>
      <c r="BJ315" s="151"/>
      <c r="BK315" s="151"/>
      <c r="BL315" s="151"/>
      <c r="BM315" s="151"/>
      <c r="BN315" s="151"/>
    </row>
    <row r="316" spans="21:66">
      <c r="U316" s="154"/>
      <c r="V316" s="153"/>
      <c r="W316" s="153"/>
      <c r="X316" s="153"/>
      <c r="Y316" s="153"/>
      <c r="Z316" s="153"/>
      <c r="AA316" s="153"/>
      <c r="AB316" s="153"/>
      <c r="AC316" s="153"/>
      <c r="AD316" s="151"/>
      <c r="AE316" s="151"/>
      <c r="AF316" s="151"/>
      <c r="AG316" s="151"/>
      <c r="AH316" s="151"/>
      <c r="AI316" s="151"/>
      <c r="AJ316" s="151"/>
      <c r="AK316" s="151"/>
      <c r="AL316" s="151"/>
      <c r="AM316" s="151"/>
      <c r="AN316" s="151"/>
      <c r="AO316" s="151"/>
      <c r="AP316" s="151"/>
      <c r="AQ316" s="151"/>
      <c r="AR316" s="151"/>
      <c r="AS316" s="151"/>
      <c r="AT316" s="151"/>
      <c r="AU316" s="151"/>
      <c r="AV316" s="151"/>
      <c r="AW316" s="151"/>
      <c r="AX316" s="151"/>
      <c r="AY316" s="151"/>
      <c r="AZ316" s="151"/>
      <c r="BA316" s="151"/>
      <c r="BB316" s="151"/>
      <c r="BC316" s="151"/>
      <c r="BD316" s="151"/>
      <c r="BE316" s="151"/>
      <c r="BF316" s="151"/>
      <c r="BG316" s="151"/>
      <c r="BH316" s="151"/>
      <c r="BI316" s="151"/>
      <c r="BJ316" s="151"/>
      <c r="BK316" s="151"/>
      <c r="BL316" s="151"/>
      <c r="BM316" s="151"/>
      <c r="BN316" s="151"/>
    </row>
    <row r="317" spans="21:66">
      <c r="U317" s="154"/>
      <c r="V317" s="153"/>
      <c r="W317" s="153"/>
      <c r="X317" s="153"/>
      <c r="Y317" s="153"/>
      <c r="Z317" s="153"/>
      <c r="AA317" s="153"/>
      <c r="AB317" s="153"/>
      <c r="AC317" s="153"/>
      <c r="AD317" s="151"/>
      <c r="AE317" s="151"/>
      <c r="AF317" s="151"/>
      <c r="AG317" s="151"/>
      <c r="AH317" s="151"/>
      <c r="AI317" s="151"/>
      <c r="AJ317" s="151"/>
      <c r="AK317" s="151"/>
      <c r="AL317" s="151"/>
      <c r="AM317" s="151"/>
      <c r="AN317" s="151"/>
      <c r="AO317" s="151"/>
      <c r="AP317" s="151"/>
      <c r="AQ317" s="151"/>
      <c r="AR317" s="151"/>
      <c r="AS317" s="151"/>
      <c r="AT317" s="151"/>
      <c r="AU317" s="151"/>
      <c r="AV317" s="151"/>
      <c r="AW317" s="151"/>
      <c r="AX317" s="151"/>
      <c r="AY317" s="151"/>
      <c r="AZ317" s="151"/>
      <c r="BA317" s="151"/>
      <c r="BB317" s="151"/>
      <c r="BC317" s="151"/>
      <c r="BD317" s="151"/>
      <c r="BE317" s="151"/>
      <c r="BF317" s="151"/>
      <c r="BG317" s="151"/>
      <c r="BH317" s="151"/>
      <c r="BI317" s="151"/>
      <c r="BJ317" s="151"/>
      <c r="BK317" s="151"/>
      <c r="BL317" s="151"/>
      <c r="BM317" s="151"/>
      <c r="BN317" s="151"/>
    </row>
    <row r="318" spans="21:66">
      <c r="U318" s="154"/>
      <c r="V318" s="153"/>
      <c r="W318" s="153"/>
      <c r="X318" s="153"/>
      <c r="Y318" s="153"/>
      <c r="Z318" s="153"/>
      <c r="AA318" s="153"/>
      <c r="AB318" s="153"/>
      <c r="AC318" s="153"/>
      <c r="AD318" s="151"/>
      <c r="AE318" s="151"/>
      <c r="AF318" s="151"/>
      <c r="AG318" s="151"/>
      <c r="AH318" s="151"/>
      <c r="AI318" s="151"/>
      <c r="AJ318" s="151"/>
      <c r="AK318" s="151"/>
      <c r="AL318" s="151"/>
      <c r="AM318" s="151"/>
      <c r="AN318" s="151"/>
      <c r="AO318" s="151"/>
      <c r="AP318" s="151"/>
      <c r="AQ318" s="151"/>
      <c r="AR318" s="151"/>
      <c r="AS318" s="151"/>
      <c r="AT318" s="151"/>
      <c r="AU318" s="151"/>
      <c r="AV318" s="151"/>
      <c r="AW318" s="151"/>
      <c r="AX318" s="151"/>
      <c r="AY318" s="151"/>
      <c r="AZ318" s="151"/>
      <c r="BA318" s="151"/>
      <c r="BB318" s="151"/>
      <c r="BC318" s="151"/>
      <c r="BD318" s="151"/>
      <c r="BE318" s="151"/>
      <c r="BF318" s="151"/>
      <c r="BG318" s="151"/>
      <c r="BH318" s="151"/>
      <c r="BI318" s="151"/>
      <c r="BJ318" s="151"/>
      <c r="BK318" s="151"/>
      <c r="BL318" s="151"/>
      <c r="BM318" s="151"/>
      <c r="BN318" s="151"/>
    </row>
    <row r="319" spans="21:66">
      <c r="U319" s="154"/>
      <c r="V319" s="153"/>
      <c r="W319" s="153"/>
      <c r="X319" s="153"/>
      <c r="Y319" s="153"/>
      <c r="Z319" s="153"/>
      <c r="AA319" s="153"/>
      <c r="AB319" s="153"/>
      <c r="AC319" s="153"/>
      <c r="AD319" s="151"/>
      <c r="AE319" s="151"/>
      <c r="AF319" s="151"/>
      <c r="AG319" s="151"/>
      <c r="AH319" s="151"/>
      <c r="AI319" s="151"/>
      <c r="AJ319" s="151"/>
      <c r="AK319" s="151"/>
      <c r="AL319" s="151"/>
      <c r="AM319" s="151"/>
      <c r="AN319" s="151"/>
      <c r="AO319" s="151"/>
      <c r="AP319" s="151"/>
      <c r="AQ319" s="151"/>
      <c r="AR319" s="151"/>
      <c r="AS319" s="151"/>
      <c r="AT319" s="151"/>
      <c r="AU319" s="151"/>
      <c r="AV319" s="151"/>
      <c r="AW319" s="151"/>
      <c r="AX319" s="151"/>
      <c r="AY319" s="151"/>
      <c r="AZ319" s="151"/>
      <c r="BA319" s="151"/>
      <c r="BB319" s="151"/>
      <c r="BC319" s="151"/>
      <c r="BD319" s="151"/>
      <c r="BE319" s="151"/>
      <c r="BF319" s="151"/>
      <c r="BG319" s="151"/>
      <c r="BH319" s="151"/>
      <c r="BI319" s="151"/>
      <c r="BJ319" s="151"/>
      <c r="BK319" s="151"/>
      <c r="BL319" s="151"/>
      <c r="BM319" s="151"/>
      <c r="BN319" s="151"/>
    </row>
    <row r="320" spans="21:66">
      <c r="U320" s="154"/>
      <c r="V320" s="153"/>
      <c r="W320" s="153"/>
      <c r="X320" s="153"/>
      <c r="Y320" s="153"/>
      <c r="Z320" s="153"/>
      <c r="AA320" s="153"/>
      <c r="AB320" s="153"/>
      <c r="AC320" s="153"/>
      <c r="AD320" s="151"/>
      <c r="AE320" s="151"/>
      <c r="AF320" s="151"/>
      <c r="AG320" s="151"/>
      <c r="AH320" s="151"/>
      <c r="AI320" s="151"/>
      <c r="AJ320" s="151"/>
      <c r="AK320" s="151"/>
      <c r="AL320" s="151"/>
      <c r="AM320" s="151"/>
      <c r="AN320" s="151"/>
      <c r="AO320" s="151"/>
      <c r="AP320" s="151"/>
      <c r="AQ320" s="151"/>
      <c r="AR320" s="151"/>
      <c r="AS320" s="151"/>
      <c r="AT320" s="151"/>
      <c r="AU320" s="151"/>
      <c r="AV320" s="151"/>
      <c r="AW320" s="151"/>
      <c r="AX320" s="151"/>
      <c r="AY320" s="151"/>
      <c r="AZ320" s="151"/>
      <c r="BA320" s="151"/>
      <c r="BB320" s="151"/>
      <c r="BC320" s="151"/>
      <c r="BD320" s="151"/>
      <c r="BE320" s="151"/>
      <c r="BF320" s="151"/>
      <c r="BG320" s="151"/>
      <c r="BH320" s="151"/>
      <c r="BI320" s="151"/>
      <c r="BJ320" s="151"/>
      <c r="BK320" s="151"/>
      <c r="BL320" s="151"/>
      <c r="BM320" s="151"/>
      <c r="BN320" s="151"/>
    </row>
    <row r="321" spans="21:66">
      <c r="U321" s="154"/>
      <c r="V321" s="153"/>
      <c r="W321" s="153"/>
      <c r="X321" s="153"/>
      <c r="Y321" s="153"/>
      <c r="Z321" s="153"/>
      <c r="AA321" s="153"/>
      <c r="AB321" s="153"/>
      <c r="AC321" s="153"/>
      <c r="AD321" s="151"/>
      <c r="AE321" s="151"/>
      <c r="AF321" s="151"/>
      <c r="AG321" s="151"/>
      <c r="AH321" s="151"/>
      <c r="AI321" s="151"/>
      <c r="AJ321" s="151"/>
      <c r="AK321" s="151"/>
      <c r="AL321" s="151"/>
      <c r="AM321" s="151"/>
      <c r="AN321" s="151"/>
      <c r="AO321" s="151"/>
      <c r="AP321" s="151"/>
      <c r="AQ321" s="151"/>
      <c r="AR321" s="151"/>
      <c r="AS321" s="151"/>
      <c r="AT321" s="151"/>
      <c r="AU321" s="151"/>
      <c r="AV321" s="151"/>
      <c r="AW321" s="151"/>
      <c r="AX321" s="151"/>
      <c r="AY321" s="151"/>
      <c r="AZ321" s="151"/>
      <c r="BA321" s="151"/>
      <c r="BB321" s="151"/>
      <c r="BC321" s="151"/>
      <c r="BD321" s="151"/>
      <c r="BE321" s="151"/>
      <c r="BF321" s="151"/>
      <c r="BG321" s="151"/>
      <c r="BH321" s="151"/>
      <c r="BI321" s="151"/>
      <c r="BJ321" s="151"/>
      <c r="BK321" s="151"/>
      <c r="BL321" s="151"/>
      <c r="BM321" s="151"/>
      <c r="BN321" s="151"/>
    </row>
    <row r="322" spans="21:66">
      <c r="U322" s="154"/>
      <c r="V322" s="153"/>
      <c r="W322" s="153"/>
      <c r="X322" s="153"/>
      <c r="Y322" s="153"/>
      <c r="Z322" s="153"/>
      <c r="AA322" s="153"/>
      <c r="AB322" s="153"/>
      <c r="AC322" s="153"/>
      <c r="AD322" s="151"/>
      <c r="AE322" s="151"/>
      <c r="AF322" s="151"/>
      <c r="AG322" s="151"/>
      <c r="AH322" s="151"/>
      <c r="AI322" s="151"/>
      <c r="AJ322" s="151"/>
      <c r="AK322" s="151"/>
      <c r="AL322" s="151"/>
      <c r="AM322" s="151"/>
      <c r="AN322" s="151"/>
      <c r="AO322" s="151"/>
      <c r="AP322" s="151"/>
      <c r="AQ322" s="151"/>
      <c r="AR322" s="151"/>
      <c r="AS322" s="151"/>
      <c r="AT322" s="151"/>
      <c r="AU322" s="151"/>
      <c r="AV322" s="151"/>
      <c r="AW322" s="151"/>
      <c r="AX322" s="151"/>
      <c r="AY322" s="151"/>
      <c r="AZ322" s="151"/>
      <c r="BA322" s="151"/>
      <c r="BB322" s="151"/>
      <c r="BC322" s="151"/>
      <c r="BD322" s="151"/>
      <c r="BE322" s="151"/>
      <c r="BF322" s="151"/>
      <c r="BG322" s="151"/>
      <c r="BH322" s="151"/>
      <c r="BI322" s="151"/>
      <c r="BJ322" s="151"/>
      <c r="BK322" s="151"/>
      <c r="BL322" s="151"/>
      <c r="BM322" s="151"/>
      <c r="BN322" s="151"/>
    </row>
    <row r="323" spans="21:66">
      <c r="U323" s="154"/>
      <c r="V323" s="153"/>
      <c r="W323" s="153"/>
      <c r="X323" s="153"/>
      <c r="Y323" s="153"/>
      <c r="Z323" s="153"/>
      <c r="AA323" s="153"/>
      <c r="AB323" s="153"/>
      <c r="AC323" s="153"/>
      <c r="AD323" s="151"/>
      <c r="AE323" s="151"/>
      <c r="AF323" s="151"/>
      <c r="AG323" s="151"/>
      <c r="AH323" s="151"/>
      <c r="AI323" s="151"/>
      <c r="AJ323" s="151"/>
      <c r="AK323" s="151"/>
      <c r="AL323" s="151"/>
      <c r="AM323" s="151"/>
      <c r="AN323" s="151"/>
      <c r="AO323" s="151"/>
      <c r="AP323" s="151"/>
      <c r="AQ323" s="151"/>
      <c r="AR323" s="151"/>
      <c r="AS323" s="151"/>
      <c r="AT323" s="151"/>
      <c r="AU323" s="151"/>
      <c r="AV323" s="151"/>
      <c r="AW323" s="151"/>
      <c r="AX323" s="151"/>
      <c r="AY323" s="151"/>
      <c r="AZ323" s="151"/>
      <c r="BA323" s="151"/>
      <c r="BB323" s="151"/>
      <c r="BC323" s="151"/>
      <c r="BD323" s="151"/>
      <c r="BE323" s="151"/>
      <c r="BF323" s="151"/>
      <c r="BG323" s="151"/>
      <c r="BH323" s="151"/>
      <c r="BI323" s="151"/>
      <c r="BJ323" s="151"/>
      <c r="BK323" s="151"/>
      <c r="BL323" s="151"/>
      <c r="BM323" s="151"/>
      <c r="BN323" s="151"/>
    </row>
    <row r="324" spans="21:66">
      <c r="U324" s="154"/>
      <c r="V324" s="153"/>
      <c r="W324" s="153"/>
      <c r="X324" s="153"/>
      <c r="Y324" s="153"/>
      <c r="Z324" s="153"/>
      <c r="AA324" s="153"/>
      <c r="AB324" s="153"/>
      <c r="AC324" s="153"/>
      <c r="AD324" s="151"/>
      <c r="AE324" s="151"/>
      <c r="AF324" s="151"/>
      <c r="AG324" s="151"/>
      <c r="AH324" s="151"/>
      <c r="AI324" s="151"/>
      <c r="AJ324" s="151"/>
      <c r="AK324" s="151"/>
      <c r="AL324" s="151"/>
      <c r="AM324" s="151"/>
      <c r="AN324" s="151"/>
      <c r="AO324" s="151"/>
      <c r="AP324" s="151"/>
      <c r="AQ324" s="151"/>
      <c r="AR324" s="151"/>
      <c r="AS324" s="151"/>
      <c r="AT324" s="151"/>
      <c r="AU324" s="151"/>
      <c r="AV324" s="151"/>
      <c r="AW324" s="151"/>
      <c r="AX324" s="151"/>
      <c r="AY324" s="151"/>
      <c r="AZ324" s="151"/>
      <c r="BA324" s="151"/>
      <c r="BB324" s="151"/>
      <c r="BC324" s="151"/>
      <c r="BD324" s="151"/>
      <c r="BE324" s="151"/>
      <c r="BF324" s="151"/>
      <c r="BG324" s="151"/>
      <c r="BH324" s="151"/>
      <c r="BI324" s="151"/>
      <c r="BJ324" s="151"/>
      <c r="BK324" s="151"/>
      <c r="BL324" s="151"/>
      <c r="BM324" s="151"/>
      <c r="BN324" s="151"/>
    </row>
    <row r="325" spans="21:66">
      <c r="U325" s="154"/>
      <c r="V325" s="153"/>
      <c r="W325" s="153"/>
      <c r="X325" s="153"/>
      <c r="Y325" s="153"/>
      <c r="Z325" s="153"/>
      <c r="AA325" s="153"/>
      <c r="AB325" s="153"/>
      <c r="AC325" s="153"/>
      <c r="AD325" s="151"/>
      <c r="AE325" s="151"/>
      <c r="AF325" s="151"/>
      <c r="AG325" s="151"/>
      <c r="AH325" s="151"/>
      <c r="AI325" s="151"/>
      <c r="AJ325" s="151"/>
      <c r="AK325" s="151"/>
      <c r="AL325" s="151"/>
      <c r="AM325" s="151"/>
      <c r="AN325" s="151"/>
      <c r="AO325" s="151"/>
      <c r="AP325" s="151"/>
      <c r="AQ325" s="151"/>
      <c r="AR325" s="151"/>
      <c r="AS325" s="151"/>
      <c r="AT325" s="151"/>
      <c r="AU325" s="151"/>
      <c r="AV325" s="151"/>
      <c r="AW325" s="151"/>
      <c r="AX325" s="151"/>
      <c r="AY325" s="151"/>
      <c r="AZ325" s="151"/>
      <c r="BA325" s="151"/>
      <c r="BB325" s="151"/>
      <c r="BC325" s="151"/>
      <c r="BD325" s="151"/>
      <c r="BE325" s="151"/>
      <c r="BF325" s="151"/>
      <c r="BG325" s="151"/>
      <c r="BH325" s="151"/>
      <c r="BI325" s="151"/>
      <c r="BJ325" s="151"/>
      <c r="BK325" s="151"/>
      <c r="BL325" s="151"/>
      <c r="BM325" s="151"/>
      <c r="BN325" s="151"/>
    </row>
    <row r="326" spans="21:66">
      <c r="U326" s="154"/>
      <c r="V326" s="153"/>
      <c r="W326" s="153"/>
      <c r="X326" s="153"/>
      <c r="Y326" s="153"/>
      <c r="Z326" s="153"/>
      <c r="AA326" s="153"/>
      <c r="AB326" s="153"/>
      <c r="AC326" s="153"/>
      <c r="AD326" s="151"/>
      <c r="AE326" s="151"/>
      <c r="AF326" s="151"/>
      <c r="AG326" s="151"/>
      <c r="AH326" s="151"/>
      <c r="AI326" s="151"/>
      <c r="AJ326" s="151"/>
      <c r="AK326" s="151"/>
      <c r="AL326" s="151"/>
      <c r="AM326" s="151"/>
      <c r="AN326" s="151"/>
      <c r="AO326" s="151"/>
      <c r="AP326" s="151"/>
      <c r="AQ326" s="151"/>
      <c r="AR326" s="151"/>
      <c r="AS326" s="151"/>
      <c r="AT326" s="151"/>
      <c r="AU326" s="151"/>
      <c r="AV326" s="151"/>
      <c r="AW326" s="151"/>
      <c r="AX326" s="151"/>
      <c r="AY326" s="151"/>
      <c r="AZ326" s="151"/>
      <c r="BA326" s="151"/>
      <c r="BB326" s="151"/>
      <c r="BC326" s="151"/>
      <c r="BD326" s="151"/>
      <c r="BE326" s="151"/>
      <c r="BF326" s="151"/>
      <c r="BG326" s="151"/>
      <c r="BH326" s="151"/>
      <c r="BI326" s="151"/>
      <c r="BJ326" s="151"/>
      <c r="BK326" s="151"/>
      <c r="BL326" s="151"/>
      <c r="BM326" s="151"/>
      <c r="BN326" s="151"/>
    </row>
    <row r="327" spans="21:66">
      <c r="U327" s="154"/>
      <c r="V327" s="153"/>
      <c r="W327" s="153"/>
      <c r="X327" s="153"/>
      <c r="Y327" s="153"/>
      <c r="Z327" s="153"/>
      <c r="AA327" s="153"/>
      <c r="AB327" s="153"/>
      <c r="AC327" s="153"/>
      <c r="AD327" s="151"/>
      <c r="AE327" s="151"/>
      <c r="AF327" s="151"/>
      <c r="AG327" s="151"/>
      <c r="AH327" s="151"/>
      <c r="AI327" s="151"/>
      <c r="AJ327" s="151"/>
      <c r="AK327" s="151"/>
      <c r="AL327" s="151"/>
      <c r="AM327" s="151"/>
      <c r="AN327" s="151"/>
      <c r="AO327" s="151"/>
      <c r="AP327" s="151"/>
      <c r="AQ327" s="151"/>
      <c r="AR327" s="151"/>
      <c r="AS327" s="151"/>
      <c r="AT327" s="151"/>
      <c r="AU327" s="151"/>
      <c r="AV327" s="151"/>
      <c r="AW327" s="151"/>
      <c r="AX327" s="151"/>
      <c r="AY327" s="151"/>
      <c r="AZ327" s="151"/>
      <c r="BA327" s="151"/>
      <c r="BB327" s="151"/>
      <c r="BC327" s="151"/>
      <c r="BD327" s="151"/>
      <c r="BE327" s="151"/>
      <c r="BF327" s="151"/>
      <c r="BG327" s="151"/>
      <c r="BH327" s="151"/>
      <c r="BI327" s="151"/>
      <c r="BJ327" s="151"/>
      <c r="BK327" s="151"/>
      <c r="BL327" s="151"/>
      <c r="BM327" s="151"/>
      <c r="BN327" s="151"/>
    </row>
    <row r="328" spans="21:66">
      <c r="U328" s="154"/>
      <c r="V328" s="153"/>
      <c r="W328" s="153"/>
      <c r="X328" s="153"/>
      <c r="Y328" s="153"/>
      <c r="Z328" s="153"/>
      <c r="AA328" s="153"/>
      <c r="AB328" s="153"/>
      <c r="AC328" s="153"/>
      <c r="AD328" s="151"/>
      <c r="AE328" s="151"/>
      <c r="AF328" s="151"/>
      <c r="AG328" s="151"/>
      <c r="AH328" s="151"/>
      <c r="AI328" s="151"/>
      <c r="AJ328" s="151"/>
      <c r="AK328" s="151"/>
      <c r="AL328" s="151"/>
      <c r="AM328" s="151"/>
      <c r="AN328" s="151"/>
      <c r="AO328" s="151"/>
      <c r="AP328" s="151"/>
      <c r="AQ328" s="151"/>
      <c r="AR328" s="151"/>
      <c r="AS328" s="151"/>
      <c r="AT328" s="151"/>
      <c r="AU328" s="151"/>
      <c r="AV328" s="151"/>
      <c r="AW328" s="151"/>
      <c r="AX328" s="151"/>
      <c r="AY328" s="151"/>
      <c r="AZ328" s="151"/>
      <c r="BA328" s="151"/>
      <c r="BB328" s="151"/>
      <c r="BC328" s="151"/>
      <c r="BD328" s="151"/>
      <c r="BE328" s="151"/>
      <c r="BF328" s="151"/>
      <c r="BG328" s="151"/>
      <c r="BH328" s="151"/>
      <c r="BI328" s="151"/>
      <c r="BJ328" s="151"/>
      <c r="BK328" s="151"/>
      <c r="BL328" s="151"/>
      <c r="BM328" s="151"/>
      <c r="BN328" s="151"/>
    </row>
    <row r="329" spans="21:66">
      <c r="U329" s="154"/>
      <c r="V329" s="153"/>
      <c r="W329" s="153"/>
      <c r="X329" s="153"/>
      <c r="Y329" s="153"/>
      <c r="Z329" s="153"/>
      <c r="AA329" s="153"/>
      <c r="AB329" s="153"/>
      <c r="AC329" s="153"/>
      <c r="AD329" s="151"/>
      <c r="AE329" s="151"/>
      <c r="AF329" s="151"/>
      <c r="AG329" s="151"/>
      <c r="AH329" s="151"/>
      <c r="AI329" s="151"/>
      <c r="AJ329" s="151"/>
      <c r="AK329" s="151"/>
      <c r="AL329" s="151"/>
      <c r="AM329" s="151"/>
      <c r="AN329" s="151"/>
      <c r="AO329" s="151"/>
      <c r="AP329" s="151"/>
      <c r="AQ329" s="151"/>
      <c r="AR329" s="151"/>
      <c r="AS329" s="151"/>
      <c r="AT329" s="151"/>
      <c r="AU329" s="151"/>
      <c r="AV329" s="151"/>
      <c r="AW329" s="151"/>
      <c r="AX329" s="151"/>
      <c r="AY329" s="151"/>
      <c r="AZ329" s="151"/>
      <c r="BA329" s="151"/>
      <c r="BB329" s="151"/>
      <c r="BC329" s="151"/>
      <c r="BD329" s="151"/>
      <c r="BE329" s="151"/>
      <c r="BF329" s="151"/>
      <c r="BG329" s="151"/>
      <c r="BH329" s="151"/>
      <c r="BI329" s="151"/>
      <c r="BJ329" s="151"/>
      <c r="BK329" s="151"/>
      <c r="BL329" s="151"/>
      <c r="BM329" s="151"/>
      <c r="BN329" s="151"/>
    </row>
    <row r="330" spans="21:66">
      <c r="U330" s="154"/>
      <c r="V330" s="153"/>
      <c r="W330" s="153"/>
      <c r="X330" s="153"/>
      <c r="Y330" s="153"/>
      <c r="Z330" s="153"/>
      <c r="AA330" s="153"/>
      <c r="AB330" s="153"/>
      <c r="AC330" s="153"/>
      <c r="AD330" s="151"/>
      <c r="AE330" s="151"/>
      <c r="AF330" s="151"/>
      <c r="AG330" s="151"/>
      <c r="AH330" s="151"/>
      <c r="AI330" s="151"/>
      <c r="AJ330" s="151"/>
      <c r="AK330" s="151"/>
      <c r="AL330" s="151"/>
      <c r="AM330" s="151"/>
      <c r="AN330" s="151"/>
      <c r="AO330" s="151"/>
      <c r="AP330" s="151"/>
      <c r="AQ330" s="151"/>
      <c r="AR330" s="151"/>
      <c r="AS330" s="151"/>
      <c r="AT330" s="151"/>
      <c r="AU330" s="151"/>
      <c r="AV330" s="151"/>
      <c r="AW330" s="151"/>
      <c r="AX330" s="151"/>
      <c r="AY330" s="151"/>
      <c r="AZ330" s="151"/>
      <c r="BA330" s="151"/>
      <c r="BB330" s="151"/>
      <c r="BC330" s="151"/>
      <c r="BD330" s="151"/>
      <c r="BE330" s="151"/>
      <c r="BF330" s="151"/>
      <c r="BG330" s="151"/>
      <c r="BH330" s="151"/>
      <c r="BI330" s="151"/>
      <c r="BJ330" s="151"/>
      <c r="BK330" s="151"/>
      <c r="BL330" s="151"/>
      <c r="BM330" s="151"/>
      <c r="BN330" s="151"/>
    </row>
    <row r="331" spans="21:66">
      <c r="U331" s="154"/>
      <c r="V331" s="153"/>
      <c r="W331" s="153"/>
      <c r="X331" s="153"/>
      <c r="Y331" s="153"/>
      <c r="Z331" s="153"/>
      <c r="AA331" s="153"/>
      <c r="AB331" s="153"/>
      <c r="AC331" s="153"/>
      <c r="AD331" s="151"/>
      <c r="AE331" s="151"/>
      <c r="AF331" s="151"/>
      <c r="AG331" s="151"/>
      <c r="AH331" s="151"/>
      <c r="AI331" s="151"/>
      <c r="AJ331" s="151"/>
      <c r="AK331" s="151"/>
      <c r="AL331" s="151"/>
      <c r="AM331" s="151"/>
      <c r="AN331" s="151"/>
      <c r="AO331" s="151"/>
      <c r="AP331" s="151"/>
      <c r="AQ331" s="151"/>
      <c r="AR331" s="151"/>
      <c r="AS331" s="151"/>
      <c r="AT331" s="151"/>
      <c r="AU331" s="151"/>
      <c r="AV331" s="151"/>
      <c r="AW331" s="151"/>
      <c r="AX331" s="151"/>
      <c r="AY331" s="151"/>
      <c r="AZ331" s="151"/>
      <c r="BA331" s="151"/>
      <c r="BB331" s="151"/>
      <c r="BC331" s="151"/>
      <c r="BD331" s="151"/>
      <c r="BE331" s="151"/>
      <c r="BF331" s="151"/>
      <c r="BG331" s="151"/>
      <c r="BH331" s="151"/>
      <c r="BI331" s="151"/>
      <c r="BJ331" s="151"/>
      <c r="BK331" s="151"/>
      <c r="BL331" s="151"/>
      <c r="BM331" s="151"/>
      <c r="BN331" s="151"/>
    </row>
    <row r="332" spans="21:66">
      <c r="U332" s="154"/>
      <c r="V332" s="153"/>
      <c r="W332" s="153"/>
      <c r="X332" s="153"/>
      <c r="Y332" s="153"/>
      <c r="Z332" s="153"/>
      <c r="AA332" s="153"/>
      <c r="AB332" s="153"/>
      <c r="AC332" s="153"/>
      <c r="AD332" s="151"/>
      <c r="AE332" s="151"/>
      <c r="AF332" s="151"/>
      <c r="AG332" s="151"/>
      <c r="AH332" s="151"/>
      <c r="AI332" s="151"/>
      <c r="AJ332" s="151"/>
      <c r="AK332" s="151"/>
      <c r="AL332" s="151"/>
      <c r="AM332" s="151"/>
      <c r="AN332" s="151"/>
      <c r="AO332" s="151"/>
      <c r="AP332" s="151"/>
      <c r="AQ332" s="151"/>
      <c r="AR332" s="151"/>
      <c r="AS332" s="151"/>
      <c r="AT332" s="151"/>
      <c r="AU332" s="151"/>
      <c r="AV332" s="151"/>
      <c r="AW332" s="151"/>
      <c r="AX332" s="151"/>
      <c r="AY332" s="151"/>
      <c r="AZ332" s="151"/>
      <c r="BA332" s="151"/>
      <c r="BB332" s="151"/>
      <c r="BC332" s="151"/>
      <c r="BD332" s="151"/>
      <c r="BE332" s="151"/>
      <c r="BF332" s="151"/>
      <c r="BG332" s="151"/>
      <c r="BH332" s="151"/>
      <c r="BI332" s="151"/>
      <c r="BJ332" s="151"/>
      <c r="BK332" s="151"/>
      <c r="BL332" s="151"/>
      <c r="BM332" s="151"/>
      <c r="BN332" s="151"/>
    </row>
    <row r="333" spans="21:66">
      <c r="U333" s="154"/>
      <c r="V333" s="153"/>
      <c r="W333" s="153"/>
      <c r="X333" s="153"/>
      <c r="Y333" s="153"/>
      <c r="Z333" s="153"/>
      <c r="AA333" s="153"/>
      <c r="AB333" s="153"/>
      <c r="AC333" s="153"/>
      <c r="AD333" s="151"/>
      <c r="AE333" s="151"/>
      <c r="AF333" s="151"/>
      <c r="AG333" s="151"/>
      <c r="AH333" s="151"/>
      <c r="AI333" s="151"/>
      <c r="AJ333" s="151"/>
      <c r="AK333" s="151"/>
      <c r="AL333" s="151"/>
      <c r="AM333" s="151"/>
      <c r="AN333" s="151"/>
      <c r="AO333" s="151"/>
      <c r="AP333" s="151"/>
      <c r="AQ333" s="151"/>
      <c r="AR333" s="151"/>
      <c r="AS333" s="151"/>
      <c r="AT333" s="151"/>
      <c r="AU333" s="151"/>
      <c r="AV333" s="151"/>
      <c r="AW333" s="151"/>
      <c r="AX333" s="151"/>
      <c r="AY333" s="151"/>
      <c r="AZ333" s="151"/>
      <c r="BA333" s="151"/>
      <c r="BB333" s="151"/>
      <c r="BC333" s="151"/>
      <c r="BD333" s="151"/>
      <c r="BE333" s="151"/>
      <c r="BF333" s="151"/>
      <c r="BG333" s="151"/>
      <c r="BH333" s="151"/>
      <c r="BI333" s="151"/>
      <c r="BJ333" s="151"/>
      <c r="BK333" s="151"/>
      <c r="BL333" s="151"/>
      <c r="BM333" s="151"/>
      <c r="BN333" s="151"/>
    </row>
    <row r="334" spans="21:66">
      <c r="U334" s="154"/>
      <c r="V334" s="153"/>
      <c r="W334" s="153"/>
      <c r="X334" s="153"/>
      <c r="Y334" s="153"/>
      <c r="Z334" s="153"/>
      <c r="AA334" s="153"/>
      <c r="AB334" s="153"/>
      <c r="AC334" s="153"/>
      <c r="AD334" s="151"/>
      <c r="AE334" s="151"/>
      <c r="AF334" s="151"/>
      <c r="AG334" s="151"/>
      <c r="AH334" s="151"/>
      <c r="AI334" s="151"/>
      <c r="AJ334" s="151"/>
      <c r="AK334" s="151"/>
      <c r="AL334" s="151"/>
      <c r="AM334" s="151"/>
      <c r="AN334" s="151"/>
      <c r="AO334" s="151"/>
      <c r="AP334" s="151"/>
      <c r="AQ334" s="151"/>
      <c r="AR334" s="151"/>
      <c r="AS334" s="151"/>
      <c r="AT334" s="151"/>
      <c r="AU334" s="151"/>
      <c r="AV334" s="151"/>
      <c r="AW334" s="151"/>
      <c r="AX334" s="151"/>
      <c r="AY334" s="151"/>
      <c r="AZ334" s="151"/>
      <c r="BA334" s="151"/>
      <c r="BB334" s="151"/>
      <c r="BC334" s="151"/>
      <c r="BD334" s="151"/>
      <c r="BE334" s="151"/>
      <c r="BF334" s="151"/>
      <c r="BG334" s="151"/>
      <c r="BH334" s="151"/>
      <c r="BI334" s="151"/>
      <c r="BJ334" s="151"/>
      <c r="BK334" s="151"/>
      <c r="BL334" s="151"/>
      <c r="BM334" s="151"/>
      <c r="BN334" s="151"/>
    </row>
    <row r="335" spans="21:66">
      <c r="U335" s="154"/>
      <c r="V335" s="153"/>
      <c r="W335" s="153"/>
      <c r="X335" s="153"/>
      <c r="Y335" s="153"/>
      <c r="Z335" s="153"/>
      <c r="AA335" s="153"/>
      <c r="AB335" s="153"/>
      <c r="AC335" s="153"/>
      <c r="AD335" s="151"/>
      <c r="AE335" s="151"/>
      <c r="AF335" s="151"/>
      <c r="AG335" s="151"/>
      <c r="AH335" s="151"/>
      <c r="AI335" s="151"/>
      <c r="AJ335" s="151"/>
      <c r="AK335" s="151"/>
      <c r="AL335" s="151"/>
      <c r="AM335" s="151"/>
      <c r="AN335" s="151"/>
      <c r="AO335" s="151"/>
      <c r="AP335" s="151"/>
      <c r="AQ335" s="151"/>
      <c r="AR335" s="151"/>
      <c r="AS335" s="151"/>
      <c r="AT335" s="151"/>
      <c r="AU335" s="151"/>
      <c r="AV335" s="151"/>
      <c r="AW335" s="151"/>
      <c r="AX335" s="151"/>
      <c r="AY335" s="151"/>
      <c r="AZ335" s="151"/>
      <c r="BA335" s="151"/>
      <c r="BB335" s="151"/>
      <c r="BC335" s="151"/>
      <c r="BD335" s="151"/>
      <c r="BE335" s="151"/>
      <c r="BF335" s="151"/>
      <c r="BG335" s="151"/>
      <c r="BH335" s="151"/>
      <c r="BI335" s="151"/>
      <c r="BJ335" s="151"/>
      <c r="BK335" s="151"/>
      <c r="BL335" s="151"/>
      <c r="BM335" s="151"/>
      <c r="BN335" s="151"/>
    </row>
    <row r="336" spans="21:66">
      <c r="U336" s="154"/>
      <c r="V336" s="153"/>
      <c r="W336" s="153"/>
      <c r="X336" s="153"/>
      <c r="Y336" s="153"/>
      <c r="Z336" s="153"/>
      <c r="AA336" s="153"/>
      <c r="AB336" s="153"/>
      <c r="AC336" s="153"/>
      <c r="AD336" s="151"/>
      <c r="AE336" s="151"/>
      <c r="AF336" s="151"/>
      <c r="AG336" s="151"/>
      <c r="AH336" s="151"/>
      <c r="AI336" s="151"/>
      <c r="AJ336" s="151"/>
      <c r="AK336" s="151"/>
      <c r="AL336" s="151"/>
      <c r="AM336" s="151"/>
      <c r="AN336" s="151"/>
      <c r="AO336" s="151"/>
      <c r="AP336" s="151"/>
      <c r="AQ336" s="151"/>
      <c r="AR336" s="151"/>
      <c r="AS336" s="151"/>
      <c r="AT336" s="151"/>
      <c r="AU336" s="151"/>
      <c r="AV336" s="151"/>
      <c r="AW336" s="151"/>
      <c r="AX336" s="151"/>
      <c r="AY336" s="151"/>
      <c r="AZ336" s="151"/>
      <c r="BA336" s="151"/>
      <c r="BB336" s="151"/>
      <c r="BC336" s="151"/>
      <c r="BD336" s="151"/>
      <c r="BE336" s="151"/>
      <c r="BF336" s="151"/>
      <c r="BG336" s="151"/>
      <c r="BH336" s="151"/>
      <c r="BI336" s="151"/>
      <c r="BJ336" s="151"/>
      <c r="BK336" s="151"/>
      <c r="BL336" s="151"/>
      <c r="BM336" s="151"/>
      <c r="BN336" s="151"/>
    </row>
    <row r="337" spans="21:66">
      <c r="U337" s="154"/>
      <c r="V337" s="153"/>
      <c r="W337" s="153"/>
      <c r="X337" s="153"/>
      <c r="Y337" s="153"/>
      <c r="Z337" s="153"/>
      <c r="AA337" s="153"/>
      <c r="AB337" s="153"/>
      <c r="AC337" s="153"/>
      <c r="AD337" s="151"/>
      <c r="AE337" s="151"/>
      <c r="AF337" s="151"/>
      <c r="AG337" s="151"/>
      <c r="AH337" s="151"/>
      <c r="AI337" s="151"/>
      <c r="AJ337" s="151"/>
      <c r="AK337" s="151"/>
      <c r="AL337" s="151"/>
      <c r="AM337" s="151"/>
      <c r="AN337" s="151"/>
      <c r="AO337" s="151"/>
      <c r="AP337" s="151"/>
      <c r="AQ337" s="151"/>
      <c r="AR337" s="151"/>
      <c r="AS337" s="151"/>
      <c r="AT337" s="151"/>
      <c r="AU337" s="151"/>
      <c r="AV337" s="151"/>
      <c r="AW337" s="151"/>
      <c r="AX337" s="151"/>
      <c r="AY337" s="151"/>
      <c r="AZ337" s="151"/>
      <c r="BA337" s="151"/>
      <c r="BB337" s="151"/>
      <c r="BC337" s="151"/>
      <c r="BD337" s="151"/>
      <c r="BE337" s="151"/>
      <c r="BF337" s="151"/>
      <c r="BG337" s="151"/>
      <c r="BH337" s="151"/>
      <c r="BI337" s="151"/>
      <c r="BJ337" s="151"/>
      <c r="BK337" s="151"/>
      <c r="BL337" s="151"/>
      <c r="BM337" s="151"/>
      <c r="BN337" s="151"/>
    </row>
    <row r="338" spans="21:66">
      <c r="U338" s="154"/>
      <c r="V338" s="153"/>
      <c r="W338" s="153"/>
      <c r="X338" s="153"/>
      <c r="Y338" s="153"/>
      <c r="Z338" s="153"/>
      <c r="AA338" s="153"/>
      <c r="AB338" s="153"/>
      <c r="AC338" s="153"/>
      <c r="AD338" s="151"/>
      <c r="AE338" s="151"/>
      <c r="AF338" s="151"/>
      <c r="AG338" s="151"/>
      <c r="AH338" s="151"/>
      <c r="AI338" s="151"/>
      <c r="AJ338" s="151"/>
      <c r="AK338" s="151"/>
      <c r="AL338" s="151"/>
      <c r="AM338" s="151"/>
      <c r="AN338" s="151"/>
      <c r="AO338" s="151"/>
      <c r="AP338" s="151"/>
      <c r="AQ338" s="151"/>
      <c r="AR338" s="151"/>
      <c r="AS338" s="151"/>
      <c r="AT338" s="151"/>
      <c r="AU338" s="151"/>
      <c r="AV338" s="151"/>
      <c r="AW338" s="151"/>
      <c r="AX338" s="151"/>
      <c r="AY338" s="151"/>
      <c r="AZ338" s="151"/>
      <c r="BA338" s="151"/>
      <c r="BB338" s="151"/>
      <c r="BC338" s="151"/>
      <c r="BD338" s="151"/>
      <c r="BE338" s="151"/>
      <c r="BF338" s="151"/>
      <c r="BG338" s="151"/>
      <c r="BH338" s="151"/>
      <c r="BI338" s="151"/>
      <c r="BJ338" s="151"/>
      <c r="BK338" s="151"/>
      <c r="BL338" s="151"/>
      <c r="BM338" s="151"/>
      <c r="BN338" s="151"/>
    </row>
    <row r="339" spans="21:66">
      <c r="U339" s="154"/>
      <c r="V339" s="153"/>
      <c r="W339" s="153"/>
      <c r="X339" s="153"/>
      <c r="Y339" s="153"/>
      <c r="Z339" s="153"/>
      <c r="AA339" s="153"/>
      <c r="AB339" s="153"/>
      <c r="AC339" s="153"/>
      <c r="AD339" s="151"/>
      <c r="AE339" s="151"/>
      <c r="AF339" s="151"/>
      <c r="AG339" s="151"/>
      <c r="AH339" s="151"/>
      <c r="AI339" s="151"/>
      <c r="AJ339" s="151"/>
      <c r="AK339" s="151"/>
      <c r="AL339" s="151"/>
      <c r="AM339" s="151"/>
      <c r="AN339" s="151"/>
      <c r="AO339" s="151"/>
      <c r="AP339" s="151"/>
      <c r="AQ339" s="151"/>
      <c r="AR339" s="151"/>
      <c r="AS339" s="151"/>
      <c r="AT339" s="151"/>
      <c r="AU339" s="151"/>
      <c r="AV339" s="151"/>
      <c r="AW339" s="151"/>
      <c r="AX339" s="151"/>
      <c r="AY339" s="151"/>
      <c r="AZ339" s="151"/>
      <c r="BA339" s="151"/>
      <c r="BB339" s="151"/>
      <c r="BC339" s="151"/>
      <c r="BD339" s="151"/>
      <c r="BE339" s="151"/>
      <c r="BF339" s="151"/>
      <c r="BG339" s="151"/>
      <c r="BH339" s="151"/>
      <c r="BI339" s="151"/>
      <c r="BJ339" s="151"/>
      <c r="BK339" s="151"/>
      <c r="BL339" s="151"/>
      <c r="BM339" s="151"/>
      <c r="BN339" s="151"/>
    </row>
    <row r="340" spans="21:66">
      <c r="U340" s="154"/>
      <c r="V340" s="153"/>
      <c r="W340" s="153"/>
      <c r="X340" s="153"/>
      <c r="Y340" s="153"/>
      <c r="Z340" s="153"/>
      <c r="AA340" s="153"/>
      <c r="AB340" s="153"/>
      <c r="AC340" s="153"/>
      <c r="AD340" s="151"/>
      <c r="AE340" s="151"/>
      <c r="AF340" s="151"/>
      <c r="AG340" s="151"/>
      <c r="AH340" s="151"/>
      <c r="AI340" s="151"/>
      <c r="AJ340" s="151"/>
      <c r="AK340" s="151"/>
      <c r="AL340" s="151"/>
      <c r="AM340" s="151"/>
      <c r="AN340" s="151"/>
      <c r="AO340" s="151"/>
      <c r="AP340" s="151"/>
      <c r="AQ340" s="151"/>
      <c r="AR340" s="151"/>
      <c r="AS340" s="151"/>
      <c r="AT340" s="151"/>
      <c r="AU340" s="151"/>
      <c r="AV340" s="151"/>
      <c r="AW340" s="151"/>
      <c r="AX340" s="151"/>
      <c r="AY340" s="151"/>
      <c r="AZ340" s="151"/>
      <c r="BA340" s="151"/>
      <c r="BB340" s="151"/>
      <c r="BC340" s="151"/>
      <c r="BD340" s="151"/>
      <c r="BE340" s="151"/>
      <c r="BF340" s="151"/>
      <c r="BG340" s="151"/>
      <c r="BH340" s="151"/>
      <c r="BI340" s="151"/>
      <c r="BJ340" s="151"/>
      <c r="BK340" s="151"/>
      <c r="BL340" s="151"/>
      <c r="BM340" s="151"/>
      <c r="BN340" s="151"/>
    </row>
    <row r="341" spans="21:66">
      <c r="U341" s="154"/>
      <c r="V341" s="153"/>
      <c r="W341" s="153"/>
      <c r="X341" s="153"/>
      <c r="Y341" s="153"/>
      <c r="Z341" s="153"/>
      <c r="AA341" s="153"/>
      <c r="AB341" s="153"/>
      <c r="AC341" s="153"/>
      <c r="AD341" s="151"/>
      <c r="AE341" s="151"/>
      <c r="AF341" s="151"/>
      <c r="AG341" s="151"/>
      <c r="AH341" s="151"/>
      <c r="AI341" s="151"/>
      <c r="AJ341" s="151"/>
      <c r="AK341" s="151"/>
      <c r="AL341" s="151"/>
      <c r="AM341" s="151"/>
      <c r="AN341" s="151"/>
      <c r="AO341" s="151"/>
      <c r="AP341" s="151"/>
      <c r="AQ341" s="151"/>
      <c r="AR341" s="151"/>
      <c r="AS341" s="151"/>
      <c r="AT341" s="151"/>
      <c r="AU341" s="151"/>
      <c r="AV341" s="151"/>
      <c r="AW341" s="151"/>
      <c r="AX341" s="151"/>
      <c r="AY341" s="151"/>
      <c r="AZ341" s="151"/>
      <c r="BA341" s="151"/>
      <c r="BB341" s="151"/>
      <c r="BC341" s="151"/>
      <c r="BD341" s="151"/>
      <c r="BE341" s="151"/>
      <c r="BF341" s="151"/>
      <c r="BG341" s="151"/>
      <c r="BH341" s="151"/>
      <c r="BI341" s="151"/>
      <c r="BJ341" s="151"/>
      <c r="BK341" s="151"/>
      <c r="BL341" s="151"/>
      <c r="BM341" s="151"/>
      <c r="BN341" s="151"/>
    </row>
    <row r="342" spans="21:66">
      <c r="U342" s="154"/>
      <c r="V342" s="153"/>
      <c r="W342" s="153"/>
      <c r="X342" s="153"/>
      <c r="Y342" s="153"/>
      <c r="Z342" s="153"/>
      <c r="AA342" s="153"/>
      <c r="AB342" s="153"/>
      <c r="AC342" s="153"/>
      <c r="AD342" s="151"/>
      <c r="AE342" s="151"/>
      <c r="AF342" s="151"/>
      <c r="AG342" s="151"/>
      <c r="AH342" s="151"/>
      <c r="AI342" s="151"/>
      <c r="AJ342" s="151"/>
      <c r="AK342" s="151"/>
      <c r="AL342" s="151"/>
      <c r="AM342" s="151"/>
      <c r="AN342" s="151"/>
      <c r="AO342" s="151"/>
      <c r="AP342" s="151"/>
      <c r="AQ342" s="151"/>
      <c r="AR342" s="151"/>
      <c r="AS342" s="151"/>
      <c r="AT342" s="151"/>
      <c r="AU342" s="151"/>
      <c r="AV342" s="151"/>
      <c r="AW342" s="151"/>
      <c r="AX342" s="151"/>
      <c r="AY342" s="151"/>
      <c r="AZ342" s="151"/>
      <c r="BA342" s="151"/>
      <c r="BB342" s="151"/>
      <c r="BC342" s="151"/>
      <c r="BD342" s="151"/>
      <c r="BE342" s="151"/>
      <c r="BF342" s="151"/>
      <c r="BG342" s="151"/>
      <c r="BH342" s="151"/>
      <c r="BI342" s="151"/>
      <c r="BJ342" s="151"/>
      <c r="BK342" s="151"/>
      <c r="BL342" s="151"/>
      <c r="BM342" s="151"/>
      <c r="BN342" s="151"/>
    </row>
    <row r="343" spans="21:66">
      <c r="U343" s="154"/>
      <c r="V343" s="153"/>
      <c r="W343" s="153"/>
      <c r="X343" s="153"/>
      <c r="Y343" s="153"/>
      <c r="Z343" s="153"/>
      <c r="AA343" s="153"/>
      <c r="AB343" s="153"/>
      <c r="AC343" s="153"/>
      <c r="AD343" s="151"/>
      <c r="AE343" s="151"/>
      <c r="AF343" s="151"/>
      <c r="AG343" s="151"/>
      <c r="AH343" s="151"/>
      <c r="AI343" s="151"/>
      <c r="AJ343" s="151"/>
      <c r="AK343" s="151"/>
      <c r="AL343" s="151"/>
      <c r="AM343" s="151"/>
      <c r="AN343" s="151"/>
      <c r="AO343" s="151"/>
      <c r="AP343" s="151"/>
      <c r="AQ343" s="151"/>
      <c r="AR343" s="151"/>
      <c r="AS343" s="151"/>
      <c r="AT343" s="151"/>
      <c r="AU343" s="151"/>
      <c r="AV343" s="151"/>
      <c r="AW343" s="151"/>
      <c r="AX343" s="151"/>
      <c r="AY343" s="151"/>
      <c r="AZ343" s="151"/>
      <c r="BA343" s="151"/>
      <c r="BB343" s="151"/>
      <c r="BC343" s="151"/>
      <c r="BD343" s="151"/>
      <c r="BE343" s="151"/>
      <c r="BF343" s="151"/>
      <c r="BG343" s="151"/>
      <c r="BH343" s="151"/>
      <c r="BI343" s="151"/>
      <c r="BJ343" s="151"/>
      <c r="BK343" s="151"/>
      <c r="BL343" s="151"/>
      <c r="BM343" s="151"/>
      <c r="BN343" s="151"/>
    </row>
    <row r="344" spans="21:66">
      <c r="U344" s="154"/>
      <c r="V344" s="153"/>
      <c r="W344" s="153"/>
      <c r="X344" s="153"/>
      <c r="Y344" s="153"/>
      <c r="Z344" s="153"/>
      <c r="AA344" s="153"/>
      <c r="AB344" s="153"/>
      <c r="AC344" s="153"/>
      <c r="AD344" s="151"/>
      <c r="AE344" s="151"/>
      <c r="AF344" s="151"/>
      <c r="AG344" s="151"/>
      <c r="AH344" s="151"/>
      <c r="AI344" s="151"/>
      <c r="AJ344" s="151"/>
      <c r="AK344" s="151"/>
      <c r="AL344" s="151"/>
      <c r="AM344" s="151"/>
      <c r="AN344" s="151"/>
      <c r="AO344" s="151"/>
      <c r="AP344" s="151"/>
      <c r="AQ344" s="151"/>
      <c r="AR344" s="151"/>
      <c r="AS344" s="151"/>
      <c r="AT344" s="151"/>
      <c r="AU344" s="151"/>
      <c r="AV344" s="151"/>
      <c r="AW344" s="151"/>
      <c r="AX344" s="151"/>
      <c r="AY344" s="151"/>
      <c r="AZ344" s="151"/>
      <c r="BA344" s="151"/>
      <c r="BB344" s="151"/>
      <c r="BC344" s="151"/>
      <c r="BD344" s="151"/>
      <c r="BE344" s="151"/>
      <c r="BF344" s="151"/>
      <c r="BG344" s="151"/>
      <c r="BH344" s="151"/>
      <c r="BI344" s="151"/>
      <c r="BJ344" s="151"/>
      <c r="BK344" s="151"/>
      <c r="BL344" s="151"/>
      <c r="BM344" s="151"/>
      <c r="BN344" s="151"/>
    </row>
    <row r="345" spans="21:66">
      <c r="U345" s="154"/>
      <c r="V345" s="153"/>
      <c r="W345" s="153"/>
      <c r="X345" s="153"/>
      <c r="Y345" s="153"/>
      <c r="Z345" s="153"/>
      <c r="AA345" s="153"/>
      <c r="AB345" s="153"/>
      <c r="AC345" s="153"/>
      <c r="AD345" s="151"/>
      <c r="AE345" s="151"/>
      <c r="AF345" s="151"/>
      <c r="AG345" s="151"/>
      <c r="AH345" s="151"/>
      <c r="AI345" s="151"/>
      <c r="AJ345" s="151"/>
      <c r="AK345" s="151"/>
      <c r="AL345" s="151"/>
      <c r="AM345" s="151"/>
      <c r="AN345" s="151"/>
      <c r="AO345" s="151"/>
      <c r="AP345" s="151"/>
      <c r="AQ345" s="151"/>
      <c r="AR345" s="151"/>
      <c r="AS345" s="151"/>
      <c r="AT345" s="151"/>
      <c r="AU345" s="151"/>
      <c r="AV345" s="151"/>
      <c r="AW345" s="151"/>
      <c r="AX345" s="151"/>
      <c r="AY345" s="151"/>
      <c r="AZ345" s="151"/>
      <c r="BA345" s="151"/>
      <c r="BB345" s="151"/>
      <c r="BC345" s="151"/>
      <c r="BD345" s="151"/>
      <c r="BE345" s="151"/>
      <c r="BF345" s="151"/>
      <c r="BG345" s="151"/>
      <c r="BH345" s="151"/>
      <c r="BI345" s="151"/>
      <c r="BJ345" s="151"/>
      <c r="BK345" s="151"/>
      <c r="BL345" s="151"/>
      <c r="BM345" s="151"/>
      <c r="BN345" s="151"/>
    </row>
    <row r="346" spans="21:66">
      <c r="Y346" s="151"/>
      <c r="Z346" s="151"/>
      <c r="AA346" s="151"/>
      <c r="AB346" s="151"/>
      <c r="AC346" s="151"/>
      <c r="AD346" s="151"/>
      <c r="AE346" s="151"/>
      <c r="AF346" s="151"/>
      <c r="AG346" s="151"/>
      <c r="AH346" s="151"/>
      <c r="AI346" s="151"/>
      <c r="AJ346" s="151"/>
      <c r="AK346" s="151"/>
      <c r="AL346" s="151"/>
      <c r="AM346" s="151"/>
      <c r="AN346" s="151"/>
      <c r="AO346" s="151"/>
      <c r="AP346" s="151"/>
      <c r="AQ346" s="151"/>
      <c r="AR346" s="151"/>
      <c r="AS346" s="151"/>
      <c r="AT346" s="151"/>
      <c r="AU346" s="151"/>
      <c r="AV346" s="151"/>
      <c r="AW346" s="151"/>
      <c r="AX346" s="151"/>
      <c r="AY346" s="151"/>
      <c r="AZ346" s="151"/>
      <c r="BA346" s="151"/>
      <c r="BB346" s="151"/>
      <c r="BC346" s="151"/>
      <c r="BD346" s="151"/>
      <c r="BE346" s="151"/>
      <c r="BF346" s="151"/>
      <c r="BG346" s="151"/>
      <c r="BH346" s="151"/>
      <c r="BI346" s="151"/>
      <c r="BJ346" s="151"/>
      <c r="BK346" s="151"/>
      <c r="BL346" s="151"/>
      <c r="BM346" s="151"/>
      <c r="BN346" s="151"/>
    </row>
    <row r="347" spans="21:66">
      <c r="Y347" s="151"/>
      <c r="Z347" s="151"/>
      <c r="AA347" s="151"/>
      <c r="AB347" s="151"/>
      <c r="AC347" s="151"/>
      <c r="AD347" s="151"/>
      <c r="AE347" s="151"/>
      <c r="AF347" s="151"/>
      <c r="AG347" s="151"/>
      <c r="AH347" s="151"/>
      <c r="AI347" s="151"/>
      <c r="AJ347" s="151"/>
      <c r="AK347" s="151"/>
      <c r="AL347" s="151"/>
      <c r="AM347" s="151"/>
      <c r="AN347" s="151"/>
      <c r="AO347" s="151"/>
      <c r="AP347" s="151"/>
      <c r="AQ347" s="151"/>
      <c r="AR347" s="151"/>
      <c r="AS347" s="151"/>
      <c r="AT347" s="151"/>
      <c r="AU347" s="151"/>
      <c r="AV347" s="151"/>
      <c r="AW347" s="151"/>
      <c r="AX347" s="151"/>
      <c r="AY347" s="151"/>
      <c r="AZ347" s="151"/>
      <c r="BA347" s="151"/>
      <c r="BB347" s="151"/>
      <c r="BC347" s="151"/>
      <c r="BD347" s="151"/>
      <c r="BE347" s="151"/>
      <c r="BF347" s="151"/>
      <c r="BG347" s="151"/>
      <c r="BH347" s="151"/>
      <c r="BI347" s="151"/>
      <c r="BJ347" s="151"/>
      <c r="BK347" s="151"/>
      <c r="BL347" s="151"/>
      <c r="BM347" s="151"/>
      <c r="BN347" s="151"/>
    </row>
    <row r="348" spans="21:66">
      <c r="Y348" s="151"/>
      <c r="Z348" s="151"/>
      <c r="AA348" s="151"/>
      <c r="AB348" s="151"/>
      <c r="AC348" s="151"/>
      <c r="AD348" s="151"/>
      <c r="AE348" s="151"/>
      <c r="AF348" s="151"/>
      <c r="AG348" s="151"/>
      <c r="AH348" s="151"/>
      <c r="AI348" s="151"/>
      <c r="AJ348" s="151"/>
      <c r="AK348" s="151"/>
      <c r="AL348" s="151"/>
      <c r="AM348" s="151"/>
      <c r="AN348" s="151"/>
      <c r="AO348" s="151"/>
      <c r="AP348" s="151"/>
      <c r="AQ348" s="151"/>
      <c r="AR348" s="151"/>
      <c r="AS348" s="151"/>
      <c r="AT348" s="151"/>
      <c r="AU348" s="151"/>
      <c r="AV348" s="151"/>
      <c r="AW348" s="151"/>
      <c r="AX348" s="151"/>
      <c r="AY348" s="151"/>
      <c r="AZ348" s="151"/>
      <c r="BA348" s="151"/>
      <c r="BB348" s="151"/>
      <c r="BC348" s="151"/>
      <c r="BD348" s="151"/>
      <c r="BE348" s="151"/>
      <c r="BF348" s="151"/>
      <c r="BG348" s="151"/>
      <c r="BH348" s="151"/>
      <c r="BI348" s="151"/>
      <c r="BJ348" s="151"/>
      <c r="BK348" s="151"/>
      <c r="BL348" s="151"/>
      <c r="BM348" s="151"/>
      <c r="BN348" s="151"/>
    </row>
    <row r="349" spans="21:66">
      <c r="Y349" s="151"/>
      <c r="Z349" s="151"/>
      <c r="AA349" s="151"/>
      <c r="AB349" s="151"/>
      <c r="AC349" s="151"/>
      <c r="AD349" s="151"/>
      <c r="AE349" s="151"/>
      <c r="AF349" s="151"/>
      <c r="AG349" s="151"/>
      <c r="AH349" s="151"/>
      <c r="AI349" s="151"/>
      <c r="AJ349" s="151"/>
      <c r="AK349" s="151"/>
      <c r="AL349" s="151"/>
      <c r="AM349" s="151"/>
      <c r="AN349" s="151"/>
      <c r="AO349" s="151"/>
      <c r="AP349" s="151"/>
      <c r="AQ349" s="151"/>
      <c r="AR349" s="151"/>
      <c r="AS349" s="151"/>
      <c r="AT349" s="151"/>
      <c r="AU349" s="151"/>
      <c r="AV349" s="151"/>
      <c r="AW349" s="151"/>
      <c r="AX349" s="151"/>
      <c r="AY349" s="151"/>
      <c r="AZ349" s="151"/>
      <c r="BA349" s="151"/>
      <c r="BB349" s="151"/>
      <c r="BC349" s="151"/>
      <c r="BD349" s="151"/>
      <c r="BE349" s="151"/>
      <c r="BF349" s="151"/>
      <c r="BG349" s="151"/>
      <c r="BH349" s="151"/>
      <c r="BI349" s="151"/>
      <c r="BJ349" s="151"/>
      <c r="BK349" s="151"/>
      <c r="BL349" s="151"/>
      <c r="BM349" s="151"/>
      <c r="BN349" s="151"/>
    </row>
    <row r="350" spans="21:66">
      <c r="Y350" s="151"/>
      <c r="Z350" s="151"/>
      <c r="AA350" s="151"/>
      <c r="AB350" s="151"/>
      <c r="AC350" s="151"/>
      <c r="AD350" s="151"/>
      <c r="AE350" s="151"/>
      <c r="AF350" s="151"/>
      <c r="AG350" s="151"/>
      <c r="AH350" s="151"/>
      <c r="AI350" s="151"/>
      <c r="AJ350" s="151"/>
      <c r="AK350" s="151"/>
      <c r="AL350" s="151"/>
      <c r="AM350" s="151"/>
      <c r="AN350" s="151"/>
      <c r="AO350" s="151"/>
      <c r="AP350" s="151"/>
      <c r="AQ350" s="151"/>
      <c r="AR350" s="151"/>
      <c r="AS350" s="151"/>
      <c r="AT350" s="151"/>
      <c r="AU350" s="151"/>
      <c r="AV350" s="151"/>
      <c r="AW350" s="151"/>
      <c r="AX350" s="151"/>
      <c r="AY350" s="151"/>
      <c r="AZ350" s="151"/>
      <c r="BA350" s="151"/>
      <c r="BB350" s="151"/>
      <c r="BC350" s="151"/>
      <c r="BD350" s="151"/>
      <c r="BE350" s="151"/>
      <c r="BF350" s="151"/>
      <c r="BG350" s="151"/>
      <c r="BH350" s="151"/>
      <c r="BI350" s="151"/>
      <c r="BJ350" s="151"/>
      <c r="BK350" s="151"/>
      <c r="BL350" s="151"/>
      <c r="BM350" s="151"/>
      <c r="BN350" s="151"/>
    </row>
    <row r="351" spans="21:66">
      <c r="Y351" s="151"/>
      <c r="Z351" s="151"/>
      <c r="AA351" s="151"/>
      <c r="AB351" s="151"/>
      <c r="AC351" s="151"/>
      <c r="AD351" s="151"/>
      <c r="AE351" s="151"/>
      <c r="AF351" s="151"/>
      <c r="AG351" s="151"/>
      <c r="AH351" s="151"/>
      <c r="AI351" s="151"/>
      <c r="AJ351" s="151"/>
      <c r="AK351" s="151"/>
      <c r="AL351" s="151"/>
      <c r="AM351" s="151"/>
      <c r="AN351" s="151"/>
      <c r="AO351" s="151"/>
      <c r="AP351" s="151"/>
      <c r="AQ351" s="151"/>
      <c r="AR351" s="151"/>
      <c r="AS351" s="151"/>
      <c r="AT351" s="151"/>
      <c r="AU351" s="151"/>
      <c r="AV351" s="151"/>
      <c r="AW351" s="151"/>
      <c r="AX351" s="151"/>
      <c r="AY351" s="151"/>
      <c r="AZ351" s="151"/>
      <c r="BA351" s="151"/>
      <c r="BB351" s="151"/>
      <c r="BC351" s="151"/>
      <c r="BD351" s="151"/>
      <c r="BE351" s="151"/>
      <c r="BF351" s="151"/>
      <c r="BG351" s="151"/>
      <c r="BH351" s="151"/>
      <c r="BI351" s="151"/>
      <c r="BJ351" s="151"/>
      <c r="BK351" s="151"/>
      <c r="BL351" s="151"/>
      <c r="BM351" s="151"/>
      <c r="BN351" s="151"/>
    </row>
    <row r="352" spans="21:66">
      <c r="Y352" s="151"/>
      <c r="Z352" s="151"/>
      <c r="AA352" s="151"/>
      <c r="AB352" s="151"/>
      <c r="AC352" s="151"/>
      <c r="AD352" s="151"/>
      <c r="AE352" s="151"/>
      <c r="AF352" s="151"/>
      <c r="AG352" s="151"/>
      <c r="AH352" s="151"/>
      <c r="AI352" s="151"/>
      <c r="AJ352" s="151"/>
      <c r="AK352" s="151"/>
      <c r="AL352" s="151"/>
      <c r="AM352" s="151"/>
      <c r="AN352" s="151"/>
      <c r="AO352" s="151"/>
      <c r="AP352" s="151"/>
      <c r="AQ352" s="151"/>
      <c r="AR352" s="151"/>
      <c r="AS352" s="151"/>
      <c r="AT352" s="151"/>
      <c r="AU352" s="151"/>
      <c r="AV352" s="151"/>
      <c r="AW352" s="151"/>
      <c r="AX352" s="151"/>
      <c r="AY352" s="151"/>
      <c r="AZ352" s="151"/>
      <c r="BA352" s="151"/>
      <c r="BB352" s="151"/>
      <c r="BC352" s="151"/>
      <c r="BD352" s="151"/>
      <c r="BE352" s="151"/>
      <c r="BF352" s="151"/>
      <c r="BG352" s="151"/>
      <c r="BH352" s="151"/>
      <c r="BI352" s="151"/>
      <c r="BJ352" s="151"/>
      <c r="BK352" s="151"/>
      <c r="BL352" s="151"/>
      <c r="BM352" s="151"/>
      <c r="BN352" s="151"/>
    </row>
    <row r="353" spans="25:66">
      <c r="Y353" s="151"/>
      <c r="Z353" s="151"/>
      <c r="AA353" s="151"/>
      <c r="AB353" s="151"/>
      <c r="AC353" s="151"/>
      <c r="AD353" s="151"/>
      <c r="AE353" s="151"/>
      <c r="AF353" s="151"/>
      <c r="AG353" s="151"/>
      <c r="AH353" s="151"/>
      <c r="AI353" s="151"/>
      <c r="AJ353" s="151"/>
      <c r="AK353" s="151"/>
      <c r="AL353" s="151"/>
      <c r="AM353" s="151"/>
      <c r="AN353" s="151"/>
      <c r="AO353" s="151"/>
      <c r="AP353" s="151"/>
      <c r="AQ353" s="151"/>
      <c r="AR353" s="151"/>
      <c r="AS353" s="151"/>
      <c r="AT353" s="151"/>
      <c r="AU353" s="151"/>
      <c r="AV353" s="151"/>
      <c r="AW353" s="151"/>
      <c r="AX353" s="151"/>
      <c r="AY353" s="151"/>
      <c r="AZ353" s="151"/>
      <c r="BA353" s="151"/>
      <c r="BB353" s="151"/>
      <c r="BC353" s="151"/>
      <c r="BD353" s="151"/>
      <c r="BE353" s="151"/>
      <c r="BF353" s="151"/>
      <c r="BG353" s="151"/>
      <c r="BH353" s="151"/>
      <c r="BI353" s="151"/>
      <c r="BJ353" s="151"/>
      <c r="BK353" s="151"/>
      <c r="BL353" s="151"/>
      <c r="BM353" s="151"/>
      <c r="BN353" s="151"/>
    </row>
    <row r="354" spans="25:66">
      <c r="Y354" s="151"/>
      <c r="Z354" s="151"/>
      <c r="AA354" s="151"/>
      <c r="AB354" s="151"/>
      <c r="AC354" s="151"/>
      <c r="AD354" s="151"/>
      <c r="AE354" s="151"/>
      <c r="AF354" s="151"/>
      <c r="AG354" s="151"/>
      <c r="AH354" s="151"/>
      <c r="AI354" s="151"/>
      <c r="AJ354" s="151"/>
      <c r="AK354" s="151"/>
      <c r="AL354" s="151"/>
      <c r="AM354" s="151"/>
      <c r="AN354" s="151"/>
      <c r="AO354" s="151"/>
      <c r="AP354" s="151"/>
      <c r="AQ354" s="151"/>
      <c r="AR354" s="151"/>
      <c r="AS354" s="151"/>
      <c r="AT354" s="151"/>
      <c r="AU354" s="151"/>
      <c r="AV354" s="151"/>
      <c r="AW354" s="151"/>
      <c r="AX354" s="151"/>
      <c r="AY354" s="151"/>
      <c r="AZ354" s="151"/>
      <c r="BA354" s="151"/>
      <c r="BB354" s="151"/>
      <c r="BC354" s="151"/>
      <c r="BD354" s="151"/>
      <c r="BE354" s="151"/>
      <c r="BF354" s="151"/>
      <c r="BG354" s="151"/>
      <c r="BH354" s="151"/>
      <c r="BI354" s="151"/>
      <c r="BJ354" s="151"/>
      <c r="BK354" s="151"/>
      <c r="BL354" s="151"/>
      <c r="BM354" s="151"/>
      <c r="BN354" s="151"/>
    </row>
    <row r="355" spans="25:66">
      <c r="Y355" s="151"/>
      <c r="Z355" s="151"/>
      <c r="AA355" s="151"/>
      <c r="AB355" s="151"/>
      <c r="AC355" s="151"/>
      <c r="AD355" s="151"/>
      <c r="AE355" s="151"/>
      <c r="AF355" s="151"/>
      <c r="AG355" s="151"/>
      <c r="AH355" s="151"/>
      <c r="AI355" s="151"/>
      <c r="AJ355" s="151"/>
      <c r="AK355" s="151"/>
      <c r="AL355" s="151"/>
      <c r="AM355" s="151"/>
      <c r="AN355" s="151"/>
      <c r="AO355" s="151"/>
      <c r="AP355" s="151"/>
      <c r="AQ355" s="151"/>
      <c r="AR355" s="151"/>
      <c r="AS355" s="151"/>
      <c r="AT355" s="151"/>
      <c r="AU355" s="151"/>
      <c r="AV355" s="151"/>
      <c r="AW355" s="151"/>
      <c r="AX355" s="151"/>
      <c r="AY355" s="151"/>
      <c r="AZ355" s="151"/>
      <c r="BA355" s="151"/>
      <c r="BB355" s="151"/>
      <c r="BC355" s="151"/>
      <c r="BD355" s="151"/>
      <c r="BE355" s="151"/>
      <c r="BF355" s="151"/>
      <c r="BG355" s="151"/>
      <c r="BH355" s="151"/>
      <c r="BI355" s="151"/>
      <c r="BJ355" s="151"/>
      <c r="BK355" s="151"/>
      <c r="BL355" s="151"/>
      <c r="BM355" s="151"/>
      <c r="BN355" s="151"/>
    </row>
    <row r="356" spans="25:66">
      <c r="Y356" s="151"/>
      <c r="Z356" s="151"/>
      <c r="AA356" s="151"/>
      <c r="AB356" s="151"/>
      <c r="AC356" s="151"/>
      <c r="AD356" s="151"/>
      <c r="AE356" s="151"/>
      <c r="AF356" s="151"/>
      <c r="AG356" s="151"/>
      <c r="AH356" s="151"/>
      <c r="AI356" s="151"/>
      <c r="AJ356" s="151"/>
      <c r="AK356" s="151"/>
      <c r="AL356" s="151"/>
      <c r="AM356" s="151"/>
      <c r="AN356" s="151"/>
      <c r="AO356" s="151"/>
      <c r="AP356" s="151"/>
      <c r="AQ356" s="151"/>
      <c r="AR356" s="151"/>
      <c r="AS356" s="151"/>
      <c r="AT356" s="151"/>
      <c r="AU356" s="151"/>
      <c r="AV356" s="151"/>
      <c r="AW356" s="151"/>
      <c r="AX356" s="151"/>
      <c r="AY356" s="151"/>
      <c r="AZ356" s="151"/>
      <c r="BA356" s="151"/>
      <c r="BB356" s="151"/>
      <c r="BC356" s="151"/>
      <c r="BD356" s="151"/>
      <c r="BE356" s="151"/>
      <c r="BF356" s="151"/>
      <c r="BG356" s="151"/>
      <c r="BH356" s="151"/>
      <c r="BI356" s="151"/>
      <c r="BJ356" s="151"/>
      <c r="BK356" s="151"/>
      <c r="BL356" s="151"/>
      <c r="BM356" s="151"/>
      <c r="BN356" s="151"/>
    </row>
    <row r="357" spans="25:66">
      <c r="Y357" s="151"/>
      <c r="Z357" s="151"/>
      <c r="AA357" s="151"/>
      <c r="AB357" s="151"/>
      <c r="AC357" s="151"/>
      <c r="AD357" s="151"/>
      <c r="AE357" s="151"/>
      <c r="AF357" s="151"/>
      <c r="AG357" s="151"/>
      <c r="AH357" s="151"/>
      <c r="AI357" s="151"/>
      <c r="AJ357" s="151"/>
      <c r="AK357" s="151"/>
      <c r="AL357" s="151"/>
      <c r="AM357" s="151"/>
      <c r="AN357" s="151"/>
      <c r="AO357" s="151"/>
      <c r="AP357" s="151"/>
      <c r="AQ357" s="151"/>
      <c r="AR357" s="151"/>
      <c r="AS357" s="151"/>
      <c r="AT357" s="151"/>
      <c r="AU357" s="151"/>
      <c r="AV357" s="151"/>
      <c r="AW357" s="151"/>
      <c r="AX357" s="151"/>
      <c r="AY357" s="151"/>
      <c r="AZ357" s="151"/>
      <c r="BA357" s="151"/>
      <c r="BB357" s="151"/>
      <c r="BC357" s="151"/>
      <c r="BD357" s="151"/>
      <c r="BE357" s="151"/>
      <c r="BF357" s="151"/>
      <c r="BG357" s="151"/>
      <c r="BH357" s="151"/>
      <c r="BI357" s="151"/>
      <c r="BJ357" s="151"/>
      <c r="BK357" s="151"/>
      <c r="BL357" s="151"/>
      <c r="BM357" s="151"/>
      <c r="BN357" s="151"/>
    </row>
    <row r="358" spans="25:66">
      <c r="Y358" s="151"/>
      <c r="Z358" s="151"/>
      <c r="AA358" s="151"/>
      <c r="AB358" s="151"/>
      <c r="AC358" s="151"/>
      <c r="AD358" s="151"/>
      <c r="AE358" s="151"/>
      <c r="AF358" s="151"/>
      <c r="AG358" s="151"/>
      <c r="AH358" s="151"/>
      <c r="AI358" s="151"/>
      <c r="AJ358" s="151"/>
      <c r="AK358" s="151"/>
      <c r="AL358" s="151"/>
      <c r="AM358" s="151"/>
      <c r="AN358" s="151"/>
      <c r="AO358" s="151"/>
      <c r="AP358" s="151"/>
      <c r="AQ358" s="151"/>
      <c r="AR358" s="151"/>
      <c r="AS358" s="151"/>
      <c r="AT358" s="151"/>
      <c r="AU358" s="151"/>
      <c r="AV358" s="151"/>
      <c r="AW358" s="151"/>
      <c r="AX358" s="151"/>
      <c r="AY358" s="151"/>
      <c r="AZ358" s="151"/>
      <c r="BA358" s="151"/>
      <c r="BB358" s="151"/>
      <c r="BC358" s="151"/>
      <c r="BD358" s="151"/>
      <c r="BE358" s="151"/>
      <c r="BF358" s="151"/>
      <c r="BG358" s="151"/>
      <c r="BH358" s="151"/>
      <c r="BI358" s="151"/>
      <c r="BJ358" s="151"/>
      <c r="BK358" s="151"/>
      <c r="BL358" s="151"/>
      <c r="BM358" s="151"/>
      <c r="BN358" s="151"/>
    </row>
    <row r="359" spans="25:66">
      <c r="Y359" s="151"/>
      <c r="Z359" s="151"/>
      <c r="AA359" s="151"/>
      <c r="AB359" s="151"/>
      <c r="AC359" s="151"/>
      <c r="AD359" s="151"/>
      <c r="AE359" s="151"/>
      <c r="AF359" s="151"/>
      <c r="AG359" s="151"/>
      <c r="AH359" s="151"/>
      <c r="AI359" s="151"/>
      <c r="AJ359" s="151"/>
      <c r="AK359" s="151"/>
      <c r="AL359" s="151"/>
      <c r="AM359" s="151"/>
      <c r="AN359" s="151"/>
      <c r="AO359" s="151"/>
      <c r="AP359" s="151"/>
      <c r="AQ359" s="151"/>
      <c r="AR359" s="151"/>
      <c r="AS359" s="151"/>
      <c r="AT359" s="151"/>
      <c r="AU359" s="151"/>
      <c r="AV359" s="151"/>
      <c r="AW359" s="151"/>
      <c r="AX359" s="151"/>
      <c r="AY359" s="151"/>
      <c r="AZ359" s="151"/>
      <c r="BA359" s="151"/>
      <c r="BB359" s="151"/>
      <c r="BC359" s="151"/>
      <c r="BD359" s="151"/>
      <c r="BE359" s="151"/>
      <c r="BF359" s="151"/>
      <c r="BG359" s="151"/>
      <c r="BH359" s="151"/>
      <c r="BI359" s="151"/>
      <c r="BJ359" s="151"/>
      <c r="BK359" s="151"/>
      <c r="BL359" s="151"/>
      <c r="BM359" s="151"/>
      <c r="BN359" s="151"/>
    </row>
    <row r="360" spans="25:66">
      <c r="Y360" s="151"/>
      <c r="Z360" s="151"/>
      <c r="AA360" s="151"/>
      <c r="AB360" s="151"/>
      <c r="AC360" s="151"/>
      <c r="AD360" s="151"/>
      <c r="AE360" s="151"/>
      <c r="AF360" s="151"/>
      <c r="AG360" s="151"/>
      <c r="AH360" s="151"/>
      <c r="AI360" s="151"/>
      <c r="AJ360" s="151"/>
      <c r="AK360" s="151"/>
      <c r="AL360" s="151"/>
      <c r="AM360" s="151"/>
      <c r="AN360" s="151"/>
      <c r="AO360" s="151"/>
      <c r="AP360" s="151"/>
      <c r="AQ360" s="151"/>
      <c r="AR360" s="151"/>
      <c r="AS360" s="151"/>
      <c r="AT360" s="151"/>
      <c r="AU360" s="151"/>
      <c r="AV360" s="151"/>
      <c r="AW360" s="151"/>
      <c r="AX360" s="151"/>
      <c r="AY360" s="151"/>
      <c r="AZ360" s="151"/>
      <c r="BA360" s="151"/>
      <c r="BB360" s="151"/>
      <c r="BC360" s="151"/>
      <c r="BD360" s="151"/>
      <c r="BE360" s="151"/>
      <c r="BF360" s="151"/>
      <c r="BG360" s="151"/>
      <c r="BH360" s="151"/>
      <c r="BI360" s="151"/>
      <c r="BJ360" s="151"/>
      <c r="BK360" s="151"/>
      <c r="BL360" s="151"/>
      <c r="BM360" s="151"/>
      <c r="BN360" s="151"/>
    </row>
    <row r="361" spans="25:66">
      <c r="Y361" s="151"/>
      <c r="Z361" s="151"/>
      <c r="AA361" s="151"/>
      <c r="AB361" s="151"/>
      <c r="AC361" s="151"/>
      <c r="AD361" s="151"/>
      <c r="AE361" s="151"/>
      <c r="AF361" s="151"/>
      <c r="AG361" s="151"/>
      <c r="AH361" s="151"/>
      <c r="AI361" s="151"/>
      <c r="AJ361" s="151"/>
      <c r="AK361" s="151"/>
      <c r="AL361" s="151"/>
      <c r="AM361" s="151"/>
      <c r="AN361" s="151"/>
      <c r="AO361" s="151"/>
      <c r="AP361" s="151"/>
      <c r="AQ361" s="151"/>
      <c r="AR361" s="151"/>
      <c r="AS361" s="151"/>
      <c r="AT361" s="151"/>
      <c r="AU361" s="151"/>
      <c r="AV361" s="151"/>
      <c r="AW361" s="151"/>
      <c r="AX361" s="151"/>
      <c r="AY361" s="151"/>
      <c r="AZ361" s="151"/>
      <c r="BA361" s="151"/>
      <c r="BB361" s="151"/>
      <c r="BC361" s="151"/>
      <c r="BD361" s="151"/>
      <c r="BE361" s="151"/>
      <c r="BF361" s="151"/>
      <c r="BG361" s="151"/>
      <c r="BH361" s="151"/>
      <c r="BI361" s="151"/>
      <c r="BJ361" s="151"/>
      <c r="BK361" s="151"/>
      <c r="BL361" s="151"/>
      <c r="BM361" s="151"/>
      <c r="BN361" s="151"/>
    </row>
    <row r="362" spans="25:66">
      <c r="Y362" s="151"/>
      <c r="Z362" s="151"/>
      <c r="AA362" s="151"/>
      <c r="AB362" s="151"/>
      <c r="AC362" s="151"/>
      <c r="AD362" s="151"/>
      <c r="AE362" s="151"/>
      <c r="AF362" s="151"/>
      <c r="AG362" s="151"/>
      <c r="AH362" s="151"/>
      <c r="AI362" s="151"/>
      <c r="AJ362" s="151"/>
      <c r="AK362" s="151"/>
      <c r="AL362" s="151"/>
      <c r="AM362" s="151"/>
      <c r="AN362" s="151"/>
      <c r="AO362" s="151"/>
      <c r="AP362" s="151"/>
      <c r="AQ362" s="151"/>
      <c r="AR362" s="151"/>
      <c r="AS362" s="151"/>
      <c r="AT362" s="151"/>
      <c r="AU362" s="151"/>
      <c r="AV362" s="151"/>
      <c r="AW362" s="151"/>
      <c r="AX362" s="151"/>
      <c r="AY362" s="151"/>
      <c r="AZ362" s="151"/>
      <c r="BA362" s="151"/>
      <c r="BB362" s="151"/>
      <c r="BC362" s="151"/>
      <c r="BD362" s="151"/>
      <c r="BE362" s="151"/>
      <c r="BF362" s="151"/>
      <c r="BG362" s="151"/>
      <c r="BH362" s="151"/>
      <c r="BI362" s="151"/>
      <c r="BJ362" s="151"/>
      <c r="BK362" s="151"/>
      <c r="BL362" s="151"/>
      <c r="BM362" s="151"/>
      <c r="BN362" s="151"/>
    </row>
    <row r="363" spans="25:66">
      <c r="Y363" s="151"/>
      <c r="Z363" s="151"/>
      <c r="AA363" s="151"/>
      <c r="AB363" s="151"/>
      <c r="AC363" s="151"/>
      <c r="AD363" s="151"/>
      <c r="AE363" s="151"/>
      <c r="AF363" s="151"/>
      <c r="AG363" s="151"/>
      <c r="AH363" s="151"/>
      <c r="AI363" s="151"/>
      <c r="AJ363" s="151"/>
      <c r="AK363" s="151"/>
      <c r="AL363" s="151"/>
      <c r="AM363" s="151"/>
      <c r="AN363" s="151"/>
      <c r="AO363" s="151"/>
      <c r="AP363" s="151"/>
      <c r="AQ363" s="151"/>
      <c r="AR363" s="151"/>
      <c r="AS363" s="151"/>
      <c r="AT363" s="151"/>
      <c r="AU363" s="151"/>
      <c r="AV363" s="151"/>
      <c r="AW363" s="151"/>
      <c r="AX363" s="151"/>
      <c r="AY363" s="151"/>
      <c r="AZ363" s="151"/>
      <c r="BA363" s="151"/>
      <c r="BB363" s="151"/>
      <c r="BC363" s="151"/>
      <c r="BD363" s="151"/>
      <c r="BE363" s="151"/>
      <c r="BF363" s="151"/>
      <c r="BG363" s="151"/>
      <c r="BH363" s="151"/>
      <c r="BI363" s="151"/>
      <c r="BJ363" s="151"/>
      <c r="BK363" s="151"/>
      <c r="BL363" s="151"/>
      <c r="BM363" s="151"/>
      <c r="BN363" s="151"/>
    </row>
    <row r="364" spans="25:66">
      <c r="Y364" s="151"/>
      <c r="Z364" s="151"/>
      <c r="AA364" s="151"/>
      <c r="AB364" s="151"/>
      <c r="AC364" s="151"/>
      <c r="AD364" s="151"/>
      <c r="AE364" s="151"/>
      <c r="AF364" s="151"/>
      <c r="AG364" s="151"/>
      <c r="AH364" s="151"/>
      <c r="AI364" s="151"/>
      <c r="AJ364" s="151"/>
      <c r="AK364" s="151"/>
      <c r="AL364" s="151"/>
      <c r="AM364" s="151"/>
      <c r="AN364" s="151"/>
      <c r="AO364" s="151"/>
      <c r="AP364" s="151"/>
      <c r="AQ364" s="151"/>
      <c r="AR364" s="151"/>
      <c r="AS364" s="151"/>
      <c r="AT364" s="151"/>
      <c r="AU364" s="151"/>
      <c r="AV364" s="151"/>
      <c r="AW364" s="151"/>
      <c r="AX364" s="151"/>
      <c r="AY364" s="151"/>
      <c r="AZ364" s="151"/>
      <c r="BA364" s="151"/>
      <c r="BB364" s="151"/>
      <c r="BC364" s="151"/>
      <c r="BD364" s="151"/>
      <c r="BE364" s="151"/>
      <c r="BF364" s="151"/>
      <c r="BG364" s="151"/>
      <c r="BH364" s="151"/>
      <c r="BI364" s="151"/>
      <c r="BJ364" s="151"/>
      <c r="BK364" s="151"/>
      <c r="BL364" s="151"/>
      <c r="BM364" s="151"/>
      <c r="BN364" s="151"/>
    </row>
    <row r="365" spans="25:66">
      <c r="Y365" s="151"/>
      <c r="Z365" s="151"/>
      <c r="AA365" s="151"/>
      <c r="AB365" s="151"/>
      <c r="AC365" s="151"/>
      <c r="AD365" s="151"/>
      <c r="AE365" s="151"/>
      <c r="AF365" s="151"/>
      <c r="AG365" s="151"/>
      <c r="AH365" s="151"/>
      <c r="AI365" s="151"/>
      <c r="AJ365" s="151"/>
      <c r="AK365" s="151"/>
      <c r="AL365" s="151"/>
      <c r="AM365" s="151"/>
      <c r="AN365" s="151"/>
      <c r="AO365" s="151"/>
      <c r="AP365" s="151"/>
      <c r="AQ365" s="151"/>
      <c r="AR365" s="151"/>
      <c r="AS365" s="151"/>
      <c r="AT365" s="151"/>
      <c r="AU365" s="151"/>
      <c r="AV365" s="151"/>
      <c r="AW365" s="151"/>
      <c r="AX365" s="151"/>
      <c r="AY365" s="151"/>
      <c r="AZ365" s="151"/>
      <c r="BA365" s="151"/>
      <c r="BB365" s="151"/>
      <c r="BC365" s="151"/>
      <c r="BD365" s="151"/>
      <c r="BE365" s="151"/>
      <c r="BF365" s="151"/>
      <c r="BG365" s="151"/>
      <c r="BH365" s="151"/>
      <c r="BI365" s="151"/>
      <c r="BJ365" s="151"/>
      <c r="BK365" s="151"/>
      <c r="BL365" s="151"/>
      <c r="BM365" s="151"/>
      <c r="BN365" s="151"/>
    </row>
    <row r="366" spans="25:66">
      <c r="Y366" s="151"/>
      <c r="Z366" s="151"/>
      <c r="AA366" s="151"/>
      <c r="AB366" s="151"/>
      <c r="AC366" s="151"/>
      <c r="AD366" s="151"/>
      <c r="AE366" s="151"/>
      <c r="AF366" s="151"/>
      <c r="AG366" s="151"/>
      <c r="AH366" s="151"/>
      <c r="AI366" s="151"/>
      <c r="AJ366" s="151"/>
      <c r="AK366" s="151"/>
      <c r="AL366" s="151"/>
      <c r="AM366" s="151"/>
      <c r="AN366" s="151"/>
      <c r="AO366" s="151"/>
      <c r="AP366" s="151"/>
      <c r="AQ366" s="151"/>
      <c r="AR366" s="151"/>
      <c r="AS366" s="151"/>
      <c r="AT366" s="151"/>
      <c r="AU366" s="151"/>
      <c r="AV366" s="151"/>
      <c r="AW366" s="151"/>
      <c r="AX366" s="151"/>
      <c r="AY366" s="151"/>
      <c r="AZ366" s="151"/>
      <c r="BA366" s="151"/>
      <c r="BB366" s="151"/>
      <c r="BC366" s="151"/>
      <c r="BD366" s="151"/>
      <c r="BE366" s="151"/>
      <c r="BF366" s="151"/>
      <c r="BG366" s="151"/>
      <c r="BH366" s="151"/>
      <c r="BI366" s="151"/>
      <c r="BJ366" s="151"/>
      <c r="BK366" s="151"/>
      <c r="BL366" s="151"/>
      <c r="BM366" s="151"/>
      <c r="BN366" s="151"/>
    </row>
    <row r="367" spans="25:66">
      <c r="Y367" s="151"/>
      <c r="Z367" s="151"/>
      <c r="AA367" s="151"/>
      <c r="AB367" s="151"/>
      <c r="AC367" s="151"/>
      <c r="AD367" s="151"/>
      <c r="AE367" s="151"/>
      <c r="AF367" s="151"/>
      <c r="AG367" s="151"/>
      <c r="AH367" s="151"/>
      <c r="AI367" s="151"/>
      <c r="AJ367" s="151"/>
      <c r="AK367" s="151"/>
      <c r="AL367" s="151"/>
      <c r="AM367" s="151"/>
      <c r="AN367" s="151"/>
      <c r="AO367" s="151"/>
      <c r="AP367" s="151"/>
      <c r="AQ367" s="151"/>
      <c r="AR367" s="151"/>
      <c r="AS367" s="151"/>
      <c r="AT367" s="151"/>
      <c r="AU367" s="151"/>
      <c r="AV367" s="151"/>
      <c r="AW367" s="151"/>
      <c r="AX367" s="151"/>
      <c r="AY367" s="151"/>
      <c r="AZ367" s="151"/>
      <c r="BA367" s="151"/>
      <c r="BB367" s="151"/>
      <c r="BC367" s="151"/>
      <c r="BD367" s="151"/>
      <c r="BE367" s="151"/>
      <c r="BF367" s="151"/>
      <c r="BG367" s="151"/>
      <c r="BH367" s="151"/>
      <c r="BI367" s="151"/>
      <c r="BJ367" s="151"/>
      <c r="BK367" s="151"/>
      <c r="BL367" s="151"/>
      <c r="BM367" s="151"/>
      <c r="BN367" s="151"/>
    </row>
    <row r="368" spans="25:66">
      <c r="Y368" s="151"/>
      <c r="Z368" s="151"/>
      <c r="AA368" s="151"/>
      <c r="AB368" s="151"/>
      <c r="AC368" s="151"/>
      <c r="AD368" s="151"/>
      <c r="AE368" s="151"/>
      <c r="AF368" s="151"/>
      <c r="AG368" s="151"/>
      <c r="AH368" s="151"/>
      <c r="AI368" s="151"/>
      <c r="AJ368" s="151"/>
      <c r="AK368" s="151"/>
      <c r="AL368" s="151"/>
      <c r="AM368" s="151"/>
      <c r="AN368" s="151"/>
      <c r="AO368" s="151"/>
      <c r="AP368" s="151"/>
      <c r="AQ368" s="151"/>
      <c r="AR368" s="151"/>
      <c r="AS368" s="151"/>
      <c r="AT368" s="151"/>
      <c r="AU368" s="151"/>
      <c r="AV368" s="151"/>
      <c r="AW368" s="151"/>
      <c r="AX368" s="151"/>
      <c r="AY368" s="151"/>
      <c r="AZ368" s="151"/>
      <c r="BA368" s="151"/>
      <c r="BB368" s="151"/>
      <c r="BC368" s="151"/>
      <c r="BD368" s="151"/>
      <c r="BE368" s="151"/>
      <c r="BF368" s="151"/>
      <c r="BG368" s="151"/>
      <c r="BH368" s="151"/>
      <c r="BI368" s="151"/>
      <c r="BJ368" s="151"/>
      <c r="BK368" s="151"/>
      <c r="BL368" s="151"/>
      <c r="BM368" s="151"/>
      <c r="BN368" s="151"/>
    </row>
    <row r="369" spans="25:66">
      <c r="Y369" s="151"/>
      <c r="Z369" s="151"/>
      <c r="AA369" s="151"/>
      <c r="AB369" s="151"/>
      <c r="AC369" s="151"/>
      <c r="AD369" s="151"/>
      <c r="AE369" s="151"/>
      <c r="AF369" s="151"/>
      <c r="AG369" s="151"/>
      <c r="AH369" s="151"/>
      <c r="AI369" s="151"/>
      <c r="AJ369" s="151"/>
      <c r="AK369" s="151"/>
      <c r="AL369" s="151"/>
      <c r="AM369" s="151"/>
      <c r="AN369" s="151"/>
      <c r="AO369" s="151"/>
      <c r="AP369" s="151"/>
      <c r="AQ369" s="151"/>
      <c r="AR369" s="151"/>
      <c r="AS369" s="151"/>
      <c r="AT369" s="151"/>
      <c r="AU369" s="151"/>
      <c r="AV369" s="151"/>
      <c r="AW369" s="151"/>
      <c r="AX369" s="151"/>
      <c r="AY369" s="151"/>
      <c r="AZ369" s="151"/>
      <c r="BA369" s="151"/>
      <c r="BB369" s="151"/>
      <c r="BC369" s="151"/>
      <c r="BD369" s="151"/>
      <c r="BE369" s="151"/>
      <c r="BF369" s="151"/>
      <c r="BG369" s="151"/>
      <c r="BH369" s="151"/>
      <c r="BI369" s="151"/>
      <c r="BJ369" s="151"/>
      <c r="BK369" s="151"/>
      <c r="BL369" s="151"/>
      <c r="BM369" s="151"/>
      <c r="BN369" s="151"/>
    </row>
    <row r="370" spans="25:66">
      <c r="Y370" s="151"/>
      <c r="Z370" s="151"/>
      <c r="AA370" s="151"/>
      <c r="AB370" s="151"/>
      <c r="AC370" s="151"/>
      <c r="AD370" s="151"/>
      <c r="AE370" s="151"/>
      <c r="AF370" s="151"/>
      <c r="AG370" s="151"/>
      <c r="AH370" s="151"/>
      <c r="AI370" s="151"/>
      <c r="AJ370" s="151"/>
      <c r="AK370" s="151"/>
      <c r="AL370" s="151"/>
      <c r="AM370" s="151"/>
      <c r="AN370" s="151"/>
      <c r="AO370" s="151"/>
      <c r="AP370" s="151"/>
      <c r="AQ370" s="151"/>
      <c r="AR370" s="151"/>
      <c r="AS370" s="151"/>
      <c r="AT370" s="151"/>
      <c r="AU370" s="151"/>
      <c r="AV370" s="151"/>
      <c r="AW370" s="151"/>
      <c r="AX370" s="151"/>
      <c r="AY370" s="151"/>
      <c r="AZ370" s="151"/>
      <c r="BA370" s="151"/>
      <c r="BB370" s="151"/>
      <c r="BC370" s="151"/>
      <c r="BD370" s="151"/>
      <c r="BE370" s="151"/>
      <c r="BF370" s="151"/>
      <c r="BG370" s="151"/>
      <c r="BH370" s="151"/>
      <c r="BI370" s="151"/>
      <c r="BJ370" s="151"/>
      <c r="BK370" s="151"/>
      <c r="BL370" s="151"/>
      <c r="BM370" s="151"/>
      <c r="BN370" s="151"/>
    </row>
    <row r="371" spans="25:66">
      <c r="Y371" s="151"/>
      <c r="Z371" s="151"/>
      <c r="AA371" s="151"/>
      <c r="AB371" s="151"/>
      <c r="AC371" s="151"/>
      <c r="AD371" s="151"/>
      <c r="AE371" s="151"/>
      <c r="AF371" s="151"/>
      <c r="AG371" s="151"/>
      <c r="AH371" s="151"/>
      <c r="AI371" s="151"/>
      <c r="AJ371" s="151"/>
      <c r="AK371" s="151"/>
      <c r="AL371" s="151"/>
      <c r="AM371" s="151"/>
      <c r="AN371" s="151"/>
      <c r="AO371" s="151"/>
      <c r="AP371" s="151"/>
      <c r="AQ371" s="151"/>
      <c r="AR371" s="151"/>
      <c r="AS371" s="151"/>
      <c r="AT371" s="151"/>
      <c r="AU371" s="151"/>
      <c r="AV371" s="151"/>
      <c r="AW371" s="151"/>
      <c r="AX371" s="151"/>
      <c r="AY371" s="151"/>
      <c r="AZ371" s="151"/>
      <c r="BA371" s="151"/>
      <c r="BB371" s="151"/>
      <c r="BC371" s="151"/>
      <c r="BD371" s="151"/>
      <c r="BE371" s="151"/>
      <c r="BF371" s="151"/>
      <c r="BG371" s="151"/>
      <c r="BH371" s="151"/>
      <c r="BI371" s="151"/>
      <c r="BJ371" s="151"/>
      <c r="BK371" s="151"/>
      <c r="BL371" s="151"/>
      <c r="BM371" s="151"/>
      <c r="BN371" s="151"/>
    </row>
    <row r="372" spans="25:66">
      <c r="Y372" s="151"/>
      <c r="Z372" s="151"/>
      <c r="AA372" s="151"/>
      <c r="AB372" s="151"/>
      <c r="AC372" s="151"/>
      <c r="AD372" s="151"/>
      <c r="AE372" s="151"/>
      <c r="AF372" s="151"/>
      <c r="AG372" s="151"/>
      <c r="AH372" s="151"/>
      <c r="AI372" s="151"/>
      <c r="AJ372" s="151"/>
      <c r="AK372" s="151"/>
      <c r="AL372" s="151"/>
      <c r="AM372" s="151"/>
      <c r="AN372" s="151"/>
      <c r="AO372" s="151"/>
      <c r="AP372" s="151"/>
      <c r="AQ372" s="151"/>
      <c r="AR372" s="151"/>
      <c r="AS372" s="151"/>
      <c r="AT372" s="151"/>
      <c r="AU372" s="151"/>
      <c r="AV372" s="151"/>
      <c r="AW372" s="151"/>
      <c r="AX372" s="151"/>
      <c r="AY372" s="151"/>
      <c r="AZ372" s="151"/>
      <c r="BA372" s="151"/>
      <c r="BB372" s="151"/>
      <c r="BC372" s="151"/>
      <c r="BD372" s="151"/>
      <c r="BE372" s="151"/>
      <c r="BF372" s="151"/>
      <c r="BG372" s="151"/>
      <c r="BH372" s="151"/>
      <c r="BI372" s="151"/>
      <c r="BJ372" s="151"/>
      <c r="BK372" s="151"/>
      <c r="BL372" s="151"/>
      <c r="BM372" s="151"/>
      <c r="BN372" s="151"/>
    </row>
    <row r="373" spans="25:66">
      <c r="Y373" s="151"/>
      <c r="Z373" s="151"/>
      <c r="AA373" s="151"/>
      <c r="AB373" s="151"/>
      <c r="AC373" s="151"/>
      <c r="AD373" s="151"/>
      <c r="AE373" s="151"/>
      <c r="AF373" s="151"/>
      <c r="AG373" s="151"/>
      <c r="AH373" s="151"/>
      <c r="AI373" s="151"/>
      <c r="AJ373" s="151"/>
      <c r="AK373" s="151"/>
      <c r="AL373" s="151"/>
      <c r="AM373" s="151"/>
      <c r="AN373" s="151"/>
      <c r="AO373" s="151"/>
      <c r="AP373" s="151"/>
      <c r="AQ373" s="151"/>
      <c r="AR373" s="151"/>
      <c r="AS373" s="151"/>
      <c r="AT373" s="151"/>
      <c r="AU373" s="151"/>
      <c r="AV373" s="151"/>
      <c r="AW373" s="151"/>
      <c r="AX373" s="151"/>
      <c r="AY373" s="151"/>
      <c r="AZ373" s="151"/>
      <c r="BA373" s="151"/>
      <c r="BB373" s="151"/>
      <c r="BC373" s="151"/>
      <c r="BD373" s="151"/>
      <c r="BE373" s="151"/>
      <c r="BF373" s="151"/>
      <c r="BG373" s="151"/>
      <c r="BH373" s="151"/>
      <c r="BI373" s="151"/>
      <c r="BJ373" s="151"/>
      <c r="BK373" s="151"/>
      <c r="BL373" s="151"/>
      <c r="BM373" s="151"/>
      <c r="BN373" s="151"/>
    </row>
    <row r="374" spans="25:66">
      <c r="Y374" s="151"/>
      <c r="Z374" s="151"/>
      <c r="AA374" s="151"/>
      <c r="AB374" s="151"/>
      <c r="AC374" s="151"/>
      <c r="AD374" s="151"/>
      <c r="AE374" s="151"/>
      <c r="AF374" s="151"/>
      <c r="AG374" s="151"/>
      <c r="AH374" s="151"/>
      <c r="AI374" s="151"/>
      <c r="AJ374" s="151"/>
      <c r="AK374" s="151"/>
      <c r="AL374" s="151"/>
      <c r="AM374" s="151"/>
      <c r="AN374" s="151"/>
      <c r="AO374" s="151"/>
      <c r="AP374" s="151"/>
      <c r="AQ374" s="151"/>
      <c r="AR374" s="151"/>
      <c r="AS374" s="151"/>
      <c r="AT374" s="151"/>
      <c r="AU374" s="151"/>
      <c r="AV374" s="151"/>
      <c r="AW374" s="151"/>
      <c r="AX374" s="151"/>
      <c r="AY374" s="151"/>
      <c r="AZ374" s="151"/>
      <c r="BA374" s="151"/>
      <c r="BB374" s="151"/>
      <c r="BC374" s="151"/>
      <c r="BD374" s="151"/>
      <c r="BE374" s="151"/>
      <c r="BF374" s="151"/>
      <c r="BG374" s="151"/>
      <c r="BH374" s="151"/>
      <c r="BI374" s="151"/>
      <c r="BJ374" s="151"/>
      <c r="BK374" s="151"/>
      <c r="BL374" s="151"/>
      <c r="BM374" s="151"/>
      <c r="BN374" s="151"/>
    </row>
    <row r="375" spans="25:66">
      <c r="Y375" s="151"/>
      <c r="Z375" s="151"/>
      <c r="AA375" s="151"/>
      <c r="AB375" s="151"/>
      <c r="AC375" s="151"/>
      <c r="AD375" s="151"/>
      <c r="AE375" s="151"/>
      <c r="AF375" s="151"/>
      <c r="AG375" s="151"/>
      <c r="AH375" s="151"/>
      <c r="AI375" s="151"/>
      <c r="AJ375" s="151"/>
      <c r="AK375" s="151"/>
      <c r="AL375" s="151"/>
      <c r="AM375" s="151"/>
      <c r="AN375" s="151"/>
      <c r="AO375" s="151"/>
      <c r="AP375" s="151"/>
      <c r="AQ375" s="151"/>
      <c r="AR375" s="151"/>
      <c r="AS375" s="151"/>
      <c r="AT375" s="151"/>
      <c r="AU375" s="151"/>
      <c r="AV375" s="151"/>
      <c r="AW375" s="151"/>
      <c r="AX375" s="151"/>
      <c r="AY375" s="151"/>
      <c r="AZ375" s="151"/>
      <c r="BA375" s="151"/>
      <c r="BB375" s="151"/>
      <c r="BC375" s="151"/>
      <c r="BD375" s="151"/>
      <c r="BE375" s="151"/>
      <c r="BF375" s="151"/>
      <c r="BG375" s="151"/>
      <c r="BH375" s="151"/>
      <c r="BI375" s="151"/>
      <c r="BJ375" s="151"/>
      <c r="BK375" s="151"/>
      <c r="BL375" s="151"/>
      <c r="BM375" s="151"/>
      <c r="BN375" s="151"/>
    </row>
    <row r="376" spans="25:66">
      <c r="Y376" s="151"/>
      <c r="Z376" s="151"/>
      <c r="AA376" s="151"/>
      <c r="AB376" s="151"/>
      <c r="AC376" s="151"/>
      <c r="AD376" s="151"/>
      <c r="AE376" s="151"/>
      <c r="AF376" s="151"/>
      <c r="AG376" s="151"/>
      <c r="AH376" s="151"/>
      <c r="AI376" s="151"/>
      <c r="AJ376" s="151"/>
      <c r="AK376" s="151"/>
      <c r="AL376" s="151"/>
      <c r="AM376" s="151"/>
      <c r="AN376" s="151"/>
      <c r="AO376" s="151"/>
      <c r="AP376" s="151"/>
      <c r="AQ376" s="151"/>
      <c r="AR376" s="151"/>
      <c r="AS376" s="151"/>
      <c r="AT376" s="151"/>
      <c r="AU376" s="151"/>
      <c r="AV376" s="151"/>
      <c r="AW376" s="151"/>
      <c r="AX376" s="151"/>
      <c r="AY376" s="151"/>
      <c r="AZ376" s="151"/>
      <c r="BA376" s="151"/>
      <c r="BB376" s="151"/>
      <c r="BC376" s="151"/>
      <c r="BD376" s="151"/>
      <c r="BE376" s="151"/>
      <c r="BF376" s="151"/>
      <c r="BG376" s="151"/>
      <c r="BH376" s="151"/>
      <c r="BI376" s="151"/>
      <c r="BJ376" s="151"/>
      <c r="BK376" s="151"/>
      <c r="BL376" s="151"/>
      <c r="BM376" s="151"/>
      <c r="BN376" s="151"/>
    </row>
    <row r="377" spans="25:66">
      <c r="Y377" s="151"/>
      <c r="Z377" s="151"/>
      <c r="AA377" s="151"/>
      <c r="AB377" s="151"/>
      <c r="AC377" s="151"/>
      <c r="AD377" s="151"/>
      <c r="AE377" s="151"/>
      <c r="AF377" s="151"/>
      <c r="AG377" s="151"/>
      <c r="AH377" s="151"/>
      <c r="AI377" s="151"/>
      <c r="AJ377" s="151"/>
      <c r="AK377" s="151"/>
      <c r="AL377" s="151"/>
      <c r="AM377" s="151"/>
      <c r="AN377" s="151"/>
      <c r="AO377" s="151"/>
      <c r="AP377" s="151"/>
      <c r="AQ377" s="151"/>
      <c r="AR377" s="151"/>
      <c r="AS377" s="151"/>
      <c r="AT377" s="151"/>
      <c r="AU377" s="151"/>
      <c r="AV377" s="151"/>
      <c r="AW377" s="151"/>
      <c r="AX377" s="151"/>
      <c r="AY377" s="151"/>
      <c r="AZ377" s="151"/>
      <c r="BA377" s="151"/>
      <c r="BB377" s="151"/>
      <c r="BC377" s="151"/>
      <c r="BD377" s="151"/>
      <c r="BE377" s="151"/>
      <c r="BF377" s="151"/>
      <c r="BG377" s="151"/>
      <c r="BH377" s="151"/>
      <c r="BI377" s="151"/>
      <c r="BJ377" s="151"/>
      <c r="BK377" s="151"/>
      <c r="BL377" s="151"/>
      <c r="BM377" s="151"/>
      <c r="BN377" s="151"/>
    </row>
    <row r="378" spans="25:66">
      <c r="Y378" s="151"/>
      <c r="Z378" s="151"/>
      <c r="AA378" s="151"/>
      <c r="AB378" s="151"/>
      <c r="AC378" s="151"/>
      <c r="AD378" s="151"/>
      <c r="AE378" s="151"/>
      <c r="AF378" s="151"/>
      <c r="AG378" s="151"/>
      <c r="AH378" s="151"/>
      <c r="AI378" s="151"/>
      <c r="AJ378" s="151"/>
      <c r="AK378" s="151"/>
      <c r="AL378" s="151"/>
      <c r="AM378" s="151"/>
      <c r="AN378" s="151"/>
      <c r="AO378" s="151"/>
      <c r="AP378" s="151"/>
      <c r="AQ378" s="151"/>
      <c r="AR378" s="151"/>
      <c r="AS378" s="151"/>
      <c r="AT378" s="151"/>
      <c r="AU378" s="151"/>
      <c r="AV378" s="151"/>
      <c r="AW378" s="151"/>
      <c r="AX378" s="151"/>
      <c r="AY378" s="151"/>
      <c r="AZ378" s="151"/>
      <c r="BA378" s="151"/>
      <c r="BB378" s="151"/>
      <c r="BC378" s="151"/>
      <c r="BD378" s="151"/>
      <c r="BE378" s="151"/>
      <c r="BF378" s="151"/>
      <c r="BG378" s="151"/>
      <c r="BH378" s="151"/>
      <c r="BI378" s="151"/>
      <c r="BJ378" s="151"/>
      <c r="BK378" s="151"/>
      <c r="BL378" s="151"/>
      <c r="BM378" s="151"/>
      <c r="BN378" s="151"/>
    </row>
    <row r="379" spans="25:66">
      <c r="Y379" s="151"/>
      <c r="Z379" s="151"/>
      <c r="AA379" s="151"/>
      <c r="AB379" s="151"/>
      <c r="AC379" s="151"/>
      <c r="AD379" s="151"/>
      <c r="AE379" s="151"/>
      <c r="AF379" s="151"/>
      <c r="AG379" s="151"/>
      <c r="AH379" s="151"/>
      <c r="AI379" s="151"/>
      <c r="AJ379" s="151"/>
      <c r="AK379" s="151"/>
      <c r="AL379" s="151"/>
      <c r="AM379" s="151"/>
      <c r="AN379" s="151"/>
      <c r="AO379" s="151"/>
      <c r="AP379" s="151"/>
      <c r="AQ379" s="151"/>
      <c r="AR379" s="151"/>
      <c r="AS379" s="151"/>
      <c r="AT379" s="151"/>
      <c r="AU379" s="151"/>
      <c r="AV379" s="151"/>
      <c r="AW379" s="151"/>
      <c r="AX379" s="151"/>
      <c r="AY379" s="151"/>
      <c r="AZ379" s="151"/>
      <c r="BA379" s="151"/>
      <c r="BB379" s="151"/>
      <c r="BC379" s="151"/>
      <c r="BD379" s="151"/>
      <c r="BE379" s="151"/>
      <c r="BF379" s="151"/>
      <c r="BG379" s="151"/>
      <c r="BH379" s="151"/>
      <c r="BI379" s="151"/>
      <c r="BJ379" s="151"/>
      <c r="BK379" s="151"/>
      <c r="BL379" s="151"/>
      <c r="BM379" s="151"/>
      <c r="BN379" s="151"/>
    </row>
    <row r="380" spans="25:66">
      <c r="Y380" s="151"/>
      <c r="Z380" s="151"/>
      <c r="AA380" s="151"/>
      <c r="AB380" s="151"/>
      <c r="AC380" s="151"/>
      <c r="AD380" s="151"/>
      <c r="AE380" s="151"/>
      <c r="AF380" s="151"/>
      <c r="AG380" s="151"/>
      <c r="AH380" s="151"/>
      <c r="AI380" s="151"/>
      <c r="AJ380" s="151"/>
      <c r="AK380" s="151"/>
      <c r="AL380" s="151"/>
      <c r="AM380" s="151"/>
      <c r="AN380" s="151"/>
      <c r="AO380" s="151"/>
      <c r="AP380" s="151"/>
      <c r="AQ380" s="151"/>
      <c r="AR380" s="151"/>
      <c r="AS380" s="151"/>
      <c r="AT380" s="151"/>
      <c r="AU380" s="151"/>
      <c r="AV380" s="151"/>
      <c r="AW380" s="151"/>
      <c r="AX380" s="151"/>
      <c r="AY380" s="151"/>
      <c r="AZ380" s="151"/>
      <c r="BA380" s="151"/>
      <c r="BB380" s="151"/>
      <c r="BC380" s="151"/>
      <c r="BD380" s="151"/>
      <c r="BE380" s="151"/>
      <c r="BF380" s="151"/>
      <c r="BG380" s="151"/>
      <c r="BH380" s="151"/>
      <c r="BI380" s="151"/>
      <c r="BJ380" s="151"/>
      <c r="BK380" s="151"/>
      <c r="BL380" s="151"/>
      <c r="BM380" s="151"/>
      <c r="BN380" s="151"/>
    </row>
    <row r="381" spans="25:66">
      <c r="Y381" s="151"/>
      <c r="Z381" s="151"/>
      <c r="AA381" s="151"/>
      <c r="AB381" s="151"/>
      <c r="AC381" s="151"/>
      <c r="AD381" s="151"/>
      <c r="AE381" s="151"/>
      <c r="AF381" s="151"/>
      <c r="AG381" s="151"/>
      <c r="AH381" s="151"/>
      <c r="AI381" s="151"/>
      <c r="AJ381" s="151"/>
      <c r="AK381" s="151"/>
      <c r="AL381" s="151"/>
      <c r="AM381" s="151"/>
      <c r="AN381" s="151"/>
      <c r="AO381" s="151"/>
      <c r="AP381" s="151"/>
      <c r="AQ381" s="151"/>
      <c r="AR381" s="151"/>
      <c r="AS381" s="151"/>
      <c r="AT381" s="151"/>
      <c r="AU381" s="151"/>
      <c r="AV381" s="151"/>
      <c r="AW381" s="151"/>
      <c r="AX381" s="151"/>
      <c r="AY381" s="151"/>
      <c r="AZ381" s="151"/>
      <c r="BA381" s="151"/>
      <c r="BB381" s="151"/>
      <c r="BC381" s="151"/>
      <c r="BD381" s="151"/>
      <c r="BE381" s="151"/>
      <c r="BF381" s="151"/>
      <c r="BG381" s="151"/>
      <c r="BH381" s="151"/>
      <c r="BI381" s="151"/>
      <c r="BJ381" s="151"/>
      <c r="BK381" s="151"/>
      <c r="BL381" s="151"/>
      <c r="BM381" s="151"/>
      <c r="BN381" s="151"/>
    </row>
    <row r="382" spans="25:66">
      <c r="Y382" s="151"/>
      <c r="Z382" s="151"/>
      <c r="AA382" s="151"/>
      <c r="AB382" s="151"/>
      <c r="AC382" s="151"/>
      <c r="AD382" s="151"/>
      <c r="AE382" s="151"/>
      <c r="AF382" s="151"/>
      <c r="AG382" s="151"/>
      <c r="AH382" s="151"/>
      <c r="AI382" s="151"/>
      <c r="AJ382" s="151"/>
      <c r="AK382" s="151"/>
      <c r="AL382" s="151"/>
      <c r="AM382" s="151"/>
      <c r="AN382" s="151"/>
      <c r="AO382" s="151"/>
      <c r="AP382" s="151"/>
      <c r="AQ382" s="151"/>
      <c r="AR382" s="151"/>
      <c r="AS382" s="151"/>
      <c r="AT382" s="151"/>
      <c r="AU382" s="151"/>
      <c r="AV382" s="151"/>
      <c r="AW382" s="151"/>
      <c r="AX382" s="151"/>
      <c r="AY382" s="151"/>
      <c r="AZ382" s="151"/>
      <c r="BA382" s="151"/>
      <c r="BB382" s="151"/>
      <c r="BC382" s="151"/>
      <c r="BD382" s="151"/>
      <c r="BE382" s="151"/>
      <c r="BF382" s="151"/>
      <c r="BG382" s="151"/>
      <c r="BH382" s="151"/>
      <c r="BI382" s="151"/>
      <c r="BJ382" s="151"/>
      <c r="BK382" s="151"/>
      <c r="BL382" s="151"/>
      <c r="BM382" s="151"/>
      <c r="BN382" s="151"/>
    </row>
    <row r="383" spans="25:66">
      <c r="Y383" s="151"/>
      <c r="Z383" s="151"/>
      <c r="AA383" s="151"/>
      <c r="AB383" s="151"/>
      <c r="AC383" s="151"/>
      <c r="AD383" s="151"/>
      <c r="AE383" s="151"/>
      <c r="AF383" s="151"/>
      <c r="AG383" s="151"/>
      <c r="AH383" s="151"/>
      <c r="AI383" s="151"/>
      <c r="AJ383" s="151"/>
      <c r="AK383" s="151"/>
      <c r="AL383" s="151"/>
      <c r="AM383" s="151"/>
      <c r="AN383" s="151"/>
      <c r="AO383" s="151"/>
      <c r="AP383" s="151"/>
      <c r="AQ383" s="151"/>
      <c r="AR383" s="151"/>
      <c r="AS383" s="151"/>
      <c r="AT383" s="151"/>
      <c r="AU383" s="151"/>
      <c r="AV383" s="151"/>
      <c r="AW383" s="151"/>
      <c r="AX383" s="151"/>
      <c r="AY383" s="151"/>
      <c r="AZ383" s="151"/>
      <c r="BA383" s="151"/>
      <c r="BB383" s="151"/>
      <c r="BC383" s="151"/>
      <c r="BD383" s="151"/>
      <c r="BE383" s="151"/>
      <c r="BF383" s="151"/>
      <c r="BG383" s="151"/>
      <c r="BH383" s="151"/>
      <c r="BI383" s="151"/>
      <c r="BJ383" s="151"/>
      <c r="BK383" s="151"/>
      <c r="BL383" s="151"/>
      <c r="BM383" s="151"/>
      <c r="BN383" s="151"/>
    </row>
    <row r="384" spans="25:66">
      <c r="Y384" s="151"/>
      <c r="Z384" s="151"/>
      <c r="AA384" s="151"/>
      <c r="AB384" s="151"/>
      <c r="AC384" s="151"/>
      <c r="AD384" s="151"/>
      <c r="AE384" s="151"/>
      <c r="AF384" s="151"/>
      <c r="AG384" s="151"/>
      <c r="AH384" s="151"/>
      <c r="AI384" s="151"/>
      <c r="AJ384" s="151"/>
      <c r="AK384" s="151"/>
      <c r="AL384" s="151"/>
      <c r="AM384" s="151"/>
      <c r="AN384" s="151"/>
      <c r="AO384" s="151"/>
      <c r="AP384" s="151"/>
      <c r="AQ384" s="151"/>
      <c r="AR384" s="151"/>
      <c r="AS384" s="151"/>
      <c r="AT384" s="151"/>
      <c r="AU384" s="151"/>
      <c r="AV384" s="151"/>
      <c r="AW384" s="151"/>
      <c r="AX384" s="151"/>
      <c r="AY384" s="151"/>
      <c r="AZ384" s="151"/>
      <c r="BA384" s="151"/>
      <c r="BB384" s="151"/>
      <c r="BC384" s="151"/>
      <c r="BD384" s="151"/>
      <c r="BE384" s="151"/>
      <c r="BF384" s="151"/>
      <c r="BG384" s="151"/>
      <c r="BH384" s="151"/>
      <c r="BI384" s="151"/>
      <c r="BJ384" s="151"/>
      <c r="BK384" s="151"/>
      <c r="BL384" s="151"/>
      <c r="BM384" s="151"/>
      <c r="BN384" s="151"/>
    </row>
    <row r="385" spans="25:66">
      <c r="Y385" s="151"/>
      <c r="Z385" s="151"/>
      <c r="AA385" s="151"/>
      <c r="AB385" s="151"/>
      <c r="AC385" s="151"/>
      <c r="AD385" s="151"/>
      <c r="AE385" s="151"/>
      <c r="AF385" s="151"/>
      <c r="AG385" s="151"/>
      <c r="AH385" s="151"/>
      <c r="AI385" s="151"/>
      <c r="AJ385" s="151"/>
      <c r="AK385" s="151"/>
      <c r="AL385" s="151"/>
      <c r="AM385" s="151"/>
      <c r="AN385" s="151"/>
      <c r="AO385" s="151"/>
      <c r="AP385" s="151"/>
      <c r="AQ385" s="151"/>
      <c r="AR385" s="151"/>
      <c r="AS385" s="151"/>
      <c r="AT385" s="151"/>
      <c r="AU385" s="151"/>
      <c r="AV385" s="151"/>
      <c r="AW385" s="151"/>
      <c r="AX385" s="151"/>
      <c r="AY385" s="151"/>
      <c r="AZ385" s="151"/>
      <c r="BA385" s="151"/>
      <c r="BB385" s="151"/>
      <c r="BC385" s="151"/>
      <c r="BD385" s="151"/>
      <c r="BE385" s="151"/>
      <c r="BF385" s="151"/>
      <c r="BG385" s="151"/>
      <c r="BH385" s="151"/>
      <c r="BI385" s="151"/>
      <c r="BJ385" s="151"/>
      <c r="BK385" s="151"/>
      <c r="BL385" s="151"/>
      <c r="BM385" s="151"/>
      <c r="BN385" s="151"/>
    </row>
    <row r="386" spans="25:66">
      <c r="Y386" s="151"/>
      <c r="Z386" s="151"/>
      <c r="AA386" s="151"/>
      <c r="AB386" s="151"/>
      <c r="AC386" s="151"/>
      <c r="AD386" s="151"/>
      <c r="AE386" s="151"/>
      <c r="AF386" s="151"/>
      <c r="AG386" s="151"/>
      <c r="AH386" s="151"/>
      <c r="AI386" s="151"/>
      <c r="AJ386" s="151"/>
      <c r="AK386" s="151"/>
      <c r="AL386" s="151"/>
      <c r="AM386" s="151"/>
      <c r="AN386" s="151"/>
      <c r="AO386" s="151"/>
      <c r="AP386" s="151"/>
      <c r="AQ386" s="151"/>
      <c r="AR386" s="151"/>
      <c r="AS386" s="151"/>
      <c r="AT386" s="151"/>
      <c r="AU386" s="151"/>
      <c r="AV386" s="151"/>
      <c r="AW386" s="151"/>
      <c r="AX386" s="151"/>
      <c r="AY386" s="151"/>
      <c r="AZ386" s="151"/>
      <c r="BA386" s="151"/>
      <c r="BB386" s="151"/>
      <c r="BC386" s="151"/>
      <c r="BD386" s="151"/>
      <c r="BE386" s="151"/>
      <c r="BF386" s="151"/>
      <c r="BG386" s="151"/>
      <c r="BH386" s="151"/>
      <c r="BI386" s="151"/>
      <c r="BJ386" s="151"/>
      <c r="BK386" s="151"/>
      <c r="BL386" s="151"/>
      <c r="BM386" s="151"/>
      <c r="BN386" s="151"/>
    </row>
    <row r="387" spans="25:66">
      <c r="Y387" s="151"/>
      <c r="Z387" s="151"/>
      <c r="AA387" s="151"/>
      <c r="AB387" s="151"/>
      <c r="AC387" s="151"/>
      <c r="AD387" s="151"/>
      <c r="AE387" s="151"/>
      <c r="AF387" s="151"/>
      <c r="AG387" s="151"/>
      <c r="AH387" s="151"/>
      <c r="AI387" s="151"/>
      <c r="AJ387" s="151"/>
      <c r="AK387" s="151"/>
      <c r="AL387" s="151"/>
      <c r="AM387" s="151"/>
      <c r="AN387" s="151"/>
      <c r="AO387" s="151"/>
      <c r="AP387" s="151"/>
      <c r="AQ387" s="151"/>
      <c r="AR387" s="151"/>
      <c r="AS387" s="151"/>
      <c r="AT387" s="151"/>
      <c r="AU387" s="151"/>
      <c r="AV387" s="151"/>
      <c r="AW387" s="151"/>
      <c r="AX387" s="151"/>
      <c r="AY387" s="151"/>
      <c r="AZ387" s="151"/>
      <c r="BA387" s="151"/>
      <c r="BB387" s="151"/>
      <c r="BC387" s="151"/>
      <c r="BD387" s="151"/>
      <c r="BE387" s="151"/>
      <c r="BF387" s="151"/>
      <c r="BG387" s="151"/>
      <c r="BH387" s="151"/>
      <c r="BI387" s="151"/>
      <c r="BJ387" s="151"/>
      <c r="BK387" s="151"/>
      <c r="BL387" s="151"/>
      <c r="BM387" s="151"/>
      <c r="BN387" s="151"/>
    </row>
    <row r="388" spans="25:66">
      <c r="Y388" s="151"/>
      <c r="Z388" s="151"/>
      <c r="AA388" s="151"/>
      <c r="AB388" s="151"/>
      <c r="AC388" s="151"/>
      <c r="AD388" s="151"/>
      <c r="AE388" s="151"/>
      <c r="AF388" s="151"/>
      <c r="AG388" s="151"/>
      <c r="AH388" s="151"/>
      <c r="AI388" s="151"/>
      <c r="AJ388" s="151"/>
      <c r="AK388" s="151"/>
      <c r="AL388" s="151"/>
      <c r="AM388" s="151"/>
      <c r="AN388" s="151"/>
      <c r="AO388" s="151"/>
      <c r="AP388" s="151"/>
      <c r="AQ388" s="151"/>
      <c r="AR388" s="151"/>
      <c r="AS388" s="151"/>
      <c r="AT388" s="151"/>
      <c r="AU388" s="151"/>
      <c r="AV388" s="151"/>
      <c r="AW388" s="151"/>
      <c r="AX388" s="151"/>
      <c r="AY388" s="151"/>
      <c r="AZ388" s="151"/>
      <c r="BA388" s="151"/>
      <c r="BB388" s="151"/>
      <c r="BC388" s="151"/>
      <c r="BD388" s="151"/>
      <c r="BE388" s="151"/>
      <c r="BF388" s="151"/>
      <c r="BG388" s="151"/>
      <c r="BH388" s="151"/>
      <c r="BI388" s="151"/>
      <c r="BJ388" s="151"/>
      <c r="BK388" s="151"/>
      <c r="BL388" s="151"/>
      <c r="BM388" s="151"/>
      <c r="BN388" s="151"/>
    </row>
    <row r="389" spans="25:66">
      <c r="Y389" s="151"/>
      <c r="Z389" s="151"/>
      <c r="AA389" s="151"/>
      <c r="AB389" s="151"/>
      <c r="AC389" s="151"/>
      <c r="AD389" s="151"/>
      <c r="AE389" s="151"/>
      <c r="AF389" s="151"/>
      <c r="AG389" s="151"/>
      <c r="AH389" s="151"/>
      <c r="AI389" s="151"/>
      <c r="AJ389" s="151"/>
      <c r="AK389" s="151"/>
      <c r="AL389" s="151"/>
      <c r="AM389" s="151"/>
      <c r="AN389" s="151"/>
      <c r="AO389" s="151"/>
      <c r="AP389" s="151"/>
      <c r="AQ389" s="151"/>
      <c r="AR389" s="151"/>
      <c r="AS389" s="151"/>
      <c r="AT389" s="151"/>
      <c r="AU389" s="151"/>
      <c r="AV389" s="151"/>
      <c r="AW389" s="151"/>
      <c r="AX389" s="151"/>
      <c r="AY389" s="151"/>
      <c r="AZ389" s="151"/>
      <c r="BA389" s="151"/>
      <c r="BB389" s="151"/>
      <c r="BC389" s="151"/>
      <c r="BD389" s="151"/>
      <c r="BE389" s="151"/>
      <c r="BF389" s="151"/>
      <c r="BG389" s="151"/>
      <c r="BH389" s="151"/>
      <c r="BI389" s="151"/>
      <c r="BJ389" s="151"/>
      <c r="BK389" s="151"/>
      <c r="BL389" s="151"/>
      <c r="BM389" s="151"/>
      <c r="BN389" s="151"/>
    </row>
    <row r="390" spans="25:66">
      <c r="Y390" s="151"/>
      <c r="Z390" s="151"/>
      <c r="AA390" s="151"/>
      <c r="AB390" s="151"/>
      <c r="AC390" s="151"/>
      <c r="AD390" s="151"/>
      <c r="AE390" s="151"/>
      <c r="AF390" s="151"/>
      <c r="AG390" s="151"/>
      <c r="AH390" s="151"/>
      <c r="AI390" s="151"/>
      <c r="AJ390" s="151"/>
      <c r="AK390" s="151"/>
      <c r="AL390" s="151"/>
      <c r="AM390" s="151"/>
      <c r="AN390" s="151"/>
      <c r="AO390" s="151"/>
      <c r="AP390" s="151"/>
      <c r="AQ390" s="151"/>
      <c r="AR390" s="151"/>
      <c r="AS390" s="151"/>
      <c r="AT390" s="151"/>
      <c r="AU390" s="151"/>
      <c r="AV390" s="151"/>
      <c r="AW390" s="151"/>
      <c r="AX390" s="151"/>
      <c r="AY390" s="151"/>
      <c r="AZ390" s="151"/>
      <c r="BA390" s="151"/>
      <c r="BB390" s="151"/>
      <c r="BC390" s="151"/>
      <c r="BD390" s="151"/>
      <c r="BE390" s="151"/>
      <c r="BF390" s="151"/>
      <c r="BG390" s="151"/>
      <c r="BH390" s="151"/>
      <c r="BI390" s="151"/>
      <c r="BJ390" s="151"/>
      <c r="BK390" s="151"/>
      <c r="BL390" s="151"/>
      <c r="BM390" s="151"/>
      <c r="BN390" s="151"/>
    </row>
    <row r="391" spans="25:66">
      <c r="Y391" s="151"/>
      <c r="Z391" s="151"/>
      <c r="AA391" s="151"/>
      <c r="AB391" s="151"/>
      <c r="AC391" s="151"/>
      <c r="AD391" s="151"/>
      <c r="AE391" s="151"/>
      <c r="AF391" s="151"/>
      <c r="AG391" s="151"/>
      <c r="AH391" s="151"/>
      <c r="AI391" s="151"/>
      <c r="AJ391" s="151"/>
      <c r="AK391" s="151"/>
      <c r="AL391" s="151"/>
      <c r="AM391" s="151"/>
      <c r="AN391" s="151"/>
      <c r="AO391" s="151"/>
      <c r="AP391" s="151"/>
      <c r="AQ391" s="151"/>
      <c r="AR391" s="151"/>
      <c r="AS391" s="151"/>
      <c r="AT391" s="151"/>
      <c r="AU391" s="151"/>
      <c r="AV391" s="151"/>
      <c r="AW391" s="151"/>
      <c r="AX391" s="151"/>
      <c r="AY391" s="151"/>
      <c r="AZ391" s="151"/>
      <c r="BA391" s="151"/>
      <c r="BB391" s="151"/>
      <c r="BC391" s="151"/>
      <c r="BD391" s="151"/>
      <c r="BE391" s="151"/>
      <c r="BF391" s="151"/>
      <c r="BG391" s="151"/>
      <c r="BH391" s="151"/>
      <c r="BI391" s="151"/>
      <c r="BJ391" s="151"/>
      <c r="BK391" s="151"/>
      <c r="BL391" s="151"/>
      <c r="BM391" s="151"/>
      <c r="BN391" s="151"/>
    </row>
    <row r="392" spans="25:66">
      <c r="Y392" s="151"/>
      <c r="Z392" s="151"/>
      <c r="AA392" s="151"/>
      <c r="AB392" s="151"/>
      <c r="AC392" s="151"/>
      <c r="AD392" s="151"/>
      <c r="AE392" s="151"/>
      <c r="AF392" s="151"/>
      <c r="AG392" s="151"/>
      <c r="AH392" s="151"/>
      <c r="AI392" s="151"/>
      <c r="AJ392" s="151"/>
      <c r="AK392" s="151"/>
      <c r="AL392" s="151"/>
      <c r="AM392" s="151"/>
      <c r="AN392" s="151"/>
      <c r="AO392" s="151"/>
      <c r="AP392" s="151"/>
      <c r="AQ392" s="151"/>
      <c r="AR392" s="151"/>
      <c r="AS392" s="151"/>
      <c r="AT392" s="151"/>
      <c r="AU392" s="151"/>
      <c r="AV392" s="151"/>
      <c r="AW392" s="151"/>
      <c r="AX392" s="151"/>
      <c r="AY392" s="151"/>
      <c r="AZ392" s="151"/>
      <c r="BA392" s="151"/>
      <c r="BB392" s="151"/>
      <c r="BC392" s="151"/>
      <c r="BD392" s="151"/>
      <c r="BE392" s="151"/>
      <c r="BF392" s="151"/>
      <c r="BG392" s="151"/>
      <c r="BH392" s="151"/>
      <c r="BI392" s="151"/>
      <c r="BJ392" s="151"/>
      <c r="BK392" s="151"/>
      <c r="BL392" s="151"/>
      <c r="BM392" s="151"/>
      <c r="BN392" s="151"/>
    </row>
    <row r="393" spans="25:66">
      <c r="Y393" s="151"/>
      <c r="Z393" s="151"/>
      <c r="AA393" s="151"/>
      <c r="AB393" s="151"/>
      <c r="AC393" s="151"/>
      <c r="AD393" s="151"/>
      <c r="AE393" s="151"/>
      <c r="AF393" s="151"/>
      <c r="AG393" s="151"/>
      <c r="AH393" s="151"/>
      <c r="AI393" s="151"/>
      <c r="AJ393" s="151"/>
      <c r="AK393" s="151"/>
      <c r="AL393" s="151"/>
      <c r="AM393" s="151"/>
      <c r="AN393" s="151"/>
      <c r="AO393" s="151"/>
      <c r="AP393" s="151"/>
      <c r="AQ393" s="151"/>
      <c r="AR393" s="151"/>
      <c r="AS393" s="151"/>
      <c r="AT393" s="151"/>
      <c r="AU393" s="151"/>
      <c r="AV393" s="151"/>
      <c r="AW393" s="151"/>
      <c r="AX393" s="151"/>
      <c r="AY393" s="151"/>
      <c r="AZ393" s="151"/>
      <c r="BA393" s="151"/>
      <c r="BB393" s="151"/>
      <c r="BC393" s="151"/>
      <c r="BD393" s="151"/>
      <c r="BE393" s="151"/>
      <c r="BF393" s="151"/>
      <c r="BG393" s="151"/>
      <c r="BH393" s="151"/>
      <c r="BI393" s="151"/>
      <c r="BJ393" s="151"/>
      <c r="BK393" s="151"/>
      <c r="BL393" s="151"/>
      <c r="BM393" s="151"/>
      <c r="BN393" s="151"/>
    </row>
    <row r="394" spans="25:66">
      <c r="Y394" s="151"/>
      <c r="Z394" s="151"/>
      <c r="AA394" s="151"/>
      <c r="AB394" s="151"/>
      <c r="AC394" s="151"/>
      <c r="AD394" s="151"/>
      <c r="AE394" s="151"/>
      <c r="AF394" s="151"/>
      <c r="AG394" s="151"/>
      <c r="AH394" s="151"/>
      <c r="AI394" s="151"/>
      <c r="AJ394" s="151"/>
      <c r="AK394" s="151"/>
      <c r="AL394" s="151"/>
      <c r="AM394" s="151"/>
      <c r="AN394" s="151"/>
      <c r="AO394" s="151"/>
      <c r="AP394" s="151"/>
      <c r="AQ394" s="151"/>
      <c r="AR394" s="151"/>
      <c r="AS394" s="151"/>
      <c r="AT394" s="151"/>
      <c r="AU394" s="151"/>
      <c r="AV394" s="151"/>
      <c r="AW394" s="151"/>
      <c r="AX394" s="151"/>
      <c r="AY394" s="151"/>
      <c r="AZ394" s="151"/>
      <c r="BA394" s="151"/>
      <c r="BB394" s="151"/>
      <c r="BC394" s="151"/>
      <c r="BD394" s="151"/>
      <c r="BE394" s="151"/>
      <c r="BF394" s="151"/>
      <c r="BG394" s="151"/>
      <c r="BH394" s="151"/>
      <c r="BI394" s="151"/>
      <c r="BJ394" s="151"/>
      <c r="BK394" s="151"/>
      <c r="BL394" s="151"/>
      <c r="BM394" s="151"/>
      <c r="BN394" s="151"/>
    </row>
    <row r="395" spans="25:66">
      <c r="Y395" s="151"/>
      <c r="Z395" s="151"/>
      <c r="AA395" s="151"/>
      <c r="AB395" s="151"/>
      <c r="AC395" s="151"/>
      <c r="AD395" s="151"/>
      <c r="AE395" s="151"/>
      <c r="AF395" s="151"/>
      <c r="AG395" s="151"/>
      <c r="AH395" s="151"/>
      <c r="AI395" s="151"/>
      <c r="AJ395" s="151"/>
      <c r="AK395" s="151"/>
      <c r="AL395" s="151"/>
      <c r="AM395" s="151"/>
      <c r="AN395" s="151"/>
      <c r="AO395" s="151"/>
      <c r="AP395" s="151"/>
      <c r="AQ395" s="151"/>
      <c r="AR395" s="151"/>
      <c r="AS395" s="151"/>
      <c r="AT395" s="151"/>
      <c r="AU395" s="151"/>
      <c r="AV395" s="151"/>
      <c r="AW395" s="151"/>
      <c r="AX395" s="151"/>
      <c r="AY395" s="151"/>
      <c r="AZ395" s="151"/>
      <c r="BA395" s="151"/>
      <c r="BB395" s="151"/>
      <c r="BC395" s="151"/>
      <c r="BD395" s="151"/>
      <c r="BE395" s="151"/>
      <c r="BF395" s="151"/>
      <c r="BG395" s="151"/>
      <c r="BH395" s="151"/>
      <c r="BI395" s="151"/>
      <c r="BJ395" s="151"/>
      <c r="BK395" s="151"/>
      <c r="BL395" s="151"/>
      <c r="BM395" s="151"/>
      <c r="BN395" s="151"/>
    </row>
    <row r="396" spans="25:66">
      <c r="Y396" s="151"/>
      <c r="Z396" s="151"/>
      <c r="AA396" s="151"/>
      <c r="AB396" s="151"/>
      <c r="AC396" s="151"/>
      <c r="AD396" s="151"/>
      <c r="AE396" s="151"/>
      <c r="AF396" s="151"/>
      <c r="AG396" s="151"/>
      <c r="AH396" s="151"/>
      <c r="AI396" s="151"/>
      <c r="AJ396" s="151"/>
      <c r="AK396" s="151"/>
      <c r="AL396" s="151"/>
      <c r="AM396" s="151"/>
      <c r="AN396" s="151"/>
      <c r="AO396" s="151"/>
      <c r="AP396" s="151"/>
      <c r="AQ396" s="151"/>
      <c r="AR396" s="151"/>
      <c r="AS396" s="151"/>
      <c r="AT396" s="151"/>
      <c r="AU396" s="151"/>
      <c r="AV396" s="151"/>
      <c r="AW396" s="151"/>
      <c r="AX396" s="151"/>
      <c r="AY396" s="151"/>
      <c r="AZ396" s="151"/>
      <c r="BA396" s="151"/>
      <c r="BB396" s="151"/>
      <c r="BC396" s="151"/>
      <c r="BD396" s="151"/>
      <c r="BE396" s="151"/>
      <c r="BF396" s="151"/>
      <c r="BG396" s="151"/>
      <c r="BH396" s="151"/>
      <c r="BI396" s="151"/>
      <c r="BJ396" s="151"/>
      <c r="BK396" s="151"/>
      <c r="BL396" s="151"/>
      <c r="BM396" s="151"/>
      <c r="BN396" s="151"/>
    </row>
    <row r="397" spans="25:66">
      <c r="Y397" s="151"/>
      <c r="Z397" s="151"/>
      <c r="AA397" s="151"/>
      <c r="AB397" s="151"/>
      <c r="AC397" s="151"/>
      <c r="AD397" s="151"/>
      <c r="AE397" s="151"/>
      <c r="AF397" s="151"/>
      <c r="AG397" s="151"/>
      <c r="AH397" s="151"/>
      <c r="AI397" s="151"/>
      <c r="AJ397" s="151"/>
      <c r="AK397" s="151"/>
      <c r="AL397" s="151"/>
      <c r="AM397" s="151"/>
      <c r="AN397" s="151"/>
      <c r="AO397" s="151"/>
      <c r="AP397" s="151"/>
      <c r="AQ397" s="151"/>
      <c r="AR397" s="151"/>
      <c r="AS397" s="151"/>
      <c r="AT397" s="151"/>
      <c r="AU397" s="151"/>
      <c r="AV397" s="151"/>
      <c r="AW397" s="151"/>
      <c r="AX397" s="151"/>
      <c r="AY397" s="151"/>
      <c r="AZ397" s="151"/>
      <c r="BA397" s="151"/>
      <c r="BB397" s="151"/>
      <c r="BC397" s="151"/>
      <c r="BD397" s="151"/>
      <c r="BE397" s="151"/>
      <c r="BF397" s="151"/>
      <c r="BG397" s="151"/>
      <c r="BH397" s="151"/>
      <c r="BI397" s="151"/>
      <c r="BJ397" s="151"/>
      <c r="BK397" s="151"/>
      <c r="BL397" s="151"/>
      <c r="BM397" s="151"/>
      <c r="BN397" s="151"/>
    </row>
    <row r="398" spans="25:66">
      <c r="Y398" s="151"/>
      <c r="Z398" s="151"/>
      <c r="AA398" s="151"/>
      <c r="AB398" s="151"/>
      <c r="AC398" s="151"/>
      <c r="AD398" s="151"/>
      <c r="AE398" s="151"/>
      <c r="AF398" s="151"/>
      <c r="AG398" s="151"/>
      <c r="AH398" s="151"/>
      <c r="AI398" s="151"/>
      <c r="AJ398" s="151"/>
      <c r="AK398" s="151"/>
      <c r="AL398" s="151"/>
      <c r="AM398" s="151"/>
      <c r="AN398" s="151"/>
      <c r="AO398" s="151"/>
      <c r="AP398" s="151"/>
      <c r="AQ398" s="151"/>
      <c r="AR398" s="151"/>
      <c r="AS398" s="151"/>
      <c r="AT398" s="151"/>
      <c r="AU398" s="151"/>
      <c r="AV398" s="151"/>
      <c r="AW398" s="151"/>
      <c r="AX398" s="151"/>
      <c r="AY398" s="151"/>
      <c r="AZ398" s="151"/>
      <c r="BA398" s="151"/>
      <c r="BB398" s="151"/>
      <c r="BC398" s="151"/>
      <c r="BD398" s="151"/>
      <c r="BE398" s="151"/>
      <c r="BF398" s="151"/>
      <c r="BG398" s="151"/>
      <c r="BH398" s="151"/>
      <c r="BI398" s="151"/>
      <c r="BJ398" s="151"/>
      <c r="BK398" s="151"/>
      <c r="BL398" s="151"/>
      <c r="BM398" s="151"/>
      <c r="BN398" s="151"/>
    </row>
    <row r="399" spans="25:66">
      <c r="Y399" s="151"/>
      <c r="Z399" s="151"/>
      <c r="AA399" s="151"/>
      <c r="AB399" s="151"/>
      <c r="AC399" s="151"/>
      <c r="AD399" s="151"/>
      <c r="AE399" s="151"/>
      <c r="AF399" s="151"/>
      <c r="AG399" s="151"/>
      <c r="AH399" s="151"/>
      <c r="AI399" s="151"/>
      <c r="AJ399" s="151"/>
      <c r="AK399" s="151"/>
      <c r="AL399" s="151"/>
      <c r="AM399" s="151"/>
      <c r="AN399" s="151"/>
      <c r="AO399" s="151"/>
      <c r="AP399" s="151"/>
      <c r="AQ399" s="151"/>
      <c r="AR399" s="151"/>
      <c r="AS399" s="151"/>
      <c r="AT399" s="151"/>
      <c r="AU399" s="151"/>
      <c r="AV399" s="151"/>
      <c r="AW399" s="151"/>
      <c r="AX399" s="151"/>
      <c r="AY399" s="151"/>
      <c r="AZ399" s="151"/>
      <c r="BA399" s="151"/>
      <c r="BB399" s="151"/>
      <c r="BC399" s="151"/>
      <c r="BD399" s="151"/>
      <c r="BE399" s="151"/>
      <c r="BF399" s="151"/>
      <c r="BG399" s="151"/>
      <c r="BH399" s="151"/>
      <c r="BI399" s="151"/>
      <c r="BJ399" s="151"/>
      <c r="BK399" s="151"/>
      <c r="BL399" s="151"/>
      <c r="BM399" s="151"/>
      <c r="BN399" s="151"/>
    </row>
    <row r="400" spans="25:66">
      <c r="Y400" s="151"/>
      <c r="Z400" s="151"/>
      <c r="AA400" s="151"/>
      <c r="AB400" s="151"/>
      <c r="AC400" s="151"/>
      <c r="AD400" s="151"/>
      <c r="AE400" s="151"/>
      <c r="AF400" s="151"/>
      <c r="AG400" s="151"/>
      <c r="AH400" s="151"/>
      <c r="AI400" s="151"/>
      <c r="AJ400" s="151"/>
      <c r="AK400" s="151"/>
      <c r="AL400" s="151"/>
      <c r="AM400" s="151"/>
      <c r="AN400" s="151"/>
      <c r="AO400" s="151"/>
      <c r="AP400" s="151"/>
      <c r="AQ400" s="151"/>
      <c r="AR400" s="151"/>
      <c r="AS400" s="151"/>
      <c r="AT400" s="151"/>
      <c r="AU400" s="151"/>
      <c r="AV400" s="151"/>
      <c r="AW400" s="151"/>
      <c r="AX400" s="151"/>
      <c r="AY400" s="151"/>
      <c r="AZ400" s="151"/>
      <c r="BA400" s="151"/>
      <c r="BB400" s="151"/>
      <c r="BC400" s="151"/>
      <c r="BD400" s="151"/>
      <c r="BE400" s="151"/>
      <c r="BF400" s="151"/>
      <c r="BG400" s="151"/>
      <c r="BH400" s="151"/>
      <c r="BI400" s="151"/>
      <c r="BJ400" s="151"/>
      <c r="BK400" s="151"/>
      <c r="BL400" s="151"/>
      <c r="BM400" s="151"/>
      <c r="BN400" s="151"/>
    </row>
    <row r="401" spans="25:66">
      <c r="Y401" s="151"/>
      <c r="Z401" s="151"/>
      <c r="AA401" s="151"/>
      <c r="AB401" s="151"/>
      <c r="AC401" s="151"/>
      <c r="AD401" s="151"/>
      <c r="AE401" s="151"/>
      <c r="AF401" s="151"/>
      <c r="AG401" s="151"/>
      <c r="AH401" s="151"/>
      <c r="AI401" s="151"/>
      <c r="AJ401" s="151"/>
      <c r="AK401" s="151"/>
      <c r="AL401" s="151"/>
      <c r="AM401" s="151"/>
      <c r="AN401" s="151"/>
      <c r="AO401" s="151"/>
      <c r="AP401" s="151"/>
      <c r="AQ401" s="151"/>
      <c r="AR401" s="151"/>
      <c r="AS401" s="151"/>
      <c r="AT401" s="151"/>
      <c r="AU401" s="151"/>
      <c r="AV401" s="151"/>
      <c r="AW401" s="151"/>
      <c r="AX401" s="151"/>
      <c r="AY401" s="151"/>
      <c r="AZ401" s="151"/>
      <c r="BA401" s="151"/>
      <c r="BB401" s="151"/>
      <c r="BC401" s="151"/>
      <c r="BD401" s="151"/>
      <c r="BE401" s="151"/>
      <c r="BF401" s="151"/>
      <c r="BG401" s="151"/>
      <c r="BH401" s="151"/>
      <c r="BI401" s="151"/>
      <c r="BJ401" s="151"/>
      <c r="BK401" s="151"/>
      <c r="BL401" s="151"/>
      <c r="BM401" s="151"/>
      <c r="BN401" s="151"/>
    </row>
    <row r="402" spans="25:66">
      <c r="Y402" s="151"/>
      <c r="Z402" s="151"/>
      <c r="AA402" s="151"/>
      <c r="AB402" s="151"/>
      <c r="AC402" s="151"/>
      <c r="AD402" s="151"/>
      <c r="AE402" s="151"/>
      <c r="AF402" s="151"/>
      <c r="AG402" s="151"/>
      <c r="AH402" s="151"/>
      <c r="AI402" s="151"/>
      <c r="AJ402" s="151"/>
      <c r="AK402" s="151"/>
      <c r="AL402" s="151"/>
      <c r="AM402" s="151"/>
      <c r="AN402" s="151"/>
      <c r="AO402" s="151"/>
      <c r="AP402" s="151"/>
      <c r="AQ402" s="151"/>
      <c r="AR402" s="151"/>
      <c r="AS402" s="151"/>
      <c r="AT402" s="151"/>
      <c r="AU402" s="151"/>
      <c r="AV402" s="151"/>
      <c r="AW402" s="151"/>
      <c r="AX402" s="151"/>
      <c r="AY402" s="151"/>
      <c r="AZ402" s="151"/>
      <c r="BA402" s="151"/>
      <c r="BB402" s="151"/>
      <c r="BC402" s="151"/>
      <c r="BD402" s="151"/>
      <c r="BE402" s="151"/>
      <c r="BF402" s="151"/>
      <c r="BG402" s="151"/>
      <c r="BH402" s="151"/>
      <c r="BI402" s="151"/>
      <c r="BJ402" s="151"/>
      <c r="BK402" s="151"/>
      <c r="BL402" s="151"/>
      <c r="BM402" s="151"/>
      <c r="BN402" s="151"/>
    </row>
    <row r="403" spans="25:66">
      <c r="Y403" s="151"/>
      <c r="Z403" s="151"/>
      <c r="AA403" s="151"/>
      <c r="AB403" s="151"/>
      <c r="AC403" s="151"/>
      <c r="AD403" s="151"/>
      <c r="AE403" s="151"/>
      <c r="AF403" s="151"/>
      <c r="AG403" s="151"/>
      <c r="AH403" s="151"/>
      <c r="AI403" s="151"/>
      <c r="AJ403" s="151"/>
      <c r="AK403" s="151"/>
      <c r="AL403" s="151"/>
      <c r="AM403" s="151"/>
      <c r="AN403" s="151"/>
      <c r="AO403" s="151"/>
      <c r="AP403" s="151"/>
      <c r="AQ403" s="151"/>
      <c r="AR403" s="151"/>
      <c r="AS403" s="151"/>
      <c r="AT403" s="151"/>
      <c r="AU403" s="151"/>
      <c r="AV403" s="151"/>
      <c r="AW403" s="151"/>
      <c r="AX403" s="151"/>
      <c r="AY403" s="151"/>
      <c r="AZ403" s="151"/>
      <c r="BA403" s="151"/>
      <c r="BB403" s="151"/>
      <c r="BC403" s="151"/>
      <c r="BD403" s="151"/>
      <c r="BE403" s="151"/>
      <c r="BF403" s="151"/>
      <c r="BG403" s="151"/>
      <c r="BH403" s="151"/>
      <c r="BI403" s="151"/>
      <c r="BJ403" s="151"/>
      <c r="BK403" s="151"/>
      <c r="BL403" s="151"/>
      <c r="BM403" s="151"/>
      <c r="BN403" s="151"/>
    </row>
    <row r="404" spans="25:66">
      <c r="Y404" s="151"/>
      <c r="Z404" s="151"/>
      <c r="AA404" s="151"/>
      <c r="AB404" s="151"/>
      <c r="AC404" s="151"/>
      <c r="AD404" s="151"/>
      <c r="AE404" s="151"/>
      <c r="AF404" s="151"/>
      <c r="AG404" s="151"/>
      <c r="AH404" s="151"/>
      <c r="AI404" s="151"/>
      <c r="AJ404" s="151"/>
      <c r="AK404" s="151"/>
      <c r="AL404" s="151"/>
      <c r="AM404" s="151"/>
      <c r="AN404" s="151"/>
      <c r="AO404" s="151"/>
      <c r="AP404" s="151"/>
      <c r="AQ404" s="151"/>
      <c r="AR404" s="151"/>
      <c r="AS404" s="151"/>
      <c r="AT404" s="151"/>
      <c r="AU404" s="151"/>
      <c r="AV404" s="151"/>
      <c r="AW404" s="151"/>
      <c r="AX404" s="151"/>
      <c r="AY404" s="151"/>
      <c r="AZ404" s="151"/>
      <c r="BA404" s="151"/>
      <c r="BB404" s="151"/>
      <c r="BC404" s="151"/>
      <c r="BD404" s="151"/>
      <c r="BE404" s="151"/>
      <c r="BF404" s="151"/>
      <c r="BG404" s="151"/>
      <c r="BH404" s="151"/>
      <c r="BI404" s="151"/>
      <c r="BJ404" s="151"/>
      <c r="BK404" s="151"/>
      <c r="BL404" s="151"/>
      <c r="BM404" s="151"/>
      <c r="BN404" s="151"/>
    </row>
    <row r="405" spans="25:66">
      <c r="Y405" s="151"/>
      <c r="Z405" s="151"/>
      <c r="AA405" s="151"/>
      <c r="AB405" s="151"/>
      <c r="AC405" s="151"/>
      <c r="AD405" s="151"/>
      <c r="AE405" s="151"/>
      <c r="AF405" s="151"/>
      <c r="AG405" s="151"/>
      <c r="AH405" s="151"/>
      <c r="AI405" s="151"/>
      <c r="AJ405" s="151"/>
      <c r="AK405" s="151"/>
      <c r="AL405" s="151"/>
      <c r="AM405" s="151"/>
      <c r="AN405" s="151"/>
      <c r="AO405" s="151"/>
      <c r="AP405" s="151"/>
      <c r="AQ405" s="151"/>
      <c r="AR405" s="151"/>
      <c r="AS405" s="151"/>
      <c r="AT405" s="151"/>
      <c r="AU405" s="151"/>
      <c r="AV405" s="151"/>
      <c r="AW405" s="151"/>
      <c r="AX405" s="151"/>
      <c r="AY405" s="151"/>
      <c r="AZ405" s="151"/>
      <c r="BA405" s="151"/>
      <c r="BB405" s="151"/>
      <c r="BC405" s="151"/>
      <c r="BD405" s="151"/>
      <c r="BE405" s="151"/>
      <c r="BF405" s="151"/>
      <c r="BG405" s="151"/>
      <c r="BH405" s="151"/>
      <c r="BI405" s="151"/>
      <c r="BJ405" s="151"/>
      <c r="BK405" s="151"/>
      <c r="BL405" s="151"/>
      <c r="BM405" s="151"/>
      <c r="BN405" s="151"/>
    </row>
    <row r="406" spans="25:66">
      <c r="Y406" s="151"/>
      <c r="Z406" s="151"/>
      <c r="AA406" s="151"/>
      <c r="AB406" s="151"/>
      <c r="AC406" s="151"/>
      <c r="AD406" s="151"/>
      <c r="AE406" s="151"/>
      <c r="AF406" s="151"/>
      <c r="AG406" s="151"/>
      <c r="AH406" s="151"/>
      <c r="AI406" s="151"/>
      <c r="AJ406" s="151"/>
      <c r="AK406" s="151"/>
      <c r="AL406" s="151"/>
      <c r="AM406" s="151"/>
      <c r="AN406" s="151"/>
      <c r="AO406" s="151"/>
      <c r="AP406" s="151"/>
      <c r="AQ406" s="151"/>
      <c r="AR406" s="151"/>
      <c r="AS406" s="151"/>
      <c r="AT406" s="151"/>
      <c r="AU406" s="151"/>
      <c r="AV406" s="151"/>
      <c r="AW406" s="151"/>
      <c r="AX406" s="151"/>
      <c r="AY406" s="151"/>
      <c r="AZ406" s="151"/>
      <c r="BA406" s="151"/>
      <c r="BB406" s="151"/>
      <c r="BC406" s="151"/>
      <c r="BD406" s="151"/>
      <c r="BE406" s="151"/>
      <c r="BF406" s="151"/>
      <c r="BG406" s="151"/>
      <c r="BH406" s="151"/>
      <c r="BI406" s="151"/>
      <c r="BJ406" s="151"/>
      <c r="BK406" s="151"/>
      <c r="BL406" s="151"/>
      <c r="BM406" s="151"/>
      <c r="BN406" s="151"/>
    </row>
    <row r="407" spans="25:66">
      <c r="Y407" s="151"/>
      <c r="Z407" s="151"/>
      <c r="AA407" s="151"/>
      <c r="AB407" s="151"/>
      <c r="AC407" s="151"/>
      <c r="AD407" s="151"/>
      <c r="AE407" s="151"/>
      <c r="AF407" s="151"/>
      <c r="AG407" s="151"/>
      <c r="AH407" s="151"/>
      <c r="AI407" s="151"/>
      <c r="AJ407" s="151"/>
      <c r="AK407" s="151"/>
      <c r="AL407" s="151"/>
      <c r="AM407" s="151"/>
      <c r="AN407" s="151"/>
      <c r="AO407" s="151"/>
      <c r="AP407" s="151"/>
      <c r="AQ407" s="151"/>
      <c r="AR407" s="151"/>
      <c r="AS407" s="151"/>
      <c r="AT407" s="151"/>
      <c r="AU407" s="151"/>
      <c r="AV407" s="151"/>
      <c r="AW407" s="151"/>
      <c r="AX407" s="151"/>
      <c r="AY407" s="151"/>
      <c r="AZ407" s="151"/>
      <c r="BA407" s="151"/>
      <c r="BB407" s="151"/>
      <c r="BC407" s="151"/>
      <c r="BD407" s="151"/>
      <c r="BE407" s="151"/>
      <c r="BF407" s="151"/>
      <c r="BG407" s="151"/>
      <c r="BH407" s="151"/>
      <c r="BI407" s="151"/>
      <c r="BJ407" s="151"/>
      <c r="BK407" s="151"/>
      <c r="BL407" s="151"/>
      <c r="BM407" s="151"/>
      <c r="BN407" s="151"/>
    </row>
    <row r="408" spans="25:66">
      <c r="Y408" s="151"/>
      <c r="Z408" s="151"/>
      <c r="AA408" s="151"/>
      <c r="AB408" s="151"/>
      <c r="AC408" s="151"/>
      <c r="AD408" s="151"/>
      <c r="AE408" s="151"/>
      <c r="AF408" s="151"/>
      <c r="AG408" s="151"/>
      <c r="AH408" s="151"/>
      <c r="AI408" s="151"/>
      <c r="AJ408" s="151"/>
      <c r="AK408" s="151"/>
      <c r="AL408" s="151"/>
      <c r="AM408" s="151"/>
      <c r="AN408" s="151"/>
      <c r="AO408" s="151"/>
      <c r="AP408" s="151"/>
      <c r="AQ408" s="151"/>
      <c r="AR408" s="151"/>
      <c r="AS408" s="151"/>
      <c r="AT408" s="151"/>
      <c r="AU408" s="151"/>
      <c r="AV408" s="151"/>
      <c r="AW408" s="151"/>
      <c r="AX408" s="151"/>
      <c r="AY408" s="151"/>
      <c r="AZ408" s="151"/>
      <c r="BA408" s="151"/>
      <c r="BB408" s="151"/>
      <c r="BC408" s="151"/>
      <c r="BD408" s="151"/>
      <c r="BE408" s="151"/>
      <c r="BF408" s="151"/>
      <c r="BG408" s="151"/>
      <c r="BH408" s="151"/>
      <c r="BI408" s="151"/>
      <c r="BJ408" s="151"/>
      <c r="BK408" s="151"/>
      <c r="BL408" s="151"/>
      <c r="BM408" s="151"/>
      <c r="BN408" s="151"/>
    </row>
    <row r="409" spans="25:66">
      <c r="Y409" s="151"/>
      <c r="Z409" s="151"/>
      <c r="AA409" s="151"/>
      <c r="AB409" s="151"/>
      <c r="AC409" s="151"/>
      <c r="AD409" s="151"/>
      <c r="AE409" s="151"/>
      <c r="AF409" s="151"/>
      <c r="AG409" s="151"/>
      <c r="AH409" s="151"/>
      <c r="AI409" s="151"/>
      <c r="AJ409" s="151"/>
      <c r="AK409" s="151"/>
      <c r="AL409" s="151"/>
      <c r="AM409" s="151"/>
      <c r="AN409" s="151"/>
      <c r="AO409" s="151"/>
      <c r="AP409" s="151"/>
      <c r="AQ409" s="151"/>
      <c r="AR409" s="151"/>
      <c r="AS409" s="151"/>
      <c r="AT409" s="151"/>
      <c r="AU409" s="151"/>
      <c r="AV409" s="151"/>
      <c r="AW409" s="151"/>
      <c r="AX409" s="151"/>
      <c r="AY409" s="151"/>
      <c r="AZ409" s="151"/>
      <c r="BA409" s="151"/>
      <c r="BB409" s="151"/>
      <c r="BC409" s="151"/>
      <c r="BD409" s="151"/>
      <c r="BE409" s="151"/>
      <c r="BF409" s="151"/>
      <c r="BG409" s="151"/>
      <c r="BH409" s="151"/>
      <c r="BI409" s="151"/>
      <c r="BJ409" s="151"/>
      <c r="BK409" s="151"/>
      <c r="BL409" s="151"/>
      <c r="BM409" s="151"/>
      <c r="BN409" s="151"/>
    </row>
    <row r="410" spans="25:66">
      <c r="Y410" s="151"/>
      <c r="Z410" s="151"/>
      <c r="AA410" s="151"/>
      <c r="AB410" s="151"/>
      <c r="AC410" s="151"/>
      <c r="AD410" s="151"/>
      <c r="AE410" s="151"/>
      <c r="AF410" s="151"/>
      <c r="AG410" s="151"/>
      <c r="AH410" s="151"/>
      <c r="AI410" s="151"/>
      <c r="AJ410" s="151"/>
      <c r="AK410" s="151"/>
      <c r="AL410" s="151"/>
      <c r="AM410" s="151"/>
      <c r="AN410" s="151"/>
      <c r="AO410" s="151"/>
      <c r="AP410" s="151"/>
      <c r="AQ410" s="151"/>
      <c r="AR410" s="151"/>
      <c r="AS410" s="151"/>
      <c r="AT410" s="151"/>
      <c r="AU410" s="151"/>
      <c r="AV410" s="151"/>
      <c r="AW410" s="151"/>
      <c r="AX410" s="151"/>
      <c r="AY410" s="151"/>
      <c r="AZ410" s="151"/>
      <c r="BA410" s="151"/>
      <c r="BB410" s="151"/>
      <c r="BC410" s="151"/>
      <c r="BD410" s="151"/>
      <c r="BE410" s="151"/>
      <c r="BF410" s="151"/>
      <c r="BG410" s="151"/>
      <c r="BH410" s="151"/>
      <c r="BI410" s="151"/>
      <c r="BJ410" s="151"/>
      <c r="BK410" s="151"/>
      <c r="BL410" s="151"/>
      <c r="BM410" s="151"/>
      <c r="BN410" s="151"/>
    </row>
    <row r="411" spans="25:66">
      <c r="Y411" s="151"/>
      <c r="Z411" s="151"/>
      <c r="AA411" s="151"/>
      <c r="AB411" s="151"/>
      <c r="AC411" s="151"/>
      <c r="AD411" s="151"/>
      <c r="AE411" s="151"/>
      <c r="AF411" s="151"/>
      <c r="AG411" s="151"/>
      <c r="AH411" s="151"/>
      <c r="AI411" s="151"/>
      <c r="AJ411" s="151"/>
      <c r="AK411" s="151"/>
      <c r="AL411" s="151"/>
      <c r="AM411" s="151"/>
      <c r="AN411" s="151"/>
      <c r="AO411" s="151"/>
      <c r="AP411" s="151"/>
      <c r="AQ411" s="151"/>
      <c r="AR411" s="151"/>
      <c r="AS411" s="151"/>
      <c r="AT411" s="151"/>
      <c r="AU411" s="151"/>
      <c r="AV411" s="151"/>
      <c r="AW411" s="151"/>
      <c r="AX411" s="151"/>
      <c r="AY411" s="151"/>
      <c r="AZ411" s="151"/>
      <c r="BA411" s="151"/>
      <c r="BB411" s="151"/>
      <c r="BC411" s="151"/>
      <c r="BD411" s="151"/>
      <c r="BE411" s="151"/>
      <c r="BF411" s="151"/>
      <c r="BG411" s="151"/>
      <c r="BH411" s="151"/>
      <c r="BI411" s="151"/>
      <c r="BJ411" s="151"/>
      <c r="BK411" s="151"/>
      <c r="BL411" s="151"/>
      <c r="BM411" s="151"/>
      <c r="BN411" s="151"/>
    </row>
    <row r="412" spans="25:66">
      <c r="Y412" s="151"/>
      <c r="Z412" s="151"/>
      <c r="AA412" s="151"/>
      <c r="AB412" s="151"/>
      <c r="AC412" s="151"/>
      <c r="AD412" s="151"/>
      <c r="AE412" s="151"/>
      <c r="AF412" s="151"/>
      <c r="AG412" s="151"/>
      <c r="AH412" s="151"/>
      <c r="AI412" s="151"/>
      <c r="AJ412" s="151"/>
      <c r="AK412" s="151"/>
      <c r="AL412" s="151"/>
      <c r="AM412" s="151"/>
      <c r="AN412" s="151"/>
      <c r="AO412" s="151"/>
      <c r="AP412" s="151"/>
      <c r="AQ412" s="151"/>
      <c r="AR412" s="151"/>
      <c r="AS412" s="151"/>
      <c r="AT412" s="151"/>
      <c r="AU412" s="151"/>
      <c r="AV412" s="151"/>
      <c r="AW412" s="151"/>
      <c r="AX412" s="151"/>
      <c r="AY412" s="151"/>
      <c r="AZ412" s="151"/>
      <c r="BA412" s="151"/>
      <c r="BB412" s="151"/>
      <c r="BC412" s="151"/>
      <c r="BD412" s="151"/>
      <c r="BE412" s="151"/>
      <c r="BF412" s="151"/>
      <c r="BG412" s="151"/>
      <c r="BH412" s="151"/>
      <c r="BI412" s="151"/>
      <c r="BJ412" s="151"/>
      <c r="BK412" s="151"/>
      <c r="BL412" s="151"/>
      <c r="BM412" s="151"/>
      <c r="BN412" s="151"/>
    </row>
    <row r="413" spans="25:66">
      <c r="Y413" s="151"/>
      <c r="Z413" s="151"/>
      <c r="AA413" s="151"/>
      <c r="AB413" s="151"/>
      <c r="AC413" s="151"/>
      <c r="AD413" s="151"/>
      <c r="AE413" s="151"/>
      <c r="AF413" s="151"/>
      <c r="AG413" s="151"/>
      <c r="AH413" s="151"/>
      <c r="AI413" s="151"/>
      <c r="AJ413" s="151"/>
      <c r="AK413" s="151"/>
      <c r="AL413" s="151"/>
      <c r="AM413" s="151"/>
      <c r="AN413" s="151"/>
      <c r="AO413" s="151"/>
      <c r="AP413" s="151"/>
      <c r="AQ413" s="151"/>
      <c r="AR413" s="151"/>
      <c r="AS413" s="151"/>
      <c r="AT413" s="151"/>
      <c r="AU413" s="151"/>
      <c r="AV413" s="151"/>
      <c r="AW413" s="151"/>
      <c r="AX413" s="151"/>
      <c r="AY413" s="151"/>
      <c r="AZ413" s="151"/>
      <c r="BA413" s="151"/>
      <c r="BB413" s="151"/>
      <c r="BC413" s="151"/>
      <c r="BD413" s="151"/>
      <c r="BE413" s="151"/>
      <c r="BF413" s="151"/>
      <c r="BG413" s="151"/>
      <c r="BH413" s="151"/>
      <c r="BI413" s="151"/>
      <c r="BJ413" s="151"/>
      <c r="BK413" s="151"/>
      <c r="BL413" s="151"/>
      <c r="BM413" s="151"/>
      <c r="BN413" s="151"/>
    </row>
    <row r="414" spans="25:66">
      <c r="Y414" s="151"/>
      <c r="Z414" s="151"/>
      <c r="AA414" s="151"/>
      <c r="AB414" s="151"/>
      <c r="AC414" s="151"/>
      <c r="AD414" s="151"/>
      <c r="AE414" s="151"/>
      <c r="AF414" s="151"/>
      <c r="AG414" s="151"/>
      <c r="AH414" s="151"/>
      <c r="AI414" s="151"/>
      <c r="AJ414" s="151"/>
      <c r="AK414" s="151"/>
      <c r="AL414" s="151"/>
      <c r="AM414" s="151"/>
      <c r="AN414" s="151"/>
      <c r="AO414" s="151"/>
      <c r="AP414" s="151"/>
      <c r="AQ414" s="151"/>
      <c r="AR414" s="151"/>
      <c r="AS414" s="151"/>
      <c r="AT414" s="151"/>
      <c r="AU414" s="151"/>
      <c r="AV414" s="151"/>
      <c r="AW414" s="151"/>
      <c r="AX414" s="151"/>
      <c r="AY414" s="151"/>
      <c r="AZ414" s="151"/>
      <c r="BA414" s="151"/>
      <c r="BB414" s="151"/>
      <c r="BC414" s="151"/>
      <c r="BD414" s="151"/>
      <c r="BE414" s="151"/>
      <c r="BF414" s="151"/>
      <c r="BG414" s="151"/>
      <c r="BH414" s="151"/>
      <c r="BI414" s="151"/>
      <c r="BJ414" s="151"/>
      <c r="BK414" s="151"/>
      <c r="BL414" s="151"/>
      <c r="BM414" s="151"/>
      <c r="BN414" s="151"/>
    </row>
    <row r="415" spans="25:66">
      <c r="Y415" s="151"/>
      <c r="Z415" s="151"/>
      <c r="AA415" s="151"/>
      <c r="AB415" s="151"/>
      <c r="AC415" s="151"/>
      <c r="AD415" s="151"/>
      <c r="AE415" s="151"/>
      <c r="AF415" s="151"/>
      <c r="AG415" s="151"/>
      <c r="AH415" s="151"/>
      <c r="AI415" s="151"/>
      <c r="AJ415" s="151"/>
      <c r="AK415" s="151"/>
      <c r="AL415" s="151"/>
      <c r="AM415" s="151"/>
      <c r="AN415" s="151"/>
      <c r="AO415" s="151"/>
      <c r="AP415" s="151"/>
      <c r="AQ415" s="151"/>
      <c r="AR415" s="151"/>
      <c r="AS415" s="151"/>
      <c r="AT415" s="151"/>
      <c r="AU415" s="151"/>
      <c r="AV415" s="151"/>
      <c r="AW415" s="151"/>
      <c r="AX415" s="151"/>
      <c r="AY415" s="151"/>
      <c r="AZ415" s="151"/>
      <c r="BA415" s="151"/>
      <c r="BB415" s="151"/>
      <c r="BC415" s="151"/>
      <c r="BD415" s="151"/>
      <c r="BE415" s="151"/>
      <c r="BF415" s="151"/>
      <c r="BG415" s="151"/>
      <c r="BH415" s="151"/>
      <c r="BI415" s="151"/>
      <c r="BJ415" s="151"/>
      <c r="BK415" s="151"/>
      <c r="BL415" s="151"/>
      <c r="BM415" s="151"/>
      <c r="BN415" s="151"/>
    </row>
    <row r="416" spans="25:66">
      <c r="Y416" s="151"/>
      <c r="Z416" s="151"/>
      <c r="AA416" s="151"/>
      <c r="AB416" s="151"/>
      <c r="AC416" s="151"/>
      <c r="AD416" s="151"/>
      <c r="AE416" s="151"/>
      <c r="AF416" s="151"/>
      <c r="AG416" s="151"/>
      <c r="AH416" s="151"/>
      <c r="AI416" s="151"/>
      <c r="AJ416" s="151"/>
      <c r="AK416" s="151"/>
      <c r="AL416" s="151"/>
      <c r="AM416" s="151"/>
      <c r="AN416" s="151"/>
      <c r="AO416" s="151"/>
      <c r="AP416" s="151"/>
      <c r="AQ416" s="151"/>
      <c r="AR416" s="151"/>
      <c r="AS416" s="151"/>
      <c r="AT416" s="151"/>
      <c r="AU416" s="151"/>
      <c r="AV416" s="151"/>
      <c r="AW416" s="151"/>
      <c r="AX416" s="151"/>
      <c r="AY416" s="151"/>
      <c r="AZ416" s="151"/>
      <c r="BA416" s="151"/>
      <c r="BB416" s="151"/>
      <c r="BC416" s="151"/>
      <c r="BD416" s="151"/>
      <c r="BE416" s="151"/>
      <c r="BF416" s="151"/>
      <c r="BG416" s="151"/>
      <c r="BH416" s="151"/>
      <c r="BI416" s="151"/>
      <c r="BJ416" s="151"/>
      <c r="BK416" s="151"/>
      <c r="BL416" s="151"/>
      <c r="BM416" s="151"/>
      <c r="BN416" s="151"/>
    </row>
    <row r="417" spans="25:66">
      <c r="Y417" s="151"/>
      <c r="Z417" s="151"/>
      <c r="AA417" s="151"/>
      <c r="AB417" s="151"/>
      <c r="AC417" s="151"/>
      <c r="AD417" s="151"/>
      <c r="AE417" s="151"/>
      <c r="AF417" s="151"/>
      <c r="AG417" s="151"/>
      <c r="AH417" s="151"/>
      <c r="AI417" s="151"/>
      <c r="AJ417" s="151"/>
      <c r="AK417" s="151"/>
      <c r="AL417" s="151"/>
      <c r="AM417" s="151"/>
      <c r="AN417" s="151"/>
      <c r="AO417" s="151"/>
      <c r="AP417" s="151"/>
      <c r="AQ417" s="151"/>
      <c r="AR417" s="151"/>
      <c r="AS417" s="151"/>
      <c r="AT417" s="151"/>
      <c r="AU417" s="151"/>
      <c r="AV417" s="151"/>
      <c r="AW417" s="151"/>
      <c r="AX417" s="151"/>
      <c r="AY417" s="151"/>
      <c r="AZ417" s="151"/>
      <c r="BA417" s="151"/>
      <c r="BB417" s="151"/>
      <c r="BC417" s="151"/>
      <c r="BD417" s="151"/>
      <c r="BE417" s="151"/>
      <c r="BF417" s="151"/>
      <c r="BG417" s="151"/>
      <c r="BH417" s="151"/>
      <c r="BI417" s="151"/>
      <c r="BJ417" s="151"/>
      <c r="BK417" s="151"/>
      <c r="BL417" s="151"/>
      <c r="BM417" s="151"/>
      <c r="BN417" s="151"/>
    </row>
    <row r="418" spans="25:66">
      <c r="Y418" s="151"/>
      <c r="Z418" s="151"/>
      <c r="AA418" s="151"/>
      <c r="AB418" s="151"/>
      <c r="AC418" s="151"/>
      <c r="AD418" s="151"/>
      <c r="AE418" s="151"/>
      <c r="AF418" s="151"/>
      <c r="AG418" s="151"/>
      <c r="AH418" s="151"/>
      <c r="AI418" s="151"/>
      <c r="AJ418" s="151"/>
      <c r="AK418" s="151"/>
      <c r="AL418" s="151"/>
      <c r="AM418" s="151"/>
      <c r="AN418" s="151"/>
      <c r="AO418" s="151"/>
      <c r="AP418" s="151"/>
      <c r="AQ418" s="151"/>
      <c r="AR418" s="151"/>
      <c r="AS418" s="151"/>
      <c r="AT418" s="151"/>
      <c r="AU418" s="151"/>
      <c r="AV418" s="151"/>
      <c r="AW418" s="151"/>
      <c r="AX418" s="151"/>
      <c r="AY418" s="151"/>
      <c r="AZ418" s="151"/>
      <c r="BA418" s="151"/>
      <c r="BB418" s="151"/>
      <c r="BC418" s="151"/>
      <c r="BD418" s="151"/>
      <c r="BE418" s="151"/>
      <c r="BF418" s="151"/>
      <c r="BG418" s="151"/>
      <c r="BH418" s="151"/>
      <c r="BI418" s="151"/>
      <c r="BJ418" s="151"/>
      <c r="BK418" s="151"/>
      <c r="BL418" s="151"/>
      <c r="BM418" s="151"/>
      <c r="BN418" s="151"/>
    </row>
    <row r="419" spans="25:66">
      <c r="Y419" s="151"/>
      <c r="Z419" s="151"/>
      <c r="AA419" s="151"/>
      <c r="AB419" s="151"/>
      <c r="AC419" s="151"/>
      <c r="AD419" s="151"/>
      <c r="AE419" s="151"/>
      <c r="AF419" s="151"/>
      <c r="AG419" s="151"/>
      <c r="AH419" s="151"/>
      <c r="AI419" s="151"/>
      <c r="AJ419" s="151"/>
      <c r="AK419" s="151"/>
      <c r="AL419" s="151"/>
      <c r="AM419" s="151"/>
      <c r="AN419" s="151"/>
      <c r="AO419" s="151"/>
      <c r="AP419" s="151"/>
      <c r="AQ419" s="151"/>
      <c r="AR419" s="151"/>
      <c r="AS419" s="151"/>
      <c r="AT419" s="151"/>
      <c r="AU419" s="151"/>
      <c r="AV419" s="151"/>
      <c r="AW419" s="151"/>
      <c r="AX419" s="151"/>
      <c r="AY419" s="151"/>
      <c r="AZ419" s="151"/>
      <c r="BA419" s="151"/>
      <c r="BB419" s="151"/>
      <c r="BC419" s="151"/>
      <c r="BD419" s="151"/>
      <c r="BE419" s="151"/>
      <c r="BF419" s="151"/>
      <c r="BG419" s="151"/>
      <c r="BH419" s="151"/>
      <c r="BI419" s="151"/>
      <c r="BJ419" s="151"/>
      <c r="BK419" s="151"/>
      <c r="BL419" s="151"/>
      <c r="BM419" s="151"/>
      <c r="BN419" s="151"/>
    </row>
    <row r="420" spans="25:66">
      <c r="Y420" s="151"/>
      <c r="Z420" s="151"/>
      <c r="AA420" s="151"/>
      <c r="AB420" s="151"/>
      <c r="AC420" s="151"/>
      <c r="AD420" s="151"/>
      <c r="AE420" s="151"/>
      <c r="AF420" s="151"/>
      <c r="AG420" s="151"/>
      <c r="AH420" s="151"/>
      <c r="AI420" s="151"/>
      <c r="AJ420" s="151"/>
      <c r="AK420" s="151"/>
      <c r="AL420" s="151"/>
      <c r="AM420" s="151"/>
      <c r="AN420" s="151"/>
      <c r="AO420" s="151"/>
      <c r="AP420" s="151"/>
      <c r="AQ420" s="151"/>
      <c r="AR420" s="151"/>
      <c r="AS420" s="151"/>
      <c r="AT420" s="151"/>
      <c r="AU420" s="151"/>
      <c r="AV420" s="151"/>
      <c r="AW420" s="151"/>
      <c r="AX420" s="151"/>
      <c r="AY420" s="151"/>
      <c r="AZ420" s="151"/>
      <c r="BA420" s="151"/>
      <c r="BB420" s="151"/>
      <c r="BC420" s="151"/>
      <c r="BD420" s="151"/>
      <c r="BE420" s="151"/>
      <c r="BF420" s="151"/>
      <c r="BG420" s="151"/>
      <c r="BH420" s="151"/>
      <c r="BI420" s="151"/>
      <c r="BJ420" s="151"/>
      <c r="BK420" s="151"/>
      <c r="BL420" s="151"/>
      <c r="BM420" s="151"/>
      <c r="BN420" s="151"/>
    </row>
    <row r="421" spans="25:66">
      <c r="Y421" s="151"/>
      <c r="Z421" s="151"/>
      <c r="AA421" s="151"/>
      <c r="AB421" s="151"/>
      <c r="AC421" s="151"/>
      <c r="AD421" s="151"/>
      <c r="AE421" s="151"/>
      <c r="AF421" s="151"/>
      <c r="AG421" s="151"/>
      <c r="AH421" s="151"/>
      <c r="AI421" s="151"/>
      <c r="AJ421" s="151"/>
      <c r="AK421" s="151"/>
      <c r="AL421" s="151"/>
      <c r="AM421" s="151"/>
      <c r="AN421" s="151"/>
      <c r="AO421" s="151"/>
      <c r="AP421" s="151"/>
      <c r="AQ421" s="151"/>
      <c r="AR421" s="151"/>
      <c r="AS421" s="151"/>
      <c r="AT421" s="151"/>
      <c r="AU421" s="151"/>
      <c r="AV421" s="151"/>
      <c r="AW421" s="151"/>
      <c r="AX421" s="151"/>
      <c r="AY421" s="151"/>
      <c r="AZ421" s="151"/>
      <c r="BA421" s="151"/>
      <c r="BB421" s="151"/>
      <c r="BC421" s="151"/>
      <c r="BD421" s="151"/>
      <c r="BE421" s="151"/>
      <c r="BF421" s="151"/>
      <c r="BG421" s="151"/>
      <c r="BH421" s="151"/>
      <c r="BI421" s="151"/>
      <c r="BJ421" s="151"/>
      <c r="BK421" s="151"/>
      <c r="BL421" s="151"/>
      <c r="BM421" s="151"/>
      <c r="BN421" s="151"/>
    </row>
    <row r="422" spans="25:66">
      <c r="Y422" s="151"/>
      <c r="Z422" s="151"/>
      <c r="AA422" s="151"/>
      <c r="AB422" s="151"/>
      <c r="AC422" s="151"/>
      <c r="AD422" s="151"/>
      <c r="AE422" s="151"/>
      <c r="AF422" s="151"/>
      <c r="AG422" s="151"/>
      <c r="AH422" s="151"/>
      <c r="AI422" s="151"/>
      <c r="AJ422" s="151"/>
      <c r="AK422" s="151"/>
      <c r="AL422" s="151"/>
      <c r="AM422" s="151"/>
      <c r="AN422" s="151"/>
      <c r="AO422" s="151"/>
      <c r="AP422" s="151"/>
      <c r="AQ422" s="151"/>
      <c r="AR422" s="151"/>
      <c r="AS422" s="151"/>
      <c r="AT422" s="151"/>
      <c r="AU422" s="151"/>
      <c r="AV422" s="151"/>
      <c r="AW422" s="151"/>
      <c r="AX422" s="151"/>
      <c r="AY422" s="151"/>
      <c r="AZ422" s="151"/>
      <c r="BA422" s="151"/>
      <c r="BB422" s="151"/>
      <c r="BC422" s="151"/>
      <c r="BD422" s="151"/>
      <c r="BE422" s="151"/>
      <c r="BF422" s="151"/>
      <c r="BG422" s="151"/>
      <c r="BH422" s="151"/>
      <c r="BI422" s="151"/>
      <c r="BJ422" s="151"/>
      <c r="BK422" s="151"/>
      <c r="BL422" s="151"/>
      <c r="BM422" s="151"/>
      <c r="BN422" s="151"/>
    </row>
    <row r="423" spans="25:66">
      <c r="Y423" s="151"/>
      <c r="Z423" s="151"/>
      <c r="AA423" s="151"/>
      <c r="AB423" s="151"/>
      <c r="AC423" s="151"/>
      <c r="AD423" s="151"/>
      <c r="AE423" s="151"/>
      <c r="AF423" s="151"/>
      <c r="AG423" s="151"/>
      <c r="AH423" s="151"/>
      <c r="AI423" s="151"/>
      <c r="AJ423" s="151"/>
      <c r="AK423" s="151"/>
      <c r="AL423" s="151"/>
      <c r="AM423" s="151"/>
      <c r="AN423" s="151"/>
      <c r="AO423" s="151"/>
      <c r="AP423" s="151"/>
      <c r="AQ423" s="151"/>
      <c r="AR423" s="151"/>
      <c r="AS423" s="151"/>
      <c r="AT423" s="151"/>
      <c r="AU423" s="151"/>
      <c r="AV423" s="151"/>
      <c r="AW423" s="151"/>
      <c r="AX423" s="151"/>
      <c r="AY423" s="151"/>
      <c r="AZ423" s="151"/>
      <c r="BA423" s="151"/>
      <c r="BB423" s="151"/>
      <c r="BC423" s="151"/>
      <c r="BD423" s="151"/>
      <c r="BE423" s="151"/>
      <c r="BF423" s="151"/>
      <c r="BG423" s="151"/>
      <c r="BH423" s="151"/>
      <c r="BI423" s="151"/>
      <c r="BJ423" s="151"/>
      <c r="BK423" s="151"/>
      <c r="BL423" s="151"/>
      <c r="BM423" s="151"/>
      <c r="BN423" s="151"/>
    </row>
    <row r="424" spans="25:66">
      <c r="Y424" s="151"/>
      <c r="Z424" s="151"/>
      <c r="AA424" s="151"/>
      <c r="AB424" s="151"/>
      <c r="AC424" s="151"/>
      <c r="AD424" s="151"/>
      <c r="AE424" s="151"/>
      <c r="AF424" s="151"/>
      <c r="AG424" s="151"/>
      <c r="AH424" s="151"/>
      <c r="AI424" s="151"/>
      <c r="AJ424" s="151"/>
      <c r="AK424" s="151"/>
      <c r="AL424" s="151"/>
      <c r="AM424" s="151"/>
      <c r="AN424" s="151"/>
      <c r="AO424" s="151"/>
      <c r="AP424" s="151"/>
      <c r="AQ424" s="151"/>
      <c r="AR424" s="151"/>
      <c r="AS424" s="151"/>
      <c r="AT424" s="151"/>
      <c r="AU424" s="151"/>
      <c r="AV424" s="151"/>
      <c r="AW424" s="151"/>
      <c r="AX424" s="151"/>
      <c r="AY424" s="151"/>
      <c r="AZ424" s="151"/>
      <c r="BA424" s="151"/>
      <c r="BB424" s="151"/>
      <c r="BC424" s="151"/>
      <c r="BD424" s="151"/>
      <c r="BE424" s="151"/>
      <c r="BF424" s="151"/>
      <c r="BG424" s="151"/>
      <c r="BH424" s="151"/>
      <c r="BI424" s="151"/>
      <c r="BJ424" s="151"/>
      <c r="BK424" s="151"/>
      <c r="BL424" s="151"/>
      <c r="BM424" s="151"/>
      <c r="BN424" s="151"/>
    </row>
    <row r="425" spans="25:66">
      <c r="Y425" s="151"/>
      <c r="Z425" s="151"/>
      <c r="AA425" s="151"/>
      <c r="AB425" s="151"/>
      <c r="AC425" s="151"/>
      <c r="AD425" s="151"/>
      <c r="AE425" s="151"/>
      <c r="AF425" s="151"/>
      <c r="AG425" s="151"/>
      <c r="AH425" s="151"/>
      <c r="AI425" s="151"/>
      <c r="AJ425" s="151"/>
      <c r="AK425" s="151"/>
      <c r="AL425" s="151"/>
      <c r="AM425" s="151"/>
      <c r="AN425" s="151"/>
      <c r="AO425" s="151"/>
      <c r="AP425" s="151"/>
      <c r="AQ425" s="151"/>
      <c r="AR425" s="151"/>
      <c r="AS425" s="151"/>
      <c r="AT425" s="151"/>
      <c r="AU425" s="151"/>
      <c r="AV425" s="151"/>
      <c r="AW425" s="151"/>
      <c r="AX425" s="151"/>
      <c r="AY425" s="151"/>
      <c r="AZ425" s="151"/>
      <c r="BA425" s="151"/>
      <c r="BB425" s="151"/>
      <c r="BC425" s="151"/>
      <c r="BD425" s="151"/>
      <c r="BE425" s="151"/>
      <c r="BF425" s="151"/>
      <c r="BG425" s="151"/>
      <c r="BH425" s="151"/>
      <c r="BI425" s="151"/>
      <c r="BJ425" s="151"/>
      <c r="BK425" s="151"/>
      <c r="BL425" s="151"/>
      <c r="BM425" s="151"/>
      <c r="BN425" s="151"/>
    </row>
    <row r="426" spans="25:66">
      <c r="Y426" s="151"/>
      <c r="Z426" s="151"/>
      <c r="AA426" s="151"/>
      <c r="AB426" s="151"/>
      <c r="AC426" s="151"/>
      <c r="AD426" s="151"/>
      <c r="AE426" s="151"/>
      <c r="AF426" s="151"/>
      <c r="AG426" s="151"/>
      <c r="AH426" s="151"/>
      <c r="AI426" s="151"/>
      <c r="AJ426" s="151"/>
      <c r="AK426" s="151"/>
      <c r="AL426" s="151"/>
      <c r="AM426" s="151"/>
      <c r="AN426" s="151"/>
      <c r="AO426" s="151"/>
      <c r="AP426" s="151"/>
      <c r="AQ426" s="151"/>
      <c r="AR426" s="151"/>
      <c r="AS426" s="151"/>
      <c r="AT426" s="151"/>
      <c r="AU426" s="151"/>
      <c r="AV426" s="151"/>
      <c r="AW426" s="151"/>
      <c r="AX426" s="151"/>
      <c r="AY426" s="151"/>
      <c r="AZ426" s="151"/>
      <c r="BA426" s="151"/>
      <c r="BB426" s="151"/>
      <c r="BC426" s="151"/>
      <c r="BD426" s="151"/>
      <c r="BE426" s="151"/>
      <c r="BF426" s="151"/>
      <c r="BG426" s="151"/>
      <c r="BH426" s="151"/>
      <c r="BI426" s="151"/>
      <c r="BJ426" s="151"/>
      <c r="BK426" s="151"/>
      <c r="BL426" s="151"/>
      <c r="BM426" s="151"/>
      <c r="BN426" s="151"/>
    </row>
    <row r="427" spans="25:66">
      <c r="Y427" s="151"/>
      <c r="Z427" s="151"/>
      <c r="AA427" s="151"/>
      <c r="AB427" s="151"/>
      <c r="AC427" s="151"/>
      <c r="AD427" s="151"/>
      <c r="AE427" s="151"/>
      <c r="AF427" s="151"/>
      <c r="AG427" s="151"/>
      <c r="AH427" s="151"/>
      <c r="AI427" s="151"/>
      <c r="AJ427" s="151"/>
      <c r="AK427" s="151"/>
      <c r="AL427" s="151"/>
      <c r="AM427" s="151"/>
      <c r="AN427" s="151"/>
      <c r="AO427" s="151"/>
      <c r="AP427" s="151"/>
      <c r="AQ427" s="151"/>
      <c r="AR427" s="151"/>
      <c r="AS427" s="151"/>
      <c r="AT427" s="151"/>
      <c r="AU427" s="151"/>
      <c r="AV427" s="151"/>
      <c r="AW427" s="151"/>
      <c r="AX427" s="151"/>
      <c r="AY427" s="151"/>
      <c r="AZ427" s="151"/>
      <c r="BA427" s="151"/>
      <c r="BB427" s="151"/>
      <c r="BC427" s="151"/>
      <c r="BD427" s="151"/>
      <c r="BE427" s="151"/>
      <c r="BF427" s="151"/>
      <c r="BG427" s="151"/>
      <c r="BH427" s="151"/>
      <c r="BI427" s="151"/>
      <c r="BJ427" s="151"/>
      <c r="BK427" s="151"/>
      <c r="BL427" s="151"/>
      <c r="BM427" s="151"/>
      <c r="BN427" s="151"/>
    </row>
    <row r="428" spans="25:66">
      <c r="Y428" s="151"/>
      <c r="Z428" s="151"/>
      <c r="AA428" s="151"/>
      <c r="AB428" s="151"/>
      <c r="AC428" s="151"/>
      <c r="AD428" s="151"/>
      <c r="AE428" s="151"/>
      <c r="AF428" s="151"/>
      <c r="AG428" s="151"/>
      <c r="AH428" s="151"/>
      <c r="AI428" s="151"/>
      <c r="AJ428" s="151"/>
      <c r="AK428" s="151"/>
      <c r="AL428" s="151"/>
      <c r="AM428" s="151"/>
      <c r="AN428" s="151"/>
      <c r="AO428" s="151"/>
      <c r="AP428" s="151"/>
      <c r="AQ428" s="151"/>
      <c r="AR428" s="151"/>
      <c r="AS428" s="151"/>
      <c r="AT428" s="151"/>
      <c r="AU428" s="151"/>
      <c r="AV428" s="151"/>
      <c r="AW428" s="151"/>
      <c r="AX428" s="151"/>
      <c r="AY428" s="151"/>
      <c r="AZ428" s="151"/>
      <c r="BA428" s="151"/>
      <c r="BB428" s="151"/>
      <c r="BC428" s="151"/>
      <c r="BD428" s="151"/>
      <c r="BE428" s="151"/>
      <c r="BF428" s="151"/>
      <c r="BG428" s="151"/>
      <c r="BH428" s="151"/>
      <c r="BI428" s="151"/>
      <c r="BJ428" s="151"/>
      <c r="BK428" s="151"/>
      <c r="BL428" s="151"/>
      <c r="BM428" s="151"/>
      <c r="BN428" s="151"/>
    </row>
    <row r="429" spans="25:66">
      <c r="Y429" s="151"/>
      <c r="Z429" s="151"/>
      <c r="AA429" s="151"/>
      <c r="AB429" s="151"/>
      <c r="AC429" s="151"/>
      <c r="AD429" s="151"/>
      <c r="AE429" s="151"/>
      <c r="AF429" s="151"/>
      <c r="AG429" s="151"/>
      <c r="AH429" s="151"/>
      <c r="AI429" s="151"/>
      <c r="AJ429" s="151"/>
      <c r="AK429" s="151"/>
      <c r="AL429" s="151"/>
      <c r="AM429" s="151"/>
      <c r="AN429" s="151"/>
      <c r="AO429" s="151"/>
      <c r="AP429" s="151"/>
      <c r="AQ429" s="151"/>
      <c r="AR429" s="151"/>
      <c r="AS429" s="151"/>
      <c r="AT429" s="151"/>
      <c r="AU429" s="151"/>
      <c r="AV429" s="151"/>
      <c r="AW429" s="151"/>
      <c r="AX429" s="151"/>
      <c r="AY429" s="151"/>
      <c r="AZ429" s="151"/>
      <c r="BA429" s="151"/>
      <c r="BB429" s="151"/>
      <c r="BC429" s="151"/>
      <c r="BD429" s="151"/>
      <c r="BE429" s="151"/>
      <c r="BF429" s="151"/>
      <c r="BG429" s="151"/>
      <c r="BH429" s="151"/>
      <c r="BI429" s="151"/>
      <c r="BJ429" s="151"/>
      <c r="BK429" s="151"/>
      <c r="BL429" s="151"/>
      <c r="BM429" s="151"/>
      <c r="BN429" s="151"/>
    </row>
    <row r="430" spans="25:66">
      <c r="Y430" s="151"/>
      <c r="Z430" s="151"/>
      <c r="AA430" s="151"/>
      <c r="AB430" s="151"/>
      <c r="AC430" s="151"/>
      <c r="AD430" s="151"/>
      <c r="AE430" s="151"/>
      <c r="AF430" s="151"/>
      <c r="AG430" s="151"/>
      <c r="AH430" s="151"/>
      <c r="AI430" s="151"/>
      <c r="AJ430" s="151"/>
      <c r="AK430" s="151"/>
      <c r="AL430" s="151"/>
      <c r="AM430" s="151"/>
      <c r="AN430" s="151"/>
      <c r="AO430" s="151"/>
      <c r="AP430" s="151"/>
      <c r="AQ430" s="151"/>
      <c r="AR430" s="151"/>
      <c r="AS430" s="151"/>
      <c r="AT430" s="151"/>
      <c r="AU430" s="151"/>
      <c r="AV430" s="151"/>
      <c r="AW430" s="151"/>
      <c r="AX430" s="151"/>
      <c r="AY430" s="151"/>
      <c r="AZ430" s="151"/>
      <c r="BA430" s="151"/>
      <c r="BB430" s="151"/>
      <c r="BC430" s="151"/>
      <c r="BD430" s="151"/>
      <c r="BE430" s="151"/>
      <c r="BF430" s="151"/>
      <c r="BG430" s="151"/>
      <c r="BH430" s="151"/>
      <c r="BI430" s="151"/>
      <c r="BJ430" s="151"/>
      <c r="BK430" s="151"/>
      <c r="BL430" s="151"/>
      <c r="BM430" s="151"/>
      <c r="BN430" s="151"/>
    </row>
    <row r="431" spans="25:66">
      <c r="Y431" s="151"/>
      <c r="Z431" s="151"/>
      <c r="AA431" s="151"/>
      <c r="AB431" s="151"/>
      <c r="AC431" s="151"/>
      <c r="AD431" s="151"/>
      <c r="AE431" s="151"/>
      <c r="AF431" s="151"/>
      <c r="AG431" s="151"/>
      <c r="AH431" s="151"/>
      <c r="AI431" s="151"/>
      <c r="AJ431" s="151"/>
      <c r="AK431" s="151"/>
      <c r="AL431" s="151"/>
      <c r="AM431" s="151"/>
      <c r="AN431" s="151"/>
      <c r="AO431" s="151"/>
      <c r="AP431" s="151"/>
      <c r="AQ431" s="151"/>
      <c r="AR431" s="151"/>
      <c r="AS431" s="151"/>
      <c r="AT431" s="151"/>
      <c r="AU431" s="151"/>
      <c r="AV431" s="151"/>
      <c r="AW431" s="151"/>
      <c r="AX431" s="151"/>
      <c r="AY431" s="151"/>
      <c r="AZ431" s="151"/>
      <c r="BA431" s="151"/>
      <c r="BB431" s="151"/>
      <c r="BC431" s="151"/>
      <c r="BD431" s="151"/>
      <c r="BE431" s="151"/>
      <c r="BF431" s="151"/>
      <c r="BG431" s="151"/>
      <c r="BH431" s="151"/>
      <c r="BI431" s="151"/>
      <c r="BJ431" s="151"/>
      <c r="BK431" s="151"/>
      <c r="BL431" s="151"/>
      <c r="BM431" s="151"/>
      <c r="BN431" s="151"/>
    </row>
    <row r="432" spans="25:66">
      <c r="Y432" s="151"/>
      <c r="Z432" s="151"/>
      <c r="AA432" s="151"/>
      <c r="AB432" s="151"/>
      <c r="AC432" s="151"/>
      <c r="AD432" s="151"/>
      <c r="AE432" s="151"/>
      <c r="AF432" s="151"/>
      <c r="AG432" s="151"/>
      <c r="AH432" s="151"/>
      <c r="AI432" s="151"/>
      <c r="AJ432" s="151"/>
      <c r="AK432" s="151"/>
      <c r="AL432" s="151"/>
      <c r="AM432" s="151"/>
      <c r="AN432" s="151"/>
      <c r="AO432" s="151"/>
      <c r="AP432" s="151"/>
      <c r="AQ432" s="151"/>
      <c r="AR432" s="151"/>
      <c r="AS432" s="151"/>
      <c r="AT432" s="151"/>
      <c r="AU432" s="151"/>
      <c r="AV432" s="151"/>
      <c r="AW432" s="151"/>
      <c r="AX432" s="151"/>
      <c r="AY432" s="151"/>
      <c r="AZ432" s="151"/>
      <c r="BA432" s="151"/>
      <c r="BB432" s="151"/>
      <c r="BC432" s="151"/>
      <c r="BD432" s="151"/>
      <c r="BE432" s="151"/>
      <c r="BF432" s="151"/>
      <c r="BG432" s="151"/>
      <c r="BH432" s="151"/>
      <c r="BI432" s="151"/>
      <c r="BJ432" s="151"/>
      <c r="BK432" s="151"/>
      <c r="BL432" s="151"/>
      <c r="BM432" s="151"/>
      <c r="BN432" s="151"/>
    </row>
    <row r="433" spans="25:66">
      <c r="Y433" s="151"/>
      <c r="Z433" s="151"/>
      <c r="AA433" s="151"/>
      <c r="AB433" s="151"/>
      <c r="AC433" s="151"/>
      <c r="AD433" s="151"/>
      <c r="AE433" s="151"/>
      <c r="AF433" s="151"/>
      <c r="AG433" s="151"/>
      <c r="AH433" s="151"/>
      <c r="AI433" s="151"/>
      <c r="AJ433" s="151"/>
      <c r="AK433" s="151"/>
      <c r="AL433" s="151"/>
      <c r="AM433" s="151"/>
      <c r="AN433" s="151"/>
      <c r="AO433" s="151"/>
      <c r="AP433" s="151"/>
      <c r="AQ433" s="151"/>
      <c r="AR433" s="151"/>
      <c r="AS433" s="151"/>
      <c r="AT433" s="151"/>
      <c r="AU433" s="151"/>
      <c r="AV433" s="151"/>
      <c r="AW433" s="151"/>
      <c r="AX433" s="151"/>
      <c r="AY433" s="151"/>
      <c r="AZ433" s="151"/>
      <c r="BA433" s="151"/>
      <c r="BB433" s="151"/>
      <c r="BC433" s="151"/>
      <c r="BD433" s="151"/>
      <c r="BE433" s="151"/>
      <c r="BF433" s="151"/>
      <c r="BG433" s="151"/>
      <c r="BH433" s="151"/>
      <c r="BI433" s="151"/>
      <c r="BJ433" s="151"/>
      <c r="BK433" s="151"/>
      <c r="BL433" s="151"/>
      <c r="BM433" s="151"/>
      <c r="BN433" s="151"/>
    </row>
    <row r="434" spans="25:66">
      <c r="Y434" s="151"/>
      <c r="Z434" s="151"/>
      <c r="AA434" s="151"/>
      <c r="AB434" s="151"/>
      <c r="AC434" s="151"/>
      <c r="AD434" s="151"/>
      <c r="AE434" s="151"/>
      <c r="AF434" s="151"/>
      <c r="AG434" s="151"/>
      <c r="AH434" s="151"/>
      <c r="AI434" s="151"/>
      <c r="AJ434" s="151"/>
      <c r="AK434" s="151"/>
      <c r="AL434" s="151"/>
      <c r="AM434" s="151"/>
      <c r="AN434" s="151"/>
      <c r="AO434" s="151"/>
      <c r="AP434" s="151"/>
      <c r="AQ434" s="151"/>
      <c r="AR434" s="151"/>
      <c r="AS434" s="151"/>
      <c r="AT434" s="151"/>
      <c r="AU434" s="151"/>
      <c r="AV434" s="151"/>
      <c r="AW434" s="151"/>
      <c r="AX434" s="151"/>
      <c r="AY434" s="151"/>
      <c r="AZ434" s="151"/>
      <c r="BA434" s="151"/>
      <c r="BB434" s="151"/>
      <c r="BC434" s="151"/>
      <c r="BD434" s="151"/>
      <c r="BE434" s="151"/>
      <c r="BF434" s="151"/>
      <c r="BG434" s="151"/>
      <c r="BH434" s="151"/>
      <c r="BI434" s="151"/>
      <c r="BJ434" s="151"/>
      <c r="BK434" s="151"/>
      <c r="BL434" s="151"/>
      <c r="BM434" s="151"/>
      <c r="BN434" s="151"/>
    </row>
    <row r="435" spans="25:66">
      <c r="Y435" s="151"/>
      <c r="Z435" s="151"/>
      <c r="AA435" s="151"/>
      <c r="AB435" s="151"/>
      <c r="AC435" s="151"/>
      <c r="AD435" s="151"/>
      <c r="AE435" s="151"/>
      <c r="AF435" s="151"/>
      <c r="AG435" s="151"/>
      <c r="AH435" s="151"/>
      <c r="AI435" s="151"/>
      <c r="AJ435" s="151"/>
      <c r="AK435" s="151"/>
      <c r="AL435" s="151"/>
      <c r="AM435" s="151"/>
      <c r="AN435" s="151"/>
      <c r="AO435" s="151"/>
      <c r="AP435" s="151"/>
      <c r="AQ435" s="151"/>
      <c r="AR435" s="151"/>
      <c r="AS435" s="151"/>
      <c r="AT435" s="151"/>
      <c r="AU435" s="151"/>
      <c r="AV435" s="151"/>
      <c r="AW435" s="151"/>
      <c r="AX435" s="151"/>
      <c r="AY435" s="151"/>
      <c r="AZ435" s="151"/>
      <c r="BA435" s="151"/>
      <c r="BB435" s="151"/>
      <c r="BC435" s="151"/>
      <c r="BD435" s="151"/>
      <c r="BE435" s="151"/>
      <c r="BF435" s="151"/>
      <c r="BG435" s="151"/>
      <c r="BH435" s="151"/>
      <c r="BI435" s="151"/>
      <c r="BJ435" s="151"/>
      <c r="BK435" s="151"/>
      <c r="BL435" s="151"/>
      <c r="BM435" s="151"/>
      <c r="BN435" s="151"/>
    </row>
    <row r="436" spans="25:66">
      <c r="Y436" s="151"/>
      <c r="Z436" s="151"/>
      <c r="AA436" s="151"/>
      <c r="AB436" s="151"/>
      <c r="AC436" s="151"/>
      <c r="AD436" s="151"/>
      <c r="AE436" s="151"/>
      <c r="AF436" s="151"/>
      <c r="AG436" s="151"/>
      <c r="AH436" s="151"/>
      <c r="AI436" s="151"/>
      <c r="AJ436" s="151"/>
      <c r="AK436" s="151"/>
      <c r="AL436" s="151"/>
      <c r="AM436" s="151"/>
      <c r="AN436" s="151"/>
      <c r="AO436" s="151"/>
      <c r="AP436" s="151"/>
      <c r="AQ436" s="151"/>
      <c r="AR436" s="151"/>
      <c r="AS436" s="151"/>
      <c r="AT436" s="151"/>
      <c r="AU436" s="151"/>
      <c r="AV436" s="151"/>
      <c r="AW436" s="151"/>
      <c r="AX436" s="151"/>
      <c r="AY436" s="151"/>
      <c r="AZ436" s="151"/>
      <c r="BA436" s="151"/>
      <c r="BB436" s="151"/>
      <c r="BC436" s="151"/>
      <c r="BD436" s="151"/>
      <c r="BE436" s="151"/>
      <c r="BF436" s="151"/>
      <c r="BG436" s="151"/>
      <c r="BH436" s="151"/>
      <c r="BI436" s="151"/>
      <c r="BJ436" s="151"/>
      <c r="BK436" s="151"/>
      <c r="BL436" s="151"/>
      <c r="BM436" s="151"/>
      <c r="BN436" s="151"/>
    </row>
    <row r="437" spans="25:66">
      <c r="Y437" s="151"/>
      <c r="Z437" s="151"/>
      <c r="AA437" s="151"/>
      <c r="AB437" s="151"/>
      <c r="AC437" s="151"/>
      <c r="AD437" s="151"/>
      <c r="AE437" s="151"/>
      <c r="AF437" s="151"/>
      <c r="AG437" s="151"/>
      <c r="AH437" s="151"/>
      <c r="AI437" s="151"/>
      <c r="AJ437" s="151"/>
      <c r="AK437" s="151"/>
      <c r="AL437" s="151"/>
      <c r="AM437" s="151"/>
      <c r="AN437" s="151"/>
      <c r="AO437" s="151"/>
      <c r="AP437" s="151"/>
      <c r="AQ437" s="151"/>
      <c r="AR437" s="151"/>
      <c r="AS437" s="151"/>
      <c r="AT437" s="151"/>
      <c r="AU437" s="151"/>
      <c r="AV437" s="151"/>
      <c r="AW437" s="151"/>
      <c r="AX437" s="151"/>
      <c r="AY437" s="151"/>
      <c r="AZ437" s="151"/>
      <c r="BA437" s="151"/>
      <c r="BB437" s="151"/>
      <c r="BC437" s="151"/>
      <c r="BD437" s="151"/>
      <c r="BE437" s="151"/>
      <c r="BF437" s="151"/>
      <c r="BG437" s="151"/>
      <c r="BH437" s="151"/>
      <c r="BI437" s="151"/>
      <c r="BJ437" s="151"/>
      <c r="BK437" s="151"/>
      <c r="BL437" s="151"/>
      <c r="BM437" s="151"/>
      <c r="BN437" s="151"/>
    </row>
    <row r="438" spans="25:66">
      <c r="Y438" s="151"/>
      <c r="Z438" s="151"/>
      <c r="AA438" s="151"/>
      <c r="AB438" s="151"/>
      <c r="AC438" s="151"/>
      <c r="AD438" s="151"/>
      <c r="AE438" s="151"/>
      <c r="AF438" s="151"/>
      <c r="AG438" s="151"/>
      <c r="AH438" s="151"/>
      <c r="AI438" s="151"/>
      <c r="AJ438" s="151"/>
      <c r="AK438" s="151"/>
      <c r="AL438" s="151"/>
      <c r="AM438" s="151"/>
      <c r="AN438" s="151"/>
      <c r="AO438" s="151"/>
      <c r="AP438" s="151"/>
      <c r="AQ438" s="151"/>
      <c r="AR438" s="151"/>
      <c r="AS438" s="151"/>
      <c r="AT438" s="151"/>
      <c r="AU438" s="151"/>
      <c r="AV438" s="151"/>
      <c r="AW438" s="151"/>
      <c r="AX438" s="151"/>
      <c r="AY438" s="151"/>
      <c r="AZ438" s="151"/>
      <c r="BA438" s="151"/>
      <c r="BB438" s="151"/>
      <c r="BC438" s="151"/>
      <c r="BD438" s="151"/>
      <c r="BE438" s="151"/>
      <c r="BF438" s="151"/>
      <c r="BG438" s="151"/>
      <c r="BH438" s="151"/>
      <c r="BI438" s="151"/>
      <c r="BJ438" s="151"/>
      <c r="BK438" s="151"/>
      <c r="BL438" s="151"/>
      <c r="BM438" s="151"/>
      <c r="BN438" s="151"/>
    </row>
    <row r="439" spans="25:66">
      <c r="Y439" s="151"/>
      <c r="Z439" s="151"/>
      <c r="AA439" s="151"/>
      <c r="AB439" s="151"/>
      <c r="AC439" s="151"/>
      <c r="AD439" s="151"/>
      <c r="AE439" s="151"/>
      <c r="AF439" s="151"/>
      <c r="AG439" s="151"/>
      <c r="AH439" s="151"/>
      <c r="AI439" s="151"/>
      <c r="AJ439" s="151"/>
      <c r="AK439" s="151"/>
      <c r="AL439" s="151"/>
      <c r="AM439" s="151"/>
      <c r="AN439" s="151"/>
      <c r="AO439" s="151"/>
      <c r="AP439" s="151"/>
      <c r="AQ439" s="151"/>
      <c r="AR439" s="151"/>
      <c r="AS439" s="151"/>
      <c r="AT439" s="151"/>
      <c r="AU439" s="151"/>
      <c r="AV439" s="151"/>
      <c r="AW439" s="151"/>
      <c r="AX439" s="151"/>
      <c r="AY439" s="151"/>
      <c r="AZ439" s="151"/>
      <c r="BA439" s="151"/>
      <c r="BB439" s="151"/>
      <c r="BC439" s="151"/>
      <c r="BD439" s="151"/>
      <c r="BE439" s="151"/>
      <c r="BF439" s="151"/>
      <c r="BG439" s="151"/>
      <c r="BH439" s="151"/>
      <c r="BI439" s="151"/>
      <c r="BJ439" s="151"/>
      <c r="BK439" s="151"/>
      <c r="BL439" s="151"/>
      <c r="BM439" s="151"/>
      <c r="BN439" s="151"/>
    </row>
    <row r="440" spans="25:66">
      <c r="Y440" s="151"/>
      <c r="Z440" s="151"/>
      <c r="AA440" s="151"/>
      <c r="AB440" s="151"/>
      <c r="AC440" s="151"/>
      <c r="AD440" s="151"/>
      <c r="AE440" s="151"/>
      <c r="AF440" s="151"/>
      <c r="AG440" s="151"/>
      <c r="AH440" s="151"/>
      <c r="AI440" s="151"/>
      <c r="AJ440" s="151"/>
      <c r="AK440" s="151"/>
      <c r="AL440" s="151"/>
      <c r="AM440" s="151"/>
      <c r="AN440" s="151"/>
      <c r="AO440" s="151"/>
      <c r="AP440" s="151"/>
      <c r="AQ440" s="151"/>
      <c r="AR440" s="151"/>
      <c r="AS440" s="151"/>
      <c r="AT440" s="151"/>
      <c r="AU440" s="151"/>
      <c r="AV440" s="151"/>
      <c r="AW440" s="151"/>
      <c r="AX440" s="151"/>
      <c r="AY440" s="151"/>
      <c r="AZ440" s="151"/>
      <c r="BA440" s="151"/>
      <c r="BB440" s="151"/>
      <c r="BC440" s="151"/>
      <c r="BD440" s="151"/>
      <c r="BE440" s="151"/>
      <c r="BF440" s="151"/>
      <c r="BG440" s="151"/>
      <c r="BH440" s="151"/>
      <c r="BI440" s="151"/>
      <c r="BJ440" s="151"/>
      <c r="BK440" s="151"/>
      <c r="BL440" s="151"/>
      <c r="BM440" s="151"/>
      <c r="BN440" s="151"/>
    </row>
    <row r="441" spans="25:66">
      <c r="Y441" s="151"/>
      <c r="Z441" s="151"/>
      <c r="AA441" s="151"/>
      <c r="AB441" s="151"/>
      <c r="AC441" s="151"/>
      <c r="AD441" s="151"/>
      <c r="AE441" s="151"/>
      <c r="AF441" s="151"/>
      <c r="AG441" s="151"/>
      <c r="AH441" s="151"/>
      <c r="AI441" s="151"/>
      <c r="AJ441" s="151"/>
      <c r="AK441" s="151"/>
      <c r="AL441" s="151"/>
      <c r="AM441" s="151"/>
      <c r="AN441" s="151"/>
      <c r="AO441" s="151"/>
      <c r="AP441" s="151"/>
      <c r="AQ441" s="151"/>
      <c r="AR441" s="151"/>
      <c r="AS441" s="151"/>
      <c r="AT441" s="151"/>
      <c r="AU441" s="151"/>
      <c r="AV441" s="151"/>
      <c r="AW441" s="151"/>
      <c r="AX441" s="151"/>
      <c r="AY441" s="151"/>
      <c r="AZ441" s="151"/>
      <c r="BA441" s="151"/>
      <c r="BB441" s="151"/>
      <c r="BC441" s="151"/>
      <c r="BD441" s="151"/>
      <c r="BE441" s="151"/>
      <c r="BF441" s="151"/>
      <c r="BG441" s="151"/>
      <c r="BH441" s="151"/>
      <c r="BI441" s="151"/>
      <c r="BJ441" s="151"/>
      <c r="BK441" s="151"/>
      <c r="BL441" s="151"/>
      <c r="BM441" s="151"/>
      <c r="BN441" s="151"/>
    </row>
    <row r="442" spans="25:66">
      <c r="Y442" s="151"/>
      <c r="Z442" s="151"/>
      <c r="AA442" s="151"/>
      <c r="AB442" s="151"/>
      <c r="AC442" s="151"/>
      <c r="AD442" s="151"/>
      <c r="AE442" s="151"/>
      <c r="AF442" s="151"/>
      <c r="AG442" s="151"/>
      <c r="AH442" s="151"/>
      <c r="AI442" s="151"/>
      <c r="AJ442" s="151"/>
      <c r="AK442" s="151"/>
      <c r="AL442" s="151"/>
      <c r="AM442" s="151"/>
      <c r="AN442" s="151"/>
      <c r="AO442" s="151"/>
      <c r="AP442" s="151"/>
      <c r="AQ442" s="151"/>
      <c r="AR442" s="151"/>
      <c r="AS442" s="151"/>
      <c r="AT442" s="151"/>
      <c r="AU442" s="151"/>
      <c r="AV442" s="151"/>
      <c r="AW442" s="151"/>
      <c r="AX442" s="151"/>
      <c r="AY442" s="151"/>
      <c r="AZ442" s="151"/>
      <c r="BA442" s="151"/>
      <c r="BB442" s="151"/>
      <c r="BC442" s="151"/>
      <c r="BD442" s="151"/>
      <c r="BE442" s="151"/>
      <c r="BF442" s="151"/>
      <c r="BG442" s="151"/>
      <c r="BH442" s="151"/>
      <c r="BI442" s="151"/>
      <c r="BJ442" s="151"/>
      <c r="BK442" s="151"/>
      <c r="BL442" s="151"/>
      <c r="BM442" s="151"/>
      <c r="BN442" s="151"/>
    </row>
    <row r="443" spans="25:66">
      <c r="Y443" s="151"/>
      <c r="Z443" s="151"/>
      <c r="AA443" s="151"/>
      <c r="AB443" s="151"/>
      <c r="AC443" s="151"/>
      <c r="AD443" s="151"/>
      <c r="AE443" s="151"/>
      <c r="AF443" s="151"/>
      <c r="AG443" s="151"/>
      <c r="AH443" s="151"/>
      <c r="AI443" s="151"/>
      <c r="AJ443" s="151"/>
      <c r="AK443" s="151"/>
      <c r="AL443" s="151"/>
      <c r="AM443" s="151"/>
      <c r="AN443" s="151"/>
      <c r="AO443" s="151"/>
      <c r="AP443" s="151"/>
      <c r="AQ443" s="151"/>
      <c r="AR443" s="151"/>
      <c r="AS443" s="151"/>
      <c r="AT443" s="151"/>
      <c r="AU443" s="151"/>
      <c r="AV443" s="151"/>
      <c r="AW443" s="151"/>
      <c r="AX443" s="151"/>
      <c r="AY443" s="151"/>
      <c r="AZ443" s="151"/>
      <c r="BA443" s="151"/>
      <c r="BB443" s="151"/>
      <c r="BC443" s="151"/>
      <c r="BD443" s="151"/>
      <c r="BE443" s="151"/>
      <c r="BF443" s="151"/>
      <c r="BG443" s="151"/>
      <c r="BH443" s="151"/>
      <c r="BI443" s="151"/>
      <c r="BJ443" s="151"/>
      <c r="BK443" s="151"/>
      <c r="BL443" s="151"/>
      <c r="BM443" s="151"/>
      <c r="BN443" s="151"/>
    </row>
    <row r="444" spans="25:66">
      <c r="Y444" s="151"/>
      <c r="Z444" s="151"/>
      <c r="AA444" s="151"/>
      <c r="AB444" s="151"/>
      <c r="AC444" s="151"/>
      <c r="AD444" s="151"/>
      <c r="AE444" s="151"/>
      <c r="AF444" s="151"/>
      <c r="AG444" s="151"/>
      <c r="AH444" s="151"/>
      <c r="AI444" s="151"/>
      <c r="AJ444" s="151"/>
      <c r="AK444" s="151"/>
      <c r="AL444" s="151"/>
      <c r="AM444" s="151"/>
      <c r="AN444" s="151"/>
      <c r="AO444" s="151"/>
      <c r="AP444" s="151"/>
      <c r="AQ444" s="151"/>
      <c r="AR444" s="151"/>
      <c r="AS444" s="151"/>
      <c r="AT444" s="151"/>
      <c r="AU444" s="151"/>
      <c r="AV444" s="151"/>
      <c r="AW444" s="151"/>
      <c r="AX444" s="151"/>
      <c r="AY444" s="151"/>
      <c r="AZ444" s="151"/>
      <c r="BA444" s="151"/>
      <c r="BB444" s="151"/>
      <c r="BC444" s="151"/>
      <c r="BD444" s="151"/>
      <c r="BE444" s="151"/>
      <c r="BF444" s="151"/>
      <c r="BG444" s="151"/>
      <c r="BH444" s="151"/>
      <c r="BI444" s="151"/>
      <c r="BJ444" s="151"/>
      <c r="BK444" s="151"/>
      <c r="BL444" s="151"/>
      <c r="BM444" s="151"/>
      <c r="BN444" s="151"/>
    </row>
    <row r="445" spans="25:66">
      <c r="Y445" s="151"/>
      <c r="Z445" s="151"/>
      <c r="AA445" s="151"/>
      <c r="AB445" s="151"/>
      <c r="AC445" s="151"/>
      <c r="AD445" s="151"/>
      <c r="AE445" s="151"/>
      <c r="AF445" s="151"/>
      <c r="AG445" s="151"/>
      <c r="AH445" s="151"/>
      <c r="AI445" s="151"/>
      <c r="AJ445" s="151"/>
      <c r="AK445" s="151"/>
      <c r="AL445" s="151"/>
      <c r="AM445" s="151"/>
      <c r="AN445" s="151"/>
      <c r="AO445" s="151"/>
      <c r="AP445" s="151"/>
      <c r="AQ445" s="151"/>
      <c r="AR445" s="151"/>
      <c r="AS445" s="151"/>
      <c r="AT445" s="151"/>
      <c r="AU445" s="151"/>
      <c r="AV445" s="151"/>
      <c r="AW445" s="151"/>
      <c r="AX445" s="151"/>
      <c r="AY445" s="151"/>
      <c r="AZ445" s="151"/>
      <c r="BA445" s="151"/>
      <c r="BB445" s="151"/>
      <c r="BC445" s="151"/>
      <c r="BD445" s="151"/>
      <c r="BE445" s="151"/>
      <c r="BF445" s="151"/>
      <c r="BG445" s="151"/>
      <c r="BH445" s="151"/>
      <c r="BI445" s="151"/>
      <c r="BJ445" s="151"/>
      <c r="BK445" s="151"/>
      <c r="BL445" s="151"/>
      <c r="BM445" s="151"/>
      <c r="BN445" s="151"/>
    </row>
    <row r="446" spans="25:66">
      <c r="Y446" s="151"/>
      <c r="Z446" s="151"/>
      <c r="AA446" s="151"/>
      <c r="AB446" s="151"/>
      <c r="AC446" s="151"/>
      <c r="AD446" s="151"/>
      <c r="AE446" s="151"/>
      <c r="AF446" s="151"/>
      <c r="AG446" s="151"/>
      <c r="AH446" s="151"/>
      <c r="AI446" s="151"/>
      <c r="AJ446" s="151"/>
      <c r="AK446" s="151"/>
      <c r="AL446" s="151"/>
      <c r="AM446" s="151"/>
      <c r="AN446" s="151"/>
      <c r="AO446" s="151"/>
      <c r="AP446" s="151"/>
      <c r="AQ446" s="151"/>
      <c r="AR446" s="151"/>
      <c r="AS446" s="151"/>
      <c r="AT446" s="151"/>
      <c r="AU446" s="151"/>
      <c r="AV446" s="151"/>
      <c r="AW446" s="151"/>
      <c r="AX446" s="151"/>
      <c r="AY446" s="151"/>
      <c r="AZ446" s="151"/>
      <c r="BA446" s="151"/>
      <c r="BB446" s="151"/>
      <c r="BC446" s="151"/>
      <c r="BD446" s="151"/>
      <c r="BE446" s="151"/>
      <c r="BF446" s="151"/>
      <c r="BG446" s="151"/>
      <c r="BH446" s="151"/>
      <c r="BI446" s="151"/>
      <c r="BJ446" s="151"/>
      <c r="BK446" s="151"/>
      <c r="BL446" s="151"/>
      <c r="BM446" s="151"/>
      <c r="BN446" s="151"/>
    </row>
    <row r="447" spans="25:66">
      <c r="Y447" s="151"/>
      <c r="Z447" s="151"/>
      <c r="AA447" s="151"/>
      <c r="AB447" s="151"/>
      <c r="AC447" s="151"/>
      <c r="AD447" s="151"/>
      <c r="AE447" s="151"/>
      <c r="AF447" s="151"/>
      <c r="AG447" s="151"/>
      <c r="AH447" s="151"/>
      <c r="AI447" s="151"/>
      <c r="AJ447" s="151"/>
      <c r="AK447" s="151"/>
      <c r="AL447" s="151"/>
      <c r="AM447" s="151"/>
      <c r="AN447" s="151"/>
      <c r="AO447" s="151"/>
      <c r="AP447" s="151"/>
      <c r="AQ447" s="151"/>
      <c r="AR447" s="151"/>
      <c r="AS447" s="151"/>
      <c r="AT447" s="151"/>
      <c r="AU447" s="151"/>
      <c r="AV447" s="151"/>
      <c r="AW447" s="151"/>
      <c r="AX447" s="151"/>
      <c r="AY447" s="151"/>
      <c r="AZ447" s="151"/>
      <c r="BA447" s="151"/>
      <c r="BB447" s="151"/>
      <c r="BC447" s="151"/>
      <c r="BD447" s="151"/>
      <c r="BE447" s="151"/>
      <c r="BF447" s="151"/>
      <c r="BG447" s="151"/>
      <c r="BH447" s="151"/>
      <c r="BI447" s="151"/>
      <c r="BJ447" s="151"/>
      <c r="BK447" s="151"/>
      <c r="BL447" s="151"/>
      <c r="BM447" s="151"/>
      <c r="BN447" s="151"/>
    </row>
    <row r="448" spans="25:66">
      <c r="Y448" s="151"/>
      <c r="Z448" s="151"/>
      <c r="AA448" s="151"/>
      <c r="AB448" s="151"/>
      <c r="AC448" s="151"/>
      <c r="AD448" s="151"/>
      <c r="AE448" s="151"/>
      <c r="AF448" s="151"/>
      <c r="AG448" s="151"/>
      <c r="AH448" s="151"/>
      <c r="AI448" s="151"/>
      <c r="AJ448" s="151"/>
      <c r="AK448" s="151"/>
      <c r="AL448" s="151"/>
      <c r="AM448" s="151"/>
      <c r="AN448" s="151"/>
      <c r="AO448" s="151"/>
      <c r="AP448" s="151"/>
      <c r="AQ448" s="151"/>
      <c r="AR448" s="151"/>
      <c r="AS448" s="151"/>
      <c r="AT448" s="151"/>
      <c r="AU448" s="151"/>
      <c r="AV448" s="151"/>
      <c r="AW448" s="151"/>
      <c r="AX448" s="151"/>
      <c r="AY448" s="151"/>
      <c r="AZ448" s="151"/>
      <c r="BA448" s="151"/>
      <c r="BB448" s="151"/>
      <c r="BC448" s="151"/>
      <c r="BD448" s="151"/>
      <c r="BE448" s="151"/>
      <c r="BF448" s="151"/>
      <c r="BG448" s="151"/>
      <c r="BH448" s="151"/>
      <c r="BI448" s="151"/>
      <c r="BJ448" s="151"/>
      <c r="BK448" s="151"/>
      <c r="BL448" s="151"/>
      <c r="BM448" s="151"/>
      <c r="BN448" s="151"/>
    </row>
    <row r="449" spans="25:66">
      <c r="Y449" s="151"/>
      <c r="Z449" s="151"/>
      <c r="AA449" s="151"/>
      <c r="AB449" s="151"/>
      <c r="AC449" s="151"/>
      <c r="AD449" s="151"/>
      <c r="AE449" s="151"/>
      <c r="AF449" s="151"/>
      <c r="AG449" s="151"/>
      <c r="AH449" s="151"/>
      <c r="AI449" s="151"/>
      <c r="AJ449" s="151"/>
      <c r="AK449" s="151"/>
      <c r="AL449" s="151"/>
      <c r="AM449" s="151"/>
      <c r="AN449" s="151"/>
      <c r="AO449" s="151"/>
      <c r="AP449" s="151"/>
      <c r="AQ449" s="151"/>
      <c r="AR449" s="151"/>
      <c r="AS449" s="151"/>
      <c r="AT449" s="151"/>
      <c r="AU449" s="151"/>
      <c r="AV449" s="151"/>
      <c r="AW449" s="151"/>
      <c r="AX449" s="151"/>
      <c r="AY449" s="151"/>
      <c r="AZ449" s="151"/>
      <c r="BA449" s="151"/>
      <c r="BB449" s="151"/>
      <c r="BC449" s="151"/>
      <c r="BD449" s="151"/>
      <c r="BE449" s="151"/>
      <c r="BF449" s="151"/>
      <c r="BG449" s="151"/>
      <c r="BH449" s="151"/>
      <c r="BI449" s="151"/>
      <c r="BJ449" s="151"/>
      <c r="BK449" s="151"/>
      <c r="BL449" s="151"/>
      <c r="BM449" s="151"/>
      <c r="BN449" s="151"/>
    </row>
    <row r="450" spans="25:66">
      <c r="Y450" s="151"/>
      <c r="Z450" s="151"/>
      <c r="AA450" s="151"/>
      <c r="AB450" s="151"/>
      <c r="AC450" s="151"/>
      <c r="AD450" s="151"/>
      <c r="AE450" s="151"/>
      <c r="AF450" s="151"/>
      <c r="AG450" s="151"/>
      <c r="AH450" s="151"/>
      <c r="AI450" s="151"/>
      <c r="AJ450" s="151"/>
      <c r="AK450" s="151"/>
      <c r="AL450" s="151"/>
      <c r="AM450" s="151"/>
      <c r="AN450" s="151"/>
      <c r="AO450" s="151"/>
      <c r="AP450" s="151"/>
      <c r="AQ450" s="151"/>
      <c r="AR450" s="151"/>
      <c r="AS450" s="151"/>
      <c r="AT450" s="151"/>
      <c r="AU450" s="151"/>
      <c r="AV450" s="151"/>
      <c r="AW450" s="151"/>
      <c r="AX450" s="151"/>
      <c r="AY450" s="151"/>
      <c r="AZ450" s="151"/>
      <c r="BA450" s="151"/>
      <c r="BB450" s="151"/>
      <c r="BC450" s="151"/>
      <c r="BD450" s="151"/>
      <c r="BE450" s="151"/>
      <c r="BF450" s="151"/>
      <c r="BG450" s="151"/>
      <c r="BH450" s="151"/>
      <c r="BI450" s="151"/>
      <c r="BJ450" s="151"/>
      <c r="BK450" s="151"/>
      <c r="BL450" s="151"/>
      <c r="BM450" s="151"/>
      <c r="BN450" s="151"/>
    </row>
    <row r="451" spans="25:66">
      <c r="Y451" s="151"/>
      <c r="Z451" s="151"/>
      <c r="AA451" s="151"/>
      <c r="AB451" s="151"/>
      <c r="AC451" s="151"/>
      <c r="AD451" s="151"/>
      <c r="AE451" s="151"/>
      <c r="AF451" s="151"/>
      <c r="AG451" s="151"/>
      <c r="AH451" s="151"/>
      <c r="AI451" s="151"/>
      <c r="AJ451" s="151"/>
      <c r="AK451" s="151"/>
      <c r="AL451" s="151"/>
      <c r="AM451" s="151"/>
      <c r="AN451" s="151"/>
      <c r="AO451" s="151"/>
      <c r="AP451" s="151"/>
      <c r="AQ451" s="151"/>
      <c r="AR451" s="151"/>
      <c r="AS451" s="151"/>
      <c r="AT451" s="151"/>
      <c r="AU451" s="151"/>
      <c r="AV451" s="151"/>
      <c r="AW451" s="151"/>
      <c r="AX451" s="151"/>
      <c r="AY451" s="151"/>
      <c r="AZ451" s="151"/>
      <c r="BA451" s="151"/>
      <c r="BB451" s="151"/>
      <c r="BC451" s="151"/>
      <c r="BD451" s="151"/>
      <c r="BE451" s="151"/>
      <c r="BF451" s="151"/>
      <c r="BG451" s="151"/>
      <c r="BH451" s="151"/>
      <c r="BI451" s="151"/>
      <c r="BJ451" s="151"/>
      <c r="BK451" s="151"/>
      <c r="BL451" s="151"/>
      <c r="BM451" s="151"/>
      <c r="BN451" s="151"/>
    </row>
    <row r="452" spans="25:66">
      <c r="Y452" s="151"/>
      <c r="Z452" s="151"/>
      <c r="AA452" s="151"/>
      <c r="AB452" s="151"/>
      <c r="AC452" s="151"/>
      <c r="AD452" s="151"/>
      <c r="AE452" s="151"/>
      <c r="AF452" s="151"/>
      <c r="AG452" s="151"/>
      <c r="AH452" s="151"/>
      <c r="AI452" s="151"/>
      <c r="AJ452" s="151"/>
      <c r="AK452" s="151"/>
      <c r="AL452" s="151"/>
      <c r="AM452" s="151"/>
      <c r="AN452" s="151"/>
      <c r="AO452" s="151"/>
      <c r="AP452" s="151"/>
      <c r="AQ452" s="151"/>
      <c r="AR452" s="151"/>
      <c r="AS452" s="151"/>
      <c r="AT452" s="151"/>
      <c r="AU452" s="151"/>
      <c r="AV452" s="151"/>
      <c r="AW452" s="151"/>
      <c r="AX452" s="151"/>
      <c r="AY452" s="151"/>
      <c r="AZ452" s="151"/>
      <c r="BA452" s="151"/>
      <c r="BB452" s="151"/>
      <c r="BC452" s="151"/>
      <c r="BD452" s="151"/>
      <c r="BE452" s="151"/>
      <c r="BF452" s="151"/>
      <c r="BG452" s="151"/>
      <c r="BH452" s="151"/>
      <c r="BI452" s="151"/>
      <c r="BJ452" s="151"/>
      <c r="BK452" s="151"/>
      <c r="BL452" s="151"/>
      <c r="BM452" s="151"/>
      <c r="BN452" s="151"/>
    </row>
    <row r="453" spans="25:66">
      <c r="Y453" s="151"/>
      <c r="Z453" s="151"/>
      <c r="AA453" s="151"/>
      <c r="AB453" s="151"/>
      <c r="AC453" s="151"/>
      <c r="AD453" s="151"/>
      <c r="AE453" s="151"/>
      <c r="AF453" s="151"/>
      <c r="AG453" s="151"/>
      <c r="AH453" s="151"/>
      <c r="AI453" s="151"/>
      <c r="AJ453" s="151"/>
      <c r="AK453" s="151"/>
      <c r="AL453" s="151"/>
      <c r="AM453" s="151"/>
      <c r="AN453" s="151"/>
      <c r="AO453" s="151"/>
      <c r="AP453" s="151"/>
      <c r="AQ453" s="151"/>
      <c r="AR453" s="151"/>
      <c r="AS453" s="151"/>
      <c r="AT453" s="151"/>
      <c r="AU453" s="151"/>
      <c r="AV453" s="151"/>
      <c r="AW453" s="151"/>
      <c r="AX453" s="151"/>
      <c r="AY453" s="151"/>
      <c r="AZ453" s="151"/>
      <c r="BA453" s="151"/>
      <c r="BB453" s="151"/>
      <c r="BC453" s="151"/>
      <c r="BD453" s="151"/>
      <c r="BE453" s="151"/>
      <c r="BF453" s="151"/>
      <c r="BG453" s="151"/>
      <c r="BH453" s="151"/>
      <c r="BI453" s="151"/>
      <c r="BJ453" s="151"/>
      <c r="BK453" s="151"/>
      <c r="BL453" s="151"/>
      <c r="BM453" s="151"/>
      <c r="BN453" s="151"/>
    </row>
    <row r="454" spans="25:66">
      <c r="Y454" s="151"/>
      <c r="Z454" s="151"/>
      <c r="AA454" s="151"/>
      <c r="AB454" s="151"/>
      <c r="AC454" s="151"/>
      <c r="AD454" s="151"/>
      <c r="AE454" s="151"/>
      <c r="AF454" s="151"/>
      <c r="AG454" s="151"/>
      <c r="AH454" s="151"/>
      <c r="AI454" s="151"/>
      <c r="AJ454" s="151"/>
      <c r="AK454" s="151"/>
      <c r="AL454" s="151"/>
      <c r="AM454" s="151"/>
      <c r="AN454" s="151"/>
      <c r="AO454" s="151"/>
      <c r="AP454" s="151"/>
      <c r="AQ454" s="151"/>
      <c r="AR454" s="151"/>
      <c r="AS454" s="151"/>
      <c r="AT454" s="151"/>
      <c r="AU454" s="151"/>
      <c r="AV454" s="151"/>
      <c r="AW454" s="151"/>
      <c r="AX454" s="151"/>
      <c r="AY454" s="151"/>
      <c r="AZ454" s="151"/>
      <c r="BA454" s="151"/>
      <c r="BB454" s="151"/>
      <c r="BC454" s="151"/>
      <c r="BD454" s="151"/>
      <c r="BE454" s="151"/>
      <c r="BF454" s="151"/>
      <c r="BG454" s="151"/>
      <c r="BH454" s="151"/>
      <c r="BI454" s="151"/>
      <c r="BJ454" s="151"/>
      <c r="BK454" s="151"/>
      <c r="BL454" s="151"/>
      <c r="BM454" s="151"/>
      <c r="BN454" s="151"/>
    </row>
    <row r="455" spans="25:66">
      <c r="Y455" s="151"/>
      <c r="Z455" s="151"/>
      <c r="AA455" s="151"/>
      <c r="AB455" s="151"/>
      <c r="AC455" s="151"/>
      <c r="AD455" s="151"/>
      <c r="AE455" s="151"/>
      <c r="AF455" s="151"/>
      <c r="AG455" s="151"/>
      <c r="AH455" s="151"/>
      <c r="AI455" s="151"/>
      <c r="AJ455" s="151"/>
      <c r="AK455" s="151"/>
      <c r="AL455" s="151"/>
      <c r="AM455" s="151"/>
      <c r="AN455" s="151"/>
      <c r="AO455" s="151"/>
      <c r="AP455" s="151"/>
      <c r="AQ455" s="151"/>
      <c r="AR455" s="151"/>
      <c r="AS455" s="151"/>
      <c r="AT455" s="151"/>
      <c r="AU455" s="151"/>
      <c r="AV455" s="151"/>
      <c r="AW455" s="151"/>
      <c r="AX455" s="151"/>
      <c r="AY455" s="151"/>
      <c r="AZ455" s="151"/>
      <c r="BA455" s="151"/>
      <c r="BB455" s="151"/>
      <c r="BC455" s="151"/>
      <c r="BD455" s="151"/>
      <c r="BE455" s="151"/>
      <c r="BF455" s="151"/>
      <c r="BG455" s="151"/>
      <c r="BH455" s="151"/>
      <c r="BI455" s="151"/>
      <c r="BJ455" s="151"/>
      <c r="BK455" s="151"/>
      <c r="BL455" s="151"/>
      <c r="BM455" s="151"/>
      <c r="BN455" s="151"/>
    </row>
    <row r="456" spans="25:66">
      <c r="Y456" s="151"/>
      <c r="Z456" s="151"/>
      <c r="AA456" s="151"/>
      <c r="AB456" s="151"/>
      <c r="AC456" s="151"/>
      <c r="AD456" s="151"/>
      <c r="AE456" s="151"/>
      <c r="AF456" s="151"/>
      <c r="AG456" s="151"/>
      <c r="AH456" s="151"/>
      <c r="AI456" s="151"/>
      <c r="AJ456" s="151"/>
      <c r="AK456" s="151"/>
      <c r="AL456" s="151"/>
      <c r="AM456" s="151"/>
      <c r="AN456" s="151"/>
      <c r="AO456" s="151"/>
      <c r="AP456" s="151"/>
      <c r="AQ456" s="151"/>
      <c r="AR456" s="151"/>
      <c r="AS456" s="151"/>
      <c r="AT456" s="151"/>
      <c r="AU456" s="151"/>
      <c r="AV456" s="151"/>
      <c r="AW456" s="151"/>
      <c r="AX456" s="151"/>
      <c r="AY456" s="151"/>
      <c r="AZ456" s="151"/>
      <c r="BA456" s="151"/>
      <c r="BB456" s="151"/>
      <c r="BC456" s="151"/>
      <c r="BD456" s="151"/>
      <c r="BE456" s="151"/>
      <c r="BF456" s="151"/>
      <c r="BG456" s="151"/>
      <c r="BH456" s="151"/>
      <c r="BI456" s="151"/>
      <c r="BJ456" s="151"/>
      <c r="BK456" s="151"/>
      <c r="BL456" s="151"/>
      <c r="BM456" s="151"/>
      <c r="BN456" s="151"/>
    </row>
    <row r="457" spans="25:66">
      <c r="Y457" s="151"/>
      <c r="Z457" s="151"/>
      <c r="AA457" s="151"/>
      <c r="AB457" s="151"/>
      <c r="AC457" s="151"/>
      <c r="AD457" s="151"/>
      <c r="AE457" s="151"/>
      <c r="AF457" s="151"/>
      <c r="AG457" s="151"/>
      <c r="AH457" s="151"/>
      <c r="AI457" s="151"/>
      <c r="AJ457" s="151"/>
      <c r="AK457" s="151"/>
      <c r="AL457" s="151"/>
      <c r="AM457" s="151"/>
      <c r="AN457" s="151"/>
      <c r="AO457" s="151"/>
      <c r="AP457" s="151"/>
      <c r="AQ457" s="151"/>
      <c r="AR457" s="151"/>
      <c r="AS457" s="151"/>
      <c r="AT457" s="151"/>
      <c r="AU457" s="151"/>
      <c r="AV457" s="151"/>
      <c r="AW457" s="151"/>
      <c r="AX457" s="151"/>
      <c r="AY457" s="151"/>
      <c r="AZ457" s="151"/>
      <c r="BA457" s="151"/>
      <c r="BB457" s="151"/>
      <c r="BC457" s="151"/>
      <c r="BD457" s="151"/>
      <c r="BE457" s="151"/>
      <c r="BF457" s="151"/>
      <c r="BG457" s="151"/>
      <c r="BH457" s="151"/>
      <c r="BI457" s="151"/>
      <c r="BJ457" s="151"/>
      <c r="BK457" s="151"/>
      <c r="BL457" s="151"/>
      <c r="BM457" s="151"/>
      <c r="BN457" s="151"/>
    </row>
    <row r="458" spans="25:66">
      <c r="Y458" s="151"/>
      <c r="Z458" s="151"/>
      <c r="AA458" s="151"/>
      <c r="AB458" s="151"/>
      <c r="AC458" s="151"/>
      <c r="AD458" s="151"/>
      <c r="AE458" s="151"/>
      <c r="AF458" s="151"/>
      <c r="AG458" s="151"/>
      <c r="AH458" s="151"/>
      <c r="AI458" s="151"/>
      <c r="AJ458" s="151"/>
      <c r="AK458" s="151"/>
      <c r="AL458" s="151"/>
      <c r="AM458" s="151"/>
      <c r="AN458" s="151"/>
      <c r="AO458" s="151"/>
      <c r="AP458" s="151"/>
      <c r="AQ458" s="151"/>
      <c r="AR458" s="151"/>
      <c r="AS458" s="151"/>
      <c r="AT458" s="151"/>
      <c r="AU458" s="151"/>
      <c r="AV458" s="151"/>
      <c r="AW458" s="151"/>
      <c r="AX458" s="151"/>
      <c r="AY458" s="151"/>
      <c r="AZ458" s="151"/>
      <c r="BA458" s="151"/>
      <c r="BB458" s="151"/>
      <c r="BC458" s="151"/>
      <c r="BD458" s="151"/>
      <c r="BE458" s="151"/>
      <c r="BF458" s="151"/>
      <c r="BG458" s="151"/>
      <c r="BH458" s="151"/>
      <c r="BI458" s="151"/>
      <c r="BJ458" s="151"/>
      <c r="BK458" s="151"/>
      <c r="BL458" s="151"/>
      <c r="BM458" s="151"/>
      <c r="BN458" s="151"/>
    </row>
    <row r="459" spans="25:66">
      <c r="Y459" s="151"/>
      <c r="Z459" s="151"/>
      <c r="AA459" s="151"/>
      <c r="AB459" s="151"/>
      <c r="AC459" s="151"/>
      <c r="AD459" s="151"/>
      <c r="AE459" s="151"/>
      <c r="AF459" s="151"/>
      <c r="AG459" s="151"/>
      <c r="AH459" s="151"/>
      <c r="AI459" s="151"/>
      <c r="AJ459" s="151"/>
      <c r="AK459" s="151"/>
      <c r="AL459" s="151"/>
      <c r="AM459" s="151"/>
      <c r="AN459" s="151"/>
      <c r="AO459" s="151"/>
      <c r="AP459" s="151"/>
      <c r="AQ459" s="151"/>
      <c r="AR459" s="151"/>
      <c r="AS459" s="151"/>
      <c r="AT459" s="151"/>
      <c r="AU459" s="151"/>
      <c r="AV459" s="151"/>
      <c r="AW459" s="151"/>
      <c r="AX459" s="151"/>
      <c r="AY459" s="151"/>
      <c r="AZ459" s="151"/>
      <c r="BA459" s="151"/>
      <c r="BB459" s="151"/>
      <c r="BC459" s="151"/>
      <c r="BD459" s="151"/>
      <c r="BE459" s="151"/>
      <c r="BF459" s="151"/>
      <c r="BG459" s="151"/>
      <c r="BH459" s="151"/>
      <c r="BI459" s="151"/>
      <c r="BJ459" s="151"/>
      <c r="BK459" s="151"/>
      <c r="BL459" s="151"/>
      <c r="BM459" s="151"/>
      <c r="BN459" s="151"/>
    </row>
    <row r="460" spans="25:66">
      <c r="Y460" s="151"/>
      <c r="Z460" s="151"/>
      <c r="AA460" s="151"/>
      <c r="AB460" s="151"/>
      <c r="AC460" s="151"/>
      <c r="AD460" s="151"/>
      <c r="AE460" s="151"/>
      <c r="AF460" s="151"/>
      <c r="AG460" s="151"/>
      <c r="AH460" s="151"/>
      <c r="AI460" s="151"/>
      <c r="AJ460" s="151"/>
      <c r="AK460" s="151"/>
      <c r="AL460" s="151"/>
      <c r="AM460" s="151"/>
      <c r="AN460" s="151"/>
      <c r="AO460" s="151"/>
      <c r="AP460" s="151"/>
      <c r="AQ460" s="151"/>
      <c r="AR460" s="151"/>
      <c r="AS460" s="151"/>
      <c r="AT460" s="151"/>
      <c r="AU460" s="151"/>
      <c r="AV460" s="151"/>
      <c r="AW460" s="151"/>
      <c r="AX460" s="151"/>
      <c r="AY460" s="151"/>
      <c r="AZ460" s="151"/>
      <c r="BA460" s="151"/>
      <c r="BB460" s="151"/>
      <c r="BC460" s="151"/>
      <c r="BD460" s="151"/>
      <c r="BE460" s="151"/>
      <c r="BF460" s="151"/>
      <c r="BG460" s="151"/>
      <c r="BH460" s="151"/>
      <c r="BI460" s="151"/>
      <c r="BJ460" s="151"/>
      <c r="BK460" s="151"/>
      <c r="BL460" s="151"/>
      <c r="BM460" s="151"/>
      <c r="BN460" s="151"/>
    </row>
    <row r="461" spans="25:66">
      <c r="Y461" s="151"/>
      <c r="Z461" s="151"/>
      <c r="AA461" s="151"/>
      <c r="AB461" s="151"/>
      <c r="AC461" s="151"/>
      <c r="AD461" s="151"/>
      <c r="AE461" s="151"/>
      <c r="AF461" s="151"/>
      <c r="AG461" s="151"/>
      <c r="AH461" s="151"/>
      <c r="AI461" s="151"/>
      <c r="AJ461" s="151"/>
      <c r="AK461" s="151"/>
      <c r="AL461" s="151"/>
      <c r="AM461" s="151"/>
      <c r="AN461" s="151"/>
      <c r="AO461" s="151"/>
      <c r="AP461" s="151"/>
      <c r="AQ461" s="151"/>
      <c r="AR461" s="151"/>
      <c r="AS461" s="151"/>
      <c r="AT461" s="151"/>
      <c r="AU461" s="151"/>
      <c r="AV461" s="151"/>
      <c r="AW461" s="151"/>
      <c r="AX461" s="151"/>
      <c r="AY461" s="151"/>
      <c r="AZ461" s="151"/>
      <c r="BA461" s="151"/>
      <c r="BB461" s="151"/>
      <c r="BC461" s="151"/>
      <c r="BD461" s="151"/>
      <c r="BE461" s="151"/>
      <c r="BF461" s="151"/>
      <c r="BG461" s="151"/>
      <c r="BH461" s="151"/>
      <c r="BI461" s="151"/>
      <c r="BJ461" s="151"/>
      <c r="BK461" s="151"/>
      <c r="BL461" s="151"/>
      <c r="BM461" s="151"/>
      <c r="BN461" s="151"/>
    </row>
    <row r="462" spans="25:66">
      <c r="Y462" s="151"/>
      <c r="Z462" s="151"/>
      <c r="AA462" s="151"/>
      <c r="AB462" s="151"/>
      <c r="AC462" s="151"/>
      <c r="AD462" s="151"/>
      <c r="AE462" s="151"/>
      <c r="AF462" s="151"/>
      <c r="AG462" s="151"/>
      <c r="AH462" s="151"/>
      <c r="AI462" s="151"/>
      <c r="AJ462" s="151"/>
      <c r="AK462" s="151"/>
      <c r="AL462" s="151"/>
      <c r="AM462" s="151"/>
      <c r="AN462" s="151"/>
      <c r="AO462" s="151"/>
      <c r="AP462" s="151"/>
      <c r="AQ462" s="151"/>
      <c r="AR462" s="151"/>
      <c r="AS462" s="151"/>
      <c r="AT462" s="151"/>
      <c r="AU462" s="151"/>
      <c r="AV462" s="151"/>
      <c r="AW462" s="151"/>
      <c r="AX462" s="151"/>
      <c r="AY462" s="151"/>
      <c r="AZ462" s="151"/>
      <c r="BA462" s="151"/>
      <c r="BB462" s="151"/>
      <c r="BC462" s="151"/>
      <c r="BD462" s="151"/>
      <c r="BE462" s="151"/>
      <c r="BF462" s="151"/>
      <c r="BG462" s="151"/>
      <c r="BH462" s="151"/>
      <c r="BI462" s="151"/>
      <c r="BJ462" s="151"/>
      <c r="BK462" s="151"/>
      <c r="BL462" s="151"/>
      <c r="BM462" s="151"/>
      <c r="BN462" s="151"/>
    </row>
    <row r="463" spans="25:66">
      <c r="Y463" s="151"/>
      <c r="Z463" s="151"/>
      <c r="AA463" s="151"/>
      <c r="AB463" s="151"/>
      <c r="AC463" s="151"/>
      <c r="AD463" s="151"/>
      <c r="AE463" s="151"/>
      <c r="AF463" s="151"/>
      <c r="AG463" s="151"/>
      <c r="AH463" s="151"/>
      <c r="AI463" s="151"/>
      <c r="AJ463" s="151"/>
      <c r="AK463" s="151"/>
      <c r="AL463" s="151"/>
      <c r="AM463" s="151"/>
      <c r="AN463" s="151"/>
      <c r="AO463" s="151"/>
      <c r="AP463" s="151"/>
      <c r="AQ463" s="151"/>
      <c r="AR463" s="151"/>
      <c r="AS463" s="151"/>
      <c r="AT463" s="151"/>
      <c r="AU463" s="151"/>
      <c r="AV463" s="151"/>
      <c r="AW463" s="151"/>
      <c r="AX463" s="151"/>
      <c r="AY463" s="151"/>
      <c r="AZ463" s="151"/>
      <c r="BA463" s="151"/>
      <c r="BB463" s="151"/>
      <c r="BC463" s="151"/>
      <c r="BD463" s="151"/>
      <c r="BE463" s="151"/>
      <c r="BF463" s="151"/>
      <c r="BG463" s="151"/>
      <c r="BH463" s="151"/>
      <c r="BI463" s="151"/>
      <c r="BJ463" s="151"/>
      <c r="BK463" s="151"/>
      <c r="BL463" s="151"/>
      <c r="BM463" s="151"/>
      <c r="BN463" s="151"/>
    </row>
    <row r="464" spans="25:66">
      <c r="Y464" s="151"/>
      <c r="Z464" s="151"/>
      <c r="AA464" s="151"/>
      <c r="AB464" s="151"/>
      <c r="AC464" s="151"/>
      <c r="AD464" s="151"/>
      <c r="AE464" s="151"/>
      <c r="AF464" s="151"/>
      <c r="AG464" s="151"/>
      <c r="AH464" s="151"/>
      <c r="AI464" s="151"/>
      <c r="AJ464" s="151"/>
      <c r="AK464" s="151"/>
      <c r="AL464" s="151"/>
      <c r="AM464" s="151"/>
      <c r="AN464" s="151"/>
      <c r="AO464" s="151"/>
      <c r="AP464" s="151"/>
      <c r="AQ464" s="151"/>
      <c r="AR464" s="151"/>
      <c r="AS464" s="151"/>
      <c r="AT464" s="151"/>
      <c r="AU464" s="151"/>
      <c r="AV464" s="151"/>
      <c r="AW464" s="151"/>
      <c r="AX464" s="151"/>
      <c r="AY464" s="151"/>
      <c r="AZ464" s="151"/>
      <c r="BA464" s="151"/>
      <c r="BB464" s="151"/>
      <c r="BC464" s="151"/>
      <c r="BD464" s="151"/>
      <c r="BE464" s="151"/>
      <c r="BF464" s="151"/>
      <c r="BG464" s="151"/>
      <c r="BH464" s="151"/>
      <c r="BI464" s="151"/>
      <c r="BJ464" s="151"/>
      <c r="BK464" s="151"/>
      <c r="BL464" s="151"/>
      <c r="BM464" s="151"/>
      <c r="BN464" s="151"/>
    </row>
    <row r="465" spans="25:66">
      <c r="Y465" s="151"/>
      <c r="Z465" s="151"/>
      <c r="AA465" s="151"/>
      <c r="AB465" s="151"/>
      <c r="AC465" s="151"/>
      <c r="AD465" s="151"/>
      <c r="AE465" s="151"/>
      <c r="AF465" s="151"/>
      <c r="AG465" s="151"/>
      <c r="AH465" s="151"/>
      <c r="AI465" s="151"/>
      <c r="AJ465" s="151"/>
      <c r="AK465" s="151"/>
      <c r="AL465" s="151"/>
      <c r="AM465" s="151"/>
      <c r="AN465" s="151"/>
      <c r="AO465" s="151"/>
      <c r="AP465" s="151"/>
      <c r="AQ465" s="151"/>
      <c r="AR465" s="151"/>
      <c r="AS465" s="151"/>
      <c r="AT465" s="151"/>
      <c r="AU465" s="151"/>
      <c r="AV465" s="151"/>
      <c r="AW465" s="151"/>
      <c r="AX465" s="151"/>
      <c r="AY465" s="151"/>
      <c r="AZ465" s="151"/>
      <c r="BA465" s="151"/>
      <c r="BB465" s="151"/>
      <c r="BC465" s="151"/>
      <c r="BD465" s="151"/>
      <c r="BE465" s="151"/>
      <c r="BF465" s="151"/>
      <c r="BG465" s="151"/>
      <c r="BH465" s="151"/>
      <c r="BI465" s="151"/>
      <c r="BJ465" s="151"/>
      <c r="BK465" s="151"/>
      <c r="BL465" s="151"/>
      <c r="BM465" s="151"/>
      <c r="BN465" s="151"/>
    </row>
    <row r="466" spans="25:66">
      <c r="Y466" s="151"/>
      <c r="Z466" s="151"/>
      <c r="AA466" s="151"/>
      <c r="AB466" s="151"/>
      <c r="AC466" s="151"/>
      <c r="AD466" s="151"/>
      <c r="AE466" s="151"/>
      <c r="AF466" s="151"/>
      <c r="AG466" s="151"/>
      <c r="AH466" s="151"/>
      <c r="AI466" s="151"/>
      <c r="AJ466" s="151"/>
      <c r="AK466" s="151"/>
      <c r="AL466" s="151"/>
      <c r="AM466" s="151"/>
      <c r="AN466" s="151"/>
      <c r="AO466" s="151"/>
      <c r="AP466" s="151"/>
      <c r="AQ466" s="151"/>
      <c r="AR466" s="151"/>
      <c r="AS466" s="151"/>
      <c r="AT466" s="151"/>
      <c r="AU466" s="151"/>
      <c r="AV466" s="151"/>
      <c r="AW466" s="151"/>
      <c r="AX466" s="151"/>
      <c r="AY466" s="151"/>
      <c r="AZ466" s="151"/>
      <c r="BA466" s="151"/>
      <c r="BB466" s="151"/>
      <c r="BC466" s="151"/>
      <c r="BD466" s="151"/>
      <c r="BE466" s="151"/>
      <c r="BF466" s="151"/>
      <c r="BG466" s="151"/>
      <c r="BH466" s="151"/>
      <c r="BI466" s="151"/>
      <c r="BJ466" s="151"/>
      <c r="BK466" s="151"/>
      <c r="BL466" s="151"/>
      <c r="BM466" s="151"/>
      <c r="BN466" s="151"/>
    </row>
    <row r="467" spans="25:66">
      <c r="Y467" s="151"/>
      <c r="Z467" s="151"/>
      <c r="AA467" s="151"/>
      <c r="AB467" s="151"/>
      <c r="AC467" s="151"/>
      <c r="AD467" s="151"/>
      <c r="AE467" s="151"/>
      <c r="AF467" s="151"/>
      <c r="AG467" s="151"/>
      <c r="AH467" s="151"/>
      <c r="AI467" s="151"/>
      <c r="AJ467" s="151"/>
      <c r="AK467" s="151"/>
      <c r="AL467" s="151"/>
      <c r="AM467" s="151"/>
      <c r="AN467" s="151"/>
      <c r="AO467" s="151"/>
      <c r="AP467" s="151"/>
      <c r="AQ467" s="151"/>
      <c r="AR467" s="151"/>
      <c r="AS467" s="151"/>
      <c r="AT467" s="151"/>
      <c r="AU467" s="151"/>
      <c r="AV467" s="151"/>
      <c r="AW467" s="151"/>
      <c r="AX467" s="151"/>
      <c r="AY467" s="151"/>
      <c r="AZ467" s="151"/>
      <c r="BA467" s="151"/>
      <c r="BB467" s="151"/>
      <c r="BC467" s="151"/>
      <c r="BD467" s="151"/>
      <c r="BE467" s="151"/>
      <c r="BF467" s="151"/>
      <c r="BG467" s="151"/>
      <c r="BH467" s="151"/>
      <c r="BI467" s="151"/>
      <c r="BJ467" s="151"/>
      <c r="BK467" s="151"/>
      <c r="BL467" s="151"/>
      <c r="BM467" s="151"/>
      <c r="BN467" s="151"/>
    </row>
    <row r="468" spans="25:66">
      <c r="Y468" s="151"/>
      <c r="Z468" s="151"/>
      <c r="AA468" s="151"/>
      <c r="AB468" s="151"/>
      <c r="AC468" s="151"/>
      <c r="AD468" s="151"/>
      <c r="AE468" s="151"/>
      <c r="AF468" s="151"/>
      <c r="AG468" s="151"/>
      <c r="AH468" s="151"/>
      <c r="AI468" s="151"/>
      <c r="AJ468" s="151"/>
      <c r="AK468" s="151"/>
      <c r="AL468" s="151"/>
      <c r="AM468" s="151"/>
      <c r="AN468" s="151"/>
      <c r="AO468" s="151"/>
      <c r="AP468" s="151"/>
      <c r="AQ468" s="151"/>
      <c r="AR468" s="151"/>
      <c r="AS468" s="151"/>
      <c r="AT468" s="151"/>
      <c r="AU468" s="151"/>
      <c r="AV468" s="151"/>
      <c r="AW468" s="151"/>
      <c r="AX468" s="151"/>
      <c r="AY468" s="151"/>
      <c r="AZ468" s="151"/>
      <c r="BA468" s="151"/>
      <c r="BB468" s="151"/>
      <c r="BC468" s="151"/>
      <c r="BD468" s="151"/>
      <c r="BE468" s="151"/>
      <c r="BF468" s="151"/>
      <c r="BG468" s="151"/>
      <c r="BH468" s="151"/>
      <c r="BI468" s="151"/>
      <c r="BJ468" s="151"/>
      <c r="BK468" s="151"/>
      <c r="BL468" s="151"/>
      <c r="BM468" s="151"/>
      <c r="BN468" s="151"/>
    </row>
    <row r="469" spans="25:66">
      <c r="Y469" s="151"/>
      <c r="Z469" s="151"/>
      <c r="AA469" s="151"/>
      <c r="AB469" s="151"/>
      <c r="AC469" s="151"/>
      <c r="AD469" s="151"/>
      <c r="AE469" s="151"/>
      <c r="AF469" s="151"/>
      <c r="AG469" s="151"/>
      <c r="AH469" s="151"/>
      <c r="AI469" s="151"/>
      <c r="AJ469" s="151"/>
      <c r="AK469" s="151"/>
      <c r="AL469" s="151"/>
      <c r="AM469" s="151"/>
      <c r="AN469" s="151"/>
      <c r="AO469" s="151"/>
      <c r="AP469" s="151"/>
      <c r="AQ469" s="151"/>
      <c r="AR469" s="151"/>
      <c r="AS469" s="151"/>
      <c r="AT469" s="151"/>
      <c r="AU469" s="151"/>
      <c r="AV469" s="151"/>
      <c r="AW469" s="151"/>
      <c r="AX469" s="151"/>
      <c r="AY469" s="151"/>
      <c r="AZ469" s="151"/>
      <c r="BA469" s="151"/>
      <c r="BB469" s="151"/>
      <c r="BC469" s="151"/>
      <c r="BD469" s="151"/>
      <c r="BE469" s="151"/>
      <c r="BF469" s="151"/>
      <c r="BG469" s="151"/>
      <c r="BH469" s="151"/>
      <c r="BI469" s="151"/>
      <c r="BJ469" s="151"/>
      <c r="BK469" s="151"/>
      <c r="BL469" s="151"/>
      <c r="BM469" s="151"/>
      <c r="BN469" s="151"/>
    </row>
    <row r="470" spans="25:66">
      <c r="Y470" s="151"/>
      <c r="Z470" s="151"/>
      <c r="AA470" s="151"/>
      <c r="AB470" s="151"/>
      <c r="AC470" s="151"/>
      <c r="AD470" s="151"/>
      <c r="AE470" s="151"/>
      <c r="AF470" s="151"/>
      <c r="AG470" s="151"/>
      <c r="AH470" s="151"/>
      <c r="AI470" s="151"/>
      <c r="AJ470" s="151"/>
      <c r="AK470" s="151"/>
      <c r="AL470" s="151"/>
      <c r="AM470" s="151"/>
      <c r="AN470" s="151"/>
      <c r="AO470" s="151"/>
      <c r="AP470" s="151"/>
      <c r="AQ470" s="151"/>
      <c r="AR470" s="151"/>
      <c r="AS470" s="151"/>
      <c r="AT470" s="151"/>
      <c r="AU470" s="151"/>
      <c r="AV470" s="151"/>
      <c r="AW470" s="151"/>
      <c r="AX470" s="151"/>
      <c r="AY470" s="151"/>
      <c r="AZ470" s="151"/>
      <c r="BA470" s="151"/>
      <c r="BB470" s="151"/>
      <c r="BC470" s="151"/>
      <c r="BD470" s="151"/>
      <c r="BE470" s="151"/>
      <c r="BF470" s="151"/>
      <c r="BG470" s="151"/>
      <c r="BH470" s="151"/>
      <c r="BI470" s="151"/>
      <c r="BJ470" s="151"/>
      <c r="BK470" s="151"/>
      <c r="BL470" s="151"/>
      <c r="BM470" s="151"/>
      <c r="BN470" s="151"/>
    </row>
    <row r="471" spans="25:66">
      <c r="Y471" s="151"/>
      <c r="Z471" s="151"/>
      <c r="AA471" s="151"/>
      <c r="AB471" s="151"/>
      <c r="AC471" s="151"/>
      <c r="AD471" s="151"/>
      <c r="AE471" s="151"/>
      <c r="AF471" s="151"/>
      <c r="AG471" s="151"/>
      <c r="AH471" s="151"/>
      <c r="AI471" s="151"/>
      <c r="AJ471" s="151"/>
      <c r="AK471" s="151"/>
      <c r="AL471" s="151"/>
      <c r="AM471" s="151"/>
      <c r="AN471" s="151"/>
      <c r="AO471" s="151"/>
      <c r="AP471" s="151"/>
      <c r="AQ471" s="151"/>
      <c r="AR471" s="151"/>
      <c r="AS471" s="151"/>
      <c r="AT471" s="151"/>
      <c r="AU471" s="151"/>
      <c r="AV471" s="151"/>
      <c r="AW471" s="151"/>
      <c r="AX471" s="151"/>
      <c r="AY471" s="151"/>
      <c r="AZ471" s="151"/>
      <c r="BA471" s="151"/>
      <c r="BB471" s="151"/>
      <c r="BC471" s="151"/>
      <c r="BD471" s="151"/>
      <c r="BE471" s="151"/>
      <c r="BF471" s="151"/>
      <c r="BG471" s="151"/>
      <c r="BH471" s="151"/>
      <c r="BI471" s="151"/>
      <c r="BJ471" s="151"/>
      <c r="BK471" s="151"/>
      <c r="BL471" s="151"/>
      <c r="BM471" s="151"/>
      <c r="BN471" s="151"/>
    </row>
    <row r="472" spans="25:66">
      <c r="Y472" s="151"/>
      <c r="Z472" s="151"/>
      <c r="AA472" s="151"/>
      <c r="AB472" s="151"/>
      <c r="AC472" s="151"/>
      <c r="AD472" s="151"/>
      <c r="AE472" s="151"/>
      <c r="AF472" s="151"/>
      <c r="AG472" s="151"/>
      <c r="AH472" s="151"/>
      <c r="AI472" s="151"/>
      <c r="AJ472" s="151"/>
      <c r="AK472" s="151"/>
      <c r="AL472" s="151"/>
      <c r="AM472" s="151"/>
      <c r="AN472" s="151"/>
      <c r="AO472" s="151"/>
      <c r="AP472" s="151"/>
      <c r="AQ472" s="151"/>
      <c r="AR472" s="151"/>
      <c r="AS472" s="151"/>
      <c r="AT472" s="151"/>
      <c r="AU472" s="151"/>
      <c r="AV472" s="151"/>
      <c r="AW472" s="151"/>
      <c r="AX472" s="151"/>
      <c r="AY472" s="151"/>
      <c r="AZ472" s="151"/>
      <c r="BA472" s="151"/>
      <c r="BB472" s="151"/>
      <c r="BC472" s="151"/>
      <c r="BD472" s="151"/>
      <c r="BE472" s="151"/>
      <c r="BF472" s="151"/>
      <c r="BG472" s="151"/>
      <c r="BH472" s="151"/>
      <c r="BI472" s="151"/>
      <c r="BJ472" s="151"/>
      <c r="BK472" s="151"/>
      <c r="BL472" s="151"/>
      <c r="BM472" s="151"/>
      <c r="BN472" s="151"/>
    </row>
    <row r="473" spans="25:66">
      <c r="Y473" s="151"/>
      <c r="Z473" s="151"/>
      <c r="AA473" s="151"/>
      <c r="AB473" s="151"/>
      <c r="AC473" s="151"/>
      <c r="AD473" s="151"/>
      <c r="AE473" s="151"/>
      <c r="AF473" s="151"/>
      <c r="AG473" s="151"/>
      <c r="AH473" s="151"/>
      <c r="AI473" s="151"/>
      <c r="AJ473" s="151"/>
      <c r="AK473" s="151"/>
      <c r="AL473" s="151"/>
      <c r="AM473" s="151"/>
      <c r="AN473" s="151"/>
      <c r="AO473" s="151"/>
      <c r="AP473" s="151"/>
      <c r="AQ473" s="151"/>
      <c r="AR473" s="151"/>
      <c r="AS473" s="151"/>
      <c r="AT473" s="151"/>
      <c r="AU473" s="151"/>
      <c r="AV473" s="151"/>
      <c r="AW473" s="151"/>
      <c r="AX473" s="151"/>
      <c r="AY473" s="151"/>
      <c r="AZ473" s="151"/>
      <c r="BA473" s="151"/>
      <c r="BB473" s="151"/>
      <c r="BC473" s="151"/>
      <c r="BD473" s="151"/>
      <c r="BE473" s="151"/>
      <c r="BF473" s="151"/>
      <c r="BG473" s="151"/>
      <c r="BH473" s="151"/>
      <c r="BI473" s="151"/>
      <c r="BJ473" s="151"/>
      <c r="BK473" s="151"/>
      <c r="BL473" s="151"/>
      <c r="BM473" s="151"/>
      <c r="BN473" s="151"/>
    </row>
    <row r="474" spans="25:66">
      <c r="Y474" s="151"/>
      <c r="Z474" s="151"/>
      <c r="AA474" s="151"/>
      <c r="AB474" s="151"/>
      <c r="AC474" s="151"/>
      <c r="AD474" s="151"/>
      <c r="AE474" s="151"/>
      <c r="AF474" s="151"/>
      <c r="AG474" s="151"/>
      <c r="AH474" s="151"/>
      <c r="AI474" s="151"/>
      <c r="AJ474" s="151"/>
      <c r="AK474" s="151"/>
      <c r="AL474" s="151"/>
      <c r="AM474" s="151"/>
      <c r="AN474" s="151"/>
      <c r="AO474" s="151"/>
      <c r="AP474" s="151"/>
      <c r="AQ474" s="151"/>
      <c r="AR474" s="151"/>
      <c r="AS474" s="151"/>
      <c r="AT474" s="151"/>
      <c r="AU474" s="151"/>
      <c r="AV474" s="151"/>
      <c r="AW474" s="151"/>
      <c r="AX474" s="151"/>
      <c r="AY474" s="151"/>
      <c r="AZ474" s="151"/>
      <c r="BA474" s="151"/>
      <c r="BB474" s="151"/>
      <c r="BC474" s="151"/>
      <c r="BD474" s="151"/>
      <c r="BE474" s="151"/>
      <c r="BF474" s="151"/>
      <c r="BG474" s="151"/>
      <c r="BH474" s="151"/>
      <c r="BI474" s="151"/>
      <c r="BJ474" s="151"/>
      <c r="BK474" s="151"/>
      <c r="BL474" s="151"/>
      <c r="BM474" s="151"/>
      <c r="BN474" s="151"/>
    </row>
    <row r="475" spans="25:66">
      <c r="Y475" s="151"/>
      <c r="Z475" s="151"/>
      <c r="AA475" s="151"/>
      <c r="AB475" s="151"/>
      <c r="AC475" s="151"/>
      <c r="AD475" s="151"/>
      <c r="AE475" s="151"/>
      <c r="AF475" s="151"/>
      <c r="AG475" s="151"/>
      <c r="AH475" s="151"/>
      <c r="AI475" s="151"/>
      <c r="AJ475" s="151"/>
      <c r="AK475" s="151"/>
      <c r="AL475" s="151"/>
      <c r="AM475" s="151"/>
      <c r="AN475" s="151"/>
      <c r="AO475" s="151"/>
      <c r="AP475" s="151"/>
      <c r="AQ475" s="151"/>
      <c r="AR475" s="151"/>
      <c r="AS475" s="151"/>
      <c r="AT475" s="151"/>
      <c r="AU475" s="151"/>
      <c r="AV475" s="151"/>
      <c r="AW475" s="151"/>
      <c r="AX475" s="151"/>
      <c r="AY475" s="151"/>
      <c r="AZ475" s="151"/>
      <c r="BA475" s="151"/>
      <c r="BB475" s="151"/>
      <c r="BC475" s="151"/>
      <c r="BD475" s="151"/>
      <c r="BE475" s="151"/>
      <c r="BF475" s="151"/>
      <c r="BG475" s="151"/>
      <c r="BH475" s="151"/>
      <c r="BI475" s="151"/>
      <c r="BJ475" s="151"/>
      <c r="BK475" s="151"/>
      <c r="BL475" s="151"/>
      <c r="BM475" s="151"/>
      <c r="BN475" s="151"/>
    </row>
    <row r="476" spans="25:66">
      <c r="Y476" s="151"/>
      <c r="Z476" s="151"/>
      <c r="AA476" s="151"/>
      <c r="AB476" s="151"/>
      <c r="AC476" s="151"/>
      <c r="AD476" s="151"/>
      <c r="AE476" s="151"/>
      <c r="AF476" s="151"/>
      <c r="AG476" s="151"/>
      <c r="AH476" s="151"/>
      <c r="AI476" s="151"/>
      <c r="AJ476" s="151"/>
      <c r="AK476" s="151"/>
      <c r="AL476" s="151"/>
      <c r="AM476" s="151"/>
      <c r="AN476" s="151"/>
      <c r="AO476" s="151"/>
      <c r="AP476" s="151"/>
      <c r="AQ476" s="151"/>
      <c r="AR476" s="151"/>
      <c r="AS476" s="151"/>
      <c r="AT476" s="151"/>
      <c r="AU476" s="151"/>
      <c r="AV476" s="151"/>
      <c r="AW476" s="151"/>
      <c r="AX476" s="151"/>
      <c r="AY476" s="151"/>
      <c r="AZ476" s="151"/>
      <c r="BA476" s="151"/>
      <c r="BB476" s="151"/>
      <c r="BC476" s="151"/>
      <c r="BD476" s="151"/>
      <c r="BE476" s="151"/>
      <c r="BF476" s="151"/>
      <c r="BG476" s="151"/>
      <c r="BH476" s="151"/>
      <c r="BI476" s="151"/>
      <c r="BJ476" s="151"/>
      <c r="BK476" s="151"/>
      <c r="BL476" s="151"/>
      <c r="BM476" s="151"/>
      <c r="BN476" s="151"/>
    </row>
    <row r="477" spans="25:66">
      <c r="Y477" s="151"/>
      <c r="Z477" s="151"/>
      <c r="AA477" s="151"/>
      <c r="AB477" s="151"/>
      <c r="AC477" s="151"/>
      <c r="AD477" s="151"/>
      <c r="AE477" s="151"/>
      <c r="AF477" s="151"/>
      <c r="AG477" s="151"/>
      <c r="AH477" s="151"/>
      <c r="AI477" s="151"/>
      <c r="AJ477" s="151"/>
      <c r="AK477" s="151"/>
      <c r="AL477" s="151"/>
      <c r="AM477" s="151"/>
      <c r="AN477" s="151"/>
      <c r="AO477" s="151"/>
      <c r="AP477" s="151"/>
      <c r="AQ477" s="151"/>
      <c r="AR477" s="151"/>
      <c r="AS477" s="151"/>
      <c r="AT477" s="151"/>
      <c r="AU477" s="151"/>
      <c r="AV477" s="151"/>
      <c r="AW477" s="151"/>
      <c r="AX477" s="151"/>
      <c r="AY477" s="151"/>
      <c r="AZ477" s="151"/>
      <c r="BA477" s="151"/>
      <c r="BB477" s="151"/>
      <c r="BC477" s="151"/>
      <c r="BD477" s="151"/>
      <c r="BE477" s="151"/>
      <c r="BF477" s="151"/>
      <c r="BG477" s="151"/>
      <c r="BH477" s="151"/>
      <c r="BI477" s="151"/>
      <c r="BJ477" s="151"/>
      <c r="BK477" s="151"/>
      <c r="BL477" s="151"/>
      <c r="BM477" s="151"/>
      <c r="BN477" s="151"/>
    </row>
    <row r="478" spans="25:66">
      <c r="Y478" s="151"/>
      <c r="Z478" s="151"/>
      <c r="AA478" s="151"/>
      <c r="AB478" s="151"/>
      <c r="AC478" s="151"/>
      <c r="AD478" s="151"/>
      <c r="AE478" s="151"/>
      <c r="AF478" s="151"/>
      <c r="AG478" s="151"/>
      <c r="AH478" s="151"/>
      <c r="AI478" s="151"/>
      <c r="AJ478" s="151"/>
      <c r="AK478" s="151"/>
      <c r="AL478" s="151"/>
      <c r="AM478" s="151"/>
      <c r="AN478" s="151"/>
      <c r="AO478" s="151"/>
      <c r="AP478" s="151"/>
      <c r="AQ478" s="151"/>
      <c r="AR478" s="151"/>
      <c r="AS478" s="151"/>
      <c r="AT478" s="151"/>
      <c r="AU478" s="151"/>
      <c r="AV478" s="151"/>
      <c r="AW478" s="151"/>
      <c r="AX478" s="151"/>
      <c r="AY478" s="151"/>
      <c r="AZ478" s="151"/>
      <c r="BA478" s="151"/>
      <c r="BB478" s="151"/>
      <c r="BC478" s="151"/>
      <c r="BD478" s="151"/>
      <c r="BE478" s="151"/>
      <c r="BF478" s="151"/>
      <c r="BG478" s="151"/>
      <c r="BH478" s="151"/>
      <c r="BI478" s="151"/>
      <c r="BJ478" s="151"/>
      <c r="BK478" s="151"/>
      <c r="BL478" s="151"/>
      <c r="BM478" s="151"/>
      <c r="BN478" s="151"/>
    </row>
    <row r="479" spans="25:66">
      <c r="Y479" s="151"/>
      <c r="Z479" s="151"/>
      <c r="AA479" s="151"/>
      <c r="AB479" s="151"/>
      <c r="AC479" s="151"/>
      <c r="AD479" s="151"/>
      <c r="AE479" s="151"/>
      <c r="AF479" s="151"/>
      <c r="AG479" s="151"/>
      <c r="AH479" s="151"/>
      <c r="AI479" s="151"/>
      <c r="AJ479" s="151"/>
      <c r="AK479" s="151"/>
      <c r="AL479" s="151"/>
      <c r="AM479" s="151"/>
      <c r="AN479" s="151"/>
      <c r="AO479" s="151"/>
      <c r="AP479" s="151"/>
      <c r="AQ479" s="151"/>
      <c r="AR479" s="151"/>
      <c r="AS479" s="151"/>
      <c r="AT479" s="151"/>
      <c r="AU479" s="151"/>
      <c r="AV479" s="151"/>
      <c r="AW479" s="151"/>
      <c r="AX479" s="151"/>
      <c r="AY479" s="151"/>
      <c r="AZ479" s="151"/>
      <c r="BA479" s="151"/>
      <c r="BB479" s="151"/>
      <c r="BC479" s="151"/>
      <c r="BD479" s="151"/>
      <c r="BE479" s="151"/>
      <c r="BF479" s="151"/>
      <c r="BG479" s="151"/>
      <c r="BH479" s="151"/>
      <c r="BI479" s="151"/>
      <c r="BJ479" s="151"/>
      <c r="BK479" s="151"/>
      <c r="BL479" s="151"/>
      <c r="BM479" s="151"/>
      <c r="BN479" s="151"/>
    </row>
    <row r="480" spans="25:66">
      <c r="Y480" s="151"/>
      <c r="Z480" s="151"/>
      <c r="AA480" s="151"/>
      <c r="AB480" s="151"/>
      <c r="AC480" s="151"/>
      <c r="AD480" s="151"/>
      <c r="AE480" s="151"/>
      <c r="AF480" s="151"/>
      <c r="AG480" s="151"/>
      <c r="AH480" s="151"/>
      <c r="AI480" s="151"/>
      <c r="AJ480" s="151"/>
      <c r="AK480" s="151"/>
      <c r="AL480" s="151"/>
      <c r="AM480" s="151"/>
      <c r="AN480" s="151"/>
      <c r="AO480" s="151"/>
      <c r="AP480" s="151"/>
      <c r="AQ480" s="151"/>
      <c r="AR480" s="151"/>
      <c r="AS480" s="151"/>
      <c r="AT480" s="151"/>
      <c r="AU480" s="151"/>
      <c r="AV480" s="151"/>
      <c r="AW480" s="151"/>
      <c r="AX480" s="151"/>
      <c r="AY480" s="151"/>
      <c r="AZ480" s="151"/>
      <c r="BA480" s="151"/>
      <c r="BB480" s="151"/>
      <c r="BC480" s="151"/>
      <c r="BD480" s="151"/>
      <c r="BE480" s="151"/>
      <c r="BF480" s="151"/>
      <c r="BG480" s="151"/>
      <c r="BH480" s="151"/>
      <c r="BI480" s="151"/>
      <c r="BJ480" s="151"/>
      <c r="BK480" s="151"/>
      <c r="BL480" s="151"/>
      <c r="BM480" s="151"/>
      <c r="BN480" s="151"/>
    </row>
    <row r="481" spans="25:66">
      <c r="Y481" s="151"/>
      <c r="Z481" s="151"/>
      <c r="AA481" s="151"/>
      <c r="AB481" s="151"/>
      <c r="AC481" s="151"/>
      <c r="AD481" s="151"/>
      <c r="AE481" s="151"/>
      <c r="AF481" s="151"/>
      <c r="AG481" s="151"/>
      <c r="AH481" s="151"/>
      <c r="AI481" s="151"/>
      <c r="AJ481" s="151"/>
      <c r="AK481" s="151"/>
      <c r="AL481" s="151"/>
      <c r="AM481" s="151"/>
      <c r="AN481" s="151"/>
      <c r="AO481" s="151"/>
      <c r="AP481" s="151"/>
      <c r="AQ481" s="151"/>
      <c r="AR481" s="151"/>
      <c r="AS481" s="151"/>
      <c r="AT481" s="151"/>
      <c r="AU481" s="151"/>
      <c r="AV481" s="151"/>
      <c r="AW481" s="151"/>
      <c r="AX481" s="151"/>
      <c r="AY481" s="151"/>
      <c r="AZ481" s="151"/>
      <c r="BA481" s="151"/>
      <c r="BB481" s="151"/>
      <c r="BC481" s="151"/>
      <c r="BD481" s="151"/>
      <c r="BE481" s="151"/>
      <c r="BF481" s="151"/>
      <c r="BG481" s="151"/>
      <c r="BH481" s="151"/>
      <c r="BI481" s="151"/>
      <c r="BJ481" s="151"/>
      <c r="BK481" s="151"/>
      <c r="BL481" s="151"/>
      <c r="BM481" s="151"/>
      <c r="BN481" s="151"/>
    </row>
    <row r="482" spans="25:66">
      <c r="Y482" s="151"/>
      <c r="Z482" s="151"/>
      <c r="AA482" s="151"/>
      <c r="AB482" s="151"/>
      <c r="AC482" s="151"/>
      <c r="AD482" s="151"/>
      <c r="AE482" s="151"/>
      <c r="AF482" s="151"/>
      <c r="AG482" s="151"/>
      <c r="AH482" s="151"/>
      <c r="AI482" s="151"/>
      <c r="AJ482" s="151"/>
      <c r="AK482" s="151"/>
      <c r="AL482" s="151"/>
      <c r="AM482" s="151"/>
      <c r="AN482" s="151"/>
      <c r="AO482" s="151"/>
      <c r="AP482" s="151"/>
      <c r="AQ482" s="151"/>
      <c r="AR482" s="151"/>
      <c r="AS482" s="151"/>
      <c r="AT482" s="151"/>
      <c r="AU482" s="151"/>
      <c r="AV482" s="151"/>
      <c r="AW482" s="151"/>
      <c r="AX482" s="151"/>
      <c r="AY482" s="151"/>
      <c r="AZ482" s="151"/>
      <c r="BA482" s="151"/>
      <c r="BB482" s="151"/>
      <c r="BC482" s="151"/>
      <c r="BD482" s="151"/>
      <c r="BE482" s="151"/>
      <c r="BF482" s="151"/>
      <c r="BG482" s="151"/>
      <c r="BH482" s="151"/>
      <c r="BI482" s="151"/>
      <c r="BJ482" s="151"/>
      <c r="BK482" s="151"/>
      <c r="BL482" s="151"/>
      <c r="BM482" s="151"/>
      <c r="BN482" s="151"/>
    </row>
    <row r="483" spans="25:66">
      <c r="Y483" s="151"/>
      <c r="Z483" s="151"/>
      <c r="AA483" s="151"/>
      <c r="AB483" s="151"/>
      <c r="AC483" s="151"/>
      <c r="AD483" s="151"/>
      <c r="AE483" s="151"/>
      <c r="AF483" s="151"/>
      <c r="AG483" s="151"/>
      <c r="AH483" s="151"/>
      <c r="AI483" s="151"/>
      <c r="AJ483" s="151"/>
      <c r="AK483" s="151"/>
      <c r="AL483" s="151"/>
      <c r="AM483" s="151"/>
      <c r="AN483" s="151"/>
      <c r="AO483" s="151"/>
      <c r="AP483" s="151"/>
      <c r="AQ483" s="151"/>
      <c r="AR483" s="151"/>
      <c r="AS483" s="151"/>
      <c r="AT483" s="151"/>
      <c r="AU483" s="151"/>
      <c r="AV483" s="151"/>
      <c r="AW483" s="151"/>
      <c r="AX483" s="151"/>
      <c r="AY483" s="151"/>
      <c r="AZ483" s="151"/>
      <c r="BA483" s="151"/>
      <c r="BB483" s="151"/>
      <c r="BC483" s="151"/>
      <c r="BD483" s="151"/>
      <c r="BE483" s="151"/>
      <c r="BF483" s="151"/>
      <c r="BG483" s="151"/>
      <c r="BH483" s="151"/>
      <c r="BI483" s="151"/>
      <c r="BJ483" s="151"/>
      <c r="BK483" s="151"/>
      <c r="BL483" s="151"/>
      <c r="BM483" s="151"/>
      <c r="BN483" s="151"/>
    </row>
    <row r="484" spans="25:66">
      <c r="Y484" s="151"/>
      <c r="Z484" s="151"/>
      <c r="AA484" s="151"/>
      <c r="AB484" s="151"/>
      <c r="AC484" s="151"/>
      <c r="AD484" s="151"/>
      <c r="AE484" s="151"/>
      <c r="AF484" s="151"/>
      <c r="AG484" s="151"/>
      <c r="AH484" s="151"/>
      <c r="AI484" s="151"/>
      <c r="AJ484" s="151"/>
      <c r="AK484" s="151"/>
      <c r="AL484" s="151"/>
      <c r="AM484" s="151"/>
      <c r="AN484" s="151"/>
      <c r="AO484" s="151"/>
      <c r="AP484" s="151"/>
      <c r="AQ484" s="151"/>
      <c r="AR484" s="151"/>
      <c r="AS484" s="151"/>
      <c r="AT484" s="151"/>
      <c r="AU484" s="151"/>
      <c r="AV484" s="151"/>
      <c r="AW484" s="151"/>
      <c r="AX484" s="151"/>
      <c r="AY484" s="151"/>
      <c r="AZ484" s="151"/>
      <c r="BA484" s="151"/>
      <c r="BB484" s="151"/>
      <c r="BC484" s="151"/>
      <c r="BD484" s="151"/>
      <c r="BE484" s="151"/>
      <c r="BF484" s="151"/>
      <c r="BG484" s="151"/>
      <c r="BH484" s="151"/>
      <c r="BI484" s="151"/>
      <c r="BJ484" s="151"/>
      <c r="BK484" s="151"/>
      <c r="BL484" s="151"/>
      <c r="BM484" s="151"/>
      <c r="BN484" s="151"/>
    </row>
    <row r="485" spans="25:66">
      <c r="Y485" s="151"/>
      <c r="Z485" s="151"/>
      <c r="AA485" s="151"/>
      <c r="AB485" s="151"/>
      <c r="AC485" s="151"/>
      <c r="AD485" s="151"/>
      <c r="AE485" s="151"/>
      <c r="AF485" s="151"/>
      <c r="AG485" s="151"/>
      <c r="AH485" s="151"/>
      <c r="AI485" s="151"/>
      <c r="AJ485" s="151"/>
      <c r="AK485" s="151"/>
      <c r="AL485" s="151"/>
      <c r="AM485" s="151"/>
      <c r="AN485" s="151"/>
      <c r="AO485" s="151"/>
      <c r="AP485" s="151"/>
      <c r="AQ485" s="151"/>
      <c r="AR485" s="151"/>
      <c r="AS485" s="151"/>
      <c r="AT485" s="151"/>
      <c r="AU485" s="151"/>
      <c r="AV485" s="151"/>
      <c r="AW485" s="151"/>
      <c r="AX485" s="151"/>
      <c r="AY485" s="151"/>
      <c r="AZ485" s="151"/>
      <c r="BA485" s="151"/>
      <c r="BB485" s="151"/>
      <c r="BC485" s="151"/>
      <c r="BD485" s="151"/>
      <c r="BE485" s="151"/>
      <c r="BF485" s="151"/>
      <c r="BG485" s="151"/>
      <c r="BH485" s="151"/>
      <c r="BI485" s="151"/>
      <c r="BJ485" s="151"/>
      <c r="BK485" s="151"/>
      <c r="BL485" s="151"/>
      <c r="BM485" s="151"/>
      <c r="BN485" s="151"/>
    </row>
    <row r="486" spans="25:66">
      <c r="Y486" s="151"/>
      <c r="Z486" s="151"/>
      <c r="AA486" s="151"/>
      <c r="AB486" s="151"/>
      <c r="AC486" s="151"/>
      <c r="AD486" s="151"/>
      <c r="AE486" s="151"/>
      <c r="AF486" s="151"/>
      <c r="AG486" s="151"/>
      <c r="AH486" s="151"/>
      <c r="AI486" s="151"/>
      <c r="AJ486" s="151"/>
      <c r="AK486" s="151"/>
      <c r="AL486" s="151"/>
      <c r="AM486" s="151"/>
      <c r="AN486" s="151"/>
      <c r="AO486" s="151"/>
      <c r="AP486" s="151"/>
      <c r="AQ486" s="151"/>
      <c r="AR486" s="151"/>
      <c r="AS486" s="151"/>
      <c r="AT486" s="151"/>
      <c r="AU486" s="151"/>
      <c r="AV486" s="151"/>
      <c r="AW486" s="151"/>
      <c r="AX486" s="151"/>
      <c r="AY486" s="151"/>
      <c r="AZ486" s="151"/>
      <c r="BA486" s="151"/>
      <c r="BB486" s="151"/>
      <c r="BC486" s="151"/>
      <c r="BD486" s="151"/>
      <c r="BE486" s="151"/>
      <c r="BF486" s="151"/>
      <c r="BG486" s="151"/>
      <c r="BH486" s="151"/>
      <c r="BI486" s="151"/>
      <c r="BJ486" s="151"/>
      <c r="BK486" s="151"/>
      <c r="BL486" s="151"/>
      <c r="BM486" s="151"/>
      <c r="BN486" s="151"/>
    </row>
    <row r="487" spans="25:66">
      <c r="Y487" s="151"/>
      <c r="Z487" s="151"/>
      <c r="AA487" s="151"/>
      <c r="AB487" s="151"/>
      <c r="AC487" s="151"/>
      <c r="AD487" s="151"/>
      <c r="AE487" s="151"/>
      <c r="AF487" s="151"/>
      <c r="AG487" s="151"/>
      <c r="AH487" s="151"/>
      <c r="AI487" s="151"/>
      <c r="AJ487" s="151"/>
      <c r="AK487" s="151"/>
      <c r="AL487" s="151"/>
      <c r="AM487" s="151"/>
      <c r="AN487" s="151"/>
      <c r="AO487" s="151"/>
      <c r="AP487" s="151"/>
      <c r="AQ487" s="151"/>
      <c r="AR487" s="151"/>
      <c r="AS487" s="151"/>
      <c r="AT487" s="151"/>
      <c r="AU487" s="151"/>
      <c r="AV487" s="151"/>
      <c r="AW487" s="151"/>
      <c r="AX487" s="151"/>
      <c r="AY487" s="151"/>
      <c r="AZ487" s="151"/>
      <c r="BA487" s="151"/>
      <c r="BB487" s="151"/>
      <c r="BC487" s="151"/>
      <c r="BD487" s="151"/>
      <c r="BE487" s="151"/>
      <c r="BF487" s="151"/>
      <c r="BG487" s="151"/>
      <c r="BH487" s="151"/>
      <c r="BI487" s="151"/>
      <c r="BJ487" s="151"/>
      <c r="BK487" s="151"/>
      <c r="BL487" s="151"/>
      <c r="BM487" s="151"/>
      <c r="BN487" s="151"/>
    </row>
    <row r="488" spans="25:66">
      <c r="Y488" s="151"/>
      <c r="Z488" s="151"/>
      <c r="AA488" s="151"/>
      <c r="AB488" s="151"/>
      <c r="AC488" s="151"/>
      <c r="AD488" s="151"/>
      <c r="AE488" s="151"/>
      <c r="AF488" s="151"/>
      <c r="AG488" s="151"/>
      <c r="AH488" s="151"/>
      <c r="AI488" s="151"/>
      <c r="AJ488" s="151"/>
      <c r="AK488" s="151"/>
      <c r="AL488" s="151"/>
      <c r="AM488" s="151"/>
      <c r="AN488" s="151"/>
      <c r="AO488" s="151"/>
      <c r="AP488" s="151"/>
      <c r="AQ488" s="151"/>
      <c r="AR488" s="151"/>
      <c r="AS488" s="151"/>
      <c r="AT488" s="151"/>
      <c r="AU488" s="151"/>
      <c r="AV488" s="151"/>
      <c r="AW488" s="151"/>
      <c r="AX488" s="151"/>
      <c r="AY488" s="151"/>
      <c r="AZ488" s="151"/>
      <c r="BA488" s="151"/>
      <c r="BB488" s="151"/>
      <c r="BC488" s="151"/>
      <c r="BD488" s="151"/>
      <c r="BE488" s="151"/>
      <c r="BF488" s="151"/>
      <c r="BG488" s="151"/>
      <c r="BH488" s="151"/>
      <c r="BI488" s="151"/>
      <c r="BJ488" s="151"/>
      <c r="BK488" s="151"/>
      <c r="BL488" s="151"/>
      <c r="BM488" s="151"/>
      <c r="BN488" s="151"/>
    </row>
    <row r="489" spans="25:66">
      <c r="Y489" s="151"/>
      <c r="Z489" s="151"/>
      <c r="AA489" s="151"/>
      <c r="AB489" s="151"/>
      <c r="AC489" s="151"/>
      <c r="AD489" s="151"/>
      <c r="AE489" s="151"/>
      <c r="AF489" s="151"/>
      <c r="AG489" s="151"/>
      <c r="AH489" s="151"/>
      <c r="AI489" s="151"/>
      <c r="AJ489" s="151"/>
      <c r="AK489" s="151"/>
      <c r="AL489" s="151"/>
      <c r="AM489" s="151"/>
      <c r="AN489" s="151"/>
      <c r="AO489" s="151"/>
      <c r="AP489" s="151"/>
      <c r="AQ489" s="151"/>
      <c r="AR489" s="151"/>
      <c r="AS489" s="151"/>
      <c r="AT489" s="151"/>
      <c r="AU489" s="151"/>
      <c r="AV489" s="151"/>
      <c r="AW489" s="151"/>
      <c r="AX489" s="151"/>
      <c r="AY489" s="151"/>
      <c r="AZ489" s="151"/>
      <c r="BA489" s="151"/>
      <c r="BB489" s="151"/>
      <c r="BC489" s="151"/>
      <c r="BD489" s="151"/>
      <c r="BE489" s="151"/>
      <c r="BF489" s="151"/>
      <c r="BG489" s="151"/>
      <c r="BH489" s="151"/>
      <c r="BI489" s="151"/>
      <c r="BJ489" s="151"/>
      <c r="BK489" s="151"/>
      <c r="BL489" s="151"/>
      <c r="BM489" s="151"/>
      <c r="BN489" s="151"/>
    </row>
    <row r="490" spans="25:66">
      <c r="Y490" s="151"/>
      <c r="Z490" s="151"/>
      <c r="AA490" s="151"/>
      <c r="AB490" s="151"/>
      <c r="AC490" s="151"/>
      <c r="AD490" s="151"/>
      <c r="AE490" s="151"/>
      <c r="AF490" s="151"/>
      <c r="AG490" s="151"/>
      <c r="AH490" s="151"/>
      <c r="AI490" s="151"/>
      <c r="AJ490" s="151"/>
      <c r="AK490" s="151"/>
      <c r="AL490" s="151"/>
      <c r="AM490" s="151"/>
      <c r="AN490" s="151"/>
      <c r="AO490" s="151"/>
      <c r="AP490" s="151"/>
      <c r="AQ490" s="151"/>
      <c r="AR490" s="151"/>
      <c r="AS490" s="151"/>
      <c r="AT490" s="151"/>
      <c r="AU490" s="151"/>
      <c r="AV490" s="151"/>
      <c r="AW490" s="151"/>
      <c r="AX490" s="151"/>
      <c r="AY490" s="151"/>
      <c r="AZ490" s="151"/>
      <c r="BA490" s="151"/>
      <c r="BB490" s="151"/>
      <c r="BC490" s="151"/>
      <c r="BD490" s="151"/>
      <c r="BE490" s="151"/>
      <c r="BF490" s="151"/>
      <c r="BG490" s="151"/>
      <c r="BH490" s="151"/>
      <c r="BI490" s="151"/>
      <c r="BJ490" s="151"/>
      <c r="BK490" s="151"/>
      <c r="BL490" s="151"/>
      <c r="BM490" s="151"/>
      <c r="BN490" s="151"/>
    </row>
    <row r="491" spans="25:66">
      <c r="Y491" s="151"/>
      <c r="Z491" s="151"/>
      <c r="AA491" s="151"/>
      <c r="AB491" s="151"/>
      <c r="AC491" s="151"/>
      <c r="AD491" s="151"/>
      <c r="AE491" s="151"/>
      <c r="AF491" s="151"/>
      <c r="AG491" s="151"/>
      <c r="AH491" s="151"/>
      <c r="AI491" s="151"/>
      <c r="AJ491" s="151"/>
      <c r="AK491" s="151"/>
      <c r="AL491" s="151"/>
      <c r="AM491" s="151"/>
      <c r="AN491" s="151"/>
      <c r="AO491" s="151"/>
      <c r="AP491" s="151"/>
      <c r="AQ491" s="151"/>
      <c r="AR491" s="151"/>
      <c r="AS491" s="151"/>
      <c r="AT491" s="151"/>
      <c r="AU491" s="151"/>
      <c r="AV491" s="151"/>
      <c r="AW491" s="151"/>
      <c r="AX491" s="151"/>
      <c r="AY491" s="151"/>
      <c r="AZ491" s="151"/>
      <c r="BA491" s="151"/>
      <c r="BB491" s="151"/>
      <c r="BC491" s="151"/>
      <c r="BD491" s="151"/>
      <c r="BE491" s="151"/>
      <c r="BF491" s="151"/>
      <c r="BG491" s="151"/>
      <c r="BH491" s="151"/>
      <c r="BI491" s="151"/>
      <c r="BJ491" s="151"/>
      <c r="BK491" s="151"/>
      <c r="BL491" s="151"/>
      <c r="BM491" s="151"/>
      <c r="BN491" s="151"/>
    </row>
    <row r="492" spans="25:66">
      <c r="Y492" s="151"/>
      <c r="Z492" s="151"/>
      <c r="AA492" s="151"/>
      <c r="AB492" s="151"/>
      <c r="AC492" s="151"/>
      <c r="AD492" s="151"/>
      <c r="AE492" s="151"/>
      <c r="AF492" s="151"/>
      <c r="AG492" s="151"/>
      <c r="AH492" s="151"/>
      <c r="AI492" s="151"/>
      <c r="AJ492" s="151"/>
      <c r="AK492" s="151"/>
      <c r="AL492" s="151"/>
      <c r="AM492" s="151"/>
      <c r="AN492" s="151"/>
      <c r="AO492" s="151"/>
      <c r="AP492" s="151"/>
      <c r="AQ492" s="151"/>
      <c r="AR492" s="151"/>
      <c r="AS492" s="151"/>
      <c r="AT492" s="151"/>
      <c r="AU492" s="151"/>
      <c r="AV492" s="151"/>
      <c r="AW492" s="151"/>
      <c r="AX492" s="151"/>
      <c r="AY492" s="151"/>
      <c r="AZ492" s="151"/>
      <c r="BA492" s="151"/>
      <c r="BB492" s="151"/>
      <c r="BC492" s="151"/>
      <c r="BD492" s="151"/>
      <c r="BE492" s="151"/>
      <c r="BF492" s="151"/>
      <c r="BG492" s="151"/>
      <c r="BH492" s="151"/>
      <c r="BI492" s="151"/>
      <c r="BJ492" s="151"/>
      <c r="BK492" s="151"/>
      <c r="BL492" s="151"/>
      <c r="BM492" s="151"/>
      <c r="BN492" s="151"/>
    </row>
    <row r="493" spans="25:66">
      <c r="Y493" s="151"/>
      <c r="Z493" s="151"/>
      <c r="AA493" s="151"/>
      <c r="AB493" s="151"/>
      <c r="AC493" s="151"/>
      <c r="AD493" s="151"/>
      <c r="AE493" s="151"/>
      <c r="AF493" s="151"/>
      <c r="AG493" s="151"/>
      <c r="AH493" s="151"/>
      <c r="AI493" s="151"/>
      <c r="AJ493" s="151"/>
      <c r="AK493" s="151"/>
      <c r="AL493" s="151"/>
      <c r="AM493" s="151"/>
      <c r="AN493" s="151"/>
      <c r="AO493" s="151"/>
      <c r="AP493" s="151"/>
      <c r="AQ493" s="151"/>
      <c r="AR493" s="151"/>
      <c r="AS493" s="151"/>
      <c r="AT493" s="151"/>
      <c r="AU493" s="151"/>
      <c r="AV493" s="151"/>
      <c r="AW493" s="151"/>
      <c r="AX493" s="151"/>
      <c r="AY493" s="151"/>
      <c r="AZ493" s="151"/>
      <c r="BA493" s="151"/>
      <c r="BB493" s="151"/>
      <c r="BC493" s="151"/>
      <c r="BD493" s="151"/>
      <c r="BE493" s="151"/>
      <c r="BF493" s="151"/>
      <c r="BG493" s="151"/>
      <c r="BH493" s="151"/>
      <c r="BI493" s="151"/>
      <c r="BJ493" s="151"/>
      <c r="BK493" s="151"/>
      <c r="BL493" s="151"/>
      <c r="BM493" s="151"/>
      <c r="BN493" s="151"/>
    </row>
    <row r="494" spans="25:66">
      <c r="Y494" s="151"/>
      <c r="Z494" s="151"/>
      <c r="AA494" s="151"/>
      <c r="AB494" s="151"/>
      <c r="AC494" s="151"/>
      <c r="AD494" s="151"/>
      <c r="AE494" s="151"/>
      <c r="AF494" s="151"/>
      <c r="AG494" s="151"/>
      <c r="AH494" s="151"/>
      <c r="AI494" s="151"/>
      <c r="AJ494" s="151"/>
      <c r="AK494" s="151"/>
      <c r="AL494" s="151"/>
      <c r="AM494" s="151"/>
      <c r="AN494" s="151"/>
      <c r="AO494" s="151"/>
      <c r="AP494" s="151"/>
      <c r="AQ494" s="151"/>
      <c r="AR494" s="151"/>
      <c r="AS494" s="151"/>
      <c r="AT494" s="151"/>
      <c r="AU494" s="151"/>
      <c r="AV494" s="151"/>
      <c r="AW494" s="151"/>
      <c r="AX494" s="151"/>
      <c r="AY494" s="151"/>
      <c r="AZ494" s="151"/>
      <c r="BA494" s="151"/>
      <c r="BB494" s="151"/>
      <c r="BC494" s="151"/>
      <c r="BD494" s="151"/>
      <c r="BE494" s="151"/>
      <c r="BF494" s="151"/>
      <c r="BG494" s="151"/>
      <c r="BH494" s="151"/>
      <c r="BI494" s="151"/>
      <c r="BJ494" s="151"/>
      <c r="BK494" s="151"/>
      <c r="BL494" s="151"/>
      <c r="BM494" s="151"/>
      <c r="BN494" s="151"/>
    </row>
    <row r="495" spans="25:66">
      <c r="Y495" s="151"/>
      <c r="Z495" s="151"/>
      <c r="AA495" s="151"/>
      <c r="AB495" s="151"/>
      <c r="AC495" s="151"/>
      <c r="AD495" s="151"/>
      <c r="AE495" s="151"/>
      <c r="AF495" s="151"/>
      <c r="AG495" s="151"/>
      <c r="AH495" s="151"/>
      <c r="AI495" s="151"/>
      <c r="AJ495" s="151"/>
      <c r="AK495" s="151"/>
      <c r="AL495" s="151"/>
      <c r="AM495" s="151"/>
      <c r="AN495" s="151"/>
      <c r="AO495" s="151"/>
      <c r="AP495" s="151"/>
      <c r="AQ495" s="151"/>
      <c r="AR495" s="151"/>
      <c r="AS495" s="151"/>
      <c r="AT495" s="151"/>
      <c r="AU495" s="151"/>
      <c r="AV495" s="151"/>
      <c r="AW495" s="151"/>
      <c r="AX495" s="151"/>
      <c r="AY495" s="151"/>
      <c r="AZ495" s="151"/>
      <c r="BA495" s="151"/>
      <c r="BB495" s="151"/>
      <c r="BC495" s="151"/>
      <c r="BD495" s="151"/>
      <c r="BE495" s="151"/>
      <c r="BF495" s="151"/>
      <c r="BG495" s="151"/>
      <c r="BH495" s="151"/>
      <c r="BI495" s="151"/>
      <c r="BJ495" s="151"/>
      <c r="BK495" s="151"/>
      <c r="BL495" s="151"/>
      <c r="BM495" s="151"/>
      <c r="BN495" s="151"/>
    </row>
    <row r="496" spans="25:66">
      <c r="Y496" s="151"/>
      <c r="Z496" s="151"/>
      <c r="AA496" s="151"/>
      <c r="AB496" s="151"/>
      <c r="AC496" s="151"/>
      <c r="AD496" s="151"/>
      <c r="AE496" s="151"/>
      <c r="AF496" s="151"/>
      <c r="AG496" s="151"/>
      <c r="AH496" s="151"/>
      <c r="AI496" s="151"/>
      <c r="AJ496" s="151"/>
      <c r="AK496" s="151"/>
      <c r="AL496" s="151"/>
      <c r="AM496" s="151"/>
      <c r="AN496" s="151"/>
      <c r="AO496" s="151"/>
      <c r="AP496" s="151"/>
      <c r="AQ496" s="151"/>
      <c r="AR496" s="151"/>
      <c r="AS496" s="151"/>
      <c r="AT496" s="151"/>
      <c r="AU496" s="151"/>
      <c r="AV496" s="151"/>
      <c r="AW496" s="151"/>
      <c r="AX496" s="151"/>
      <c r="AY496" s="151"/>
      <c r="AZ496" s="151"/>
      <c r="BA496" s="151"/>
      <c r="BB496" s="151"/>
      <c r="BC496" s="151"/>
      <c r="BD496" s="151"/>
      <c r="BE496" s="151"/>
      <c r="BF496" s="151"/>
      <c r="BG496" s="151"/>
      <c r="BH496" s="151"/>
      <c r="BI496" s="151"/>
      <c r="BJ496" s="151"/>
      <c r="BK496" s="151"/>
      <c r="BL496" s="151"/>
      <c r="BM496" s="151"/>
      <c r="BN496" s="151"/>
    </row>
    <row r="497" spans="25:66">
      <c r="Y497" s="151"/>
      <c r="Z497" s="151"/>
      <c r="AA497" s="151"/>
      <c r="AB497" s="151"/>
      <c r="AC497" s="151"/>
      <c r="AD497" s="151"/>
      <c r="AE497" s="151"/>
      <c r="AF497" s="151"/>
      <c r="AG497" s="151"/>
      <c r="AH497" s="151"/>
      <c r="AI497" s="151"/>
      <c r="AJ497" s="151"/>
      <c r="AK497" s="151"/>
      <c r="AL497" s="151"/>
      <c r="AM497" s="151"/>
      <c r="AN497" s="151"/>
      <c r="AO497" s="151"/>
      <c r="AP497" s="151"/>
      <c r="AQ497" s="151"/>
      <c r="AR497" s="151"/>
      <c r="AS497" s="151"/>
      <c r="AT497" s="151"/>
      <c r="AU497" s="151"/>
      <c r="AV497" s="151"/>
      <c r="AW497" s="151"/>
      <c r="AX497" s="151"/>
      <c r="AY497" s="151"/>
      <c r="AZ497" s="151"/>
      <c r="BA497" s="151"/>
      <c r="BB497" s="151"/>
      <c r="BC497" s="151"/>
      <c r="BD497" s="151"/>
      <c r="BE497" s="151"/>
      <c r="BF497" s="151"/>
      <c r="BG497" s="151"/>
      <c r="BH497" s="151"/>
      <c r="BI497" s="151"/>
      <c r="BJ497" s="151"/>
      <c r="BK497" s="151"/>
      <c r="BL497" s="151"/>
      <c r="BM497" s="151"/>
      <c r="BN497" s="151"/>
    </row>
    <row r="498" spans="25:66">
      <c r="Y498" s="151"/>
      <c r="Z498" s="151"/>
      <c r="AA498" s="151"/>
      <c r="AB498" s="151"/>
      <c r="AC498" s="151"/>
      <c r="AD498" s="151"/>
      <c r="AE498" s="151"/>
      <c r="AF498" s="151"/>
      <c r="AG498" s="151"/>
      <c r="AH498" s="151"/>
      <c r="AI498" s="151"/>
      <c r="AJ498" s="151"/>
      <c r="AK498" s="151"/>
      <c r="AL498" s="151"/>
      <c r="AM498" s="151"/>
      <c r="AN498" s="151"/>
      <c r="AO498" s="151"/>
      <c r="AP498" s="151"/>
      <c r="AQ498" s="151"/>
      <c r="AR498" s="151"/>
      <c r="AS498" s="151"/>
      <c r="AT498" s="151"/>
      <c r="AU498" s="151"/>
      <c r="AV498" s="151"/>
      <c r="AW498" s="151"/>
      <c r="AX498" s="151"/>
      <c r="AY498" s="151"/>
      <c r="AZ498" s="151"/>
      <c r="BA498" s="151"/>
      <c r="BB498" s="151"/>
      <c r="BC498" s="151"/>
      <c r="BD498" s="151"/>
      <c r="BE498" s="151"/>
      <c r="BF498" s="151"/>
      <c r="BG498" s="151"/>
      <c r="BH498" s="151"/>
      <c r="BI498" s="151"/>
      <c r="BJ498" s="151"/>
      <c r="BK498" s="151"/>
      <c r="BL498" s="151"/>
      <c r="BM498" s="151"/>
      <c r="BN498" s="151"/>
    </row>
    <row r="499" spans="25:66">
      <c r="Y499" s="151"/>
      <c r="Z499" s="151"/>
      <c r="AA499" s="151"/>
      <c r="AB499" s="151"/>
      <c r="AC499" s="151"/>
      <c r="AD499" s="151"/>
      <c r="AE499" s="151"/>
      <c r="AF499" s="151"/>
      <c r="AG499" s="151"/>
      <c r="AH499" s="151"/>
      <c r="AI499" s="151"/>
      <c r="AJ499" s="151"/>
      <c r="AK499" s="151"/>
      <c r="AL499" s="151"/>
      <c r="AM499" s="151"/>
      <c r="AN499" s="151"/>
      <c r="AO499" s="151"/>
      <c r="AP499" s="151"/>
      <c r="AQ499" s="151"/>
      <c r="AR499" s="151"/>
      <c r="AS499" s="151"/>
      <c r="AT499" s="151"/>
      <c r="AU499" s="151"/>
      <c r="AV499" s="151"/>
      <c r="AW499" s="151"/>
      <c r="AX499" s="151"/>
      <c r="AY499" s="151"/>
      <c r="AZ499" s="151"/>
      <c r="BA499" s="151"/>
      <c r="BB499" s="151"/>
      <c r="BC499" s="151"/>
      <c r="BD499" s="151"/>
      <c r="BE499" s="151"/>
      <c r="BF499" s="151"/>
      <c r="BG499" s="151"/>
      <c r="BH499" s="151"/>
      <c r="BI499" s="151"/>
      <c r="BJ499" s="151"/>
      <c r="BK499" s="151"/>
      <c r="BL499" s="151"/>
      <c r="BM499" s="151"/>
      <c r="BN499" s="151"/>
    </row>
    <row r="500" spans="25:66">
      <c r="Y500" s="151"/>
      <c r="Z500" s="151"/>
      <c r="AA500" s="151"/>
      <c r="AB500" s="151"/>
      <c r="AC500" s="151"/>
      <c r="AD500" s="151"/>
      <c r="AE500" s="151"/>
      <c r="AF500" s="151"/>
      <c r="AG500" s="151"/>
      <c r="AH500" s="151"/>
      <c r="AI500" s="151"/>
      <c r="AJ500" s="151"/>
      <c r="AK500" s="151"/>
      <c r="AL500" s="151"/>
      <c r="AM500" s="151"/>
      <c r="AN500" s="151"/>
      <c r="AO500" s="151"/>
      <c r="AP500" s="151"/>
      <c r="AQ500" s="151"/>
      <c r="AR500" s="151"/>
      <c r="AS500" s="151"/>
      <c r="AT500" s="151"/>
      <c r="AU500" s="151"/>
      <c r="AV500" s="151"/>
      <c r="AW500" s="151"/>
      <c r="AX500" s="151"/>
      <c r="AY500" s="151"/>
      <c r="AZ500" s="151"/>
      <c r="BA500" s="151"/>
      <c r="BB500" s="151"/>
      <c r="BC500" s="151"/>
      <c r="BD500" s="151"/>
      <c r="BE500" s="151"/>
      <c r="BF500" s="151"/>
      <c r="BG500" s="151"/>
      <c r="BH500" s="151"/>
      <c r="BI500" s="151"/>
      <c r="BJ500" s="151"/>
      <c r="BK500" s="151"/>
      <c r="BL500" s="151"/>
      <c r="BM500" s="151"/>
      <c r="BN500" s="151"/>
    </row>
    <row r="501" spans="25:66">
      <c r="Y501" s="151"/>
      <c r="Z501" s="151"/>
      <c r="AA501" s="151"/>
      <c r="AB501" s="151"/>
      <c r="AC501" s="151"/>
      <c r="AD501" s="151"/>
      <c r="AE501" s="151"/>
      <c r="AF501" s="151"/>
      <c r="AG501" s="151"/>
      <c r="AH501" s="151"/>
      <c r="AI501" s="151"/>
      <c r="AJ501" s="151"/>
      <c r="AK501" s="151"/>
      <c r="AL501" s="151"/>
      <c r="AM501" s="151"/>
      <c r="AN501" s="151"/>
      <c r="AO501" s="151"/>
      <c r="AP501" s="151"/>
      <c r="AQ501" s="151"/>
      <c r="AR501" s="151"/>
      <c r="AS501" s="151"/>
      <c r="AT501" s="151"/>
      <c r="AU501" s="151"/>
      <c r="AV501" s="151"/>
      <c r="AW501" s="151"/>
      <c r="AX501" s="151"/>
      <c r="AY501" s="151"/>
      <c r="AZ501" s="151"/>
      <c r="BA501" s="151"/>
      <c r="BB501" s="151"/>
      <c r="BC501" s="151"/>
      <c r="BD501" s="151"/>
      <c r="BE501" s="151"/>
      <c r="BF501" s="151"/>
      <c r="BG501" s="151"/>
      <c r="BH501" s="151"/>
      <c r="BI501" s="151"/>
      <c r="BJ501" s="151"/>
      <c r="BK501" s="151"/>
      <c r="BL501" s="151"/>
      <c r="BM501" s="151"/>
      <c r="BN501" s="151"/>
    </row>
    <row r="502" spans="25:66">
      <c r="Y502" s="151"/>
      <c r="Z502" s="151"/>
      <c r="AA502" s="151"/>
      <c r="AB502" s="151"/>
      <c r="AC502" s="151"/>
      <c r="AD502" s="151"/>
      <c r="AE502" s="151"/>
      <c r="AF502" s="151"/>
      <c r="AG502" s="151"/>
      <c r="AH502" s="151"/>
      <c r="AI502" s="151"/>
      <c r="AJ502" s="151"/>
      <c r="AK502" s="151"/>
      <c r="AL502" s="151"/>
      <c r="AM502" s="151"/>
      <c r="AN502" s="151"/>
      <c r="AO502" s="151"/>
      <c r="AP502" s="151"/>
      <c r="AQ502" s="151"/>
      <c r="AR502" s="151"/>
      <c r="AS502" s="151"/>
      <c r="AT502" s="151"/>
      <c r="AU502" s="151"/>
      <c r="AV502" s="151"/>
      <c r="AW502" s="151"/>
      <c r="AX502" s="151"/>
      <c r="AY502" s="151"/>
      <c r="AZ502" s="151"/>
      <c r="BA502" s="151"/>
      <c r="BB502" s="151"/>
      <c r="BC502" s="151"/>
      <c r="BD502" s="151"/>
      <c r="BE502" s="151"/>
      <c r="BF502" s="151"/>
      <c r="BG502" s="151"/>
      <c r="BH502" s="151"/>
      <c r="BI502" s="151"/>
      <c r="BJ502" s="151"/>
      <c r="BK502" s="151"/>
      <c r="BL502" s="151"/>
      <c r="BM502" s="151"/>
      <c r="BN502" s="151"/>
    </row>
    <row r="503" spans="25:66">
      <c r="Y503" s="151"/>
      <c r="Z503" s="151"/>
      <c r="AA503" s="151"/>
      <c r="AB503" s="151"/>
      <c r="AC503" s="151"/>
      <c r="AD503" s="151"/>
      <c r="AE503" s="151"/>
      <c r="AF503" s="151"/>
      <c r="AG503" s="151"/>
      <c r="AH503" s="151"/>
      <c r="AI503" s="151"/>
      <c r="AJ503" s="151"/>
      <c r="AK503" s="151"/>
      <c r="AL503" s="151"/>
      <c r="AM503" s="151"/>
      <c r="AN503" s="151"/>
      <c r="AO503" s="151"/>
      <c r="AP503" s="151"/>
      <c r="AQ503" s="151"/>
      <c r="AR503" s="151"/>
      <c r="AS503" s="151"/>
      <c r="AT503" s="151"/>
      <c r="AU503" s="151"/>
      <c r="AV503" s="151"/>
      <c r="AW503" s="151"/>
      <c r="AX503" s="151"/>
      <c r="AY503" s="151"/>
      <c r="AZ503" s="151"/>
      <c r="BA503" s="151"/>
      <c r="BB503" s="151"/>
      <c r="BC503" s="151"/>
      <c r="BD503" s="151"/>
      <c r="BE503" s="151"/>
      <c r="BF503" s="151"/>
      <c r="BG503" s="151"/>
      <c r="BH503" s="151"/>
      <c r="BI503" s="151"/>
      <c r="BJ503" s="151"/>
      <c r="BK503" s="151"/>
      <c r="BL503" s="151"/>
      <c r="BM503" s="151"/>
      <c r="BN503" s="151"/>
    </row>
    <row r="504" spans="25:66">
      <c r="Y504" s="151"/>
      <c r="Z504" s="151"/>
      <c r="AA504" s="151"/>
      <c r="AB504" s="151"/>
      <c r="AC504" s="151"/>
      <c r="AD504" s="151"/>
      <c r="AE504" s="151"/>
      <c r="AF504" s="151"/>
      <c r="AG504" s="151"/>
      <c r="AH504" s="151"/>
      <c r="AI504" s="151"/>
      <c r="AJ504" s="151"/>
      <c r="AK504" s="151"/>
      <c r="AL504" s="151"/>
      <c r="AM504" s="151"/>
      <c r="AN504" s="151"/>
      <c r="AO504" s="151"/>
      <c r="AP504" s="151"/>
      <c r="AQ504" s="151"/>
      <c r="AR504" s="151"/>
      <c r="AS504" s="151"/>
      <c r="AT504" s="151"/>
      <c r="AU504" s="151"/>
      <c r="AV504" s="151"/>
      <c r="AW504" s="151"/>
      <c r="AX504" s="151"/>
      <c r="AY504" s="151"/>
      <c r="AZ504" s="151"/>
      <c r="BA504" s="151"/>
      <c r="BB504" s="151"/>
      <c r="BC504" s="151"/>
      <c r="BD504" s="151"/>
      <c r="BE504" s="151"/>
      <c r="BF504" s="151"/>
      <c r="BG504" s="151"/>
      <c r="BH504" s="151"/>
      <c r="BI504" s="151"/>
      <c r="BJ504" s="151"/>
      <c r="BK504" s="151"/>
      <c r="BL504" s="151"/>
      <c r="BM504" s="151"/>
      <c r="BN504" s="151"/>
    </row>
    <row r="505" spans="25:66">
      <c r="Y505" s="151"/>
      <c r="Z505" s="151"/>
      <c r="AA505" s="151"/>
      <c r="AB505" s="151"/>
      <c r="AC505" s="151"/>
      <c r="AD505" s="151"/>
      <c r="AE505" s="151"/>
      <c r="AF505" s="151"/>
      <c r="AG505" s="151"/>
      <c r="AH505" s="151"/>
      <c r="AI505" s="151"/>
      <c r="AJ505" s="151"/>
      <c r="AK505" s="151"/>
      <c r="AL505" s="151"/>
      <c r="AM505" s="151"/>
      <c r="AN505" s="151"/>
      <c r="AO505" s="151"/>
      <c r="AP505" s="151"/>
      <c r="AQ505" s="151"/>
      <c r="AR505" s="151"/>
      <c r="AS505" s="151"/>
      <c r="AT505" s="151"/>
      <c r="AU505" s="151"/>
      <c r="AV505" s="151"/>
      <c r="AW505" s="151"/>
      <c r="AX505" s="151"/>
      <c r="AY505" s="151"/>
      <c r="AZ505" s="151"/>
      <c r="BA505" s="151"/>
      <c r="BB505" s="151"/>
      <c r="BC505" s="151"/>
      <c r="BD505" s="151"/>
      <c r="BE505" s="151"/>
      <c r="BF505" s="151"/>
      <c r="BG505" s="151"/>
      <c r="BH505" s="151"/>
      <c r="BI505" s="151"/>
      <c r="BJ505" s="151"/>
      <c r="BK505" s="151"/>
      <c r="BL505" s="151"/>
      <c r="BM505" s="151"/>
      <c r="BN505" s="151"/>
    </row>
    <row r="506" spans="25:66">
      <c r="Y506" s="151"/>
      <c r="Z506" s="151"/>
      <c r="AA506" s="151"/>
      <c r="AB506" s="151"/>
      <c r="AC506" s="151"/>
      <c r="AD506" s="151"/>
      <c r="AE506" s="151"/>
      <c r="AF506" s="151"/>
      <c r="AG506" s="151"/>
      <c r="AH506" s="151"/>
      <c r="AI506" s="151"/>
      <c r="AJ506" s="151"/>
      <c r="AK506" s="151"/>
      <c r="AL506" s="151"/>
      <c r="AM506" s="151"/>
      <c r="AN506" s="151"/>
      <c r="AO506" s="151"/>
      <c r="AP506" s="151"/>
      <c r="AQ506" s="151"/>
      <c r="AR506" s="151"/>
      <c r="AS506" s="151"/>
      <c r="AT506" s="151"/>
      <c r="AU506" s="151"/>
      <c r="AV506" s="151"/>
      <c r="AW506" s="151"/>
      <c r="AX506" s="151"/>
      <c r="AY506" s="151"/>
      <c r="AZ506" s="151"/>
      <c r="BA506" s="151"/>
      <c r="BB506" s="151"/>
      <c r="BC506" s="151"/>
      <c r="BD506" s="151"/>
      <c r="BE506" s="151"/>
      <c r="BF506" s="151"/>
      <c r="BG506" s="151"/>
      <c r="BH506" s="151"/>
      <c r="BI506" s="151"/>
      <c r="BJ506" s="151"/>
      <c r="BK506" s="151"/>
      <c r="BL506" s="151"/>
      <c r="BM506" s="151"/>
      <c r="BN506" s="151"/>
    </row>
    <row r="507" spans="25:66">
      <c r="Y507" s="151"/>
      <c r="Z507" s="151"/>
      <c r="AA507" s="151"/>
      <c r="AB507" s="151"/>
      <c r="AC507" s="151"/>
      <c r="AD507" s="151"/>
      <c r="AE507" s="151"/>
      <c r="AF507" s="151"/>
      <c r="AG507" s="151"/>
      <c r="AH507" s="151"/>
      <c r="AI507" s="151"/>
      <c r="AJ507" s="151"/>
      <c r="AK507" s="151"/>
      <c r="AL507" s="151"/>
      <c r="AM507" s="151"/>
      <c r="AN507" s="151"/>
      <c r="AO507" s="151"/>
      <c r="AP507" s="151"/>
      <c r="AQ507" s="151"/>
      <c r="AR507" s="151"/>
      <c r="AS507" s="151"/>
      <c r="AT507" s="151"/>
      <c r="AU507" s="151"/>
      <c r="AV507" s="151"/>
      <c r="AW507" s="151"/>
      <c r="AX507" s="151"/>
      <c r="AY507" s="151"/>
      <c r="AZ507" s="151"/>
      <c r="BA507" s="151"/>
      <c r="BB507" s="151"/>
      <c r="BC507" s="151"/>
      <c r="BD507" s="151"/>
      <c r="BE507" s="151"/>
      <c r="BF507" s="151"/>
      <c r="BG507" s="151"/>
      <c r="BH507" s="151"/>
      <c r="BI507" s="151"/>
      <c r="BJ507" s="151"/>
      <c r="BK507" s="151"/>
      <c r="BL507" s="151"/>
      <c r="BM507" s="151"/>
      <c r="BN507" s="151"/>
    </row>
    <row r="508" spans="25:66">
      <c r="Y508" s="151"/>
      <c r="Z508" s="151"/>
      <c r="AA508" s="151"/>
      <c r="AB508" s="151"/>
      <c r="AC508" s="151"/>
      <c r="AD508" s="151"/>
      <c r="AE508" s="151"/>
      <c r="AF508" s="151"/>
      <c r="AG508" s="151"/>
      <c r="AH508" s="151"/>
      <c r="AI508" s="151"/>
      <c r="AJ508" s="151"/>
      <c r="AK508" s="151"/>
      <c r="AL508" s="151"/>
      <c r="AM508" s="151"/>
      <c r="AN508" s="151"/>
      <c r="AO508" s="151"/>
      <c r="AP508" s="151"/>
      <c r="AQ508" s="151"/>
      <c r="AR508" s="151"/>
      <c r="AS508" s="151"/>
      <c r="AT508" s="151"/>
      <c r="AU508" s="151"/>
      <c r="AV508" s="151"/>
      <c r="AW508" s="151"/>
      <c r="AX508" s="151"/>
      <c r="AY508" s="151"/>
      <c r="AZ508" s="151"/>
      <c r="BA508" s="151"/>
      <c r="BB508" s="151"/>
      <c r="BC508" s="151"/>
      <c r="BD508" s="151"/>
      <c r="BE508" s="151"/>
      <c r="BF508" s="151"/>
      <c r="BG508" s="151"/>
      <c r="BH508" s="151"/>
      <c r="BI508" s="151"/>
      <c r="BJ508" s="151"/>
      <c r="BK508" s="151"/>
      <c r="BL508" s="151"/>
      <c r="BM508" s="151"/>
      <c r="BN508" s="151"/>
    </row>
    <row r="509" spans="25:66">
      <c r="Y509" s="151"/>
      <c r="Z509" s="151"/>
      <c r="AA509" s="151"/>
      <c r="AB509" s="151"/>
      <c r="AC509" s="151"/>
      <c r="AD509" s="151"/>
      <c r="AE509" s="151"/>
      <c r="AF509" s="151"/>
      <c r="AG509" s="151"/>
      <c r="AH509" s="151"/>
      <c r="AI509" s="151"/>
      <c r="AJ509" s="151"/>
      <c r="AK509" s="151"/>
      <c r="AL509" s="151"/>
      <c r="AM509" s="151"/>
      <c r="AN509" s="151"/>
      <c r="AO509" s="151"/>
      <c r="AP509" s="151"/>
      <c r="AQ509" s="151"/>
      <c r="AR509" s="151"/>
      <c r="AS509" s="151"/>
      <c r="AT509" s="151"/>
      <c r="AU509" s="151"/>
      <c r="AV509" s="151"/>
      <c r="AW509" s="151"/>
      <c r="AX509" s="151"/>
      <c r="AY509" s="151"/>
      <c r="AZ509" s="151"/>
      <c r="BA509" s="151"/>
      <c r="BB509" s="151"/>
      <c r="BC509" s="151"/>
      <c r="BD509" s="151"/>
      <c r="BE509" s="151"/>
      <c r="BF509" s="151"/>
      <c r="BG509" s="151"/>
      <c r="BH509" s="151"/>
      <c r="BI509" s="151"/>
      <c r="BJ509" s="151"/>
      <c r="BK509" s="151"/>
      <c r="BL509" s="151"/>
      <c r="BM509" s="151"/>
      <c r="BN509" s="151"/>
    </row>
    <row r="510" spans="25:66">
      <c r="Y510" s="151"/>
      <c r="Z510" s="151"/>
      <c r="AA510" s="151"/>
      <c r="AB510" s="151"/>
      <c r="AC510" s="151"/>
      <c r="AD510" s="151"/>
      <c r="AE510" s="151"/>
      <c r="AF510" s="151"/>
      <c r="AG510" s="151"/>
      <c r="AH510" s="151"/>
      <c r="AI510" s="151"/>
      <c r="AJ510" s="151"/>
      <c r="AK510" s="151"/>
      <c r="AL510" s="151"/>
      <c r="AM510" s="151"/>
      <c r="AN510" s="151"/>
      <c r="AO510" s="151"/>
      <c r="AP510" s="151"/>
      <c r="AQ510" s="151"/>
      <c r="AR510" s="151"/>
      <c r="AS510" s="151"/>
      <c r="AT510" s="151"/>
      <c r="AU510" s="151"/>
      <c r="AV510" s="151"/>
      <c r="AW510" s="151"/>
      <c r="AX510" s="151"/>
      <c r="AY510" s="151"/>
      <c r="AZ510" s="151"/>
      <c r="BA510" s="151"/>
      <c r="BB510" s="151"/>
      <c r="BC510" s="151"/>
      <c r="BD510" s="151"/>
      <c r="BE510" s="151"/>
      <c r="BF510" s="151"/>
      <c r="BG510" s="151"/>
      <c r="BH510" s="151"/>
      <c r="BI510" s="151"/>
      <c r="BJ510" s="151"/>
      <c r="BK510" s="151"/>
      <c r="BL510" s="151"/>
      <c r="BM510" s="151"/>
      <c r="BN510" s="151"/>
    </row>
    <row r="511" spans="25:66">
      <c r="Y511" s="151"/>
      <c r="Z511" s="151"/>
      <c r="AA511" s="151"/>
      <c r="AB511" s="151"/>
      <c r="AC511" s="151"/>
      <c r="AD511" s="151"/>
      <c r="AE511" s="151"/>
      <c r="AF511" s="151"/>
      <c r="AG511" s="151"/>
      <c r="AH511" s="151"/>
      <c r="AI511" s="151"/>
      <c r="AJ511" s="151"/>
      <c r="AK511" s="151"/>
      <c r="AL511" s="151"/>
      <c r="AM511" s="151"/>
      <c r="AN511" s="151"/>
      <c r="AO511" s="151"/>
      <c r="AP511" s="151"/>
      <c r="AQ511" s="151"/>
      <c r="AR511" s="151"/>
      <c r="AS511" s="151"/>
      <c r="AT511" s="151"/>
      <c r="AU511" s="151"/>
      <c r="AV511" s="151"/>
      <c r="AW511" s="151"/>
      <c r="AX511" s="151"/>
      <c r="AY511" s="151"/>
      <c r="AZ511" s="151"/>
      <c r="BA511" s="151"/>
      <c r="BB511" s="151"/>
      <c r="BC511" s="151"/>
      <c r="BD511" s="151"/>
      <c r="BE511" s="151"/>
      <c r="BF511" s="151"/>
      <c r="BG511" s="151"/>
      <c r="BH511" s="151"/>
      <c r="BI511" s="151"/>
      <c r="BJ511" s="151"/>
      <c r="BK511" s="151"/>
      <c r="BL511" s="151"/>
      <c r="BM511" s="151"/>
      <c r="BN511" s="151"/>
    </row>
    <row r="512" spans="25:66">
      <c r="Y512" s="151"/>
      <c r="Z512" s="151"/>
      <c r="AA512" s="151"/>
      <c r="AB512" s="151"/>
      <c r="AC512" s="151"/>
      <c r="AD512" s="151"/>
      <c r="AE512" s="151"/>
      <c r="AF512" s="151"/>
      <c r="AG512" s="151"/>
      <c r="AH512" s="151"/>
      <c r="AI512" s="151"/>
      <c r="AJ512" s="151"/>
      <c r="AK512" s="151"/>
      <c r="AL512" s="151"/>
      <c r="AM512" s="151"/>
      <c r="AN512" s="151"/>
      <c r="AO512" s="151"/>
      <c r="AP512" s="151"/>
      <c r="AQ512" s="151"/>
      <c r="AR512" s="151"/>
      <c r="AS512" s="151"/>
      <c r="AT512" s="151"/>
      <c r="AU512" s="151"/>
      <c r="AV512" s="151"/>
      <c r="AW512" s="151"/>
      <c r="AX512" s="151"/>
      <c r="AY512" s="151"/>
      <c r="AZ512" s="151"/>
      <c r="BA512" s="151"/>
      <c r="BB512" s="151"/>
      <c r="BC512" s="151"/>
      <c r="BD512" s="151"/>
      <c r="BE512" s="151"/>
      <c r="BF512" s="151"/>
      <c r="BG512" s="151"/>
      <c r="BH512" s="151"/>
      <c r="BI512" s="151"/>
      <c r="BJ512" s="151"/>
      <c r="BK512" s="151"/>
      <c r="BL512" s="151"/>
      <c r="BM512" s="151"/>
      <c r="BN512" s="151"/>
    </row>
    <row r="513" spans="25:66">
      <c r="Y513" s="151"/>
      <c r="Z513" s="151"/>
      <c r="AA513" s="151"/>
      <c r="AB513" s="151"/>
      <c r="AC513" s="151"/>
      <c r="AD513" s="151"/>
      <c r="AE513" s="151"/>
      <c r="AF513" s="151"/>
      <c r="AG513" s="151"/>
      <c r="AH513" s="151"/>
      <c r="AI513" s="151"/>
      <c r="AJ513" s="151"/>
      <c r="AK513" s="151"/>
      <c r="AL513" s="151"/>
      <c r="AM513" s="151"/>
      <c r="AN513" s="151"/>
      <c r="AO513" s="151"/>
      <c r="AP513" s="151"/>
      <c r="AQ513" s="151"/>
      <c r="AR513" s="151"/>
      <c r="AS513" s="151"/>
      <c r="AT513" s="151"/>
      <c r="AU513" s="151"/>
      <c r="AV513" s="151"/>
      <c r="AW513" s="151"/>
      <c r="AX513" s="151"/>
      <c r="AY513" s="151"/>
      <c r="AZ513" s="151"/>
      <c r="BA513" s="151"/>
      <c r="BB513" s="151"/>
      <c r="BC513" s="151"/>
      <c r="BD513" s="151"/>
      <c r="BE513" s="151"/>
      <c r="BF513" s="151"/>
      <c r="BG513" s="151"/>
      <c r="BH513" s="151"/>
      <c r="BI513" s="151"/>
      <c r="BJ513" s="151"/>
      <c r="BK513" s="151"/>
      <c r="BL513" s="151"/>
      <c r="BM513" s="151"/>
      <c r="BN513" s="151"/>
    </row>
    <row r="514" spans="25:66">
      <c r="Y514" s="151"/>
      <c r="Z514" s="151"/>
      <c r="AA514" s="151"/>
      <c r="AB514" s="151"/>
      <c r="AC514" s="151"/>
      <c r="AD514" s="151"/>
      <c r="AE514" s="151"/>
      <c r="AF514" s="151"/>
      <c r="AG514" s="151"/>
      <c r="AH514" s="151"/>
      <c r="AI514" s="151"/>
      <c r="AJ514" s="151"/>
      <c r="AK514" s="151"/>
      <c r="AL514" s="151"/>
      <c r="AM514" s="151"/>
      <c r="AN514" s="151"/>
      <c r="AO514" s="151"/>
      <c r="AP514" s="151"/>
      <c r="AQ514" s="151"/>
      <c r="AR514" s="151"/>
      <c r="AS514" s="151"/>
      <c r="AT514" s="151"/>
      <c r="AU514" s="151"/>
      <c r="AV514" s="151"/>
      <c r="AW514" s="151"/>
      <c r="AX514" s="151"/>
      <c r="AY514" s="151"/>
      <c r="AZ514" s="151"/>
      <c r="BA514" s="151"/>
      <c r="BB514" s="151"/>
      <c r="BC514" s="151"/>
      <c r="BD514" s="151"/>
      <c r="BE514" s="151"/>
      <c r="BF514" s="151"/>
      <c r="BG514" s="151"/>
      <c r="BH514" s="151"/>
      <c r="BI514" s="151"/>
      <c r="BJ514" s="151"/>
      <c r="BK514" s="151"/>
      <c r="BL514" s="151"/>
      <c r="BM514" s="151"/>
      <c r="BN514" s="151"/>
    </row>
    <row r="515" spans="25:66">
      <c r="Y515" s="151"/>
      <c r="Z515" s="151"/>
      <c r="AA515" s="151"/>
      <c r="AB515" s="151"/>
      <c r="AC515" s="151"/>
      <c r="AD515" s="151"/>
      <c r="AE515" s="151"/>
      <c r="AF515" s="151"/>
      <c r="AG515" s="151"/>
      <c r="AH515" s="151"/>
      <c r="AI515" s="151"/>
      <c r="AJ515" s="151"/>
      <c r="AK515" s="151"/>
      <c r="AL515" s="151"/>
      <c r="AM515" s="151"/>
      <c r="AN515" s="151"/>
      <c r="AO515" s="151"/>
      <c r="AP515" s="151"/>
      <c r="AQ515" s="151"/>
      <c r="AR515" s="151"/>
      <c r="AS515" s="151"/>
      <c r="AT515" s="151"/>
      <c r="AU515" s="151"/>
      <c r="AV515" s="151"/>
      <c r="AW515" s="151"/>
      <c r="AX515" s="151"/>
      <c r="AY515" s="151"/>
      <c r="AZ515" s="151"/>
      <c r="BA515" s="151"/>
      <c r="BB515" s="151"/>
      <c r="BC515" s="151"/>
      <c r="BD515" s="151"/>
      <c r="BE515" s="151"/>
      <c r="BF515" s="151"/>
      <c r="BG515" s="151"/>
      <c r="BH515" s="151"/>
      <c r="BI515" s="151"/>
      <c r="BJ515" s="151"/>
      <c r="BK515" s="151"/>
      <c r="BL515" s="151"/>
      <c r="BM515" s="151"/>
      <c r="BN515" s="151"/>
    </row>
    <row r="516" spans="25:66">
      <c r="Y516" s="151"/>
      <c r="Z516" s="151"/>
      <c r="AA516" s="151"/>
      <c r="AB516" s="151"/>
      <c r="AC516" s="151"/>
      <c r="AD516" s="151"/>
      <c r="AE516" s="151"/>
      <c r="AF516" s="151"/>
      <c r="AG516" s="151"/>
      <c r="AH516" s="151"/>
      <c r="AI516" s="151"/>
      <c r="AJ516" s="151"/>
      <c r="AK516" s="151"/>
      <c r="AL516" s="151"/>
      <c r="AM516" s="151"/>
      <c r="AN516" s="151"/>
      <c r="AO516" s="151"/>
      <c r="AP516" s="151"/>
      <c r="AQ516" s="151"/>
      <c r="AR516" s="151"/>
      <c r="AS516" s="151"/>
      <c r="AT516" s="151"/>
      <c r="AU516" s="151"/>
      <c r="AV516" s="151"/>
      <c r="AW516" s="151"/>
      <c r="AX516" s="151"/>
      <c r="AY516" s="151"/>
      <c r="AZ516" s="151"/>
      <c r="BA516" s="151"/>
      <c r="BB516" s="151"/>
      <c r="BC516" s="151"/>
      <c r="BD516" s="151"/>
      <c r="BE516" s="151"/>
      <c r="BF516" s="151"/>
      <c r="BG516" s="151"/>
      <c r="BH516" s="151"/>
      <c r="BI516" s="151"/>
      <c r="BJ516" s="151"/>
      <c r="BK516" s="151"/>
      <c r="BL516" s="151"/>
      <c r="BM516" s="151"/>
      <c r="BN516" s="151"/>
    </row>
    <row r="517" spans="25:66">
      <c r="Y517" s="151"/>
      <c r="Z517" s="151"/>
      <c r="AA517" s="151"/>
      <c r="AB517" s="151"/>
      <c r="AC517" s="151"/>
      <c r="AD517" s="151"/>
      <c r="AE517" s="151"/>
      <c r="AF517" s="151"/>
      <c r="AG517" s="151"/>
      <c r="AH517" s="151"/>
      <c r="AI517" s="151"/>
      <c r="AJ517" s="151"/>
      <c r="AK517" s="151"/>
      <c r="AL517" s="151"/>
      <c r="AM517" s="151"/>
      <c r="AN517" s="151"/>
      <c r="AO517" s="151"/>
      <c r="AP517" s="151"/>
      <c r="AQ517" s="151"/>
      <c r="AR517" s="151"/>
      <c r="AS517" s="151"/>
      <c r="AT517" s="151"/>
      <c r="AU517" s="151"/>
      <c r="AV517" s="151"/>
      <c r="AW517" s="151"/>
      <c r="AX517" s="151"/>
      <c r="AY517" s="151"/>
      <c r="AZ517" s="151"/>
      <c r="BA517" s="151"/>
      <c r="BB517" s="151"/>
      <c r="BC517" s="151"/>
      <c r="BD517" s="151"/>
      <c r="BE517" s="151"/>
      <c r="BF517" s="151"/>
      <c r="BG517" s="151"/>
      <c r="BH517" s="151"/>
      <c r="BI517" s="151"/>
      <c r="BJ517" s="151"/>
      <c r="BK517" s="151"/>
      <c r="BL517" s="151"/>
      <c r="BM517" s="151"/>
      <c r="BN517" s="151"/>
    </row>
    <row r="518" spans="25:66">
      <c r="Y518" s="151"/>
      <c r="Z518" s="151"/>
      <c r="AA518" s="151"/>
      <c r="AB518" s="151"/>
      <c r="AC518" s="151"/>
      <c r="AD518" s="151"/>
      <c r="AE518" s="151"/>
      <c r="AF518" s="151"/>
      <c r="AG518" s="151"/>
      <c r="AH518" s="151"/>
      <c r="AI518" s="151"/>
      <c r="AJ518" s="151"/>
      <c r="AK518" s="151"/>
      <c r="AL518" s="151"/>
      <c r="AM518" s="151"/>
      <c r="AN518" s="151"/>
      <c r="AO518" s="151"/>
      <c r="AP518" s="151"/>
      <c r="AQ518" s="151"/>
      <c r="AR518" s="151"/>
      <c r="AS518" s="151"/>
      <c r="AT518" s="151"/>
      <c r="AU518" s="151"/>
      <c r="AV518" s="151"/>
      <c r="AW518" s="151"/>
      <c r="AX518" s="151"/>
      <c r="AY518" s="151"/>
      <c r="AZ518" s="151"/>
      <c r="BA518" s="151"/>
      <c r="BB518" s="151"/>
      <c r="BC518" s="151"/>
      <c r="BD518" s="151"/>
      <c r="BE518" s="151"/>
      <c r="BF518" s="151"/>
      <c r="BG518" s="151"/>
      <c r="BH518" s="151"/>
      <c r="BI518" s="151"/>
      <c r="BJ518" s="151"/>
      <c r="BK518" s="151"/>
      <c r="BL518" s="151"/>
      <c r="BM518" s="151"/>
      <c r="BN518" s="151"/>
    </row>
    <row r="519" spans="25:66">
      <c r="Y519" s="151"/>
      <c r="Z519" s="151"/>
      <c r="AA519" s="151"/>
      <c r="AB519" s="151"/>
      <c r="AC519" s="151"/>
      <c r="AD519" s="151"/>
      <c r="AE519" s="151"/>
      <c r="AF519" s="151"/>
      <c r="AG519" s="151"/>
      <c r="AH519" s="151"/>
      <c r="AI519" s="151"/>
      <c r="AJ519" s="151"/>
      <c r="AK519" s="151"/>
      <c r="AL519" s="151"/>
      <c r="AM519" s="151"/>
      <c r="AN519" s="151"/>
      <c r="AO519" s="151"/>
      <c r="AP519" s="151"/>
      <c r="AQ519" s="151"/>
      <c r="AR519" s="151"/>
      <c r="AS519" s="151"/>
      <c r="AT519" s="151"/>
      <c r="AU519" s="151"/>
      <c r="AV519" s="151"/>
      <c r="AW519" s="151"/>
      <c r="AX519" s="151"/>
      <c r="AY519" s="151"/>
      <c r="AZ519" s="151"/>
      <c r="BA519" s="151"/>
      <c r="BB519" s="151"/>
      <c r="BC519" s="151"/>
      <c r="BD519" s="151"/>
      <c r="BE519" s="151"/>
      <c r="BF519" s="151"/>
      <c r="BG519" s="151"/>
      <c r="BH519" s="151"/>
      <c r="BI519" s="151"/>
      <c r="BJ519" s="151"/>
      <c r="BK519" s="151"/>
      <c r="BL519" s="151"/>
      <c r="BM519" s="151"/>
      <c r="BN519" s="151"/>
    </row>
    <row r="520" spans="25:66">
      <c r="Y520" s="151"/>
      <c r="Z520" s="151"/>
      <c r="AA520" s="151"/>
      <c r="AB520" s="151"/>
      <c r="AC520" s="151"/>
      <c r="AD520" s="151"/>
      <c r="AE520" s="151"/>
      <c r="AF520" s="151"/>
      <c r="AG520" s="151"/>
      <c r="AH520" s="151"/>
      <c r="AI520" s="151"/>
      <c r="AJ520" s="151"/>
      <c r="AK520" s="151"/>
      <c r="AL520" s="151"/>
      <c r="AM520" s="151"/>
      <c r="AN520" s="151"/>
      <c r="AO520" s="151"/>
      <c r="AP520" s="151"/>
      <c r="AQ520" s="151"/>
      <c r="AR520" s="151"/>
      <c r="AS520" s="151"/>
      <c r="AT520" s="151"/>
      <c r="AU520" s="151"/>
      <c r="AV520" s="151"/>
      <c r="AW520" s="151"/>
      <c r="AX520" s="151"/>
      <c r="AY520" s="151"/>
      <c r="AZ520" s="151"/>
      <c r="BA520" s="151"/>
      <c r="BB520" s="151"/>
      <c r="BC520" s="151"/>
      <c r="BD520" s="151"/>
      <c r="BE520" s="151"/>
      <c r="BF520" s="151"/>
      <c r="BG520" s="151"/>
      <c r="BH520" s="151"/>
      <c r="BI520" s="151"/>
      <c r="BJ520" s="151"/>
      <c r="BK520" s="151"/>
      <c r="BL520" s="151"/>
      <c r="BM520" s="151"/>
      <c r="BN520" s="151"/>
    </row>
    <row r="521" spans="25:66">
      <c r="Y521" s="151"/>
      <c r="Z521" s="151"/>
      <c r="AA521" s="151"/>
      <c r="AB521" s="151"/>
      <c r="AC521" s="151"/>
      <c r="AD521" s="151"/>
      <c r="AE521" s="151"/>
      <c r="AF521" s="151"/>
      <c r="AG521" s="151"/>
      <c r="AH521" s="151"/>
      <c r="AI521" s="151"/>
      <c r="AJ521" s="151"/>
      <c r="AK521" s="151"/>
      <c r="AL521" s="151"/>
      <c r="AM521" s="151"/>
      <c r="AN521" s="151"/>
      <c r="AO521" s="151"/>
      <c r="AP521" s="151"/>
      <c r="AQ521" s="151"/>
      <c r="AR521" s="151"/>
      <c r="AS521" s="151"/>
      <c r="AT521" s="151"/>
      <c r="AU521" s="151"/>
      <c r="AV521" s="151"/>
      <c r="AW521" s="151"/>
      <c r="AX521" s="151"/>
      <c r="AY521" s="151"/>
      <c r="AZ521" s="151"/>
      <c r="BA521" s="151"/>
      <c r="BB521" s="151"/>
      <c r="BC521" s="151"/>
      <c r="BD521" s="151"/>
      <c r="BE521" s="151"/>
      <c r="BF521" s="151"/>
      <c r="BG521" s="151"/>
      <c r="BH521" s="151"/>
      <c r="BI521" s="151"/>
      <c r="BJ521" s="151"/>
      <c r="BK521" s="151"/>
      <c r="BL521" s="151"/>
      <c r="BM521" s="151"/>
      <c r="BN521" s="151"/>
    </row>
    <row r="522" spans="25:66">
      <c r="Y522" s="151"/>
      <c r="Z522" s="151"/>
      <c r="AA522" s="151"/>
      <c r="AB522" s="151"/>
      <c r="AC522" s="151"/>
      <c r="AD522" s="151"/>
      <c r="AE522" s="151"/>
      <c r="AF522" s="151"/>
      <c r="AG522" s="151"/>
      <c r="AH522" s="151"/>
      <c r="AI522" s="151"/>
      <c r="AJ522" s="151"/>
      <c r="AK522" s="151"/>
      <c r="AL522" s="151"/>
      <c r="AM522" s="151"/>
      <c r="AN522" s="151"/>
      <c r="AO522" s="151"/>
      <c r="AP522" s="151"/>
      <c r="AQ522" s="151"/>
      <c r="AR522" s="151"/>
      <c r="AS522" s="151"/>
      <c r="AT522" s="151"/>
      <c r="AU522" s="151"/>
      <c r="AV522" s="151"/>
      <c r="AW522" s="151"/>
      <c r="AX522" s="151"/>
      <c r="AY522" s="151"/>
      <c r="AZ522" s="151"/>
      <c r="BA522" s="151"/>
      <c r="BB522" s="151"/>
      <c r="BC522" s="151"/>
      <c r="BD522" s="151"/>
      <c r="BE522" s="151"/>
      <c r="BF522" s="151"/>
      <c r="BG522" s="151"/>
      <c r="BH522" s="151"/>
      <c r="BI522" s="151"/>
      <c r="BJ522" s="151"/>
      <c r="BK522" s="151"/>
      <c r="BL522" s="151"/>
      <c r="BM522" s="151"/>
      <c r="BN522" s="151"/>
    </row>
    <row r="523" spans="25:66">
      <c r="Y523" s="151"/>
      <c r="Z523" s="151"/>
      <c r="AA523" s="151"/>
      <c r="AB523" s="151"/>
      <c r="AC523" s="151"/>
      <c r="AD523" s="151"/>
      <c r="AE523" s="151"/>
      <c r="AF523" s="151"/>
      <c r="AG523" s="151"/>
      <c r="AH523" s="151"/>
      <c r="AI523" s="151"/>
      <c r="AJ523" s="151"/>
      <c r="AK523" s="151"/>
      <c r="AL523" s="151"/>
      <c r="AM523" s="151"/>
      <c r="AN523" s="151"/>
      <c r="AO523" s="151"/>
      <c r="AP523" s="151"/>
      <c r="AQ523" s="151"/>
      <c r="AR523" s="151"/>
      <c r="AS523" s="151"/>
      <c r="AT523" s="151"/>
      <c r="AU523" s="151"/>
      <c r="AV523" s="151"/>
      <c r="AW523" s="151"/>
      <c r="AX523" s="151"/>
      <c r="AY523" s="151"/>
      <c r="AZ523" s="151"/>
      <c r="BA523" s="151"/>
      <c r="BB523" s="151"/>
      <c r="BC523" s="151"/>
      <c r="BD523" s="151"/>
      <c r="BE523" s="151"/>
      <c r="BF523" s="151"/>
      <c r="BG523" s="151"/>
      <c r="BH523" s="151"/>
      <c r="BI523" s="151"/>
      <c r="BJ523" s="151"/>
      <c r="BK523" s="151"/>
      <c r="BL523" s="151"/>
      <c r="BM523" s="151"/>
      <c r="BN523" s="151"/>
    </row>
    <row r="524" spans="25:66">
      <c r="Y524" s="151"/>
      <c r="Z524" s="151"/>
      <c r="AA524" s="151"/>
      <c r="AB524" s="151"/>
      <c r="AC524" s="151"/>
      <c r="AD524" s="151"/>
      <c r="AE524" s="151"/>
      <c r="AF524" s="151"/>
      <c r="AG524" s="151"/>
      <c r="AH524" s="151"/>
      <c r="AI524" s="151"/>
      <c r="AJ524" s="151"/>
      <c r="AK524" s="151"/>
      <c r="AL524" s="151"/>
      <c r="AM524" s="151"/>
      <c r="AN524" s="151"/>
      <c r="AO524" s="151"/>
      <c r="AP524" s="151"/>
      <c r="AQ524" s="151"/>
      <c r="AR524" s="151"/>
      <c r="AS524" s="151"/>
      <c r="AT524" s="151"/>
      <c r="AU524" s="151"/>
      <c r="AV524" s="151"/>
      <c r="AW524" s="151"/>
      <c r="AX524" s="151"/>
      <c r="AY524" s="151"/>
      <c r="AZ524" s="151"/>
      <c r="BA524" s="151"/>
      <c r="BB524" s="151"/>
      <c r="BC524" s="151"/>
      <c r="BD524" s="151"/>
      <c r="BE524" s="151"/>
      <c r="BF524" s="151"/>
      <c r="BG524" s="151"/>
      <c r="BH524" s="151"/>
      <c r="BI524" s="151"/>
      <c r="BJ524" s="151"/>
      <c r="BK524" s="151"/>
      <c r="BL524" s="151"/>
      <c r="BM524" s="151"/>
      <c r="BN524" s="151"/>
    </row>
    <row r="525" spans="25:66">
      <c r="Y525" s="151"/>
      <c r="Z525" s="151"/>
      <c r="AA525" s="151"/>
      <c r="AB525" s="151"/>
      <c r="AC525" s="151"/>
      <c r="AD525" s="151"/>
      <c r="AE525" s="151"/>
      <c r="AF525" s="151"/>
      <c r="AG525" s="151"/>
      <c r="AH525" s="151"/>
      <c r="AI525" s="151"/>
      <c r="AJ525" s="151"/>
      <c r="AK525" s="151"/>
      <c r="AL525" s="151"/>
      <c r="AM525" s="151"/>
      <c r="AN525" s="151"/>
      <c r="AO525" s="151"/>
      <c r="AP525" s="151"/>
      <c r="AQ525" s="151"/>
      <c r="AR525" s="151"/>
      <c r="AS525" s="151"/>
      <c r="AT525" s="151"/>
      <c r="AU525" s="151"/>
      <c r="AV525" s="151"/>
      <c r="AW525" s="151"/>
      <c r="AX525" s="151"/>
      <c r="AY525" s="151"/>
      <c r="AZ525" s="151"/>
      <c r="BA525" s="151"/>
      <c r="BB525" s="151"/>
      <c r="BC525" s="151"/>
      <c r="BD525" s="151"/>
      <c r="BE525" s="151"/>
      <c r="BF525" s="151"/>
      <c r="BG525" s="151"/>
      <c r="BH525" s="151"/>
      <c r="BI525" s="151"/>
      <c r="BJ525" s="151"/>
      <c r="BK525" s="151"/>
      <c r="BL525" s="151"/>
      <c r="BM525" s="151"/>
      <c r="BN525" s="151"/>
    </row>
    <row r="526" spans="25:66">
      <c r="Y526" s="151"/>
      <c r="Z526" s="151"/>
      <c r="AA526" s="151"/>
      <c r="AB526" s="151"/>
      <c r="AC526" s="151"/>
      <c r="AD526" s="151"/>
      <c r="AE526" s="151"/>
      <c r="AF526" s="151"/>
      <c r="AG526" s="151"/>
      <c r="AH526" s="151"/>
      <c r="AI526" s="151"/>
      <c r="AJ526" s="151"/>
      <c r="AK526" s="151"/>
      <c r="AL526" s="151"/>
      <c r="AM526" s="151"/>
      <c r="AN526" s="151"/>
      <c r="AO526" s="151"/>
      <c r="AP526" s="151"/>
      <c r="AQ526" s="151"/>
      <c r="AR526" s="151"/>
      <c r="AS526" s="151"/>
      <c r="AT526" s="151"/>
      <c r="AU526" s="151"/>
      <c r="AV526" s="151"/>
      <c r="AW526" s="151"/>
      <c r="AX526" s="151"/>
      <c r="AY526" s="151"/>
      <c r="AZ526" s="151"/>
      <c r="BA526" s="151"/>
      <c r="BB526" s="151"/>
      <c r="BC526" s="151"/>
      <c r="BD526" s="151"/>
      <c r="BE526" s="151"/>
      <c r="BF526" s="151"/>
      <c r="BG526" s="151"/>
      <c r="BH526" s="151"/>
      <c r="BI526" s="151"/>
      <c r="BJ526" s="151"/>
      <c r="BK526" s="151"/>
      <c r="BL526" s="151"/>
      <c r="BM526" s="151"/>
      <c r="BN526" s="151"/>
    </row>
    <row r="527" spans="25:66">
      <c r="Y527" s="151"/>
      <c r="Z527" s="151"/>
      <c r="AA527" s="151"/>
      <c r="AB527" s="151"/>
      <c r="AC527" s="151"/>
      <c r="AD527" s="151"/>
      <c r="AE527" s="151"/>
      <c r="AF527" s="151"/>
      <c r="AG527" s="151"/>
      <c r="AH527" s="151"/>
      <c r="AI527" s="151"/>
      <c r="AJ527" s="151"/>
      <c r="AK527" s="151"/>
      <c r="AL527" s="151"/>
      <c r="AM527" s="151"/>
      <c r="AN527" s="151"/>
      <c r="AO527" s="151"/>
      <c r="AP527" s="151"/>
      <c r="AQ527" s="151"/>
      <c r="AR527" s="151"/>
      <c r="AS527" s="151"/>
      <c r="AT527" s="151"/>
      <c r="AU527" s="151"/>
      <c r="AV527" s="151"/>
      <c r="AW527" s="151"/>
      <c r="AX527" s="151"/>
      <c r="AY527" s="151"/>
      <c r="AZ527" s="151"/>
      <c r="BA527" s="151"/>
      <c r="BB527" s="151"/>
      <c r="BC527" s="151"/>
      <c r="BD527" s="151"/>
      <c r="BE527" s="151"/>
      <c r="BF527" s="151"/>
      <c r="BG527" s="151"/>
      <c r="BH527" s="151"/>
      <c r="BI527" s="151"/>
      <c r="BJ527" s="151"/>
      <c r="BK527" s="151"/>
      <c r="BL527" s="151"/>
      <c r="BM527" s="151"/>
      <c r="BN527" s="151"/>
    </row>
    <row r="528" spans="25:66">
      <c r="Y528" s="151"/>
      <c r="Z528" s="151"/>
      <c r="AA528" s="151"/>
      <c r="AB528" s="151"/>
      <c r="AC528" s="151"/>
      <c r="AD528" s="151"/>
      <c r="AE528" s="151"/>
      <c r="AF528" s="151"/>
      <c r="AG528" s="151"/>
      <c r="AH528" s="151"/>
      <c r="AI528" s="151"/>
      <c r="AJ528" s="151"/>
      <c r="AK528" s="151"/>
      <c r="AL528" s="151"/>
      <c r="AM528" s="151"/>
      <c r="AN528" s="151"/>
      <c r="AO528" s="151"/>
      <c r="AP528" s="151"/>
      <c r="AQ528" s="151"/>
      <c r="AR528" s="151"/>
      <c r="AS528" s="151"/>
      <c r="AT528" s="151"/>
      <c r="AU528" s="151"/>
      <c r="AV528" s="151"/>
      <c r="AW528" s="151"/>
      <c r="AX528" s="151"/>
      <c r="AY528" s="151"/>
      <c r="AZ528" s="151"/>
      <c r="BA528" s="151"/>
      <c r="BB528" s="151"/>
      <c r="BC528" s="151"/>
      <c r="BD528" s="151"/>
      <c r="BE528" s="151"/>
      <c r="BF528" s="151"/>
      <c r="BG528" s="151"/>
      <c r="BH528" s="151"/>
      <c r="BI528" s="151"/>
      <c r="BJ528" s="151"/>
      <c r="BK528" s="151"/>
      <c r="BL528" s="151"/>
      <c r="BM528" s="151"/>
      <c r="BN528" s="151"/>
    </row>
    <row r="529" spans="25:66">
      <c r="Y529" s="151"/>
      <c r="Z529" s="151"/>
      <c r="AA529" s="151"/>
      <c r="AB529" s="151"/>
      <c r="AC529" s="151"/>
      <c r="AD529" s="151"/>
      <c r="AE529" s="151"/>
      <c r="AF529" s="151"/>
      <c r="AG529" s="151"/>
      <c r="AH529" s="151"/>
      <c r="AI529" s="151"/>
      <c r="AJ529" s="151"/>
      <c r="AK529" s="151"/>
      <c r="AL529" s="151"/>
      <c r="AM529" s="151"/>
      <c r="AN529" s="151"/>
      <c r="AO529" s="151"/>
      <c r="AP529" s="151"/>
      <c r="AQ529" s="151"/>
      <c r="AR529" s="151"/>
      <c r="AS529" s="151"/>
      <c r="AT529" s="151"/>
      <c r="AU529" s="151"/>
      <c r="AV529" s="151"/>
      <c r="AW529" s="151"/>
      <c r="AX529" s="151"/>
      <c r="AY529" s="151"/>
      <c r="AZ529" s="151"/>
      <c r="BA529" s="151"/>
      <c r="BB529" s="151"/>
      <c r="BC529" s="151"/>
      <c r="BD529" s="151"/>
      <c r="BE529" s="151"/>
      <c r="BF529" s="151"/>
      <c r="BG529" s="151"/>
      <c r="BH529" s="151"/>
      <c r="BI529" s="151"/>
      <c r="BJ529" s="151"/>
      <c r="BK529" s="151"/>
      <c r="BL529" s="151"/>
      <c r="BM529" s="151"/>
      <c r="BN529" s="151"/>
    </row>
    <row r="530" spans="25:66">
      <c r="Y530" s="151"/>
      <c r="Z530" s="151"/>
      <c r="AA530" s="151"/>
      <c r="AB530" s="151"/>
      <c r="AC530" s="151"/>
      <c r="AD530" s="151"/>
      <c r="AE530" s="151"/>
      <c r="AF530" s="151"/>
      <c r="AG530" s="151"/>
      <c r="AH530" s="151"/>
      <c r="AI530" s="151"/>
      <c r="AJ530" s="151"/>
      <c r="AK530" s="151"/>
      <c r="AL530" s="151"/>
      <c r="AM530" s="151"/>
      <c r="AN530" s="151"/>
      <c r="AO530" s="151"/>
      <c r="AP530" s="151"/>
      <c r="AQ530" s="151"/>
      <c r="AR530" s="151"/>
      <c r="AS530" s="151"/>
      <c r="AT530" s="151"/>
      <c r="AU530" s="151"/>
      <c r="AV530" s="151"/>
      <c r="AW530" s="151"/>
      <c r="AX530" s="151"/>
      <c r="AY530" s="151"/>
      <c r="AZ530" s="151"/>
      <c r="BA530" s="151"/>
      <c r="BB530" s="151"/>
      <c r="BC530" s="151"/>
      <c r="BD530" s="151"/>
      <c r="BE530" s="151"/>
      <c r="BF530" s="151"/>
      <c r="BG530" s="151"/>
      <c r="BH530" s="151"/>
      <c r="BI530" s="151"/>
      <c r="BJ530" s="151"/>
      <c r="BK530" s="151"/>
      <c r="BL530" s="151"/>
      <c r="BM530" s="151"/>
      <c r="BN530" s="151"/>
    </row>
    <row r="531" spans="25:66">
      <c r="Y531" s="151"/>
      <c r="Z531" s="151"/>
      <c r="AA531" s="151"/>
      <c r="AB531" s="151"/>
      <c r="AC531" s="151"/>
      <c r="AD531" s="151"/>
      <c r="AE531" s="151"/>
      <c r="AF531" s="151"/>
      <c r="AG531" s="151"/>
      <c r="AH531" s="151"/>
      <c r="AI531" s="151"/>
      <c r="AJ531" s="151"/>
      <c r="AK531" s="151"/>
      <c r="AL531" s="151"/>
      <c r="AM531" s="151"/>
      <c r="AN531" s="151"/>
      <c r="AO531" s="151"/>
      <c r="AP531" s="151"/>
      <c r="AQ531" s="151"/>
      <c r="AR531" s="151"/>
      <c r="AS531" s="151"/>
      <c r="AT531" s="151"/>
      <c r="AU531" s="151"/>
      <c r="AV531" s="151"/>
      <c r="AW531" s="151"/>
      <c r="AX531" s="151"/>
      <c r="AY531" s="151"/>
      <c r="AZ531" s="151"/>
      <c r="BA531" s="151"/>
      <c r="BB531" s="151"/>
      <c r="BC531" s="151"/>
      <c r="BD531" s="151"/>
      <c r="BE531" s="151"/>
      <c r="BF531" s="151"/>
      <c r="BG531" s="151"/>
      <c r="BH531" s="151"/>
      <c r="BI531" s="151"/>
      <c r="BJ531" s="151"/>
      <c r="BK531" s="151"/>
      <c r="BL531" s="151"/>
      <c r="BM531" s="151"/>
      <c r="BN531" s="151"/>
    </row>
    <row r="532" spans="25:66">
      <c r="Y532" s="151"/>
      <c r="Z532" s="151"/>
      <c r="AA532" s="151"/>
      <c r="AB532" s="151"/>
      <c r="AC532" s="151"/>
      <c r="AD532" s="151"/>
      <c r="AE532" s="151"/>
      <c r="AF532" s="151"/>
      <c r="AG532" s="151"/>
      <c r="AH532" s="151"/>
      <c r="AI532" s="151"/>
      <c r="AJ532" s="151"/>
      <c r="AK532" s="151"/>
      <c r="AL532" s="151"/>
      <c r="AM532" s="151"/>
      <c r="AN532" s="151"/>
      <c r="AO532" s="151"/>
      <c r="AP532" s="151"/>
      <c r="AQ532" s="151"/>
      <c r="AR532" s="151"/>
      <c r="AS532" s="151"/>
      <c r="AT532" s="151"/>
      <c r="AU532" s="151"/>
      <c r="AV532" s="151"/>
      <c r="AW532" s="151"/>
      <c r="AX532" s="151"/>
      <c r="AY532" s="151"/>
      <c r="AZ532" s="151"/>
      <c r="BA532" s="151"/>
      <c r="BB532" s="151"/>
      <c r="BC532" s="151"/>
      <c r="BD532" s="151"/>
      <c r="BE532" s="151"/>
      <c r="BF532" s="151"/>
      <c r="BG532" s="151"/>
      <c r="BH532" s="151"/>
      <c r="BI532" s="151"/>
      <c r="BJ532" s="151"/>
      <c r="BK532" s="151"/>
      <c r="BL532" s="151"/>
      <c r="BM532" s="151"/>
      <c r="BN532" s="151"/>
    </row>
    <row r="533" spans="25:66">
      <c r="Y533" s="151"/>
      <c r="Z533" s="151"/>
      <c r="AA533" s="151"/>
      <c r="AB533" s="151"/>
      <c r="AC533" s="151"/>
      <c r="AD533" s="151"/>
      <c r="AE533" s="151"/>
      <c r="AF533" s="151"/>
      <c r="AG533" s="151"/>
      <c r="AH533" s="151"/>
      <c r="AI533" s="151"/>
      <c r="AJ533" s="151"/>
      <c r="AK533" s="151"/>
      <c r="AL533" s="151"/>
      <c r="AM533" s="151"/>
      <c r="AN533" s="151"/>
      <c r="AO533" s="151"/>
      <c r="AP533" s="151"/>
      <c r="AQ533" s="151"/>
      <c r="AR533" s="151"/>
      <c r="AS533" s="151"/>
      <c r="AT533" s="151"/>
      <c r="AU533" s="151"/>
      <c r="AV533" s="151"/>
      <c r="AW533" s="151"/>
      <c r="AX533" s="151"/>
      <c r="AY533" s="151"/>
      <c r="AZ533" s="151"/>
      <c r="BA533" s="151"/>
      <c r="BB533" s="151"/>
      <c r="BC533" s="151"/>
      <c r="BD533" s="151"/>
      <c r="BE533" s="151"/>
      <c r="BF533" s="151"/>
      <c r="BG533" s="151"/>
      <c r="BH533" s="151"/>
      <c r="BI533" s="151"/>
      <c r="BJ533" s="151"/>
      <c r="BK533" s="151"/>
      <c r="BL533" s="151"/>
      <c r="BM533" s="151"/>
      <c r="BN533" s="151"/>
    </row>
    <row r="534" spans="25:66">
      <c r="Y534" s="151"/>
      <c r="Z534" s="151"/>
      <c r="AA534" s="151"/>
      <c r="AB534" s="151"/>
      <c r="AC534" s="151"/>
      <c r="AD534" s="151"/>
      <c r="AE534" s="151"/>
      <c r="AF534" s="151"/>
      <c r="AG534" s="151"/>
      <c r="AH534" s="151"/>
      <c r="AI534" s="151"/>
      <c r="AJ534" s="151"/>
      <c r="AK534" s="151"/>
      <c r="AL534" s="151"/>
      <c r="AM534" s="151"/>
      <c r="AN534" s="151"/>
      <c r="AO534" s="151"/>
      <c r="AP534" s="151"/>
      <c r="AQ534" s="151"/>
      <c r="AR534" s="151"/>
      <c r="AS534" s="151"/>
      <c r="AT534" s="151"/>
      <c r="AU534" s="151"/>
      <c r="AV534" s="151"/>
      <c r="AW534" s="151"/>
      <c r="AX534" s="151"/>
      <c r="AY534" s="151"/>
      <c r="AZ534" s="151"/>
      <c r="BA534" s="151"/>
      <c r="BB534" s="151"/>
      <c r="BC534" s="151"/>
      <c r="BD534" s="151"/>
      <c r="BE534" s="151"/>
      <c r="BF534" s="151"/>
      <c r="BG534" s="151"/>
      <c r="BH534" s="151"/>
      <c r="BI534" s="151"/>
      <c r="BJ534" s="151"/>
      <c r="BK534" s="151"/>
      <c r="BL534" s="151"/>
      <c r="BM534" s="151"/>
      <c r="BN534" s="151"/>
    </row>
    <row r="535" spans="25:66">
      <c r="Y535" s="151"/>
      <c r="Z535" s="151"/>
      <c r="AA535" s="151"/>
      <c r="AB535" s="151"/>
      <c r="AC535" s="151"/>
      <c r="AD535" s="151"/>
      <c r="AE535" s="151"/>
      <c r="AF535" s="151"/>
      <c r="AG535" s="151"/>
      <c r="AH535" s="151"/>
      <c r="AI535" s="151"/>
      <c r="AJ535" s="151"/>
      <c r="AK535" s="151"/>
      <c r="AL535" s="151"/>
      <c r="AM535" s="151"/>
      <c r="AN535" s="151"/>
      <c r="AO535" s="151"/>
      <c r="AP535" s="151"/>
      <c r="AQ535" s="151"/>
      <c r="AR535" s="151"/>
      <c r="AS535" s="151"/>
      <c r="AT535" s="151"/>
      <c r="AU535" s="151"/>
      <c r="AV535" s="151"/>
      <c r="AW535" s="151"/>
      <c r="AX535" s="151"/>
      <c r="AY535" s="151"/>
      <c r="AZ535" s="151"/>
      <c r="BA535" s="151"/>
      <c r="BB535" s="151"/>
      <c r="BC535" s="151"/>
      <c r="BD535" s="151"/>
      <c r="BE535" s="151"/>
      <c r="BF535" s="151"/>
      <c r="BG535" s="151"/>
      <c r="BH535" s="151"/>
      <c r="BI535" s="151"/>
      <c r="BJ535" s="151"/>
      <c r="BK535" s="151"/>
      <c r="BL535" s="151"/>
      <c r="BM535" s="151"/>
      <c r="BN535" s="151"/>
    </row>
    <row r="536" spans="25:66">
      <c r="Y536" s="151"/>
      <c r="Z536" s="151"/>
      <c r="AA536" s="151"/>
      <c r="AB536" s="151"/>
      <c r="AC536" s="151"/>
      <c r="AD536" s="151"/>
      <c r="AE536" s="151"/>
      <c r="AF536" s="151"/>
      <c r="AG536" s="151"/>
      <c r="AH536" s="151"/>
      <c r="AI536" s="151"/>
      <c r="AJ536" s="151"/>
      <c r="AK536" s="151"/>
      <c r="AL536" s="151"/>
      <c r="AM536" s="151"/>
      <c r="AN536" s="151"/>
      <c r="AO536" s="151"/>
      <c r="AP536" s="151"/>
      <c r="AQ536" s="151"/>
      <c r="AR536" s="151"/>
      <c r="AS536" s="151"/>
      <c r="AT536" s="151"/>
      <c r="AU536" s="151"/>
      <c r="AV536" s="151"/>
      <c r="AW536" s="151"/>
      <c r="AX536" s="151"/>
      <c r="AY536" s="151"/>
      <c r="AZ536" s="151"/>
      <c r="BA536" s="151"/>
      <c r="BB536" s="151"/>
      <c r="BC536" s="151"/>
      <c r="BD536" s="151"/>
      <c r="BE536" s="151"/>
      <c r="BF536" s="151"/>
      <c r="BG536" s="151"/>
      <c r="BH536" s="151"/>
      <c r="BI536" s="151"/>
      <c r="BJ536" s="151"/>
      <c r="BK536" s="151"/>
      <c r="BL536" s="151"/>
      <c r="BM536" s="151"/>
      <c r="BN536" s="151"/>
    </row>
    <row r="537" spans="25:66">
      <c r="Y537" s="151"/>
      <c r="Z537" s="151"/>
      <c r="AA537" s="151"/>
      <c r="AB537" s="151"/>
      <c r="AC537" s="151"/>
      <c r="AD537" s="151"/>
      <c r="AE537" s="151"/>
      <c r="AF537" s="151"/>
      <c r="AG537" s="151"/>
      <c r="AH537" s="151"/>
      <c r="AI537" s="151"/>
      <c r="AJ537" s="151"/>
      <c r="AK537" s="151"/>
      <c r="AL537" s="151"/>
      <c r="AM537" s="151"/>
      <c r="AN537" s="151"/>
      <c r="AO537" s="151"/>
      <c r="AP537" s="151"/>
      <c r="AQ537" s="151"/>
      <c r="AR537" s="151"/>
      <c r="AS537" s="151"/>
      <c r="AT537" s="151"/>
      <c r="AU537" s="151"/>
      <c r="AV537" s="151"/>
      <c r="AW537" s="151"/>
      <c r="AX537" s="151"/>
      <c r="AY537" s="151"/>
      <c r="AZ537" s="151"/>
      <c r="BA537" s="151"/>
      <c r="BB537" s="151"/>
      <c r="BC537" s="151"/>
      <c r="BD537" s="151"/>
      <c r="BE537" s="151"/>
      <c r="BF537" s="151"/>
      <c r="BG537" s="151"/>
      <c r="BH537" s="151"/>
      <c r="BI537" s="151"/>
      <c r="BJ537" s="151"/>
      <c r="BK537" s="151"/>
      <c r="BL537" s="151"/>
      <c r="BM537" s="151"/>
      <c r="BN537" s="151"/>
    </row>
    <row r="538" spans="25:66">
      <c r="Y538" s="151"/>
      <c r="Z538" s="151"/>
      <c r="AA538" s="151"/>
      <c r="AB538" s="151"/>
      <c r="AC538" s="151"/>
      <c r="AD538" s="151"/>
      <c r="AE538" s="151"/>
      <c r="AF538" s="151"/>
      <c r="AG538" s="151"/>
      <c r="AH538" s="151"/>
      <c r="AI538" s="151"/>
      <c r="AJ538" s="151"/>
      <c r="AK538" s="151"/>
      <c r="AL538" s="151"/>
      <c r="AM538" s="151"/>
      <c r="AN538" s="151"/>
      <c r="AO538" s="151"/>
      <c r="AP538" s="151"/>
      <c r="AQ538" s="151"/>
      <c r="AR538" s="151"/>
      <c r="AS538" s="151"/>
      <c r="AT538" s="151"/>
      <c r="AU538" s="151"/>
      <c r="AV538" s="151"/>
      <c r="AW538" s="151"/>
      <c r="AX538" s="151"/>
      <c r="AY538" s="151"/>
      <c r="AZ538" s="151"/>
      <c r="BA538" s="151"/>
      <c r="BB538" s="151"/>
      <c r="BC538" s="151"/>
      <c r="BD538" s="151"/>
      <c r="BE538" s="151"/>
      <c r="BF538" s="151"/>
      <c r="BG538" s="151"/>
      <c r="BH538" s="151"/>
      <c r="BI538" s="151"/>
      <c r="BJ538" s="151"/>
      <c r="BK538" s="151"/>
      <c r="BL538" s="151"/>
      <c r="BM538" s="151"/>
      <c r="BN538" s="151"/>
    </row>
    <row r="539" spans="25:66">
      <c r="Y539" s="151"/>
      <c r="Z539" s="151"/>
      <c r="AA539" s="151"/>
      <c r="AB539" s="151"/>
      <c r="AC539" s="151"/>
      <c r="AD539" s="151"/>
      <c r="AE539" s="151"/>
      <c r="AF539" s="151"/>
      <c r="AG539" s="151"/>
      <c r="AH539" s="151"/>
      <c r="AI539" s="151"/>
      <c r="AJ539" s="151"/>
      <c r="AK539" s="151"/>
      <c r="AL539" s="151"/>
      <c r="AM539" s="151"/>
      <c r="AN539" s="151"/>
      <c r="AO539" s="151"/>
      <c r="AP539" s="151"/>
      <c r="AQ539" s="151"/>
      <c r="AR539" s="151"/>
      <c r="AS539" s="151"/>
      <c r="AT539" s="151"/>
      <c r="AU539" s="151"/>
      <c r="AV539" s="151"/>
      <c r="AW539" s="151"/>
      <c r="AX539" s="151"/>
      <c r="AY539" s="151"/>
      <c r="AZ539" s="151"/>
      <c r="BA539" s="151"/>
      <c r="BB539" s="151"/>
      <c r="BC539" s="151"/>
      <c r="BD539" s="151"/>
      <c r="BE539" s="151"/>
      <c r="BF539" s="151"/>
      <c r="BG539" s="151"/>
      <c r="BH539" s="151"/>
      <c r="BI539" s="151"/>
      <c r="BJ539" s="151"/>
      <c r="BK539" s="151"/>
      <c r="BL539" s="151"/>
      <c r="BM539" s="151"/>
      <c r="BN539" s="151"/>
    </row>
    <row r="540" spans="25:66">
      <c r="Y540" s="151"/>
      <c r="Z540" s="151"/>
      <c r="AA540" s="151"/>
      <c r="AB540" s="151"/>
      <c r="AC540" s="151"/>
      <c r="AD540" s="151"/>
      <c r="AE540" s="151"/>
      <c r="AF540" s="151"/>
      <c r="AG540" s="151"/>
      <c r="AH540" s="151"/>
      <c r="AI540" s="151"/>
      <c r="AJ540" s="151"/>
      <c r="AK540" s="151"/>
      <c r="AL540" s="151"/>
      <c r="AM540" s="151"/>
      <c r="AN540" s="151"/>
      <c r="AO540" s="151"/>
      <c r="AP540" s="151"/>
      <c r="AQ540" s="151"/>
      <c r="AR540" s="151"/>
      <c r="AS540" s="151"/>
      <c r="AT540" s="151"/>
      <c r="AU540" s="151"/>
      <c r="AV540" s="151"/>
      <c r="AW540" s="151"/>
      <c r="AX540" s="151"/>
      <c r="AY540" s="151"/>
      <c r="AZ540" s="151"/>
      <c r="BA540" s="151"/>
      <c r="BB540" s="151"/>
      <c r="BC540" s="151"/>
      <c r="BD540" s="151"/>
      <c r="BE540" s="151"/>
      <c r="BF540" s="151"/>
      <c r="BG540" s="151"/>
      <c r="BH540" s="151"/>
      <c r="BI540" s="151"/>
      <c r="BJ540" s="151"/>
      <c r="BK540" s="151"/>
      <c r="BL540" s="151"/>
      <c r="BM540" s="151"/>
      <c r="BN540" s="151"/>
    </row>
    <row r="541" spans="25:66">
      <c r="Y541" s="151"/>
      <c r="Z541" s="151"/>
      <c r="AA541" s="151"/>
      <c r="AB541" s="151"/>
      <c r="AC541" s="151"/>
      <c r="AD541" s="151"/>
      <c r="AE541" s="151"/>
      <c r="AF541" s="151"/>
      <c r="AG541" s="151"/>
      <c r="AH541" s="151"/>
      <c r="AI541" s="151"/>
      <c r="AJ541" s="151"/>
      <c r="AK541" s="151"/>
      <c r="AL541" s="151"/>
      <c r="AM541" s="151"/>
      <c r="AN541" s="151"/>
      <c r="AO541" s="151"/>
      <c r="AP541" s="151"/>
      <c r="AQ541" s="151"/>
      <c r="AR541" s="151"/>
      <c r="AS541" s="151"/>
      <c r="AT541" s="151"/>
      <c r="AU541" s="151"/>
      <c r="AV541" s="151"/>
      <c r="AW541" s="151"/>
      <c r="AX541" s="151"/>
      <c r="AY541" s="151"/>
      <c r="AZ541" s="151"/>
      <c r="BA541" s="151"/>
      <c r="BB541" s="151"/>
      <c r="BC541" s="151"/>
      <c r="BD541" s="151"/>
      <c r="BE541" s="151"/>
      <c r="BF541" s="151"/>
      <c r="BG541" s="151"/>
      <c r="BH541" s="151"/>
      <c r="BI541" s="151"/>
      <c r="BJ541" s="151"/>
      <c r="BK541" s="151"/>
      <c r="BL541" s="151"/>
      <c r="BM541" s="151"/>
      <c r="BN541" s="151"/>
    </row>
    <row r="542" spans="25:66">
      <c r="Y542" s="151"/>
      <c r="Z542" s="151"/>
      <c r="AA542" s="151"/>
      <c r="AB542" s="151"/>
      <c r="AC542" s="151"/>
      <c r="AD542" s="151"/>
      <c r="AE542" s="151"/>
      <c r="AF542" s="151"/>
      <c r="AG542" s="151"/>
      <c r="AH542" s="151"/>
      <c r="AI542" s="151"/>
      <c r="AJ542" s="151"/>
      <c r="AK542" s="151"/>
      <c r="AL542" s="151"/>
      <c r="AM542" s="151"/>
      <c r="AN542" s="151"/>
      <c r="AO542" s="151"/>
      <c r="AP542" s="151"/>
      <c r="AQ542" s="151"/>
      <c r="AR542" s="151"/>
      <c r="AS542" s="151"/>
      <c r="AT542" s="151"/>
      <c r="AU542" s="151"/>
      <c r="AV542" s="151"/>
      <c r="AW542" s="151"/>
      <c r="AX542" s="151"/>
      <c r="AY542" s="151"/>
      <c r="AZ542" s="151"/>
      <c r="BA542" s="151"/>
      <c r="BB542" s="151"/>
      <c r="BC542" s="151"/>
      <c r="BD542" s="151"/>
      <c r="BE542" s="151"/>
      <c r="BF542" s="151"/>
      <c r="BG542" s="151"/>
      <c r="BH542" s="151"/>
      <c r="BI542" s="151"/>
      <c r="BJ542" s="151"/>
      <c r="BK542" s="151"/>
      <c r="BL542" s="151"/>
      <c r="BM542" s="151"/>
      <c r="BN542" s="151"/>
    </row>
    <row r="543" spans="25:66">
      <c r="Y543" s="151"/>
      <c r="Z543" s="151"/>
      <c r="AA543" s="151"/>
      <c r="AB543" s="151"/>
      <c r="AC543" s="151"/>
      <c r="AD543" s="151"/>
      <c r="AE543" s="151"/>
      <c r="AF543" s="151"/>
      <c r="AG543" s="151"/>
      <c r="AH543" s="151"/>
      <c r="AI543" s="151"/>
      <c r="AJ543" s="151"/>
      <c r="AK543" s="151"/>
      <c r="AL543" s="151"/>
      <c r="AM543" s="151"/>
      <c r="AN543" s="151"/>
      <c r="AO543" s="151"/>
      <c r="AP543" s="151"/>
      <c r="AQ543" s="151"/>
      <c r="AR543" s="151"/>
      <c r="AS543" s="151"/>
      <c r="AT543" s="151"/>
      <c r="AU543" s="151"/>
      <c r="AV543" s="151"/>
      <c r="AW543" s="151"/>
      <c r="AX543" s="151"/>
      <c r="AY543" s="151"/>
      <c r="AZ543" s="151"/>
      <c r="BA543" s="151"/>
      <c r="BB543" s="151"/>
      <c r="BC543" s="151"/>
      <c r="BD543" s="151"/>
      <c r="BE543" s="151"/>
      <c r="BF543" s="151"/>
      <c r="BG543" s="151"/>
      <c r="BH543" s="151"/>
      <c r="BI543" s="151"/>
      <c r="BJ543" s="151"/>
      <c r="BK543" s="151"/>
      <c r="BL543" s="151"/>
      <c r="BM543" s="151"/>
      <c r="BN543" s="151"/>
    </row>
    <row r="544" spans="25:66">
      <c r="Y544" s="151"/>
      <c r="Z544" s="151"/>
      <c r="AA544" s="151"/>
      <c r="AB544" s="151"/>
      <c r="AC544" s="151"/>
      <c r="AD544" s="151"/>
      <c r="AE544" s="151"/>
      <c r="AF544" s="151"/>
      <c r="AG544" s="151"/>
      <c r="AH544" s="151"/>
      <c r="AI544" s="151"/>
      <c r="AJ544" s="151"/>
      <c r="AK544" s="151"/>
      <c r="AL544" s="151"/>
      <c r="AM544" s="151"/>
      <c r="AN544" s="151"/>
      <c r="AO544" s="151"/>
      <c r="AP544" s="151"/>
      <c r="AQ544" s="151"/>
      <c r="AR544" s="151"/>
      <c r="AS544" s="151"/>
      <c r="AT544" s="151"/>
      <c r="AU544" s="151"/>
      <c r="AV544" s="151"/>
      <c r="AW544" s="151"/>
      <c r="AX544" s="151"/>
      <c r="AY544" s="151"/>
      <c r="AZ544" s="151"/>
      <c r="BA544" s="151"/>
      <c r="BB544" s="151"/>
      <c r="BC544" s="151"/>
      <c r="BD544" s="151"/>
      <c r="BE544" s="151"/>
      <c r="BF544" s="151"/>
      <c r="BG544" s="151"/>
      <c r="BH544" s="151"/>
      <c r="BI544" s="151"/>
      <c r="BJ544" s="151"/>
      <c r="BK544" s="151"/>
      <c r="BL544" s="151"/>
      <c r="BM544" s="151"/>
      <c r="BN544" s="151"/>
    </row>
    <row r="545" spans="25:66">
      <c r="Y545" s="151"/>
      <c r="Z545" s="151"/>
      <c r="AA545" s="151"/>
      <c r="AB545" s="151"/>
      <c r="AC545" s="151"/>
      <c r="AD545" s="151"/>
      <c r="AE545" s="151"/>
      <c r="AF545" s="151"/>
      <c r="AG545" s="151"/>
      <c r="AH545" s="151"/>
      <c r="AI545" s="151"/>
      <c r="AJ545" s="151"/>
      <c r="AK545" s="151"/>
      <c r="AL545" s="151"/>
      <c r="AM545" s="151"/>
      <c r="AN545" s="151"/>
      <c r="AO545" s="151"/>
      <c r="AP545" s="151"/>
      <c r="AQ545" s="151"/>
      <c r="AR545" s="151"/>
      <c r="AS545" s="151"/>
      <c r="AT545" s="151"/>
      <c r="AU545" s="151"/>
      <c r="AV545" s="151"/>
      <c r="AW545" s="151"/>
      <c r="AX545" s="151"/>
      <c r="AY545" s="151"/>
      <c r="AZ545" s="151"/>
      <c r="BA545" s="151"/>
      <c r="BB545" s="151"/>
      <c r="BC545" s="151"/>
      <c r="BD545" s="151"/>
      <c r="BE545" s="151"/>
      <c r="BF545" s="151"/>
      <c r="BG545" s="151"/>
      <c r="BH545" s="151"/>
      <c r="BI545" s="151"/>
      <c r="BJ545" s="151"/>
      <c r="BK545" s="151"/>
      <c r="BL545" s="151"/>
      <c r="BM545" s="151"/>
      <c r="BN545" s="151"/>
    </row>
    <row r="546" spans="25:66">
      <c r="Y546" s="151"/>
      <c r="Z546" s="151"/>
      <c r="AA546" s="151"/>
      <c r="AB546" s="151"/>
      <c r="AC546" s="151"/>
      <c r="AD546" s="151"/>
      <c r="AE546" s="151"/>
      <c r="AF546" s="151"/>
      <c r="AG546" s="151"/>
      <c r="AH546" s="151"/>
      <c r="AI546" s="151"/>
      <c r="AJ546" s="151"/>
      <c r="AK546" s="151"/>
      <c r="AL546" s="151"/>
      <c r="AM546" s="151"/>
      <c r="AN546" s="151"/>
      <c r="AO546" s="151"/>
      <c r="AP546" s="151"/>
      <c r="AQ546" s="151"/>
      <c r="AR546" s="151"/>
      <c r="AS546" s="151"/>
      <c r="AT546" s="151"/>
      <c r="AU546" s="151"/>
      <c r="AV546" s="151"/>
      <c r="AW546" s="151"/>
      <c r="AX546" s="151"/>
      <c r="AY546" s="151"/>
      <c r="AZ546" s="151"/>
      <c r="BA546" s="151"/>
      <c r="BB546" s="151"/>
      <c r="BC546" s="151"/>
      <c r="BD546" s="151"/>
      <c r="BE546" s="151"/>
      <c r="BF546" s="151"/>
      <c r="BG546" s="151"/>
      <c r="BH546" s="151"/>
      <c r="BI546" s="151"/>
      <c r="BJ546" s="151"/>
      <c r="BK546" s="151"/>
      <c r="BL546" s="151"/>
      <c r="BM546" s="151"/>
      <c r="BN546" s="151"/>
    </row>
    <row r="547" spans="25:66">
      <c r="Y547" s="151"/>
      <c r="Z547" s="151"/>
      <c r="AA547" s="151"/>
      <c r="AB547" s="151"/>
      <c r="AC547" s="151"/>
      <c r="AD547" s="151"/>
      <c r="AE547" s="151"/>
      <c r="AF547" s="151"/>
      <c r="AG547" s="151"/>
      <c r="AH547" s="151"/>
      <c r="AI547" s="151"/>
      <c r="AJ547" s="151"/>
      <c r="AK547" s="151"/>
      <c r="AL547" s="151"/>
      <c r="AM547" s="151"/>
      <c r="AN547" s="151"/>
      <c r="AO547" s="151"/>
      <c r="AP547" s="151"/>
      <c r="AQ547" s="151"/>
      <c r="AR547" s="151"/>
      <c r="AS547" s="151"/>
      <c r="AT547" s="151"/>
      <c r="AU547" s="151"/>
      <c r="AV547" s="151"/>
      <c r="AW547" s="151"/>
      <c r="AX547" s="151"/>
      <c r="AY547" s="151"/>
      <c r="AZ547" s="151"/>
      <c r="BA547" s="151"/>
      <c r="BB547" s="151"/>
      <c r="BC547" s="151"/>
      <c r="BD547" s="151"/>
      <c r="BE547" s="151"/>
      <c r="BF547" s="151"/>
      <c r="BG547" s="151"/>
      <c r="BH547" s="151"/>
      <c r="BI547" s="151"/>
      <c r="BJ547" s="151"/>
      <c r="BK547" s="151"/>
      <c r="BL547" s="151"/>
      <c r="BM547" s="151"/>
      <c r="BN547" s="151"/>
    </row>
    <row r="548" spans="25:66">
      <c r="Y548" s="151"/>
      <c r="Z548" s="151"/>
      <c r="AA548" s="151"/>
      <c r="AB548" s="151"/>
      <c r="AC548" s="151"/>
      <c r="AD548" s="151"/>
      <c r="AE548" s="151"/>
      <c r="AF548" s="151"/>
      <c r="AG548" s="151"/>
      <c r="AH548" s="151"/>
      <c r="AI548" s="151"/>
      <c r="AJ548" s="151"/>
      <c r="AK548" s="151"/>
      <c r="AL548" s="151"/>
      <c r="AM548" s="151"/>
      <c r="AN548" s="151"/>
      <c r="AO548" s="151"/>
      <c r="AP548" s="151"/>
      <c r="AQ548" s="151"/>
      <c r="AR548" s="151"/>
      <c r="AS548" s="151"/>
      <c r="AT548" s="151"/>
      <c r="AU548" s="151"/>
      <c r="AV548" s="151"/>
      <c r="AW548" s="151"/>
      <c r="AX548" s="151"/>
      <c r="AY548" s="151"/>
      <c r="AZ548" s="151"/>
      <c r="BA548" s="151"/>
      <c r="BB548" s="151"/>
      <c r="BC548" s="151"/>
      <c r="BD548" s="151"/>
      <c r="BE548" s="151"/>
      <c r="BF548" s="151"/>
      <c r="BG548" s="151"/>
      <c r="BH548" s="151"/>
      <c r="BI548" s="151"/>
      <c r="BJ548" s="151"/>
      <c r="BK548" s="151"/>
      <c r="BL548" s="151"/>
      <c r="BM548" s="151"/>
      <c r="BN548" s="151"/>
    </row>
    <row r="549" spans="25:66">
      <c r="Y549" s="151"/>
      <c r="Z549" s="151"/>
      <c r="AA549" s="151"/>
      <c r="AB549" s="151"/>
      <c r="AC549" s="151"/>
      <c r="AD549" s="151"/>
      <c r="AE549" s="151"/>
      <c r="AF549" s="151"/>
      <c r="AG549" s="151"/>
      <c r="AH549" s="151"/>
      <c r="AI549" s="151"/>
      <c r="AJ549" s="151"/>
      <c r="AK549" s="151"/>
      <c r="AL549" s="151"/>
      <c r="AM549" s="151"/>
      <c r="AN549" s="151"/>
      <c r="AO549" s="151"/>
      <c r="AP549" s="151"/>
      <c r="AQ549" s="151"/>
      <c r="AR549" s="151"/>
      <c r="AS549" s="151"/>
      <c r="AT549" s="151"/>
      <c r="AU549" s="151"/>
      <c r="AV549" s="151"/>
      <c r="AW549" s="151"/>
      <c r="AX549" s="151"/>
      <c r="AY549" s="151"/>
      <c r="AZ549" s="151"/>
      <c r="BA549" s="151"/>
      <c r="BB549" s="151"/>
      <c r="BC549" s="151"/>
      <c r="BD549" s="151"/>
      <c r="BE549" s="151"/>
      <c r="BF549" s="151"/>
      <c r="BG549" s="151"/>
      <c r="BH549" s="151"/>
      <c r="BI549" s="151"/>
      <c r="BJ549" s="151"/>
      <c r="BK549" s="151"/>
      <c r="BL549" s="151"/>
      <c r="BM549" s="151"/>
      <c r="BN549" s="151"/>
    </row>
    <row r="550" spans="25:66">
      <c r="Y550" s="151"/>
      <c r="Z550" s="151"/>
      <c r="AA550" s="151"/>
      <c r="AB550" s="151"/>
      <c r="AC550" s="151"/>
      <c r="AD550" s="151"/>
      <c r="AE550" s="151"/>
      <c r="AF550" s="151"/>
      <c r="AG550" s="151"/>
      <c r="AH550" s="151"/>
      <c r="AI550" s="151"/>
      <c r="AJ550" s="151"/>
      <c r="AK550" s="151"/>
      <c r="AL550" s="151"/>
      <c r="AM550" s="151"/>
      <c r="AN550" s="151"/>
      <c r="AO550" s="151"/>
      <c r="AP550" s="151"/>
      <c r="AQ550" s="151"/>
      <c r="AR550" s="151"/>
      <c r="AS550" s="151"/>
      <c r="AT550" s="151"/>
      <c r="AU550" s="151"/>
      <c r="AV550" s="151"/>
      <c r="AW550" s="151"/>
      <c r="AX550" s="151"/>
      <c r="AY550" s="151"/>
      <c r="AZ550" s="151"/>
      <c r="BA550" s="151"/>
      <c r="BB550" s="151"/>
      <c r="BC550" s="151"/>
      <c r="BD550" s="151"/>
      <c r="BE550" s="151"/>
      <c r="BF550" s="151"/>
      <c r="BG550" s="151"/>
      <c r="BH550" s="151"/>
      <c r="BI550" s="151"/>
      <c r="BJ550" s="151"/>
      <c r="BK550" s="151"/>
      <c r="BL550" s="151"/>
      <c r="BM550" s="151"/>
      <c r="BN550" s="151"/>
    </row>
    <row r="551" spans="25:66">
      <c r="Y551" s="151"/>
      <c r="Z551" s="151"/>
      <c r="AA551" s="151"/>
      <c r="AB551" s="151"/>
      <c r="AC551" s="151"/>
      <c r="AD551" s="151"/>
      <c r="AE551" s="151"/>
      <c r="AF551" s="151"/>
      <c r="AG551" s="151"/>
      <c r="AH551" s="151"/>
      <c r="AI551" s="151"/>
      <c r="AJ551" s="151"/>
      <c r="AK551" s="151"/>
      <c r="AL551" s="151"/>
      <c r="AM551" s="151"/>
      <c r="AN551" s="151"/>
      <c r="AO551" s="151"/>
      <c r="AP551" s="151"/>
      <c r="AQ551" s="151"/>
      <c r="AR551" s="151"/>
      <c r="AS551" s="151"/>
      <c r="AT551" s="151"/>
      <c r="AU551" s="151"/>
      <c r="AV551" s="151"/>
      <c r="AW551" s="151"/>
      <c r="AX551" s="151"/>
      <c r="AY551" s="151"/>
      <c r="AZ551" s="151"/>
      <c r="BA551" s="151"/>
      <c r="BB551" s="151"/>
      <c r="BC551" s="151"/>
      <c r="BD551" s="151"/>
      <c r="BE551" s="151"/>
      <c r="BF551" s="151"/>
      <c r="BG551" s="151"/>
      <c r="BH551" s="151"/>
      <c r="BI551" s="151"/>
      <c r="BJ551" s="151"/>
      <c r="BK551" s="151"/>
      <c r="BL551" s="151"/>
      <c r="BM551" s="151"/>
      <c r="BN551" s="151"/>
    </row>
    <row r="552" spans="25:66">
      <c r="Y552" s="151"/>
      <c r="Z552" s="151"/>
      <c r="AA552" s="151"/>
      <c r="AB552" s="151"/>
      <c r="AC552" s="151"/>
      <c r="AD552" s="151"/>
      <c r="AE552" s="151"/>
      <c r="AF552" s="151"/>
      <c r="AG552" s="151"/>
      <c r="AH552" s="151"/>
      <c r="AI552" s="151"/>
      <c r="AJ552" s="151"/>
      <c r="AK552" s="151"/>
      <c r="AL552" s="151"/>
      <c r="AM552" s="151"/>
      <c r="AN552" s="151"/>
      <c r="AO552" s="151"/>
      <c r="AP552" s="151"/>
      <c r="AQ552" s="151"/>
      <c r="AR552" s="151"/>
      <c r="AS552" s="151"/>
      <c r="AT552" s="151"/>
      <c r="AU552" s="151"/>
      <c r="AV552" s="151"/>
      <c r="AW552" s="151"/>
      <c r="AX552" s="151"/>
      <c r="AY552" s="151"/>
      <c r="AZ552" s="151"/>
      <c r="BA552" s="151"/>
      <c r="BB552" s="151"/>
      <c r="BC552" s="151"/>
      <c r="BD552" s="151"/>
      <c r="BE552" s="151"/>
      <c r="BF552" s="151"/>
      <c r="BG552" s="151"/>
      <c r="BH552" s="151"/>
      <c r="BI552" s="151"/>
      <c r="BJ552" s="151"/>
      <c r="BK552" s="151"/>
      <c r="BL552" s="151"/>
      <c r="BM552" s="151"/>
      <c r="BN552" s="151"/>
    </row>
    <row r="553" spans="25:66">
      <c r="Y553" s="151"/>
      <c r="Z553" s="151"/>
      <c r="AA553" s="151"/>
      <c r="AB553" s="151"/>
      <c r="AC553" s="151"/>
      <c r="AD553" s="151"/>
      <c r="AE553" s="151"/>
      <c r="AF553" s="151"/>
      <c r="AG553" s="151"/>
      <c r="AH553" s="151"/>
      <c r="AI553" s="151"/>
      <c r="AJ553" s="151"/>
      <c r="AK553" s="151"/>
      <c r="AL553" s="151"/>
      <c r="AM553" s="151"/>
      <c r="AN553" s="151"/>
      <c r="AO553" s="151"/>
      <c r="AP553" s="151"/>
      <c r="AQ553" s="151"/>
      <c r="AR553" s="151"/>
      <c r="AS553" s="151"/>
      <c r="AT553" s="151"/>
      <c r="AU553" s="151"/>
      <c r="AV553" s="151"/>
      <c r="AW553" s="151"/>
      <c r="AX553" s="151"/>
      <c r="AY553" s="151"/>
      <c r="AZ553" s="151"/>
      <c r="BA553" s="151"/>
      <c r="BB553" s="151"/>
      <c r="BC553" s="151"/>
      <c r="BD553" s="151"/>
      <c r="BE553" s="151"/>
      <c r="BF553" s="151"/>
      <c r="BG553" s="151"/>
      <c r="BH553" s="151"/>
      <c r="BI553" s="151"/>
      <c r="BJ553" s="151"/>
      <c r="BK553" s="151"/>
      <c r="BL553" s="151"/>
      <c r="BM553" s="151"/>
      <c r="BN553" s="151"/>
    </row>
    <row r="554" spans="25:66">
      <c r="Y554" s="151"/>
      <c r="Z554" s="151"/>
      <c r="AA554" s="151"/>
      <c r="AB554" s="151"/>
      <c r="AC554" s="151"/>
      <c r="AD554" s="151"/>
      <c r="AE554" s="151"/>
      <c r="AF554" s="151"/>
      <c r="AG554" s="151"/>
      <c r="AH554" s="151"/>
      <c r="AI554" s="151"/>
      <c r="AJ554" s="151"/>
      <c r="AK554" s="151"/>
      <c r="AL554" s="151"/>
      <c r="AM554" s="151"/>
      <c r="AN554" s="151"/>
      <c r="AO554" s="151"/>
      <c r="AP554" s="151"/>
      <c r="AQ554" s="151"/>
      <c r="AR554" s="151"/>
      <c r="AS554" s="151"/>
      <c r="AT554" s="151"/>
      <c r="AU554" s="151"/>
      <c r="AV554" s="151"/>
      <c r="AW554" s="151"/>
      <c r="AX554" s="151"/>
      <c r="AY554" s="151"/>
      <c r="AZ554" s="151"/>
      <c r="BA554" s="151"/>
      <c r="BB554" s="151"/>
      <c r="BC554" s="151"/>
      <c r="BD554" s="151"/>
      <c r="BE554" s="151"/>
      <c r="BF554" s="151"/>
      <c r="BG554" s="151"/>
      <c r="BH554" s="151"/>
      <c r="BI554" s="151"/>
      <c r="BJ554" s="151"/>
      <c r="BK554" s="151"/>
      <c r="BL554" s="151"/>
      <c r="BM554" s="151"/>
      <c r="BN554" s="151"/>
    </row>
    <row r="555" spans="25:66">
      <c r="Y555" s="151"/>
      <c r="Z555" s="151"/>
      <c r="AA555" s="151"/>
      <c r="AB555" s="151"/>
      <c r="AC555" s="151"/>
      <c r="AD555" s="151"/>
      <c r="AE555" s="151"/>
      <c r="AF555" s="151"/>
      <c r="AG555" s="151"/>
      <c r="AH555" s="151"/>
      <c r="AI555" s="151"/>
      <c r="AJ555" s="151"/>
      <c r="AK555" s="151"/>
      <c r="AL555" s="151"/>
      <c r="AM555" s="151"/>
      <c r="AN555" s="151"/>
      <c r="AO555" s="151"/>
      <c r="AP555" s="151"/>
      <c r="AQ555" s="151"/>
      <c r="AR555" s="151"/>
      <c r="AS555" s="151"/>
      <c r="AT555" s="151"/>
      <c r="AU555" s="151"/>
      <c r="AV555" s="151"/>
      <c r="AW555" s="151"/>
      <c r="AX555" s="151"/>
      <c r="AY555" s="151"/>
      <c r="AZ555" s="151"/>
      <c r="BA555" s="151"/>
      <c r="BB555" s="151"/>
      <c r="BC555" s="151"/>
      <c r="BD555" s="151"/>
      <c r="BE555" s="151"/>
      <c r="BF555" s="151"/>
      <c r="BG555" s="151"/>
      <c r="BH555" s="151"/>
      <c r="BI555" s="151"/>
      <c r="BJ555" s="151"/>
      <c r="BK555" s="151"/>
      <c r="BL555" s="151"/>
      <c r="BM555" s="151"/>
      <c r="BN555" s="151"/>
    </row>
    <row r="556" spans="25:66">
      <c r="Y556" s="151"/>
      <c r="Z556" s="151"/>
      <c r="AA556" s="151"/>
      <c r="AB556" s="151"/>
      <c r="AC556" s="151"/>
      <c r="AD556" s="151"/>
      <c r="AE556" s="151"/>
      <c r="AF556" s="151"/>
      <c r="AG556" s="151"/>
      <c r="AH556" s="151"/>
      <c r="AI556" s="151"/>
      <c r="AJ556" s="151"/>
      <c r="AK556" s="151"/>
      <c r="AL556" s="151"/>
      <c r="AM556" s="151"/>
      <c r="AN556" s="151"/>
      <c r="AO556" s="151"/>
      <c r="AP556" s="151"/>
      <c r="AQ556" s="151"/>
      <c r="AR556" s="151"/>
      <c r="AS556" s="151"/>
      <c r="AT556" s="151"/>
      <c r="AU556" s="151"/>
      <c r="AV556" s="151"/>
      <c r="AW556" s="151"/>
      <c r="AX556" s="151"/>
      <c r="AY556" s="151"/>
      <c r="AZ556" s="151"/>
      <c r="BA556" s="151"/>
      <c r="BB556" s="151"/>
      <c r="BC556" s="151"/>
      <c r="BD556" s="151"/>
      <c r="BE556" s="151"/>
      <c r="BF556" s="151"/>
      <c r="BG556" s="151"/>
      <c r="BH556" s="151"/>
      <c r="BI556" s="151"/>
      <c r="BJ556" s="151"/>
      <c r="BK556" s="151"/>
      <c r="BL556" s="151"/>
      <c r="BM556" s="151"/>
      <c r="BN556" s="151"/>
    </row>
    <row r="557" spans="25:66">
      <c r="Y557" s="151"/>
      <c r="Z557" s="151"/>
      <c r="AA557" s="151"/>
      <c r="AB557" s="151"/>
      <c r="AC557" s="151"/>
      <c r="AD557" s="151"/>
      <c r="AE557" s="151"/>
      <c r="AF557" s="151"/>
      <c r="AG557" s="151"/>
      <c r="AH557" s="151"/>
      <c r="AI557" s="151"/>
      <c r="AJ557" s="151"/>
      <c r="AK557" s="151"/>
      <c r="AL557" s="151"/>
      <c r="AM557" s="151"/>
      <c r="AN557" s="151"/>
      <c r="AO557" s="151"/>
      <c r="AP557" s="151"/>
      <c r="AQ557" s="151"/>
      <c r="AR557" s="151"/>
      <c r="AS557" s="151"/>
      <c r="AT557" s="151"/>
      <c r="AU557" s="151"/>
      <c r="AV557" s="151"/>
      <c r="AW557" s="151"/>
      <c r="AX557" s="151"/>
      <c r="AY557" s="151"/>
      <c r="AZ557" s="151"/>
      <c r="BA557" s="151"/>
      <c r="BB557" s="151"/>
      <c r="BC557" s="151"/>
      <c r="BD557" s="151"/>
      <c r="BE557" s="151"/>
      <c r="BF557" s="151"/>
      <c r="BG557" s="151"/>
      <c r="BH557" s="151"/>
      <c r="BI557" s="151"/>
      <c r="BJ557" s="151"/>
      <c r="BK557" s="151"/>
      <c r="BL557" s="151"/>
      <c r="BM557" s="151"/>
      <c r="BN557" s="151"/>
    </row>
    <row r="558" spans="25:66">
      <c r="Y558" s="151"/>
      <c r="Z558" s="151"/>
      <c r="AA558" s="151"/>
      <c r="AB558" s="151"/>
      <c r="AC558" s="151"/>
      <c r="AD558" s="151"/>
      <c r="AE558" s="151"/>
      <c r="AF558" s="151"/>
      <c r="AG558" s="151"/>
      <c r="AH558" s="151"/>
      <c r="AI558" s="151"/>
      <c r="AJ558" s="151"/>
      <c r="AK558" s="151"/>
      <c r="AL558" s="151"/>
      <c r="AM558" s="151"/>
      <c r="AN558" s="151"/>
      <c r="AO558" s="151"/>
      <c r="AP558" s="151"/>
      <c r="AQ558" s="151"/>
      <c r="AR558" s="151"/>
      <c r="AS558" s="151"/>
      <c r="AT558" s="151"/>
      <c r="AU558" s="151"/>
      <c r="AV558" s="151"/>
      <c r="AW558" s="151"/>
      <c r="AX558" s="151"/>
      <c r="AY558" s="151"/>
      <c r="AZ558" s="151"/>
      <c r="BA558" s="151"/>
      <c r="BB558" s="151"/>
      <c r="BC558" s="151"/>
      <c r="BD558" s="151"/>
      <c r="BE558" s="151"/>
      <c r="BF558" s="151"/>
      <c r="BG558" s="151"/>
      <c r="BH558" s="151"/>
      <c r="BI558" s="151"/>
      <c r="BJ558" s="151"/>
      <c r="BK558" s="151"/>
      <c r="BL558" s="151"/>
      <c r="BM558" s="151"/>
      <c r="BN558" s="151"/>
    </row>
    <row r="559" spans="25:66">
      <c r="Y559" s="151"/>
      <c r="Z559" s="151"/>
      <c r="AA559" s="151"/>
      <c r="AB559" s="151"/>
      <c r="AC559" s="151"/>
      <c r="AD559" s="151"/>
      <c r="AE559" s="151"/>
      <c r="AF559" s="151"/>
      <c r="AG559" s="151"/>
      <c r="AH559" s="151"/>
      <c r="AI559" s="151"/>
      <c r="AJ559" s="151"/>
      <c r="AK559" s="151"/>
      <c r="AL559" s="151"/>
      <c r="AM559" s="151"/>
      <c r="AN559" s="151"/>
      <c r="AO559" s="151"/>
      <c r="AP559" s="151"/>
      <c r="AQ559" s="151"/>
      <c r="AR559" s="151"/>
      <c r="AS559" s="151"/>
      <c r="AT559" s="151"/>
      <c r="AU559" s="151"/>
      <c r="AV559" s="151"/>
      <c r="AW559" s="151"/>
      <c r="AX559" s="151"/>
      <c r="AY559" s="151"/>
      <c r="AZ559" s="151"/>
      <c r="BA559" s="151"/>
      <c r="BB559" s="151"/>
      <c r="BC559" s="151"/>
      <c r="BD559" s="151"/>
      <c r="BE559" s="151"/>
      <c r="BF559" s="151"/>
      <c r="BG559" s="151"/>
      <c r="BH559" s="151"/>
      <c r="BI559" s="151"/>
      <c r="BJ559" s="151"/>
      <c r="BK559" s="151"/>
      <c r="BL559" s="151"/>
      <c r="BM559" s="151"/>
      <c r="BN559" s="151"/>
    </row>
    <row r="560" spans="25:66">
      <c r="Y560" s="151"/>
      <c r="Z560" s="151"/>
      <c r="AA560" s="151"/>
      <c r="AB560" s="151"/>
      <c r="AC560" s="151"/>
      <c r="AD560" s="151"/>
      <c r="AE560" s="151"/>
      <c r="AF560" s="151"/>
      <c r="AG560" s="151"/>
      <c r="AH560" s="151"/>
      <c r="AI560" s="151"/>
      <c r="AJ560" s="151"/>
      <c r="AK560" s="151"/>
      <c r="AL560" s="151"/>
      <c r="AM560" s="151"/>
      <c r="AN560" s="151"/>
      <c r="AO560" s="151"/>
      <c r="AP560" s="151"/>
      <c r="AQ560" s="151"/>
      <c r="AR560" s="151"/>
      <c r="AS560" s="151"/>
      <c r="AT560" s="151"/>
      <c r="AU560" s="151"/>
      <c r="AV560" s="151"/>
      <c r="AW560" s="151"/>
      <c r="AX560" s="151"/>
      <c r="AY560" s="151"/>
      <c r="AZ560" s="151"/>
      <c r="BA560" s="151"/>
      <c r="BB560" s="151"/>
      <c r="BC560" s="151"/>
      <c r="BD560" s="151"/>
      <c r="BE560" s="151"/>
      <c r="BF560" s="151"/>
      <c r="BG560" s="151"/>
      <c r="BH560" s="151"/>
      <c r="BI560" s="151"/>
      <c r="BJ560" s="151"/>
      <c r="BK560" s="151"/>
      <c r="BL560" s="151"/>
      <c r="BM560" s="151"/>
      <c r="BN560" s="151"/>
    </row>
    <row r="561" spans="25:66">
      <c r="Y561" s="151"/>
      <c r="Z561" s="151"/>
      <c r="AA561" s="151"/>
      <c r="AB561" s="151"/>
      <c r="AC561" s="151"/>
      <c r="AD561" s="151"/>
      <c r="AE561" s="151"/>
      <c r="AF561" s="151"/>
      <c r="AG561" s="151"/>
      <c r="AH561" s="151"/>
      <c r="AI561" s="151"/>
      <c r="AJ561" s="151"/>
      <c r="AK561" s="151"/>
      <c r="AL561" s="151"/>
      <c r="AM561" s="151"/>
      <c r="AN561" s="151"/>
      <c r="AO561" s="151"/>
      <c r="AP561" s="151"/>
      <c r="AQ561" s="151"/>
      <c r="AR561" s="151"/>
      <c r="AS561" s="151"/>
      <c r="AT561" s="151"/>
      <c r="AU561" s="151"/>
      <c r="AV561" s="151"/>
      <c r="AW561" s="151"/>
      <c r="AX561" s="151"/>
      <c r="AY561" s="151"/>
      <c r="AZ561" s="151"/>
      <c r="BA561" s="151"/>
      <c r="BB561" s="151"/>
      <c r="BC561" s="151"/>
      <c r="BD561" s="151"/>
      <c r="BE561" s="151"/>
      <c r="BF561" s="151"/>
      <c r="BG561" s="151"/>
      <c r="BH561" s="151"/>
      <c r="BI561" s="151"/>
      <c r="BJ561" s="151"/>
      <c r="BK561" s="151"/>
      <c r="BL561" s="151"/>
      <c r="BM561" s="151"/>
      <c r="BN561" s="151"/>
    </row>
    <row r="562" spans="25:66">
      <c r="Y562" s="151"/>
      <c r="Z562" s="151"/>
      <c r="AA562" s="151"/>
      <c r="AB562" s="151"/>
      <c r="AC562" s="151"/>
      <c r="AD562" s="151"/>
      <c r="AE562" s="151"/>
      <c r="AF562" s="151"/>
      <c r="AG562" s="151"/>
      <c r="AH562" s="151"/>
      <c r="AI562" s="151"/>
      <c r="AJ562" s="151"/>
      <c r="AK562" s="151"/>
      <c r="AL562" s="151"/>
      <c r="AM562" s="151"/>
      <c r="AN562" s="151"/>
      <c r="AO562" s="151"/>
      <c r="AP562" s="151"/>
      <c r="AQ562" s="151"/>
      <c r="AR562" s="151"/>
      <c r="AS562" s="151"/>
      <c r="AT562" s="151"/>
      <c r="AU562" s="151"/>
      <c r="AV562" s="151"/>
      <c r="AW562" s="151"/>
      <c r="AX562" s="151"/>
      <c r="AY562" s="151"/>
      <c r="AZ562" s="151"/>
      <c r="BA562" s="151"/>
      <c r="BB562" s="151"/>
      <c r="BC562" s="151"/>
      <c r="BD562" s="151"/>
      <c r="BE562" s="151"/>
      <c r="BF562" s="151"/>
      <c r="BG562" s="151"/>
      <c r="BH562" s="151"/>
      <c r="BI562" s="151"/>
      <c r="BJ562" s="151"/>
      <c r="BK562" s="151"/>
      <c r="BL562" s="151"/>
      <c r="BM562" s="151"/>
      <c r="BN562" s="151"/>
    </row>
    <row r="563" spans="25:66">
      <c r="Y563" s="151"/>
      <c r="Z563" s="151"/>
      <c r="AA563" s="151"/>
      <c r="AB563" s="151"/>
      <c r="AC563" s="151"/>
      <c r="AD563" s="151"/>
      <c r="AE563" s="151"/>
      <c r="AF563" s="151"/>
      <c r="AG563" s="151"/>
      <c r="AH563" s="151"/>
      <c r="AI563" s="151"/>
      <c r="AJ563" s="151"/>
      <c r="AK563" s="151"/>
      <c r="AL563" s="151"/>
      <c r="AM563" s="151"/>
      <c r="AN563" s="151"/>
      <c r="AO563" s="151"/>
      <c r="AP563" s="151"/>
      <c r="AQ563" s="151"/>
      <c r="AR563" s="151"/>
      <c r="AS563" s="151"/>
      <c r="AT563" s="151"/>
      <c r="AU563" s="151"/>
      <c r="AV563" s="151"/>
      <c r="AW563" s="151"/>
      <c r="AX563" s="151"/>
      <c r="AY563" s="151"/>
      <c r="AZ563" s="151"/>
      <c r="BA563" s="151"/>
      <c r="BB563" s="151"/>
      <c r="BC563" s="151"/>
      <c r="BD563" s="151"/>
      <c r="BE563" s="151"/>
      <c r="BF563" s="151"/>
      <c r="BG563" s="151"/>
      <c r="BH563" s="151"/>
      <c r="BI563" s="151"/>
      <c r="BJ563" s="151"/>
      <c r="BK563" s="151"/>
      <c r="BL563" s="151"/>
      <c r="BM563" s="151"/>
      <c r="BN563" s="151"/>
    </row>
    <row r="564" spans="25:66">
      <c r="Y564" s="151"/>
      <c r="Z564" s="151"/>
      <c r="AA564" s="151"/>
      <c r="AB564" s="151"/>
      <c r="AC564" s="151"/>
      <c r="AD564" s="151"/>
      <c r="AE564" s="151"/>
      <c r="AF564" s="151"/>
      <c r="AG564" s="151"/>
      <c r="AH564" s="151"/>
      <c r="AI564" s="151"/>
      <c r="AJ564" s="151"/>
      <c r="AK564" s="151"/>
      <c r="AL564" s="151"/>
      <c r="AM564" s="151"/>
      <c r="AN564" s="151"/>
      <c r="AO564" s="151"/>
      <c r="AP564" s="151"/>
      <c r="AQ564" s="151"/>
      <c r="AR564" s="151"/>
      <c r="AS564" s="151"/>
      <c r="AT564" s="151"/>
      <c r="AU564" s="151"/>
      <c r="AV564" s="151"/>
      <c r="AW564" s="151"/>
      <c r="AX564" s="151"/>
      <c r="AY564" s="151"/>
      <c r="AZ564" s="151"/>
      <c r="BA564" s="151"/>
      <c r="BB564" s="151"/>
      <c r="BC564" s="151"/>
      <c r="BD564" s="151"/>
      <c r="BE564" s="151"/>
      <c r="BF564" s="151"/>
      <c r="BG564" s="151"/>
      <c r="BH564" s="151"/>
      <c r="BI564" s="151"/>
      <c r="BJ564" s="151"/>
      <c r="BK564" s="151"/>
      <c r="BL564" s="151"/>
      <c r="BM564" s="151"/>
      <c r="BN564" s="151"/>
    </row>
    <row r="565" spans="25:66">
      <c r="Y565" s="151"/>
      <c r="Z565" s="151"/>
      <c r="AA565" s="151"/>
      <c r="AB565" s="151"/>
      <c r="AC565" s="151"/>
      <c r="AD565" s="151"/>
      <c r="AE565" s="151"/>
      <c r="AF565" s="151"/>
      <c r="AG565" s="151"/>
      <c r="AH565" s="151"/>
      <c r="AI565" s="151"/>
      <c r="AJ565" s="151"/>
      <c r="AK565" s="151"/>
      <c r="AL565" s="151"/>
      <c r="AM565" s="151"/>
      <c r="AN565" s="151"/>
      <c r="AO565" s="151"/>
      <c r="AP565" s="151"/>
      <c r="AQ565" s="151"/>
      <c r="AR565" s="151"/>
      <c r="AS565" s="151"/>
      <c r="AT565" s="151"/>
      <c r="AU565" s="151"/>
      <c r="AV565" s="151"/>
      <c r="AW565" s="151"/>
      <c r="AX565" s="151"/>
      <c r="AY565" s="151"/>
      <c r="AZ565" s="151"/>
      <c r="BA565" s="151"/>
      <c r="BB565" s="151"/>
      <c r="BC565" s="151"/>
      <c r="BD565" s="151"/>
      <c r="BE565" s="151"/>
      <c r="BF565" s="151"/>
      <c r="BG565" s="151"/>
      <c r="BH565" s="151"/>
      <c r="BI565" s="151"/>
      <c r="BJ565" s="151"/>
      <c r="BK565" s="151"/>
      <c r="BL565" s="151"/>
      <c r="BM565" s="151"/>
      <c r="BN565" s="151"/>
    </row>
    <row r="566" spans="25:66">
      <c r="Y566" s="151"/>
      <c r="Z566" s="151"/>
      <c r="AA566" s="151"/>
      <c r="AB566" s="151"/>
      <c r="AC566" s="151"/>
      <c r="AD566" s="151"/>
      <c r="AE566" s="151"/>
      <c r="AF566" s="151"/>
      <c r="AG566" s="151"/>
      <c r="AH566" s="151"/>
      <c r="AI566" s="151"/>
      <c r="AJ566" s="151"/>
      <c r="AK566" s="151"/>
      <c r="AL566" s="151"/>
      <c r="AM566" s="151"/>
      <c r="AN566" s="151"/>
      <c r="AO566" s="151"/>
      <c r="AP566" s="151"/>
      <c r="AQ566" s="151"/>
      <c r="AR566" s="151"/>
      <c r="AS566" s="151"/>
      <c r="AT566" s="151"/>
      <c r="AU566" s="151"/>
      <c r="AV566" s="151"/>
      <c r="AW566" s="151"/>
      <c r="AX566" s="151"/>
      <c r="AY566" s="151"/>
      <c r="AZ566" s="151"/>
      <c r="BA566" s="151"/>
      <c r="BB566" s="151"/>
      <c r="BC566" s="151"/>
      <c r="BD566" s="151"/>
      <c r="BE566" s="151"/>
      <c r="BF566" s="151"/>
      <c r="BG566" s="151"/>
      <c r="BH566" s="151"/>
      <c r="BI566" s="151"/>
      <c r="BJ566" s="151"/>
      <c r="BK566" s="151"/>
      <c r="BL566" s="151"/>
      <c r="BM566" s="151"/>
      <c r="BN566" s="151"/>
    </row>
    <row r="567" spans="25:66">
      <c r="Y567" s="151"/>
      <c r="Z567" s="151"/>
      <c r="AA567" s="151"/>
      <c r="AB567" s="151"/>
      <c r="AC567" s="151"/>
      <c r="AD567" s="151"/>
      <c r="AE567" s="151"/>
      <c r="AF567" s="151"/>
      <c r="AG567" s="151"/>
      <c r="AH567" s="151"/>
      <c r="AI567" s="151"/>
      <c r="AJ567" s="151"/>
      <c r="AK567" s="151"/>
      <c r="AL567" s="151"/>
      <c r="AM567" s="151"/>
      <c r="AN567" s="151"/>
      <c r="AO567" s="151"/>
      <c r="AP567" s="151"/>
      <c r="AQ567" s="151"/>
      <c r="AR567" s="151"/>
      <c r="AS567" s="151"/>
      <c r="AT567" s="151"/>
      <c r="AU567" s="151"/>
      <c r="AV567" s="151"/>
      <c r="AW567" s="151"/>
      <c r="AX567" s="151"/>
      <c r="AY567" s="151"/>
      <c r="AZ567" s="151"/>
      <c r="BA567" s="151"/>
      <c r="BB567" s="151"/>
      <c r="BC567" s="151"/>
      <c r="BD567" s="151"/>
      <c r="BE567" s="151"/>
      <c r="BF567" s="151"/>
      <c r="BG567" s="151"/>
      <c r="BH567" s="151"/>
      <c r="BI567" s="151"/>
      <c r="BJ567" s="151"/>
      <c r="BK567" s="151"/>
      <c r="BL567" s="151"/>
      <c r="BM567" s="151"/>
      <c r="BN567" s="151"/>
    </row>
    <row r="568" spans="25:66">
      <c r="Y568" s="151"/>
      <c r="Z568" s="151"/>
      <c r="AA568" s="151"/>
      <c r="AB568" s="151"/>
      <c r="AC568" s="151"/>
      <c r="AD568" s="151"/>
      <c r="AE568" s="151"/>
      <c r="AF568" s="151"/>
      <c r="AG568" s="151"/>
      <c r="AH568" s="151"/>
      <c r="AI568" s="151"/>
      <c r="AJ568" s="151"/>
      <c r="AK568" s="151"/>
      <c r="AL568" s="151"/>
      <c r="AM568" s="151"/>
      <c r="AN568" s="151"/>
      <c r="AO568" s="151"/>
      <c r="AP568" s="151"/>
      <c r="AQ568" s="151"/>
      <c r="AR568" s="151"/>
      <c r="AS568" s="151"/>
      <c r="AT568" s="151"/>
      <c r="AU568" s="151"/>
      <c r="AV568" s="151"/>
      <c r="AW568" s="151"/>
      <c r="AX568" s="151"/>
      <c r="AY568" s="151"/>
      <c r="AZ568" s="151"/>
      <c r="BA568" s="151"/>
      <c r="BB568" s="151"/>
      <c r="BC568" s="151"/>
      <c r="BD568" s="151"/>
      <c r="BE568" s="151"/>
      <c r="BF568" s="151"/>
      <c r="BG568" s="151"/>
      <c r="BH568" s="151"/>
      <c r="BI568" s="151"/>
      <c r="BJ568" s="151"/>
      <c r="BK568" s="151"/>
      <c r="BL568" s="151"/>
      <c r="BM568" s="151"/>
      <c r="BN568" s="151"/>
    </row>
    <row r="569" spans="25:66">
      <c r="Y569" s="151"/>
      <c r="Z569" s="151"/>
      <c r="AA569" s="151"/>
      <c r="AB569" s="151"/>
      <c r="AC569" s="151"/>
      <c r="AD569" s="151"/>
      <c r="AE569" s="151"/>
      <c r="AF569" s="151"/>
      <c r="AG569" s="151"/>
      <c r="AH569" s="151"/>
      <c r="AI569" s="151"/>
      <c r="AJ569" s="151"/>
      <c r="AK569" s="151"/>
      <c r="AL569" s="151"/>
      <c r="AM569" s="151"/>
      <c r="AN569" s="151"/>
      <c r="AO569" s="151"/>
      <c r="AP569" s="151"/>
      <c r="AQ569" s="151"/>
      <c r="AR569" s="151"/>
      <c r="AS569" s="151"/>
      <c r="AT569" s="151"/>
      <c r="AU569" s="151"/>
      <c r="AV569" s="151"/>
      <c r="AW569" s="151"/>
      <c r="AX569" s="151"/>
      <c r="AY569" s="151"/>
      <c r="AZ569" s="151"/>
      <c r="BA569" s="151"/>
      <c r="BB569" s="151"/>
      <c r="BC569" s="151"/>
      <c r="BD569" s="151"/>
      <c r="BE569" s="151"/>
      <c r="BF569" s="151"/>
      <c r="BG569" s="151"/>
      <c r="BH569" s="151"/>
      <c r="BI569" s="151"/>
      <c r="BJ569" s="151"/>
      <c r="BK569" s="151"/>
      <c r="BL569" s="151"/>
      <c r="BM569" s="151"/>
      <c r="BN569" s="151"/>
    </row>
    <row r="570" spans="25:66">
      <c r="Y570" s="151"/>
      <c r="Z570" s="151"/>
      <c r="AA570" s="151"/>
      <c r="AB570" s="151"/>
      <c r="AC570" s="151"/>
      <c r="AD570" s="151"/>
      <c r="AE570" s="151"/>
      <c r="AF570" s="151"/>
      <c r="AG570" s="151"/>
      <c r="AH570" s="151"/>
      <c r="AI570" s="151"/>
      <c r="AJ570" s="151"/>
      <c r="AK570" s="151"/>
      <c r="AL570" s="151"/>
      <c r="AM570" s="151"/>
      <c r="AN570" s="151"/>
      <c r="AO570" s="151"/>
      <c r="AP570" s="151"/>
      <c r="AQ570" s="151"/>
      <c r="AR570" s="151"/>
      <c r="AS570" s="151"/>
      <c r="AT570" s="151"/>
      <c r="AU570" s="151"/>
      <c r="AV570" s="151"/>
      <c r="AW570" s="151"/>
      <c r="AX570" s="151"/>
      <c r="AY570" s="151"/>
      <c r="AZ570" s="151"/>
      <c r="BA570" s="151"/>
      <c r="BB570" s="151"/>
      <c r="BC570" s="151"/>
      <c r="BD570" s="151"/>
      <c r="BE570" s="151"/>
      <c r="BF570" s="151"/>
      <c r="BG570" s="151"/>
      <c r="BH570" s="151"/>
      <c r="BI570" s="151"/>
      <c r="BJ570" s="151"/>
      <c r="BK570" s="151"/>
      <c r="BL570" s="151"/>
      <c r="BM570" s="151"/>
      <c r="BN570" s="151"/>
    </row>
    <row r="571" spans="25:66">
      <c r="Y571" s="151"/>
      <c r="Z571" s="151"/>
      <c r="AA571" s="151"/>
      <c r="AB571" s="151"/>
      <c r="AC571" s="151"/>
      <c r="AD571" s="151"/>
      <c r="AE571" s="151"/>
      <c r="AF571" s="151"/>
      <c r="AG571" s="151"/>
      <c r="AH571" s="151"/>
      <c r="AI571" s="151"/>
      <c r="AJ571" s="151"/>
      <c r="AK571" s="151"/>
      <c r="AL571" s="151"/>
      <c r="AM571" s="151"/>
      <c r="AN571" s="151"/>
      <c r="AO571" s="151"/>
      <c r="AP571" s="151"/>
      <c r="AQ571" s="151"/>
      <c r="AR571" s="151"/>
      <c r="AS571" s="151"/>
      <c r="AT571" s="151"/>
      <c r="AU571" s="151"/>
      <c r="AV571" s="151"/>
      <c r="AW571" s="151"/>
      <c r="AX571" s="151"/>
      <c r="AY571" s="151"/>
      <c r="AZ571" s="151"/>
      <c r="BA571" s="151"/>
      <c r="BB571" s="151"/>
      <c r="BC571" s="151"/>
      <c r="BD571" s="151"/>
      <c r="BE571" s="151"/>
      <c r="BF571" s="151"/>
      <c r="BG571" s="151"/>
      <c r="BH571" s="151"/>
      <c r="BI571" s="151"/>
      <c r="BJ571" s="151"/>
      <c r="BK571" s="151"/>
      <c r="BL571" s="151"/>
      <c r="BM571" s="151"/>
      <c r="BN571" s="151"/>
    </row>
    <row r="572" spans="25:66">
      <c r="Y572" s="151"/>
      <c r="Z572" s="151"/>
      <c r="AA572" s="151"/>
      <c r="AB572" s="151"/>
      <c r="AC572" s="151"/>
      <c r="AD572" s="151"/>
      <c r="AE572" s="151"/>
      <c r="AF572" s="151"/>
      <c r="AG572" s="151"/>
      <c r="AH572" s="151"/>
      <c r="AI572" s="151"/>
      <c r="AJ572" s="151"/>
      <c r="AK572" s="151"/>
      <c r="AL572" s="151"/>
      <c r="AM572" s="151"/>
      <c r="AN572" s="151"/>
      <c r="AO572" s="151"/>
      <c r="AP572" s="151"/>
      <c r="AQ572" s="151"/>
      <c r="AR572" s="151"/>
      <c r="AS572" s="151"/>
      <c r="AT572" s="151"/>
      <c r="AU572" s="151"/>
      <c r="AV572" s="151"/>
      <c r="AW572" s="151"/>
      <c r="AX572" s="151"/>
      <c r="AY572" s="151"/>
      <c r="AZ572" s="151"/>
      <c r="BA572" s="151"/>
      <c r="BB572" s="151"/>
      <c r="BC572" s="151"/>
      <c r="BD572" s="151"/>
      <c r="BE572" s="151"/>
      <c r="BF572" s="151"/>
      <c r="BG572" s="151"/>
      <c r="BH572" s="151"/>
      <c r="BI572" s="151"/>
      <c r="BJ572" s="151"/>
      <c r="BK572" s="151"/>
      <c r="BL572" s="151"/>
      <c r="BM572" s="151"/>
      <c r="BN572" s="151"/>
    </row>
    <row r="573" spans="25:66">
      <c r="Y573" s="151"/>
      <c r="Z573" s="151"/>
      <c r="AA573" s="151"/>
      <c r="AB573" s="151"/>
      <c r="AC573" s="151"/>
      <c r="AD573" s="151"/>
      <c r="AE573" s="151"/>
      <c r="AF573" s="151"/>
      <c r="AG573" s="151"/>
      <c r="AH573" s="151"/>
      <c r="AI573" s="151"/>
      <c r="AJ573" s="151"/>
      <c r="AK573" s="151"/>
      <c r="AL573" s="151"/>
      <c r="AM573" s="151"/>
      <c r="AN573" s="151"/>
      <c r="AO573" s="151"/>
      <c r="AP573" s="151"/>
      <c r="AQ573" s="151"/>
      <c r="AR573" s="151"/>
      <c r="AS573" s="151"/>
      <c r="AT573" s="151"/>
      <c r="AU573" s="151"/>
      <c r="AV573" s="151"/>
      <c r="AW573" s="151"/>
      <c r="AX573" s="151"/>
      <c r="AY573" s="151"/>
      <c r="AZ573" s="151"/>
      <c r="BA573" s="151"/>
      <c r="BB573" s="151"/>
      <c r="BC573" s="151"/>
      <c r="BD573" s="151"/>
      <c r="BE573" s="151"/>
      <c r="BF573" s="151"/>
      <c r="BG573" s="151"/>
      <c r="BH573" s="151"/>
      <c r="BI573" s="151"/>
      <c r="BJ573" s="151"/>
      <c r="BK573" s="151"/>
      <c r="BL573" s="151"/>
      <c r="BM573" s="151"/>
      <c r="BN573" s="151"/>
    </row>
    <row r="574" spans="25:66">
      <c r="Y574" s="151"/>
      <c r="Z574" s="151"/>
      <c r="AA574" s="151"/>
      <c r="AB574" s="151"/>
      <c r="AC574" s="151"/>
      <c r="AD574" s="151"/>
      <c r="AE574" s="151"/>
      <c r="AF574" s="151"/>
      <c r="AG574" s="151"/>
      <c r="AH574" s="151"/>
      <c r="AI574" s="151"/>
      <c r="AJ574" s="151"/>
      <c r="AK574" s="151"/>
      <c r="AL574" s="151"/>
      <c r="AM574" s="151"/>
      <c r="AN574" s="151"/>
      <c r="AO574" s="151"/>
      <c r="AP574" s="151"/>
      <c r="AQ574" s="151"/>
      <c r="AR574" s="151"/>
      <c r="AS574" s="151"/>
      <c r="AT574" s="151"/>
      <c r="AU574" s="151"/>
      <c r="AV574" s="151"/>
      <c r="AW574" s="151"/>
      <c r="AX574" s="151"/>
      <c r="AY574" s="151"/>
      <c r="AZ574" s="151"/>
      <c r="BA574" s="151"/>
      <c r="BB574" s="151"/>
      <c r="BC574" s="151"/>
      <c r="BD574" s="151"/>
      <c r="BE574" s="151"/>
      <c r="BF574" s="151"/>
      <c r="BG574" s="151"/>
      <c r="BH574" s="151"/>
      <c r="BI574" s="151"/>
      <c r="BJ574" s="151"/>
      <c r="BK574" s="151"/>
      <c r="BL574" s="151"/>
      <c r="BM574" s="151"/>
      <c r="BN574" s="151"/>
    </row>
    <row r="575" spans="25:66">
      <c r="Y575" s="151"/>
      <c r="Z575" s="151"/>
      <c r="AA575" s="151"/>
      <c r="AB575" s="151"/>
      <c r="AC575" s="151"/>
      <c r="AD575" s="151"/>
      <c r="AE575" s="151"/>
      <c r="AF575" s="151"/>
      <c r="AG575" s="151"/>
      <c r="AH575" s="151"/>
      <c r="AI575" s="151"/>
      <c r="AJ575" s="151"/>
      <c r="AK575" s="151"/>
      <c r="AL575" s="151"/>
      <c r="AM575" s="151"/>
      <c r="AN575" s="151"/>
      <c r="AO575" s="151"/>
      <c r="AP575" s="151"/>
      <c r="AQ575" s="151"/>
      <c r="AR575" s="151"/>
      <c r="AS575" s="151"/>
      <c r="AT575" s="151"/>
      <c r="AU575" s="151"/>
      <c r="AV575" s="151"/>
      <c r="AW575" s="151"/>
      <c r="AX575" s="151"/>
      <c r="AY575" s="151"/>
      <c r="AZ575" s="151"/>
      <c r="BA575" s="151"/>
      <c r="BB575" s="151"/>
      <c r="BC575" s="151"/>
      <c r="BD575" s="151"/>
      <c r="BE575" s="151"/>
      <c r="BF575" s="151"/>
      <c r="BG575" s="151"/>
      <c r="BH575" s="151"/>
      <c r="BI575" s="151"/>
      <c r="BJ575" s="151"/>
      <c r="BK575" s="151"/>
      <c r="BL575" s="151"/>
      <c r="BM575" s="151"/>
      <c r="BN575" s="151"/>
    </row>
    <row r="576" spans="25:66">
      <c r="Y576" s="151"/>
      <c r="Z576" s="151"/>
      <c r="AA576" s="151"/>
      <c r="AB576" s="151"/>
      <c r="AC576" s="151"/>
      <c r="AD576" s="151"/>
      <c r="AE576" s="151"/>
      <c r="AF576" s="151"/>
      <c r="AG576" s="151"/>
      <c r="AH576" s="151"/>
      <c r="AI576" s="151"/>
      <c r="AJ576" s="151"/>
      <c r="AK576" s="151"/>
      <c r="AL576" s="151"/>
      <c r="AM576" s="151"/>
      <c r="AN576" s="151"/>
      <c r="AO576" s="151"/>
      <c r="AP576" s="151"/>
      <c r="AQ576" s="151"/>
      <c r="AR576" s="151"/>
      <c r="AS576" s="151"/>
      <c r="AT576" s="151"/>
      <c r="AU576" s="151"/>
      <c r="AV576" s="151"/>
      <c r="AW576" s="151"/>
      <c r="AX576" s="151"/>
      <c r="AY576" s="151"/>
      <c r="AZ576" s="151"/>
      <c r="BA576" s="151"/>
      <c r="BB576" s="151"/>
      <c r="BC576" s="151"/>
      <c r="BD576" s="151"/>
      <c r="BE576" s="151"/>
      <c r="BF576" s="151"/>
      <c r="BG576" s="151"/>
      <c r="BH576" s="151"/>
      <c r="BI576" s="151"/>
      <c r="BJ576" s="151"/>
      <c r="BK576" s="151"/>
      <c r="BL576" s="151"/>
      <c r="BM576" s="151"/>
      <c r="BN576" s="151"/>
    </row>
    <row r="577" spans="25:66">
      <c r="Y577" s="151"/>
      <c r="Z577" s="151"/>
      <c r="AA577" s="151"/>
      <c r="AB577" s="151"/>
      <c r="AC577" s="151"/>
      <c r="AD577" s="151"/>
      <c r="AE577" s="151"/>
      <c r="AF577" s="151"/>
      <c r="AG577" s="151"/>
      <c r="AH577" s="151"/>
      <c r="AI577" s="151"/>
      <c r="AJ577" s="151"/>
      <c r="AK577" s="151"/>
      <c r="AL577" s="151"/>
      <c r="AM577" s="151"/>
      <c r="AN577" s="151"/>
      <c r="AO577" s="151"/>
      <c r="AP577" s="151"/>
      <c r="AQ577" s="151"/>
      <c r="AR577" s="151"/>
      <c r="AS577" s="151"/>
      <c r="AT577" s="151"/>
      <c r="AU577" s="151"/>
      <c r="AV577" s="151"/>
      <c r="AW577" s="151"/>
      <c r="AX577" s="151"/>
      <c r="AY577" s="151"/>
      <c r="AZ577" s="151"/>
      <c r="BA577" s="151"/>
      <c r="BB577" s="151"/>
      <c r="BC577" s="151"/>
      <c r="BD577" s="151"/>
      <c r="BE577" s="151"/>
      <c r="BF577" s="151"/>
      <c r="BG577" s="151"/>
      <c r="BH577" s="151"/>
      <c r="BI577" s="151"/>
      <c r="BJ577" s="151"/>
      <c r="BK577" s="151"/>
      <c r="BL577" s="151"/>
      <c r="BM577" s="151"/>
      <c r="BN577" s="151"/>
    </row>
    <row r="578" spans="25:66">
      <c r="Y578" s="151"/>
      <c r="Z578" s="151"/>
      <c r="AA578" s="151"/>
      <c r="AB578" s="151"/>
      <c r="AC578" s="151"/>
      <c r="AD578" s="151"/>
      <c r="AE578" s="151"/>
      <c r="AF578" s="151"/>
      <c r="AG578" s="151"/>
      <c r="AH578" s="151"/>
      <c r="AI578" s="151"/>
      <c r="AJ578" s="151"/>
      <c r="AK578" s="151"/>
      <c r="AL578" s="151"/>
      <c r="AM578" s="151"/>
      <c r="AN578" s="151"/>
      <c r="AO578" s="151"/>
      <c r="AP578" s="151"/>
      <c r="AQ578" s="151"/>
      <c r="AR578" s="151"/>
      <c r="AS578" s="151"/>
      <c r="AT578" s="151"/>
      <c r="AU578" s="151"/>
      <c r="AV578" s="151"/>
      <c r="AW578" s="151"/>
      <c r="AX578" s="151"/>
      <c r="AY578" s="151"/>
      <c r="AZ578" s="151"/>
      <c r="BA578" s="151"/>
      <c r="BB578" s="151"/>
      <c r="BC578" s="151"/>
      <c r="BD578" s="151"/>
      <c r="BE578" s="151"/>
      <c r="BF578" s="151"/>
      <c r="BG578" s="151"/>
      <c r="BH578" s="151"/>
      <c r="BI578" s="151"/>
      <c r="BJ578" s="151"/>
      <c r="BK578" s="151"/>
      <c r="BL578" s="151"/>
      <c r="BM578" s="151"/>
      <c r="BN578" s="151"/>
    </row>
    <row r="579" spans="25:66">
      <c r="Y579" s="151"/>
      <c r="Z579" s="151"/>
      <c r="AA579" s="151"/>
      <c r="AB579" s="151"/>
      <c r="AC579" s="151"/>
      <c r="AD579" s="151"/>
      <c r="AE579" s="151"/>
      <c r="AF579" s="151"/>
      <c r="AG579" s="151"/>
      <c r="AH579" s="151"/>
      <c r="AI579" s="151"/>
      <c r="AJ579" s="151"/>
      <c r="AK579" s="151"/>
      <c r="AL579" s="151"/>
      <c r="AM579" s="151"/>
      <c r="AN579" s="151"/>
      <c r="AO579" s="151"/>
      <c r="AP579" s="151"/>
      <c r="AQ579" s="151"/>
      <c r="AR579" s="151"/>
      <c r="AS579" s="151"/>
      <c r="AT579" s="151"/>
      <c r="AU579" s="151"/>
      <c r="AV579" s="151"/>
      <c r="AW579" s="151"/>
      <c r="AX579" s="151"/>
      <c r="AY579" s="151"/>
      <c r="AZ579" s="151"/>
      <c r="BA579" s="151"/>
      <c r="BB579" s="151"/>
      <c r="BC579" s="151"/>
      <c r="BD579" s="151"/>
      <c r="BE579" s="151"/>
      <c r="BF579" s="151"/>
      <c r="BG579" s="151"/>
      <c r="BH579" s="151"/>
      <c r="BI579" s="151"/>
      <c r="BJ579" s="151"/>
      <c r="BK579" s="151"/>
      <c r="BL579" s="151"/>
      <c r="BM579" s="151"/>
      <c r="BN579" s="151"/>
    </row>
    <row r="580" spans="25:66">
      <c r="Y580" s="151"/>
      <c r="Z580" s="151"/>
      <c r="AA580" s="151"/>
      <c r="AB580" s="151"/>
      <c r="AC580" s="151"/>
      <c r="AD580" s="151"/>
      <c r="AE580" s="151"/>
      <c r="AF580" s="151"/>
      <c r="AG580" s="151"/>
      <c r="AH580" s="151"/>
      <c r="AI580" s="151"/>
      <c r="AJ580" s="151"/>
      <c r="AK580" s="151"/>
      <c r="AL580" s="151"/>
      <c r="AM580" s="151"/>
      <c r="AN580" s="151"/>
      <c r="AO580" s="151"/>
      <c r="AP580" s="151"/>
      <c r="AQ580" s="151"/>
      <c r="AR580" s="151"/>
      <c r="AS580" s="151"/>
      <c r="AT580" s="151"/>
      <c r="AU580" s="151"/>
      <c r="AV580" s="151"/>
      <c r="AW580" s="151"/>
      <c r="AX580" s="151"/>
      <c r="AY580" s="151"/>
      <c r="AZ580" s="151"/>
      <c r="BA580" s="151"/>
      <c r="BB580" s="151"/>
      <c r="BC580" s="151"/>
      <c r="BD580" s="151"/>
      <c r="BE580" s="151"/>
      <c r="BF580" s="151"/>
      <c r="BG580" s="151"/>
      <c r="BH580" s="151"/>
      <c r="BI580" s="151"/>
      <c r="BJ580" s="151"/>
      <c r="BK580" s="151"/>
      <c r="BL580" s="151"/>
      <c r="BM580" s="151"/>
      <c r="BN580" s="151"/>
    </row>
    <row r="581" spans="25:66">
      <c r="Y581" s="151"/>
      <c r="Z581" s="151"/>
      <c r="AA581" s="151"/>
      <c r="AB581" s="151"/>
      <c r="AC581" s="151"/>
      <c r="AD581" s="151"/>
      <c r="AE581" s="151"/>
      <c r="AF581" s="151"/>
      <c r="AG581" s="151"/>
      <c r="AH581" s="151"/>
      <c r="AI581" s="151"/>
      <c r="AJ581" s="151"/>
      <c r="AK581" s="151"/>
      <c r="AL581" s="151"/>
      <c r="AM581" s="151"/>
      <c r="AN581" s="151"/>
      <c r="AO581" s="151"/>
      <c r="AP581" s="151"/>
      <c r="AQ581" s="151"/>
      <c r="AR581" s="151"/>
      <c r="AS581" s="151"/>
      <c r="AT581" s="151"/>
      <c r="AU581" s="151"/>
      <c r="AV581" s="151"/>
      <c r="AW581" s="151"/>
      <c r="AX581" s="151"/>
      <c r="AY581" s="151"/>
      <c r="AZ581" s="151"/>
      <c r="BA581" s="151"/>
      <c r="BB581" s="151"/>
      <c r="BC581" s="151"/>
      <c r="BD581" s="151"/>
      <c r="BE581" s="151"/>
      <c r="BF581" s="151"/>
      <c r="BG581" s="151"/>
      <c r="BH581" s="151"/>
      <c r="BI581" s="151"/>
      <c r="BJ581" s="151"/>
      <c r="BK581" s="151"/>
      <c r="BL581" s="151"/>
      <c r="BM581" s="151"/>
      <c r="BN581" s="151"/>
    </row>
    <row r="582" spans="25:66">
      <c r="Y582" s="151"/>
      <c r="Z582" s="151"/>
      <c r="AA582" s="151"/>
      <c r="AB582" s="151"/>
      <c r="AC582" s="151"/>
      <c r="AD582" s="151"/>
      <c r="AE582" s="151"/>
      <c r="AF582" s="151"/>
      <c r="AG582" s="151"/>
      <c r="AH582" s="151"/>
      <c r="AI582" s="151"/>
      <c r="AJ582" s="151"/>
      <c r="AK582" s="151"/>
      <c r="AL582" s="151"/>
      <c r="AM582" s="151"/>
      <c r="AN582" s="151"/>
      <c r="AO582" s="151"/>
      <c r="AP582" s="151"/>
      <c r="AQ582" s="151"/>
      <c r="AR582" s="151"/>
      <c r="AS582" s="151"/>
      <c r="AT582" s="151"/>
      <c r="AU582" s="151"/>
      <c r="AV582" s="151"/>
      <c r="AW582" s="151"/>
      <c r="AX582" s="151"/>
      <c r="AY582" s="151"/>
      <c r="AZ582" s="151"/>
      <c r="BA582" s="151"/>
      <c r="BB582" s="151"/>
      <c r="BC582" s="151"/>
      <c r="BD582" s="151"/>
      <c r="BE582" s="151"/>
      <c r="BF582" s="151"/>
      <c r="BG582" s="151"/>
      <c r="BH582" s="151"/>
      <c r="BI582" s="151"/>
      <c r="BJ582" s="151"/>
      <c r="BK582" s="151"/>
      <c r="BL582" s="151"/>
      <c r="BM582" s="151"/>
      <c r="BN582" s="151"/>
    </row>
    <row r="583" spans="25:66">
      <c r="Y583" s="151"/>
      <c r="Z583" s="151"/>
      <c r="AA583" s="151"/>
      <c r="AB583" s="151"/>
      <c r="AC583" s="151"/>
      <c r="AD583" s="151"/>
      <c r="AE583" s="151"/>
      <c r="AF583" s="151"/>
      <c r="AG583" s="151"/>
      <c r="AH583" s="151"/>
      <c r="AI583" s="151"/>
      <c r="AJ583" s="151"/>
      <c r="AK583" s="151"/>
      <c r="AL583" s="151"/>
      <c r="AM583" s="151"/>
      <c r="AN583" s="151"/>
      <c r="AO583" s="151"/>
      <c r="AP583" s="151"/>
      <c r="AQ583" s="151"/>
      <c r="AR583" s="151"/>
      <c r="AS583" s="151"/>
      <c r="AT583" s="151"/>
      <c r="AU583" s="151"/>
      <c r="AV583" s="151"/>
      <c r="AW583" s="151"/>
      <c r="AX583" s="151"/>
      <c r="AY583" s="151"/>
      <c r="AZ583" s="151"/>
      <c r="BA583" s="151"/>
      <c r="BB583" s="151"/>
      <c r="BC583" s="151"/>
      <c r="BD583" s="151"/>
      <c r="BE583" s="151"/>
      <c r="BF583" s="151"/>
      <c r="BG583" s="151"/>
      <c r="BH583" s="151"/>
      <c r="BI583" s="151"/>
      <c r="BJ583" s="151"/>
      <c r="BK583" s="151"/>
      <c r="BL583" s="151"/>
      <c r="BM583" s="151"/>
      <c r="BN583" s="151"/>
    </row>
    <row r="584" spans="25:66">
      <c r="Y584" s="151"/>
      <c r="Z584" s="151"/>
      <c r="AA584" s="151"/>
      <c r="AB584" s="151"/>
      <c r="AC584" s="151"/>
      <c r="AD584" s="151"/>
      <c r="AE584" s="151"/>
      <c r="AF584" s="151"/>
      <c r="AG584" s="151"/>
      <c r="AH584" s="151"/>
      <c r="AI584" s="151"/>
      <c r="AJ584" s="151"/>
      <c r="AK584" s="151"/>
      <c r="AL584" s="151"/>
      <c r="AM584" s="151"/>
      <c r="AN584" s="151"/>
      <c r="AO584" s="151"/>
      <c r="AP584" s="151"/>
      <c r="AQ584" s="151"/>
      <c r="AR584" s="151"/>
      <c r="AS584" s="151"/>
      <c r="AT584" s="151"/>
      <c r="AU584" s="151"/>
      <c r="AV584" s="151"/>
      <c r="AW584" s="151"/>
      <c r="AX584" s="151"/>
      <c r="AY584" s="151"/>
      <c r="AZ584" s="151"/>
      <c r="BA584" s="151"/>
      <c r="BB584" s="151"/>
      <c r="BC584" s="151"/>
      <c r="BD584" s="151"/>
      <c r="BE584" s="151"/>
      <c r="BF584" s="151"/>
      <c r="BG584" s="151"/>
      <c r="BH584" s="151"/>
      <c r="BI584" s="151"/>
      <c r="BJ584" s="151"/>
      <c r="BK584" s="151"/>
      <c r="BL584" s="151"/>
      <c r="BM584" s="151"/>
      <c r="BN584" s="151"/>
    </row>
    <row r="585" spans="25:66">
      <c r="Y585" s="151"/>
      <c r="Z585" s="151"/>
      <c r="AA585" s="151"/>
      <c r="AB585" s="151"/>
      <c r="AC585" s="151"/>
      <c r="AD585" s="151"/>
      <c r="AE585" s="151"/>
      <c r="AF585" s="151"/>
      <c r="AG585" s="151"/>
      <c r="AH585" s="151"/>
      <c r="AI585" s="151"/>
      <c r="AJ585" s="151"/>
      <c r="AK585" s="151"/>
      <c r="AL585" s="151"/>
      <c r="AM585" s="151"/>
      <c r="AN585" s="151"/>
      <c r="AO585" s="151"/>
      <c r="AP585" s="151"/>
      <c r="AQ585" s="151"/>
      <c r="AR585" s="151"/>
      <c r="AS585" s="151"/>
      <c r="AT585" s="151"/>
      <c r="AU585" s="151"/>
      <c r="AV585" s="151"/>
      <c r="AW585" s="151"/>
      <c r="AX585" s="151"/>
      <c r="AY585" s="151"/>
      <c r="AZ585" s="151"/>
      <c r="BA585" s="151"/>
      <c r="BB585" s="151"/>
      <c r="BC585" s="151"/>
      <c r="BD585" s="151"/>
      <c r="BE585" s="151"/>
      <c r="BF585" s="151"/>
      <c r="BG585" s="151"/>
      <c r="BH585" s="151"/>
      <c r="BI585" s="151"/>
      <c r="BJ585" s="151"/>
      <c r="BK585" s="151"/>
      <c r="BL585" s="151"/>
      <c r="BM585" s="151"/>
      <c r="BN585" s="151"/>
    </row>
    <row r="586" spans="25:66">
      <c r="Y586" s="151"/>
      <c r="Z586" s="151"/>
      <c r="AA586" s="151"/>
      <c r="AB586" s="151"/>
      <c r="AC586" s="151"/>
      <c r="AD586" s="151"/>
      <c r="AE586" s="151"/>
      <c r="AF586" s="151"/>
      <c r="AG586" s="151"/>
      <c r="AH586" s="151"/>
      <c r="AI586" s="151"/>
      <c r="AJ586" s="151"/>
      <c r="AK586" s="151"/>
      <c r="AL586" s="151"/>
      <c r="AM586" s="151"/>
      <c r="AN586" s="151"/>
      <c r="AO586" s="151"/>
      <c r="AP586" s="151"/>
      <c r="AQ586" s="151"/>
      <c r="AR586" s="151"/>
      <c r="AS586" s="151"/>
      <c r="AT586" s="151"/>
      <c r="AU586" s="151"/>
      <c r="AV586" s="151"/>
      <c r="AW586" s="151"/>
      <c r="AX586" s="151"/>
      <c r="AY586" s="151"/>
      <c r="AZ586" s="151"/>
      <c r="BA586" s="151"/>
      <c r="BB586" s="151"/>
      <c r="BC586" s="151"/>
      <c r="BD586" s="151"/>
      <c r="BE586" s="151"/>
      <c r="BF586" s="151"/>
      <c r="BG586" s="151"/>
      <c r="BH586" s="151"/>
      <c r="BI586" s="151"/>
      <c r="BJ586" s="151"/>
      <c r="BK586" s="151"/>
      <c r="BL586" s="151"/>
      <c r="BM586" s="151"/>
      <c r="BN586" s="151"/>
    </row>
    <row r="587" spans="25:66">
      <c r="Y587" s="151"/>
      <c r="Z587" s="151"/>
      <c r="AA587" s="151"/>
      <c r="AB587" s="151"/>
      <c r="AC587" s="151"/>
      <c r="AD587" s="151"/>
      <c r="AE587" s="151"/>
      <c r="AF587" s="151"/>
      <c r="AG587" s="151"/>
      <c r="AH587" s="151"/>
      <c r="AI587" s="151"/>
      <c r="AJ587" s="151"/>
      <c r="AK587" s="151"/>
      <c r="AL587" s="151"/>
      <c r="AM587" s="151"/>
      <c r="AN587" s="151"/>
      <c r="AO587" s="151"/>
      <c r="AP587" s="151"/>
      <c r="AQ587" s="151"/>
      <c r="AR587" s="151"/>
      <c r="AS587" s="151"/>
      <c r="AT587" s="151"/>
      <c r="AU587" s="151"/>
      <c r="AV587" s="151"/>
      <c r="AW587" s="151"/>
      <c r="AX587" s="151"/>
      <c r="AY587" s="151"/>
      <c r="AZ587" s="151"/>
      <c r="BA587" s="151"/>
      <c r="BB587" s="151"/>
      <c r="BC587" s="151"/>
      <c r="BD587" s="151"/>
      <c r="BE587" s="151"/>
      <c r="BF587" s="151"/>
      <c r="BG587" s="151"/>
      <c r="BH587" s="151"/>
      <c r="BI587" s="151"/>
      <c r="BJ587" s="151"/>
      <c r="BK587" s="151"/>
      <c r="BL587" s="151"/>
      <c r="BM587" s="151"/>
      <c r="BN587" s="151"/>
    </row>
    <row r="588" spans="25:66">
      <c r="Y588" s="151"/>
      <c r="Z588" s="151"/>
      <c r="AA588" s="151"/>
      <c r="AB588" s="151"/>
      <c r="AC588" s="151"/>
      <c r="AD588" s="151"/>
      <c r="AE588" s="151"/>
      <c r="AF588" s="151"/>
      <c r="AG588" s="151"/>
      <c r="AH588" s="151"/>
      <c r="AI588" s="151"/>
      <c r="AJ588" s="151"/>
      <c r="AK588" s="151"/>
      <c r="AL588" s="151"/>
      <c r="AM588" s="151"/>
      <c r="AN588" s="151"/>
      <c r="AO588" s="151"/>
      <c r="AP588" s="151"/>
      <c r="AQ588" s="151"/>
      <c r="AR588" s="151"/>
      <c r="AS588" s="151"/>
      <c r="AT588" s="151"/>
      <c r="AU588" s="151"/>
      <c r="AV588" s="151"/>
      <c r="AW588" s="151"/>
      <c r="AX588" s="151"/>
      <c r="AY588" s="151"/>
      <c r="AZ588" s="151"/>
      <c r="BA588" s="151"/>
      <c r="BB588" s="151"/>
      <c r="BC588" s="151"/>
      <c r="BD588" s="151"/>
      <c r="BE588" s="151"/>
      <c r="BF588" s="151"/>
      <c r="BG588" s="151"/>
      <c r="BH588" s="151"/>
      <c r="BI588" s="151"/>
      <c r="BJ588" s="151"/>
      <c r="BK588" s="151"/>
      <c r="BL588" s="151"/>
      <c r="BM588" s="151"/>
      <c r="BN588" s="151"/>
    </row>
    <row r="589" spans="25:66">
      <c r="Y589" s="151"/>
      <c r="Z589" s="151"/>
      <c r="AA589" s="151"/>
      <c r="AB589" s="151"/>
      <c r="AC589" s="151"/>
      <c r="AD589" s="151"/>
      <c r="AE589" s="151"/>
      <c r="AF589" s="151"/>
      <c r="AG589" s="151"/>
      <c r="AH589" s="151"/>
      <c r="AI589" s="151"/>
      <c r="AJ589" s="151"/>
      <c r="AK589" s="151"/>
      <c r="AL589" s="151"/>
      <c r="AM589" s="151"/>
      <c r="AN589" s="151"/>
      <c r="AO589" s="151"/>
      <c r="AP589" s="151"/>
      <c r="AQ589" s="151"/>
      <c r="AR589" s="151"/>
      <c r="AS589" s="151"/>
      <c r="AT589" s="151"/>
      <c r="AU589" s="151"/>
      <c r="AV589" s="151"/>
      <c r="AW589" s="151"/>
      <c r="AX589" s="151"/>
      <c r="AY589" s="151"/>
      <c r="AZ589" s="151"/>
      <c r="BA589" s="151"/>
      <c r="BB589" s="151"/>
      <c r="BC589" s="151"/>
      <c r="BD589" s="151"/>
      <c r="BE589" s="151"/>
      <c r="BF589" s="151"/>
      <c r="BG589" s="151"/>
      <c r="BH589" s="151"/>
      <c r="BI589" s="151"/>
      <c r="BJ589" s="151"/>
      <c r="BK589" s="151"/>
      <c r="BL589" s="151"/>
      <c r="BM589" s="151"/>
      <c r="BN589" s="151"/>
    </row>
    <row r="590" spans="25:66">
      <c r="Y590" s="151"/>
      <c r="Z590" s="151"/>
      <c r="AA590" s="151"/>
      <c r="AB590" s="151"/>
      <c r="AC590" s="151"/>
      <c r="AD590" s="151"/>
      <c r="AE590" s="151"/>
      <c r="AF590" s="151"/>
      <c r="AG590" s="151"/>
      <c r="AH590" s="151"/>
      <c r="AI590" s="151"/>
      <c r="AJ590" s="151"/>
      <c r="AK590" s="151"/>
      <c r="AL590" s="151"/>
      <c r="AM590" s="151"/>
      <c r="AN590" s="151"/>
      <c r="AO590" s="151"/>
      <c r="AP590" s="151"/>
      <c r="AQ590" s="151"/>
      <c r="AR590" s="151"/>
      <c r="AS590" s="151"/>
      <c r="AT590" s="151"/>
      <c r="AU590" s="151"/>
      <c r="AV590" s="151"/>
      <c r="AW590" s="151"/>
      <c r="AX590" s="151"/>
      <c r="AY590" s="151"/>
      <c r="AZ590" s="151"/>
      <c r="BA590" s="151"/>
      <c r="BB590" s="151"/>
      <c r="BC590" s="151"/>
      <c r="BD590" s="151"/>
      <c r="BE590" s="151"/>
      <c r="BF590" s="151"/>
      <c r="BG590" s="151"/>
      <c r="BH590" s="151"/>
      <c r="BI590" s="151"/>
      <c r="BJ590" s="151"/>
      <c r="BK590" s="151"/>
      <c r="BL590" s="151"/>
      <c r="BM590" s="151"/>
      <c r="BN590" s="151"/>
    </row>
    <row r="591" spans="25:66">
      <c r="Y591" s="151"/>
      <c r="Z591" s="151"/>
      <c r="AA591" s="151"/>
      <c r="AB591" s="151"/>
      <c r="AC591" s="151"/>
      <c r="AD591" s="151"/>
      <c r="AE591" s="151"/>
      <c r="AF591" s="151"/>
      <c r="AG591" s="151"/>
      <c r="AH591" s="151"/>
      <c r="AI591" s="151"/>
      <c r="AJ591" s="151"/>
      <c r="AK591" s="151"/>
      <c r="AL591" s="151"/>
      <c r="AM591" s="151"/>
      <c r="AN591" s="151"/>
      <c r="AO591" s="151"/>
      <c r="AP591" s="151"/>
      <c r="AQ591" s="151"/>
      <c r="AR591" s="151"/>
      <c r="AS591" s="151"/>
      <c r="AT591" s="151"/>
      <c r="AU591" s="151"/>
      <c r="AV591" s="151"/>
      <c r="AW591" s="151"/>
      <c r="AX591" s="151"/>
      <c r="AY591" s="151"/>
      <c r="AZ591" s="151"/>
      <c r="BA591" s="151"/>
      <c r="BB591" s="151"/>
      <c r="BC591" s="151"/>
      <c r="BD591" s="151"/>
      <c r="BE591" s="151"/>
      <c r="BF591" s="151"/>
      <c r="BG591" s="151"/>
      <c r="BH591" s="151"/>
      <c r="BI591" s="151"/>
      <c r="BJ591" s="151"/>
      <c r="BK591" s="151"/>
      <c r="BL591" s="151"/>
      <c r="BM591" s="151"/>
      <c r="BN591" s="151"/>
    </row>
    <row r="592" spans="25:66">
      <c r="Y592" s="151"/>
      <c r="Z592" s="151"/>
      <c r="AA592" s="151"/>
      <c r="AB592" s="151"/>
      <c r="AC592" s="151"/>
      <c r="AD592" s="151"/>
      <c r="AE592" s="151"/>
      <c r="AF592" s="151"/>
      <c r="AG592" s="151"/>
      <c r="AH592" s="151"/>
      <c r="AI592" s="151"/>
      <c r="AJ592" s="151"/>
      <c r="AK592" s="151"/>
      <c r="AL592" s="151"/>
      <c r="AM592" s="151"/>
      <c r="AN592" s="151"/>
      <c r="AO592" s="151"/>
      <c r="AP592" s="151"/>
      <c r="AQ592" s="151"/>
      <c r="AR592" s="151"/>
      <c r="AS592" s="151"/>
      <c r="AT592" s="151"/>
      <c r="AU592" s="151"/>
      <c r="AV592" s="151"/>
      <c r="AW592" s="151"/>
      <c r="AX592" s="151"/>
      <c r="AY592" s="151"/>
      <c r="AZ592" s="151"/>
      <c r="BA592" s="151"/>
      <c r="BB592" s="151"/>
      <c r="BC592" s="151"/>
      <c r="BD592" s="151"/>
      <c r="BE592" s="151"/>
      <c r="BF592" s="151"/>
      <c r="BG592" s="151"/>
      <c r="BH592" s="151"/>
      <c r="BI592" s="151"/>
      <c r="BJ592" s="151"/>
      <c r="BK592" s="151"/>
      <c r="BL592" s="151"/>
      <c r="BM592" s="151"/>
      <c r="BN592" s="151"/>
    </row>
    <row r="593" spans="25:66">
      <c r="Y593" s="151"/>
      <c r="Z593" s="151"/>
      <c r="AA593" s="151"/>
      <c r="AB593" s="151"/>
      <c r="AC593" s="151"/>
      <c r="AD593" s="151"/>
      <c r="AE593" s="151"/>
      <c r="AF593" s="151"/>
      <c r="AG593" s="151"/>
      <c r="AH593" s="151"/>
      <c r="AI593" s="151"/>
      <c r="AJ593" s="151"/>
      <c r="AK593" s="151"/>
      <c r="AL593" s="151"/>
      <c r="AM593" s="151"/>
      <c r="AN593" s="151"/>
      <c r="AO593" s="151"/>
      <c r="AP593" s="151"/>
      <c r="AQ593" s="151"/>
      <c r="AR593" s="151"/>
      <c r="AS593" s="151"/>
      <c r="AT593" s="151"/>
      <c r="AU593" s="151"/>
      <c r="AV593" s="151"/>
      <c r="AW593" s="151"/>
      <c r="AX593" s="151"/>
      <c r="AY593" s="151"/>
      <c r="AZ593" s="151"/>
      <c r="BA593" s="151"/>
      <c r="BB593" s="151"/>
      <c r="BC593" s="151"/>
      <c r="BD593" s="151"/>
      <c r="BE593" s="151"/>
      <c r="BF593" s="151"/>
      <c r="BG593" s="151"/>
      <c r="BH593" s="151"/>
      <c r="BI593" s="151"/>
      <c r="BJ593" s="151"/>
      <c r="BK593" s="151"/>
      <c r="BL593" s="151"/>
      <c r="BM593" s="151"/>
      <c r="BN593" s="151"/>
    </row>
    <row r="594" spans="25:66">
      <c r="Y594" s="151"/>
      <c r="Z594" s="151"/>
      <c r="AA594" s="151"/>
      <c r="AB594" s="151"/>
      <c r="AC594" s="151"/>
      <c r="AD594" s="151"/>
      <c r="AE594" s="151"/>
      <c r="AF594" s="151"/>
      <c r="AG594" s="151"/>
      <c r="AH594" s="151"/>
      <c r="AI594" s="151"/>
      <c r="AJ594" s="151"/>
      <c r="AK594" s="151"/>
      <c r="AL594" s="151"/>
      <c r="AM594" s="151"/>
      <c r="AN594" s="151"/>
      <c r="AO594" s="151"/>
      <c r="AP594" s="151"/>
      <c r="AQ594" s="151"/>
      <c r="AR594" s="151"/>
      <c r="AS594" s="151"/>
      <c r="AT594" s="151"/>
      <c r="AU594" s="151"/>
      <c r="AV594" s="151"/>
      <c r="AW594" s="151"/>
      <c r="AX594" s="151"/>
      <c r="AY594" s="151"/>
      <c r="AZ594" s="151"/>
      <c r="BA594" s="151"/>
      <c r="BB594" s="151"/>
      <c r="BC594" s="151"/>
      <c r="BD594" s="151"/>
      <c r="BE594" s="151"/>
      <c r="BF594" s="151"/>
      <c r="BG594" s="151"/>
      <c r="BH594" s="151"/>
      <c r="BI594" s="151"/>
      <c r="BJ594" s="151"/>
      <c r="BK594" s="151"/>
      <c r="BL594" s="151"/>
      <c r="BM594" s="151"/>
      <c r="BN594" s="151"/>
    </row>
    <row r="595" spans="25:66">
      <c r="Y595" s="151"/>
      <c r="Z595" s="151"/>
      <c r="AA595" s="151"/>
      <c r="AB595" s="151"/>
      <c r="AC595" s="151"/>
      <c r="AD595" s="151"/>
      <c r="AE595" s="151"/>
      <c r="AF595" s="151"/>
      <c r="AG595" s="151"/>
      <c r="AH595" s="151"/>
      <c r="AI595" s="151"/>
      <c r="AJ595" s="151"/>
      <c r="AK595" s="151"/>
      <c r="AL595" s="151"/>
      <c r="AM595" s="151"/>
      <c r="AN595" s="151"/>
      <c r="AO595" s="151"/>
      <c r="AP595" s="151"/>
      <c r="AQ595" s="151"/>
      <c r="AR595" s="151"/>
      <c r="AS595" s="151"/>
      <c r="AT595" s="151"/>
      <c r="AU595" s="151"/>
      <c r="AV595" s="151"/>
      <c r="AW595" s="151"/>
      <c r="AX595" s="151"/>
      <c r="AY595" s="151"/>
      <c r="AZ595" s="151"/>
      <c r="BA595" s="151"/>
      <c r="BB595" s="151"/>
      <c r="BC595" s="151"/>
      <c r="BD595" s="151"/>
      <c r="BE595" s="151"/>
      <c r="BF595" s="151"/>
      <c r="BG595" s="151"/>
      <c r="BH595" s="151"/>
      <c r="BI595" s="151"/>
      <c r="BJ595" s="151"/>
      <c r="BK595" s="151"/>
      <c r="BL595" s="151"/>
      <c r="BM595" s="151"/>
      <c r="BN595" s="151"/>
    </row>
    <row r="596" spans="25:66">
      <c r="Y596" s="151"/>
      <c r="Z596" s="151"/>
      <c r="AA596" s="151"/>
      <c r="AB596" s="151"/>
      <c r="AC596" s="151"/>
      <c r="AD596" s="151"/>
      <c r="AE596" s="151"/>
      <c r="AF596" s="151"/>
      <c r="AG596" s="151"/>
      <c r="AH596" s="151"/>
      <c r="AI596" s="151"/>
      <c r="AJ596" s="151"/>
      <c r="AK596" s="151"/>
      <c r="AL596" s="151"/>
      <c r="AM596" s="151"/>
      <c r="AN596" s="151"/>
      <c r="AO596" s="151"/>
      <c r="AP596" s="151"/>
      <c r="AQ596" s="151"/>
      <c r="AR596" s="151"/>
      <c r="AS596" s="151"/>
      <c r="AT596" s="151"/>
      <c r="AU596" s="151"/>
      <c r="AV596" s="151"/>
      <c r="AW596" s="151"/>
      <c r="AX596" s="151"/>
      <c r="AY596" s="151"/>
      <c r="AZ596" s="151"/>
      <c r="BA596" s="151"/>
      <c r="BB596" s="151"/>
      <c r="BC596" s="151"/>
      <c r="BD596" s="151"/>
      <c r="BE596" s="151"/>
      <c r="BF596" s="151"/>
      <c r="BG596" s="151"/>
      <c r="BH596" s="151"/>
      <c r="BI596" s="151"/>
      <c r="BJ596" s="151"/>
      <c r="BK596" s="151"/>
      <c r="BL596" s="151"/>
      <c r="BM596" s="151"/>
      <c r="BN596" s="151"/>
    </row>
    <row r="597" spans="25:66">
      <c r="Y597" s="151"/>
      <c r="Z597" s="151"/>
      <c r="AA597" s="151"/>
      <c r="AB597" s="151"/>
      <c r="AC597" s="151"/>
      <c r="AD597" s="151"/>
      <c r="AE597" s="151"/>
      <c r="AF597" s="151"/>
      <c r="AG597" s="151"/>
      <c r="AH597" s="151"/>
      <c r="AI597" s="151"/>
      <c r="AJ597" s="151"/>
      <c r="AK597" s="151"/>
      <c r="AL597" s="151"/>
      <c r="AM597" s="151"/>
      <c r="AN597" s="151"/>
      <c r="AO597" s="151"/>
      <c r="AP597" s="151"/>
      <c r="AQ597" s="151"/>
      <c r="AR597" s="151"/>
      <c r="AS597" s="151"/>
      <c r="AT597" s="151"/>
      <c r="AU597" s="151"/>
      <c r="AV597" s="151"/>
      <c r="AW597" s="151"/>
      <c r="AX597" s="151"/>
      <c r="AY597" s="151"/>
      <c r="AZ597" s="151"/>
      <c r="BA597" s="151"/>
      <c r="BB597" s="151"/>
      <c r="BC597" s="151"/>
      <c r="BD597" s="151"/>
      <c r="BE597" s="151"/>
      <c r="BF597" s="151"/>
      <c r="BG597" s="151"/>
      <c r="BH597" s="151"/>
      <c r="BI597" s="151"/>
      <c r="BJ597" s="151"/>
      <c r="BK597" s="151"/>
      <c r="BL597" s="151"/>
      <c r="BM597" s="151"/>
      <c r="BN597" s="151"/>
    </row>
    <row r="598" spans="25:66">
      <c r="Y598" s="151"/>
      <c r="Z598" s="151"/>
      <c r="AA598" s="151"/>
      <c r="AB598" s="151"/>
      <c r="AC598" s="151"/>
      <c r="AD598" s="151"/>
      <c r="AE598" s="151"/>
      <c r="AF598" s="151"/>
      <c r="AG598" s="151"/>
      <c r="AH598" s="151"/>
      <c r="AI598" s="151"/>
      <c r="AJ598" s="151"/>
      <c r="AK598" s="151"/>
      <c r="AL598" s="151"/>
      <c r="AM598" s="151"/>
      <c r="AN598" s="151"/>
      <c r="AO598" s="151"/>
      <c r="AP598" s="151"/>
      <c r="AQ598" s="151"/>
      <c r="AR598" s="151"/>
      <c r="AS598" s="151"/>
      <c r="AT598" s="151"/>
      <c r="AU598" s="151"/>
      <c r="AV598" s="151"/>
      <c r="AW598" s="151"/>
      <c r="AX598" s="151"/>
      <c r="AY598" s="151"/>
      <c r="AZ598" s="151"/>
      <c r="BA598" s="151"/>
      <c r="BB598" s="151"/>
      <c r="BC598" s="151"/>
      <c r="BD598" s="151"/>
      <c r="BE598" s="151"/>
      <c r="BF598" s="151"/>
      <c r="BG598" s="151"/>
      <c r="BH598" s="151"/>
      <c r="BI598" s="151"/>
      <c r="BJ598" s="151"/>
      <c r="BK598" s="151"/>
      <c r="BL598" s="151"/>
      <c r="BM598" s="151"/>
      <c r="BN598" s="151"/>
    </row>
    <row r="599" spans="25:66">
      <c r="Y599" s="151"/>
      <c r="Z599" s="151"/>
      <c r="AA599" s="151"/>
      <c r="AB599" s="151"/>
      <c r="AC599" s="151"/>
      <c r="AD599" s="151"/>
      <c r="AE599" s="151"/>
      <c r="AF599" s="151"/>
      <c r="AG599" s="151"/>
      <c r="AH599" s="151"/>
      <c r="AI599" s="151"/>
      <c r="AJ599" s="151"/>
      <c r="AK599" s="151"/>
      <c r="AL599" s="151"/>
      <c r="AM599" s="151"/>
      <c r="AN599" s="151"/>
      <c r="AO599" s="151"/>
      <c r="AP599" s="151"/>
      <c r="AQ599" s="151"/>
      <c r="AR599" s="151"/>
      <c r="AS599" s="151"/>
      <c r="AT599" s="151"/>
      <c r="AU599" s="151"/>
      <c r="AV599" s="151"/>
      <c r="AW599" s="151"/>
      <c r="AX599" s="151"/>
      <c r="AY599" s="151"/>
      <c r="AZ599" s="151"/>
      <c r="BA599" s="151"/>
      <c r="BB599" s="151"/>
      <c r="BC599" s="151"/>
      <c r="BD599" s="151"/>
      <c r="BE599" s="151"/>
      <c r="BF599" s="151"/>
      <c r="BG599" s="151"/>
      <c r="BH599" s="151"/>
      <c r="BI599" s="151"/>
      <c r="BJ599" s="151"/>
      <c r="BK599" s="151"/>
      <c r="BL599" s="151"/>
      <c r="BM599" s="151"/>
      <c r="BN599" s="151"/>
    </row>
    <row r="600" spans="25:66">
      <c r="Y600" s="151"/>
      <c r="Z600" s="151"/>
      <c r="AA600" s="151"/>
      <c r="AB600" s="151"/>
      <c r="AC600" s="151"/>
      <c r="AD600" s="151"/>
      <c r="AE600" s="151"/>
      <c r="AF600" s="151"/>
      <c r="AG600" s="151"/>
      <c r="AH600" s="151"/>
      <c r="AI600" s="151"/>
      <c r="AJ600" s="151"/>
      <c r="AK600" s="151"/>
      <c r="AL600" s="151"/>
      <c r="AM600" s="151"/>
      <c r="AN600" s="151"/>
      <c r="AO600" s="151"/>
      <c r="AP600" s="151"/>
      <c r="AQ600" s="151"/>
      <c r="AR600" s="151"/>
      <c r="AS600" s="151"/>
      <c r="AT600" s="151"/>
      <c r="AU600" s="151"/>
      <c r="AV600" s="151"/>
      <c r="AW600" s="151"/>
      <c r="AX600" s="151"/>
      <c r="AY600" s="151"/>
      <c r="AZ600" s="151"/>
      <c r="BA600" s="151"/>
      <c r="BB600" s="151"/>
      <c r="BC600" s="151"/>
      <c r="BD600" s="151"/>
      <c r="BE600" s="151"/>
      <c r="BF600" s="151"/>
      <c r="BG600" s="151"/>
      <c r="BH600" s="151"/>
      <c r="BI600" s="151"/>
      <c r="BJ600" s="151"/>
      <c r="BK600" s="151"/>
      <c r="BL600" s="151"/>
      <c r="BM600" s="151"/>
      <c r="BN600" s="151"/>
    </row>
    <row r="601" spans="25:66">
      <c r="Y601" s="151"/>
      <c r="Z601" s="151"/>
      <c r="AA601" s="151"/>
      <c r="AB601" s="151"/>
      <c r="AC601" s="151"/>
      <c r="AD601" s="151"/>
      <c r="AE601" s="151"/>
      <c r="AF601" s="151"/>
      <c r="AG601" s="151"/>
      <c r="AH601" s="151"/>
      <c r="AI601" s="151"/>
      <c r="AJ601" s="151"/>
      <c r="AK601" s="151"/>
      <c r="AL601" s="151"/>
      <c r="AM601" s="151"/>
      <c r="AN601" s="151"/>
      <c r="AO601" s="151"/>
      <c r="AP601" s="151"/>
      <c r="AQ601" s="151"/>
      <c r="AR601" s="151"/>
      <c r="AS601" s="151"/>
      <c r="AT601" s="151"/>
      <c r="AU601" s="151"/>
      <c r="AV601" s="151"/>
      <c r="AW601" s="151"/>
      <c r="AX601" s="151"/>
      <c r="AY601" s="151"/>
      <c r="AZ601" s="151"/>
      <c r="BA601" s="151"/>
      <c r="BB601" s="151"/>
      <c r="BC601" s="151"/>
      <c r="BD601" s="151"/>
      <c r="BE601" s="151"/>
      <c r="BF601" s="151"/>
      <c r="BG601" s="151"/>
      <c r="BH601" s="151"/>
      <c r="BI601" s="151"/>
      <c r="BJ601" s="151"/>
      <c r="BK601" s="151"/>
      <c r="BL601" s="151"/>
      <c r="BM601" s="151"/>
      <c r="BN601" s="151"/>
    </row>
    <row r="602" spans="25:66">
      <c r="Y602" s="151"/>
      <c r="Z602" s="151"/>
      <c r="AA602" s="151"/>
      <c r="AB602" s="151"/>
      <c r="AC602" s="151"/>
      <c r="AD602" s="151"/>
      <c r="AE602" s="151"/>
      <c r="AF602" s="151"/>
      <c r="AG602" s="151"/>
      <c r="AH602" s="151"/>
      <c r="AI602" s="151"/>
      <c r="AJ602" s="151"/>
      <c r="AK602" s="151"/>
      <c r="AL602" s="151"/>
      <c r="AM602" s="151"/>
      <c r="AN602" s="151"/>
      <c r="AO602" s="151"/>
      <c r="AP602" s="151"/>
      <c r="AQ602" s="151"/>
      <c r="AR602" s="151"/>
      <c r="AS602" s="151"/>
      <c r="AT602" s="151"/>
      <c r="AU602" s="151"/>
      <c r="AV602" s="151"/>
      <c r="AW602" s="151"/>
      <c r="AX602" s="151"/>
      <c r="AY602" s="151"/>
      <c r="AZ602" s="151"/>
      <c r="BA602" s="151"/>
      <c r="BB602" s="151"/>
      <c r="BC602" s="151"/>
      <c r="BD602" s="151"/>
      <c r="BE602" s="151"/>
      <c r="BF602" s="151"/>
      <c r="BG602" s="151"/>
      <c r="BH602" s="151"/>
      <c r="BI602" s="151"/>
      <c r="BJ602" s="151"/>
      <c r="BK602" s="151"/>
      <c r="BL602" s="151"/>
      <c r="BM602" s="151"/>
      <c r="BN602" s="151"/>
    </row>
    <row r="603" spans="25:66">
      <c r="Y603" s="151"/>
      <c r="Z603" s="151"/>
      <c r="AA603" s="151"/>
      <c r="AB603" s="151"/>
      <c r="AC603" s="151"/>
      <c r="AD603" s="151"/>
      <c r="AE603" s="151"/>
      <c r="AF603" s="151"/>
      <c r="AG603" s="151"/>
      <c r="AH603" s="151"/>
      <c r="AI603" s="151"/>
      <c r="AJ603" s="151"/>
      <c r="AK603" s="151"/>
      <c r="AL603" s="151"/>
      <c r="AM603" s="151"/>
      <c r="AN603" s="151"/>
      <c r="AO603" s="151"/>
      <c r="AP603" s="151"/>
      <c r="AQ603" s="151"/>
      <c r="AR603" s="151"/>
      <c r="AS603" s="151"/>
      <c r="AT603" s="151"/>
      <c r="AU603" s="151"/>
      <c r="AV603" s="151"/>
      <c r="AW603" s="151"/>
      <c r="AX603" s="151"/>
      <c r="AY603" s="151"/>
      <c r="AZ603" s="151"/>
      <c r="BA603" s="151"/>
      <c r="BB603" s="151"/>
      <c r="BC603" s="151"/>
      <c r="BD603" s="151"/>
      <c r="BE603" s="151"/>
      <c r="BF603" s="151"/>
      <c r="BG603" s="151"/>
      <c r="BH603" s="151"/>
      <c r="BI603" s="151"/>
      <c r="BJ603" s="151"/>
      <c r="BK603" s="151"/>
      <c r="BL603" s="151"/>
      <c r="BM603" s="151"/>
      <c r="BN603" s="151"/>
    </row>
    <row r="604" spans="25:66">
      <c r="Y604" s="151"/>
      <c r="Z604" s="151"/>
      <c r="AA604" s="151"/>
      <c r="AB604" s="151"/>
      <c r="AC604" s="151"/>
      <c r="AD604" s="151"/>
      <c r="AE604" s="151"/>
      <c r="AF604" s="151"/>
      <c r="AG604" s="151"/>
      <c r="AH604" s="151"/>
      <c r="AI604" s="151"/>
      <c r="AJ604" s="151"/>
      <c r="AK604" s="151"/>
      <c r="AL604" s="151"/>
      <c r="AM604" s="151"/>
      <c r="AN604" s="151"/>
      <c r="AO604" s="151"/>
      <c r="AP604" s="151"/>
      <c r="AQ604" s="151"/>
      <c r="AR604" s="151"/>
      <c r="AS604" s="151"/>
      <c r="AT604" s="151"/>
      <c r="AU604" s="151"/>
      <c r="AV604" s="151"/>
      <c r="AW604" s="151"/>
      <c r="AX604" s="151"/>
      <c r="AY604" s="151"/>
      <c r="AZ604" s="151"/>
      <c r="BA604" s="151"/>
      <c r="BB604" s="151"/>
      <c r="BC604" s="151"/>
      <c r="BD604" s="151"/>
      <c r="BE604" s="151"/>
      <c r="BF604" s="151"/>
      <c r="BG604" s="151"/>
      <c r="BH604" s="151"/>
      <c r="BI604" s="151"/>
      <c r="BJ604" s="151"/>
      <c r="BK604" s="151"/>
      <c r="BL604" s="151"/>
      <c r="BM604" s="151"/>
      <c r="BN604" s="151"/>
    </row>
    <row r="605" spans="25:66">
      <c r="Y605" s="151"/>
      <c r="Z605" s="151"/>
      <c r="AA605" s="151"/>
      <c r="AB605" s="151"/>
      <c r="AC605" s="151"/>
      <c r="AD605" s="151"/>
      <c r="AE605" s="151"/>
      <c r="AF605" s="151"/>
      <c r="AG605" s="151"/>
      <c r="AH605" s="151"/>
      <c r="AI605" s="151"/>
      <c r="AJ605" s="151"/>
      <c r="AK605" s="151"/>
      <c r="AL605" s="151"/>
      <c r="AM605" s="151"/>
      <c r="AN605" s="151"/>
      <c r="AO605" s="151"/>
      <c r="AP605" s="151"/>
      <c r="AQ605" s="151"/>
      <c r="AR605" s="151"/>
      <c r="AS605" s="151"/>
      <c r="AT605" s="151"/>
      <c r="AU605" s="151"/>
      <c r="AV605" s="151"/>
      <c r="AW605" s="151"/>
      <c r="AX605" s="151"/>
      <c r="AY605" s="151"/>
      <c r="AZ605" s="151"/>
      <c r="BA605" s="151"/>
      <c r="BB605" s="151"/>
      <c r="BC605" s="151"/>
      <c r="BD605" s="151"/>
      <c r="BE605" s="151"/>
      <c r="BF605" s="151"/>
      <c r="BG605" s="151"/>
      <c r="BH605" s="151"/>
      <c r="BI605" s="151"/>
      <c r="BJ605" s="151"/>
      <c r="BK605" s="151"/>
      <c r="BL605" s="151"/>
      <c r="BM605" s="151"/>
      <c r="BN605" s="151"/>
    </row>
    <row r="606" spans="25:66">
      <c r="Y606" s="151"/>
      <c r="Z606" s="151"/>
      <c r="AA606" s="151"/>
      <c r="AB606" s="151"/>
      <c r="AC606" s="151"/>
      <c r="AD606" s="151"/>
      <c r="AE606" s="151"/>
      <c r="AF606" s="151"/>
      <c r="AG606" s="151"/>
      <c r="AH606" s="151"/>
      <c r="AI606" s="151"/>
      <c r="AJ606" s="151"/>
      <c r="AK606" s="151"/>
      <c r="AL606" s="151"/>
      <c r="AM606" s="151"/>
      <c r="AN606" s="151"/>
      <c r="AO606" s="151"/>
      <c r="AP606" s="151"/>
      <c r="AQ606" s="151"/>
      <c r="AR606" s="151"/>
      <c r="AS606" s="151"/>
      <c r="AT606" s="151"/>
      <c r="AU606" s="151"/>
      <c r="AV606" s="151"/>
      <c r="AW606" s="151"/>
      <c r="AX606" s="151"/>
      <c r="AY606" s="151"/>
      <c r="AZ606" s="151"/>
      <c r="BA606" s="151"/>
      <c r="BB606" s="151"/>
      <c r="BC606" s="151"/>
      <c r="BD606" s="151"/>
      <c r="BE606" s="151"/>
      <c r="BF606" s="151"/>
      <c r="BG606" s="151"/>
      <c r="BH606" s="151"/>
      <c r="BI606" s="151"/>
      <c r="BJ606" s="151"/>
      <c r="BK606" s="151"/>
      <c r="BL606" s="151"/>
      <c r="BM606" s="151"/>
      <c r="BN606" s="151"/>
    </row>
    <row r="607" spans="25:66">
      <c r="Y607" s="151"/>
      <c r="Z607" s="151"/>
      <c r="AA607" s="151"/>
      <c r="AB607" s="151"/>
      <c r="AC607" s="151"/>
      <c r="AD607" s="151"/>
      <c r="AE607" s="151"/>
      <c r="AF607" s="151"/>
      <c r="AG607" s="151"/>
      <c r="AH607" s="151"/>
      <c r="AI607" s="151"/>
      <c r="AJ607" s="151"/>
      <c r="AK607" s="151"/>
      <c r="AL607" s="151"/>
      <c r="AM607" s="151"/>
      <c r="AN607" s="151"/>
      <c r="AO607" s="151"/>
      <c r="AP607" s="151"/>
      <c r="AQ607" s="151"/>
      <c r="AR607" s="151"/>
      <c r="AS607" s="151"/>
      <c r="AT607" s="151"/>
      <c r="AU607" s="151"/>
      <c r="AV607" s="151"/>
      <c r="AW607" s="151"/>
      <c r="AX607" s="151"/>
      <c r="AY607" s="151"/>
      <c r="AZ607" s="151"/>
      <c r="BA607" s="151"/>
      <c r="BB607" s="151"/>
      <c r="BC607" s="151"/>
      <c r="BD607" s="151"/>
      <c r="BE607" s="151"/>
      <c r="BF607" s="151"/>
      <c r="BG607" s="151"/>
      <c r="BH607" s="151"/>
      <c r="BI607" s="151"/>
      <c r="BJ607" s="151"/>
      <c r="BK607" s="151"/>
      <c r="BL607" s="151"/>
      <c r="BM607" s="151"/>
      <c r="BN607" s="151"/>
    </row>
    <row r="608" spans="25:66">
      <c r="Y608" s="151"/>
      <c r="Z608" s="151"/>
      <c r="AA608" s="151"/>
      <c r="AB608" s="151"/>
      <c r="AC608" s="151"/>
      <c r="AD608" s="151"/>
      <c r="AE608" s="151"/>
      <c r="AF608" s="151"/>
      <c r="AG608" s="151"/>
      <c r="AH608" s="151"/>
      <c r="AI608" s="151"/>
      <c r="AJ608" s="151"/>
      <c r="AK608" s="151"/>
      <c r="AL608" s="151"/>
      <c r="AM608" s="151"/>
      <c r="AN608" s="151"/>
      <c r="AO608" s="151"/>
      <c r="AP608" s="151"/>
      <c r="AQ608" s="151"/>
      <c r="AR608" s="151"/>
      <c r="AS608" s="151"/>
      <c r="AT608" s="151"/>
      <c r="AU608" s="151"/>
      <c r="AV608" s="151"/>
      <c r="AW608" s="151"/>
      <c r="AX608" s="151"/>
      <c r="AY608" s="151"/>
      <c r="AZ608" s="151"/>
      <c r="BA608" s="151"/>
      <c r="BB608" s="151"/>
      <c r="BC608" s="151"/>
      <c r="BD608" s="151"/>
      <c r="BE608" s="151"/>
      <c r="BF608" s="151"/>
      <c r="BG608" s="151"/>
      <c r="BH608" s="151"/>
      <c r="BI608" s="151"/>
      <c r="BJ608" s="151"/>
      <c r="BK608" s="151"/>
      <c r="BL608" s="151"/>
      <c r="BM608" s="151"/>
      <c r="BN608" s="151"/>
    </row>
    <row r="609" spans="25:66">
      <c r="Y609" s="151"/>
      <c r="Z609" s="151"/>
      <c r="AA609" s="151"/>
      <c r="AB609" s="151"/>
      <c r="AC609" s="151"/>
      <c r="AD609" s="151"/>
      <c r="AE609" s="151"/>
      <c r="AF609" s="151"/>
      <c r="AG609" s="151"/>
      <c r="AH609" s="151"/>
      <c r="AI609" s="151"/>
      <c r="AJ609" s="151"/>
      <c r="AK609" s="151"/>
      <c r="AL609" s="151"/>
      <c r="AM609" s="151"/>
      <c r="AN609" s="151"/>
      <c r="AO609" s="151"/>
      <c r="AP609" s="151"/>
      <c r="AQ609" s="151"/>
      <c r="AR609" s="151"/>
      <c r="AS609" s="151"/>
      <c r="AT609" s="151"/>
      <c r="AU609" s="151"/>
      <c r="AV609" s="151"/>
      <c r="AW609" s="151"/>
      <c r="AX609" s="151"/>
      <c r="AY609" s="151"/>
      <c r="AZ609" s="151"/>
      <c r="BA609" s="151"/>
      <c r="BB609" s="151"/>
      <c r="BC609" s="151"/>
      <c r="BD609" s="151"/>
      <c r="BE609" s="151"/>
      <c r="BF609" s="151"/>
      <c r="BG609" s="151"/>
      <c r="BH609" s="151"/>
      <c r="BI609" s="151"/>
      <c r="BJ609" s="151"/>
      <c r="BK609" s="151"/>
      <c r="BL609" s="151"/>
      <c r="BM609" s="151"/>
      <c r="BN609" s="151"/>
    </row>
    <row r="610" spans="25:66">
      <c r="Y610" s="151"/>
      <c r="Z610" s="151"/>
      <c r="AA610" s="151"/>
      <c r="AB610" s="151"/>
      <c r="AC610" s="151"/>
      <c r="AD610" s="151"/>
      <c r="AE610" s="151"/>
      <c r="AF610" s="151"/>
      <c r="AG610" s="151"/>
      <c r="AH610" s="151"/>
      <c r="AI610" s="151"/>
      <c r="AJ610" s="151"/>
      <c r="AK610" s="151"/>
      <c r="AL610" s="151"/>
      <c r="AM610" s="151"/>
      <c r="AN610" s="151"/>
      <c r="AO610" s="151"/>
      <c r="AP610" s="151"/>
      <c r="AQ610" s="151"/>
      <c r="AR610" s="151"/>
      <c r="AS610" s="151"/>
      <c r="AT610" s="151"/>
      <c r="AU610" s="151"/>
      <c r="AV610" s="151"/>
      <c r="AW610" s="151"/>
      <c r="AX610" s="151"/>
      <c r="AY610" s="151"/>
      <c r="AZ610" s="151"/>
      <c r="BA610" s="151"/>
      <c r="BB610" s="151"/>
      <c r="BC610" s="151"/>
      <c r="BD610" s="151"/>
      <c r="BE610" s="151"/>
      <c r="BF610" s="151"/>
      <c r="BG610" s="151"/>
      <c r="BH610" s="151"/>
      <c r="BI610" s="151"/>
      <c r="BJ610" s="151"/>
      <c r="BK610" s="151"/>
      <c r="BL610" s="151"/>
      <c r="BM610" s="151"/>
      <c r="BN610" s="151"/>
    </row>
    <row r="611" spans="25:66">
      <c r="Y611" s="151"/>
      <c r="Z611" s="151"/>
      <c r="AA611" s="151"/>
      <c r="AB611" s="151"/>
      <c r="AC611" s="151"/>
      <c r="AD611" s="151"/>
      <c r="AE611" s="151"/>
      <c r="AF611" s="151"/>
      <c r="AG611" s="151"/>
      <c r="AH611" s="151"/>
      <c r="AI611" s="151"/>
      <c r="AJ611" s="151"/>
      <c r="AK611" s="151"/>
      <c r="AL611" s="151"/>
      <c r="AM611" s="151"/>
      <c r="AN611" s="151"/>
      <c r="AO611" s="151"/>
      <c r="AP611" s="151"/>
      <c r="AQ611" s="151"/>
      <c r="AR611" s="151"/>
      <c r="AS611" s="151"/>
      <c r="AT611" s="151"/>
      <c r="AU611" s="151"/>
      <c r="AV611" s="151"/>
      <c r="AW611" s="151"/>
      <c r="AX611" s="151"/>
      <c r="AY611" s="151"/>
      <c r="AZ611" s="151"/>
      <c r="BA611" s="151"/>
      <c r="BB611" s="151"/>
      <c r="BC611" s="151"/>
      <c r="BD611" s="151"/>
      <c r="BE611" s="151"/>
      <c r="BF611" s="151"/>
      <c r="BG611" s="151"/>
      <c r="BH611" s="151"/>
      <c r="BI611" s="151"/>
      <c r="BJ611" s="151"/>
      <c r="BK611" s="151"/>
      <c r="BL611" s="151"/>
      <c r="BM611" s="151"/>
      <c r="BN611" s="151"/>
    </row>
    <row r="612" spans="25:66">
      <c r="Y612" s="151"/>
      <c r="Z612" s="151"/>
      <c r="AA612" s="151"/>
      <c r="AB612" s="151"/>
      <c r="AC612" s="151"/>
      <c r="AD612" s="151"/>
      <c r="AE612" s="151"/>
      <c r="AF612" s="151"/>
      <c r="AG612" s="151"/>
      <c r="AH612" s="151"/>
      <c r="AI612" s="151"/>
      <c r="AJ612" s="151"/>
      <c r="AK612" s="151"/>
      <c r="AL612" s="151"/>
      <c r="AM612" s="151"/>
      <c r="AN612" s="151"/>
      <c r="AO612" s="151"/>
      <c r="AP612" s="151"/>
      <c r="AQ612" s="151"/>
      <c r="AR612" s="151"/>
      <c r="AS612" s="151"/>
      <c r="AT612" s="151"/>
      <c r="AU612" s="151"/>
      <c r="AV612" s="151"/>
      <c r="AW612" s="151"/>
      <c r="AX612" s="151"/>
      <c r="AY612" s="151"/>
      <c r="AZ612" s="151"/>
      <c r="BA612" s="151"/>
      <c r="BB612" s="151"/>
      <c r="BC612" s="151"/>
      <c r="BD612" s="151"/>
      <c r="BE612" s="151"/>
      <c r="BF612" s="151"/>
      <c r="BG612" s="151"/>
      <c r="BH612" s="151"/>
      <c r="BI612" s="151"/>
      <c r="BJ612" s="151"/>
      <c r="BK612" s="151"/>
      <c r="BL612" s="151"/>
      <c r="BM612" s="151"/>
      <c r="BN612" s="151"/>
    </row>
    <row r="613" spans="25:66">
      <c r="Y613" s="151"/>
      <c r="Z613" s="151"/>
      <c r="AA613" s="151"/>
      <c r="AB613" s="151"/>
      <c r="AC613" s="151"/>
      <c r="AD613" s="151"/>
      <c r="AE613" s="151"/>
      <c r="AF613" s="151"/>
      <c r="AG613" s="151"/>
      <c r="AH613" s="151"/>
      <c r="AI613" s="151"/>
      <c r="AJ613" s="151"/>
      <c r="AK613" s="151"/>
      <c r="AL613" s="151"/>
      <c r="AM613" s="151"/>
      <c r="AN613" s="151"/>
      <c r="AO613" s="151"/>
      <c r="AP613" s="151"/>
      <c r="AQ613" s="151"/>
      <c r="AR613" s="151"/>
      <c r="AS613" s="151"/>
      <c r="AT613" s="151"/>
      <c r="AU613" s="151"/>
      <c r="AV613" s="151"/>
      <c r="AW613" s="151"/>
      <c r="AX613" s="151"/>
      <c r="AY613" s="151"/>
      <c r="AZ613" s="151"/>
      <c r="BA613" s="151"/>
      <c r="BB613" s="151"/>
      <c r="BC613" s="151"/>
      <c r="BD613" s="151"/>
      <c r="BE613" s="151"/>
      <c r="BF613" s="151"/>
      <c r="BG613" s="151"/>
      <c r="BH613" s="151"/>
      <c r="BI613" s="151"/>
      <c r="BJ613" s="151"/>
      <c r="BK613" s="151"/>
      <c r="BL613" s="151"/>
      <c r="BM613" s="151"/>
      <c r="BN613" s="151"/>
    </row>
    <row r="614" spans="25:66">
      <c r="Y614" s="151"/>
      <c r="Z614" s="151"/>
      <c r="AA614" s="151"/>
      <c r="AB614" s="151"/>
      <c r="AC614" s="151"/>
      <c r="AD614" s="151"/>
      <c r="AE614" s="151"/>
      <c r="AF614" s="151"/>
      <c r="AG614" s="151"/>
      <c r="AH614" s="151"/>
      <c r="AI614" s="151"/>
      <c r="AJ614" s="151"/>
      <c r="AK614" s="151"/>
      <c r="AL614" s="151"/>
      <c r="AM614" s="151"/>
      <c r="AN614" s="151"/>
      <c r="AO614" s="151"/>
      <c r="AP614" s="151"/>
      <c r="AQ614" s="151"/>
      <c r="AR614" s="151"/>
      <c r="AS614" s="151"/>
      <c r="AT614" s="151"/>
      <c r="AU614" s="151"/>
      <c r="AV614" s="151"/>
      <c r="AW614" s="151"/>
      <c r="AX614" s="151"/>
      <c r="AY614" s="151"/>
      <c r="AZ614" s="151"/>
      <c r="BA614" s="151"/>
      <c r="BB614" s="151"/>
      <c r="BC614" s="151"/>
      <c r="BD614" s="151"/>
      <c r="BE614" s="151"/>
      <c r="BF614" s="151"/>
      <c r="BG614" s="151"/>
      <c r="BH614" s="151"/>
      <c r="BI614" s="151"/>
      <c r="BJ614" s="151"/>
      <c r="BK614" s="151"/>
      <c r="BL614" s="151"/>
      <c r="BM614" s="151"/>
      <c r="BN614" s="151"/>
    </row>
    <row r="615" spans="25:66">
      <c r="Y615" s="151"/>
      <c r="Z615" s="151"/>
      <c r="AA615" s="151"/>
      <c r="AB615" s="151"/>
      <c r="AC615" s="151"/>
      <c r="AD615" s="151"/>
      <c r="AE615" s="151"/>
      <c r="AF615" s="151"/>
      <c r="AG615" s="151"/>
      <c r="AH615" s="151"/>
      <c r="AI615" s="151"/>
      <c r="AJ615" s="151"/>
      <c r="AK615" s="151"/>
      <c r="AL615" s="151"/>
      <c r="AM615" s="151"/>
      <c r="AN615" s="151"/>
      <c r="AO615" s="151"/>
      <c r="AP615" s="151"/>
      <c r="AQ615" s="151"/>
      <c r="AR615" s="151"/>
      <c r="AS615" s="151"/>
      <c r="AT615" s="151"/>
      <c r="AU615" s="151"/>
      <c r="AV615" s="151"/>
      <c r="AW615" s="151"/>
      <c r="AX615" s="151"/>
      <c r="AY615" s="151"/>
      <c r="AZ615" s="151"/>
      <c r="BA615" s="151"/>
      <c r="BB615" s="151"/>
      <c r="BC615" s="151"/>
      <c r="BD615" s="151"/>
      <c r="BE615" s="151"/>
      <c r="BF615" s="151"/>
      <c r="BG615" s="151"/>
      <c r="BH615" s="151"/>
      <c r="BI615" s="151"/>
      <c r="BJ615" s="151"/>
      <c r="BK615" s="151"/>
      <c r="BL615" s="151"/>
      <c r="BM615" s="151"/>
      <c r="BN615" s="151"/>
    </row>
    <row r="616" spans="25:66">
      <c r="Y616" s="151"/>
      <c r="Z616" s="151"/>
      <c r="AA616" s="151"/>
      <c r="AB616" s="151"/>
      <c r="AC616" s="151"/>
      <c r="AD616" s="151"/>
      <c r="AE616" s="151"/>
      <c r="AF616" s="151"/>
      <c r="AG616" s="151"/>
      <c r="AH616" s="151"/>
      <c r="AI616" s="151"/>
      <c r="AJ616" s="151"/>
      <c r="AK616" s="151"/>
      <c r="AL616" s="151"/>
      <c r="AM616" s="151"/>
      <c r="AN616" s="151"/>
      <c r="AO616" s="151"/>
      <c r="AP616" s="151"/>
      <c r="AQ616" s="151"/>
      <c r="AR616" s="151"/>
      <c r="AS616" s="151"/>
      <c r="AT616" s="151"/>
      <c r="AU616" s="151"/>
      <c r="AV616" s="151"/>
      <c r="AW616" s="151"/>
      <c r="AX616" s="151"/>
      <c r="AY616" s="151"/>
      <c r="AZ616" s="151"/>
      <c r="BA616" s="151"/>
      <c r="BB616" s="151"/>
      <c r="BC616" s="151"/>
      <c r="BD616" s="151"/>
      <c r="BE616" s="151"/>
      <c r="BF616" s="151"/>
      <c r="BG616" s="151"/>
      <c r="BH616" s="151"/>
      <c r="BI616" s="151"/>
      <c r="BJ616" s="151"/>
      <c r="BK616" s="151"/>
      <c r="BL616" s="151"/>
      <c r="BM616" s="151"/>
      <c r="BN616" s="151"/>
    </row>
    <row r="617" spans="25:66">
      <c r="Y617" s="151"/>
      <c r="Z617" s="151"/>
      <c r="AA617" s="151"/>
      <c r="AB617" s="151"/>
      <c r="AC617" s="151"/>
      <c r="AD617" s="151"/>
      <c r="AE617" s="151"/>
      <c r="AF617" s="151"/>
      <c r="AG617" s="151"/>
      <c r="AH617" s="151"/>
      <c r="AI617" s="151"/>
      <c r="AJ617" s="151"/>
      <c r="AK617" s="151"/>
      <c r="AL617" s="151"/>
      <c r="AM617" s="151"/>
      <c r="AN617" s="151"/>
      <c r="AO617" s="151"/>
      <c r="AP617" s="151"/>
      <c r="AQ617" s="151"/>
      <c r="AR617" s="151"/>
      <c r="AS617" s="151"/>
      <c r="AT617" s="151"/>
      <c r="AU617" s="151"/>
      <c r="AV617" s="151"/>
      <c r="AW617" s="151"/>
      <c r="AX617" s="151"/>
      <c r="AY617" s="151"/>
      <c r="AZ617" s="151"/>
      <c r="BA617" s="151"/>
      <c r="BB617" s="151"/>
      <c r="BC617" s="151"/>
      <c r="BD617" s="151"/>
      <c r="BE617" s="151"/>
      <c r="BF617" s="151"/>
      <c r="BG617" s="151"/>
      <c r="BH617" s="151"/>
      <c r="BI617" s="151"/>
      <c r="BJ617" s="151"/>
      <c r="BK617" s="151"/>
      <c r="BL617" s="151"/>
      <c r="BM617" s="151"/>
      <c r="BN617" s="151"/>
    </row>
    <row r="618" spans="25:66">
      <c r="Y618" s="151"/>
      <c r="Z618" s="151"/>
      <c r="AA618" s="151"/>
      <c r="AB618" s="151"/>
      <c r="AC618" s="151"/>
      <c r="AD618" s="151"/>
      <c r="AE618" s="151"/>
      <c r="AF618" s="151"/>
      <c r="AG618" s="151"/>
      <c r="AH618" s="151"/>
      <c r="AI618" s="151"/>
      <c r="AJ618" s="151"/>
      <c r="AK618" s="151"/>
      <c r="AL618" s="151"/>
      <c r="AM618" s="151"/>
      <c r="AN618" s="151"/>
      <c r="AO618" s="151"/>
      <c r="AP618" s="151"/>
      <c r="AQ618" s="151"/>
      <c r="AR618" s="151"/>
      <c r="AS618" s="151"/>
      <c r="AT618" s="151"/>
      <c r="AU618" s="151"/>
      <c r="AV618" s="151"/>
      <c r="AW618" s="151"/>
      <c r="AX618" s="151"/>
      <c r="AY618" s="151"/>
      <c r="AZ618" s="151"/>
      <c r="BA618" s="151"/>
      <c r="BB618" s="151"/>
      <c r="BC618" s="151"/>
      <c r="BD618" s="151"/>
      <c r="BE618" s="151"/>
      <c r="BF618" s="151"/>
      <c r="BG618" s="151"/>
      <c r="BH618" s="151"/>
      <c r="BI618" s="151"/>
      <c r="BJ618" s="151"/>
      <c r="BK618" s="151"/>
      <c r="BL618" s="151"/>
      <c r="BM618" s="151"/>
      <c r="BN618" s="151"/>
    </row>
    <row r="619" spans="25:66">
      <c r="Y619" s="151"/>
      <c r="Z619" s="151"/>
      <c r="AA619" s="151"/>
      <c r="AB619" s="151"/>
      <c r="AC619" s="151"/>
      <c r="AD619" s="151"/>
      <c r="AE619" s="151"/>
      <c r="AF619" s="151"/>
      <c r="AG619" s="151"/>
      <c r="AH619" s="151"/>
      <c r="AI619" s="151"/>
      <c r="AJ619" s="151"/>
      <c r="AK619" s="151"/>
      <c r="AL619" s="151"/>
      <c r="AM619" s="151"/>
      <c r="AN619" s="151"/>
      <c r="AO619" s="151"/>
      <c r="AP619" s="151"/>
      <c r="AQ619" s="151"/>
      <c r="AR619" s="151"/>
      <c r="AS619" s="151"/>
      <c r="AT619" s="151"/>
      <c r="AU619" s="151"/>
      <c r="AV619" s="151"/>
      <c r="AW619" s="151"/>
      <c r="AX619" s="151"/>
      <c r="AY619" s="151"/>
      <c r="AZ619" s="151"/>
      <c r="BA619" s="151"/>
      <c r="BB619" s="151"/>
      <c r="BC619" s="151"/>
      <c r="BD619" s="151"/>
      <c r="BE619" s="151"/>
      <c r="BF619" s="151"/>
      <c r="BG619" s="151"/>
      <c r="BH619" s="151"/>
      <c r="BI619" s="151"/>
      <c r="BJ619" s="151"/>
      <c r="BK619" s="151"/>
      <c r="BL619" s="151"/>
      <c r="BM619" s="151"/>
      <c r="BN619" s="151"/>
    </row>
    <row r="620" spans="25:66">
      <c r="Y620" s="151"/>
      <c r="Z620" s="151"/>
      <c r="AA620" s="151"/>
      <c r="AB620" s="151"/>
      <c r="AC620" s="151"/>
      <c r="AD620" s="151"/>
      <c r="AE620" s="151"/>
      <c r="AF620" s="151"/>
      <c r="AG620" s="151"/>
      <c r="AH620" s="151"/>
      <c r="AI620" s="151"/>
      <c r="AJ620" s="151"/>
      <c r="AK620" s="151"/>
      <c r="AL620" s="151"/>
      <c r="AM620" s="151"/>
      <c r="AN620" s="151"/>
      <c r="AO620" s="151"/>
      <c r="AP620" s="151"/>
      <c r="AQ620" s="151"/>
      <c r="AR620" s="151"/>
      <c r="AS620" s="151"/>
      <c r="AT620" s="151"/>
      <c r="AU620" s="151"/>
      <c r="AV620" s="151"/>
      <c r="AW620" s="151"/>
      <c r="AX620" s="151"/>
      <c r="AY620" s="151"/>
      <c r="AZ620" s="151"/>
      <c r="BA620" s="151"/>
      <c r="BB620" s="151"/>
      <c r="BC620" s="151"/>
      <c r="BD620" s="151"/>
      <c r="BE620" s="151"/>
      <c r="BF620" s="151"/>
      <c r="BG620" s="151"/>
      <c r="BH620" s="151"/>
      <c r="BI620" s="151"/>
      <c r="BJ620" s="151"/>
      <c r="BK620" s="151"/>
      <c r="BL620" s="151"/>
      <c r="BM620" s="151"/>
      <c r="BN620" s="151"/>
    </row>
    <row r="621" spans="25:66">
      <c r="Y621" s="151"/>
      <c r="Z621" s="151"/>
      <c r="AA621" s="151"/>
      <c r="AB621" s="151"/>
      <c r="AC621" s="151"/>
      <c r="AD621" s="151"/>
      <c r="AE621" s="151"/>
      <c r="AF621" s="151"/>
      <c r="AG621" s="151"/>
      <c r="AH621" s="151"/>
      <c r="AI621" s="151"/>
      <c r="AJ621" s="151"/>
      <c r="AK621" s="151"/>
      <c r="AL621" s="151"/>
      <c r="AM621" s="151"/>
      <c r="AN621" s="151"/>
      <c r="AO621" s="151"/>
      <c r="AP621" s="151"/>
      <c r="AQ621" s="151"/>
      <c r="AR621" s="151"/>
      <c r="AS621" s="151"/>
      <c r="AT621" s="151"/>
      <c r="AU621" s="151"/>
      <c r="AV621" s="151"/>
      <c r="AW621" s="151"/>
      <c r="AX621" s="151"/>
      <c r="AY621" s="151"/>
      <c r="AZ621" s="151"/>
      <c r="BA621" s="151"/>
      <c r="BB621" s="151"/>
      <c r="BC621" s="151"/>
      <c r="BD621" s="151"/>
      <c r="BE621" s="151"/>
      <c r="BF621" s="151"/>
      <c r="BG621" s="151"/>
      <c r="BH621" s="151"/>
      <c r="BI621" s="151"/>
      <c r="BJ621" s="151"/>
      <c r="BK621" s="151"/>
      <c r="BL621" s="151"/>
      <c r="BM621" s="151"/>
      <c r="BN621" s="151"/>
    </row>
    <row r="622" spans="25:66">
      <c r="Y622" s="151"/>
      <c r="Z622" s="151"/>
      <c r="AA622" s="151"/>
      <c r="AB622" s="151"/>
      <c r="AC622" s="151"/>
      <c r="AD622" s="151"/>
      <c r="AE622" s="151"/>
      <c r="AF622" s="151"/>
      <c r="AG622" s="151"/>
      <c r="AH622" s="151"/>
      <c r="AI622" s="151"/>
      <c r="AJ622" s="151"/>
      <c r="AK622" s="151"/>
      <c r="AL622" s="151"/>
      <c r="AM622" s="151"/>
      <c r="AN622" s="151"/>
      <c r="AO622" s="151"/>
      <c r="AP622" s="151"/>
      <c r="AQ622" s="151"/>
      <c r="AR622" s="151"/>
      <c r="AS622" s="151"/>
      <c r="AT622" s="151"/>
      <c r="AU622" s="151"/>
      <c r="AV622" s="151"/>
      <c r="AW622" s="151"/>
      <c r="AX622" s="151"/>
      <c r="AY622" s="151"/>
      <c r="AZ622" s="151"/>
      <c r="BA622" s="151"/>
      <c r="BB622" s="151"/>
      <c r="BC622" s="151"/>
      <c r="BD622" s="151"/>
      <c r="BE622" s="151"/>
      <c r="BF622" s="151"/>
      <c r="BG622" s="151"/>
      <c r="BH622" s="151"/>
      <c r="BI622" s="151"/>
      <c r="BJ622" s="151"/>
      <c r="BK622" s="151"/>
      <c r="BL622" s="151"/>
      <c r="BM622" s="151"/>
      <c r="BN622" s="151"/>
    </row>
    <row r="623" spans="25:66">
      <c r="Y623" s="151"/>
      <c r="Z623" s="151"/>
      <c r="AA623" s="151"/>
      <c r="AB623" s="151"/>
      <c r="AC623" s="151"/>
      <c r="AD623" s="151"/>
      <c r="AE623" s="151"/>
      <c r="AF623" s="151"/>
      <c r="AG623" s="151"/>
      <c r="AH623" s="151"/>
      <c r="AI623" s="151"/>
      <c r="AJ623" s="151"/>
      <c r="AK623" s="151"/>
      <c r="AL623" s="151"/>
      <c r="AM623" s="151"/>
      <c r="AN623" s="151"/>
      <c r="AO623" s="151"/>
      <c r="AP623" s="151"/>
      <c r="AQ623" s="151"/>
      <c r="AR623" s="151"/>
      <c r="AS623" s="151"/>
      <c r="AT623" s="151"/>
      <c r="AU623" s="151"/>
      <c r="AV623" s="151"/>
      <c r="AW623" s="151"/>
      <c r="AX623" s="151"/>
      <c r="AY623" s="151"/>
      <c r="AZ623" s="151"/>
      <c r="BA623" s="151"/>
      <c r="BB623" s="151"/>
      <c r="BC623" s="151"/>
      <c r="BD623" s="151"/>
      <c r="BE623" s="151"/>
      <c r="BF623" s="151"/>
      <c r="BG623" s="151"/>
      <c r="BH623" s="151"/>
      <c r="BI623" s="151"/>
      <c r="BJ623" s="151"/>
      <c r="BK623" s="151"/>
      <c r="BL623" s="151"/>
      <c r="BM623" s="151"/>
      <c r="BN623" s="151"/>
    </row>
    <row r="624" spans="25:66">
      <c r="Y624" s="151"/>
      <c r="Z624" s="151"/>
      <c r="AA624" s="151"/>
      <c r="AB624" s="151"/>
      <c r="AC624" s="151"/>
      <c r="AD624" s="151"/>
      <c r="AE624" s="151"/>
      <c r="AF624" s="151"/>
      <c r="AG624" s="151"/>
      <c r="AH624" s="151"/>
      <c r="AI624" s="151"/>
      <c r="AJ624" s="151"/>
      <c r="AK624" s="151"/>
      <c r="AL624" s="151"/>
      <c r="AM624" s="151"/>
      <c r="AN624" s="151"/>
      <c r="AO624" s="151"/>
      <c r="AP624" s="151"/>
      <c r="AQ624" s="151"/>
      <c r="AR624" s="151"/>
      <c r="AS624" s="151"/>
      <c r="AT624" s="151"/>
      <c r="AU624" s="151"/>
      <c r="AV624" s="151"/>
      <c r="AW624" s="151"/>
      <c r="AX624" s="151"/>
      <c r="AY624" s="151"/>
      <c r="AZ624" s="151"/>
      <c r="BA624" s="151"/>
      <c r="BB624" s="151"/>
      <c r="BC624" s="151"/>
      <c r="BD624" s="151"/>
      <c r="BE624" s="151"/>
      <c r="BF624" s="151"/>
      <c r="BG624" s="151"/>
      <c r="BH624" s="151"/>
      <c r="BI624" s="151"/>
      <c r="BJ624" s="151"/>
      <c r="BK624" s="151"/>
      <c r="BL624" s="151"/>
      <c r="BM624" s="151"/>
      <c r="BN624" s="151"/>
    </row>
    <row r="625" spans="25:66">
      <c r="Y625" s="151"/>
      <c r="Z625" s="151"/>
      <c r="AA625" s="151"/>
      <c r="AB625" s="151"/>
      <c r="AC625" s="151"/>
      <c r="AD625" s="151"/>
      <c r="AE625" s="151"/>
      <c r="AF625" s="151"/>
      <c r="AG625" s="151"/>
      <c r="AH625" s="151"/>
      <c r="AI625" s="151"/>
      <c r="AJ625" s="151"/>
      <c r="AK625" s="151"/>
      <c r="AL625" s="151"/>
      <c r="AM625" s="151"/>
      <c r="AN625" s="151"/>
      <c r="AO625" s="151"/>
      <c r="AP625" s="151"/>
      <c r="AQ625" s="151"/>
      <c r="AR625" s="151"/>
      <c r="AS625" s="151"/>
      <c r="AT625" s="151"/>
      <c r="AU625" s="151"/>
      <c r="AV625" s="151"/>
      <c r="AW625" s="151"/>
      <c r="AX625" s="151"/>
      <c r="AY625" s="151"/>
      <c r="AZ625" s="151"/>
      <c r="BA625" s="151"/>
      <c r="BB625" s="151"/>
      <c r="BC625" s="151"/>
      <c r="BD625" s="151"/>
      <c r="BE625" s="151"/>
      <c r="BF625" s="151"/>
      <c r="BG625" s="151"/>
      <c r="BH625" s="151"/>
      <c r="BI625" s="151"/>
      <c r="BJ625" s="151"/>
      <c r="BK625" s="151"/>
      <c r="BL625" s="151"/>
      <c r="BM625" s="151"/>
      <c r="BN625" s="151"/>
    </row>
    <row r="626" spans="25:66">
      <c r="Y626" s="151"/>
      <c r="Z626" s="151"/>
      <c r="AA626" s="151"/>
      <c r="AB626" s="151"/>
      <c r="AC626" s="151"/>
      <c r="AD626" s="151"/>
      <c r="AE626" s="151"/>
      <c r="AF626" s="151"/>
      <c r="AG626" s="151"/>
      <c r="AH626" s="151"/>
      <c r="AI626" s="151"/>
      <c r="AJ626" s="151"/>
      <c r="AK626" s="151"/>
      <c r="AL626" s="151"/>
      <c r="AM626" s="151"/>
      <c r="AN626" s="151"/>
      <c r="AO626" s="151"/>
      <c r="AP626" s="151"/>
      <c r="AQ626" s="151"/>
      <c r="AR626" s="151"/>
      <c r="AS626" s="151"/>
      <c r="AT626" s="151"/>
      <c r="AU626" s="151"/>
      <c r="AV626" s="151"/>
      <c r="AW626" s="151"/>
      <c r="AX626" s="151"/>
      <c r="AY626" s="151"/>
      <c r="AZ626" s="151"/>
      <c r="BA626" s="151"/>
      <c r="BB626" s="151"/>
      <c r="BC626" s="151"/>
      <c r="BD626" s="151"/>
      <c r="BE626" s="151"/>
      <c r="BF626" s="151"/>
      <c r="BG626" s="151"/>
      <c r="BH626" s="151"/>
      <c r="BI626" s="151"/>
      <c r="BJ626" s="151"/>
      <c r="BK626" s="151"/>
      <c r="BL626" s="151"/>
      <c r="BM626" s="151"/>
      <c r="BN626" s="151"/>
    </row>
    <row r="627" spans="25:66">
      <c r="Y627" s="151"/>
      <c r="Z627" s="151"/>
      <c r="AA627" s="151"/>
      <c r="AB627" s="151"/>
      <c r="AC627" s="151"/>
      <c r="AD627" s="151"/>
      <c r="AE627" s="151"/>
      <c r="AF627" s="151"/>
      <c r="AG627" s="151"/>
      <c r="AH627" s="151"/>
      <c r="AI627" s="151"/>
      <c r="AJ627" s="151"/>
      <c r="AK627" s="151"/>
      <c r="AL627" s="151"/>
      <c r="AM627" s="151"/>
      <c r="AN627" s="151"/>
      <c r="AO627" s="151"/>
      <c r="AP627" s="151"/>
      <c r="AQ627" s="151"/>
      <c r="AR627" s="151"/>
      <c r="AS627" s="151"/>
      <c r="AT627" s="151"/>
      <c r="AU627" s="151"/>
      <c r="AV627" s="151"/>
      <c r="AW627" s="151"/>
      <c r="AX627" s="151"/>
      <c r="AY627" s="151"/>
      <c r="AZ627" s="151"/>
      <c r="BA627" s="151"/>
      <c r="BB627" s="151"/>
      <c r="BC627" s="151"/>
      <c r="BD627" s="151"/>
      <c r="BE627" s="151"/>
      <c r="BF627" s="151"/>
      <c r="BG627" s="151"/>
      <c r="BH627" s="151"/>
      <c r="BI627" s="151"/>
      <c r="BJ627" s="151"/>
      <c r="BK627" s="151"/>
      <c r="BL627" s="151"/>
      <c r="BM627" s="151"/>
      <c r="BN627" s="151"/>
    </row>
    <row r="628" spans="25:66">
      <c r="Y628" s="151"/>
      <c r="Z628" s="151"/>
      <c r="AA628" s="151"/>
      <c r="AB628" s="151"/>
      <c r="AC628" s="151"/>
      <c r="AD628" s="151"/>
      <c r="AE628" s="151"/>
      <c r="AF628" s="151"/>
      <c r="AG628" s="151"/>
      <c r="AH628" s="151"/>
      <c r="AI628" s="151"/>
      <c r="AJ628" s="151"/>
      <c r="AK628" s="151"/>
      <c r="AL628" s="151"/>
      <c r="AM628" s="151"/>
      <c r="AN628" s="151"/>
      <c r="AO628" s="151"/>
      <c r="AP628" s="151"/>
      <c r="AQ628" s="151"/>
      <c r="AR628" s="151"/>
      <c r="AS628" s="151"/>
      <c r="AT628" s="151"/>
      <c r="AU628" s="151"/>
      <c r="AV628" s="151"/>
      <c r="AW628" s="151"/>
      <c r="AX628" s="151"/>
      <c r="AY628" s="151"/>
      <c r="AZ628" s="151"/>
      <c r="BA628" s="151"/>
      <c r="BB628" s="151"/>
      <c r="BC628" s="151"/>
      <c r="BD628" s="151"/>
      <c r="BE628" s="151"/>
      <c r="BF628" s="151"/>
      <c r="BG628" s="151"/>
      <c r="BH628" s="151"/>
      <c r="BI628" s="151"/>
      <c r="BJ628" s="151"/>
      <c r="BK628" s="151"/>
      <c r="BL628" s="151"/>
      <c r="BM628" s="151"/>
      <c r="BN628" s="151"/>
    </row>
    <row r="629" spans="25:66">
      <c r="Y629" s="151"/>
      <c r="Z629" s="151"/>
      <c r="AA629" s="151"/>
      <c r="AB629" s="151"/>
      <c r="AC629" s="151"/>
      <c r="AD629" s="151"/>
      <c r="AE629" s="151"/>
      <c r="AF629" s="151"/>
      <c r="AG629" s="151"/>
      <c r="AH629" s="151"/>
      <c r="AI629" s="151"/>
      <c r="AJ629" s="151"/>
      <c r="AK629" s="151"/>
      <c r="AL629" s="151"/>
      <c r="AM629" s="151"/>
      <c r="AN629" s="151"/>
      <c r="AO629" s="151"/>
      <c r="AP629" s="151"/>
      <c r="AQ629" s="151"/>
      <c r="AR629" s="151"/>
      <c r="AS629" s="151"/>
      <c r="AT629" s="151"/>
      <c r="AU629" s="151"/>
      <c r="AV629" s="151"/>
      <c r="AW629" s="151"/>
      <c r="AX629" s="151"/>
      <c r="AY629" s="151"/>
      <c r="AZ629" s="151"/>
      <c r="BA629" s="151"/>
      <c r="BB629" s="151"/>
      <c r="BC629" s="151"/>
      <c r="BD629" s="151"/>
      <c r="BE629" s="151"/>
      <c r="BF629" s="151"/>
      <c r="BG629" s="151"/>
      <c r="BH629" s="151"/>
      <c r="BI629" s="151"/>
      <c r="BJ629" s="151"/>
      <c r="BK629" s="151"/>
      <c r="BL629" s="151"/>
      <c r="BM629" s="151"/>
      <c r="BN629" s="151"/>
    </row>
    <row r="630" spans="25:66">
      <c r="Y630" s="151"/>
      <c r="Z630" s="151"/>
      <c r="AA630" s="151"/>
      <c r="AB630" s="151"/>
      <c r="AC630" s="151"/>
      <c r="AD630" s="151"/>
      <c r="AE630" s="151"/>
      <c r="AF630" s="151"/>
      <c r="AG630" s="151"/>
      <c r="AH630" s="151"/>
      <c r="AI630" s="151"/>
      <c r="AJ630" s="151"/>
      <c r="AK630" s="151"/>
      <c r="AL630" s="151"/>
      <c r="AM630" s="151"/>
      <c r="AN630" s="151"/>
      <c r="AO630" s="151"/>
      <c r="AP630" s="151"/>
      <c r="AQ630" s="151"/>
      <c r="AR630" s="151"/>
      <c r="AS630" s="151"/>
      <c r="AT630" s="151"/>
      <c r="AU630" s="151"/>
      <c r="AV630" s="151"/>
      <c r="AW630" s="151"/>
      <c r="AX630" s="151"/>
      <c r="AY630" s="151"/>
      <c r="AZ630" s="151"/>
      <c r="BA630" s="151"/>
      <c r="BB630" s="151"/>
      <c r="BC630" s="151"/>
      <c r="BD630" s="151"/>
      <c r="BE630" s="151"/>
      <c r="BF630" s="151"/>
      <c r="BG630" s="151"/>
      <c r="BH630" s="151"/>
      <c r="BI630" s="151"/>
      <c r="BJ630" s="151"/>
      <c r="BK630" s="151"/>
      <c r="BL630" s="151"/>
      <c r="BM630" s="151"/>
      <c r="BN630" s="151"/>
    </row>
    <row r="631" spans="25:66">
      <c r="Y631" s="151"/>
      <c r="Z631" s="151"/>
      <c r="AA631" s="151"/>
      <c r="AB631" s="151"/>
      <c r="AC631" s="151"/>
      <c r="AD631" s="151"/>
      <c r="AE631" s="151"/>
      <c r="AF631" s="151"/>
      <c r="AG631" s="151"/>
      <c r="AH631" s="151"/>
      <c r="AI631" s="151"/>
      <c r="AJ631" s="151"/>
      <c r="AK631" s="151"/>
      <c r="AL631" s="151"/>
      <c r="AM631" s="151"/>
      <c r="AN631" s="151"/>
      <c r="AO631" s="151"/>
      <c r="AP631" s="151"/>
      <c r="AQ631" s="151"/>
      <c r="AR631" s="151"/>
      <c r="AS631" s="151"/>
      <c r="AT631" s="151"/>
      <c r="AU631" s="151"/>
      <c r="AV631" s="151"/>
      <c r="AW631" s="151"/>
      <c r="AX631" s="151"/>
      <c r="AY631" s="151"/>
      <c r="AZ631" s="151"/>
      <c r="BA631" s="151"/>
      <c r="BB631" s="151"/>
      <c r="BC631" s="151"/>
      <c r="BD631" s="151"/>
      <c r="BE631" s="151"/>
      <c r="BF631" s="151"/>
      <c r="BG631" s="151"/>
      <c r="BH631" s="151"/>
      <c r="BI631" s="151"/>
      <c r="BJ631" s="151"/>
      <c r="BK631" s="151"/>
      <c r="BL631" s="151"/>
      <c r="BM631" s="151"/>
      <c r="BN631" s="151"/>
    </row>
    <row r="632" spans="25:66">
      <c r="Y632" s="151"/>
      <c r="Z632" s="151"/>
      <c r="AA632" s="151"/>
      <c r="AB632" s="151"/>
      <c r="AC632" s="151"/>
      <c r="AD632" s="151"/>
      <c r="AE632" s="151"/>
      <c r="AF632" s="151"/>
      <c r="AG632" s="151"/>
      <c r="AH632" s="151"/>
      <c r="AI632" s="151"/>
      <c r="AJ632" s="151"/>
      <c r="AK632" s="151"/>
      <c r="AL632" s="151"/>
      <c r="AM632" s="151"/>
      <c r="AN632" s="151"/>
      <c r="AO632" s="151"/>
      <c r="AP632" s="151"/>
      <c r="AQ632" s="151"/>
      <c r="AR632" s="151"/>
      <c r="AS632" s="151"/>
      <c r="AT632" s="151"/>
      <c r="AU632" s="151"/>
      <c r="AV632" s="151"/>
      <c r="AW632" s="151"/>
      <c r="AX632" s="151"/>
      <c r="AY632" s="151"/>
      <c r="AZ632" s="151"/>
      <c r="BA632" s="151"/>
      <c r="BB632" s="151"/>
      <c r="BC632" s="151"/>
      <c r="BD632" s="151"/>
      <c r="BE632" s="151"/>
      <c r="BF632" s="151"/>
      <c r="BG632" s="151"/>
      <c r="BH632" s="151"/>
      <c r="BI632" s="151"/>
      <c r="BJ632" s="151"/>
      <c r="BK632" s="151"/>
      <c r="BL632" s="151"/>
      <c r="BM632" s="151"/>
      <c r="BN632" s="151"/>
    </row>
    <row r="633" spans="25:66">
      <c r="Y633" s="151"/>
      <c r="Z633" s="151"/>
      <c r="AA633" s="151"/>
      <c r="AB633" s="151"/>
      <c r="AC633" s="151"/>
      <c r="AD633" s="151"/>
      <c r="AE633" s="151"/>
      <c r="AF633" s="151"/>
      <c r="AG633" s="151"/>
      <c r="AH633" s="151"/>
      <c r="AI633" s="151"/>
      <c r="AJ633" s="151"/>
      <c r="AK633" s="151"/>
      <c r="AL633" s="151"/>
      <c r="AM633" s="151"/>
      <c r="AN633" s="151"/>
      <c r="AO633" s="151"/>
      <c r="AP633" s="151"/>
      <c r="AQ633" s="151"/>
      <c r="AR633" s="151"/>
      <c r="AS633" s="151"/>
      <c r="AT633" s="151"/>
      <c r="AU633" s="151"/>
      <c r="AV633" s="151"/>
      <c r="AW633" s="151"/>
      <c r="AX633" s="151"/>
      <c r="AY633" s="151"/>
      <c r="AZ633" s="151"/>
      <c r="BA633" s="151"/>
      <c r="BB633" s="151"/>
      <c r="BC633" s="151"/>
      <c r="BD633" s="151"/>
      <c r="BE633" s="151"/>
      <c r="BF633" s="151"/>
      <c r="BG633" s="151"/>
      <c r="BH633" s="151"/>
      <c r="BI633" s="151"/>
      <c r="BJ633" s="151"/>
      <c r="BK633" s="151"/>
      <c r="BL633" s="151"/>
      <c r="BM633" s="151"/>
      <c r="BN633" s="151"/>
    </row>
    <row r="634" spans="25:66">
      <c r="Y634" s="151"/>
      <c r="Z634" s="151"/>
      <c r="AA634" s="151"/>
      <c r="AB634" s="151"/>
      <c r="AC634" s="151"/>
      <c r="AD634" s="151"/>
      <c r="AE634" s="151"/>
      <c r="AF634" s="151"/>
      <c r="AG634" s="151"/>
      <c r="AH634" s="151"/>
      <c r="AI634" s="151"/>
      <c r="AJ634" s="151"/>
      <c r="AK634" s="151"/>
      <c r="AL634" s="151"/>
      <c r="AM634" s="151"/>
      <c r="AN634" s="151"/>
      <c r="AO634" s="151"/>
      <c r="AP634" s="151"/>
      <c r="AQ634" s="151"/>
      <c r="AR634" s="151"/>
      <c r="AS634" s="151"/>
      <c r="AT634" s="151"/>
      <c r="AU634" s="151"/>
      <c r="AV634" s="151"/>
      <c r="AW634" s="151"/>
      <c r="AX634" s="151"/>
      <c r="AY634" s="151"/>
      <c r="AZ634" s="151"/>
      <c r="BA634" s="151"/>
      <c r="BB634" s="151"/>
      <c r="BC634" s="151"/>
      <c r="BD634" s="151"/>
      <c r="BE634" s="151"/>
      <c r="BF634" s="151"/>
      <c r="BG634" s="151"/>
      <c r="BH634" s="151"/>
      <c r="BI634" s="151"/>
      <c r="BJ634" s="151"/>
      <c r="BK634" s="151"/>
      <c r="BL634" s="151"/>
      <c r="BM634" s="151"/>
      <c r="BN634" s="151"/>
    </row>
    <row r="635" spans="25:66">
      <c r="Y635" s="151"/>
      <c r="Z635" s="151"/>
      <c r="AA635" s="151"/>
      <c r="AB635" s="151"/>
      <c r="AC635" s="151"/>
      <c r="AD635" s="151"/>
      <c r="AE635" s="151"/>
      <c r="AF635" s="151"/>
      <c r="AG635" s="151"/>
      <c r="AH635" s="151"/>
      <c r="AI635" s="151"/>
      <c r="AJ635" s="151"/>
      <c r="AK635" s="151"/>
      <c r="AL635" s="151"/>
      <c r="AM635" s="151"/>
      <c r="AN635" s="151"/>
      <c r="AO635" s="151"/>
      <c r="AP635" s="151"/>
      <c r="AQ635" s="151"/>
      <c r="AR635" s="151"/>
      <c r="AS635" s="151"/>
      <c r="AT635" s="151"/>
      <c r="AU635" s="151"/>
      <c r="AV635" s="151"/>
      <c r="AW635" s="151"/>
      <c r="AX635" s="151"/>
      <c r="AY635" s="151"/>
      <c r="AZ635" s="151"/>
      <c r="BA635" s="151"/>
      <c r="BB635" s="151"/>
      <c r="BC635" s="151"/>
      <c r="BD635" s="151"/>
      <c r="BE635" s="151"/>
      <c r="BF635" s="151"/>
      <c r="BG635" s="151"/>
      <c r="BH635" s="151"/>
      <c r="BI635" s="151"/>
      <c r="BJ635" s="151"/>
      <c r="BK635" s="151"/>
      <c r="BL635" s="151"/>
      <c r="BM635" s="151"/>
      <c r="BN635" s="151"/>
    </row>
    <row r="636" spans="25:66">
      <c r="Y636" s="151"/>
      <c r="Z636" s="151"/>
      <c r="AA636" s="151"/>
      <c r="AB636" s="151"/>
      <c r="AC636" s="151"/>
      <c r="AD636" s="151"/>
      <c r="AE636" s="151"/>
      <c r="AF636" s="151"/>
      <c r="AG636" s="151"/>
      <c r="AH636" s="151"/>
      <c r="AI636" s="151"/>
      <c r="AJ636" s="151"/>
      <c r="AK636" s="151"/>
      <c r="AL636" s="151"/>
      <c r="AM636" s="151"/>
      <c r="AN636" s="151"/>
      <c r="AO636" s="151"/>
      <c r="AP636" s="151"/>
      <c r="AQ636" s="151"/>
      <c r="AR636" s="151"/>
      <c r="AS636" s="151"/>
      <c r="AT636" s="151"/>
      <c r="AU636" s="151"/>
      <c r="AV636" s="151"/>
      <c r="AW636" s="151"/>
      <c r="AX636" s="151"/>
      <c r="AY636" s="151"/>
      <c r="AZ636" s="151"/>
      <c r="BA636" s="151"/>
      <c r="BB636" s="151"/>
      <c r="BC636" s="151"/>
      <c r="BD636" s="151"/>
      <c r="BE636" s="151"/>
      <c r="BF636" s="151"/>
      <c r="BG636" s="151"/>
      <c r="BH636" s="151"/>
      <c r="BI636" s="151"/>
      <c r="BJ636" s="151"/>
      <c r="BK636" s="151"/>
      <c r="BL636" s="151"/>
      <c r="BM636" s="151"/>
      <c r="BN636" s="151"/>
    </row>
    <row r="637" spans="25:66">
      <c r="Y637" s="151"/>
      <c r="Z637" s="151"/>
      <c r="AA637" s="151"/>
      <c r="AB637" s="151"/>
      <c r="AC637" s="151"/>
      <c r="AD637" s="151"/>
      <c r="AE637" s="151"/>
      <c r="AF637" s="151"/>
      <c r="AG637" s="151"/>
      <c r="AH637" s="151"/>
      <c r="AI637" s="151"/>
      <c r="AJ637" s="151"/>
      <c r="AK637" s="151"/>
      <c r="AL637" s="151"/>
      <c r="AM637" s="151"/>
      <c r="AN637" s="151"/>
      <c r="AO637" s="151"/>
      <c r="AP637" s="151"/>
      <c r="AQ637" s="151"/>
      <c r="AR637" s="151"/>
      <c r="AS637" s="151"/>
      <c r="AT637" s="151"/>
      <c r="AU637" s="151"/>
      <c r="AV637" s="151"/>
      <c r="AW637" s="151"/>
      <c r="AX637" s="151"/>
      <c r="AY637" s="151"/>
      <c r="AZ637" s="151"/>
      <c r="BA637" s="151"/>
      <c r="BB637" s="151"/>
      <c r="BC637" s="151"/>
      <c r="BD637" s="151"/>
      <c r="BE637" s="151"/>
      <c r="BF637" s="151"/>
      <c r="BG637" s="151"/>
      <c r="BH637" s="151"/>
      <c r="BI637" s="151"/>
      <c r="BJ637" s="151"/>
      <c r="BK637" s="151"/>
      <c r="BL637" s="151"/>
      <c r="BM637" s="151"/>
      <c r="BN637" s="151"/>
    </row>
    <row r="638" spans="25:66">
      <c r="Y638" s="151"/>
      <c r="Z638" s="151"/>
      <c r="AA638" s="151"/>
      <c r="AB638" s="151"/>
      <c r="AC638" s="151"/>
      <c r="AD638" s="151"/>
      <c r="AE638" s="151"/>
      <c r="AF638" s="151"/>
      <c r="AG638" s="151"/>
      <c r="AH638" s="151"/>
      <c r="AI638" s="151"/>
      <c r="AJ638" s="151"/>
      <c r="AK638" s="151"/>
      <c r="AL638" s="151"/>
      <c r="AM638" s="151"/>
      <c r="AN638" s="151"/>
      <c r="AO638" s="151"/>
      <c r="AP638" s="151"/>
      <c r="AQ638" s="151"/>
      <c r="AR638" s="151"/>
      <c r="AS638" s="151"/>
      <c r="AT638" s="151"/>
      <c r="AU638" s="151"/>
      <c r="AV638" s="151"/>
      <c r="AW638" s="151"/>
      <c r="AX638" s="151"/>
      <c r="AY638" s="151"/>
      <c r="AZ638" s="151"/>
      <c r="BA638" s="151"/>
      <c r="BB638" s="151"/>
      <c r="BC638" s="151"/>
      <c r="BD638" s="151"/>
      <c r="BE638" s="151"/>
      <c r="BF638" s="151"/>
      <c r="BG638" s="151"/>
      <c r="BH638" s="151"/>
      <c r="BI638" s="151"/>
      <c r="BJ638" s="151"/>
      <c r="BK638" s="151"/>
      <c r="BL638" s="151"/>
      <c r="BM638" s="151"/>
      <c r="BN638" s="151"/>
    </row>
    <row r="639" spans="25:66">
      <c r="Y639" s="151"/>
      <c r="Z639" s="151"/>
      <c r="AA639" s="151"/>
      <c r="AB639" s="151"/>
      <c r="AC639" s="151"/>
      <c r="AD639" s="151"/>
      <c r="AE639" s="151"/>
      <c r="AF639" s="151"/>
      <c r="AG639" s="151"/>
      <c r="AH639" s="151"/>
      <c r="AI639" s="151"/>
      <c r="AJ639" s="151"/>
      <c r="AK639" s="151"/>
      <c r="AL639" s="151"/>
      <c r="AM639" s="151"/>
      <c r="AN639" s="151"/>
      <c r="AO639" s="151"/>
      <c r="AP639" s="151"/>
      <c r="AQ639" s="151"/>
      <c r="AR639" s="151"/>
      <c r="AS639" s="151"/>
      <c r="AT639" s="151"/>
      <c r="AU639" s="151"/>
      <c r="AV639" s="151"/>
      <c r="AW639" s="151"/>
      <c r="AX639" s="151"/>
      <c r="AY639" s="151"/>
      <c r="AZ639" s="151"/>
      <c r="BA639" s="151"/>
      <c r="BB639" s="151"/>
      <c r="BC639" s="151"/>
      <c r="BD639" s="151"/>
      <c r="BE639" s="151"/>
      <c r="BF639" s="151"/>
      <c r="BG639" s="151"/>
      <c r="BH639" s="151"/>
      <c r="BI639" s="151"/>
      <c r="BJ639" s="151"/>
      <c r="BK639" s="151"/>
      <c r="BL639" s="151"/>
      <c r="BM639" s="151"/>
      <c r="BN639" s="151"/>
    </row>
    <row r="640" spans="25:66">
      <c r="Y640" s="151"/>
      <c r="Z640" s="151"/>
      <c r="AA640" s="151"/>
      <c r="AB640" s="151"/>
      <c r="AC640" s="151"/>
      <c r="AD640" s="151"/>
      <c r="AE640" s="151"/>
      <c r="AF640" s="151"/>
      <c r="AG640" s="151"/>
      <c r="AH640" s="151"/>
      <c r="AI640" s="151"/>
      <c r="AJ640" s="151"/>
      <c r="AK640" s="151"/>
      <c r="AL640" s="151"/>
      <c r="AM640" s="151"/>
      <c r="AN640" s="151"/>
      <c r="AO640" s="151"/>
      <c r="AP640" s="151"/>
      <c r="AQ640" s="151"/>
      <c r="AR640" s="151"/>
      <c r="AS640" s="151"/>
      <c r="AT640" s="151"/>
      <c r="AU640" s="151"/>
      <c r="AV640" s="151"/>
      <c r="AW640" s="151"/>
      <c r="AX640" s="151"/>
      <c r="AY640" s="151"/>
      <c r="AZ640" s="151"/>
      <c r="BA640" s="151"/>
      <c r="BB640" s="151"/>
      <c r="BC640" s="151"/>
      <c r="BD640" s="151"/>
      <c r="BE640" s="151"/>
      <c r="BF640" s="151"/>
      <c r="BG640" s="151"/>
      <c r="BH640" s="151"/>
      <c r="BI640" s="151"/>
      <c r="BJ640" s="151"/>
      <c r="BK640" s="151"/>
      <c r="BL640" s="151"/>
      <c r="BM640" s="151"/>
      <c r="BN640" s="151"/>
    </row>
    <row r="641" spans="25:66">
      <c r="Y641" s="151"/>
      <c r="Z641" s="151"/>
      <c r="AA641" s="151"/>
      <c r="AB641" s="151"/>
      <c r="AC641" s="151"/>
      <c r="AD641" s="151"/>
      <c r="AE641" s="151"/>
      <c r="AF641" s="151"/>
      <c r="AG641" s="151"/>
      <c r="AH641" s="151"/>
      <c r="AI641" s="151"/>
      <c r="AJ641" s="151"/>
      <c r="AK641" s="151"/>
      <c r="AL641" s="151"/>
      <c r="AM641" s="151"/>
      <c r="AN641" s="151"/>
      <c r="AO641" s="151"/>
      <c r="AP641" s="151"/>
      <c r="AQ641" s="151"/>
      <c r="AR641" s="151"/>
      <c r="AS641" s="151"/>
      <c r="AT641" s="151"/>
      <c r="AU641" s="151"/>
      <c r="AV641" s="151"/>
      <c r="AW641" s="151"/>
      <c r="AX641" s="151"/>
      <c r="AY641" s="151"/>
      <c r="AZ641" s="151"/>
      <c r="BA641" s="151"/>
      <c r="BB641" s="151"/>
      <c r="BC641" s="151"/>
      <c r="BD641" s="151"/>
      <c r="BE641" s="151"/>
      <c r="BF641" s="151"/>
      <c r="BG641" s="151"/>
      <c r="BH641" s="151"/>
      <c r="BI641" s="151"/>
      <c r="BJ641" s="151"/>
      <c r="BK641" s="151"/>
      <c r="BL641" s="151"/>
      <c r="BM641" s="151"/>
      <c r="BN641" s="151"/>
    </row>
    <row r="642" spans="25:66">
      <c r="Y642" s="151"/>
      <c r="Z642" s="151"/>
      <c r="AA642" s="151"/>
      <c r="AB642" s="151"/>
      <c r="AC642" s="151"/>
      <c r="AD642" s="151"/>
      <c r="AE642" s="151"/>
      <c r="AF642" s="151"/>
      <c r="AG642" s="151"/>
      <c r="AH642" s="151"/>
      <c r="AI642" s="151"/>
      <c r="AJ642" s="151"/>
      <c r="AK642" s="151"/>
      <c r="AL642" s="151"/>
      <c r="AM642" s="151"/>
      <c r="AN642" s="151"/>
      <c r="AO642" s="151"/>
      <c r="AP642" s="151"/>
      <c r="AQ642" s="151"/>
      <c r="AR642" s="151"/>
      <c r="AS642" s="151"/>
      <c r="AT642" s="151"/>
      <c r="AU642" s="151"/>
      <c r="AV642" s="151"/>
      <c r="AW642" s="151"/>
      <c r="AX642" s="151"/>
      <c r="AY642" s="151"/>
      <c r="AZ642" s="151"/>
      <c r="BA642" s="151"/>
      <c r="BB642" s="151"/>
      <c r="BC642" s="151"/>
      <c r="BD642" s="151"/>
      <c r="BE642" s="151"/>
      <c r="BF642" s="151"/>
      <c r="BG642" s="151"/>
      <c r="BH642" s="151"/>
      <c r="BI642" s="151"/>
      <c r="BJ642" s="151"/>
      <c r="BK642" s="151"/>
      <c r="BL642" s="151"/>
      <c r="BM642" s="151"/>
      <c r="BN642" s="151"/>
    </row>
    <row r="643" spans="25:66">
      <c r="Y643" s="151"/>
      <c r="Z643" s="151"/>
      <c r="AA643" s="151"/>
      <c r="AB643" s="151"/>
      <c r="AC643" s="151"/>
      <c r="AD643" s="151"/>
      <c r="AE643" s="151"/>
      <c r="AF643" s="151"/>
      <c r="AG643" s="151"/>
      <c r="AH643" s="151"/>
      <c r="AI643" s="151"/>
      <c r="AJ643" s="151"/>
      <c r="AK643" s="151"/>
      <c r="AL643" s="151"/>
      <c r="AM643" s="151"/>
      <c r="AN643" s="151"/>
      <c r="AO643" s="151"/>
      <c r="AP643" s="151"/>
      <c r="AQ643" s="151"/>
      <c r="AR643" s="151"/>
      <c r="AS643" s="151"/>
      <c r="AT643" s="151"/>
      <c r="AU643" s="151"/>
      <c r="AV643" s="151"/>
      <c r="AW643" s="151"/>
      <c r="AX643" s="151"/>
      <c r="AY643" s="151"/>
      <c r="AZ643" s="151"/>
      <c r="BA643" s="151"/>
      <c r="BB643" s="151"/>
      <c r="BC643" s="151"/>
      <c r="BD643" s="151"/>
      <c r="BE643" s="151"/>
      <c r="BF643" s="151"/>
      <c r="BG643" s="151"/>
      <c r="BH643" s="151"/>
      <c r="BI643" s="151"/>
      <c r="BJ643" s="151"/>
      <c r="BK643" s="151"/>
      <c r="BL643" s="151"/>
      <c r="BM643" s="151"/>
      <c r="BN643" s="151"/>
    </row>
    <row r="644" spans="25:66">
      <c r="Y644" s="151"/>
      <c r="Z644" s="151"/>
      <c r="AA644" s="151"/>
      <c r="AB644" s="151"/>
      <c r="AC644" s="151"/>
      <c r="AD644" s="151"/>
      <c r="AE644" s="151"/>
      <c r="AF644" s="151"/>
      <c r="AG644" s="151"/>
      <c r="AH644" s="151"/>
      <c r="AI644" s="151"/>
      <c r="AJ644" s="151"/>
      <c r="AK644" s="151"/>
      <c r="AL644" s="151"/>
      <c r="AM644" s="151"/>
      <c r="AN644" s="151"/>
      <c r="AO644" s="151"/>
      <c r="AP644" s="151"/>
      <c r="AQ644" s="151"/>
      <c r="AR644" s="151"/>
      <c r="AS644" s="151"/>
      <c r="AT644" s="151"/>
      <c r="AU644" s="151"/>
      <c r="AV644" s="151"/>
      <c r="AW644" s="151"/>
      <c r="AX644" s="151"/>
      <c r="AY644" s="151"/>
      <c r="AZ644" s="151"/>
      <c r="BA644" s="151"/>
      <c r="BB644" s="151"/>
      <c r="BC644" s="151"/>
      <c r="BD644" s="151"/>
      <c r="BE644" s="151"/>
      <c r="BF644" s="151"/>
      <c r="BG644" s="151"/>
      <c r="BH644" s="151"/>
      <c r="BI644" s="151"/>
      <c r="BJ644" s="151"/>
      <c r="BK644" s="151"/>
      <c r="BL644" s="151"/>
      <c r="BM644" s="151"/>
      <c r="BN644" s="151"/>
    </row>
    <row r="645" spans="25:66">
      <c r="Y645" s="151"/>
      <c r="Z645" s="151"/>
      <c r="AA645" s="151"/>
      <c r="AB645" s="151"/>
      <c r="AC645" s="151"/>
      <c r="AD645" s="151"/>
      <c r="AE645" s="151"/>
      <c r="AF645" s="151"/>
      <c r="AG645" s="151"/>
      <c r="AH645" s="151"/>
      <c r="AI645" s="151"/>
      <c r="AJ645" s="151"/>
      <c r="AK645" s="151"/>
      <c r="AL645" s="151"/>
      <c r="AM645" s="151"/>
      <c r="AN645" s="151"/>
      <c r="AO645" s="151"/>
      <c r="AP645" s="151"/>
      <c r="AQ645" s="151"/>
      <c r="AR645" s="151"/>
      <c r="AS645" s="151"/>
      <c r="AT645" s="151"/>
      <c r="AU645" s="151"/>
      <c r="AV645" s="151"/>
      <c r="AW645" s="151"/>
      <c r="AX645" s="151"/>
      <c r="AY645" s="151"/>
      <c r="AZ645" s="151"/>
      <c r="BA645" s="151"/>
      <c r="BB645" s="151"/>
      <c r="BC645" s="151"/>
      <c r="BD645" s="151"/>
      <c r="BE645" s="151"/>
      <c r="BF645" s="151"/>
      <c r="BG645" s="151"/>
      <c r="BH645" s="151"/>
      <c r="BI645" s="151"/>
      <c r="BJ645" s="151"/>
      <c r="BK645" s="151"/>
      <c r="BL645" s="151"/>
      <c r="BM645" s="151"/>
      <c r="BN645" s="151"/>
    </row>
    <row r="646" spans="25:66">
      <c r="Y646" s="151"/>
      <c r="Z646" s="151"/>
      <c r="AA646" s="151"/>
      <c r="AB646" s="151"/>
      <c r="AC646" s="151"/>
      <c r="AD646" s="151"/>
      <c r="AE646" s="151"/>
      <c r="AF646" s="151"/>
      <c r="AG646" s="151"/>
      <c r="AH646" s="151"/>
      <c r="AI646" s="151"/>
      <c r="AJ646" s="151"/>
      <c r="AK646" s="151"/>
      <c r="AL646" s="151"/>
      <c r="AM646" s="151"/>
      <c r="AN646" s="151"/>
      <c r="AO646" s="151"/>
      <c r="AP646" s="151"/>
      <c r="AQ646" s="151"/>
      <c r="AR646" s="151"/>
      <c r="AS646" s="151"/>
      <c r="AT646" s="151"/>
      <c r="AU646" s="151"/>
      <c r="AV646" s="151"/>
      <c r="AW646" s="151"/>
      <c r="AX646" s="151"/>
      <c r="AY646" s="151"/>
      <c r="AZ646" s="151"/>
      <c r="BA646" s="151"/>
      <c r="BB646" s="151"/>
      <c r="BC646" s="151"/>
      <c r="BD646" s="151"/>
      <c r="BE646" s="151"/>
      <c r="BF646" s="151"/>
      <c r="BG646" s="151"/>
      <c r="BH646" s="151"/>
      <c r="BI646" s="151"/>
      <c r="BJ646" s="151"/>
      <c r="BK646" s="151"/>
      <c r="BL646" s="151"/>
      <c r="BM646" s="151"/>
      <c r="BN646" s="151"/>
    </row>
    <row r="647" spans="25:66">
      <c r="Y647" s="151"/>
      <c r="Z647" s="151"/>
      <c r="AA647" s="151"/>
      <c r="AB647" s="151"/>
      <c r="AC647" s="151"/>
      <c r="AD647" s="151"/>
      <c r="AE647" s="151"/>
      <c r="AF647" s="151"/>
      <c r="AG647" s="151"/>
      <c r="AH647" s="151"/>
      <c r="AI647" s="151"/>
      <c r="AJ647" s="151"/>
      <c r="AK647" s="151"/>
      <c r="AL647" s="151"/>
      <c r="AM647" s="151"/>
      <c r="AN647" s="151"/>
      <c r="AO647" s="151"/>
      <c r="AP647" s="151"/>
      <c r="AQ647" s="151"/>
      <c r="AR647" s="151"/>
      <c r="AS647" s="151"/>
      <c r="AT647" s="151"/>
      <c r="AU647" s="151"/>
      <c r="AV647" s="151"/>
      <c r="AW647" s="151"/>
      <c r="AX647" s="151"/>
      <c r="AY647" s="151"/>
      <c r="AZ647" s="151"/>
      <c r="BA647" s="151"/>
      <c r="BB647" s="151"/>
      <c r="BC647" s="151"/>
      <c r="BD647" s="151"/>
      <c r="BE647" s="151"/>
      <c r="BF647" s="151"/>
      <c r="BG647" s="151"/>
      <c r="BH647" s="151"/>
      <c r="BI647" s="151"/>
      <c r="BJ647" s="151"/>
      <c r="BK647" s="151"/>
      <c r="BL647" s="151"/>
      <c r="BM647" s="151"/>
      <c r="BN647" s="151"/>
    </row>
    <row r="648" spans="25:66">
      <c r="Y648" s="151"/>
      <c r="Z648" s="151"/>
      <c r="AA648" s="151"/>
      <c r="AB648" s="151"/>
      <c r="AC648" s="151"/>
      <c r="AD648" s="151"/>
      <c r="AE648" s="151"/>
      <c r="AF648" s="151"/>
      <c r="AG648" s="151"/>
      <c r="AH648" s="151"/>
      <c r="AI648" s="151"/>
      <c r="AJ648" s="151"/>
      <c r="AK648" s="151"/>
      <c r="AL648" s="151"/>
      <c r="AM648" s="151"/>
      <c r="AN648" s="151"/>
      <c r="AO648" s="151"/>
      <c r="AP648" s="151"/>
      <c r="AQ648" s="151"/>
      <c r="AR648" s="151"/>
      <c r="AS648" s="151"/>
      <c r="AT648" s="151"/>
      <c r="AU648" s="151"/>
      <c r="AV648" s="151"/>
      <c r="AW648" s="151"/>
      <c r="AX648" s="151"/>
      <c r="AY648" s="151"/>
      <c r="AZ648" s="151"/>
      <c r="BA648" s="151"/>
      <c r="BB648" s="151"/>
      <c r="BC648" s="151"/>
      <c r="BD648" s="151"/>
      <c r="BE648" s="151"/>
      <c r="BF648" s="151"/>
      <c r="BG648" s="151"/>
      <c r="BH648" s="151"/>
      <c r="BI648" s="151"/>
      <c r="BJ648" s="151"/>
      <c r="BK648" s="151"/>
      <c r="BL648" s="151"/>
      <c r="BM648" s="151"/>
      <c r="BN648" s="151"/>
    </row>
    <row r="649" spans="25:66">
      <c r="Y649" s="151"/>
      <c r="Z649" s="151"/>
      <c r="AA649" s="151"/>
      <c r="AB649" s="151"/>
      <c r="AC649" s="151"/>
      <c r="AD649" s="151"/>
      <c r="AE649" s="151"/>
      <c r="AF649" s="151"/>
      <c r="AG649" s="151"/>
      <c r="AH649" s="151"/>
      <c r="AI649" s="151"/>
      <c r="AJ649" s="151"/>
      <c r="AK649" s="151"/>
      <c r="AL649" s="151"/>
      <c r="AM649" s="151"/>
      <c r="AN649" s="151"/>
      <c r="AO649" s="151"/>
      <c r="AP649" s="151"/>
      <c r="AQ649" s="151"/>
      <c r="AR649" s="151"/>
      <c r="AS649" s="151"/>
      <c r="AT649" s="151"/>
      <c r="AU649" s="151"/>
      <c r="AV649" s="151"/>
      <c r="AW649" s="151"/>
      <c r="AX649" s="151"/>
      <c r="AY649" s="151"/>
      <c r="AZ649" s="151"/>
      <c r="BA649" s="151"/>
      <c r="BB649" s="151"/>
      <c r="BC649" s="151"/>
      <c r="BD649" s="151"/>
      <c r="BE649" s="151"/>
      <c r="BF649" s="151"/>
      <c r="BG649" s="151"/>
      <c r="BH649" s="151"/>
      <c r="BI649" s="151"/>
      <c r="BJ649" s="151"/>
      <c r="BK649" s="151"/>
      <c r="BL649" s="151"/>
      <c r="BM649" s="151"/>
      <c r="BN649" s="151"/>
    </row>
    <row r="650" spans="25:66">
      <c r="Y650" s="151"/>
      <c r="Z650" s="151"/>
      <c r="AA650" s="151"/>
      <c r="AB650" s="151"/>
      <c r="AC650" s="151"/>
      <c r="AD650" s="151"/>
      <c r="AE650" s="151"/>
      <c r="AF650" s="151"/>
      <c r="AG650" s="151"/>
      <c r="AH650" s="151"/>
      <c r="AI650" s="151"/>
      <c r="AJ650" s="151"/>
      <c r="AK650" s="151"/>
      <c r="AL650" s="151"/>
      <c r="AM650" s="151"/>
      <c r="AN650" s="151"/>
      <c r="AO650" s="151"/>
      <c r="AP650" s="151"/>
      <c r="AQ650" s="151"/>
      <c r="AR650" s="151"/>
      <c r="AS650" s="151"/>
      <c r="AT650" s="151"/>
      <c r="AU650" s="151"/>
      <c r="AV650" s="151"/>
      <c r="AW650" s="151"/>
      <c r="AX650" s="151"/>
      <c r="AY650" s="151"/>
      <c r="AZ650" s="151"/>
      <c r="BA650" s="151"/>
      <c r="BB650" s="151"/>
      <c r="BC650" s="151"/>
      <c r="BD650" s="151"/>
      <c r="BE650" s="151"/>
      <c r="BF650" s="151"/>
      <c r="BG650" s="151"/>
      <c r="BH650" s="151"/>
      <c r="BI650" s="151"/>
      <c r="BJ650" s="151"/>
      <c r="BK650" s="151"/>
      <c r="BL650" s="151"/>
      <c r="BM650" s="151"/>
      <c r="BN650" s="151"/>
    </row>
    <row r="651" spans="25:66">
      <c r="Y651" s="151"/>
      <c r="Z651" s="151"/>
      <c r="AA651" s="151"/>
      <c r="AB651" s="151"/>
      <c r="AC651" s="151"/>
      <c r="AD651" s="151"/>
      <c r="AE651" s="151"/>
      <c r="AF651" s="151"/>
      <c r="AG651" s="151"/>
      <c r="AH651" s="151"/>
      <c r="AI651" s="151"/>
      <c r="AJ651" s="151"/>
      <c r="AK651" s="151"/>
      <c r="AL651" s="151"/>
      <c r="AM651" s="151"/>
      <c r="AN651" s="151"/>
      <c r="AO651" s="151"/>
      <c r="AP651" s="151"/>
      <c r="AQ651" s="151"/>
      <c r="AR651" s="151"/>
      <c r="AS651" s="151"/>
      <c r="AT651" s="151"/>
      <c r="AU651" s="151"/>
      <c r="AV651" s="151"/>
      <c r="AW651" s="151"/>
      <c r="AX651" s="151"/>
      <c r="AY651" s="151"/>
      <c r="AZ651" s="151"/>
      <c r="BA651" s="151"/>
      <c r="BB651" s="151"/>
      <c r="BC651" s="151"/>
      <c r="BD651" s="151"/>
      <c r="BE651" s="151"/>
      <c r="BF651" s="151"/>
      <c r="BG651" s="151"/>
      <c r="BH651" s="151"/>
      <c r="BI651" s="151"/>
      <c r="BJ651" s="151"/>
      <c r="BK651" s="151"/>
      <c r="BL651" s="151"/>
      <c r="BM651" s="151"/>
      <c r="BN651" s="151"/>
    </row>
    <row r="652" spans="25:66">
      <c r="Y652" s="151"/>
      <c r="Z652" s="151"/>
      <c r="AA652" s="151"/>
      <c r="AB652" s="151"/>
      <c r="AC652" s="151"/>
      <c r="AD652" s="151"/>
      <c r="AE652" s="151"/>
      <c r="AF652" s="151"/>
      <c r="AG652" s="151"/>
      <c r="AH652" s="151"/>
      <c r="AI652" s="151"/>
      <c r="AJ652" s="151"/>
      <c r="AK652" s="151"/>
      <c r="AL652" s="151"/>
      <c r="AM652" s="151"/>
      <c r="AN652" s="151"/>
      <c r="AO652" s="151"/>
      <c r="AP652" s="151"/>
      <c r="AQ652" s="151"/>
      <c r="AR652" s="151"/>
      <c r="AS652" s="151"/>
      <c r="AT652" s="151"/>
      <c r="AU652" s="151"/>
      <c r="AV652" s="151"/>
      <c r="AW652" s="151"/>
      <c r="AX652" s="151"/>
      <c r="AY652" s="151"/>
      <c r="AZ652" s="151"/>
      <c r="BA652" s="151"/>
      <c r="BB652" s="151"/>
      <c r="BC652" s="151"/>
      <c r="BD652" s="151"/>
      <c r="BE652" s="151"/>
      <c r="BF652" s="151"/>
      <c r="BG652" s="151"/>
      <c r="BH652" s="151"/>
      <c r="BI652" s="151"/>
      <c r="BJ652" s="151"/>
      <c r="BK652" s="151"/>
      <c r="BL652" s="151"/>
      <c r="BM652" s="151"/>
      <c r="BN652" s="151"/>
    </row>
    <row r="653" spans="25:66">
      <c r="Y653" s="151"/>
      <c r="Z653" s="151"/>
      <c r="AA653" s="151"/>
      <c r="AB653" s="151"/>
      <c r="AC653" s="151"/>
      <c r="AD653" s="151"/>
      <c r="AE653" s="151"/>
      <c r="AF653" s="151"/>
      <c r="AG653" s="151"/>
      <c r="AH653" s="151"/>
      <c r="AI653" s="151"/>
      <c r="AJ653" s="151"/>
      <c r="AK653" s="151"/>
      <c r="AL653" s="151"/>
      <c r="AM653" s="151"/>
      <c r="AN653" s="151"/>
      <c r="AO653" s="151"/>
      <c r="AP653" s="151"/>
      <c r="AQ653" s="151"/>
      <c r="AR653" s="151"/>
      <c r="AS653" s="151"/>
      <c r="AT653" s="151"/>
      <c r="AU653" s="151"/>
      <c r="AV653" s="151"/>
      <c r="AW653" s="151"/>
      <c r="AX653" s="151"/>
      <c r="AY653" s="151"/>
      <c r="AZ653" s="151"/>
      <c r="BA653" s="151"/>
      <c r="BB653" s="151"/>
      <c r="BC653" s="151"/>
      <c r="BD653" s="151"/>
      <c r="BE653" s="151"/>
      <c r="BF653" s="151"/>
      <c r="BG653" s="151"/>
      <c r="BH653" s="151"/>
      <c r="BI653" s="151"/>
      <c r="BJ653" s="151"/>
      <c r="BK653" s="151"/>
      <c r="BL653" s="151"/>
      <c r="BM653" s="151"/>
      <c r="BN653" s="151"/>
    </row>
    <row r="654" spans="25:66">
      <c r="Y654" s="151"/>
      <c r="Z654" s="151"/>
      <c r="AA654" s="151"/>
      <c r="AB654" s="151"/>
      <c r="AC654" s="151"/>
      <c r="AD654" s="151"/>
      <c r="AE654" s="151"/>
      <c r="AF654" s="151"/>
      <c r="AG654" s="151"/>
      <c r="AH654" s="151"/>
      <c r="AI654" s="151"/>
      <c r="AJ654" s="151"/>
      <c r="AK654" s="151"/>
      <c r="AL654" s="151"/>
      <c r="AM654" s="151"/>
      <c r="AN654" s="151"/>
      <c r="AO654" s="151"/>
      <c r="AP654" s="151"/>
      <c r="AQ654" s="151"/>
      <c r="AR654" s="151"/>
      <c r="AS654" s="151"/>
      <c r="AT654" s="151"/>
      <c r="AU654" s="151"/>
      <c r="AV654" s="151"/>
      <c r="AW654" s="151"/>
      <c r="AX654" s="151"/>
      <c r="AY654" s="151"/>
      <c r="AZ654" s="151"/>
      <c r="BA654" s="151"/>
      <c r="BB654" s="151"/>
      <c r="BC654" s="151"/>
      <c r="BD654" s="151"/>
      <c r="BE654" s="151"/>
      <c r="BF654" s="151"/>
      <c r="BG654" s="151"/>
      <c r="BH654" s="151"/>
      <c r="BI654" s="151"/>
      <c r="BJ654" s="151"/>
      <c r="BK654" s="151"/>
      <c r="BL654" s="151"/>
      <c r="BM654" s="151"/>
      <c r="BN654" s="151"/>
    </row>
    <row r="655" spans="25:66">
      <c r="Y655" s="151"/>
      <c r="Z655" s="151"/>
      <c r="AA655" s="151"/>
      <c r="AB655" s="151"/>
      <c r="AC655" s="151"/>
      <c r="AD655" s="151"/>
      <c r="AE655" s="151"/>
      <c r="AF655" s="151"/>
      <c r="AG655" s="151"/>
      <c r="AH655" s="151"/>
      <c r="AI655" s="151"/>
      <c r="AJ655" s="151"/>
      <c r="AK655" s="151"/>
      <c r="AL655" s="151"/>
      <c r="AM655" s="151"/>
      <c r="AN655" s="151"/>
      <c r="AO655" s="151"/>
      <c r="AP655" s="151"/>
      <c r="AQ655" s="151"/>
      <c r="AR655" s="151"/>
      <c r="AS655" s="151"/>
      <c r="AT655" s="151"/>
      <c r="AU655" s="151"/>
      <c r="AV655" s="151"/>
      <c r="AW655" s="151"/>
      <c r="AX655" s="151"/>
      <c r="AY655" s="151"/>
      <c r="AZ655" s="151"/>
      <c r="BA655" s="151"/>
      <c r="BB655" s="151"/>
      <c r="BC655" s="151"/>
      <c r="BD655" s="151"/>
      <c r="BE655" s="151"/>
      <c r="BF655" s="151"/>
      <c r="BG655" s="151"/>
      <c r="BH655" s="151"/>
      <c r="BI655" s="151"/>
      <c r="BJ655" s="151"/>
      <c r="BK655" s="151"/>
      <c r="BL655" s="151"/>
      <c r="BM655" s="151"/>
      <c r="BN655" s="151"/>
    </row>
    <row r="656" spans="25:66">
      <c r="Y656" s="151"/>
      <c r="Z656" s="151"/>
      <c r="AA656" s="151"/>
      <c r="AB656" s="151"/>
      <c r="AC656" s="151"/>
      <c r="AD656" s="151"/>
      <c r="AE656" s="151"/>
      <c r="AF656" s="151"/>
      <c r="AG656" s="151"/>
      <c r="AH656" s="151"/>
      <c r="AI656" s="151"/>
      <c r="AJ656" s="151"/>
      <c r="AK656" s="151"/>
      <c r="AL656" s="151"/>
      <c r="AM656" s="151"/>
      <c r="AN656" s="151"/>
      <c r="AO656" s="151"/>
      <c r="AP656" s="151"/>
      <c r="AQ656" s="151"/>
      <c r="AR656" s="151"/>
      <c r="AS656" s="151"/>
      <c r="AT656" s="151"/>
      <c r="AU656" s="151"/>
      <c r="AV656" s="151"/>
      <c r="AW656" s="151"/>
      <c r="AX656" s="151"/>
      <c r="AY656" s="151"/>
      <c r="AZ656" s="151"/>
      <c r="BA656" s="151"/>
      <c r="BB656" s="151"/>
      <c r="BC656" s="151"/>
      <c r="BD656" s="151"/>
      <c r="BE656" s="151"/>
      <c r="BF656" s="151"/>
      <c r="BG656" s="151"/>
      <c r="BH656" s="151"/>
      <c r="BI656" s="151"/>
      <c r="BJ656" s="151"/>
      <c r="BK656" s="151"/>
      <c r="BL656" s="151"/>
      <c r="BM656" s="151"/>
      <c r="BN656" s="151"/>
    </row>
    <row r="657" spans="25:66">
      <c r="Y657" s="151"/>
      <c r="Z657" s="151"/>
      <c r="AA657" s="151"/>
      <c r="AB657" s="151"/>
      <c r="AC657" s="151"/>
      <c r="AD657" s="151"/>
      <c r="AE657" s="151"/>
      <c r="AF657" s="151"/>
      <c r="AG657" s="151"/>
      <c r="AH657" s="151"/>
      <c r="AI657" s="151"/>
      <c r="AJ657" s="151"/>
      <c r="AK657" s="151"/>
      <c r="AL657" s="151"/>
      <c r="AM657" s="151"/>
      <c r="AN657" s="151"/>
      <c r="AO657" s="151"/>
      <c r="AP657" s="151"/>
      <c r="AQ657" s="151"/>
      <c r="AR657" s="151"/>
      <c r="AS657" s="151"/>
      <c r="AT657" s="151"/>
      <c r="AU657" s="151"/>
      <c r="AV657" s="151"/>
      <c r="AW657" s="151"/>
      <c r="AX657" s="151"/>
      <c r="AY657" s="151"/>
      <c r="AZ657" s="151"/>
      <c r="BA657" s="151"/>
      <c r="BB657" s="151"/>
      <c r="BC657" s="151"/>
      <c r="BD657" s="151"/>
      <c r="BE657" s="151"/>
      <c r="BF657" s="151"/>
      <c r="BG657" s="151"/>
      <c r="BH657" s="151"/>
      <c r="BI657" s="151"/>
      <c r="BJ657" s="151"/>
      <c r="BK657" s="151"/>
      <c r="BL657" s="151"/>
      <c r="BM657" s="151"/>
      <c r="BN657" s="151"/>
    </row>
    <row r="658" spans="25:66">
      <c r="Y658" s="151"/>
      <c r="Z658" s="151"/>
      <c r="AA658" s="151"/>
      <c r="AB658" s="151"/>
      <c r="AC658" s="151"/>
      <c r="AD658" s="151"/>
      <c r="AE658" s="151"/>
      <c r="AF658" s="151"/>
      <c r="AG658" s="151"/>
      <c r="AH658" s="151"/>
      <c r="AI658" s="151"/>
      <c r="AJ658" s="151"/>
      <c r="AK658" s="151"/>
      <c r="AL658" s="151"/>
      <c r="AM658" s="151"/>
      <c r="AN658" s="151"/>
      <c r="AO658" s="151"/>
      <c r="AP658" s="151"/>
      <c r="AQ658" s="151"/>
      <c r="AR658" s="151"/>
      <c r="AS658" s="151"/>
      <c r="AT658" s="151"/>
      <c r="AU658" s="151"/>
      <c r="AV658" s="151"/>
      <c r="AW658" s="151"/>
      <c r="AX658" s="151"/>
      <c r="AY658" s="151"/>
      <c r="AZ658" s="151"/>
      <c r="BA658" s="151"/>
      <c r="BB658" s="151"/>
      <c r="BC658" s="151"/>
      <c r="BD658" s="151"/>
      <c r="BE658" s="151"/>
      <c r="BF658" s="151"/>
      <c r="BG658" s="151"/>
      <c r="BH658" s="151"/>
      <c r="BI658" s="151"/>
      <c r="BJ658" s="151"/>
      <c r="BK658" s="151"/>
      <c r="BL658" s="151"/>
      <c r="BM658" s="151"/>
      <c r="BN658" s="151"/>
    </row>
    <row r="659" spans="25:66">
      <c r="Y659" s="151"/>
      <c r="Z659" s="151"/>
      <c r="AA659" s="151"/>
      <c r="AB659" s="151"/>
      <c r="AC659" s="151"/>
      <c r="AD659" s="151"/>
      <c r="AE659" s="151"/>
      <c r="AF659" s="151"/>
      <c r="AG659" s="151"/>
      <c r="AH659" s="151"/>
      <c r="AI659" s="151"/>
      <c r="AJ659" s="151"/>
      <c r="AK659" s="151"/>
      <c r="AL659" s="151"/>
      <c r="AM659" s="151"/>
      <c r="AN659" s="151"/>
      <c r="AO659" s="151"/>
      <c r="AP659" s="151"/>
      <c r="AQ659" s="151"/>
      <c r="AR659" s="151"/>
      <c r="AS659" s="151"/>
      <c r="AT659" s="151"/>
      <c r="AU659" s="151"/>
      <c r="AV659" s="151"/>
      <c r="AW659" s="151"/>
      <c r="AX659" s="151"/>
      <c r="AY659" s="151"/>
      <c r="AZ659" s="151"/>
      <c r="BA659" s="151"/>
      <c r="BB659" s="151"/>
      <c r="BC659" s="151"/>
      <c r="BD659" s="151"/>
      <c r="BE659" s="151"/>
      <c r="BF659" s="151"/>
      <c r="BG659" s="151"/>
      <c r="BH659" s="151"/>
      <c r="BI659" s="151"/>
      <c r="BJ659" s="151"/>
      <c r="BK659" s="151"/>
      <c r="BL659" s="151"/>
      <c r="BM659" s="151"/>
      <c r="BN659" s="151"/>
    </row>
    <row r="660" spans="25:66">
      <c r="Y660" s="151"/>
      <c r="Z660" s="151"/>
      <c r="AA660" s="151"/>
      <c r="AB660" s="151"/>
      <c r="AC660" s="151"/>
      <c r="AD660" s="151"/>
      <c r="AE660" s="151"/>
      <c r="AF660" s="151"/>
      <c r="AG660" s="151"/>
      <c r="AH660" s="151"/>
      <c r="AI660" s="151"/>
      <c r="AJ660" s="151"/>
      <c r="AK660" s="151"/>
      <c r="AL660" s="151"/>
      <c r="AM660" s="151"/>
      <c r="AN660" s="151"/>
      <c r="AO660" s="151"/>
      <c r="AP660" s="151"/>
      <c r="AQ660" s="151"/>
      <c r="AR660" s="151"/>
      <c r="AS660" s="151"/>
      <c r="AT660" s="151"/>
      <c r="AU660" s="151"/>
      <c r="AV660" s="151"/>
      <c r="AW660" s="151"/>
      <c r="AX660" s="151"/>
      <c r="AY660" s="151"/>
      <c r="AZ660" s="151"/>
      <c r="BA660" s="151"/>
      <c r="BB660" s="151"/>
      <c r="BC660" s="151"/>
      <c r="BD660" s="151"/>
      <c r="BE660" s="151"/>
      <c r="BF660" s="151"/>
      <c r="BG660" s="151"/>
      <c r="BH660" s="151"/>
      <c r="BI660" s="151"/>
      <c r="BJ660" s="151"/>
      <c r="BK660" s="151"/>
      <c r="BL660" s="151"/>
      <c r="BM660" s="151"/>
      <c r="BN660" s="151"/>
    </row>
    <row r="661" spans="25:66">
      <c r="Y661" s="151"/>
      <c r="Z661" s="151"/>
      <c r="AA661" s="151"/>
      <c r="AB661" s="151"/>
      <c r="AC661" s="151"/>
      <c r="AD661" s="151"/>
      <c r="AE661" s="151"/>
      <c r="AF661" s="151"/>
      <c r="AG661" s="151"/>
      <c r="AH661" s="151"/>
      <c r="AI661" s="151"/>
      <c r="AJ661" s="151"/>
      <c r="AK661" s="151"/>
      <c r="AL661" s="151"/>
      <c r="AM661" s="151"/>
      <c r="AN661" s="151"/>
      <c r="AO661" s="151"/>
      <c r="AP661" s="151"/>
      <c r="AQ661" s="151"/>
      <c r="AR661" s="151"/>
      <c r="AS661" s="151"/>
      <c r="AT661" s="151"/>
      <c r="AU661" s="151"/>
      <c r="AV661" s="151"/>
      <c r="AW661" s="151"/>
      <c r="AX661" s="151"/>
      <c r="AY661" s="151"/>
      <c r="AZ661" s="151"/>
      <c r="BA661" s="151"/>
      <c r="BB661" s="151"/>
      <c r="BC661" s="151"/>
      <c r="BD661" s="151"/>
      <c r="BE661" s="151"/>
      <c r="BF661" s="151"/>
      <c r="BG661" s="151"/>
      <c r="BH661" s="151"/>
      <c r="BI661" s="151"/>
      <c r="BJ661" s="151"/>
      <c r="BK661" s="151"/>
      <c r="BL661" s="151"/>
      <c r="BM661" s="151"/>
      <c r="BN661" s="151"/>
    </row>
    <row r="662" spans="25:66">
      <c r="Y662" s="151"/>
      <c r="Z662" s="151"/>
      <c r="AA662" s="151"/>
      <c r="AB662" s="151"/>
      <c r="AC662" s="151"/>
      <c r="AD662" s="151"/>
      <c r="AE662" s="151"/>
      <c r="AF662" s="151"/>
      <c r="AG662" s="151"/>
      <c r="AH662" s="151"/>
      <c r="AI662" s="151"/>
      <c r="AJ662" s="151"/>
      <c r="AK662" s="151"/>
      <c r="AL662" s="151"/>
      <c r="AM662" s="151"/>
      <c r="AN662" s="151"/>
      <c r="AO662" s="151"/>
      <c r="AP662" s="151"/>
      <c r="AQ662" s="151"/>
      <c r="AR662" s="151"/>
      <c r="AS662" s="151"/>
      <c r="AT662" s="151"/>
      <c r="AU662" s="151"/>
      <c r="AV662" s="151"/>
      <c r="AW662" s="151"/>
      <c r="AX662" s="151"/>
      <c r="AY662" s="151"/>
      <c r="AZ662" s="151"/>
      <c r="BA662" s="151"/>
      <c r="BB662" s="151"/>
      <c r="BC662" s="151"/>
      <c r="BD662" s="151"/>
      <c r="BE662" s="151"/>
      <c r="BF662" s="151"/>
      <c r="BG662" s="151"/>
      <c r="BH662" s="151"/>
      <c r="BI662" s="151"/>
      <c r="BJ662" s="151"/>
      <c r="BK662" s="151"/>
      <c r="BL662" s="151"/>
      <c r="BM662" s="151"/>
      <c r="BN662" s="151"/>
    </row>
    <row r="663" spans="25:66">
      <c r="Y663" s="151"/>
      <c r="Z663" s="151"/>
      <c r="AA663" s="151"/>
      <c r="AB663" s="151"/>
      <c r="AC663" s="151"/>
      <c r="AD663" s="151"/>
      <c r="AE663" s="151"/>
      <c r="AF663" s="151"/>
      <c r="AG663" s="151"/>
      <c r="AH663" s="151"/>
      <c r="AI663" s="151"/>
      <c r="AJ663" s="151"/>
      <c r="AK663" s="151"/>
      <c r="AL663" s="151"/>
      <c r="AM663" s="151"/>
      <c r="AN663" s="151"/>
      <c r="AO663" s="151"/>
      <c r="AP663" s="151"/>
      <c r="AQ663" s="151"/>
      <c r="AR663" s="151"/>
      <c r="AS663" s="151"/>
      <c r="AT663" s="151"/>
      <c r="AU663" s="151"/>
      <c r="AV663" s="151"/>
      <c r="AW663" s="151"/>
      <c r="AX663" s="151"/>
      <c r="AY663" s="151"/>
      <c r="AZ663" s="151"/>
      <c r="BA663" s="151"/>
      <c r="BB663" s="151"/>
      <c r="BC663" s="151"/>
      <c r="BD663" s="151"/>
      <c r="BE663" s="151"/>
      <c r="BF663" s="151"/>
      <c r="BG663" s="151"/>
      <c r="BH663" s="151"/>
      <c r="BI663" s="151"/>
      <c r="BJ663" s="151"/>
      <c r="BK663" s="151"/>
      <c r="BL663" s="151"/>
      <c r="BM663" s="151"/>
      <c r="BN663" s="151"/>
    </row>
    <row r="664" spans="25:66">
      <c r="Y664" s="151"/>
      <c r="Z664" s="151"/>
      <c r="AA664" s="151"/>
      <c r="AB664" s="151"/>
      <c r="AC664" s="151"/>
      <c r="AD664" s="151"/>
      <c r="AE664" s="151"/>
      <c r="AF664" s="151"/>
      <c r="AG664" s="151"/>
      <c r="AH664" s="151"/>
      <c r="AI664" s="151"/>
      <c r="AJ664" s="151"/>
      <c r="AK664" s="151"/>
      <c r="AL664" s="151"/>
      <c r="AM664" s="151"/>
      <c r="AN664" s="151"/>
      <c r="AO664" s="151"/>
      <c r="AP664" s="151"/>
      <c r="AQ664" s="151"/>
      <c r="AR664" s="151"/>
      <c r="AS664" s="151"/>
      <c r="AT664" s="151"/>
      <c r="AU664" s="151"/>
      <c r="AV664" s="151"/>
      <c r="AW664" s="151"/>
      <c r="AX664" s="151"/>
      <c r="AY664" s="151"/>
      <c r="AZ664" s="151"/>
      <c r="BA664" s="151"/>
      <c r="BB664" s="151"/>
      <c r="BC664" s="151"/>
      <c r="BD664" s="151"/>
      <c r="BE664" s="151"/>
      <c r="BF664" s="151"/>
      <c r="BG664" s="151"/>
      <c r="BH664" s="151"/>
      <c r="BI664" s="151"/>
      <c r="BJ664" s="151"/>
      <c r="BK664" s="151"/>
      <c r="BL664" s="151"/>
      <c r="BM664" s="151"/>
      <c r="BN664" s="151"/>
    </row>
    <row r="665" spans="25:66">
      <c r="Y665" s="151"/>
      <c r="Z665" s="151"/>
      <c r="AA665" s="151"/>
      <c r="AB665" s="151"/>
      <c r="AC665" s="151"/>
      <c r="AD665" s="151"/>
      <c r="AE665" s="151"/>
      <c r="AF665" s="151"/>
      <c r="AG665" s="151"/>
      <c r="AH665" s="151"/>
      <c r="AI665" s="151"/>
      <c r="AJ665" s="151"/>
      <c r="AK665" s="151"/>
      <c r="AL665" s="151"/>
      <c r="AM665" s="151"/>
      <c r="AN665" s="151"/>
      <c r="AO665" s="151"/>
      <c r="AP665" s="151"/>
      <c r="AQ665" s="151"/>
      <c r="AR665" s="151"/>
      <c r="AS665" s="151"/>
      <c r="AT665" s="151"/>
      <c r="AU665" s="151"/>
      <c r="AV665" s="151"/>
      <c r="AW665" s="151"/>
      <c r="AX665" s="151"/>
      <c r="AY665" s="151"/>
      <c r="AZ665" s="151"/>
      <c r="BA665" s="151"/>
      <c r="BB665" s="151"/>
      <c r="BC665" s="151"/>
      <c r="BD665" s="151"/>
      <c r="BE665" s="151"/>
      <c r="BF665" s="151"/>
      <c r="BG665" s="151"/>
      <c r="BH665" s="151"/>
      <c r="BI665" s="151"/>
      <c r="BJ665" s="151"/>
      <c r="BK665" s="151"/>
      <c r="BL665" s="151"/>
      <c r="BM665" s="151"/>
      <c r="BN665" s="151"/>
    </row>
    <row r="666" spans="25:66">
      <c r="Y666" s="151"/>
      <c r="Z666" s="151"/>
      <c r="AA666" s="151"/>
      <c r="AB666" s="151"/>
      <c r="AC666" s="151"/>
      <c r="AD666" s="151"/>
      <c r="AE666" s="151"/>
      <c r="AF666" s="151"/>
      <c r="AG666" s="151"/>
      <c r="AH666" s="151"/>
      <c r="AI666" s="151"/>
      <c r="AJ666" s="151"/>
      <c r="AK666" s="151"/>
      <c r="AL666" s="151"/>
      <c r="AM666" s="151"/>
      <c r="AN666" s="151"/>
      <c r="AO666" s="151"/>
      <c r="AP666" s="151"/>
      <c r="AQ666" s="151"/>
      <c r="AR666" s="151"/>
      <c r="AS666" s="151"/>
      <c r="AT666" s="151"/>
      <c r="AU666" s="151"/>
      <c r="AV666" s="151"/>
      <c r="AW666" s="151"/>
      <c r="AX666" s="151"/>
      <c r="AY666" s="151"/>
      <c r="AZ666" s="151"/>
      <c r="BA666" s="151"/>
      <c r="BB666" s="151"/>
      <c r="BC666" s="151"/>
      <c r="BD666" s="151"/>
      <c r="BE666" s="151"/>
      <c r="BF666" s="151"/>
      <c r="BG666" s="151"/>
      <c r="BH666" s="151"/>
      <c r="BI666" s="151"/>
      <c r="BJ666" s="151"/>
      <c r="BK666" s="151"/>
      <c r="BL666" s="151"/>
      <c r="BM666" s="151"/>
      <c r="BN666" s="151"/>
    </row>
    <row r="667" spans="25:66">
      <c r="Y667" s="151"/>
      <c r="Z667" s="151"/>
      <c r="AA667" s="151"/>
      <c r="AB667" s="151"/>
      <c r="AC667" s="151"/>
      <c r="AD667" s="151"/>
      <c r="AE667" s="151"/>
      <c r="AF667" s="151"/>
      <c r="AG667" s="151"/>
      <c r="AH667" s="151"/>
      <c r="AI667" s="151"/>
      <c r="AJ667" s="151"/>
      <c r="AK667" s="151"/>
      <c r="AL667" s="151"/>
      <c r="AM667" s="151"/>
      <c r="AN667" s="151"/>
      <c r="AO667" s="151"/>
      <c r="AP667" s="151"/>
      <c r="AQ667" s="151"/>
      <c r="AR667" s="151"/>
      <c r="AS667" s="151"/>
      <c r="AT667" s="151"/>
      <c r="AU667" s="151"/>
      <c r="AV667" s="151"/>
      <c r="AW667" s="151"/>
      <c r="AX667" s="151"/>
      <c r="AY667" s="151"/>
      <c r="AZ667" s="151"/>
      <c r="BA667" s="151"/>
      <c r="BB667" s="151"/>
      <c r="BC667" s="151"/>
      <c r="BD667" s="151"/>
      <c r="BE667" s="151"/>
      <c r="BF667" s="151"/>
      <c r="BG667" s="151"/>
      <c r="BH667" s="151"/>
      <c r="BI667" s="151"/>
      <c r="BJ667" s="151"/>
      <c r="BK667" s="151"/>
      <c r="BL667" s="151"/>
      <c r="BM667" s="151"/>
      <c r="BN667" s="151"/>
    </row>
    <row r="668" spans="25:66">
      <c r="Y668" s="151"/>
      <c r="Z668" s="151"/>
      <c r="AA668" s="151"/>
      <c r="AB668" s="151"/>
      <c r="AC668" s="151"/>
      <c r="AD668" s="151"/>
      <c r="AE668" s="151"/>
      <c r="AF668" s="151"/>
      <c r="AG668" s="151"/>
      <c r="AH668" s="151"/>
      <c r="AI668" s="151"/>
      <c r="AJ668" s="151"/>
      <c r="AK668" s="151"/>
      <c r="AL668" s="151"/>
      <c r="AM668" s="151"/>
      <c r="AN668" s="151"/>
      <c r="AO668" s="151"/>
      <c r="AP668" s="151"/>
      <c r="AQ668" s="151"/>
      <c r="AR668" s="151"/>
      <c r="AS668" s="151"/>
      <c r="AT668" s="151"/>
      <c r="AU668" s="151"/>
      <c r="AV668" s="151"/>
      <c r="AW668" s="151"/>
      <c r="AX668" s="151"/>
      <c r="AY668" s="151"/>
      <c r="AZ668" s="151"/>
      <c r="BA668" s="151"/>
      <c r="BB668" s="151"/>
      <c r="BC668" s="151"/>
      <c r="BD668" s="151"/>
      <c r="BE668" s="151"/>
      <c r="BF668" s="151"/>
      <c r="BG668" s="151"/>
      <c r="BH668" s="151"/>
      <c r="BI668" s="151"/>
      <c r="BJ668" s="151"/>
      <c r="BK668" s="151"/>
      <c r="BL668" s="151"/>
      <c r="BM668" s="151"/>
      <c r="BN668" s="151"/>
    </row>
    <row r="669" spans="25:66">
      <c r="Y669" s="151"/>
      <c r="Z669" s="151"/>
      <c r="AA669" s="151"/>
      <c r="AB669" s="151"/>
      <c r="AC669" s="151"/>
      <c r="AD669" s="151"/>
      <c r="AE669" s="151"/>
      <c r="AF669" s="151"/>
      <c r="AG669" s="151"/>
      <c r="AH669" s="151"/>
      <c r="AI669" s="151"/>
      <c r="AJ669" s="151"/>
      <c r="AK669" s="151"/>
      <c r="AL669" s="151"/>
      <c r="AM669" s="151"/>
      <c r="AN669" s="151"/>
      <c r="AO669" s="151"/>
      <c r="AP669" s="151"/>
      <c r="AQ669" s="151"/>
      <c r="AR669" s="151"/>
      <c r="AS669" s="151"/>
      <c r="AT669" s="151"/>
      <c r="AU669" s="151"/>
      <c r="AV669" s="151"/>
      <c r="AW669" s="151"/>
      <c r="AX669" s="151"/>
      <c r="AY669" s="151"/>
      <c r="AZ669" s="151"/>
      <c r="BA669" s="151"/>
      <c r="BB669" s="151"/>
      <c r="BC669" s="151"/>
      <c r="BD669" s="151"/>
      <c r="BE669" s="151"/>
      <c r="BF669" s="151"/>
      <c r="BG669" s="151"/>
      <c r="BH669" s="151"/>
      <c r="BI669" s="151"/>
      <c r="BJ669" s="151"/>
      <c r="BK669" s="151"/>
      <c r="BL669" s="151"/>
      <c r="BM669" s="151"/>
      <c r="BN669" s="151"/>
    </row>
    <row r="670" spans="25:66">
      <c r="Y670" s="151"/>
      <c r="Z670" s="151"/>
      <c r="AA670" s="151"/>
      <c r="AB670" s="151"/>
      <c r="AC670" s="151"/>
      <c r="AD670" s="151"/>
      <c r="AE670" s="151"/>
      <c r="AF670" s="151"/>
      <c r="AG670" s="151"/>
      <c r="AH670" s="151"/>
      <c r="AI670" s="151"/>
      <c r="AJ670" s="151"/>
      <c r="AK670" s="151"/>
      <c r="AL670" s="151"/>
      <c r="AM670" s="151"/>
      <c r="AN670" s="151"/>
      <c r="AO670" s="151"/>
      <c r="AP670" s="151"/>
      <c r="AQ670" s="151"/>
      <c r="AR670" s="151"/>
      <c r="AS670" s="151"/>
      <c r="AT670" s="151"/>
      <c r="AU670" s="151"/>
      <c r="AV670" s="151"/>
      <c r="AW670" s="151"/>
      <c r="AX670" s="151"/>
      <c r="AY670" s="151"/>
      <c r="AZ670" s="151"/>
      <c r="BA670" s="151"/>
      <c r="BB670" s="151"/>
      <c r="BC670" s="151"/>
      <c r="BD670" s="151"/>
      <c r="BE670" s="151"/>
      <c r="BF670" s="151"/>
      <c r="BG670" s="151"/>
      <c r="BH670" s="151"/>
      <c r="BI670" s="151"/>
      <c r="BJ670" s="151"/>
      <c r="BK670" s="151"/>
      <c r="BL670" s="151"/>
      <c r="BM670" s="151"/>
      <c r="BN670" s="151"/>
    </row>
    <row r="671" spans="25:66">
      <c r="Y671" s="151"/>
      <c r="Z671" s="151"/>
      <c r="AA671" s="151"/>
      <c r="AB671" s="151"/>
      <c r="AC671" s="151"/>
      <c r="AD671" s="151"/>
      <c r="AE671" s="151"/>
      <c r="AF671" s="151"/>
      <c r="AG671" s="151"/>
      <c r="AH671" s="151"/>
      <c r="AI671" s="151"/>
      <c r="AJ671" s="151"/>
      <c r="AK671" s="151"/>
      <c r="AL671" s="151"/>
      <c r="AM671" s="151"/>
      <c r="AN671" s="151"/>
      <c r="AO671" s="151"/>
      <c r="AP671" s="151"/>
      <c r="AQ671" s="151"/>
      <c r="AR671" s="151"/>
      <c r="AS671" s="151"/>
      <c r="AT671" s="151"/>
      <c r="AU671" s="151"/>
      <c r="AV671" s="151"/>
      <c r="AW671" s="151"/>
      <c r="AX671" s="151"/>
      <c r="AY671" s="151"/>
      <c r="AZ671" s="151"/>
      <c r="BA671" s="151"/>
      <c r="BB671" s="151"/>
      <c r="BC671" s="151"/>
      <c r="BD671" s="151"/>
      <c r="BE671" s="151"/>
      <c r="BF671" s="151"/>
      <c r="BG671" s="151"/>
      <c r="BH671" s="151"/>
      <c r="BI671" s="151"/>
      <c r="BJ671" s="151"/>
      <c r="BK671" s="151"/>
      <c r="BL671" s="151"/>
      <c r="BM671" s="151"/>
      <c r="BN671" s="151"/>
    </row>
    <row r="672" spans="25:66">
      <c r="Y672" s="151"/>
      <c r="Z672" s="151"/>
      <c r="AA672" s="151"/>
      <c r="AB672" s="151"/>
      <c r="AC672" s="151"/>
      <c r="AD672" s="151"/>
      <c r="AE672" s="151"/>
      <c r="AF672" s="151"/>
      <c r="AG672" s="151"/>
      <c r="AH672" s="151"/>
      <c r="AI672" s="151"/>
      <c r="AJ672" s="151"/>
      <c r="AK672" s="151"/>
      <c r="AL672" s="151"/>
      <c r="AM672" s="151"/>
      <c r="AN672" s="151"/>
      <c r="AO672" s="151"/>
      <c r="AP672" s="151"/>
      <c r="AQ672" s="151"/>
      <c r="AR672" s="151"/>
      <c r="AS672" s="151"/>
      <c r="AT672" s="151"/>
      <c r="AU672" s="151"/>
      <c r="AV672" s="151"/>
      <c r="AW672" s="151"/>
      <c r="AX672" s="151"/>
      <c r="AY672" s="151"/>
      <c r="AZ672" s="151"/>
      <c r="BA672" s="151"/>
      <c r="BB672" s="151"/>
      <c r="BC672" s="151"/>
      <c r="BD672" s="151"/>
      <c r="BE672" s="151"/>
      <c r="BF672" s="151"/>
      <c r="BG672" s="151"/>
      <c r="BH672" s="151"/>
      <c r="BI672" s="151"/>
      <c r="BJ672" s="151"/>
      <c r="BK672" s="151"/>
      <c r="BL672" s="151"/>
      <c r="BM672" s="151"/>
      <c r="BN672" s="151"/>
    </row>
    <row r="673" spans="25:66">
      <c r="Y673" s="151"/>
      <c r="Z673" s="151"/>
      <c r="AA673" s="151"/>
      <c r="AB673" s="151"/>
      <c r="AC673" s="151"/>
      <c r="AD673" s="151"/>
      <c r="AE673" s="151"/>
      <c r="AF673" s="151"/>
      <c r="AG673" s="151"/>
      <c r="AH673" s="151"/>
      <c r="AI673" s="151"/>
      <c r="AJ673" s="151"/>
      <c r="AK673" s="151"/>
      <c r="AL673" s="151"/>
      <c r="AM673" s="151"/>
      <c r="AN673" s="151"/>
      <c r="AO673" s="151"/>
      <c r="AP673" s="151"/>
      <c r="AQ673" s="151"/>
      <c r="AR673" s="151"/>
      <c r="AS673" s="151"/>
      <c r="AT673" s="151"/>
      <c r="AU673" s="151"/>
      <c r="AV673" s="151"/>
      <c r="AW673" s="151"/>
      <c r="AX673" s="151"/>
      <c r="AY673" s="151"/>
      <c r="AZ673" s="151"/>
      <c r="BA673" s="151"/>
      <c r="BB673" s="151"/>
      <c r="BC673" s="151"/>
      <c r="BD673" s="151"/>
      <c r="BE673" s="151"/>
      <c r="BF673" s="151"/>
      <c r="BG673" s="151"/>
      <c r="BH673" s="151"/>
      <c r="BI673" s="151"/>
      <c r="BJ673" s="151"/>
      <c r="BK673" s="151"/>
      <c r="BL673" s="151"/>
      <c r="BM673" s="151"/>
      <c r="BN673" s="151"/>
    </row>
    <row r="674" spans="25:66">
      <c r="Y674" s="151"/>
      <c r="Z674" s="151"/>
      <c r="AA674" s="151"/>
      <c r="AB674" s="151"/>
      <c r="AC674" s="151"/>
      <c r="AD674" s="151"/>
      <c r="AE674" s="151"/>
      <c r="AF674" s="151"/>
      <c r="AG674" s="151"/>
      <c r="AH674" s="151"/>
      <c r="AI674" s="151"/>
      <c r="AJ674" s="151"/>
      <c r="AK674" s="151"/>
      <c r="AL674" s="151"/>
      <c r="AM674" s="151"/>
      <c r="AN674" s="151"/>
      <c r="AO674" s="151"/>
      <c r="AP674" s="151"/>
      <c r="AQ674" s="151"/>
      <c r="AR674" s="151"/>
      <c r="AS674" s="151"/>
      <c r="AT674" s="151"/>
      <c r="AU674" s="151"/>
      <c r="AV674" s="151"/>
      <c r="AW674" s="151"/>
      <c r="AX674" s="151"/>
      <c r="AY674" s="151"/>
      <c r="AZ674" s="151"/>
      <c r="BA674" s="151"/>
      <c r="BB674" s="151"/>
      <c r="BC674" s="151"/>
      <c r="BD674" s="151"/>
      <c r="BE674" s="151"/>
      <c r="BF674" s="151"/>
      <c r="BG674" s="151"/>
      <c r="BH674" s="151"/>
      <c r="BI674" s="151"/>
      <c r="BJ674" s="151"/>
      <c r="BK674" s="151"/>
      <c r="BL674" s="151"/>
      <c r="BM674" s="151"/>
      <c r="BN674" s="151"/>
    </row>
    <row r="675" spans="25:66">
      <c r="Y675" s="151"/>
      <c r="Z675" s="151"/>
      <c r="AA675" s="151"/>
      <c r="AB675" s="151"/>
      <c r="AC675" s="151"/>
      <c r="AD675" s="151"/>
      <c r="AE675" s="151"/>
      <c r="AF675" s="151"/>
      <c r="AG675" s="151"/>
      <c r="AH675" s="151"/>
      <c r="AI675" s="151"/>
      <c r="AJ675" s="151"/>
      <c r="AK675" s="151"/>
      <c r="AL675" s="151"/>
      <c r="AM675" s="151"/>
      <c r="AN675" s="151"/>
      <c r="AO675" s="151"/>
      <c r="AP675" s="151"/>
      <c r="AQ675" s="151"/>
      <c r="AR675" s="151"/>
      <c r="AS675" s="151"/>
      <c r="AT675" s="151"/>
      <c r="AU675" s="151"/>
      <c r="AV675" s="151"/>
      <c r="AW675" s="151"/>
      <c r="AX675" s="151"/>
      <c r="AY675" s="151"/>
      <c r="AZ675" s="151"/>
      <c r="BA675" s="151"/>
      <c r="BB675" s="151"/>
      <c r="BC675" s="151"/>
      <c r="BD675" s="151"/>
      <c r="BE675" s="151"/>
      <c r="BF675" s="151"/>
      <c r="BG675" s="151"/>
      <c r="BH675" s="151"/>
      <c r="BI675" s="151"/>
      <c r="BJ675" s="151"/>
      <c r="BK675" s="151"/>
      <c r="BL675" s="151"/>
      <c r="BM675" s="151"/>
      <c r="BN675" s="151"/>
    </row>
    <row r="676" spans="25:66">
      <c r="Y676" s="151"/>
      <c r="Z676" s="151"/>
      <c r="AA676" s="151"/>
      <c r="AB676" s="151"/>
      <c r="AC676" s="151"/>
      <c r="AD676" s="151"/>
      <c r="AE676" s="151"/>
      <c r="AF676" s="151"/>
      <c r="AG676" s="151"/>
      <c r="AH676" s="151"/>
      <c r="AI676" s="151"/>
      <c r="AJ676" s="151"/>
      <c r="AK676" s="151"/>
      <c r="AL676" s="151"/>
      <c r="AM676" s="151"/>
      <c r="AN676" s="151"/>
      <c r="AO676" s="151"/>
      <c r="AP676" s="151"/>
      <c r="AQ676" s="151"/>
      <c r="AR676" s="151"/>
      <c r="AS676" s="151"/>
      <c r="AT676" s="151"/>
      <c r="AU676" s="151"/>
      <c r="AV676" s="151"/>
      <c r="AW676" s="151"/>
      <c r="AX676" s="151"/>
      <c r="AY676" s="151"/>
      <c r="AZ676" s="151"/>
      <c r="BA676" s="151"/>
      <c r="BB676" s="151"/>
      <c r="BC676" s="151"/>
      <c r="BD676" s="151"/>
      <c r="BE676" s="151"/>
      <c r="BF676" s="151"/>
      <c r="BG676" s="151"/>
      <c r="BH676" s="151"/>
      <c r="BI676" s="151"/>
      <c r="BJ676" s="151"/>
      <c r="BK676" s="151"/>
      <c r="BL676" s="151"/>
      <c r="BM676" s="151"/>
      <c r="BN676" s="151"/>
    </row>
    <row r="677" spans="25:66">
      <c r="Y677" s="151"/>
      <c r="Z677" s="151"/>
      <c r="AA677" s="151"/>
      <c r="AB677" s="151"/>
      <c r="AC677" s="151"/>
      <c r="AD677" s="151"/>
      <c r="AE677" s="151"/>
      <c r="AF677" s="151"/>
      <c r="AG677" s="151"/>
      <c r="AH677" s="151"/>
      <c r="AI677" s="151"/>
      <c r="AJ677" s="151"/>
      <c r="AK677" s="151"/>
      <c r="AL677" s="151"/>
      <c r="AM677" s="151"/>
      <c r="AN677" s="151"/>
      <c r="AO677" s="151"/>
      <c r="AP677" s="151"/>
      <c r="AQ677" s="151"/>
      <c r="AR677" s="151"/>
      <c r="AS677" s="151"/>
      <c r="AT677" s="151"/>
      <c r="AU677" s="151"/>
      <c r="AV677" s="151"/>
      <c r="AW677" s="151"/>
      <c r="AX677" s="151"/>
      <c r="AY677" s="151"/>
      <c r="AZ677" s="151"/>
      <c r="BA677" s="151"/>
      <c r="BB677" s="151"/>
      <c r="BC677" s="151"/>
      <c r="BD677" s="151"/>
      <c r="BE677" s="151"/>
      <c r="BF677" s="151"/>
      <c r="BG677" s="151"/>
      <c r="BH677" s="151"/>
      <c r="BI677" s="151"/>
      <c r="BJ677" s="151"/>
      <c r="BK677" s="151"/>
      <c r="BL677" s="151"/>
      <c r="BM677" s="151"/>
      <c r="BN677" s="151"/>
    </row>
    <row r="678" spans="25:66">
      <c r="Y678" s="151"/>
      <c r="Z678" s="151"/>
      <c r="AA678" s="151"/>
      <c r="AB678" s="151"/>
      <c r="AC678" s="151"/>
      <c r="AD678" s="151"/>
      <c r="AE678" s="151"/>
      <c r="AF678" s="151"/>
      <c r="AG678" s="151"/>
      <c r="AH678" s="151"/>
      <c r="AI678" s="151"/>
      <c r="AJ678" s="151"/>
      <c r="AK678" s="151"/>
      <c r="AL678" s="151"/>
      <c r="AM678" s="151"/>
      <c r="AN678" s="151"/>
      <c r="AO678" s="151"/>
      <c r="AP678" s="151"/>
      <c r="AQ678" s="151"/>
      <c r="AR678" s="151"/>
      <c r="AS678" s="151"/>
      <c r="AT678" s="151"/>
      <c r="AU678" s="151"/>
      <c r="AV678" s="151"/>
      <c r="AW678" s="151"/>
      <c r="AX678" s="151"/>
      <c r="AY678" s="151"/>
      <c r="AZ678" s="151"/>
      <c r="BA678" s="151"/>
      <c r="BB678" s="151"/>
      <c r="BC678" s="151"/>
      <c r="BD678" s="151"/>
      <c r="BE678" s="151"/>
      <c r="BF678" s="151"/>
      <c r="BG678" s="151"/>
      <c r="BH678" s="151"/>
      <c r="BI678" s="151"/>
      <c r="BJ678" s="151"/>
      <c r="BK678" s="151"/>
      <c r="BL678" s="151"/>
      <c r="BM678" s="151"/>
      <c r="BN678" s="151"/>
    </row>
    <row r="679" spans="25:66">
      <c r="Y679" s="151"/>
      <c r="Z679" s="151"/>
      <c r="AA679" s="151"/>
      <c r="AB679" s="151"/>
      <c r="AC679" s="151"/>
      <c r="AD679" s="151"/>
      <c r="AE679" s="151"/>
      <c r="AF679" s="151"/>
      <c r="AG679" s="151"/>
      <c r="AH679" s="151"/>
      <c r="AI679" s="151"/>
      <c r="AJ679" s="151"/>
      <c r="AK679" s="151"/>
      <c r="AL679" s="151"/>
      <c r="AM679" s="151"/>
      <c r="AN679" s="151"/>
      <c r="AO679" s="151"/>
      <c r="AP679" s="151"/>
      <c r="AQ679" s="151"/>
      <c r="AR679" s="151"/>
      <c r="AS679" s="151"/>
      <c r="AT679" s="151"/>
      <c r="AU679" s="151"/>
      <c r="AV679" s="151"/>
      <c r="AW679" s="151"/>
      <c r="AX679" s="151"/>
      <c r="AY679" s="151"/>
      <c r="AZ679" s="151"/>
      <c r="BA679" s="151"/>
      <c r="BB679" s="151"/>
      <c r="BC679" s="151"/>
      <c r="BD679" s="151"/>
      <c r="BE679" s="151"/>
      <c r="BF679" s="151"/>
      <c r="BG679" s="151"/>
      <c r="BH679" s="151"/>
      <c r="BI679" s="151"/>
      <c r="BJ679" s="151"/>
      <c r="BK679" s="151"/>
      <c r="BL679" s="151"/>
      <c r="BM679" s="151"/>
      <c r="BN679" s="151"/>
    </row>
    <row r="680" spans="25:66">
      <c r="Y680" s="151"/>
      <c r="Z680" s="151"/>
      <c r="AA680" s="151"/>
      <c r="AB680" s="151"/>
      <c r="AC680" s="151"/>
      <c r="AD680" s="151"/>
      <c r="AE680" s="151"/>
      <c r="AF680" s="151"/>
      <c r="AG680" s="151"/>
      <c r="AH680" s="151"/>
      <c r="AI680" s="151"/>
      <c r="AJ680" s="151"/>
      <c r="AK680" s="151"/>
      <c r="AL680" s="151"/>
      <c r="AM680" s="151"/>
      <c r="AN680" s="151"/>
      <c r="AO680" s="151"/>
      <c r="AP680" s="151"/>
      <c r="AQ680" s="151"/>
      <c r="AR680" s="151"/>
      <c r="AS680" s="151"/>
      <c r="AT680" s="151"/>
      <c r="AU680" s="151"/>
      <c r="AV680" s="151"/>
      <c r="AW680" s="151"/>
      <c r="AX680" s="151"/>
      <c r="AY680" s="151"/>
      <c r="AZ680" s="151"/>
      <c r="BA680" s="151"/>
      <c r="BB680" s="151"/>
      <c r="BC680" s="151"/>
      <c r="BD680" s="151"/>
      <c r="BE680" s="151"/>
      <c r="BF680" s="151"/>
      <c r="BG680" s="151"/>
      <c r="BH680" s="151"/>
      <c r="BI680" s="151"/>
      <c r="BJ680" s="151"/>
      <c r="BK680" s="151"/>
      <c r="BL680" s="151"/>
      <c r="BM680" s="151"/>
      <c r="BN680" s="151"/>
    </row>
    <row r="681" spans="25:66">
      <c r="Y681" s="151"/>
      <c r="Z681" s="151"/>
      <c r="AA681" s="151"/>
      <c r="AB681" s="151"/>
      <c r="AC681" s="151"/>
      <c r="AD681" s="151"/>
      <c r="AE681" s="151"/>
      <c r="AF681" s="151"/>
      <c r="AG681" s="151"/>
      <c r="AH681" s="151"/>
      <c r="AI681" s="151"/>
      <c r="AJ681" s="151"/>
      <c r="AK681" s="151"/>
      <c r="AL681" s="151"/>
      <c r="AM681" s="151"/>
      <c r="AN681" s="151"/>
      <c r="AO681" s="151"/>
      <c r="AP681" s="151"/>
      <c r="AQ681" s="151"/>
      <c r="AR681" s="151"/>
      <c r="AS681" s="151"/>
      <c r="AT681" s="151"/>
      <c r="AU681" s="151"/>
      <c r="AV681" s="151"/>
      <c r="AW681" s="151"/>
      <c r="AX681" s="151"/>
      <c r="AY681" s="151"/>
      <c r="AZ681" s="151"/>
      <c r="BA681" s="151"/>
      <c r="BB681" s="151"/>
      <c r="BC681" s="151"/>
      <c r="BD681" s="151"/>
      <c r="BE681" s="151"/>
      <c r="BF681" s="151"/>
      <c r="BG681" s="151"/>
      <c r="BH681" s="151"/>
      <c r="BI681" s="151"/>
      <c r="BJ681" s="151"/>
      <c r="BK681" s="151"/>
      <c r="BL681" s="151"/>
      <c r="BM681" s="151"/>
      <c r="BN681" s="151"/>
    </row>
    <row r="682" spans="25:66">
      <c r="Y682" s="151"/>
      <c r="Z682" s="151"/>
      <c r="AA682" s="151"/>
      <c r="AB682" s="151"/>
      <c r="AC682" s="151"/>
      <c r="AD682" s="151"/>
      <c r="AE682" s="151"/>
      <c r="AF682" s="151"/>
      <c r="AG682" s="151"/>
      <c r="AH682" s="151"/>
      <c r="AI682" s="151"/>
      <c r="AJ682" s="151"/>
      <c r="AK682" s="151"/>
      <c r="AL682" s="151"/>
      <c r="AM682" s="151"/>
      <c r="AN682" s="151"/>
      <c r="AO682" s="151"/>
      <c r="AP682" s="151"/>
      <c r="AQ682" s="151"/>
      <c r="AR682" s="151"/>
      <c r="AS682" s="151"/>
      <c r="AT682" s="151"/>
      <c r="AU682" s="151"/>
      <c r="AV682" s="151"/>
      <c r="AW682" s="151"/>
      <c r="AX682" s="151"/>
      <c r="AY682" s="151"/>
      <c r="AZ682" s="151"/>
      <c r="BA682" s="151"/>
      <c r="BB682" s="151"/>
      <c r="BC682" s="151"/>
      <c r="BD682" s="151"/>
      <c r="BE682" s="151"/>
      <c r="BF682" s="151"/>
      <c r="BG682" s="151"/>
      <c r="BH682" s="151"/>
      <c r="BI682" s="151"/>
      <c r="BJ682" s="151"/>
      <c r="BK682" s="151"/>
      <c r="BL682" s="151"/>
      <c r="BM682" s="151"/>
      <c r="BN682" s="151"/>
    </row>
    <row r="683" spans="25:66">
      <c r="Y683" s="151"/>
      <c r="Z683" s="151"/>
      <c r="AA683" s="151"/>
      <c r="AB683" s="151"/>
      <c r="AC683" s="151"/>
      <c r="AD683" s="151"/>
      <c r="AE683" s="151"/>
      <c r="AF683" s="151"/>
      <c r="AG683" s="151"/>
      <c r="AH683" s="151"/>
      <c r="AI683" s="151"/>
      <c r="AJ683" s="151"/>
      <c r="AK683" s="151"/>
      <c r="AL683" s="151"/>
      <c r="AM683" s="151"/>
      <c r="AN683" s="151"/>
      <c r="AO683" s="151"/>
      <c r="AP683" s="151"/>
      <c r="AQ683" s="151"/>
      <c r="AR683" s="151"/>
      <c r="AS683" s="151"/>
      <c r="AT683" s="151"/>
      <c r="AU683" s="151"/>
      <c r="AV683" s="151"/>
      <c r="AW683" s="151"/>
      <c r="AX683" s="151"/>
      <c r="AY683" s="151"/>
      <c r="AZ683" s="151"/>
      <c r="BA683" s="151"/>
      <c r="BB683" s="151"/>
      <c r="BC683" s="151"/>
      <c r="BD683" s="151"/>
      <c r="BE683" s="151"/>
      <c r="BF683" s="151"/>
      <c r="BG683" s="151"/>
      <c r="BH683" s="151"/>
      <c r="BI683" s="151"/>
      <c r="BJ683" s="151"/>
      <c r="BK683" s="151"/>
      <c r="BL683" s="151"/>
      <c r="BM683" s="151"/>
      <c r="BN683" s="151"/>
    </row>
    <row r="684" spans="25:66">
      <c r="Y684" s="151"/>
      <c r="Z684" s="151"/>
      <c r="AA684" s="151"/>
      <c r="AB684" s="151"/>
      <c r="AC684" s="151"/>
      <c r="AD684" s="151"/>
      <c r="AE684" s="151"/>
      <c r="AF684" s="151"/>
      <c r="AG684" s="151"/>
      <c r="AH684" s="151"/>
      <c r="AI684" s="151"/>
      <c r="AJ684" s="151"/>
      <c r="AK684" s="151"/>
      <c r="AL684" s="151"/>
      <c r="AM684" s="151"/>
      <c r="AN684" s="151"/>
      <c r="AO684" s="151"/>
      <c r="AP684" s="151"/>
      <c r="AQ684" s="151"/>
      <c r="AR684" s="151"/>
      <c r="AS684" s="151"/>
      <c r="AT684" s="151"/>
      <c r="AU684" s="151"/>
      <c r="AV684" s="151"/>
      <c r="AW684" s="151"/>
      <c r="AX684" s="151"/>
      <c r="AY684" s="151"/>
      <c r="AZ684" s="151"/>
      <c r="BA684" s="151"/>
      <c r="BB684" s="151"/>
      <c r="BC684" s="151"/>
      <c r="BD684" s="151"/>
      <c r="BE684" s="151"/>
      <c r="BF684" s="151"/>
      <c r="BG684" s="151"/>
      <c r="BH684" s="151"/>
      <c r="BI684" s="151"/>
      <c r="BJ684" s="151"/>
      <c r="BK684" s="151"/>
      <c r="BL684" s="151"/>
      <c r="BM684" s="151"/>
      <c r="BN684" s="151"/>
    </row>
    <row r="685" spans="25:66">
      <c r="Y685" s="151"/>
      <c r="Z685" s="151"/>
      <c r="AA685" s="151"/>
      <c r="AB685" s="151"/>
      <c r="AC685" s="151"/>
      <c r="AD685" s="151"/>
      <c r="AE685" s="151"/>
      <c r="AF685" s="151"/>
      <c r="AG685" s="151"/>
      <c r="AH685" s="151"/>
      <c r="AI685" s="151"/>
      <c r="AJ685" s="151"/>
      <c r="AK685" s="151"/>
      <c r="AL685" s="151"/>
      <c r="AM685" s="151"/>
      <c r="AN685" s="151"/>
      <c r="AO685" s="151"/>
      <c r="AP685" s="151"/>
      <c r="AQ685" s="151"/>
      <c r="AR685" s="151"/>
      <c r="AS685" s="151"/>
      <c r="AT685" s="151"/>
      <c r="AU685" s="151"/>
      <c r="AV685" s="151"/>
      <c r="AW685" s="151"/>
      <c r="AX685" s="151"/>
      <c r="AY685" s="151"/>
      <c r="AZ685" s="151"/>
      <c r="BA685" s="151"/>
      <c r="BB685" s="151"/>
      <c r="BC685" s="151"/>
      <c r="BD685" s="151"/>
      <c r="BE685" s="151"/>
      <c r="BF685" s="151"/>
      <c r="BG685" s="151"/>
      <c r="BH685" s="151"/>
      <c r="BI685" s="151"/>
      <c r="BJ685" s="151"/>
      <c r="BK685" s="151"/>
      <c r="BL685" s="151"/>
      <c r="BM685" s="151"/>
      <c r="BN685" s="151"/>
    </row>
    <row r="686" spans="25:66">
      <c r="Y686" s="151"/>
      <c r="Z686" s="151"/>
      <c r="AA686" s="151"/>
      <c r="AB686" s="151"/>
      <c r="AC686" s="151"/>
      <c r="AD686" s="151"/>
      <c r="AE686" s="151"/>
      <c r="AF686" s="151"/>
      <c r="AG686" s="151"/>
      <c r="AH686" s="151"/>
      <c r="AI686" s="151"/>
      <c r="AJ686" s="151"/>
      <c r="AK686" s="151"/>
      <c r="AL686" s="151"/>
      <c r="AM686" s="151"/>
      <c r="AN686" s="151"/>
      <c r="AO686" s="151"/>
      <c r="AP686" s="151"/>
      <c r="AQ686" s="151"/>
      <c r="AR686" s="151"/>
      <c r="AS686" s="151"/>
      <c r="AT686" s="151"/>
      <c r="AU686" s="151"/>
      <c r="AV686" s="151"/>
      <c r="AW686" s="151"/>
      <c r="AX686" s="151"/>
      <c r="AY686" s="151"/>
      <c r="AZ686" s="151"/>
      <c r="BA686" s="151"/>
      <c r="BB686" s="151"/>
      <c r="BC686" s="151"/>
      <c r="BD686" s="151"/>
      <c r="BE686" s="151"/>
      <c r="BF686" s="151"/>
      <c r="BG686" s="151"/>
      <c r="BH686" s="151"/>
      <c r="BI686" s="151"/>
      <c r="BJ686" s="151"/>
      <c r="BK686" s="151"/>
      <c r="BL686" s="151"/>
      <c r="BM686" s="151"/>
      <c r="BN686" s="151"/>
    </row>
    <row r="687" spans="25:66">
      <c r="Y687" s="151"/>
      <c r="Z687" s="151"/>
      <c r="AA687" s="151"/>
      <c r="AB687" s="151"/>
      <c r="AC687" s="151"/>
      <c r="AD687" s="151"/>
      <c r="AE687" s="151"/>
      <c r="AF687" s="151"/>
      <c r="AG687" s="151"/>
      <c r="AH687" s="151"/>
      <c r="AI687" s="151"/>
      <c r="AJ687" s="151"/>
      <c r="AK687" s="151"/>
      <c r="AL687" s="151"/>
      <c r="AM687" s="151"/>
      <c r="AN687" s="151"/>
      <c r="AO687" s="151"/>
      <c r="AP687" s="151"/>
      <c r="AQ687" s="151"/>
      <c r="AR687" s="151"/>
      <c r="AS687" s="151"/>
      <c r="AT687" s="151"/>
      <c r="AU687" s="151"/>
      <c r="AV687" s="151"/>
      <c r="AW687" s="151"/>
      <c r="AX687" s="151"/>
      <c r="AY687" s="151"/>
      <c r="AZ687" s="151"/>
      <c r="BA687" s="151"/>
      <c r="BB687" s="151"/>
      <c r="BC687" s="151"/>
      <c r="BD687" s="151"/>
      <c r="BE687" s="151"/>
      <c r="BF687" s="151"/>
      <c r="BG687" s="151"/>
      <c r="BH687" s="151"/>
      <c r="BI687" s="151"/>
      <c r="BJ687" s="151"/>
      <c r="BK687" s="151"/>
      <c r="BL687" s="151"/>
      <c r="BM687" s="151"/>
      <c r="BN687" s="151"/>
    </row>
    <row r="688" spans="25:66">
      <c r="Y688" s="151"/>
      <c r="Z688" s="151"/>
      <c r="AA688" s="151"/>
      <c r="AB688" s="151"/>
      <c r="AC688" s="151"/>
      <c r="AD688" s="151"/>
      <c r="AE688" s="151"/>
      <c r="AF688" s="151"/>
      <c r="AG688" s="151"/>
      <c r="AH688" s="151"/>
      <c r="AI688" s="151"/>
      <c r="AJ688" s="151"/>
      <c r="AK688" s="151"/>
      <c r="AL688" s="151"/>
      <c r="AM688" s="151"/>
      <c r="AN688" s="151"/>
      <c r="AO688" s="151"/>
      <c r="AP688" s="151"/>
      <c r="AQ688" s="151"/>
      <c r="AR688" s="151"/>
      <c r="AS688" s="151"/>
      <c r="AT688" s="151"/>
      <c r="AU688" s="151"/>
      <c r="AV688" s="151"/>
      <c r="AW688" s="151"/>
      <c r="AX688" s="151"/>
      <c r="AY688" s="151"/>
      <c r="AZ688" s="151"/>
      <c r="BA688" s="151"/>
      <c r="BB688" s="151"/>
      <c r="BC688" s="151"/>
      <c r="BD688" s="151"/>
      <c r="BE688" s="151"/>
      <c r="BF688" s="151"/>
      <c r="BG688" s="151"/>
      <c r="BH688" s="151"/>
      <c r="BI688" s="151"/>
      <c r="BJ688" s="151"/>
      <c r="BK688" s="151"/>
      <c r="BL688" s="151"/>
      <c r="BM688" s="151"/>
      <c r="BN688" s="151"/>
    </row>
    <row r="689" spans="25:66">
      <c r="Y689" s="151"/>
      <c r="Z689" s="151"/>
      <c r="AA689" s="151"/>
      <c r="AB689" s="151"/>
      <c r="AC689" s="151"/>
      <c r="AD689" s="151"/>
      <c r="AE689" s="151"/>
      <c r="AF689" s="151"/>
      <c r="AG689" s="151"/>
      <c r="AH689" s="151"/>
      <c r="AI689" s="151"/>
      <c r="AJ689" s="151"/>
      <c r="AK689" s="151"/>
      <c r="AL689" s="151"/>
      <c r="AM689" s="151"/>
      <c r="AN689" s="151"/>
      <c r="AO689" s="151"/>
      <c r="AP689" s="151"/>
      <c r="AQ689" s="151"/>
      <c r="AR689" s="151"/>
      <c r="AS689" s="151"/>
      <c r="AT689" s="151"/>
      <c r="AU689" s="151"/>
      <c r="AV689" s="151"/>
      <c r="AW689" s="151"/>
      <c r="AX689" s="151"/>
      <c r="AY689" s="151"/>
      <c r="AZ689" s="151"/>
      <c r="BA689" s="151"/>
      <c r="BB689" s="151"/>
      <c r="BC689" s="151"/>
      <c r="BD689" s="151"/>
      <c r="BE689" s="151"/>
      <c r="BF689" s="151"/>
      <c r="BG689" s="151"/>
      <c r="BH689" s="151"/>
      <c r="BI689" s="151"/>
      <c r="BJ689" s="151"/>
      <c r="BK689" s="151"/>
      <c r="BL689" s="151"/>
      <c r="BM689" s="151"/>
      <c r="BN689" s="151"/>
    </row>
    <row r="690" spans="25:66">
      <c r="Y690" s="151"/>
      <c r="Z690" s="151"/>
      <c r="AA690" s="151"/>
      <c r="AB690" s="151"/>
      <c r="AC690" s="151"/>
      <c r="AD690" s="151"/>
      <c r="AE690" s="151"/>
      <c r="AF690" s="151"/>
      <c r="AG690" s="151"/>
      <c r="AH690" s="151"/>
      <c r="AI690" s="151"/>
      <c r="AJ690" s="151"/>
      <c r="AK690" s="151"/>
      <c r="AL690" s="151"/>
      <c r="AM690" s="151"/>
      <c r="AN690" s="151"/>
      <c r="AO690" s="151"/>
      <c r="AP690" s="151"/>
      <c r="AQ690" s="151"/>
      <c r="AR690" s="151"/>
      <c r="AS690" s="151"/>
      <c r="AT690" s="151"/>
      <c r="AU690" s="151"/>
      <c r="AV690" s="151"/>
      <c r="AW690" s="151"/>
      <c r="AX690" s="151"/>
      <c r="AY690" s="151"/>
      <c r="AZ690" s="151"/>
      <c r="BA690" s="151"/>
      <c r="BB690" s="151"/>
      <c r="BC690" s="151"/>
      <c r="BD690" s="151"/>
      <c r="BE690" s="151"/>
      <c r="BF690" s="151"/>
      <c r="BG690" s="151"/>
      <c r="BH690" s="151"/>
      <c r="BI690" s="151"/>
      <c r="BJ690" s="151"/>
      <c r="BK690" s="151"/>
      <c r="BL690" s="151"/>
      <c r="BM690" s="151"/>
      <c r="BN690" s="151"/>
    </row>
    <row r="691" spans="25:66">
      <c r="Y691" s="151"/>
      <c r="Z691" s="151"/>
      <c r="AA691" s="151"/>
      <c r="AB691" s="151"/>
      <c r="AC691" s="151"/>
      <c r="AD691" s="151"/>
      <c r="AE691" s="151"/>
      <c r="AF691" s="151"/>
      <c r="AG691" s="151"/>
      <c r="AH691" s="151"/>
      <c r="AI691" s="151"/>
      <c r="AJ691" s="151"/>
      <c r="AK691" s="151"/>
      <c r="AL691" s="151"/>
      <c r="AM691" s="151"/>
      <c r="AN691" s="151"/>
      <c r="AO691" s="151"/>
      <c r="AP691" s="151"/>
      <c r="AQ691" s="151"/>
      <c r="AR691" s="151"/>
      <c r="AS691" s="151"/>
      <c r="AT691" s="151"/>
      <c r="AU691" s="151"/>
      <c r="AV691" s="151"/>
      <c r="AW691" s="151"/>
      <c r="AX691" s="151"/>
      <c r="AY691" s="151"/>
      <c r="AZ691" s="151"/>
      <c r="BA691" s="151"/>
      <c r="BB691" s="151"/>
      <c r="BC691" s="151"/>
      <c r="BD691" s="151"/>
      <c r="BE691" s="151"/>
      <c r="BF691" s="151"/>
      <c r="BG691" s="151"/>
      <c r="BH691" s="151"/>
      <c r="BI691" s="151"/>
      <c r="BJ691" s="151"/>
      <c r="BK691" s="151"/>
      <c r="BL691" s="151"/>
      <c r="BM691" s="151"/>
      <c r="BN691" s="151"/>
    </row>
    <row r="692" spans="25:66">
      <c r="Y692" s="151"/>
      <c r="Z692" s="151"/>
      <c r="AA692" s="151"/>
      <c r="AB692" s="151"/>
      <c r="AC692" s="151"/>
      <c r="AD692" s="151"/>
      <c r="AE692" s="151"/>
      <c r="AF692" s="151"/>
      <c r="AG692" s="151"/>
      <c r="AH692" s="151"/>
      <c r="AI692" s="151"/>
      <c r="AJ692" s="151"/>
      <c r="AK692" s="151"/>
      <c r="AL692" s="151"/>
      <c r="AM692" s="151"/>
      <c r="AN692" s="151"/>
      <c r="AO692" s="151"/>
      <c r="AP692" s="151"/>
      <c r="AQ692" s="151"/>
      <c r="AR692" s="151"/>
      <c r="AS692" s="151"/>
      <c r="AT692" s="151"/>
      <c r="AU692" s="151"/>
      <c r="AV692" s="151"/>
      <c r="AW692" s="151"/>
      <c r="AX692" s="151"/>
      <c r="AY692" s="151"/>
      <c r="AZ692" s="151"/>
      <c r="BA692" s="151"/>
      <c r="BB692" s="151"/>
      <c r="BC692" s="151"/>
      <c r="BD692" s="151"/>
      <c r="BE692" s="151"/>
      <c r="BF692" s="151"/>
      <c r="BG692" s="151"/>
      <c r="BH692" s="151"/>
      <c r="BI692" s="151"/>
      <c r="BJ692" s="151"/>
      <c r="BK692" s="151"/>
      <c r="BL692" s="151"/>
      <c r="BM692" s="151"/>
      <c r="BN692" s="151"/>
    </row>
    <row r="693" spans="25:66">
      <c r="Y693" s="151"/>
      <c r="Z693" s="151"/>
      <c r="AA693" s="151"/>
      <c r="AB693" s="151"/>
      <c r="AC693" s="151"/>
      <c r="AD693" s="151"/>
      <c r="AE693" s="151"/>
      <c r="AF693" s="151"/>
      <c r="AG693" s="151"/>
      <c r="AH693" s="151"/>
      <c r="AI693" s="151"/>
      <c r="AJ693" s="151"/>
      <c r="AK693" s="151"/>
      <c r="AL693" s="151"/>
      <c r="AM693" s="151"/>
      <c r="AN693" s="151"/>
      <c r="AO693" s="151"/>
      <c r="AP693" s="151"/>
      <c r="AQ693" s="151"/>
      <c r="AR693" s="151"/>
      <c r="AS693" s="151"/>
      <c r="AT693" s="151"/>
      <c r="AU693" s="151"/>
      <c r="AV693" s="151"/>
      <c r="AW693" s="151"/>
      <c r="AX693" s="151"/>
      <c r="AY693" s="151"/>
      <c r="AZ693" s="151"/>
      <c r="BA693" s="151"/>
      <c r="BB693" s="151"/>
      <c r="BC693" s="151"/>
      <c r="BD693" s="151"/>
      <c r="BE693" s="151"/>
      <c r="BF693" s="151"/>
      <c r="BG693" s="151"/>
      <c r="BH693" s="151"/>
      <c r="BI693" s="151"/>
      <c r="BJ693" s="151"/>
      <c r="BK693" s="151"/>
      <c r="BL693" s="151"/>
      <c r="BM693" s="151"/>
      <c r="BN693" s="151"/>
    </row>
    <row r="694" spans="25:66">
      <c r="Y694" s="151"/>
      <c r="Z694" s="151"/>
      <c r="AA694" s="151"/>
      <c r="AB694" s="151"/>
      <c r="AC694" s="151"/>
      <c r="AD694" s="151"/>
      <c r="AE694" s="151"/>
      <c r="AF694" s="151"/>
      <c r="AG694" s="151"/>
      <c r="AH694" s="151"/>
      <c r="AI694" s="151"/>
      <c r="AJ694" s="151"/>
      <c r="AK694" s="151"/>
      <c r="AL694" s="151"/>
      <c r="AM694" s="151"/>
      <c r="AN694" s="151"/>
      <c r="AO694" s="151"/>
      <c r="AP694" s="151"/>
      <c r="AQ694" s="151"/>
      <c r="AR694" s="151"/>
      <c r="AS694" s="151"/>
      <c r="AT694" s="151"/>
      <c r="AU694" s="151"/>
      <c r="AV694" s="151"/>
      <c r="AW694" s="151"/>
      <c r="AX694" s="151"/>
      <c r="AY694" s="151"/>
      <c r="AZ694" s="151"/>
      <c r="BA694" s="151"/>
      <c r="BB694" s="151"/>
      <c r="BC694" s="151"/>
      <c r="BD694" s="151"/>
      <c r="BE694" s="151"/>
      <c r="BF694" s="151"/>
      <c r="BG694" s="151"/>
      <c r="BH694" s="151"/>
      <c r="BI694" s="151"/>
      <c r="BJ694" s="151"/>
      <c r="BK694" s="151"/>
      <c r="BL694" s="151"/>
      <c r="BM694" s="151"/>
      <c r="BN694" s="151"/>
    </row>
    <row r="695" spans="25:66">
      <c r="Y695" s="151"/>
      <c r="Z695" s="151"/>
      <c r="AA695" s="151"/>
      <c r="AB695" s="151"/>
      <c r="AC695" s="151"/>
      <c r="AD695" s="151"/>
      <c r="AE695" s="151"/>
      <c r="AF695" s="151"/>
      <c r="AG695" s="151"/>
      <c r="AH695" s="151"/>
      <c r="AI695" s="151"/>
      <c r="AJ695" s="151"/>
      <c r="AK695" s="151"/>
      <c r="AL695" s="151"/>
      <c r="AM695" s="151"/>
      <c r="AN695" s="151"/>
      <c r="AO695" s="151"/>
      <c r="AP695" s="151"/>
      <c r="AQ695" s="151"/>
      <c r="AR695" s="151"/>
      <c r="AS695" s="151"/>
      <c r="AT695" s="151"/>
      <c r="AU695" s="151"/>
      <c r="AV695" s="151"/>
      <c r="AW695" s="151"/>
      <c r="AX695" s="151"/>
      <c r="AY695" s="151"/>
      <c r="AZ695" s="151"/>
      <c r="BA695" s="151"/>
      <c r="BB695" s="151"/>
      <c r="BC695" s="151"/>
      <c r="BD695" s="151"/>
      <c r="BE695" s="151"/>
      <c r="BF695" s="151"/>
      <c r="BG695" s="151"/>
      <c r="BH695" s="151"/>
      <c r="BI695" s="151"/>
      <c r="BJ695" s="151"/>
      <c r="BK695" s="151"/>
      <c r="BL695" s="151"/>
      <c r="BM695" s="151"/>
      <c r="BN695" s="151"/>
    </row>
    <row r="696" spans="25:66">
      <c r="Y696" s="151"/>
      <c r="Z696" s="151"/>
      <c r="AA696" s="151"/>
      <c r="AB696" s="151"/>
      <c r="AC696" s="151"/>
      <c r="AD696" s="151"/>
      <c r="AE696" s="151"/>
      <c r="AF696" s="151"/>
      <c r="AG696" s="151"/>
      <c r="AH696" s="151"/>
      <c r="AI696" s="151"/>
      <c r="AJ696" s="151"/>
      <c r="AK696" s="151"/>
      <c r="AL696" s="151"/>
      <c r="AM696" s="151"/>
      <c r="AN696" s="151"/>
      <c r="AO696" s="151"/>
      <c r="AP696" s="151"/>
      <c r="AQ696" s="151"/>
      <c r="AR696" s="151"/>
      <c r="AS696" s="151"/>
      <c r="AT696" s="151"/>
      <c r="AU696" s="151"/>
      <c r="AV696" s="151"/>
      <c r="AW696" s="151"/>
      <c r="AX696" s="151"/>
      <c r="AY696" s="151"/>
      <c r="AZ696" s="151"/>
      <c r="BA696" s="151"/>
      <c r="BB696" s="151"/>
      <c r="BC696" s="151"/>
      <c r="BD696" s="151"/>
      <c r="BE696" s="151"/>
      <c r="BF696" s="151"/>
      <c r="BG696" s="151"/>
      <c r="BH696" s="151"/>
      <c r="BI696" s="151"/>
      <c r="BJ696" s="151"/>
      <c r="BK696" s="151"/>
      <c r="BL696" s="151"/>
      <c r="BM696" s="151"/>
      <c r="BN696" s="151"/>
    </row>
    <row r="697" spans="25:66">
      <c r="Y697" s="151"/>
      <c r="Z697" s="151"/>
      <c r="AA697" s="151"/>
      <c r="AB697" s="151"/>
      <c r="AC697" s="151"/>
      <c r="AD697" s="151"/>
      <c r="AE697" s="151"/>
      <c r="AF697" s="151"/>
      <c r="AG697" s="151"/>
      <c r="AH697" s="151"/>
      <c r="AI697" s="151"/>
      <c r="AJ697" s="151"/>
      <c r="AK697" s="151"/>
      <c r="AL697" s="151"/>
      <c r="AM697" s="151"/>
      <c r="AN697" s="151"/>
      <c r="AO697" s="151"/>
      <c r="AP697" s="151"/>
      <c r="AQ697" s="151"/>
      <c r="AR697" s="151"/>
      <c r="AS697" s="151"/>
      <c r="AT697" s="151"/>
      <c r="AU697" s="151"/>
      <c r="AV697" s="151"/>
      <c r="AW697" s="151"/>
      <c r="AX697" s="151"/>
      <c r="AY697" s="151"/>
      <c r="AZ697" s="151"/>
      <c r="BA697" s="151"/>
      <c r="BB697" s="151"/>
      <c r="BC697" s="151"/>
      <c r="BD697" s="151"/>
      <c r="BE697" s="151"/>
      <c r="BF697" s="151"/>
      <c r="BG697" s="151"/>
      <c r="BH697" s="151"/>
      <c r="BI697" s="151"/>
      <c r="BJ697" s="151"/>
      <c r="BK697" s="151"/>
      <c r="BL697" s="151"/>
      <c r="BM697" s="151"/>
      <c r="BN697" s="151"/>
    </row>
    <row r="698" spans="25:66">
      <c r="Y698" s="151"/>
      <c r="Z698" s="151"/>
      <c r="AA698" s="151"/>
      <c r="AB698" s="151"/>
      <c r="AC698" s="151"/>
      <c r="AD698" s="151"/>
      <c r="AE698" s="151"/>
      <c r="AF698" s="151"/>
      <c r="AG698" s="151"/>
      <c r="AH698" s="151"/>
      <c r="AI698" s="151"/>
      <c r="AJ698" s="151"/>
      <c r="AK698" s="151"/>
      <c r="AL698" s="151"/>
      <c r="AM698" s="151"/>
      <c r="AN698" s="151"/>
      <c r="AO698" s="151"/>
      <c r="AP698" s="151"/>
      <c r="AQ698" s="151"/>
      <c r="AR698" s="151"/>
      <c r="AS698" s="151"/>
      <c r="AT698" s="151"/>
      <c r="AU698" s="151"/>
      <c r="AV698" s="151"/>
      <c r="AW698" s="151"/>
      <c r="AX698" s="151"/>
      <c r="AY698" s="151"/>
      <c r="AZ698" s="151"/>
      <c r="BA698" s="151"/>
      <c r="BB698" s="151"/>
      <c r="BC698" s="151"/>
      <c r="BD698" s="151"/>
      <c r="BE698" s="151"/>
      <c r="BF698" s="151"/>
      <c r="BG698" s="151"/>
      <c r="BH698" s="151"/>
      <c r="BI698" s="151"/>
      <c r="BJ698" s="151"/>
      <c r="BK698" s="151"/>
      <c r="BL698" s="151"/>
      <c r="BM698" s="151"/>
      <c r="BN698" s="151"/>
    </row>
    <row r="699" spans="25:66">
      <c r="Y699" s="151"/>
      <c r="Z699" s="151"/>
      <c r="AA699" s="151"/>
      <c r="AB699" s="151"/>
      <c r="AC699" s="151"/>
      <c r="AD699" s="151"/>
      <c r="AE699" s="151"/>
      <c r="AF699" s="151"/>
      <c r="AG699" s="151"/>
      <c r="AH699" s="151"/>
      <c r="AI699" s="151"/>
      <c r="AJ699" s="151"/>
      <c r="AK699" s="151"/>
      <c r="AL699" s="151"/>
      <c r="AM699" s="151"/>
      <c r="AN699" s="151"/>
      <c r="AO699" s="151"/>
      <c r="AP699" s="151"/>
      <c r="AQ699" s="151"/>
      <c r="AR699" s="151"/>
      <c r="AS699" s="151"/>
      <c r="AT699" s="151"/>
      <c r="AU699" s="151"/>
      <c r="AV699" s="151"/>
      <c r="AW699" s="151"/>
      <c r="AX699" s="151"/>
      <c r="AY699" s="151"/>
      <c r="AZ699" s="151"/>
      <c r="BA699" s="151"/>
      <c r="BB699" s="151"/>
      <c r="BC699" s="151"/>
      <c r="BD699" s="151"/>
      <c r="BE699" s="151"/>
      <c r="BF699" s="151"/>
      <c r="BG699" s="151"/>
      <c r="BH699" s="151"/>
      <c r="BI699" s="151"/>
      <c r="BJ699" s="151"/>
      <c r="BK699" s="151"/>
      <c r="BL699" s="151"/>
      <c r="BM699" s="151"/>
      <c r="BN699" s="151"/>
    </row>
    <row r="700" spans="25:66">
      <c r="Y700" s="151"/>
      <c r="Z700" s="151"/>
      <c r="AA700" s="151"/>
      <c r="AB700" s="151"/>
      <c r="AC700" s="151"/>
      <c r="AD700" s="151"/>
      <c r="AE700" s="151"/>
      <c r="AF700" s="151"/>
      <c r="AG700" s="151"/>
      <c r="AH700" s="151"/>
      <c r="AI700" s="151"/>
      <c r="AJ700" s="151"/>
      <c r="AK700" s="151"/>
      <c r="AL700" s="151"/>
      <c r="AM700" s="151"/>
      <c r="AN700" s="151"/>
      <c r="AO700" s="151"/>
      <c r="AP700" s="151"/>
      <c r="AQ700" s="151"/>
      <c r="AR700" s="151"/>
      <c r="AS700" s="151"/>
      <c r="AT700" s="151"/>
      <c r="AU700" s="151"/>
      <c r="AV700" s="151"/>
      <c r="AW700" s="151"/>
      <c r="AX700" s="151"/>
      <c r="AY700" s="151"/>
      <c r="AZ700" s="151"/>
      <c r="BA700" s="151"/>
      <c r="BB700" s="151"/>
      <c r="BC700" s="151"/>
      <c r="BD700" s="151"/>
      <c r="BE700" s="151"/>
      <c r="BF700" s="151"/>
      <c r="BG700" s="151"/>
      <c r="BH700" s="151"/>
      <c r="BI700" s="151"/>
      <c r="BJ700" s="151"/>
      <c r="BK700" s="151"/>
      <c r="BL700" s="151"/>
      <c r="BM700" s="151"/>
      <c r="BN700" s="151"/>
    </row>
    <row r="701" spans="25:66">
      <c r="Y701" s="151"/>
      <c r="Z701" s="151"/>
      <c r="AA701" s="151"/>
      <c r="AB701" s="151"/>
      <c r="AC701" s="151"/>
      <c r="AD701" s="151"/>
      <c r="AE701" s="151"/>
      <c r="AF701" s="151"/>
      <c r="AG701" s="151"/>
      <c r="AH701" s="151"/>
      <c r="AI701" s="151"/>
      <c r="AJ701" s="151"/>
      <c r="AK701" s="151"/>
      <c r="AL701" s="151"/>
      <c r="AM701" s="151"/>
      <c r="AN701" s="151"/>
      <c r="AO701" s="151"/>
      <c r="AP701" s="151"/>
      <c r="AQ701" s="151"/>
      <c r="AR701" s="151"/>
      <c r="AS701" s="151"/>
      <c r="AT701" s="151"/>
      <c r="AU701" s="151"/>
      <c r="AV701" s="151"/>
      <c r="AW701" s="151"/>
      <c r="AX701" s="151"/>
      <c r="AY701" s="151"/>
      <c r="AZ701" s="151"/>
      <c r="BA701" s="151"/>
      <c r="BB701" s="151"/>
      <c r="BC701" s="151"/>
      <c r="BD701" s="151"/>
      <c r="BE701" s="151"/>
      <c r="BF701" s="151"/>
      <c r="BG701" s="151"/>
      <c r="BH701" s="151"/>
      <c r="BI701" s="151"/>
      <c r="BJ701" s="151"/>
      <c r="BK701" s="151"/>
      <c r="BL701" s="151"/>
      <c r="BM701" s="151"/>
      <c r="BN701" s="151"/>
    </row>
    <row r="702" spans="25:66">
      <c r="Y702" s="151"/>
      <c r="Z702" s="151"/>
      <c r="AA702" s="151"/>
      <c r="AB702" s="151"/>
      <c r="AC702" s="151"/>
      <c r="AD702" s="151"/>
      <c r="AE702" s="151"/>
      <c r="AF702" s="151"/>
      <c r="AG702" s="151"/>
      <c r="AH702" s="151"/>
      <c r="AI702" s="151"/>
      <c r="AJ702" s="151"/>
      <c r="AK702" s="151"/>
      <c r="AL702" s="151"/>
      <c r="AM702" s="151"/>
      <c r="AN702" s="151"/>
      <c r="AO702" s="151"/>
      <c r="AP702" s="151"/>
      <c r="AQ702" s="151"/>
      <c r="AR702" s="151"/>
      <c r="AS702" s="151"/>
      <c r="AT702" s="151"/>
      <c r="AU702" s="151"/>
      <c r="AV702" s="151"/>
      <c r="AW702" s="151"/>
      <c r="AX702" s="151"/>
      <c r="AY702" s="151"/>
      <c r="AZ702" s="151"/>
      <c r="BA702" s="151"/>
      <c r="BB702" s="151"/>
      <c r="BC702" s="151"/>
      <c r="BD702" s="151"/>
      <c r="BE702" s="151"/>
      <c r="BF702" s="151"/>
      <c r="BG702" s="151"/>
      <c r="BH702" s="151"/>
      <c r="BI702" s="151"/>
      <c r="BJ702" s="151"/>
      <c r="BK702" s="151"/>
      <c r="BL702" s="151"/>
      <c r="BM702" s="151"/>
      <c r="BN702" s="151"/>
    </row>
    <row r="703" spans="25:66">
      <c r="Y703" s="151"/>
      <c r="Z703" s="151"/>
      <c r="AA703" s="151"/>
      <c r="AB703" s="151"/>
      <c r="AC703" s="151"/>
      <c r="AD703" s="151"/>
      <c r="AE703" s="151"/>
      <c r="AF703" s="151"/>
      <c r="AG703" s="151"/>
      <c r="AH703" s="151"/>
      <c r="AI703" s="151"/>
      <c r="AJ703" s="151"/>
      <c r="AK703" s="151"/>
      <c r="AL703" s="151"/>
      <c r="AM703" s="151"/>
      <c r="AN703" s="151"/>
      <c r="AO703" s="151"/>
      <c r="AP703" s="151"/>
      <c r="AQ703" s="151"/>
      <c r="AR703" s="151"/>
      <c r="AS703" s="151"/>
      <c r="AT703" s="151"/>
      <c r="AU703" s="151"/>
      <c r="AV703" s="151"/>
      <c r="AW703" s="151"/>
      <c r="AX703" s="151"/>
      <c r="AY703" s="151"/>
      <c r="AZ703" s="151"/>
      <c r="BA703" s="151"/>
      <c r="BB703" s="151"/>
      <c r="BC703" s="151"/>
      <c r="BD703" s="151"/>
      <c r="BE703" s="151"/>
      <c r="BF703" s="151"/>
      <c r="BG703" s="151"/>
      <c r="BH703" s="151"/>
      <c r="BI703" s="151"/>
      <c r="BJ703" s="151"/>
      <c r="BK703" s="151"/>
      <c r="BL703" s="151"/>
      <c r="BM703" s="151"/>
      <c r="BN703" s="151"/>
    </row>
    <row r="704" spans="25:66">
      <c r="Y704" s="151"/>
      <c r="Z704" s="151"/>
      <c r="AA704" s="151"/>
      <c r="AB704" s="151"/>
      <c r="AC704" s="151"/>
      <c r="AD704" s="151"/>
      <c r="AE704" s="151"/>
      <c r="AF704" s="151"/>
      <c r="AG704" s="151"/>
      <c r="AH704" s="151"/>
      <c r="AI704" s="151"/>
      <c r="AJ704" s="151"/>
      <c r="AK704" s="151"/>
      <c r="AL704" s="151"/>
      <c r="AM704" s="151"/>
      <c r="AN704" s="151"/>
      <c r="AO704" s="151"/>
      <c r="AP704" s="151"/>
      <c r="AQ704" s="151"/>
      <c r="AR704" s="151"/>
      <c r="AS704" s="151"/>
      <c r="AT704" s="151"/>
      <c r="AU704" s="151"/>
      <c r="AV704" s="151"/>
      <c r="AW704" s="151"/>
      <c r="AX704" s="151"/>
      <c r="AY704" s="151"/>
      <c r="AZ704" s="151"/>
      <c r="BA704" s="151"/>
      <c r="BB704" s="151"/>
      <c r="BC704" s="151"/>
      <c r="BD704" s="151"/>
      <c r="BE704" s="151"/>
      <c r="BF704" s="151"/>
      <c r="BG704" s="151"/>
      <c r="BH704" s="151"/>
      <c r="BI704" s="151"/>
      <c r="BJ704" s="151"/>
      <c r="BK704" s="151"/>
      <c r="BL704" s="151"/>
      <c r="BM704" s="151"/>
      <c r="BN704" s="151"/>
    </row>
    <row r="705" spans="25:66">
      <c r="Y705" s="151"/>
      <c r="Z705" s="151"/>
      <c r="AA705" s="151"/>
      <c r="AB705" s="151"/>
      <c r="AC705" s="151"/>
      <c r="AD705" s="151"/>
      <c r="AE705" s="151"/>
      <c r="AF705" s="151"/>
      <c r="AG705" s="151"/>
      <c r="AH705" s="151"/>
      <c r="AI705" s="151"/>
      <c r="AJ705" s="151"/>
      <c r="AK705" s="151"/>
      <c r="AL705" s="151"/>
      <c r="AM705" s="151"/>
      <c r="AN705" s="151"/>
      <c r="AO705" s="151"/>
      <c r="AP705" s="151"/>
      <c r="AQ705" s="151"/>
      <c r="AR705" s="151"/>
      <c r="AS705" s="151"/>
      <c r="AT705" s="151"/>
      <c r="AU705" s="151"/>
      <c r="AV705" s="151"/>
      <c r="AW705" s="151"/>
      <c r="AX705" s="151"/>
      <c r="AY705" s="151"/>
      <c r="AZ705" s="151"/>
      <c r="BA705" s="151"/>
      <c r="BB705" s="151"/>
      <c r="BC705" s="151"/>
      <c r="BD705" s="151"/>
      <c r="BE705" s="151"/>
      <c r="BF705" s="151"/>
      <c r="BG705" s="151"/>
      <c r="BH705" s="151"/>
      <c r="BI705" s="151"/>
      <c r="BJ705" s="151"/>
      <c r="BK705" s="151"/>
      <c r="BL705" s="151"/>
      <c r="BM705" s="151"/>
      <c r="BN705" s="151"/>
    </row>
    <row r="706" spans="25:66">
      <c r="Y706" s="151"/>
      <c r="Z706" s="151"/>
      <c r="AA706" s="151"/>
      <c r="AB706" s="151"/>
      <c r="AC706" s="151"/>
      <c r="AD706" s="151"/>
      <c r="AE706" s="151"/>
      <c r="AF706" s="151"/>
      <c r="AG706" s="151"/>
      <c r="AH706" s="151"/>
      <c r="AI706" s="151"/>
      <c r="AJ706" s="151"/>
      <c r="AK706" s="151"/>
      <c r="AL706" s="151"/>
      <c r="AM706" s="151"/>
      <c r="AN706" s="151"/>
      <c r="AO706" s="151"/>
      <c r="AP706" s="151"/>
      <c r="AQ706" s="151"/>
      <c r="AR706" s="151"/>
      <c r="AS706" s="151"/>
      <c r="AT706" s="151"/>
      <c r="AU706" s="151"/>
      <c r="AV706" s="151"/>
      <c r="AW706" s="151"/>
      <c r="AX706" s="151"/>
      <c r="AY706" s="151"/>
      <c r="AZ706" s="151"/>
      <c r="BA706" s="151"/>
      <c r="BB706" s="151"/>
      <c r="BC706" s="151"/>
      <c r="BD706" s="151"/>
      <c r="BE706" s="151"/>
      <c r="BF706" s="151"/>
      <c r="BG706" s="151"/>
      <c r="BH706" s="151"/>
      <c r="BI706" s="151"/>
      <c r="BJ706" s="151"/>
      <c r="BK706" s="151"/>
      <c r="BL706" s="151"/>
      <c r="BM706" s="151"/>
      <c r="BN706" s="151"/>
    </row>
    <row r="707" spans="25:66">
      <c r="Y707" s="151"/>
      <c r="Z707" s="151"/>
      <c r="AA707" s="151"/>
      <c r="AB707" s="151"/>
      <c r="AC707" s="151"/>
      <c r="AD707" s="151"/>
      <c r="AE707" s="151"/>
      <c r="AF707" s="151"/>
      <c r="AG707" s="151"/>
      <c r="AH707" s="151"/>
      <c r="AI707" s="151"/>
      <c r="AJ707" s="151"/>
      <c r="AK707" s="151"/>
      <c r="AL707" s="151"/>
      <c r="AM707" s="151"/>
      <c r="AN707" s="151"/>
      <c r="AO707" s="151"/>
      <c r="AP707" s="151"/>
      <c r="AQ707" s="151"/>
      <c r="AR707" s="151"/>
      <c r="AS707" s="151"/>
      <c r="AT707" s="151"/>
      <c r="AU707" s="151"/>
      <c r="AV707" s="151"/>
      <c r="AW707" s="151"/>
      <c r="AX707" s="151"/>
      <c r="AY707" s="151"/>
      <c r="AZ707" s="151"/>
      <c r="BA707" s="151"/>
      <c r="BB707" s="151"/>
      <c r="BC707" s="151"/>
      <c r="BD707" s="151"/>
      <c r="BE707" s="151"/>
      <c r="BF707" s="151"/>
      <c r="BG707" s="151"/>
      <c r="BH707" s="151"/>
      <c r="BI707" s="151"/>
      <c r="BJ707" s="151"/>
      <c r="BK707" s="151"/>
      <c r="BL707" s="151"/>
      <c r="BM707" s="151"/>
      <c r="BN707" s="151"/>
    </row>
    <row r="708" spans="25:66">
      <c r="Y708" s="151"/>
      <c r="Z708" s="151"/>
      <c r="AA708" s="151"/>
      <c r="AB708" s="151"/>
      <c r="AC708" s="151"/>
      <c r="AD708" s="151"/>
      <c r="AE708" s="151"/>
      <c r="AF708" s="151"/>
      <c r="AG708" s="151"/>
      <c r="AH708" s="151"/>
      <c r="AI708" s="151"/>
      <c r="AJ708" s="151"/>
      <c r="AK708" s="151"/>
      <c r="AL708" s="151"/>
      <c r="AM708" s="151"/>
      <c r="AN708" s="151"/>
      <c r="AO708" s="151"/>
      <c r="AP708" s="151"/>
      <c r="AQ708" s="151"/>
      <c r="AR708" s="151"/>
      <c r="AS708" s="151"/>
      <c r="AT708" s="151"/>
      <c r="AU708" s="151"/>
      <c r="AV708" s="151"/>
      <c r="AW708" s="151"/>
      <c r="AX708" s="151"/>
      <c r="AY708" s="151"/>
      <c r="AZ708" s="151"/>
      <c r="BA708" s="151"/>
      <c r="BB708" s="151"/>
      <c r="BC708" s="151"/>
      <c r="BD708" s="151"/>
      <c r="BE708" s="151"/>
      <c r="BF708" s="151"/>
      <c r="BG708" s="151"/>
      <c r="BH708" s="151"/>
      <c r="BI708" s="151"/>
      <c r="BJ708" s="151"/>
      <c r="BK708" s="151"/>
      <c r="BL708" s="151"/>
      <c r="BM708" s="151"/>
      <c r="BN708" s="151"/>
    </row>
    <row r="709" spans="25:66">
      <c r="Y709" s="151"/>
      <c r="Z709" s="151"/>
      <c r="AA709" s="151"/>
      <c r="AB709" s="151"/>
      <c r="AC709" s="151"/>
      <c r="AD709" s="151"/>
      <c r="AE709" s="151"/>
      <c r="AF709" s="151"/>
      <c r="AG709" s="151"/>
      <c r="AH709" s="151"/>
      <c r="AI709" s="151"/>
      <c r="AJ709" s="151"/>
      <c r="AK709" s="151"/>
      <c r="AL709" s="151"/>
      <c r="AM709" s="151"/>
      <c r="AN709" s="151"/>
      <c r="AO709" s="151"/>
      <c r="AP709" s="151"/>
      <c r="AQ709" s="151"/>
      <c r="AR709" s="151"/>
      <c r="AS709" s="151"/>
      <c r="AT709" s="151"/>
      <c r="AU709" s="151"/>
      <c r="AV709" s="151"/>
      <c r="AW709" s="151"/>
      <c r="AX709" s="151"/>
      <c r="AY709" s="151"/>
      <c r="AZ709" s="151"/>
      <c r="BA709" s="151"/>
      <c r="BB709" s="151"/>
      <c r="BC709" s="151"/>
      <c r="BD709" s="151"/>
      <c r="BE709" s="151"/>
      <c r="BF709" s="151"/>
      <c r="BG709" s="151"/>
      <c r="BH709" s="151"/>
      <c r="BI709" s="151"/>
      <c r="BJ709" s="151"/>
      <c r="BK709" s="151"/>
      <c r="BL709" s="151"/>
      <c r="BM709" s="151"/>
      <c r="BN709" s="151"/>
    </row>
    <row r="710" spans="25:66">
      <c r="Y710" s="151"/>
      <c r="Z710" s="151"/>
      <c r="AA710" s="151"/>
      <c r="AB710" s="151"/>
      <c r="AC710" s="151"/>
      <c r="AD710" s="151"/>
      <c r="AE710" s="151"/>
      <c r="AF710" s="151"/>
      <c r="AG710" s="151"/>
      <c r="AH710" s="151"/>
      <c r="AI710" s="151"/>
      <c r="AJ710" s="151"/>
      <c r="AK710" s="151"/>
      <c r="AL710" s="151"/>
      <c r="AM710" s="151"/>
      <c r="AN710" s="151"/>
      <c r="AO710" s="151"/>
      <c r="AP710" s="151"/>
      <c r="AQ710" s="151"/>
      <c r="AR710" s="151"/>
      <c r="AS710" s="151"/>
      <c r="AT710" s="151"/>
      <c r="AU710" s="151"/>
      <c r="AV710" s="151"/>
      <c r="AW710" s="151"/>
      <c r="AX710" s="151"/>
      <c r="AY710" s="151"/>
      <c r="AZ710" s="151"/>
      <c r="BA710" s="151"/>
      <c r="BB710" s="151"/>
      <c r="BC710" s="151"/>
      <c r="BD710" s="151"/>
      <c r="BE710" s="151"/>
      <c r="BF710" s="151"/>
      <c r="BG710" s="151"/>
      <c r="BH710" s="151"/>
      <c r="BI710" s="151"/>
      <c r="BJ710" s="151"/>
      <c r="BK710" s="151"/>
      <c r="BL710" s="151"/>
      <c r="BM710" s="151"/>
      <c r="BN710" s="151"/>
    </row>
    <row r="711" spans="25:66">
      <c r="Y711" s="151"/>
      <c r="Z711" s="151"/>
      <c r="AA711" s="151"/>
      <c r="AB711" s="151"/>
      <c r="AC711" s="151"/>
      <c r="AD711" s="151"/>
      <c r="AE711" s="151"/>
      <c r="AF711" s="151"/>
      <c r="AG711" s="151"/>
      <c r="AH711" s="151"/>
      <c r="AI711" s="151"/>
      <c r="AJ711" s="151"/>
      <c r="AK711" s="151"/>
      <c r="AL711" s="151"/>
      <c r="AM711" s="151"/>
      <c r="AN711" s="151"/>
      <c r="AO711" s="151"/>
      <c r="AP711" s="151"/>
      <c r="AQ711" s="151"/>
      <c r="AR711" s="151"/>
      <c r="AS711" s="151"/>
      <c r="AT711" s="151"/>
      <c r="AU711" s="151"/>
      <c r="AV711" s="151"/>
      <c r="AW711" s="151"/>
      <c r="AX711" s="151"/>
      <c r="AY711" s="151"/>
      <c r="AZ711" s="151"/>
      <c r="BA711" s="151"/>
      <c r="BB711" s="151"/>
      <c r="BC711" s="151"/>
      <c r="BD711" s="151"/>
      <c r="BE711" s="151"/>
      <c r="BF711" s="151"/>
      <c r="BG711" s="151"/>
      <c r="BH711" s="151"/>
      <c r="BI711" s="151"/>
      <c r="BJ711" s="151"/>
      <c r="BK711" s="151"/>
      <c r="BL711" s="151"/>
      <c r="BM711" s="151"/>
      <c r="BN711" s="151"/>
    </row>
    <row r="712" spans="25:66">
      <c r="Y712" s="151"/>
      <c r="Z712" s="151"/>
      <c r="AA712" s="151"/>
      <c r="AB712" s="151"/>
      <c r="AC712" s="151"/>
      <c r="AD712" s="151"/>
      <c r="AE712" s="151"/>
      <c r="AF712" s="151"/>
      <c r="AG712" s="151"/>
      <c r="AH712" s="151"/>
      <c r="AI712" s="151"/>
      <c r="AJ712" s="151"/>
      <c r="AK712" s="151"/>
      <c r="AL712" s="151"/>
      <c r="AM712" s="151"/>
      <c r="AN712" s="151"/>
      <c r="AO712" s="151"/>
      <c r="AP712" s="151"/>
      <c r="AQ712" s="151"/>
      <c r="AR712" s="151"/>
      <c r="AS712" s="151"/>
      <c r="AT712" s="151"/>
      <c r="AU712" s="151"/>
      <c r="AV712" s="151"/>
      <c r="AW712" s="151"/>
      <c r="AX712" s="151"/>
      <c r="AY712" s="151"/>
      <c r="AZ712" s="151"/>
      <c r="BA712" s="151"/>
      <c r="BB712" s="151"/>
      <c r="BC712" s="151"/>
      <c r="BD712" s="151"/>
      <c r="BE712" s="151"/>
      <c r="BF712" s="151"/>
      <c r="BG712" s="151"/>
      <c r="BH712" s="151"/>
      <c r="BI712" s="151"/>
      <c r="BJ712" s="151"/>
      <c r="BK712" s="151"/>
      <c r="BL712" s="151"/>
      <c r="BM712" s="151"/>
      <c r="BN712" s="151"/>
    </row>
    <row r="713" spans="25:66">
      <c r="Y713" s="151"/>
      <c r="Z713" s="151"/>
      <c r="AA713" s="151"/>
      <c r="AB713" s="151"/>
      <c r="AC713" s="151"/>
      <c r="AD713" s="151"/>
      <c r="AE713" s="151"/>
      <c r="AF713" s="151"/>
      <c r="AG713" s="151"/>
      <c r="AH713" s="151"/>
      <c r="AI713" s="151"/>
      <c r="AJ713" s="151"/>
      <c r="AK713" s="151"/>
      <c r="AL713" s="151"/>
      <c r="AM713" s="151"/>
      <c r="AN713" s="151"/>
      <c r="AO713" s="151"/>
      <c r="AP713" s="151"/>
      <c r="AQ713" s="151"/>
      <c r="AR713" s="151"/>
      <c r="AS713" s="151"/>
      <c r="AT713" s="151"/>
      <c r="AU713" s="151"/>
      <c r="AV713" s="151"/>
      <c r="AW713" s="151"/>
      <c r="AX713" s="151"/>
      <c r="AY713" s="151"/>
      <c r="AZ713" s="151"/>
      <c r="BA713" s="151"/>
      <c r="BB713" s="151"/>
      <c r="BC713" s="151"/>
      <c r="BD713" s="151"/>
      <c r="BE713" s="151"/>
      <c r="BF713" s="151"/>
      <c r="BG713" s="151"/>
      <c r="BH713" s="151"/>
      <c r="BI713" s="151"/>
      <c r="BJ713" s="151"/>
      <c r="BK713" s="151"/>
      <c r="BL713" s="151"/>
      <c r="BM713" s="151"/>
      <c r="BN713" s="151"/>
    </row>
    <row r="714" spans="25:66">
      <c r="Y714" s="151"/>
      <c r="Z714" s="151"/>
      <c r="AA714" s="151"/>
      <c r="AB714" s="151"/>
      <c r="AC714" s="151"/>
      <c r="AD714" s="151"/>
      <c r="AE714" s="151"/>
      <c r="AF714" s="151"/>
      <c r="AG714" s="151"/>
      <c r="AH714" s="151"/>
      <c r="AI714" s="151"/>
      <c r="AJ714" s="151"/>
      <c r="AK714" s="151"/>
      <c r="AL714" s="151"/>
      <c r="AM714" s="151"/>
      <c r="AN714" s="151"/>
      <c r="AO714" s="151"/>
      <c r="AP714" s="151"/>
      <c r="AQ714" s="151"/>
      <c r="AR714" s="151"/>
      <c r="AS714" s="151"/>
      <c r="AT714" s="151"/>
      <c r="AU714" s="151"/>
      <c r="AV714" s="151"/>
      <c r="AW714" s="151"/>
      <c r="AX714" s="151"/>
      <c r="AY714" s="151"/>
      <c r="AZ714" s="151"/>
      <c r="BA714" s="151"/>
      <c r="BB714" s="151"/>
      <c r="BC714" s="151"/>
      <c r="BD714" s="151"/>
      <c r="BE714" s="151"/>
      <c r="BF714" s="151"/>
      <c r="BG714" s="151"/>
      <c r="BH714" s="151"/>
      <c r="BI714" s="151"/>
      <c r="BJ714" s="151"/>
      <c r="BK714" s="151"/>
      <c r="BL714" s="151"/>
      <c r="BM714" s="151"/>
      <c r="BN714" s="151"/>
    </row>
    <row r="715" spans="25:66">
      <c r="Y715" s="151"/>
      <c r="Z715" s="151"/>
      <c r="AA715" s="151"/>
      <c r="AB715" s="151"/>
      <c r="AC715" s="151"/>
      <c r="AD715" s="151"/>
      <c r="AE715" s="151"/>
      <c r="AF715" s="151"/>
      <c r="AG715" s="151"/>
      <c r="AH715" s="151"/>
      <c r="AI715" s="151"/>
      <c r="AJ715" s="151"/>
      <c r="AK715" s="151"/>
      <c r="AL715" s="151"/>
      <c r="AM715" s="151"/>
      <c r="AN715" s="151"/>
      <c r="AO715" s="151"/>
      <c r="AP715" s="151"/>
      <c r="AQ715" s="151"/>
      <c r="AR715" s="151"/>
      <c r="AS715" s="151"/>
      <c r="AT715" s="151"/>
      <c r="AU715" s="151"/>
      <c r="AV715" s="151"/>
      <c r="AW715" s="151"/>
      <c r="AX715" s="151"/>
      <c r="AY715" s="151"/>
      <c r="AZ715" s="151"/>
      <c r="BA715" s="151"/>
      <c r="BB715" s="151"/>
      <c r="BC715" s="151"/>
      <c r="BD715" s="151"/>
      <c r="BE715" s="151"/>
      <c r="BF715" s="151"/>
      <c r="BG715" s="151"/>
      <c r="BH715" s="151"/>
      <c r="BI715" s="151"/>
      <c r="BJ715" s="151"/>
      <c r="BK715" s="151"/>
      <c r="BL715" s="151"/>
      <c r="BM715" s="151"/>
      <c r="BN715" s="151"/>
    </row>
    <row r="716" spans="25:66">
      <c r="Y716" s="151"/>
      <c r="Z716" s="151"/>
      <c r="AA716" s="151"/>
      <c r="AB716" s="151"/>
      <c r="AC716" s="151"/>
      <c r="AD716" s="151"/>
      <c r="AE716" s="151"/>
      <c r="AF716" s="151"/>
      <c r="AG716" s="151"/>
      <c r="AH716" s="151"/>
      <c r="AI716" s="151"/>
      <c r="AJ716" s="151"/>
      <c r="AK716" s="151"/>
      <c r="AL716" s="151"/>
      <c r="AM716" s="151"/>
      <c r="AN716" s="151"/>
      <c r="AO716" s="151"/>
      <c r="AP716" s="151"/>
      <c r="AQ716" s="151"/>
      <c r="AR716" s="151"/>
      <c r="AS716" s="151"/>
      <c r="AT716" s="151"/>
      <c r="AU716" s="151"/>
      <c r="AV716" s="151"/>
      <c r="AW716" s="151"/>
      <c r="AX716" s="151"/>
      <c r="AY716" s="151"/>
      <c r="AZ716" s="151"/>
      <c r="BA716" s="151"/>
      <c r="BB716" s="151"/>
      <c r="BC716" s="151"/>
      <c r="BD716" s="151"/>
      <c r="BE716" s="151"/>
      <c r="BF716" s="151"/>
      <c r="BG716" s="151"/>
      <c r="BH716" s="151"/>
      <c r="BI716" s="151"/>
      <c r="BJ716" s="151"/>
      <c r="BK716" s="151"/>
      <c r="BL716" s="151"/>
      <c r="BM716" s="151"/>
      <c r="BN716" s="151"/>
    </row>
    <row r="717" spans="25:66">
      <c r="Y717" s="151"/>
      <c r="Z717" s="151"/>
      <c r="AA717" s="151"/>
      <c r="AB717" s="151"/>
      <c r="AC717" s="151"/>
      <c r="AD717" s="151"/>
      <c r="AE717" s="151"/>
      <c r="AF717" s="151"/>
      <c r="AG717" s="151"/>
      <c r="AH717" s="151"/>
      <c r="AI717" s="151"/>
      <c r="AJ717" s="151"/>
      <c r="AK717" s="151"/>
      <c r="AL717" s="151"/>
      <c r="AM717" s="151"/>
      <c r="AN717" s="151"/>
      <c r="AO717" s="151"/>
      <c r="AP717" s="151"/>
      <c r="AQ717" s="151"/>
      <c r="AR717" s="151"/>
      <c r="AS717" s="151"/>
      <c r="AT717" s="151"/>
      <c r="AU717" s="151"/>
      <c r="AV717" s="151"/>
      <c r="AW717" s="151"/>
      <c r="AX717" s="151"/>
      <c r="AY717" s="151"/>
      <c r="AZ717" s="151"/>
      <c r="BA717" s="151"/>
      <c r="BB717" s="151"/>
      <c r="BC717" s="151"/>
      <c r="BD717" s="151"/>
      <c r="BE717" s="151"/>
      <c r="BF717" s="151"/>
      <c r="BG717" s="151"/>
      <c r="BH717" s="151"/>
      <c r="BI717" s="151"/>
      <c r="BJ717" s="151"/>
      <c r="BK717" s="151"/>
      <c r="BL717" s="151"/>
      <c r="BM717" s="151"/>
      <c r="BN717" s="151"/>
    </row>
    <row r="718" spans="25:66">
      <c r="Y718" s="151"/>
      <c r="Z718" s="151"/>
      <c r="AA718" s="151"/>
      <c r="AB718" s="151"/>
      <c r="AC718" s="151"/>
      <c r="AD718" s="151"/>
      <c r="AE718" s="151"/>
      <c r="AF718" s="151"/>
      <c r="AG718" s="151"/>
      <c r="AH718" s="151"/>
      <c r="AI718" s="151"/>
      <c r="AJ718" s="151"/>
      <c r="AK718" s="151"/>
      <c r="AL718" s="151"/>
      <c r="AM718" s="151"/>
      <c r="AN718" s="151"/>
      <c r="AO718" s="151"/>
      <c r="AP718" s="151"/>
      <c r="AQ718" s="151"/>
      <c r="AR718" s="151"/>
      <c r="AS718" s="151"/>
      <c r="AT718" s="151"/>
      <c r="AU718" s="151"/>
      <c r="AV718" s="151"/>
      <c r="AW718" s="151"/>
      <c r="AX718" s="151"/>
      <c r="AY718" s="151"/>
      <c r="AZ718" s="151"/>
      <c r="BA718" s="151"/>
      <c r="BB718" s="151"/>
      <c r="BC718" s="151"/>
      <c r="BD718" s="151"/>
      <c r="BE718" s="151"/>
      <c r="BF718" s="151"/>
      <c r="BG718" s="151"/>
      <c r="BH718" s="151"/>
      <c r="BI718" s="151"/>
      <c r="BJ718" s="151"/>
      <c r="BK718" s="151"/>
      <c r="BL718" s="151"/>
      <c r="BM718" s="151"/>
      <c r="BN718" s="151"/>
    </row>
    <row r="719" spans="25:66">
      <c r="Y719" s="151"/>
      <c r="Z719" s="151"/>
      <c r="AA719" s="151"/>
      <c r="AB719" s="151"/>
      <c r="AC719" s="151"/>
      <c r="AD719" s="151"/>
      <c r="AE719" s="151"/>
      <c r="AF719" s="151"/>
      <c r="AG719" s="151"/>
      <c r="AH719" s="151"/>
      <c r="AI719" s="151"/>
      <c r="AJ719" s="151"/>
      <c r="AK719" s="151"/>
      <c r="AL719" s="151"/>
      <c r="AM719" s="151"/>
      <c r="AN719" s="151"/>
      <c r="AO719" s="151"/>
      <c r="AP719" s="151"/>
      <c r="AQ719" s="151"/>
      <c r="AR719" s="151"/>
      <c r="AS719" s="151"/>
      <c r="AT719" s="151"/>
      <c r="AU719" s="151"/>
      <c r="AV719" s="151"/>
      <c r="AW719" s="151"/>
      <c r="AX719" s="151"/>
      <c r="AY719" s="151"/>
      <c r="AZ719" s="151"/>
      <c r="BA719" s="151"/>
      <c r="BB719" s="151"/>
      <c r="BC719" s="151"/>
      <c r="BD719" s="151"/>
      <c r="BE719" s="151"/>
      <c r="BF719" s="151"/>
      <c r="BG719" s="151"/>
      <c r="BH719" s="151"/>
      <c r="BI719" s="151"/>
      <c r="BJ719" s="151"/>
      <c r="BK719" s="151"/>
      <c r="BL719" s="151"/>
      <c r="BM719" s="151"/>
      <c r="BN719" s="151"/>
    </row>
    <row r="720" spans="25:66">
      <c r="Y720" s="151"/>
      <c r="Z720" s="151"/>
      <c r="AA720" s="151"/>
      <c r="AB720" s="151"/>
      <c r="AC720" s="151"/>
      <c r="AD720" s="151"/>
      <c r="AE720" s="151"/>
      <c r="AF720" s="151"/>
      <c r="AG720" s="151"/>
      <c r="AH720" s="151"/>
      <c r="AI720" s="151"/>
      <c r="AJ720" s="151"/>
      <c r="AK720" s="151"/>
      <c r="AL720" s="151"/>
      <c r="AM720" s="151"/>
      <c r="AN720" s="151"/>
      <c r="AO720" s="151"/>
      <c r="AP720" s="151"/>
      <c r="AQ720" s="151"/>
      <c r="AR720" s="151"/>
      <c r="AS720" s="151"/>
      <c r="AT720" s="151"/>
      <c r="AU720" s="151"/>
      <c r="AV720" s="151"/>
      <c r="AW720" s="151"/>
      <c r="AX720" s="151"/>
      <c r="AY720" s="151"/>
      <c r="AZ720" s="151"/>
      <c r="BA720" s="151"/>
      <c r="BB720" s="151"/>
      <c r="BC720" s="151"/>
      <c r="BD720" s="151"/>
      <c r="BE720" s="151"/>
      <c r="BF720" s="151"/>
      <c r="BG720" s="151"/>
      <c r="BH720" s="151"/>
      <c r="BI720" s="151"/>
      <c r="BJ720" s="151"/>
      <c r="BK720" s="151"/>
      <c r="BL720" s="151"/>
      <c r="BM720" s="151"/>
      <c r="BN720" s="151"/>
    </row>
    <row r="721" spans="25:66">
      <c r="Y721" s="151"/>
      <c r="Z721" s="151"/>
      <c r="AA721" s="151"/>
      <c r="AB721" s="151"/>
      <c r="AC721" s="151"/>
      <c r="AD721" s="151"/>
      <c r="AE721" s="151"/>
      <c r="AF721" s="151"/>
      <c r="AG721" s="151"/>
      <c r="AH721" s="151"/>
      <c r="AI721" s="151"/>
      <c r="AJ721" s="151"/>
      <c r="AK721" s="151"/>
      <c r="AL721" s="151"/>
      <c r="AM721" s="151"/>
      <c r="AN721" s="151"/>
      <c r="AO721" s="151"/>
      <c r="AP721" s="151"/>
      <c r="AQ721" s="151"/>
      <c r="AR721" s="151"/>
      <c r="AS721" s="151"/>
      <c r="AT721" s="151"/>
      <c r="AU721" s="151"/>
      <c r="AV721" s="151"/>
      <c r="AW721" s="151"/>
      <c r="AX721" s="151"/>
      <c r="AY721" s="151"/>
      <c r="AZ721" s="151"/>
      <c r="BA721" s="151"/>
      <c r="BB721" s="151"/>
      <c r="BC721" s="151"/>
      <c r="BD721" s="151"/>
      <c r="BE721" s="151"/>
      <c r="BF721" s="151"/>
      <c r="BG721" s="151"/>
      <c r="BH721" s="151"/>
      <c r="BI721" s="151"/>
      <c r="BJ721" s="151"/>
      <c r="BK721" s="151"/>
      <c r="BL721" s="151"/>
      <c r="BM721" s="151"/>
      <c r="BN721" s="151"/>
    </row>
    <row r="722" spans="25:66">
      <c r="Y722" s="151"/>
      <c r="Z722" s="151"/>
      <c r="AA722" s="151"/>
      <c r="AB722" s="151"/>
      <c r="AC722" s="151"/>
      <c r="AD722" s="151"/>
      <c r="AE722" s="151"/>
      <c r="AF722" s="151"/>
      <c r="AG722" s="151"/>
      <c r="AH722" s="151"/>
      <c r="AI722" s="151"/>
      <c r="AJ722" s="151"/>
      <c r="AK722" s="151"/>
      <c r="AL722" s="151"/>
      <c r="AM722" s="151"/>
      <c r="AN722" s="151"/>
      <c r="AO722" s="151"/>
      <c r="AP722" s="151"/>
      <c r="AQ722" s="151"/>
      <c r="AR722" s="151"/>
      <c r="AS722" s="151"/>
      <c r="AT722" s="151"/>
      <c r="AU722" s="151"/>
      <c r="AV722" s="151"/>
      <c r="AW722" s="151"/>
      <c r="AX722" s="151"/>
      <c r="AY722" s="151"/>
      <c r="AZ722" s="151"/>
      <c r="BA722" s="151"/>
      <c r="BB722" s="151"/>
      <c r="BC722" s="151"/>
      <c r="BD722" s="151"/>
      <c r="BE722" s="151"/>
      <c r="BF722" s="151"/>
      <c r="BG722" s="151"/>
      <c r="BH722" s="151"/>
      <c r="BI722" s="151"/>
      <c r="BJ722" s="151"/>
      <c r="BK722" s="151"/>
      <c r="BL722" s="151"/>
      <c r="BM722" s="151"/>
      <c r="BN722" s="151"/>
    </row>
    <row r="723" spans="25:66">
      <c r="Y723" s="151"/>
      <c r="Z723" s="151"/>
      <c r="AA723" s="151"/>
      <c r="AB723" s="151"/>
      <c r="AC723" s="151"/>
      <c r="AD723" s="151"/>
      <c r="AE723" s="151"/>
      <c r="AF723" s="151"/>
      <c r="AG723" s="151"/>
      <c r="AH723" s="151"/>
      <c r="AI723" s="151"/>
      <c r="AJ723" s="151"/>
      <c r="AK723" s="151"/>
      <c r="AL723" s="151"/>
      <c r="AM723" s="151"/>
      <c r="AN723" s="151"/>
      <c r="AO723" s="151"/>
      <c r="AP723" s="151"/>
      <c r="AQ723" s="151"/>
      <c r="AR723" s="151"/>
      <c r="AS723" s="151"/>
      <c r="AT723" s="151"/>
      <c r="AU723" s="151"/>
      <c r="AV723" s="151"/>
      <c r="AW723" s="151"/>
      <c r="AX723" s="151"/>
      <c r="AY723" s="151"/>
      <c r="AZ723" s="151"/>
      <c r="BA723" s="151"/>
      <c r="BB723" s="151"/>
      <c r="BC723" s="151"/>
      <c r="BD723" s="151"/>
      <c r="BE723" s="151"/>
      <c r="BF723" s="151"/>
      <c r="BG723" s="151"/>
      <c r="BH723" s="151"/>
      <c r="BI723" s="151"/>
      <c r="BJ723" s="151"/>
      <c r="BK723" s="151"/>
      <c r="BL723" s="151"/>
      <c r="BM723" s="151"/>
      <c r="BN723" s="151"/>
    </row>
    <row r="724" spans="25:66">
      <c r="Y724" s="151"/>
      <c r="Z724" s="151"/>
      <c r="AA724" s="151"/>
      <c r="AB724" s="151"/>
      <c r="AC724" s="151"/>
      <c r="AD724" s="151"/>
      <c r="AE724" s="151"/>
      <c r="AF724" s="151"/>
      <c r="AG724" s="151"/>
      <c r="AH724" s="151"/>
      <c r="AI724" s="151"/>
      <c r="AJ724" s="151"/>
      <c r="AK724" s="151"/>
      <c r="AL724" s="151"/>
      <c r="AM724" s="151"/>
      <c r="AN724" s="151"/>
      <c r="AO724" s="151"/>
      <c r="AP724" s="151"/>
      <c r="AQ724" s="151"/>
      <c r="AR724" s="151"/>
      <c r="AS724" s="151"/>
      <c r="AT724" s="151"/>
      <c r="AU724" s="151"/>
      <c r="AV724" s="151"/>
      <c r="AW724" s="151"/>
      <c r="AX724" s="151"/>
      <c r="AY724" s="151"/>
      <c r="AZ724" s="151"/>
      <c r="BA724" s="151"/>
      <c r="BB724" s="151"/>
      <c r="BC724" s="151"/>
      <c r="BD724" s="151"/>
      <c r="BE724" s="151"/>
      <c r="BF724" s="151"/>
      <c r="BG724" s="151"/>
      <c r="BH724" s="151"/>
      <c r="BI724" s="151"/>
      <c r="BJ724" s="151"/>
      <c r="BK724" s="151"/>
      <c r="BL724" s="151"/>
      <c r="BM724" s="151"/>
      <c r="BN724" s="151"/>
    </row>
    <row r="725" spans="25:66">
      <c r="Y725" s="151"/>
      <c r="Z725" s="151"/>
      <c r="AA725" s="151"/>
      <c r="AB725" s="151"/>
      <c r="AC725" s="151"/>
      <c r="AD725" s="151"/>
      <c r="AE725" s="151"/>
      <c r="AF725" s="151"/>
      <c r="AG725" s="151"/>
      <c r="AH725" s="151"/>
      <c r="AI725" s="151"/>
      <c r="AJ725" s="151"/>
      <c r="AK725" s="151"/>
      <c r="AL725" s="151"/>
      <c r="AM725" s="151"/>
      <c r="AN725" s="151"/>
      <c r="AO725" s="151"/>
      <c r="AP725" s="151"/>
      <c r="AQ725" s="151"/>
      <c r="AR725" s="151"/>
      <c r="AS725" s="151"/>
      <c r="AT725" s="151"/>
      <c r="AU725" s="151"/>
      <c r="AV725" s="151"/>
      <c r="AW725" s="151"/>
      <c r="AX725" s="151"/>
      <c r="AY725" s="151"/>
      <c r="AZ725" s="151"/>
      <c r="BA725" s="151"/>
      <c r="BB725" s="151"/>
      <c r="BC725" s="151"/>
      <c r="BD725" s="151"/>
      <c r="BE725" s="151"/>
      <c r="BF725" s="151"/>
      <c r="BG725" s="151"/>
      <c r="BH725" s="151"/>
      <c r="BI725" s="151"/>
      <c r="BJ725" s="151"/>
      <c r="BK725" s="151"/>
      <c r="BL725" s="151"/>
      <c r="BM725" s="151"/>
      <c r="BN725" s="151"/>
    </row>
    <row r="726" spans="25:66">
      <c r="Y726" s="151"/>
      <c r="Z726" s="151"/>
      <c r="AA726" s="151"/>
      <c r="AB726" s="151"/>
      <c r="AC726" s="151"/>
      <c r="AD726" s="151"/>
      <c r="AE726" s="151"/>
      <c r="AF726" s="151"/>
      <c r="AG726" s="151"/>
      <c r="AH726" s="151"/>
      <c r="AI726" s="151"/>
      <c r="AJ726" s="151"/>
      <c r="AK726" s="151"/>
      <c r="AL726" s="151"/>
      <c r="AM726" s="151"/>
      <c r="AN726" s="151"/>
      <c r="AO726" s="151"/>
      <c r="AP726" s="151"/>
      <c r="AQ726" s="151"/>
      <c r="AR726" s="151"/>
      <c r="AS726" s="151"/>
      <c r="AT726" s="151"/>
      <c r="AU726" s="151"/>
      <c r="AV726" s="151"/>
      <c r="AW726" s="151"/>
      <c r="AX726" s="151"/>
      <c r="AY726" s="151"/>
      <c r="AZ726" s="151"/>
      <c r="BA726" s="151"/>
      <c r="BB726" s="151"/>
      <c r="BC726" s="151"/>
      <c r="BD726" s="151"/>
      <c r="BE726" s="151"/>
      <c r="BF726" s="151"/>
      <c r="BG726" s="151"/>
      <c r="BH726" s="151"/>
      <c r="BI726" s="151"/>
      <c r="BJ726" s="151"/>
      <c r="BK726" s="151"/>
      <c r="BL726" s="151"/>
      <c r="BM726" s="151"/>
      <c r="BN726" s="151"/>
    </row>
    <row r="727" spans="25:66">
      <c r="Y727" s="151"/>
      <c r="Z727" s="151"/>
      <c r="AA727" s="151"/>
      <c r="AB727" s="151"/>
      <c r="AC727" s="151"/>
      <c r="AD727" s="151"/>
      <c r="AE727" s="151"/>
      <c r="AF727" s="151"/>
      <c r="AG727" s="151"/>
      <c r="AH727" s="151"/>
      <c r="AI727" s="151"/>
      <c r="AJ727" s="151"/>
      <c r="AK727" s="151"/>
      <c r="AL727" s="151"/>
      <c r="AM727" s="151"/>
      <c r="AN727" s="151"/>
      <c r="AO727" s="151"/>
      <c r="AP727" s="151"/>
      <c r="AQ727" s="151"/>
      <c r="AR727" s="151"/>
      <c r="AS727" s="151"/>
      <c r="AT727" s="151"/>
      <c r="AU727" s="151"/>
      <c r="AV727" s="151"/>
      <c r="AW727" s="151"/>
      <c r="AX727" s="151"/>
      <c r="AY727" s="151"/>
      <c r="AZ727" s="151"/>
      <c r="BA727" s="151"/>
      <c r="BB727" s="151"/>
      <c r="BC727" s="151"/>
      <c r="BD727" s="151"/>
      <c r="BE727" s="151"/>
      <c r="BF727" s="151"/>
      <c r="BG727" s="151"/>
      <c r="BH727" s="151"/>
      <c r="BI727" s="151"/>
      <c r="BJ727" s="151"/>
      <c r="BK727" s="151"/>
      <c r="BL727" s="151"/>
      <c r="BM727" s="151"/>
      <c r="BN727" s="151"/>
    </row>
    <row r="728" spans="25:66">
      <c r="Y728" s="151"/>
      <c r="Z728" s="151"/>
      <c r="AA728" s="151"/>
      <c r="AB728" s="151"/>
      <c r="AC728" s="151"/>
      <c r="AD728" s="151"/>
      <c r="AE728" s="151"/>
      <c r="AF728" s="151"/>
      <c r="AG728" s="151"/>
      <c r="AH728" s="151"/>
      <c r="AI728" s="151"/>
      <c r="AJ728" s="151"/>
      <c r="AK728" s="151"/>
      <c r="AL728" s="151"/>
      <c r="AM728" s="151"/>
      <c r="AN728" s="151"/>
      <c r="AO728" s="151"/>
      <c r="AP728" s="151"/>
      <c r="AQ728" s="151"/>
      <c r="AR728" s="151"/>
      <c r="AS728" s="151"/>
      <c r="AT728" s="151"/>
      <c r="AU728" s="151"/>
      <c r="AV728" s="151"/>
      <c r="AW728" s="151"/>
      <c r="AX728" s="151"/>
      <c r="AY728" s="151"/>
      <c r="AZ728" s="151"/>
      <c r="BA728" s="151"/>
      <c r="BB728" s="151"/>
      <c r="BC728" s="151"/>
      <c r="BD728" s="151"/>
      <c r="BE728" s="151"/>
      <c r="BF728" s="151"/>
      <c r="BG728" s="151"/>
      <c r="BH728" s="151"/>
      <c r="BI728" s="151"/>
      <c r="BJ728" s="151"/>
      <c r="BK728" s="151"/>
      <c r="BL728" s="151"/>
      <c r="BM728" s="151"/>
      <c r="BN728" s="151"/>
    </row>
    <row r="729" spans="25:66">
      <c r="Y729" s="151"/>
      <c r="Z729" s="151"/>
      <c r="AA729" s="151"/>
      <c r="AB729" s="151"/>
      <c r="AC729" s="151"/>
      <c r="AD729" s="151"/>
      <c r="AE729" s="151"/>
      <c r="AF729" s="151"/>
      <c r="AG729" s="151"/>
      <c r="AH729" s="151"/>
      <c r="AI729" s="151"/>
      <c r="AJ729" s="151"/>
      <c r="AK729" s="151"/>
      <c r="AL729" s="151"/>
      <c r="AM729" s="151"/>
      <c r="AN729" s="151"/>
      <c r="AO729" s="151"/>
      <c r="AP729" s="151"/>
      <c r="AQ729" s="151"/>
      <c r="AR729" s="151"/>
      <c r="AS729" s="151"/>
      <c r="AT729" s="151"/>
      <c r="AU729" s="151"/>
      <c r="AV729" s="151"/>
      <c r="AW729" s="151"/>
      <c r="AX729" s="151"/>
      <c r="AY729" s="151"/>
      <c r="AZ729" s="151"/>
      <c r="BA729" s="151"/>
      <c r="BB729" s="151"/>
      <c r="BC729" s="151"/>
      <c r="BD729" s="151"/>
      <c r="BE729" s="151"/>
      <c r="BF729" s="151"/>
      <c r="BG729" s="151"/>
      <c r="BH729" s="151"/>
      <c r="BI729" s="151"/>
      <c r="BJ729" s="151"/>
      <c r="BK729" s="151"/>
      <c r="BL729" s="151"/>
      <c r="BM729" s="151"/>
      <c r="BN729" s="151"/>
    </row>
    <row r="730" spans="25:66">
      <c r="Y730" s="151"/>
      <c r="Z730" s="151"/>
      <c r="AA730" s="151"/>
      <c r="AB730" s="151"/>
      <c r="AC730" s="151"/>
      <c r="AD730" s="151"/>
      <c r="AE730" s="151"/>
      <c r="AF730" s="151"/>
      <c r="AG730" s="151"/>
      <c r="AH730" s="151"/>
      <c r="AI730" s="151"/>
      <c r="AJ730" s="151"/>
      <c r="AK730" s="151"/>
      <c r="AL730" s="151"/>
      <c r="AM730" s="151"/>
      <c r="AN730" s="151"/>
      <c r="AO730" s="151"/>
      <c r="AP730" s="151"/>
      <c r="AQ730" s="151"/>
      <c r="AR730" s="151"/>
      <c r="AS730" s="151"/>
      <c r="AT730" s="151"/>
      <c r="AU730" s="151"/>
      <c r="AV730" s="151"/>
      <c r="AW730" s="151"/>
      <c r="AX730" s="151"/>
      <c r="AY730" s="151"/>
      <c r="AZ730" s="151"/>
      <c r="BA730" s="151"/>
      <c r="BB730" s="151"/>
      <c r="BC730" s="151"/>
      <c r="BD730" s="151"/>
      <c r="BE730" s="151"/>
      <c r="BF730" s="151"/>
      <c r="BG730" s="151"/>
      <c r="BH730" s="151"/>
      <c r="BI730" s="151"/>
      <c r="BJ730" s="151"/>
      <c r="BK730" s="151"/>
      <c r="BL730" s="151"/>
      <c r="BM730" s="151"/>
      <c r="BN730" s="151"/>
    </row>
    <row r="731" spans="25:66">
      <c r="Y731" s="151"/>
      <c r="Z731" s="151"/>
      <c r="AA731" s="151"/>
      <c r="AB731" s="151"/>
      <c r="AC731" s="151"/>
      <c r="AD731" s="151"/>
      <c r="AE731" s="151"/>
      <c r="AF731" s="151"/>
      <c r="AG731" s="151"/>
      <c r="AH731" s="151"/>
      <c r="AI731" s="151"/>
      <c r="AJ731" s="151"/>
      <c r="AK731" s="151"/>
      <c r="AL731" s="151"/>
      <c r="AM731" s="151"/>
      <c r="AN731" s="151"/>
      <c r="AO731" s="151"/>
      <c r="AP731" s="151"/>
      <c r="AQ731" s="151"/>
      <c r="AR731" s="151"/>
      <c r="AS731" s="151"/>
      <c r="AT731" s="151"/>
      <c r="AU731" s="151"/>
      <c r="AV731" s="151"/>
      <c r="AW731" s="151"/>
      <c r="AX731" s="151"/>
      <c r="AY731" s="151"/>
      <c r="AZ731" s="151"/>
      <c r="BA731" s="151"/>
      <c r="BB731" s="151"/>
      <c r="BC731" s="151"/>
      <c r="BD731" s="151"/>
      <c r="BE731" s="151"/>
      <c r="BF731" s="151"/>
      <c r="BG731" s="151"/>
      <c r="BH731" s="151"/>
      <c r="BI731" s="151"/>
      <c r="BJ731" s="151"/>
      <c r="BK731" s="151"/>
      <c r="BL731" s="151"/>
      <c r="BM731" s="151"/>
      <c r="BN731" s="151"/>
    </row>
    <row r="732" spans="25:66">
      <c r="Y732" s="151"/>
      <c r="Z732" s="151"/>
      <c r="AA732" s="151"/>
      <c r="AB732" s="151"/>
      <c r="AC732" s="151"/>
      <c r="AD732" s="151"/>
      <c r="AE732" s="151"/>
      <c r="AF732" s="151"/>
      <c r="AG732" s="151"/>
      <c r="AH732" s="151"/>
      <c r="AI732" s="151"/>
      <c r="AJ732" s="151"/>
      <c r="AK732" s="151"/>
      <c r="AL732" s="151"/>
      <c r="AM732" s="151"/>
      <c r="AN732" s="151"/>
      <c r="AO732" s="151"/>
      <c r="AP732" s="151"/>
      <c r="AQ732" s="151"/>
      <c r="AR732" s="151"/>
      <c r="AS732" s="151"/>
      <c r="AT732" s="151"/>
      <c r="AU732" s="151"/>
      <c r="AV732" s="151"/>
      <c r="AW732" s="151"/>
      <c r="AX732" s="151"/>
      <c r="AY732" s="151"/>
      <c r="AZ732" s="151"/>
      <c r="BA732" s="151"/>
      <c r="BB732" s="151"/>
      <c r="BC732" s="151"/>
      <c r="BD732" s="151"/>
      <c r="BE732" s="151"/>
      <c r="BF732" s="151"/>
      <c r="BG732" s="151"/>
      <c r="BH732" s="151"/>
      <c r="BI732" s="151"/>
      <c r="BJ732" s="151"/>
      <c r="BK732" s="151"/>
      <c r="BL732" s="151"/>
      <c r="BM732" s="151"/>
      <c r="BN732" s="151"/>
    </row>
    <row r="733" spans="25:66">
      <c r="Y733" s="151"/>
      <c r="Z733" s="151"/>
      <c r="AA733" s="151"/>
      <c r="AB733" s="151"/>
      <c r="AC733" s="151"/>
      <c r="AD733" s="151"/>
      <c r="AE733" s="151"/>
      <c r="AF733" s="151"/>
      <c r="AG733" s="151"/>
      <c r="AH733" s="151"/>
      <c r="AI733" s="151"/>
      <c r="AJ733" s="151"/>
      <c r="AK733" s="151"/>
      <c r="AL733" s="151"/>
      <c r="AM733" s="151"/>
      <c r="AN733" s="151"/>
      <c r="AO733" s="151"/>
      <c r="AP733" s="151"/>
      <c r="AQ733" s="151"/>
      <c r="AR733" s="151"/>
      <c r="AS733" s="151"/>
      <c r="AT733" s="151"/>
      <c r="AU733" s="151"/>
      <c r="AV733" s="151"/>
      <c r="AW733" s="151"/>
      <c r="AX733" s="151"/>
      <c r="AY733" s="151"/>
      <c r="AZ733" s="151"/>
      <c r="BA733" s="151"/>
      <c r="BB733" s="151"/>
      <c r="BC733" s="151"/>
      <c r="BD733" s="151"/>
      <c r="BE733" s="151"/>
      <c r="BF733" s="151"/>
      <c r="BG733" s="151"/>
      <c r="BH733" s="151"/>
      <c r="BI733" s="151"/>
      <c r="BJ733" s="151"/>
      <c r="BK733" s="151"/>
      <c r="BL733" s="151"/>
      <c r="BM733" s="151"/>
      <c r="BN733" s="151"/>
    </row>
    <row r="734" spans="25:66">
      <c r="Y734" s="151"/>
      <c r="Z734" s="151"/>
      <c r="AA734" s="151"/>
      <c r="AB734" s="151"/>
      <c r="AC734" s="151"/>
      <c r="AD734" s="151"/>
      <c r="AE734" s="151"/>
      <c r="AF734" s="151"/>
      <c r="AG734" s="151"/>
      <c r="AH734" s="151"/>
      <c r="AI734" s="151"/>
      <c r="AJ734" s="151"/>
      <c r="AK734" s="151"/>
      <c r="AL734" s="151"/>
      <c r="AM734" s="151"/>
      <c r="AN734" s="151"/>
      <c r="AO734" s="151"/>
      <c r="AP734" s="151"/>
      <c r="AQ734" s="151"/>
      <c r="AR734" s="151"/>
      <c r="AS734" s="151"/>
      <c r="AT734" s="151"/>
      <c r="AU734" s="151"/>
      <c r="AV734" s="151"/>
      <c r="AW734" s="151"/>
      <c r="AX734" s="151"/>
      <c r="AY734" s="151"/>
      <c r="AZ734" s="151"/>
      <c r="BA734" s="151"/>
      <c r="BB734" s="151"/>
      <c r="BC734" s="151"/>
      <c r="BD734" s="151"/>
      <c r="BE734" s="151"/>
      <c r="BF734" s="151"/>
      <c r="BG734" s="151"/>
      <c r="BH734" s="151"/>
      <c r="BI734" s="151"/>
      <c r="BJ734" s="151"/>
      <c r="BK734" s="151"/>
      <c r="BL734" s="151"/>
      <c r="BM734" s="151"/>
      <c r="BN734" s="151"/>
    </row>
    <row r="735" spans="25:66">
      <c r="Y735" s="151"/>
      <c r="Z735" s="151"/>
      <c r="AA735" s="151"/>
      <c r="AB735" s="151"/>
      <c r="AC735" s="151"/>
      <c r="AD735" s="151"/>
      <c r="AE735" s="151"/>
      <c r="AF735" s="151"/>
      <c r="AG735" s="151"/>
      <c r="AH735" s="151"/>
      <c r="AI735" s="151"/>
      <c r="AJ735" s="151"/>
      <c r="AK735" s="151"/>
      <c r="AL735" s="151"/>
      <c r="AM735" s="151"/>
      <c r="AN735" s="151"/>
      <c r="AO735" s="151"/>
      <c r="AP735" s="151"/>
      <c r="AQ735" s="151"/>
      <c r="AR735" s="151"/>
      <c r="AS735" s="151"/>
      <c r="AT735" s="151"/>
      <c r="AU735" s="151"/>
      <c r="AV735" s="151"/>
      <c r="AW735" s="151"/>
      <c r="AX735" s="151"/>
      <c r="AY735" s="151"/>
      <c r="AZ735" s="151"/>
      <c r="BA735" s="151"/>
      <c r="BB735" s="151"/>
      <c r="BC735" s="151"/>
      <c r="BD735" s="151"/>
      <c r="BE735" s="151"/>
      <c r="BF735" s="151"/>
      <c r="BG735" s="151"/>
      <c r="BH735" s="151"/>
      <c r="BI735" s="151"/>
      <c r="BJ735" s="151"/>
      <c r="BK735" s="151"/>
      <c r="BL735" s="151"/>
      <c r="BM735" s="151"/>
      <c r="BN735" s="151"/>
    </row>
    <row r="736" spans="25:66">
      <c r="Y736" s="151"/>
      <c r="Z736" s="151"/>
      <c r="AA736" s="151"/>
      <c r="AB736" s="151"/>
      <c r="AC736" s="151"/>
      <c r="AD736" s="151"/>
      <c r="AE736" s="151"/>
      <c r="AF736" s="151"/>
      <c r="AG736" s="151"/>
      <c r="AH736" s="151"/>
      <c r="AI736" s="151"/>
      <c r="AJ736" s="151"/>
      <c r="AK736" s="151"/>
      <c r="AL736" s="151"/>
      <c r="AM736" s="151"/>
      <c r="AN736" s="151"/>
      <c r="AO736" s="151"/>
      <c r="AP736" s="151"/>
      <c r="AQ736" s="151"/>
      <c r="AR736" s="151"/>
      <c r="AS736" s="151"/>
      <c r="AT736" s="151"/>
      <c r="AU736" s="151"/>
      <c r="AV736" s="151"/>
      <c r="AW736" s="151"/>
      <c r="AX736" s="151"/>
      <c r="AY736" s="151"/>
      <c r="AZ736" s="151"/>
      <c r="BA736" s="151"/>
      <c r="BB736" s="151"/>
      <c r="BC736" s="151"/>
      <c r="BD736" s="151"/>
      <c r="BE736" s="151"/>
      <c r="BF736" s="151"/>
      <c r="BG736" s="151"/>
      <c r="BH736" s="151"/>
      <c r="BI736" s="151"/>
      <c r="BJ736" s="151"/>
      <c r="BK736" s="151"/>
      <c r="BL736" s="151"/>
      <c r="BM736" s="151"/>
      <c r="BN736" s="151"/>
    </row>
    <row r="737" spans="25:66">
      <c r="Y737" s="151"/>
      <c r="Z737" s="151"/>
      <c r="AA737" s="151"/>
      <c r="AB737" s="151"/>
      <c r="AC737" s="151"/>
      <c r="AD737" s="151"/>
      <c r="AE737" s="151"/>
      <c r="AF737" s="151"/>
      <c r="AG737" s="151"/>
      <c r="AH737" s="151"/>
      <c r="AI737" s="151"/>
      <c r="AJ737" s="151"/>
      <c r="AK737" s="151"/>
      <c r="AL737" s="151"/>
      <c r="AM737" s="151"/>
      <c r="AN737" s="151"/>
      <c r="AO737" s="151"/>
      <c r="AP737" s="151"/>
      <c r="AQ737" s="151"/>
      <c r="AR737" s="151"/>
      <c r="AS737" s="151"/>
      <c r="AT737" s="151"/>
      <c r="AU737" s="151"/>
      <c r="AV737" s="151"/>
      <c r="AW737" s="151"/>
      <c r="AX737" s="151"/>
      <c r="AY737" s="151"/>
      <c r="AZ737" s="151"/>
      <c r="BA737" s="151"/>
      <c r="BB737" s="151"/>
      <c r="BC737" s="151"/>
      <c r="BD737" s="151"/>
      <c r="BE737" s="151"/>
      <c r="BF737" s="151"/>
      <c r="BG737" s="151"/>
      <c r="BH737" s="151"/>
      <c r="BI737" s="151"/>
      <c r="BJ737" s="151"/>
      <c r="BK737" s="151"/>
      <c r="BL737" s="151"/>
      <c r="BM737" s="151"/>
      <c r="BN737" s="151"/>
    </row>
    <row r="738" spans="25:66">
      <c r="Y738" s="151"/>
      <c r="Z738" s="151"/>
      <c r="AA738" s="151"/>
      <c r="AB738" s="151"/>
      <c r="AC738" s="151"/>
      <c r="AD738" s="151"/>
      <c r="AE738" s="151"/>
      <c r="AF738" s="151"/>
      <c r="AG738" s="151"/>
      <c r="AH738" s="151"/>
      <c r="AI738" s="151"/>
      <c r="AJ738" s="151"/>
      <c r="AK738" s="151"/>
      <c r="AL738" s="151"/>
      <c r="AM738" s="151"/>
      <c r="AN738" s="151"/>
      <c r="AO738" s="151"/>
      <c r="AP738" s="151"/>
      <c r="AQ738" s="151"/>
      <c r="AR738" s="151"/>
      <c r="AS738" s="151"/>
      <c r="AT738" s="151"/>
      <c r="AU738" s="151"/>
      <c r="AV738" s="151"/>
      <c r="AW738" s="151"/>
      <c r="AX738" s="151"/>
      <c r="AY738" s="151"/>
      <c r="AZ738" s="151"/>
      <c r="BA738" s="151"/>
      <c r="BB738" s="151"/>
      <c r="BC738" s="151"/>
      <c r="BD738" s="151"/>
      <c r="BE738" s="151"/>
      <c r="BF738" s="151"/>
      <c r="BG738" s="151"/>
      <c r="BH738" s="151"/>
      <c r="BI738" s="151"/>
      <c r="BJ738" s="151"/>
      <c r="BK738" s="151"/>
      <c r="BL738" s="151"/>
      <c r="BM738" s="151"/>
      <c r="BN738" s="151"/>
    </row>
    <row r="739" spans="25:66">
      <c r="Y739" s="151"/>
      <c r="Z739" s="151"/>
      <c r="AA739" s="151"/>
      <c r="AB739" s="151"/>
      <c r="AC739" s="151"/>
      <c r="AD739" s="151"/>
      <c r="AE739" s="151"/>
      <c r="AF739" s="151"/>
      <c r="AG739" s="151"/>
      <c r="AH739" s="151"/>
      <c r="AI739" s="151"/>
      <c r="AJ739" s="151"/>
      <c r="AK739" s="151"/>
      <c r="AL739" s="151"/>
      <c r="AM739" s="151"/>
      <c r="AN739" s="151"/>
      <c r="AO739" s="151"/>
      <c r="AP739" s="151"/>
      <c r="AQ739" s="151"/>
      <c r="AR739" s="151"/>
      <c r="AS739" s="151"/>
      <c r="AT739" s="151"/>
      <c r="AU739" s="151"/>
      <c r="AV739" s="151"/>
      <c r="AW739" s="151"/>
      <c r="AX739" s="151"/>
      <c r="AY739" s="151"/>
      <c r="AZ739" s="151"/>
      <c r="BA739" s="151"/>
      <c r="BB739" s="151"/>
      <c r="BC739" s="151"/>
      <c r="BD739" s="151"/>
      <c r="BE739" s="151"/>
      <c r="BF739" s="151"/>
      <c r="BG739" s="151"/>
      <c r="BH739" s="151"/>
      <c r="BI739" s="151"/>
      <c r="BJ739" s="151"/>
      <c r="BK739" s="151"/>
      <c r="BL739" s="151"/>
      <c r="BM739" s="151"/>
      <c r="BN739" s="151"/>
    </row>
    <row r="740" spans="25:66">
      <c r="Y740" s="151"/>
      <c r="Z740" s="151"/>
      <c r="AA740" s="151"/>
      <c r="AB740" s="151"/>
      <c r="AC740" s="151"/>
      <c r="AD740" s="151"/>
      <c r="AE740" s="151"/>
      <c r="AF740" s="151"/>
      <c r="AG740" s="151"/>
      <c r="AH740" s="151"/>
      <c r="AI740" s="151"/>
      <c r="AJ740" s="151"/>
      <c r="AK740" s="151"/>
      <c r="AL740" s="151"/>
      <c r="AM740" s="151"/>
      <c r="AN740" s="151"/>
      <c r="AO740" s="151"/>
      <c r="AP740" s="151"/>
      <c r="AQ740" s="151"/>
      <c r="AR740" s="151"/>
      <c r="AS740" s="151"/>
      <c r="AT740" s="151"/>
      <c r="AU740" s="151"/>
      <c r="AV740" s="151"/>
      <c r="AW740" s="151"/>
      <c r="AX740" s="151"/>
      <c r="AY740" s="151"/>
      <c r="AZ740" s="151"/>
      <c r="BA740" s="151"/>
      <c r="BB740" s="151"/>
      <c r="BC740" s="151"/>
      <c r="BD740" s="151"/>
      <c r="BE740" s="151"/>
      <c r="BF740" s="151"/>
      <c r="BG740" s="151"/>
      <c r="BH740" s="151"/>
      <c r="BI740" s="151"/>
      <c r="BJ740" s="151"/>
      <c r="BK740" s="151"/>
      <c r="BL740" s="151"/>
      <c r="BM740" s="151"/>
      <c r="BN740" s="151"/>
    </row>
    <row r="741" spans="25:66">
      <c r="Y741" s="151"/>
      <c r="Z741" s="151"/>
      <c r="AA741" s="151"/>
      <c r="AB741" s="151"/>
      <c r="AC741" s="151"/>
      <c r="AD741" s="151"/>
      <c r="AE741" s="151"/>
      <c r="AF741" s="151"/>
      <c r="AG741" s="151"/>
      <c r="AH741" s="151"/>
      <c r="AI741" s="151"/>
      <c r="AJ741" s="151"/>
      <c r="AK741" s="151"/>
      <c r="AL741" s="151"/>
      <c r="AM741" s="151"/>
      <c r="AN741" s="151"/>
      <c r="AO741" s="151"/>
      <c r="AP741" s="151"/>
      <c r="AQ741" s="151"/>
      <c r="AR741" s="151"/>
      <c r="AS741" s="151"/>
      <c r="AT741" s="151"/>
      <c r="AU741" s="151"/>
      <c r="AV741" s="151"/>
      <c r="AW741" s="151"/>
      <c r="AX741" s="151"/>
      <c r="AY741" s="151"/>
      <c r="AZ741" s="151"/>
      <c r="BA741" s="151"/>
      <c r="BB741" s="151"/>
      <c r="BC741" s="151"/>
      <c r="BD741" s="151"/>
      <c r="BE741" s="151"/>
      <c r="BF741" s="151"/>
      <c r="BG741" s="151"/>
      <c r="BH741" s="151"/>
      <c r="BI741" s="151"/>
      <c r="BJ741" s="151"/>
      <c r="BK741" s="151"/>
      <c r="BL741" s="151"/>
      <c r="BM741" s="151"/>
      <c r="BN741" s="151"/>
    </row>
    <row r="742" spans="25:66">
      <c r="Y742" s="151"/>
      <c r="Z742" s="151"/>
      <c r="AA742" s="151"/>
      <c r="AB742" s="151"/>
      <c r="AC742" s="151"/>
      <c r="AD742" s="151"/>
      <c r="AE742" s="151"/>
      <c r="AF742" s="151"/>
      <c r="AG742" s="151"/>
      <c r="AH742" s="151"/>
      <c r="AI742" s="151"/>
      <c r="AJ742" s="151"/>
      <c r="AK742" s="151"/>
      <c r="AL742" s="151"/>
      <c r="AM742" s="151"/>
      <c r="AN742" s="151"/>
      <c r="AO742" s="151"/>
      <c r="AP742" s="151"/>
      <c r="AQ742" s="151"/>
      <c r="AR742" s="151"/>
      <c r="AS742" s="151"/>
      <c r="AT742" s="151"/>
      <c r="AU742" s="151"/>
      <c r="AV742" s="151"/>
      <c r="AW742" s="151"/>
      <c r="AX742" s="151"/>
      <c r="AY742" s="151"/>
      <c r="AZ742" s="151"/>
      <c r="BA742" s="151"/>
      <c r="BB742" s="151"/>
      <c r="BC742" s="151"/>
      <c r="BD742" s="151"/>
      <c r="BE742" s="151"/>
      <c r="BF742" s="151"/>
      <c r="BG742" s="151"/>
      <c r="BH742" s="151"/>
      <c r="BI742" s="151"/>
      <c r="BJ742" s="151"/>
      <c r="BK742" s="151"/>
      <c r="BL742" s="151"/>
      <c r="BM742" s="151"/>
      <c r="BN742" s="151"/>
    </row>
    <row r="743" spans="25:66">
      <c r="Y743" s="151"/>
      <c r="Z743" s="151"/>
      <c r="AA743" s="151"/>
      <c r="AB743" s="151"/>
      <c r="AC743" s="151"/>
      <c r="AD743" s="151"/>
      <c r="AE743" s="151"/>
      <c r="AF743" s="151"/>
      <c r="AG743" s="151"/>
      <c r="AH743" s="151"/>
      <c r="AI743" s="151"/>
      <c r="AJ743" s="151"/>
      <c r="AK743" s="151"/>
      <c r="AL743" s="151"/>
      <c r="AM743" s="151"/>
      <c r="AN743" s="151"/>
      <c r="AO743" s="151"/>
      <c r="AP743" s="151"/>
      <c r="AQ743" s="151"/>
      <c r="AR743" s="151"/>
      <c r="AS743" s="151"/>
      <c r="AT743" s="151"/>
      <c r="AU743" s="151"/>
      <c r="AV743" s="151"/>
      <c r="AW743" s="151"/>
      <c r="AX743" s="151"/>
      <c r="AY743" s="151"/>
      <c r="AZ743" s="151"/>
      <c r="BA743" s="151"/>
      <c r="BB743" s="151"/>
      <c r="BC743" s="151"/>
      <c r="BD743" s="151"/>
      <c r="BE743" s="151"/>
      <c r="BF743" s="151"/>
      <c r="BG743" s="151"/>
      <c r="BH743" s="151"/>
      <c r="BI743" s="151"/>
      <c r="BJ743" s="151"/>
      <c r="BK743" s="151"/>
      <c r="BL743" s="151"/>
      <c r="BM743" s="151"/>
      <c r="BN743" s="151"/>
    </row>
    <row r="744" spans="25:66">
      <c r="Y744" s="151"/>
      <c r="Z744" s="151"/>
      <c r="AA744" s="151"/>
      <c r="AB744" s="151"/>
      <c r="AC744" s="151"/>
      <c r="AD744" s="151"/>
      <c r="AE744" s="151"/>
      <c r="AF744" s="151"/>
      <c r="AG744" s="151"/>
      <c r="AH744" s="151"/>
      <c r="AI744" s="151"/>
      <c r="AJ744" s="151"/>
      <c r="AK744" s="151"/>
      <c r="AL744" s="151"/>
      <c r="AM744" s="151"/>
      <c r="AN744" s="151"/>
      <c r="AO744" s="151"/>
      <c r="AP744" s="151"/>
      <c r="AQ744" s="151"/>
      <c r="AR744" s="151"/>
      <c r="AS744" s="151"/>
      <c r="AT744" s="151"/>
      <c r="AU744" s="151"/>
      <c r="AV744" s="151"/>
      <c r="AW744" s="151"/>
      <c r="AX744" s="151"/>
      <c r="AY744" s="151"/>
      <c r="AZ744" s="151"/>
      <c r="BA744" s="151"/>
      <c r="BB744" s="151"/>
      <c r="BC744" s="151"/>
      <c r="BD744" s="151"/>
      <c r="BE744" s="151"/>
      <c r="BF744" s="151"/>
      <c r="BG744" s="151"/>
      <c r="BH744" s="151"/>
      <c r="BI744" s="151"/>
      <c r="BJ744" s="151"/>
      <c r="BK744" s="151"/>
      <c r="BL744" s="151"/>
      <c r="BM744" s="151"/>
      <c r="BN744" s="151"/>
    </row>
    <row r="745" spans="25:66">
      <c r="Y745" s="151"/>
      <c r="Z745" s="151"/>
      <c r="AA745" s="151"/>
      <c r="AB745" s="151"/>
      <c r="AC745" s="151"/>
      <c r="AD745" s="151"/>
      <c r="AE745" s="151"/>
      <c r="AF745" s="151"/>
      <c r="AG745" s="151"/>
      <c r="AH745" s="151"/>
      <c r="AI745" s="151"/>
      <c r="AJ745" s="151"/>
      <c r="AK745" s="151"/>
      <c r="AL745" s="151"/>
      <c r="AM745" s="151"/>
      <c r="AN745" s="151"/>
      <c r="AO745" s="151"/>
      <c r="AP745" s="151"/>
      <c r="AQ745" s="151"/>
      <c r="AR745" s="151"/>
      <c r="AS745" s="151"/>
      <c r="AT745" s="151"/>
      <c r="AU745" s="151"/>
      <c r="AV745" s="151"/>
      <c r="AW745" s="151"/>
      <c r="AX745" s="151"/>
      <c r="AY745" s="151"/>
      <c r="AZ745" s="151"/>
      <c r="BA745" s="151"/>
      <c r="BB745" s="151"/>
      <c r="BC745" s="151"/>
      <c r="BD745" s="151"/>
      <c r="BE745" s="151"/>
      <c r="BF745" s="151"/>
      <c r="BG745" s="151"/>
      <c r="BH745" s="151"/>
      <c r="BI745" s="151"/>
      <c r="BJ745" s="151"/>
      <c r="BK745" s="151"/>
      <c r="BL745" s="151"/>
      <c r="BM745" s="151"/>
      <c r="BN745" s="151"/>
    </row>
    <row r="746" spans="25:66">
      <c r="Y746" s="151"/>
      <c r="Z746" s="151"/>
      <c r="AA746" s="151"/>
      <c r="AB746" s="151"/>
      <c r="AC746" s="151"/>
      <c r="AD746" s="151"/>
      <c r="AE746" s="151"/>
      <c r="AF746" s="151"/>
      <c r="AG746" s="151"/>
      <c r="AH746" s="151"/>
      <c r="AI746" s="151"/>
      <c r="AJ746" s="151"/>
      <c r="AK746" s="151"/>
      <c r="AL746" s="151"/>
      <c r="AM746" s="151"/>
      <c r="AN746" s="151"/>
      <c r="AO746" s="151"/>
      <c r="AP746" s="151"/>
      <c r="AQ746" s="151"/>
      <c r="AR746" s="151"/>
      <c r="AS746" s="151"/>
      <c r="AT746" s="151"/>
      <c r="AU746" s="151"/>
      <c r="AV746" s="151"/>
      <c r="AW746" s="151"/>
      <c r="AX746" s="151"/>
      <c r="AY746" s="151"/>
      <c r="AZ746" s="151"/>
      <c r="BA746" s="151"/>
      <c r="BB746" s="151"/>
      <c r="BC746" s="151"/>
      <c r="BD746" s="151"/>
      <c r="BE746" s="151"/>
      <c r="BF746" s="151"/>
      <c r="BG746" s="151"/>
      <c r="BH746" s="151"/>
      <c r="BI746" s="151"/>
      <c r="BJ746" s="151"/>
      <c r="BK746" s="151"/>
      <c r="BL746" s="151"/>
      <c r="BM746" s="151"/>
      <c r="BN746" s="151"/>
    </row>
    <row r="747" spans="25:66">
      <c r="Y747" s="151"/>
      <c r="Z747" s="151"/>
      <c r="AA747" s="151"/>
      <c r="AB747" s="151"/>
      <c r="AC747" s="151"/>
      <c r="AD747" s="151"/>
      <c r="AE747" s="151"/>
      <c r="AF747" s="151"/>
      <c r="AG747" s="151"/>
      <c r="AH747" s="151"/>
      <c r="AI747" s="151"/>
      <c r="AJ747" s="151"/>
      <c r="AK747" s="151"/>
      <c r="AL747" s="151"/>
      <c r="AM747" s="151"/>
      <c r="AN747" s="151"/>
      <c r="AO747" s="151"/>
      <c r="AP747" s="151"/>
      <c r="AQ747" s="151"/>
      <c r="AR747" s="151"/>
      <c r="AS747" s="151"/>
      <c r="AT747" s="151"/>
      <c r="AU747" s="151"/>
      <c r="AV747" s="151"/>
      <c r="AW747" s="151"/>
      <c r="AX747" s="151"/>
      <c r="AY747" s="151"/>
      <c r="AZ747" s="151"/>
      <c r="BA747" s="151"/>
      <c r="BB747" s="151"/>
      <c r="BC747" s="151"/>
      <c r="BD747" s="151"/>
      <c r="BE747" s="151"/>
      <c r="BF747" s="151"/>
      <c r="BG747" s="151"/>
      <c r="BH747" s="151"/>
      <c r="BI747" s="151"/>
      <c r="BJ747" s="151"/>
      <c r="BK747" s="151"/>
      <c r="BL747" s="151"/>
      <c r="BM747" s="151"/>
      <c r="BN747" s="151"/>
    </row>
    <row r="748" spans="25:66">
      <c r="Y748" s="151"/>
      <c r="Z748" s="151"/>
      <c r="AA748" s="151"/>
      <c r="AB748" s="151"/>
      <c r="AC748" s="151"/>
      <c r="AD748" s="151"/>
      <c r="AE748" s="151"/>
      <c r="AF748" s="151"/>
      <c r="AG748" s="151"/>
      <c r="AH748" s="151"/>
      <c r="AI748" s="151"/>
      <c r="AJ748" s="151"/>
      <c r="AK748" s="151"/>
      <c r="AL748" s="151"/>
      <c r="AM748" s="151"/>
      <c r="AN748" s="151"/>
      <c r="AO748" s="151"/>
      <c r="AP748" s="151"/>
      <c r="AQ748" s="151"/>
      <c r="AR748" s="151"/>
      <c r="AS748" s="151"/>
      <c r="AT748" s="151"/>
      <c r="AU748" s="151"/>
      <c r="AV748" s="151"/>
      <c r="AW748" s="151"/>
      <c r="AX748" s="151"/>
      <c r="AY748" s="151"/>
      <c r="AZ748" s="151"/>
      <c r="BA748" s="151"/>
      <c r="BB748" s="151"/>
      <c r="BC748" s="151"/>
      <c r="BD748" s="151"/>
      <c r="BE748" s="151"/>
      <c r="BF748" s="151"/>
      <c r="BG748" s="151"/>
      <c r="BH748" s="151"/>
      <c r="BI748" s="151"/>
      <c r="BJ748" s="151"/>
      <c r="BK748" s="151"/>
      <c r="BL748" s="151"/>
      <c r="BM748" s="151"/>
      <c r="BN748" s="151"/>
    </row>
    <row r="749" spans="25:66">
      <c r="Y749" s="151"/>
      <c r="Z749" s="151"/>
      <c r="AA749" s="151"/>
      <c r="AB749" s="151"/>
      <c r="AC749" s="151"/>
      <c r="AD749" s="151"/>
      <c r="AE749" s="151"/>
      <c r="AF749" s="151"/>
      <c r="AG749" s="151"/>
      <c r="AH749" s="151"/>
      <c r="AI749" s="151"/>
      <c r="AJ749" s="151"/>
      <c r="AK749" s="151"/>
      <c r="AL749" s="151"/>
      <c r="AM749" s="151"/>
      <c r="AN749" s="151"/>
      <c r="AO749" s="151"/>
      <c r="AP749" s="151"/>
      <c r="AQ749" s="151"/>
      <c r="AR749" s="151"/>
      <c r="AS749" s="151"/>
      <c r="AT749" s="151"/>
      <c r="AU749" s="151"/>
      <c r="AV749" s="151"/>
      <c r="AW749" s="151"/>
      <c r="AX749" s="151"/>
      <c r="AY749" s="151"/>
      <c r="AZ749" s="151"/>
      <c r="BA749" s="151"/>
      <c r="BB749" s="151"/>
      <c r="BC749" s="151"/>
      <c r="BD749" s="151"/>
      <c r="BE749" s="151"/>
      <c r="BF749" s="151"/>
      <c r="BG749" s="151"/>
      <c r="BH749" s="151"/>
      <c r="BI749" s="151"/>
      <c r="BJ749" s="151"/>
      <c r="BK749" s="151"/>
      <c r="BL749" s="151"/>
      <c r="BM749" s="151"/>
      <c r="BN749" s="151"/>
    </row>
    <row r="750" spans="25:66">
      <c r="Y750" s="151"/>
      <c r="Z750" s="151"/>
      <c r="AA750" s="151"/>
      <c r="AB750" s="151"/>
      <c r="AC750" s="151"/>
      <c r="AD750" s="151"/>
      <c r="AE750" s="151"/>
      <c r="AF750" s="151"/>
      <c r="AG750" s="151"/>
      <c r="AH750" s="151"/>
      <c r="AI750" s="151"/>
      <c r="AJ750" s="151"/>
      <c r="AK750" s="151"/>
      <c r="AL750" s="151"/>
      <c r="AM750" s="151"/>
      <c r="AN750" s="151"/>
      <c r="AO750" s="151"/>
      <c r="AP750" s="151"/>
      <c r="AQ750" s="151"/>
      <c r="AR750" s="151"/>
      <c r="AS750" s="151"/>
      <c r="AT750" s="151"/>
      <c r="AU750" s="151"/>
      <c r="AV750" s="151"/>
      <c r="AW750" s="151"/>
      <c r="AX750" s="151"/>
      <c r="AY750" s="151"/>
      <c r="AZ750" s="151"/>
      <c r="BA750" s="151"/>
      <c r="BB750" s="151"/>
      <c r="BC750" s="151"/>
      <c r="BD750" s="151"/>
      <c r="BE750" s="151"/>
      <c r="BF750" s="151"/>
      <c r="BG750" s="151"/>
      <c r="BH750" s="151"/>
      <c r="BI750" s="151"/>
      <c r="BJ750" s="151"/>
      <c r="BK750" s="151"/>
      <c r="BL750" s="151"/>
      <c r="BM750" s="151"/>
      <c r="BN750" s="151"/>
    </row>
    <row r="751" spans="25:66">
      <c r="Y751" s="151"/>
      <c r="Z751" s="151"/>
      <c r="AA751" s="151"/>
      <c r="AB751" s="151"/>
      <c r="AC751" s="151"/>
      <c r="AD751" s="151"/>
      <c r="AE751" s="151"/>
      <c r="AF751" s="151"/>
      <c r="AG751" s="151"/>
      <c r="AH751" s="151"/>
      <c r="AI751" s="151"/>
      <c r="AJ751" s="151"/>
      <c r="AK751" s="151"/>
      <c r="AL751" s="151"/>
      <c r="AM751" s="151"/>
      <c r="AN751" s="151"/>
      <c r="AO751" s="151"/>
      <c r="AP751" s="151"/>
      <c r="AQ751" s="151"/>
      <c r="AR751" s="151"/>
      <c r="AS751" s="151"/>
      <c r="AT751" s="151"/>
      <c r="AU751" s="151"/>
      <c r="AV751" s="151"/>
      <c r="AW751" s="151"/>
      <c r="AX751" s="151"/>
      <c r="AY751" s="151"/>
      <c r="AZ751" s="151"/>
      <c r="BA751" s="151"/>
      <c r="BB751" s="151"/>
      <c r="BC751" s="151"/>
      <c r="BD751" s="151"/>
      <c r="BE751" s="151"/>
      <c r="BF751" s="151"/>
      <c r="BG751" s="151"/>
      <c r="BH751" s="151"/>
      <c r="BI751" s="151"/>
      <c r="BJ751" s="151"/>
      <c r="BK751" s="151"/>
      <c r="BL751" s="151"/>
      <c r="BM751" s="151"/>
      <c r="BN751" s="151"/>
    </row>
    <row r="752" spans="25:66">
      <c r="Y752" s="151"/>
      <c r="Z752" s="151"/>
      <c r="AA752" s="151"/>
      <c r="AB752" s="151"/>
      <c r="AC752" s="151"/>
      <c r="AD752" s="151"/>
      <c r="AE752" s="151"/>
      <c r="AF752" s="151"/>
      <c r="AG752" s="151"/>
      <c r="AH752" s="151"/>
      <c r="AI752" s="151"/>
      <c r="AJ752" s="151"/>
      <c r="AK752" s="151"/>
      <c r="AL752" s="151"/>
      <c r="AM752" s="151"/>
      <c r="AN752" s="151"/>
      <c r="AO752" s="151"/>
      <c r="AP752" s="151"/>
      <c r="AQ752" s="151"/>
      <c r="AR752" s="151"/>
      <c r="AS752" s="151"/>
      <c r="AT752" s="151"/>
      <c r="AU752" s="151"/>
      <c r="AV752" s="151"/>
      <c r="AW752" s="151"/>
      <c r="AX752" s="151"/>
      <c r="AY752" s="151"/>
      <c r="AZ752" s="151"/>
      <c r="BA752" s="151"/>
      <c r="BB752" s="151"/>
      <c r="BC752" s="151"/>
      <c r="BD752" s="151"/>
      <c r="BE752" s="151"/>
      <c r="BF752" s="151"/>
      <c r="BG752" s="151"/>
      <c r="BH752" s="151"/>
      <c r="BI752" s="151"/>
      <c r="BJ752" s="151"/>
      <c r="BK752" s="151"/>
      <c r="BL752" s="151"/>
      <c r="BM752" s="151"/>
      <c r="BN752" s="151"/>
    </row>
    <row r="753" spans="25:66">
      <c r="Y753" s="151"/>
      <c r="Z753" s="151"/>
      <c r="AA753" s="151"/>
      <c r="AB753" s="151"/>
      <c r="AC753" s="151"/>
      <c r="AD753" s="151"/>
      <c r="AE753" s="151"/>
      <c r="AF753" s="151"/>
      <c r="AG753" s="151"/>
      <c r="AH753" s="151"/>
      <c r="AI753" s="151"/>
      <c r="AJ753" s="151"/>
      <c r="AK753" s="151"/>
      <c r="AL753" s="151"/>
      <c r="AM753" s="151"/>
      <c r="AN753" s="151"/>
      <c r="AO753" s="151"/>
      <c r="AP753" s="151"/>
      <c r="AQ753" s="151"/>
      <c r="AR753" s="151"/>
      <c r="AS753" s="151"/>
      <c r="AT753" s="151"/>
      <c r="AU753" s="151"/>
      <c r="AV753" s="151"/>
      <c r="AW753" s="151"/>
      <c r="AX753" s="151"/>
      <c r="AY753" s="151"/>
      <c r="AZ753" s="151"/>
      <c r="BA753" s="151"/>
      <c r="BB753" s="151"/>
      <c r="BC753" s="151"/>
      <c r="BD753" s="151"/>
      <c r="BE753" s="151"/>
      <c r="BF753" s="151"/>
      <c r="BG753" s="151"/>
      <c r="BH753" s="151"/>
      <c r="BI753" s="151"/>
      <c r="BJ753" s="151"/>
      <c r="BK753" s="151"/>
      <c r="BL753" s="151"/>
      <c r="BM753" s="151"/>
      <c r="BN753" s="151"/>
    </row>
    <row r="754" spans="25:66">
      <c r="Y754" s="151"/>
      <c r="Z754" s="151"/>
      <c r="AA754" s="151"/>
      <c r="AB754" s="151"/>
      <c r="AC754" s="151"/>
      <c r="AD754" s="151"/>
      <c r="AE754" s="151"/>
      <c r="AF754" s="151"/>
      <c r="AG754" s="151"/>
      <c r="AH754" s="151"/>
      <c r="AI754" s="151"/>
      <c r="AJ754" s="151"/>
      <c r="AK754" s="151"/>
      <c r="AL754" s="151"/>
      <c r="AM754" s="151"/>
      <c r="AN754" s="151"/>
      <c r="AO754" s="151"/>
      <c r="AP754" s="151"/>
      <c r="AQ754" s="151"/>
      <c r="AR754" s="151"/>
      <c r="AS754" s="151"/>
      <c r="AT754" s="151"/>
      <c r="AU754" s="151"/>
      <c r="AV754" s="151"/>
      <c r="AW754" s="151"/>
      <c r="AX754" s="151"/>
      <c r="AY754" s="151"/>
      <c r="AZ754" s="151"/>
      <c r="BA754" s="151"/>
      <c r="BB754" s="151"/>
      <c r="BC754" s="151"/>
      <c r="BD754" s="151"/>
      <c r="BE754" s="151"/>
      <c r="BF754" s="151"/>
      <c r="BG754" s="151"/>
      <c r="BH754" s="151"/>
      <c r="BI754" s="151"/>
      <c r="BJ754" s="151"/>
      <c r="BK754" s="151"/>
      <c r="BL754" s="151"/>
      <c r="BM754" s="151"/>
      <c r="BN754" s="151"/>
    </row>
    <row r="755" spans="25:66">
      <c r="Y755" s="151"/>
      <c r="Z755" s="151"/>
      <c r="AA755" s="151"/>
      <c r="AB755" s="151"/>
      <c r="AC755" s="151"/>
      <c r="AD755" s="151"/>
      <c r="AE755" s="151"/>
      <c r="AF755" s="151"/>
      <c r="AG755" s="151"/>
      <c r="AH755" s="151"/>
      <c r="AI755" s="151"/>
      <c r="AJ755" s="151"/>
      <c r="AK755" s="151"/>
      <c r="AL755" s="151"/>
      <c r="AM755" s="151"/>
      <c r="AN755" s="151"/>
      <c r="AO755" s="151"/>
      <c r="AP755" s="151"/>
      <c r="AQ755" s="151"/>
      <c r="AR755" s="151"/>
      <c r="AS755" s="151"/>
      <c r="AT755" s="151"/>
      <c r="AU755" s="151"/>
      <c r="AV755" s="151"/>
      <c r="AW755" s="151"/>
      <c r="AX755" s="151"/>
      <c r="AY755" s="151"/>
      <c r="AZ755" s="151"/>
      <c r="BA755" s="151"/>
      <c r="BB755" s="151"/>
      <c r="BC755" s="151"/>
      <c r="BD755" s="151"/>
      <c r="BE755" s="151"/>
      <c r="BF755" s="151"/>
      <c r="BG755" s="151"/>
      <c r="BH755" s="151"/>
      <c r="BI755" s="151"/>
      <c r="BJ755" s="151"/>
      <c r="BK755" s="151"/>
      <c r="BL755" s="151"/>
      <c r="BM755" s="151"/>
      <c r="BN755" s="151"/>
    </row>
    <row r="756" spans="25:66">
      <c r="Y756" s="151"/>
      <c r="Z756" s="151"/>
      <c r="AA756" s="151"/>
      <c r="AB756" s="151"/>
      <c r="AC756" s="151"/>
      <c r="AD756" s="151"/>
      <c r="AE756" s="151"/>
      <c r="AF756" s="151"/>
      <c r="AG756" s="151"/>
      <c r="AH756" s="151"/>
      <c r="AI756" s="151"/>
      <c r="AJ756" s="151"/>
      <c r="AK756" s="151"/>
      <c r="AL756" s="151"/>
      <c r="AM756" s="151"/>
      <c r="AN756" s="151"/>
      <c r="AO756" s="151"/>
      <c r="AP756" s="151"/>
      <c r="AQ756" s="151"/>
      <c r="AR756" s="151"/>
      <c r="AS756" s="151"/>
      <c r="AT756" s="151"/>
      <c r="AU756" s="151"/>
      <c r="AV756" s="151"/>
      <c r="AW756" s="151"/>
      <c r="AX756" s="151"/>
      <c r="AY756" s="151"/>
      <c r="AZ756" s="151"/>
      <c r="BA756" s="151"/>
      <c r="BB756" s="151"/>
      <c r="BC756" s="151"/>
      <c r="BD756" s="151"/>
      <c r="BE756" s="151"/>
      <c r="BF756" s="151"/>
      <c r="BG756" s="151"/>
      <c r="BH756" s="151"/>
      <c r="BI756" s="151"/>
      <c r="BJ756" s="151"/>
      <c r="BK756" s="151"/>
      <c r="BL756" s="151"/>
      <c r="BM756" s="151"/>
      <c r="BN756" s="151"/>
    </row>
    <row r="757" spans="25:66">
      <c r="Y757" s="151"/>
      <c r="Z757" s="151"/>
      <c r="AA757" s="151"/>
      <c r="AB757" s="151"/>
      <c r="AC757" s="151"/>
      <c r="AD757" s="151"/>
      <c r="AE757" s="151"/>
      <c r="AF757" s="151"/>
      <c r="AG757" s="151"/>
      <c r="AH757" s="151"/>
      <c r="AI757" s="151"/>
      <c r="AJ757" s="151"/>
      <c r="AK757" s="151"/>
      <c r="AL757" s="151"/>
      <c r="AM757" s="151"/>
      <c r="AN757" s="151"/>
      <c r="AO757" s="151"/>
      <c r="AP757" s="151"/>
      <c r="AQ757" s="151"/>
      <c r="AR757" s="151"/>
      <c r="AS757" s="151"/>
      <c r="AT757" s="151"/>
      <c r="AU757" s="151"/>
      <c r="AV757" s="151"/>
      <c r="AW757" s="151"/>
      <c r="AX757" s="151"/>
      <c r="AY757" s="151"/>
      <c r="AZ757" s="151"/>
      <c r="BA757" s="151"/>
      <c r="BB757" s="151"/>
      <c r="BC757" s="151"/>
      <c r="BD757" s="151"/>
      <c r="BE757" s="151"/>
      <c r="BF757" s="151"/>
      <c r="BG757" s="151"/>
      <c r="BH757" s="151"/>
      <c r="BI757" s="151"/>
      <c r="BJ757" s="151"/>
      <c r="BK757" s="151"/>
      <c r="BL757" s="151"/>
      <c r="BM757" s="151"/>
      <c r="BN757" s="151"/>
    </row>
    <row r="758" spans="25:66">
      <c r="Y758" s="151"/>
      <c r="Z758" s="151"/>
      <c r="AA758" s="151"/>
      <c r="AB758" s="151"/>
      <c r="AC758" s="151"/>
      <c r="AD758" s="151"/>
      <c r="AE758" s="151"/>
      <c r="AF758" s="151"/>
      <c r="AG758" s="151"/>
      <c r="AH758" s="151"/>
      <c r="AI758" s="151"/>
      <c r="AJ758" s="151"/>
      <c r="AK758" s="151"/>
      <c r="AL758" s="151"/>
      <c r="AM758" s="151"/>
      <c r="AN758" s="151"/>
      <c r="AO758" s="151"/>
      <c r="AP758" s="151"/>
      <c r="AQ758" s="151"/>
      <c r="AR758" s="151"/>
      <c r="AS758" s="151"/>
      <c r="AT758" s="151"/>
      <c r="AU758" s="151"/>
      <c r="AV758" s="151"/>
      <c r="AW758" s="151"/>
      <c r="AX758" s="151"/>
      <c r="AY758" s="151"/>
      <c r="AZ758" s="151"/>
      <c r="BA758" s="151"/>
      <c r="BB758" s="151"/>
      <c r="BC758" s="151"/>
      <c r="BD758" s="151"/>
      <c r="BE758" s="151"/>
      <c r="BF758" s="151"/>
      <c r="BG758" s="151"/>
      <c r="BH758" s="151"/>
      <c r="BI758" s="151"/>
      <c r="BJ758" s="151"/>
      <c r="BK758" s="151"/>
      <c r="BL758" s="151"/>
      <c r="BM758" s="151"/>
      <c r="BN758" s="151"/>
    </row>
    <row r="759" spans="25:66">
      <c r="Y759" s="151"/>
      <c r="Z759" s="151"/>
      <c r="AA759" s="151"/>
      <c r="AB759" s="151"/>
      <c r="AC759" s="151"/>
      <c r="AD759" s="151"/>
      <c r="AE759" s="151"/>
      <c r="AF759" s="151"/>
      <c r="AG759" s="151"/>
      <c r="AH759" s="151"/>
      <c r="AI759" s="151"/>
      <c r="AJ759" s="151"/>
      <c r="AK759" s="151"/>
      <c r="AL759" s="151"/>
      <c r="AM759" s="151"/>
      <c r="AN759" s="151"/>
      <c r="AO759" s="151"/>
      <c r="AP759" s="151"/>
      <c r="AQ759" s="151"/>
      <c r="AR759" s="151"/>
      <c r="AS759" s="151"/>
      <c r="AT759" s="151"/>
      <c r="AU759" s="151"/>
      <c r="AV759" s="151"/>
      <c r="AW759" s="151"/>
      <c r="AX759" s="151"/>
      <c r="AY759" s="151"/>
      <c r="AZ759" s="151"/>
      <c r="BA759" s="151"/>
      <c r="BB759" s="151"/>
      <c r="BC759" s="151"/>
      <c r="BD759" s="151"/>
      <c r="BE759" s="151"/>
      <c r="BF759" s="151"/>
      <c r="BG759" s="151"/>
      <c r="BH759" s="151"/>
      <c r="BI759" s="151"/>
      <c r="BJ759" s="151"/>
      <c r="BK759" s="151"/>
      <c r="BL759" s="151"/>
      <c r="BM759" s="151"/>
      <c r="BN759" s="151"/>
    </row>
    <row r="760" spans="25:66">
      <c r="Y760" s="151"/>
      <c r="Z760" s="151"/>
      <c r="AA760" s="151"/>
      <c r="AB760" s="151"/>
      <c r="AC760" s="151"/>
      <c r="AD760" s="151"/>
      <c r="AE760" s="151"/>
      <c r="AF760" s="151"/>
      <c r="AG760" s="151"/>
      <c r="AH760" s="151"/>
      <c r="AI760" s="151"/>
      <c r="AJ760" s="151"/>
      <c r="AK760" s="151"/>
      <c r="AL760" s="151"/>
      <c r="AM760" s="151"/>
      <c r="AN760" s="151"/>
      <c r="AO760" s="151"/>
      <c r="AP760" s="151"/>
      <c r="AQ760" s="151"/>
      <c r="AR760" s="151"/>
      <c r="AS760" s="151"/>
      <c r="AT760" s="151"/>
      <c r="AU760" s="151"/>
      <c r="AV760" s="151"/>
      <c r="AW760" s="151"/>
      <c r="AX760" s="151"/>
      <c r="AY760" s="151"/>
      <c r="AZ760" s="151"/>
      <c r="BA760" s="151"/>
      <c r="BB760" s="151"/>
      <c r="BC760" s="151"/>
      <c r="BD760" s="151"/>
      <c r="BE760" s="151"/>
      <c r="BF760" s="151"/>
      <c r="BG760" s="151"/>
      <c r="BH760" s="151"/>
      <c r="BI760" s="151"/>
      <c r="BJ760" s="151"/>
      <c r="BK760" s="151"/>
      <c r="BL760" s="151"/>
      <c r="BM760" s="151"/>
      <c r="BN760" s="151"/>
    </row>
    <row r="761" spans="25:66">
      <c r="Y761" s="151"/>
      <c r="Z761" s="151"/>
      <c r="AA761" s="151"/>
      <c r="AB761" s="151"/>
      <c r="AC761" s="151"/>
      <c r="AD761" s="151"/>
      <c r="AE761" s="151"/>
      <c r="AF761" s="151"/>
      <c r="AG761" s="151"/>
      <c r="AH761" s="151"/>
      <c r="AI761" s="151"/>
      <c r="AJ761" s="151"/>
      <c r="AK761" s="151"/>
      <c r="AL761" s="151"/>
      <c r="AM761" s="151"/>
      <c r="AN761" s="151"/>
      <c r="AO761" s="151"/>
      <c r="AP761" s="151"/>
      <c r="AQ761" s="151"/>
      <c r="AR761" s="151"/>
      <c r="AS761" s="151"/>
      <c r="AT761" s="151"/>
      <c r="AU761" s="151"/>
      <c r="AV761" s="151"/>
      <c r="AW761" s="151"/>
      <c r="AX761" s="151"/>
      <c r="AY761" s="151"/>
      <c r="AZ761" s="151"/>
      <c r="BA761" s="151"/>
      <c r="BB761" s="151"/>
      <c r="BC761" s="151"/>
      <c r="BD761" s="151"/>
      <c r="BE761" s="151"/>
      <c r="BF761" s="151"/>
      <c r="BG761" s="151"/>
      <c r="BH761" s="151"/>
      <c r="BI761" s="151"/>
      <c r="BJ761" s="151"/>
      <c r="BK761" s="151"/>
      <c r="BL761" s="151"/>
      <c r="BM761" s="151"/>
      <c r="BN761" s="151"/>
    </row>
    <row r="762" spans="25:66">
      <c r="Y762" s="151"/>
      <c r="Z762" s="151"/>
      <c r="AA762" s="151"/>
      <c r="AB762" s="151"/>
      <c r="AC762" s="151"/>
      <c r="AD762" s="151"/>
      <c r="AE762" s="151"/>
      <c r="AF762" s="151"/>
      <c r="AG762" s="151"/>
      <c r="AH762" s="151"/>
      <c r="AI762" s="151"/>
      <c r="AJ762" s="151"/>
      <c r="AK762" s="151"/>
      <c r="AL762" s="151"/>
      <c r="AM762" s="151"/>
      <c r="AN762" s="151"/>
      <c r="AO762" s="151"/>
      <c r="AP762" s="151"/>
      <c r="AQ762" s="151"/>
      <c r="AR762" s="151"/>
      <c r="AS762" s="151"/>
      <c r="AT762" s="151"/>
      <c r="AU762" s="151"/>
      <c r="AV762" s="151"/>
      <c r="AW762" s="151"/>
      <c r="AX762" s="151"/>
      <c r="AY762" s="151"/>
      <c r="AZ762" s="151"/>
      <c r="BA762" s="151"/>
      <c r="BB762" s="151"/>
      <c r="BC762" s="151"/>
      <c r="BD762" s="151"/>
      <c r="BE762" s="151"/>
      <c r="BF762" s="151"/>
      <c r="BG762" s="151"/>
      <c r="BH762" s="151"/>
      <c r="BI762" s="151"/>
      <c r="BJ762" s="151"/>
      <c r="BK762" s="151"/>
      <c r="BL762" s="151"/>
      <c r="BM762" s="151"/>
      <c r="BN762" s="151"/>
    </row>
    <row r="763" spans="25:66">
      <c r="Y763" s="151"/>
      <c r="Z763" s="151"/>
      <c r="AA763" s="151"/>
      <c r="AB763" s="151"/>
      <c r="AC763" s="151"/>
      <c r="AD763" s="151"/>
      <c r="AE763" s="151"/>
      <c r="AF763" s="151"/>
      <c r="AG763" s="151"/>
      <c r="AH763" s="151"/>
      <c r="AI763" s="151"/>
      <c r="AJ763" s="151"/>
      <c r="AK763" s="151"/>
      <c r="AL763" s="151"/>
      <c r="AM763" s="151"/>
      <c r="AN763" s="151"/>
      <c r="AO763" s="151"/>
      <c r="AP763" s="151"/>
      <c r="AQ763" s="151"/>
      <c r="AR763" s="151"/>
      <c r="AS763" s="151"/>
      <c r="AT763" s="151"/>
      <c r="AU763" s="151"/>
      <c r="AV763" s="151"/>
      <c r="AW763" s="151"/>
      <c r="AX763" s="151"/>
      <c r="AY763" s="151"/>
      <c r="AZ763" s="151"/>
      <c r="BA763" s="151"/>
      <c r="BB763" s="151"/>
      <c r="BC763" s="151"/>
      <c r="BD763" s="151"/>
      <c r="BE763" s="151"/>
      <c r="BF763" s="151"/>
      <c r="BG763" s="151"/>
      <c r="BH763" s="151"/>
      <c r="BI763" s="151"/>
      <c r="BJ763" s="151"/>
      <c r="BK763" s="151"/>
      <c r="BL763" s="151"/>
      <c r="BM763" s="151"/>
      <c r="BN763" s="151"/>
    </row>
    <row r="764" spans="25:66">
      <c r="Y764" s="151"/>
      <c r="Z764" s="151"/>
      <c r="AA764" s="151"/>
      <c r="AB764" s="151"/>
      <c r="AC764" s="151"/>
      <c r="AD764" s="151"/>
      <c r="AE764" s="151"/>
      <c r="AF764" s="151"/>
      <c r="AG764" s="151"/>
      <c r="AH764" s="151"/>
      <c r="AI764" s="151"/>
      <c r="AJ764" s="151"/>
      <c r="AK764" s="151"/>
      <c r="AL764" s="151"/>
      <c r="AM764" s="151"/>
      <c r="AN764" s="151"/>
      <c r="AO764" s="151"/>
      <c r="AP764" s="151"/>
      <c r="AQ764" s="151"/>
      <c r="AR764" s="151"/>
      <c r="AS764" s="151"/>
      <c r="AT764" s="151"/>
      <c r="AU764" s="151"/>
      <c r="AV764" s="151"/>
      <c r="AW764" s="151"/>
      <c r="AX764" s="151"/>
      <c r="AY764" s="151"/>
      <c r="AZ764" s="151"/>
      <c r="BA764" s="151"/>
      <c r="BB764" s="151"/>
      <c r="BC764" s="151"/>
      <c r="BD764" s="151"/>
      <c r="BE764" s="151"/>
      <c r="BF764" s="151"/>
      <c r="BG764" s="151"/>
      <c r="BH764" s="151"/>
      <c r="BI764" s="151"/>
      <c r="BJ764" s="151"/>
      <c r="BK764" s="151"/>
      <c r="BL764" s="151"/>
      <c r="BM764" s="151"/>
      <c r="BN764" s="151"/>
    </row>
    <row r="765" spans="25:66">
      <c r="Y765" s="151"/>
      <c r="Z765" s="151"/>
      <c r="AA765" s="151"/>
      <c r="AB765" s="151"/>
      <c r="AC765" s="151"/>
      <c r="AD765" s="151"/>
      <c r="AE765" s="151"/>
      <c r="AF765" s="151"/>
      <c r="AG765" s="151"/>
      <c r="AH765" s="151"/>
      <c r="AI765" s="151"/>
      <c r="AJ765" s="151"/>
      <c r="AK765" s="151"/>
      <c r="AL765" s="151"/>
      <c r="AM765" s="151"/>
      <c r="AN765" s="151"/>
      <c r="AO765" s="151"/>
      <c r="AP765" s="151"/>
      <c r="AQ765" s="151"/>
      <c r="AR765" s="151"/>
      <c r="AS765" s="151"/>
      <c r="AT765" s="151"/>
      <c r="AU765" s="151"/>
      <c r="AV765" s="151"/>
      <c r="AW765" s="151"/>
      <c r="AX765" s="151"/>
      <c r="AY765" s="151"/>
      <c r="AZ765" s="151"/>
      <c r="BA765" s="151"/>
      <c r="BB765" s="151"/>
      <c r="BC765" s="151"/>
      <c r="BD765" s="151"/>
      <c r="BE765" s="151"/>
      <c r="BF765" s="151"/>
      <c r="BG765" s="151"/>
      <c r="BH765" s="151"/>
      <c r="BI765" s="151"/>
      <c r="BJ765" s="151"/>
      <c r="BK765" s="151"/>
      <c r="BL765" s="151"/>
      <c r="BM765" s="151"/>
      <c r="BN765" s="151"/>
    </row>
    <row r="766" spans="25:66">
      <c r="Y766" s="151"/>
      <c r="Z766" s="151"/>
      <c r="AA766" s="151"/>
      <c r="AB766" s="151"/>
      <c r="AC766" s="151"/>
      <c r="AD766" s="151"/>
      <c r="AE766" s="151"/>
      <c r="AF766" s="151"/>
      <c r="AG766" s="151"/>
      <c r="AH766" s="151"/>
      <c r="AI766" s="151"/>
      <c r="AJ766" s="151"/>
      <c r="AK766" s="151"/>
      <c r="AL766" s="151"/>
      <c r="AM766" s="151"/>
      <c r="AN766" s="151"/>
      <c r="AO766" s="151"/>
      <c r="AP766" s="151"/>
      <c r="AQ766" s="151"/>
      <c r="AR766" s="151"/>
      <c r="AS766" s="151"/>
      <c r="AT766" s="151"/>
      <c r="AU766" s="151"/>
      <c r="AV766" s="151"/>
      <c r="AW766" s="151"/>
      <c r="AX766" s="151"/>
      <c r="AY766" s="151"/>
      <c r="AZ766" s="151"/>
      <c r="BA766" s="151"/>
      <c r="BB766" s="151"/>
      <c r="BC766" s="151"/>
      <c r="BD766" s="151"/>
      <c r="BE766" s="151"/>
      <c r="BF766" s="151"/>
      <c r="BG766" s="151"/>
      <c r="BH766" s="151"/>
      <c r="BI766" s="151"/>
      <c r="BJ766" s="151"/>
      <c r="BK766" s="151"/>
      <c r="BL766" s="151"/>
      <c r="BM766" s="151"/>
      <c r="BN766" s="151"/>
    </row>
    <row r="767" spans="25:66">
      <c r="Y767" s="151"/>
      <c r="Z767" s="151"/>
      <c r="AA767" s="151"/>
      <c r="AB767" s="151"/>
      <c r="AC767" s="151"/>
      <c r="AD767" s="151"/>
      <c r="AE767" s="151"/>
      <c r="AF767" s="151"/>
      <c r="AG767" s="151"/>
      <c r="AH767" s="151"/>
      <c r="AI767" s="151"/>
      <c r="AJ767" s="151"/>
      <c r="AK767" s="151"/>
      <c r="AL767" s="151"/>
      <c r="AM767" s="151"/>
      <c r="AN767" s="151"/>
      <c r="AO767" s="151"/>
      <c r="AP767" s="151"/>
      <c r="AQ767" s="151"/>
      <c r="AR767" s="151"/>
      <c r="AS767" s="151"/>
      <c r="AT767" s="151"/>
      <c r="AU767" s="151"/>
      <c r="AV767" s="151"/>
      <c r="AW767" s="151"/>
      <c r="AX767" s="151"/>
      <c r="AY767" s="151"/>
      <c r="AZ767" s="151"/>
      <c r="BA767" s="151"/>
      <c r="BB767" s="151"/>
      <c r="BC767" s="151"/>
      <c r="BD767" s="151"/>
      <c r="BE767" s="151"/>
      <c r="BF767" s="151"/>
      <c r="BG767" s="151"/>
      <c r="BH767" s="151"/>
      <c r="BI767" s="151"/>
      <c r="BJ767" s="151"/>
      <c r="BK767" s="151"/>
      <c r="BL767" s="151"/>
      <c r="BM767" s="151"/>
      <c r="BN767" s="151"/>
    </row>
    <row r="768" spans="25:66">
      <c r="Y768" s="151"/>
      <c r="Z768" s="151"/>
      <c r="AA768" s="151"/>
      <c r="AB768" s="151"/>
      <c r="AC768" s="151"/>
      <c r="AD768" s="151"/>
      <c r="AE768" s="151"/>
      <c r="AF768" s="151"/>
      <c r="AG768" s="151"/>
      <c r="AH768" s="151"/>
      <c r="AI768" s="151"/>
      <c r="AJ768" s="151"/>
      <c r="AK768" s="151"/>
      <c r="AL768" s="151"/>
      <c r="AM768" s="151"/>
      <c r="AN768" s="151"/>
      <c r="AO768" s="151"/>
      <c r="AP768" s="151"/>
      <c r="AQ768" s="151"/>
      <c r="AR768" s="151"/>
      <c r="AS768" s="151"/>
      <c r="AT768" s="151"/>
      <c r="AU768" s="151"/>
      <c r="AV768" s="151"/>
      <c r="AW768" s="151"/>
      <c r="AX768" s="151"/>
      <c r="AY768" s="151"/>
      <c r="AZ768" s="151"/>
      <c r="BA768" s="151"/>
      <c r="BB768" s="151"/>
      <c r="BC768" s="151"/>
      <c r="BD768" s="151"/>
      <c r="BE768" s="151"/>
      <c r="BF768" s="151"/>
      <c r="BG768" s="151"/>
      <c r="BH768" s="151"/>
      <c r="BI768" s="151"/>
      <c r="BJ768" s="151"/>
      <c r="BK768" s="151"/>
      <c r="BL768" s="151"/>
      <c r="BM768" s="151"/>
      <c r="BN768" s="151"/>
    </row>
    <row r="769" spans="25:66">
      <c r="Y769" s="151"/>
      <c r="Z769" s="151"/>
      <c r="AA769" s="151"/>
      <c r="AB769" s="151"/>
      <c r="AC769" s="151"/>
      <c r="AD769" s="151"/>
      <c r="AE769" s="151"/>
      <c r="AF769" s="151"/>
      <c r="AG769" s="151"/>
      <c r="AH769" s="151"/>
      <c r="AI769" s="151"/>
      <c r="AJ769" s="151"/>
      <c r="AK769" s="151"/>
      <c r="AL769" s="151"/>
      <c r="AM769" s="151"/>
      <c r="AN769" s="151"/>
      <c r="AO769" s="151"/>
      <c r="AP769" s="151"/>
      <c r="AQ769" s="151"/>
      <c r="AR769" s="151"/>
      <c r="AS769" s="151"/>
      <c r="AT769" s="151"/>
      <c r="AU769" s="151"/>
      <c r="AV769" s="151"/>
      <c r="AW769" s="151"/>
      <c r="AX769" s="151"/>
      <c r="AY769" s="151"/>
      <c r="AZ769" s="151"/>
      <c r="BA769" s="151"/>
      <c r="BB769" s="151"/>
      <c r="BC769" s="151"/>
      <c r="BD769" s="151"/>
      <c r="BE769" s="151"/>
      <c r="BF769" s="151"/>
      <c r="BG769" s="151"/>
      <c r="BH769" s="151"/>
      <c r="BI769" s="151"/>
      <c r="BJ769" s="151"/>
      <c r="BK769" s="151"/>
      <c r="BL769" s="151"/>
      <c r="BM769" s="151"/>
      <c r="BN769" s="151"/>
    </row>
    <row r="770" spans="25:66">
      <c r="Y770" s="151"/>
      <c r="Z770" s="151"/>
      <c r="AA770" s="151"/>
      <c r="AB770" s="151"/>
      <c r="AC770" s="151"/>
      <c r="AD770" s="151"/>
      <c r="AE770" s="151"/>
      <c r="AF770" s="151"/>
      <c r="AG770" s="151"/>
      <c r="AH770" s="151"/>
      <c r="AI770" s="151"/>
      <c r="AJ770" s="151"/>
      <c r="AK770" s="151"/>
      <c r="AL770" s="151"/>
      <c r="AM770" s="151"/>
      <c r="AN770" s="151"/>
      <c r="AO770" s="151"/>
      <c r="AP770" s="151"/>
      <c r="AQ770" s="151"/>
      <c r="AR770" s="151"/>
      <c r="AS770" s="151"/>
      <c r="AT770" s="151"/>
      <c r="AU770" s="151"/>
      <c r="AV770" s="151"/>
      <c r="AW770" s="151"/>
      <c r="AX770" s="151"/>
      <c r="AY770" s="151"/>
      <c r="AZ770" s="151"/>
      <c r="BA770" s="151"/>
      <c r="BB770" s="151"/>
      <c r="BC770" s="151"/>
      <c r="BD770" s="151"/>
      <c r="BE770" s="151"/>
      <c r="BF770" s="151"/>
      <c r="BG770" s="151"/>
      <c r="BH770" s="151"/>
      <c r="BI770" s="151"/>
      <c r="BJ770" s="151"/>
      <c r="BK770" s="151"/>
      <c r="BL770" s="151"/>
      <c r="BM770" s="151"/>
      <c r="BN770" s="151"/>
    </row>
    <row r="771" spans="25:66">
      <c r="Y771" s="151"/>
      <c r="Z771" s="151"/>
      <c r="AA771" s="151"/>
      <c r="AB771" s="151"/>
      <c r="AC771" s="151"/>
      <c r="AD771" s="151"/>
      <c r="AE771" s="151"/>
      <c r="AF771" s="151"/>
      <c r="AG771" s="151"/>
      <c r="AH771" s="151"/>
      <c r="AI771" s="151"/>
      <c r="AJ771" s="151"/>
      <c r="AK771" s="151"/>
      <c r="AL771" s="151"/>
      <c r="AM771" s="151"/>
      <c r="AN771" s="151"/>
      <c r="AO771" s="151"/>
      <c r="AP771" s="151"/>
      <c r="AQ771" s="151"/>
      <c r="AR771" s="151"/>
      <c r="AS771" s="151"/>
      <c r="AT771" s="151"/>
      <c r="AU771" s="151"/>
      <c r="AV771" s="151"/>
      <c r="AW771" s="151"/>
      <c r="AX771" s="151"/>
      <c r="AY771" s="151"/>
      <c r="AZ771" s="151"/>
      <c r="BA771" s="151"/>
      <c r="BB771" s="151"/>
      <c r="BC771" s="151"/>
      <c r="BD771" s="151"/>
      <c r="BE771" s="151"/>
      <c r="BF771" s="151"/>
      <c r="BG771" s="151"/>
      <c r="BH771" s="151"/>
      <c r="BI771" s="151"/>
      <c r="BJ771" s="151"/>
      <c r="BK771" s="151"/>
      <c r="BL771" s="151"/>
      <c r="BM771" s="151"/>
      <c r="BN771" s="151"/>
    </row>
    <row r="772" spans="25:66">
      <c r="Y772" s="151"/>
      <c r="Z772" s="151"/>
      <c r="AA772" s="151"/>
      <c r="AB772" s="151"/>
      <c r="AC772" s="151"/>
      <c r="AD772" s="151"/>
      <c r="AE772" s="151"/>
      <c r="AF772" s="151"/>
      <c r="AG772" s="151"/>
      <c r="AH772" s="151"/>
      <c r="AI772" s="151"/>
      <c r="AJ772" s="151"/>
      <c r="AK772" s="151"/>
      <c r="AL772" s="151"/>
      <c r="AM772" s="151"/>
      <c r="AN772" s="151"/>
      <c r="AO772" s="151"/>
      <c r="AP772" s="151"/>
      <c r="AQ772" s="151"/>
      <c r="AR772" s="151"/>
      <c r="AS772" s="151"/>
      <c r="AT772" s="151"/>
      <c r="AU772" s="151"/>
      <c r="AV772" s="151"/>
      <c r="AW772" s="151"/>
      <c r="AX772" s="151"/>
      <c r="AY772" s="151"/>
      <c r="AZ772" s="151"/>
      <c r="BA772" s="151"/>
      <c r="BB772" s="151"/>
      <c r="BC772" s="151"/>
      <c r="BD772" s="151"/>
      <c r="BE772" s="151"/>
      <c r="BF772" s="151"/>
      <c r="BG772" s="151"/>
      <c r="BH772" s="151"/>
      <c r="BI772" s="151"/>
      <c r="BJ772" s="151"/>
      <c r="BK772" s="151"/>
      <c r="BL772" s="151"/>
      <c r="BM772" s="151"/>
      <c r="BN772" s="151"/>
    </row>
    <row r="773" spans="25:66">
      <c r="Y773" s="151"/>
      <c r="Z773" s="151"/>
      <c r="AA773" s="151"/>
      <c r="AB773" s="151"/>
      <c r="AC773" s="151"/>
      <c r="AD773" s="151"/>
      <c r="AE773" s="151"/>
      <c r="AF773" s="151"/>
      <c r="AG773" s="151"/>
      <c r="AH773" s="151"/>
      <c r="AI773" s="151"/>
      <c r="AJ773" s="151"/>
      <c r="AK773" s="151"/>
      <c r="AL773" s="151"/>
      <c r="AM773" s="151"/>
      <c r="AN773" s="151"/>
      <c r="AO773" s="151"/>
      <c r="AP773" s="151"/>
      <c r="AQ773" s="151"/>
      <c r="AR773" s="151"/>
      <c r="AS773" s="151"/>
      <c r="AT773" s="151"/>
      <c r="AU773" s="151"/>
      <c r="AV773" s="151"/>
      <c r="AW773" s="151"/>
      <c r="AX773" s="151"/>
      <c r="AY773" s="151"/>
      <c r="AZ773" s="151"/>
      <c r="BA773" s="151"/>
      <c r="BB773" s="151"/>
      <c r="BC773" s="151"/>
      <c r="BD773" s="151"/>
      <c r="BE773" s="151"/>
      <c r="BF773" s="151"/>
      <c r="BG773" s="151"/>
      <c r="BH773" s="151"/>
      <c r="BI773" s="151"/>
      <c r="BJ773" s="151"/>
      <c r="BK773" s="151"/>
      <c r="BL773" s="151"/>
      <c r="BM773" s="151"/>
      <c r="BN773" s="151"/>
    </row>
    <row r="774" spans="25:66">
      <c r="Y774" s="151"/>
      <c r="Z774" s="151"/>
      <c r="AA774" s="151"/>
      <c r="AB774" s="151"/>
      <c r="AC774" s="151"/>
      <c r="AD774" s="151"/>
      <c r="AE774" s="151"/>
      <c r="AF774" s="151"/>
      <c r="AG774" s="151"/>
      <c r="AH774" s="151"/>
      <c r="AI774" s="151"/>
      <c r="AJ774" s="151"/>
      <c r="AK774" s="151"/>
      <c r="AL774" s="151"/>
      <c r="AM774" s="151"/>
      <c r="AN774" s="151"/>
      <c r="AO774" s="151"/>
      <c r="AP774" s="151"/>
      <c r="AQ774" s="151"/>
      <c r="AR774" s="151"/>
      <c r="AS774" s="151"/>
      <c r="AT774" s="151"/>
      <c r="AU774" s="151"/>
      <c r="AV774" s="151"/>
      <c r="AW774" s="151"/>
      <c r="AX774" s="151"/>
      <c r="AY774" s="151"/>
      <c r="AZ774" s="151"/>
      <c r="BA774" s="151"/>
      <c r="BB774" s="151"/>
      <c r="BC774" s="151"/>
      <c r="BD774" s="151"/>
      <c r="BE774" s="151"/>
      <c r="BF774" s="151"/>
      <c r="BG774" s="151"/>
      <c r="BH774" s="151"/>
      <c r="BI774" s="151"/>
      <c r="BJ774" s="151"/>
      <c r="BK774" s="151"/>
      <c r="BL774" s="151"/>
      <c r="BM774" s="151"/>
      <c r="BN774" s="151"/>
    </row>
    <row r="775" spans="25:66">
      <c r="Y775" s="151"/>
      <c r="Z775" s="151"/>
      <c r="AA775" s="151"/>
      <c r="AB775" s="151"/>
      <c r="AC775" s="151"/>
      <c r="AD775" s="151"/>
      <c r="AE775" s="151"/>
      <c r="AF775" s="151"/>
      <c r="AG775" s="151"/>
      <c r="AH775" s="151"/>
      <c r="AI775" s="151"/>
      <c r="AJ775" s="151"/>
      <c r="AK775" s="151"/>
      <c r="AL775" s="151"/>
      <c r="AM775" s="151"/>
      <c r="AN775" s="151"/>
      <c r="AO775" s="151"/>
      <c r="AP775" s="151"/>
      <c r="AQ775" s="151"/>
      <c r="AR775" s="151"/>
      <c r="AS775" s="151"/>
      <c r="AT775" s="151"/>
      <c r="AU775" s="151"/>
      <c r="AV775" s="151"/>
      <c r="AW775" s="151"/>
      <c r="AX775" s="151"/>
      <c r="AY775" s="151"/>
      <c r="AZ775" s="151"/>
      <c r="BA775" s="151"/>
      <c r="BB775" s="151"/>
      <c r="BC775" s="151"/>
      <c r="BD775" s="151"/>
      <c r="BE775" s="151"/>
      <c r="BF775" s="151"/>
      <c r="BG775" s="151"/>
      <c r="BH775" s="151"/>
      <c r="BI775" s="151"/>
      <c r="BJ775" s="151"/>
      <c r="BK775" s="151"/>
      <c r="BL775" s="151"/>
      <c r="BM775" s="151"/>
      <c r="BN775" s="151"/>
    </row>
    <row r="776" spans="25:66">
      <c r="Y776" s="151"/>
      <c r="Z776" s="151"/>
      <c r="AA776" s="151"/>
      <c r="AB776" s="151"/>
      <c r="AC776" s="151"/>
      <c r="AD776" s="151"/>
      <c r="AE776" s="151"/>
      <c r="AF776" s="151"/>
      <c r="AG776" s="151"/>
      <c r="AH776" s="151"/>
      <c r="AI776" s="151"/>
      <c r="AJ776" s="151"/>
      <c r="AK776" s="151"/>
      <c r="AL776" s="151"/>
      <c r="AM776" s="151"/>
      <c r="AN776" s="151"/>
      <c r="AO776" s="151"/>
      <c r="AP776" s="151"/>
      <c r="AQ776" s="151"/>
      <c r="AR776" s="151"/>
      <c r="AS776" s="151"/>
      <c r="AT776" s="151"/>
      <c r="AU776" s="151"/>
      <c r="AV776" s="151"/>
      <c r="AW776" s="151"/>
      <c r="AX776" s="151"/>
      <c r="AY776" s="151"/>
      <c r="AZ776" s="151"/>
      <c r="BA776" s="151"/>
      <c r="BB776" s="151"/>
      <c r="BC776" s="151"/>
      <c r="BD776" s="151"/>
      <c r="BE776" s="151"/>
      <c r="BF776" s="151"/>
      <c r="BG776" s="151"/>
      <c r="BH776" s="151"/>
      <c r="BI776" s="151"/>
      <c r="BJ776" s="151"/>
      <c r="BK776" s="151"/>
      <c r="BL776" s="151"/>
      <c r="BM776" s="151"/>
      <c r="BN776" s="151"/>
    </row>
    <row r="777" spans="25:66">
      <c r="Y777" s="151"/>
      <c r="Z777" s="151"/>
      <c r="AA777" s="151"/>
      <c r="AB777" s="151"/>
      <c r="AC777" s="151"/>
      <c r="AD777" s="151"/>
      <c r="AE777" s="151"/>
      <c r="AF777" s="151"/>
      <c r="AG777" s="151"/>
      <c r="AH777" s="151"/>
      <c r="AI777" s="151"/>
      <c r="AJ777" s="151"/>
      <c r="AK777" s="151"/>
      <c r="AL777" s="151"/>
      <c r="AM777" s="151"/>
      <c r="AN777" s="151"/>
      <c r="AO777" s="151"/>
      <c r="AP777" s="151"/>
      <c r="AQ777" s="151"/>
      <c r="AR777" s="151"/>
      <c r="AS777" s="151"/>
      <c r="AT777" s="151"/>
      <c r="AU777" s="151"/>
      <c r="AV777" s="151"/>
      <c r="AW777" s="151"/>
      <c r="AX777" s="151"/>
      <c r="AY777" s="151"/>
      <c r="AZ777" s="151"/>
      <c r="BA777" s="151"/>
      <c r="BB777" s="151"/>
      <c r="BC777" s="151"/>
      <c r="BD777" s="151"/>
      <c r="BE777" s="151"/>
      <c r="BF777" s="151"/>
      <c r="BG777" s="151"/>
      <c r="BH777" s="151"/>
      <c r="BI777" s="151"/>
      <c r="BJ777" s="151"/>
      <c r="BK777" s="151"/>
      <c r="BL777" s="151"/>
      <c r="BM777" s="151"/>
      <c r="BN777" s="151"/>
    </row>
    <row r="778" spans="25:66">
      <c r="Y778" s="151"/>
      <c r="Z778" s="151"/>
      <c r="AA778" s="151"/>
      <c r="AB778" s="151"/>
      <c r="AC778" s="151"/>
      <c r="AD778" s="151"/>
      <c r="AE778" s="151"/>
      <c r="AF778" s="151"/>
      <c r="AG778" s="151"/>
      <c r="AH778" s="151"/>
      <c r="AI778" s="151"/>
      <c r="AJ778" s="151"/>
      <c r="AK778" s="151"/>
      <c r="AL778" s="151"/>
      <c r="AM778" s="151"/>
      <c r="AN778" s="151"/>
      <c r="AO778" s="151"/>
      <c r="AP778" s="151"/>
      <c r="AQ778" s="151"/>
      <c r="AR778" s="151"/>
      <c r="AS778" s="151"/>
      <c r="AT778" s="151"/>
      <c r="AU778" s="151"/>
      <c r="AV778" s="151"/>
      <c r="AW778" s="151"/>
      <c r="AX778" s="151"/>
      <c r="AY778" s="151"/>
      <c r="AZ778" s="151"/>
      <c r="BA778" s="151"/>
      <c r="BB778" s="151"/>
      <c r="BC778" s="151"/>
      <c r="BD778" s="151"/>
      <c r="BE778" s="151"/>
      <c r="BF778" s="151"/>
      <c r="BG778" s="151"/>
      <c r="BH778" s="151"/>
      <c r="BI778" s="151"/>
      <c r="BJ778" s="151"/>
      <c r="BK778" s="151"/>
      <c r="BL778" s="151"/>
      <c r="BM778" s="151"/>
      <c r="BN778" s="151"/>
    </row>
    <row r="779" spans="25:66">
      <c r="Y779" s="151"/>
      <c r="Z779" s="151"/>
      <c r="AA779" s="151"/>
      <c r="AB779" s="151"/>
      <c r="AC779" s="151"/>
      <c r="AD779" s="151"/>
      <c r="AE779" s="151"/>
      <c r="AF779" s="151"/>
      <c r="AG779" s="151"/>
      <c r="AH779" s="151"/>
      <c r="AI779" s="151"/>
      <c r="AJ779" s="151"/>
      <c r="AK779" s="151"/>
      <c r="AL779" s="151"/>
      <c r="AM779" s="151"/>
      <c r="AN779" s="151"/>
      <c r="AO779" s="151"/>
      <c r="AP779" s="151"/>
      <c r="AQ779" s="151"/>
      <c r="AR779" s="151"/>
      <c r="AS779" s="151"/>
      <c r="AT779" s="151"/>
      <c r="AU779" s="151"/>
      <c r="AV779" s="151"/>
      <c r="AW779" s="151"/>
      <c r="AX779" s="151"/>
      <c r="AY779" s="151"/>
      <c r="AZ779" s="151"/>
      <c r="BA779" s="151"/>
      <c r="BB779" s="151"/>
      <c r="BC779" s="151"/>
      <c r="BD779" s="151"/>
      <c r="BE779" s="151"/>
      <c r="BF779" s="151"/>
      <c r="BG779" s="151"/>
      <c r="BH779" s="151"/>
      <c r="BI779" s="151"/>
      <c r="BJ779" s="151"/>
      <c r="BK779" s="151"/>
      <c r="BL779" s="151"/>
      <c r="BM779" s="151"/>
      <c r="BN779" s="151"/>
    </row>
    <row r="780" spans="25:66">
      <c r="Y780" s="151"/>
      <c r="Z780" s="151"/>
      <c r="AA780" s="151"/>
      <c r="AB780" s="151"/>
      <c r="AC780" s="151"/>
      <c r="AD780" s="151"/>
      <c r="AE780" s="151"/>
      <c r="AF780" s="151"/>
      <c r="AG780" s="151"/>
      <c r="AH780" s="151"/>
      <c r="AI780" s="151"/>
      <c r="AJ780" s="151"/>
      <c r="AK780" s="151"/>
      <c r="AL780" s="151"/>
      <c r="AM780" s="151"/>
      <c r="AN780" s="151"/>
      <c r="AO780" s="151"/>
      <c r="AP780" s="151"/>
      <c r="AQ780" s="151"/>
      <c r="AR780" s="151"/>
      <c r="AS780" s="151"/>
      <c r="AT780" s="151"/>
      <c r="AU780" s="151"/>
      <c r="AV780" s="151"/>
      <c r="AW780" s="151"/>
      <c r="AX780" s="151"/>
      <c r="AY780" s="151"/>
      <c r="AZ780" s="151"/>
      <c r="BA780" s="151"/>
      <c r="BB780" s="151"/>
      <c r="BC780" s="151"/>
      <c r="BD780" s="151"/>
      <c r="BE780" s="151"/>
      <c r="BF780" s="151"/>
      <c r="BG780" s="151"/>
      <c r="BH780" s="151"/>
      <c r="BI780" s="151"/>
      <c r="BJ780" s="151"/>
      <c r="BK780" s="151"/>
      <c r="BL780" s="151"/>
      <c r="BM780" s="151"/>
      <c r="BN780" s="151"/>
    </row>
    <row r="781" spans="25:66">
      <c r="Y781" s="151"/>
      <c r="Z781" s="151"/>
      <c r="AA781" s="151"/>
      <c r="AB781" s="151"/>
      <c r="AC781" s="151"/>
      <c r="AD781" s="151"/>
      <c r="AE781" s="151"/>
      <c r="AF781" s="151"/>
      <c r="AG781" s="151"/>
      <c r="AH781" s="151"/>
      <c r="AI781" s="151"/>
      <c r="AJ781" s="151"/>
      <c r="AK781" s="151"/>
      <c r="AL781" s="151"/>
      <c r="AM781" s="151"/>
      <c r="AN781" s="151"/>
      <c r="AO781" s="151"/>
      <c r="AP781" s="151"/>
      <c r="AQ781" s="151"/>
      <c r="AR781" s="151"/>
      <c r="AS781" s="151"/>
      <c r="AT781" s="151"/>
      <c r="AU781" s="151"/>
      <c r="AV781" s="151"/>
      <c r="AW781" s="151"/>
      <c r="AX781" s="151"/>
      <c r="AY781" s="151"/>
      <c r="AZ781" s="151"/>
      <c r="BA781" s="151"/>
      <c r="BB781" s="151"/>
      <c r="BC781" s="151"/>
      <c r="BD781" s="151"/>
      <c r="BE781" s="151"/>
      <c r="BF781" s="151"/>
      <c r="BG781" s="151"/>
      <c r="BH781" s="151"/>
      <c r="BI781" s="151"/>
      <c r="BJ781" s="151"/>
      <c r="BK781" s="151"/>
      <c r="BL781" s="151"/>
      <c r="BM781" s="151"/>
      <c r="BN781" s="151"/>
    </row>
    <row r="782" spans="25:66">
      <c r="Y782" s="151"/>
      <c r="Z782" s="151"/>
      <c r="AA782" s="151"/>
      <c r="AB782" s="151"/>
      <c r="AC782" s="151"/>
      <c r="AD782" s="151"/>
      <c r="AE782" s="151"/>
      <c r="AF782" s="151"/>
      <c r="AG782" s="151"/>
      <c r="AH782" s="151"/>
      <c r="AI782" s="151"/>
      <c r="AJ782" s="151"/>
      <c r="AK782" s="151"/>
      <c r="AL782" s="151"/>
      <c r="AM782" s="151"/>
      <c r="AN782" s="151"/>
      <c r="AO782" s="151"/>
      <c r="AP782" s="151"/>
      <c r="AQ782" s="151"/>
      <c r="AR782" s="151"/>
      <c r="AS782" s="151"/>
      <c r="AT782" s="151"/>
      <c r="AU782" s="151"/>
      <c r="AV782" s="151"/>
      <c r="AW782" s="151"/>
      <c r="AX782" s="151"/>
      <c r="AY782" s="151"/>
      <c r="AZ782" s="151"/>
      <c r="BA782" s="151"/>
      <c r="BB782" s="151"/>
      <c r="BC782" s="151"/>
      <c r="BD782" s="151"/>
      <c r="BE782" s="151"/>
      <c r="BF782" s="151"/>
      <c r="BG782" s="151"/>
      <c r="BH782" s="151"/>
      <c r="BI782" s="151"/>
      <c r="BJ782" s="151"/>
      <c r="BK782" s="151"/>
      <c r="BL782" s="151"/>
      <c r="BM782" s="151"/>
      <c r="BN782" s="151"/>
    </row>
    <row r="783" spans="25:66">
      <c r="Y783" s="151"/>
      <c r="Z783" s="151"/>
      <c r="AA783" s="151"/>
      <c r="AB783" s="151"/>
      <c r="AC783" s="151"/>
      <c r="AD783" s="151"/>
      <c r="AE783" s="151"/>
      <c r="AF783" s="151"/>
      <c r="AG783" s="151"/>
      <c r="AH783" s="151"/>
      <c r="AI783" s="151"/>
      <c r="AJ783" s="151"/>
      <c r="AK783" s="151"/>
      <c r="AL783" s="151"/>
      <c r="AM783" s="151"/>
      <c r="AN783" s="151"/>
      <c r="AO783" s="151"/>
      <c r="AP783" s="151"/>
      <c r="AQ783" s="151"/>
      <c r="AR783" s="151"/>
      <c r="AS783" s="151"/>
      <c r="AT783" s="151"/>
      <c r="AU783" s="151"/>
      <c r="AV783" s="151"/>
      <c r="AW783" s="151"/>
      <c r="AX783" s="151"/>
      <c r="AY783" s="151"/>
      <c r="AZ783" s="151"/>
      <c r="BA783" s="151"/>
      <c r="BB783" s="151"/>
      <c r="BC783" s="151"/>
      <c r="BD783" s="151"/>
      <c r="BE783" s="151"/>
      <c r="BF783" s="151"/>
      <c r="BG783" s="151"/>
      <c r="BH783" s="151"/>
      <c r="BI783" s="151"/>
      <c r="BJ783" s="151"/>
      <c r="BK783" s="151"/>
      <c r="BL783" s="151"/>
      <c r="BM783" s="151"/>
      <c r="BN783" s="151"/>
    </row>
    <row r="784" spans="25:66">
      <c r="Y784" s="151"/>
      <c r="Z784" s="151"/>
      <c r="AA784" s="151"/>
      <c r="AB784" s="151"/>
      <c r="AC784" s="151"/>
      <c r="AD784" s="151"/>
      <c r="AE784" s="151"/>
      <c r="AF784" s="151"/>
      <c r="AG784" s="151"/>
      <c r="AH784" s="151"/>
      <c r="AI784" s="151"/>
      <c r="AJ784" s="151"/>
      <c r="AK784" s="151"/>
      <c r="AL784" s="151"/>
      <c r="AM784" s="151"/>
      <c r="AN784" s="151"/>
      <c r="AO784" s="151"/>
      <c r="AP784" s="151"/>
      <c r="AQ784" s="151"/>
      <c r="AR784" s="151"/>
      <c r="AS784" s="151"/>
      <c r="AT784" s="151"/>
      <c r="AU784" s="151"/>
      <c r="AV784" s="151"/>
      <c r="AW784" s="151"/>
      <c r="AX784" s="151"/>
      <c r="AY784" s="151"/>
      <c r="AZ784" s="151"/>
      <c r="BA784" s="151"/>
      <c r="BB784" s="151"/>
      <c r="BC784" s="151"/>
      <c r="BD784" s="151"/>
      <c r="BE784" s="151"/>
      <c r="BF784" s="151"/>
      <c r="BG784" s="151"/>
      <c r="BH784" s="151"/>
      <c r="BI784" s="151"/>
      <c r="BJ784" s="151"/>
      <c r="BK784" s="151"/>
      <c r="BL784" s="151"/>
      <c r="BM784" s="151"/>
      <c r="BN784" s="151"/>
    </row>
    <row r="785" spans="25:66">
      <c r="Y785" s="151"/>
      <c r="Z785" s="151"/>
      <c r="AA785" s="151"/>
      <c r="AB785" s="151"/>
      <c r="AC785" s="151"/>
      <c r="AD785" s="151"/>
      <c r="AE785" s="151"/>
      <c r="AF785" s="151"/>
      <c r="AG785" s="151"/>
      <c r="AH785" s="151"/>
      <c r="AI785" s="151"/>
      <c r="AJ785" s="151"/>
      <c r="AK785" s="151"/>
      <c r="AL785" s="151"/>
      <c r="AM785" s="151"/>
      <c r="AN785" s="151"/>
      <c r="AO785" s="151"/>
      <c r="AP785" s="151"/>
      <c r="AQ785" s="151"/>
      <c r="AR785" s="151"/>
      <c r="AS785" s="151"/>
      <c r="AT785" s="151"/>
      <c r="AU785" s="151"/>
      <c r="AV785" s="151"/>
      <c r="AW785" s="151"/>
      <c r="AX785" s="151"/>
      <c r="AY785" s="151"/>
      <c r="AZ785" s="151"/>
      <c r="BA785" s="151"/>
      <c r="BB785" s="151"/>
      <c r="BC785" s="151"/>
      <c r="BD785" s="151"/>
      <c r="BE785" s="151"/>
      <c r="BF785" s="151"/>
      <c r="BG785" s="151"/>
      <c r="BH785" s="151"/>
      <c r="BI785" s="151"/>
      <c r="BJ785" s="151"/>
      <c r="BK785" s="151"/>
      <c r="BL785" s="151"/>
      <c r="BM785" s="151"/>
      <c r="BN785" s="151"/>
    </row>
    <row r="786" spans="25:66">
      <c r="Y786" s="151"/>
      <c r="Z786" s="151"/>
      <c r="AA786" s="151"/>
      <c r="AB786" s="151"/>
      <c r="AC786" s="151"/>
      <c r="AD786" s="151"/>
      <c r="AE786" s="151"/>
      <c r="AF786" s="151"/>
      <c r="AG786" s="151"/>
      <c r="AH786" s="151"/>
      <c r="AI786" s="151"/>
      <c r="AJ786" s="151"/>
      <c r="AK786" s="151"/>
      <c r="AL786" s="151"/>
      <c r="AM786" s="151"/>
      <c r="AN786" s="151"/>
      <c r="AO786" s="151"/>
      <c r="AP786" s="151"/>
      <c r="AQ786" s="151"/>
      <c r="AR786" s="151"/>
      <c r="AS786" s="151"/>
      <c r="AT786" s="151"/>
      <c r="AU786" s="151"/>
      <c r="AV786" s="151"/>
      <c r="AW786" s="151"/>
      <c r="AX786" s="151"/>
      <c r="AY786" s="151"/>
      <c r="AZ786" s="151"/>
      <c r="BA786" s="151"/>
      <c r="BB786" s="151"/>
      <c r="BC786" s="151"/>
      <c r="BD786" s="151"/>
      <c r="BE786" s="151"/>
      <c r="BF786" s="151"/>
      <c r="BG786" s="151"/>
      <c r="BH786" s="151"/>
      <c r="BI786" s="151"/>
      <c r="BJ786" s="151"/>
      <c r="BK786" s="151"/>
      <c r="BL786" s="151"/>
      <c r="BM786" s="151"/>
      <c r="BN786" s="151"/>
    </row>
    <row r="787" spans="25:66">
      <c r="Y787" s="151"/>
      <c r="Z787" s="151"/>
      <c r="AA787" s="151"/>
      <c r="AB787" s="151"/>
      <c r="AC787" s="151"/>
      <c r="AD787" s="151"/>
      <c r="AE787" s="151"/>
      <c r="AF787" s="151"/>
      <c r="AG787" s="151"/>
      <c r="AH787" s="151"/>
      <c r="AI787" s="151"/>
      <c r="AJ787" s="151"/>
      <c r="AK787" s="151"/>
      <c r="AL787" s="151"/>
      <c r="AM787" s="151"/>
      <c r="AN787" s="151"/>
      <c r="AO787" s="151"/>
      <c r="AP787" s="151"/>
      <c r="AQ787" s="151"/>
      <c r="AR787" s="151"/>
      <c r="AS787" s="151"/>
      <c r="AT787" s="151"/>
      <c r="AU787" s="151"/>
      <c r="AV787" s="151"/>
      <c r="AW787" s="151"/>
      <c r="AX787" s="151"/>
      <c r="AY787" s="151"/>
      <c r="AZ787" s="151"/>
      <c r="BA787" s="151"/>
      <c r="BB787" s="151"/>
      <c r="BC787" s="151"/>
      <c r="BD787" s="151"/>
      <c r="BE787" s="151"/>
      <c r="BF787" s="151"/>
      <c r="BG787" s="151"/>
      <c r="BH787" s="151"/>
      <c r="BI787" s="151"/>
      <c r="BJ787" s="151"/>
      <c r="BK787" s="151"/>
      <c r="BL787" s="151"/>
      <c r="BM787" s="151"/>
      <c r="BN787" s="151"/>
    </row>
    <row r="788" spans="25:66">
      <c r="Y788" s="151"/>
      <c r="Z788" s="151"/>
      <c r="AA788" s="151"/>
      <c r="AB788" s="151"/>
      <c r="AC788" s="151"/>
      <c r="AD788" s="151"/>
      <c r="AE788" s="151"/>
      <c r="AF788" s="151"/>
      <c r="AG788" s="151"/>
      <c r="AH788" s="151"/>
      <c r="AI788" s="151"/>
      <c r="AJ788" s="151"/>
      <c r="AK788" s="151"/>
      <c r="AL788" s="151"/>
      <c r="AM788" s="151"/>
      <c r="AN788" s="151"/>
      <c r="AO788" s="151"/>
      <c r="AP788" s="151"/>
      <c r="AQ788" s="151"/>
      <c r="AR788" s="151"/>
      <c r="AS788" s="151"/>
      <c r="AT788" s="151"/>
      <c r="AU788" s="151"/>
      <c r="AV788" s="151"/>
      <c r="AW788" s="151"/>
      <c r="AX788" s="151"/>
      <c r="AY788" s="151"/>
      <c r="AZ788" s="151"/>
      <c r="BA788" s="151"/>
      <c r="BB788" s="151"/>
      <c r="BC788" s="151"/>
      <c r="BD788" s="151"/>
      <c r="BE788" s="151"/>
      <c r="BF788" s="151"/>
      <c r="BG788" s="151"/>
      <c r="BH788" s="151"/>
      <c r="BI788" s="151"/>
      <c r="BJ788" s="151"/>
      <c r="BK788" s="151"/>
      <c r="BL788" s="151"/>
      <c r="BM788" s="151"/>
      <c r="BN788" s="151"/>
    </row>
    <row r="789" spans="25:66">
      <c r="Y789" s="151"/>
      <c r="Z789" s="151"/>
      <c r="AA789" s="151"/>
      <c r="AB789" s="151"/>
      <c r="AC789" s="151"/>
      <c r="AD789" s="151"/>
      <c r="AE789" s="151"/>
      <c r="AF789" s="151"/>
      <c r="AG789" s="151"/>
      <c r="AH789" s="151"/>
      <c r="AI789" s="151"/>
      <c r="AJ789" s="151"/>
      <c r="AK789" s="151"/>
      <c r="AL789" s="151"/>
      <c r="AM789" s="151"/>
      <c r="AN789" s="151"/>
      <c r="AO789" s="151"/>
      <c r="AP789" s="151"/>
      <c r="AQ789" s="151"/>
      <c r="AR789" s="151"/>
      <c r="AS789" s="151"/>
      <c r="AT789" s="151"/>
      <c r="AU789" s="151"/>
      <c r="AV789" s="151"/>
      <c r="AW789" s="151"/>
      <c r="AX789" s="151"/>
      <c r="AY789" s="151"/>
      <c r="AZ789" s="151"/>
      <c r="BA789" s="151"/>
      <c r="BB789" s="151"/>
      <c r="BC789" s="151"/>
      <c r="BD789" s="151"/>
      <c r="BE789" s="151"/>
      <c r="BF789" s="151"/>
      <c r="BG789" s="151"/>
      <c r="BH789" s="151"/>
      <c r="BI789" s="151"/>
      <c r="BJ789" s="151"/>
      <c r="BK789" s="151"/>
      <c r="BL789" s="151"/>
      <c r="BM789" s="151"/>
      <c r="BN789" s="151"/>
    </row>
    <row r="790" spans="25:66">
      <c r="Y790" s="151"/>
      <c r="Z790" s="151"/>
      <c r="AA790" s="151"/>
      <c r="AB790" s="151"/>
      <c r="AC790" s="151"/>
      <c r="AD790" s="151"/>
      <c r="AE790" s="151"/>
      <c r="AF790" s="151"/>
      <c r="AG790" s="151"/>
      <c r="AH790" s="151"/>
      <c r="AI790" s="151"/>
      <c r="AJ790" s="151"/>
      <c r="AK790" s="151"/>
      <c r="AL790" s="151"/>
      <c r="AM790" s="151"/>
      <c r="AN790" s="151"/>
      <c r="AO790" s="151"/>
      <c r="AP790" s="151"/>
      <c r="AQ790" s="151"/>
      <c r="AR790" s="151"/>
      <c r="AS790" s="151"/>
      <c r="AT790" s="151"/>
      <c r="AU790" s="151"/>
      <c r="AV790" s="151"/>
      <c r="AW790" s="151"/>
      <c r="AX790" s="151"/>
      <c r="AY790" s="151"/>
      <c r="AZ790" s="151"/>
      <c r="BA790" s="151"/>
      <c r="BB790" s="151"/>
      <c r="BC790" s="151"/>
      <c r="BD790" s="151"/>
      <c r="BE790" s="151"/>
      <c r="BF790" s="151"/>
      <c r="BG790" s="151"/>
      <c r="BH790" s="151"/>
      <c r="BI790" s="151"/>
      <c r="BJ790" s="151"/>
      <c r="BK790" s="151"/>
      <c r="BL790" s="151"/>
      <c r="BM790" s="151"/>
      <c r="BN790" s="151"/>
    </row>
    <row r="791" spans="25:66">
      <c r="Y791" s="151"/>
      <c r="Z791" s="151"/>
      <c r="AA791" s="151"/>
      <c r="AB791" s="151"/>
      <c r="AC791" s="151"/>
      <c r="AD791" s="151"/>
      <c r="AE791" s="151"/>
      <c r="AF791" s="151"/>
      <c r="AG791" s="151"/>
      <c r="AH791" s="151"/>
      <c r="AI791" s="151"/>
      <c r="AJ791" s="151"/>
      <c r="AK791" s="151"/>
      <c r="AL791" s="151"/>
      <c r="AM791" s="151"/>
      <c r="AN791" s="151"/>
      <c r="AO791" s="151"/>
      <c r="AP791" s="151"/>
      <c r="AQ791" s="151"/>
      <c r="AR791" s="151"/>
      <c r="AS791" s="151"/>
      <c r="AT791" s="151"/>
      <c r="AU791" s="151"/>
      <c r="AV791" s="151"/>
      <c r="AW791" s="151"/>
      <c r="AX791" s="151"/>
      <c r="AY791" s="151"/>
      <c r="AZ791" s="151"/>
      <c r="BA791" s="151"/>
      <c r="BB791" s="151"/>
      <c r="BC791" s="151"/>
      <c r="BD791" s="151"/>
      <c r="BE791" s="151"/>
      <c r="BF791" s="151"/>
      <c r="BG791" s="151"/>
      <c r="BH791" s="151"/>
      <c r="BI791" s="151"/>
      <c r="BJ791" s="151"/>
      <c r="BK791" s="151"/>
      <c r="BL791" s="151"/>
      <c r="BM791" s="151"/>
      <c r="BN791" s="151"/>
    </row>
    <row r="792" spans="25:66">
      <c r="Y792" s="151"/>
      <c r="Z792" s="151"/>
      <c r="AA792" s="151"/>
      <c r="AB792" s="151"/>
      <c r="AC792" s="151"/>
      <c r="AD792" s="151"/>
      <c r="AE792" s="151"/>
      <c r="AF792" s="151"/>
      <c r="AG792" s="151"/>
      <c r="AH792" s="151"/>
      <c r="AI792" s="151"/>
      <c r="AJ792" s="151"/>
      <c r="AK792" s="151"/>
      <c r="AL792" s="151"/>
      <c r="AM792" s="151"/>
      <c r="AN792" s="151"/>
      <c r="AO792" s="151"/>
      <c r="AP792" s="151"/>
      <c r="AQ792" s="151"/>
      <c r="AR792" s="151"/>
      <c r="AS792" s="151"/>
      <c r="AT792" s="151"/>
      <c r="AU792" s="151"/>
      <c r="AV792" s="151"/>
      <c r="AW792" s="151"/>
      <c r="AX792" s="151"/>
      <c r="AY792" s="151"/>
      <c r="AZ792" s="151"/>
      <c r="BA792" s="151"/>
      <c r="BB792" s="151"/>
      <c r="BC792" s="151"/>
      <c r="BD792" s="151"/>
      <c r="BE792" s="151"/>
      <c r="BF792" s="151"/>
      <c r="BG792" s="151"/>
      <c r="BH792" s="151"/>
      <c r="BI792" s="151"/>
      <c r="BJ792" s="151"/>
      <c r="BK792" s="151"/>
      <c r="BL792" s="151"/>
      <c r="BM792" s="151"/>
      <c r="BN792" s="151"/>
    </row>
    <row r="793" spans="25:66">
      <c r="Y793" s="151"/>
      <c r="Z793" s="151"/>
      <c r="AA793" s="151"/>
      <c r="AB793" s="151"/>
      <c r="AC793" s="151"/>
      <c r="AD793" s="151"/>
      <c r="AE793" s="151"/>
      <c r="AF793" s="151"/>
      <c r="AG793" s="151"/>
      <c r="AH793" s="151"/>
      <c r="AI793" s="151"/>
      <c r="AJ793" s="151"/>
      <c r="AK793" s="151"/>
      <c r="AL793" s="151"/>
      <c r="AM793" s="151"/>
      <c r="AN793" s="151"/>
      <c r="AO793" s="151"/>
      <c r="AP793" s="151"/>
      <c r="AQ793" s="151"/>
      <c r="AR793" s="151"/>
      <c r="AS793" s="151"/>
      <c r="AT793" s="151"/>
      <c r="AU793" s="151"/>
      <c r="AV793" s="151"/>
      <c r="AW793" s="151"/>
      <c r="AX793" s="151"/>
      <c r="AY793" s="151"/>
      <c r="AZ793" s="151"/>
      <c r="BA793" s="151"/>
      <c r="BB793" s="151"/>
      <c r="BC793" s="151"/>
      <c r="BD793" s="151"/>
      <c r="BE793" s="151"/>
      <c r="BF793" s="151"/>
      <c r="BG793" s="151"/>
      <c r="BH793" s="151"/>
      <c r="BI793" s="151"/>
      <c r="BJ793" s="151"/>
      <c r="BK793" s="151"/>
      <c r="BL793" s="151"/>
      <c r="BM793" s="151"/>
      <c r="BN793" s="151"/>
    </row>
    <row r="794" spans="25:66">
      <c r="Y794" s="151"/>
      <c r="Z794" s="151"/>
      <c r="AA794" s="151"/>
      <c r="AB794" s="151"/>
      <c r="AC794" s="151"/>
      <c r="AD794" s="151"/>
      <c r="AE794" s="151"/>
      <c r="AF794" s="151"/>
      <c r="AG794" s="151"/>
      <c r="AH794" s="151"/>
      <c r="AI794" s="151"/>
      <c r="AJ794" s="151"/>
      <c r="AK794" s="151"/>
      <c r="AL794" s="151"/>
      <c r="AM794" s="151"/>
      <c r="AN794" s="151"/>
      <c r="AO794" s="151"/>
      <c r="AP794" s="151"/>
      <c r="AQ794" s="151"/>
      <c r="AR794" s="151"/>
      <c r="AS794" s="151"/>
      <c r="AT794" s="151"/>
      <c r="AU794" s="151"/>
      <c r="AV794" s="151"/>
      <c r="AW794" s="151"/>
      <c r="AX794" s="151"/>
      <c r="AY794" s="151"/>
      <c r="AZ794" s="151"/>
      <c r="BA794" s="151"/>
      <c r="BB794" s="151"/>
      <c r="BC794" s="151"/>
      <c r="BD794" s="151"/>
      <c r="BE794" s="151"/>
      <c r="BF794" s="151"/>
      <c r="BG794" s="151"/>
      <c r="BH794" s="151"/>
      <c r="BI794" s="151"/>
      <c r="BJ794" s="151"/>
      <c r="BK794" s="151"/>
      <c r="BL794" s="151"/>
      <c r="BM794" s="151"/>
      <c r="BN794" s="151"/>
    </row>
    <row r="795" spans="25:66">
      <c r="Y795" s="151"/>
      <c r="Z795" s="151"/>
      <c r="AA795" s="151"/>
      <c r="AB795" s="151"/>
      <c r="AC795" s="151"/>
      <c r="AD795" s="151"/>
      <c r="AE795" s="151"/>
      <c r="AF795" s="151"/>
      <c r="AG795" s="151"/>
      <c r="AH795" s="151"/>
      <c r="AI795" s="151"/>
      <c r="AJ795" s="151"/>
      <c r="AK795" s="151"/>
      <c r="AL795" s="151"/>
      <c r="AM795" s="151"/>
      <c r="AN795" s="151"/>
      <c r="AO795" s="151"/>
      <c r="AP795" s="151"/>
      <c r="AQ795" s="151"/>
      <c r="AR795" s="151"/>
      <c r="AS795" s="151"/>
      <c r="AT795" s="151"/>
      <c r="AU795" s="151"/>
      <c r="AV795" s="151"/>
      <c r="AW795" s="151"/>
      <c r="AX795" s="151"/>
      <c r="AY795" s="151"/>
      <c r="AZ795" s="151"/>
      <c r="BA795" s="151"/>
      <c r="BB795" s="151"/>
      <c r="BC795" s="151"/>
      <c r="BD795" s="151"/>
      <c r="BE795" s="151"/>
      <c r="BF795" s="151"/>
      <c r="BG795" s="151"/>
      <c r="BH795" s="151"/>
      <c r="BI795" s="151"/>
      <c r="BJ795" s="151"/>
      <c r="BK795" s="151"/>
      <c r="BL795" s="151"/>
      <c r="BM795" s="151"/>
      <c r="BN795" s="151"/>
    </row>
    <row r="796" spans="25:66">
      <c r="Y796" s="151"/>
      <c r="Z796" s="151"/>
      <c r="AA796" s="151"/>
      <c r="AB796" s="151"/>
      <c r="AC796" s="151"/>
      <c r="AD796" s="151"/>
      <c r="AE796" s="151"/>
      <c r="AF796" s="151"/>
      <c r="AG796" s="151"/>
      <c r="AH796" s="151"/>
      <c r="AI796" s="151"/>
      <c r="AJ796" s="151"/>
      <c r="AK796" s="151"/>
      <c r="AL796" s="151"/>
      <c r="AM796" s="151"/>
      <c r="AN796" s="151"/>
      <c r="AO796" s="151"/>
      <c r="AP796" s="151"/>
      <c r="AQ796" s="151"/>
      <c r="AR796" s="151"/>
      <c r="AS796" s="151"/>
      <c r="AT796" s="151"/>
      <c r="AU796" s="151"/>
      <c r="AV796" s="151"/>
      <c r="AW796" s="151"/>
      <c r="AX796" s="151"/>
      <c r="AY796" s="151"/>
      <c r="AZ796" s="151"/>
      <c r="BA796" s="151"/>
      <c r="BB796" s="151"/>
      <c r="BC796" s="151"/>
      <c r="BD796" s="151"/>
      <c r="BE796" s="151"/>
      <c r="BF796" s="151"/>
      <c r="BG796" s="151"/>
      <c r="BH796" s="151"/>
      <c r="BI796" s="151"/>
      <c r="BJ796" s="151"/>
      <c r="BK796" s="151"/>
      <c r="BL796" s="151"/>
      <c r="BM796" s="151"/>
      <c r="BN796" s="151"/>
    </row>
    <row r="797" spans="25:66">
      <c r="Y797" s="151"/>
      <c r="Z797" s="151"/>
      <c r="AA797" s="151"/>
      <c r="AB797" s="151"/>
      <c r="AC797" s="151"/>
      <c r="AD797" s="151"/>
      <c r="AE797" s="151"/>
      <c r="AF797" s="151"/>
      <c r="AG797" s="151"/>
      <c r="AH797" s="151"/>
      <c r="AI797" s="151"/>
      <c r="AJ797" s="151"/>
      <c r="AK797" s="151"/>
      <c r="AL797" s="151"/>
      <c r="AM797" s="151"/>
      <c r="AN797" s="151"/>
      <c r="AO797" s="151"/>
      <c r="AP797" s="151"/>
      <c r="AQ797" s="151"/>
      <c r="AR797" s="151"/>
      <c r="AS797" s="151"/>
      <c r="AT797" s="151"/>
      <c r="AU797" s="151"/>
      <c r="AV797" s="151"/>
      <c r="AW797" s="151"/>
      <c r="AX797" s="151"/>
      <c r="AY797" s="151"/>
      <c r="AZ797" s="151"/>
      <c r="BA797" s="151"/>
      <c r="BB797" s="151"/>
      <c r="BC797" s="151"/>
      <c r="BD797" s="151"/>
      <c r="BE797" s="151"/>
      <c r="BF797" s="151"/>
      <c r="BG797" s="151"/>
      <c r="BH797" s="151"/>
      <c r="BI797" s="151"/>
      <c r="BJ797" s="151"/>
      <c r="BK797" s="151"/>
      <c r="BL797" s="151"/>
      <c r="BM797" s="151"/>
      <c r="BN797" s="151"/>
    </row>
    <row r="798" spans="25:66">
      <c r="Y798" s="151"/>
      <c r="Z798" s="151"/>
      <c r="AA798" s="151"/>
      <c r="AB798" s="151"/>
      <c r="AC798" s="151"/>
      <c r="AD798" s="151"/>
      <c r="AE798" s="151"/>
      <c r="AF798" s="151"/>
      <c r="AG798" s="151"/>
      <c r="AH798" s="151"/>
      <c r="AI798" s="151"/>
      <c r="AJ798" s="151"/>
      <c r="AK798" s="151"/>
      <c r="AL798" s="151"/>
      <c r="AM798" s="151"/>
      <c r="AN798" s="151"/>
      <c r="AO798" s="151"/>
      <c r="AP798" s="151"/>
      <c r="AQ798" s="151"/>
      <c r="AR798" s="151"/>
      <c r="AS798" s="151"/>
      <c r="AT798" s="151"/>
      <c r="AU798" s="151"/>
      <c r="AV798" s="151"/>
      <c r="AW798" s="151"/>
      <c r="AX798" s="151"/>
      <c r="AY798" s="151"/>
      <c r="AZ798" s="151"/>
      <c r="BA798" s="151"/>
      <c r="BB798" s="151"/>
      <c r="BC798" s="151"/>
      <c r="BD798" s="151"/>
      <c r="BE798" s="151"/>
      <c r="BF798" s="151"/>
      <c r="BG798" s="151"/>
      <c r="BH798" s="151"/>
      <c r="BI798" s="151"/>
      <c r="BJ798" s="151"/>
      <c r="BK798" s="151"/>
      <c r="BL798" s="151"/>
      <c r="BM798" s="151"/>
      <c r="BN798" s="151"/>
    </row>
    <row r="799" spans="25:66">
      <c r="Y799" s="151"/>
      <c r="Z799" s="151"/>
      <c r="AA799" s="151"/>
      <c r="AB799" s="151"/>
      <c r="AC799" s="151"/>
      <c r="AD799" s="151"/>
      <c r="AE799" s="151"/>
      <c r="AF799" s="151"/>
      <c r="AG799" s="151"/>
      <c r="AH799" s="151"/>
      <c r="AI799" s="151"/>
      <c r="AJ799" s="151"/>
      <c r="AK799" s="151"/>
      <c r="AL799" s="151"/>
      <c r="AM799" s="151"/>
      <c r="AN799" s="151"/>
      <c r="AO799" s="151"/>
      <c r="AP799" s="151"/>
      <c r="AQ799" s="151"/>
      <c r="AR799" s="151"/>
      <c r="AS799" s="151"/>
      <c r="AT799" s="151"/>
      <c r="AU799" s="151"/>
      <c r="AV799" s="151"/>
      <c r="AW799" s="151"/>
      <c r="AX799" s="151"/>
      <c r="AY799" s="151"/>
      <c r="AZ799" s="151"/>
      <c r="BA799" s="151"/>
      <c r="BB799" s="151"/>
      <c r="BC799" s="151"/>
      <c r="BD799" s="151"/>
      <c r="BE799" s="151"/>
      <c r="BF799" s="151"/>
      <c r="BG799" s="151"/>
      <c r="BH799" s="151"/>
      <c r="BI799" s="151"/>
      <c r="BJ799" s="151"/>
      <c r="BK799" s="151"/>
      <c r="BL799" s="151"/>
      <c r="BM799" s="151"/>
      <c r="BN799" s="151"/>
    </row>
    <row r="800" spans="25:66">
      <c r="Y800" s="151"/>
      <c r="Z800" s="151"/>
      <c r="AA800" s="151"/>
      <c r="AB800" s="151"/>
      <c r="AC800" s="151"/>
      <c r="AD800" s="151"/>
      <c r="AE800" s="151"/>
      <c r="AF800" s="151"/>
      <c r="AG800" s="151"/>
      <c r="AH800" s="151"/>
      <c r="AI800" s="151"/>
      <c r="AJ800" s="151"/>
      <c r="AK800" s="151"/>
      <c r="AL800" s="151"/>
      <c r="AM800" s="151"/>
      <c r="AN800" s="151"/>
      <c r="AO800" s="151"/>
      <c r="AP800" s="151"/>
      <c r="AQ800" s="151"/>
      <c r="AR800" s="151"/>
      <c r="AS800" s="151"/>
      <c r="AT800" s="151"/>
      <c r="AU800" s="151"/>
      <c r="AV800" s="151"/>
      <c r="AW800" s="151"/>
      <c r="AX800" s="151"/>
      <c r="AY800" s="151"/>
      <c r="AZ800" s="151"/>
      <c r="BA800" s="151"/>
      <c r="BB800" s="151"/>
      <c r="BC800" s="151"/>
      <c r="BD800" s="151"/>
      <c r="BE800" s="151"/>
      <c r="BF800" s="151"/>
      <c r="BG800" s="151"/>
      <c r="BH800" s="151"/>
      <c r="BI800" s="151"/>
      <c r="BJ800" s="151"/>
      <c r="BK800" s="151"/>
      <c r="BL800" s="151"/>
      <c r="BM800" s="151"/>
      <c r="BN800" s="151"/>
    </row>
    <row r="801" spans="25:66">
      <c r="Y801" s="151"/>
      <c r="Z801" s="151"/>
      <c r="AA801" s="151"/>
      <c r="AB801" s="151"/>
      <c r="AC801" s="151"/>
      <c r="AD801" s="151"/>
      <c r="AE801" s="151"/>
      <c r="AF801" s="151"/>
      <c r="AG801" s="151"/>
      <c r="AH801" s="151"/>
      <c r="AI801" s="151"/>
      <c r="AJ801" s="151"/>
      <c r="AK801" s="151"/>
      <c r="AL801" s="151"/>
      <c r="AM801" s="151"/>
      <c r="AN801" s="151"/>
      <c r="AO801" s="151"/>
      <c r="AP801" s="151"/>
      <c r="AQ801" s="151"/>
      <c r="AR801" s="151"/>
      <c r="AS801" s="151"/>
      <c r="AT801" s="151"/>
      <c r="AU801" s="151"/>
      <c r="AV801" s="151"/>
      <c r="AW801" s="151"/>
      <c r="AX801" s="151"/>
      <c r="AY801" s="151"/>
      <c r="AZ801" s="151"/>
      <c r="BA801" s="151"/>
      <c r="BB801" s="151"/>
      <c r="BC801" s="151"/>
      <c r="BD801" s="151"/>
      <c r="BE801" s="151"/>
      <c r="BF801" s="151"/>
      <c r="BG801" s="151"/>
      <c r="BH801" s="151"/>
      <c r="BI801" s="151"/>
      <c r="BJ801" s="151"/>
      <c r="BK801" s="151"/>
      <c r="BL801" s="151"/>
      <c r="BM801" s="151"/>
      <c r="BN801" s="151"/>
    </row>
    <row r="802" spans="25:66">
      <c r="Y802" s="151"/>
      <c r="Z802" s="151"/>
      <c r="AA802" s="151"/>
      <c r="AB802" s="151"/>
      <c r="AC802" s="151"/>
      <c r="AD802" s="151"/>
      <c r="AE802" s="151"/>
      <c r="AF802" s="151"/>
      <c r="AG802" s="151"/>
      <c r="AH802" s="151"/>
      <c r="AI802" s="151"/>
      <c r="AJ802" s="151"/>
      <c r="AK802" s="151"/>
      <c r="AL802" s="151"/>
      <c r="AM802" s="151"/>
      <c r="AN802" s="151"/>
      <c r="AO802" s="151"/>
      <c r="AP802" s="151"/>
      <c r="AQ802" s="151"/>
      <c r="AR802" s="151"/>
      <c r="AS802" s="151"/>
      <c r="AT802" s="151"/>
      <c r="AU802" s="151"/>
      <c r="AV802" s="151"/>
      <c r="AW802" s="151"/>
      <c r="AX802" s="151"/>
      <c r="AY802" s="151"/>
      <c r="AZ802" s="151"/>
      <c r="BA802" s="151"/>
      <c r="BB802" s="151"/>
      <c r="BC802" s="151"/>
      <c r="BD802" s="151"/>
      <c r="BE802" s="151"/>
      <c r="BF802" s="151"/>
      <c r="BG802" s="151"/>
      <c r="BH802" s="151"/>
      <c r="BI802" s="151"/>
      <c r="BJ802" s="151"/>
      <c r="BK802" s="151"/>
      <c r="BL802" s="151"/>
      <c r="BM802" s="151"/>
      <c r="BN802" s="151"/>
    </row>
    <row r="803" spans="25:66">
      <c r="Y803" s="151"/>
      <c r="Z803" s="151"/>
      <c r="AA803" s="151"/>
      <c r="AB803" s="151"/>
      <c r="AC803" s="151"/>
      <c r="AD803" s="151"/>
      <c r="AE803" s="151"/>
      <c r="AF803" s="151"/>
      <c r="AG803" s="151"/>
      <c r="AH803" s="151"/>
      <c r="AI803" s="151"/>
      <c r="AJ803" s="151"/>
      <c r="AK803" s="151"/>
      <c r="AL803" s="151"/>
      <c r="AM803" s="151"/>
      <c r="AN803" s="151"/>
      <c r="AO803" s="151"/>
      <c r="AP803" s="151"/>
      <c r="AQ803" s="151"/>
      <c r="AR803" s="151"/>
      <c r="AS803" s="151"/>
      <c r="AT803" s="151"/>
      <c r="AU803" s="151"/>
      <c r="AV803" s="151"/>
      <c r="AW803" s="151"/>
      <c r="AX803" s="151"/>
      <c r="AY803" s="151"/>
      <c r="AZ803" s="151"/>
      <c r="BA803" s="151"/>
      <c r="BB803" s="151"/>
      <c r="BC803" s="151"/>
      <c r="BD803" s="151"/>
      <c r="BE803" s="151"/>
      <c r="BF803" s="151"/>
      <c r="BG803" s="151"/>
      <c r="BH803" s="151"/>
      <c r="BI803" s="151"/>
      <c r="BJ803" s="151"/>
      <c r="BK803" s="151"/>
      <c r="BL803" s="151"/>
      <c r="BM803" s="151"/>
      <c r="BN803" s="151"/>
    </row>
    <row r="804" spans="25:66">
      <c r="Y804" s="151"/>
      <c r="Z804" s="151"/>
      <c r="AA804" s="151"/>
      <c r="AB804" s="151"/>
      <c r="AC804" s="151"/>
      <c r="AD804" s="151"/>
      <c r="AE804" s="151"/>
      <c r="AF804" s="151"/>
      <c r="AG804" s="151"/>
      <c r="AH804" s="151"/>
      <c r="AI804" s="151"/>
      <c r="AJ804" s="151"/>
      <c r="AK804" s="151"/>
      <c r="AL804" s="151"/>
      <c r="AM804" s="151"/>
      <c r="AN804" s="151"/>
      <c r="AO804" s="151"/>
      <c r="AP804" s="151"/>
      <c r="AQ804" s="151"/>
      <c r="AR804" s="151"/>
      <c r="AS804" s="151"/>
      <c r="AT804" s="151"/>
      <c r="AU804" s="151"/>
      <c r="AV804" s="151"/>
      <c r="AW804" s="151"/>
      <c r="AX804" s="151"/>
      <c r="AY804" s="151"/>
      <c r="AZ804" s="151"/>
      <c r="BA804" s="151"/>
      <c r="BB804" s="151"/>
      <c r="BC804" s="151"/>
      <c r="BD804" s="151"/>
      <c r="BE804" s="151"/>
      <c r="BF804" s="151"/>
      <c r="BG804" s="151"/>
      <c r="BH804" s="151"/>
      <c r="BI804" s="151"/>
      <c r="BJ804" s="151"/>
      <c r="BK804" s="151"/>
      <c r="BL804" s="151"/>
      <c r="BM804" s="151"/>
      <c r="BN804" s="151"/>
    </row>
    <row r="805" spans="25:66">
      <c r="Y805" s="151"/>
      <c r="Z805" s="151"/>
      <c r="AA805" s="151"/>
      <c r="AB805" s="151"/>
      <c r="AC805" s="151"/>
      <c r="AD805" s="151"/>
      <c r="AE805" s="151"/>
      <c r="AF805" s="151"/>
      <c r="AG805" s="151"/>
      <c r="AH805" s="151"/>
      <c r="AI805" s="151"/>
      <c r="AJ805" s="151"/>
      <c r="AK805" s="151"/>
      <c r="AL805" s="151"/>
      <c r="AM805" s="151"/>
      <c r="AN805" s="151"/>
      <c r="AO805" s="151"/>
      <c r="AP805" s="151"/>
      <c r="AQ805" s="151"/>
      <c r="AR805" s="151"/>
      <c r="AS805" s="151"/>
      <c r="AT805" s="151"/>
      <c r="AU805" s="151"/>
      <c r="AV805" s="151"/>
      <c r="AW805" s="151"/>
      <c r="AX805" s="151"/>
      <c r="AY805" s="151"/>
      <c r="AZ805" s="151"/>
      <c r="BA805" s="151"/>
      <c r="BB805" s="151"/>
      <c r="BC805" s="151"/>
      <c r="BD805" s="151"/>
      <c r="BE805" s="151"/>
      <c r="BF805" s="151"/>
      <c r="BG805" s="151"/>
      <c r="BH805" s="151"/>
      <c r="BI805" s="151"/>
      <c r="BJ805" s="151"/>
      <c r="BK805" s="151"/>
      <c r="BL805" s="151"/>
      <c r="BM805" s="151"/>
      <c r="BN805" s="151"/>
    </row>
    <row r="806" spans="25:66">
      <c r="Y806" s="151"/>
      <c r="Z806" s="151"/>
      <c r="AA806" s="151"/>
      <c r="AB806" s="151"/>
      <c r="AC806" s="151"/>
      <c r="AD806" s="151"/>
      <c r="AE806" s="151"/>
      <c r="AF806" s="151"/>
      <c r="AG806" s="151"/>
      <c r="AH806" s="151"/>
      <c r="AI806" s="151"/>
      <c r="AJ806" s="151"/>
      <c r="AK806" s="151"/>
      <c r="AL806" s="151"/>
      <c r="AM806" s="151"/>
      <c r="AN806" s="151"/>
      <c r="AO806" s="151"/>
      <c r="AP806" s="151"/>
      <c r="AQ806" s="151"/>
      <c r="AR806" s="151"/>
      <c r="AS806" s="151"/>
      <c r="AT806" s="151"/>
      <c r="AU806" s="151"/>
      <c r="AV806" s="151"/>
      <c r="AW806" s="151"/>
      <c r="AX806" s="151"/>
      <c r="AY806" s="151"/>
      <c r="AZ806" s="151"/>
      <c r="BA806" s="151"/>
      <c r="BB806" s="151"/>
      <c r="BC806" s="151"/>
      <c r="BD806" s="151"/>
      <c r="BE806" s="151"/>
      <c r="BF806" s="151"/>
      <c r="BG806" s="151"/>
      <c r="BH806" s="151"/>
      <c r="BI806" s="151"/>
      <c r="BJ806" s="151"/>
      <c r="BK806" s="151"/>
      <c r="BL806" s="151"/>
      <c r="BM806" s="151"/>
      <c r="BN806" s="151"/>
    </row>
    <row r="807" spans="25:66">
      <c r="Y807" s="151"/>
      <c r="Z807" s="151"/>
      <c r="AA807" s="151"/>
      <c r="AB807" s="151"/>
      <c r="AC807" s="151"/>
      <c r="AD807" s="151"/>
      <c r="AE807" s="151"/>
      <c r="AF807" s="151"/>
      <c r="AG807" s="151"/>
      <c r="AH807" s="151"/>
      <c r="AI807" s="151"/>
      <c r="AJ807" s="151"/>
      <c r="AK807" s="151"/>
      <c r="AL807" s="151"/>
      <c r="AM807" s="151"/>
      <c r="AN807" s="151"/>
      <c r="AO807" s="151"/>
      <c r="AP807" s="151"/>
      <c r="AQ807" s="151"/>
      <c r="AR807" s="151"/>
      <c r="AS807" s="151"/>
      <c r="AT807" s="151"/>
      <c r="AU807" s="151"/>
      <c r="AV807" s="151"/>
      <c r="AW807" s="151"/>
      <c r="AX807" s="151"/>
      <c r="AY807" s="151"/>
      <c r="AZ807" s="151"/>
      <c r="BA807" s="151"/>
      <c r="BB807" s="151"/>
      <c r="BC807" s="151"/>
      <c r="BD807" s="151"/>
      <c r="BE807" s="151"/>
      <c r="BF807" s="151"/>
      <c r="BG807" s="151"/>
      <c r="BH807" s="151"/>
      <c r="BI807" s="151"/>
      <c r="BJ807" s="151"/>
      <c r="BK807" s="151"/>
      <c r="BL807" s="151"/>
      <c r="BM807" s="151"/>
      <c r="BN807" s="151"/>
    </row>
    <row r="808" spans="25:66">
      <c r="Y808" s="151"/>
      <c r="Z808" s="151"/>
      <c r="AA808" s="151"/>
      <c r="AB808" s="151"/>
      <c r="AC808" s="151"/>
      <c r="AD808" s="151"/>
      <c r="AE808" s="151"/>
      <c r="AF808" s="151"/>
      <c r="AG808" s="151"/>
      <c r="AH808" s="151"/>
      <c r="AI808" s="151"/>
      <c r="AJ808" s="151"/>
      <c r="AK808" s="151"/>
      <c r="AL808" s="151"/>
      <c r="AM808" s="151"/>
      <c r="AN808" s="151"/>
      <c r="AO808" s="151"/>
      <c r="AP808" s="151"/>
      <c r="AQ808" s="151"/>
      <c r="AR808" s="151"/>
      <c r="AS808" s="151"/>
      <c r="AT808" s="151"/>
      <c r="AU808" s="151"/>
      <c r="AV808" s="151"/>
      <c r="AW808" s="151"/>
      <c r="AX808" s="151"/>
      <c r="AY808" s="151"/>
      <c r="AZ808" s="151"/>
      <c r="BA808" s="151"/>
      <c r="BB808" s="151"/>
      <c r="BC808" s="151"/>
      <c r="BD808" s="151"/>
      <c r="BE808" s="151"/>
      <c r="BF808" s="151"/>
      <c r="BG808" s="151"/>
      <c r="BH808" s="151"/>
      <c r="BI808" s="151"/>
      <c r="BJ808" s="151"/>
      <c r="BK808" s="151"/>
      <c r="BL808" s="151"/>
      <c r="BM808" s="151"/>
      <c r="BN808" s="151"/>
    </row>
    <row r="809" spans="25:66">
      <c r="Y809" s="151"/>
      <c r="Z809" s="151"/>
      <c r="AA809" s="151"/>
      <c r="AB809" s="151"/>
      <c r="AC809" s="151"/>
      <c r="AD809" s="151"/>
      <c r="AE809" s="151"/>
      <c r="AF809" s="151"/>
      <c r="AG809" s="151"/>
      <c r="AH809" s="151"/>
      <c r="AI809" s="151"/>
      <c r="AJ809" s="151"/>
      <c r="AK809" s="151"/>
      <c r="AL809" s="151"/>
      <c r="AM809" s="151"/>
      <c r="AN809" s="151"/>
      <c r="AO809" s="151"/>
      <c r="AP809" s="151"/>
      <c r="AQ809" s="151"/>
      <c r="AR809" s="151"/>
      <c r="AS809" s="151"/>
      <c r="AT809" s="151"/>
      <c r="AU809" s="151"/>
      <c r="AV809" s="151"/>
      <c r="AW809" s="151"/>
      <c r="AX809" s="151"/>
      <c r="AY809" s="151"/>
      <c r="AZ809" s="151"/>
      <c r="BA809" s="151"/>
      <c r="BB809" s="151"/>
      <c r="BC809" s="151"/>
      <c r="BD809" s="151"/>
      <c r="BE809" s="151"/>
      <c r="BF809" s="151"/>
      <c r="BG809" s="151"/>
      <c r="BH809" s="151"/>
      <c r="BI809" s="151"/>
      <c r="BJ809" s="151"/>
      <c r="BK809" s="151"/>
      <c r="BL809" s="151"/>
      <c r="BM809" s="151"/>
      <c r="BN809" s="151"/>
    </row>
    <row r="810" spans="25:66">
      <c r="Y810" s="151"/>
      <c r="Z810" s="151"/>
      <c r="AA810" s="151"/>
      <c r="AB810" s="151"/>
      <c r="AC810" s="151"/>
      <c r="AD810" s="151"/>
      <c r="AE810" s="151"/>
      <c r="AF810" s="151"/>
      <c r="AG810" s="151"/>
      <c r="AH810" s="151"/>
      <c r="AI810" s="151"/>
      <c r="AJ810" s="151"/>
      <c r="AK810" s="151"/>
      <c r="AL810" s="151"/>
      <c r="AM810" s="151"/>
      <c r="AN810" s="151"/>
      <c r="AO810" s="151"/>
      <c r="AP810" s="151"/>
      <c r="AQ810" s="151"/>
      <c r="AR810" s="151"/>
      <c r="AS810" s="151"/>
      <c r="AT810" s="151"/>
      <c r="AU810" s="151"/>
      <c r="AV810" s="151"/>
      <c r="AW810" s="151"/>
      <c r="AX810" s="151"/>
      <c r="AY810" s="151"/>
      <c r="AZ810" s="151"/>
      <c r="BA810" s="151"/>
      <c r="BB810" s="151"/>
      <c r="BC810" s="151"/>
      <c r="BD810" s="151"/>
      <c r="BE810" s="151"/>
      <c r="BF810" s="151"/>
      <c r="BG810" s="151"/>
      <c r="BH810" s="151"/>
      <c r="BI810" s="151"/>
      <c r="BJ810" s="151"/>
      <c r="BK810" s="151"/>
      <c r="BL810" s="151"/>
      <c r="BM810" s="151"/>
      <c r="BN810" s="151"/>
    </row>
    <row r="811" spans="25:66">
      <c r="Y811" s="151"/>
      <c r="Z811" s="151"/>
      <c r="AA811" s="151"/>
      <c r="AB811" s="151"/>
      <c r="AC811" s="151"/>
      <c r="AD811" s="151"/>
      <c r="AE811" s="151"/>
      <c r="AF811" s="151"/>
      <c r="AG811" s="151"/>
      <c r="AH811" s="151"/>
      <c r="AI811" s="151"/>
      <c r="AJ811" s="151"/>
      <c r="AK811" s="151"/>
      <c r="AL811" s="151"/>
      <c r="AM811" s="151"/>
      <c r="AN811" s="151"/>
      <c r="AO811" s="151"/>
      <c r="AP811" s="151"/>
      <c r="AQ811" s="151"/>
      <c r="AR811" s="151"/>
      <c r="AS811" s="151"/>
      <c r="AT811" s="151"/>
      <c r="AU811" s="151"/>
      <c r="AV811" s="151"/>
      <c r="AW811" s="151"/>
      <c r="AX811" s="151"/>
      <c r="AY811" s="151"/>
      <c r="AZ811" s="151"/>
      <c r="BA811" s="151"/>
      <c r="BB811" s="151"/>
      <c r="BC811" s="151"/>
      <c r="BD811" s="151"/>
      <c r="BE811" s="151"/>
      <c r="BF811" s="151"/>
      <c r="BG811" s="151"/>
      <c r="BH811" s="151"/>
      <c r="BI811" s="151"/>
      <c r="BJ811" s="151"/>
      <c r="BK811" s="151"/>
      <c r="BL811" s="151"/>
      <c r="BM811" s="151"/>
      <c r="BN811" s="151"/>
    </row>
    <row r="812" spans="25:66">
      <c r="Y812" s="151"/>
      <c r="Z812" s="151"/>
      <c r="AA812" s="151"/>
      <c r="AB812" s="151"/>
      <c r="AC812" s="151"/>
      <c r="AD812" s="151"/>
      <c r="AE812" s="151"/>
      <c r="AF812" s="151"/>
      <c r="AG812" s="151"/>
      <c r="AH812" s="151"/>
      <c r="AI812" s="151"/>
      <c r="AJ812" s="151"/>
      <c r="AK812" s="151"/>
      <c r="AL812" s="151"/>
      <c r="AM812" s="151"/>
      <c r="AN812" s="151"/>
      <c r="AO812" s="151"/>
      <c r="AP812" s="151"/>
      <c r="AQ812" s="151"/>
      <c r="AR812" s="151"/>
      <c r="AS812" s="151"/>
      <c r="AT812" s="151"/>
      <c r="AU812" s="151"/>
      <c r="AV812" s="151"/>
      <c r="AW812" s="151"/>
      <c r="AX812" s="151"/>
      <c r="AY812" s="151"/>
      <c r="AZ812" s="151"/>
      <c r="BA812" s="151"/>
      <c r="BB812" s="151"/>
      <c r="BC812" s="151"/>
      <c r="BD812" s="151"/>
      <c r="BE812" s="151"/>
      <c r="BF812" s="151"/>
      <c r="BG812" s="151"/>
      <c r="BH812" s="151"/>
      <c r="BI812" s="151"/>
      <c r="BJ812" s="151"/>
      <c r="BK812" s="151"/>
      <c r="BL812" s="151"/>
      <c r="BM812" s="151"/>
      <c r="BN812" s="151"/>
    </row>
    <row r="813" spans="25:66">
      <c r="Y813" s="151"/>
      <c r="Z813" s="151"/>
      <c r="AA813" s="151"/>
      <c r="AB813" s="151"/>
      <c r="AC813" s="151"/>
      <c r="AD813" s="151"/>
      <c r="AE813" s="151"/>
      <c r="AF813" s="151"/>
      <c r="AG813" s="151"/>
      <c r="AH813" s="151"/>
      <c r="AI813" s="151"/>
      <c r="AJ813" s="151"/>
      <c r="AK813" s="151"/>
      <c r="AL813" s="151"/>
      <c r="AM813" s="151"/>
      <c r="AN813" s="151"/>
      <c r="AO813" s="151"/>
      <c r="AP813" s="151"/>
      <c r="AQ813" s="151"/>
      <c r="AR813" s="151"/>
      <c r="AS813" s="151"/>
      <c r="AT813" s="151"/>
      <c r="AU813" s="151"/>
      <c r="AV813" s="151"/>
      <c r="AW813" s="151"/>
      <c r="AX813" s="151"/>
      <c r="AY813" s="151"/>
      <c r="AZ813" s="151"/>
      <c r="BA813" s="151"/>
      <c r="BB813" s="151"/>
      <c r="BC813" s="151"/>
      <c r="BD813" s="151"/>
      <c r="BE813" s="151"/>
      <c r="BF813" s="151"/>
      <c r="BG813" s="151"/>
      <c r="BH813" s="151"/>
      <c r="BI813" s="151"/>
      <c r="BJ813" s="151"/>
      <c r="BK813" s="151"/>
      <c r="BL813" s="151"/>
      <c r="BM813" s="151"/>
      <c r="BN813" s="151"/>
    </row>
    <row r="814" spans="25:66">
      <c r="Y814" s="151"/>
      <c r="Z814" s="151"/>
      <c r="AA814" s="151"/>
      <c r="AB814" s="151"/>
      <c r="AC814" s="151"/>
      <c r="AD814" s="151"/>
      <c r="AE814" s="151"/>
      <c r="AF814" s="151"/>
      <c r="AG814" s="151"/>
      <c r="AH814" s="151"/>
      <c r="AI814" s="151"/>
      <c r="AJ814" s="151"/>
      <c r="AK814" s="151"/>
      <c r="AL814" s="151"/>
      <c r="AM814" s="151"/>
      <c r="AN814" s="151"/>
      <c r="AO814" s="151"/>
      <c r="AP814" s="151"/>
      <c r="AQ814" s="151"/>
      <c r="AR814" s="151"/>
      <c r="AS814" s="151"/>
      <c r="AT814" s="151"/>
      <c r="AU814" s="151"/>
      <c r="AV814" s="151"/>
      <c r="AW814" s="151"/>
      <c r="AX814" s="151"/>
      <c r="AY814" s="151"/>
      <c r="AZ814" s="151"/>
      <c r="BA814" s="151"/>
      <c r="BB814" s="151"/>
      <c r="BC814" s="151"/>
      <c r="BD814" s="151"/>
      <c r="BE814" s="151"/>
      <c r="BF814" s="151"/>
      <c r="BG814" s="151"/>
      <c r="BH814" s="151"/>
      <c r="BI814" s="151"/>
      <c r="BJ814" s="151"/>
      <c r="BK814" s="151"/>
      <c r="BL814" s="151"/>
      <c r="BM814" s="151"/>
      <c r="BN814" s="151"/>
    </row>
    <row r="815" spans="25:66">
      <c r="Y815" s="151"/>
      <c r="Z815" s="151"/>
      <c r="AA815" s="151"/>
      <c r="AB815" s="151"/>
      <c r="AC815" s="151"/>
      <c r="AD815" s="151"/>
      <c r="AE815" s="151"/>
      <c r="AF815" s="151"/>
      <c r="AG815" s="151"/>
      <c r="AH815" s="151"/>
      <c r="AI815" s="151"/>
      <c r="AJ815" s="151"/>
      <c r="AK815" s="151"/>
      <c r="AL815" s="151"/>
      <c r="AM815" s="151"/>
      <c r="AN815" s="151"/>
      <c r="AO815" s="151"/>
      <c r="AP815" s="151"/>
      <c r="AQ815" s="151"/>
      <c r="AR815" s="151"/>
      <c r="AS815" s="151"/>
      <c r="AT815" s="151"/>
      <c r="AU815" s="151"/>
      <c r="AV815" s="151"/>
      <c r="AW815" s="151"/>
      <c r="AX815" s="151"/>
      <c r="AY815" s="151"/>
      <c r="AZ815" s="151"/>
      <c r="BA815" s="151"/>
      <c r="BB815" s="151"/>
      <c r="BC815" s="151"/>
      <c r="BD815" s="151"/>
      <c r="BE815" s="151"/>
      <c r="BF815" s="151"/>
      <c r="BG815" s="151"/>
      <c r="BH815" s="151"/>
      <c r="BI815" s="151"/>
      <c r="BJ815" s="151"/>
      <c r="BK815" s="151"/>
      <c r="BL815" s="151"/>
      <c r="BM815" s="151"/>
      <c r="BN815" s="151"/>
    </row>
    <row r="816" spans="25:66">
      <c r="Y816" s="151"/>
      <c r="Z816" s="151"/>
      <c r="AA816" s="151"/>
      <c r="AB816" s="151"/>
      <c r="AC816" s="151"/>
      <c r="AD816" s="151"/>
      <c r="AE816" s="151"/>
      <c r="AF816" s="151"/>
      <c r="AG816" s="151"/>
      <c r="AH816" s="151"/>
      <c r="AI816" s="151"/>
      <c r="AJ816" s="151"/>
      <c r="AK816" s="151"/>
      <c r="AL816" s="151"/>
      <c r="AM816" s="151"/>
      <c r="AN816" s="151"/>
      <c r="AO816" s="151"/>
      <c r="AP816" s="151"/>
      <c r="AQ816" s="151"/>
      <c r="AR816" s="151"/>
      <c r="AS816" s="151"/>
      <c r="AT816" s="151"/>
      <c r="AU816" s="151"/>
      <c r="AV816" s="151"/>
      <c r="AW816" s="151"/>
      <c r="AX816" s="151"/>
      <c r="AY816" s="151"/>
      <c r="AZ816" s="151"/>
      <c r="BA816" s="151"/>
      <c r="BB816" s="151"/>
      <c r="BC816" s="151"/>
      <c r="BD816" s="151"/>
      <c r="BE816" s="151"/>
      <c r="BF816" s="151"/>
      <c r="BG816" s="151"/>
      <c r="BH816" s="151"/>
      <c r="BI816" s="151"/>
      <c r="BJ816" s="151"/>
      <c r="BK816" s="151"/>
      <c r="BL816" s="151"/>
      <c r="BM816" s="151"/>
      <c r="BN816" s="151"/>
    </row>
    <row r="817" spans="25:66">
      <c r="Y817" s="151"/>
      <c r="Z817" s="151"/>
      <c r="AA817" s="151"/>
      <c r="AB817" s="151"/>
      <c r="AC817" s="151"/>
      <c r="AD817" s="151"/>
      <c r="AE817" s="151"/>
      <c r="AF817" s="151"/>
      <c r="AG817" s="151"/>
      <c r="AH817" s="151"/>
      <c r="AI817" s="151"/>
      <c r="AJ817" s="151"/>
      <c r="AK817" s="151"/>
      <c r="AL817" s="151"/>
      <c r="AM817" s="151"/>
      <c r="AN817" s="151"/>
      <c r="AO817" s="151"/>
      <c r="AP817" s="151"/>
      <c r="AQ817" s="151"/>
      <c r="AR817" s="151"/>
      <c r="AS817" s="151"/>
      <c r="AT817" s="151"/>
      <c r="AU817" s="151"/>
      <c r="AV817" s="151"/>
      <c r="AW817" s="151"/>
      <c r="AX817" s="151"/>
      <c r="AY817" s="151"/>
      <c r="AZ817" s="151"/>
      <c r="BA817" s="151"/>
      <c r="BB817" s="151"/>
      <c r="BC817" s="151"/>
      <c r="BD817" s="151"/>
      <c r="BE817" s="151"/>
      <c r="BF817" s="151"/>
      <c r="BG817" s="151"/>
      <c r="BH817" s="151"/>
      <c r="BI817" s="151"/>
      <c r="BJ817" s="151"/>
      <c r="BK817" s="151"/>
      <c r="BL817" s="151"/>
      <c r="BM817" s="151"/>
      <c r="BN817" s="151"/>
    </row>
    <row r="818" spans="25:66">
      <c r="Y818" s="151"/>
      <c r="Z818" s="151"/>
      <c r="AA818" s="151"/>
      <c r="AB818" s="151"/>
      <c r="AC818" s="151"/>
      <c r="AD818" s="151"/>
      <c r="AE818" s="151"/>
      <c r="AF818" s="151"/>
      <c r="AG818" s="151"/>
      <c r="AH818" s="151"/>
      <c r="AI818" s="151"/>
      <c r="AJ818" s="151"/>
      <c r="AK818" s="151"/>
      <c r="AL818" s="151"/>
      <c r="AM818" s="151"/>
      <c r="AN818" s="151"/>
      <c r="AO818" s="151"/>
      <c r="AP818" s="151"/>
      <c r="AQ818" s="151"/>
      <c r="AR818" s="151"/>
      <c r="AS818" s="151"/>
      <c r="AT818" s="151"/>
      <c r="AU818" s="151"/>
      <c r="AV818" s="151"/>
      <c r="AW818" s="151"/>
      <c r="AX818" s="151"/>
      <c r="AY818" s="151"/>
      <c r="AZ818" s="151"/>
      <c r="BA818" s="151"/>
      <c r="BB818" s="151"/>
      <c r="BC818" s="151"/>
      <c r="BD818" s="151"/>
      <c r="BE818" s="151"/>
      <c r="BF818" s="151"/>
      <c r="BG818" s="151"/>
      <c r="BH818" s="151"/>
      <c r="BI818" s="151"/>
      <c r="BJ818" s="151"/>
      <c r="BK818" s="151"/>
      <c r="BL818" s="151"/>
      <c r="BM818" s="151"/>
      <c r="BN818" s="151"/>
    </row>
    <row r="819" spans="25:66">
      <c r="Y819" s="151"/>
      <c r="Z819" s="151"/>
      <c r="AA819" s="151"/>
      <c r="AB819" s="151"/>
      <c r="AC819" s="151"/>
      <c r="AD819" s="151"/>
      <c r="AE819" s="151"/>
      <c r="AF819" s="151"/>
      <c r="AG819" s="151"/>
      <c r="AH819" s="151"/>
      <c r="AI819" s="151"/>
      <c r="AJ819" s="151"/>
      <c r="AK819" s="151"/>
      <c r="AL819" s="151"/>
      <c r="AM819" s="151"/>
      <c r="AN819" s="151"/>
      <c r="AO819" s="151"/>
      <c r="AP819" s="151"/>
      <c r="AQ819" s="151"/>
      <c r="AR819" s="151"/>
      <c r="AS819" s="151"/>
      <c r="AT819" s="151"/>
      <c r="AU819" s="151"/>
      <c r="AV819" s="151"/>
      <c r="AW819" s="151"/>
      <c r="AX819" s="151"/>
      <c r="AY819" s="151"/>
      <c r="AZ819" s="151"/>
      <c r="BA819" s="151"/>
      <c r="BB819" s="151"/>
      <c r="BC819" s="151"/>
      <c r="BD819" s="151"/>
      <c r="BE819" s="151"/>
      <c r="BF819" s="151"/>
      <c r="BG819" s="151"/>
      <c r="BH819" s="151"/>
      <c r="BI819" s="151"/>
      <c r="BJ819" s="151"/>
      <c r="BK819" s="151"/>
      <c r="BL819" s="151"/>
      <c r="BM819" s="151"/>
      <c r="BN819" s="151"/>
    </row>
    <row r="820" spans="25:66">
      <c r="Y820" s="151"/>
      <c r="Z820" s="151"/>
      <c r="AA820" s="151"/>
      <c r="AB820" s="151"/>
      <c r="AC820" s="151"/>
      <c r="AD820" s="151"/>
      <c r="AE820" s="151"/>
      <c r="AF820" s="151"/>
      <c r="AG820" s="151"/>
      <c r="AH820" s="151"/>
      <c r="AI820" s="151"/>
      <c r="AJ820" s="151"/>
      <c r="AK820" s="151"/>
      <c r="AL820" s="151"/>
      <c r="AM820" s="151"/>
      <c r="AN820" s="151"/>
      <c r="AO820" s="151"/>
      <c r="AP820" s="151"/>
      <c r="AQ820" s="151"/>
      <c r="AR820" s="151"/>
      <c r="AS820" s="151"/>
      <c r="AT820" s="151"/>
      <c r="AU820" s="151"/>
      <c r="AV820" s="151"/>
      <c r="AW820" s="151"/>
      <c r="AX820" s="151"/>
      <c r="AY820" s="151"/>
      <c r="AZ820" s="151"/>
      <c r="BA820" s="151"/>
      <c r="BB820" s="151"/>
      <c r="BC820" s="151"/>
      <c r="BD820" s="151"/>
      <c r="BE820" s="151"/>
      <c r="BF820" s="151"/>
      <c r="BG820" s="151"/>
      <c r="BH820" s="151"/>
      <c r="BI820" s="151"/>
      <c r="BJ820" s="151"/>
      <c r="BK820" s="151"/>
      <c r="BL820" s="151"/>
      <c r="BM820" s="151"/>
      <c r="BN820" s="151"/>
    </row>
    <row r="821" spans="25:66">
      <c r="Y821" s="151"/>
      <c r="Z821" s="151"/>
      <c r="AA821" s="151"/>
      <c r="AB821" s="151"/>
      <c r="AC821" s="151"/>
      <c r="AD821" s="151"/>
      <c r="AE821" s="151"/>
      <c r="AF821" s="151"/>
      <c r="AG821" s="151"/>
      <c r="AH821" s="151"/>
      <c r="AI821" s="151"/>
      <c r="AJ821" s="151"/>
      <c r="AK821" s="151"/>
      <c r="AL821" s="151"/>
      <c r="AM821" s="151"/>
      <c r="AN821" s="151"/>
      <c r="AO821" s="151"/>
      <c r="AP821" s="151"/>
      <c r="AQ821" s="151"/>
      <c r="AR821" s="151"/>
      <c r="AS821" s="151"/>
      <c r="AT821" s="151"/>
      <c r="AU821" s="151"/>
      <c r="AV821" s="151"/>
      <c r="AW821" s="151"/>
      <c r="AX821" s="151"/>
      <c r="AY821" s="151"/>
      <c r="AZ821" s="151"/>
      <c r="BA821" s="151"/>
      <c r="BB821" s="151"/>
      <c r="BC821" s="151"/>
      <c r="BD821" s="151"/>
      <c r="BE821" s="151"/>
      <c r="BF821" s="151"/>
      <c r="BG821" s="151"/>
      <c r="BH821" s="151"/>
      <c r="BI821" s="151"/>
      <c r="BJ821" s="151"/>
      <c r="BK821" s="151"/>
      <c r="BL821" s="151"/>
      <c r="BM821" s="151"/>
      <c r="BN821" s="151"/>
    </row>
    <row r="822" spans="25:66">
      <c r="Y822" s="151"/>
      <c r="Z822" s="151"/>
      <c r="AA822" s="151"/>
      <c r="AB822" s="151"/>
      <c r="AC822" s="151"/>
      <c r="AD822" s="151"/>
      <c r="AE822" s="151"/>
      <c r="AF822" s="151"/>
      <c r="AG822" s="151"/>
      <c r="AH822" s="151"/>
      <c r="AI822" s="151"/>
      <c r="AJ822" s="151"/>
      <c r="AK822" s="151"/>
      <c r="AL822" s="151"/>
      <c r="AM822" s="151"/>
      <c r="AN822" s="151"/>
      <c r="AO822" s="151"/>
      <c r="AP822" s="151"/>
      <c r="AQ822" s="151"/>
      <c r="AR822" s="151"/>
      <c r="AS822" s="151"/>
      <c r="AT822" s="151"/>
      <c r="AU822" s="151"/>
      <c r="AV822" s="151"/>
      <c r="AW822" s="151"/>
      <c r="AX822" s="151"/>
      <c r="AY822" s="151"/>
      <c r="AZ822" s="151"/>
      <c r="BA822" s="151"/>
      <c r="BB822" s="151"/>
      <c r="BC822" s="151"/>
      <c r="BD822" s="151"/>
      <c r="BE822" s="151"/>
      <c r="BF822" s="151"/>
      <c r="BG822" s="151"/>
      <c r="BH822" s="151"/>
      <c r="BI822" s="151"/>
      <c r="BJ822" s="151"/>
      <c r="BK822" s="151"/>
      <c r="BL822" s="151"/>
      <c r="BM822" s="151"/>
      <c r="BN822" s="151"/>
    </row>
    <row r="823" spans="25:66">
      <c r="Y823" s="151"/>
      <c r="Z823" s="151"/>
      <c r="AA823" s="151"/>
      <c r="AB823" s="151"/>
      <c r="AC823" s="151"/>
      <c r="AD823" s="151"/>
      <c r="AE823" s="151"/>
      <c r="AF823" s="151"/>
      <c r="AG823" s="151"/>
      <c r="AH823" s="151"/>
      <c r="AI823" s="151"/>
      <c r="AJ823" s="151"/>
      <c r="AK823" s="151"/>
      <c r="AL823" s="151"/>
      <c r="AM823" s="151"/>
      <c r="AN823" s="151"/>
      <c r="AO823" s="151"/>
      <c r="AP823" s="151"/>
      <c r="AQ823" s="151"/>
      <c r="AR823" s="151"/>
      <c r="AS823" s="151"/>
      <c r="AT823" s="151"/>
      <c r="AU823" s="151"/>
      <c r="AV823" s="151"/>
      <c r="AW823" s="151"/>
      <c r="AX823" s="151"/>
      <c r="AY823" s="151"/>
      <c r="AZ823" s="151"/>
      <c r="BA823" s="151"/>
      <c r="BB823" s="151"/>
      <c r="BC823" s="151"/>
      <c r="BD823" s="151"/>
      <c r="BE823" s="151"/>
      <c r="BF823" s="151"/>
      <c r="BG823" s="151"/>
      <c r="BH823" s="151"/>
      <c r="BI823" s="151"/>
      <c r="BJ823" s="151"/>
      <c r="BK823" s="151"/>
      <c r="BL823" s="151"/>
      <c r="BM823" s="151"/>
      <c r="BN823" s="151"/>
    </row>
    <row r="824" spans="25:66">
      <c r="Y824" s="151"/>
      <c r="Z824" s="151"/>
      <c r="AA824" s="151"/>
      <c r="AB824" s="151"/>
      <c r="AC824" s="151"/>
      <c r="AD824" s="151"/>
      <c r="AE824" s="151"/>
      <c r="AF824" s="151"/>
      <c r="AG824" s="151"/>
      <c r="AH824" s="151"/>
      <c r="AI824" s="151"/>
      <c r="AJ824" s="151"/>
      <c r="AK824" s="151"/>
      <c r="AL824" s="151"/>
      <c r="AM824" s="151"/>
      <c r="AN824" s="151"/>
      <c r="AO824" s="151"/>
      <c r="AP824" s="151"/>
      <c r="AQ824" s="151"/>
      <c r="AR824" s="151"/>
      <c r="AS824" s="151"/>
      <c r="AT824" s="151"/>
      <c r="AU824" s="151"/>
      <c r="AV824" s="151"/>
      <c r="AW824" s="151"/>
      <c r="AX824" s="151"/>
      <c r="AY824" s="151"/>
      <c r="AZ824" s="151"/>
      <c r="BA824" s="151"/>
      <c r="BB824" s="151"/>
      <c r="BC824" s="151"/>
      <c r="BD824" s="151"/>
      <c r="BE824" s="151"/>
      <c r="BF824" s="151"/>
      <c r="BG824" s="151"/>
      <c r="BH824" s="151"/>
      <c r="BI824" s="151"/>
      <c r="BJ824" s="151"/>
      <c r="BK824" s="151"/>
      <c r="BL824" s="151"/>
      <c r="BM824" s="151"/>
      <c r="BN824" s="151"/>
    </row>
    <row r="825" spans="25:66">
      <c r="Y825" s="151"/>
      <c r="Z825" s="151"/>
      <c r="AA825" s="151"/>
      <c r="AB825" s="151"/>
      <c r="AC825" s="151"/>
      <c r="AD825" s="151"/>
      <c r="AE825" s="151"/>
      <c r="AF825" s="151"/>
      <c r="AG825" s="151"/>
      <c r="AH825" s="151"/>
      <c r="AI825" s="151"/>
      <c r="AJ825" s="151"/>
      <c r="AK825" s="151"/>
      <c r="AL825" s="151"/>
      <c r="AM825" s="151"/>
      <c r="AN825" s="151"/>
      <c r="AO825" s="151"/>
      <c r="AP825" s="151"/>
      <c r="AQ825" s="151"/>
      <c r="AR825" s="151"/>
      <c r="AS825" s="151"/>
      <c r="AT825" s="151"/>
      <c r="AU825" s="151"/>
      <c r="AV825" s="151"/>
      <c r="AW825" s="151"/>
      <c r="AX825" s="151"/>
      <c r="AY825" s="151"/>
      <c r="AZ825" s="151"/>
      <c r="BA825" s="151"/>
      <c r="BB825" s="151"/>
      <c r="BC825" s="151"/>
      <c r="BD825" s="151"/>
      <c r="BE825" s="151"/>
      <c r="BF825" s="151"/>
      <c r="BG825" s="151"/>
      <c r="BH825" s="151"/>
      <c r="BI825" s="151"/>
      <c r="BJ825" s="151"/>
      <c r="BK825" s="151"/>
      <c r="BL825" s="151"/>
      <c r="BM825" s="151"/>
      <c r="BN825" s="151"/>
    </row>
    <row r="826" spans="25:66">
      <c r="Y826" s="151"/>
      <c r="Z826" s="151"/>
      <c r="AA826" s="151"/>
      <c r="AB826" s="151"/>
      <c r="AC826" s="151"/>
      <c r="AD826" s="151"/>
      <c r="AE826" s="151"/>
      <c r="AF826" s="151"/>
      <c r="AG826" s="151"/>
      <c r="AH826" s="151"/>
      <c r="AI826" s="151"/>
      <c r="AJ826" s="151"/>
      <c r="AK826" s="151"/>
      <c r="AL826" s="151"/>
      <c r="AM826" s="151"/>
      <c r="AN826" s="151"/>
      <c r="AO826" s="151"/>
      <c r="AP826" s="151"/>
      <c r="AQ826" s="151"/>
      <c r="AR826" s="151"/>
      <c r="AS826" s="151"/>
      <c r="AT826" s="151"/>
      <c r="AU826" s="151"/>
      <c r="AV826" s="151"/>
      <c r="AW826" s="151"/>
      <c r="AX826" s="151"/>
      <c r="AY826" s="151"/>
      <c r="AZ826" s="151"/>
      <c r="BA826" s="151"/>
      <c r="BB826" s="151"/>
      <c r="BC826" s="151"/>
      <c r="BD826" s="151"/>
      <c r="BE826" s="151"/>
      <c r="BF826" s="151"/>
      <c r="BG826" s="151"/>
      <c r="BH826" s="151"/>
      <c r="BI826" s="151"/>
      <c r="BJ826" s="151"/>
      <c r="BK826" s="151"/>
      <c r="BL826" s="151"/>
      <c r="BM826" s="151"/>
      <c r="BN826" s="151"/>
    </row>
    <row r="827" spans="25:66">
      <c r="Y827" s="151"/>
      <c r="Z827" s="151"/>
      <c r="AA827" s="151"/>
      <c r="AB827" s="151"/>
      <c r="AC827" s="151"/>
      <c r="AD827" s="151"/>
      <c r="AE827" s="151"/>
      <c r="AF827" s="151"/>
      <c r="AG827" s="151"/>
      <c r="AH827" s="151"/>
      <c r="AI827" s="151"/>
      <c r="AJ827" s="151"/>
      <c r="AK827" s="151"/>
      <c r="AL827" s="151"/>
      <c r="AM827" s="151"/>
      <c r="AN827" s="151"/>
      <c r="AO827" s="151"/>
      <c r="AP827" s="151"/>
      <c r="AQ827" s="151"/>
      <c r="AR827" s="151"/>
      <c r="AS827" s="151"/>
      <c r="AT827" s="151"/>
      <c r="AU827" s="151"/>
      <c r="AV827" s="151"/>
      <c r="AW827" s="151"/>
      <c r="AX827" s="151"/>
      <c r="AY827" s="151"/>
      <c r="AZ827" s="151"/>
      <c r="BA827" s="151"/>
      <c r="BB827" s="151"/>
      <c r="BC827" s="151"/>
      <c r="BD827" s="151"/>
      <c r="BE827" s="151"/>
      <c r="BF827" s="151"/>
      <c r="BG827" s="151"/>
      <c r="BH827" s="151"/>
      <c r="BI827" s="151"/>
      <c r="BJ827" s="151"/>
      <c r="BK827" s="151"/>
      <c r="BL827" s="151"/>
      <c r="BM827" s="151"/>
      <c r="BN827" s="151"/>
    </row>
    <row r="828" spans="25:66">
      <c r="Y828" s="151"/>
      <c r="Z828" s="151"/>
      <c r="AA828" s="151"/>
      <c r="AB828" s="151"/>
      <c r="AC828" s="151"/>
      <c r="AD828" s="151"/>
      <c r="AE828" s="151"/>
      <c r="AF828" s="151"/>
      <c r="AG828" s="151"/>
      <c r="AH828" s="151"/>
      <c r="AI828" s="151"/>
      <c r="AJ828" s="151"/>
      <c r="AK828" s="151"/>
      <c r="AL828" s="151"/>
      <c r="AM828" s="151"/>
      <c r="AN828" s="151"/>
      <c r="AO828" s="151"/>
      <c r="AP828" s="151"/>
      <c r="AQ828" s="151"/>
      <c r="AR828" s="151"/>
      <c r="AS828" s="151"/>
      <c r="AT828" s="151"/>
      <c r="AU828" s="151"/>
      <c r="AV828" s="151"/>
      <c r="AW828" s="151"/>
      <c r="AX828" s="151"/>
      <c r="AY828" s="151"/>
      <c r="AZ828" s="151"/>
      <c r="BA828" s="151"/>
      <c r="BB828" s="151"/>
      <c r="BC828" s="151"/>
      <c r="BD828" s="151"/>
      <c r="BE828" s="151"/>
      <c r="BF828" s="151"/>
      <c r="BG828" s="151"/>
      <c r="BH828" s="151"/>
      <c r="BI828" s="151"/>
      <c r="BJ828" s="151"/>
      <c r="BK828" s="151"/>
      <c r="BL828" s="151"/>
      <c r="BM828" s="151"/>
      <c r="BN828" s="151"/>
    </row>
    <row r="829" spans="25:66">
      <c r="Y829" s="151"/>
      <c r="Z829" s="151"/>
      <c r="AA829" s="151"/>
      <c r="AB829" s="151"/>
      <c r="AC829" s="151"/>
      <c r="AD829" s="151"/>
      <c r="AE829" s="151"/>
      <c r="AF829" s="151"/>
      <c r="AG829" s="151"/>
      <c r="AH829" s="151"/>
      <c r="AI829" s="151"/>
      <c r="AJ829" s="151"/>
      <c r="AK829" s="151"/>
      <c r="AL829" s="151"/>
      <c r="AM829" s="151"/>
      <c r="AN829" s="151"/>
      <c r="AO829" s="151"/>
      <c r="AP829" s="151"/>
      <c r="AQ829" s="151"/>
      <c r="AR829" s="151"/>
      <c r="AS829" s="151"/>
      <c r="AT829" s="151"/>
      <c r="AU829" s="151"/>
      <c r="AV829" s="151"/>
      <c r="AW829" s="151"/>
      <c r="AX829" s="151"/>
      <c r="AY829" s="151"/>
      <c r="AZ829" s="151"/>
      <c r="BA829" s="151"/>
      <c r="BB829" s="151"/>
      <c r="BC829" s="151"/>
      <c r="BD829" s="151"/>
      <c r="BE829" s="151"/>
      <c r="BF829" s="151"/>
      <c r="BG829" s="151"/>
      <c r="BH829" s="151"/>
      <c r="BI829" s="151"/>
      <c r="BJ829" s="151"/>
      <c r="BK829" s="151"/>
      <c r="BL829" s="151"/>
      <c r="BM829" s="151"/>
      <c r="BN829" s="151"/>
    </row>
    <row r="830" spans="25:66">
      <c r="Y830" s="151"/>
      <c r="Z830" s="151"/>
      <c r="AA830" s="151"/>
      <c r="AB830" s="151"/>
      <c r="AC830" s="151"/>
      <c r="AD830" s="151"/>
      <c r="AE830" s="151"/>
      <c r="AF830" s="151"/>
      <c r="AG830" s="151"/>
      <c r="AH830" s="151"/>
      <c r="AI830" s="151"/>
      <c r="AJ830" s="151"/>
      <c r="AK830" s="151"/>
      <c r="AL830" s="151"/>
      <c r="AM830" s="151"/>
      <c r="AN830" s="151"/>
      <c r="AO830" s="151"/>
      <c r="AP830" s="151"/>
      <c r="AQ830" s="151"/>
      <c r="AR830" s="151"/>
      <c r="AS830" s="151"/>
      <c r="AT830" s="151"/>
      <c r="AU830" s="151"/>
      <c r="AV830" s="151"/>
      <c r="AW830" s="151"/>
      <c r="AX830" s="151"/>
      <c r="AY830" s="151"/>
      <c r="AZ830" s="151"/>
      <c r="BA830" s="151"/>
      <c r="BB830" s="151"/>
      <c r="BC830" s="151"/>
      <c r="BD830" s="151"/>
      <c r="BE830" s="151"/>
      <c r="BF830" s="151"/>
      <c r="BG830" s="151"/>
      <c r="BH830" s="151"/>
      <c r="BI830" s="151"/>
      <c r="BJ830" s="151"/>
      <c r="BK830" s="151"/>
      <c r="BL830" s="151"/>
      <c r="BM830" s="151"/>
      <c r="BN830" s="151"/>
    </row>
    <row r="831" spans="25:66">
      <c r="Y831" s="151"/>
      <c r="Z831" s="151"/>
      <c r="AA831" s="151"/>
      <c r="AB831" s="151"/>
      <c r="AC831" s="151"/>
      <c r="AD831" s="151"/>
      <c r="AE831" s="151"/>
      <c r="AF831" s="151"/>
      <c r="AG831" s="151"/>
      <c r="AH831" s="151"/>
      <c r="AI831" s="151"/>
      <c r="AJ831" s="151"/>
      <c r="AK831" s="151"/>
      <c r="AL831" s="151"/>
      <c r="AM831" s="151"/>
      <c r="AN831" s="151"/>
      <c r="AO831" s="151"/>
      <c r="AP831" s="151"/>
      <c r="AQ831" s="151"/>
      <c r="AR831" s="151"/>
      <c r="AS831" s="151"/>
      <c r="AT831" s="151"/>
      <c r="AU831" s="151"/>
      <c r="AV831" s="151"/>
      <c r="AW831" s="151"/>
      <c r="AX831" s="151"/>
      <c r="AY831" s="151"/>
      <c r="AZ831" s="151"/>
      <c r="BA831" s="151"/>
      <c r="BB831" s="151"/>
      <c r="BC831" s="151"/>
      <c r="BD831" s="151"/>
      <c r="BE831" s="151"/>
      <c r="BF831" s="151"/>
      <c r="BG831" s="151"/>
      <c r="BH831" s="151"/>
      <c r="BI831" s="151"/>
      <c r="BJ831" s="151"/>
      <c r="BK831" s="151"/>
      <c r="BL831" s="151"/>
      <c r="BM831" s="151"/>
      <c r="BN831" s="151"/>
    </row>
    <row r="832" spans="25:66">
      <c r="Y832" s="151"/>
      <c r="Z832" s="151"/>
      <c r="AA832" s="151"/>
      <c r="AB832" s="151"/>
      <c r="AC832" s="151"/>
      <c r="AD832" s="151"/>
      <c r="AE832" s="151"/>
      <c r="AF832" s="151"/>
      <c r="AG832" s="151"/>
      <c r="AH832" s="151"/>
      <c r="AI832" s="151"/>
      <c r="AJ832" s="151"/>
      <c r="AK832" s="151"/>
      <c r="AL832" s="151"/>
      <c r="AM832" s="151"/>
      <c r="AN832" s="151"/>
      <c r="AO832" s="151"/>
      <c r="AP832" s="151"/>
      <c r="AQ832" s="151"/>
      <c r="AR832" s="151"/>
      <c r="AS832" s="151"/>
      <c r="AT832" s="151"/>
      <c r="AU832" s="151"/>
      <c r="AV832" s="151"/>
      <c r="AW832" s="151"/>
      <c r="AX832" s="151"/>
      <c r="AY832" s="151"/>
      <c r="AZ832" s="151"/>
      <c r="BA832" s="151"/>
      <c r="BB832" s="151"/>
      <c r="BC832" s="151"/>
      <c r="BD832" s="151"/>
      <c r="BE832" s="151"/>
      <c r="BF832" s="151"/>
      <c r="BG832" s="151"/>
      <c r="BH832" s="151"/>
      <c r="BI832" s="151"/>
      <c r="BJ832" s="151"/>
      <c r="BK832" s="151"/>
      <c r="BL832" s="151"/>
      <c r="BM832" s="151"/>
      <c r="BN832" s="151"/>
    </row>
    <row r="833" spans="25:66">
      <c r="Y833" s="151"/>
      <c r="Z833" s="151"/>
      <c r="AA833" s="151"/>
      <c r="AB833" s="151"/>
      <c r="AC833" s="151"/>
      <c r="AD833" s="151"/>
      <c r="AE833" s="151"/>
      <c r="AF833" s="151"/>
      <c r="AG833" s="151"/>
      <c r="AH833" s="151"/>
      <c r="AI833" s="151"/>
      <c r="AJ833" s="151"/>
      <c r="AK833" s="151"/>
      <c r="AL833" s="151"/>
      <c r="AM833" s="151"/>
      <c r="AN833" s="151"/>
      <c r="AO833" s="151"/>
      <c r="AP833" s="151"/>
      <c r="AQ833" s="151"/>
      <c r="AR833" s="151"/>
      <c r="AS833" s="151"/>
      <c r="AT833" s="151"/>
      <c r="AU833" s="151"/>
      <c r="AV833" s="151"/>
      <c r="AW833" s="151"/>
      <c r="AX833" s="151"/>
      <c r="AY833" s="151"/>
      <c r="AZ833" s="151"/>
      <c r="BA833" s="151"/>
      <c r="BB833" s="151"/>
      <c r="BC833" s="151"/>
      <c r="BD833" s="151"/>
      <c r="BE833" s="151"/>
      <c r="BF833" s="151"/>
      <c r="BG833" s="151"/>
      <c r="BH833" s="151"/>
      <c r="BI833" s="151"/>
      <c r="BJ833" s="151"/>
      <c r="BK833" s="151"/>
      <c r="BL833" s="151"/>
      <c r="BM833" s="151"/>
      <c r="BN833" s="151"/>
    </row>
    <row r="834" spans="25:66">
      <c r="Y834" s="151"/>
      <c r="Z834" s="151"/>
      <c r="AA834" s="151"/>
      <c r="AB834" s="151"/>
      <c r="AC834" s="151"/>
      <c r="AD834" s="151"/>
      <c r="AE834" s="151"/>
      <c r="AF834" s="151"/>
      <c r="AG834" s="151"/>
      <c r="AH834" s="151"/>
      <c r="AI834" s="151"/>
      <c r="AJ834" s="151"/>
      <c r="AK834" s="151"/>
      <c r="AL834" s="151"/>
      <c r="AM834" s="151"/>
      <c r="AN834" s="151"/>
      <c r="AO834" s="151"/>
      <c r="AP834" s="151"/>
      <c r="AQ834" s="151"/>
      <c r="AR834" s="151"/>
      <c r="AS834" s="151"/>
      <c r="AT834" s="151"/>
      <c r="AU834" s="151"/>
      <c r="AV834" s="151"/>
      <c r="AW834" s="151"/>
      <c r="AX834" s="151"/>
      <c r="AY834" s="151"/>
      <c r="AZ834" s="151"/>
      <c r="BA834" s="151"/>
      <c r="BB834" s="151"/>
      <c r="BC834" s="151"/>
      <c r="BD834" s="151"/>
      <c r="BE834" s="151"/>
      <c r="BF834" s="151"/>
      <c r="BG834" s="151"/>
      <c r="BH834" s="151"/>
      <c r="BI834" s="151"/>
      <c r="BJ834" s="151"/>
      <c r="BK834" s="151"/>
      <c r="BL834" s="151"/>
      <c r="BM834" s="151"/>
      <c r="BN834" s="151"/>
    </row>
    <row r="835" spans="25:66">
      <c r="Y835" s="151"/>
      <c r="Z835" s="151"/>
      <c r="AA835" s="151"/>
      <c r="AB835" s="151"/>
      <c r="AC835" s="151"/>
      <c r="AD835" s="151"/>
      <c r="AE835" s="151"/>
      <c r="AF835" s="151"/>
      <c r="AG835" s="151"/>
      <c r="AH835" s="151"/>
      <c r="AI835" s="151"/>
      <c r="AJ835" s="151"/>
      <c r="AK835" s="151"/>
      <c r="AL835" s="151"/>
      <c r="AM835" s="151"/>
      <c r="AN835" s="151"/>
      <c r="AO835" s="151"/>
      <c r="AP835" s="151"/>
      <c r="AQ835" s="151"/>
      <c r="AR835" s="151"/>
      <c r="AS835" s="151"/>
      <c r="AT835" s="151"/>
      <c r="AU835" s="151"/>
      <c r="AV835" s="151"/>
      <c r="AW835" s="151"/>
      <c r="AX835" s="151"/>
      <c r="AY835" s="151"/>
      <c r="AZ835" s="151"/>
      <c r="BA835" s="151"/>
      <c r="BB835" s="151"/>
      <c r="BC835" s="151"/>
      <c r="BD835" s="151"/>
      <c r="BE835" s="151"/>
      <c r="BF835" s="151"/>
      <c r="BG835" s="151"/>
      <c r="BH835" s="151"/>
      <c r="BI835" s="151"/>
      <c r="BJ835" s="151"/>
      <c r="BK835" s="151"/>
      <c r="BL835" s="151"/>
      <c r="BM835" s="151"/>
      <c r="BN835" s="151"/>
    </row>
    <row r="836" spans="25:66">
      <c r="Y836" s="151"/>
      <c r="Z836" s="151"/>
      <c r="AA836" s="151"/>
      <c r="AB836" s="151"/>
      <c r="AC836" s="151"/>
      <c r="AD836" s="151"/>
      <c r="AE836" s="151"/>
      <c r="AF836" s="151"/>
      <c r="AG836" s="151"/>
      <c r="AH836" s="151"/>
      <c r="AI836" s="151"/>
      <c r="AJ836" s="151"/>
      <c r="AK836" s="151"/>
      <c r="AL836" s="151"/>
      <c r="AM836" s="151"/>
      <c r="AN836" s="151"/>
      <c r="AO836" s="151"/>
      <c r="AP836" s="151"/>
      <c r="AQ836" s="151"/>
      <c r="AR836" s="151"/>
      <c r="AS836" s="151"/>
      <c r="AT836" s="151"/>
      <c r="AU836" s="151"/>
      <c r="AV836" s="151"/>
      <c r="AW836" s="151"/>
      <c r="AX836" s="151"/>
      <c r="AY836" s="151"/>
      <c r="AZ836" s="151"/>
      <c r="BA836" s="151"/>
      <c r="BB836" s="151"/>
      <c r="BC836" s="151"/>
      <c r="BD836" s="151"/>
      <c r="BE836" s="151"/>
      <c r="BF836" s="151"/>
      <c r="BG836" s="151"/>
      <c r="BH836" s="151"/>
      <c r="BI836" s="151"/>
      <c r="BJ836" s="151"/>
      <c r="BK836" s="151"/>
      <c r="BL836" s="151"/>
      <c r="BM836" s="151"/>
      <c r="BN836" s="151"/>
    </row>
    <row r="837" spans="25:66">
      <c r="Y837" s="151"/>
      <c r="Z837" s="151"/>
      <c r="AA837" s="151"/>
      <c r="AB837" s="151"/>
      <c r="AC837" s="151"/>
      <c r="AD837" s="151"/>
      <c r="AE837" s="151"/>
      <c r="AF837" s="151"/>
      <c r="AG837" s="151"/>
      <c r="AH837" s="151"/>
      <c r="AI837" s="151"/>
      <c r="AJ837" s="151"/>
      <c r="AK837" s="151"/>
      <c r="AL837" s="151"/>
      <c r="AM837" s="151"/>
      <c r="AN837" s="151"/>
      <c r="AO837" s="151"/>
      <c r="AP837" s="151"/>
      <c r="AQ837" s="151"/>
      <c r="AR837" s="151"/>
      <c r="AS837" s="151"/>
      <c r="AT837" s="151"/>
      <c r="AU837" s="151"/>
      <c r="AV837" s="151"/>
      <c r="AW837" s="151"/>
      <c r="AX837" s="151"/>
      <c r="AY837" s="151"/>
      <c r="AZ837" s="151"/>
      <c r="BA837" s="151"/>
      <c r="BB837" s="151"/>
      <c r="BC837" s="151"/>
      <c r="BD837" s="151"/>
      <c r="BE837" s="151"/>
      <c r="BF837" s="151"/>
      <c r="BG837" s="151"/>
      <c r="BH837" s="151"/>
      <c r="BI837" s="151"/>
      <c r="BJ837" s="151"/>
      <c r="BK837" s="151"/>
      <c r="BL837" s="151"/>
      <c r="BM837" s="151"/>
      <c r="BN837" s="151"/>
    </row>
    <row r="838" spans="25:66">
      <c r="Y838" s="151"/>
      <c r="Z838" s="151"/>
      <c r="AA838" s="151"/>
      <c r="AB838" s="151"/>
      <c r="AC838" s="151"/>
      <c r="AD838" s="151"/>
      <c r="AE838" s="151"/>
      <c r="AF838" s="151"/>
      <c r="AG838" s="151"/>
      <c r="AH838" s="151"/>
      <c r="AI838" s="151"/>
      <c r="AJ838" s="151"/>
      <c r="AK838" s="151"/>
      <c r="AL838" s="151"/>
      <c r="AM838" s="151"/>
      <c r="AN838" s="151"/>
      <c r="AO838" s="151"/>
      <c r="AP838" s="151"/>
      <c r="AQ838" s="151"/>
      <c r="AR838" s="151"/>
      <c r="AS838" s="151"/>
      <c r="AT838" s="151"/>
      <c r="AU838" s="151"/>
      <c r="AV838" s="151"/>
      <c r="AW838" s="151"/>
      <c r="AX838" s="151"/>
      <c r="AY838" s="151"/>
      <c r="AZ838" s="151"/>
      <c r="BA838" s="151"/>
      <c r="BB838" s="151"/>
      <c r="BC838" s="151"/>
      <c r="BD838" s="151"/>
      <c r="BE838" s="151"/>
      <c r="BF838" s="151"/>
      <c r="BG838" s="151"/>
      <c r="BH838" s="151"/>
      <c r="BI838" s="151"/>
      <c r="BJ838" s="151"/>
      <c r="BK838" s="151"/>
      <c r="BL838" s="151"/>
      <c r="BM838" s="151"/>
      <c r="BN838" s="151"/>
    </row>
    <row r="839" spans="25:66">
      <c r="Y839" s="151"/>
      <c r="Z839" s="151"/>
      <c r="AA839" s="151"/>
      <c r="AB839" s="151"/>
      <c r="AC839" s="151"/>
      <c r="AD839" s="151"/>
      <c r="AE839" s="151"/>
      <c r="AF839" s="151"/>
      <c r="AG839" s="151"/>
      <c r="AH839" s="151"/>
      <c r="AI839" s="151"/>
      <c r="AJ839" s="151"/>
      <c r="AK839" s="151"/>
      <c r="AL839" s="151"/>
      <c r="AM839" s="151"/>
      <c r="AN839" s="151"/>
      <c r="AO839" s="151"/>
      <c r="AP839" s="151"/>
      <c r="AQ839" s="151"/>
      <c r="AR839" s="151"/>
      <c r="AS839" s="151"/>
      <c r="AT839" s="151"/>
      <c r="AU839" s="151"/>
      <c r="AV839" s="151"/>
      <c r="AW839" s="151"/>
      <c r="AX839" s="151"/>
      <c r="AY839" s="151"/>
      <c r="AZ839" s="151"/>
      <c r="BA839" s="151"/>
      <c r="BB839" s="151"/>
      <c r="BC839" s="151"/>
      <c r="BD839" s="151"/>
      <c r="BE839" s="151"/>
      <c r="BF839" s="151"/>
      <c r="BG839" s="151"/>
      <c r="BH839" s="151"/>
      <c r="BI839" s="151"/>
      <c r="BJ839" s="151"/>
      <c r="BK839" s="151"/>
      <c r="BL839" s="151"/>
      <c r="BM839" s="151"/>
      <c r="BN839" s="151"/>
    </row>
    <row r="840" spans="25:66">
      <c r="Y840" s="151"/>
      <c r="Z840" s="151"/>
      <c r="AA840" s="151"/>
      <c r="AB840" s="151"/>
      <c r="AC840" s="151"/>
      <c r="AD840" s="151"/>
      <c r="AE840" s="151"/>
      <c r="AF840" s="151"/>
      <c r="AG840" s="151"/>
      <c r="AH840" s="151"/>
      <c r="AI840" s="151"/>
      <c r="AJ840" s="151"/>
      <c r="AK840" s="151"/>
      <c r="AL840" s="151"/>
      <c r="AM840" s="151"/>
      <c r="AN840" s="151"/>
      <c r="AO840" s="151"/>
      <c r="AP840" s="151"/>
      <c r="AQ840" s="151"/>
      <c r="AR840" s="151"/>
      <c r="AS840" s="151"/>
      <c r="AT840" s="151"/>
      <c r="AU840" s="151"/>
      <c r="AV840" s="151"/>
      <c r="AW840" s="151"/>
      <c r="AX840" s="151"/>
      <c r="AY840" s="151"/>
      <c r="AZ840" s="151"/>
      <c r="BA840" s="151"/>
      <c r="BB840" s="151"/>
      <c r="BC840" s="151"/>
      <c r="BD840" s="151"/>
      <c r="BE840" s="151"/>
      <c r="BF840" s="151"/>
      <c r="BG840" s="151"/>
      <c r="BH840" s="151"/>
      <c r="BI840" s="151"/>
      <c r="BJ840" s="151"/>
      <c r="BK840" s="151"/>
      <c r="BL840" s="151"/>
      <c r="BM840" s="151"/>
      <c r="BN840" s="151"/>
    </row>
    <row r="841" spans="25:66">
      <c r="Y841" s="151"/>
      <c r="Z841" s="151"/>
      <c r="AA841" s="151"/>
      <c r="AB841" s="151"/>
      <c r="AC841" s="151"/>
      <c r="AD841" s="151"/>
      <c r="AE841" s="151"/>
      <c r="AF841" s="151"/>
      <c r="AG841" s="151"/>
      <c r="AH841" s="151"/>
      <c r="AI841" s="151"/>
      <c r="AJ841" s="151"/>
      <c r="AK841" s="151"/>
      <c r="AL841" s="151"/>
      <c r="AM841" s="151"/>
      <c r="AN841" s="151"/>
      <c r="AO841" s="151"/>
      <c r="AP841" s="151"/>
      <c r="AQ841" s="151"/>
      <c r="AR841" s="151"/>
      <c r="AS841" s="151"/>
      <c r="AT841" s="151"/>
      <c r="AU841" s="151"/>
      <c r="AV841" s="151"/>
      <c r="AW841" s="151"/>
      <c r="AX841" s="151"/>
      <c r="AY841" s="151"/>
      <c r="AZ841" s="151"/>
      <c r="BA841" s="151"/>
      <c r="BB841" s="151"/>
      <c r="BC841" s="151"/>
      <c r="BD841" s="151"/>
      <c r="BE841" s="151"/>
      <c r="BF841" s="151"/>
      <c r="BG841" s="151"/>
      <c r="BH841" s="151"/>
      <c r="BI841" s="151"/>
      <c r="BJ841" s="151"/>
      <c r="BK841" s="151"/>
      <c r="BL841" s="151"/>
      <c r="BM841" s="151"/>
      <c r="BN841" s="151"/>
    </row>
    <row r="842" spans="25:66">
      <c r="Y842" s="151"/>
      <c r="Z842" s="151"/>
      <c r="AA842" s="151"/>
      <c r="AB842" s="151"/>
      <c r="AC842" s="151"/>
      <c r="AD842" s="151"/>
      <c r="AE842" s="151"/>
      <c r="AF842" s="151"/>
      <c r="AG842" s="151"/>
      <c r="AH842" s="151"/>
      <c r="AI842" s="151"/>
      <c r="AJ842" s="151"/>
      <c r="AK842" s="151"/>
      <c r="AL842" s="151"/>
      <c r="AM842" s="151"/>
      <c r="AN842" s="151"/>
      <c r="AO842" s="151"/>
      <c r="AP842" s="151"/>
      <c r="AQ842" s="151"/>
      <c r="AR842" s="151"/>
      <c r="AS842" s="151"/>
      <c r="AT842" s="151"/>
      <c r="AU842" s="151"/>
      <c r="AV842" s="151"/>
      <c r="AW842" s="151"/>
      <c r="AX842" s="151"/>
      <c r="AY842" s="151"/>
      <c r="AZ842" s="151"/>
      <c r="BA842" s="151"/>
      <c r="BB842" s="151"/>
      <c r="BC842" s="151"/>
      <c r="BD842" s="151"/>
      <c r="BE842" s="151"/>
      <c r="BF842" s="151"/>
      <c r="BG842" s="151"/>
      <c r="BH842" s="151"/>
      <c r="BI842" s="151"/>
      <c r="BJ842" s="151"/>
      <c r="BK842" s="151"/>
      <c r="BL842" s="151"/>
      <c r="BM842" s="151"/>
      <c r="BN842" s="151"/>
    </row>
    <row r="843" spans="25:66">
      <c r="Y843" s="151"/>
      <c r="Z843" s="151"/>
      <c r="AA843" s="151"/>
      <c r="AB843" s="151"/>
      <c r="AC843" s="151"/>
      <c r="AD843" s="151"/>
      <c r="AE843" s="151"/>
      <c r="AF843" s="151"/>
      <c r="AG843" s="151"/>
      <c r="AH843" s="151"/>
      <c r="AI843" s="151"/>
      <c r="AJ843" s="151"/>
      <c r="AK843" s="151"/>
      <c r="AL843" s="151"/>
      <c r="AM843" s="151"/>
      <c r="AN843" s="151"/>
      <c r="AO843" s="151"/>
      <c r="AP843" s="151"/>
      <c r="AQ843" s="151"/>
      <c r="AR843" s="151"/>
      <c r="AS843" s="151"/>
      <c r="AT843" s="151"/>
      <c r="AU843" s="151"/>
      <c r="AV843" s="151"/>
      <c r="AW843" s="151"/>
      <c r="AX843" s="151"/>
      <c r="AY843" s="151"/>
      <c r="AZ843" s="151"/>
      <c r="BA843" s="151"/>
      <c r="BB843" s="151"/>
      <c r="BC843" s="151"/>
      <c r="BD843" s="151"/>
      <c r="BE843" s="151"/>
      <c r="BF843" s="151"/>
      <c r="BG843" s="151"/>
      <c r="BH843" s="151"/>
      <c r="BI843" s="151"/>
      <c r="BJ843" s="151"/>
      <c r="BK843" s="151"/>
      <c r="BL843" s="151"/>
      <c r="BM843" s="151"/>
      <c r="BN843" s="151"/>
    </row>
    <row r="844" spans="25:66">
      <c r="Y844" s="151"/>
      <c r="Z844" s="151"/>
      <c r="AA844" s="151"/>
      <c r="AB844" s="151"/>
      <c r="AC844" s="151"/>
      <c r="AD844" s="151"/>
      <c r="AE844" s="151"/>
      <c r="AF844" s="151"/>
      <c r="AG844" s="151"/>
      <c r="AH844" s="151"/>
      <c r="AI844" s="151"/>
      <c r="AJ844" s="151"/>
      <c r="AK844" s="151"/>
      <c r="AL844" s="151"/>
      <c r="AM844" s="151"/>
      <c r="AN844" s="151"/>
      <c r="AO844" s="151"/>
      <c r="AP844" s="151"/>
      <c r="AQ844" s="151"/>
      <c r="AR844" s="151"/>
      <c r="AS844" s="151"/>
      <c r="AT844" s="151"/>
      <c r="AU844" s="151"/>
      <c r="AV844" s="151"/>
      <c r="AW844" s="151"/>
      <c r="AX844" s="151"/>
      <c r="AY844" s="151"/>
      <c r="AZ844" s="151"/>
      <c r="BA844" s="151"/>
      <c r="BB844" s="151"/>
      <c r="BC844" s="151"/>
      <c r="BD844" s="151"/>
      <c r="BE844" s="151"/>
      <c r="BF844" s="151"/>
      <c r="BG844" s="151"/>
      <c r="BH844" s="151"/>
      <c r="BI844" s="151"/>
      <c r="BJ844" s="151"/>
      <c r="BK844" s="151"/>
      <c r="BL844" s="151"/>
      <c r="BM844" s="151"/>
      <c r="BN844" s="151"/>
    </row>
    <row r="845" spans="25:66">
      <c r="Y845" s="151"/>
      <c r="Z845" s="151"/>
      <c r="AA845" s="151"/>
      <c r="AB845" s="151"/>
      <c r="AC845" s="151"/>
      <c r="AD845" s="151"/>
      <c r="AE845" s="151"/>
      <c r="AF845" s="151"/>
      <c r="AG845" s="151"/>
      <c r="AH845" s="151"/>
      <c r="AI845" s="151"/>
      <c r="AJ845" s="151"/>
      <c r="AK845" s="151"/>
      <c r="AL845" s="151"/>
      <c r="AM845" s="151"/>
      <c r="AN845" s="151"/>
      <c r="AO845" s="151"/>
      <c r="AP845" s="151"/>
      <c r="AQ845" s="151"/>
      <c r="AR845" s="151"/>
      <c r="AS845" s="151"/>
      <c r="AT845" s="151"/>
      <c r="AU845" s="151"/>
      <c r="AV845" s="151"/>
      <c r="AW845" s="151"/>
      <c r="AX845" s="151"/>
      <c r="AY845" s="151"/>
      <c r="AZ845" s="151"/>
      <c r="BA845" s="151"/>
      <c r="BB845" s="151"/>
      <c r="BC845" s="151"/>
      <c r="BD845" s="151"/>
      <c r="BE845" s="151"/>
      <c r="BF845" s="151"/>
      <c r="BG845" s="151"/>
      <c r="BH845" s="151"/>
      <c r="BI845" s="151"/>
      <c r="BJ845" s="151"/>
      <c r="BK845" s="151"/>
      <c r="BL845" s="151"/>
      <c r="BM845" s="151"/>
      <c r="BN845" s="151"/>
    </row>
    <row r="846" spans="25:66">
      <c r="Y846" s="151"/>
      <c r="Z846" s="151"/>
      <c r="AA846" s="151"/>
      <c r="AB846" s="151"/>
      <c r="AC846" s="151"/>
      <c r="AD846" s="151"/>
      <c r="AE846" s="151"/>
      <c r="AF846" s="151"/>
      <c r="AG846" s="151"/>
      <c r="AH846" s="151"/>
      <c r="AI846" s="151"/>
      <c r="AJ846" s="151"/>
      <c r="AK846" s="151"/>
      <c r="AL846" s="151"/>
      <c r="AM846" s="151"/>
      <c r="AN846" s="151"/>
      <c r="AO846" s="151"/>
      <c r="AP846" s="151"/>
      <c r="AQ846" s="151"/>
      <c r="AR846" s="151"/>
      <c r="AS846" s="151"/>
      <c r="AT846" s="151"/>
      <c r="AU846" s="151"/>
      <c r="AV846" s="151"/>
      <c r="AW846" s="151"/>
      <c r="AX846" s="151"/>
      <c r="AY846" s="151"/>
      <c r="AZ846" s="151"/>
      <c r="BA846" s="151"/>
      <c r="BB846" s="151"/>
      <c r="BC846" s="151"/>
      <c r="BD846" s="151"/>
      <c r="BE846" s="151"/>
      <c r="BF846" s="151"/>
      <c r="BG846" s="151"/>
      <c r="BH846" s="151"/>
      <c r="BI846" s="151"/>
      <c r="BJ846" s="151"/>
      <c r="BK846" s="151"/>
      <c r="BL846" s="151"/>
      <c r="BM846" s="151"/>
      <c r="BN846" s="151"/>
    </row>
    <row r="847" spans="25:66">
      <c r="Y847" s="151"/>
      <c r="Z847" s="151"/>
      <c r="AA847" s="151"/>
      <c r="AB847" s="151"/>
      <c r="AC847" s="151"/>
      <c r="AD847" s="151"/>
      <c r="AE847" s="151"/>
      <c r="AF847" s="151"/>
      <c r="AG847" s="151"/>
      <c r="AH847" s="151"/>
      <c r="AI847" s="151"/>
      <c r="AJ847" s="151"/>
      <c r="AK847" s="151"/>
      <c r="AL847" s="151"/>
      <c r="AM847" s="151"/>
      <c r="AN847" s="151"/>
      <c r="AO847" s="151"/>
      <c r="AP847" s="151"/>
      <c r="AQ847" s="151"/>
      <c r="AR847" s="151"/>
      <c r="AS847" s="151"/>
      <c r="AT847" s="151"/>
      <c r="AU847" s="151"/>
      <c r="AV847" s="151"/>
      <c r="AW847" s="151"/>
      <c r="AX847" s="151"/>
      <c r="AY847" s="151"/>
      <c r="AZ847" s="151"/>
      <c r="BA847" s="151"/>
      <c r="BB847" s="151"/>
      <c r="BC847" s="151"/>
      <c r="BD847" s="151"/>
      <c r="BE847" s="151"/>
      <c r="BF847" s="151"/>
      <c r="BG847" s="151"/>
      <c r="BH847" s="151"/>
      <c r="BI847" s="151"/>
      <c r="BJ847" s="151"/>
      <c r="BK847" s="151"/>
      <c r="BL847" s="151"/>
      <c r="BM847" s="151"/>
      <c r="BN847" s="151"/>
    </row>
    <row r="848" spans="25:66">
      <c r="Y848" s="151"/>
      <c r="Z848" s="151"/>
      <c r="AA848" s="151"/>
      <c r="AB848" s="151"/>
      <c r="AC848" s="151"/>
      <c r="AD848" s="151"/>
      <c r="AE848" s="151"/>
      <c r="AF848" s="151"/>
      <c r="AG848" s="151"/>
      <c r="AH848" s="151"/>
      <c r="AI848" s="151"/>
      <c r="AJ848" s="151"/>
      <c r="AK848" s="151"/>
      <c r="AL848" s="151"/>
      <c r="AM848" s="151"/>
      <c r="AN848" s="151"/>
      <c r="AO848" s="151"/>
      <c r="AP848" s="151"/>
      <c r="AQ848" s="151"/>
      <c r="AR848" s="151"/>
      <c r="AS848" s="151"/>
      <c r="AT848" s="151"/>
      <c r="AU848" s="151"/>
      <c r="AV848" s="151"/>
      <c r="AW848" s="151"/>
      <c r="AX848" s="151"/>
      <c r="AY848" s="151"/>
      <c r="AZ848" s="151"/>
      <c r="BA848" s="151"/>
      <c r="BB848" s="151"/>
      <c r="BC848" s="151"/>
      <c r="BD848" s="151"/>
      <c r="BE848" s="151"/>
      <c r="BF848" s="151"/>
      <c r="BG848" s="151"/>
      <c r="BH848" s="151"/>
      <c r="BI848" s="151"/>
      <c r="BJ848" s="151"/>
      <c r="BK848" s="151"/>
      <c r="BL848" s="151"/>
      <c r="BM848" s="151"/>
      <c r="BN848" s="151"/>
    </row>
    <row r="849" spans="25:66">
      <c r="Y849" s="151"/>
      <c r="Z849" s="151"/>
      <c r="AA849" s="151"/>
      <c r="AB849" s="151"/>
      <c r="AC849" s="151"/>
      <c r="AD849" s="151"/>
      <c r="AE849" s="151"/>
      <c r="AF849" s="151"/>
      <c r="AG849" s="151"/>
      <c r="AH849" s="151"/>
      <c r="AI849" s="151"/>
      <c r="AJ849" s="151"/>
      <c r="AK849" s="151"/>
      <c r="AL849" s="151"/>
      <c r="AM849" s="151"/>
      <c r="AN849" s="151"/>
      <c r="AO849" s="151"/>
      <c r="AP849" s="151"/>
      <c r="AQ849" s="151"/>
      <c r="AR849" s="151"/>
      <c r="AS849" s="151"/>
      <c r="AT849" s="151"/>
      <c r="AU849" s="151"/>
      <c r="AV849" s="151"/>
      <c r="AW849" s="151"/>
      <c r="AX849" s="151"/>
      <c r="AY849" s="151"/>
      <c r="AZ849" s="151"/>
      <c r="BA849" s="151"/>
      <c r="BB849" s="151"/>
      <c r="BC849" s="151"/>
      <c r="BD849" s="151"/>
      <c r="BE849" s="151"/>
      <c r="BF849" s="151"/>
      <c r="BG849" s="151"/>
      <c r="BH849" s="151"/>
      <c r="BI849" s="151"/>
      <c r="BJ849" s="151"/>
      <c r="BK849" s="151"/>
      <c r="BL849" s="151"/>
      <c r="BM849" s="151"/>
      <c r="BN849" s="151"/>
    </row>
    <row r="850" spans="25:66">
      <c r="Y850" s="151"/>
      <c r="Z850" s="151"/>
      <c r="AA850" s="151"/>
      <c r="AB850" s="151"/>
      <c r="AC850" s="151"/>
      <c r="AD850" s="151"/>
      <c r="AE850" s="151"/>
      <c r="AF850" s="151"/>
      <c r="AG850" s="151"/>
      <c r="AH850" s="151"/>
      <c r="AI850" s="151"/>
      <c r="AJ850" s="151"/>
      <c r="AK850" s="151"/>
      <c r="AL850" s="151"/>
      <c r="AM850" s="151"/>
      <c r="AN850" s="151"/>
      <c r="AO850" s="151"/>
      <c r="AP850" s="151"/>
      <c r="AQ850" s="151"/>
      <c r="AR850" s="151"/>
      <c r="AS850" s="151"/>
      <c r="AT850" s="151"/>
      <c r="AU850" s="151"/>
      <c r="AV850" s="151"/>
      <c r="AW850" s="151"/>
      <c r="AX850" s="151"/>
      <c r="AY850" s="151"/>
      <c r="AZ850" s="151"/>
      <c r="BA850" s="151"/>
      <c r="BB850" s="151"/>
      <c r="BC850" s="151"/>
      <c r="BD850" s="151"/>
      <c r="BE850" s="151"/>
      <c r="BF850" s="151"/>
      <c r="BG850" s="151"/>
      <c r="BH850" s="151"/>
      <c r="BI850" s="151"/>
      <c r="BJ850" s="151"/>
      <c r="BK850" s="151"/>
      <c r="BL850" s="151"/>
      <c r="BM850" s="151"/>
      <c r="BN850" s="151"/>
    </row>
    <row r="851" spans="25:66">
      <c r="Y851" s="151"/>
      <c r="Z851" s="151"/>
      <c r="AA851" s="151"/>
      <c r="AB851" s="151"/>
      <c r="AC851" s="151"/>
      <c r="AD851" s="151"/>
      <c r="AE851" s="151"/>
      <c r="AF851" s="151"/>
      <c r="AG851" s="151"/>
      <c r="AH851" s="151"/>
      <c r="AI851" s="151"/>
      <c r="AJ851" s="151"/>
      <c r="AK851" s="151"/>
      <c r="AL851" s="151"/>
      <c r="AM851" s="151"/>
      <c r="AN851" s="151"/>
      <c r="AO851" s="151"/>
      <c r="AP851" s="151"/>
      <c r="AQ851" s="151"/>
      <c r="AR851" s="151"/>
      <c r="AS851" s="151"/>
      <c r="AT851" s="151"/>
      <c r="AU851" s="151"/>
      <c r="AV851" s="151"/>
      <c r="AW851" s="151"/>
      <c r="AX851" s="151"/>
      <c r="AY851" s="151"/>
      <c r="AZ851" s="151"/>
      <c r="BA851" s="151"/>
      <c r="BB851" s="151"/>
      <c r="BC851" s="151"/>
      <c r="BD851" s="151"/>
      <c r="BE851" s="151"/>
      <c r="BF851" s="151"/>
      <c r="BG851" s="151"/>
      <c r="BH851" s="151"/>
      <c r="BI851" s="151"/>
      <c r="BJ851" s="151"/>
      <c r="BK851" s="151"/>
      <c r="BL851" s="151"/>
      <c r="BM851" s="151"/>
      <c r="BN851" s="151"/>
    </row>
    <row r="852" spans="25:66">
      <c r="Y852" s="151"/>
      <c r="Z852" s="151"/>
      <c r="AA852" s="151"/>
      <c r="AB852" s="151"/>
      <c r="AC852" s="151"/>
      <c r="AD852" s="151"/>
      <c r="AE852" s="151"/>
      <c r="AF852" s="151"/>
      <c r="AG852" s="151"/>
      <c r="AH852" s="151"/>
      <c r="AI852" s="151"/>
      <c r="AJ852" s="151"/>
      <c r="AK852" s="151"/>
      <c r="AL852" s="151"/>
      <c r="AM852" s="151"/>
      <c r="AN852" s="151"/>
      <c r="AO852" s="151"/>
      <c r="AP852" s="151"/>
      <c r="AQ852" s="151"/>
      <c r="AR852" s="151"/>
      <c r="AS852" s="151"/>
      <c r="AT852" s="151"/>
      <c r="AU852" s="151"/>
      <c r="AV852" s="151"/>
      <c r="AW852" s="151"/>
      <c r="AX852" s="151"/>
      <c r="AY852" s="151"/>
      <c r="AZ852" s="151"/>
      <c r="BA852" s="151"/>
      <c r="BB852" s="151"/>
      <c r="BC852" s="151"/>
      <c r="BD852" s="151"/>
      <c r="BE852" s="151"/>
      <c r="BF852" s="151"/>
      <c r="BG852" s="151"/>
      <c r="BH852" s="151"/>
      <c r="BI852" s="151"/>
      <c r="BJ852" s="151"/>
      <c r="BK852" s="151"/>
      <c r="BL852" s="151"/>
      <c r="BM852" s="151"/>
      <c r="BN852" s="151"/>
    </row>
    <row r="853" spans="25:66">
      <c r="Y853" s="151"/>
      <c r="Z853" s="151"/>
      <c r="AA853" s="151"/>
      <c r="AB853" s="151"/>
      <c r="AC853" s="151"/>
      <c r="AD853" s="151"/>
      <c r="AE853" s="151"/>
      <c r="AF853" s="151"/>
      <c r="AG853" s="151"/>
      <c r="AH853" s="151"/>
      <c r="AI853" s="151"/>
      <c r="AJ853" s="151"/>
      <c r="AK853" s="151"/>
      <c r="AL853" s="151"/>
      <c r="AM853" s="151"/>
      <c r="AN853" s="151"/>
      <c r="AO853" s="151"/>
      <c r="AP853" s="151"/>
      <c r="AQ853" s="151"/>
      <c r="AR853" s="151"/>
      <c r="AS853" s="151"/>
      <c r="AT853" s="151"/>
      <c r="AU853" s="151"/>
      <c r="AV853" s="151"/>
      <c r="AW853" s="151"/>
      <c r="AX853" s="151"/>
      <c r="AY853" s="151"/>
      <c r="AZ853" s="151"/>
      <c r="BA853" s="151"/>
      <c r="BB853" s="151"/>
      <c r="BC853" s="151"/>
      <c r="BD853" s="151"/>
      <c r="BE853" s="151"/>
      <c r="BF853" s="151"/>
      <c r="BG853" s="151"/>
      <c r="BH853" s="151"/>
      <c r="BI853" s="151"/>
      <c r="BJ853" s="151"/>
      <c r="BK853" s="151"/>
      <c r="BL853" s="151"/>
      <c r="BM853" s="151"/>
      <c r="BN853" s="151"/>
    </row>
    <row r="854" spans="25:66">
      <c r="Y854" s="151"/>
      <c r="Z854" s="151"/>
      <c r="AA854" s="151"/>
      <c r="AB854" s="151"/>
      <c r="AC854" s="151"/>
      <c r="AD854" s="151"/>
      <c r="AE854" s="151"/>
      <c r="AF854" s="151"/>
      <c r="AG854" s="151"/>
      <c r="AH854" s="151"/>
      <c r="AI854" s="151"/>
      <c r="AJ854" s="151"/>
      <c r="AK854" s="151"/>
      <c r="AL854" s="151"/>
      <c r="AM854" s="151"/>
      <c r="AN854" s="151"/>
      <c r="AO854" s="151"/>
      <c r="AP854" s="151"/>
      <c r="AQ854" s="151"/>
      <c r="AR854" s="151"/>
      <c r="AS854" s="151"/>
      <c r="AT854" s="151"/>
      <c r="AU854" s="151"/>
      <c r="AV854" s="151"/>
      <c r="AW854" s="151"/>
      <c r="AX854" s="151"/>
      <c r="AY854" s="151"/>
      <c r="AZ854" s="151"/>
      <c r="BA854" s="151"/>
      <c r="BB854" s="151"/>
      <c r="BC854" s="151"/>
      <c r="BD854" s="151"/>
      <c r="BE854" s="151"/>
      <c r="BF854" s="151"/>
      <c r="BG854" s="151"/>
      <c r="BH854" s="151"/>
      <c r="BI854" s="151"/>
      <c r="BJ854" s="151"/>
      <c r="BK854" s="151"/>
      <c r="BL854" s="151"/>
      <c r="BM854" s="151"/>
      <c r="BN854" s="151"/>
    </row>
    <row r="855" spans="25:66">
      <c r="Y855" s="151"/>
      <c r="Z855" s="151"/>
      <c r="AA855" s="151"/>
      <c r="AB855" s="151"/>
      <c r="AC855" s="151"/>
      <c r="AD855" s="151"/>
      <c r="AE855" s="151"/>
      <c r="AF855" s="151"/>
      <c r="AG855" s="151"/>
      <c r="AH855" s="151"/>
      <c r="AI855" s="151"/>
      <c r="AJ855" s="151"/>
      <c r="AK855" s="151"/>
      <c r="AL855" s="151"/>
      <c r="AM855" s="151"/>
      <c r="AN855" s="151"/>
      <c r="AO855" s="151"/>
      <c r="AP855" s="151"/>
      <c r="AQ855" s="151"/>
      <c r="AR855" s="151"/>
      <c r="AS855" s="151"/>
      <c r="AT855" s="151"/>
      <c r="AU855" s="151"/>
      <c r="AV855" s="151"/>
      <c r="AW855" s="151"/>
      <c r="AX855" s="151"/>
      <c r="AY855" s="151"/>
      <c r="AZ855" s="151"/>
      <c r="BA855" s="151"/>
      <c r="BB855" s="151"/>
      <c r="BC855" s="151"/>
      <c r="BD855" s="151"/>
      <c r="BE855" s="151"/>
      <c r="BF855" s="151"/>
      <c r="BG855" s="151"/>
      <c r="BH855" s="151"/>
      <c r="BI855" s="151"/>
      <c r="BJ855" s="151"/>
      <c r="BK855" s="151"/>
      <c r="BL855" s="151"/>
      <c r="BM855" s="151"/>
      <c r="BN855" s="151"/>
    </row>
    <row r="856" spans="25:66">
      <c r="Y856" s="151"/>
      <c r="Z856" s="151"/>
      <c r="AA856" s="151"/>
      <c r="AB856" s="151"/>
      <c r="AC856" s="151"/>
      <c r="AD856" s="151"/>
      <c r="AE856" s="151"/>
      <c r="AF856" s="151"/>
      <c r="AG856" s="151"/>
      <c r="AH856" s="151"/>
      <c r="AI856" s="151"/>
      <c r="AJ856" s="151"/>
      <c r="AK856" s="151"/>
      <c r="AL856" s="151"/>
      <c r="AM856" s="151"/>
      <c r="AN856" s="151"/>
      <c r="AO856" s="151"/>
      <c r="AP856" s="151"/>
      <c r="AQ856" s="151"/>
      <c r="AR856" s="151"/>
      <c r="AS856" s="151"/>
      <c r="AT856" s="151"/>
      <c r="AU856" s="151"/>
      <c r="AV856" s="151"/>
      <c r="AW856" s="151"/>
      <c r="AX856" s="151"/>
      <c r="AY856" s="151"/>
      <c r="AZ856" s="151"/>
      <c r="BA856" s="151"/>
      <c r="BB856" s="151"/>
      <c r="BC856" s="151"/>
      <c r="BD856" s="151"/>
      <c r="BE856" s="151"/>
      <c r="BF856" s="151"/>
      <c r="BG856" s="151"/>
      <c r="BH856" s="151"/>
      <c r="BI856" s="151"/>
      <c r="BJ856" s="151"/>
      <c r="BK856" s="151"/>
      <c r="BL856" s="151"/>
      <c r="BM856" s="151"/>
      <c r="BN856" s="151"/>
    </row>
    <row r="857" spans="25:66">
      <c r="Y857" s="151"/>
      <c r="Z857" s="151"/>
      <c r="AA857" s="151"/>
      <c r="AB857" s="151"/>
      <c r="AC857" s="151"/>
      <c r="AD857" s="151"/>
      <c r="AE857" s="151"/>
      <c r="AF857" s="151"/>
      <c r="AG857" s="151"/>
      <c r="AH857" s="151"/>
      <c r="AI857" s="151"/>
      <c r="AJ857" s="151"/>
      <c r="AK857" s="151"/>
      <c r="AL857" s="151"/>
      <c r="AM857" s="151"/>
      <c r="AN857" s="151"/>
      <c r="AO857" s="151"/>
      <c r="AP857" s="151"/>
      <c r="AQ857" s="151"/>
      <c r="AR857" s="151"/>
      <c r="AS857" s="151"/>
      <c r="AT857" s="151"/>
      <c r="AU857" s="151"/>
      <c r="AV857" s="151"/>
      <c r="AW857" s="151"/>
      <c r="AX857" s="151"/>
      <c r="AY857" s="151"/>
      <c r="AZ857" s="151"/>
      <c r="BA857" s="151"/>
      <c r="BB857" s="151"/>
      <c r="BC857" s="151"/>
      <c r="BD857" s="151"/>
      <c r="BE857" s="151"/>
      <c r="BF857" s="151"/>
      <c r="BG857" s="151"/>
      <c r="BH857" s="151"/>
      <c r="BI857" s="151"/>
      <c r="BJ857" s="151"/>
      <c r="BK857" s="151"/>
      <c r="BL857" s="151"/>
      <c r="BM857" s="151"/>
      <c r="BN857" s="151"/>
    </row>
    <row r="858" spans="25:66">
      <c r="Y858" s="151"/>
      <c r="Z858" s="151"/>
      <c r="AA858" s="151"/>
      <c r="AB858" s="151"/>
      <c r="AC858" s="151"/>
      <c r="AD858" s="151"/>
      <c r="AE858" s="151"/>
      <c r="AF858" s="151"/>
      <c r="AG858" s="151"/>
      <c r="AH858" s="151"/>
      <c r="AI858" s="151"/>
      <c r="AJ858" s="151"/>
      <c r="AK858" s="151"/>
      <c r="AL858" s="151"/>
      <c r="AM858" s="151"/>
      <c r="AN858" s="151"/>
      <c r="AO858" s="151"/>
      <c r="AP858" s="151"/>
      <c r="AQ858" s="151"/>
      <c r="AR858" s="151"/>
      <c r="AS858" s="151"/>
      <c r="AT858" s="151"/>
      <c r="AU858" s="151"/>
      <c r="AV858" s="151"/>
      <c r="AW858" s="151"/>
      <c r="AX858" s="151"/>
      <c r="AY858" s="151"/>
      <c r="AZ858" s="151"/>
      <c r="BA858" s="151"/>
      <c r="BB858" s="151"/>
      <c r="BC858" s="151"/>
      <c r="BD858" s="151"/>
      <c r="BE858" s="151"/>
      <c r="BF858" s="151"/>
      <c r="BG858" s="151"/>
      <c r="BH858" s="151"/>
      <c r="BI858" s="151"/>
      <c r="BJ858" s="151"/>
      <c r="BK858" s="151"/>
      <c r="BL858" s="151"/>
      <c r="BM858" s="151"/>
      <c r="BN858" s="151"/>
    </row>
    <row r="859" spans="25:66">
      <c r="Y859" s="151"/>
      <c r="Z859" s="151"/>
      <c r="AA859" s="151"/>
      <c r="AB859" s="151"/>
      <c r="AC859" s="151"/>
      <c r="AD859" s="151"/>
      <c r="AE859" s="151"/>
      <c r="AF859" s="151"/>
      <c r="AG859" s="151"/>
      <c r="AH859" s="151"/>
      <c r="AI859" s="151"/>
      <c r="AJ859" s="151"/>
      <c r="AK859" s="151"/>
      <c r="AL859" s="151"/>
      <c r="AM859" s="151"/>
      <c r="AN859" s="151"/>
      <c r="AO859" s="151"/>
      <c r="AP859" s="151"/>
      <c r="AQ859" s="151"/>
      <c r="AR859" s="151"/>
      <c r="AS859" s="151"/>
      <c r="AT859" s="151"/>
      <c r="AU859" s="151"/>
      <c r="AV859" s="151"/>
      <c r="AW859" s="151"/>
      <c r="AX859" s="151"/>
      <c r="AY859" s="151"/>
      <c r="AZ859" s="151"/>
      <c r="BA859" s="151"/>
      <c r="BB859" s="151"/>
      <c r="BC859" s="151"/>
      <c r="BD859" s="151"/>
      <c r="BE859" s="151"/>
      <c r="BF859" s="151"/>
      <c r="BG859" s="151"/>
      <c r="BH859" s="151"/>
      <c r="BI859" s="151"/>
      <c r="BJ859" s="151"/>
      <c r="BK859" s="151"/>
      <c r="BL859" s="151"/>
      <c r="BM859" s="151"/>
      <c r="BN859" s="151"/>
    </row>
    <row r="860" spans="25:66">
      <c r="Y860" s="151"/>
      <c r="Z860" s="151"/>
      <c r="AA860" s="151"/>
      <c r="AB860" s="151"/>
      <c r="AC860" s="151"/>
      <c r="AD860" s="151"/>
      <c r="AE860" s="151"/>
      <c r="AF860" s="151"/>
      <c r="AG860" s="151"/>
      <c r="AH860" s="151"/>
      <c r="AI860" s="151"/>
      <c r="AJ860" s="151"/>
      <c r="AK860" s="151"/>
      <c r="AL860" s="151"/>
      <c r="AM860" s="151"/>
      <c r="AN860" s="151"/>
      <c r="AO860" s="151"/>
      <c r="AP860" s="151"/>
      <c r="AQ860" s="151"/>
      <c r="AR860" s="151"/>
      <c r="AS860" s="151"/>
      <c r="AT860" s="151"/>
      <c r="AU860" s="151"/>
      <c r="AV860" s="151"/>
      <c r="AW860" s="151"/>
      <c r="AX860" s="151"/>
      <c r="AY860" s="151"/>
      <c r="AZ860" s="151"/>
      <c r="BA860" s="151"/>
      <c r="BB860" s="151"/>
      <c r="BC860" s="151"/>
      <c r="BD860" s="151"/>
      <c r="BE860" s="151"/>
      <c r="BF860" s="151"/>
      <c r="BG860" s="151"/>
      <c r="BH860" s="151"/>
      <c r="BI860" s="151"/>
      <c r="BJ860" s="151"/>
      <c r="BK860" s="151"/>
      <c r="BL860" s="151"/>
      <c r="BM860" s="151"/>
      <c r="BN860" s="151"/>
    </row>
    <row r="861" spans="25:66">
      <c r="Y861" s="151"/>
      <c r="Z861" s="151"/>
      <c r="AA861" s="151"/>
      <c r="AB861" s="151"/>
      <c r="AC861" s="151"/>
      <c r="AD861" s="151"/>
      <c r="AE861" s="151"/>
      <c r="AF861" s="151"/>
      <c r="AG861" s="151"/>
      <c r="AH861" s="151"/>
      <c r="AI861" s="151"/>
      <c r="AJ861" s="151"/>
      <c r="AK861" s="151"/>
      <c r="AL861" s="151"/>
      <c r="AM861" s="151"/>
      <c r="AN861" s="151"/>
      <c r="AO861" s="151"/>
      <c r="AP861" s="151"/>
      <c r="AQ861" s="151"/>
      <c r="AR861" s="151"/>
      <c r="AS861" s="151"/>
      <c r="AT861" s="151"/>
      <c r="AU861" s="151"/>
      <c r="AV861" s="151"/>
      <c r="AW861" s="151"/>
      <c r="AX861" s="151"/>
      <c r="AY861" s="151"/>
      <c r="AZ861" s="151"/>
      <c r="BA861" s="151"/>
      <c r="BB861" s="151"/>
      <c r="BC861" s="151"/>
      <c r="BD861" s="151"/>
      <c r="BE861" s="151"/>
      <c r="BF861" s="151"/>
      <c r="BG861" s="151"/>
      <c r="BH861" s="151"/>
      <c r="BI861" s="151"/>
      <c r="BJ861" s="151"/>
      <c r="BK861" s="151"/>
      <c r="BL861" s="151"/>
      <c r="BM861" s="151"/>
      <c r="BN861" s="151"/>
    </row>
    <row r="862" spans="25:66">
      <c r="Y862" s="151"/>
      <c r="Z862" s="151"/>
      <c r="AA862" s="151"/>
      <c r="AB862" s="151"/>
      <c r="AC862" s="151"/>
      <c r="AD862" s="151"/>
      <c r="AE862" s="151"/>
      <c r="AF862" s="151"/>
      <c r="AG862" s="151"/>
      <c r="AH862" s="151"/>
      <c r="AI862" s="151"/>
      <c r="AJ862" s="151"/>
      <c r="AK862" s="151"/>
      <c r="AL862" s="151"/>
      <c r="AM862" s="151"/>
      <c r="AN862" s="151"/>
      <c r="AO862" s="151"/>
      <c r="AP862" s="151"/>
      <c r="AQ862" s="151"/>
      <c r="AR862" s="151"/>
      <c r="AS862" s="151"/>
      <c r="AT862" s="151"/>
      <c r="AU862" s="151"/>
      <c r="AV862" s="151"/>
      <c r="AW862" s="151"/>
      <c r="AX862" s="151"/>
      <c r="AY862" s="151"/>
      <c r="AZ862" s="151"/>
      <c r="BA862" s="151"/>
      <c r="BB862" s="151"/>
      <c r="BC862" s="151"/>
      <c r="BD862" s="151"/>
      <c r="BE862" s="151"/>
      <c r="BF862" s="151"/>
      <c r="BG862" s="151"/>
      <c r="BH862" s="151"/>
      <c r="BI862" s="151"/>
      <c r="BJ862" s="151"/>
      <c r="BK862" s="151"/>
      <c r="BL862" s="151"/>
      <c r="BM862" s="151"/>
      <c r="BN862" s="151"/>
    </row>
    <row r="863" spans="25:66">
      <c r="Y863" s="151"/>
      <c r="Z863" s="151"/>
      <c r="AA863" s="151"/>
      <c r="AB863" s="151"/>
      <c r="AC863" s="151"/>
      <c r="AD863" s="151"/>
      <c r="AE863" s="151"/>
      <c r="AF863" s="151"/>
      <c r="AG863" s="151"/>
      <c r="AH863" s="151"/>
      <c r="AI863" s="151"/>
      <c r="AJ863" s="151"/>
      <c r="AK863" s="151"/>
      <c r="AL863" s="151"/>
      <c r="AM863" s="151"/>
      <c r="AN863" s="151"/>
      <c r="AO863" s="151"/>
      <c r="AP863" s="151"/>
      <c r="AQ863" s="151"/>
      <c r="AR863" s="151"/>
      <c r="AS863" s="151"/>
      <c r="AT863" s="151"/>
      <c r="AU863" s="151"/>
      <c r="AV863" s="151"/>
      <c r="AW863" s="151"/>
      <c r="AX863" s="151"/>
      <c r="AY863" s="151"/>
      <c r="AZ863" s="151"/>
      <c r="BA863" s="151"/>
      <c r="BB863" s="151"/>
      <c r="BC863" s="151"/>
      <c r="BD863" s="151"/>
      <c r="BE863" s="151"/>
      <c r="BF863" s="151"/>
      <c r="BG863" s="151"/>
      <c r="BH863" s="151"/>
      <c r="BI863" s="151"/>
      <c r="BJ863" s="151"/>
      <c r="BK863" s="151"/>
      <c r="BL863" s="151"/>
      <c r="BM863" s="151"/>
      <c r="BN863" s="151"/>
    </row>
    <row r="864" spans="25:66">
      <c r="Y864" s="151"/>
      <c r="Z864" s="151"/>
      <c r="AA864" s="151"/>
      <c r="AB864" s="151"/>
      <c r="AC864" s="151"/>
      <c r="AD864" s="151"/>
      <c r="AE864" s="151"/>
      <c r="AF864" s="151"/>
      <c r="AG864" s="151"/>
      <c r="AH864" s="151"/>
      <c r="AI864" s="151"/>
      <c r="AJ864" s="151"/>
      <c r="AK864" s="151"/>
      <c r="AL864" s="151"/>
      <c r="AM864" s="151"/>
      <c r="AN864" s="151"/>
      <c r="AO864" s="151"/>
      <c r="AP864" s="151"/>
      <c r="AQ864" s="151"/>
      <c r="AR864" s="151"/>
      <c r="AS864" s="151"/>
      <c r="AT864" s="151"/>
      <c r="AU864" s="151"/>
      <c r="AV864" s="151"/>
      <c r="AW864" s="151"/>
      <c r="AX864" s="151"/>
      <c r="AY864" s="151"/>
      <c r="AZ864" s="151"/>
      <c r="BA864" s="151"/>
      <c r="BB864" s="151"/>
      <c r="BC864" s="151"/>
      <c r="BD864" s="151"/>
      <c r="BE864" s="151"/>
      <c r="BF864" s="151"/>
      <c r="BG864" s="151"/>
      <c r="BH864" s="151"/>
      <c r="BI864" s="151"/>
      <c r="BJ864" s="151"/>
      <c r="BK864" s="151"/>
      <c r="BL864" s="151"/>
      <c r="BM864" s="151"/>
      <c r="BN864" s="151"/>
    </row>
    <row r="865" spans="25:66">
      <c r="Y865" s="151"/>
      <c r="Z865" s="151"/>
      <c r="AA865" s="151"/>
      <c r="AB865" s="151"/>
      <c r="AC865" s="151"/>
      <c r="AD865" s="151"/>
      <c r="AE865" s="151"/>
      <c r="AF865" s="151"/>
      <c r="AG865" s="151"/>
      <c r="AH865" s="151"/>
      <c r="AI865" s="151"/>
      <c r="AJ865" s="151"/>
      <c r="AK865" s="151"/>
      <c r="AL865" s="151"/>
      <c r="AM865" s="151"/>
      <c r="AN865" s="151"/>
      <c r="AO865" s="151"/>
      <c r="AP865" s="151"/>
      <c r="AQ865" s="151"/>
      <c r="AR865" s="151"/>
      <c r="AS865" s="151"/>
      <c r="AT865" s="151"/>
      <c r="AU865" s="151"/>
      <c r="AV865" s="151"/>
      <c r="AW865" s="151"/>
      <c r="AX865" s="151"/>
      <c r="AY865" s="151"/>
      <c r="AZ865" s="151"/>
      <c r="BA865" s="151"/>
      <c r="BB865" s="151"/>
      <c r="BC865" s="151"/>
      <c r="BD865" s="151"/>
      <c r="BE865" s="151"/>
      <c r="BF865" s="151"/>
      <c r="BG865" s="151"/>
      <c r="BH865" s="151"/>
      <c r="BI865" s="151"/>
      <c r="BJ865" s="151"/>
      <c r="BK865" s="151"/>
      <c r="BL865" s="151"/>
      <c r="BM865" s="151"/>
      <c r="BN865" s="151"/>
    </row>
    <row r="866" spans="25:66">
      <c r="Y866" s="151"/>
      <c r="Z866" s="151"/>
      <c r="AA866" s="151"/>
      <c r="AB866" s="151"/>
      <c r="AC866" s="151"/>
      <c r="AD866" s="151"/>
      <c r="AE866" s="151"/>
      <c r="AF866" s="151"/>
      <c r="AG866" s="151"/>
      <c r="AH866" s="151"/>
      <c r="AI866" s="151"/>
      <c r="AJ866" s="151"/>
      <c r="AK866" s="151"/>
      <c r="AL866" s="151"/>
      <c r="AM866" s="151"/>
      <c r="AN866" s="151"/>
      <c r="AO866" s="151"/>
      <c r="AP866" s="151"/>
      <c r="AQ866" s="151"/>
      <c r="AR866" s="151"/>
      <c r="AS866" s="151"/>
      <c r="AT866" s="151"/>
      <c r="AU866" s="151"/>
      <c r="AV866" s="151"/>
      <c r="AW866" s="151"/>
      <c r="AX866" s="151"/>
      <c r="AY866" s="151"/>
      <c r="AZ866" s="151"/>
      <c r="BA866" s="151"/>
      <c r="BB866" s="151"/>
      <c r="BC866" s="151"/>
      <c r="BD866" s="151"/>
      <c r="BE866" s="151"/>
      <c r="BF866" s="151"/>
      <c r="BG866" s="151"/>
      <c r="BH866" s="151"/>
      <c r="BI866" s="151"/>
      <c r="BJ866" s="151"/>
      <c r="BK866" s="151"/>
      <c r="BL866" s="151"/>
      <c r="BM866" s="151"/>
      <c r="BN866" s="151"/>
    </row>
    <row r="867" spans="25:66">
      <c r="Y867" s="151"/>
      <c r="Z867" s="151"/>
      <c r="AA867" s="151"/>
      <c r="AB867" s="151"/>
      <c r="AC867" s="151"/>
      <c r="AD867" s="151"/>
      <c r="AE867" s="151"/>
      <c r="AF867" s="151"/>
      <c r="AG867" s="151"/>
      <c r="AH867" s="151"/>
      <c r="AI867" s="151"/>
      <c r="AJ867" s="151"/>
      <c r="AK867" s="151"/>
      <c r="AL867" s="151"/>
      <c r="AM867" s="151"/>
      <c r="AN867" s="151"/>
      <c r="AO867" s="151"/>
      <c r="AP867" s="151"/>
      <c r="AQ867" s="151"/>
      <c r="AR867" s="151"/>
      <c r="AS867" s="151"/>
      <c r="AT867" s="151"/>
      <c r="AU867" s="151"/>
      <c r="AV867" s="151"/>
      <c r="AW867" s="151"/>
      <c r="AX867" s="151"/>
      <c r="AY867" s="151"/>
      <c r="AZ867" s="151"/>
      <c r="BA867" s="151"/>
      <c r="BB867" s="151"/>
      <c r="BC867" s="151"/>
      <c r="BD867" s="151"/>
      <c r="BE867" s="151"/>
      <c r="BF867" s="151"/>
      <c r="BG867" s="151"/>
      <c r="BH867" s="151"/>
      <c r="BI867" s="151"/>
      <c r="BJ867" s="151"/>
      <c r="BK867" s="151"/>
      <c r="BL867" s="151"/>
      <c r="BM867" s="151"/>
      <c r="BN867" s="151"/>
    </row>
    <row r="868" spans="25:66">
      <c r="Y868" s="151"/>
      <c r="Z868" s="151"/>
      <c r="AA868" s="151"/>
      <c r="AB868" s="151"/>
      <c r="AC868" s="151"/>
      <c r="AD868" s="151"/>
      <c r="AE868" s="151"/>
      <c r="AF868" s="151"/>
      <c r="AG868" s="151"/>
      <c r="AH868" s="151"/>
      <c r="AI868" s="151"/>
      <c r="AJ868" s="151"/>
      <c r="AK868" s="151"/>
      <c r="AL868" s="151"/>
      <c r="AM868" s="151"/>
      <c r="AN868" s="151"/>
      <c r="AO868" s="151"/>
      <c r="AP868" s="151"/>
      <c r="AQ868" s="151"/>
      <c r="AR868" s="151"/>
      <c r="AS868" s="151"/>
      <c r="AT868" s="151"/>
      <c r="AU868" s="151"/>
      <c r="AV868" s="151"/>
      <c r="AW868" s="151"/>
      <c r="AX868" s="151"/>
      <c r="AY868" s="151"/>
      <c r="AZ868" s="151"/>
      <c r="BA868" s="151"/>
      <c r="BB868" s="151"/>
      <c r="BC868" s="151"/>
      <c r="BD868" s="151"/>
      <c r="BE868" s="151"/>
      <c r="BF868" s="151"/>
      <c r="BG868" s="151"/>
      <c r="BH868" s="151"/>
      <c r="BI868" s="151"/>
      <c r="BJ868" s="151"/>
      <c r="BK868" s="151"/>
      <c r="BL868" s="151"/>
      <c r="BM868" s="151"/>
      <c r="BN868" s="151"/>
    </row>
    <row r="869" spans="25:66">
      <c r="Y869" s="151"/>
      <c r="Z869" s="151"/>
      <c r="AA869" s="151"/>
      <c r="AB869" s="151"/>
      <c r="AC869" s="151"/>
      <c r="AD869" s="151"/>
      <c r="AE869" s="151"/>
      <c r="AF869" s="151"/>
      <c r="AG869" s="151"/>
      <c r="AH869" s="151"/>
      <c r="AI869" s="151"/>
      <c r="AJ869" s="151"/>
      <c r="AK869" s="151"/>
      <c r="AL869" s="151"/>
      <c r="AM869" s="151"/>
      <c r="AN869" s="151"/>
      <c r="AO869" s="151"/>
      <c r="AP869" s="151"/>
      <c r="AQ869" s="151"/>
      <c r="AR869" s="151"/>
      <c r="AS869" s="151"/>
      <c r="AT869" s="151"/>
      <c r="AU869" s="151"/>
      <c r="AV869" s="151"/>
      <c r="AW869" s="151"/>
      <c r="AX869" s="151"/>
      <c r="AY869" s="151"/>
      <c r="AZ869" s="151"/>
      <c r="BA869" s="151"/>
      <c r="BB869" s="151"/>
      <c r="BC869" s="151"/>
      <c r="BD869" s="151"/>
      <c r="BE869" s="151"/>
      <c r="BF869" s="151"/>
      <c r="BG869" s="151"/>
      <c r="BH869" s="151"/>
      <c r="BI869" s="151"/>
      <c r="BJ869" s="151"/>
      <c r="BK869" s="151"/>
      <c r="BL869" s="151"/>
      <c r="BM869" s="151"/>
      <c r="BN869" s="151"/>
    </row>
    <row r="870" spans="25:66">
      <c r="Y870" s="151"/>
      <c r="Z870" s="151"/>
      <c r="AA870" s="151"/>
      <c r="AB870" s="151"/>
      <c r="AC870" s="151"/>
      <c r="AD870" s="151"/>
      <c r="AE870" s="151"/>
      <c r="AF870" s="151"/>
      <c r="AG870" s="151"/>
      <c r="AH870" s="151"/>
      <c r="AI870" s="151"/>
      <c r="AJ870" s="151"/>
      <c r="AK870" s="151"/>
      <c r="AL870" s="151"/>
      <c r="AM870" s="151"/>
      <c r="AN870" s="151"/>
      <c r="AO870" s="151"/>
      <c r="AP870" s="151"/>
      <c r="AQ870" s="151"/>
      <c r="AR870" s="151"/>
      <c r="AS870" s="151"/>
      <c r="AT870" s="151"/>
      <c r="AU870" s="151"/>
      <c r="AV870" s="151"/>
      <c r="AW870" s="151"/>
      <c r="AX870" s="151"/>
      <c r="AY870" s="151"/>
      <c r="AZ870" s="151"/>
      <c r="BA870" s="151"/>
      <c r="BB870" s="151"/>
      <c r="BC870" s="151"/>
      <c r="BD870" s="151"/>
      <c r="BE870" s="151"/>
      <c r="BF870" s="151"/>
      <c r="BG870" s="151"/>
      <c r="BH870" s="151"/>
      <c r="BI870" s="151"/>
      <c r="BJ870" s="151"/>
      <c r="BK870" s="151"/>
      <c r="BL870" s="151"/>
      <c r="BM870" s="151"/>
      <c r="BN870" s="151"/>
    </row>
    <row r="871" spans="25:66">
      <c r="Y871" s="151"/>
      <c r="Z871" s="151"/>
      <c r="AA871" s="151"/>
      <c r="AB871" s="151"/>
      <c r="AC871" s="151"/>
      <c r="AD871" s="151"/>
      <c r="AE871" s="151"/>
      <c r="AF871" s="151"/>
      <c r="AG871" s="151"/>
      <c r="AH871" s="151"/>
      <c r="AI871" s="151"/>
      <c r="AJ871" s="151"/>
      <c r="AK871" s="151"/>
      <c r="AL871" s="151"/>
      <c r="AM871" s="151"/>
      <c r="AN871" s="151"/>
      <c r="AO871" s="151"/>
      <c r="AP871" s="151"/>
      <c r="AQ871" s="151"/>
      <c r="AR871" s="151"/>
      <c r="AS871" s="151"/>
      <c r="AT871" s="151"/>
      <c r="AU871" s="151"/>
      <c r="AV871" s="151"/>
      <c r="AW871" s="151"/>
      <c r="AX871" s="151"/>
      <c r="AY871" s="151"/>
      <c r="AZ871" s="151"/>
      <c r="BA871" s="151"/>
      <c r="BB871" s="151"/>
      <c r="BC871" s="151"/>
      <c r="BD871" s="151"/>
      <c r="BE871" s="151"/>
      <c r="BF871" s="151"/>
      <c r="BG871" s="151"/>
      <c r="BH871" s="151"/>
      <c r="BI871" s="151"/>
      <c r="BJ871" s="151"/>
      <c r="BK871" s="151"/>
      <c r="BL871" s="151"/>
      <c r="BM871" s="151"/>
      <c r="BN871" s="151"/>
    </row>
    <row r="872" spans="25:66">
      <c r="Y872" s="151"/>
      <c r="Z872" s="151"/>
      <c r="AA872" s="151"/>
      <c r="AB872" s="151"/>
      <c r="AC872" s="151"/>
      <c r="AD872" s="151"/>
      <c r="AE872" s="151"/>
      <c r="AF872" s="151"/>
      <c r="AG872" s="151"/>
      <c r="AH872" s="151"/>
      <c r="AI872" s="151"/>
      <c r="AJ872" s="151"/>
      <c r="AK872" s="151"/>
      <c r="AL872" s="151"/>
      <c r="AM872" s="151"/>
      <c r="AN872" s="151"/>
      <c r="AO872" s="151"/>
      <c r="AP872" s="151"/>
      <c r="AQ872" s="151"/>
      <c r="AR872" s="151"/>
      <c r="AS872" s="151"/>
      <c r="AT872" s="151"/>
      <c r="AU872" s="151"/>
      <c r="AV872" s="151"/>
      <c r="AW872" s="151"/>
      <c r="AX872" s="151"/>
      <c r="AY872" s="151"/>
      <c r="AZ872" s="151"/>
      <c r="BA872" s="151"/>
      <c r="BB872" s="151"/>
      <c r="BC872" s="151"/>
      <c r="BD872" s="151"/>
      <c r="BE872" s="151"/>
      <c r="BF872" s="151"/>
      <c r="BG872" s="151"/>
      <c r="BH872" s="151"/>
      <c r="BI872" s="151"/>
      <c r="BJ872" s="151"/>
      <c r="BK872" s="151"/>
      <c r="BL872" s="151"/>
      <c r="BM872" s="151"/>
      <c r="BN872" s="151"/>
    </row>
    <row r="873" spans="25:66">
      <c r="Y873" s="151"/>
      <c r="Z873" s="151"/>
      <c r="AA873" s="151"/>
      <c r="AB873" s="151"/>
      <c r="AC873" s="151"/>
      <c r="AD873" s="151"/>
      <c r="AE873" s="151"/>
      <c r="AF873" s="151"/>
      <c r="AG873" s="151"/>
      <c r="AH873" s="151"/>
      <c r="AI873" s="151"/>
      <c r="AJ873" s="151"/>
      <c r="AK873" s="151"/>
      <c r="AL873" s="151"/>
      <c r="AM873" s="151"/>
      <c r="AN873" s="151"/>
      <c r="AO873" s="151"/>
      <c r="AP873" s="151"/>
      <c r="AQ873" s="151"/>
      <c r="AR873" s="151"/>
      <c r="AS873" s="151"/>
      <c r="AT873" s="151"/>
      <c r="AU873" s="151"/>
      <c r="AV873" s="151"/>
      <c r="AW873" s="151"/>
      <c r="AX873" s="151"/>
      <c r="AY873" s="151"/>
      <c r="AZ873" s="151"/>
      <c r="BA873" s="151"/>
      <c r="BB873" s="151"/>
      <c r="BC873" s="151"/>
      <c r="BD873" s="151"/>
      <c r="BE873" s="151"/>
      <c r="BF873" s="151"/>
      <c r="BG873" s="151"/>
      <c r="BH873" s="151"/>
      <c r="BI873" s="151"/>
      <c r="BJ873" s="151"/>
      <c r="BK873" s="151"/>
      <c r="BL873" s="151"/>
      <c r="BM873" s="151"/>
      <c r="BN873" s="151"/>
    </row>
    <row r="874" spans="25:66">
      <c r="Y874" s="151"/>
      <c r="Z874" s="151"/>
      <c r="AA874" s="151"/>
      <c r="AB874" s="151"/>
      <c r="AC874" s="151"/>
      <c r="AD874" s="151"/>
      <c r="AE874" s="151"/>
      <c r="AF874" s="151"/>
      <c r="AG874" s="151"/>
      <c r="AH874" s="151"/>
      <c r="AI874" s="151"/>
      <c r="AJ874" s="151"/>
      <c r="AK874" s="151"/>
      <c r="AL874" s="151"/>
      <c r="AM874" s="151"/>
      <c r="AN874" s="151"/>
      <c r="AO874" s="151"/>
      <c r="AP874" s="151"/>
      <c r="AQ874" s="151"/>
      <c r="AR874" s="151"/>
      <c r="AS874" s="151"/>
      <c r="AT874" s="151"/>
      <c r="AU874" s="151"/>
      <c r="AV874" s="151"/>
      <c r="AW874" s="151"/>
      <c r="AX874" s="151"/>
      <c r="AY874" s="151"/>
      <c r="AZ874" s="151"/>
      <c r="BA874" s="151"/>
      <c r="BB874" s="151"/>
      <c r="BC874" s="151"/>
      <c r="BD874" s="151"/>
      <c r="BE874" s="151"/>
      <c r="BF874" s="151"/>
      <c r="BG874" s="151"/>
      <c r="BH874" s="151"/>
      <c r="BI874" s="151"/>
      <c r="BJ874" s="151"/>
      <c r="BK874" s="151"/>
      <c r="BL874" s="151"/>
      <c r="BM874" s="151"/>
      <c r="BN874" s="151"/>
    </row>
    <row r="875" spans="25:66">
      <c r="Y875" s="151"/>
      <c r="Z875" s="151"/>
      <c r="AA875" s="151"/>
      <c r="AB875" s="151"/>
      <c r="AC875" s="151"/>
      <c r="AD875" s="151"/>
      <c r="AE875" s="151"/>
      <c r="AF875" s="151"/>
      <c r="AG875" s="151"/>
      <c r="AH875" s="151"/>
      <c r="AI875" s="151"/>
      <c r="AJ875" s="151"/>
      <c r="AK875" s="151"/>
      <c r="AL875" s="151"/>
      <c r="AM875" s="151"/>
      <c r="AN875" s="151"/>
      <c r="AO875" s="151"/>
      <c r="AP875" s="151"/>
      <c r="AQ875" s="151"/>
      <c r="AR875" s="151"/>
      <c r="AS875" s="151"/>
      <c r="AT875" s="151"/>
      <c r="AU875" s="151"/>
      <c r="AV875" s="151"/>
      <c r="AW875" s="151"/>
      <c r="AX875" s="151"/>
      <c r="AY875" s="151"/>
      <c r="AZ875" s="151"/>
      <c r="BA875" s="151"/>
      <c r="BB875" s="151"/>
      <c r="BC875" s="151"/>
      <c r="BD875" s="151"/>
      <c r="BE875" s="151"/>
      <c r="BF875" s="151"/>
      <c r="BG875" s="151"/>
      <c r="BH875" s="151"/>
      <c r="BI875" s="151"/>
      <c r="BJ875" s="151"/>
      <c r="BK875" s="151"/>
      <c r="BL875" s="151"/>
      <c r="BM875" s="151"/>
      <c r="BN875" s="151"/>
    </row>
    <row r="876" spans="25:66">
      <c r="Y876" s="151"/>
      <c r="Z876" s="151"/>
      <c r="AA876" s="151"/>
      <c r="AB876" s="151"/>
      <c r="AC876" s="151"/>
      <c r="AD876" s="151"/>
      <c r="AE876" s="151"/>
      <c r="AF876" s="151"/>
      <c r="AG876" s="151"/>
      <c r="AH876" s="151"/>
      <c r="AI876" s="151"/>
      <c r="AJ876" s="151"/>
      <c r="AK876" s="151"/>
      <c r="AL876" s="151"/>
      <c r="AM876" s="151"/>
      <c r="AN876" s="151"/>
      <c r="AO876" s="151"/>
      <c r="AP876" s="151"/>
      <c r="AQ876" s="151"/>
      <c r="AR876" s="151"/>
      <c r="AS876" s="151"/>
      <c r="AT876" s="151"/>
      <c r="AU876" s="151"/>
      <c r="AV876" s="151"/>
      <c r="AW876" s="151"/>
      <c r="AX876" s="151"/>
      <c r="AY876" s="151"/>
      <c r="AZ876" s="151"/>
      <c r="BA876" s="151"/>
      <c r="BB876" s="151"/>
      <c r="BC876" s="151"/>
      <c r="BD876" s="151"/>
      <c r="BE876" s="151"/>
      <c r="BF876" s="151"/>
      <c r="BG876" s="151"/>
      <c r="BH876" s="151"/>
      <c r="BI876" s="151"/>
      <c r="BJ876" s="151"/>
      <c r="BK876" s="151"/>
      <c r="BL876" s="151"/>
      <c r="BM876" s="151"/>
      <c r="BN876" s="151"/>
    </row>
    <row r="877" spans="25:66">
      <c r="Y877" s="151"/>
      <c r="Z877" s="151"/>
      <c r="AA877" s="151"/>
      <c r="AB877" s="151"/>
      <c r="AC877" s="151"/>
      <c r="AD877" s="151"/>
      <c r="AE877" s="151"/>
      <c r="AF877" s="151"/>
      <c r="AG877" s="151"/>
      <c r="AH877" s="151"/>
      <c r="AI877" s="151"/>
      <c r="AJ877" s="151"/>
      <c r="AK877" s="151"/>
      <c r="AL877" s="151"/>
      <c r="AM877" s="151"/>
      <c r="AN877" s="151"/>
      <c r="AO877" s="151"/>
      <c r="AP877" s="151"/>
      <c r="AQ877" s="151"/>
      <c r="AR877" s="151"/>
      <c r="AS877" s="151"/>
      <c r="AT877" s="151"/>
      <c r="AU877" s="151"/>
      <c r="AV877" s="151"/>
      <c r="AW877" s="151"/>
      <c r="AX877" s="151"/>
      <c r="AY877" s="151"/>
      <c r="AZ877" s="151"/>
      <c r="BA877" s="151"/>
      <c r="BB877" s="151"/>
      <c r="BC877" s="151"/>
      <c r="BD877" s="151"/>
      <c r="BE877" s="151"/>
      <c r="BF877" s="151"/>
      <c r="BG877" s="151"/>
      <c r="BH877" s="151"/>
      <c r="BI877" s="151"/>
      <c r="BJ877" s="151"/>
      <c r="BK877" s="151"/>
      <c r="BL877" s="151"/>
      <c r="BM877" s="151"/>
      <c r="BN877" s="151"/>
    </row>
    <row r="878" spans="25:66">
      <c r="Y878" s="151"/>
      <c r="Z878" s="151"/>
      <c r="AA878" s="151"/>
      <c r="AB878" s="151"/>
      <c r="AC878" s="151"/>
      <c r="AD878" s="151"/>
      <c r="AE878" s="151"/>
      <c r="AF878" s="151"/>
      <c r="AG878" s="151"/>
      <c r="AH878" s="151"/>
      <c r="AI878" s="151"/>
      <c r="AJ878" s="151"/>
      <c r="AK878" s="151"/>
      <c r="AL878" s="151"/>
      <c r="AM878" s="151"/>
      <c r="AN878" s="151"/>
      <c r="AO878" s="151"/>
      <c r="AP878" s="151"/>
      <c r="AQ878" s="151"/>
      <c r="AR878" s="151"/>
      <c r="AS878" s="151"/>
      <c r="AT878" s="151"/>
      <c r="AU878" s="151"/>
      <c r="AV878" s="151"/>
      <c r="AW878" s="151"/>
      <c r="AX878" s="151"/>
      <c r="AY878" s="151"/>
      <c r="AZ878" s="151"/>
      <c r="BA878" s="151"/>
      <c r="BB878" s="151"/>
      <c r="BC878" s="151"/>
      <c r="BD878" s="151"/>
      <c r="BE878" s="151"/>
      <c r="BF878" s="151"/>
      <c r="BG878" s="151"/>
      <c r="BH878" s="151"/>
      <c r="BI878" s="151"/>
      <c r="BJ878" s="151"/>
      <c r="BK878" s="151"/>
      <c r="BL878" s="151"/>
      <c r="BM878" s="151"/>
      <c r="BN878" s="151"/>
    </row>
    <row r="879" spans="25:66">
      <c r="Y879" s="151"/>
      <c r="Z879" s="151"/>
      <c r="AA879" s="151"/>
      <c r="AB879" s="151"/>
      <c r="AC879" s="151"/>
      <c r="AD879" s="151"/>
      <c r="AE879" s="151"/>
      <c r="AF879" s="151"/>
      <c r="AG879" s="151"/>
      <c r="AH879" s="151"/>
      <c r="AI879" s="151"/>
      <c r="AJ879" s="151"/>
      <c r="AK879" s="151"/>
      <c r="AL879" s="151"/>
      <c r="AM879" s="151"/>
      <c r="AN879" s="151"/>
      <c r="AO879" s="151"/>
      <c r="AP879" s="151"/>
      <c r="AQ879" s="151"/>
      <c r="AR879" s="151"/>
      <c r="AS879" s="151"/>
      <c r="AT879" s="151"/>
      <c r="AU879" s="151"/>
      <c r="AV879" s="151"/>
      <c r="AW879" s="151"/>
      <c r="AX879" s="151"/>
      <c r="AY879" s="151"/>
      <c r="AZ879" s="151"/>
      <c r="BA879" s="151"/>
      <c r="BB879" s="151"/>
      <c r="BC879" s="151"/>
      <c r="BD879" s="151"/>
      <c r="BE879" s="151"/>
      <c r="BF879" s="151"/>
      <c r="BG879" s="151"/>
      <c r="BH879" s="151"/>
      <c r="BI879" s="151"/>
      <c r="BJ879" s="151"/>
      <c r="BK879" s="151"/>
      <c r="BL879" s="151"/>
      <c r="BM879" s="151"/>
      <c r="BN879" s="151"/>
    </row>
    <row r="880" spans="25:66">
      <c r="Y880" s="151"/>
      <c r="Z880" s="151"/>
      <c r="AA880" s="151"/>
      <c r="AB880" s="151"/>
      <c r="AC880" s="151"/>
      <c r="AD880" s="151"/>
      <c r="AE880" s="151"/>
      <c r="AF880" s="151"/>
      <c r="AG880" s="151"/>
      <c r="AH880" s="151"/>
      <c r="AI880" s="151"/>
      <c r="AJ880" s="151"/>
      <c r="AK880" s="151"/>
      <c r="AL880" s="151"/>
      <c r="AM880" s="151"/>
      <c r="AN880" s="151"/>
      <c r="AO880" s="151"/>
      <c r="AP880" s="151"/>
      <c r="AQ880" s="151"/>
      <c r="AR880" s="151"/>
      <c r="AS880" s="151"/>
      <c r="AT880" s="151"/>
      <c r="AU880" s="151"/>
      <c r="AV880" s="151"/>
      <c r="AW880" s="151"/>
      <c r="AX880" s="151"/>
      <c r="AY880" s="151"/>
      <c r="AZ880" s="151"/>
      <c r="BA880" s="151"/>
      <c r="BB880" s="151"/>
      <c r="BC880" s="151"/>
      <c r="BD880" s="151"/>
      <c r="BE880" s="151"/>
      <c r="BF880" s="151"/>
      <c r="BG880" s="151"/>
      <c r="BH880" s="151"/>
      <c r="BI880" s="151"/>
      <c r="BJ880" s="151"/>
      <c r="BK880" s="151"/>
      <c r="BL880" s="151"/>
      <c r="BM880" s="151"/>
      <c r="BN880" s="151"/>
    </row>
    <row r="881" spans="25:66">
      <c r="Y881" s="151"/>
      <c r="Z881" s="151"/>
      <c r="AA881" s="151"/>
      <c r="AB881" s="151"/>
      <c r="AC881" s="151"/>
      <c r="AD881" s="151"/>
      <c r="AE881" s="151"/>
      <c r="AF881" s="151"/>
      <c r="AG881" s="151"/>
      <c r="AH881" s="151"/>
      <c r="AI881" s="151"/>
      <c r="AJ881" s="151"/>
      <c r="AK881" s="151"/>
      <c r="AL881" s="151"/>
      <c r="AM881" s="151"/>
      <c r="AN881" s="151"/>
      <c r="AO881" s="151"/>
      <c r="AP881" s="151"/>
      <c r="AQ881" s="151"/>
      <c r="AR881" s="151"/>
      <c r="AS881" s="151"/>
      <c r="AT881" s="151"/>
      <c r="AU881" s="151"/>
      <c r="AV881" s="151"/>
      <c r="AW881" s="151"/>
      <c r="AX881" s="151"/>
      <c r="AY881" s="151"/>
      <c r="AZ881" s="151"/>
      <c r="BA881" s="151"/>
      <c r="BB881" s="151"/>
      <c r="BC881" s="151"/>
      <c r="BD881" s="151"/>
      <c r="BE881" s="151"/>
      <c r="BF881" s="151"/>
      <c r="BG881" s="151"/>
      <c r="BH881" s="151"/>
      <c r="BI881" s="151"/>
      <c r="BJ881" s="151"/>
      <c r="BK881" s="151"/>
      <c r="BL881" s="151"/>
      <c r="BM881" s="151"/>
      <c r="BN881" s="151"/>
    </row>
    <row r="882" spans="25:66">
      <c r="Y882" s="151"/>
      <c r="Z882" s="151"/>
      <c r="AA882" s="151"/>
      <c r="AB882" s="151"/>
      <c r="AC882" s="151"/>
      <c r="AD882" s="151"/>
      <c r="AE882" s="151"/>
      <c r="AF882" s="151"/>
      <c r="AG882" s="151"/>
      <c r="AH882" s="151"/>
      <c r="AI882" s="151"/>
      <c r="AJ882" s="151"/>
      <c r="AK882" s="151"/>
      <c r="AL882" s="151"/>
      <c r="AM882" s="151"/>
      <c r="AN882" s="151"/>
      <c r="AO882" s="151"/>
      <c r="AP882" s="151"/>
      <c r="AQ882" s="151"/>
      <c r="AR882" s="151"/>
      <c r="AS882" s="151"/>
      <c r="AT882" s="151"/>
      <c r="AU882" s="151"/>
      <c r="AV882" s="151"/>
      <c r="AW882" s="151"/>
      <c r="AX882" s="151"/>
      <c r="AY882" s="151"/>
      <c r="AZ882" s="151"/>
      <c r="BA882" s="151"/>
      <c r="BB882" s="151"/>
      <c r="BC882" s="151"/>
      <c r="BD882" s="151"/>
      <c r="BE882" s="151"/>
      <c r="BF882" s="151"/>
      <c r="BG882" s="151"/>
      <c r="BH882" s="151"/>
      <c r="BI882" s="151"/>
      <c r="BJ882" s="151"/>
      <c r="BK882" s="151"/>
      <c r="BL882" s="151"/>
      <c r="BM882" s="151"/>
      <c r="BN882" s="151"/>
    </row>
    <row r="883" spans="25:66">
      <c r="Y883" s="151"/>
      <c r="Z883" s="151"/>
      <c r="AA883" s="151"/>
      <c r="AB883" s="151"/>
      <c r="AC883" s="151"/>
      <c r="AD883" s="151"/>
      <c r="AE883" s="151"/>
      <c r="AF883" s="151"/>
      <c r="AG883" s="151"/>
      <c r="AH883" s="151"/>
      <c r="AI883" s="151"/>
      <c r="AJ883" s="151"/>
      <c r="AK883" s="151"/>
      <c r="AL883" s="151"/>
      <c r="AM883" s="151"/>
      <c r="AN883" s="151"/>
      <c r="AO883" s="151"/>
      <c r="AP883" s="151"/>
      <c r="AQ883" s="151"/>
      <c r="AR883" s="151"/>
      <c r="AS883" s="151"/>
      <c r="AT883" s="151"/>
      <c r="AU883" s="151"/>
      <c r="AV883" s="151"/>
      <c r="AW883" s="151"/>
      <c r="AX883" s="151"/>
      <c r="AY883" s="151"/>
      <c r="AZ883" s="151"/>
      <c r="BA883" s="151"/>
      <c r="BB883" s="151"/>
      <c r="BC883" s="151"/>
      <c r="BD883" s="151"/>
      <c r="BE883" s="151"/>
      <c r="BF883" s="151"/>
      <c r="BG883" s="151"/>
      <c r="BH883" s="151"/>
      <c r="BI883" s="151"/>
      <c r="BJ883" s="151"/>
      <c r="BK883" s="151"/>
      <c r="BL883" s="151"/>
      <c r="BM883" s="151"/>
      <c r="BN883" s="151"/>
    </row>
    <row r="884" spans="25:66">
      <c r="Y884" s="151"/>
      <c r="Z884" s="151"/>
      <c r="AA884" s="151"/>
      <c r="AB884" s="151"/>
      <c r="AC884" s="151"/>
      <c r="AD884" s="151"/>
      <c r="AE884" s="151"/>
      <c r="AF884" s="151"/>
      <c r="AG884" s="151"/>
      <c r="AH884" s="151"/>
      <c r="AI884" s="151"/>
      <c r="AJ884" s="151"/>
      <c r="AK884" s="151"/>
      <c r="AL884" s="151"/>
      <c r="AM884" s="151"/>
      <c r="AN884" s="151"/>
      <c r="AO884" s="151"/>
      <c r="AP884" s="151"/>
      <c r="AQ884" s="151"/>
      <c r="AR884" s="151"/>
      <c r="AS884" s="151"/>
      <c r="AT884" s="151"/>
      <c r="AU884" s="151"/>
      <c r="AV884" s="151"/>
      <c r="AW884" s="151"/>
      <c r="AX884" s="151"/>
      <c r="AY884" s="151"/>
      <c r="AZ884" s="151"/>
      <c r="BA884" s="151"/>
      <c r="BB884" s="151"/>
      <c r="BC884" s="151"/>
      <c r="BD884" s="151"/>
      <c r="BE884" s="151"/>
      <c r="BF884" s="151"/>
      <c r="BG884" s="151"/>
      <c r="BH884" s="151"/>
      <c r="BI884" s="151"/>
      <c r="BJ884" s="151"/>
      <c r="BK884" s="151"/>
      <c r="BL884" s="151"/>
      <c r="BM884" s="151"/>
      <c r="BN884" s="151"/>
    </row>
    <row r="885" spans="25:66">
      <c r="Y885" s="151"/>
      <c r="Z885" s="151"/>
      <c r="AA885" s="151"/>
      <c r="AB885" s="151"/>
      <c r="AC885" s="151"/>
      <c r="AD885" s="151"/>
      <c r="AE885" s="151"/>
      <c r="AF885" s="151"/>
      <c r="AG885" s="151"/>
      <c r="AH885" s="151"/>
      <c r="AI885" s="151"/>
      <c r="AJ885" s="151"/>
      <c r="AK885" s="151"/>
      <c r="AL885" s="151"/>
      <c r="AM885" s="151"/>
      <c r="AN885" s="151"/>
      <c r="AO885" s="151"/>
      <c r="AP885" s="151"/>
      <c r="AQ885" s="151"/>
      <c r="AR885" s="151"/>
      <c r="AS885" s="151"/>
      <c r="AT885" s="151"/>
      <c r="AU885" s="151"/>
      <c r="AV885" s="151"/>
      <c r="AW885" s="151"/>
      <c r="AX885" s="151"/>
      <c r="AY885" s="151"/>
      <c r="AZ885" s="151"/>
      <c r="BA885" s="151"/>
      <c r="BB885" s="151"/>
      <c r="BC885" s="151"/>
      <c r="BD885" s="151"/>
      <c r="BE885" s="151"/>
      <c r="BF885" s="151"/>
      <c r="BG885" s="151"/>
      <c r="BH885" s="151"/>
      <c r="BI885" s="151"/>
      <c r="BJ885" s="151"/>
      <c r="BK885" s="151"/>
      <c r="BL885" s="151"/>
      <c r="BM885" s="151"/>
      <c r="BN885" s="151"/>
    </row>
    <row r="886" spans="25:66">
      <c r="Y886" s="151"/>
      <c r="Z886" s="151"/>
      <c r="AA886" s="151"/>
      <c r="AB886" s="151"/>
      <c r="AC886" s="151"/>
      <c r="AD886" s="151"/>
      <c r="AE886" s="151"/>
      <c r="AF886" s="151"/>
      <c r="AG886" s="151"/>
      <c r="AH886" s="151"/>
      <c r="AI886" s="151"/>
      <c r="AJ886" s="151"/>
      <c r="AK886" s="151"/>
      <c r="AL886" s="151"/>
      <c r="AM886" s="151"/>
      <c r="AN886" s="151"/>
      <c r="AO886" s="151"/>
      <c r="AP886" s="151"/>
      <c r="AQ886" s="151"/>
      <c r="AR886" s="151"/>
      <c r="AS886" s="151"/>
      <c r="AT886" s="151"/>
      <c r="AU886" s="151"/>
      <c r="AV886" s="151"/>
      <c r="AW886" s="151"/>
      <c r="AX886" s="151"/>
      <c r="AY886" s="151"/>
      <c r="AZ886" s="151"/>
      <c r="BA886" s="151"/>
      <c r="BB886" s="151"/>
      <c r="BC886" s="151"/>
      <c r="BD886" s="151"/>
      <c r="BE886" s="151"/>
      <c r="BF886" s="151"/>
      <c r="BG886" s="151"/>
      <c r="BH886" s="151"/>
      <c r="BI886" s="151"/>
      <c r="BJ886" s="151"/>
      <c r="BK886" s="151"/>
      <c r="BL886" s="151"/>
      <c r="BM886" s="151"/>
      <c r="BN886" s="151"/>
    </row>
    <row r="887" spans="25:66">
      <c r="Y887" s="151"/>
      <c r="Z887" s="151"/>
      <c r="AA887" s="151"/>
      <c r="AB887" s="151"/>
      <c r="AC887" s="151"/>
      <c r="AD887" s="151"/>
      <c r="AE887" s="151"/>
      <c r="AF887" s="151"/>
      <c r="AG887" s="151"/>
      <c r="AH887" s="151"/>
      <c r="AI887" s="151"/>
      <c r="AJ887" s="151"/>
      <c r="AK887" s="151"/>
      <c r="AL887" s="151"/>
      <c r="AM887" s="151"/>
      <c r="AN887" s="151"/>
      <c r="AO887" s="151"/>
      <c r="AP887" s="151"/>
      <c r="AQ887" s="151"/>
      <c r="AR887" s="151"/>
      <c r="AS887" s="151"/>
      <c r="AT887" s="151"/>
      <c r="AU887" s="151"/>
      <c r="AV887" s="151"/>
      <c r="AW887" s="151"/>
      <c r="AX887" s="151"/>
      <c r="AY887" s="151"/>
      <c r="AZ887" s="151"/>
      <c r="BA887" s="151"/>
      <c r="BB887" s="151"/>
      <c r="BC887" s="151"/>
      <c r="BD887" s="151"/>
      <c r="BE887" s="151"/>
      <c r="BF887" s="151"/>
      <c r="BG887" s="151"/>
      <c r="BH887" s="151"/>
      <c r="BI887" s="151"/>
      <c r="BJ887" s="151"/>
      <c r="BK887" s="151"/>
      <c r="BL887" s="151"/>
      <c r="BM887" s="151"/>
      <c r="BN887" s="151"/>
    </row>
    <row r="888" spans="25:66">
      <c r="Y888" s="151"/>
      <c r="Z888" s="151"/>
      <c r="AA888" s="151"/>
      <c r="AB888" s="151"/>
      <c r="AC888" s="151"/>
      <c r="AD888" s="151"/>
      <c r="AE888" s="151"/>
      <c r="AF888" s="151"/>
      <c r="AG888" s="151"/>
      <c r="AH888" s="151"/>
      <c r="AI888" s="151"/>
      <c r="AJ888" s="151"/>
      <c r="AK888" s="151"/>
      <c r="AL888" s="151"/>
      <c r="AM888" s="151"/>
      <c r="AN888" s="151"/>
      <c r="AO888" s="151"/>
      <c r="AP888" s="151"/>
      <c r="AQ888" s="151"/>
      <c r="AR888" s="151"/>
      <c r="AS888" s="151"/>
      <c r="AT888" s="151"/>
      <c r="AU888" s="151"/>
      <c r="AV888" s="151"/>
      <c r="AW888" s="151"/>
      <c r="AX888" s="151"/>
      <c r="AY888" s="151"/>
      <c r="AZ888" s="151"/>
      <c r="BA888" s="151"/>
      <c r="BB888" s="151"/>
      <c r="BC888" s="151"/>
      <c r="BD888" s="151"/>
      <c r="BE888" s="151"/>
      <c r="BF888" s="151"/>
      <c r="BG888" s="151"/>
      <c r="BH888" s="151"/>
      <c r="BI888" s="151"/>
      <c r="BJ888" s="151"/>
      <c r="BK888" s="151"/>
      <c r="BL888" s="151"/>
      <c r="BM888" s="151"/>
      <c r="BN888" s="151"/>
    </row>
    <row r="889" spans="25:66">
      <c r="Y889" s="151"/>
      <c r="Z889" s="151"/>
      <c r="AA889" s="151"/>
      <c r="AB889" s="151"/>
      <c r="AC889" s="151"/>
      <c r="AD889" s="151"/>
      <c r="AE889" s="151"/>
      <c r="AF889" s="151"/>
      <c r="AG889" s="151"/>
      <c r="AH889" s="151"/>
      <c r="AI889" s="151"/>
      <c r="AJ889" s="151"/>
      <c r="AK889" s="151"/>
      <c r="AL889" s="151"/>
      <c r="AM889" s="151"/>
      <c r="AN889" s="151"/>
      <c r="AO889" s="151"/>
      <c r="AP889" s="151"/>
      <c r="AQ889" s="151"/>
      <c r="AR889" s="151"/>
      <c r="AS889" s="151"/>
      <c r="AT889" s="151"/>
      <c r="AU889" s="151"/>
      <c r="AV889" s="151"/>
      <c r="AW889" s="151"/>
      <c r="AX889" s="151"/>
      <c r="AY889" s="151"/>
      <c r="AZ889" s="151"/>
      <c r="BA889" s="151"/>
      <c r="BB889" s="151"/>
      <c r="BC889" s="151"/>
      <c r="BD889" s="151"/>
      <c r="BE889" s="151"/>
      <c r="BF889" s="151"/>
      <c r="BG889" s="151"/>
      <c r="BH889" s="151"/>
      <c r="BI889" s="151"/>
      <c r="BJ889" s="151"/>
      <c r="BK889" s="151"/>
      <c r="BL889" s="151"/>
      <c r="BM889" s="151"/>
      <c r="BN889" s="151"/>
    </row>
    <row r="890" spans="25:66">
      <c r="Y890" s="151"/>
      <c r="Z890" s="151"/>
      <c r="AA890" s="151"/>
      <c r="AB890" s="151"/>
      <c r="AC890" s="151"/>
      <c r="AD890" s="151"/>
      <c r="AE890" s="151"/>
      <c r="AF890" s="151"/>
      <c r="AG890" s="151"/>
      <c r="AH890" s="151"/>
      <c r="AI890" s="151"/>
      <c r="AJ890" s="151"/>
      <c r="AK890" s="151"/>
      <c r="AL890" s="151"/>
      <c r="AM890" s="151"/>
      <c r="AN890" s="151"/>
      <c r="AO890" s="151"/>
      <c r="AP890" s="151"/>
      <c r="AQ890" s="151"/>
      <c r="AR890" s="151"/>
      <c r="AS890" s="151"/>
      <c r="AT890" s="151"/>
      <c r="AU890" s="151"/>
      <c r="AV890" s="151"/>
      <c r="AW890" s="151"/>
      <c r="AX890" s="151"/>
      <c r="AY890" s="151"/>
      <c r="AZ890" s="151"/>
      <c r="BA890" s="151"/>
      <c r="BB890" s="151"/>
      <c r="BC890" s="151"/>
      <c r="BD890" s="151"/>
      <c r="BE890" s="151"/>
      <c r="BF890" s="151"/>
      <c r="BG890" s="151"/>
      <c r="BH890" s="151"/>
      <c r="BI890" s="151"/>
      <c r="BJ890" s="151"/>
      <c r="BK890" s="151"/>
      <c r="BL890" s="151"/>
      <c r="BM890" s="151"/>
      <c r="BN890" s="151"/>
    </row>
    <row r="891" spans="25:66">
      <c r="Y891" s="151"/>
      <c r="Z891" s="151"/>
      <c r="AA891" s="151"/>
      <c r="AB891" s="151"/>
      <c r="AC891" s="151"/>
      <c r="AD891" s="151"/>
      <c r="AE891" s="151"/>
      <c r="AF891" s="151"/>
      <c r="AG891" s="151"/>
      <c r="AH891" s="151"/>
      <c r="AI891" s="151"/>
      <c r="AJ891" s="151"/>
      <c r="AK891" s="151"/>
      <c r="AL891" s="151"/>
      <c r="AM891" s="151"/>
      <c r="AN891" s="151"/>
      <c r="AO891" s="151"/>
      <c r="AP891" s="151"/>
      <c r="AQ891" s="151"/>
      <c r="AR891" s="151"/>
      <c r="AS891" s="151"/>
      <c r="AT891" s="151"/>
      <c r="AU891" s="151"/>
      <c r="AV891" s="151"/>
      <c r="AW891" s="151"/>
      <c r="AX891" s="151"/>
      <c r="AY891" s="151"/>
      <c r="AZ891" s="151"/>
      <c r="BA891" s="151"/>
      <c r="BB891" s="151"/>
      <c r="BC891" s="151"/>
      <c r="BD891" s="151"/>
      <c r="BE891" s="151"/>
      <c r="BF891" s="151"/>
      <c r="BG891" s="151"/>
      <c r="BH891" s="151"/>
      <c r="BI891" s="151"/>
      <c r="BJ891" s="151"/>
      <c r="BK891" s="151"/>
      <c r="BL891" s="151"/>
      <c r="BM891" s="151"/>
      <c r="BN891" s="151"/>
    </row>
    <row r="892" spans="25:66">
      <c r="Y892" s="151"/>
      <c r="Z892" s="151"/>
      <c r="AA892" s="151"/>
      <c r="AB892" s="151"/>
      <c r="AC892" s="151"/>
      <c r="AD892" s="151"/>
      <c r="AE892" s="151"/>
      <c r="AF892" s="151"/>
      <c r="AG892" s="151"/>
      <c r="AH892" s="151"/>
      <c r="AI892" s="151"/>
      <c r="AJ892" s="151"/>
      <c r="AK892" s="151"/>
      <c r="AL892" s="151"/>
      <c r="AM892" s="151"/>
      <c r="AN892" s="151"/>
      <c r="AO892" s="151"/>
      <c r="AP892" s="151"/>
      <c r="AQ892" s="151"/>
      <c r="AR892" s="151"/>
      <c r="AS892" s="151"/>
      <c r="AT892" s="151"/>
      <c r="AU892" s="151"/>
      <c r="AV892" s="151"/>
      <c r="AW892" s="151"/>
      <c r="AX892" s="151"/>
      <c r="AY892" s="151"/>
      <c r="AZ892" s="151"/>
      <c r="BA892" s="151"/>
      <c r="BB892" s="151"/>
      <c r="BC892" s="151"/>
      <c r="BD892" s="151"/>
      <c r="BE892" s="151"/>
      <c r="BF892" s="151"/>
      <c r="BG892" s="151"/>
      <c r="BH892" s="151"/>
      <c r="BI892" s="151"/>
      <c r="BJ892" s="151"/>
      <c r="BK892" s="151"/>
      <c r="BL892" s="151"/>
      <c r="BM892" s="151"/>
      <c r="BN892" s="151"/>
    </row>
    <row r="893" spans="25:66">
      <c r="Y893" s="151"/>
      <c r="Z893" s="151"/>
      <c r="AA893" s="151"/>
      <c r="AB893" s="151"/>
      <c r="AC893" s="151"/>
      <c r="AD893" s="151"/>
      <c r="AE893" s="151"/>
      <c r="AF893" s="151"/>
      <c r="AG893" s="151"/>
      <c r="AH893" s="151"/>
      <c r="AI893" s="151"/>
      <c r="AJ893" s="151"/>
      <c r="AK893" s="151"/>
      <c r="AL893" s="151"/>
      <c r="AM893" s="151"/>
      <c r="AN893" s="151"/>
      <c r="AO893" s="151"/>
      <c r="AP893" s="151"/>
      <c r="AQ893" s="151"/>
      <c r="AR893" s="151"/>
      <c r="AS893" s="151"/>
      <c r="AT893" s="151"/>
      <c r="AU893" s="151"/>
      <c r="AV893" s="151"/>
      <c r="AW893" s="151"/>
      <c r="AX893" s="151"/>
      <c r="AY893" s="151"/>
      <c r="AZ893" s="151"/>
      <c r="BA893" s="151"/>
      <c r="BB893" s="151"/>
      <c r="BC893" s="151"/>
      <c r="BD893" s="151"/>
      <c r="BE893" s="151"/>
      <c r="BF893" s="151"/>
      <c r="BG893" s="151"/>
      <c r="BH893" s="151"/>
      <c r="BI893" s="151"/>
      <c r="BJ893" s="151"/>
      <c r="BK893" s="151"/>
      <c r="BL893" s="151"/>
      <c r="BM893" s="151"/>
      <c r="BN893" s="151"/>
    </row>
    <row r="894" spans="25:66">
      <c r="Y894" s="151"/>
      <c r="Z894" s="151"/>
      <c r="AA894" s="151"/>
      <c r="AB894" s="151"/>
      <c r="AC894" s="151"/>
      <c r="AD894" s="151"/>
      <c r="AE894" s="151"/>
      <c r="AF894" s="151"/>
      <c r="AG894" s="151"/>
      <c r="AH894" s="151"/>
      <c r="AI894" s="151"/>
      <c r="AJ894" s="151"/>
      <c r="AK894" s="151"/>
      <c r="AL894" s="151"/>
      <c r="AM894" s="151"/>
      <c r="AN894" s="151"/>
      <c r="AO894" s="151"/>
      <c r="AP894" s="151"/>
      <c r="AQ894" s="151"/>
      <c r="AR894" s="151"/>
      <c r="AS894" s="151"/>
      <c r="AT894" s="151"/>
      <c r="AU894" s="151"/>
      <c r="AV894" s="151"/>
      <c r="AW894" s="151"/>
      <c r="AX894" s="151"/>
      <c r="AY894" s="151"/>
      <c r="AZ894" s="151"/>
      <c r="BA894" s="151"/>
      <c r="BB894" s="151"/>
      <c r="BC894" s="151"/>
      <c r="BD894" s="151"/>
      <c r="BE894" s="151"/>
      <c r="BF894" s="151"/>
      <c r="BG894" s="151"/>
      <c r="BH894" s="151"/>
      <c r="BI894" s="151"/>
      <c r="BJ894" s="151"/>
      <c r="BK894" s="151"/>
      <c r="BL894" s="151"/>
      <c r="BM894" s="151"/>
      <c r="BN894" s="151"/>
    </row>
    <row r="895" spans="25:66">
      <c r="Y895" s="151"/>
      <c r="Z895" s="151"/>
      <c r="AA895" s="151"/>
      <c r="AB895" s="151"/>
      <c r="AC895" s="151"/>
      <c r="AD895" s="151"/>
      <c r="AE895" s="151"/>
      <c r="AF895" s="151"/>
      <c r="AG895" s="151"/>
      <c r="AH895" s="151"/>
      <c r="AI895" s="151"/>
      <c r="AJ895" s="151"/>
      <c r="AK895" s="151"/>
      <c r="AL895" s="151"/>
      <c r="AM895" s="151"/>
      <c r="AN895" s="151"/>
      <c r="AO895" s="151"/>
      <c r="AP895" s="151"/>
      <c r="AQ895" s="151"/>
      <c r="AR895" s="151"/>
      <c r="AS895" s="151"/>
      <c r="AT895" s="151"/>
      <c r="AU895" s="151"/>
      <c r="AV895" s="151"/>
      <c r="AW895" s="151"/>
      <c r="AX895" s="151"/>
      <c r="AY895" s="151"/>
      <c r="AZ895" s="151"/>
      <c r="BA895" s="151"/>
      <c r="BB895" s="151"/>
      <c r="BC895" s="151"/>
      <c r="BD895" s="151"/>
      <c r="BE895" s="151"/>
      <c r="BF895" s="151"/>
      <c r="BG895" s="151"/>
      <c r="BH895" s="151"/>
      <c r="BI895" s="151"/>
      <c r="BJ895" s="151"/>
      <c r="BK895" s="151"/>
      <c r="BL895" s="151"/>
      <c r="BM895" s="151"/>
      <c r="BN895" s="151"/>
    </row>
    <row r="896" spans="25:66">
      <c r="Y896" s="151"/>
      <c r="Z896" s="151"/>
      <c r="AA896" s="151"/>
      <c r="AB896" s="151"/>
      <c r="AC896" s="151"/>
      <c r="AD896" s="151"/>
      <c r="AE896" s="151"/>
      <c r="AF896" s="151"/>
      <c r="AG896" s="151"/>
      <c r="AH896" s="151"/>
      <c r="AI896" s="151"/>
      <c r="AJ896" s="151"/>
      <c r="AK896" s="151"/>
      <c r="AL896" s="151"/>
      <c r="AM896" s="151"/>
      <c r="AN896" s="151"/>
      <c r="AO896" s="151"/>
      <c r="AP896" s="151"/>
      <c r="AQ896" s="151"/>
      <c r="AR896" s="151"/>
      <c r="AS896" s="151"/>
      <c r="AT896" s="151"/>
      <c r="AU896" s="151"/>
      <c r="AV896" s="151"/>
      <c r="AW896" s="151"/>
      <c r="AX896" s="151"/>
      <c r="AY896" s="151"/>
      <c r="AZ896" s="151"/>
      <c r="BA896" s="151"/>
      <c r="BB896" s="151"/>
      <c r="BC896" s="151"/>
      <c r="BD896" s="151"/>
      <c r="BE896" s="151"/>
      <c r="BF896" s="151"/>
      <c r="BG896" s="151"/>
      <c r="BH896" s="151"/>
      <c r="BI896" s="151"/>
      <c r="BJ896" s="151"/>
      <c r="BK896" s="151"/>
      <c r="BL896" s="151"/>
      <c r="BM896" s="151"/>
      <c r="BN896" s="151"/>
    </row>
    <row r="897" spans="25:66">
      <c r="Y897" s="151"/>
      <c r="Z897" s="151"/>
      <c r="AA897" s="151"/>
      <c r="AB897" s="151"/>
      <c r="AC897" s="151"/>
      <c r="AD897" s="151"/>
      <c r="AE897" s="151"/>
      <c r="AF897" s="151"/>
      <c r="AG897" s="151"/>
      <c r="AH897" s="151"/>
      <c r="AI897" s="151"/>
      <c r="AJ897" s="151"/>
      <c r="AK897" s="151"/>
      <c r="AL897" s="151"/>
      <c r="AM897" s="151"/>
      <c r="AN897" s="151"/>
      <c r="AO897" s="151"/>
      <c r="AP897" s="151"/>
      <c r="AQ897" s="151"/>
      <c r="AR897" s="151"/>
      <c r="AS897" s="151"/>
      <c r="AT897" s="151"/>
      <c r="AU897" s="151"/>
      <c r="AV897" s="151"/>
      <c r="AW897" s="151"/>
      <c r="AX897" s="151"/>
      <c r="AY897" s="151"/>
      <c r="AZ897" s="151"/>
      <c r="BA897" s="151"/>
      <c r="BB897" s="151"/>
      <c r="BC897" s="151"/>
      <c r="BD897" s="151"/>
      <c r="BE897" s="151"/>
      <c r="BF897" s="151"/>
      <c r="BG897" s="151"/>
      <c r="BH897" s="151"/>
      <c r="BI897" s="151"/>
      <c r="BJ897" s="151"/>
      <c r="BK897" s="151"/>
      <c r="BL897" s="151"/>
      <c r="BM897" s="151"/>
      <c r="BN897" s="151"/>
    </row>
    <row r="898" spans="25:66">
      <c r="Y898" s="151"/>
      <c r="Z898" s="151"/>
      <c r="AA898" s="151"/>
      <c r="AB898" s="151"/>
      <c r="AC898" s="151"/>
      <c r="AD898" s="151"/>
      <c r="AE898" s="151"/>
      <c r="AF898" s="151"/>
      <c r="AG898" s="151"/>
      <c r="AH898" s="151"/>
      <c r="AI898" s="151"/>
      <c r="AJ898" s="151"/>
      <c r="AK898" s="151"/>
      <c r="AL898" s="151"/>
      <c r="AM898" s="151"/>
      <c r="AN898" s="151"/>
      <c r="AO898" s="151"/>
      <c r="AP898" s="151"/>
      <c r="AQ898" s="151"/>
      <c r="AR898" s="151"/>
      <c r="AS898" s="151"/>
      <c r="AT898" s="151"/>
      <c r="AU898" s="151"/>
      <c r="AV898" s="151"/>
      <c r="AW898" s="151"/>
      <c r="AX898" s="151"/>
      <c r="AY898" s="151"/>
      <c r="AZ898" s="151"/>
      <c r="BA898" s="151"/>
      <c r="BB898" s="151"/>
      <c r="BC898" s="151"/>
      <c r="BD898" s="151"/>
      <c r="BE898" s="151"/>
      <c r="BF898" s="151"/>
      <c r="BG898" s="151"/>
      <c r="BH898" s="151"/>
      <c r="BI898" s="151"/>
      <c r="BJ898" s="151"/>
      <c r="BK898" s="151"/>
      <c r="BL898" s="151"/>
      <c r="BM898" s="151"/>
      <c r="BN898" s="151"/>
    </row>
    <row r="899" spans="25:66">
      <c r="Y899" s="151"/>
      <c r="Z899" s="151"/>
      <c r="AA899" s="151"/>
      <c r="AB899" s="151"/>
      <c r="AC899" s="151"/>
      <c r="AD899" s="151"/>
      <c r="AE899" s="151"/>
      <c r="AF899" s="151"/>
      <c r="AG899" s="151"/>
      <c r="AH899" s="151"/>
      <c r="AI899" s="151"/>
      <c r="AJ899" s="151"/>
      <c r="AK899" s="151"/>
      <c r="AL899" s="151"/>
      <c r="AM899" s="151"/>
      <c r="AN899" s="151"/>
      <c r="AO899" s="151"/>
      <c r="AP899" s="151"/>
      <c r="AQ899" s="151"/>
      <c r="AR899" s="151"/>
      <c r="AS899" s="151"/>
      <c r="AT899" s="151"/>
      <c r="AU899" s="151"/>
      <c r="AV899" s="151"/>
      <c r="AW899" s="151"/>
      <c r="AX899" s="151"/>
      <c r="AY899" s="151"/>
      <c r="AZ899" s="151"/>
      <c r="BA899" s="151"/>
      <c r="BB899" s="151"/>
      <c r="BC899" s="151"/>
      <c r="BD899" s="151"/>
      <c r="BE899" s="151"/>
      <c r="BF899" s="151"/>
      <c r="BG899" s="151"/>
      <c r="BH899" s="151"/>
      <c r="BI899" s="151"/>
      <c r="BJ899" s="151"/>
      <c r="BK899" s="151"/>
      <c r="BL899" s="151"/>
      <c r="BM899" s="151"/>
      <c r="BN899" s="151"/>
    </row>
    <row r="900" spans="25:66">
      <c r="Y900" s="151"/>
      <c r="Z900" s="151"/>
      <c r="AA900" s="151"/>
      <c r="AB900" s="151"/>
      <c r="AC900" s="151"/>
      <c r="AD900" s="151"/>
      <c r="AE900" s="151"/>
      <c r="AF900" s="151"/>
      <c r="AG900" s="151"/>
      <c r="AH900" s="151"/>
      <c r="AI900" s="151"/>
      <c r="AJ900" s="151"/>
      <c r="AK900" s="151"/>
      <c r="AL900" s="151"/>
      <c r="AM900" s="151"/>
      <c r="AN900" s="151"/>
      <c r="AO900" s="151"/>
      <c r="AP900" s="151"/>
      <c r="AQ900" s="151"/>
      <c r="AR900" s="151"/>
      <c r="AS900" s="151"/>
      <c r="AT900" s="151"/>
      <c r="AU900" s="151"/>
      <c r="AV900" s="151"/>
      <c r="AW900" s="151"/>
      <c r="AX900" s="151"/>
      <c r="AY900" s="151"/>
      <c r="AZ900" s="151"/>
      <c r="BA900" s="151"/>
      <c r="BB900" s="151"/>
      <c r="BC900" s="151"/>
      <c r="BD900" s="151"/>
      <c r="BE900" s="151"/>
      <c r="BF900" s="151"/>
      <c r="BG900" s="151"/>
      <c r="BH900" s="151"/>
      <c r="BI900" s="151"/>
      <c r="BJ900" s="151"/>
      <c r="BK900" s="151"/>
      <c r="BL900" s="151"/>
      <c r="BM900" s="151"/>
      <c r="BN900" s="151"/>
    </row>
    <row r="901" spans="25:66">
      <c r="Y901" s="151"/>
      <c r="Z901" s="151"/>
      <c r="AA901" s="151"/>
      <c r="AB901" s="151"/>
      <c r="AC901" s="151"/>
      <c r="AD901" s="151"/>
      <c r="AE901" s="151"/>
      <c r="AF901" s="151"/>
      <c r="AG901" s="151"/>
      <c r="AH901" s="151"/>
      <c r="AI901" s="151"/>
      <c r="AJ901" s="151"/>
      <c r="AK901" s="151"/>
      <c r="AL901" s="151"/>
      <c r="AM901" s="151"/>
      <c r="AN901" s="151"/>
      <c r="AO901" s="151"/>
      <c r="AP901" s="151"/>
      <c r="AQ901" s="151"/>
      <c r="AR901" s="151"/>
      <c r="AS901" s="151"/>
      <c r="AT901" s="151"/>
      <c r="AU901" s="151"/>
      <c r="AV901" s="151"/>
      <c r="AW901" s="151"/>
      <c r="AX901" s="151"/>
      <c r="AY901" s="151"/>
      <c r="AZ901" s="151"/>
      <c r="BA901" s="151"/>
      <c r="BB901" s="151"/>
      <c r="BC901" s="151"/>
      <c r="BD901" s="151"/>
      <c r="BE901" s="151"/>
      <c r="BF901" s="151"/>
      <c r="BG901" s="151"/>
      <c r="BH901" s="151"/>
      <c r="BI901" s="151"/>
      <c r="BJ901" s="151"/>
      <c r="BK901" s="151"/>
      <c r="BL901" s="151"/>
      <c r="BM901" s="151"/>
      <c r="BN901" s="151"/>
    </row>
    <row r="902" spans="25:66">
      <c r="Y902" s="151"/>
      <c r="Z902" s="151"/>
      <c r="AA902" s="151"/>
      <c r="AB902" s="151"/>
      <c r="AC902" s="151"/>
      <c r="AD902" s="151"/>
      <c r="AE902" s="151"/>
      <c r="AF902" s="151"/>
      <c r="AG902" s="151"/>
      <c r="AH902" s="151"/>
      <c r="AI902" s="151"/>
      <c r="AJ902" s="151"/>
      <c r="AK902" s="151"/>
      <c r="AL902" s="151"/>
      <c r="AM902" s="151"/>
      <c r="AN902" s="151"/>
      <c r="AO902" s="151"/>
      <c r="AP902" s="151"/>
      <c r="AQ902" s="151"/>
      <c r="AR902" s="151"/>
      <c r="AS902" s="151"/>
      <c r="AT902" s="151"/>
      <c r="AU902" s="151"/>
      <c r="AV902" s="151"/>
      <c r="AW902" s="151"/>
      <c r="AX902" s="151"/>
      <c r="AY902" s="151"/>
      <c r="AZ902" s="151"/>
      <c r="BA902" s="151"/>
      <c r="BB902" s="151"/>
      <c r="BC902" s="151"/>
      <c r="BD902" s="151"/>
      <c r="BE902" s="151"/>
      <c r="BF902" s="151"/>
      <c r="BG902" s="151"/>
      <c r="BH902" s="151"/>
      <c r="BI902" s="151"/>
      <c r="BJ902" s="151"/>
      <c r="BK902" s="151"/>
      <c r="BL902" s="151"/>
      <c r="BM902" s="151"/>
      <c r="BN902" s="151"/>
    </row>
    <row r="903" spans="25:66">
      <c r="Y903" s="151"/>
      <c r="Z903" s="151"/>
      <c r="AA903" s="151"/>
      <c r="AB903" s="151"/>
      <c r="AC903" s="151"/>
      <c r="AD903" s="151"/>
      <c r="AE903" s="151"/>
      <c r="AF903" s="151"/>
      <c r="AG903" s="151"/>
      <c r="AH903" s="151"/>
      <c r="AI903" s="151"/>
      <c r="AJ903" s="151"/>
      <c r="AK903" s="151"/>
      <c r="AL903" s="151"/>
      <c r="AM903" s="151"/>
      <c r="AN903" s="151"/>
      <c r="AO903" s="151"/>
      <c r="AP903" s="151"/>
      <c r="AQ903" s="151"/>
      <c r="AR903" s="151"/>
      <c r="AS903" s="151"/>
      <c r="AT903" s="151"/>
      <c r="AU903" s="151"/>
      <c r="AV903" s="151"/>
      <c r="AW903" s="151"/>
      <c r="AX903" s="151"/>
      <c r="AY903" s="151"/>
      <c r="AZ903" s="151"/>
      <c r="BA903" s="151"/>
      <c r="BB903" s="151"/>
      <c r="BC903" s="151"/>
      <c r="BD903" s="151"/>
      <c r="BE903" s="151"/>
      <c r="BF903" s="151"/>
      <c r="BG903" s="151"/>
      <c r="BH903" s="151"/>
      <c r="BI903" s="151"/>
      <c r="BJ903" s="151"/>
      <c r="BK903" s="151"/>
      <c r="BL903" s="151"/>
      <c r="BM903" s="151"/>
      <c r="BN903" s="151"/>
    </row>
    <row r="904" spans="25:66">
      <c r="Y904" s="151"/>
      <c r="Z904" s="151"/>
      <c r="AA904" s="151"/>
      <c r="AB904" s="151"/>
      <c r="AC904" s="151"/>
      <c r="AD904" s="151"/>
      <c r="AE904" s="151"/>
      <c r="AF904" s="151"/>
      <c r="AG904" s="151"/>
      <c r="AH904" s="151"/>
      <c r="AI904" s="151"/>
      <c r="AJ904" s="151"/>
      <c r="AK904" s="151"/>
      <c r="AL904" s="151"/>
      <c r="AM904" s="151"/>
      <c r="AN904" s="151"/>
      <c r="AO904" s="151"/>
      <c r="AP904" s="151"/>
      <c r="AQ904" s="151"/>
      <c r="AR904" s="151"/>
      <c r="AS904" s="151"/>
      <c r="AT904" s="151"/>
      <c r="AU904" s="151"/>
      <c r="AV904" s="151"/>
      <c r="AW904" s="151"/>
      <c r="AX904" s="151"/>
      <c r="AY904" s="151"/>
      <c r="AZ904" s="151"/>
      <c r="BA904" s="151"/>
      <c r="BB904" s="151"/>
      <c r="BC904" s="151"/>
      <c r="BD904" s="151"/>
      <c r="BE904" s="151"/>
      <c r="BF904" s="151"/>
      <c r="BG904" s="151"/>
      <c r="BH904" s="151"/>
      <c r="BI904" s="151"/>
      <c r="BJ904" s="151"/>
      <c r="BK904" s="151"/>
      <c r="BL904" s="151"/>
      <c r="BM904" s="151"/>
      <c r="BN904" s="151"/>
    </row>
    <row r="905" spans="25:66">
      <c r="Y905" s="151"/>
      <c r="Z905" s="151"/>
      <c r="AA905" s="151"/>
      <c r="AB905" s="151"/>
      <c r="AC905" s="151"/>
      <c r="AD905" s="151"/>
      <c r="AE905" s="151"/>
      <c r="AF905" s="151"/>
      <c r="AG905" s="151"/>
      <c r="AH905" s="151"/>
      <c r="AI905" s="151"/>
      <c r="AJ905" s="151"/>
      <c r="AK905" s="151"/>
      <c r="AL905" s="151"/>
      <c r="AM905" s="151"/>
      <c r="AN905" s="151"/>
      <c r="AO905" s="151"/>
      <c r="AP905" s="151"/>
      <c r="AQ905" s="151"/>
      <c r="AR905" s="151"/>
      <c r="AS905" s="151"/>
      <c r="AT905" s="151"/>
      <c r="AU905" s="151"/>
      <c r="AV905" s="151"/>
      <c r="AW905" s="151"/>
      <c r="AX905" s="151"/>
      <c r="AY905" s="151"/>
      <c r="AZ905" s="151"/>
      <c r="BA905" s="151"/>
      <c r="BB905" s="151"/>
      <c r="BC905" s="151"/>
      <c r="BD905" s="151"/>
      <c r="BE905" s="151"/>
      <c r="BF905" s="151"/>
      <c r="BG905" s="151"/>
      <c r="BH905" s="151"/>
      <c r="BI905" s="151"/>
      <c r="BJ905" s="151"/>
      <c r="BK905" s="151"/>
      <c r="BL905" s="151"/>
      <c r="BM905" s="151"/>
      <c r="BN905" s="151"/>
    </row>
    <row r="906" spans="25:66">
      <c r="Y906" s="151"/>
      <c r="Z906" s="151"/>
      <c r="AA906" s="151"/>
      <c r="AB906" s="151"/>
      <c r="AC906" s="151"/>
      <c r="AD906" s="151"/>
      <c r="AE906" s="151"/>
      <c r="AF906" s="151"/>
      <c r="AG906" s="151"/>
      <c r="AH906" s="151"/>
      <c r="AI906" s="151"/>
      <c r="AJ906" s="151"/>
      <c r="AK906" s="151"/>
      <c r="AL906" s="151"/>
      <c r="AM906" s="151"/>
      <c r="AN906" s="151"/>
      <c r="AO906" s="151"/>
      <c r="AP906" s="151"/>
      <c r="AQ906" s="151"/>
      <c r="AR906" s="151"/>
      <c r="AS906" s="151"/>
      <c r="AT906" s="151"/>
      <c r="AU906" s="151"/>
      <c r="AV906" s="151"/>
      <c r="AW906" s="151"/>
      <c r="AX906" s="151"/>
      <c r="AY906" s="151"/>
      <c r="AZ906" s="151"/>
      <c r="BA906" s="151"/>
      <c r="BB906" s="151"/>
      <c r="BC906" s="151"/>
      <c r="BD906" s="151"/>
      <c r="BE906" s="151"/>
      <c r="BF906" s="151"/>
      <c r="BG906" s="151"/>
      <c r="BH906" s="151"/>
      <c r="BI906" s="151"/>
      <c r="BJ906" s="151"/>
      <c r="BK906" s="151"/>
      <c r="BL906" s="151"/>
      <c r="BM906" s="151"/>
      <c r="BN906" s="151"/>
    </row>
    <row r="907" spans="25:66">
      <c r="Y907" s="151"/>
      <c r="Z907" s="151"/>
      <c r="AA907" s="151"/>
      <c r="AB907" s="151"/>
      <c r="AC907" s="151"/>
      <c r="AD907" s="151"/>
      <c r="AE907" s="151"/>
      <c r="AF907" s="151"/>
      <c r="AG907" s="151"/>
      <c r="AH907" s="151"/>
      <c r="AI907" s="151"/>
      <c r="AJ907" s="151"/>
      <c r="AK907" s="151"/>
      <c r="AL907" s="151"/>
      <c r="AM907" s="151"/>
      <c r="AN907" s="151"/>
      <c r="AO907" s="151"/>
      <c r="AP907" s="151"/>
      <c r="AQ907" s="151"/>
      <c r="AR907" s="151"/>
      <c r="AS907" s="151"/>
      <c r="AT907" s="151"/>
      <c r="AU907" s="151"/>
      <c r="AV907" s="151"/>
      <c r="AW907" s="151"/>
      <c r="AX907" s="151"/>
      <c r="AY907" s="151"/>
      <c r="AZ907" s="151"/>
      <c r="BA907" s="151"/>
      <c r="BB907" s="151"/>
      <c r="BC907" s="151"/>
      <c r="BD907" s="151"/>
      <c r="BE907" s="151"/>
      <c r="BF907" s="151"/>
      <c r="BG907" s="151"/>
      <c r="BH907" s="151"/>
      <c r="BI907" s="151"/>
      <c r="BJ907" s="151"/>
      <c r="BK907" s="151"/>
      <c r="BL907" s="151"/>
      <c r="BM907" s="151"/>
      <c r="BN907" s="151"/>
    </row>
    <row r="908" spans="25:66">
      <c r="Y908" s="151"/>
      <c r="Z908" s="151"/>
      <c r="AA908" s="151"/>
      <c r="AB908" s="151"/>
      <c r="AC908" s="151"/>
      <c r="AD908" s="151"/>
      <c r="AE908" s="151"/>
      <c r="AF908" s="151"/>
      <c r="AG908" s="151"/>
      <c r="AH908" s="151"/>
      <c r="AI908" s="151"/>
      <c r="AJ908" s="151"/>
      <c r="AK908" s="151"/>
      <c r="AL908" s="151"/>
      <c r="AM908" s="151"/>
      <c r="AN908" s="151"/>
      <c r="AO908" s="151"/>
      <c r="AP908" s="151"/>
      <c r="AQ908" s="151"/>
      <c r="AR908" s="151"/>
      <c r="AS908" s="151"/>
      <c r="AT908" s="151"/>
      <c r="AU908" s="151"/>
      <c r="AV908" s="151"/>
      <c r="AW908" s="151"/>
      <c r="AX908" s="151"/>
      <c r="AY908" s="151"/>
      <c r="AZ908" s="151"/>
      <c r="BA908" s="151"/>
      <c r="BB908" s="151"/>
      <c r="BC908" s="151"/>
      <c r="BD908" s="151"/>
      <c r="BE908" s="151"/>
      <c r="BF908" s="151"/>
      <c r="BG908" s="151"/>
      <c r="BH908" s="151"/>
      <c r="BI908" s="151"/>
      <c r="BJ908" s="151"/>
      <c r="BK908" s="151"/>
      <c r="BL908" s="151"/>
      <c r="BM908" s="151"/>
      <c r="BN908" s="151"/>
    </row>
    <row r="909" spans="25:66">
      <c r="Y909" s="151"/>
      <c r="Z909" s="151"/>
      <c r="AA909" s="151"/>
      <c r="AB909" s="151"/>
      <c r="AC909" s="151"/>
      <c r="AD909" s="151"/>
      <c r="AE909" s="151"/>
      <c r="AF909" s="151"/>
      <c r="AG909" s="151"/>
      <c r="AH909" s="151"/>
      <c r="AI909" s="151"/>
      <c r="AJ909" s="151"/>
      <c r="AK909" s="151"/>
      <c r="AL909" s="151"/>
      <c r="AM909" s="151"/>
      <c r="AN909" s="151"/>
      <c r="AO909" s="151"/>
      <c r="AP909" s="151"/>
      <c r="AQ909" s="151"/>
      <c r="AR909" s="151"/>
      <c r="AS909" s="151"/>
      <c r="AT909" s="151"/>
      <c r="AU909" s="151"/>
      <c r="AV909" s="151"/>
      <c r="AW909" s="151"/>
      <c r="AX909" s="151"/>
      <c r="AY909" s="151"/>
      <c r="AZ909" s="151"/>
      <c r="BA909" s="151"/>
      <c r="BB909" s="151"/>
      <c r="BC909" s="151"/>
      <c r="BD909" s="151"/>
      <c r="BE909" s="151"/>
      <c r="BF909" s="151"/>
      <c r="BG909" s="151"/>
      <c r="BH909" s="151"/>
      <c r="BI909" s="151"/>
      <c r="BJ909" s="151"/>
      <c r="BK909" s="151"/>
      <c r="BL909" s="151"/>
      <c r="BM909" s="151"/>
      <c r="BN909" s="151"/>
    </row>
    <row r="910" spans="25:66">
      <c r="Y910" s="151"/>
      <c r="Z910" s="151"/>
      <c r="AA910" s="151"/>
      <c r="AB910" s="151"/>
      <c r="AC910" s="151"/>
      <c r="AD910" s="151"/>
      <c r="AE910" s="151"/>
      <c r="AF910" s="151"/>
      <c r="AG910" s="151"/>
      <c r="AH910" s="151"/>
      <c r="AI910" s="151"/>
      <c r="AJ910" s="151"/>
      <c r="AK910" s="151"/>
      <c r="AL910" s="151"/>
      <c r="AM910" s="151"/>
      <c r="AN910" s="151"/>
      <c r="AO910" s="151"/>
      <c r="AP910" s="151"/>
      <c r="AQ910" s="151"/>
      <c r="AR910" s="151"/>
      <c r="AS910" s="151"/>
      <c r="AT910" s="151"/>
      <c r="AU910" s="151"/>
      <c r="AV910" s="151"/>
      <c r="AW910" s="151"/>
      <c r="AX910" s="151"/>
      <c r="AY910" s="151"/>
      <c r="AZ910" s="151"/>
      <c r="BA910" s="151"/>
      <c r="BB910" s="151"/>
      <c r="BC910" s="151"/>
      <c r="BD910" s="151"/>
      <c r="BE910" s="151"/>
      <c r="BF910" s="151"/>
      <c r="BG910" s="151"/>
      <c r="BH910" s="151"/>
      <c r="BI910" s="151"/>
      <c r="BJ910" s="151"/>
      <c r="BK910" s="151"/>
      <c r="BL910" s="151"/>
      <c r="BM910" s="151"/>
      <c r="BN910" s="151"/>
    </row>
    <row r="911" spans="25:66">
      <c r="Y911" s="151"/>
      <c r="Z911" s="151"/>
      <c r="AA911" s="151"/>
      <c r="AB911" s="151"/>
      <c r="AC911" s="151"/>
      <c r="AD911" s="151"/>
      <c r="AE911" s="151"/>
      <c r="AF911" s="151"/>
      <c r="AG911" s="151"/>
      <c r="AH911" s="151"/>
      <c r="AI911" s="151"/>
      <c r="AJ911" s="151"/>
      <c r="AK911" s="151"/>
      <c r="AL911" s="151"/>
      <c r="AM911" s="151"/>
      <c r="AN911" s="151"/>
      <c r="AO911" s="151"/>
      <c r="AP911" s="151"/>
      <c r="AQ911" s="151"/>
      <c r="AR911" s="151"/>
      <c r="AS911" s="151"/>
      <c r="AT911" s="151"/>
      <c r="AU911" s="151"/>
      <c r="AV911" s="151"/>
      <c r="AW911" s="151"/>
      <c r="AX911" s="151"/>
      <c r="AY911" s="151"/>
      <c r="AZ911" s="151"/>
      <c r="BA911" s="151"/>
      <c r="BB911" s="151"/>
      <c r="BC911" s="151"/>
      <c r="BD911" s="151"/>
      <c r="BE911" s="151"/>
      <c r="BF911" s="151"/>
      <c r="BG911" s="151"/>
      <c r="BH911" s="151"/>
      <c r="BI911" s="151"/>
      <c r="BJ911" s="151"/>
      <c r="BK911" s="151"/>
      <c r="BL911" s="151"/>
      <c r="BM911" s="151"/>
      <c r="BN911" s="151"/>
    </row>
    <row r="912" spans="25:66">
      <c r="Y912" s="151"/>
      <c r="Z912" s="151"/>
      <c r="AA912" s="151"/>
      <c r="AB912" s="151"/>
      <c r="AC912" s="151"/>
      <c r="AD912" s="151"/>
      <c r="AE912" s="151"/>
      <c r="AF912" s="151"/>
      <c r="AG912" s="151"/>
      <c r="AH912" s="151"/>
      <c r="AI912" s="151"/>
      <c r="AJ912" s="151"/>
      <c r="AK912" s="151"/>
      <c r="AL912" s="151"/>
      <c r="AM912" s="151"/>
      <c r="AN912" s="151"/>
      <c r="AO912" s="151"/>
      <c r="AP912" s="151"/>
      <c r="AQ912" s="151"/>
      <c r="AR912" s="151"/>
      <c r="AS912" s="151"/>
      <c r="AT912" s="151"/>
      <c r="AU912" s="151"/>
      <c r="AV912" s="151"/>
      <c r="AW912" s="151"/>
      <c r="AX912" s="151"/>
      <c r="AY912" s="151"/>
      <c r="AZ912" s="151"/>
      <c r="BA912" s="151"/>
      <c r="BB912" s="151"/>
      <c r="BC912" s="151"/>
      <c r="BD912" s="151"/>
      <c r="BE912" s="151"/>
      <c r="BF912" s="151"/>
      <c r="BG912" s="151"/>
      <c r="BH912" s="151"/>
      <c r="BI912" s="151"/>
      <c r="BJ912" s="151"/>
      <c r="BK912" s="151"/>
      <c r="BL912" s="151"/>
      <c r="BM912" s="151"/>
      <c r="BN912" s="151"/>
    </row>
    <row r="913" spans="25:66">
      <c r="Y913" s="151"/>
      <c r="Z913" s="151"/>
      <c r="AA913" s="151"/>
      <c r="AB913" s="151"/>
      <c r="AC913" s="151"/>
      <c r="AD913" s="151"/>
      <c r="AE913" s="151"/>
      <c r="AF913" s="151"/>
      <c r="AG913" s="151"/>
      <c r="AH913" s="151"/>
      <c r="AI913" s="151"/>
      <c r="AJ913" s="151"/>
      <c r="AK913" s="151"/>
      <c r="AL913" s="151"/>
      <c r="AM913" s="151"/>
      <c r="AN913" s="151"/>
      <c r="AO913" s="151"/>
      <c r="AP913" s="151"/>
      <c r="AQ913" s="151"/>
      <c r="AR913" s="151"/>
      <c r="AS913" s="151"/>
      <c r="AT913" s="151"/>
      <c r="AU913" s="151"/>
      <c r="AV913" s="151"/>
      <c r="AW913" s="151"/>
      <c r="AX913" s="151"/>
      <c r="AY913" s="151"/>
      <c r="AZ913" s="151"/>
      <c r="BA913" s="151"/>
      <c r="BB913" s="151"/>
      <c r="BC913" s="151"/>
      <c r="BD913" s="151"/>
      <c r="BE913" s="151"/>
      <c r="BF913" s="151"/>
      <c r="BG913" s="151"/>
      <c r="BH913" s="151"/>
      <c r="BI913" s="151"/>
      <c r="BJ913" s="151"/>
      <c r="BK913" s="151"/>
      <c r="BL913" s="151"/>
      <c r="BM913" s="151"/>
      <c r="BN913" s="151"/>
    </row>
    <row r="914" spans="25:66">
      <c r="Y914" s="151"/>
      <c r="Z914" s="151"/>
      <c r="AA914" s="151"/>
      <c r="AB914" s="151"/>
      <c r="AC914" s="151"/>
      <c r="AD914" s="151"/>
      <c r="AE914" s="151"/>
      <c r="AF914" s="151"/>
      <c r="AG914" s="151"/>
      <c r="AH914" s="151"/>
      <c r="AI914" s="151"/>
      <c r="AJ914" s="151"/>
      <c r="AK914" s="151"/>
      <c r="AL914" s="151"/>
      <c r="AM914" s="151"/>
      <c r="AN914" s="151"/>
      <c r="AO914" s="151"/>
      <c r="AP914" s="151"/>
      <c r="AQ914" s="151"/>
      <c r="AR914" s="151"/>
      <c r="AS914" s="151"/>
      <c r="AT914" s="151"/>
      <c r="AU914" s="151"/>
      <c r="AV914" s="151"/>
      <c r="AW914" s="151"/>
      <c r="AX914" s="151"/>
      <c r="AY914" s="151"/>
      <c r="AZ914" s="151"/>
      <c r="BA914" s="151"/>
      <c r="BB914" s="151"/>
      <c r="BC914" s="151"/>
      <c r="BD914" s="151"/>
      <c r="BE914" s="151"/>
      <c r="BF914" s="151"/>
      <c r="BG914" s="151"/>
      <c r="BH914" s="151"/>
      <c r="BI914" s="151"/>
      <c r="BJ914" s="151"/>
      <c r="BK914" s="151"/>
      <c r="BL914" s="151"/>
      <c r="BM914" s="151"/>
      <c r="BN914" s="151"/>
    </row>
    <row r="915" spans="25:66">
      <c r="Y915" s="151"/>
      <c r="Z915" s="151"/>
      <c r="AA915" s="151"/>
      <c r="AB915" s="151"/>
      <c r="AC915" s="151"/>
      <c r="AD915" s="151"/>
      <c r="AE915" s="151"/>
      <c r="AF915" s="151"/>
      <c r="AG915" s="151"/>
      <c r="AH915" s="151"/>
      <c r="AI915" s="151"/>
      <c r="AJ915" s="151"/>
      <c r="AK915" s="151"/>
      <c r="AL915" s="151"/>
      <c r="AM915" s="151"/>
      <c r="AN915" s="151"/>
      <c r="AO915" s="151"/>
      <c r="AP915" s="151"/>
      <c r="AQ915" s="151"/>
      <c r="AR915" s="151"/>
      <c r="AS915" s="151"/>
      <c r="AT915" s="151"/>
      <c r="AU915" s="151"/>
      <c r="AV915" s="151"/>
      <c r="AW915" s="151"/>
      <c r="AX915" s="151"/>
      <c r="AY915" s="151"/>
      <c r="AZ915" s="151"/>
      <c r="BA915" s="151"/>
      <c r="BB915" s="151"/>
      <c r="BC915" s="151"/>
      <c r="BD915" s="151"/>
      <c r="BE915" s="151"/>
      <c r="BF915" s="151"/>
      <c r="BG915" s="151"/>
      <c r="BH915" s="151"/>
      <c r="BI915" s="151"/>
      <c r="BJ915" s="151"/>
      <c r="BK915" s="151"/>
      <c r="BL915" s="151"/>
      <c r="BM915" s="151"/>
      <c r="BN915" s="151"/>
    </row>
    <row r="916" spans="25:66">
      <c r="Y916" s="151"/>
      <c r="Z916" s="151"/>
      <c r="AA916" s="151"/>
      <c r="AB916" s="151"/>
      <c r="AC916" s="151"/>
      <c r="AD916" s="151"/>
      <c r="AE916" s="151"/>
      <c r="AF916" s="151"/>
      <c r="AG916" s="151"/>
      <c r="AH916" s="151"/>
      <c r="AI916" s="151"/>
      <c r="AJ916" s="151"/>
      <c r="AK916" s="151"/>
      <c r="AL916" s="151"/>
      <c r="AM916" s="151"/>
      <c r="AN916" s="151"/>
      <c r="AO916" s="151"/>
      <c r="AP916" s="151"/>
      <c r="AQ916" s="151"/>
      <c r="AR916" s="151"/>
      <c r="AS916" s="151"/>
      <c r="AT916" s="151"/>
      <c r="AU916" s="151"/>
      <c r="AV916" s="151"/>
      <c r="AW916" s="151"/>
      <c r="AX916" s="151"/>
      <c r="AY916" s="151"/>
      <c r="AZ916" s="151"/>
      <c r="BA916" s="151"/>
      <c r="BB916" s="151"/>
      <c r="BC916" s="151"/>
      <c r="BD916" s="151"/>
      <c r="BE916" s="151"/>
      <c r="BF916" s="151"/>
      <c r="BG916" s="151"/>
      <c r="BH916" s="151"/>
      <c r="BI916" s="151"/>
      <c r="BJ916" s="151"/>
      <c r="BK916" s="151"/>
      <c r="BL916" s="151"/>
      <c r="BM916" s="151"/>
      <c r="BN916" s="151"/>
    </row>
    <row r="917" spans="25:66">
      <c r="Y917" s="151"/>
      <c r="Z917" s="151"/>
      <c r="AA917" s="151"/>
      <c r="AB917" s="151"/>
      <c r="AC917" s="151"/>
      <c r="AD917" s="151"/>
      <c r="AE917" s="151"/>
      <c r="AF917" s="151"/>
      <c r="AG917" s="151"/>
      <c r="AH917" s="151"/>
      <c r="AI917" s="151"/>
      <c r="AJ917" s="151"/>
      <c r="AK917" s="151"/>
      <c r="AL917" s="151"/>
      <c r="AM917" s="151"/>
      <c r="AN917" s="151"/>
      <c r="AO917" s="151"/>
      <c r="AP917" s="151"/>
      <c r="AQ917" s="151"/>
      <c r="AR917" s="151"/>
      <c r="AS917" s="151"/>
      <c r="AT917" s="151"/>
      <c r="AU917" s="151"/>
      <c r="AV917" s="151"/>
      <c r="AW917" s="151"/>
      <c r="AX917" s="151"/>
      <c r="AY917" s="151"/>
      <c r="AZ917" s="151"/>
      <c r="BA917" s="151"/>
      <c r="BB917" s="151"/>
      <c r="BC917" s="151"/>
      <c r="BD917" s="151"/>
      <c r="BE917" s="151"/>
      <c r="BF917" s="151"/>
      <c r="BG917" s="151"/>
      <c r="BH917" s="151"/>
      <c r="BI917" s="151"/>
      <c r="BJ917" s="151"/>
      <c r="BK917" s="151"/>
      <c r="BL917" s="151"/>
      <c r="BM917" s="151"/>
      <c r="BN917" s="151"/>
    </row>
    <row r="918" spans="25:66">
      <c r="Y918" s="151"/>
      <c r="Z918" s="151"/>
      <c r="AA918" s="151"/>
      <c r="AB918" s="151"/>
      <c r="AC918" s="151"/>
      <c r="AD918" s="151"/>
      <c r="AE918" s="151"/>
      <c r="AF918" s="151"/>
      <c r="AG918" s="151"/>
      <c r="AH918" s="151"/>
      <c r="AI918" s="151"/>
      <c r="AJ918" s="151"/>
      <c r="AK918" s="151"/>
      <c r="AL918" s="151"/>
      <c r="AM918" s="151"/>
      <c r="AN918" s="151"/>
      <c r="AO918" s="151"/>
      <c r="AP918" s="151"/>
      <c r="AQ918" s="151"/>
      <c r="AR918" s="151"/>
      <c r="AS918" s="151"/>
      <c r="AT918" s="151"/>
      <c r="AU918" s="151"/>
      <c r="AV918" s="151"/>
      <c r="AW918" s="151"/>
      <c r="AX918" s="151"/>
      <c r="AY918" s="151"/>
      <c r="AZ918" s="151"/>
      <c r="BA918" s="151"/>
      <c r="BB918" s="151"/>
      <c r="BC918" s="151"/>
      <c r="BD918" s="151"/>
      <c r="BE918" s="151"/>
      <c r="BF918" s="151"/>
      <c r="BG918" s="151"/>
      <c r="BH918" s="151"/>
      <c r="BI918" s="151"/>
      <c r="BJ918" s="151"/>
      <c r="BK918" s="151"/>
      <c r="BL918" s="151"/>
      <c r="BM918" s="151"/>
      <c r="BN918" s="151"/>
    </row>
    <row r="919" spans="25:66">
      <c r="Y919" s="151"/>
      <c r="Z919" s="151"/>
      <c r="AA919" s="151"/>
      <c r="AB919" s="151"/>
      <c r="AC919" s="151"/>
      <c r="AD919" s="151"/>
      <c r="AE919" s="151"/>
      <c r="AF919" s="151"/>
      <c r="AG919" s="151"/>
      <c r="AH919" s="151"/>
      <c r="AI919" s="151"/>
      <c r="AJ919" s="151"/>
      <c r="AK919" s="151"/>
      <c r="AL919" s="151"/>
      <c r="AM919" s="151"/>
      <c r="AN919" s="151"/>
      <c r="AO919" s="151"/>
      <c r="AP919" s="151"/>
      <c r="AQ919" s="151"/>
      <c r="AR919" s="151"/>
      <c r="AS919" s="151"/>
      <c r="AT919" s="151"/>
      <c r="AU919" s="151"/>
      <c r="AV919" s="151"/>
      <c r="AW919" s="151"/>
      <c r="AX919" s="151"/>
      <c r="AY919" s="151"/>
      <c r="AZ919" s="151"/>
      <c r="BA919" s="151"/>
      <c r="BB919" s="151"/>
      <c r="BC919" s="151"/>
      <c r="BD919" s="151"/>
      <c r="BE919" s="151"/>
      <c r="BF919" s="151"/>
      <c r="BG919" s="151"/>
      <c r="BH919" s="151"/>
      <c r="BI919" s="151"/>
      <c r="BJ919" s="151"/>
      <c r="BK919" s="151"/>
      <c r="BL919" s="151"/>
      <c r="BM919" s="151"/>
      <c r="BN919" s="151"/>
    </row>
    <row r="920" spans="25:66">
      <c r="Y920" s="151"/>
      <c r="Z920" s="151"/>
      <c r="AA920" s="151"/>
      <c r="AB920" s="151"/>
      <c r="AC920" s="151"/>
      <c r="AD920" s="151"/>
      <c r="AE920" s="151"/>
      <c r="AF920" s="151"/>
      <c r="AG920" s="151"/>
      <c r="AH920" s="151"/>
      <c r="AI920" s="151"/>
      <c r="AJ920" s="151"/>
      <c r="AK920" s="151"/>
      <c r="AL920" s="151"/>
      <c r="AM920" s="151"/>
      <c r="AN920" s="151"/>
      <c r="AO920" s="151"/>
      <c r="AP920" s="151"/>
      <c r="AQ920" s="151"/>
      <c r="AR920" s="151"/>
      <c r="AS920" s="151"/>
      <c r="AT920" s="151"/>
      <c r="AU920" s="151"/>
      <c r="AV920" s="151"/>
      <c r="AW920" s="151"/>
      <c r="AX920" s="151"/>
      <c r="AY920" s="151"/>
      <c r="AZ920" s="151"/>
      <c r="BA920" s="151"/>
      <c r="BB920" s="151"/>
      <c r="BC920" s="151"/>
      <c r="BD920" s="151"/>
      <c r="BE920" s="151"/>
      <c r="BF920" s="151"/>
      <c r="BG920" s="151"/>
      <c r="BH920" s="151"/>
      <c r="BI920" s="151"/>
      <c r="BJ920" s="151"/>
      <c r="BK920" s="151"/>
      <c r="BL920" s="151"/>
      <c r="BM920" s="151"/>
      <c r="BN920" s="151"/>
    </row>
    <row r="921" spans="25:66">
      <c r="Y921" s="151"/>
      <c r="Z921" s="151"/>
      <c r="AA921" s="151"/>
      <c r="AB921" s="151"/>
      <c r="AC921" s="151"/>
      <c r="AD921" s="151"/>
      <c r="AE921" s="151"/>
      <c r="AF921" s="151"/>
      <c r="AG921" s="151"/>
      <c r="AH921" s="151"/>
      <c r="AI921" s="151"/>
      <c r="AJ921" s="151"/>
      <c r="AK921" s="151"/>
      <c r="AL921" s="151"/>
      <c r="AM921" s="151"/>
      <c r="AN921" s="151"/>
      <c r="AO921" s="151"/>
      <c r="AP921" s="151"/>
      <c r="AQ921" s="151"/>
      <c r="AR921" s="151"/>
      <c r="AS921" s="151"/>
      <c r="AT921" s="151"/>
      <c r="AU921" s="151"/>
      <c r="AV921" s="151"/>
      <c r="AW921" s="151"/>
      <c r="AX921" s="151"/>
      <c r="AY921" s="151"/>
      <c r="AZ921" s="151"/>
      <c r="BA921" s="151"/>
      <c r="BB921" s="151"/>
      <c r="BC921" s="151"/>
      <c r="BD921" s="151"/>
      <c r="BE921" s="151"/>
      <c r="BF921" s="151"/>
      <c r="BG921" s="151"/>
      <c r="BH921" s="151"/>
      <c r="BI921" s="151"/>
      <c r="BJ921" s="151"/>
      <c r="BK921" s="151"/>
      <c r="BL921" s="151"/>
      <c r="BM921" s="151"/>
      <c r="BN921" s="151"/>
    </row>
    <row r="922" spans="25:66">
      <c r="Y922" s="151"/>
      <c r="Z922" s="151"/>
      <c r="AA922" s="151"/>
      <c r="AB922" s="151"/>
      <c r="AC922" s="151"/>
      <c r="AD922" s="151"/>
      <c r="AE922" s="151"/>
      <c r="AF922" s="151"/>
      <c r="AG922" s="151"/>
      <c r="AH922" s="151"/>
      <c r="AI922" s="151"/>
      <c r="AJ922" s="151"/>
      <c r="AK922" s="151"/>
      <c r="AL922" s="151"/>
      <c r="AM922" s="151"/>
      <c r="AN922" s="151"/>
      <c r="AO922" s="151"/>
      <c r="AP922" s="151"/>
      <c r="AQ922" s="151"/>
      <c r="AR922" s="151"/>
      <c r="AS922" s="151"/>
      <c r="AT922" s="151"/>
      <c r="AU922" s="151"/>
      <c r="AV922" s="151"/>
      <c r="AW922" s="151"/>
      <c r="AX922" s="151"/>
      <c r="AY922" s="151"/>
      <c r="AZ922" s="151"/>
      <c r="BA922" s="151"/>
      <c r="BB922" s="151"/>
      <c r="BC922" s="151"/>
      <c r="BD922" s="151"/>
      <c r="BE922" s="151"/>
      <c r="BF922" s="151"/>
      <c r="BG922" s="151"/>
      <c r="BH922" s="151"/>
      <c r="BI922" s="151"/>
      <c r="BJ922" s="151"/>
      <c r="BK922" s="151"/>
      <c r="BL922" s="151"/>
      <c r="BM922" s="151"/>
      <c r="BN922" s="151"/>
    </row>
    <row r="923" spans="25:66">
      <c r="Y923" s="151"/>
      <c r="Z923" s="151"/>
      <c r="AA923" s="151"/>
      <c r="AB923" s="151"/>
      <c r="AC923" s="151"/>
      <c r="AD923" s="151"/>
      <c r="AE923" s="151"/>
      <c r="AF923" s="151"/>
      <c r="AG923" s="151"/>
      <c r="AH923" s="151"/>
      <c r="AI923" s="151"/>
      <c r="AJ923" s="151"/>
      <c r="AK923" s="151"/>
      <c r="AL923" s="151"/>
      <c r="AM923" s="151"/>
      <c r="AN923" s="151"/>
      <c r="AO923" s="151"/>
      <c r="AP923" s="151"/>
      <c r="AQ923" s="151"/>
      <c r="AR923" s="151"/>
      <c r="AS923" s="151"/>
      <c r="AT923" s="151"/>
      <c r="AU923" s="151"/>
      <c r="AV923" s="151"/>
      <c r="AW923" s="151"/>
      <c r="AX923" s="151"/>
      <c r="AY923" s="151"/>
      <c r="AZ923" s="151"/>
      <c r="BA923" s="151"/>
      <c r="BB923" s="151"/>
      <c r="BC923" s="151"/>
      <c r="BD923" s="151"/>
      <c r="BE923" s="151"/>
      <c r="BF923" s="151"/>
      <c r="BG923" s="151"/>
      <c r="BH923" s="151"/>
      <c r="BI923" s="151"/>
      <c r="BJ923" s="151"/>
      <c r="BK923" s="151"/>
      <c r="BL923" s="151"/>
      <c r="BM923" s="151"/>
      <c r="BN923" s="151"/>
    </row>
    <row r="924" spans="25:66">
      <c r="Y924" s="151"/>
      <c r="Z924" s="151"/>
      <c r="AA924" s="151"/>
      <c r="AB924" s="151"/>
      <c r="AC924" s="151"/>
      <c r="AD924" s="151"/>
      <c r="AE924" s="151"/>
      <c r="AF924" s="151"/>
      <c r="AG924" s="151"/>
      <c r="AH924" s="151"/>
      <c r="AI924" s="151"/>
      <c r="AJ924" s="151"/>
      <c r="AK924" s="151"/>
      <c r="AL924" s="151"/>
      <c r="AM924" s="151"/>
      <c r="AN924" s="151"/>
      <c r="AO924" s="151"/>
      <c r="AP924" s="151"/>
      <c r="AQ924" s="151"/>
      <c r="AR924" s="151"/>
      <c r="AS924" s="151"/>
      <c r="AT924" s="151"/>
      <c r="AU924" s="151"/>
      <c r="AV924" s="151"/>
      <c r="AW924" s="151"/>
      <c r="AX924" s="151"/>
      <c r="AY924" s="151"/>
      <c r="AZ924" s="151"/>
      <c r="BA924" s="151"/>
      <c r="BB924" s="151"/>
      <c r="BC924" s="151"/>
      <c r="BD924" s="151"/>
      <c r="BE924" s="151"/>
      <c r="BF924" s="151"/>
      <c r="BG924" s="151"/>
      <c r="BH924" s="151"/>
      <c r="BI924" s="151"/>
      <c r="BJ924" s="151"/>
      <c r="BK924" s="151"/>
      <c r="BL924" s="151"/>
      <c r="BM924" s="151"/>
      <c r="BN924" s="151"/>
    </row>
    <row r="925" spans="25:66">
      <c r="Y925" s="151"/>
      <c r="Z925" s="151"/>
      <c r="AA925" s="151"/>
      <c r="AB925" s="151"/>
      <c r="AC925" s="151"/>
      <c r="AD925" s="151"/>
      <c r="AE925" s="151"/>
      <c r="AF925" s="151"/>
      <c r="AG925" s="151"/>
      <c r="AH925" s="151"/>
      <c r="AI925" s="151"/>
      <c r="AJ925" s="151"/>
      <c r="AK925" s="151"/>
      <c r="AL925" s="151"/>
      <c r="AM925" s="151"/>
      <c r="AN925" s="151"/>
      <c r="AO925" s="151"/>
      <c r="AP925" s="151"/>
      <c r="AQ925" s="151"/>
      <c r="AR925" s="151"/>
      <c r="AS925" s="151"/>
      <c r="AT925" s="151"/>
      <c r="AU925" s="151"/>
      <c r="AV925" s="151"/>
      <c r="AW925" s="151"/>
      <c r="AX925" s="151"/>
      <c r="AY925" s="151"/>
      <c r="AZ925" s="151"/>
      <c r="BA925" s="151"/>
      <c r="BB925" s="151"/>
      <c r="BC925" s="151"/>
      <c r="BD925" s="151"/>
      <c r="BE925" s="151"/>
      <c r="BF925" s="151"/>
      <c r="BG925" s="151"/>
      <c r="BH925" s="151"/>
      <c r="BI925" s="151"/>
      <c r="BJ925" s="151"/>
      <c r="BK925" s="151"/>
      <c r="BL925" s="151"/>
      <c r="BM925" s="151"/>
      <c r="BN925" s="151"/>
    </row>
    <row r="926" spans="25:66">
      <c r="Y926" s="151"/>
      <c r="Z926" s="151"/>
      <c r="AA926" s="151"/>
      <c r="AB926" s="151"/>
      <c r="AC926" s="151"/>
      <c r="AD926" s="151"/>
      <c r="AE926" s="151"/>
      <c r="AF926" s="151"/>
      <c r="AG926" s="151"/>
      <c r="AH926" s="151"/>
      <c r="AI926" s="151"/>
      <c r="AJ926" s="151"/>
      <c r="AK926" s="151"/>
      <c r="AL926" s="151"/>
      <c r="AM926" s="151"/>
      <c r="AN926" s="151"/>
      <c r="AO926" s="151"/>
      <c r="AP926" s="151"/>
      <c r="AQ926" s="151"/>
      <c r="AR926" s="151"/>
      <c r="AS926" s="151"/>
      <c r="AT926" s="151"/>
      <c r="AU926" s="151"/>
      <c r="AV926" s="151"/>
      <c r="AW926" s="151"/>
      <c r="AX926" s="151"/>
      <c r="AY926" s="151"/>
      <c r="AZ926" s="151"/>
      <c r="BA926" s="151"/>
      <c r="BB926" s="151"/>
      <c r="BC926" s="151"/>
      <c r="BD926" s="151"/>
      <c r="BE926" s="151"/>
      <c r="BF926" s="151"/>
      <c r="BG926" s="151"/>
      <c r="BH926" s="151"/>
      <c r="BI926" s="151"/>
      <c r="BJ926" s="151"/>
      <c r="BK926" s="151"/>
      <c r="BL926" s="151"/>
      <c r="BM926" s="151"/>
      <c r="BN926" s="151"/>
    </row>
    <row r="927" spans="25:66">
      <c r="Y927" s="151"/>
      <c r="Z927" s="151"/>
      <c r="AA927" s="151"/>
      <c r="AB927" s="151"/>
      <c r="AC927" s="151"/>
      <c r="AD927" s="151"/>
      <c r="AE927" s="151"/>
      <c r="AF927" s="151"/>
      <c r="AG927" s="151"/>
      <c r="AH927" s="151"/>
      <c r="AI927" s="151"/>
      <c r="AJ927" s="151"/>
      <c r="AK927" s="151"/>
      <c r="AL927" s="151"/>
      <c r="AM927" s="151"/>
      <c r="AN927" s="151"/>
      <c r="AO927" s="151"/>
      <c r="AP927" s="151"/>
      <c r="AQ927" s="151"/>
      <c r="AR927" s="151"/>
      <c r="AS927" s="151"/>
      <c r="AT927" s="151"/>
      <c r="AU927" s="151"/>
      <c r="AV927" s="151"/>
      <c r="AW927" s="151"/>
      <c r="AX927" s="151"/>
      <c r="AY927" s="151"/>
      <c r="AZ927" s="151"/>
      <c r="BA927" s="151"/>
      <c r="BB927" s="151"/>
      <c r="BC927" s="151"/>
      <c r="BD927" s="151"/>
      <c r="BE927" s="151"/>
      <c r="BF927" s="151"/>
      <c r="BG927" s="151"/>
      <c r="BH927" s="151"/>
      <c r="BI927" s="151"/>
      <c r="BJ927" s="151"/>
      <c r="BK927" s="151"/>
      <c r="BL927" s="151"/>
      <c r="BM927" s="151"/>
      <c r="BN927" s="151"/>
    </row>
    <row r="928" spans="25:66">
      <c r="Y928" s="151"/>
      <c r="Z928" s="151"/>
      <c r="AA928" s="151"/>
      <c r="AB928" s="151"/>
      <c r="AC928" s="151"/>
      <c r="AD928" s="151"/>
      <c r="AE928" s="151"/>
      <c r="AF928" s="151"/>
      <c r="AG928" s="151"/>
      <c r="AH928" s="151"/>
      <c r="AI928" s="151"/>
      <c r="AJ928" s="151"/>
      <c r="AK928" s="151"/>
      <c r="AL928" s="151"/>
      <c r="AM928" s="151"/>
      <c r="AN928" s="151"/>
      <c r="AO928" s="151"/>
      <c r="AP928" s="151"/>
      <c r="AQ928" s="151"/>
      <c r="AR928" s="151"/>
      <c r="AS928" s="151"/>
      <c r="AT928" s="151"/>
      <c r="AU928" s="151"/>
      <c r="AV928" s="151"/>
      <c r="AW928" s="151"/>
      <c r="AX928" s="151"/>
      <c r="AY928" s="151"/>
      <c r="AZ928" s="151"/>
      <c r="BA928" s="151"/>
      <c r="BB928" s="151"/>
      <c r="BC928" s="151"/>
      <c r="BD928" s="151"/>
      <c r="BE928" s="151"/>
      <c r="BF928" s="151"/>
      <c r="BG928" s="151"/>
      <c r="BH928" s="151"/>
      <c r="BI928" s="151"/>
      <c r="BJ928" s="151"/>
      <c r="BK928" s="151"/>
      <c r="BL928" s="151"/>
      <c r="BM928" s="151"/>
      <c r="BN928" s="151"/>
    </row>
    <row r="929" spans="25:66">
      <c r="Y929" s="151"/>
      <c r="Z929" s="151"/>
      <c r="AA929" s="151"/>
      <c r="AB929" s="151"/>
      <c r="AC929" s="151"/>
      <c r="AD929" s="151"/>
      <c r="AE929" s="151"/>
      <c r="AF929" s="151"/>
      <c r="AG929" s="151"/>
      <c r="AH929" s="151"/>
      <c r="AI929" s="151"/>
      <c r="AJ929" s="151"/>
      <c r="AK929" s="151"/>
      <c r="AL929" s="151"/>
      <c r="AM929" s="151"/>
      <c r="AN929" s="151"/>
      <c r="AO929" s="151"/>
      <c r="AP929" s="151"/>
      <c r="AQ929" s="151"/>
      <c r="AR929" s="151"/>
      <c r="AS929" s="151"/>
      <c r="AT929" s="151"/>
      <c r="AU929" s="151"/>
      <c r="AV929" s="151"/>
      <c r="AW929" s="151"/>
      <c r="AX929" s="151"/>
      <c r="AY929" s="151"/>
      <c r="AZ929" s="151"/>
      <c r="BA929" s="151"/>
      <c r="BB929" s="151"/>
      <c r="BC929" s="151"/>
      <c r="BD929" s="151"/>
      <c r="BE929" s="151"/>
      <c r="BF929" s="151"/>
      <c r="BG929" s="151"/>
      <c r="BH929" s="151"/>
      <c r="BI929" s="151"/>
      <c r="BJ929" s="151"/>
      <c r="BK929" s="151"/>
      <c r="BL929" s="151"/>
      <c r="BM929" s="151"/>
      <c r="BN929" s="151"/>
    </row>
    <row r="930" spans="25:66">
      <c r="Y930" s="151"/>
      <c r="Z930" s="151"/>
      <c r="AA930" s="151"/>
      <c r="AB930" s="151"/>
      <c r="AC930" s="151"/>
      <c r="AD930" s="151"/>
      <c r="AE930" s="151"/>
      <c r="AF930" s="151"/>
      <c r="AG930" s="151"/>
      <c r="AH930" s="151"/>
      <c r="AI930" s="151"/>
      <c r="AJ930" s="151"/>
      <c r="AK930" s="151"/>
      <c r="AL930" s="151"/>
      <c r="AM930" s="151"/>
      <c r="AN930" s="151"/>
      <c r="AO930" s="151"/>
      <c r="AP930" s="151"/>
      <c r="AQ930" s="151"/>
      <c r="AR930" s="151"/>
      <c r="AS930" s="151"/>
      <c r="AT930" s="151"/>
      <c r="AU930" s="151"/>
      <c r="AV930" s="151"/>
      <c r="AW930" s="151"/>
      <c r="AX930" s="151"/>
      <c r="AY930" s="151"/>
      <c r="AZ930" s="151"/>
      <c r="BA930" s="151"/>
      <c r="BB930" s="151"/>
      <c r="BC930" s="151"/>
      <c r="BD930" s="151"/>
      <c r="BE930" s="151"/>
      <c r="BF930" s="151"/>
      <c r="BG930" s="151"/>
      <c r="BH930" s="151"/>
      <c r="BI930" s="151"/>
      <c r="BJ930" s="151"/>
      <c r="BK930" s="151"/>
      <c r="BL930" s="151"/>
      <c r="BM930" s="151"/>
      <c r="BN930" s="151"/>
    </row>
    <row r="931" spans="25:66">
      <c r="Y931" s="151"/>
      <c r="Z931" s="151"/>
      <c r="AA931" s="151"/>
      <c r="AB931" s="151"/>
      <c r="AC931" s="151"/>
      <c r="AD931" s="151"/>
      <c r="AE931" s="151"/>
      <c r="AF931" s="151"/>
      <c r="AG931" s="151"/>
      <c r="AH931" s="151"/>
      <c r="AI931" s="151"/>
      <c r="AJ931" s="151"/>
      <c r="AK931" s="151"/>
      <c r="AL931" s="151"/>
      <c r="AM931" s="151"/>
      <c r="AN931" s="151"/>
      <c r="AO931" s="151"/>
      <c r="AP931" s="151"/>
      <c r="AQ931" s="151"/>
      <c r="AR931" s="151"/>
      <c r="AS931" s="151"/>
      <c r="AT931" s="151"/>
      <c r="AU931" s="151"/>
      <c r="AV931" s="151"/>
      <c r="AW931" s="151"/>
      <c r="AX931" s="151"/>
      <c r="AY931" s="151"/>
      <c r="AZ931" s="151"/>
      <c r="BA931" s="151"/>
      <c r="BB931" s="151"/>
      <c r="BC931" s="151"/>
      <c r="BD931" s="151"/>
      <c r="BE931" s="151"/>
      <c r="BF931" s="151"/>
      <c r="BG931" s="151"/>
      <c r="BH931" s="151"/>
      <c r="BI931" s="151"/>
      <c r="BJ931" s="151"/>
      <c r="BK931" s="151"/>
      <c r="BL931" s="151"/>
      <c r="BM931" s="151"/>
      <c r="BN931" s="151"/>
    </row>
    <row r="932" spans="25:66">
      <c r="Y932" s="151"/>
      <c r="Z932" s="151"/>
      <c r="AA932" s="151"/>
      <c r="AB932" s="151"/>
      <c r="AC932" s="151"/>
      <c r="AD932" s="151"/>
      <c r="AE932" s="151"/>
      <c r="AF932" s="151"/>
      <c r="AG932" s="151"/>
      <c r="AH932" s="151"/>
      <c r="AI932" s="151"/>
      <c r="AJ932" s="151"/>
      <c r="AK932" s="151"/>
      <c r="AL932" s="151"/>
      <c r="AM932" s="151"/>
      <c r="AN932" s="151"/>
      <c r="AO932" s="151"/>
      <c r="AP932" s="151"/>
      <c r="AQ932" s="151"/>
      <c r="AR932" s="151"/>
      <c r="AS932" s="151"/>
      <c r="AT932" s="151"/>
      <c r="AU932" s="151"/>
      <c r="AV932" s="151"/>
      <c r="AW932" s="151"/>
      <c r="AX932" s="151"/>
      <c r="AY932" s="151"/>
      <c r="AZ932" s="151"/>
      <c r="BA932" s="151"/>
      <c r="BB932" s="151"/>
      <c r="BC932" s="151"/>
      <c r="BD932" s="151"/>
      <c r="BE932" s="151"/>
      <c r="BF932" s="151"/>
      <c r="BG932" s="151"/>
      <c r="BH932" s="151"/>
      <c r="BI932" s="151"/>
      <c r="BJ932" s="151"/>
      <c r="BK932" s="151"/>
      <c r="BL932" s="151"/>
      <c r="BM932" s="151"/>
      <c r="BN932" s="151"/>
    </row>
    <row r="933" spans="25:66">
      <c r="Y933" s="151"/>
      <c r="Z933" s="151"/>
      <c r="AA933" s="151"/>
      <c r="AB933" s="151"/>
      <c r="AC933" s="151"/>
      <c r="AD933" s="151"/>
      <c r="AE933" s="151"/>
      <c r="AF933" s="151"/>
      <c r="AG933" s="151"/>
      <c r="AH933" s="151"/>
      <c r="AI933" s="151"/>
      <c r="AJ933" s="151"/>
      <c r="AK933" s="151"/>
      <c r="AL933" s="151"/>
      <c r="AM933" s="151"/>
      <c r="AN933" s="151"/>
      <c r="AO933" s="151"/>
      <c r="AP933" s="151"/>
      <c r="AQ933" s="151"/>
      <c r="AR933" s="151"/>
      <c r="AS933" s="151"/>
      <c r="AT933" s="151"/>
      <c r="AU933" s="151"/>
      <c r="AV933" s="151"/>
      <c r="AW933" s="151"/>
      <c r="AX933" s="151"/>
      <c r="AY933" s="151"/>
      <c r="AZ933" s="151"/>
      <c r="BA933" s="151"/>
      <c r="BB933" s="151"/>
      <c r="BC933" s="151"/>
      <c r="BD933" s="151"/>
      <c r="BE933" s="151"/>
      <c r="BF933" s="151"/>
      <c r="BG933" s="151"/>
      <c r="BH933" s="151"/>
      <c r="BI933" s="151"/>
      <c r="BJ933" s="151"/>
      <c r="BK933" s="151"/>
      <c r="BL933" s="151"/>
      <c r="BM933" s="151"/>
      <c r="BN933" s="151"/>
    </row>
    <row r="934" spans="25:66">
      <c r="Y934" s="151"/>
      <c r="Z934" s="151"/>
      <c r="AA934" s="151"/>
      <c r="AB934" s="151"/>
      <c r="AC934" s="151"/>
      <c r="AD934" s="151"/>
      <c r="AE934" s="151"/>
      <c r="AF934" s="151"/>
      <c r="AG934" s="151"/>
      <c r="AH934" s="151"/>
      <c r="AI934" s="151"/>
      <c r="AJ934" s="151"/>
      <c r="AK934" s="151"/>
      <c r="AL934" s="151"/>
      <c r="AM934" s="151"/>
      <c r="AN934" s="151"/>
      <c r="AO934" s="151"/>
      <c r="AP934" s="151"/>
      <c r="AQ934" s="151"/>
      <c r="AR934" s="151"/>
      <c r="AS934" s="151"/>
      <c r="AT934" s="151"/>
      <c r="AU934" s="151"/>
      <c r="AV934" s="151"/>
      <c r="AW934" s="151"/>
      <c r="AX934" s="151"/>
      <c r="AY934" s="151"/>
      <c r="AZ934" s="151"/>
      <c r="BA934" s="151"/>
      <c r="BB934" s="151"/>
      <c r="BC934" s="151"/>
      <c r="BD934" s="151"/>
      <c r="BE934" s="151"/>
      <c r="BF934" s="151"/>
      <c r="BG934" s="151"/>
      <c r="BH934" s="151"/>
      <c r="BI934" s="151"/>
      <c r="BJ934" s="151"/>
      <c r="BK934" s="151"/>
      <c r="BL934" s="151"/>
      <c r="BM934" s="151"/>
      <c r="BN934" s="151"/>
    </row>
    <row r="935" spans="25:66">
      <c r="Y935" s="151"/>
      <c r="Z935" s="151"/>
      <c r="AA935" s="151"/>
      <c r="AB935" s="151"/>
      <c r="AC935" s="151"/>
      <c r="AD935" s="151"/>
      <c r="AE935" s="151"/>
      <c r="AF935" s="151"/>
      <c r="AG935" s="151"/>
      <c r="AH935" s="151"/>
      <c r="AI935" s="151"/>
      <c r="AJ935" s="151"/>
      <c r="AK935" s="151"/>
      <c r="AL935" s="151"/>
      <c r="AM935" s="151"/>
      <c r="AN935" s="151"/>
      <c r="AO935" s="151"/>
      <c r="AP935" s="151"/>
      <c r="AQ935" s="151"/>
      <c r="AR935" s="151"/>
      <c r="AS935" s="151"/>
      <c r="AT935" s="151"/>
      <c r="AU935" s="151"/>
      <c r="AV935" s="151"/>
      <c r="AW935" s="151"/>
      <c r="AX935" s="151"/>
      <c r="AY935" s="151"/>
      <c r="AZ935" s="151"/>
      <c r="BA935" s="151"/>
      <c r="BB935" s="151"/>
      <c r="BC935" s="151"/>
      <c r="BD935" s="151"/>
      <c r="BE935" s="151"/>
      <c r="BF935" s="151"/>
      <c r="BG935" s="151"/>
      <c r="BH935" s="151"/>
      <c r="BI935" s="151"/>
      <c r="BJ935" s="151"/>
      <c r="BK935" s="151"/>
      <c r="BL935" s="151"/>
      <c r="BM935" s="151"/>
      <c r="BN935" s="151"/>
    </row>
    <row r="936" spans="25:66">
      <c r="Y936" s="151"/>
      <c r="Z936" s="151"/>
      <c r="AA936" s="151"/>
      <c r="AB936" s="151"/>
      <c r="AC936" s="151"/>
      <c r="AD936" s="151"/>
      <c r="AE936" s="151"/>
      <c r="AF936" s="151"/>
      <c r="AG936" s="151"/>
      <c r="AH936" s="151"/>
      <c r="AI936" s="151"/>
      <c r="AJ936" s="151"/>
      <c r="AK936" s="151"/>
      <c r="AL936" s="151"/>
      <c r="AM936" s="151"/>
      <c r="AN936" s="151"/>
      <c r="AO936" s="151"/>
      <c r="AP936" s="151"/>
      <c r="AQ936" s="151"/>
      <c r="AR936" s="151"/>
      <c r="AS936" s="151"/>
      <c r="AT936" s="151"/>
      <c r="AU936" s="151"/>
      <c r="AV936" s="151"/>
      <c r="AW936" s="151"/>
      <c r="AX936" s="151"/>
      <c r="AY936" s="151"/>
      <c r="AZ936" s="151"/>
      <c r="BA936" s="151"/>
      <c r="BB936" s="151"/>
      <c r="BC936" s="151"/>
      <c r="BD936" s="151"/>
      <c r="BE936" s="151"/>
      <c r="BF936" s="151"/>
      <c r="BG936" s="151"/>
      <c r="BH936" s="151"/>
      <c r="BI936" s="151"/>
      <c r="BJ936" s="151"/>
      <c r="BK936" s="151"/>
      <c r="BL936" s="151"/>
      <c r="BM936" s="151"/>
      <c r="BN936" s="151"/>
    </row>
    <row r="937" spans="25:66">
      <c r="Y937" s="151"/>
      <c r="Z937" s="151"/>
      <c r="AA937" s="151"/>
      <c r="AB937" s="151"/>
      <c r="AC937" s="151"/>
      <c r="AD937" s="151"/>
      <c r="AE937" s="151"/>
      <c r="AF937" s="151"/>
      <c r="AG937" s="151"/>
      <c r="AH937" s="151"/>
      <c r="AI937" s="151"/>
      <c r="AJ937" s="151"/>
      <c r="AK937" s="151"/>
      <c r="AL937" s="151"/>
      <c r="AM937" s="151"/>
      <c r="AN937" s="151"/>
      <c r="AO937" s="151"/>
      <c r="AP937" s="151"/>
      <c r="AQ937" s="151"/>
      <c r="AR937" s="151"/>
      <c r="AS937" s="151"/>
      <c r="AT937" s="151"/>
      <c r="AU937" s="151"/>
      <c r="AV937" s="151"/>
      <c r="AW937" s="151"/>
      <c r="AX937" s="151"/>
      <c r="AY937" s="151"/>
      <c r="AZ937" s="151"/>
      <c r="BA937" s="151"/>
      <c r="BB937" s="151"/>
      <c r="BC937" s="151"/>
      <c r="BD937" s="151"/>
      <c r="BE937" s="151"/>
      <c r="BF937" s="151"/>
      <c r="BG937" s="151"/>
      <c r="BH937" s="151"/>
      <c r="BI937" s="151"/>
      <c r="BJ937" s="151"/>
      <c r="BK937" s="151"/>
      <c r="BL937" s="151"/>
      <c r="BM937" s="151"/>
      <c r="BN937" s="151"/>
    </row>
    <row r="938" spans="25:66">
      <c r="Y938" s="151"/>
      <c r="Z938" s="151"/>
      <c r="AA938" s="151"/>
      <c r="AB938" s="151"/>
      <c r="AC938" s="151"/>
      <c r="AD938" s="151"/>
      <c r="AE938" s="151"/>
      <c r="AF938" s="151"/>
      <c r="AG938" s="151"/>
      <c r="AH938" s="151"/>
      <c r="AI938" s="151"/>
      <c r="AJ938" s="151"/>
      <c r="AK938" s="151"/>
      <c r="AL938" s="151"/>
      <c r="AM938" s="151"/>
      <c r="AN938" s="151"/>
      <c r="AO938" s="151"/>
      <c r="AP938" s="151"/>
      <c r="AQ938" s="151"/>
      <c r="AR938" s="151"/>
      <c r="AS938" s="151"/>
      <c r="AT938" s="151"/>
      <c r="AU938" s="151"/>
      <c r="AV938" s="151"/>
      <c r="AW938" s="151"/>
      <c r="AX938" s="151"/>
      <c r="AY938" s="151"/>
      <c r="AZ938" s="151"/>
      <c r="BA938" s="151"/>
      <c r="BB938" s="151"/>
      <c r="BC938" s="151"/>
      <c r="BD938" s="151"/>
      <c r="BE938" s="151"/>
      <c r="BF938" s="151"/>
      <c r="BG938" s="151"/>
      <c r="BH938" s="151"/>
      <c r="BI938" s="151"/>
      <c r="BJ938" s="151"/>
      <c r="BK938" s="151"/>
      <c r="BL938" s="151"/>
      <c r="BM938" s="151"/>
      <c r="BN938" s="151"/>
    </row>
    <row r="939" spans="25:66">
      <c r="Y939" s="151"/>
      <c r="Z939" s="151"/>
      <c r="AA939" s="151"/>
      <c r="AB939" s="151"/>
      <c r="AC939" s="151"/>
      <c r="AD939" s="151"/>
      <c r="AE939" s="151"/>
      <c r="AF939" s="151"/>
      <c r="AG939" s="151"/>
      <c r="AH939" s="151"/>
      <c r="AI939" s="151"/>
      <c r="AJ939" s="151"/>
      <c r="AK939" s="151"/>
      <c r="AL939" s="151"/>
      <c r="AM939" s="151"/>
      <c r="AN939" s="151"/>
      <c r="AO939" s="151"/>
      <c r="AP939" s="151"/>
      <c r="AQ939" s="151"/>
      <c r="AR939" s="151"/>
      <c r="AS939" s="151"/>
      <c r="AT939" s="151"/>
      <c r="AU939" s="151"/>
      <c r="AV939" s="151"/>
      <c r="AW939" s="151"/>
      <c r="AX939" s="151"/>
      <c r="AY939" s="151"/>
      <c r="AZ939" s="151"/>
      <c r="BA939" s="151"/>
      <c r="BB939" s="151"/>
      <c r="BC939" s="151"/>
      <c r="BD939" s="151"/>
      <c r="BE939" s="151"/>
      <c r="BF939" s="151"/>
      <c r="BG939" s="151"/>
      <c r="BH939" s="151"/>
      <c r="BI939" s="151"/>
      <c r="BJ939" s="151"/>
      <c r="BK939" s="151"/>
      <c r="BL939" s="151"/>
      <c r="BM939" s="151"/>
      <c r="BN939" s="151"/>
    </row>
    <row r="940" spans="25:66">
      <c r="Y940" s="151"/>
      <c r="Z940" s="151"/>
      <c r="AA940" s="151"/>
      <c r="AB940" s="151"/>
      <c r="AC940" s="151"/>
      <c r="AD940" s="151"/>
      <c r="AE940" s="151"/>
      <c r="AF940" s="151"/>
      <c r="AG940" s="151"/>
      <c r="AH940" s="151"/>
      <c r="AI940" s="151"/>
      <c r="AJ940" s="151"/>
      <c r="AK940" s="151"/>
      <c r="AL940" s="151"/>
      <c r="AM940" s="151"/>
      <c r="AN940" s="151"/>
      <c r="AO940" s="151"/>
      <c r="AP940" s="151"/>
      <c r="AQ940" s="151"/>
      <c r="AR940" s="151"/>
      <c r="AS940" s="151"/>
      <c r="AT940" s="151"/>
      <c r="AU940" s="151"/>
      <c r="AV940" s="151"/>
      <c r="AW940" s="151"/>
      <c r="AX940" s="151"/>
      <c r="AY940" s="151"/>
      <c r="AZ940" s="151"/>
      <c r="BA940" s="151"/>
      <c r="BB940" s="151"/>
      <c r="BC940" s="151"/>
      <c r="BD940" s="151"/>
      <c r="BE940" s="151"/>
      <c r="BF940" s="151"/>
      <c r="BG940" s="151"/>
      <c r="BH940" s="151"/>
      <c r="BI940" s="151"/>
      <c r="BJ940" s="151"/>
      <c r="BK940" s="151"/>
      <c r="BL940" s="151"/>
      <c r="BM940" s="151"/>
      <c r="BN940" s="151"/>
    </row>
    <row r="941" spans="25:66">
      <c r="Y941" s="151"/>
      <c r="Z941" s="151"/>
      <c r="AA941" s="151"/>
      <c r="AB941" s="151"/>
      <c r="AC941" s="151"/>
      <c r="AD941" s="151"/>
      <c r="AE941" s="151"/>
      <c r="AF941" s="151"/>
      <c r="AG941" s="151"/>
      <c r="AH941" s="151"/>
      <c r="AI941" s="151"/>
      <c r="AJ941" s="151"/>
      <c r="AK941" s="151"/>
      <c r="AL941" s="151"/>
      <c r="AM941" s="151"/>
      <c r="AN941" s="151"/>
      <c r="AO941" s="151"/>
      <c r="AP941" s="151"/>
      <c r="AQ941" s="151"/>
      <c r="AR941" s="151"/>
      <c r="AS941" s="151"/>
      <c r="AT941" s="151"/>
      <c r="AU941" s="151"/>
      <c r="AV941" s="151"/>
      <c r="AW941" s="151"/>
      <c r="AX941" s="151"/>
      <c r="AY941" s="151"/>
      <c r="AZ941" s="151"/>
      <c r="BA941" s="151"/>
      <c r="BB941" s="151"/>
      <c r="BC941" s="151"/>
      <c r="BD941" s="151"/>
      <c r="BE941" s="151"/>
      <c r="BF941" s="151"/>
      <c r="BG941" s="151"/>
      <c r="BH941" s="151"/>
      <c r="BI941" s="151"/>
      <c r="BJ941" s="151"/>
      <c r="BK941" s="151"/>
      <c r="BL941" s="151"/>
      <c r="BM941" s="151"/>
      <c r="BN941" s="151"/>
    </row>
    <row r="942" spans="25:66">
      <c r="Y942" s="151"/>
      <c r="Z942" s="151"/>
      <c r="AA942" s="151"/>
      <c r="AB942" s="151"/>
      <c r="AC942" s="151"/>
      <c r="AD942" s="151"/>
      <c r="AE942" s="151"/>
      <c r="AF942" s="151"/>
      <c r="AG942" s="151"/>
      <c r="AH942" s="151"/>
      <c r="AI942" s="151"/>
      <c r="AJ942" s="151"/>
      <c r="AK942" s="151"/>
      <c r="AL942" s="151"/>
      <c r="AM942" s="151"/>
      <c r="AN942" s="151"/>
      <c r="AO942" s="151"/>
      <c r="AP942" s="151"/>
      <c r="AQ942" s="151"/>
      <c r="AR942" s="151"/>
      <c r="AS942" s="151"/>
      <c r="AT942" s="151"/>
      <c r="AU942" s="151"/>
      <c r="AV942" s="151"/>
      <c r="AW942" s="151"/>
      <c r="AX942" s="151"/>
      <c r="AY942" s="151"/>
      <c r="AZ942" s="151"/>
      <c r="BA942" s="151"/>
      <c r="BB942" s="151"/>
      <c r="BC942" s="151"/>
      <c r="BD942" s="151"/>
      <c r="BE942" s="151"/>
      <c r="BF942" s="151"/>
      <c r="BG942" s="151"/>
      <c r="BH942" s="151"/>
      <c r="BI942" s="151"/>
      <c r="BJ942" s="151"/>
      <c r="BK942" s="151"/>
      <c r="BL942" s="151"/>
      <c r="BM942" s="151"/>
      <c r="BN942" s="151"/>
    </row>
    <row r="943" spans="25:66">
      <c r="Y943" s="151"/>
      <c r="Z943" s="151"/>
      <c r="AA943" s="151"/>
      <c r="AB943" s="151"/>
      <c r="AC943" s="151"/>
      <c r="AD943" s="151"/>
      <c r="AE943" s="151"/>
      <c r="AF943" s="151"/>
      <c r="AG943" s="151"/>
      <c r="AH943" s="151"/>
      <c r="AI943" s="151"/>
      <c r="AJ943" s="151"/>
      <c r="AK943" s="151"/>
      <c r="AL943" s="151"/>
      <c r="AM943" s="151"/>
      <c r="AN943" s="151"/>
      <c r="AO943" s="151"/>
      <c r="AP943" s="151"/>
      <c r="AQ943" s="151"/>
      <c r="AR943" s="151"/>
      <c r="AS943" s="151"/>
      <c r="AT943" s="151"/>
      <c r="AU943" s="151"/>
      <c r="AV943" s="151"/>
      <c r="AW943" s="151"/>
      <c r="AX943" s="151"/>
      <c r="AY943" s="151"/>
      <c r="AZ943" s="151"/>
      <c r="BA943" s="151"/>
      <c r="BB943" s="151"/>
      <c r="BC943" s="151"/>
      <c r="BD943" s="151"/>
      <c r="BE943" s="151"/>
      <c r="BF943" s="151"/>
      <c r="BG943" s="151"/>
      <c r="BH943" s="151"/>
      <c r="BI943" s="151"/>
      <c r="BJ943" s="151"/>
      <c r="BK943" s="151"/>
      <c r="BL943" s="151"/>
      <c r="BM943" s="151"/>
      <c r="BN943" s="151"/>
    </row>
    <row r="944" spans="25:66">
      <c r="Y944" s="151"/>
      <c r="Z944" s="151"/>
      <c r="AA944" s="151"/>
      <c r="AB944" s="151"/>
      <c r="AC944" s="151"/>
      <c r="AD944" s="151"/>
      <c r="AE944" s="151"/>
      <c r="AF944" s="151"/>
      <c r="AG944" s="151"/>
      <c r="AH944" s="151"/>
      <c r="AI944" s="151"/>
      <c r="AJ944" s="151"/>
      <c r="AK944" s="151"/>
      <c r="AL944" s="151"/>
      <c r="AM944" s="151"/>
      <c r="AN944" s="151"/>
      <c r="AO944" s="151"/>
      <c r="AP944" s="151"/>
      <c r="AQ944" s="151"/>
      <c r="AR944" s="151"/>
      <c r="AS944" s="151"/>
      <c r="AT944" s="151"/>
      <c r="AU944" s="151"/>
      <c r="AV944" s="151"/>
      <c r="AW944" s="151"/>
      <c r="AX944" s="151"/>
      <c r="AY944" s="151"/>
      <c r="AZ944" s="151"/>
      <c r="BA944" s="151"/>
      <c r="BB944" s="151"/>
      <c r="BC944" s="151"/>
      <c r="BD944" s="151"/>
      <c r="BE944" s="151"/>
      <c r="BF944" s="151"/>
      <c r="BG944" s="151"/>
      <c r="BH944" s="151"/>
      <c r="BI944" s="151"/>
      <c r="BJ944" s="151"/>
      <c r="BK944" s="151"/>
      <c r="BL944" s="151"/>
      <c r="BM944" s="151"/>
      <c r="BN944" s="151"/>
    </row>
    <row r="945" spans="25:66">
      <c r="Y945" s="151"/>
      <c r="Z945" s="151"/>
      <c r="AA945" s="151"/>
      <c r="AB945" s="151"/>
      <c r="AC945" s="151"/>
      <c r="AD945" s="151"/>
      <c r="AE945" s="151"/>
      <c r="AF945" s="151"/>
      <c r="AG945" s="151"/>
      <c r="AH945" s="151"/>
      <c r="AI945" s="151"/>
      <c r="AJ945" s="151"/>
      <c r="AK945" s="151"/>
      <c r="AL945" s="151"/>
      <c r="AM945" s="151"/>
      <c r="AN945" s="151"/>
      <c r="AO945" s="151"/>
      <c r="AP945" s="151"/>
      <c r="AQ945" s="151"/>
      <c r="AR945" s="151"/>
      <c r="AS945" s="151"/>
      <c r="AT945" s="151"/>
      <c r="AU945" s="151"/>
      <c r="AV945" s="151"/>
      <c r="AW945" s="151"/>
      <c r="AX945" s="151"/>
      <c r="AY945" s="151"/>
      <c r="AZ945" s="151"/>
      <c r="BA945" s="151"/>
      <c r="BB945" s="151"/>
      <c r="BC945" s="151"/>
      <c r="BD945" s="151"/>
      <c r="BE945" s="151"/>
      <c r="BF945" s="151"/>
      <c r="BG945" s="151"/>
      <c r="BH945" s="151"/>
      <c r="BI945" s="151"/>
      <c r="BJ945" s="151"/>
      <c r="BK945" s="151"/>
      <c r="BL945" s="151"/>
      <c r="BM945" s="151"/>
      <c r="BN945" s="151"/>
    </row>
    <row r="946" spans="25:66">
      <c r="Y946" s="151"/>
      <c r="Z946" s="151"/>
      <c r="AA946" s="151"/>
      <c r="AB946" s="151"/>
      <c r="AC946" s="151"/>
      <c r="AD946" s="151"/>
      <c r="AE946" s="151"/>
      <c r="AF946" s="151"/>
      <c r="AG946" s="151"/>
      <c r="AH946" s="151"/>
      <c r="AI946" s="151"/>
      <c r="AJ946" s="151"/>
      <c r="AK946" s="151"/>
      <c r="AL946" s="151"/>
      <c r="AM946" s="151"/>
      <c r="AN946" s="151"/>
      <c r="AO946" s="151"/>
      <c r="AP946" s="151"/>
      <c r="AQ946" s="151"/>
      <c r="AR946" s="151"/>
      <c r="AS946" s="151"/>
      <c r="AT946" s="151"/>
      <c r="AU946" s="151"/>
      <c r="AV946" s="151"/>
      <c r="AW946" s="151"/>
      <c r="AX946" s="151"/>
      <c r="AY946" s="151"/>
      <c r="AZ946" s="151"/>
      <c r="BA946" s="151"/>
      <c r="BB946" s="151"/>
      <c r="BC946" s="151"/>
      <c r="BD946" s="151"/>
      <c r="BE946" s="151"/>
      <c r="BF946" s="151"/>
      <c r="BG946" s="151"/>
      <c r="BH946" s="151"/>
      <c r="BI946" s="151"/>
      <c r="BJ946" s="151"/>
      <c r="BK946" s="151"/>
      <c r="BL946" s="151"/>
      <c r="BM946" s="151"/>
      <c r="BN946" s="151"/>
    </row>
    <row r="947" spans="25:66">
      <c r="Y947" s="151"/>
      <c r="Z947" s="151"/>
      <c r="AA947" s="151"/>
      <c r="AB947" s="151"/>
      <c r="AC947" s="151"/>
      <c r="AD947" s="151"/>
      <c r="AE947" s="151"/>
      <c r="AF947" s="151"/>
      <c r="AG947" s="151"/>
      <c r="AH947" s="151"/>
      <c r="AI947" s="151"/>
      <c r="AJ947" s="151"/>
      <c r="AK947" s="151"/>
      <c r="AL947" s="151"/>
      <c r="AM947" s="151"/>
      <c r="AN947" s="151"/>
      <c r="AO947" s="151"/>
      <c r="AP947" s="151"/>
      <c r="AQ947" s="151"/>
      <c r="AR947" s="151"/>
      <c r="AS947" s="151"/>
      <c r="AT947" s="151"/>
      <c r="AU947" s="151"/>
      <c r="AV947" s="151"/>
      <c r="AW947" s="151"/>
      <c r="AX947" s="151"/>
      <c r="AY947" s="151"/>
      <c r="AZ947" s="151"/>
      <c r="BA947" s="151"/>
      <c r="BB947" s="151"/>
      <c r="BC947" s="151"/>
      <c r="BD947" s="151"/>
      <c r="BE947" s="151"/>
      <c r="BF947" s="151"/>
      <c r="BG947" s="151"/>
      <c r="BH947" s="151"/>
      <c r="BI947" s="151"/>
      <c r="BJ947" s="151"/>
      <c r="BK947" s="151"/>
      <c r="BL947" s="151"/>
      <c r="BM947" s="151"/>
      <c r="BN947" s="151"/>
    </row>
    <row r="948" spans="25:66">
      <c r="Y948" s="151"/>
      <c r="Z948" s="151"/>
      <c r="AA948" s="151"/>
      <c r="AB948" s="151"/>
      <c r="AC948" s="151"/>
      <c r="AD948" s="151"/>
      <c r="AE948" s="151"/>
      <c r="AF948" s="151"/>
      <c r="AG948" s="151"/>
      <c r="AH948" s="151"/>
      <c r="AI948" s="151"/>
      <c r="AJ948" s="151"/>
      <c r="AK948" s="151"/>
      <c r="AL948" s="151"/>
      <c r="AM948" s="151"/>
      <c r="AN948" s="151"/>
      <c r="AO948" s="151"/>
      <c r="AP948" s="151"/>
      <c r="AQ948" s="151"/>
      <c r="AR948" s="151"/>
      <c r="AS948" s="151"/>
      <c r="AT948" s="151"/>
      <c r="AU948" s="151"/>
      <c r="AV948" s="151"/>
      <c r="AW948" s="151"/>
      <c r="AX948" s="151"/>
      <c r="AY948" s="151"/>
      <c r="AZ948" s="151"/>
      <c r="BA948" s="151"/>
      <c r="BB948" s="151"/>
      <c r="BC948" s="151"/>
      <c r="BD948" s="151"/>
      <c r="BE948" s="151"/>
      <c r="BF948" s="151"/>
      <c r="BG948" s="151"/>
      <c r="BH948" s="151"/>
      <c r="BI948" s="151"/>
      <c r="BJ948" s="151"/>
      <c r="BK948" s="151"/>
      <c r="BL948" s="151"/>
      <c r="BM948" s="151"/>
      <c r="BN948" s="151"/>
    </row>
    <row r="949" spans="25:66">
      <c r="Y949" s="151"/>
      <c r="Z949" s="151"/>
      <c r="AA949" s="151"/>
      <c r="AB949" s="151"/>
      <c r="AC949" s="151"/>
      <c r="AD949" s="151"/>
      <c r="AE949" s="151"/>
      <c r="AF949" s="151"/>
      <c r="AG949" s="151"/>
      <c r="AH949" s="151"/>
      <c r="AI949" s="151"/>
      <c r="AJ949" s="151"/>
      <c r="AK949" s="151"/>
      <c r="AL949" s="151"/>
      <c r="AM949" s="151"/>
      <c r="AN949" s="151"/>
      <c r="AO949" s="151"/>
      <c r="AP949" s="151"/>
      <c r="AQ949" s="151"/>
      <c r="AR949" s="151"/>
      <c r="AS949" s="151"/>
      <c r="AT949" s="151"/>
      <c r="AU949" s="151"/>
      <c r="AV949" s="151"/>
      <c r="AW949" s="151"/>
      <c r="AX949" s="151"/>
      <c r="AY949" s="151"/>
      <c r="AZ949" s="151"/>
      <c r="BA949" s="151"/>
      <c r="BB949" s="151"/>
      <c r="BC949" s="151"/>
      <c r="BD949" s="151"/>
      <c r="BE949" s="151"/>
      <c r="BF949" s="151"/>
      <c r="BG949" s="151"/>
      <c r="BH949" s="151"/>
      <c r="BI949" s="151"/>
      <c r="BJ949" s="151"/>
      <c r="BK949" s="151"/>
      <c r="BL949" s="151"/>
      <c r="BM949" s="151"/>
      <c r="BN949" s="151"/>
    </row>
    <row r="950" spans="25:66">
      <c r="Y950" s="151"/>
      <c r="Z950" s="151"/>
      <c r="AA950" s="151"/>
      <c r="AB950" s="151"/>
      <c r="AC950" s="151"/>
      <c r="AD950" s="151"/>
      <c r="AE950" s="151"/>
      <c r="AF950" s="151"/>
      <c r="AG950" s="151"/>
      <c r="AH950" s="151"/>
      <c r="AI950" s="151"/>
      <c r="AJ950" s="151"/>
      <c r="AK950" s="151"/>
      <c r="AL950" s="151"/>
      <c r="AM950" s="151"/>
      <c r="AN950" s="151"/>
      <c r="AO950" s="151"/>
      <c r="AP950" s="151"/>
      <c r="AQ950" s="151"/>
      <c r="AR950" s="151"/>
      <c r="AS950" s="151"/>
      <c r="AT950" s="151"/>
      <c r="AU950" s="151"/>
      <c r="AV950" s="151"/>
      <c r="AW950" s="151"/>
      <c r="AX950" s="151"/>
      <c r="AY950" s="151"/>
      <c r="AZ950" s="151"/>
      <c r="BA950" s="151"/>
      <c r="BB950" s="151"/>
      <c r="BC950" s="151"/>
      <c r="BD950" s="151"/>
      <c r="BE950" s="151"/>
      <c r="BF950" s="151"/>
      <c r="BG950" s="151"/>
      <c r="BH950" s="151"/>
      <c r="BI950" s="151"/>
      <c r="BJ950" s="151"/>
      <c r="BK950" s="151"/>
      <c r="BL950" s="151"/>
      <c r="BM950" s="151"/>
      <c r="BN950" s="151"/>
    </row>
    <row r="951" spans="25:66">
      <c r="Y951" s="151"/>
      <c r="Z951" s="151"/>
      <c r="AA951" s="151"/>
      <c r="AB951" s="151"/>
      <c r="AC951" s="151"/>
      <c r="AD951" s="151"/>
      <c r="AE951" s="151"/>
      <c r="AF951" s="151"/>
      <c r="AG951" s="151"/>
      <c r="AH951" s="151"/>
      <c r="AI951" s="151"/>
      <c r="AJ951" s="151"/>
      <c r="AK951" s="151"/>
      <c r="AL951" s="151"/>
      <c r="AM951" s="151"/>
      <c r="AN951" s="151"/>
      <c r="AO951" s="151"/>
      <c r="AP951" s="151"/>
      <c r="AQ951" s="151"/>
      <c r="AR951" s="151"/>
      <c r="AS951" s="151"/>
      <c r="AT951" s="151"/>
      <c r="AU951" s="151"/>
      <c r="AV951" s="151"/>
      <c r="AW951" s="151"/>
      <c r="AX951" s="151"/>
      <c r="AY951" s="151"/>
      <c r="AZ951" s="151"/>
      <c r="BA951" s="151"/>
      <c r="BB951" s="151"/>
      <c r="BC951" s="151"/>
      <c r="BD951" s="151"/>
      <c r="BE951" s="151"/>
      <c r="BF951" s="151"/>
      <c r="BG951" s="151"/>
      <c r="BH951" s="151"/>
      <c r="BI951" s="151"/>
      <c r="BJ951" s="151"/>
      <c r="BK951" s="151"/>
      <c r="BL951" s="151"/>
      <c r="BM951" s="151"/>
      <c r="BN951" s="151"/>
    </row>
    <row r="952" spans="25:66">
      <c r="Y952" s="151"/>
      <c r="Z952" s="151"/>
      <c r="AA952" s="151"/>
      <c r="AB952" s="151"/>
      <c r="AC952" s="151"/>
      <c r="AD952" s="151"/>
      <c r="AE952" s="151"/>
      <c r="AF952" s="151"/>
      <c r="AG952" s="151"/>
      <c r="AH952" s="151"/>
      <c r="AI952" s="151"/>
      <c r="AJ952" s="151"/>
      <c r="AK952" s="151"/>
      <c r="AL952" s="151"/>
      <c r="AM952" s="151"/>
      <c r="AN952" s="151"/>
      <c r="AO952" s="151"/>
      <c r="AP952" s="151"/>
      <c r="AQ952" s="151"/>
      <c r="AR952" s="151"/>
      <c r="AS952" s="151"/>
      <c r="AT952" s="151"/>
      <c r="AU952" s="151"/>
      <c r="AV952" s="151"/>
      <c r="AW952" s="151"/>
      <c r="AX952" s="151"/>
      <c r="AY952" s="151"/>
      <c r="AZ952" s="151"/>
      <c r="BA952" s="151"/>
      <c r="BB952" s="151"/>
      <c r="BC952" s="151"/>
      <c r="BD952" s="151"/>
      <c r="BE952" s="151"/>
      <c r="BF952" s="151"/>
      <c r="BG952" s="151"/>
      <c r="BH952" s="151"/>
      <c r="BI952" s="151"/>
      <c r="BJ952" s="151"/>
      <c r="BK952" s="151"/>
      <c r="BL952" s="151"/>
      <c r="BM952" s="151"/>
      <c r="BN952" s="151"/>
    </row>
    <row r="953" spans="25:66">
      <c r="Y953" s="151"/>
      <c r="Z953" s="151"/>
      <c r="AA953" s="151"/>
      <c r="AB953" s="151"/>
      <c r="AC953" s="151"/>
      <c r="AD953" s="151"/>
      <c r="AE953" s="151"/>
      <c r="AF953" s="151"/>
      <c r="AG953" s="151"/>
      <c r="AH953" s="151"/>
      <c r="AI953" s="151"/>
      <c r="AJ953" s="151"/>
      <c r="AK953" s="151"/>
      <c r="AL953" s="151"/>
      <c r="AM953" s="151"/>
      <c r="AN953" s="151"/>
      <c r="AO953" s="151"/>
      <c r="AP953" s="151"/>
      <c r="AQ953" s="151"/>
      <c r="AR953" s="151"/>
      <c r="AS953" s="151"/>
      <c r="AT953" s="151"/>
      <c r="AU953" s="151"/>
      <c r="AV953" s="151"/>
      <c r="AW953" s="151"/>
      <c r="AX953" s="151"/>
      <c r="AY953" s="151"/>
      <c r="AZ953" s="151"/>
      <c r="BA953" s="151"/>
      <c r="BB953" s="151"/>
      <c r="BC953" s="151"/>
      <c r="BD953" s="151"/>
      <c r="BE953" s="151"/>
      <c r="BF953" s="151"/>
      <c r="BG953" s="151"/>
      <c r="BH953" s="151"/>
      <c r="BI953" s="151"/>
      <c r="BJ953" s="151"/>
      <c r="BK953" s="151"/>
      <c r="BL953" s="151"/>
      <c r="BM953" s="151"/>
      <c r="BN953" s="151"/>
    </row>
    <row r="954" spans="25:66">
      <c r="Y954" s="151"/>
      <c r="Z954" s="151"/>
      <c r="AA954" s="151"/>
      <c r="AB954" s="151"/>
      <c r="AC954" s="151"/>
      <c r="AD954" s="151"/>
      <c r="AE954" s="151"/>
      <c r="AF954" s="151"/>
      <c r="AG954" s="151"/>
      <c r="AH954" s="151"/>
      <c r="AI954" s="151"/>
      <c r="AJ954" s="151"/>
      <c r="AK954" s="151"/>
      <c r="AL954" s="151"/>
      <c r="AM954" s="151"/>
      <c r="AN954" s="151"/>
      <c r="AO954" s="151"/>
      <c r="AP954" s="151"/>
      <c r="AQ954" s="151"/>
      <c r="AR954" s="151"/>
      <c r="AS954" s="151"/>
      <c r="AT954" s="151"/>
      <c r="AU954" s="151"/>
      <c r="AV954" s="151"/>
      <c r="AW954" s="151"/>
      <c r="AX954" s="151"/>
      <c r="AY954" s="151"/>
      <c r="AZ954" s="151"/>
      <c r="BA954" s="151"/>
      <c r="BB954" s="151"/>
      <c r="BC954" s="151"/>
      <c r="BD954" s="151"/>
      <c r="BE954" s="151"/>
      <c r="BF954" s="151"/>
      <c r="BG954" s="151"/>
      <c r="BH954" s="151"/>
      <c r="BI954" s="151"/>
      <c r="BJ954" s="151"/>
      <c r="BK954" s="151"/>
      <c r="BL954" s="151"/>
      <c r="BM954" s="151"/>
      <c r="BN954" s="151"/>
    </row>
    <row r="955" spans="25:66">
      <c r="Y955" s="151"/>
      <c r="Z955" s="151"/>
      <c r="AA955" s="151"/>
      <c r="AB955" s="151"/>
      <c r="AC955" s="151"/>
      <c r="AD955" s="151"/>
      <c r="AE955" s="151"/>
      <c r="AF955" s="151"/>
      <c r="AG955" s="151"/>
      <c r="AH955" s="151"/>
      <c r="AI955" s="151"/>
      <c r="AJ955" s="151"/>
      <c r="AK955" s="151"/>
      <c r="AL955" s="151"/>
      <c r="AM955" s="151"/>
      <c r="AN955" s="151"/>
      <c r="AO955" s="151"/>
      <c r="AP955" s="151"/>
      <c r="AQ955" s="151"/>
      <c r="AR955" s="151"/>
      <c r="AS955" s="151"/>
      <c r="AT955" s="151"/>
      <c r="AU955" s="151"/>
      <c r="AV955" s="151"/>
      <c r="AW955" s="151"/>
      <c r="AX955" s="151"/>
      <c r="AY955" s="151"/>
      <c r="AZ955" s="151"/>
      <c r="BA955" s="151"/>
      <c r="BB955" s="151"/>
      <c r="BC955" s="151"/>
      <c r="BD955" s="151"/>
      <c r="BE955" s="151"/>
      <c r="BF955" s="151"/>
      <c r="BG955" s="151"/>
      <c r="BH955" s="151"/>
      <c r="BI955" s="151"/>
      <c r="BJ955" s="151"/>
      <c r="BK955" s="151"/>
      <c r="BL955" s="151"/>
      <c r="BM955" s="151"/>
      <c r="BN955" s="151"/>
    </row>
    <row r="956" spans="25:66">
      <c r="Y956" s="151"/>
      <c r="Z956" s="151"/>
      <c r="AA956" s="151"/>
      <c r="AB956" s="151"/>
      <c r="AC956" s="151"/>
      <c r="AD956" s="151"/>
      <c r="AE956" s="151"/>
      <c r="AF956" s="151"/>
      <c r="AG956" s="151"/>
      <c r="AH956" s="151"/>
      <c r="AI956" s="151"/>
      <c r="AJ956" s="151"/>
      <c r="AK956" s="151"/>
      <c r="AL956" s="151"/>
      <c r="AM956" s="151"/>
      <c r="AN956" s="151"/>
      <c r="AO956" s="151"/>
      <c r="AP956" s="151"/>
      <c r="AQ956" s="151"/>
      <c r="AR956" s="151"/>
      <c r="AS956" s="151"/>
      <c r="AT956" s="151"/>
      <c r="AU956" s="151"/>
      <c r="AV956" s="151"/>
      <c r="AW956" s="151"/>
      <c r="AX956" s="151"/>
      <c r="AY956" s="151"/>
      <c r="AZ956" s="151"/>
      <c r="BA956" s="151"/>
      <c r="BB956" s="151"/>
      <c r="BC956" s="151"/>
      <c r="BD956" s="151"/>
      <c r="BE956" s="151"/>
      <c r="BF956" s="151"/>
      <c r="BG956" s="151"/>
      <c r="BH956" s="151"/>
      <c r="BI956" s="151"/>
      <c r="BJ956" s="151"/>
      <c r="BK956" s="151"/>
      <c r="BL956" s="151"/>
      <c r="BM956" s="151"/>
      <c r="BN956" s="151"/>
    </row>
    <row r="957" spans="25:66">
      <c r="Y957" s="151"/>
      <c r="Z957" s="151"/>
      <c r="AA957" s="151"/>
      <c r="AB957" s="151"/>
      <c r="AC957" s="151"/>
      <c r="AD957" s="151"/>
      <c r="AE957" s="151"/>
      <c r="AF957" s="151"/>
      <c r="AG957" s="151"/>
      <c r="AH957" s="151"/>
      <c r="AI957" s="151"/>
      <c r="AJ957" s="151"/>
      <c r="AK957" s="151"/>
      <c r="AL957" s="151"/>
      <c r="AM957" s="151"/>
      <c r="AN957" s="151"/>
      <c r="AO957" s="151"/>
      <c r="AP957" s="151"/>
      <c r="AQ957" s="151"/>
      <c r="AR957" s="151"/>
      <c r="AS957" s="151"/>
      <c r="AT957" s="151"/>
      <c r="AU957" s="151"/>
      <c r="AV957" s="151"/>
      <c r="AW957" s="151"/>
      <c r="AX957" s="151"/>
      <c r="AY957" s="151"/>
      <c r="AZ957" s="151"/>
      <c r="BA957" s="151"/>
      <c r="BB957" s="151"/>
      <c r="BC957" s="151"/>
      <c r="BD957" s="151"/>
      <c r="BE957" s="151"/>
      <c r="BF957" s="151"/>
      <c r="BG957" s="151"/>
      <c r="BH957" s="151"/>
      <c r="BI957" s="151"/>
      <c r="BJ957" s="151"/>
      <c r="BK957" s="151"/>
      <c r="BL957" s="151"/>
      <c r="BM957" s="151"/>
      <c r="BN957" s="151"/>
    </row>
    <row r="958" spans="25:66">
      <c r="Y958" s="151"/>
      <c r="Z958" s="151"/>
      <c r="AA958" s="151"/>
      <c r="AB958" s="151"/>
      <c r="AC958" s="151"/>
      <c r="AD958" s="151"/>
      <c r="AE958" s="151"/>
      <c r="AF958" s="151"/>
      <c r="AG958" s="151"/>
      <c r="AH958" s="151"/>
      <c r="AI958" s="151"/>
      <c r="AJ958" s="151"/>
      <c r="AK958" s="151"/>
      <c r="AL958" s="151"/>
      <c r="AM958" s="151"/>
      <c r="AN958" s="151"/>
      <c r="AO958" s="151"/>
      <c r="AP958" s="151"/>
      <c r="AQ958" s="151"/>
      <c r="AR958" s="151"/>
      <c r="AS958" s="151"/>
      <c r="AT958" s="151"/>
      <c r="AU958" s="151"/>
      <c r="AV958" s="151"/>
      <c r="AW958" s="151"/>
      <c r="AX958" s="151"/>
      <c r="AY958" s="151"/>
      <c r="AZ958" s="151"/>
      <c r="BA958" s="151"/>
      <c r="BB958" s="151"/>
      <c r="BC958" s="151"/>
      <c r="BD958" s="151"/>
      <c r="BE958" s="151"/>
      <c r="BF958" s="151"/>
      <c r="BG958" s="151"/>
      <c r="BH958" s="151"/>
      <c r="BI958" s="151"/>
      <c r="BJ958" s="151"/>
      <c r="BK958" s="151"/>
      <c r="BL958" s="151"/>
      <c r="BM958" s="151"/>
      <c r="BN958" s="151"/>
    </row>
    <row r="959" spans="25:66">
      <c r="Y959" s="151"/>
      <c r="Z959" s="151"/>
      <c r="AA959" s="151"/>
      <c r="AB959" s="151"/>
      <c r="AC959" s="151"/>
      <c r="AD959" s="151"/>
      <c r="AE959" s="151"/>
      <c r="AF959" s="151"/>
      <c r="AG959" s="151"/>
      <c r="AH959" s="151"/>
      <c r="AI959" s="151"/>
      <c r="AJ959" s="151"/>
      <c r="AK959" s="151"/>
      <c r="AL959" s="151"/>
      <c r="AM959" s="151"/>
      <c r="AN959" s="151"/>
      <c r="AO959" s="151"/>
      <c r="AP959" s="151"/>
      <c r="AQ959" s="151"/>
      <c r="AR959" s="151"/>
      <c r="AS959" s="151"/>
      <c r="AT959" s="151"/>
      <c r="AU959" s="151"/>
      <c r="AV959" s="151"/>
      <c r="AW959" s="151"/>
      <c r="AX959" s="151"/>
      <c r="AY959" s="151"/>
      <c r="AZ959" s="151"/>
      <c r="BA959" s="151"/>
      <c r="BB959" s="151"/>
      <c r="BC959" s="151"/>
      <c r="BD959" s="151"/>
      <c r="BE959" s="151"/>
      <c r="BF959" s="151"/>
      <c r="BG959" s="151"/>
      <c r="BH959" s="151"/>
      <c r="BI959" s="151"/>
      <c r="BJ959" s="151"/>
      <c r="BK959" s="151"/>
      <c r="BL959" s="151"/>
      <c r="BM959" s="151"/>
      <c r="BN959" s="151"/>
    </row>
    <row r="960" spans="25:66">
      <c r="Y960" s="151"/>
      <c r="Z960" s="151"/>
      <c r="AA960" s="151"/>
      <c r="AB960" s="151"/>
      <c r="AC960" s="151"/>
      <c r="AD960" s="151"/>
      <c r="AE960" s="151"/>
      <c r="AF960" s="151"/>
      <c r="AG960" s="151"/>
      <c r="AH960" s="151"/>
      <c r="AI960" s="151"/>
      <c r="AJ960" s="151"/>
      <c r="AK960" s="151"/>
      <c r="AL960" s="151"/>
      <c r="AM960" s="151"/>
      <c r="AN960" s="151"/>
      <c r="AO960" s="151"/>
      <c r="AP960" s="151"/>
      <c r="AQ960" s="151"/>
      <c r="AR960" s="151"/>
      <c r="AS960" s="151"/>
      <c r="AT960" s="151"/>
      <c r="AU960" s="151"/>
      <c r="AV960" s="151"/>
      <c r="AW960" s="151"/>
      <c r="AX960" s="151"/>
      <c r="AY960" s="151"/>
      <c r="AZ960" s="151"/>
      <c r="BA960" s="151"/>
      <c r="BB960" s="151"/>
      <c r="BC960" s="151"/>
      <c r="BD960" s="151"/>
      <c r="BE960" s="151"/>
      <c r="BF960" s="151"/>
      <c r="BG960" s="151"/>
      <c r="BH960" s="151"/>
      <c r="BI960" s="151"/>
      <c r="BJ960" s="151"/>
      <c r="BK960" s="151"/>
      <c r="BL960" s="151"/>
      <c r="BM960" s="151"/>
      <c r="BN960" s="151"/>
    </row>
    <row r="961" spans="25:66">
      <c r="Y961" s="151"/>
      <c r="Z961" s="151"/>
      <c r="AA961" s="151"/>
      <c r="AB961" s="151"/>
      <c r="AC961" s="151"/>
      <c r="AD961" s="151"/>
      <c r="AE961" s="151"/>
      <c r="AF961" s="151"/>
      <c r="AG961" s="151"/>
      <c r="AH961" s="151"/>
      <c r="AI961" s="151"/>
      <c r="AJ961" s="151"/>
      <c r="AK961" s="151"/>
      <c r="AL961" s="151"/>
      <c r="AM961" s="151"/>
      <c r="AN961" s="151"/>
      <c r="AO961" s="151"/>
      <c r="AP961" s="151"/>
      <c r="AQ961" s="151"/>
      <c r="AR961" s="151"/>
      <c r="AS961" s="151"/>
      <c r="AT961" s="151"/>
      <c r="AU961" s="151"/>
      <c r="AV961" s="151"/>
      <c r="AW961" s="151"/>
      <c r="AX961" s="151"/>
      <c r="AY961" s="151"/>
      <c r="AZ961" s="151"/>
      <c r="BA961" s="151"/>
      <c r="BB961" s="151"/>
      <c r="BC961" s="151"/>
      <c r="BD961" s="151"/>
      <c r="BE961" s="151"/>
      <c r="BF961" s="151"/>
      <c r="BG961" s="151"/>
      <c r="BH961" s="151"/>
      <c r="BI961" s="151"/>
      <c r="BJ961" s="151"/>
      <c r="BK961" s="151"/>
      <c r="BL961" s="151"/>
      <c r="BM961" s="151"/>
      <c r="BN961" s="151"/>
    </row>
    <row r="962" spans="25:66">
      <c r="Y962" s="151"/>
      <c r="Z962" s="151"/>
      <c r="AA962" s="151"/>
      <c r="AB962" s="151"/>
      <c r="AC962" s="151"/>
      <c r="AD962" s="151"/>
      <c r="AE962" s="151"/>
      <c r="AF962" s="151"/>
      <c r="AG962" s="151"/>
      <c r="AH962" s="151"/>
      <c r="AI962" s="151"/>
      <c r="AJ962" s="151"/>
      <c r="AK962" s="151"/>
      <c r="AL962" s="151"/>
      <c r="AM962" s="151"/>
      <c r="AN962" s="151"/>
      <c r="AO962" s="151"/>
      <c r="AP962" s="151"/>
      <c r="AQ962" s="151"/>
      <c r="AR962" s="151"/>
      <c r="AS962" s="151"/>
      <c r="AT962" s="151"/>
      <c r="AU962" s="151"/>
      <c r="AV962" s="151"/>
      <c r="AW962" s="151"/>
      <c r="AX962" s="151"/>
      <c r="AY962" s="151"/>
      <c r="AZ962" s="151"/>
      <c r="BA962" s="151"/>
      <c r="BB962" s="151"/>
      <c r="BC962" s="151"/>
      <c r="BD962" s="151"/>
      <c r="BE962" s="151"/>
      <c r="BF962" s="151"/>
      <c r="BG962" s="151"/>
      <c r="BH962" s="151"/>
      <c r="BI962" s="151"/>
      <c r="BJ962" s="151"/>
      <c r="BK962" s="151"/>
      <c r="BL962" s="151"/>
      <c r="BM962" s="151"/>
      <c r="BN962" s="151"/>
    </row>
    <row r="963" spans="25:66">
      <c r="Y963" s="151"/>
      <c r="Z963" s="151"/>
      <c r="AA963" s="151"/>
      <c r="AB963" s="151"/>
      <c r="AC963" s="151"/>
      <c r="AD963" s="151"/>
      <c r="AE963" s="151"/>
      <c r="AF963" s="151"/>
      <c r="AG963" s="151"/>
      <c r="AH963" s="151"/>
      <c r="AI963" s="151"/>
      <c r="AJ963" s="151"/>
      <c r="AK963" s="151"/>
      <c r="AL963" s="151"/>
      <c r="AM963" s="151"/>
      <c r="AN963" s="151"/>
      <c r="AO963" s="151"/>
      <c r="AP963" s="151"/>
      <c r="AQ963" s="151"/>
      <c r="AR963" s="151"/>
      <c r="AS963" s="151"/>
      <c r="AT963" s="151"/>
      <c r="AU963" s="151"/>
      <c r="AV963" s="151"/>
      <c r="AW963" s="151"/>
      <c r="AX963" s="151"/>
      <c r="AY963" s="151"/>
      <c r="AZ963" s="151"/>
      <c r="BA963" s="151"/>
      <c r="BB963" s="151"/>
      <c r="BC963" s="151"/>
      <c r="BD963" s="151"/>
      <c r="BE963" s="151"/>
      <c r="BF963" s="151"/>
      <c r="BG963" s="151"/>
      <c r="BH963" s="151"/>
      <c r="BI963" s="151"/>
      <c r="BJ963" s="151"/>
      <c r="BK963" s="151"/>
      <c r="BL963" s="151"/>
      <c r="BM963" s="151"/>
      <c r="BN963" s="151"/>
    </row>
    <row r="964" spans="25:66">
      <c r="Y964" s="151"/>
      <c r="Z964" s="151"/>
      <c r="AA964" s="151"/>
      <c r="AB964" s="151"/>
      <c r="AC964" s="151"/>
      <c r="AD964" s="151"/>
      <c r="AE964" s="151"/>
      <c r="AF964" s="151"/>
      <c r="AG964" s="151"/>
      <c r="AH964" s="151"/>
      <c r="AI964" s="151"/>
      <c r="AJ964" s="151"/>
      <c r="AK964" s="151"/>
      <c r="AL964" s="151"/>
      <c r="AM964" s="151"/>
      <c r="AN964" s="151"/>
      <c r="AO964" s="151"/>
      <c r="AP964" s="151"/>
      <c r="AQ964" s="151"/>
      <c r="AR964" s="151"/>
      <c r="AS964" s="151"/>
      <c r="AT964" s="151"/>
      <c r="AU964" s="151"/>
      <c r="AV964" s="151"/>
      <c r="AW964" s="151"/>
      <c r="AX964" s="151"/>
      <c r="AY964" s="151"/>
      <c r="AZ964" s="151"/>
      <c r="BA964" s="151"/>
      <c r="BB964" s="151"/>
      <c r="BC964" s="151"/>
      <c r="BD964" s="151"/>
      <c r="BE964" s="151"/>
      <c r="BF964" s="151"/>
      <c r="BG964" s="151"/>
      <c r="BH964" s="151"/>
      <c r="BI964" s="151"/>
      <c r="BJ964" s="151"/>
      <c r="BK964" s="151"/>
      <c r="BL964" s="151"/>
      <c r="BM964" s="151"/>
      <c r="BN964" s="151"/>
    </row>
    <row r="965" spans="25:66">
      <c r="Y965" s="151"/>
      <c r="Z965" s="151"/>
      <c r="AA965" s="151"/>
      <c r="AB965" s="151"/>
      <c r="AC965" s="151"/>
      <c r="AD965" s="151"/>
      <c r="AE965" s="151"/>
      <c r="AF965" s="151"/>
      <c r="AG965" s="151"/>
      <c r="AH965" s="151"/>
      <c r="AI965" s="151"/>
      <c r="AJ965" s="151"/>
      <c r="AK965" s="151"/>
      <c r="AL965" s="151"/>
      <c r="AM965" s="151"/>
      <c r="AN965" s="151"/>
      <c r="AO965" s="151"/>
      <c r="AP965" s="151"/>
      <c r="AQ965" s="151"/>
      <c r="AR965" s="151"/>
      <c r="AS965" s="151"/>
      <c r="AT965" s="151"/>
      <c r="AU965" s="151"/>
      <c r="AV965" s="151"/>
      <c r="AW965" s="151"/>
      <c r="AX965" s="151"/>
      <c r="AY965" s="151"/>
      <c r="AZ965" s="151"/>
      <c r="BA965" s="151"/>
      <c r="BB965" s="151"/>
      <c r="BC965" s="151"/>
      <c r="BD965" s="151"/>
      <c r="BE965" s="151"/>
      <c r="BF965" s="151"/>
      <c r="BG965" s="151"/>
      <c r="BH965" s="151"/>
      <c r="BI965" s="151"/>
      <c r="BJ965" s="151"/>
      <c r="BK965" s="151"/>
      <c r="BL965" s="151"/>
      <c r="BM965" s="151"/>
      <c r="BN965" s="151"/>
    </row>
    <row r="966" spans="25:66">
      <c r="Y966" s="151"/>
      <c r="Z966" s="151"/>
      <c r="AA966" s="151"/>
      <c r="AB966" s="151"/>
      <c r="AC966" s="151"/>
      <c r="AD966" s="151"/>
      <c r="AE966" s="151"/>
      <c r="AF966" s="151"/>
      <c r="AG966" s="151"/>
      <c r="AH966" s="151"/>
      <c r="AI966" s="151"/>
      <c r="AJ966" s="151"/>
      <c r="AK966" s="151"/>
      <c r="AL966" s="151"/>
      <c r="AM966" s="151"/>
      <c r="AN966" s="151"/>
      <c r="AO966" s="151"/>
      <c r="AP966" s="151"/>
      <c r="AQ966" s="151"/>
      <c r="AR966" s="151"/>
      <c r="AS966" s="151"/>
      <c r="AT966" s="151"/>
      <c r="AU966" s="151"/>
      <c r="AV966" s="151"/>
      <c r="AW966" s="151"/>
      <c r="AX966" s="151"/>
      <c r="AY966" s="151"/>
      <c r="AZ966" s="151"/>
      <c r="BA966" s="151"/>
      <c r="BB966" s="151"/>
      <c r="BC966" s="151"/>
      <c r="BD966" s="151"/>
      <c r="BE966" s="151"/>
      <c r="BF966" s="151"/>
      <c r="BG966" s="151"/>
      <c r="BH966" s="151"/>
      <c r="BI966" s="151"/>
      <c r="BJ966" s="151"/>
      <c r="BK966" s="151"/>
      <c r="BL966" s="151"/>
      <c r="BM966" s="151"/>
      <c r="BN966" s="151"/>
    </row>
    <row r="967" spans="25:66">
      <c r="Y967" s="151"/>
      <c r="Z967" s="151"/>
      <c r="AA967" s="151"/>
      <c r="AB967" s="151"/>
      <c r="AC967" s="151"/>
      <c r="AD967" s="151"/>
      <c r="AE967" s="151"/>
      <c r="AF967" s="151"/>
      <c r="AG967" s="151"/>
      <c r="AH967" s="151"/>
      <c r="AI967" s="151"/>
      <c r="AJ967" s="151"/>
      <c r="AK967" s="151"/>
      <c r="AL967" s="151"/>
      <c r="AM967" s="151"/>
      <c r="AN967" s="151"/>
      <c r="AO967" s="151"/>
      <c r="AP967" s="151"/>
      <c r="AQ967" s="151"/>
      <c r="AR967" s="151"/>
      <c r="AS967" s="151"/>
      <c r="AT967" s="151"/>
      <c r="AU967" s="151"/>
      <c r="AV967" s="151"/>
      <c r="AW967" s="151"/>
      <c r="AX967" s="151"/>
      <c r="AY967" s="151"/>
      <c r="AZ967" s="151"/>
      <c r="BA967" s="151"/>
      <c r="BB967" s="151"/>
      <c r="BC967" s="151"/>
      <c r="BD967" s="151"/>
      <c r="BE967" s="151"/>
      <c r="BF967" s="151"/>
      <c r="BG967" s="151"/>
      <c r="BH967" s="151"/>
      <c r="BI967" s="151"/>
      <c r="BJ967" s="151"/>
      <c r="BK967" s="151"/>
      <c r="BL967" s="151"/>
      <c r="BM967" s="151"/>
      <c r="BN967" s="151"/>
    </row>
    <row r="968" spans="25:66">
      <c r="Y968" s="151"/>
      <c r="Z968" s="151"/>
      <c r="AA968" s="151"/>
      <c r="AB968" s="151"/>
      <c r="AC968" s="151"/>
      <c r="AD968" s="151"/>
      <c r="AE968" s="151"/>
      <c r="AF968" s="151"/>
      <c r="AG968" s="151"/>
      <c r="AH968" s="151"/>
      <c r="AI968" s="151"/>
      <c r="AJ968" s="151"/>
      <c r="AK968" s="151"/>
      <c r="AL968" s="151"/>
      <c r="AM968" s="151"/>
      <c r="AN968" s="151"/>
      <c r="AO968" s="151"/>
      <c r="AP968" s="151"/>
      <c r="AQ968" s="151"/>
      <c r="AR968" s="151"/>
      <c r="AS968" s="151"/>
      <c r="AT968" s="151"/>
      <c r="AU968" s="151"/>
      <c r="AV968" s="151"/>
      <c r="AW968" s="151"/>
      <c r="AX968" s="151"/>
      <c r="AY968" s="151"/>
      <c r="AZ968" s="151"/>
      <c r="BA968" s="151"/>
      <c r="BB968" s="151"/>
      <c r="BC968" s="151"/>
      <c r="BD968" s="151"/>
      <c r="BE968" s="151"/>
      <c r="BF968" s="151"/>
      <c r="BG968" s="151"/>
      <c r="BH968" s="151"/>
      <c r="BI968" s="151"/>
      <c r="BJ968" s="151"/>
      <c r="BK968" s="151"/>
      <c r="BL968" s="151"/>
      <c r="BM968" s="151"/>
      <c r="BN968" s="151"/>
    </row>
    <row r="969" spans="25:66">
      <c r="Y969" s="151"/>
      <c r="Z969" s="151"/>
      <c r="AA969" s="151"/>
      <c r="AB969" s="151"/>
      <c r="AC969" s="151"/>
      <c r="AD969" s="151"/>
      <c r="AE969" s="151"/>
      <c r="AF969" s="151"/>
      <c r="AG969" s="151"/>
      <c r="AH969" s="151"/>
      <c r="AI969" s="151"/>
      <c r="AJ969" s="151"/>
      <c r="AK969" s="151"/>
      <c r="AL969" s="151"/>
      <c r="AM969" s="151"/>
      <c r="AN969" s="151"/>
      <c r="AO969" s="151"/>
      <c r="AP969" s="151"/>
      <c r="AQ969" s="151"/>
      <c r="AR969" s="151"/>
      <c r="AS969" s="151"/>
      <c r="AT969" s="151"/>
      <c r="AU969" s="151"/>
      <c r="AV969" s="151"/>
      <c r="AW969" s="151"/>
      <c r="AX969" s="151"/>
      <c r="AY969" s="151"/>
      <c r="AZ969" s="151"/>
      <c r="BA969" s="151"/>
      <c r="BB969" s="151"/>
      <c r="BC969" s="151"/>
      <c r="BD969" s="151"/>
      <c r="BE969" s="151"/>
      <c r="BF969" s="151"/>
      <c r="BG969" s="151"/>
      <c r="BH969" s="151"/>
      <c r="BI969" s="151"/>
      <c r="BJ969" s="151"/>
      <c r="BK969" s="151"/>
      <c r="BL969" s="151"/>
      <c r="BM969" s="151"/>
      <c r="BN969" s="151"/>
    </row>
    <row r="970" spans="25:66">
      <c r="Y970" s="151"/>
      <c r="Z970" s="151"/>
      <c r="AA970" s="151"/>
      <c r="AB970" s="151"/>
      <c r="AC970" s="151"/>
      <c r="AD970" s="151"/>
      <c r="AE970" s="151"/>
      <c r="AF970" s="151"/>
      <c r="AG970" s="151"/>
      <c r="AH970" s="151"/>
      <c r="AI970" s="151"/>
      <c r="AJ970" s="151"/>
      <c r="AK970" s="151"/>
      <c r="AL970" s="151"/>
      <c r="AM970" s="151"/>
      <c r="AN970" s="151"/>
      <c r="AO970" s="151"/>
      <c r="AP970" s="151"/>
      <c r="AQ970" s="151"/>
      <c r="AR970" s="151"/>
      <c r="AS970" s="151"/>
      <c r="AT970" s="151"/>
      <c r="AU970" s="151"/>
      <c r="AV970" s="151"/>
      <c r="AW970" s="151"/>
      <c r="AX970" s="151"/>
      <c r="AY970" s="151"/>
      <c r="AZ970" s="151"/>
      <c r="BA970" s="151"/>
      <c r="BB970" s="151"/>
      <c r="BC970" s="151"/>
      <c r="BD970" s="151"/>
      <c r="BE970" s="151"/>
      <c r="BF970" s="151"/>
      <c r="BG970" s="151"/>
      <c r="BH970" s="151"/>
      <c r="BI970" s="151"/>
      <c r="BJ970" s="151"/>
      <c r="BK970" s="151"/>
      <c r="BL970" s="151"/>
      <c r="BM970" s="151"/>
      <c r="BN970" s="151"/>
    </row>
    <row r="971" spans="25:66">
      <c r="Y971" s="151"/>
      <c r="Z971" s="151"/>
      <c r="AA971" s="151"/>
      <c r="AB971" s="151"/>
      <c r="AC971" s="151"/>
      <c r="AD971" s="151"/>
      <c r="AE971" s="151"/>
      <c r="AF971" s="151"/>
      <c r="AG971" s="151"/>
      <c r="AH971" s="151"/>
      <c r="AI971" s="151"/>
      <c r="AJ971" s="151"/>
      <c r="AK971" s="151"/>
      <c r="AL971" s="151"/>
      <c r="AM971" s="151"/>
      <c r="AN971" s="151"/>
      <c r="AO971" s="151"/>
      <c r="AP971" s="151"/>
      <c r="AQ971" s="151"/>
      <c r="AR971" s="151"/>
      <c r="AS971" s="151"/>
      <c r="AT971" s="151"/>
      <c r="AU971" s="151"/>
      <c r="AV971" s="151"/>
      <c r="AW971" s="151"/>
      <c r="AX971" s="151"/>
      <c r="AY971" s="151"/>
      <c r="AZ971" s="151"/>
      <c r="BA971" s="151"/>
      <c r="BB971" s="151"/>
      <c r="BC971" s="151"/>
      <c r="BD971" s="151"/>
      <c r="BE971" s="151"/>
      <c r="BF971" s="151"/>
      <c r="BG971" s="151"/>
      <c r="BH971" s="151"/>
      <c r="BI971" s="151"/>
      <c r="BJ971" s="151"/>
      <c r="BK971" s="151"/>
      <c r="BL971" s="151"/>
      <c r="BM971" s="151"/>
      <c r="BN971" s="151"/>
    </row>
    <row r="972" spans="25:66">
      <c r="Y972" s="151"/>
      <c r="Z972" s="151"/>
      <c r="AA972" s="151"/>
      <c r="AB972" s="151"/>
      <c r="AC972" s="151"/>
      <c r="AD972" s="151"/>
      <c r="AE972" s="151"/>
      <c r="AF972" s="151"/>
      <c r="AG972" s="151"/>
      <c r="AH972" s="151"/>
      <c r="AI972" s="151"/>
      <c r="AJ972" s="151"/>
      <c r="AK972" s="151"/>
      <c r="AL972" s="151"/>
      <c r="AM972" s="151"/>
      <c r="AN972" s="151"/>
      <c r="AO972" s="151"/>
      <c r="AP972" s="151"/>
      <c r="AQ972" s="151"/>
      <c r="AR972" s="151"/>
      <c r="AS972" s="151"/>
      <c r="AT972" s="151"/>
      <c r="AU972" s="151"/>
      <c r="AV972" s="151"/>
      <c r="AW972" s="151"/>
      <c r="AX972" s="151"/>
      <c r="AY972" s="151"/>
      <c r="AZ972" s="151"/>
      <c r="BA972" s="151"/>
      <c r="BB972" s="151"/>
      <c r="BC972" s="151"/>
      <c r="BD972" s="151"/>
      <c r="BE972" s="151"/>
      <c r="BF972" s="151"/>
      <c r="BG972" s="151"/>
      <c r="BH972" s="151"/>
      <c r="BI972" s="151"/>
      <c r="BJ972" s="151"/>
      <c r="BK972" s="151"/>
      <c r="BL972" s="151"/>
      <c r="BM972" s="151"/>
      <c r="BN972" s="151"/>
    </row>
    <row r="973" spans="25:66">
      <c r="Y973" s="151"/>
      <c r="Z973" s="151"/>
      <c r="AA973" s="151"/>
      <c r="AB973" s="151"/>
      <c r="AC973" s="151"/>
      <c r="AD973" s="151"/>
      <c r="AE973" s="151"/>
      <c r="AF973" s="151"/>
      <c r="AG973" s="151"/>
      <c r="AH973" s="151"/>
      <c r="AI973" s="151"/>
      <c r="AJ973" s="151"/>
      <c r="AK973" s="151"/>
      <c r="AL973" s="151"/>
      <c r="AM973" s="151"/>
      <c r="AN973" s="151"/>
      <c r="AO973" s="151"/>
      <c r="AP973" s="151"/>
      <c r="AQ973" s="151"/>
      <c r="AR973" s="151"/>
      <c r="AS973" s="151"/>
      <c r="AT973" s="151"/>
      <c r="AU973" s="151"/>
      <c r="AV973" s="151"/>
      <c r="AW973" s="151"/>
      <c r="AX973" s="151"/>
      <c r="AY973" s="151"/>
      <c r="AZ973" s="151"/>
      <c r="BA973" s="151"/>
      <c r="BB973" s="151"/>
      <c r="BC973" s="151"/>
      <c r="BD973" s="151"/>
      <c r="BE973" s="151"/>
      <c r="BF973" s="151"/>
      <c r="BG973" s="151"/>
      <c r="BH973" s="151"/>
      <c r="BI973" s="151"/>
      <c r="BJ973" s="151"/>
      <c r="BK973" s="151"/>
      <c r="BL973" s="151"/>
      <c r="BM973" s="151"/>
      <c r="BN973" s="151"/>
    </row>
    <row r="974" spans="25:66">
      <c r="Y974" s="151"/>
      <c r="Z974" s="151"/>
      <c r="AA974" s="151"/>
      <c r="AB974" s="151"/>
      <c r="AC974" s="151"/>
      <c r="AD974" s="151"/>
      <c r="AE974" s="151"/>
      <c r="AF974" s="151"/>
      <c r="AG974" s="151"/>
      <c r="AH974" s="151"/>
      <c r="AI974" s="151"/>
      <c r="AJ974" s="151"/>
      <c r="AK974" s="151"/>
      <c r="AL974" s="151"/>
      <c r="AM974" s="151"/>
      <c r="AN974" s="151"/>
      <c r="AO974" s="151"/>
      <c r="AP974" s="151"/>
      <c r="AQ974" s="151"/>
      <c r="AR974" s="151"/>
      <c r="AS974" s="151"/>
      <c r="AT974" s="151"/>
      <c r="AU974" s="151"/>
      <c r="AV974" s="151"/>
      <c r="AW974" s="151"/>
      <c r="AX974" s="151"/>
      <c r="AY974" s="151"/>
      <c r="AZ974" s="151"/>
      <c r="BA974" s="151"/>
      <c r="BB974" s="151"/>
      <c r="BC974" s="151"/>
      <c r="BD974" s="151"/>
      <c r="BE974" s="151"/>
      <c r="BF974" s="151"/>
      <c r="BG974" s="151"/>
      <c r="BH974" s="151"/>
      <c r="BI974" s="151"/>
      <c r="BJ974" s="151"/>
      <c r="BK974" s="151"/>
      <c r="BL974" s="151"/>
      <c r="BM974" s="151"/>
      <c r="BN974" s="151"/>
    </row>
    <row r="975" spans="25:66">
      <c r="Y975" s="151"/>
      <c r="Z975" s="151"/>
      <c r="AA975" s="151"/>
      <c r="AB975" s="151"/>
      <c r="AC975" s="151"/>
      <c r="AD975" s="151"/>
      <c r="AE975" s="151"/>
      <c r="AF975" s="151"/>
      <c r="AG975" s="151"/>
      <c r="AH975" s="151"/>
      <c r="AI975" s="151"/>
      <c r="AJ975" s="151"/>
      <c r="AK975" s="151"/>
      <c r="AL975" s="151"/>
      <c r="AM975" s="151"/>
      <c r="AN975" s="151"/>
      <c r="AO975" s="151"/>
      <c r="AP975" s="151"/>
      <c r="AQ975" s="151"/>
      <c r="AR975" s="151"/>
      <c r="AS975" s="151"/>
      <c r="AT975" s="151"/>
      <c r="AU975" s="151"/>
      <c r="AV975" s="151"/>
      <c r="AW975" s="151"/>
      <c r="AX975" s="151"/>
      <c r="AY975" s="151"/>
      <c r="AZ975" s="151"/>
      <c r="BA975" s="151"/>
      <c r="BB975" s="151"/>
      <c r="BC975" s="151"/>
      <c r="BD975" s="151"/>
      <c r="BE975" s="151"/>
      <c r="BF975" s="151"/>
      <c r="BG975" s="151"/>
      <c r="BH975" s="151"/>
      <c r="BI975" s="151"/>
      <c r="BJ975" s="151"/>
      <c r="BK975" s="151"/>
      <c r="BL975" s="151"/>
      <c r="BM975" s="151"/>
      <c r="BN975" s="151"/>
    </row>
    <row r="976" spans="25:66">
      <c r="Y976" s="151"/>
      <c r="Z976" s="151"/>
      <c r="AA976" s="151"/>
      <c r="AB976" s="151"/>
      <c r="AC976" s="151"/>
      <c r="AD976" s="151"/>
      <c r="AE976" s="151"/>
      <c r="AF976" s="151"/>
      <c r="AG976" s="151"/>
      <c r="AH976" s="151"/>
      <c r="AI976" s="151"/>
      <c r="AJ976" s="151"/>
      <c r="AK976" s="151"/>
      <c r="AL976" s="151"/>
      <c r="AM976" s="151"/>
      <c r="AN976" s="151"/>
      <c r="AO976" s="151"/>
      <c r="AP976" s="151"/>
      <c r="AQ976" s="151"/>
      <c r="AR976" s="151"/>
      <c r="AS976" s="151"/>
      <c r="AT976" s="151"/>
      <c r="AU976" s="151"/>
      <c r="AV976" s="151"/>
      <c r="AW976" s="151"/>
      <c r="AX976" s="151"/>
      <c r="AY976" s="151"/>
      <c r="AZ976" s="151"/>
      <c r="BA976" s="151"/>
      <c r="BB976" s="151"/>
      <c r="BC976" s="151"/>
      <c r="BD976" s="151"/>
      <c r="BE976" s="151"/>
      <c r="BF976" s="151"/>
      <c r="BG976" s="151"/>
      <c r="BH976" s="151"/>
      <c r="BI976" s="151"/>
      <c r="BJ976" s="151"/>
      <c r="BK976" s="151"/>
      <c r="BL976" s="151"/>
      <c r="BM976" s="151"/>
      <c r="BN976" s="151"/>
    </row>
    <row r="977" spans="25:66">
      <c r="Y977" s="151"/>
      <c r="Z977" s="151"/>
      <c r="AA977" s="151"/>
      <c r="AB977" s="151"/>
      <c r="AC977" s="151"/>
      <c r="AD977" s="151"/>
      <c r="AE977" s="151"/>
      <c r="AF977" s="151"/>
      <c r="AG977" s="151"/>
      <c r="AH977" s="151"/>
      <c r="AI977" s="151"/>
      <c r="AJ977" s="151"/>
      <c r="AK977" s="151"/>
      <c r="AL977" s="151"/>
      <c r="AM977" s="151"/>
      <c r="AN977" s="151"/>
      <c r="AO977" s="151"/>
      <c r="AP977" s="151"/>
      <c r="AQ977" s="151"/>
      <c r="AR977" s="151"/>
      <c r="AS977" s="151"/>
      <c r="AT977" s="151"/>
      <c r="AU977" s="151"/>
      <c r="AV977" s="151"/>
      <c r="AW977" s="151"/>
      <c r="AX977" s="151"/>
      <c r="AY977" s="151"/>
      <c r="AZ977" s="151"/>
      <c r="BA977" s="151"/>
      <c r="BB977" s="151"/>
      <c r="BC977" s="151"/>
      <c r="BD977" s="151"/>
      <c r="BE977" s="151"/>
      <c r="BF977" s="151"/>
      <c r="BG977" s="151"/>
      <c r="BH977" s="151"/>
      <c r="BI977" s="151"/>
      <c r="BJ977" s="151"/>
      <c r="BK977" s="151"/>
      <c r="BL977" s="151"/>
      <c r="BM977" s="151"/>
      <c r="BN977" s="151"/>
    </row>
    <row r="978" spans="25:66">
      <c r="Y978" s="151"/>
      <c r="Z978" s="151"/>
      <c r="AA978" s="151"/>
      <c r="AB978" s="151"/>
      <c r="AC978" s="151"/>
      <c r="AD978" s="151"/>
      <c r="AE978" s="151"/>
      <c r="AF978" s="151"/>
      <c r="AG978" s="151"/>
      <c r="AH978" s="151"/>
      <c r="AI978" s="151"/>
      <c r="AJ978" s="151"/>
      <c r="AK978" s="151"/>
      <c r="AL978" s="151"/>
      <c r="AM978" s="151"/>
      <c r="AN978" s="151"/>
      <c r="AO978" s="151"/>
      <c r="AP978" s="151"/>
      <c r="AQ978" s="151"/>
      <c r="AR978" s="151"/>
      <c r="AS978" s="151"/>
      <c r="AT978" s="151"/>
      <c r="AU978" s="151"/>
      <c r="AV978" s="151"/>
      <c r="AW978" s="151"/>
      <c r="AX978" s="151"/>
      <c r="AY978" s="151"/>
      <c r="AZ978" s="151"/>
      <c r="BA978" s="151"/>
      <c r="BB978" s="151"/>
      <c r="BC978" s="151"/>
      <c r="BD978" s="151"/>
      <c r="BE978" s="151"/>
      <c r="BF978" s="151"/>
      <c r="BG978" s="151"/>
      <c r="BH978" s="151"/>
      <c r="BI978" s="151"/>
      <c r="BJ978" s="151"/>
      <c r="BK978" s="151"/>
      <c r="BL978" s="151"/>
      <c r="BM978" s="151"/>
      <c r="BN978" s="151"/>
    </row>
    <row r="979" spans="25:66">
      <c r="Y979" s="151"/>
      <c r="Z979" s="151"/>
      <c r="AA979" s="151"/>
      <c r="AB979" s="151"/>
      <c r="AC979" s="151"/>
      <c r="AD979" s="151"/>
      <c r="AE979" s="151"/>
      <c r="AF979" s="151"/>
      <c r="AG979" s="151"/>
      <c r="AH979" s="151"/>
      <c r="AI979" s="151"/>
      <c r="AJ979" s="151"/>
      <c r="AK979" s="151"/>
      <c r="AL979" s="151"/>
      <c r="AM979" s="151"/>
      <c r="AN979" s="151"/>
      <c r="AO979" s="151"/>
      <c r="AP979" s="151"/>
      <c r="AQ979" s="151"/>
      <c r="AR979" s="151"/>
      <c r="AS979" s="151"/>
      <c r="AT979" s="151"/>
      <c r="AU979" s="151"/>
      <c r="AV979" s="151"/>
      <c r="AW979" s="151"/>
      <c r="AX979" s="151"/>
      <c r="AY979" s="151"/>
      <c r="AZ979" s="151"/>
      <c r="BA979" s="151"/>
      <c r="BB979" s="151"/>
      <c r="BC979" s="151"/>
      <c r="BD979" s="151"/>
      <c r="BE979" s="151"/>
      <c r="BF979" s="151"/>
      <c r="BG979" s="151"/>
      <c r="BH979" s="151"/>
      <c r="BI979" s="151"/>
      <c r="BJ979" s="151"/>
      <c r="BK979" s="151"/>
      <c r="BL979" s="151"/>
      <c r="BM979" s="151"/>
      <c r="BN979" s="151"/>
    </row>
    <row r="980" spans="25:66">
      <c r="Y980" s="151"/>
      <c r="Z980" s="151"/>
      <c r="AA980" s="151"/>
      <c r="AB980" s="151"/>
      <c r="AC980" s="151"/>
      <c r="AD980" s="151"/>
      <c r="AE980" s="151"/>
      <c r="AF980" s="151"/>
      <c r="AG980" s="151"/>
      <c r="AH980" s="151"/>
      <c r="AI980" s="151"/>
      <c r="AJ980" s="151"/>
      <c r="AK980" s="151"/>
      <c r="AL980" s="151"/>
      <c r="AM980" s="151"/>
      <c r="AN980" s="151"/>
      <c r="AO980" s="151"/>
      <c r="AP980" s="151"/>
      <c r="AQ980" s="151"/>
      <c r="AR980" s="151"/>
      <c r="AS980" s="151"/>
      <c r="AT980" s="151"/>
      <c r="AU980" s="151"/>
      <c r="AV980" s="151"/>
      <c r="AW980" s="151"/>
      <c r="AX980" s="151"/>
      <c r="AY980" s="151"/>
      <c r="AZ980" s="151"/>
      <c r="BA980" s="151"/>
      <c r="BB980" s="151"/>
      <c r="BC980" s="151"/>
      <c r="BD980" s="151"/>
      <c r="BE980" s="151"/>
      <c r="BF980" s="151"/>
      <c r="BG980" s="151"/>
      <c r="BH980" s="151"/>
      <c r="BI980" s="151"/>
      <c r="BJ980" s="151"/>
      <c r="BK980" s="151"/>
      <c r="BL980" s="151"/>
      <c r="BM980" s="151"/>
      <c r="BN980" s="151"/>
    </row>
    <row r="981" spans="25:66">
      <c r="Y981" s="151"/>
      <c r="Z981" s="151"/>
      <c r="AA981" s="151"/>
      <c r="AB981" s="151"/>
      <c r="AC981" s="151"/>
      <c r="AD981" s="151"/>
      <c r="AE981" s="151"/>
      <c r="AF981" s="151"/>
      <c r="AG981" s="151"/>
      <c r="AH981" s="151"/>
      <c r="AI981" s="151"/>
      <c r="AJ981" s="151"/>
      <c r="AK981" s="151"/>
      <c r="AL981" s="151"/>
      <c r="AM981" s="151"/>
      <c r="AN981" s="151"/>
      <c r="AO981" s="151"/>
      <c r="AP981" s="151"/>
      <c r="AQ981" s="151"/>
      <c r="AR981" s="151"/>
      <c r="AS981" s="151"/>
      <c r="AT981" s="151"/>
      <c r="AU981" s="151"/>
      <c r="AV981" s="151"/>
      <c r="AW981" s="151"/>
      <c r="AX981" s="151"/>
      <c r="AY981" s="151"/>
      <c r="AZ981" s="151"/>
      <c r="BA981" s="151"/>
      <c r="BB981" s="151"/>
      <c r="BC981" s="151"/>
      <c r="BD981" s="151"/>
      <c r="BE981" s="151"/>
      <c r="BF981" s="151"/>
      <c r="BG981" s="151"/>
      <c r="BH981" s="151"/>
      <c r="BI981" s="151"/>
      <c r="BJ981" s="151"/>
      <c r="BK981" s="151"/>
      <c r="BL981" s="151"/>
      <c r="BM981" s="151"/>
      <c r="BN981" s="151"/>
    </row>
  </sheetData>
  <mergeCells count="5">
    <mergeCell ref="U126:V126"/>
    <mergeCell ref="U118:V118"/>
    <mergeCell ref="U134:V134"/>
    <mergeCell ref="U167:W167"/>
    <mergeCell ref="U110:X110"/>
  </mergeCells>
  <conditionalFormatting sqref="Y111:Z116">
    <cfRule type="cellIs" dxfId="7" priority="1" operator="equal">
      <formula>1</formula>
    </cfRule>
  </conditionalFormatting>
  <hyperlinks>
    <hyperlink ref="AA9" r:id="rId1" xr:uid="{9E81A64D-0F5C-4423-A12C-3997788999C7}"/>
    <hyperlink ref="AA10" r:id="rId2" xr:uid="{8EFB23E8-B04C-4DCE-9F04-F39596686BCA}"/>
    <hyperlink ref="AA11" r:id="rId3" xr:uid="{0B6C7CC6-2768-4471-B5A8-3040E87EFBAF}"/>
    <hyperlink ref="AA12" r:id="rId4" xr:uid="{65CEED14-9018-499A-BC8C-20A4C2F0CC77}"/>
    <hyperlink ref="AA13" r:id="rId5" xr:uid="{B943712F-4877-480C-8884-C3FD1F70005D}"/>
    <hyperlink ref="AA14" r:id="rId6" xr:uid="{BF9CF335-BD0B-4902-8DBA-EC39BCA1E4E7}"/>
    <hyperlink ref="AA15" r:id="rId7" xr:uid="{65BA9B99-C6EF-45B1-B7B7-B704E029F5D0}"/>
    <hyperlink ref="AA16" r:id="rId8" xr:uid="{E7661B5A-D182-44E6-8DA7-B26F8B743FB3}"/>
    <hyperlink ref="AA17" r:id="rId9" xr:uid="{36A05540-BFE2-4FC2-B6E2-6B68D37D8BAF}"/>
    <hyperlink ref="AA18" r:id="rId10" xr:uid="{2F368E8B-A1CD-4F99-AD41-704D24DE3604}"/>
    <hyperlink ref="AA19" r:id="rId11" xr:uid="{404423E6-9720-4FC6-8A3A-168A49EA027B}"/>
    <hyperlink ref="AA20" r:id="rId12" xr:uid="{22266E6F-312A-4DFC-8083-BF9891A699D8}"/>
    <hyperlink ref="AA21" r:id="rId13" xr:uid="{DAF58A2B-B6CF-4DF2-9247-752C33BD9909}"/>
    <hyperlink ref="AA22" r:id="rId14" xr:uid="{B9B43FCD-9C4F-4849-8B09-B7280F0C0809}"/>
    <hyperlink ref="AA23" r:id="rId15" xr:uid="{8D211735-6B60-4F2B-B2B9-5E3329DFED49}"/>
    <hyperlink ref="AA24" r:id="rId16" xr:uid="{34C4E0B9-0ADF-4451-A8F9-83C568AEBFF3}"/>
    <hyperlink ref="AA25" r:id="rId17" xr:uid="{E673829D-173A-4AF5-9227-2719164485C1}"/>
    <hyperlink ref="AA26" r:id="rId18" xr:uid="{61808333-DB20-4B61-AA91-9DDBA60D4688}"/>
    <hyperlink ref="AA27" r:id="rId19" xr:uid="{BFFD6736-3771-4F93-B9CB-4EFFDB07669E}"/>
    <hyperlink ref="AA28" r:id="rId20" xr:uid="{9BC5B1D9-8635-4FD2-9B7E-9001829F5A01}"/>
    <hyperlink ref="AA29" r:id="rId21" xr:uid="{F9B35107-34FC-47A7-B188-E5336D9D2657}"/>
    <hyperlink ref="AA30" r:id="rId22" xr:uid="{A57CC18E-9A9F-44E1-8810-3A73B703AF40}"/>
    <hyperlink ref="AA32" r:id="rId23" xr:uid="{86B8EF62-7551-447D-8FF2-0A4AE72C504F}"/>
    <hyperlink ref="AA33" r:id="rId24" xr:uid="{93376A05-9F40-4928-B4C9-D67950A319A0}"/>
    <hyperlink ref="AA34" r:id="rId25" xr:uid="{191CE4D8-AA0F-4E35-9788-44D3DB4CC5E2}"/>
    <hyperlink ref="AA35" r:id="rId26" xr:uid="{C4F3755F-4686-4EA7-8B51-8CC6B05FD42B}"/>
    <hyperlink ref="AA36" r:id="rId27" xr:uid="{77D0AED0-B40A-44BA-A43E-BD029879B827}"/>
    <hyperlink ref="AA37" r:id="rId28" xr:uid="{A171CC53-7576-4AE6-9F0B-1D791758D34D}"/>
    <hyperlink ref="AA38" r:id="rId29" xr:uid="{C7D719E7-26E6-4B45-98DC-4E3BA7319A8D}"/>
    <hyperlink ref="AA39" r:id="rId30" xr:uid="{E9CC3D7B-FC18-40DE-9F1B-5D4E8998D381}"/>
    <hyperlink ref="BO4" r:id="rId31" display="https://hackslashmaster.blogspot.com/2013/09/on-generator-of-missions.html" xr:uid="{08E8C28C-4A8E-45E8-B95A-624E406634B7}"/>
  </hyperlinks>
  <pageMargins left="0.7" right="0.7" top="0.75" bottom="0.75" header="0.3" footer="0.3"/>
  <pageSetup paperSize="9" orientation="portrait" r:id="rId32"/>
  <legacyDrawing r:id="rId33"/>
  <tableParts count="44">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36AB5-3FD0-40AB-A106-D00887C17B3E}">
  <sheetPr codeName="Аркуш46"/>
  <dimension ref="A1:O62"/>
  <sheetViews>
    <sheetView topLeftCell="A11" workbookViewId="0">
      <selection activeCell="A8" sqref="A8:B20"/>
    </sheetView>
  </sheetViews>
  <sheetFormatPr defaultRowHeight="14.25"/>
  <cols>
    <col min="2" max="2" width="9.21875" customWidth="1"/>
    <col min="12" max="12" width="9.33203125" customWidth="1"/>
    <col min="14" max="15" width="10.77734375" customWidth="1"/>
  </cols>
  <sheetData>
    <row r="1" spans="1:15">
      <c r="A1" t="s">
        <v>11480</v>
      </c>
      <c r="H1" s="2677" t="s">
        <v>1725</v>
      </c>
      <c r="I1" t="s">
        <v>14812</v>
      </c>
      <c r="J1" t="s">
        <v>10311</v>
      </c>
      <c r="K1" t="s">
        <v>14813</v>
      </c>
      <c r="N1" t="s">
        <v>14806</v>
      </c>
    </row>
    <row r="2" spans="1:15">
      <c r="A2" t="s">
        <v>11535</v>
      </c>
      <c r="H2">
        <v>1</v>
      </c>
      <c r="I2" t="s">
        <v>14804</v>
      </c>
      <c r="J2" t="s">
        <v>14805</v>
      </c>
      <c r="N2" s="1" t="s">
        <v>1725</v>
      </c>
      <c r="O2" s="1" t="s">
        <v>10311</v>
      </c>
    </row>
    <row r="3" spans="1:15">
      <c r="H3">
        <v>2</v>
      </c>
      <c r="I3" t="s">
        <v>14647</v>
      </c>
      <c r="J3" t="s">
        <v>14645</v>
      </c>
      <c r="N3">
        <v>1</v>
      </c>
      <c r="O3" t="s">
        <v>14807</v>
      </c>
    </row>
    <row r="4" spans="1:15">
      <c r="H4" s="1">
        <v>3</v>
      </c>
      <c r="I4" t="s">
        <v>14648</v>
      </c>
      <c r="J4" t="s">
        <v>14646</v>
      </c>
      <c r="N4">
        <v>2</v>
      </c>
      <c r="O4" t="s">
        <v>14808</v>
      </c>
    </row>
    <row r="5" spans="1:15">
      <c r="H5" s="1">
        <v>4</v>
      </c>
      <c r="I5" t="s">
        <v>13667</v>
      </c>
      <c r="J5" t="s">
        <v>14652</v>
      </c>
    </row>
    <row r="6" spans="1:15">
      <c r="H6" s="1">
        <v>5</v>
      </c>
      <c r="I6" t="s">
        <v>13664</v>
      </c>
      <c r="J6" t="s">
        <v>14649</v>
      </c>
    </row>
    <row r="7" spans="1:15">
      <c r="H7" s="1">
        <v>6</v>
      </c>
      <c r="I7" t="s">
        <v>13665</v>
      </c>
      <c r="J7" t="s">
        <v>14650</v>
      </c>
    </row>
    <row r="8" spans="1:15">
      <c r="A8" t="s">
        <v>12671</v>
      </c>
      <c r="B8" t="s">
        <v>14921</v>
      </c>
      <c r="H8" s="1">
        <v>7</v>
      </c>
      <c r="I8" t="s">
        <v>13666</v>
      </c>
      <c r="J8" t="s">
        <v>14651</v>
      </c>
    </row>
    <row r="9" spans="1:15">
      <c r="A9">
        <v>1</v>
      </c>
      <c r="B9" t="s">
        <v>14909</v>
      </c>
      <c r="H9" s="1">
        <v>8</v>
      </c>
      <c r="I9" t="s">
        <v>13651</v>
      </c>
      <c r="J9" t="s">
        <v>14653</v>
      </c>
    </row>
    <row r="10" spans="1:15">
      <c r="A10">
        <v>2</v>
      </c>
      <c r="B10" t="s">
        <v>14910</v>
      </c>
      <c r="H10" s="1">
        <v>9</v>
      </c>
      <c r="I10" t="s">
        <v>13652</v>
      </c>
      <c r="J10" t="s">
        <v>14654</v>
      </c>
    </row>
    <row r="11" spans="1:15">
      <c r="A11" s="1">
        <v>3</v>
      </c>
      <c r="B11" t="s">
        <v>14911</v>
      </c>
      <c r="H11" s="1">
        <v>10</v>
      </c>
      <c r="I11" t="s">
        <v>13653</v>
      </c>
      <c r="J11" t="s">
        <v>14655</v>
      </c>
    </row>
    <row r="12" spans="1:15">
      <c r="A12" s="1">
        <v>4</v>
      </c>
      <c r="B12" t="s">
        <v>14912</v>
      </c>
      <c r="H12" s="1">
        <v>11</v>
      </c>
      <c r="I12" t="s">
        <v>13674</v>
      </c>
      <c r="J12" t="s">
        <v>13692</v>
      </c>
    </row>
    <row r="13" spans="1:15">
      <c r="A13" s="1">
        <v>5</v>
      </c>
      <c r="B13" t="s">
        <v>14913</v>
      </c>
      <c r="H13" s="1">
        <v>12</v>
      </c>
      <c r="I13" t="s">
        <v>13654</v>
      </c>
      <c r="J13" t="s">
        <v>14656</v>
      </c>
    </row>
    <row r="14" spans="1:15">
      <c r="A14" s="1">
        <v>6</v>
      </c>
      <c r="B14" t="s">
        <v>14914</v>
      </c>
      <c r="H14" s="1">
        <v>13</v>
      </c>
      <c r="I14" t="s">
        <v>13655</v>
      </c>
      <c r="J14" t="s">
        <v>14657</v>
      </c>
    </row>
    <row r="15" spans="1:15">
      <c r="A15" s="1">
        <v>7</v>
      </c>
      <c r="B15" t="s">
        <v>14915</v>
      </c>
      <c r="H15" s="1">
        <v>14</v>
      </c>
      <c r="I15" t="s">
        <v>13656</v>
      </c>
      <c r="J15" t="s">
        <v>14658</v>
      </c>
    </row>
    <row r="16" spans="1:15">
      <c r="A16" s="1">
        <v>8</v>
      </c>
      <c r="B16" t="s">
        <v>14916</v>
      </c>
      <c r="H16" s="1">
        <v>15</v>
      </c>
      <c r="I16" t="s">
        <v>13657</v>
      </c>
      <c r="J16" t="s">
        <v>14811</v>
      </c>
    </row>
    <row r="17" spans="1:10">
      <c r="A17" s="1">
        <v>9</v>
      </c>
      <c r="B17" t="s">
        <v>14917</v>
      </c>
      <c r="H17" s="1">
        <v>16</v>
      </c>
      <c r="I17" t="s">
        <v>13658</v>
      </c>
      <c r="J17" t="s">
        <v>13659</v>
      </c>
    </row>
    <row r="18" spans="1:10">
      <c r="A18" s="1">
        <v>10</v>
      </c>
      <c r="B18" t="s">
        <v>14918</v>
      </c>
      <c r="H18" s="1">
        <v>17</v>
      </c>
      <c r="I18" t="s">
        <v>13660</v>
      </c>
      <c r="J18" t="s">
        <v>14814</v>
      </c>
    </row>
    <row r="19" spans="1:10">
      <c r="A19" s="1">
        <v>11</v>
      </c>
      <c r="B19" t="s">
        <v>14919</v>
      </c>
      <c r="H19" s="1">
        <v>18</v>
      </c>
      <c r="I19" t="s">
        <v>13661</v>
      </c>
      <c r="J19" t="s">
        <v>14815</v>
      </c>
    </row>
    <row r="20" spans="1:10">
      <c r="A20" s="1">
        <v>12</v>
      </c>
      <c r="B20" t="s">
        <v>14920</v>
      </c>
      <c r="H20" s="1">
        <v>19</v>
      </c>
      <c r="I20" t="s">
        <v>13662</v>
      </c>
      <c r="J20" t="s">
        <v>14810</v>
      </c>
    </row>
    <row r="21" spans="1:10">
      <c r="H21" s="1">
        <v>20</v>
      </c>
      <c r="I21" t="s">
        <v>13663</v>
      </c>
      <c r="J21" t="s">
        <v>14809</v>
      </c>
    </row>
    <row r="40" spans="9:10">
      <c r="I40" t="s">
        <v>13670</v>
      </c>
      <c r="J40" t="s">
        <v>13671</v>
      </c>
    </row>
    <row r="41" spans="9:10">
      <c r="J41" t="s">
        <v>13672</v>
      </c>
    </row>
    <row r="42" spans="9:10">
      <c r="J42" t="s">
        <v>13673</v>
      </c>
    </row>
    <row r="45" spans="9:10">
      <c r="I45" t="s">
        <v>13675</v>
      </c>
      <c r="J45" t="s">
        <v>13693</v>
      </c>
    </row>
    <row r="46" spans="9:10">
      <c r="I46" t="s">
        <v>13668</v>
      </c>
      <c r="J46" t="s">
        <v>13669</v>
      </c>
    </row>
    <row r="48" spans="9:10">
      <c r="I48" t="s">
        <v>13676</v>
      </c>
      <c r="J48" t="s">
        <v>13677</v>
      </c>
    </row>
    <row r="49" spans="9:10">
      <c r="J49" t="s">
        <v>13678</v>
      </c>
    </row>
    <row r="50" spans="9:10">
      <c r="J50" t="s">
        <v>13679</v>
      </c>
    </row>
    <row r="51" spans="9:10">
      <c r="I51" t="s">
        <v>13680</v>
      </c>
      <c r="J51" t="s">
        <v>13677</v>
      </c>
    </row>
    <row r="52" spans="9:10">
      <c r="J52" t="s">
        <v>13681</v>
      </c>
    </row>
    <row r="53" spans="9:10">
      <c r="J53" t="s">
        <v>13682</v>
      </c>
    </row>
    <row r="54" spans="9:10">
      <c r="I54" t="s">
        <v>13683</v>
      </c>
      <c r="J54" t="s">
        <v>13677</v>
      </c>
    </row>
    <row r="55" spans="9:10">
      <c r="J55" t="s">
        <v>13684</v>
      </c>
    </row>
    <row r="56" spans="9:10">
      <c r="J56" t="s">
        <v>13685</v>
      </c>
    </row>
    <row r="57" spans="9:10">
      <c r="I57" t="s">
        <v>13686</v>
      </c>
      <c r="J57" t="s">
        <v>13677</v>
      </c>
    </row>
    <row r="58" spans="9:10">
      <c r="J58" t="s">
        <v>13687</v>
      </c>
    </row>
    <row r="59" spans="9:10">
      <c r="J59" t="s">
        <v>13688</v>
      </c>
    </row>
    <row r="60" spans="9:10">
      <c r="I60" t="s">
        <v>13689</v>
      </c>
      <c r="J60" t="s">
        <v>13677</v>
      </c>
    </row>
    <row r="61" spans="9:10">
      <c r="J61" t="s">
        <v>13690</v>
      </c>
    </row>
    <row r="62" spans="9:10">
      <c r="J62" t="s">
        <v>13691</v>
      </c>
    </row>
  </sheetData>
  <pageMargins left="0.7" right="0.7" top="0.75" bottom="0.75" header="0.3" footer="0.3"/>
  <tableParts count="3">
    <tablePart r:id="rId1"/>
    <tablePart r:id="rId2"/>
    <tablePart r:id="rId3"/>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5ABE1-3FE8-4933-9970-ADAB5C5DC892}">
  <sheetPr codeName="Аркуш24"/>
  <dimension ref="A1:O170"/>
  <sheetViews>
    <sheetView topLeftCell="A81" workbookViewId="0">
      <selection activeCell="A9" sqref="A9:G83"/>
    </sheetView>
  </sheetViews>
  <sheetFormatPr defaultRowHeight="14.25"/>
  <cols>
    <col min="1" max="5" width="10.77734375" style="2" customWidth="1"/>
    <col min="6" max="6" width="59.109375" style="2" customWidth="1"/>
    <col min="7" max="16384" width="8.88671875" style="2"/>
  </cols>
  <sheetData>
    <row r="1" spans="1:15">
      <c r="A1" s="2" t="s">
        <v>11794</v>
      </c>
      <c r="B1" s="2" t="s">
        <v>10311</v>
      </c>
      <c r="C1" s="2" t="s">
        <v>14795</v>
      </c>
      <c r="D1" s="2" t="s">
        <v>14922</v>
      </c>
      <c r="E1" s="2" t="s">
        <v>14923</v>
      </c>
      <c r="F1" s="2" t="s">
        <v>11795</v>
      </c>
      <c r="G1" s="2" t="s">
        <v>10691</v>
      </c>
      <c r="H1" s="2" t="s">
        <v>11797</v>
      </c>
    </row>
    <row r="2" spans="1:15" ht="15">
      <c r="A2" s="2607">
        <v>1442</v>
      </c>
      <c r="F2" s="2" t="s">
        <v>11541</v>
      </c>
      <c r="H2" s="2" t="s">
        <v>11798</v>
      </c>
      <c r="M2" s="2" t="s">
        <v>14794</v>
      </c>
      <c r="N2" s="2" t="s">
        <v>14795</v>
      </c>
      <c r="O2" s="2" t="s">
        <v>14796</v>
      </c>
    </row>
    <row r="3" spans="1:15" ht="15">
      <c r="A3" s="2607">
        <v>1448</v>
      </c>
      <c r="F3" s="2" t="s">
        <v>11542</v>
      </c>
      <c r="I3" s="2" t="s">
        <v>11799</v>
      </c>
      <c r="M3" s="2">
        <v>1479</v>
      </c>
      <c r="N3" s="2675" t="s">
        <v>14797</v>
      </c>
      <c r="O3" s="2" t="s">
        <v>14798</v>
      </c>
    </row>
    <row r="4" spans="1:15" ht="15">
      <c r="A4" s="2607">
        <v>1449</v>
      </c>
      <c r="F4" s="2" t="s">
        <v>11543</v>
      </c>
      <c r="I4" s="2" t="s">
        <v>11800</v>
      </c>
      <c r="M4" s="2">
        <v>1479</v>
      </c>
      <c r="N4" s="2675" t="s">
        <v>14800</v>
      </c>
      <c r="O4" s="2" t="s">
        <v>14799</v>
      </c>
    </row>
    <row r="5" spans="1:15" ht="15">
      <c r="A5" s="2607">
        <v>1454</v>
      </c>
      <c r="F5" s="2" t="s">
        <v>11544</v>
      </c>
      <c r="I5" s="2" t="s">
        <v>11801</v>
      </c>
      <c r="M5" s="2">
        <v>1479</v>
      </c>
      <c r="N5" s="2675" t="s">
        <v>14801</v>
      </c>
      <c r="O5" s="2676" t="s">
        <v>14802</v>
      </c>
    </row>
    <row r="6" spans="1:15" ht="15">
      <c r="A6" s="2607">
        <v>1460</v>
      </c>
      <c r="F6" s="2" t="s">
        <v>11545</v>
      </c>
      <c r="I6" s="2" t="s">
        <v>11802</v>
      </c>
      <c r="M6" s="2">
        <v>1479</v>
      </c>
      <c r="N6" s="2">
        <v>4</v>
      </c>
    </row>
    <row r="7" spans="1:15" ht="15">
      <c r="A7" s="2607">
        <v>1469</v>
      </c>
      <c r="B7" s="2" t="s">
        <v>11539</v>
      </c>
      <c r="F7" s="2" t="s">
        <v>11540</v>
      </c>
      <c r="I7" s="2" t="s">
        <v>11803</v>
      </c>
      <c r="M7" s="2">
        <v>1479</v>
      </c>
      <c r="N7" s="2">
        <v>5</v>
      </c>
    </row>
    <row r="8" spans="1:15" ht="15">
      <c r="A8" s="2607">
        <v>1473</v>
      </c>
      <c r="F8" s="2" t="s">
        <v>11538</v>
      </c>
      <c r="I8" s="2" t="s">
        <v>11804</v>
      </c>
      <c r="M8" s="2">
        <v>1479</v>
      </c>
      <c r="N8" s="2">
        <v>6</v>
      </c>
    </row>
    <row r="9" spans="1:15" ht="15">
      <c r="A9" s="2607">
        <v>1479</v>
      </c>
      <c r="B9" s="2" t="s">
        <v>13701</v>
      </c>
      <c r="C9" s="2608" t="s">
        <v>11837</v>
      </c>
      <c r="D9" s="2608"/>
      <c r="E9" s="2608"/>
      <c r="F9" s="2" t="s">
        <v>11838</v>
      </c>
      <c r="I9" s="2" t="s">
        <v>11805</v>
      </c>
      <c r="M9" s="2">
        <v>1479</v>
      </c>
      <c r="N9" s="2">
        <v>7</v>
      </c>
    </row>
    <row r="10" spans="1:15" ht="15">
      <c r="A10" s="2607">
        <v>1479</v>
      </c>
      <c r="B10" s="2" t="s">
        <v>13701</v>
      </c>
      <c r="F10" s="2608" t="s">
        <v>11839</v>
      </c>
      <c r="I10" s="2" t="s">
        <v>11806</v>
      </c>
      <c r="M10" s="2">
        <v>1479</v>
      </c>
      <c r="N10" s="2">
        <v>8</v>
      </c>
    </row>
    <row r="11" spans="1:15" ht="15">
      <c r="A11" s="2607">
        <v>1479</v>
      </c>
      <c r="B11" s="2607" t="s">
        <v>13701</v>
      </c>
      <c r="F11" s="2608" t="s">
        <v>11840</v>
      </c>
      <c r="I11" s="2" t="s">
        <v>11807</v>
      </c>
      <c r="M11" s="2">
        <v>1479</v>
      </c>
      <c r="N11" s="2">
        <v>9</v>
      </c>
    </row>
    <row r="12" spans="1:15" ht="15">
      <c r="A12" s="2607">
        <v>1479</v>
      </c>
      <c r="B12" s="2607" t="s">
        <v>13701</v>
      </c>
      <c r="F12" s="2608" t="s">
        <v>11841</v>
      </c>
      <c r="I12" s="2" t="s">
        <v>11808</v>
      </c>
      <c r="M12" s="2">
        <v>1479</v>
      </c>
      <c r="N12" s="2">
        <v>10</v>
      </c>
    </row>
    <row r="13" spans="1:15" ht="15">
      <c r="A13" s="2607">
        <v>1479</v>
      </c>
      <c r="B13" s="2607" t="s">
        <v>13701</v>
      </c>
      <c r="F13" s="2608" t="s">
        <v>11842</v>
      </c>
      <c r="I13" s="2" t="s">
        <v>11809</v>
      </c>
      <c r="M13" s="2">
        <v>1479</v>
      </c>
      <c r="N13" s="2">
        <v>11</v>
      </c>
    </row>
    <row r="14" spans="1:15" ht="15">
      <c r="A14" s="2607">
        <v>1479</v>
      </c>
      <c r="B14" s="2607" t="s">
        <v>13701</v>
      </c>
      <c r="F14" s="2608" t="s">
        <v>11843</v>
      </c>
      <c r="I14" s="2" t="s">
        <v>11810</v>
      </c>
      <c r="M14" s="2">
        <v>1479</v>
      </c>
      <c r="N14" s="2">
        <v>12</v>
      </c>
    </row>
    <row r="15" spans="1:15" ht="15">
      <c r="A15" s="2607">
        <v>1479</v>
      </c>
      <c r="B15" s="2607" t="s">
        <v>13701</v>
      </c>
      <c r="F15" s="2608" t="s">
        <v>11844</v>
      </c>
      <c r="I15" s="2" t="s">
        <v>11811</v>
      </c>
      <c r="M15" s="2">
        <v>1480</v>
      </c>
      <c r="N15" s="2">
        <v>1</v>
      </c>
    </row>
    <row r="16" spans="1:15" ht="15">
      <c r="A16" s="2607">
        <v>1479</v>
      </c>
      <c r="B16" s="2607" t="s">
        <v>13701</v>
      </c>
      <c r="F16" s="2608" t="s">
        <v>15010</v>
      </c>
      <c r="G16" s="2" t="s">
        <v>15011</v>
      </c>
      <c r="I16" s="2" t="s">
        <v>11812</v>
      </c>
      <c r="M16" s="2">
        <v>1480</v>
      </c>
      <c r="N16" s="2">
        <v>2</v>
      </c>
    </row>
    <row r="17" spans="1:14" ht="15">
      <c r="A17" s="2607">
        <v>1480</v>
      </c>
      <c r="B17" s="2607" t="s">
        <v>13704</v>
      </c>
      <c r="I17" s="2" t="s">
        <v>11813</v>
      </c>
      <c r="M17" s="2">
        <v>1480</v>
      </c>
      <c r="N17" s="2">
        <v>3</v>
      </c>
    </row>
    <row r="18" spans="1:14" ht="15">
      <c r="A18" s="2607">
        <v>1484</v>
      </c>
      <c r="B18" s="2607" t="s">
        <v>13703</v>
      </c>
      <c r="F18" s="2608" t="s">
        <v>15008</v>
      </c>
      <c r="G18" s="2" t="s">
        <v>15009</v>
      </c>
      <c r="I18" s="2" t="s">
        <v>11814</v>
      </c>
      <c r="M18" s="2">
        <v>1480</v>
      </c>
      <c r="N18" s="2">
        <v>4</v>
      </c>
    </row>
    <row r="19" spans="1:14" ht="15">
      <c r="A19" s="2607">
        <v>1484</v>
      </c>
      <c r="B19" s="2607" t="s">
        <v>13703</v>
      </c>
      <c r="F19" s="2608" t="s">
        <v>15006</v>
      </c>
      <c r="G19" s="2" t="s">
        <v>15007</v>
      </c>
      <c r="I19" s="2" t="s">
        <v>11815</v>
      </c>
      <c r="M19" s="2">
        <v>1480</v>
      </c>
      <c r="N19" s="2">
        <v>5</v>
      </c>
    </row>
    <row r="20" spans="1:14" ht="15">
      <c r="A20" s="2607">
        <v>1484</v>
      </c>
      <c r="B20" s="2607" t="s">
        <v>13703</v>
      </c>
      <c r="F20" s="2608" t="s">
        <v>15004</v>
      </c>
      <c r="G20" s="2" t="s">
        <v>15005</v>
      </c>
      <c r="I20" s="2" t="s">
        <v>11816</v>
      </c>
      <c r="M20" s="2">
        <v>1480</v>
      </c>
      <c r="N20" s="2">
        <v>6</v>
      </c>
    </row>
    <row r="21" spans="1:14" ht="15">
      <c r="A21" s="2607">
        <v>1484</v>
      </c>
      <c r="B21" s="2607" t="s">
        <v>13703</v>
      </c>
      <c r="F21" s="2608" t="s">
        <v>15002</v>
      </c>
      <c r="G21" s="2" t="s">
        <v>15003</v>
      </c>
      <c r="I21" s="2" t="s">
        <v>11817</v>
      </c>
      <c r="M21" s="2">
        <v>1480</v>
      </c>
      <c r="N21" s="2">
        <v>7</v>
      </c>
    </row>
    <row r="22" spans="1:14" ht="15">
      <c r="A22" s="2607">
        <v>1484</v>
      </c>
      <c r="B22" s="2607" t="s">
        <v>13703</v>
      </c>
      <c r="F22" s="2608" t="s">
        <v>15000</v>
      </c>
      <c r="G22" s="2" t="s">
        <v>15001</v>
      </c>
      <c r="I22" s="2" t="s">
        <v>11796</v>
      </c>
      <c r="M22" s="2">
        <v>1480</v>
      </c>
      <c r="N22" s="2">
        <v>8</v>
      </c>
    </row>
    <row r="23" spans="1:14" ht="15">
      <c r="A23" s="2607">
        <v>1484</v>
      </c>
      <c r="B23" s="2607" t="s">
        <v>13703</v>
      </c>
      <c r="F23" s="2608" t="s">
        <v>14929</v>
      </c>
      <c r="G23" s="2" t="s">
        <v>14930</v>
      </c>
      <c r="I23" s="2" t="s">
        <v>11797</v>
      </c>
      <c r="M23" s="2">
        <v>1480</v>
      </c>
      <c r="N23" s="2">
        <v>9</v>
      </c>
    </row>
    <row r="24" spans="1:14" ht="15">
      <c r="A24" s="2607">
        <v>1484</v>
      </c>
      <c r="B24" s="2607" t="s">
        <v>13703</v>
      </c>
      <c r="F24" s="2608" t="s">
        <v>14998</v>
      </c>
      <c r="G24" s="2" t="s">
        <v>14999</v>
      </c>
      <c r="I24" s="2" t="s">
        <v>11798</v>
      </c>
      <c r="M24" s="2">
        <v>1480</v>
      </c>
      <c r="N24" s="2">
        <v>10</v>
      </c>
    </row>
    <row r="25" spans="1:14" ht="15">
      <c r="A25" s="2607">
        <v>1485</v>
      </c>
      <c r="B25" s="2607"/>
      <c r="F25" s="2" t="s">
        <v>11537</v>
      </c>
      <c r="I25" s="2" t="s">
        <v>11818</v>
      </c>
      <c r="M25" s="2">
        <v>1480</v>
      </c>
      <c r="N25" s="2">
        <v>11</v>
      </c>
    </row>
    <row r="26" spans="1:14" ht="15">
      <c r="A26" s="2607">
        <v>1486</v>
      </c>
      <c r="B26" s="2607"/>
      <c r="F26" s="2" t="s">
        <v>11536</v>
      </c>
      <c r="I26" s="2" t="s">
        <v>11819</v>
      </c>
      <c r="M26" s="2">
        <v>1480</v>
      </c>
      <c r="N26" s="2">
        <v>12</v>
      </c>
    </row>
    <row r="27" spans="1:14" ht="15">
      <c r="A27" s="2607">
        <v>1486</v>
      </c>
      <c r="B27" s="2607" t="s">
        <v>13702</v>
      </c>
      <c r="C27" s="2608" t="s">
        <v>14925</v>
      </c>
      <c r="D27" s="2608">
        <v>5</v>
      </c>
      <c r="E27" s="2608"/>
      <c r="F27" s="2608" t="s">
        <v>14927</v>
      </c>
      <c r="G27" s="2" t="s">
        <v>14928</v>
      </c>
      <c r="I27" s="2" t="s">
        <v>11820</v>
      </c>
      <c r="M27" s="2">
        <v>1481</v>
      </c>
      <c r="N27" s="2">
        <v>1</v>
      </c>
    </row>
    <row r="28" spans="1:14" ht="15">
      <c r="A28" s="2607">
        <v>1486</v>
      </c>
      <c r="B28" s="2607" t="s">
        <v>13702</v>
      </c>
      <c r="D28" s="2608"/>
      <c r="E28" s="2608" t="s">
        <v>11845</v>
      </c>
      <c r="F28" s="2608" t="s">
        <v>14996</v>
      </c>
      <c r="G28" s="2" t="s">
        <v>14997</v>
      </c>
      <c r="I28" s="2" t="s">
        <v>11821</v>
      </c>
      <c r="M28" s="2">
        <v>1481</v>
      </c>
      <c r="N28" s="2">
        <v>2</v>
      </c>
    </row>
    <row r="29" spans="1:14" ht="15">
      <c r="A29" s="2607">
        <v>1486</v>
      </c>
      <c r="B29" s="2607" t="s">
        <v>13702</v>
      </c>
      <c r="F29" s="2608" t="s">
        <v>14994</v>
      </c>
      <c r="G29" s="2" t="s">
        <v>14995</v>
      </c>
      <c r="I29" s="2" t="s">
        <v>11822</v>
      </c>
      <c r="M29" s="2">
        <v>1481</v>
      </c>
      <c r="N29" s="2">
        <v>3</v>
      </c>
    </row>
    <row r="30" spans="1:14" ht="15">
      <c r="A30" s="2607">
        <v>1486</v>
      </c>
      <c r="B30" s="2607" t="s">
        <v>13702</v>
      </c>
      <c r="E30" s="2" t="s">
        <v>11852</v>
      </c>
      <c r="F30" s="2608" t="s">
        <v>14992</v>
      </c>
      <c r="G30" s="2" t="s">
        <v>14993</v>
      </c>
      <c r="I30" s="2" t="s">
        <v>11823</v>
      </c>
      <c r="M30" s="2">
        <v>1481</v>
      </c>
      <c r="N30" s="2">
        <v>4</v>
      </c>
    </row>
    <row r="31" spans="1:14" ht="15">
      <c r="A31" s="2607">
        <v>1486</v>
      </c>
      <c r="B31" s="2607" t="s">
        <v>13702</v>
      </c>
      <c r="C31" s="2608" t="s">
        <v>11846</v>
      </c>
      <c r="D31" s="2608"/>
      <c r="E31" s="2608"/>
      <c r="F31" s="2" t="s">
        <v>14986</v>
      </c>
      <c r="G31" s="2" t="s">
        <v>14987</v>
      </c>
      <c r="I31" s="2" t="s">
        <v>11824</v>
      </c>
      <c r="M31" s="2">
        <v>1481</v>
      </c>
      <c r="N31" s="2">
        <v>5</v>
      </c>
    </row>
    <row r="32" spans="1:14" ht="15">
      <c r="A32" s="2607">
        <v>1486</v>
      </c>
      <c r="B32" s="2607" t="s">
        <v>13702</v>
      </c>
      <c r="E32" s="2">
        <v>2</v>
      </c>
      <c r="F32" s="2" t="s">
        <v>14988</v>
      </c>
      <c r="G32" s="2" t="s">
        <v>14989</v>
      </c>
      <c r="I32" s="2" t="s">
        <v>11825</v>
      </c>
      <c r="M32" s="2">
        <v>1481</v>
      </c>
      <c r="N32" s="2">
        <v>6</v>
      </c>
    </row>
    <row r="33" spans="1:14" ht="15">
      <c r="A33" s="2607">
        <v>1486</v>
      </c>
      <c r="B33" s="2607" t="s">
        <v>13702</v>
      </c>
      <c r="D33" s="2608"/>
      <c r="E33" s="2608"/>
      <c r="I33" s="2" t="s">
        <v>11826</v>
      </c>
      <c r="M33" s="2">
        <v>1481</v>
      </c>
      <c r="N33" s="2">
        <v>7</v>
      </c>
    </row>
    <row r="34" spans="1:14" ht="15">
      <c r="A34" s="2607">
        <v>1486</v>
      </c>
      <c r="B34" s="2607" t="s">
        <v>13702</v>
      </c>
      <c r="C34" s="2608"/>
      <c r="D34" s="2608"/>
      <c r="E34" s="2608" t="s">
        <v>11853</v>
      </c>
      <c r="F34" s="2609" t="s">
        <v>14991</v>
      </c>
      <c r="G34" s="2" t="s">
        <v>14990</v>
      </c>
      <c r="I34" s="2" t="s">
        <v>11827</v>
      </c>
      <c r="M34" s="2">
        <v>1481</v>
      </c>
      <c r="N34" s="2">
        <v>8</v>
      </c>
    </row>
    <row r="35" spans="1:14" ht="15">
      <c r="A35" s="2607">
        <v>1486</v>
      </c>
      <c r="B35" s="2607" t="s">
        <v>13702</v>
      </c>
      <c r="F35" s="2608" t="s">
        <v>14984</v>
      </c>
      <c r="G35" s="2" t="s">
        <v>14985</v>
      </c>
      <c r="I35" s="2" t="s">
        <v>11828</v>
      </c>
      <c r="M35" s="2">
        <v>1481</v>
      </c>
      <c r="N35" s="2">
        <v>9</v>
      </c>
    </row>
    <row r="36" spans="1:14" ht="15">
      <c r="A36" s="2607">
        <v>1486</v>
      </c>
      <c r="B36" s="2607" t="s">
        <v>13702</v>
      </c>
      <c r="C36" s="2608" t="s">
        <v>11846</v>
      </c>
      <c r="D36" s="2608">
        <v>14</v>
      </c>
      <c r="E36" s="2608"/>
      <c r="F36" s="2608" t="s">
        <v>13697</v>
      </c>
      <c r="G36" s="2" t="s">
        <v>13696</v>
      </c>
      <c r="I36" s="2" t="s">
        <v>11829</v>
      </c>
      <c r="M36" s="2">
        <v>1481</v>
      </c>
      <c r="N36" s="2">
        <v>10</v>
      </c>
    </row>
    <row r="37" spans="1:14" ht="15">
      <c r="A37" s="2607">
        <v>1486</v>
      </c>
      <c r="B37" s="2607" t="s">
        <v>13702</v>
      </c>
      <c r="C37" s="2608"/>
      <c r="D37" s="2608"/>
      <c r="E37" s="2608">
        <v>24</v>
      </c>
      <c r="F37" s="2608" t="s">
        <v>14983</v>
      </c>
      <c r="G37" s="2" t="s">
        <v>14956</v>
      </c>
      <c r="I37" s="2" t="s">
        <v>11830</v>
      </c>
      <c r="M37" s="2">
        <v>1481</v>
      </c>
      <c r="N37" s="2">
        <v>11</v>
      </c>
    </row>
    <row r="38" spans="1:14" ht="15">
      <c r="A38" s="2607">
        <v>1486</v>
      </c>
      <c r="B38" s="2607" t="s">
        <v>13702</v>
      </c>
      <c r="F38" s="2" t="s">
        <v>14982</v>
      </c>
      <c r="G38" s="2" t="s">
        <v>14958</v>
      </c>
      <c r="I38" s="2" t="s">
        <v>11831</v>
      </c>
      <c r="M38" s="2">
        <v>1481</v>
      </c>
      <c r="N38" s="2">
        <v>12</v>
      </c>
    </row>
    <row r="39" spans="1:14" ht="15">
      <c r="A39" s="2607">
        <v>1486</v>
      </c>
      <c r="B39" s="2607" t="s">
        <v>13702</v>
      </c>
      <c r="E39" s="2608"/>
      <c r="F39" s="2608" t="s">
        <v>11847</v>
      </c>
      <c r="I39" s="2" t="s">
        <v>11832</v>
      </c>
      <c r="M39" s="2">
        <v>1482</v>
      </c>
      <c r="N39" s="2">
        <v>1</v>
      </c>
    </row>
    <row r="40" spans="1:14" ht="15">
      <c r="A40" s="2607">
        <v>1486</v>
      </c>
      <c r="B40" s="2607" t="s">
        <v>13702</v>
      </c>
      <c r="F40" s="2" t="s">
        <v>13695</v>
      </c>
      <c r="I40" s="2" t="s">
        <v>11833</v>
      </c>
      <c r="M40" s="2">
        <v>1482</v>
      </c>
      <c r="N40" s="2">
        <v>2</v>
      </c>
    </row>
    <row r="41" spans="1:14" ht="15">
      <c r="A41" s="2607">
        <v>1486</v>
      </c>
      <c r="B41" s="2607" t="s">
        <v>13702</v>
      </c>
      <c r="I41" s="2" t="s">
        <v>11834</v>
      </c>
      <c r="M41" s="2">
        <v>1482</v>
      </c>
      <c r="N41" s="2">
        <v>3</v>
      </c>
    </row>
    <row r="42" spans="1:14" ht="15">
      <c r="A42" s="2607">
        <v>1486</v>
      </c>
      <c r="B42" s="2607" t="s">
        <v>13702</v>
      </c>
      <c r="F42" s="2" t="s">
        <v>14953</v>
      </c>
      <c r="G42" s="2" t="s">
        <v>14954</v>
      </c>
      <c r="I42" s="2" t="s">
        <v>11835</v>
      </c>
      <c r="M42" s="2">
        <v>1482</v>
      </c>
      <c r="N42" s="2">
        <v>4</v>
      </c>
    </row>
    <row r="43" spans="1:14" ht="15">
      <c r="A43" s="2607">
        <v>1486</v>
      </c>
      <c r="B43" s="2607" t="s">
        <v>13702</v>
      </c>
      <c r="F43" s="2608" t="s">
        <v>14955</v>
      </c>
      <c r="G43" s="2" t="s">
        <v>14956</v>
      </c>
      <c r="M43" s="2">
        <v>1482</v>
      </c>
      <c r="N43" s="2">
        <v>5</v>
      </c>
    </row>
    <row r="44" spans="1:14" ht="15">
      <c r="A44" s="2607">
        <v>1486</v>
      </c>
      <c r="B44" s="2607" t="s">
        <v>13702</v>
      </c>
      <c r="F44" s="2608" t="s">
        <v>14957</v>
      </c>
      <c r="G44" s="2" t="s">
        <v>14958</v>
      </c>
      <c r="M44" s="2">
        <v>1482</v>
      </c>
      <c r="N44" s="2">
        <v>6</v>
      </c>
    </row>
    <row r="45" spans="1:14" ht="15">
      <c r="A45" s="2607">
        <v>1486</v>
      </c>
      <c r="B45" s="2607" t="s">
        <v>13702</v>
      </c>
      <c r="F45" s="2" t="s">
        <v>14959</v>
      </c>
      <c r="G45" s="2" t="s">
        <v>14960</v>
      </c>
      <c r="M45" s="2">
        <v>1482</v>
      </c>
      <c r="N45" s="2">
        <v>7</v>
      </c>
    </row>
    <row r="46" spans="1:14" ht="15">
      <c r="A46" s="2607">
        <v>1486</v>
      </c>
      <c r="B46" s="2607" t="s">
        <v>13702</v>
      </c>
      <c r="C46" s="2608" t="s">
        <v>11846</v>
      </c>
      <c r="D46" s="2608">
        <v>24</v>
      </c>
      <c r="M46" s="2">
        <v>1482</v>
      </c>
      <c r="N46" s="2">
        <v>8</v>
      </c>
    </row>
    <row r="47" spans="1:14" ht="15">
      <c r="A47" s="2607">
        <v>1486</v>
      </c>
      <c r="B47" s="2607" t="s">
        <v>13702</v>
      </c>
      <c r="C47" s="2608" t="s">
        <v>14926</v>
      </c>
      <c r="D47" s="2608">
        <v>5</v>
      </c>
      <c r="E47" s="2608"/>
      <c r="F47" s="2608" t="s">
        <v>11848</v>
      </c>
      <c r="M47" s="2">
        <v>1482</v>
      </c>
      <c r="N47" s="2">
        <v>9</v>
      </c>
    </row>
    <row r="48" spans="1:14" ht="15">
      <c r="A48" s="2607">
        <v>1487</v>
      </c>
      <c r="B48" s="2607" t="s">
        <v>13698</v>
      </c>
      <c r="M48" s="2">
        <v>1482</v>
      </c>
      <c r="N48" s="2">
        <v>10</v>
      </c>
    </row>
    <row r="49" spans="1:14" ht="15">
      <c r="A49" s="2607">
        <v>1487</v>
      </c>
      <c r="B49" s="2607" t="s">
        <v>13698</v>
      </c>
      <c r="C49" s="2608" t="s">
        <v>14924</v>
      </c>
      <c r="D49" s="2608"/>
      <c r="F49" s="2608"/>
      <c r="M49" s="2">
        <v>1482</v>
      </c>
      <c r="N49" s="2">
        <v>11</v>
      </c>
    </row>
    <row r="50" spans="1:14" ht="15">
      <c r="A50" s="2607">
        <v>1487</v>
      </c>
      <c r="B50" s="2607" t="s">
        <v>13698</v>
      </c>
      <c r="C50" s="2" t="s">
        <v>11849</v>
      </c>
      <c r="D50" s="2608">
        <v>12</v>
      </c>
      <c r="F50" s="2608" t="s">
        <v>14931</v>
      </c>
      <c r="G50" s="2" t="s">
        <v>14932</v>
      </c>
      <c r="M50" s="2">
        <v>1482</v>
      </c>
      <c r="N50" s="2">
        <v>12</v>
      </c>
    </row>
    <row r="51" spans="1:14" ht="15">
      <c r="A51" s="2607">
        <v>1487</v>
      </c>
      <c r="B51" s="2607" t="s">
        <v>13698</v>
      </c>
      <c r="C51" s="2" t="s">
        <v>11849</v>
      </c>
      <c r="D51" s="2">
        <v>13</v>
      </c>
      <c r="E51" s="2608"/>
      <c r="F51" s="2608" t="s">
        <v>14933</v>
      </c>
      <c r="G51" s="2" t="s">
        <v>14934</v>
      </c>
      <c r="M51" s="2">
        <v>1483</v>
      </c>
      <c r="N51" s="2">
        <v>1</v>
      </c>
    </row>
    <row r="52" spans="1:14" ht="15">
      <c r="A52" s="2607">
        <v>1487</v>
      </c>
      <c r="B52" s="2607" t="s">
        <v>13698</v>
      </c>
      <c r="D52" s="2">
        <v>13</v>
      </c>
      <c r="F52" s="2608" t="s">
        <v>14935</v>
      </c>
      <c r="G52" s="2" t="s">
        <v>14936</v>
      </c>
      <c r="M52" s="2">
        <v>1483</v>
      </c>
      <c r="N52" s="2">
        <v>2</v>
      </c>
    </row>
    <row r="53" spans="1:14" ht="15">
      <c r="A53" s="2607">
        <v>1487</v>
      </c>
      <c r="B53" s="2607" t="s">
        <v>13698</v>
      </c>
      <c r="D53" s="2">
        <v>13</v>
      </c>
      <c r="E53" s="2607"/>
      <c r="F53" s="2" t="s">
        <v>11850</v>
      </c>
      <c r="M53" s="2">
        <v>1483</v>
      </c>
      <c r="N53" s="2">
        <v>3</v>
      </c>
    </row>
    <row r="54" spans="1:14" ht="15">
      <c r="A54" s="2607">
        <v>1487</v>
      </c>
      <c r="B54" s="2607" t="s">
        <v>13698</v>
      </c>
      <c r="D54" s="2">
        <v>13</v>
      </c>
      <c r="E54" s="2608"/>
      <c r="F54" s="2" t="s">
        <v>14980</v>
      </c>
      <c r="G54" s="2" t="s">
        <v>14981</v>
      </c>
      <c r="M54" s="2">
        <v>1483</v>
      </c>
      <c r="N54" s="2">
        <v>4</v>
      </c>
    </row>
    <row r="55" spans="1:14" ht="15">
      <c r="A55" s="2607">
        <v>1487</v>
      </c>
      <c r="B55" s="2607" t="s">
        <v>13698</v>
      </c>
      <c r="D55" s="2">
        <v>13</v>
      </c>
      <c r="F55" s="2" t="s">
        <v>11851</v>
      </c>
      <c r="M55" s="2">
        <v>1483</v>
      </c>
      <c r="N55" s="2">
        <v>5</v>
      </c>
    </row>
    <row r="56" spans="1:14" ht="15">
      <c r="A56" s="2607">
        <v>1487</v>
      </c>
      <c r="B56" s="2607" t="s">
        <v>13698</v>
      </c>
      <c r="D56" s="2">
        <v>13</v>
      </c>
      <c r="F56" s="2" t="s">
        <v>14978</v>
      </c>
      <c r="G56" s="2" t="s">
        <v>14979</v>
      </c>
      <c r="M56" s="2">
        <v>1483</v>
      </c>
      <c r="N56" s="2">
        <v>6</v>
      </c>
    </row>
    <row r="57" spans="1:14" ht="15">
      <c r="A57" s="2607">
        <v>1487</v>
      </c>
      <c r="B57" s="2607" t="s">
        <v>13698</v>
      </c>
      <c r="D57" s="2">
        <v>13</v>
      </c>
      <c r="E57" s="2608"/>
      <c r="F57" s="2" t="s">
        <v>14961</v>
      </c>
      <c r="G57" s="2" t="s">
        <v>14962</v>
      </c>
      <c r="M57" s="2">
        <v>1483</v>
      </c>
      <c r="N57" s="2">
        <v>7</v>
      </c>
    </row>
    <row r="58" spans="1:14" ht="15">
      <c r="A58" s="2607">
        <v>1487</v>
      </c>
      <c r="B58" s="2607" t="s">
        <v>13698</v>
      </c>
      <c r="D58" s="2">
        <v>13</v>
      </c>
      <c r="F58" s="2" t="s">
        <v>14963</v>
      </c>
      <c r="G58" s="2" t="s">
        <v>14964</v>
      </c>
      <c r="M58" s="2">
        <v>1483</v>
      </c>
      <c r="N58" s="2">
        <v>8</v>
      </c>
    </row>
    <row r="59" spans="1:14" ht="15">
      <c r="A59" s="2607">
        <v>1487</v>
      </c>
      <c r="B59" s="2607" t="s">
        <v>13698</v>
      </c>
      <c r="D59" s="2">
        <v>13</v>
      </c>
      <c r="F59" s="2" t="s">
        <v>14965</v>
      </c>
      <c r="G59" s="2" t="s">
        <v>14966</v>
      </c>
      <c r="M59" s="2">
        <v>1483</v>
      </c>
      <c r="N59" s="2">
        <v>9</v>
      </c>
    </row>
    <row r="60" spans="1:14" ht="15">
      <c r="A60" s="2607">
        <v>1487</v>
      </c>
      <c r="B60" s="2607" t="s">
        <v>13698</v>
      </c>
      <c r="D60" s="2">
        <v>13</v>
      </c>
      <c r="F60" s="2" t="s">
        <v>14967</v>
      </c>
      <c r="G60" s="2" t="s">
        <v>14968</v>
      </c>
      <c r="M60" s="2">
        <v>1483</v>
      </c>
      <c r="N60" s="2">
        <v>10</v>
      </c>
    </row>
    <row r="61" spans="1:14" ht="15">
      <c r="A61" s="2607">
        <v>1487</v>
      </c>
      <c r="B61" s="2607" t="s">
        <v>13698</v>
      </c>
      <c r="D61" s="2">
        <v>13</v>
      </c>
      <c r="F61" s="2" t="s">
        <v>14969</v>
      </c>
      <c r="G61" s="2" t="s">
        <v>14970</v>
      </c>
      <c r="M61" s="2">
        <v>1483</v>
      </c>
      <c r="N61" s="2">
        <v>11</v>
      </c>
    </row>
    <row r="62" spans="1:14" ht="15">
      <c r="A62" s="2607">
        <v>1487</v>
      </c>
      <c r="B62" s="2607" t="s">
        <v>13698</v>
      </c>
      <c r="D62" s="2">
        <v>13</v>
      </c>
      <c r="F62" s="2" t="s">
        <v>14971</v>
      </c>
      <c r="G62" s="2" t="s">
        <v>14972</v>
      </c>
      <c r="M62" s="2">
        <v>1483</v>
      </c>
      <c r="N62" s="2">
        <v>12</v>
      </c>
    </row>
    <row r="63" spans="1:14" ht="15">
      <c r="A63" s="2607">
        <v>1487</v>
      </c>
      <c r="B63" s="2607" t="s">
        <v>13698</v>
      </c>
      <c r="D63" s="2">
        <v>13</v>
      </c>
      <c r="F63" s="2" t="s">
        <v>14973</v>
      </c>
      <c r="G63" s="2" t="s">
        <v>14948</v>
      </c>
      <c r="M63" s="2">
        <v>1484</v>
      </c>
      <c r="N63" s="2">
        <v>1</v>
      </c>
    </row>
    <row r="64" spans="1:14" ht="15">
      <c r="A64" s="2607">
        <v>1487</v>
      </c>
      <c r="B64" s="2607" t="s">
        <v>13698</v>
      </c>
      <c r="D64" s="2">
        <v>13</v>
      </c>
      <c r="F64" s="2" t="s">
        <v>14951</v>
      </c>
      <c r="G64" s="2" t="s">
        <v>14952</v>
      </c>
      <c r="M64" s="2">
        <v>1484</v>
      </c>
      <c r="N64" s="2">
        <v>2</v>
      </c>
    </row>
    <row r="65" spans="1:14" ht="15">
      <c r="A65" s="2607">
        <v>1487</v>
      </c>
      <c r="B65" s="2607" t="s">
        <v>13698</v>
      </c>
      <c r="D65" s="2">
        <v>13</v>
      </c>
      <c r="F65" s="2" t="s">
        <v>14949</v>
      </c>
      <c r="G65" s="2" t="s">
        <v>14950</v>
      </c>
      <c r="M65" s="2">
        <v>1484</v>
      </c>
      <c r="N65" s="2">
        <v>3</v>
      </c>
    </row>
    <row r="66" spans="1:14" ht="15">
      <c r="A66" s="2607">
        <v>1487</v>
      </c>
      <c r="B66" s="2607" t="s">
        <v>13698</v>
      </c>
      <c r="D66" s="2">
        <v>13</v>
      </c>
      <c r="F66" s="3985" t="s">
        <v>14974</v>
      </c>
      <c r="G66" s="2" t="s">
        <v>14975</v>
      </c>
      <c r="M66" s="2">
        <v>1484</v>
      </c>
      <c r="N66" s="2">
        <v>4</v>
      </c>
    </row>
    <row r="67" spans="1:14" ht="15">
      <c r="A67" s="2607">
        <v>1487</v>
      </c>
      <c r="B67" s="2607" t="s">
        <v>13698</v>
      </c>
      <c r="D67" s="2">
        <v>13</v>
      </c>
      <c r="F67" s="3985" t="s">
        <v>14976</v>
      </c>
      <c r="G67" s="2" t="s">
        <v>14977</v>
      </c>
      <c r="M67" s="2">
        <v>1484</v>
      </c>
      <c r="N67" s="2">
        <v>5</v>
      </c>
    </row>
    <row r="68" spans="1:14" ht="15">
      <c r="A68" s="2607">
        <v>1487</v>
      </c>
      <c r="B68" s="2607" t="s">
        <v>13698</v>
      </c>
      <c r="D68" s="2">
        <v>13</v>
      </c>
      <c r="F68" s="3985" t="s">
        <v>14946</v>
      </c>
      <c r="G68" s="2" t="s">
        <v>14947</v>
      </c>
      <c r="M68" s="2">
        <v>1484</v>
      </c>
      <c r="N68" s="2">
        <v>6</v>
      </c>
    </row>
    <row r="69" spans="1:14" ht="15">
      <c r="A69" s="2607">
        <v>1487</v>
      </c>
      <c r="B69" s="2607" t="s">
        <v>13698</v>
      </c>
      <c r="C69" s="2608" t="s">
        <v>14924</v>
      </c>
      <c r="D69" s="2608">
        <v>14</v>
      </c>
      <c r="E69" s="2608"/>
      <c r="F69" s="2608" t="s">
        <v>14937</v>
      </c>
      <c r="G69" s="2" t="s">
        <v>14938</v>
      </c>
      <c r="M69" s="2">
        <v>1484</v>
      </c>
      <c r="N69" s="2">
        <v>7</v>
      </c>
    </row>
    <row r="70" spans="1:14" ht="15">
      <c r="A70" s="2607">
        <v>1487</v>
      </c>
      <c r="B70" s="2607" t="s">
        <v>13698</v>
      </c>
      <c r="C70" s="2" t="s">
        <v>14924</v>
      </c>
      <c r="D70" s="2">
        <v>14</v>
      </c>
      <c r="F70" s="2608" t="s">
        <v>14939</v>
      </c>
      <c r="G70" s="2" t="s">
        <v>14940</v>
      </c>
      <c r="M70" s="2">
        <v>1484</v>
      </c>
      <c r="N70" s="2">
        <v>8</v>
      </c>
    </row>
    <row r="71" spans="1:14" ht="15">
      <c r="A71" s="2607">
        <v>1488</v>
      </c>
      <c r="B71" s="2607" t="s">
        <v>13694</v>
      </c>
      <c r="F71" s="2" t="s">
        <v>14941</v>
      </c>
      <c r="G71" s="2" t="s">
        <v>14942</v>
      </c>
      <c r="M71" s="2">
        <v>1484</v>
      </c>
      <c r="N71" s="2">
        <v>9</v>
      </c>
    </row>
    <row r="72" spans="1:14" ht="15">
      <c r="A72" s="2607">
        <v>1488</v>
      </c>
      <c r="B72" s="2607"/>
      <c r="F72" s="2" t="s">
        <v>14944</v>
      </c>
      <c r="G72" s="2" t="s">
        <v>14943</v>
      </c>
      <c r="M72" s="2">
        <v>1484</v>
      </c>
      <c r="N72" s="2">
        <v>10</v>
      </c>
    </row>
    <row r="73" spans="1:14" ht="15">
      <c r="A73" s="2607">
        <v>1489</v>
      </c>
      <c r="B73" s="2607" t="s">
        <v>13699</v>
      </c>
      <c r="F73" s="2608" t="s">
        <v>14945</v>
      </c>
      <c r="G73" s="2" t="s">
        <v>13700</v>
      </c>
      <c r="M73" s="2">
        <v>1484</v>
      </c>
      <c r="N73" s="2">
        <v>11</v>
      </c>
    </row>
    <row r="74" spans="1:14" ht="15">
      <c r="A74" s="2607">
        <v>1489</v>
      </c>
      <c r="B74" s="2607" t="s">
        <v>13699</v>
      </c>
      <c r="F74" s="2" t="s">
        <v>15013</v>
      </c>
      <c r="G74" s="2" t="s">
        <v>15013</v>
      </c>
      <c r="M74" s="2">
        <v>1484</v>
      </c>
      <c r="N74" s="2">
        <v>12</v>
      </c>
    </row>
    <row r="75" spans="1:14" ht="15">
      <c r="A75" s="2607">
        <v>1489</v>
      </c>
      <c r="B75" s="2607" t="s">
        <v>13699</v>
      </c>
      <c r="F75" s="2" t="s">
        <v>15012</v>
      </c>
      <c r="G75" s="2" t="s">
        <v>15012</v>
      </c>
      <c r="M75" s="2">
        <v>1485</v>
      </c>
      <c r="N75" s="2">
        <v>1</v>
      </c>
    </row>
    <row r="76" spans="1:14" ht="15">
      <c r="A76" s="2607">
        <v>1490</v>
      </c>
      <c r="B76" s="2607" t="s">
        <v>13699</v>
      </c>
      <c r="F76" s="2" t="s">
        <v>15016</v>
      </c>
      <c r="G76" s="2" t="s">
        <v>15016</v>
      </c>
      <c r="M76" s="2">
        <v>1485</v>
      </c>
      <c r="N76" s="2">
        <v>2</v>
      </c>
    </row>
    <row r="77" spans="1:14" ht="15">
      <c r="A77" s="2607">
        <v>1490</v>
      </c>
      <c r="B77" s="2607"/>
      <c r="F77" s="2" t="s">
        <v>15014</v>
      </c>
      <c r="G77" s="2" t="s">
        <v>15014</v>
      </c>
      <c r="M77" s="2">
        <v>1485</v>
      </c>
      <c r="N77" s="2">
        <v>3</v>
      </c>
    </row>
    <row r="78" spans="1:14" ht="15">
      <c r="A78" s="2607">
        <v>1490</v>
      </c>
      <c r="B78" s="2607"/>
      <c r="F78" s="2" t="s">
        <v>15015</v>
      </c>
      <c r="G78" s="2" t="s">
        <v>15015</v>
      </c>
      <c r="M78" s="2">
        <v>1485</v>
      </c>
      <c r="N78" s="2">
        <v>4</v>
      </c>
    </row>
    <row r="79" spans="1:14" ht="15">
      <c r="A79" s="2607">
        <v>1491</v>
      </c>
      <c r="B79" s="2607"/>
      <c r="F79" s="2" t="s">
        <v>13330</v>
      </c>
      <c r="G79" s="2" t="s">
        <v>13330</v>
      </c>
      <c r="M79" s="2">
        <v>1485</v>
      </c>
      <c r="N79" s="2">
        <v>5</v>
      </c>
    </row>
    <row r="80" spans="1:14" ht="15">
      <c r="A80" s="2607">
        <v>1491</v>
      </c>
      <c r="B80" s="2607"/>
      <c r="F80" s="2" t="s">
        <v>15017</v>
      </c>
      <c r="M80" s="2">
        <v>1485</v>
      </c>
      <c r="N80" s="2">
        <v>6</v>
      </c>
    </row>
    <row r="81" spans="1:14" ht="15">
      <c r="A81" s="2607">
        <v>1491</v>
      </c>
      <c r="B81" s="2607"/>
      <c r="F81" s="2" t="s">
        <v>15018</v>
      </c>
      <c r="M81" s="2">
        <v>1485</v>
      </c>
      <c r="N81" s="2">
        <v>7</v>
      </c>
    </row>
    <row r="82" spans="1:14" ht="15">
      <c r="A82" s="2607">
        <v>1492</v>
      </c>
      <c r="B82" s="2607"/>
      <c r="F82" s="2" t="s">
        <v>15019</v>
      </c>
      <c r="M82" s="2">
        <v>1485</v>
      </c>
      <c r="N82" s="2">
        <v>8</v>
      </c>
    </row>
    <row r="83" spans="1:14" ht="15">
      <c r="A83" s="2607">
        <v>1493</v>
      </c>
      <c r="B83" s="2607"/>
      <c r="F83" s="2" t="s">
        <v>14803</v>
      </c>
      <c r="M83" s="2">
        <v>1485</v>
      </c>
      <c r="N83" s="2">
        <v>9</v>
      </c>
    </row>
    <row r="84" spans="1:14" ht="15">
      <c r="A84" s="3984"/>
      <c r="B84" s="2607"/>
      <c r="M84" s="2">
        <v>1485</v>
      </c>
      <c r="N84" s="2">
        <v>10</v>
      </c>
    </row>
    <row r="85" spans="1:14" ht="15">
      <c r="A85" s="3984"/>
      <c r="B85" s="2607"/>
      <c r="M85" s="2">
        <v>1485</v>
      </c>
      <c r="N85" s="2">
        <v>11</v>
      </c>
    </row>
    <row r="86" spans="1:14">
      <c r="M86" s="2">
        <v>1485</v>
      </c>
      <c r="N86" s="2">
        <v>12</v>
      </c>
    </row>
    <row r="87" spans="1:14">
      <c r="M87" s="2">
        <v>1486</v>
      </c>
      <c r="N87" s="2">
        <v>1</v>
      </c>
    </row>
    <row r="88" spans="1:14">
      <c r="M88" s="2">
        <v>1486</v>
      </c>
      <c r="N88" s="2">
        <v>2</v>
      </c>
    </row>
    <row r="89" spans="1:14">
      <c r="M89" s="2">
        <v>1486</v>
      </c>
      <c r="N89" s="2">
        <v>3</v>
      </c>
    </row>
    <row r="90" spans="1:14">
      <c r="M90" s="2">
        <v>1486</v>
      </c>
      <c r="N90" s="2">
        <v>4</v>
      </c>
    </row>
    <row r="91" spans="1:14">
      <c r="M91" s="2">
        <v>1486</v>
      </c>
      <c r="N91" s="2">
        <v>5</v>
      </c>
    </row>
    <row r="92" spans="1:14">
      <c r="M92" s="2">
        <v>1486</v>
      </c>
      <c r="N92" s="2">
        <v>6</v>
      </c>
    </row>
    <row r="93" spans="1:14">
      <c r="M93" s="2">
        <v>1486</v>
      </c>
      <c r="N93" s="2">
        <v>7</v>
      </c>
    </row>
    <row r="94" spans="1:14">
      <c r="M94" s="2">
        <v>1486</v>
      </c>
      <c r="N94" s="2">
        <v>8</v>
      </c>
    </row>
    <row r="95" spans="1:14">
      <c r="M95" s="2">
        <v>1486</v>
      </c>
      <c r="N95" s="2">
        <v>9</v>
      </c>
    </row>
    <row r="96" spans="1:14">
      <c r="M96" s="2">
        <v>1486</v>
      </c>
      <c r="N96" s="2">
        <v>10</v>
      </c>
    </row>
    <row r="97" spans="13:14">
      <c r="M97" s="2">
        <v>1486</v>
      </c>
      <c r="N97" s="2">
        <v>11</v>
      </c>
    </row>
    <row r="98" spans="13:14">
      <c r="M98" s="2">
        <v>1486</v>
      </c>
      <c r="N98" s="2">
        <v>12</v>
      </c>
    </row>
    <row r="99" spans="13:14">
      <c r="M99" s="2">
        <v>1487</v>
      </c>
      <c r="N99" s="2">
        <v>1</v>
      </c>
    </row>
    <row r="100" spans="13:14">
      <c r="M100" s="2">
        <v>1487</v>
      </c>
      <c r="N100" s="2">
        <v>2</v>
      </c>
    </row>
    <row r="101" spans="13:14">
      <c r="M101" s="2">
        <v>1487</v>
      </c>
      <c r="N101" s="2">
        <v>3</v>
      </c>
    </row>
    <row r="102" spans="13:14">
      <c r="M102" s="2">
        <v>1487</v>
      </c>
      <c r="N102" s="2">
        <v>4</v>
      </c>
    </row>
    <row r="103" spans="13:14">
      <c r="M103" s="2">
        <v>1487</v>
      </c>
      <c r="N103" s="2">
        <v>5</v>
      </c>
    </row>
    <row r="104" spans="13:14">
      <c r="M104" s="2">
        <v>1487</v>
      </c>
      <c r="N104" s="2">
        <v>6</v>
      </c>
    </row>
    <row r="105" spans="13:14">
      <c r="M105" s="2">
        <v>1487</v>
      </c>
      <c r="N105" s="2">
        <v>7</v>
      </c>
    </row>
    <row r="106" spans="13:14">
      <c r="M106" s="2">
        <v>1487</v>
      </c>
      <c r="N106" s="2">
        <v>8</v>
      </c>
    </row>
    <row r="107" spans="13:14">
      <c r="M107" s="2">
        <v>1487</v>
      </c>
      <c r="N107" s="2">
        <v>9</v>
      </c>
    </row>
    <row r="108" spans="13:14">
      <c r="M108" s="2">
        <v>1487</v>
      </c>
      <c r="N108" s="2">
        <v>10</v>
      </c>
    </row>
    <row r="109" spans="13:14">
      <c r="M109" s="2">
        <v>1487</v>
      </c>
      <c r="N109" s="2">
        <v>11</v>
      </c>
    </row>
    <row r="110" spans="13:14">
      <c r="M110" s="2">
        <v>1487</v>
      </c>
      <c r="N110" s="2">
        <v>12</v>
      </c>
    </row>
    <row r="111" spans="13:14">
      <c r="M111" s="2">
        <v>1488</v>
      </c>
      <c r="N111" s="2">
        <v>1</v>
      </c>
    </row>
    <row r="112" spans="13:14">
      <c r="M112" s="2">
        <v>1488</v>
      </c>
      <c r="N112" s="2">
        <v>2</v>
      </c>
    </row>
    <row r="113" spans="13:14">
      <c r="M113" s="2">
        <v>1488</v>
      </c>
      <c r="N113" s="2">
        <v>3</v>
      </c>
    </row>
    <row r="114" spans="13:14">
      <c r="M114" s="2">
        <v>1488</v>
      </c>
      <c r="N114" s="2">
        <v>4</v>
      </c>
    </row>
    <row r="115" spans="13:14">
      <c r="M115" s="2">
        <v>1488</v>
      </c>
      <c r="N115" s="2">
        <v>5</v>
      </c>
    </row>
    <row r="116" spans="13:14">
      <c r="M116" s="2">
        <v>1488</v>
      </c>
      <c r="N116" s="2">
        <v>6</v>
      </c>
    </row>
    <row r="117" spans="13:14">
      <c r="M117" s="2">
        <v>1488</v>
      </c>
      <c r="N117" s="2">
        <v>7</v>
      </c>
    </row>
    <row r="118" spans="13:14">
      <c r="M118" s="2">
        <v>1488</v>
      </c>
      <c r="N118" s="2">
        <v>8</v>
      </c>
    </row>
    <row r="119" spans="13:14">
      <c r="M119" s="2">
        <v>1488</v>
      </c>
      <c r="N119" s="2">
        <v>9</v>
      </c>
    </row>
    <row r="120" spans="13:14">
      <c r="M120" s="2">
        <v>1488</v>
      </c>
      <c r="N120" s="2">
        <v>10</v>
      </c>
    </row>
    <row r="121" spans="13:14">
      <c r="M121" s="2">
        <v>1488</v>
      </c>
      <c r="N121" s="2">
        <v>11</v>
      </c>
    </row>
    <row r="122" spans="13:14">
      <c r="M122" s="2">
        <v>1488</v>
      </c>
      <c r="N122" s="2">
        <v>12</v>
      </c>
    </row>
    <row r="123" spans="13:14">
      <c r="M123" s="2">
        <v>1489</v>
      </c>
      <c r="N123" s="2">
        <v>1</v>
      </c>
    </row>
    <row r="124" spans="13:14">
      <c r="M124" s="2">
        <v>1489</v>
      </c>
      <c r="N124" s="2">
        <v>2</v>
      </c>
    </row>
    <row r="125" spans="13:14">
      <c r="M125" s="2">
        <v>1489</v>
      </c>
      <c r="N125" s="2">
        <v>3</v>
      </c>
    </row>
    <row r="126" spans="13:14">
      <c r="M126" s="2">
        <v>1489</v>
      </c>
      <c r="N126" s="2">
        <v>4</v>
      </c>
    </row>
    <row r="127" spans="13:14">
      <c r="M127" s="2">
        <v>1489</v>
      </c>
      <c r="N127" s="2">
        <v>5</v>
      </c>
    </row>
    <row r="128" spans="13:14">
      <c r="M128" s="2">
        <v>1489</v>
      </c>
      <c r="N128" s="2">
        <v>6</v>
      </c>
    </row>
    <row r="129" spans="13:14">
      <c r="M129" s="2">
        <v>1489</v>
      </c>
      <c r="N129" s="2">
        <v>7</v>
      </c>
    </row>
    <row r="130" spans="13:14">
      <c r="M130" s="2">
        <v>1489</v>
      </c>
      <c r="N130" s="2">
        <v>8</v>
      </c>
    </row>
    <row r="131" spans="13:14">
      <c r="M131" s="2">
        <v>1489</v>
      </c>
      <c r="N131" s="2">
        <v>9</v>
      </c>
    </row>
    <row r="132" spans="13:14">
      <c r="M132" s="2">
        <v>1489</v>
      </c>
      <c r="N132" s="2">
        <v>10</v>
      </c>
    </row>
    <row r="133" spans="13:14">
      <c r="M133" s="2">
        <v>1489</v>
      </c>
      <c r="N133" s="2">
        <v>11</v>
      </c>
    </row>
    <row r="134" spans="13:14">
      <c r="M134" s="2">
        <v>1489</v>
      </c>
      <c r="N134" s="2">
        <v>12</v>
      </c>
    </row>
    <row r="135" spans="13:14">
      <c r="M135" s="2">
        <v>1490</v>
      </c>
      <c r="N135" s="2">
        <v>1</v>
      </c>
    </row>
    <row r="136" spans="13:14">
      <c r="M136" s="2">
        <v>1490</v>
      </c>
      <c r="N136" s="2">
        <v>2</v>
      </c>
    </row>
    <row r="137" spans="13:14">
      <c r="M137" s="2">
        <v>1490</v>
      </c>
      <c r="N137" s="2">
        <v>3</v>
      </c>
    </row>
    <row r="138" spans="13:14">
      <c r="M138" s="2">
        <v>1490</v>
      </c>
      <c r="N138" s="2">
        <v>4</v>
      </c>
    </row>
    <row r="139" spans="13:14">
      <c r="M139" s="2">
        <v>1490</v>
      </c>
      <c r="N139" s="2">
        <v>5</v>
      </c>
    </row>
    <row r="140" spans="13:14">
      <c r="M140" s="2">
        <v>1490</v>
      </c>
      <c r="N140" s="2">
        <v>6</v>
      </c>
    </row>
    <row r="141" spans="13:14">
      <c r="M141" s="2">
        <v>1490</v>
      </c>
      <c r="N141" s="2">
        <v>7</v>
      </c>
    </row>
    <row r="142" spans="13:14">
      <c r="M142" s="2">
        <v>1490</v>
      </c>
      <c r="N142" s="2">
        <v>8</v>
      </c>
    </row>
    <row r="143" spans="13:14">
      <c r="M143" s="2">
        <v>1490</v>
      </c>
      <c r="N143" s="2">
        <v>9</v>
      </c>
    </row>
    <row r="144" spans="13:14">
      <c r="M144" s="2">
        <v>1490</v>
      </c>
      <c r="N144" s="2">
        <v>10</v>
      </c>
    </row>
    <row r="145" spans="13:14">
      <c r="M145" s="2">
        <v>1490</v>
      </c>
      <c r="N145" s="2">
        <v>11</v>
      </c>
    </row>
    <row r="146" spans="13:14">
      <c r="M146" s="2">
        <v>1490</v>
      </c>
      <c r="N146" s="2">
        <v>12</v>
      </c>
    </row>
    <row r="147" spans="13:14">
      <c r="M147" s="2">
        <v>1491</v>
      </c>
      <c r="N147" s="2">
        <v>1</v>
      </c>
    </row>
    <row r="148" spans="13:14">
      <c r="M148" s="2">
        <v>1491</v>
      </c>
      <c r="N148" s="2">
        <v>2</v>
      </c>
    </row>
    <row r="149" spans="13:14">
      <c r="M149" s="2">
        <v>1491</v>
      </c>
      <c r="N149" s="2">
        <v>3</v>
      </c>
    </row>
    <row r="150" spans="13:14">
      <c r="M150" s="2">
        <v>1491</v>
      </c>
      <c r="N150" s="2">
        <v>4</v>
      </c>
    </row>
    <row r="151" spans="13:14">
      <c r="M151" s="2">
        <v>1491</v>
      </c>
      <c r="N151" s="2">
        <v>5</v>
      </c>
    </row>
    <row r="152" spans="13:14">
      <c r="M152" s="2">
        <v>1491</v>
      </c>
      <c r="N152" s="2">
        <v>6</v>
      </c>
    </row>
    <row r="153" spans="13:14">
      <c r="M153" s="2">
        <v>1491</v>
      </c>
      <c r="N153" s="2">
        <v>7</v>
      </c>
    </row>
    <row r="154" spans="13:14">
      <c r="M154" s="2">
        <v>1491</v>
      </c>
      <c r="N154" s="2">
        <v>8</v>
      </c>
    </row>
    <row r="155" spans="13:14">
      <c r="M155" s="2">
        <v>1491</v>
      </c>
      <c r="N155" s="2">
        <v>9</v>
      </c>
    </row>
    <row r="156" spans="13:14">
      <c r="M156" s="2">
        <v>1491</v>
      </c>
      <c r="N156" s="2">
        <v>10</v>
      </c>
    </row>
    <row r="157" spans="13:14">
      <c r="M157" s="2">
        <v>1491</v>
      </c>
      <c r="N157" s="2">
        <v>11</v>
      </c>
    </row>
    <row r="158" spans="13:14">
      <c r="M158" s="2">
        <v>1491</v>
      </c>
      <c r="N158" s="2">
        <v>12</v>
      </c>
    </row>
    <row r="159" spans="13:14">
      <c r="M159" s="2">
        <v>1492</v>
      </c>
      <c r="N159" s="2">
        <v>1</v>
      </c>
    </row>
    <row r="160" spans="13:14">
      <c r="M160" s="2">
        <v>1492</v>
      </c>
      <c r="N160" s="2">
        <v>2</v>
      </c>
    </row>
    <row r="161" spans="13:14">
      <c r="M161" s="2">
        <v>1492</v>
      </c>
      <c r="N161" s="2">
        <v>3</v>
      </c>
    </row>
    <row r="162" spans="13:14">
      <c r="M162" s="2">
        <v>1492</v>
      </c>
      <c r="N162" s="2">
        <v>4</v>
      </c>
    </row>
    <row r="163" spans="13:14">
      <c r="M163" s="2">
        <v>1492</v>
      </c>
      <c r="N163" s="2">
        <v>5</v>
      </c>
    </row>
    <row r="164" spans="13:14">
      <c r="M164" s="2">
        <v>1492</v>
      </c>
      <c r="N164" s="2">
        <v>6</v>
      </c>
    </row>
    <row r="165" spans="13:14">
      <c r="M165" s="2">
        <v>1492</v>
      </c>
      <c r="N165" s="2">
        <v>7</v>
      </c>
    </row>
    <row r="166" spans="13:14">
      <c r="M166" s="2">
        <v>1492</v>
      </c>
      <c r="N166" s="2">
        <v>8</v>
      </c>
    </row>
    <row r="167" spans="13:14">
      <c r="M167" s="2">
        <v>1492</v>
      </c>
      <c r="N167" s="2">
        <v>9</v>
      </c>
    </row>
    <row r="168" spans="13:14">
      <c r="M168" s="2">
        <v>1492</v>
      </c>
      <c r="N168" s="2">
        <v>10</v>
      </c>
    </row>
    <row r="169" spans="13:14">
      <c r="M169" s="2">
        <v>1492</v>
      </c>
      <c r="N169" s="2">
        <v>11</v>
      </c>
    </row>
    <row r="170" spans="13:14">
      <c r="M170" s="2">
        <v>1492</v>
      </c>
      <c r="N170" s="2">
        <v>12</v>
      </c>
    </row>
  </sheetData>
  <phoneticPr fontId="233" type="noConversion"/>
  <pageMargins left="0.7" right="0.7" top="0.75" bottom="0.75" header="0.3" footer="0.3"/>
  <tableParts count="2">
    <tablePart r:id="rId1"/>
    <tablePart r:id="rId2"/>
  </tablePar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76A71-1A01-4B94-AAD6-BF6C57E6AC06}">
  <sheetPr codeName="Аркуш45">
    <tabColor rgb="FFFFFF00"/>
  </sheetPr>
  <dimension ref="A1:U103"/>
  <sheetViews>
    <sheetView topLeftCell="A66" workbookViewId="0">
      <selection activeCell="U4" sqref="U4:U10"/>
    </sheetView>
  </sheetViews>
  <sheetFormatPr defaultRowHeight="14.25"/>
  <cols>
    <col min="1" max="19" width="2.77734375" customWidth="1"/>
  </cols>
  <sheetData>
    <row r="1" spans="1:21">
      <c r="A1" s="3977" t="s">
        <v>2057</v>
      </c>
      <c r="B1" s="3977"/>
      <c r="C1" s="3977"/>
      <c r="D1" s="3977"/>
      <c r="E1" s="3977"/>
      <c r="F1" s="3977"/>
      <c r="G1" s="3977"/>
      <c r="H1" s="3977"/>
      <c r="I1" s="3977"/>
      <c r="J1" s="3977"/>
      <c r="K1" s="3977"/>
      <c r="L1" s="3977"/>
      <c r="M1" s="3977"/>
      <c r="N1" s="3977"/>
      <c r="O1" s="3977"/>
      <c r="P1" s="3977"/>
      <c r="Q1" s="3977"/>
      <c r="R1" s="3977"/>
      <c r="S1" s="3977"/>
    </row>
    <row r="2" spans="1:21" ht="27" customHeight="1">
      <c r="A2" s="3977"/>
      <c r="B2" s="3977"/>
      <c r="C2" s="3977"/>
      <c r="D2" s="3977"/>
      <c r="E2" s="3977"/>
      <c r="F2" s="3977"/>
      <c r="G2" s="3977"/>
      <c r="H2" s="3977"/>
      <c r="I2" s="3977"/>
      <c r="J2" s="3977"/>
      <c r="K2" s="3977"/>
      <c r="L2" s="3977"/>
      <c r="M2" s="3977"/>
      <c r="N2" s="3977"/>
      <c r="O2" s="3977"/>
      <c r="P2" s="3977"/>
      <c r="Q2" s="3977"/>
      <c r="R2" s="3977"/>
      <c r="S2" s="3977"/>
    </row>
    <row r="4" spans="1:21">
      <c r="A4" s="3979"/>
      <c r="B4" s="3979"/>
      <c r="C4" s="3979"/>
      <c r="D4" s="3979"/>
      <c r="E4" s="3979"/>
      <c r="F4" s="3979"/>
      <c r="G4" s="3979"/>
      <c r="H4" s="3979"/>
      <c r="I4" s="3979"/>
      <c r="J4" s="3979"/>
      <c r="K4" s="3979"/>
      <c r="L4" s="3979"/>
      <c r="M4" s="3979"/>
      <c r="N4" s="3979"/>
      <c r="O4" s="3979"/>
      <c r="P4" s="3979"/>
      <c r="Q4" s="3979"/>
      <c r="R4" s="3979"/>
      <c r="S4" s="3979"/>
      <c r="U4" s="3986" t="s">
        <v>13486</v>
      </c>
    </row>
    <row r="5" spans="1:21">
      <c r="A5" s="3979"/>
      <c r="B5" s="3979"/>
      <c r="C5" s="3979"/>
      <c r="D5" s="3979"/>
      <c r="E5" s="3979"/>
      <c r="F5" s="3979"/>
      <c r="G5" s="3979"/>
      <c r="H5" s="3979"/>
      <c r="I5" s="3979"/>
      <c r="J5" s="3979"/>
      <c r="K5" s="3979"/>
      <c r="L5" s="3979"/>
      <c r="M5" s="3979"/>
      <c r="N5" s="3979"/>
      <c r="O5" s="3979"/>
      <c r="P5" s="3979"/>
      <c r="Q5" s="3979"/>
      <c r="R5" s="3979"/>
      <c r="S5" s="3979"/>
      <c r="U5" s="3987"/>
    </row>
    <row r="6" spans="1:21">
      <c r="A6" s="3979"/>
      <c r="B6" s="3979"/>
      <c r="C6" s="3979"/>
      <c r="D6" s="3979"/>
      <c r="E6" s="3979"/>
      <c r="F6" s="3979"/>
      <c r="G6" s="3979"/>
      <c r="H6" s="3979"/>
      <c r="I6" s="3979"/>
      <c r="J6" s="3979"/>
      <c r="K6" s="3979"/>
      <c r="L6" s="3979"/>
      <c r="M6" s="3979"/>
      <c r="N6" s="3979"/>
      <c r="O6" s="3979"/>
      <c r="P6" s="3979"/>
      <c r="Q6" s="3979"/>
      <c r="R6" s="3979"/>
      <c r="S6" s="3979"/>
      <c r="U6" s="3986" t="s">
        <v>13487</v>
      </c>
    </row>
    <row r="7" spans="1:21">
      <c r="A7" s="3979"/>
      <c r="B7" s="3979"/>
      <c r="C7" s="3979"/>
      <c r="D7" s="3979"/>
      <c r="E7" s="3979"/>
      <c r="F7" s="3979"/>
      <c r="G7" s="3979"/>
      <c r="H7" s="3979"/>
      <c r="I7" s="3979"/>
      <c r="J7" s="3979"/>
      <c r="K7" s="3979"/>
      <c r="L7" s="3979"/>
      <c r="M7" s="3979"/>
      <c r="N7" s="3979"/>
      <c r="O7" s="3979"/>
      <c r="P7" s="3979"/>
      <c r="Q7" s="3979"/>
      <c r="R7" s="3979"/>
      <c r="S7" s="3979"/>
      <c r="U7" s="3987"/>
    </row>
    <row r="8" spans="1:21">
      <c r="A8" s="3979"/>
      <c r="B8" s="3979"/>
      <c r="C8" s="3979"/>
      <c r="D8" s="3979"/>
      <c r="E8" s="3979"/>
      <c r="F8" s="3979"/>
      <c r="G8" s="3979"/>
      <c r="H8" s="3979"/>
      <c r="I8" s="3979"/>
      <c r="J8" s="3979"/>
      <c r="K8" s="3979"/>
      <c r="L8" s="3979"/>
      <c r="M8" s="3979"/>
      <c r="N8" s="3979"/>
      <c r="O8" s="3979"/>
      <c r="P8" s="3979"/>
      <c r="Q8" s="3979"/>
      <c r="R8" s="3979"/>
      <c r="S8" s="3979"/>
      <c r="U8" s="3986" t="s">
        <v>13488</v>
      </c>
    </row>
    <row r="9" spans="1:21">
      <c r="A9" s="3979"/>
      <c r="B9" s="3979"/>
      <c r="C9" s="3979"/>
      <c r="D9" s="3979"/>
      <c r="E9" s="3979"/>
      <c r="F9" s="3979"/>
      <c r="G9" s="3979"/>
      <c r="H9" s="3979"/>
      <c r="I9" s="3979"/>
      <c r="J9" s="3979"/>
      <c r="K9" s="3979"/>
      <c r="L9" s="3979"/>
      <c r="M9" s="3979"/>
      <c r="N9" s="3979"/>
      <c r="O9" s="3979"/>
      <c r="P9" s="3979"/>
      <c r="Q9" s="3979"/>
      <c r="R9" s="3979"/>
      <c r="S9" s="3979"/>
      <c r="U9" s="3987"/>
    </row>
    <row r="10" spans="1:21">
      <c r="A10" s="3979"/>
      <c r="B10" s="3979"/>
      <c r="C10" s="3979"/>
      <c r="D10" s="3979"/>
      <c r="E10" s="3979"/>
      <c r="F10" s="3979"/>
      <c r="G10" s="3979"/>
      <c r="H10" s="3979"/>
      <c r="I10" s="3979"/>
      <c r="J10" s="3979"/>
      <c r="K10" s="3979"/>
      <c r="L10" s="3979"/>
      <c r="M10" s="3979"/>
      <c r="N10" s="3979"/>
      <c r="O10" s="3979"/>
      <c r="P10" s="3979"/>
      <c r="Q10" s="3979"/>
      <c r="R10" s="3979"/>
      <c r="S10" s="3979"/>
      <c r="U10" s="3986" t="s">
        <v>13489</v>
      </c>
    </row>
    <row r="11" spans="1:21">
      <c r="A11" s="3979"/>
      <c r="B11" s="3979"/>
      <c r="C11" s="3979"/>
      <c r="D11" s="3979"/>
      <c r="E11" s="3979"/>
      <c r="F11" s="3979"/>
      <c r="G11" s="3979"/>
      <c r="H11" s="3979"/>
      <c r="I11" s="3979"/>
      <c r="J11" s="3979"/>
      <c r="K11" s="3979"/>
      <c r="L11" s="3979"/>
      <c r="M11" s="3979"/>
      <c r="N11" s="3979"/>
      <c r="O11" s="3979"/>
      <c r="P11" s="3979"/>
      <c r="Q11" s="3979"/>
      <c r="R11" s="3979"/>
      <c r="S11" s="3979"/>
    </row>
    <row r="12" spans="1:21">
      <c r="A12" s="3979"/>
      <c r="B12" s="3979"/>
      <c r="C12" s="3979"/>
      <c r="D12" s="3979"/>
      <c r="E12" s="3979"/>
      <c r="F12" s="3979"/>
      <c r="G12" s="3979"/>
      <c r="H12" s="3979"/>
      <c r="I12" s="3979"/>
      <c r="J12" s="3979"/>
      <c r="K12" s="3979"/>
      <c r="L12" s="3979"/>
      <c r="M12" s="3979"/>
      <c r="N12" s="3979"/>
      <c r="O12" s="3979"/>
      <c r="P12" s="3979"/>
      <c r="Q12" s="3979"/>
      <c r="R12" s="3979"/>
      <c r="S12" s="3979"/>
    </row>
    <row r="13" spans="1:21">
      <c r="A13" s="3979"/>
      <c r="B13" s="3979"/>
      <c r="C13" s="3979"/>
      <c r="D13" s="3979"/>
      <c r="E13" s="3979"/>
      <c r="F13" s="3979"/>
      <c r="G13" s="3979"/>
      <c r="H13" s="3979"/>
      <c r="I13" s="3979"/>
      <c r="J13" s="3979"/>
      <c r="K13" s="3979"/>
      <c r="L13" s="3979"/>
      <c r="M13" s="3979"/>
      <c r="N13" s="3979"/>
      <c r="O13" s="3979"/>
      <c r="P13" s="3979"/>
      <c r="Q13" s="3979"/>
      <c r="R13" s="3979"/>
      <c r="S13" s="3979"/>
    </row>
    <row r="14" spans="1:21">
      <c r="A14" s="3979"/>
      <c r="B14" s="3979"/>
      <c r="C14" s="3979"/>
      <c r="D14" s="3979"/>
      <c r="E14" s="3979"/>
      <c r="F14" s="3979"/>
      <c r="G14" s="3979"/>
      <c r="H14" s="3979"/>
      <c r="I14" s="3979"/>
      <c r="J14" s="3979"/>
      <c r="K14" s="3979"/>
      <c r="L14" s="3979"/>
      <c r="M14" s="3979"/>
      <c r="N14" s="3979"/>
      <c r="O14" s="3979"/>
      <c r="P14" s="3979"/>
      <c r="Q14" s="3979"/>
      <c r="R14" s="3979"/>
      <c r="S14" s="3979"/>
    </row>
    <row r="15" spans="1:21">
      <c r="A15" s="3979"/>
      <c r="B15" s="3979"/>
      <c r="C15" s="3979"/>
      <c r="D15" s="3979"/>
      <c r="E15" s="3979"/>
      <c r="F15" s="3979"/>
      <c r="G15" s="3979"/>
      <c r="H15" s="3979"/>
      <c r="I15" s="3979"/>
      <c r="J15" s="3979"/>
      <c r="K15" s="3979"/>
      <c r="L15" s="3979"/>
      <c r="M15" s="3979"/>
      <c r="N15" s="3979"/>
      <c r="O15" s="3979"/>
      <c r="P15" s="3979"/>
      <c r="Q15" s="3979"/>
      <c r="R15" s="3979"/>
      <c r="S15" s="3979"/>
    </row>
    <row r="16" spans="1:21">
      <c r="A16" s="3979"/>
      <c r="B16" s="3979"/>
      <c r="C16" s="3979"/>
      <c r="D16" s="3979"/>
      <c r="E16" s="3979"/>
      <c r="F16" s="3979"/>
      <c r="G16" s="3979"/>
      <c r="H16" s="3979"/>
      <c r="I16" s="3979"/>
      <c r="J16" s="3979"/>
      <c r="K16" s="3979"/>
      <c r="L16" s="3979"/>
      <c r="M16" s="3979"/>
      <c r="N16" s="3979"/>
      <c r="O16" s="3979"/>
      <c r="P16" s="3979"/>
      <c r="Q16" s="3979"/>
      <c r="R16" s="3979"/>
      <c r="S16" s="3979"/>
    </row>
    <row r="17" spans="1:19">
      <c r="A17" s="3979"/>
      <c r="B17" s="3979"/>
      <c r="C17" s="3979"/>
      <c r="D17" s="3979"/>
      <c r="E17" s="3979"/>
      <c r="F17" s="3979"/>
      <c r="G17" s="3979"/>
      <c r="H17" s="3979"/>
      <c r="I17" s="3979"/>
      <c r="J17" s="3979"/>
      <c r="K17" s="3979"/>
      <c r="L17" s="3979"/>
      <c r="M17" s="3979"/>
      <c r="N17" s="3979"/>
      <c r="O17" s="3979"/>
      <c r="P17" s="3979"/>
      <c r="Q17" s="3979"/>
      <c r="R17" s="3979"/>
      <c r="S17" s="3979"/>
    </row>
    <row r="18" spans="1:19">
      <c r="A18" s="3979"/>
      <c r="B18" s="3979"/>
      <c r="C18" s="3979"/>
      <c r="D18" s="3979"/>
      <c r="E18" s="3979"/>
      <c r="F18" s="3979"/>
      <c r="G18" s="3979"/>
      <c r="H18" s="3979"/>
      <c r="I18" s="3979"/>
      <c r="J18" s="3979"/>
      <c r="K18" s="3979"/>
      <c r="L18" s="3979"/>
      <c r="M18" s="3979"/>
      <c r="N18" s="3979"/>
      <c r="O18" s="3979"/>
      <c r="P18" s="3979"/>
      <c r="Q18" s="3979"/>
      <c r="R18" s="3979"/>
      <c r="S18" s="3979"/>
    </row>
    <row r="19" spans="1:19">
      <c r="A19" s="3979"/>
      <c r="B19" s="3979"/>
      <c r="C19" s="3979"/>
      <c r="D19" s="3979"/>
      <c r="E19" s="3979"/>
      <c r="F19" s="3979"/>
      <c r="G19" s="3979"/>
      <c r="H19" s="3979"/>
      <c r="I19" s="3979"/>
      <c r="J19" s="3979"/>
      <c r="K19" s="3979"/>
      <c r="L19" s="3979"/>
      <c r="M19" s="3979"/>
      <c r="N19" s="3979"/>
      <c r="O19" s="3979"/>
      <c r="P19" s="3979"/>
      <c r="Q19" s="3979"/>
      <c r="R19" s="3979"/>
      <c r="S19" s="3979"/>
    </row>
    <row r="20" spans="1:19">
      <c r="A20" s="3979"/>
      <c r="B20" s="3979"/>
      <c r="C20" s="3979"/>
      <c r="D20" s="3979"/>
      <c r="E20" s="3979"/>
      <c r="F20" s="3979"/>
      <c r="G20" s="3979"/>
      <c r="H20" s="3979"/>
      <c r="I20" s="3979"/>
      <c r="J20" s="3979"/>
      <c r="K20" s="3979"/>
      <c r="L20" s="3979"/>
      <c r="M20" s="3979"/>
      <c r="N20" s="3979"/>
      <c r="O20" s="3979"/>
      <c r="P20" s="3979"/>
      <c r="Q20" s="3979"/>
      <c r="R20" s="3979"/>
      <c r="S20" s="3979"/>
    </row>
    <row r="21" spans="1:19">
      <c r="A21" s="3979"/>
      <c r="B21" s="3979"/>
      <c r="C21" s="3979"/>
      <c r="D21" s="3979"/>
      <c r="E21" s="3979"/>
      <c r="F21" s="3979"/>
      <c r="G21" s="3979"/>
      <c r="H21" s="3979"/>
      <c r="I21" s="3979"/>
      <c r="J21" s="3979"/>
      <c r="K21" s="3979"/>
      <c r="L21" s="3979"/>
      <c r="M21" s="3979"/>
      <c r="N21" s="3979"/>
      <c r="O21" s="3979"/>
      <c r="P21" s="3979"/>
      <c r="Q21" s="3979"/>
      <c r="R21" s="3979"/>
      <c r="S21" s="3979"/>
    </row>
    <row r="23" spans="1:19" ht="21">
      <c r="A23" s="3975" t="s">
        <v>2058</v>
      </c>
      <c r="B23" s="3976"/>
      <c r="C23" s="3976"/>
      <c r="D23" s="3976"/>
      <c r="E23" s="3976"/>
      <c r="F23" s="3978" t="s">
        <v>10545</v>
      </c>
      <c r="G23" s="3978"/>
      <c r="H23" s="3978"/>
      <c r="I23" s="3978"/>
      <c r="J23" s="3978"/>
      <c r="K23" s="3978"/>
      <c r="L23" s="3978"/>
      <c r="M23" s="3978"/>
      <c r="N23" s="3978"/>
      <c r="O23" s="3978"/>
      <c r="P23" s="3978"/>
      <c r="Q23" s="3978"/>
      <c r="R23" s="3978"/>
      <c r="S23" s="3978"/>
    </row>
    <row r="25" spans="1:19" ht="21">
      <c r="A25" s="3975" t="s">
        <v>11457</v>
      </c>
      <c r="B25" s="3976"/>
      <c r="C25" s="3976"/>
      <c r="D25" s="3976"/>
      <c r="E25" s="3976"/>
      <c r="F25" s="3978"/>
      <c r="G25" s="3978"/>
      <c r="H25" s="3978"/>
      <c r="I25" s="3978"/>
      <c r="J25" s="3978"/>
      <c r="K25" s="3978"/>
      <c r="L25" s="3978"/>
      <c r="M25" s="3978"/>
      <c r="N25" s="3978"/>
      <c r="O25" s="3978"/>
      <c r="P25" s="3978"/>
      <c r="Q25" s="3978"/>
      <c r="R25" s="3978"/>
      <c r="S25" s="3978"/>
    </row>
    <row r="27" spans="1:19" ht="21">
      <c r="A27" s="3975" t="s">
        <v>11458</v>
      </c>
      <c r="B27" s="3976"/>
      <c r="C27" s="3976"/>
      <c r="D27" s="3976"/>
      <c r="E27" s="3976"/>
      <c r="F27" s="3980" t="s">
        <v>11755</v>
      </c>
      <c r="G27" s="3978"/>
      <c r="H27" s="3978"/>
      <c r="I27" s="3978"/>
      <c r="J27" s="3978"/>
      <c r="K27" s="3978"/>
      <c r="L27" s="3978"/>
      <c r="M27" s="3978"/>
      <c r="N27" s="3978"/>
      <c r="O27" s="3978"/>
      <c r="P27" s="3978"/>
      <c r="Q27" s="3978"/>
      <c r="R27" s="3978"/>
      <c r="S27" s="3978"/>
    </row>
    <row r="29" spans="1:19" ht="21">
      <c r="A29" s="3975" t="s">
        <v>11459</v>
      </c>
      <c r="B29" s="3976"/>
      <c r="C29" s="3976"/>
      <c r="D29" s="3976"/>
      <c r="E29" s="3976"/>
      <c r="F29" s="3980" t="s">
        <v>11756</v>
      </c>
      <c r="G29" s="3978"/>
      <c r="H29" s="3978"/>
      <c r="I29" s="3978"/>
      <c r="J29" s="3978"/>
      <c r="K29" s="3978"/>
      <c r="L29" s="3978"/>
      <c r="M29" s="3978"/>
      <c r="N29" s="3978"/>
      <c r="O29" s="3978"/>
      <c r="P29" s="3978"/>
      <c r="Q29" s="3978"/>
      <c r="R29" s="3978"/>
      <c r="S29" s="3978"/>
    </row>
    <row r="31" spans="1:19" ht="21">
      <c r="A31" s="3975" t="s">
        <v>11460</v>
      </c>
      <c r="B31" s="3976"/>
      <c r="C31" s="3976"/>
      <c r="D31" s="3976"/>
      <c r="E31" s="3976"/>
      <c r="F31" s="3980" t="s">
        <v>11757</v>
      </c>
      <c r="G31" s="3978"/>
      <c r="H31" s="3978"/>
      <c r="I31" s="3978"/>
      <c r="J31" s="3978"/>
      <c r="K31" s="3978"/>
      <c r="L31" s="3978"/>
      <c r="M31" s="3978"/>
      <c r="N31" s="3978"/>
      <c r="O31" s="3978"/>
      <c r="P31" s="3978"/>
      <c r="Q31" s="3978"/>
      <c r="R31" s="3978"/>
      <c r="S31" s="3978"/>
    </row>
    <row r="33" spans="2:2">
      <c r="B33" s="1" t="s">
        <v>11758</v>
      </c>
    </row>
    <row r="34" spans="2:2">
      <c r="B34" s="1"/>
    </row>
    <row r="35" spans="2:2">
      <c r="B35" s="1" t="s">
        <v>11759</v>
      </c>
    </row>
    <row r="36" spans="2:2">
      <c r="B36" s="1"/>
    </row>
    <row r="37" spans="2:2">
      <c r="B37" s="1" t="s">
        <v>11760</v>
      </c>
    </row>
    <row r="38" spans="2:2">
      <c r="B38" s="1"/>
    </row>
    <row r="39" spans="2:2">
      <c r="B39" s="1" t="s">
        <v>11761</v>
      </c>
    </row>
    <row r="40" spans="2:2">
      <c r="B40" s="1"/>
    </row>
    <row r="41" spans="2:2">
      <c r="B41" s="1" t="s">
        <v>11762</v>
      </c>
    </row>
    <row r="42" spans="2:2">
      <c r="B42" s="1"/>
    </row>
    <row r="43" spans="2:2">
      <c r="B43" s="1" t="s">
        <v>11763</v>
      </c>
    </row>
    <row r="44" spans="2:2">
      <c r="B44" s="1"/>
    </row>
    <row r="45" spans="2:2">
      <c r="B45" s="1" t="s">
        <v>11764</v>
      </c>
    </row>
    <row r="46" spans="2:2">
      <c r="B46" s="1"/>
    </row>
    <row r="47" spans="2:2">
      <c r="B47" s="1" t="s">
        <v>11765</v>
      </c>
    </row>
    <row r="48" spans="2:2">
      <c r="B48" s="1"/>
    </row>
    <row r="49" spans="2:2">
      <c r="B49" s="1" t="s">
        <v>11766</v>
      </c>
    </row>
    <row r="50" spans="2:2">
      <c r="B50" s="1"/>
    </row>
    <row r="51" spans="2:2">
      <c r="B51" s="1" t="s">
        <v>11767</v>
      </c>
    </row>
    <row r="52" spans="2:2">
      <c r="B52" s="1"/>
    </row>
    <row r="53" spans="2:2">
      <c r="B53" s="1" t="s">
        <v>11768</v>
      </c>
    </row>
    <row r="54" spans="2:2">
      <c r="B54" s="1"/>
    </row>
    <row r="55" spans="2:2">
      <c r="B55" s="1" t="s">
        <v>11769</v>
      </c>
    </row>
    <row r="56" spans="2:2">
      <c r="B56" s="1"/>
    </row>
    <row r="57" spans="2:2">
      <c r="B57" s="1" t="s">
        <v>11770</v>
      </c>
    </row>
    <row r="58" spans="2:2">
      <c r="B58" s="1"/>
    </row>
    <row r="59" spans="2:2">
      <c r="B59" s="1" t="s">
        <v>11771</v>
      </c>
    </row>
    <row r="60" spans="2:2">
      <c r="B60" s="1"/>
    </row>
    <row r="61" spans="2:2">
      <c r="B61" s="1" t="s">
        <v>11772</v>
      </c>
    </row>
    <row r="62" spans="2:2">
      <c r="B62" s="1"/>
    </row>
    <row r="63" spans="2:2">
      <c r="B63" s="1" t="s">
        <v>11773</v>
      </c>
    </row>
    <row r="64" spans="2:2">
      <c r="B64" s="1"/>
    </row>
    <row r="65" spans="2:2">
      <c r="B65" s="1" t="s">
        <v>11774</v>
      </c>
    </row>
    <row r="66" spans="2:2">
      <c r="B66" s="1"/>
    </row>
    <row r="67" spans="2:2">
      <c r="B67" s="1" t="s">
        <v>11775</v>
      </c>
    </row>
    <row r="68" spans="2:2">
      <c r="B68" s="1"/>
    </row>
    <row r="69" spans="2:2">
      <c r="B69" s="1" t="s">
        <v>11776</v>
      </c>
    </row>
    <row r="70" spans="2:2">
      <c r="B70" s="1"/>
    </row>
    <row r="71" spans="2:2">
      <c r="B71" s="1" t="s">
        <v>11777</v>
      </c>
    </row>
    <row r="72" spans="2:2">
      <c r="B72" s="1"/>
    </row>
    <row r="73" spans="2:2">
      <c r="B73" s="1" t="s">
        <v>11778</v>
      </c>
    </row>
    <row r="74" spans="2:2">
      <c r="B74" s="1"/>
    </row>
    <row r="75" spans="2:2">
      <c r="B75" s="1" t="s">
        <v>11779</v>
      </c>
    </row>
    <row r="76" spans="2:2">
      <c r="B76" s="1"/>
    </row>
    <row r="77" spans="2:2">
      <c r="B77" s="1" t="s">
        <v>11780</v>
      </c>
    </row>
    <row r="78" spans="2:2">
      <c r="B78" s="1"/>
    </row>
    <row r="79" spans="2:2">
      <c r="B79" s="1" t="s">
        <v>11781</v>
      </c>
    </row>
    <row r="80" spans="2:2">
      <c r="B80" s="1"/>
    </row>
    <row r="81" spans="2:2">
      <c r="B81" s="1" t="s">
        <v>11782</v>
      </c>
    </row>
    <row r="82" spans="2:2">
      <c r="B82" s="1"/>
    </row>
    <row r="83" spans="2:2">
      <c r="B83" s="1" t="s">
        <v>11783</v>
      </c>
    </row>
    <row r="84" spans="2:2">
      <c r="B84" s="1"/>
    </row>
    <row r="85" spans="2:2">
      <c r="B85" s="1" t="s">
        <v>11784</v>
      </c>
    </row>
    <row r="86" spans="2:2">
      <c r="B86" s="1"/>
    </row>
    <row r="87" spans="2:2">
      <c r="B87" s="1" t="s">
        <v>11785</v>
      </c>
    </row>
    <row r="88" spans="2:2">
      <c r="B88" s="1"/>
    </row>
    <row r="89" spans="2:2">
      <c r="B89" s="1" t="s">
        <v>11786</v>
      </c>
    </row>
    <row r="90" spans="2:2">
      <c r="B90" s="1"/>
    </row>
    <row r="91" spans="2:2">
      <c r="B91" s="1" t="s">
        <v>11787</v>
      </c>
    </row>
    <row r="92" spans="2:2">
      <c r="B92" s="1"/>
    </row>
    <row r="93" spans="2:2">
      <c r="B93" s="1" t="s">
        <v>11788</v>
      </c>
    </row>
    <row r="94" spans="2:2">
      <c r="B94" s="1"/>
    </row>
    <row r="95" spans="2:2">
      <c r="B95" s="1" t="s">
        <v>11789</v>
      </c>
    </row>
    <row r="96" spans="2:2">
      <c r="B96" s="1"/>
    </row>
    <row r="97" spans="2:2">
      <c r="B97" s="1" t="s">
        <v>11790</v>
      </c>
    </row>
    <row r="98" spans="2:2">
      <c r="B98" s="1"/>
    </row>
    <row r="99" spans="2:2">
      <c r="B99" s="1" t="s">
        <v>11791</v>
      </c>
    </row>
    <row r="100" spans="2:2">
      <c r="B100" s="1"/>
    </row>
    <row r="101" spans="2:2">
      <c r="B101" s="1" t="s">
        <v>11792</v>
      </c>
    </row>
    <row r="102" spans="2:2">
      <c r="B102" s="1"/>
    </row>
    <row r="103" spans="2:2">
      <c r="B103" s="1" t="s">
        <v>11793</v>
      </c>
    </row>
  </sheetData>
  <mergeCells count="12">
    <mergeCell ref="A27:E27"/>
    <mergeCell ref="F27:S27"/>
    <mergeCell ref="A29:E29"/>
    <mergeCell ref="F29:S29"/>
    <mergeCell ref="A31:E31"/>
    <mergeCell ref="F31:S31"/>
    <mergeCell ref="A23:E23"/>
    <mergeCell ref="A1:S2"/>
    <mergeCell ref="A25:E25"/>
    <mergeCell ref="F23:S23"/>
    <mergeCell ref="F25:S25"/>
    <mergeCell ref="A4:S21"/>
  </mergeCells>
  <conditionalFormatting sqref="U7">
    <cfRule type="notContainsBlanks" dxfId="6" priority="7">
      <formula>LEN(TRIM(U7))&gt;0</formula>
    </cfRule>
  </conditionalFormatting>
  <conditionalFormatting sqref="U9">
    <cfRule type="notContainsBlanks" dxfId="5" priority="6">
      <formula>LEN(TRIM(U9))&gt;0</formula>
    </cfRule>
  </conditionalFormatting>
  <conditionalFormatting sqref="U8">
    <cfRule type="notContainsBlanks" dxfId="4" priority="4">
      <formula>LEN(TRIM(U8))&gt;0</formula>
    </cfRule>
  </conditionalFormatting>
  <conditionalFormatting sqref="U10">
    <cfRule type="notContainsBlanks" dxfId="3" priority="3">
      <formula>LEN(TRIM(U10))&gt;0</formula>
    </cfRule>
  </conditionalFormatting>
  <conditionalFormatting sqref="U5">
    <cfRule type="notContainsBlanks" dxfId="2" priority="5">
      <formula>LEN(TRIM(U5))&gt;0</formula>
    </cfRule>
  </conditionalFormatting>
  <conditionalFormatting sqref="U4">
    <cfRule type="notContainsBlanks" dxfId="1" priority="2">
      <formula>LEN(TRIM(U4))&gt;0</formula>
    </cfRule>
  </conditionalFormatting>
  <conditionalFormatting sqref="U6">
    <cfRule type="notContainsBlanks" dxfId="0" priority="1">
      <formula>LEN(TRIM(U6))&gt;0</formula>
    </cfRule>
  </conditionalFormatting>
  <hyperlinks>
    <hyperlink ref="F23" r:id="rId1" xr:uid="{9C3D266E-BEAD-4294-BC31-249D354F0012}"/>
    <hyperlink ref="F27" r:id="rId2" xr:uid="{5D53876B-F6F8-49BF-89F1-462A0A9D8841}"/>
    <hyperlink ref="F29" r:id="rId3" xr:uid="{8FC862AF-55D5-470A-950B-C4D4ED72F29F}"/>
    <hyperlink ref="F31" r:id="rId4" xr:uid="{7678EA10-433C-47A9-94E2-7B8B32F21B24}"/>
  </hyperlinks>
  <pageMargins left="0.7" right="0.7" top="0.75" bottom="0.75" header="0.3" footer="0.3"/>
  <drawing r:id="rId5"/>
  <legacy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49</vt:i4>
      </vt:variant>
      <vt:variant>
        <vt:lpstr>Іменовані діапазони</vt:lpstr>
      </vt:variant>
      <vt:variant>
        <vt:i4>94</vt:i4>
      </vt:variant>
    </vt:vector>
  </HeadingPairs>
  <TitlesOfParts>
    <vt:vector size="143" baseType="lpstr">
      <vt:lpstr>OGL</vt:lpstr>
      <vt:lpstr>SUBSYSTEM</vt:lpstr>
      <vt:lpstr>HIRELINGS</vt:lpstr>
      <vt:lpstr>SPECIAL NPCS</vt:lpstr>
      <vt:lpstr>CAMP</vt:lpstr>
      <vt:lpstr>Аркуш2 (2)</vt:lpstr>
      <vt:lpstr>Inventory</vt:lpstr>
      <vt:lpstr>TOP SHEET</vt:lpstr>
      <vt:lpstr>USER SPELLS</vt:lpstr>
      <vt:lpstr>MATH</vt:lpstr>
      <vt:lpstr>BACKGROUNDS</vt:lpstr>
      <vt:lpstr>MAGIC ITEMS</vt:lpstr>
      <vt:lpstr>TREASURE</vt:lpstr>
      <vt:lpstr>WEAPONS ARMOR</vt:lpstr>
      <vt:lpstr>EQUIPMENT</vt:lpstr>
      <vt:lpstr>FEATS-PETS</vt:lpstr>
      <vt:lpstr>SPELLBOOK</vt:lpstr>
      <vt:lpstr>SKILLS</vt:lpstr>
      <vt:lpstr>CLASS</vt:lpstr>
      <vt:lpstr>Kvoth</vt:lpstr>
      <vt:lpstr>MonstersNPCs</vt:lpstr>
      <vt:lpstr>Basic Price Sheet</vt:lpstr>
      <vt:lpstr>CoC SAM</vt:lpstr>
      <vt:lpstr>DM Notes</vt:lpstr>
      <vt:lpstr>Map (num)</vt:lpstr>
      <vt:lpstr>Map (blank)</vt:lpstr>
      <vt:lpstr>Key and Sample</vt:lpstr>
      <vt:lpstr>Icons</vt:lpstr>
      <vt:lpstr>LootGen</vt:lpstr>
      <vt:lpstr>NPCs</vt:lpstr>
      <vt:lpstr>SETTLEMENTS</vt:lpstr>
      <vt:lpstr>Аркуш5</vt:lpstr>
      <vt:lpstr>Sheet1</vt:lpstr>
      <vt:lpstr>Аркуш3</vt:lpstr>
      <vt:lpstr>GM SCREEN</vt:lpstr>
      <vt:lpstr>ORGANIZATIONS</vt:lpstr>
      <vt:lpstr>Аркуш2</vt:lpstr>
      <vt:lpstr>Noble Houses</vt:lpstr>
      <vt:lpstr>Purple Dragons</vt:lpstr>
      <vt:lpstr>DIAGRAMS</vt:lpstr>
      <vt:lpstr>War Wizards</vt:lpstr>
      <vt:lpstr>Аркуш1</vt:lpstr>
      <vt:lpstr>Blue Dragons</vt:lpstr>
      <vt:lpstr>Аркуш6</vt:lpstr>
      <vt:lpstr>Royal Court</vt:lpstr>
      <vt:lpstr>CONFIG000</vt:lpstr>
      <vt:lpstr>Sources</vt:lpstr>
      <vt:lpstr>TIMELINE</vt:lpstr>
      <vt:lpstr>CREDIT000</vt:lpstr>
      <vt:lpstr>SUBSYSTEM!_Toc25198295</vt:lpstr>
      <vt:lpstr>AbilityModifier</vt:lpstr>
      <vt:lpstr>Kvoth!Animal_Companion</vt:lpstr>
      <vt:lpstr>ARMOR</vt:lpstr>
      <vt:lpstr>AtributeScoreRef</vt:lpstr>
      <vt:lpstr>AttunementCheckboxes</vt:lpstr>
      <vt:lpstr>Bard_Cantrip</vt:lpstr>
      <vt:lpstr>Bard_First</vt:lpstr>
      <vt:lpstr>BardCantrips</vt:lpstr>
      <vt:lpstr>ChallengeRating</vt:lpstr>
      <vt:lpstr>CharSize</vt:lpstr>
      <vt:lpstr>CharStr</vt:lpstr>
      <vt:lpstr>CharWeight</vt:lpstr>
      <vt:lpstr>Class_List</vt:lpstr>
      <vt:lpstr>Cleric_Cantrip</vt:lpstr>
      <vt:lpstr>Cleric_First</vt:lpstr>
      <vt:lpstr>CoinContainer</vt:lpstr>
      <vt:lpstr>CoinQuantities</vt:lpstr>
      <vt:lpstr>CoinTotalWeight</vt:lpstr>
      <vt:lpstr>ContainerFills</vt:lpstr>
      <vt:lpstr>ContainerLocation</vt:lpstr>
      <vt:lpstr>ContainerNames</vt:lpstr>
      <vt:lpstr>ContainerOptionNames</vt:lpstr>
      <vt:lpstr>ContainerOptionTable</vt:lpstr>
      <vt:lpstr>Containers</vt:lpstr>
      <vt:lpstr>ContainerType</vt:lpstr>
      <vt:lpstr>CopperPieces</vt:lpstr>
      <vt:lpstr>MonstersNPCs!CR</vt:lpstr>
      <vt:lpstr>NPCs!CR</vt:lpstr>
      <vt:lpstr>Druid_Cantrip</vt:lpstr>
      <vt:lpstr>Druid_First</vt:lpstr>
      <vt:lpstr>ElectrumPieces</vt:lpstr>
      <vt:lpstr>EncumbranceCheckbox</vt:lpstr>
      <vt:lpstr>EquippedItemWeights</vt:lpstr>
      <vt:lpstr>EquippedMagicWeights</vt:lpstr>
      <vt:lpstr>EquippedMnyWt</vt:lpstr>
      <vt:lpstr>EquippedStockWeights</vt:lpstr>
      <vt:lpstr>ExtradimensionalCheckbox</vt:lpstr>
      <vt:lpstr>fancy</vt:lpstr>
      <vt:lpstr>gem</vt:lpstr>
      <vt:lpstr>GemQuantities</vt:lpstr>
      <vt:lpstr>GemsQuantity1</vt:lpstr>
      <vt:lpstr>GemsQuantity2</vt:lpstr>
      <vt:lpstr>GemsQuantity3</vt:lpstr>
      <vt:lpstr>GemsQuantity4</vt:lpstr>
      <vt:lpstr>GemsQuantity5</vt:lpstr>
      <vt:lpstr>GemsWorth1</vt:lpstr>
      <vt:lpstr>GemsWorth2</vt:lpstr>
      <vt:lpstr>GemsWorth3</vt:lpstr>
      <vt:lpstr>GemsWorth4</vt:lpstr>
      <vt:lpstr>GemsWorth5</vt:lpstr>
      <vt:lpstr>GemTotalWeight</vt:lpstr>
      <vt:lpstr>GoldPieces</vt:lpstr>
      <vt:lpstr>hardstones</vt:lpstr>
      <vt:lpstr>ItemContainers</vt:lpstr>
      <vt:lpstr>ItemQuantity</vt:lpstr>
      <vt:lpstr>ItemTotalWeights</vt:lpstr>
      <vt:lpstr>ItemWeight</vt:lpstr>
      <vt:lpstr>jewel</vt:lpstr>
      <vt:lpstr>Locations</vt:lpstr>
      <vt:lpstr>Kvoth!Magic_Use</vt:lpstr>
      <vt:lpstr>MagicItemContainers</vt:lpstr>
      <vt:lpstr>MagicItemWeights</vt:lpstr>
      <vt:lpstr>MoneyTotalWeight</vt:lpstr>
      <vt:lpstr>MonstersNPCsRange</vt:lpstr>
      <vt:lpstr>MonstersNPCs!MonstersNPCsRange2</vt:lpstr>
      <vt:lpstr>MountItemWeights</vt:lpstr>
      <vt:lpstr>MountMagicWeights</vt:lpstr>
      <vt:lpstr>MountMnyWt</vt:lpstr>
      <vt:lpstr>MountSize</vt:lpstr>
      <vt:lpstr>MountStockWeights</vt:lpstr>
      <vt:lpstr>MountStr</vt:lpstr>
      <vt:lpstr>MountTotalWeightCarried</vt:lpstr>
      <vt:lpstr>NumAutofillRows</vt:lpstr>
      <vt:lpstr>ornamental</vt:lpstr>
      <vt:lpstr>PlatinumPieces</vt:lpstr>
      <vt:lpstr>precious</vt:lpstr>
      <vt:lpstr>rand1d100</vt:lpstr>
      <vt:lpstr>RideCheckbox</vt:lpstr>
      <vt:lpstr>semiprecious</vt:lpstr>
      <vt:lpstr>shells</vt:lpstr>
      <vt:lpstr>SilverPieces</vt:lpstr>
      <vt:lpstr>SizeNames</vt:lpstr>
      <vt:lpstr>SizeTable</vt:lpstr>
      <vt:lpstr>SlotsCheckbox</vt:lpstr>
      <vt:lpstr>STATS</vt:lpstr>
      <vt:lpstr>StockContainers</vt:lpstr>
      <vt:lpstr>StockQuantities</vt:lpstr>
      <vt:lpstr>StockTotalWeights</vt:lpstr>
      <vt:lpstr>TotalCoins</vt:lpstr>
      <vt:lpstr>TotalCoinsGems</vt:lpstr>
      <vt:lpstr>TotalGems</vt:lpstr>
      <vt:lpstr>TotalWeightCarried</vt:lpstr>
      <vt:lpstr>MATH!Область_друку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Палихов Антон</dc:creator>
  <cp:lastModifiedBy>Палихов Антон</cp:lastModifiedBy>
  <cp:lastPrinted>2020-11-23T01:21:08Z</cp:lastPrinted>
  <dcterms:created xsi:type="dcterms:W3CDTF">2018-12-02T16:23:38Z</dcterms:created>
  <dcterms:modified xsi:type="dcterms:W3CDTF">2020-12-04T20:39:24Z</dcterms:modified>
</cp:coreProperties>
</file>